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V360\Desktop\"/>
    </mc:Choice>
  </mc:AlternateContent>
  <xr:revisionPtr revIDLastSave="0" documentId="13_ncr:1_{0C704782-A1E8-4EA7-8021-BB30BBED87E6}" xr6:coauthVersionLast="47" xr6:coauthVersionMax="47" xr10:uidLastSave="{00000000-0000-0000-0000-000000000000}"/>
  <bookViews>
    <workbookView xWindow="-120" yWindow="-120" windowWidth="29040" windowHeight="15840" tabRatio="746" xr2:uid="{00000000-000D-0000-FFFF-FFFF00000000}"/>
  </bookViews>
  <sheets>
    <sheet name="Stock" sheetId="2" r:id="rId1"/>
  </sheets>
  <definedNames>
    <definedName name="_xlnm._FilterDatabase" localSheetId="0" hidden="1">Stock!$A$5:$AA$5</definedName>
  </definedNames>
  <calcPr calcId="181029"/>
</workbook>
</file>

<file path=xl/calcChain.xml><?xml version="1.0" encoding="utf-8"?>
<calcChain xmlns="http://schemas.openxmlformats.org/spreadsheetml/2006/main">
  <c r="R4" i="2" l="1"/>
  <c r="Q4" i="2" s="1"/>
  <c r="R3" i="2"/>
  <c r="Q3" i="2" s="1"/>
  <c r="S4" i="2"/>
  <c r="O4" i="2" s="1"/>
  <c r="P4" i="2" s="1"/>
  <c r="S3" i="2"/>
  <c r="O3" i="2" s="1"/>
  <c r="P3" i="2" s="1"/>
  <c r="N4" i="2"/>
  <c r="N3" i="2"/>
  <c r="M4" i="2"/>
  <c r="M3" i="2"/>
  <c r="AA8266" i="2"/>
  <c r="Z8266" i="2"/>
  <c r="C8266" i="2"/>
  <c r="AA8265" i="2"/>
  <c r="Z8265" i="2"/>
  <c r="C8265" i="2"/>
  <c r="AA8264" i="2"/>
  <c r="Z8264" i="2"/>
  <c r="C8264" i="2"/>
  <c r="AA8263" i="2"/>
  <c r="Z8263" i="2"/>
  <c r="C8263" i="2"/>
  <c r="AA8262" i="2"/>
  <c r="Z8262" i="2"/>
  <c r="C8262" i="2"/>
  <c r="AA8261" i="2"/>
  <c r="Z8261" i="2"/>
  <c r="C8261" i="2"/>
  <c r="AA8260" i="2"/>
  <c r="Z8260" i="2"/>
  <c r="C8260" i="2"/>
  <c r="AA8259" i="2"/>
  <c r="Z8259" i="2"/>
  <c r="C8259" i="2"/>
  <c r="AA8258" i="2"/>
  <c r="Z8258" i="2"/>
  <c r="C8258" i="2"/>
  <c r="AA8257" i="2"/>
  <c r="Z8257" i="2"/>
  <c r="C8257" i="2"/>
  <c r="AA8256" i="2"/>
  <c r="Z8256" i="2"/>
  <c r="C8256" i="2"/>
  <c r="AA8255" i="2"/>
  <c r="Z8255" i="2"/>
  <c r="C8255" i="2"/>
  <c r="AA8254" i="2"/>
  <c r="Z8254" i="2"/>
  <c r="C8254" i="2"/>
  <c r="AA8253" i="2"/>
  <c r="Z8253" i="2"/>
  <c r="C8253" i="2"/>
  <c r="AA8252" i="2"/>
  <c r="Z8252" i="2"/>
  <c r="C8252" i="2"/>
  <c r="AA8251" i="2"/>
  <c r="Z8251" i="2"/>
  <c r="C8251" i="2"/>
  <c r="AA8250" i="2"/>
  <c r="Z8250" i="2"/>
  <c r="C8250" i="2"/>
  <c r="AA8249" i="2"/>
  <c r="Z8249" i="2"/>
  <c r="C8249" i="2"/>
  <c r="AA8248" i="2"/>
  <c r="Z8248" i="2"/>
  <c r="C8248" i="2"/>
  <c r="AA8247" i="2"/>
  <c r="Z8247" i="2"/>
  <c r="C8247" i="2"/>
  <c r="AA8246" i="2"/>
  <c r="Z8246" i="2"/>
  <c r="C8246" i="2"/>
  <c r="AA8245" i="2"/>
  <c r="Z8245" i="2"/>
  <c r="C8245" i="2"/>
  <c r="AA8244" i="2"/>
  <c r="Z8244" i="2"/>
  <c r="C8244" i="2"/>
  <c r="AA8243" i="2"/>
  <c r="Z8243" i="2"/>
  <c r="C8243" i="2"/>
  <c r="AA8242" i="2"/>
  <c r="Z8242" i="2"/>
  <c r="C8242" i="2"/>
  <c r="AA8241" i="2"/>
  <c r="Z8241" i="2"/>
  <c r="C8241" i="2"/>
  <c r="AA8240" i="2"/>
  <c r="Z8240" i="2"/>
  <c r="C8240" i="2"/>
  <c r="AA8239" i="2"/>
  <c r="Z8239" i="2"/>
  <c r="C8239" i="2"/>
  <c r="AA8238" i="2"/>
  <c r="Z8238" i="2"/>
  <c r="C8238" i="2"/>
  <c r="AA8237" i="2"/>
  <c r="Z8237" i="2"/>
  <c r="C8237" i="2"/>
  <c r="AA8236" i="2"/>
  <c r="Z8236" i="2"/>
  <c r="C8236" i="2"/>
  <c r="AA8235" i="2"/>
  <c r="Z8235" i="2"/>
  <c r="C8235" i="2"/>
  <c r="AA8234" i="2"/>
  <c r="Z8234" i="2"/>
  <c r="C8234" i="2"/>
  <c r="AA8233" i="2"/>
  <c r="Z8233" i="2"/>
  <c r="C8233" i="2"/>
  <c r="AA8232" i="2"/>
  <c r="Z8232" i="2"/>
  <c r="C8232" i="2"/>
  <c r="AA8231" i="2"/>
  <c r="Z8231" i="2"/>
  <c r="C8231" i="2"/>
  <c r="AA8230" i="2"/>
  <c r="Z8230" i="2"/>
  <c r="C8230" i="2"/>
  <c r="AA8229" i="2"/>
  <c r="Z8229" i="2"/>
  <c r="C8229" i="2"/>
  <c r="AA8228" i="2"/>
  <c r="Z8228" i="2"/>
  <c r="C8228" i="2"/>
  <c r="AA8227" i="2"/>
  <c r="Z8227" i="2"/>
  <c r="C8227" i="2"/>
  <c r="AA8226" i="2"/>
  <c r="Z8226" i="2"/>
  <c r="C8226" i="2"/>
  <c r="AA8225" i="2"/>
  <c r="Z8225" i="2"/>
  <c r="C8225" i="2"/>
  <c r="AA8224" i="2"/>
  <c r="Z8224" i="2"/>
  <c r="C8224" i="2"/>
  <c r="AA8223" i="2"/>
  <c r="Z8223" i="2"/>
  <c r="C8223" i="2"/>
  <c r="AA8222" i="2"/>
  <c r="Z8222" i="2"/>
  <c r="C8222" i="2"/>
  <c r="AA8221" i="2"/>
  <c r="Z8221" i="2"/>
  <c r="C8221" i="2"/>
  <c r="AA8220" i="2"/>
  <c r="Z8220" i="2"/>
  <c r="C8220" i="2"/>
  <c r="AA8219" i="2"/>
  <c r="Z8219" i="2"/>
  <c r="C8219" i="2"/>
  <c r="AA8218" i="2"/>
  <c r="Z8218" i="2"/>
  <c r="C8218" i="2"/>
  <c r="AA8217" i="2"/>
  <c r="Z8217" i="2"/>
  <c r="C8217" i="2"/>
  <c r="AA8216" i="2"/>
  <c r="Z8216" i="2"/>
  <c r="C8216" i="2"/>
  <c r="AA8215" i="2"/>
  <c r="Z8215" i="2"/>
  <c r="C8215" i="2"/>
  <c r="AA8214" i="2"/>
  <c r="Z8214" i="2"/>
  <c r="C8214" i="2"/>
  <c r="AA8213" i="2"/>
  <c r="Z8213" i="2"/>
  <c r="C8213" i="2"/>
  <c r="AA8212" i="2"/>
  <c r="Z8212" i="2"/>
  <c r="C8212" i="2"/>
  <c r="AA8211" i="2"/>
  <c r="Z8211" i="2"/>
  <c r="C8211" i="2"/>
  <c r="AA8210" i="2"/>
  <c r="Z8210" i="2"/>
  <c r="C8210" i="2"/>
  <c r="AA8209" i="2"/>
  <c r="Z8209" i="2"/>
  <c r="C8209" i="2"/>
  <c r="AA8208" i="2"/>
  <c r="Z8208" i="2"/>
  <c r="C8208" i="2"/>
  <c r="AA8207" i="2"/>
  <c r="Z8207" i="2"/>
  <c r="C8207" i="2"/>
  <c r="AA8206" i="2"/>
  <c r="Z8206" i="2"/>
  <c r="C8206" i="2"/>
  <c r="AA8205" i="2"/>
  <c r="Z8205" i="2"/>
  <c r="C8205" i="2"/>
  <c r="AA8204" i="2"/>
  <c r="Z8204" i="2"/>
  <c r="C8204" i="2"/>
  <c r="AA8203" i="2"/>
  <c r="Z8203" i="2"/>
  <c r="C8203" i="2"/>
  <c r="AA8202" i="2"/>
  <c r="Z8202" i="2"/>
  <c r="C8202" i="2"/>
  <c r="AA8201" i="2"/>
  <c r="Z8201" i="2"/>
  <c r="C8201" i="2"/>
  <c r="AA8200" i="2"/>
  <c r="Z8200" i="2"/>
  <c r="C8200" i="2"/>
  <c r="AA8199" i="2"/>
  <c r="Z8199" i="2"/>
  <c r="C8199" i="2"/>
  <c r="AA8198" i="2"/>
  <c r="Z8198" i="2"/>
  <c r="C8198" i="2"/>
  <c r="AA8197" i="2"/>
  <c r="Z8197" i="2"/>
  <c r="C8197" i="2"/>
  <c r="AA8196" i="2"/>
  <c r="Z8196" i="2"/>
  <c r="C8196" i="2"/>
  <c r="AA8195" i="2"/>
  <c r="Z8195" i="2"/>
  <c r="C8195" i="2"/>
  <c r="AA8194" i="2"/>
  <c r="Z8194" i="2"/>
  <c r="C8194" i="2"/>
  <c r="AA8193" i="2"/>
  <c r="Z8193" i="2"/>
  <c r="C8193" i="2"/>
  <c r="AA8192" i="2"/>
  <c r="Z8192" i="2"/>
  <c r="C8192" i="2"/>
  <c r="AA8191" i="2"/>
  <c r="Z8191" i="2"/>
  <c r="C8191" i="2"/>
  <c r="AA8190" i="2"/>
  <c r="Z8190" i="2"/>
  <c r="C8190" i="2"/>
  <c r="AA8189" i="2"/>
  <c r="Z8189" i="2"/>
  <c r="C8189" i="2"/>
  <c r="AA8188" i="2"/>
  <c r="Z8188" i="2"/>
  <c r="C8188" i="2"/>
  <c r="AA8187" i="2"/>
  <c r="Z8187" i="2"/>
  <c r="C8187" i="2"/>
  <c r="AA8186" i="2"/>
  <c r="Z8186" i="2"/>
  <c r="C8186" i="2"/>
  <c r="AA8185" i="2"/>
  <c r="Z8185" i="2"/>
  <c r="C8185" i="2"/>
  <c r="AA8184" i="2"/>
  <c r="Z8184" i="2"/>
  <c r="C8184" i="2"/>
  <c r="AA8183" i="2"/>
  <c r="Z8183" i="2"/>
  <c r="C8183" i="2"/>
  <c r="AA8182" i="2"/>
  <c r="Z8182" i="2"/>
  <c r="C8182" i="2"/>
  <c r="AA8181" i="2"/>
  <c r="Z8181" i="2"/>
  <c r="C8181" i="2"/>
  <c r="AA8180" i="2"/>
  <c r="Z8180" i="2"/>
  <c r="C8180" i="2"/>
  <c r="AA8179" i="2"/>
  <c r="Z8179" i="2"/>
  <c r="C8179" i="2"/>
  <c r="AA8178" i="2"/>
  <c r="Z8178" i="2"/>
  <c r="C8178" i="2"/>
  <c r="AA8177" i="2"/>
  <c r="Z8177" i="2"/>
  <c r="C8177" i="2"/>
  <c r="AA8176" i="2"/>
  <c r="Z8176" i="2"/>
  <c r="C8176" i="2"/>
  <c r="AA8175" i="2"/>
  <c r="Z8175" i="2"/>
  <c r="C8175" i="2"/>
  <c r="AA8174" i="2"/>
  <c r="Z8174" i="2"/>
  <c r="C8174" i="2"/>
  <c r="AA8173" i="2"/>
  <c r="Z8173" i="2"/>
  <c r="C8173" i="2"/>
  <c r="AA8172" i="2"/>
  <c r="Z8172" i="2"/>
  <c r="C8172" i="2"/>
  <c r="AA8171" i="2"/>
  <c r="Z8171" i="2"/>
  <c r="C8171" i="2"/>
  <c r="AA8170" i="2"/>
  <c r="Z8170" i="2"/>
  <c r="C8170" i="2"/>
  <c r="AA8169" i="2"/>
  <c r="Z8169" i="2"/>
  <c r="C8169" i="2"/>
  <c r="AA8168" i="2"/>
  <c r="Z8168" i="2"/>
  <c r="C8168" i="2"/>
  <c r="AA8167" i="2"/>
  <c r="Z8167" i="2"/>
  <c r="C8167" i="2"/>
  <c r="AA8166" i="2"/>
  <c r="Z8166" i="2"/>
  <c r="C8166" i="2"/>
  <c r="AA8165" i="2"/>
  <c r="Z8165" i="2"/>
  <c r="C8165" i="2"/>
  <c r="AA8164" i="2"/>
  <c r="Z8164" i="2"/>
  <c r="C8164" i="2"/>
  <c r="AA8163" i="2"/>
  <c r="Z8163" i="2"/>
  <c r="C8163" i="2"/>
  <c r="AA8162" i="2"/>
  <c r="Z8162" i="2"/>
  <c r="C8162" i="2"/>
  <c r="AA8161" i="2"/>
  <c r="Z8161" i="2"/>
  <c r="C8161" i="2"/>
  <c r="AA8160" i="2"/>
  <c r="Z8160" i="2"/>
  <c r="C8160" i="2"/>
  <c r="AA8159" i="2"/>
  <c r="Z8159" i="2"/>
  <c r="C8159" i="2"/>
  <c r="AA8158" i="2"/>
  <c r="Z8158" i="2"/>
  <c r="C8158" i="2"/>
  <c r="AA8157" i="2"/>
  <c r="Z8157" i="2"/>
  <c r="C8157" i="2"/>
  <c r="AA8156" i="2"/>
  <c r="Z8156" i="2"/>
  <c r="C8156" i="2"/>
  <c r="AA8155" i="2"/>
  <c r="Z8155" i="2"/>
  <c r="C8155" i="2"/>
  <c r="AA8154" i="2"/>
  <c r="Z8154" i="2"/>
  <c r="C8154" i="2"/>
  <c r="AA8153" i="2"/>
  <c r="Z8153" i="2"/>
  <c r="C8153" i="2"/>
  <c r="AA8152" i="2"/>
  <c r="Z8152" i="2"/>
  <c r="C8152" i="2"/>
  <c r="AA8151" i="2"/>
  <c r="Z8151" i="2"/>
  <c r="C8151" i="2"/>
  <c r="AA8150" i="2"/>
  <c r="Z8150" i="2"/>
  <c r="C8150" i="2"/>
  <c r="AA8149" i="2"/>
  <c r="Z8149" i="2"/>
  <c r="C8149" i="2"/>
  <c r="AA8148" i="2"/>
  <c r="Z8148" i="2"/>
  <c r="C8148" i="2"/>
  <c r="AA8147" i="2"/>
  <c r="Z8147" i="2"/>
  <c r="C8147" i="2"/>
  <c r="AA8146" i="2"/>
  <c r="Z8146" i="2"/>
  <c r="C8146" i="2"/>
  <c r="AA8145" i="2"/>
  <c r="Z8145" i="2"/>
  <c r="C8145" i="2"/>
  <c r="AA8144" i="2"/>
  <c r="Z8144" i="2"/>
  <c r="C8144" i="2"/>
  <c r="AA8143" i="2"/>
  <c r="Z8143" i="2"/>
  <c r="C8143" i="2"/>
  <c r="AA8142" i="2"/>
  <c r="Z8142" i="2"/>
  <c r="C8142" i="2"/>
  <c r="AA8141" i="2"/>
  <c r="Z8141" i="2"/>
  <c r="C8141" i="2"/>
  <c r="AA8140" i="2"/>
  <c r="Z8140" i="2"/>
  <c r="C8140" i="2"/>
  <c r="AA8139" i="2"/>
  <c r="Z8139" i="2"/>
  <c r="C8139" i="2"/>
  <c r="AA8138" i="2"/>
  <c r="Z8138" i="2"/>
  <c r="C8138" i="2"/>
  <c r="AA8137" i="2"/>
  <c r="Z8137" i="2"/>
  <c r="C8137" i="2"/>
  <c r="AA8136" i="2"/>
  <c r="Z8136" i="2"/>
  <c r="C8136" i="2"/>
  <c r="AA8135" i="2"/>
  <c r="Z8135" i="2"/>
  <c r="C8135" i="2"/>
  <c r="AA8134" i="2"/>
  <c r="Z8134" i="2"/>
  <c r="C8134" i="2"/>
  <c r="AA8133" i="2"/>
  <c r="Z8133" i="2"/>
  <c r="C8133" i="2"/>
  <c r="AA8132" i="2"/>
  <c r="Z8132" i="2"/>
  <c r="C8132" i="2"/>
  <c r="AA8131" i="2"/>
  <c r="Z8131" i="2"/>
  <c r="C8131" i="2"/>
  <c r="AA8130" i="2"/>
  <c r="Z8130" i="2"/>
  <c r="C8130" i="2"/>
  <c r="AA8129" i="2"/>
  <c r="Z8129" i="2"/>
  <c r="C8129" i="2"/>
  <c r="AA8128" i="2"/>
  <c r="Z8128" i="2"/>
  <c r="C8128" i="2"/>
  <c r="AA8127" i="2"/>
  <c r="Z8127" i="2"/>
  <c r="C8127" i="2"/>
  <c r="AA8126" i="2"/>
  <c r="Z8126" i="2"/>
  <c r="C8126" i="2"/>
  <c r="AA8125" i="2"/>
  <c r="Z8125" i="2"/>
  <c r="C8125" i="2"/>
  <c r="AA8124" i="2"/>
  <c r="Z8124" i="2"/>
  <c r="C8124" i="2"/>
  <c r="AA8123" i="2"/>
  <c r="Z8123" i="2"/>
  <c r="C8123" i="2"/>
  <c r="AA8122" i="2"/>
  <c r="Z8122" i="2"/>
  <c r="C8122" i="2"/>
  <c r="AA8121" i="2"/>
  <c r="Z8121" i="2"/>
  <c r="C8121" i="2"/>
  <c r="AA8120" i="2"/>
  <c r="Z8120" i="2"/>
  <c r="C8120" i="2"/>
  <c r="AA8119" i="2"/>
  <c r="Z8119" i="2"/>
  <c r="C8119" i="2"/>
  <c r="AA8118" i="2"/>
  <c r="Z8118" i="2"/>
  <c r="C8118" i="2"/>
  <c r="AA8117" i="2"/>
  <c r="Z8117" i="2"/>
  <c r="C8117" i="2"/>
  <c r="AA8116" i="2"/>
  <c r="Z8116" i="2"/>
  <c r="C8116" i="2"/>
  <c r="AA8115" i="2"/>
  <c r="Z8115" i="2"/>
  <c r="C8115" i="2"/>
  <c r="AA8114" i="2"/>
  <c r="Z8114" i="2"/>
  <c r="C8114" i="2"/>
  <c r="AA8113" i="2"/>
  <c r="Z8113" i="2"/>
  <c r="C8113" i="2"/>
  <c r="AA8112" i="2"/>
  <c r="Z8112" i="2"/>
  <c r="C8112" i="2"/>
  <c r="AA8111" i="2"/>
  <c r="Z8111" i="2"/>
  <c r="C8111" i="2"/>
  <c r="AA8110" i="2"/>
  <c r="Z8110" i="2"/>
  <c r="C8110" i="2"/>
  <c r="AA8109" i="2"/>
  <c r="Z8109" i="2"/>
  <c r="C8109" i="2"/>
  <c r="AA8108" i="2"/>
  <c r="Z8108" i="2"/>
  <c r="C8108" i="2"/>
  <c r="AA8107" i="2"/>
  <c r="Z8107" i="2"/>
  <c r="C8107" i="2"/>
  <c r="AA8106" i="2"/>
  <c r="Z8106" i="2"/>
  <c r="C8106" i="2"/>
  <c r="AA8105" i="2"/>
  <c r="Z8105" i="2"/>
  <c r="C8105" i="2"/>
  <c r="AA8104" i="2"/>
  <c r="Z8104" i="2"/>
  <c r="C8104" i="2"/>
  <c r="AA8103" i="2"/>
  <c r="Z8103" i="2"/>
  <c r="C8103" i="2"/>
  <c r="AA8102" i="2"/>
  <c r="Z8102" i="2"/>
  <c r="C8102" i="2"/>
  <c r="AA8101" i="2"/>
  <c r="Z8101" i="2"/>
  <c r="C8101" i="2"/>
  <c r="AA8100" i="2"/>
  <c r="Z8100" i="2"/>
  <c r="C8100" i="2"/>
  <c r="AA8099" i="2"/>
  <c r="Z8099" i="2"/>
  <c r="C8099" i="2"/>
  <c r="AA8098" i="2"/>
  <c r="Z8098" i="2"/>
  <c r="C8098" i="2"/>
  <c r="AA8097" i="2"/>
  <c r="Z8097" i="2"/>
  <c r="C8097" i="2"/>
  <c r="AA8096" i="2"/>
  <c r="Z8096" i="2"/>
  <c r="C8096" i="2"/>
  <c r="AA8095" i="2"/>
  <c r="Z8095" i="2"/>
  <c r="C8095" i="2"/>
  <c r="AA8094" i="2"/>
  <c r="Z8094" i="2"/>
  <c r="C8094" i="2"/>
  <c r="AA8093" i="2"/>
  <c r="Z8093" i="2"/>
  <c r="C8093" i="2"/>
  <c r="AA8092" i="2"/>
  <c r="Z8092" i="2"/>
  <c r="C8092" i="2"/>
  <c r="AA8091" i="2"/>
  <c r="Z8091" i="2"/>
  <c r="C8091" i="2"/>
  <c r="AA8090" i="2"/>
  <c r="Z8090" i="2"/>
  <c r="C8090" i="2"/>
  <c r="AA8089" i="2"/>
  <c r="Z8089" i="2"/>
  <c r="C8089" i="2"/>
  <c r="AA8088" i="2"/>
  <c r="Z8088" i="2"/>
  <c r="C8088" i="2"/>
  <c r="AA8087" i="2"/>
  <c r="Z8087" i="2"/>
  <c r="C8087" i="2"/>
  <c r="AA8086" i="2"/>
  <c r="Z8086" i="2"/>
  <c r="C8086" i="2"/>
  <c r="AA8085" i="2"/>
  <c r="Z8085" i="2"/>
  <c r="C8085" i="2"/>
  <c r="AA8084" i="2"/>
  <c r="Z8084" i="2"/>
  <c r="C8084" i="2"/>
  <c r="AA8083" i="2"/>
  <c r="Z8083" i="2"/>
  <c r="C8083" i="2"/>
  <c r="AA8082" i="2"/>
  <c r="Z8082" i="2"/>
  <c r="C8082" i="2"/>
  <c r="AA8081" i="2"/>
  <c r="Z8081" i="2"/>
  <c r="C8081" i="2"/>
  <c r="AA8080" i="2"/>
  <c r="Z8080" i="2"/>
  <c r="C8080" i="2"/>
  <c r="AA8079" i="2"/>
  <c r="Z8079" i="2"/>
  <c r="C8079" i="2"/>
  <c r="AA8078" i="2"/>
  <c r="Z8078" i="2"/>
  <c r="C8078" i="2"/>
  <c r="AA8077" i="2"/>
  <c r="Z8077" i="2"/>
  <c r="C8077" i="2"/>
  <c r="AA8076" i="2"/>
  <c r="Z8076" i="2"/>
  <c r="C8076" i="2"/>
  <c r="AA8075" i="2"/>
  <c r="Z8075" i="2"/>
  <c r="C8075" i="2"/>
  <c r="AA8074" i="2"/>
  <c r="Z8074" i="2"/>
  <c r="C8074" i="2"/>
  <c r="AA8073" i="2"/>
  <c r="Z8073" i="2"/>
  <c r="C8073" i="2"/>
  <c r="AA8072" i="2"/>
  <c r="Z8072" i="2"/>
  <c r="C8072" i="2"/>
  <c r="AA8071" i="2"/>
  <c r="Z8071" i="2"/>
  <c r="C8071" i="2"/>
  <c r="AA8070" i="2"/>
  <c r="Z8070" i="2"/>
  <c r="C8070" i="2"/>
  <c r="AA8069" i="2"/>
  <c r="Z8069" i="2"/>
  <c r="C8069" i="2"/>
  <c r="AA8068" i="2"/>
  <c r="Z8068" i="2"/>
  <c r="C8068" i="2"/>
  <c r="AA8067" i="2"/>
  <c r="Z8067" i="2"/>
  <c r="C8067" i="2"/>
  <c r="AA8066" i="2"/>
  <c r="Z8066" i="2"/>
  <c r="C8066" i="2"/>
  <c r="AA8065" i="2"/>
  <c r="Z8065" i="2"/>
  <c r="C8065" i="2"/>
  <c r="AA8064" i="2"/>
  <c r="Z8064" i="2"/>
  <c r="C8064" i="2"/>
  <c r="AA8063" i="2"/>
  <c r="Z8063" i="2"/>
  <c r="C8063" i="2"/>
  <c r="AA8062" i="2"/>
  <c r="Z8062" i="2"/>
  <c r="C8062" i="2"/>
  <c r="AA8061" i="2"/>
  <c r="Z8061" i="2"/>
  <c r="C8061" i="2"/>
  <c r="AA8060" i="2"/>
  <c r="Z8060" i="2"/>
  <c r="C8060" i="2"/>
  <c r="AA8059" i="2"/>
  <c r="Z8059" i="2"/>
  <c r="C8059" i="2"/>
  <c r="AA8058" i="2"/>
  <c r="Z8058" i="2"/>
  <c r="C8058" i="2"/>
  <c r="AA8057" i="2"/>
  <c r="Z8057" i="2"/>
  <c r="C8057" i="2"/>
  <c r="AA8056" i="2"/>
  <c r="Z8056" i="2"/>
  <c r="C8056" i="2"/>
  <c r="AA8055" i="2"/>
  <c r="Z8055" i="2"/>
  <c r="C8055" i="2"/>
  <c r="AA8054" i="2"/>
  <c r="Z8054" i="2"/>
  <c r="C8054" i="2"/>
  <c r="AA8053" i="2"/>
  <c r="Z8053" i="2"/>
  <c r="C8053" i="2"/>
  <c r="AA8052" i="2"/>
  <c r="Z8052" i="2"/>
  <c r="C8052" i="2"/>
  <c r="AA8051" i="2"/>
  <c r="Z8051" i="2"/>
  <c r="C8051" i="2"/>
  <c r="AA8050" i="2"/>
  <c r="Z8050" i="2"/>
  <c r="C8050" i="2"/>
  <c r="AA8049" i="2"/>
  <c r="Z8049" i="2"/>
  <c r="C8049" i="2"/>
  <c r="AA8048" i="2"/>
  <c r="Z8048" i="2"/>
  <c r="C8048" i="2"/>
  <c r="AA8047" i="2"/>
  <c r="Z8047" i="2"/>
  <c r="C8047" i="2"/>
  <c r="AA8046" i="2"/>
  <c r="Z8046" i="2"/>
  <c r="C8046" i="2"/>
  <c r="AA8045" i="2"/>
  <c r="Z8045" i="2"/>
  <c r="C8045" i="2"/>
  <c r="AA8044" i="2"/>
  <c r="Z8044" i="2"/>
  <c r="C8044" i="2"/>
  <c r="AA8043" i="2"/>
  <c r="Z8043" i="2"/>
  <c r="C8043" i="2"/>
  <c r="AA8042" i="2"/>
  <c r="Z8042" i="2"/>
  <c r="C8042" i="2"/>
  <c r="AA8041" i="2"/>
  <c r="Z8041" i="2"/>
  <c r="C8041" i="2"/>
  <c r="AA8040" i="2"/>
  <c r="Z8040" i="2"/>
  <c r="C8040" i="2"/>
  <c r="AA8039" i="2"/>
  <c r="Z8039" i="2"/>
  <c r="C8039" i="2"/>
  <c r="AA8038" i="2"/>
  <c r="Z8038" i="2"/>
  <c r="C8038" i="2"/>
  <c r="AA8037" i="2"/>
  <c r="Z8037" i="2"/>
  <c r="C8037" i="2"/>
  <c r="AA8036" i="2"/>
  <c r="Z8036" i="2"/>
  <c r="C8036" i="2"/>
  <c r="AA8035" i="2"/>
  <c r="Z8035" i="2"/>
  <c r="C8035" i="2"/>
  <c r="AA8034" i="2"/>
  <c r="Z8034" i="2"/>
  <c r="C8034" i="2"/>
  <c r="AA8033" i="2"/>
  <c r="Z8033" i="2"/>
  <c r="C8033" i="2"/>
  <c r="AA8032" i="2"/>
  <c r="Z8032" i="2"/>
  <c r="C8032" i="2"/>
  <c r="AA8031" i="2"/>
  <c r="Z8031" i="2"/>
  <c r="C8031" i="2"/>
  <c r="AA8030" i="2"/>
  <c r="Z8030" i="2"/>
  <c r="C8030" i="2"/>
  <c r="AA8029" i="2"/>
  <c r="Z8029" i="2"/>
  <c r="C8029" i="2"/>
  <c r="AA8028" i="2"/>
  <c r="Z8028" i="2"/>
  <c r="C8028" i="2"/>
  <c r="AA8027" i="2"/>
  <c r="Z8027" i="2"/>
  <c r="C8027" i="2"/>
  <c r="AA8026" i="2"/>
  <c r="Z8026" i="2"/>
  <c r="C8026" i="2"/>
  <c r="AA8025" i="2"/>
  <c r="Z8025" i="2"/>
  <c r="C8025" i="2"/>
  <c r="AA8024" i="2"/>
  <c r="Z8024" i="2"/>
  <c r="C8024" i="2"/>
  <c r="AA8023" i="2"/>
  <c r="Z8023" i="2"/>
  <c r="C8023" i="2"/>
  <c r="AA8022" i="2"/>
  <c r="Z8022" i="2"/>
  <c r="C8022" i="2"/>
  <c r="AA8021" i="2"/>
  <c r="Z8021" i="2"/>
  <c r="C8021" i="2"/>
  <c r="AA8020" i="2"/>
  <c r="Z8020" i="2"/>
  <c r="C8020" i="2"/>
  <c r="AA8019" i="2"/>
  <c r="Z8019" i="2"/>
  <c r="C8019" i="2"/>
  <c r="AA8018" i="2"/>
  <c r="Z8018" i="2"/>
  <c r="C8018" i="2"/>
  <c r="AA8017" i="2"/>
  <c r="Z8017" i="2"/>
  <c r="C8017" i="2"/>
  <c r="AA8016" i="2"/>
  <c r="Z8016" i="2"/>
  <c r="C8016" i="2"/>
  <c r="AA8015" i="2"/>
  <c r="Z8015" i="2"/>
  <c r="C8015" i="2"/>
  <c r="AA8014" i="2"/>
  <c r="Z8014" i="2"/>
  <c r="C8014" i="2"/>
  <c r="AA8013" i="2"/>
  <c r="Z8013" i="2"/>
  <c r="C8013" i="2"/>
  <c r="AA8012" i="2"/>
  <c r="Z8012" i="2"/>
  <c r="C8012" i="2"/>
  <c r="AA8011" i="2"/>
  <c r="Z8011" i="2"/>
  <c r="C8011" i="2"/>
  <c r="AA8010" i="2"/>
  <c r="Z8010" i="2"/>
  <c r="C8010" i="2"/>
  <c r="AA8009" i="2"/>
  <c r="Z8009" i="2"/>
  <c r="C8009" i="2"/>
  <c r="AA8008" i="2"/>
  <c r="Z8008" i="2"/>
  <c r="C8008" i="2"/>
  <c r="AA8007" i="2"/>
  <c r="Z8007" i="2"/>
  <c r="C8007" i="2"/>
  <c r="AA8006" i="2"/>
  <c r="Z8006" i="2"/>
  <c r="C8006" i="2"/>
  <c r="AA8005" i="2"/>
  <c r="Z8005" i="2"/>
  <c r="C8005" i="2"/>
  <c r="AA8004" i="2"/>
  <c r="Z8004" i="2"/>
  <c r="C8004" i="2"/>
  <c r="AA8003" i="2"/>
  <c r="Z8003" i="2"/>
  <c r="C8003" i="2"/>
  <c r="AA8002" i="2"/>
  <c r="Z8002" i="2"/>
  <c r="C8002" i="2"/>
  <c r="AA8001" i="2"/>
  <c r="Z8001" i="2"/>
  <c r="C8001" i="2"/>
  <c r="AA8000" i="2"/>
  <c r="Z8000" i="2"/>
  <c r="C8000" i="2"/>
  <c r="AA7999" i="2"/>
  <c r="Z7999" i="2"/>
  <c r="C7999" i="2"/>
  <c r="AA7998" i="2"/>
  <c r="Z7998" i="2"/>
  <c r="C7998" i="2"/>
  <c r="AA7997" i="2"/>
  <c r="Z7997" i="2"/>
  <c r="C7997" i="2"/>
  <c r="AA7996" i="2"/>
  <c r="Z7996" i="2"/>
  <c r="C7996" i="2"/>
  <c r="AA7995" i="2"/>
  <c r="Z7995" i="2"/>
  <c r="C7995" i="2"/>
  <c r="AA7994" i="2"/>
  <c r="Z7994" i="2"/>
  <c r="C7994" i="2"/>
  <c r="AA7993" i="2"/>
  <c r="Z7993" i="2"/>
  <c r="C7993" i="2"/>
  <c r="AA7992" i="2"/>
  <c r="Z7992" i="2"/>
  <c r="C7992" i="2"/>
  <c r="AA7991" i="2"/>
  <c r="Z7991" i="2"/>
  <c r="C7991" i="2"/>
  <c r="AA7990" i="2"/>
  <c r="Z7990" i="2"/>
  <c r="C7990" i="2"/>
  <c r="AA7989" i="2"/>
  <c r="Z7989" i="2"/>
  <c r="C7989" i="2"/>
  <c r="AA7988" i="2"/>
  <c r="Z7988" i="2"/>
  <c r="C7988" i="2"/>
  <c r="AA7987" i="2"/>
  <c r="Z7987" i="2"/>
  <c r="C7987" i="2"/>
  <c r="AA7986" i="2"/>
  <c r="Z7986" i="2"/>
  <c r="C7986" i="2"/>
  <c r="AA7985" i="2"/>
  <c r="Z7985" i="2"/>
  <c r="C7985" i="2"/>
  <c r="AA7984" i="2"/>
  <c r="Z7984" i="2"/>
  <c r="C7984" i="2"/>
  <c r="AA7983" i="2"/>
  <c r="Z7983" i="2"/>
  <c r="C7983" i="2"/>
  <c r="AA7982" i="2"/>
  <c r="Z7982" i="2"/>
  <c r="C7982" i="2"/>
  <c r="AA7981" i="2"/>
  <c r="Z7981" i="2"/>
  <c r="C7981" i="2"/>
  <c r="AA7980" i="2"/>
  <c r="Z7980" i="2"/>
  <c r="C7980" i="2"/>
  <c r="AA7979" i="2"/>
  <c r="Z7979" i="2"/>
  <c r="C7979" i="2"/>
  <c r="AA7978" i="2"/>
  <c r="Z7978" i="2"/>
  <c r="C7978" i="2"/>
  <c r="AA7977" i="2"/>
  <c r="Z7977" i="2"/>
  <c r="C7977" i="2"/>
  <c r="AA7976" i="2"/>
  <c r="Z7976" i="2"/>
  <c r="C7976" i="2"/>
  <c r="AA7975" i="2"/>
  <c r="Z7975" i="2"/>
  <c r="C7975" i="2"/>
  <c r="AA7974" i="2"/>
  <c r="Z7974" i="2"/>
  <c r="C7974" i="2"/>
  <c r="AA7973" i="2"/>
  <c r="Z7973" i="2"/>
  <c r="C7973" i="2"/>
  <c r="AA7972" i="2"/>
  <c r="Z7972" i="2"/>
  <c r="C7972" i="2"/>
  <c r="AA7971" i="2"/>
  <c r="Z7971" i="2"/>
  <c r="C7971" i="2"/>
  <c r="AA7970" i="2"/>
  <c r="Z7970" i="2"/>
  <c r="C7970" i="2"/>
  <c r="AA7969" i="2"/>
  <c r="Z7969" i="2"/>
  <c r="C7969" i="2"/>
  <c r="AA7968" i="2"/>
  <c r="Z7968" i="2"/>
  <c r="C7968" i="2"/>
  <c r="AA7967" i="2"/>
  <c r="Z7967" i="2"/>
  <c r="C7967" i="2"/>
  <c r="AA7966" i="2"/>
  <c r="Z7966" i="2"/>
  <c r="C7966" i="2"/>
  <c r="AA7965" i="2"/>
  <c r="Z7965" i="2"/>
  <c r="C7965" i="2"/>
  <c r="AA7964" i="2"/>
  <c r="Z7964" i="2"/>
  <c r="C7964" i="2"/>
  <c r="AA7963" i="2"/>
  <c r="Z7963" i="2"/>
  <c r="C7963" i="2"/>
  <c r="AA7962" i="2"/>
  <c r="Z7962" i="2"/>
  <c r="C7962" i="2"/>
  <c r="AA7961" i="2"/>
  <c r="Z7961" i="2"/>
  <c r="C7961" i="2"/>
  <c r="AA7960" i="2"/>
  <c r="Z7960" i="2"/>
  <c r="C7960" i="2"/>
  <c r="AA7959" i="2"/>
  <c r="Z7959" i="2"/>
  <c r="C7959" i="2"/>
  <c r="AA7958" i="2"/>
  <c r="Z7958" i="2"/>
  <c r="C7958" i="2"/>
  <c r="AA7957" i="2"/>
  <c r="Z7957" i="2"/>
  <c r="C7957" i="2"/>
  <c r="AA7956" i="2"/>
  <c r="Z7956" i="2"/>
  <c r="C7956" i="2"/>
  <c r="AA7955" i="2"/>
  <c r="Z7955" i="2"/>
  <c r="C7955" i="2"/>
  <c r="AA7954" i="2"/>
  <c r="Z7954" i="2"/>
  <c r="C7954" i="2"/>
  <c r="AA7953" i="2"/>
  <c r="Z7953" i="2"/>
  <c r="C7953" i="2"/>
  <c r="AA7952" i="2"/>
  <c r="Z7952" i="2"/>
  <c r="C7952" i="2"/>
  <c r="AA7951" i="2"/>
  <c r="Z7951" i="2"/>
  <c r="C7951" i="2"/>
  <c r="AA7950" i="2"/>
  <c r="Z7950" i="2"/>
  <c r="C7950" i="2"/>
  <c r="AA7949" i="2"/>
  <c r="Z7949" i="2"/>
  <c r="C7949" i="2"/>
  <c r="AA7948" i="2"/>
  <c r="Z7948" i="2"/>
  <c r="C7948" i="2"/>
  <c r="AA7947" i="2"/>
  <c r="Z7947" i="2"/>
  <c r="C7947" i="2"/>
  <c r="AA7946" i="2"/>
  <c r="Z7946" i="2"/>
  <c r="C7946" i="2"/>
  <c r="AA7945" i="2"/>
  <c r="Z7945" i="2"/>
  <c r="C7945" i="2"/>
  <c r="AA7944" i="2"/>
  <c r="Z7944" i="2"/>
  <c r="C7944" i="2"/>
  <c r="AA7943" i="2"/>
  <c r="Z7943" i="2"/>
  <c r="C7943" i="2"/>
  <c r="AA7942" i="2"/>
  <c r="Z7942" i="2"/>
  <c r="C7942" i="2"/>
  <c r="AA7941" i="2"/>
  <c r="Z7941" i="2"/>
  <c r="C7941" i="2"/>
  <c r="AA7940" i="2"/>
  <c r="Z7940" i="2"/>
  <c r="C7940" i="2"/>
  <c r="AA7939" i="2"/>
  <c r="Z7939" i="2"/>
  <c r="C7939" i="2"/>
  <c r="AA7938" i="2"/>
  <c r="Z7938" i="2"/>
  <c r="C7938" i="2"/>
  <c r="AA7937" i="2"/>
  <c r="Z7937" i="2"/>
  <c r="C7937" i="2"/>
  <c r="AA7936" i="2"/>
  <c r="Z7936" i="2"/>
  <c r="C7936" i="2"/>
  <c r="AA7935" i="2"/>
  <c r="Z7935" i="2"/>
  <c r="C7935" i="2"/>
  <c r="AA7934" i="2"/>
  <c r="Z7934" i="2"/>
  <c r="C7934" i="2"/>
  <c r="AA7933" i="2"/>
  <c r="Z7933" i="2"/>
  <c r="C7933" i="2"/>
  <c r="AA7932" i="2"/>
  <c r="Z7932" i="2"/>
  <c r="C7932" i="2"/>
  <c r="AA7931" i="2"/>
  <c r="Z7931" i="2"/>
  <c r="C7931" i="2"/>
  <c r="AA7930" i="2"/>
  <c r="Z7930" i="2"/>
  <c r="C7930" i="2"/>
  <c r="AA7929" i="2"/>
  <c r="Z7929" i="2"/>
  <c r="C7929" i="2"/>
  <c r="AA7928" i="2"/>
  <c r="Z7928" i="2"/>
  <c r="C7928" i="2"/>
  <c r="AA7927" i="2"/>
  <c r="Z7927" i="2"/>
  <c r="C7927" i="2"/>
  <c r="AA7926" i="2"/>
  <c r="Z7926" i="2"/>
  <c r="C7926" i="2"/>
  <c r="AA7925" i="2"/>
  <c r="Z7925" i="2"/>
  <c r="C7925" i="2"/>
  <c r="AA7924" i="2"/>
  <c r="Z7924" i="2"/>
  <c r="C7924" i="2"/>
  <c r="AA7923" i="2"/>
  <c r="Z7923" i="2"/>
  <c r="C7923" i="2"/>
  <c r="AA7922" i="2"/>
  <c r="Z7922" i="2"/>
  <c r="C7922" i="2"/>
  <c r="AA7921" i="2"/>
  <c r="Z7921" i="2"/>
  <c r="C7921" i="2"/>
  <c r="AA7920" i="2"/>
  <c r="Z7920" i="2"/>
  <c r="C7920" i="2"/>
  <c r="AA7919" i="2"/>
  <c r="Z7919" i="2"/>
  <c r="C7919" i="2"/>
  <c r="AA7918" i="2"/>
  <c r="Z7918" i="2"/>
  <c r="C7918" i="2"/>
  <c r="AA7917" i="2"/>
  <c r="Z7917" i="2"/>
  <c r="C7917" i="2"/>
  <c r="AA7916" i="2"/>
  <c r="Z7916" i="2"/>
  <c r="C7916" i="2"/>
  <c r="AA7915" i="2"/>
  <c r="Z7915" i="2"/>
  <c r="C7915" i="2"/>
  <c r="AA7914" i="2"/>
  <c r="Z7914" i="2"/>
  <c r="C7914" i="2"/>
  <c r="AA7913" i="2"/>
  <c r="Z7913" i="2"/>
  <c r="C7913" i="2"/>
  <c r="AA7912" i="2"/>
  <c r="Z7912" i="2"/>
  <c r="C7912" i="2"/>
  <c r="AA7911" i="2"/>
  <c r="Z7911" i="2"/>
  <c r="C7911" i="2"/>
  <c r="AA7910" i="2"/>
  <c r="Z7910" i="2"/>
  <c r="C7910" i="2"/>
  <c r="AA7909" i="2"/>
  <c r="Z7909" i="2"/>
  <c r="C7909" i="2"/>
  <c r="AA7908" i="2"/>
  <c r="Z7908" i="2"/>
  <c r="C7908" i="2"/>
  <c r="AA7907" i="2"/>
  <c r="Z7907" i="2"/>
  <c r="C7907" i="2"/>
  <c r="AA7906" i="2"/>
  <c r="Z7906" i="2"/>
  <c r="C7906" i="2"/>
  <c r="AA7905" i="2"/>
  <c r="Z7905" i="2"/>
  <c r="C7905" i="2"/>
  <c r="AA7904" i="2"/>
  <c r="Z7904" i="2"/>
  <c r="C7904" i="2"/>
  <c r="AA7903" i="2"/>
  <c r="Z7903" i="2"/>
  <c r="C7903" i="2"/>
  <c r="AA7902" i="2"/>
  <c r="Z7902" i="2"/>
  <c r="C7902" i="2"/>
  <c r="AA7901" i="2"/>
  <c r="Z7901" i="2"/>
  <c r="C7901" i="2"/>
  <c r="AA7900" i="2"/>
  <c r="Z7900" i="2"/>
  <c r="C7900" i="2"/>
  <c r="AA7899" i="2"/>
  <c r="Z7899" i="2"/>
  <c r="C7899" i="2"/>
  <c r="AA7898" i="2"/>
  <c r="Z7898" i="2"/>
  <c r="C7898" i="2"/>
  <c r="AA7897" i="2"/>
  <c r="Z7897" i="2"/>
  <c r="C7897" i="2"/>
  <c r="AA7896" i="2"/>
  <c r="Z7896" i="2"/>
  <c r="C7896" i="2"/>
  <c r="AA7895" i="2"/>
  <c r="Z7895" i="2"/>
  <c r="C7895" i="2"/>
  <c r="AA7894" i="2"/>
  <c r="Z7894" i="2"/>
  <c r="C7894" i="2"/>
  <c r="AA7893" i="2"/>
  <c r="Z7893" i="2"/>
  <c r="C7893" i="2"/>
  <c r="AA7892" i="2"/>
  <c r="Z7892" i="2"/>
  <c r="C7892" i="2"/>
  <c r="AA7891" i="2"/>
  <c r="Z7891" i="2"/>
  <c r="C7891" i="2"/>
  <c r="AA7890" i="2"/>
  <c r="Z7890" i="2"/>
  <c r="C7890" i="2"/>
  <c r="AA7889" i="2"/>
  <c r="Z7889" i="2"/>
  <c r="C7889" i="2"/>
  <c r="AA7888" i="2"/>
  <c r="Z7888" i="2"/>
  <c r="C7888" i="2"/>
  <c r="AA7887" i="2"/>
  <c r="Z7887" i="2"/>
  <c r="C7887" i="2"/>
  <c r="AA7886" i="2"/>
  <c r="Z7886" i="2"/>
  <c r="C7886" i="2"/>
  <c r="AA7885" i="2"/>
  <c r="Z7885" i="2"/>
  <c r="C7885" i="2"/>
  <c r="AA7884" i="2"/>
  <c r="Z7884" i="2"/>
  <c r="C7884" i="2"/>
  <c r="AA7883" i="2"/>
  <c r="Z7883" i="2"/>
  <c r="C7883" i="2"/>
  <c r="AA7882" i="2"/>
  <c r="Z7882" i="2"/>
  <c r="C7882" i="2"/>
  <c r="AA7881" i="2"/>
  <c r="Z7881" i="2"/>
  <c r="C7881" i="2"/>
  <c r="AA7880" i="2"/>
  <c r="Z7880" i="2"/>
  <c r="C7880" i="2"/>
  <c r="AA7879" i="2"/>
  <c r="Z7879" i="2"/>
  <c r="C7879" i="2"/>
  <c r="AA7878" i="2"/>
  <c r="Z7878" i="2"/>
  <c r="C7878" i="2"/>
  <c r="AA7877" i="2"/>
  <c r="Z7877" i="2"/>
  <c r="C7877" i="2"/>
  <c r="AA7876" i="2"/>
  <c r="Z7876" i="2"/>
  <c r="C7876" i="2"/>
  <c r="AA7875" i="2"/>
  <c r="Z7875" i="2"/>
  <c r="C7875" i="2"/>
  <c r="AA7874" i="2"/>
  <c r="Z7874" i="2"/>
  <c r="C7874" i="2"/>
  <c r="AA7873" i="2"/>
  <c r="Z7873" i="2"/>
  <c r="C7873" i="2"/>
  <c r="AA7872" i="2"/>
  <c r="Z7872" i="2"/>
  <c r="C7872" i="2"/>
  <c r="AA7871" i="2"/>
  <c r="Z7871" i="2"/>
  <c r="C7871" i="2"/>
  <c r="AA7870" i="2"/>
  <c r="Z7870" i="2"/>
  <c r="C7870" i="2"/>
  <c r="AA7869" i="2"/>
  <c r="Z7869" i="2"/>
  <c r="C7869" i="2"/>
  <c r="AA7868" i="2"/>
  <c r="Z7868" i="2"/>
  <c r="C7868" i="2"/>
  <c r="AA7867" i="2"/>
  <c r="Z7867" i="2"/>
  <c r="C7867" i="2"/>
  <c r="AA7866" i="2"/>
  <c r="Z7866" i="2"/>
  <c r="C7866" i="2"/>
  <c r="AA7865" i="2"/>
  <c r="Z7865" i="2"/>
  <c r="C7865" i="2"/>
  <c r="AA7864" i="2"/>
  <c r="Z7864" i="2"/>
  <c r="C7864" i="2"/>
  <c r="AA7863" i="2"/>
  <c r="Z7863" i="2"/>
  <c r="C7863" i="2"/>
  <c r="AA7862" i="2"/>
  <c r="Z7862" i="2"/>
  <c r="C7862" i="2"/>
  <c r="AA7861" i="2"/>
  <c r="Z7861" i="2"/>
  <c r="C7861" i="2"/>
  <c r="AA7860" i="2"/>
  <c r="Z7860" i="2"/>
  <c r="C7860" i="2"/>
  <c r="AA7859" i="2"/>
  <c r="Z7859" i="2"/>
  <c r="C7859" i="2"/>
  <c r="AA7858" i="2"/>
  <c r="Z7858" i="2"/>
  <c r="C7858" i="2"/>
  <c r="AA7857" i="2"/>
  <c r="Z7857" i="2"/>
  <c r="C7857" i="2"/>
  <c r="AA7856" i="2"/>
  <c r="Z7856" i="2"/>
  <c r="C7856" i="2"/>
  <c r="AA7855" i="2"/>
  <c r="Z7855" i="2"/>
  <c r="C7855" i="2"/>
  <c r="AA7854" i="2"/>
  <c r="Z7854" i="2"/>
  <c r="C7854" i="2"/>
  <c r="AA7853" i="2"/>
  <c r="Z7853" i="2"/>
  <c r="C7853" i="2"/>
  <c r="AA7852" i="2"/>
  <c r="Z7852" i="2"/>
  <c r="C7852" i="2"/>
  <c r="AA7851" i="2"/>
  <c r="Z7851" i="2"/>
  <c r="C7851" i="2"/>
  <c r="AA7850" i="2"/>
  <c r="Z7850" i="2"/>
  <c r="C7850" i="2"/>
  <c r="AA7849" i="2"/>
  <c r="Z7849" i="2"/>
  <c r="C7849" i="2"/>
  <c r="AA7848" i="2"/>
  <c r="Z7848" i="2"/>
  <c r="C7848" i="2"/>
  <c r="AA7847" i="2"/>
  <c r="Z7847" i="2"/>
  <c r="C7847" i="2"/>
  <c r="AA7846" i="2"/>
  <c r="Z7846" i="2"/>
  <c r="C7846" i="2"/>
  <c r="AA7845" i="2"/>
  <c r="Z7845" i="2"/>
  <c r="C7845" i="2"/>
  <c r="AA7844" i="2"/>
  <c r="Z7844" i="2"/>
  <c r="C7844" i="2"/>
  <c r="AA7843" i="2"/>
  <c r="Z7843" i="2"/>
  <c r="C7843" i="2"/>
  <c r="AA7842" i="2"/>
  <c r="Z7842" i="2"/>
  <c r="C7842" i="2"/>
  <c r="AA7841" i="2"/>
  <c r="Z7841" i="2"/>
  <c r="C7841" i="2"/>
  <c r="AA7840" i="2"/>
  <c r="Z7840" i="2"/>
  <c r="C7840" i="2"/>
  <c r="AA7839" i="2"/>
  <c r="Z7839" i="2"/>
  <c r="C7839" i="2"/>
  <c r="AA7838" i="2"/>
  <c r="Z7838" i="2"/>
  <c r="C7838" i="2"/>
  <c r="AA7837" i="2"/>
  <c r="Z7837" i="2"/>
  <c r="C7837" i="2"/>
  <c r="AA7836" i="2"/>
  <c r="Z7836" i="2"/>
  <c r="C7836" i="2"/>
  <c r="AA7835" i="2"/>
  <c r="Z7835" i="2"/>
  <c r="C7835" i="2"/>
  <c r="AA7834" i="2"/>
  <c r="Z7834" i="2"/>
  <c r="C7834" i="2"/>
  <c r="AA7833" i="2"/>
  <c r="Z7833" i="2"/>
  <c r="C7833" i="2"/>
  <c r="AA7832" i="2"/>
  <c r="Z7832" i="2"/>
  <c r="C7832" i="2"/>
  <c r="AA7831" i="2"/>
  <c r="Z7831" i="2"/>
  <c r="C7831" i="2"/>
  <c r="AA7830" i="2"/>
  <c r="Z7830" i="2"/>
  <c r="C7830" i="2"/>
  <c r="AA7829" i="2"/>
  <c r="Z7829" i="2"/>
  <c r="C7829" i="2"/>
  <c r="AA7828" i="2"/>
  <c r="Z7828" i="2"/>
  <c r="C7828" i="2"/>
  <c r="AA7827" i="2"/>
  <c r="Z7827" i="2"/>
  <c r="C7827" i="2"/>
  <c r="AA7826" i="2"/>
  <c r="Z7826" i="2"/>
  <c r="C7826" i="2"/>
  <c r="AA7825" i="2"/>
  <c r="Z7825" i="2"/>
  <c r="C7825" i="2"/>
  <c r="AA7824" i="2"/>
  <c r="Z7824" i="2"/>
  <c r="C7824" i="2"/>
  <c r="AA7823" i="2"/>
  <c r="Z7823" i="2"/>
  <c r="C7823" i="2"/>
  <c r="AA7822" i="2"/>
  <c r="Z7822" i="2"/>
  <c r="C7822" i="2"/>
  <c r="AA7821" i="2"/>
  <c r="Z7821" i="2"/>
  <c r="C7821" i="2"/>
  <c r="AA7820" i="2"/>
  <c r="Z7820" i="2"/>
  <c r="C7820" i="2"/>
  <c r="AA7819" i="2"/>
  <c r="Z7819" i="2"/>
  <c r="C7819" i="2"/>
  <c r="AA7818" i="2"/>
  <c r="Z7818" i="2"/>
  <c r="C7818" i="2"/>
  <c r="AA7817" i="2"/>
  <c r="Z7817" i="2"/>
  <c r="C7817" i="2"/>
  <c r="AA7816" i="2"/>
  <c r="Z7816" i="2"/>
  <c r="C7816" i="2"/>
  <c r="AA7815" i="2"/>
  <c r="Z7815" i="2"/>
  <c r="C7815" i="2"/>
  <c r="AA7814" i="2"/>
  <c r="Z7814" i="2"/>
  <c r="C7814" i="2"/>
  <c r="AA7813" i="2"/>
  <c r="Z7813" i="2"/>
  <c r="C7813" i="2"/>
  <c r="AA7812" i="2"/>
  <c r="Z7812" i="2"/>
  <c r="C7812" i="2"/>
  <c r="AA7811" i="2"/>
  <c r="Z7811" i="2"/>
  <c r="C7811" i="2"/>
  <c r="AA7810" i="2"/>
  <c r="Z7810" i="2"/>
  <c r="C7810" i="2"/>
  <c r="AA7809" i="2"/>
  <c r="Z7809" i="2"/>
  <c r="C7809" i="2"/>
  <c r="AA7808" i="2"/>
  <c r="Z7808" i="2"/>
  <c r="C7808" i="2"/>
  <c r="AA7807" i="2"/>
  <c r="Z7807" i="2"/>
  <c r="C7807" i="2"/>
  <c r="AA7806" i="2"/>
  <c r="Z7806" i="2"/>
  <c r="C7806" i="2"/>
  <c r="AA7805" i="2"/>
  <c r="Z7805" i="2"/>
  <c r="C7805" i="2"/>
  <c r="AA7804" i="2"/>
  <c r="Z7804" i="2"/>
  <c r="C7804" i="2"/>
  <c r="AA7803" i="2"/>
  <c r="Z7803" i="2"/>
  <c r="C7803" i="2"/>
  <c r="AA7802" i="2"/>
  <c r="Z7802" i="2"/>
  <c r="C7802" i="2"/>
  <c r="AA7801" i="2"/>
  <c r="Z7801" i="2"/>
  <c r="C7801" i="2"/>
  <c r="AA7800" i="2"/>
  <c r="Z7800" i="2"/>
  <c r="C7800" i="2"/>
  <c r="AA7799" i="2"/>
  <c r="Z7799" i="2"/>
  <c r="C7799" i="2"/>
  <c r="AA7798" i="2"/>
  <c r="Z7798" i="2"/>
  <c r="C7798" i="2"/>
  <c r="AA7797" i="2"/>
  <c r="Z7797" i="2"/>
  <c r="C7797" i="2"/>
  <c r="AA7796" i="2"/>
  <c r="Z7796" i="2"/>
  <c r="C7796" i="2"/>
  <c r="AA7795" i="2"/>
  <c r="Z7795" i="2"/>
  <c r="C7795" i="2"/>
  <c r="AA7794" i="2"/>
  <c r="Z7794" i="2"/>
  <c r="C7794" i="2"/>
  <c r="AA7793" i="2"/>
  <c r="Z7793" i="2"/>
  <c r="C7793" i="2"/>
  <c r="AA7792" i="2"/>
  <c r="Z7792" i="2"/>
  <c r="C7792" i="2"/>
  <c r="AA7791" i="2"/>
  <c r="Z7791" i="2"/>
  <c r="C7791" i="2"/>
  <c r="AA7790" i="2"/>
  <c r="Z7790" i="2"/>
  <c r="C7790" i="2"/>
  <c r="AA7789" i="2"/>
  <c r="Z7789" i="2"/>
  <c r="C7789" i="2"/>
  <c r="AA7788" i="2"/>
  <c r="Z7788" i="2"/>
  <c r="C7788" i="2"/>
  <c r="AA7787" i="2"/>
  <c r="Z7787" i="2"/>
  <c r="C7787" i="2"/>
  <c r="AA7786" i="2"/>
  <c r="Z7786" i="2"/>
  <c r="C7786" i="2"/>
  <c r="AA7785" i="2"/>
  <c r="Z7785" i="2"/>
  <c r="C7785" i="2"/>
  <c r="AA7784" i="2"/>
  <c r="Z7784" i="2"/>
  <c r="C7784" i="2"/>
  <c r="AA7783" i="2"/>
  <c r="Z7783" i="2"/>
  <c r="C7783" i="2"/>
  <c r="AA7782" i="2"/>
  <c r="Z7782" i="2"/>
  <c r="C7782" i="2"/>
  <c r="AA7781" i="2"/>
  <c r="Z7781" i="2"/>
  <c r="C7781" i="2"/>
  <c r="AA7780" i="2"/>
  <c r="Z7780" i="2"/>
  <c r="C7780" i="2"/>
  <c r="AA7779" i="2"/>
  <c r="Z7779" i="2"/>
  <c r="C7779" i="2"/>
  <c r="AA7778" i="2"/>
  <c r="Z7778" i="2"/>
  <c r="C7778" i="2"/>
  <c r="AA7777" i="2"/>
  <c r="Z7777" i="2"/>
  <c r="C7777" i="2"/>
  <c r="AA7776" i="2"/>
  <c r="Z7776" i="2"/>
  <c r="C7776" i="2"/>
  <c r="AA7775" i="2"/>
  <c r="Z7775" i="2"/>
  <c r="C7775" i="2"/>
  <c r="AA7774" i="2"/>
  <c r="Z7774" i="2"/>
  <c r="C7774" i="2"/>
  <c r="AA7773" i="2"/>
  <c r="Z7773" i="2"/>
  <c r="C7773" i="2"/>
  <c r="AA7772" i="2"/>
  <c r="Z7772" i="2"/>
  <c r="C7772" i="2"/>
  <c r="AA7771" i="2"/>
  <c r="Z7771" i="2"/>
  <c r="C7771" i="2"/>
  <c r="AA7770" i="2"/>
  <c r="Z7770" i="2"/>
  <c r="C7770" i="2"/>
  <c r="AA7769" i="2"/>
  <c r="Z7769" i="2"/>
  <c r="C7769" i="2"/>
  <c r="AA7768" i="2"/>
  <c r="Z7768" i="2"/>
  <c r="C7768" i="2"/>
  <c r="AA7767" i="2"/>
  <c r="Z7767" i="2"/>
  <c r="C7767" i="2"/>
  <c r="AA7766" i="2"/>
  <c r="Z7766" i="2"/>
  <c r="C7766" i="2"/>
  <c r="AA7765" i="2"/>
  <c r="Z7765" i="2"/>
  <c r="C7765" i="2"/>
  <c r="AA7764" i="2"/>
  <c r="Z7764" i="2"/>
  <c r="C7764" i="2"/>
  <c r="AA7763" i="2"/>
  <c r="Z7763" i="2"/>
  <c r="C7763" i="2"/>
  <c r="AA7762" i="2"/>
  <c r="Z7762" i="2"/>
  <c r="C7762" i="2"/>
  <c r="AA7761" i="2"/>
  <c r="Z7761" i="2"/>
  <c r="C7761" i="2"/>
  <c r="AA7760" i="2"/>
  <c r="Z7760" i="2"/>
  <c r="C7760" i="2"/>
  <c r="AA7759" i="2"/>
  <c r="Z7759" i="2"/>
  <c r="C7759" i="2"/>
  <c r="AA7758" i="2"/>
  <c r="Z7758" i="2"/>
  <c r="C7758" i="2"/>
  <c r="AA7757" i="2"/>
  <c r="Z7757" i="2"/>
  <c r="C7757" i="2"/>
  <c r="AA7756" i="2"/>
  <c r="Z7756" i="2"/>
  <c r="C7756" i="2"/>
  <c r="AA7755" i="2"/>
  <c r="Z7755" i="2"/>
  <c r="C7755" i="2"/>
  <c r="AA7754" i="2"/>
  <c r="Z7754" i="2"/>
  <c r="C7754" i="2"/>
  <c r="AA7753" i="2"/>
  <c r="Z7753" i="2"/>
  <c r="C7753" i="2"/>
  <c r="AA7752" i="2"/>
  <c r="Z7752" i="2"/>
  <c r="C7752" i="2"/>
  <c r="AA7751" i="2"/>
  <c r="Z7751" i="2"/>
  <c r="C7751" i="2"/>
  <c r="AA7750" i="2"/>
  <c r="Z7750" i="2"/>
  <c r="C7750" i="2"/>
  <c r="AA7749" i="2"/>
  <c r="Z7749" i="2"/>
  <c r="C7749" i="2"/>
  <c r="AA7748" i="2"/>
  <c r="Z7748" i="2"/>
  <c r="C7748" i="2"/>
  <c r="AA7747" i="2"/>
  <c r="Z7747" i="2"/>
  <c r="C7747" i="2"/>
  <c r="AA7746" i="2"/>
  <c r="Z7746" i="2"/>
  <c r="C7746" i="2"/>
  <c r="AA7745" i="2"/>
  <c r="Z7745" i="2"/>
  <c r="C7745" i="2"/>
  <c r="AA7744" i="2"/>
  <c r="Z7744" i="2"/>
  <c r="C7744" i="2"/>
  <c r="AA7743" i="2"/>
  <c r="Z7743" i="2"/>
  <c r="C7743" i="2"/>
  <c r="AA7742" i="2"/>
  <c r="Z7742" i="2"/>
  <c r="C7742" i="2"/>
  <c r="AA7741" i="2"/>
  <c r="Z7741" i="2"/>
  <c r="C7741" i="2"/>
  <c r="AA7740" i="2"/>
  <c r="Z7740" i="2"/>
  <c r="C7740" i="2"/>
  <c r="AA7739" i="2"/>
  <c r="Z7739" i="2"/>
  <c r="C7739" i="2"/>
  <c r="AA7738" i="2"/>
  <c r="Z7738" i="2"/>
  <c r="C7738" i="2"/>
  <c r="AA7737" i="2"/>
  <c r="Z7737" i="2"/>
  <c r="C7737" i="2"/>
  <c r="AA7736" i="2"/>
  <c r="Z7736" i="2"/>
  <c r="C7736" i="2"/>
  <c r="AA7735" i="2"/>
  <c r="Z7735" i="2"/>
  <c r="C7735" i="2"/>
  <c r="AA7734" i="2"/>
  <c r="Z7734" i="2"/>
  <c r="C7734" i="2"/>
  <c r="AA7733" i="2"/>
  <c r="Z7733" i="2"/>
  <c r="C7733" i="2"/>
  <c r="AA7732" i="2"/>
  <c r="Z7732" i="2"/>
  <c r="C7732" i="2"/>
  <c r="AA7731" i="2"/>
  <c r="Z7731" i="2"/>
  <c r="C7731" i="2"/>
  <c r="AA7730" i="2"/>
  <c r="Z7730" i="2"/>
  <c r="C7730" i="2"/>
  <c r="AA7729" i="2"/>
  <c r="Z7729" i="2"/>
  <c r="C7729" i="2"/>
  <c r="AA7728" i="2"/>
  <c r="Z7728" i="2"/>
  <c r="C7728" i="2"/>
  <c r="AA7727" i="2"/>
  <c r="Z7727" i="2"/>
  <c r="C7727" i="2"/>
  <c r="AA7726" i="2"/>
  <c r="Z7726" i="2"/>
  <c r="C7726" i="2"/>
  <c r="AA7725" i="2"/>
  <c r="Z7725" i="2"/>
  <c r="C7725" i="2"/>
  <c r="AA7724" i="2"/>
  <c r="Z7724" i="2"/>
  <c r="C7724" i="2"/>
  <c r="AA7723" i="2"/>
  <c r="Z7723" i="2"/>
  <c r="C7723" i="2"/>
  <c r="AA7722" i="2"/>
  <c r="Z7722" i="2"/>
  <c r="C7722" i="2"/>
  <c r="AA7721" i="2"/>
  <c r="Z7721" i="2"/>
  <c r="C7721" i="2"/>
  <c r="AA7720" i="2"/>
  <c r="Z7720" i="2"/>
  <c r="C7720" i="2"/>
  <c r="AA7719" i="2"/>
  <c r="Z7719" i="2"/>
  <c r="C7719" i="2"/>
  <c r="AA7718" i="2"/>
  <c r="Z7718" i="2"/>
  <c r="C7718" i="2"/>
  <c r="AA7717" i="2"/>
  <c r="Z7717" i="2"/>
  <c r="C7717" i="2"/>
  <c r="AA7716" i="2"/>
  <c r="Z7716" i="2"/>
  <c r="C7716" i="2"/>
  <c r="AA7715" i="2"/>
  <c r="Z7715" i="2"/>
  <c r="C7715" i="2"/>
  <c r="AA7714" i="2"/>
  <c r="Z7714" i="2"/>
  <c r="C7714" i="2"/>
  <c r="AA7713" i="2"/>
  <c r="Z7713" i="2"/>
  <c r="C7713" i="2"/>
  <c r="AA7712" i="2"/>
  <c r="Z7712" i="2"/>
  <c r="C7712" i="2"/>
  <c r="AA7711" i="2"/>
  <c r="Z7711" i="2"/>
  <c r="C7711" i="2"/>
  <c r="AA7710" i="2"/>
  <c r="Z7710" i="2"/>
  <c r="C7710" i="2"/>
  <c r="AA7709" i="2"/>
  <c r="Z7709" i="2"/>
  <c r="C7709" i="2"/>
  <c r="AA7708" i="2"/>
  <c r="Z7708" i="2"/>
  <c r="C7708" i="2"/>
  <c r="AA7707" i="2"/>
  <c r="Z7707" i="2"/>
  <c r="C7707" i="2"/>
  <c r="AA7706" i="2"/>
  <c r="Z7706" i="2"/>
  <c r="C7706" i="2"/>
  <c r="AA7705" i="2"/>
  <c r="Z7705" i="2"/>
  <c r="C7705" i="2"/>
  <c r="AA7704" i="2"/>
  <c r="Z7704" i="2"/>
  <c r="C7704" i="2"/>
  <c r="AA7703" i="2"/>
  <c r="Z7703" i="2"/>
  <c r="C7703" i="2"/>
  <c r="AA7702" i="2"/>
  <c r="Z7702" i="2"/>
  <c r="C7702" i="2"/>
  <c r="AA7701" i="2"/>
  <c r="Z7701" i="2"/>
  <c r="C7701" i="2"/>
  <c r="AA7700" i="2"/>
  <c r="Z7700" i="2"/>
  <c r="C7700" i="2"/>
  <c r="AA7699" i="2"/>
  <c r="Z7699" i="2"/>
  <c r="C7699" i="2"/>
  <c r="AA7698" i="2"/>
  <c r="Z7698" i="2"/>
  <c r="C7698" i="2"/>
  <c r="AA7697" i="2"/>
  <c r="Z7697" i="2"/>
  <c r="C7697" i="2"/>
  <c r="AA7696" i="2"/>
  <c r="Z7696" i="2"/>
  <c r="C7696" i="2"/>
  <c r="AA7695" i="2"/>
  <c r="Z7695" i="2"/>
  <c r="C7695" i="2"/>
  <c r="AA7694" i="2"/>
  <c r="Z7694" i="2"/>
  <c r="C7694" i="2"/>
  <c r="AA7693" i="2"/>
  <c r="Z7693" i="2"/>
  <c r="C7693" i="2"/>
  <c r="AA7692" i="2"/>
  <c r="Z7692" i="2"/>
  <c r="C7692" i="2"/>
  <c r="AA7691" i="2"/>
  <c r="Z7691" i="2"/>
  <c r="C7691" i="2"/>
  <c r="AA7690" i="2"/>
  <c r="Z7690" i="2"/>
  <c r="C7690" i="2"/>
  <c r="AA7689" i="2"/>
  <c r="Z7689" i="2"/>
  <c r="C7689" i="2"/>
  <c r="AA7688" i="2"/>
  <c r="Z7688" i="2"/>
  <c r="C7688" i="2"/>
  <c r="AA7687" i="2"/>
  <c r="Z7687" i="2"/>
  <c r="C7687" i="2"/>
  <c r="AA7686" i="2"/>
  <c r="Z7686" i="2"/>
  <c r="C7686" i="2"/>
  <c r="AA7685" i="2"/>
  <c r="Z7685" i="2"/>
  <c r="C7685" i="2"/>
  <c r="AA7684" i="2"/>
  <c r="Z7684" i="2"/>
  <c r="C7684" i="2"/>
  <c r="AA7683" i="2"/>
  <c r="Z7683" i="2"/>
  <c r="C7683" i="2"/>
  <c r="AA7682" i="2"/>
  <c r="Z7682" i="2"/>
  <c r="C7682" i="2"/>
  <c r="AA7681" i="2"/>
  <c r="Z7681" i="2"/>
  <c r="C7681" i="2"/>
  <c r="AA7680" i="2"/>
  <c r="Z7680" i="2"/>
  <c r="C7680" i="2"/>
  <c r="AA7679" i="2"/>
  <c r="Z7679" i="2"/>
  <c r="C7679" i="2"/>
  <c r="AA7678" i="2"/>
  <c r="Z7678" i="2"/>
  <c r="C7678" i="2"/>
  <c r="AA7677" i="2"/>
  <c r="Z7677" i="2"/>
  <c r="C7677" i="2"/>
  <c r="AA7676" i="2"/>
  <c r="Z7676" i="2"/>
  <c r="C7676" i="2"/>
  <c r="AA7675" i="2"/>
  <c r="Z7675" i="2"/>
  <c r="C7675" i="2"/>
  <c r="AA7674" i="2"/>
  <c r="Z7674" i="2"/>
  <c r="C7674" i="2"/>
  <c r="AA7673" i="2"/>
  <c r="Z7673" i="2"/>
  <c r="C7673" i="2"/>
  <c r="AA7672" i="2"/>
  <c r="Z7672" i="2"/>
  <c r="C7672" i="2"/>
  <c r="AA7671" i="2"/>
  <c r="Z7671" i="2"/>
  <c r="C7671" i="2"/>
  <c r="AA7670" i="2"/>
  <c r="Z7670" i="2"/>
  <c r="C7670" i="2"/>
  <c r="AA7669" i="2"/>
  <c r="Z7669" i="2"/>
  <c r="C7669" i="2"/>
  <c r="AA7668" i="2"/>
  <c r="Z7668" i="2"/>
  <c r="C7668" i="2"/>
  <c r="AA7667" i="2"/>
  <c r="Z7667" i="2"/>
  <c r="C7667" i="2"/>
  <c r="AA7666" i="2"/>
  <c r="Z7666" i="2"/>
  <c r="C7666" i="2"/>
  <c r="AA7665" i="2"/>
  <c r="Z7665" i="2"/>
  <c r="C7665" i="2"/>
  <c r="AA7664" i="2"/>
  <c r="Z7664" i="2"/>
  <c r="C7664" i="2"/>
  <c r="AA7663" i="2"/>
  <c r="Z7663" i="2"/>
  <c r="C7663" i="2"/>
  <c r="AA7662" i="2"/>
  <c r="Z7662" i="2"/>
  <c r="C7662" i="2"/>
  <c r="AA7661" i="2"/>
  <c r="Z7661" i="2"/>
  <c r="C7661" i="2"/>
  <c r="AA7660" i="2"/>
  <c r="Z7660" i="2"/>
  <c r="C7660" i="2"/>
  <c r="AA7659" i="2"/>
  <c r="Z7659" i="2"/>
  <c r="C7659" i="2"/>
  <c r="AA7658" i="2"/>
  <c r="Z7658" i="2"/>
  <c r="C7658" i="2"/>
  <c r="AA7657" i="2"/>
  <c r="Z7657" i="2"/>
  <c r="C7657" i="2"/>
  <c r="AA7656" i="2"/>
  <c r="Z7656" i="2"/>
  <c r="C7656" i="2"/>
  <c r="AA7655" i="2"/>
  <c r="Z7655" i="2"/>
  <c r="C7655" i="2"/>
  <c r="AA7654" i="2"/>
  <c r="Z7654" i="2"/>
  <c r="C7654" i="2"/>
  <c r="AA7653" i="2"/>
  <c r="Z7653" i="2"/>
  <c r="C7653" i="2"/>
  <c r="AA7652" i="2"/>
  <c r="Z7652" i="2"/>
  <c r="C7652" i="2"/>
  <c r="AA7651" i="2"/>
  <c r="Z7651" i="2"/>
  <c r="C7651" i="2"/>
  <c r="AA7650" i="2"/>
  <c r="Z7650" i="2"/>
  <c r="C7650" i="2"/>
  <c r="AA7649" i="2"/>
  <c r="Z7649" i="2"/>
  <c r="C7649" i="2"/>
  <c r="AA7648" i="2"/>
  <c r="Z7648" i="2"/>
  <c r="C7648" i="2"/>
  <c r="AA7647" i="2"/>
  <c r="Z7647" i="2"/>
  <c r="C7647" i="2"/>
  <c r="AA7646" i="2"/>
  <c r="Z7646" i="2"/>
  <c r="C7646" i="2"/>
  <c r="AA7645" i="2"/>
  <c r="Z7645" i="2"/>
  <c r="C7645" i="2"/>
  <c r="AA7644" i="2"/>
  <c r="Z7644" i="2"/>
  <c r="C7644" i="2"/>
  <c r="AA7643" i="2"/>
  <c r="Z7643" i="2"/>
  <c r="C7643" i="2"/>
  <c r="AA7642" i="2"/>
  <c r="Z7642" i="2"/>
  <c r="C7642" i="2"/>
  <c r="AA7641" i="2"/>
  <c r="Z7641" i="2"/>
  <c r="C7641" i="2"/>
  <c r="AA7640" i="2"/>
  <c r="Z7640" i="2"/>
  <c r="C7640" i="2"/>
  <c r="AA7639" i="2"/>
  <c r="Z7639" i="2"/>
  <c r="C7639" i="2"/>
  <c r="AA7638" i="2"/>
  <c r="Z7638" i="2"/>
  <c r="C7638" i="2"/>
  <c r="AA7637" i="2"/>
  <c r="Z7637" i="2"/>
  <c r="C7637" i="2"/>
  <c r="AA7636" i="2"/>
  <c r="Z7636" i="2"/>
  <c r="C7636" i="2"/>
  <c r="AA7635" i="2"/>
  <c r="Z7635" i="2"/>
  <c r="C7635" i="2"/>
  <c r="AA7634" i="2"/>
  <c r="Z7634" i="2"/>
  <c r="C7634" i="2"/>
  <c r="AA7633" i="2"/>
  <c r="Z7633" i="2"/>
  <c r="C7633" i="2"/>
  <c r="AA7632" i="2"/>
  <c r="Z7632" i="2"/>
  <c r="C7632" i="2"/>
  <c r="AA7631" i="2"/>
  <c r="Z7631" i="2"/>
  <c r="C7631" i="2"/>
  <c r="AA7630" i="2"/>
  <c r="Z7630" i="2"/>
  <c r="C7630" i="2"/>
  <c r="AA7629" i="2"/>
  <c r="Z7629" i="2"/>
  <c r="C7629" i="2"/>
  <c r="AA7628" i="2"/>
  <c r="Z7628" i="2"/>
  <c r="C7628" i="2"/>
  <c r="AA7627" i="2"/>
  <c r="Z7627" i="2"/>
  <c r="C7627" i="2"/>
  <c r="AA7626" i="2"/>
  <c r="Z7626" i="2"/>
  <c r="C7626" i="2"/>
  <c r="AA7625" i="2"/>
  <c r="Z7625" i="2"/>
  <c r="C7625" i="2"/>
  <c r="AA7624" i="2"/>
  <c r="Z7624" i="2"/>
  <c r="C7624" i="2"/>
  <c r="AA7623" i="2"/>
  <c r="Z7623" i="2"/>
  <c r="C7623" i="2"/>
  <c r="AA7622" i="2"/>
  <c r="Z7622" i="2"/>
  <c r="C7622" i="2"/>
  <c r="AA7621" i="2"/>
  <c r="Z7621" i="2"/>
  <c r="C7621" i="2"/>
  <c r="AA7620" i="2"/>
  <c r="Z7620" i="2"/>
  <c r="C7620" i="2"/>
  <c r="AA7619" i="2"/>
  <c r="Z7619" i="2"/>
  <c r="C7619" i="2"/>
  <c r="AA7618" i="2"/>
  <c r="Z7618" i="2"/>
  <c r="C7618" i="2"/>
  <c r="AA7617" i="2"/>
  <c r="Z7617" i="2"/>
  <c r="C7617" i="2"/>
  <c r="AA7616" i="2"/>
  <c r="Z7616" i="2"/>
  <c r="C7616" i="2"/>
  <c r="AA7615" i="2"/>
  <c r="Z7615" i="2"/>
  <c r="C7615" i="2"/>
  <c r="AA7614" i="2"/>
  <c r="Z7614" i="2"/>
  <c r="C7614" i="2"/>
  <c r="AA7613" i="2"/>
  <c r="Z7613" i="2"/>
  <c r="C7613" i="2"/>
  <c r="AA7612" i="2"/>
  <c r="Z7612" i="2"/>
  <c r="C7612" i="2"/>
  <c r="AA7611" i="2"/>
  <c r="Z7611" i="2"/>
  <c r="C7611" i="2"/>
  <c r="AA7610" i="2"/>
  <c r="Z7610" i="2"/>
  <c r="C7610" i="2"/>
  <c r="AA7609" i="2"/>
  <c r="Z7609" i="2"/>
  <c r="C7609" i="2"/>
  <c r="AA7608" i="2"/>
  <c r="Z7608" i="2"/>
  <c r="C7608" i="2"/>
  <c r="AA7607" i="2"/>
  <c r="Z7607" i="2"/>
  <c r="C7607" i="2"/>
  <c r="AA7606" i="2"/>
  <c r="Z7606" i="2"/>
  <c r="C7606" i="2"/>
  <c r="AA7605" i="2"/>
  <c r="Z7605" i="2"/>
  <c r="C7605" i="2"/>
  <c r="AA7604" i="2"/>
  <c r="Z7604" i="2"/>
  <c r="C7604" i="2"/>
  <c r="AA7603" i="2"/>
  <c r="Z7603" i="2"/>
  <c r="C7603" i="2"/>
  <c r="AA7602" i="2"/>
  <c r="Z7602" i="2"/>
  <c r="C7602" i="2"/>
  <c r="AA7601" i="2"/>
  <c r="Z7601" i="2"/>
  <c r="C7601" i="2"/>
  <c r="AA7600" i="2"/>
  <c r="Z7600" i="2"/>
  <c r="C7600" i="2"/>
  <c r="AA7599" i="2"/>
  <c r="Z7599" i="2"/>
  <c r="C7599" i="2"/>
  <c r="AA7598" i="2"/>
  <c r="Z7598" i="2"/>
  <c r="C7598" i="2"/>
  <c r="AA7597" i="2"/>
  <c r="Z7597" i="2"/>
  <c r="C7597" i="2"/>
  <c r="AA7596" i="2"/>
  <c r="Z7596" i="2"/>
  <c r="C7596" i="2"/>
  <c r="AA7595" i="2"/>
  <c r="Z7595" i="2"/>
  <c r="C7595" i="2"/>
  <c r="AA7594" i="2"/>
  <c r="Z7594" i="2"/>
  <c r="C7594" i="2"/>
  <c r="AA7593" i="2"/>
  <c r="Z7593" i="2"/>
  <c r="C7593" i="2"/>
  <c r="AA7592" i="2"/>
  <c r="Z7592" i="2"/>
  <c r="C7592" i="2"/>
  <c r="AA7591" i="2"/>
  <c r="Z7591" i="2"/>
  <c r="C7591" i="2"/>
  <c r="AA7590" i="2"/>
  <c r="Z7590" i="2"/>
  <c r="C7590" i="2"/>
  <c r="AA7589" i="2"/>
  <c r="Z7589" i="2"/>
  <c r="C7589" i="2"/>
  <c r="AA7588" i="2"/>
  <c r="Z7588" i="2"/>
  <c r="C7588" i="2"/>
  <c r="AA7587" i="2"/>
  <c r="Z7587" i="2"/>
  <c r="C7587" i="2"/>
  <c r="AA7586" i="2"/>
  <c r="Z7586" i="2"/>
  <c r="C7586" i="2"/>
  <c r="AA7585" i="2"/>
  <c r="Z7585" i="2"/>
  <c r="C7585" i="2"/>
  <c r="AA7584" i="2"/>
  <c r="Z7584" i="2"/>
  <c r="C7584" i="2"/>
  <c r="AA7583" i="2"/>
  <c r="Z7583" i="2"/>
  <c r="C7583" i="2"/>
  <c r="AA7582" i="2"/>
  <c r="Z7582" i="2"/>
  <c r="C7582" i="2"/>
  <c r="AA7581" i="2"/>
  <c r="Z7581" i="2"/>
  <c r="C7581" i="2"/>
  <c r="AA7580" i="2"/>
  <c r="Z7580" i="2"/>
  <c r="C7580" i="2"/>
  <c r="AA7579" i="2"/>
  <c r="Z7579" i="2"/>
  <c r="C7579" i="2"/>
  <c r="AA7578" i="2"/>
  <c r="Z7578" i="2"/>
  <c r="C7578" i="2"/>
  <c r="AA7577" i="2"/>
  <c r="Z7577" i="2"/>
  <c r="C7577" i="2"/>
  <c r="AA7576" i="2"/>
  <c r="Z7576" i="2"/>
  <c r="C7576" i="2"/>
  <c r="AA7575" i="2"/>
  <c r="Z7575" i="2"/>
  <c r="C7575" i="2"/>
  <c r="AA7574" i="2"/>
  <c r="Z7574" i="2"/>
  <c r="C7574" i="2"/>
  <c r="AA7573" i="2"/>
  <c r="Z7573" i="2"/>
  <c r="C7573" i="2"/>
  <c r="AA7572" i="2"/>
  <c r="Z7572" i="2"/>
  <c r="C7572" i="2"/>
  <c r="AA7571" i="2"/>
  <c r="Z7571" i="2"/>
  <c r="C7571" i="2"/>
  <c r="AA7570" i="2"/>
  <c r="Z7570" i="2"/>
  <c r="C7570" i="2"/>
  <c r="AA7569" i="2"/>
  <c r="Z7569" i="2"/>
  <c r="C7569" i="2"/>
  <c r="AA7568" i="2"/>
  <c r="Z7568" i="2"/>
  <c r="C7568" i="2"/>
  <c r="AA7567" i="2"/>
  <c r="Z7567" i="2"/>
  <c r="C7567" i="2"/>
  <c r="AA7566" i="2"/>
  <c r="Z7566" i="2"/>
  <c r="C7566" i="2"/>
  <c r="AA7565" i="2"/>
  <c r="Z7565" i="2"/>
  <c r="C7565" i="2"/>
  <c r="AA7564" i="2"/>
  <c r="Z7564" i="2"/>
  <c r="C7564" i="2"/>
  <c r="AA7563" i="2"/>
  <c r="Z7563" i="2"/>
  <c r="C7563" i="2"/>
  <c r="AA7562" i="2"/>
  <c r="Z7562" i="2"/>
  <c r="C7562" i="2"/>
  <c r="AA7561" i="2"/>
  <c r="Z7561" i="2"/>
  <c r="C7561" i="2"/>
  <c r="AA7560" i="2"/>
  <c r="Z7560" i="2"/>
  <c r="C7560" i="2"/>
  <c r="AA7559" i="2"/>
  <c r="Z7559" i="2"/>
  <c r="C7559" i="2"/>
  <c r="AA7558" i="2"/>
  <c r="Z7558" i="2"/>
  <c r="C7558" i="2"/>
  <c r="AA7557" i="2"/>
  <c r="Z7557" i="2"/>
  <c r="C7557" i="2"/>
  <c r="AA7556" i="2"/>
  <c r="Z7556" i="2"/>
  <c r="C7556" i="2"/>
  <c r="AA7555" i="2"/>
  <c r="Z7555" i="2"/>
  <c r="C7555" i="2"/>
  <c r="AA7554" i="2"/>
  <c r="Z7554" i="2"/>
  <c r="C7554" i="2"/>
  <c r="AA7553" i="2"/>
  <c r="Z7553" i="2"/>
  <c r="C7553" i="2"/>
  <c r="AA7552" i="2"/>
  <c r="Z7552" i="2"/>
  <c r="C7552" i="2"/>
  <c r="AA7551" i="2"/>
  <c r="Z7551" i="2"/>
  <c r="C7551" i="2"/>
  <c r="AA7550" i="2"/>
  <c r="Z7550" i="2"/>
  <c r="C7550" i="2"/>
  <c r="AA7549" i="2"/>
  <c r="Z7549" i="2"/>
  <c r="C7549" i="2"/>
  <c r="AA7548" i="2"/>
  <c r="Z7548" i="2"/>
  <c r="C7548" i="2"/>
  <c r="AA7547" i="2"/>
  <c r="Z7547" i="2"/>
  <c r="C7547" i="2"/>
  <c r="AA7546" i="2"/>
  <c r="Z7546" i="2"/>
  <c r="C7546" i="2"/>
  <c r="AA7545" i="2"/>
  <c r="Z7545" i="2"/>
  <c r="C7545" i="2"/>
  <c r="AA7544" i="2"/>
  <c r="Z7544" i="2"/>
  <c r="C7544" i="2"/>
  <c r="AA7543" i="2"/>
  <c r="Z7543" i="2"/>
  <c r="C7543" i="2"/>
  <c r="AA7542" i="2"/>
  <c r="Z7542" i="2"/>
  <c r="C7542" i="2"/>
  <c r="AA7541" i="2"/>
  <c r="Z7541" i="2"/>
  <c r="C7541" i="2"/>
  <c r="AA7540" i="2"/>
  <c r="Z7540" i="2"/>
  <c r="C7540" i="2"/>
  <c r="AA7539" i="2"/>
  <c r="Z7539" i="2"/>
  <c r="C7539" i="2"/>
  <c r="AA7538" i="2"/>
  <c r="Z7538" i="2"/>
  <c r="C7538" i="2"/>
  <c r="AA7537" i="2"/>
  <c r="Z7537" i="2"/>
  <c r="C7537" i="2"/>
  <c r="AA7536" i="2"/>
  <c r="Z7536" i="2"/>
  <c r="C7536" i="2"/>
  <c r="AA7535" i="2"/>
  <c r="Z7535" i="2"/>
  <c r="C7535" i="2"/>
  <c r="AA7534" i="2"/>
  <c r="Z7534" i="2"/>
  <c r="C7534" i="2"/>
  <c r="AA7533" i="2"/>
  <c r="Z7533" i="2"/>
  <c r="C7533" i="2"/>
  <c r="AA7532" i="2"/>
  <c r="Z7532" i="2"/>
  <c r="C7532" i="2"/>
  <c r="AA7531" i="2"/>
  <c r="Z7531" i="2"/>
  <c r="C7531" i="2"/>
  <c r="AA7530" i="2"/>
  <c r="Z7530" i="2"/>
  <c r="C7530" i="2"/>
  <c r="AA7529" i="2"/>
  <c r="Z7529" i="2"/>
  <c r="C7529" i="2"/>
  <c r="AA7528" i="2"/>
  <c r="Z7528" i="2"/>
  <c r="C7528" i="2"/>
  <c r="AA7527" i="2"/>
  <c r="Z7527" i="2"/>
  <c r="C7527" i="2"/>
  <c r="AA7526" i="2"/>
  <c r="Z7526" i="2"/>
  <c r="C7526" i="2"/>
  <c r="AA7525" i="2"/>
  <c r="Z7525" i="2"/>
  <c r="C7525" i="2"/>
  <c r="AA7524" i="2"/>
  <c r="Z7524" i="2"/>
  <c r="C7524" i="2"/>
  <c r="AA7523" i="2"/>
  <c r="Z7523" i="2"/>
  <c r="C7523" i="2"/>
  <c r="AA7522" i="2"/>
  <c r="Z7522" i="2"/>
  <c r="C7522" i="2"/>
  <c r="AA7521" i="2"/>
  <c r="Z7521" i="2"/>
  <c r="C7521" i="2"/>
  <c r="AA7520" i="2"/>
  <c r="Z7520" i="2"/>
  <c r="C7520" i="2"/>
  <c r="AA7519" i="2"/>
  <c r="Z7519" i="2"/>
  <c r="C7519" i="2"/>
  <c r="AA7518" i="2"/>
  <c r="Z7518" i="2"/>
  <c r="C7518" i="2"/>
  <c r="AA7517" i="2"/>
  <c r="Z7517" i="2"/>
  <c r="C7517" i="2"/>
  <c r="AA7516" i="2"/>
  <c r="Z7516" i="2"/>
  <c r="C7516" i="2"/>
  <c r="AA7515" i="2"/>
  <c r="Z7515" i="2"/>
  <c r="C7515" i="2"/>
  <c r="AA7514" i="2"/>
  <c r="Z7514" i="2"/>
  <c r="C7514" i="2"/>
  <c r="AA7513" i="2"/>
  <c r="Z7513" i="2"/>
  <c r="C7513" i="2"/>
  <c r="AA7512" i="2"/>
  <c r="Z7512" i="2"/>
  <c r="C7512" i="2"/>
  <c r="AA7511" i="2"/>
  <c r="Z7511" i="2"/>
  <c r="C7511" i="2"/>
  <c r="AA7510" i="2"/>
  <c r="Z7510" i="2"/>
  <c r="C7510" i="2"/>
  <c r="AA7509" i="2"/>
  <c r="Z7509" i="2"/>
  <c r="C7509" i="2"/>
  <c r="AA7508" i="2"/>
  <c r="Z7508" i="2"/>
  <c r="C7508" i="2"/>
  <c r="AA7507" i="2"/>
  <c r="Z7507" i="2"/>
  <c r="C7507" i="2"/>
  <c r="AA7506" i="2"/>
  <c r="Z7506" i="2"/>
  <c r="C7506" i="2"/>
  <c r="AA7505" i="2"/>
  <c r="Z7505" i="2"/>
  <c r="C7505" i="2"/>
  <c r="AA7504" i="2"/>
  <c r="Z7504" i="2"/>
  <c r="C7504" i="2"/>
  <c r="AA7503" i="2"/>
  <c r="Z7503" i="2"/>
  <c r="C7503" i="2"/>
  <c r="AA7502" i="2"/>
  <c r="Z7502" i="2"/>
  <c r="C7502" i="2"/>
  <c r="AA7501" i="2"/>
  <c r="Z7501" i="2"/>
  <c r="C7501" i="2"/>
  <c r="AA7500" i="2"/>
  <c r="Z7500" i="2"/>
  <c r="C7500" i="2"/>
  <c r="AA7499" i="2"/>
  <c r="Z7499" i="2"/>
  <c r="C7499" i="2"/>
  <c r="AA7498" i="2"/>
  <c r="Z7498" i="2"/>
  <c r="C7498" i="2"/>
  <c r="AA7497" i="2"/>
  <c r="Z7497" i="2"/>
  <c r="C7497" i="2"/>
  <c r="AA7496" i="2"/>
  <c r="Z7496" i="2"/>
  <c r="C7496" i="2"/>
  <c r="AA7495" i="2"/>
  <c r="Z7495" i="2"/>
  <c r="C7495" i="2"/>
  <c r="AA7494" i="2"/>
  <c r="Z7494" i="2"/>
  <c r="C7494" i="2"/>
  <c r="AA7493" i="2"/>
  <c r="Z7493" i="2"/>
  <c r="C7493" i="2"/>
  <c r="AA7492" i="2"/>
  <c r="Z7492" i="2"/>
  <c r="C7492" i="2"/>
  <c r="AA7491" i="2"/>
  <c r="Z7491" i="2"/>
  <c r="C7491" i="2"/>
  <c r="AA7490" i="2"/>
  <c r="Z7490" i="2"/>
  <c r="C7490" i="2"/>
  <c r="AA7489" i="2"/>
  <c r="Z7489" i="2"/>
  <c r="C7489" i="2"/>
  <c r="AA7488" i="2"/>
  <c r="Z7488" i="2"/>
  <c r="C7488" i="2"/>
  <c r="AA7487" i="2"/>
  <c r="Z7487" i="2"/>
  <c r="C7487" i="2"/>
  <c r="AA7486" i="2"/>
  <c r="Z7486" i="2"/>
  <c r="C7486" i="2"/>
  <c r="AA7485" i="2"/>
  <c r="Z7485" i="2"/>
  <c r="C7485" i="2"/>
  <c r="AA7484" i="2"/>
  <c r="Z7484" i="2"/>
  <c r="C7484" i="2"/>
  <c r="AA7483" i="2"/>
  <c r="Z7483" i="2"/>
  <c r="C7483" i="2"/>
  <c r="AA7482" i="2"/>
  <c r="Z7482" i="2"/>
  <c r="C7482" i="2"/>
  <c r="AA7481" i="2"/>
  <c r="Z7481" i="2"/>
  <c r="C7481" i="2"/>
  <c r="AA7480" i="2"/>
  <c r="Z7480" i="2"/>
  <c r="C7480" i="2"/>
  <c r="AA7479" i="2"/>
  <c r="Z7479" i="2"/>
  <c r="C7479" i="2"/>
  <c r="AA7478" i="2"/>
  <c r="Z7478" i="2"/>
  <c r="C7478" i="2"/>
  <c r="AA7477" i="2"/>
  <c r="Z7477" i="2"/>
  <c r="C7477" i="2"/>
  <c r="AA7476" i="2"/>
  <c r="Z7476" i="2"/>
  <c r="C7476" i="2"/>
  <c r="AA7475" i="2"/>
  <c r="Z7475" i="2"/>
  <c r="C7475" i="2"/>
  <c r="AA7474" i="2"/>
  <c r="Z7474" i="2"/>
  <c r="C7474" i="2"/>
  <c r="AA7473" i="2"/>
  <c r="Z7473" i="2"/>
  <c r="C7473" i="2"/>
  <c r="AA7472" i="2"/>
  <c r="Z7472" i="2"/>
  <c r="C7472" i="2"/>
  <c r="AA7471" i="2"/>
  <c r="Z7471" i="2"/>
  <c r="C7471" i="2"/>
  <c r="AA7470" i="2"/>
  <c r="Z7470" i="2"/>
  <c r="C7470" i="2"/>
  <c r="AA7469" i="2"/>
  <c r="Z7469" i="2"/>
  <c r="C7469" i="2"/>
  <c r="AA7468" i="2"/>
  <c r="Z7468" i="2"/>
  <c r="C7468" i="2"/>
  <c r="AA7467" i="2"/>
  <c r="Z7467" i="2"/>
  <c r="C7467" i="2"/>
  <c r="AA7466" i="2"/>
  <c r="Z7466" i="2"/>
  <c r="C7466" i="2"/>
  <c r="AA7465" i="2"/>
  <c r="Z7465" i="2"/>
  <c r="C7465" i="2"/>
  <c r="AA7464" i="2"/>
  <c r="Z7464" i="2"/>
  <c r="C7464" i="2"/>
  <c r="AA7463" i="2"/>
  <c r="Z7463" i="2"/>
  <c r="C7463" i="2"/>
  <c r="AA7462" i="2"/>
  <c r="Z7462" i="2"/>
  <c r="C7462" i="2"/>
  <c r="AA7461" i="2"/>
  <c r="Z7461" i="2"/>
  <c r="C7461" i="2"/>
  <c r="AA7460" i="2"/>
  <c r="Z7460" i="2"/>
  <c r="C7460" i="2"/>
  <c r="AA7459" i="2"/>
  <c r="Z7459" i="2"/>
  <c r="C7459" i="2"/>
  <c r="AA7458" i="2"/>
  <c r="Z7458" i="2"/>
  <c r="C7458" i="2"/>
  <c r="AA7457" i="2"/>
  <c r="Z7457" i="2"/>
  <c r="C7457" i="2"/>
  <c r="AA7456" i="2"/>
  <c r="Z7456" i="2"/>
  <c r="C7456" i="2"/>
  <c r="AA7455" i="2"/>
  <c r="Z7455" i="2"/>
  <c r="C7455" i="2"/>
  <c r="AA7454" i="2"/>
  <c r="Z7454" i="2"/>
  <c r="C7454" i="2"/>
  <c r="AA7453" i="2"/>
  <c r="Z7453" i="2"/>
  <c r="C7453" i="2"/>
  <c r="AA7452" i="2"/>
  <c r="Z7452" i="2"/>
  <c r="C7452" i="2"/>
  <c r="AA7451" i="2"/>
  <c r="Z7451" i="2"/>
  <c r="C7451" i="2"/>
  <c r="AA7450" i="2"/>
  <c r="Z7450" i="2"/>
  <c r="C7450" i="2"/>
  <c r="AA7449" i="2"/>
  <c r="Z7449" i="2"/>
  <c r="C7449" i="2"/>
  <c r="AA7448" i="2"/>
  <c r="Z7448" i="2"/>
  <c r="C7448" i="2"/>
  <c r="AA7447" i="2"/>
  <c r="Z7447" i="2"/>
  <c r="C7447" i="2"/>
  <c r="AA7446" i="2"/>
  <c r="Z7446" i="2"/>
  <c r="C7446" i="2"/>
  <c r="AA7445" i="2"/>
  <c r="Z7445" i="2"/>
  <c r="C7445" i="2"/>
  <c r="AA7444" i="2"/>
  <c r="Z7444" i="2"/>
  <c r="C7444" i="2"/>
  <c r="AA7443" i="2"/>
  <c r="Z7443" i="2"/>
  <c r="C7443" i="2"/>
  <c r="AA7442" i="2"/>
  <c r="Z7442" i="2"/>
  <c r="C7442" i="2"/>
  <c r="AA7441" i="2"/>
  <c r="Z7441" i="2"/>
  <c r="C7441" i="2"/>
  <c r="AA7440" i="2"/>
  <c r="Z7440" i="2"/>
  <c r="C7440" i="2"/>
  <c r="AA7439" i="2"/>
  <c r="Z7439" i="2"/>
  <c r="C7439" i="2"/>
  <c r="AA7438" i="2"/>
  <c r="Z7438" i="2"/>
  <c r="C7438" i="2"/>
  <c r="AA7437" i="2"/>
  <c r="Z7437" i="2"/>
  <c r="C7437" i="2"/>
  <c r="AA7436" i="2"/>
  <c r="Z7436" i="2"/>
  <c r="C7436" i="2"/>
  <c r="AA7435" i="2"/>
  <c r="Z7435" i="2"/>
  <c r="C7435" i="2"/>
  <c r="AA7434" i="2"/>
  <c r="Z7434" i="2"/>
  <c r="C7434" i="2"/>
  <c r="AA7433" i="2"/>
  <c r="Z7433" i="2"/>
  <c r="C7433" i="2"/>
  <c r="AA7432" i="2"/>
  <c r="Z7432" i="2"/>
  <c r="C7432" i="2"/>
  <c r="AA7431" i="2"/>
  <c r="Z7431" i="2"/>
  <c r="C7431" i="2"/>
  <c r="AA7430" i="2"/>
  <c r="Z7430" i="2"/>
  <c r="C7430" i="2"/>
  <c r="AA7429" i="2"/>
  <c r="Z7429" i="2"/>
  <c r="C7429" i="2"/>
  <c r="AA7428" i="2"/>
  <c r="Z7428" i="2"/>
  <c r="C7428" i="2"/>
  <c r="AA7427" i="2"/>
  <c r="Z7427" i="2"/>
  <c r="C7427" i="2"/>
  <c r="AA7426" i="2"/>
  <c r="Z7426" i="2"/>
  <c r="C7426" i="2"/>
  <c r="AA7425" i="2"/>
  <c r="Z7425" i="2"/>
  <c r="C7425" i="2"/>
  <c r="AA7424" i="2"/>
  <c r="Z7424" i="2"/>
  <c r="C7424" i="2"/>
  <c r="AA7423" i="2"/>
  <c r="Z7423" i="2"/>
  <c r="C7423" i="2"/>
  <c r="AA7422" i="2"/>
  <c r="Z7422" i="2"/>
  <c r="C7422" i="2"/>
  <c r="AA7421" i="2"/>
  <c r="Z7421" i="2"/>
  <c r="C7421" i="2"/>
  <c r="AA7420" i="2"/>
  <c r="Z7420" i="2"/>
  <c r="C7420" i="2"/>
  <c r="AA7419" i="2"/>
  <c r="Z7419" i="2"/>
  <c r="C7419" i="2"/>
  <c r="AA7418" i="2"/>
  <c r="Z7418" i="2"/>
  <c r="C7418" i="2"/>
  <c r="AA7417" i="2"/>
  <c r="Z7417" i="2"/>
  <c r="C7417" i="2"/>
  <c r="AA7416" i="2"/>
  <c r="Z7416" i="2"/>
  <c r="C7416" i="2"/>
  <c r="AA7415" i="2"/>
  <c r="Z7415" i="2"/>
  <c r="C7415" i="2"/>
  <c r="AA7414" i="2"/>
  <c r="Z7414" i="2"/>
  <c r="C7414" i="2"/>
  <c r="AA7413" i="2"/>
  <c r="Z7413" i="2"/>
  <c r="C7413" i="2"/>
  <c r="AA7412" i="2"/>
  <c r="Z7412" i="2"/>
  <c r="C7412" i="2"/>
  <c r="AA7411" i="2"/>
  <c r="Z7411" i="2"/>
  <c r="C7411" i="2"/>
  <c r="AA7410" i="2"/>
  <c r="Z7410" i="2"/>
  <c r="C7410" i="2"/>
  <c r="AA7409" i="2"/>
  <c r="Z7409" i="2"/>
  <c r="C7409" i="2"/>
  <c r="AA7408" i="2"/>
  <c r="Z7408" i="2"/>
  <c r="C7408" i="2"/>
  <c r="AA7407" i="2"/>
  <c r="Z7407" i="2"/>
  <c r="C7407" i="2"/>
  <c r="AA7406" i="2"/>
  <c r="Z7406" i="2"/>
  <c r="C7406" i="2"/>
  <c r="AA7405" i="2"/>
  <c r="Z7405" i="2"/>
  <c r="C7405" i="2"/>
  <c r="AA7404" i="2"/>
  <c r="Z7404" i="2"/>
  <c r="C7404" i="2"/>
  <c r="AA7403" i="2"/>
  <c r="Z7403" i="2"/>
  <c r="C7403" i="2"/>
  <c r="AA7402" i="2"/>
  <c r="Z7402" i="2"/>
  <c r="C7402" i="2"/>
  <c r="AA7401" i="2"/>
  <c r="Z7401" i="2"/>
  <c r="C7401" i="2"/>
  <c r="AA7400" i="2"/>
  <c r="Z7400" i="2"/>
  <c r="C7400" i="2"/>
  <c r="AA7399" i="2"/>
  <c r="Z7399" i="2"/>
  <c r="C7399" i="2"/>
  <c r="AA7398" i="2"/>
  <c r="Z7398" i="2"/>
  <c r="C7398" i="2"/>
  <c r="AA7397" i="2"/>
  <c r="Z7397" i="2"/>
  <c r="C7397" i="2"/>
  <c r="AA7396" i="2"/>
  <c r="Z7396" i="2"/>
  <c r="C7396" i="2"/>
  <c r="AA7395" i="2"/>
  <c r="Z7395" i="2"/>
  <c r="C7395" i="2"/>
  <c r="AA7394" i="2"/>
  <c r="Z7394" i="2"/>
  <c r="C7394" i="2"/>
  <c r="AA7393" i="2"/>
  <c r="Z7393" i="2"/>
  <c r="C7393" i="2"/>
  <c r="AA7392" i="2"/>
  <c r="Z7392" i="2"/>
  <c r="C7392" i="2"/>
  <c r="AA7391" i="2"/>
  <c r="Z7391" i="2"/>
  <c r="C7391" i="2"/>
  <c r="AA7390" i="2"/>
  <c r="Z7390" i="2"/>
  <c r="C7390" i="2"/>
  <c r="AA7389" i="2"/>
  <c r="Z7389" i="2"/>
  <c r="C7389" i="2"/>
  <c r="AA7388" i="2"/>
  <c r="Z7388" i="2"/>
  <c r="C7388" i="2"/>
  <c r="AA7387" i="2"/>
  <c r="Z7387" i="2"/>
  <c r="C7387" i="2"/>
  <c r="AA7386" i="2"/>
  <c r="Z7386" i="2"/>
  <c r="C7386" i="2"/>
  <c r="AA7385" i="2"/>
  <c r="Z7385" i="2"/>
  <c r="C7385" i="2"/>
  <c r="AA7384" i="2"/>
  <c r="Z7384" i="2"/>
  <c r="C7384" i="2"/>
  <c r="AA7383" i="2"/>
  <c r="Z7383" i="2"/>
  <c r="C7383" i="2"/>
  <c r="AA7382" i="2"/>
  <c r="Z7382" i="2"/>
  <c r="C7382" i="2"/>
  <c r="AA7381" i="2"/>
  <c r="Z7381" i="2"/>
  <c r="C7381" i="2"/>
  <c r="AA7380" i="2"/>
  <c r="Z7380" i="2"/>
  <c r="C7380" i="2"/>
  <c r="AA7379" i="2"/>
  <c r="Z7379" i="2"/>
  <c r="C7379" i="2"/>
  <c r="AA7378" i="2"/>
  <c r="Z7378" i="2"/>
  <c r="C7378" i="2"/>
  <c r="AA7377" i="2"/>
  <c r="Z7377" i="2"/>
  <c r="C7377" i="2"/>
  <c r="AA7376" i="2"/>
  <c r="Z7376" i="2"/>
  <c r="C7376" i="2"/>
  <c r="AA7375" i="2"/>
  <c r="Z7375" i="2"/>
  <c r="C7375" i="2"/>
  <c r="AA7374" i="2"/>
  <c r="Z7374" i="2"/>
  <c r="C7374" i="2"/>
  <c r="AA7373" i="2"/>
  <c r="Z7373" i="2"/>
  <c r="C7373" i="2"/>
  <c r="AA7372" i="2"/>
  <c r="Z7372" i="2"/>
  <c r="C7372" i="2"/>
  <c r="AA7371" i="2"/>
  <c r="Z7371" i="2"/>
  <c r="C7371" i="2"/>
  <c r="AA7370" i="2"/>
  <c r="Z7370" i="2"/>
  <c r="C7370" i="2"/>
  <c r="AA7369" i="2"/>
  <c r="Z7369" i="2"/>
  <c r="C7369" i="2"/>
  <c r="AA7368" i="2"/>
  <c r="Z7368" i="2"/>
  <c r="C7368" i="2"/>
  <c r="AA7367" i="2"/>
  <c r="Z7367" i="2"/>
  <c r="C7367" i="2"/>
  <c r="AA7366" i="2"/>
  <c r="Z7366" i="2"/>
  <c r="C7366" i="2"/>
  <c r="AA7365" i="2"/>
  <c r="Z7365" i="2"/>
  <c r="C7365" i="2"/>
  <c r="AA7364" i="2"/>
  <c r="Z7364" i="2"/>
  <c r="C7364" i="2"/>
  <c r="AA7363" i="2"/>
  <c r="Z7363" i="2"/>
  <c r="C7363" i="2"/>
  <c r="AA7362" i="2"/>
  <c r="Z7362" i="2"/>
  <c r="C7362" i="2"/>
  <c r="AA7361" i="2"/>
  <c r="Z7361" i="2"/>
  <c r="C7361" i="2"/>
  <c r="AA7360" i="2"/>
  <c r="Z7360" i="2"/>
  <c r="C7360" i="2"/>
  <c r="AA7359" i="2"/>
  <c r="Z7359" i="2"/>
  <c r="C7359" i="2"/>
  <c r="AA7358" i="2"/>
  <c r="Z7358" i="2"/>
  <c r="C7358" i="2"/>
  <c r="AA7357" i="2"/>
  <c r="Z7357" i="2"/>
  <c r="C7357" i="2"/>
  <c r="AA7356" i="2"/>
  <c r="Z7356" i="2"/>
  <c r="C7356" i="2"/>
  <c r="AA7355" i="2"/>
  <c r="Z7355" i="2"/>
  <c r="C7355" i="2"/>
  <c r="AA7354" i="2"/>
  <c r="Z7354" i="2"/>
  <c r="C7354" i="2"/>
  <c r="AA7353" i="2"/>
  <c r="Z7353" i="2"/>
  <c r="C7353" i="2"/>
  <c r="AA7352" i="2"/>
  <c r="Z7352" i="2"/>
  <c r="C7352" i="2"/>
  <c r="AA7351" i="2"/>
  <c r="Z7351" i="2"/>
  <c r="C7351" i="2"/>
  <c r="AA7350" i="2"/>
  <c r="Z7350" i="2"/>
  <c r="C7350" i="2"/>
  <c r="AA7349" i="2"/>
  <c r="Z7349" i="2"/>
  <c r="C7349" i="2"/>
  <c r="AA7348" i="2"/>
  <c r="Z7348" i="2"/>
  <c r="C7348" i="2"/>
  <c r="AA7347" i="2"/>
  <c r="Z7347" i="2"/>
  <c r="C7347" i="2"/>
  <c r="AA7346" i="2"/>
  <c r="Z7346" i="2"/>
  <c r="C7346" i="2"/>
  <c r="AA7345" i="2"/>
  <c r="Z7345" i="2"/>
  <c r="C7345" i="2"/>
  <c r="AA7344" i="2"/>
  <c r="Z7344" i="2"/>
  <c r="C7344" i="2"/>
  <c r="AA7343" i="2"/>
  <c r="Z7343" i="2"/>
  <c r="C7343" i="2"/>
  <c r="AA7342" i="2"/>
  <c r="Z7342" i="2"/>
  <c r="C7342" i="2"/>
  <c r="AA7341" i="2"/>
  <c r="Z7341" i="2"/>
  <c r="C7341" i="2"/>
  <c r="AA7340" i="2"/>
  <c r="Z7340" i="2"/>
  <c r="C7340" i="2"/>
  <c r="AA7339" i="2"/>
  <c r="Z7339" i="2"/>
  <c r="C7339" i="2"/>
  <c r="AA7338" i="2"/>
  <c r="Z7338" i="2"/>
  <c r="C7338" i="2"/>
  <c r="AA7337" i="2"/>
  <c r="Z7337" i="2"/>
  <c r="C7337" i="2"/>
  <c r="AA7336" i="2"/>
  <c r="Z7336" i="2"/>
  <c r="C7336" i="2"/>
  <c r="AA7335" i="2"/>
  <c r="Z7335" i="2"/>
  <c r="C7335" i="2"/>
  <c r="AA7334" i="2"/>
  <c r="Z7334" i="2"/>
  <c r="C7334" i="2"/>
  <c r="AA7333" i="2"/>
  <c r="Z7333" i="2"/>
  <c r="C7333" i="2"/>
  <c r="AA7332" i="2"/>
  <c r="Z7332" i="2"/>
  <c r="C7332" i="2"/>
  <c r="AA7331" i="2"/>
  <c r="Z7331" i="2"/>
  <c r="C7331" i="2"/>
  <c r="AA7330" i="2"/>
  <c r="Z7330" i="2"/>
  <c r="C7330" i="2"/>
  <c r="AA7329" i="2"/>
  <c r="Z7329" i="2"/>
  <c r="C7329" i="2"/>
  <c r="AA7328" i="2"/>
  <c r="Z7328" i="2"/>
  <c r="C7328" i="2"/>
  <c r="AA7327" i="2"/>
  <c r="Z7327" i="2"/>
  <c r="C7327" i="2"/>
  <c r="AA7326" i="2"/>
  <c r="Z7326" i="2"/>
  <c r="C7326" i="2"/>
  <c r="AA7325" i="2"/>
  <c r="Z7325" i="2"/>
  <c r="C7325" i="2"/>
  <c r="AA7324" i="2"/>
  <c r="Z7324" i="2"/>
  <c r="C7324" i="2"/>
  <c r="AA7323" i="2"/>
  <c r="Z7323" i="2"/>
  <c r="C7323" i="2"/>
  <c r="AA7322" i="2"/>
  <c r="Z7322" i="2"/>
  <c r="C7322" i="2"/>
  <c r="AA7321" i="2"/>
  <c r="Z7321" i="2"/>
  <c r="C7321" i="2"/>
  <c r="AA7320" i="2"/>
  <c r="Z7320" i="2"/>
  <c r="C7320" i="2"/>
  <c r="AA7319" i="2"/>
  <c r="Z7319" i="2"/>
  <c r="C7319" i="2"/>
  <c r="AA7318" i="2"/>
  <c r="Z7318" i="2"/>
  <c r="C7318" i="2"/>
  <c r="AA7317" i="2"/>
  <c r="Z7317" i="2"/>
  <c r="C7317" i="2"/>
  <c r="AA7316" i="2"/>
  <c r="Z7316" i="2"/>
  <c r="C7316" i="2"/>
  <c r="AA7315" i="2"/>
  <c r="Z7315" i="2"/>
  <c r="C7315" i="2"/>
  <c r="AA7314" i="2"/>
  <c r="Z7314" i="2"/>
  <c r="C7314" i="2"/>
  <c r="AA7313" i="2"/>
  <c r="Z7313" i="2"/>
  <c r="C7313" i="2"/>
  <c r="AA7312" i="2"/>
  <c r="Z7312" i="2"/>
  <c r="C7312" i="2"/>
  <c r="AA7311" i="2"/>
  <c r="Z7311" i="2"/>
  <c r="C7311" i="2"/>
  <c r="AA7310" i="2"/>
  <c r="Z7310" i="2"/>
  <c r="C7310" i="2"/>
  <c r="AA7309" i="2"/>
  <c r="Z7309" i="2"/>
  <c r="C7309" i="2"/>
  <c r="AA7308" i="2"/>
  <c r="Z7308" i="2"/>
  <c r="C7308" i="2"/>
  <c r="AA7307" i="2"/>
  <c r="Z7307" i="2"/>
  <c r="C7307" i="2"/>
  <c r="AA7306" i="2"/>
  <c r="Z7306" i="2"/>
  <c r="C7306" i="2"/>
  <c r="AA7305" i="2"/>
  <c r="Z7305" i="2"/>
  <c r="C7305" i="2"/>
  <c r="AA7304" i="2"/>
  <c r="Z7304" i="2"/>
  <c r="C7304" i="2"/>
  <c r="AA7303" i="2"/>
  <c r="Z7303" i="2"/>
  <c r="C7303" i="2"/>
  <c r="AA7302" i="2"/>
  <c r="Z7302" i="2"/>
  <c r="C7302" i="2"/>
  <c r="AA7301" i="2"/>
  <c r="Z7301" i="2"/>
  <c r="C7301" i="2"/>
  <c r="AA7300" i="2"/>
  <c r="Z7300" i="2"/>
  <c r="C7300" i="2"/>
  <c r="AA7299" i="2"/>
  <c r="Z7299" i="2"/>
  <c r="C7299" i="2"/>
  <c r="AA7298" i="2"/>
  <c r="Z7298" i="2"/>
  <c r="C7298" i="2"/>
  <c r="AA7297" i="2"/>
  <c r="Z7297" i="2"/>
  <c r="C7297" i="2"/>
  <c r="AA7296" i="2"/>
  <c r="Z7296" i="2"/>
  <c r="C7296" i="2"/>
  <c r="AA7295" i="2"/>
  <c r="Z7295" i="2"/>
  <c r="C7295" i="2"/>
  <c r="AA7294" i="2"/>
  <c r="Z7294" i="2"/>
  <c r="C7294" i="2"/>
  <c r="AA7293" i="2"/>
  <c r="Z7293" i="2"/>
  <c r="C7293" i="2"/>
  <c r="AA7292" i="2"/>
  <c r="Z7292" i="2"/>
  <c r="C7292" i="2"/>
  <c r="AA7291" i="2"/>
  <c r="Z7291" i="2"/>
  <c r="C7291" i="2"/>
  <c r="AA7290" i="2"/>
  <c r="Z7290" i="2"/>
  <c r="C7290" i="2"/>
  <c r="AA7289" i="2"/>
  <c r="Z7289" i="2"/>
  <c r="C7289" i="2"/>
  <c r="AA7288" i="2"/>
  <c r="Z7288" i="2"/>
  <c r="C7288" i="2"/>
  <c r="AA7287" i="2"/>
  <c r="Z7287" i="2"/>
  <c r="C7287" i="2"/>
  <c r="AA7286" i="2"/>
  <c r="Z7286" i="2"/>
  <c r="C7286" i="2"/>
  <c r="AA7285" i="2"/>
  <c r="Z7285" i="2"/>
  <c r="C7285" i="2"/>
  <c r="AA7284" i="2"/>
  <c r="Z7284" i="2"/>
  <c r="C7284" i="2"/>
  <c r="AA7283" i="2"/>
  <c r="Z7283" i="2"/>
  <c r="C7283" i="2"/>
  <c r="AA7282" i="2"/>
  <c r="Z7282" i="2"/>
  <c r="C7282" i="2"/>
  <c r="AA7281" i="2"/>
  <c r="Z7281" i="2"/>
  <c r="C7281" i="2"/>
  <c r="AA7280" i="2"/>
  <c r="Z7280" i="2"/>
  <c r="C7280" i="2"/>
  <c r="AA7279" i="2"/>
  <c r="Z7279" i="2"/>
  <c r="C7279" i="2"/>
  <c r="AA7278" i="2"/>
  <c r="Z7278" i="2"/>
  <c r="C7278" i="2"/>
  <c r="AA7277" i="2"/>
  <c r="Z7277" i="2"/>
  <c r="C7277" i="2"/>
  <c r="AA7276" i="2"/>
  <c r="Z7276" i="2"/>
  <c r="C7276" i="2"/>
  <c r="AA7275" i="2"/>
  <c r="Z7275" i="2"/>
  <c r="C7275" i="2"/>
  <c r="AA7274" i="2"/>
  <c r="Z7274" i="2"/>
  <c r="C7274" i="2"/>
  <c r="AA7273" i="2"/>
  <c r="Z7273" i="2"/>
  <c r="C7273" i="2"/>
  <c r="AA7272" i="2"/>
  <c r="Z7272" i="2"/>
  <c r="C7272" i="2"/>
  <c r="AA7271" i="2"/>
  <c r="Z7271" i="2"/>
  <c r="C7271" i="2"/>
  <c r="AA7270" i="2"/>
  <c r="Z7270" i="2"/>
  <c r="C7270" i="2"/>
  <c r="AA7269" i="2"/>
  <c r="Z7269" i="2"/>
  <c r="C7269" i="2"/>
  <c r="AA7268" i="2"/>
  <c r="Z7268" i="2"/>
  <c r="C7268" i="2"/>
  <c r="AA7267" i="2"/>
  <c r="Z7267" i="2"/>
  <c r="C7267" i="2"/>
  <c r="AA7266" i="2"/>
  <c r="Z7266" i="2"/>
  <c r="C7266" i="2"/>
  <c r="AA7265" i="2"/>
  <c r="Z7265" i="2"/>
  <c r="C7265" i="2"/>
  <c r="AA7264" i="2"/>
  <c r="Z7264" i="2"/>
  <c r="C7264" i="2"/>
  <c r="AA7263" i="2"/>
  <c r="Z7263" i="2"/>
  <c r="C7263" i="2"/>
  <c r="AA7262" i="2"/>
  <c r="Z7262" i="2"/>
  <c r="C7262" i="2"/>
  <c r="AA7261" i="2"/>
  <c r="Z7261" i="2"/>
  <c r="C7261" i="2"/>
  <c r="AA7260" i="2"/>
  <c r="Z7260" i="2"/>
  <c r="C7260" i="2"/>
  <c r="AA7259" i="2"/>
  <c r="Z7259" i="2"/>
  <c r="C7259" i="2"/>
  <c r="AA7258" i="2"/>
  <c r="Z7258" i="2"/>
  <c r="C7258" i="2"/>
  <c r="AA7257" i="2"/>
  <c r="Z7257" i="2"/>
  <c r="C7257" i="2"/>
  <c r="AA7256" i="2"/>
  <c r="Z7256" i="2"/>
  <c r="C7256" i="2"/>
  <c r="AA7255" i="2"/>
  <c r="Z7255" i="2"/>
  <c r="C7255" i="2"/>
  <c r="AA7254" i="2"/>
  <c r="Z7254" i="2"/>
  <c r="C7254" i="2"/>
  <c r="AA7253" i="2"/>
  <c r="Z7253" i="2"/>
  <c r="C7253" i="2"/>
  <c r="AA7252" i="2"/>
  <c r="Z7252" i="2"/>
  <c r="C7252" i="2"/>
  <c r="AA7251" i="2"/>
  <c r="Z7251" i="2"/>
  <c r="C7251" i="2"/>
  <c r="AA7250" i="2"/>
  <c r="Z7250" i="2"/>
  <c r="C7250" i="2"/>
  <c r="AA7249" i="2"/>
  <c r="Z7249" i="2"/>
  <c r="C7249" i="2"/>
  <c r="AA7248" i="2"/>
  <c r="Z7248" i="2"/>
  <c r="C7248" i="2"/>
  <c r="AA7247" i="2"/>
  <c r="Z7247" i="2"/>
  <c r="C7247" i="2"/>
  <c r="AA7246" i="2"/>
  <c r="Z7246" i="2"/>
  <c r="C7246" i="2"/>
  <c r="AA7245" i="2"/>
  <c r="Z7245" i="2"/>
  <c r="C7245" i="2"/>
  <c r="AA7244" i="2"/>
  <c r="Z7244" i="2"/>
  <c r="C7244" i="2"/>
  <c r="AA7243" i="2"/>
  <c r="Z7243" i="2"/>
  <c r="C7243" i="2"/>
  <c r="AA7242" i="2"/>
  <c r="Z7242" i="2"/>
  <c r="C7242" i="2"/>
  <c r="AA7241" i="2"/>
  <c r="Z7241" i="2"/>
  <c r="C7241" i="2"/>
  <c r="AA7240" i="2"/>
  <c r="Z7240" i="2"/>
  <c r="C7240" i="2"/>
  <c r="AA7239" i="2"/>
  <c r="Z7239" i="2"/>
  <c r="C7239" i="2"/>
  <c r="AA7238" i="2"/>
  <c r="Z7238" i="2"/>
  <c r="C7238" i="2"/>
  <c r="AA7237" i="2"/>
  <c r="Z7237" i="2"/>
  <c r="C7237" i="2"/>
  <c r="AA7236" i="2"/>
  <c r="Z7236" i="2"/>
  <c r="C7236" i="2"/>
  <c r="AA7235" i="2"/>
  <c r="Z7235" i="2"/>
  <c r="C7235" i="2"/>
  <c r="AA7234" i="2"/>
  <c r="Z7234" i="2"/>
  <c r="C7234" i="2"/>
  <c r="AA7233" i="2"/>
  <c r="Z7233" i="2"/>
  <c r="C7233" i="2"/>
  <c r="AA7232" i="2"/>
  <c r="Z7232" i="2"/>
  <c r="C7232" i="2"/>
  <c r="AA7231" i="2"/>
  <c r="Z7231" i="2"/>
  <c r="C7231" i="2"/>
  <c r="AA7230" i="2"/>
  <c r="Z7230" i="2"/>
  <c r="C7230" i="2"/>
  <c r="AA7229" i="2"/>
  <c r="Z7229" i="2"/>
  <c r="C7229" i="2"/>
  <c r="AA7228" i="2"/>
  <c r="Z7228" i="2"/>
  <c r="C7228" i="2"/>
  <c r="AA7227" i="2"/>
  <c r="Z7227" i="2"/>
  <c r="C7227" i="2"/>
  <c r="AA7226" i="2"/>
  <c r="Z7226" i="2"/>
  <c r="C7226" i="2"/>
  <c r="AA7225" i="2"/>
  <c r="Z7225" i="2"/>
  <c r="C7225" i="2"/>
  <c r="AA7224" i="2"/>
  <c r="Z7224" i="2"/>
  <c r="C7224" i="2"/>
  <c r="AA7223" i="2"/>
  <c r="Z7223" i="2"/>
  <c r="C7223" i="2"/>
  <c r="AA7222" i="2"/>
  <c r="Z7222" i="2"/>
  <c r="C7222" i="2"/>
  <c r="AA7221" i="2"/>
  <c r="Z7221" i="2"/>
  <c r="C7221" i="2"/>
  <c r="AA7220" i="2"/>
  <c r="Z7220" i="2"/>
  <c r="C7220" i="2"/>
  <c r="AA7219" i="2"/>
  <c r="Z7219" i="2"/>
  <c r="C7219" i="2"/>
  <c r="AA7218" i="2"/>
  <c r="Z7218" i="2"/>
  <c r="C7218" i="2"/>
  <c r="AA7217" i="2"/>
  <c r="Z7217" i="2"/>
  <c r="C7217" i="2"/>
  <c r="AA7216" i="2"/>
  <c r="Z7216" i="2"/>
  <c r="C7216" i="2"/>
  <c r="AA7215" i="2"/>
  <c r="Z7215" i="2"/>
  <c r="C7215" i="2"/>
  <c r="AA7214" i="2"/>
  <c r="Z7214" i="2"/>
  <c r="C7214" i="2"/>
  <c r="AA7213" i="2"/>
  <c r="Z7213" i="2"/>
  <c r="C7213" i="2"/>
  <c r="AA7212" i="2"/>
  <c r="Z7212" i="2"/>
  <c r="C7212" i="2"/>
  <c r="AA7211" i="2"/>
  <c r="Z7211" i="2"/>
  <c r="C7211" i="2"/>
  <c r="AA7210" i="2"/>
  <c r="Z7210" i="2"/>
  <c r="C7210" i="2"/>
  <c r="AA7209" i="2"/>
  <c r="Z7209" i="2"/>
  <c r="C7209" i="2"/>
  <c r="AA7208" i="2"/>
  <c r="Z7208" i="2"/>
  <c r="C7208" i="2"/>
  <c r="AA7207" i="2"/>
  <c r="Z7207" i="2"/>
  <c r="C7207" i="2"/>
  <c r="AA7206" i="2"/>
  <c r="Z7206" i="2"/>
  <c r="C7206" i="2"/>
  <c r="AA7205" i="2"/>
  <c r="Z7205" i="2"/>
  <c r="C7205" i="2"/>
  <c r="AA7204" i="2"/>
  <c r="Z7204" i="2"/>
  <c r="C7204" i="2"/>
  <c r="AA7203" i="2"/>
  <c r="Z7203" i="2"/>
  <c r="C7203" i="2"/>
  <c r="AA7202" i="2"/>
  <c r="Z7202" i="2"/>
  <c r="C7202" i="2"/>
  <c r="AA7201" i="2"/>
  <c r="Z7201" i="2"/>
  <c r="C7201" i="2"/>
  <c r="AA7200" i="2"/>
  <c r="Z7200" i="2"/>
  <c r="C7200" i="2"/>
  <c r="AA7199" i="2"/>
  <c r="Z7199" i="2"/>
  <c r="C7199" i="2"/>
  <c r="AA7198" i="2"/>
  <c r="Z7198" i="2"/>
  <c r="C7198" i="2"/>
  <c r="AA7197" i="2"/>
  <c r="Z7197" i="2"/>
  <c r="C7197" i="2"/>
  <c r="AA7196" i="2"/>
  <c r="Z7196" i="2"/>
  <c r="C7196" i="2"/>
  <c r="AA7195" i="2"/>
  <c r="Z7195" i="2"/>
  <c r="C7195" i="2"/>
  <c r="AA7194" i="2"/>
  <c r="Z7194" i="2"/>
  <c r="C7194" i="2"/>
  <c r="AA7193" i="2"/>
  <c r="Z7193" i="2"/>
  <c r="C7193" i="2"/>
  <c r="AA7192" i="2"/>
  <c r="Z7192" i="2"/>
  <c r="C7192" i="2"/>
  <c r="AA7191" i="2"/>
  <c r="Z7191" i="2"/>
  <c r="C7191" i="2"/>
  <c r="AA7190" i="2"/>
  <c r="Z7190" i="2"/>
  <c r="C7190" i="2"/>
  <c r="AA7189" i="2"/>
  <c r="Z7189" i="2"/>
  <c r="C7189" i="2"/>
  <c r="AA7188" i="2"/>
  <c r="Z7188" i="2"/>
  <c r="C7188" i="2"/>
  <c r="AA7187" i="2"/>
  <c r="Z7187" i="2"/>
  <c r="C7187" i="2"/>
  <c r="AA7186" i="2"/>
  <c r="Z7186" i="2"/>
  <c r="C7186" i="2"/>
  <c r="AA7185" i="2"/>
  <c r="Z7185" i="2"/>
  <c r="C7185" i="2"/>
  <c r="AA7184" i="2"/>
  <c r="Z7184" i="2"/>
  <c r="C7184" i="2"/>
  <c r="AA7183" i="2"/>
  <c r="Z7183" i="2"/>
  <c r="C7183" i="2"/>
  <c r="AA7182" i="2"/>
  <c r="Z7182" i="2"/>
  <c r="C7182" i="2"/>
  <c r="AA7181" i="2"/>
  <c r="Z7181" i="2"/>
  <c r="C7181" i="2"/>
  <c r="AA7180" i="2"/>
  <c r="Z7180" i="2"/>
  <c r="C7180" i="2"/>
  <c r="AA7179" i="2"/>
  <c r="Z7179" i="2"/>
  <c r="C7179" i="2"/>
  <c r="AA7178" i="2"/>
  <c r="Z7178" i="2"/>
  <c r="C7178" i="2"/>
  <c r="AA7177" i="2"/>
  <c r="Z7177" i="2"/>
  <c r="C7177" i="2"/>
  <c r="AA7176" i="2"/>
  <c r="Z7176" i="2"/>
  <c r="C7176" i="2"/>
  <c r="AA7175" i="2"/>
  <c r="Z7175" i="2"/>
  <c r="C7175" i="2"/>
  <c r="AA7174" i="2"/>
  <c r="Z7174" i="2"/>
  <c r="C7174" i="2"/>
  <c r="AA7173" i="2"/>
  <c r="Z7173" i="2"/>
  <c r="C7173" i="2"/>
  <c r="AA7172" i="2"/>
  <c r="Z7172" i="2"/>
  <c r="C7172" i="2"/>
  <c r="AA7171" i="2"/>
  <c r="Z7171" i="2"/>
  <c r="C7171" i="2"/>
  <c r="AA7170" i="2"/>
  <c r="Z7170" i="2"/>
  <c r="C7170" i="2"/>
  <c r="AA7169" i="2"/>
  <c r="Z7169" i="2"/>
  <c r="C7169" i="2"/>
  <c r="AA7168" i="2"/>
  <c r="Z7168" i="2"/>
  <c r="C7168" i="2"/>
  <c r="AA7167" i="2"/>
  <c r="Z7167" i="2"/>
  <c r="C7167" i="2"/>
  <c r="AA7166" i="2"/>
  <c r="Z7166" i="2"/>
  <c r="C7166" i="2"/>
  <c r="AA7165" i="2"/>
  <c r="Z7165" i="2"/>
  <c r="C7165" i="2"/>
  <c r="AA7164" i="2"/>
  <c r="Z7164" i="2"/>
  <c r="C7164" i="2"/>
  <c r="AA7163" i="2"/>
  <c r="Z7163" i="2"/>
  <c r="C7163" i="2"/>
  <c r="AA7162" i="2"/>
  <c r="Z7162" i="2"/>
  <c r="C7162" i="2"/>
  <c r="AA7161" i="2"/>
  <c r="Z7161" i="2"/>
  <c r="C7161" i="2"/>
  <c r="AA7160" i="2"/>
  <c r="Z7160" i="2"/>
  <c r="C7160" i="2"/>
  <c r="AA7159" i="2"/>
  <c r="Z7159" i="2"/>
  <c r="C7159" i="2"/>
  <c r="AA7158" i="2"/>
  <c r="Z7158" i="2"/>
  <c r="C7158" i="2"/>
  <c r="AA7157" i="2"/>
  <c r="Z7157" i="2"/>
  <c r="C7157" i="2"/>
  <c r="AA7156" i="2"/>
  <c r="Z7156" i="2"/>
  <c r="C7156" i="2"/>
  <c r="AA7155" i="2"/>
  <c r="Z7155" i="2"/>
  <c r="C7155" i="2"/>
  <c r="AA7154" i="2"/>
  <c r="Z7154" i="2"/>
  <c r="C7154" i="2"/>
  <c r="AA7153" i="2"/>
  <c r="Z7153" i="2"/>
  <c r="C7153" i="2"/>
  <c r="AA7152" i="2"/>
  <c r="Z7152" i="2"/>
  <c r="C7152" i="2"/>
  <c r="AA7151" i="2"/>
  <c r="Z7151" i="2"/>
  <c r="C7151" i="2"/>
  <c r="AA7150" i="2"/>
  <c r="Z7150" i="2"/>
  <c r="C7150" i="2"/>
  <c r="AA7149" i="2"/>
  <c r="Z7149" i="2"/>
  <c r="C7149" i="2"/>
  <c r="AA7148" i="2"/>
  <c r="Z7148" i="2"/>
  <c r="C7148" i="2"/>
  <c r="AA7147" i="2"/>
  <c r="Z7147" i="2"/>
  <c r="C7147" i="2"/>
  <c r="AA7146" i="2"/>
  <c r="Z7146" i="2"/>
  <c r="C7146" i="2"/>
  <c r="AA7145" i="2"/>
  <c r="Z7145" i="2"/>
  <c r="C7145" i="2"/>
  <c r="AA7144" i="2"/>
  <c r="Z7144" i="2"/>
  <c r="C7144" i="2"/>
  <c r="AA7143" i="2"/>
  <c r="Z7143" i="2"/>
  <c r="C7143" i="2"/>
  <c r="AA7142" i="2"/>
  <c r="Z7142" i="2"/>
  <c r="C7142" i="2"/>
  <c r="AA7141" i="2"/>
  <c r="Z7141" i="2"/>
  <c r="C7141" i="2"/>
  <c r="AA7140" i="2"/>
  <c r="Z7140" i="2"/>
  <c r="C7140" i="2"/>
  <c r="AA7139" i="2"/>
  <c r="Z7139" i="2"/>
  <c r="C7139" i="2"/>
  <c r="AA7138" i="2"/>
  <c r="Z7138" i="2"/>
  <c r="C7138" i="2"/>
  <c r="AA7137" i="2"/>
  <c r="Z7137" i="2"/>
  <c r="C7137" i="2"/>
  <c r="AA7136" i="2"/>
  <c r="Z7136" i="2"/>
  <c r="C7136" i="2"/>
  <c r="AA7135" i="2"/>
  <c r="Z7135" i="2"/>
  <c r="C7135" i="2"/>
  <c r="AA7134" i="2"/>
  <c r="Z7134" i="2"/>
  <c r="C7134" i="2"/>
  <c r="AA7133" i="2"/>
  <c r="Z7133" i="2"/>
  <c r="C7133" i="2"/>
  <c r="AA7132" i="2"/>
  <c r="Z7132" i="2"/>
  <c r="C7132" i="2"/>
  <c r="AA7131" i="2"/>
  <c r="Z7131" i="2"/>
  <c r="C7131" i="2"/>
  <c r="AA7130" i="2"/>
  <c r="Z7130" i="2"/>
  <c r="C7130" i="2"/>
  <c r="AA7129" i="2"/>
  <c r="Z7129" i="2"/>
  <c r="C7129" i="2"/>
  <c r="AA7128" i="2"/>
  <c r="Z7128" i="2"/>
  <c r="C7128" i="2"/>
  <c r="AA7127" i="2"/>
  <c r="Z7127" i="2"/>
  <c r="C7127" i="2"/>
  <c r="AA7126" i="2"/>
  <c r="Z7126" i="2"/>
  <c r="C7126" i="2"/>
  <c r="AA7125" i="2"/>
  <c r="Z7125" i="2"/>
  <c r="C7125" i="2"/>
  <c r="AA7124" i="2"/>
  <c r="Z7124" i="2"/>
  <c r="C7124" i="2"/>
  <c r="AA7123" i="2"/>
  <c r="Z7123" i="2"/>
  <c r="C7123" i="2"/>
  <c r="AA7122" i="2"/>
  <c r="Z7122" i="2"/>
  <c r="C7122" i="2"/>
  <c r="AA7121" i="2"/>
  <c r="Z7121" i="2"/>
  <c r="C7121" i="2"/>
  <c r="AA7120" i="2"/>
  <c r="Z7120" i="2"/>
  <c r="C7120" i="2"/>
  <c r="AA7119" i="2"/>
  <c r="Z7119" i="2"/>
  <c r="C7119" i="2"/>
  <c r="AA7118" i="2"/>
  <c r="Z7118" i="2"/>
  <c r="C7118" i="2"/>
  <c r="AA7117" i="2"/>
  <c r="Z7117" i="2"/>
  <c r="C7117" i="2"/>
  <c r="AA7116" i="2"/>
  <c r="Z7116" i="2"/>
  <c r="C7116" i="2"/>
  <c r="AA7115" i="2"/>
  <c r="Z7115" i="2"/>
  <c r="C7115" i="2"/>
  <c r="AA7114" i="2"/>
  <c r="Z7114" i="2"/>
  <c r="C7114" i="2"/>
  <c r="AA7113" i="2"/>
  <c r="Z7113" i="2"/>
  <c r="C7113" i="2"/>
  <c r="AA7112" i="2"/>
  <c r="Z7112" i="2"/>
  <c r="C7112" i="2"/>
  <c r="AA7111" i="2"/>
  <c r="Z7111" i="2"/>
  <c r="C7111" i="2"/>
  <c r="AA7110" i="2"/>
  <c r="Z7110" i="2"/>
  <c r="C7110" i="2"/>
  <c r="AA7109" i="2"/>
  <c r="Z7109" i="2"/>
  <c r="C7109" i="2"/>
  <c r="AA7108" i="2"/>
  <c r="Z7108" i="2"/>
  <c r="C7108" i="2"/>
  <c r="AA7107" i="2"/>
  <c r="Z7107" i="2"/>
  <c r="C7107" i="2"/>
  <c r="AA7106" i="2"/>
  <c r="Z7106" i="2"/>
  <c r="C7106" i="2"/>
  <c r="AA7105" i="2"/>
  <c r="Z7105" i="2"/>
  <c r="C7105" i="2"/>
  <c r="AA7104" i="2"/>
  <c r="Z7104" i="2"/>
  <c r="C7104" i="2"/>
  <c r="AA7103" i="2"/>
  <c r="Z7103" i="2"/>
  <c r="C7103" i="2"/>
  <c r="AA7102" i="2"/>
  <c r="Z7102" i="2"/>
  <c r="C7102" i="2"/>
  <c r="AA7101" i="2"/>
  <c r="Z7101" i="2"/>
  <c r="C7101" i="2"/>
  <c r="AA7100" i="2"/>
  <c r="Z7100" i="2"/>
  <c r="C7100" i="2"/>
  <c r="AA7099" i="2"/>
  <c r="Z7099" i="2"/>
  <c r="C7099" i="2"/>
  <c r="AA7098" i="2"/>
  <c r="Z7098" i="2"/>
  <c r="C7098" i="2"/>
  <c r="AA7097" i="2"/>
  <c r="Z7097" i="2"/>
  <c r="C7097" i="2"/>
  <c r="AA7096" i="2"/>
  <c r="Z7096" i="2"/>
  <c r="C7096" i="2"/>
  <c r="AA7095" i="2"/>
  <c r="Z7095" i="2"/>
  <c r="C7095" i="2"/>
  <c r="AA7094" i="2"/>
  <c r="Z7094" i="2"/>
  <c r="C7094" i="2"/>
  <c r="AA7093" i="2"/>
  <c r="Z7093" i="2"/>
  <c r="C7093" i="2"/>
  <c r="AA7092" i="2"/>
  <c r="Z7092" i="2"/>
  <c r="C7092" i="2"/>
  <c r="AA7091" i="2"/>
  <c r="Z7091" i="2"/>
  <c r="C7091" i="2"/>
  <c r="AA7090" i="2"/>
  <c r="Z7090" i="2"/>
  <c r="C7090" i="2"/>
  <c r="AA7089" i="2"/>
  <c r="Z7089" i="2"/>
  <c r="C7089" i="2"/>
  <c r="AA7088" i="2"/>
  <c r="Z7088" i="2"/>
  <c r="C7088" i="2"/>
  <c r="AA7087" i="2"/>
  <c r="Z7087" i="2"/>
  <c r="C7087" i="2"/>
  <c r="AA7086" i="2"/>
  <c r="Z7086" i="2"/>
  <c r="C7086" i="2"/>
  <c r="AA7085" i="2"/>
  <c r="Z7085" i="2"/>
  <c r="C7085" i="2"/>
  <c r="AA7084" i="2"/>
  <c r="Z7084" i="2"/>
  <c r="C7084" i="2"/>
  <c r="AA7083" i="2"/>
  <c r="Z7083" i="2"/>
  <c r="C7083" i="2"/>
  <c r="AA7082" i="2"/>
  <c r="Z7082" i="2"/>
  <c r="C7082" i="2"/>
  <c r="AA7081" i="2"/>
  <c r="Z7081" i="2"/>
  <c r="C7081" i="2"/>
  <c r="AA7080" i="2"/>
  <c r="Z7080" i="2"/>
  <c r="C7080" i="2"/>
  <c r="AA7079" i="2"/>
  <c r="Z7079" i="2"/>
  <c r="C7079" i="2"/>
  <c r="AA7078" i="2"/>
  <c r="Z7078" i="2"/>
  <c r="C7078" i="2"/>
  <c r="AA7077" i="2"/>
  <c r="Z7077" i="2"/>
  <c r="C7077" i="2"/>
  <c r="AA7076" i="2"/>
  <c r="Z7076" i="2"/>
  <c r="C7076" i="2"/>
  <c r="AA7075" i="2"/>
  <c r="Z7075" i="2"/>
  <c r="C7075" i="2"/>
  <c r="AA7074" i="2"/>
  <c r="Z7074" i="2"/>
  <c r="C7074" i="2"/>
  <c r="AA7073" i="2"/>
  <c r="Z7073" i="2"/>
  <c r="C7073" i="2"/>
  <c r="AA7072" i="2"/>
  <c r="Z7072" i="2"/>
  <c r="C7072" i="2"/>
  <c r="AA7071" i="2"/>
  <c r="Z7071" i="2"/>
  <c r="C7071" i="2"/>
  <c r="AA7070" i="2"/>
  <c r="Z7070" i="2"/>
  <c r="C7070" i="2"/>
  <c r="AA7069" i="2"/>
  <c r="Z7069" i="2"/>
  <c r="C7069" i="2"/>
  <c r="AA7068" i="2"/>
  <c r="Z7068" i="2"/>
  <c r="C7068" i="2"/>
  <c r="AA7067" i="2"/>
  <c r="Z7067" i="2"/>
  <c r="C7067" i="2"/>
  <c r="AA7066" i="2"/>
  <c r="Z7066" i="2"/>
  <c r="C7066" i="2"/>
  <c r="AA7065" i="2"/>
  <c r="Z7065" i="2"/>
  <c r="C7065" i="2"/>
  <c r="AA7064" i="2"/>
  <c r="Z7064" i="2"/>
  <c r="C7064" i="2"/>
  <c r="AA7063" i="2"/>
  <c r="Z7063" i="2"/>
  <c r="C7063" i="2"/>
  <c r="AA7062" i="2"/>
  <c r="Z7062" i="2"/>
  <c r="C7062" i="2"/>
  <c r="AA7061" i="2"/>
  <c r="Z7061" i="2"/>
  <c r="C7061" i="2"/>
  <c r="AA7060" i="2"/>
  <c r="Z7060" i="2"/>
  <c r="C7060" i="2"/>
  <c r="AA7059" i="2"/>
  <c r="Z7059" i="2"/>
  <c r="C7059" i="2"/>
  <c r="AA7058" i="2"/>
  <c r="Z7058" i="2"/>
  <c r="C7058" i="2"/>
  <c r="AA7057" i="2"/>
  <c r="Z7057" i="2"/>
  <c r="C7057" i="2"/>
  <c r="AA7056" i="2"/>
  <c r="Z7056" i="2"/>
  <c r="C7056" i="2"/>
  <c r="AA7055" i="2"/>
  <c r="Z7055" i="2"/>
  <c r="C7055" i="2"/>
  <c r="AA7054" i="2"/>
  <c r="Z7054" i="2"/>
  <c r="C7054" i="2"/>
  <c r="AA7053" i="2"/>
  <c r="Z7053" i="2"/>
  <c r="C7053" i="2"/>
  <c r="AA7052" i="2"/>
  <c r="Z7052" i="2"/>
  <c r="C7052" i="2"/>
  <c r="AA7051" i="2"/>
  <c r="Z7051" i="2"/>
  <c r="C7051" i="2"/>
  <c r="AA7050" i="2"/>
  <c r="Z7050" i="2"/>
  <c r="C7050" i="2"/>
  <c r="AA7049" i="2"/>
  <c r="Z7049" i="2"/>
  <c r="C7049" i="2"/>
  <c r="AA7048" i="2"/>
  <c r="Z7048" i="2"/>
  <c r="C7048" i="2"/>
  <c r="AA7047" i="2"/>
  <c r="Z7047" i="2"/>
  <c r="C7047" i="2"/>
  <c r="AA7046" i="2"/>
  <c r="Z7046" i="2"/>
  <c r="C7046" i="2"/>
  <c r="AA7045" i="2"/>
  <c r="Z7045" i="2"/>
  <c r="C7045" i="2"/>
  <c r="AA7044" i="2"/>
  <c r="Z7044" i="2"/>
  <c r="C7044" i="2"/>
  <c r="AA7043" i="2"/>
  <c r="Z7043" i="2"/>
  <c r="C7043" i="2"/>
  <c r="AA7042" i="2"/>
  <c r="Z7042" i="2"/>
  <c r="C7042" i="2"/>
  <c r="AA7041" i="2"/>
  <c r="Z7041" i="2"/>
  <c r="C7041" i="2"/>
  <c r="AA7040" i="2"/>
  <c r="Z7040" i="2"/>
  <c r="C7040" i="2"/>
  <c r="AA7039" i="2"/>
  <c r="Z7039" i="2"/>
  <c r="C7039" i="2"/>
  <c r="AA7038" i="2"/>
  <c r="Z7038" i="2"/>
  <c r="C7038" i="2"/>
  <c r="AA7037" i="2"/>
  <c r="Z7037" i="2"/>
  <c r="C7037" i="2"/>
  <c r="AA7036" i="2"/>
  <c r="Z7036" i="2"/>
  <c r="C7036" i="2"/>
  <c r="AA7035" i="2"/>
  <c r="Z7035" i="2"/>
  <c r="C7035" i="2"/>
  <c r="AA7034" i="2"/>
  <c r="Z7034" i="2"/>
  <c r="C7034" i="2"/>
  <c r="AA7033" i="2"/>
  <c r="Z7033" i="2"/>
  <c r="C7033" i="2"/>
  <c r="AA7032" i="2"/>
  <c r="Z7032" i="2"/>
  <c r="C7032" i="2"/>
  <c r="AA7031" i="2"/>
  <c r="Z7031" i="2"/>
  <c r="C7031" i="2"/>
  <c r="AA7030" i="2"/>
  <c r="Z7030" i="2"/>
  <c r="C7030" i="2"/>
  <c r="AA7029" i="2"/>
  <c r="Z7029" i="2"/>
  <c r="C7029" i="2"/>
  <c r="AA7028" i="2"/>
  <c r="Z7028" i="2"/>
  <c r="C7028" i="2"/>
  <c r="AA7027" i="2"/>
  <c r="Z7027" i="2"/>
  <c r="C7027" i="2"/>
  <c r="AA7026" i="2"/>
  <c r="Z7026" i="2"/>
  <c r="C7026" i="2"/>
  <c r="AA7025" i="2"/>
  <c r="Z7025" i="2"/>
  <c r="C7025" i="2"/>
  <c r="AA7024" i="2"/>
  <c r="Z7024" i="2"/>
  <c r="C7024" i="2"/>
  <c r="AA7023" i="2"/>
  <c r="Z7023" i="2"/>
  <c r="C7023" i="2"/>
  <c r="AA7022" i="2"/>
  <c r="Z7022" i="2"/>
  <c r="C7022" i="2"/>
  <c r="AA7021" i="2"/>
  <c r="Z7021" i="2"/>
  <c r="C7021" i="2"/>
  <c r="AA7020" i="2"/>
  <c r="Z7020" i="2"/>
  <c r="C7020" i="2"/>
  <c r="AA7019" i="2"/>
  <c r="Z7019" i="2"/>
  <c r="C7019" i="2"/>
  <c r="AA7018" i="2"/>
  <c r="Z7018" i="2"/>
  <c r="C7018" i="2"/>
  <c r="AA7017" i="2"/>
  <c r="Z7017" i="2"/>
  <c r="C7017" i="2"/>
  <c r="AA7016" i="2"/>
  <c r="Z7016" i="2"/>
  <c r="C7016" i="2"/>
  <c r="AA7015" i="2"/>
  <c r="Z7015" i="2"/>
  <c r="C7015" i="2"/>
  <c r="AA7014" i="2"/>
  <c r="Z7014" i="2"/>
  <c r="C7014" i="2"/>
  <c r="AA7013" i="2"/>
  <c r="Z7013" i="2"/>
  <c r="C7013" i="2"/>
  <c r="AA7012" i="2"/>
  <c r="Z7012" i="2"/>
  <c r="C7012" i="2"/>
  <c r="AA7011" i="2"/>
  <c r="Z7011" i="2"/>
  <c r="C7011" i="2"/>
  <c r="AA7010" i="2"/>
  <c r="Z7010" i="2"/>
  <c r="C7010" i="2"/>
  <c r="AA7009" i="2"/>
  <c r="Z7009" i="2"/>
  <c r="C7009" i="2"/>
  <c r="AA7008" i="2"/>
  <c r="Z7008" i="2"/>
  <c r="C7008" i="2"/>
  <c r="AA7007" i="2"/>
  <c r="Z7007" i="2"/>
  <c r="C7007" i="2"/>
  <c r="AA7006" i="2"/>
  <c r="Z7006" i="2"/>
  <c r="C7006" i="2"/>
  <c r="AA7005" i="2"/>
  <c r="Z7005" i="2"/>
  <c r="C7005" i="2"/>
  <c r="AA7004" i="2"/>
  <c r="Z7004" i="2"/>
  <c r="C7004" i="2"/>
  <c r="AA7003" i="2"/>
  <c r="Z7003" i="2"/>
  <c r="C7003" i="2"/>
  <c r="AA7002" i="2"/>
  <c r="Z7002" i="2"/>
  <c r="C7002" i="2"/>
  <c r="AA7001" i="2"/>
  <c r="Z7001" i="2"/>
  <c r="C7001" i="2"/>
  <c r="AA7000" i="2"/>
  <c r="Z7000" i="2"/>
  <c r="C7000" i="2"/>
  <c r="AA6999" i="2"/>
  <c r="Z6999" i="2"/>
  <c r="C6999" i="2"/>
  <c r="AA6998" i="2"/>
  <c r="Z6998" i="2"/>
  <c r="C6998" i="2"/>
  <c r="AA6997" i="2"/>
  <c r="Z6997" i="2"/>
  <c r="C6997" i="2"/>
  <c r="AA6996" i="2"/>
  <c r="Z6996" i="2"/>
  <c r="C6996" i="2"/>
  <c r="AA6995" i="2"/>
  <c r="Z6995" i="2"/>
  <c r="C6995" i="2"/>
  <c r="AA6994" i="2"/>
  <c r="Z6994" i="2"/>
  <c r="C6994" i="2"/>
  <c r="AA6993" i="2"/>
  <c r="Z6993" i="2"/>
  <c r="C6993" i="2"/>
  <c r="AA6992" i="2"/>
  <c r="Z6992" i="2"/>
  <c r="C6992" i="2"/>
  <c r="AA6991" i="2"/>
  <c r="Z6991" i="2"/>
  <c r="C6991" i="2"/>
  <c r="AA6990" i="2"/>
  <c r="Z6990" i="2"/>
  <c r="C6990" i="2"/>
  <c r="AA6989" i="2"/>
  <c r="Z6989" i="2"/>
  <c r="C6989" i="2"/>
  <c r="AA6988" i="2"/>
  <c r="Z6988" i="2"/>
  <c r="C6988" i="2"/>
  <c r="AA6987" i="2"/>
  <c r="Z6987" i="2"/>
  <c r="C6987" i="2"/>
  <c r="AA6986" i="2"/>
  <c r="Z6986" i="2"/>
  <c r="C6986" i="2"/>
  <c r="AA6985" i="2"/>
  <c r="Z6985" i="2"/>
  <c r="C6985" i="2"/>
  <c r="AA6984" i="2"/>
  <c r="Z6984" i="2"/>
  <c r="C6984" i="2"/>
  <c r="AA6983" i="2"/>
  <c r="Z6983" i="2"/>
  <c r="C6983" i="2"/>
  <c r="AA6982" i="2"/>
  <c r="Z6982" i="2"/>
  <c r="C6982" i="2"/>
  <c r="AA6981" i="2"/>
  <c r="Z6981" i="2"/>
  <c r="C6981" i="2"/>
  <c r="AA6980" i="2"/>
  <c r="Z6980" i="2"/>
  <c r="C6980" i="2"/>
  <c r="AA6979" i="2"/>
  <c r="Z6979" i="2"/>
  <c r="C6979" i="2"/>
  <c r="AA6978" i="2"/>
  <c r="Z6978" i="2"/>
  <c r="C6978" i="2"/>
  <c r="AA6977" i="2"/>
  <c r="Z6977" i="2"/>
  <c r="C6977" i="2"/>
  <c r="AA6976" i="2"/>
  <c r="Z6976" i="2"/>
  <c r="C6976" i="2"/>
  <c r="AA6975" i="2"/>
  <c r="Z6975" i="2"/>
  <c r="C6975" i="2"/>
  <c r="AA6974" i="2"/>
  <c r="Z6974" i="2"/>
  <c r="C6974" i="2"/>
  <c r="AA6973" i="2"/>
  <c r="Z6973" i="2"/>
  <c r="C6973" i="2"/>
  <c r="AA6972" i="2"/>
  <c r="Z6972" i="2"/>
  <c r="C6972" i="2"/>
  <c r="AA6971" i="2"/>
  <c r="Z6971" i="2"/>
  <c r="C6971" i="2"/>
  <c r="AA6970" i="2"/>
  <c r="Z6970" i="2"/>
  <c r="C6970" i="2"/>
  <c r="AA6969" i="2"/>
  <c r="Z6969" i="2"/>
  <c r="C6969" i="2"/>
  <c r="AA6968" i="2"/>
  <c r="Z6968" i="2"/>
  <c r="C6968" i="2"/>
  <c r="AA6967" i="2"/>
  <c r="Z6967" i="2"/>
  <c r="C6967" i="2"/>
  <c r="AA6966" i="2"/>
  <c r="Z6966" i="2"/>
  <c r="C6966" i="2"/>
  <c r="AA6965" i="2"/>
  <c r="Z6965" i="2"/>
  <c r="C6965" i="2"/>
  <c r="AA6964" i="2"/>
  <c r="Z6964" i="2"/>
  <c r="C6964" i="2"/>
  <c r="AA6963" i="2"/>
  <c r="Z6963" i="2"/>
  <c r="C6963" i="2"/>
  <c r="AA6962" i="2"/>
  <c r="Z6962" i="2"/>
  <c r="C6962" i="2"/>
  <c r="AA6961" i="2"/>
  <c r="Z6961" i="2"/>
  <c r="C6961" i="2"/>
  <c r="AA6960" i="2"/>
  <c r="Z6960" i="2"/>
  <c r="C6960" i="2"/>
  <c r="AA6959" i="2"/>
  <c r="Z6959" i="2"/>
  <c r="C6959" i="2"/>
  <c r="AA6958" i="2"/>
  <c r="Z6958" i="2"/>
  <c r="C6958" i="2"/>
  <c r="AA6957" i="2"/>
  <c r="Z6957" i="2"/>
  <c r="C6957" i="2"/>
  <c r="AA6956" i="2"/>
  <c r="Z6956" i="2"/>
  <c r="C6956" i="2"/>
  <c r="AA6955" i="2"/>
  <c r="Z6955" i="2"/>
  <c r="C6955" i="2"/>
  <c r="AA6954" i="2"/>
  <c r="Z6954" i="2"/>
  <c r="C6954" i="2"/>
  <c r="AA6953" i="2"/>
  <c r="Z6953" i="2"/>
  <c r="C6953" i="2"/>
  <c r="AA6952" i="2"/>
  <c r="Z6952" i="2"/>
  <c r="C6952" i="2"/>
  <c r="AA6951" i="2"/>
  <c r="Z6951" i="2"/>
  <c r="C6951" i="2"/>
  <c r="AA6950" i="2"/>
  <c r="Z6950" i="2"/>
  <c r="C6950" i="2"/>
  <c r="AA6949" i="2"/>
  <c r="Z6949" i="2"/>
  <c r="C6949" i="2"/>
  <c r="AA6948" i="2"/>
  <c r="Z6948" i="2"/>
  <c r="C6948" i="2"/>
  <c r="AA6947" i="2"/>
  <c r="Z6947" i="2"/>
  <c r="C6947" i="2"/>
  <c r="AA6946" i="2"/>
  <c r="Z6946" i="2"/>
  <c r="C6946" i="2"/>
  <c r="AA6945" i="2"/>
  <c r="Z6945" i="2"/>
  <c r="C6945" i="2"/>
  <c r="AA6944" i="2"/>
  <c r="Z6944" i="2"/>
  <c r="C6944" i="2"/>
  <c r="AA6943" i="2"/>
  <c r="Z6943" i="2"/>
  <c r="C6943" i="2"/>
  <c r="AA6942" i="2"/>
  <c r="Z6942" i="2"/>
  <c r="C6942" i="2"/>
  <c r="AA6941" i="2"/>
  <c r="Z6941" i="2"/>
  <c r="C6941" i="2"/>
  <c r="AA6940" i="2"/>
  <c r="Z6940" i="2"/>
  <c r="C6940" i="2"/>
  <c r="AA6939" i="2"/>
  <c r="Z6939" i="2"/>
  <c r="C6939" i="2"/>
  <c r="AA6938" i="2"/>
  <c r="Z6938" i="2"/>
  <c r="C6938" i="2"/>
  <c r="AA6937" i="2"/>
  <c r="Z6937" i="2"/>
  <c r="C6937" i="2"/>
  <c r="AA6936" i="2"/>
  <c r="Z6936" i="2"/>
  <c r="C6936" i="2"/>
  <c r="AA6935" i="2"/>
  <c r="Z6935" i="2"/>
  <c r="C6935" i="2"/>
  <c r="AA6934" i="2"/>
  <c r="Z6934" i="2"/>
  <c r="C6934" i="2"/>
  <c r="AA6933" i="2"/>
  <c r="Z6933" i="2"/>
  <c r="C6933" i="2"/>
  <c r="AA6932" i="2"/>
  <c r="Z6932" i="2"/>
  <c r="C6932" i="2"/>
  <c r="AA6931" i="2"/>
  <c r="Z6931" i="2"/>
  <c r="C6931" i="2"/>
  <c r="AA6930" i="2"/>
  <c r="Z6930" i="2"/>
  <c r="C6930" i="2"/>
  <c r="AA6929" i="2"/>
  <c r="Z6929" i="2"/>
  <c r="C6929" i="2"/>
  <c r="AA6928" i="2"/>
  <c r="Z6928" i="2"/>
  <c r="C6928" i="2"/>
  <c r="AA6927" i="2"/>
  <c r="Z6927" i="2"/>
  <c r="C6927" i="2"/>
  <c r="AA6926" i="2"/>
  <c r="Z6926" i="2"/>
  <c r="C6926" i="2"/>
  <c r="AA6925" i="2"/>
  <c r="Z6925" i="2"/>
  <c r="C6925" i="2"/>
  <c r="AA6924" i="2"/>
  <c r="Z6924" i="2"/>
  <c r="C6924" i="2"/>
  <c r="AA6923" i="2"/>
  <c r="Z6923" i="2"/>
  <c r="C6923" i="2"/>
  <c r="AA6922" i="2"/>
  <c r="Z6922" i="2"/>
  <c r="C6922" i="2"/>
  <c r="AA6921" i="2"/>
  <c r="Z6921" i="2"/>
  <c r="C6921" i="2"/>
  <c r="AA6920" i="2"/>
  <c r="Z6920" i="2"/>
  <c r="C6920" i="2"/>
  <c r="AA6919" i="2"/>
  <c r="Z6919" i="2"/>
  <c r="C6919" i="2"/>
  <c r="AA6918" i="2"/>
  <c r="Z6918" i="2"/>
  <c r="C6918" i="2"/>
  <c r="AA6917" i="2"/>
  <c r="Z6917" i="2"/>
  <c r="C6917" i="2"/>
  <c r="AA6916" i="2"/>
  <c r="Z6916" i="2"/>
  <c r="C6916" i="2"/>
  <c r="AA6915" i="2"/>
  <c r="Z6915" i="2"/>
  <c r="C6915" i="2"/>
  <c r="AA6914" i="2"/>
  <c r="Z6914" i="2"/>
  <c r="C6914" i="2"/>
  <c r="AA6913" i="2"/>
  <c r="Z6913" i="2"/>
  <c r="C6913" i="2"/>
  <c r="AA6912" i="2"/>
  <c r="Z6912" i="2"/>
  <c r="C6912" i="2"/>
  <c r="AA6911" i="2"/>
  <c r="Z6911" i="2"/>
  <c r="C6911" i="2"/>
  <c r="AA6910" i="2"/>
  <c r="Z6910" i="2"/>
  <c r="C6910" i="2"/>
  <c r="AA6909" i="2"/>
  <c r="Z6909" i="2"/>
  <c r="C6909" i="2"/>
  <c r="AA6908" i="2"/>
  <c r="Z6908" i="2"/>
  <c r="C6908" i="2"/>
  <c r="AA6907" i="2"/>
  <c r="Z6907" i="2"/>
  <c r="C6907" i="2"/>
  <c r="AA6906" i="2"/>
  <c r="Z6906" i="2"/>
  <c r="C6906" i="2"/>
  <c r="AA6905" i="2"/>
  <c r="Z6905" i="2"/>
  <c r="C6905" i="2"/>
  <c r="AA6904" i="2"/>
  <c r="Z6904" i="2"/>
  <c r="C6904" i="2"/>
  <c r="AA6903" i="2"/>
  <c r="Z6903" i="2"/>
  <c r="C6903" i="2"/>
  <c r="AA6902" i="2"/>
  <c r="Z6902" i="2"/>
  <c r="C6902" i="2"/>
  <c r="AA6901" i="2"/>
  <c r="Z6901" i="2"/>
  <c r="C6901" i="2"/>
  <c r="AA6900" i="2"/>
  <c r="Z6900" i="2"/>
  <c r="C6900" i="2"/>
  <c r="AA6899" i="2"/>
  <c r="Z6899" i="2"/>
  <c r="C6899" i="2"/>
  <c r="AA6898" i="2"/>
  <c r="Z6898" i="2"/>
  <c r="C6898" i="2"/>
  <c r="AA6897" i="2"/>
  <c r="Z6897" i="2"/>
  <c r="C6897" i="2"/>
  <c r="AA6896" i="2"/>
  <c r="Z6896" i="2"/>
  <c r="C6896" i="2"/>
  <c r="AA6895" i="2"/>
  <c r="Z6895" i="2"/>
  <c r="C6895" i="2"/>
  <c r="AA6894" i="2"/>
  <c r="Z6894" i="2"/>
  <c r="C6894" i="2"/>
  <c r="AA6893" i="2"/>
  <c r="Z6893" i="2"/>
  <c r="C6893" i="2"/>
  <c r="AA6892" i="2"/>
  <c r="Z6892" i="2"/>
  <c r="C6892" i="2"/>
  <c r="AA6891" i="2"/>
  <c r="Z6891" i="2"/>
  <c r="C6891" i="2"/>
  <c r="AA6890" i="2"/>
  <c r="Z6890" i="2"/>
  <c r="C6890" i="2"/>
  <c r="AA6889" i="2"/>
  <c r="Z6889" i="2"/>
  <c r="C6889" i="2"/>
  <c r="AA6888" i="2"/>
  <c r="Z6888" i="2"/>
  <c r="C6888" i="2"/>
  <c r="AA6887" i="2"/>
  <c r="Z6887" i="2"/>
  <c r="C6887" i="2"/>
  <c r="AA6886" i="2"/>
  <c r="Z6886" i="2"/>
  <c r="C6886" i="2"/>
  <c r="AA6885" i="2"/>
  <c r="Z6885" i="2"/>
  <c r="C6885" i="2"/>
  <c r="AA6884" i="2"/>
  <c r="Z6884" i="2"/>
  <c r="C6884" i="2"/>
  <c r="AA6883" i="2"/>
  <c r="Z6883" i="2"/>
  <c r="C6883" i="2"/>
  <c r="AA6882" i="2"/>
  <c r="Z6882" i="2"/>
  <c r="C6882" i="2"/>
  <c r="AA6881" i="2"/>
  <c r="Z6881" i="2"/>
  <c r="C6881" i="2"/>
  <c r="AA6880" i="2"/>
  <c r="Z6880" i="2"/>
  <c r="C6880" i="2"/>
  <c r="AA6879" i="2"/>
  <c r="Z6879" i="2"/>
  <c r="C6879" i="2"/>
  <c r="AA6878" i="2"/>
  <c r="Z6878" i="2"/>
  <c r="C6878" i="2"/>
  <c r="AA6877" i="2"/>
  <c r="Z6877" i="2"/>
  <c r="C6877" i="2"/>
  <c r="AA6876" i="2"/>
  <c r="Z6876" i="2"/>
  <c r="C6876" i="2"/>
  <c r="AA6875" i="2"/>
  <c r="Z6875" i="2"/>
  <c r="C6875" i="2"/>
  <c r="AA6874" i="2"/>
  <c r="Z6874" i="2"/>
  <c r="C6874" i="2"/>
  <c r="AA6873" i="2"/>
  <c r="Z6873" i="2"/>
  <c r="C6873" i="2"/>
  <c r="AA6872" i="2"/>
  <c r="Z6872" i="2"/>
  <c r="C6872" i="2"/>
  <c r="AA6871" i="2"/>
  <c r="Z6871" i="2"/>
  <c r="C6871" i="2"/>
  <c r="AA6870" i="2"/>
  <c r="Z6870" i="2"/>
  <c r="C6870" i="2"/>
  <c r="AA6869" i="2"/>
  <c r="Z6869" i="2"/>
  <c r="C6869" i="2"/>
  <c r="AA6868" i="2"/>
  <c r="Z6868" i="2"/>
  <c r="C6868" i="2"/>
  <c r="AA6867" i="2"/>
  <c r="Z6867" i="2"/>
  <c r="C6867" i="2"/>
  <c r="AA6866" i="2"/>
  <c r="Z6866" i="2"/>
  <c r="C6866" i="2"/>
  <c r="AA6865" i="2"/>
  <c r="Z6865" i="2"/>
  <c r="C6865" i="2"/>
  <c r="AA6864" i="2"/>
  <c r="Z6864" i="2"/>
  <c r="C6864" i="2"/>
  <c r="AA6863" i="2"/>
  <c r="Z6863" i="2"/>
  <c r="C6863" i="2"/>
  <c r="AA6862" i="2"/>
  <c r="Z6862" i="2"/>
  <c r="C6862" i="2"/>
  <c r="AA6861" i="2"/>
  <c r="Z6861" i="2"/>
  <c r="C6861" i="2"/>
  <c r="AA6860" i="2"/>
  <c r="Z6860" i="2"/>
  <c r="C6860" i="2"/>
  <c r="AA6859" i="2"/>
  <c r="Z6859" i="2"/>
  <c r="C6859" i="2"/>
  <c r="AA6858" i="2"/>
  <c r="Z6858" i="2"/>
  <c r="C6858" i="2"/>
  <c r="AA6857" i="2"/>
  <c r="Z6857" i="2"/>
  <c r="C6857" i="2"/>
  <c r="AA6856" i="2"/>
  <c r="Z6856" i="2"/>
  <c r="C6856" i="2"/>
  <c r="AA6855" i="2"/>
  <c r="Z6855" i="2"/>
  <c r="C6855" i="2"/>
  <c r="AA6854" i="2"/>
  <c r="Z6854" i="2"/>
  <c r="C6854" i="2"/>
  <c r="AA6853" i="2"/>
  <c r="Z6853" i="2"/>
  <c r="C6853" i="2"/>
  <c r="AA6852" i="2"/>
  <c r="Z6852" i="2"/>
  <c r="C6852" i="2"/>
  <c r="AA6851" i="2"/>
  <c r="Z6851" i="2"/>
  <c r="C6851" i="2"/>
  <c r="AA6850" i="2"/>
  <c r="Z6850" i="2"/>
  <c r="C6850" i="2"/>
  <c r="AA6849" i="2"/>
  <c r="Z6849" i="2"/>
  <c r="C6849" i="2"/>
  <c r="AA6848" i="2"/>
  <c r="Z6848" i="2"/>
  <c r="C6848" i="2"/>
  <c r="AA6847" i="2"/>
  <c r="Z6847" i="2"/>
  <c r="C6847" i="2"/>
  <c r="AA6846" i="2"/>
  <c r="Z6846" i="2"/>
  <c r="C6846" i="2"/>
  <c r="AA6845" i="2"/>
  <c r="Z6845" i="2"/>
  <c r="C6845" i="2"/>
  <c r="AA6844" i="2"/>
  <c r="Z6844" i="2"/>
  <c r="C6844" i="2"/>
  <c r="AA6843" i="2"/>
  <c r="Z6843" i="2"/>
  <c r="C6843" i="2"/>
  <c r="AA6842" i="2"/>
  <c r="Z6842" i="2"/>
  <c r="C6842" i="2"/>
  <c r="AA6841" i="2"/>
  <c r="Z6841" i="2"/>
  <c r="C6841" i="2"/>
  <c r="AA6840" i="2"/>
  <c r="Z6840" i="2"/>
  <c r="C6840" i="2"/>
  <c r="AA6839" i="2"/>
  <c r="Z6839" i="2"/>
  <c r="C6839" i="2"/>
  <c r="AA6838" i="2"/>
  <c r="Z6838" i="2"/>
  <c r="C6838" i="2"/>
  <c r="AA6837" i="2"/>
  <c r="Z6837" i="2"/>
  <c r="C6837" i="2"/>
  <c r="AA6836" i="2"/>
  <c r="Z6836" i="2"/>
  <c r="C6836" i="2"/>
  <c r="AA6835" i="2"/>
  <c r="Z6835" i="2"/>
  <c r="C6835" i="2"/>
  <c r="AA6834" i="2"/>
  <c r="Z6834" i="2"/>
  <c r="C6834" i="2"/>
  <c r="AA6833" i="2"/>
  <c r="Z6833" i="2"/>
  <c r="C6833" i="2"/>
  <c r="AA6832" i="2"/>
  <c r="Z6832" i="2"/>
  <c r="C6832" i="2"/>
  <c r="AA6831" i="2"/>
  <c r="Z6831" i="2"/>
  <c r="C6831" i="2"/>
  <c r="AA6830" i="2"/>
  <c r="Z6830" i="2"/>
  <c r="C6830" i="2"/>
  <c r="AA6829" i="2"/>
  <c r="Z6829" i="2"/>
  <c r="C6829" i="2"/>
  <c r="AA6828" i="2"/>
  <c r="Z6828" i="2"/>
  <c r="C6828" i="2"/>
  <c r="AA6827" i="2"/>
  <c r="Z6827" i="2"/>
  <c r="C6827" i="2"/>
  <c r="AA6826" i="2"/>
  <c r="Z6826" i="2"/>
  <c r="C6826" i="2"/>
  <c r="AA6825" i="2"/>
  <c r="Z6825" i="2"/>
  <c r="C6825" i="2"/>
  <c r="AA6824" i="2"/>
  <c r="Z6824" i="2"/>
  <c r="C6824" i="2"/>
  <c r="AA6823" i="2"/>
  <c r="Z6823" i="2"/>
  <c r="C6823" i="2"/>
  <c r="AA6822" i="2"/>
  <c r="Z6822" i="2"/>
  <c r="C6822" i="2"/>
  <c r="AA6821" i="2"/>
  <c r="Z6821" i="2"/>
  <c r="C6821" i="2"/>
  <c r="AA6820" i="2"/>
  <c r="Z6820" i="2"/>
  <c r="C6820" i="2"/>
  <c r="AA6819" i="2"/>
  <c r="Z6819" i="2"/>
  <c r="C6819" i="2"/>
  <c r="AA6818" i="2"/>
  <c r="Z6818" i="2"/>
  <c r="C6818" i="2"/>
  <c r="AA6817" i="2"/>
  <c r="Z6817" i="2"/>
  <c r="C6817" i="2"/>
  <c r="AA6816" i="2"/>
  <c r="Z6816" i="2"/>
  <c r="C6816" i="2"/>
  <c r="AA6815" i="2"/>
  <c r="Z6815" i="2"/>
  <c r="C6815" i="2"/>
  <c r="AA6814" i="2"/>
  <c r="Z6814" i="2"/>
  <c r="C6814" i="2"/>
  <c r="AA6813" i="2"/>
  <c r="Z6813" i="2"/>
  <c r="C6813" i="2"/>
  <c r="AA6812" i="2"/>
  <c r="Z6812" i="2"/>
  <c r="C6812" i="2"/>
  <c r="AA6811" i="2"/>
  <c r="Z6811" i="2"/>
  <c r="C6811" i="2"/>
  <c r="AA6810" i="2"/>
  <c r="Z6810" i="2"/>
  <c r="C6810" i="2"/>
  <c r="AA6809" i="2"/>
  <c r="Z6809" i="2"/>
  <c r="C6809" i="2"/>
  <c r="AA6808" i="2"/>
  <c r="Z6808" i="2"/>
  <c r="C6808" i="2"/>
  <c r="AA6807" i="2"/>
  <c r="Z6807" i="2"/>
  <c r="C6807" i="2"/>
  <c r="AA6806" i="2"/>
  <c r="Z6806" i="2"/>
  <c r="C6806" i="2"/>
  <c r="AA6805" i="2"/>
  <c r="Z6805" i="2"/>
  <c r="C6805" i="2"/>
  <c r="AA6804" i="2"/>
  <c r="Z6804" i="2"/>
  <c r="C6804" i="2"/>
  <c r="AA6803" i="2"/>
  <c r="Z6803" i="2"/>
  <c r="C6803" i="2"/>
  <c r="AA6802" i="2"/>
  <c r="Z6802" i="2"/>
  <c r="C6802" i="2"/>
  <c r="AA6801" i="2"/>
  <c r="Z6801" i="2"/>
  <c r="C6801" i="2"/>
  <c r="AA6800" i="2"/>
  <c r="Z6800" i="2"/>
  <c r="C6800" i="2"/>
  <c r="AA6799" i="2"/>
  <c r="Z6799" i="2"/>
  <c r="C6799" i="2"/>
  <c r="AA6798" i="2"/>
  <c r="Z6798" i="2"/>
  <c r="C6798" i="2"/>
  <c r="AA6797" i="2"/>
  <c r="Z6797" i="2"/>
  <c r="C6797" i="2"/>
  <c r="AA6796" i="2"/>
  <c r="Z6796" i="2"/>
  <c r="C6796" i="2"/>
  <c r="AA6795" i="2"/>
  <c r="Z6795" i="2"/>
  <c r="C6795" i="2"/>
  <c r="AA6794" i="2"/>
  <c r="Z6794" i="2"/>
  <c r="C6794" i="2"/>
  <c r="AA6793" i="2"/>
  <c r="Z6793" i="2"/>
  <c r="C6793" i="2"/>
  <c r="AA6792" i="2"/>
  <c r="Z6792" i="2"/>
  <c r="C6792" i="2"/>
  <c r="AA6791" i="2"/>
  <c r="Z6791" i="2"/>
  <c r="C6791" i="2"/>
  <c r="AA6790" i="2"/>
  <c r="Z6790" i="2"/>
  <c r="C6790" i="2"/>
  <c r="AA6789" i="2"/>
  <c r="Z6789" i="2"/>
  <c r="C6789" i="2"/>
  <c r="AA6788" i="2"/>
  <c r="Z6788" i="2"/>
  <c r="C6788" i="2"/>
  <c r="AA6787" i="2"/>
  <c r="Z6787" i="2"/>
  <c r="C6787" i="2"/>
  <c r="AA6786" i="2"/>
  <c r="Z6786" i="2"/>
  <c r="C6786" i="2"/>
  <c r="AA6785" i="2"/>
  <c r="Z6785" i="2"/>
  <c r="C6785" i="2"/>
  <c r="AA6784" i="2"/>
  <c r="Z6784" i="2"/>
  <c r="C6784" i="2"/>
  <c r="AA6783" i="2"/>
  <c r="Z6783" i="2"/>
  <c r="C6783" i="2"/>
  <c r="AA6782" i="2"/>
  <c r="Z6782" i="2"/>
  <c r="C6782" i="2"/>
  <c r="AA6781" i="2"/>
  <c r="Z6781" i="2"/>
  <c r="C6781" i="2"/>
  <c r="AA6780" i="2"/>
  <c r="Z6780" i="2"/>
  <c r="C6780" i="2"/>
  <c r="AA6779" i="2"/>
  <c r="Z6779" i="2"/>
  <c r="C6779" i="2"/>
  <c r="AA6778" i="2"/>
  <c r="Z6778" i="2"/>
  <c r="C6778" i="2"/>
  <c r="AA6777" i="2"/>
  <c r="Z6777" i="2"/>
  <c r="C6777" i="2"/>
  <c r="AA6776" i="2"/>
  <c r="Z6776" i="2"/>
  <c r="C6776" i="2"/>
  <c r="AA6775" i="2"/>
  <c r="Z6775" i="2"/>
  <c r="C6775" i="2"/>
  <c r="AA6774" i="2"/>
  <c r="Z6774" i="2"/>
  <c r="C6774" i="2"/>
  <c r="AA6773" i="2"/>
  <c r="Z6773" i="2"/>
  <c r="C6773" i="2"/>
  <c r="AA6772" i="2"/>
  <c r="Z6772" i="2"/>
  <c r="C6772" i="2"/>
  <c r="AA6771" i="2"/>
  <c r="Z6771" i="2"/>
  <c r="C6771" i="2"/>
  <c r="AA6770" i="2"/>
  <c r="Z6770" i="2"/>
  <c r="C6770" i="2"/>
  <c r="AA6769" i="2"/>
  <c r="Z6769" i="2"/>
  <c r="C6769" i="2"/>
  <c r="AA6768" i="2"/>
  <c r="Z6768" i="2"/>
  <c r="C6768" i="2"/>
  <c r="AA6767" i="2"/>
  <c r="Z6767" i="2"/>
  <c r="C6767" i="2"/>
  <c r="AA6766" i="2"/>
  <c r="Z6766" i="2"/>
  <c r="C6766" i="2"/>
  <c r="AA6765" i="2"/>
  <c r="Z6765" i="2"/>
  <c r="C6765" i="2"/>
  <c r="AA6764" i="2"/>
  <c r="Z6764" i="2"/>
  <c r="C6764" i="2"/>
  <c r="AA6763" i="2"/>
  <c r="Z6763" i="2"/>
  <c r="C6763" i="2"/>
  <c r="AA6762" i="2"/>
  <c r="Z6762" i="2"/>
  <c r="C6762" i="2"/>
  <c r="AA6761" i="2"/>
  <c r="Z6761" i="2"/>
  <c r="C6761" i="2"/>
  <c r="AA6760" i="2"/>
  <c r="Z6760" i="2"/>
  <c r="C6760" i="2"/>
  <c r="AA6759" i="2"/>
  <c r="Z6759" i="2"/>
  <c r="C6759" i="2"/>
  <c r="AA6758" i="2"/>
  <c r="Z6758" i="2"/>
  <c r="C6758" i="2"/>
  <c r="AA6757" i="2"/>
  <c r="Z6757" i="2"/>
  <c r="C6757" i="2"/>
  <c r="AA6756" i="2"/>
  <c r="Z6756" i="2"/>
  <c r="C6756" i="2"/>
  <c r="AA6755" i="2"/>
  <c r="Z6755" i="2"/>
  <c r="C6755" i="2"/>
  <c r="AA6754" i="2"/>
  <c r="Z6754" i="2"/>
  <c r="C6754" i="2"/>
  <c r="AA6753" i="2"/>
  <c r="Z6753" i="2"/>
  <c r="C6753" i="2"/>
  <c r="AA6752" i="2"/>
  <c r="Z6752" i="2"/>
  <c r="C6752" i="2"/>
  <c r="AA6751" i="2"/>
  <c r="Z6751" i="2"/>
  <c r="C6751" i="2"/>
  <c r="AA6750" i="2"/>
  <c r="Z6750" i="2"/>
  <c r="C6750" i="2"/>
  <c r="AA6749" i="2"/>
  <c r="Z6749" i="2"/>
  <c r="C6749" i="2"/>
  <c r="AA6748" i="2"/>
  <c r="Z6748" i="2"/>
  <c r="C6748" i="2"/>
  <c r="AA6747" i="2"/>
  <c r="Z6747" i="2"/>
  <c r="C6747" i="2"/>
  <c r="AA6746" i="2"/>
  <c r="Z6746" i="2"/>
  <c r="C6746" i="2"/>
  <c r="AA6745" i="2"/>
  <c r="Z6745" i="2"/>
  <c r="C6745" i="2"/>
  <c r="AA6744" i="2"/>
  <c r="Z6744" i="2"/>
  <c r="C6744" i="2"/>
  <c r="AA6743" i="2"/>
  <c r="Z6743" i="2"/>
  <c r="C6743" i="2"/>
  <c r="AA6742" i="2"/>
  <c r="Z6742" i="2"/>
  <c r="C6742" i="2"/>
  <c r="AA6741" i="2"/>
  <c r="Z6741" i="2"/>
  <c r="C6741" i="2"/>
  <c r="AA6740" i="2"/>
  <c r="Z6740" i="2"/>
  <c r="C6740" i="2"/>
  <c r="AA6739" i="2"/>
  <c r="Z6739" i="2"/>
  <c r="C6739" i="2"/>
  <c r="AA6738" i="2"/>
  <c r="Z6738" i="2"/>
  <c r="C6738" i="2"/>
  <c r="AA6737" i="2"/>
  <c r="Z6737" i="2"/>
  <c r="C6737" i="2"/>
  <c r="AA6736" i="2"/>
  <c r="Z6736" i="2"/>
  <c r="C6736" i="2"/>
  <c r="AA6735" i="2"/>
  <c r="Z6735" i="2"/>
  <c r="C6735" i="2"/>
  <c r="AA6734" i="2"/>
  <c r="Z6734" i="2"/>
  <c r="C6734" i="2"/>
  <c r="AA6733" i="2"/>
  <c r="Z6733" i="2"/>
  <c r="C6733" i="2"/>
  <c r="AA6732" i="2"/>
  <c r="Z6732" i="2"/>
  <c r="C6732" i="2"/>
  <c r="AA6731" i="2"/>
  <c r="Z6731" i="2"/>
  <c r="C6731" i="2"/>
  <c r="AA6730" i="2"/>
  <c r="Z6730" i="2"/>
  <c r="C6730" i="2"/>
  <c r="AA6729" i="2"/>
  <c r="Z6729" i="2"/>
  <c r="C6729" i="2"/>
  <c r="AA6728" i="2"/>
  <c r="Z6728" i="2"/>
  <c r="C6728" i="2"/>
  <c r="AA6727" i="2"/>
  <c r="Z6727" i="2"/>
  <c r="C6727" i="2"/>
  <c r="AA6726" i="2"/>
  <c r="Z6726" i="2"/>
  <c r="C6726" i="2"/>
  <c r="AA6725" i="2"/>
  <c r="Z6725" i="2"/>
  <c r="C6725" i="2"/>
  <c r="AA6724" i="2"/>
  <c r="Z6724" i="2"/>
  <c r="C6724" i="2"/>
  <c r="AA6723" i="2"/>
  <c r="Z6723" i="2"/>
  <c r="C6723" i="2"/>
  <c r="AA6722" i="2"/>
  <c r="Z6722" i="2"/>
  <c r="C6722" i="2"/>
  <c r="AA6721" i="2"/>
  <c r="Z6721" i="2"/>
  <c r="C6721" i="2"/>
  <c r="AA6720" i="2"/>
  <c r="Z6720" i="2"/>
  <c r="C6720" i="2"/>
  <c r="AA6719" i="2"/>
  <c r="Z6719" i="2"/>
  <c r="C6719" i="2"/>
  <c r="AA6718" i="2"/>
  <c r="Z6718" i="2"/>
  <c r="C6718" i="2"/>
  <c r="AA6717" i="2"/>
  <c r="Z6717" i="2"/>
  <c r="C6717" i="2"/>
  <c r="AA6716" i="2"/>
  <c r="Z6716" i="2"/>
  <c r="C6716" i="2"/>
  <c r="AA6715" i="2"/>
  <c r="Z6715" i="2"/>
  <c r="C6715" i="2"/>
  <c r="AA6714" i="2"/>
  <c r="Z6714" i="2"/>
  <c r="C6714" i="2"/>
  <c r="AA6713" i="2"/>
  <c r="Z6713" i="2"/>
  <c r="C6713" i="2"/>
  <c r="AA6712" i="2"/>
  <c r="Z6712" i="2"/>
  <c r="C6712" i="2"/>
  <c r="AA6711" i="2"/>
  <c r="Z6711" i="2"/>
  <c r="C6711" i="2"/>
  <c r="AA6710" i="2"/>
  <c r="Z6710" i="2"/>
  <c r="C6710" i="2"/>
  <c r="AA6709" i="2"/>
  <c r="Z6709" i="2"/>
  <c r="C6709" i="2"/>
  <c r="AA6708" i="2"/>
  <c r="Z6708" i="2"/>
  <c r="C6708" i="2"/>
  <c r="AA6707" i="2"/>
  <c r="Z6707" i="2"/>
  <c r="C6707" i="2"/>
  <c r="AA6706" i="2"/>
  <c r="Z6706" i="2"/>
  <c r="C6706" i="2"/>
  <c r="AA6705" i="2"/>
  <c r="Z6705" i="2"/>
  <c r="C6705" i="2"/>
  <c r="AA6704" i="2"/>
  <c r="Z6704" i="2"/>
  <c r="C6704" i="2"/>
  <c r="AA6703" i="2"/>
  <c r="Z6703" i="2"/>
  <c r="C6703" i="2"/>
  <c r="AA6702" i="2"/>
  <c r="Z6702" i="2"/>
  <c r="C6702" i="2"/>
  <c r="AA6701" i="2"/>
  <c r="Z6701" i="2"/>
  <c r="C6701" i="2"/>
  <c r="AA6700" i="2"/>
  <c r="Z6700" i="2"/>
  <c r="C6700" i="2"/>
  <c r="AA6699" i="2"/>
  <c r="Z6699" i="2"/>
  <c r="C6699" i="2"/>
  <c r="AA6698" i="2"/>
  <c r="Z6698" i="2"/>
  <c r="C6698" i="2"/>
  <c r="AA6697" i="2"/>
  <c r="Z6697" i="2"/>
  <c r="C6697" i="2"/>
  <c r="AA6696" i="2"/>
  <c r="Z6696" i="2"/>
  <c r="C6696" i="2"/>
  <c r="AA6695" i="2"/>
  <c r="Z6695" i="2"/>
  <c r="C6695" i="2"/>
  <c r="AA6694" i="2"/>
  <c r="Z6694" i="2"/>
  <c r="C6694" i="2"/>
  <c r="AA6693" i="2"/>
  <c r="Z6693" i="2"/>
  <c r="C6693" i="2"/>
  <c r="AA6692" i="2"/>
  <c r="Z6692" i="2"/>
  <c r="C6692" i="2"/>
  <c r="AA6691" i="2"/>
  <c r="Z6691" i="2"/>
  <c r="C6691" i="2"/>
  <c r="AA6690" i="2"/>
  <c r="Z6690" i="2"/>
  <c r="C6690" i="2"/>
  <c r="AA6689" i="2"/>
  <c r="Z6689" i="2"/>
  <c r="C6689" i="2"/>
  <c r="AA6688" i="2"/>
  <c r="Z6688" i="2"/>
  <c r="C6688" i="2"/>
  <c r="AA6687" i="2"/>
  <c r="Z6687" i="2"/>
  <c r="C6687" i="2"/>
  <c r="AA6686" i="2"/>
  <c r="Z6686" i="2"/>
  <c r="C6686" i="2"/>
  <c r="AA6685" i="2"/>
  <c r="Z6685" i="2"/>
  <c r="C6685" i="2"/>
  <c r="AA6684" i="2"/>
  <c r="Z6684" i="2"/>
  <c r="C6684" i="2"/>
  <c r="AA6683" i="2"/>
  <c r="Z6683" i="2"/>
  <c r="C6683" i="2"/>
  <c r="AA6682" i="2"/>
  <c r="Z6682" i="2"/>
  <c r="C6682" i="2"/>
  <c r="AA6681" i="2"/>
  <c r="Z6681" i="2"/>
  <c r="C6681" i="2"/>
  <c r="AA6680" i="2"/>
  <c r="Z6680" i="2"/>
  <c r="C6680" i="2"/>
  <c r="AA6679" i="2"/>
  <c r="Z6679" i="2"/>
  <c r="C6679" i="2"/>
  <c r="AA6678" i="2"/>
  <c r="Z6678" i="2"/>
  <c r="C6678" i="2"/>
  <c r="AA6677" i="2"/>
  <c r="Z6677" i="2"/>
  <c r="C6677" i="2"/>
  <c r="AA6676" i="2"/>
  <c r="Z6676" i="2"/>
  <c r="C6676" i="2"/>
  <c r="AA6675" i="2"/>
  <c r="Z6675" i="2"/>
  <c r="C6675" i="2"/>
  <c r="AA6674" i="2"/>
  <c r="Z6674" i="2"/>
  <c r="C6674" i="2"/>
  <c r="AA6673" i="2"/>
  <c r="Z6673" i="2"/>
  <c r="C6673" i="2"/>
  <c r="AA6672" i="2"/>
  <c r="Z6672" i="2"/>
  <c r="C6672" i="2"/>
  <c r="AA6671" i="2"/>
  <c r="Z6671" i="2"/>
  <c r="C6671" i="2"/>
  <c r="AA6670" i="2"/>
  <c r="Z6670" i="2"/>
  <c r="C6670" i="2"/>
  <c r="AA6669" i="2"/>
  <c r="Z6669" i="2"/>
  <c r="C6669" i="2"/>
  <c r="AA6668" i="2"/>
  <c r="Z6668" i="2"/>
  <c r="C6668" i="2"/>
  <c r="AA6667" i="2"/>
  <c r="Z6667" i="2"/>
  <c r="C6667" i="2"/>
  <c r="AA6666" i="2"/>
  <c r="Z6666" i="2"/>
  <c r="C6666" i="2"/>
  <c r="AA6665" i="2"/>
  <c r="Z6665" i="2"/>
  <c r="C6665" i="2"/>
  <c r="AA6664" i="2"/>
  <c r="Z6664" i="2"/>
  <c r="C6664" i="2"/>
  <c r="AA6663" i="2"/>
  <c r="Z6663" i="2"/>
  <c r="C6663" i="2"/>
  <c r="AA6662" i="2"/>
  <c r="Z6662" i="2"/>
  <c r="C6662" i="2"/>
  <c r="AA6661" i="2"/>
  <c r="Z6661" i="2"/>
  <c r="C6661" i="2"/>
  <c r="AA6660" i="2"/>
  <c r="Z6660" i="2"/>
  <c r="C6660" i="2"/>
  <c r="AA6659" i="2"/>
  <c r="Z6659" i="2"/>
  <c r="C6659" i="2"/>
  <c r="AA6658" i="2"/>
  <c r="Z6658" i="2"/>
  <c r="C6658" i="2"/>
  <c r="AA6657" i="2"/>
  <c r="Z6657" i="2"/>
  <c r="C6657" i="2"/>
  <c r="AA6656" i="2"/>
  <c r="Z6656" i="2"/>
  <c r="C6656" i="2"/>
  <c r="AA6655" i="2"/>
  <c r="Z6655" i="2"/>
  <c r="C6655" i="2"/>
  <c r="AA6654" i="2"/>
  <c r="Z6654" i="2"/>
  <c r="C6654" i="2"/>
  <c r="AA6653" i="2"/>
  <c r="Z6653" i="2"/>
  <c r="C6653" i="2"/>
  <c r="AA6652" i="2"/>
  <c r="Z6652" i="2"/>
  <c r="C6652" i="2"/>
  <c r="AA6651" i="2"/>
  <c r="Z6651" i="2"/>
  <c r="C6651" i="2"/>
  <c r="AA6650" i="2"/>
  <c r="Z6650" i="2"/>
  <c r="C6650" i="2"/>
  <c r="AA6649" i="2"/>
  <c r="Z6649" i="2"/>
  <c r="C6649" i="2"/>
  <c r="AA6648" i="2"/>
  <c r="Z6648" i="2"/>
  <c r="C6648" i="2"/>
  <c r="AA6647" i="2"/>
  <c r="Z6647" i="2"/>
  <c r="C6647" i="2"/>
  <c r="AA6646" i="2"/>
  <c r="Z6646" i="2"/>
  <c r="C6646" i="2"/>
  <c r="AA6645" i="2"/>
  <c r="Z6645" i="2"/>
  <c r="C6645" i="2"/>
  <c r="AA6644" i="2"/>
  <c r="Z6644" i="2"/>
  <c r="C6644" i="2"/>
  <c r="AA6643" i="2"/>
  <c r="Z6643" i="2"/>
  <c r="C6643" i="2"/>
  <c r="AA6642" i="2"/>
  <c r="Z6642" i="2"/>
  <c r="C6642" i="2"/>
  <c r="AA6641" i="2"/>
  <c r="Z6641" i="2"/>
  <c r="C6641" i="2"/>
  <c r="AA6640" i="2"/>
  <c r="Z6640" i="2"/>
  <c r="C6640" i="2"/>
  <c r="AA6639" i="2"/>
  <c r="Z6639" i="2"/>
  <c r="C6639" i="2"/>
  <c r="AA6638" i="2"/>
  <c r="Z6638" i="2"/>
  <c r="C6638" i="2"/>
  <c r="AA6637" i="2"/>
  <c r="Z6637" i="2"/>
  <c r="C6637" i="2"/>
  <c r="AA6636" i="2"/>
  <c r="Z6636" i="2"/>
  <c r="C6636" i="2"/>
  <c r="AA6635" i="2"/>
  <c r="Z6635" i="2"/>
  <c r="C6635" i="2"/>
  <c r="AA6634" i="2"/>
  <c r="Z6634" i="2"/>
  <c r="C6634" i="2"/>
  <c r="AA6633" i="2"/>
  <c r="Z6633" i="2"/>
  <c r="C6633" i="2"/>
  <c r="AA6632" i="2"/>
  <c r="Z6632" i="2"/>
  <c r="C6632" i="2"/>
  <c r="AA6631" i="2"/>
  <c r="Z6631" i="2"/>
  <c r="C6631" i="2"/>
  <c r="AA6630" i="2"/>
  <c r="Z6630" i="2"/>
  <c r="C6630" i="2"/>
  <c r="AA6629" i="2"/>
  <c r="Z6629" i="2"/>
  <c r="C6629" i="2"/>
  <c r="AA6628" i="2"/>
  <c r="Z6628" i="2"/>
  <c r="C6628" i="2"/>
  <c r="AA6627" i="2"/>
  <c r="Z6627" i="2"/>
  <c r="C6627" i="2"/>
  <c r="AA6626" i="2"/>
  <c r="Z6626" i="2"/>
  <c r="C6626" i="2"/>
  <c r="AA6625" i="2"/>
  <c r="Z6625" i="2"/>
  <c r="C6625" i="2"/>
  <c r="AA6624" i="2"/>
  <c r="Z6624" i="2"/>
  <c r="C6624" i="2"/>
  <c r="AA6623" i="2"/>
  <c r="Z6623" i="2"/>
  <c r="C6623" i="2"/>
  <c r="AA6622" i="2"/>
  <c r="Z6622" i="2"/>
  <c r="C6622" i="2"/>
  <c r="AA6621" i="2"/>
  <c r="Z6621" i="2"/>
  <c r="C6621" i="2"/>
  <c r="AA6620" i="2"/>
  <c r="Z6620" i="2"/>
  <c r="C6620" i="2"/>
  <c r="AA6619" i="2"/>
  <c r="Z6619" i="2"/>
  <c r="C6619" i="2"/>
  <c r="AA6618" i="2"/>
  <c r="Z6618" i="2"/>
  <c r="C6618" i="2"/>
  <c r="AA6617" i="2"/>
  <c r="Z6617" i="2"/>
  <c r="C6617" i="2"/>
  <c r="AA6616" i="2"/>
  <c r="Z6616" i="2"/>
  <c r="C6616" i="2"/>
  <c r="AA6615" i="2"/>
  <c r="Z6615" i="2"/>
  <c r="C6615" i="2"/>
  <c r="AA6614" i="2"/>
  <c r="Z6614" i="2"/>
  <c r="C6614" i="2"/>
  <c r="AA6613" i="2"/>
  <c r="Z6613" i="2"/>
  <c r="C6613" i="2"/>
  <c r="AA6612" i="2"/>
  <c r="Z6612" i="2"/>
  <c r="C6612" i="2"/>
  <c r="AA6611" i="2"/>
  <c r="Z6611" i="2"/>
  <c r="C6611" i="2"/>
  <c r="AA6610" i="2"/>
  <c r="Z6610" i="2"/>
  <c r="C6610" i="2"/>
  <c r="AA6609" i="2"/>
  <c r="Z6609" i="2"/>
  <c r="C6609" i="2"/>
  <c r="AA6608" i="2"/>
  <c r="Z6608" i="2"/>
  <c r="C6608" i="2"/>
  <c r="AA6607" i="2"/>
  <c r="Z6607" i="2"/>
  <c r="C6607" i="2"/>
  <c r="AA6606" i="2"/>
  <c r="Z6606" i="2"/>
  <c r="C6606" i="2"/>
  <c r="AA6605" i="2"/>
  <c r="Z6605" i="2"/>
  <c r="C6605" i="2"/>
  <c r="AA6604" i="2"/>
  <c r="Z6604" i="2"/>
  <c r="C6604" i="2"/>
  <c r="AA6603" i="2"/>
  <c r="Z6603" i="2"/>
  <c r="C6603" i="2"/>
  <c r="AA6602" i="2"/>
  <c r="Z6602" i="2"/>
  <c r="C6602" i="2"/>
  <c r="AA6601" i="2"/>
  <c r="Z6601" i="2"/>
  <c r="C6601" i="2"/>
  <c r="AA6600" i="2"/>
  <c r="Z6600" i="2"/>
  <c r="C6600" i="2"/>
  <c r="AA6599" i="2"/>
  <c r="Z6599" i="2"/>
  <c r="C6599" i="2"/>
  <c r="AA6598" i="2"/>
  <c r="Z6598" i="2"/>
  <c r="C6598" i="2"/>
  <c r="AA6597" i="2"/>
  <c r="Z6597" i="2"/>
  <c r="C6597" i="2"/>
  <c r="AA6596" i="2"/>
  <c r="Z6596" i="2"/>
  <c r="C6596" i="2"/>
  <c r="AA6595" i="2"/>
  <c r="Z6595" i="2"/>
  <c r="C6595" i="2"/>
  <c r="AA6594" i="2"/>
  <c r="Z6594" i="2"/>
  <c r="C6594" i="2"/>
  <c r="AA6593" i="2"/>
  <c r="Z6593" i="2"/>
  <c r="C6593" i="2"/>
  <c r="AA6592" i="2"/>
  <c r="Z6592" i="2"/>
  <c r="C6592" i="2"/>
  <c r="AA6591" i="2"/>
  <c r="Z6591" i="2"/>
  <c r="C6591" i="2"/>
  <c r="AA6590" i="2"/>
  <c r="Z6590" i="2"/>
  <c r="C6590" i="2"/>
  <c r="AA6589" i="2"/>
  <c r="Z6589" i="2"/>
  <c r="C6589" i="2"/>
  <c r="AA6588" i="2"/>
  <c r="Z6588" i="2"/>
  <c r="C6588" i="2"/>
  <c r="AA6587" i="2"/>
  <c r="Z6587" i="2"/>
  <c r="C6587" i="2"/>
  <c r="AA6586" i="2"/>
  <c r="Z6586" i="2"/>
  <c r="C6586" i="2"/>
  <c r="AA6585" i="2"/>
  <c r="Z6585" i="2"/>
  <c r="C6585" i="2"/>
  <c r="AA6584" i="2"/>
  <c r="Z6584" i="2"/>
  <c r="C6584" i="2"/>
  <c r="AA6583" i="2"/>
  <c r="Z6583" i="2"/>
  <c r="C6583" i="2"/>
  <c r="AA6582" i="2"/>
  <c r="Z6582" i="2"/>
  <c r="C6582" i="2"/>
  <c r="AA6581" i="2"/>
  <c r="Z6581" i="2"/>
  <c r="C6581" i="2"/>
  <c r="AA6580" i="2"/>
  <c r="Z6580" i="2"/>
  <c r="C6580" i="2"/>
  <c r="AA6579" i="2"/>
  <c r="Z6579" i="2"/>
  <c r="C6579" i="2"/>
  <c r="AA6578" i="2"/>
  <c r="Z6578" i="2"/>
  <c r="C6578" i="2"/>
  <c r="AA6577" i="2"/>
  <c r="Z6577" i="2"/>
  <c r="C6577" i="2"/>
  <c r="AA6576" i="2"/>
  <c r="Z6576" i="2"/>
  <c r="C6576" i="2"/>
  <c r="AA6575" i="2"/>
  <c r="Z6575" i="2"/>
  <c r="C6575" i="2"/>
  <c r="AA6574" i="2"/>
  <c r="Z6574" i="2"/>
  <c r="C6574" i="2"/>
  <c r="AA6573" i="2"/>
  <c r="Z6573" i="2"/>
  <c r="C6573" i="2"/>
  <c r="AA6572" i="2"/>
  <c r="Z6572" i="2"/>
  <c r="C6572" i="2"/>
  <c r="AA6571" i="2"/>
  <c r="Z6571" i="2"/>
  <c r="C6571" i="2"/>
  <c r="AA6570" i="2"/>
  <c r="Z6570" i="2"/>
  <c r="C6570" i="2"/>
  <c r="AA6569" i="2"/>
  <c r="Z6569" i="2"/>
  <c r="C6569" i="2"/>
  <c r="AA6568" i="2"/>
  <c r="Z6568" i="2"/>
  <c r="C6568" i="2"/>
  <c r="AA6567" i="2"/>
  <c r="Z6567" i="2"/>
  <c r="C6567" i="2"/>
  <c r="AA6566" i="2"/>
  <c r="Z6566" i="2"/>
  <c r="C6566" i="2"/>
  <c r="AA6565" i="2"/>
  <c r="Z6565" i="2"/>
  <c r="C6565" i="2"/>
  <c r="AA6564" i="2"/>
  <c r="Z6564" i="2"/>
  <c r="C6564" i="2"/>
  <c r="AA6563" i="2"/>
  <c r="Z6563" i="2"/>
  <c r="C6563" i="2"/>
  <c r="AA6562" i="2"/>
  <c r="Z6562" i="2"/>
  <c r="C6562" i="2"/>
  <c r="AA6561" i="2"/>
  <c r="Z6561" i="2"/>
  <c r="C6561" i="2"/>
  <c r="AA6560" i="2"/>
  <c r="Z6560" i="2"/>
  <c r="C6560" i="2"/>
  <c r="AA6559" i="2"/>
  <c r="Z6559" i="2"/>
  <c r="C6559" i="2"/>
  <c r="AA6558" i="2"/>
  <c r="Z6558" i="2"/>
  <c r="C6558" i="2"/>
  <c r="AA6557" i="2"/>
  <c r="Z6557" i="2"/>
  <c r="C6557" i="2"/>
  <c r="AA6556" i="2"/>
  <c r="Z6556" i="2"/>
  <c r="C6556" i="2"/>
  <c r="AA6555" i="2"/>
  <c r="Z6555" i="2"/>
  <c r="C6555" i="2"/>
  <c r="AA6554" i="2"/>
  <c r="Z6554" i="2"/>
  <c r="C6554" i="2"/>
  <c r="AA6553" i="2"/>
  <c r="Z6553" i="2"/>
  <c r="C6553" i="2"/>
  <c r="AA6552" i="2"/>
  <c r="Z6552" i="2"/>
  <c r="C6552" i="2"/>
  <c r="AA6551" i="2"/>
  <c r="Z6551" i="2"/>
  <c r="C6551" i="2"/>
  <c r="AA6550" i="2"/>
  <c r="Z6550" i="2"/>
  <c r="C6550" i="2"/>
  <c r="AA6549" i="2"/>
  <c r="Z6549" i="2"/>
  <c r="C6549" i="2"/>
  <c r="AA6548" i="2"/>
  <c r="Z6548" i="2"/>
  <c r="C6548" i="2"/>
  <c r="AA6547" i="2"/>
  <c r="Z6547" i="2"/>
  <c r="C6547" i="2"/>
  <c r="AA6546" i="2"/>
  <c r="Z6546" i="2"/>
  <c r="C6546" i="2"/>
  <c r="AA6545" i="2"/>
  <c r="Z6545" i="2"/>
  <c r="C6545" i="2"/>
  <c r="AA6544" i="2"/>
  <c r="Z6544" i="2"/>
  <c r="C6544" i="2"/>
  <c r="AA6543" i="2"/>
  <c r="Z6543" i="2"/>
  <c r="C6543" i="2"/>
  <c r="AA6542" i="2"/>
  <c r="Z6542" i="2"/>
  <c r="C6542" i="2"/>
  <c r="AA6541" i="2"/>
  <c r="Z6541" i="2"/>
  <c r="C6541" i="2"/>
  <c r="AA6540" i="2"/>
  <c r="Z6540" i="2"/>
  <c r="C6540" i="2"/>
  <c r="AA6539" i="2"/>
  <c r="Z6539" i="2"/>
  <c r="C6539" i="2"/>
  <c r="AA6538" i="2"/>
  <c r="Z6538" i="2"/>
  <c r="C6538" i="2"/>
  <c r="AA6537" i="2"/>
  <c r="Z6537" i="2"/>
  <c r="C6537" i="2"/>
  <c r="AA6536" i="2"/>
  <c r="Z6536" i="2"/>
  <c r="C6536" i="2"/>
  <c r="AA6535" i="2"/>
  <c r="Z6535" i="2"/>
  <c r="C6535" i="2"/>
  <c r="AA6534" i="2"/>
  <c r="Z6534" i="2"/>
  <c r="C6534" i="2"/>
  <c r="AA6533" i="2"/>
  <c r="Z6533" i="2"/>
  <c r="C6533" i="2"/>
  <c r="AA6532" i="2"/>
  <c r="Z6532" i="2"/>
  <c r="C6532" i="2"/>
  <c r="AA6531" i="2"/>
  <c r="Z6531" i="2"/>
  <c r="C6531" i="2"/>
  <c r="AA6530" i="2"/>
  <c r="Z6530" i="2"/>
  <c r="C6530" i="2"/>
  <c r="AA6529" i="2"/>
  <c r="Z6529" i="2"/>
  <c r="C6529" i="2"/>
  <c r="AA6528" i="2"/>
  <c r="Z6528" i="2"/>
  <c r="C6528" i="2"/>
  <c r="AA6527" i="2"/>
  <c r="Z6527" i="2"/>
  <c r="C6527" i="2"/>
  <c r="AA6526" i="2"/>
  <c r="Z6526" i="2"/>
  <c r="C6526" i="2"/>
  <c r="AA6525" i="2"/>
  <c r="Z6525" i="2"/>
  <c r="C6525" i="2"/>
  <c r="AA6524" i="2"/>
  <c r="Z6524" i="2"/>
  <c r="C6524" i="2"/>
  <c r="AA6523" i="2"/>
  <c r="Z6523" i="2"/>
  <c r="C6523" i="2"/>
  <c r="AA6522" i="2"/>
  <c r="Z6522" i="2"/>
  <c r="C6522" i="2"/>
  <c r="AA6521" i="2"/>
  <c r="Z6521" i="2"/>
  <c r="C6521" i="2"/>
  <c r="AA6520" i="2"/>
  <c r="Z6520" i="2"/>
  <c r="C6520" i="2"/>
  <c r="AA6519" i="2"/>
  <c r="Z6519" i="2"/>
  <c r="C6519" i="2"/>
  <c r="AA6518" i="2"/>
  <c r="Z6518" i="2"/>
  <c r="C6518" i="2"/>
  <c r="AA6517" i="2"/>
  <c r="Z6517" i="2"/>
  <c r="C6517" i="2"/>
  <c r="AA6516" i="2"/>
  <c r="Z6516" i="2"/>
  <c r="C6516" i="2"/>
  <c r="AA6515" i="2"/>
  <c r="Z6515" i="2"/>
  <c r="C6515" i="2"/>
  <c r="AA6514" i="2"/>
  <c r="Z6514" i="2"/>
  <c r="C6514" i="2"/>
  <c r="AA6513" i="2"/>
  <c r="Z6513" i="2"/>
  <c r="C6513" i="2"/>
  <c r="AA6512" i="2"/>
  <c r="Z6512" i="2"/>
  <c r="C6512" i="2"/>
  <c r="AA6511" i="2"/>
  <c r="Z6511" i="2"/>
  <c r="C6511" i="2"/>
  <c r="AA6510" i="2"/>
  <c r="Z6510" i="2"/>
  <c r="C6510" i="2"/>
  <c r="AA6509" i="2"/>
  <c r="Z6509" i="2"/>
  <c r="C6509" i="2"/>
  <c r="AA6508" i="2"/>
  <c r="Z6508" i="2"/>
  <c r="C6508" i="2"/>
  <c r="AA6507" i="2"/>
  <c r="Z6507" i="2"/>
  <c r="C6507" i="2"/>
  <c r="AA6506" i="2"/>
  <c r="Z6506" i="2"/>
  <c r="C6506" i="2"/>
  <c r="AA6505" i="2"/>
  <c r="Z6505" i="2"/>
  <c r="C6505" i="2"/>
  <c r="AA6504" i="2"/>
  <c r="Z6504" i="2"/>
  <c r="C6504" i="2"/>
  <c r="AA6503" i="2"/>
  <c r="Z6503" i="2"/>
  <c r="C6503" i="2"/>
  <c r="AA6502" i="2"/>
  <c r="Z6502" i="2"/>
  <c r="C6502" i="2"/>
  <c r="AA6501" i="2"/>
  <c r="Z6501" i="2"/>
  <c r="C6501" i="2"/>
  <c r="AA6500" i="2"/>
  <c r="Z6500" i="2"/>
  <c r="C6500" i="2"/>
  <c r="AA6499" i="2"/>
  <c r="Z6499" i="2"/>
  <c r="C6499" i="2"/>
  <c r="AA6498" i="2"/>
  <c r="Z6498" i="2"/>
  <c r="C6498" i="2"/>
  <c r="AA6497" i="2"/>
  <c r="Z6497" i="2"/>
  <c r="C6497" i="2"/>
  <c r="AA6496" i="2"/>
  <c r="Z6496" i="2"/>
  <c r="C6496" i="2"/>
  <c r="AA6495" i="2"/>
  <c r="Z6495" i="2"/>
  <c r="C6495" i="2"/>
  <c r="AA6494" i="2"/>
  <c r="Z6494" i="2"/>
  <c r="C6494" i="2"/>
  <c r="AA6493" i="2"/>
  <c r="Z6493" i="2"/>
  <c r="C6493" i="2"/>
  <c r="AA6492" i="2"/>
  <c r="Z6492" i="2"/>
  <c r="C6492" i="2"/>
  <c r="AA6491" i="2"/>
  <c r="Z6491" i="2"/>
  <c r="C6491" i="2"/>
  <c r="AA6490" i="2"/>
  <c r="Z6490" i="2"/>
  <c r="C6490" i="2"/>
  <c r="AA6489" i="2"/>
  <c r="Z6489" i="2"/>
  <c r="C6489" i="2"/>
  <c r="AA6488" i="2"/>
  <c r="Z6488" i="2"/>
  <c r="C6488" i="2"/>
  <c r="AA6487" i="2"/>
  <c r="Z6487" i="2"/>
  <c r="C6487" i="2"/>
  <c r="AA6486" i="2"/>
  <c r="Z6486" i="2"/>
  <c r="C6486" i="2"/>
  <c r="AA6485" i="2"/>
  <c r="Z6485" i="2"/>
  <c r="C6485" i="2"/>
  <c r="AA6484" i="2"/>
  <c r="Z6484" i="2"/>
  <c r="C6484" i="2"/>
  <c r="AA6483" i="2"/>
  <c r="Z6483" i="2"/>
  <c r="C6483" i="2"/>
  <c r="AA6482" i="2"/>
  <c r="Z6482" i="2"/>
  <c r="C6482" i="2"/>
  <c r="AA6481" i="2"/>
  <c r="Z6481" i="2"/>
  <c r="C6481" i="2"/>
  <c r="AA6480" i="2"/>
  <c r="Z6480" i="2"/>
  <c r="C6480" i="2"/>
  <c r="AA6479" i="2"/>
  <c r="Z6479" i="2"/>
  <c r="C6479" i="2"/>
  <c r="AA6478" i="2"/>
  <c r="Z6478" i="2"/>
  <c r="C6478" i="2"/>
  <c r="AA6477" i="2"/>
  <c r="Z6477" i="2"/>
  <c r="C6477" i="2"/>
  <c r="AA6476" i="2"/>
  <c r="Z6476" i="2"/>
  <c r="C6476" i="2"/>
  <c r="AA6475" i="2"/>
  <c r="Z6475" i="2"/>
  <c r="C6475" i="2"/>
  <c r="AA6474" i="2"/>
  <c r="Z6474" i="2"/>
  <c r="C6474" i="2"/>
  <c r="AA6473" i="2"/>
  <c r="Z6473" i="2"/>
  <c r="C6473" i="2"/>
  <c r="AA6472" i="2"/>
  <c r="Z6472" i="2"/>
  <c r="C6472" i="2"/>
  <c r="AA6471" i="2"/>
  <c r="Z6471" i="2"/>
  <c r="C6471" i="2"/>
  <c r="AA6470" i="2"/>
  <c r="Z6470" i="2"/>
  <c r="C6470" i="2"/>
  <c r="AA6469" i="2"/>
  <c r="Z6469" i="2"/>
  <c r="C6469" i="2"/>
  <c r="AA6468" i="2"/>
  <c r="Z6468" i="2"/>
  <c r="C6468" i="2"/>
  <c r="AA6467" i="2"/>
  <c r="Z6467" i="2"/>
  <c r="C6467" i="2"/>
  <c r="AA6466" i="2"/>
  <c r="Z6466" i="2"/>
  <c r="C6466" i="2"/>
  <c r="AA6465" i="2"/>
  <c r="Z6465" i="2"/>
  <c r="C6465" i="2"/>
  <c r="AA6464" i="2"/>
  <c r="Z6464" i="2"/>
  <c r="C6464" i="2"/>
  <c r="AA6463" i="2"/>
  <c r="Z6463" i="2"/>
  <c r="C6463" i="2"/>
  <c r="AA6462" i="2"/>
  <c r="Z6462" i="2"/>
  <c r="C6462" i="2"/>
  <c r="AA6461" i="2"/>
  <c r="Z6461" i="2"/>
  <c r="C6461" i="2"/>
  <c r="AA6460" i="2"/>
  <c r="Z6460" i="2"/>
  <c r="C6460" i="2"/>
  <c r="AA6459" i="2"/>
  <c r="Z6459" i="2"/>
  <c r="C6459" i="2"/>
  <c r="AA6458" i="2"/>
  <c r="Z6458" i="2"/>
  <c r="C6458" i="2"/>
  <c r="AA6457" i="2"/>
  <c r="Z6457" i="2"/>
  <c r="C6457" i="2"/>
  <c r="AA6456" i="2"/>
  <c r="Z6456" i="2"/>
  <c r="C6456" i="2"/>
  <c r="AA6455" i="2"/>
  <c r="Z6455" i="2"/>
  <c r="C6455" i="2"/>
  <c r="AA6454" i="2"/>
  <c r="Z6454" i="2"/>
  <c r="C6454" i="2"/>
  <c r="AA6453" i="2"/>
  <c r="Z6453" i="2"/>
  <c r="C6453" i="2"/>
  <c r="AA6452" i="2"/>
  <c r="Z6452" i="2"/>
  <c r="C6452" i="2"/>
  <c r="AA6451" i="2"/>
  <c r="Z6451" i="2"/>
  <c r="C6451" i="2"/>
  <c r="AA6450" i="2"/>
  <c r="Z6450" i="2"/>
  <c r="C6450" i="2"/>
  <c r="AA6449" i="2"/>
  <c r="Z6449" i="2"/>
  <c r="C6449" i="2"/>
  <c r="AA6448" i="2"/>
  <c r="Z6448" i="2"/>
  <c r="C6448" i="2"/>
  <c r="AA6447" i="2"/>
  <c r="Z6447" i="2"/>
  <c r="C6447" i="2"/>
  <c r="AA6446" i="2"/>
  <c r="Z6446" i="2"/>
  <c r="C6446" i="2"/>
  <c r="AA6445" i="2"/>
  <c r="Z6445" i="2"/>
  <c r="C6445" i="2"/>
  <c r="AA6444" i="2"/>
  <c r="Z6444" i="2"/>
  <c r="C6444" i="2"/>
  <c r="AA6443" i="2"/>
  <c r="Z6443" i="2"/>
  <c r="C6443" i="2"/>
  <c r="AA6442" i="2"/>
  <c r="Z6442" i="2"/>
  <c r="C6442" i="2"/>
  <c r="AA6441" i="2"/>
  <c r="Z6441" i="2"/>
  <c r="C6441" i="2"/>
  <c r="AA6440" i="2"/>
  <c r="Z6440" i="2"/>
  <c r="C6440" i="2"/>
  <c r="AA6439" i="2"/>
  <c r="Z6439" i="2"/>
  <c r="C6439" i="2"/>
  <c r="AA6438" i="2"/>
  <c r="Z6438" i="2"/>
  <c r="C6438" i="2"/>
  <c r="AA6437" i="2"/>
  <c r="Z6437" i="2"/>
  <c r="C6437" i="2"/>
  <c r="AA6436" i="2"/>
  <c r="Z6436" i="2"/>
  <c r="C6436" i="2"/>
  <c r="AA6435" i="2"/>
  <c r="Z6435" i="2"/>
  <c r="C6435" i="2"/>
  <c r="AA6434" i="2"/>
  <c r="Z6434" i="2"/>
  <c r="C6434" i="2"/>
  <c r="AA6433" i="2"/>
  <c r="Z6433" i="2"/>
  <c r="C6433" i="2"/>
  <c r="AA6432" i="2"/>
  <c r="Z6432" i="2"/>
  <c r="C6432" i="2"/>
  <c r="AA6431" i="2"/>
  <c r="Z6431" i="2"/>
  <c r="C6431" i="2"/>
  <c r="AA6430" i="2"/>
  <c r="Z6430" i="2"/>
  <c r="C6430" i="2"/>
  <c r="AA6429" i="2"/>
  <c r="Z6429" i="2"/>
  <c r="C6429" i="2"/>
  <c r="AA6428" i="2"/>
  <c r="Z6428" i="2"/>
  <c r="C6428" i="2"/>
  <c r="AA6427" i="2"/>
  <c r="Z6427" i="2"/>
  <c r="C6427" i="2"/>
  <c r="AA6426" i="2"/>
  <c r="Z6426" i="2"/>
  <c r="C6426" i="2"/>
  <c r="AA6425" i="2"/>
  <c r="Z6425" i="2"/>
  <c r="C6425" i="2"/>
  <c r="AA6424" i="2"/>
  <c r="Z6424" i="2"/>
  <c r="C6424" i="2"/>
  <c r="AA6423" i="2"/>
  <c r="Z6423" i="2"/>
  <c r="C6423" i="2"/>
  <c r="AA6422" i="2"/>
  <c r="Z6422" i="2"/>
  <c r="C6422" i="2"/>
  <c r="AA6421" i="2"/>
  <c r="Z6421" i="2"/>
  <c r="C6421" i="2"/>
  <c r="AA6420" i="2"/>
  <c r="Z6420" i="2"/>
  <c r="C6420" i="2"/>
  <c r="AA6419" i="2"/>
  <c r="Z6419" i="2"/>
  <c r="C6419" i="2"/>
  <c r="AA6418" i="2"/>
  <c r="Z6418" i="2"/>
  <c r="C6418" i="2"/>
  <c r="AA6417" i="2"/>
  <c r="Z6417" i="2"/>
  <c r="C6417" i="2"/>
  <c r="AA6416" i="2"/>
  <c r="Z6416" i="2"/>
  <c r="C6416" i="2"/>
  <c r="AA6415" i="2"/>
  <c r="Z6415" i="2"/>
  <c r="C6415" i="2"/>
  <c r="AA6414" i="2"/>
  <c r="Z6414" i="2"/>
  <c r="C6414" i="2"/>
  <c r="AA6413" i="2"/>
  <c r="Z6413" i="2"/>
  <c r="C6413" i="2"/>
  <c r="AA6412" i="2"/>
  <c r="Z6412" i="2"/>
  <c r="C6412" i="2"/>
  <c r="AA6411" i="2"/>
  <c r="Z6411" i="2"/>
  <c r="C6411" i="2"/>
  <c r="AA6410" i="2"/>
  <c r="Z6410" i="2"/>
  <c r="C6410" i="2"/>
  <c r="AA6409" i="2"/>
  <c r="Z6409" i="2"/>
  <c r="C6409" i="2"/>
  <c r="AA6408" i="2"/>
  <c r="Z6408" i="2"/>
  <c r="C6408" i="2"/>
  <c r="AA6407" i="2"/>
  <c r="Z6407" i="2"/>
  <c r="C6407" i="2"/>
  <c r="AA6406" i="2"/>
  <c r="Z6406" i="2"/>
  <c r="C6406" i="2"/>
  <c r="AA6405" i="2"/>
  <c r="Z6405" i="2"/>
  <c r="C6405" i="2"/>
  <c r="AA6404" i="2"/>
  <c r="Z6404" i="2"/>
  <c r="C6404" i="2"/>
  <c r="AA6403" i="2"/>
  <c r="Z6403" i="2"/>
  <c r="C6403" i="2"/>
  <c r="AA6402" i="2"/>
  <c r="Z6402" i="2"/>
  <c r="C6402" i="2"/>
  <c r="AA6401" i="2"/>
  <c r="Z6401" i="2"/>
  <c r="C6401" i="2"/>
  <c r="AA6400" i="2"/>
  <c r="Z6400" i="2"/>
  <c r="C6400" i="2"/>
  <c r="AA6399" i="2"/>
  <c r="Z6399" i="2"/>
  <c r="C6399" i="2"/>
  <c r="AA6398" i="2"/>
  <c r="Z6398" i="2"/>
  <c r="C6398" i="2"/>
  <c r="AA6397" i="2"/>
  <c r="Z6397" i="2"/>
  <c r="C6397" i="2"/>
  <c r="AA6396" i="2"/>
  <c r="Z6396" i="2"/>
  <c r="C6396" i="2"/>
  <c r="AA6395" i="2"/>
  <c r="Z6395" i="2"/>
  <c r="C6395" i="2"/>
  <c r="AA6394" i="2"/>
  <c r="Z6394" i="2"/>
  <c r="C6394" i="2"/>
  <c r="AA6393" i="2"/>
  <c r="Z6393" i="2"/>
  <c r="C6393" i="2"/>
  <c r="AA6392" i="2"/>
  <c r="Z6392" i="2"/>
  <c r="C6392" i="2"/>
  <c r="AA6391" i="2"/>
  <c r="Z6391" i="2"/>
  <c r="C6391" i="2"/>
  <c r="AA6390" i="2"/>
  <c r="Z6390" i="2"/>
  <c r="C6390" i="2"/>
  <c r="AA6389" i="2"/>
  <c r="Z6389" i="2"/>
  <c r="C6389" i="2"/>
  <c r="AA6388" i="2"/>
  <c r="Z6388" i="2"/>
  <c r="C6388" i="2"/>
  <c r="AA6387" i="2"/>
  <c r="Z6387" i="2"/>
  <c r="C6387" i="2"/>
  <c r="AA6386" i="2"/>
  <c r="Z6386" i="2"/>
  <c r="C6386" i="2"/>
  <c r="AA6385" i="2"/>
  <c r="Z6385" i="2"/>
  <c r="C6385" i="2"/>
  <c r="AA6384" i="2"/>
  <c r="Z6384" i="2"/>
  <c r="C6384" i="2"/>
  <c r="AA6383" i="2"/>
  <c r="Z6383" i="2"/>
  <c r="C6383" i="2"/>
  <c r="AA6382" i="2"/>
  <c r="Z6382" i="2"/>
  <c r="C6382" i="2"/>
  <c r="AA6381" i="2"/>
  <c r="Z6381" i="2"/>
  <c r="C6381" i="2"/>
  <c r="AA6380" i="2"/>
  <c r="Z6380" i="2"/>
  <c r="C6380" i="2"/>
  <c r="AA6379" i="2"/>
  <c r="Z6379" i="2"/>
  <c r="C6379" i="2"/>
  <c r="AA6378" i="2"/>
  <c r="Z6378" i="2"/>
  <c r="C6378" i="2"/>
  <c r="AA6377" i="2"/>
  <c r="Z6377" i="2"/>
  <c r="C6377" i="2"/>
  <c r="AA6376" i="2"/>
  <c r="Z6376" i="2"/>
  <c r="C6376" i="2"/>
  <c r="AA6375" i="2"/>
  <c r="Z6375" i="2"/>
  <c r="C6375" i="2"/>
  <c r="AA6374" i="2"/>
  <c r="Z6374" i="2"/>
  <c r="C6374" i="2"/>
  <c r="AA6373" i="2"/>
  <c r="Z6373" i="2"/>
  <c r="C6373" i="2"/>
  <c r="AA6372" i="2"/>
  <c r="Z6372" i="2"/>
  <c r="C6372" i="2"/>
  <c r="AA6371" i="2"/>
  <c r="Z6371" i="2"/>
  <c r="C6371" i="2"/>
  <c r="AA6370" i="2"/>
  <c r="Z6370" i="2"/>
  <c r="C6370" i="2"/>
  <c r="AA6369" i="2"/>
  <c r="Z6369" i="2"/>
  <c r="C6369" i="2"/>
  <c r="AA6368" i="2"/>
  <c r="Z6368" i="2"/>
  <c r="C6368" i="2"/>
  <c r="AA6367" i="2"/>
  <c r="Z6367" i="2"/>
  <c r="C6367" i="2"/>
  <c r="AA6366" i="2"/>
  <c r="Z6366" i="2"/>
  <c r="C6366" i="2"/>
  <c r="AA6365" i="2"/>
  <c r="Z6365" i="2"/>
  <c r="C6365" i="2"/>
  <c r="AA6364" i="2"/>
  <c r="Z6364" i="2"/>
  <c r="C6364" i="2"/>
  <c r="AA6363" i="2"/>
  <c r="Z6363" i="2"/>
  <c r="C6363" i="2"/>
  <c r="AA6362" i="2"/>
  <c r="Z6362" i="2"/>
  <c r="C6362" i="2"/>
  <c r="AA6361" i="2"/>
  <c r="Z6361" i="2"/>
  <c r="C6361" i="2"/>
  <c r="AA6360" i="2"/>
  <c r="Z6360" i="2"/>
  <c r="C6360" i="2"/>
  <c r="AA6359" i="2"/>
  <c r="Z6359" i="2"/>
  <c r="C6359" i="2"/>
  <c r="AA6358" i="2"/>
  <c r="Z6358" i="2"/>
  <c r="C6358" i="2"/>
  <c r="AA6357" i="2"/>
  <c r="Z6357" i="2"/>
  <c r="C6357" i="2"/>
  <c r="AA6356" i="2"/>
  <c r="Z6356" i="2"/>
  <c r="C6356" i="2"/>
  <c r="AA6355" i="2"/>
  <c r="Z6355" i="2"/>
  <c r="C6355" i="2"/>
  <c r="AA6354" i="2"/>
  <c r="Z6354" i="2"/>
  <c r="C6354" i="2"/>
  <c r="AA6353" i="2"/>
  <c r="Z6353" i="2"/>
  <c r="C6353" i="2"/>
  <c r="AA6352" i="2"/>
  <c r="Z6352" i="2"/>
  <c r="C6352" i="2"/>
  <c r="AA6351" i="2"/>
  <c r="Z6351" i="2"/>
  <c r="C6351" i="2"/>
  <c r="AA6350" i="2"/>
  <c r="Z6350" i="2"/>
  <c r="C6350" i="2"/>
  <c r="AA6349" i="2"/>
  <c r="Z6349" i="2"/>
  <c r="C6349" i="2"/>
  <c r="AA6348" i="2"/>
  <c r="Z6348" i="2"/>
  <c r="C6348" i="2"/>
  <c r="AA6347" i="2"/>
  <c r="Z6347" i="2"/>
  <c r="C6347" i="2"/>
  <c r="AA6346" i="2"/>
  <c r="Z6346" i="2"/>
  <c r="C6346" i="2"/>
  <c r="AA6345" i="2"/>
  <c r="Z6345" i="2"/>
  <c r="C6345" i="2"/>
  <c r="AA6344" i="2"/>
  <c r="Z6344" i="2"/>
  <c r="C6344" i="2"/>
  <c r="AA6343" i="2"/>
  <c r="Z6343" i="2"/>
  <c r="C6343" i="2"/>
  <c r="AA6342" i="2"/>
  <c r="Z6342" i="2"/>
  <c r="C6342" i="2"/>
  <c r="AA6341" i="2"/>
  <c r="Z6341" i="2"/>
  <c r="C6341" i="2"/>
  <c r="AA6340" i="2"/>
  <c r="Z6340" i="2"/>
  <c r="C6340" i="2"/>
  <c r="AA6339" i="2"/>
  <c r="Z6339" i="2"/>
  <c r="C6339" i="2"/>
  <c r="AA6338" i="2"/>
  <c r="Z6338" i="2"/>
  <c r="C6338" i="2"/>
  <c r="AA6337" i="2"/>
  <c r="Z6337" i="2"/>
  <c r="C6337" i="2"/>
  <c r="AA6336" i="2"/>
  <c r="Z6336" i="2"/>
  <c r="C6336" i="2"/>
  <c r="AA6335" i="2"/>
  <c r="Z6335" i="2"/>
  <c r="C6335" i="2"/>
  <c r="AA6334" i="2"/>
  <c r="Z6334" i="2"/>
  <c r="C6334" i="2"/>
  <c r="AA6333" i="2"/>
  <c r="Z6333" i="2"/>
  <c r="C6333" i="2"/>
  <c r="AA6332" i="2"/>
  <c r="Z6332" i="2"/>
  <c r="C6332" i="2"/>
  <c r="AA6331" i="2"/>
  <c r="Z6331" i="2"/>
  <c r="C6331" i="2"/>
  <c r="AA6330" i="2"/>
  <c r="Z6330" i="2"/>
  <c r="C6330" i="2"/>
  <c r="AA6329" i="2"/>
  <c r="Z6329" i="2"/>
  <c r="C6329" i="2"/>
  <c r="AA6328" i="2"/>
  <c r="Z6328" i="2"/>
  <c r="C6328" i="2"/>
  <c r="AA6327" i="2"/>
  <c r="Z6327" i="2"/>
  <c r="C6327" i="2"/>
  <c r="AA6326" i="2"/>
  <c r="Z6326" i="2"/>
  <c r="C6326" i="2"/>
  <c r="AA6325" i="2"/>
  <c r="Z6325" i="2"/>
  <c r="C6325" i="2"/>
  <c r="AA6324" i="2"/>
  <c r="Z6324" i="2"/>
  <c r="C6324" i="2"/>
  <c r="AA6323" i="2"/>
  <c r="Z6323" i="2"/>
  <c r="C6323" i="2"/>
  <c r="AA6322" i="2"/>
  <c r="Z6322" i="2"/>
  <c r="C6322" i="2"/>
  <c r="AA6321" i="2"/>
  <c r="Z6321" i="2"/>
  <c r="C6321" i="2"/>
  <c r="AA6320" i="2"/>
  <c r="Z6320" i="2"/>
  <c r="C6320" i="2"/>
  <c r="AA6319" i="2"/>
  <c r="Z6319" i="2"/>
  <c r="C6319" i="2"/>
  <c r="AA6318" i="2"/>
  <c r="Z6318" i="2"/>
  <c r="C6318" i="2"/>
  <c r="AA6317" i="2"/>
  <c r="Z6317" i="2"/>
  <c r="C6317" i="2"/>
  <c r="AA6316" i="2"/>
  <c r="Z6316" i="2"/>
  <c r="C6316" i="2"/>
  <c r="AA6315" i="2"/>
  <c r="Z6315" i="2"/>
  <c r="C6315" i="2"/>
  <c r="AA6314" i="2"/>
  <c r="Z6314" i="2"/>
  <c r="C6314" i="2"/>
  <c r="AA6313" i="2"/>
  <c r="Z6313" i="2"/>
  <c r="C6313" i="2"/>
  <c r="AA6312" i="2"/>
  <c r="Z6312" i="2"/>
  <c r="C6312" i="2"/>
  <c r="AA6311" i="2"/>
  <c r="Z6311" i="2"/>
  <c r="C6311" i="2"/>
  <c r="AA6310" i="2"/>
  <c r="Z6310" i="2"/>
  <c r="C6310" i="2"/>
  <c r="AA6309" i="2"/>
  <c r="Z6309" i="2"/>
  <c r="C6309" i="2"/>
  <c r="AA6308" i="2"/>
  <c r="Z6308" i="2"/>
  <c r="C6308" i="2"/>
  <c r="AA6307" i="2"/>
  <c r="Z6307" i="2"/>
  <c r="C6307" i="2"/>
  <c r="AA6306" i="2"/>
  <c r="Z6306" i="2"/>
  <c r="C6306" i="2"/>
  <c r="AA6305" i="2"/>
  <c r="Z6305" i="2"/>
  <c r="C6305" i="2"/>
  <c r="AA6304" i="2"/>
  <c r="Z6304" i="2"/>
  <c r="C6304" i="2"/>
  <c r="AA6303" i="2"/>
  <c r="Z6303" i="2"/>
  <c r="C6303" i="2"/>
  <c r="AA6302" i="2"/>
  <c r="Z6302" i="2"/>
  <c r="C6302" i="2"/>
  <c r="AA6301" i="2"/>
  <c r="Z6301" i="2"/>
  <c r="C6301" i="2"/>
  <c r="AA6300" i="2"/>
  <c r="Z6300" i="2"/>
  <c r="C6300" i="2"/>
  <c r="AA6299" i="2"/>
  <c r="Z6299" i="2"/>
  <c r="C6299" i="2"/>
  <c r="AA6298" i="2"/>
  <c r="Z6298" i="2"/>
  <c r="C6298" i="2"/>
  <c r="AA6297" i="2"/>
  <c r="Z6297" i="2"/>
  <c r="C6297" i="2"/>
  <c r="AA6296" i="2"/>
  <c r="Z6296" i="2"/>
  <c r="C6296" i="2"/>
  <c r="AA6295" i="2"/>
  <c r="Z6295" i="2"/>
  <c r="C6295" i="2"/>
  <c r="AA6294" i="2"/>
  <c r="Z6294" i="2"/>
  <c r="C6294" i="2"/>
  <c r="AA6293" i="2"/>
  <c r="Z6293" i="2"/>
  <c r="C6293" i="2"/>
  <c r="AA6292" i="2"/>
  <c r="Z6292" i="2"/>
  <c r="C6292" i="2"/>
  <c r="AA6291" i="2"/>
  <c r="Z6291" i="2"/>
  <c r="C6291" i="2"/>
  <c r="AA6290" i="2"/>
  <c r="Z6290" i="2"/>
  <c r="C6290" i="2"/>
  <c r="AA6289" i="2"/>
  <c r="Z6289" i="2"/>
  <c r="C6289" i="2"/>
  <c r="AA6288" i="2"/>
  <c r="Z6288" i="2"/>
  <c r="C6288" i="2"/>
  <c r="AA6287" i="2"/>
  <c r="Z6287" i="2"/>
  <c r="C6287" i="2"/>
  <c r="AA6286" i="2"/>
  <c r="Z6286" i="2"/>
  <c r="C6286" i="2"/>
  <c r="AA6285" i="2"/>
  <c r="Z6285" i="2"/>
  <c r="C6285" i="2"/>
  <c r="AA6284" i="2"/>
  <c r="Z6284" i="2"/>
  <c r="C6284" i="2"/>
  <c r="AA6283" i="2"/>
  <c r="Z6283" i="2"/>
  <c r="C6283" i="2"/>
  <c r="AA6282" i="2"/>
  <c r="Z6282" i="2"/>
  <c r="C6282" i="2"/>
  <c r="AA6281" i="2"/>
  <c r="Z6281" i="2"/>
  <c r="C6281" i="2"/>
  <c r="AA6280" i="2"/>
  <c r="Z6280" i="2"/>
  <c r="C6280" i="2"/>
  <c r="AA6279" i="2"/>
  <c r="Z6279" i="2"/>
  <c r="C6279" i="2"/>
  <c r="AA6278" i="2"/>
  <c r="Z6278" i="2"/>
  <c r="C6278" i="2"/>
  <c r="AA6277" i="2"/>
  <c r="Z6277" i="2"/>
  <c r="C6277" i="2"/>
  <c r="AA6276" i="2"/>
  <c r="Z6276" i="2"/>
  <c r="C6276" i="2"/>
  <c r="AA6275" i="2"/>
  <c r="Z6275" i="2"/>
  <c r="C6275" i="2"/>
  <c r="AA6274" i="2"/>
  <c r="Z6274" i="2"/>
  <c r="C6274" i="2"/>
  <c r="AA6273" i="2"/>
  <c r="Z6273" i="2"/>
  <c r="C6273" i="2"/>
  <c r="AA6272" i="2"/>
  <c r="Z6272" i="2"/>
  <c r="C6272" i="2"/>
  <c r="AA6271" i="2"/>
  <c r="Z6271" i="2"/>
  <c r="C6271" i="2"/>
  <c r="AA6270" i="2"/>
  <c r="Z6270" i="2"/>
  <c r="C6270" i="2"/>
  <c r="AA6269" i="2"/>
  <c r="Z6269" i="2"/>
  <c r="C6269" i="2"/>
  <c r="AA6268" i="2"/>
  <c r="Z6268" i="2"/>
  <c r="C6268" i="2"/>
  <c r="AA6267" i="2"/>
  <c r="Z6267" i="2"/>
  <c r="C6267" i="2"/>
  <c r="AA6266" i="2"/>
  <c r="Z6266" i="2"/>
  <c r="C6266" i="2"/>
  <c r="AA6265" i="2"/>
  <c r="Z6265" i="2"/>
  <c r="C6265" i="2"/>
  <c r="AA6264" i="2"/>
  <c r="Z6264" i="2"/>
  <c r="C6264" i="2"/>
  <c r="AA6263" i="2"/>
  <c r="Z6263" i="2"/>
  <c r="C6263" i="2"/>
  <c r="AA6262" i="2"/>
  <c r="Z6262" i="2"/>
  <c r="C6262" i="2"/>
  <c r="AA6261" i="2"/>
  <c r="Z6261" i="2"/>
  <c r="C6261" i="2"/>
  <c r="AA6260" i="2"/>
  <c r="Z6260" i="2"/>
  <c r="C6260" i="2"/>
  <c r="AA6259" i="2"/>
  <c r="Z6259" i="2"/>
  <c r="C6259" i="2"/>
  <c r="AA6258" i="2"/>
  <c r="Z6258" i="2"/>
  <c r="C6258" i="2"/>
  <c r="AA6257" i="2"/>
  <c r="Z6257" i="2"/>
  <c r="C6257" i="2"/>
  <c r="AA6256" i="2"/>
  <c r="Z6256" i="2"/>
  <c r="C6256" i="2"/>
  <c r="AA6255" i="2"/>
  <c r="Z6255" i="2"/>
  <c r="C6255" i="2"/>
  <c r="AA6254" i="2"/>
  <c r="Z6254" i="2"/>
  <c r="C6254" i="2"/>
  <c r="AA6253" i="2"/>
  <c r="Z6253" i="2"/>
  <c r="C6253" i="2"/>
  <c r="AA6252" i="2"/>
  <c r="Z6252" i="2"/>
  <c r="C6252" i="2"/>
  <c r="AA6251" i="2"/>
  <c r="Z6251" i="2"/>
  <c r="C6251" i="2"/>
  <c r="AA6250" i="2"/>
  <c r="Z6250" i="2"/>
  <c r="C6250" i="2"/>
  <c r="AA6249" i="2"/>
  <c r="Z6249" i="2"/>
  <c r="C6249" i="2"/>
  <c r="AA6248" i="2"/>
  <c r="Z6248" i="2"/>
  <c r="C6248" i="2"/>
  <c r="AA6247" i="2"/>
  <c r="Z6247" i="2"/>
  <c r="C6247" i="2"/>
  <c r="AA6246" i="2"/>
  <c r="Z6246" i="2"/>
  <c r="C6246" i="2"/>
  <c r="AA6245" i="2"/>
  <c r="Z6245" i="2"/>
  <c r="C6245" i="2"/>
  <c r="AA6244" i="2"/>
  <c r="Z6244" i="2"/>
  <c r="C6244" i="2"/>
  <c r="AA6243" i="2"/>
  <c r="Z6243" i="2"/>
  <c r="C6243" i="2"/>
  <c r="AA6242" i="2"/>
  <c r="Z6242" i="2"/>
  <c r="C6242" i="2"/>
  <c r="AA6241" i="2"/>
  <c r="Z6241" i="2"/>
  <c r="C6241" i="2"/>
  <c r="AA6240" i="2"/>
  <c r="Z6240" i="2"/>
  <c r="C6240" i="2"/>
  <c r="AA6239" i="2"/>
  <c r="Z6239" i="2"/>
  <c r="C6239" i="2"/>
  <c r="AA6238" i="2"/>
  <c r="Z6238" i="2"/>
  <c r="C6238" i="2"/>
  <c r="AA6237" i="2"/>
  <c r="Z6237" i="2"/>
  <c r="C6237" i="2"/>
  <c r="AA6236" i="2"/>
  <c r="Z6236" i="2"/>
  <c r="C6236" i="2"/>
  <c r="AA6235" i="2"/>
  <c r="Z6235" i="2"/>
  <c r="C6235" i="2"/>
  <c r="AA6234" i="2"/>
  <c r="Z6234" i="2"/>
  <c r="C6234" i="2"/>
  <c r="AA6233" i="2"/>
  <c r="Z6233" i="2"/>
  <c r="C6233" i="2"/>
  <c r="AA6232" i="2"/>
  <c r="Z6232" i="2"/>
  <c r="C6232" i="2"/>
  <c r="AA6231" i="2"/>
  <c r="Z6231" i="2"/>
  <c r="C6231" i="2"/>
  <c r="AA6230" i="2"/>
  <c r="Z6230" i="2"/>
  <c r="C6230" i="2"/>
  <c r="AA6229" i="2"/>
  <c r="Z6229" i="2"/>
  <c r="C6229" i="2"/>
  <c r="AA6228" i="2"/>
  <c r="Z6228" i="2"/>
  <c r="C6228" i="2"/>
  <c r="AA6227" i="2"/>
  <c r="Z6227" i="2"/>
  <c r="C6227" i="2"/>
  <c r="AA6226" i="2"/>
  <c r="Z6226" i="2"/>
  <c r="C6226" i="2"/>
  <c r="AA6225" i="2"/>
  <c r="Z6225" i="2"/>
  <c r="C6225" i="2"/>
  <c r="AA6224" i="2"/>
  <c r="Z6224" i="2"/>
  <c r="C6224" i="2"/>
  <c r="AA6223" i="2"/>
  <c r="Z6223" i="2"/>
  <c r="C6223" i="2"/>
  <c r="AA6222" i="2"/>
  <c r="Z6222" i="2"/>
  <c r="C6222" i="2"/>
  <c r="AA6221" i="2"/>
  <c r="Z6221" i="2"/>
  <c r="C6221" i="2"/>
  <c r="AA6220" i="2"/>
  <c r="Z6220" i="2"/>
  <c r="C6220" i="2"/>
  <c r="AA6219" i="2"/>
  <c r="Z6219" i="2"/>
  <c r="C6219" i="2"/>
  <c r="AA6218" i="2"/>
  <c r="Z6218" i="2"/>
  <c r="C6218" i="2"/>
  <c r="AA6217" i="2"/>
  <c r="Z6217" i="2"/>
  <c r="C6217" i="2"/>
  <c r="AA6216" i="2"/>
  <c r="Z6216" i="2"/>
  <c r="C6216" i="2"/>
  <c r="AA6215" i="2"/>
  <c r="Z6215" i="2"/>
  <c r="C6215" i="2"/>
  <c r="AA6214" i="2"/>
  <c r="Z6214" i="2"/>
  <c r="C6214" i="2"/>
  <c r="AA6213" i="2"/>
  <c r="Z6213" i="2"/>
  <c r="C6213" i="2"/>
  <c r="AA6212" i="2"/>
  <c r="Z6212" i="2"/>
  <c r="C6212" i="2"/>
  <c r="AA6211" i="2"/>
  <c r="Z6211" i="2"/>
  <c r="C6211" i="2"/>
  <c r="AA6210" i="2"/>
  <c r="Z6210" i="2"/>
  <c r="C6210" i="2"/>
  <c r="AA6209" i="2"/>
  <c r="Z6209" i="2"/>
  <c r="C6209" i="2"/>
  <c r="AA6208" i="2"/>
  <c r="Z6208" i="2"/>
  <c r="C6208" i="2"/>
  <c r="AA6207" i="2"/>
  <c r="Z6207" i="2"/>
  <c r="C6207" i="2"/>
  <c r="AA6206" i="2"/>
  <c r="Z6206" i="2"/>
  <c r="C6206" i="2"/>
  <c r="AA6205" i="2"/>
  <c r="Z6205" i="2"/>
  <c r="C6205" i="2"/>
  <c r="AA6204" i="2"/>
  <c r="Z6204" i="2"/>
  <c r="C6204" i="2"/>
  <c r="AA6203" i="2"/>
  <c r="Z6203" i="2"/>
  <c r="C6203" i="2"/>
  <c r="AA6202" i="2"/>
  <c r="Z6202" i="2"/>
  <c r="C6202" i="2"/>
  <c r="AA6201" i="2"/>
  <c r="Z6201" i="2"/>
  <c r="C6201" i="2"/>
  <c r="AA6200" i="2"/>
  <c r="Z6200" i="2"/>
  <c r="C6200" i="2"/>
  <c r="AA6199" i="2"/>
  <c r="Z6199" i="2"/>
  <c r="C6199" i="2"/>
  <c r="AA6198" i="2"/>
  <c r="Z6198" i="2"/>
  <c r="C6198" i="2"/>
  <c r="AA6197" i="2"/>
  <c r="Z6197" i="2"/>
  <c r="C6197" i="2"/>
  <c r="AA6196" i="2"/>
  <c r="Z6196" i="2"/>
  <c r="C6196" i="2"/>
  <c r="AA6195" i="2"/>
  <c r="Z6195" i="2"/>
  <c r="C6195" i="2"/>
  <c r="AA6194" i="2"/>
  <c r="Z6194" i="2"/>
  <c r="C6194" i="2"/>
  <c r="AA6193" i="2"/>
  <c r="Z6193" i="2"/>
  <c r="C6193" i="2"/>
  <c r="AA6192" i="2"/>
  <c r="Z6192" i="2"/>
  <c r="C6192" i="2"/>
  <c r="AA6191" i="2"/>
  <c r="Z6191" i="2"/>
  <c r="C6191" i="2"/>
  <c r="AA6190" i="2"/>
  <c r="Z6190" i="2"/>
  <c r="C6190" i="2"/>
  <c r="AA6189" i="2"/>
  <c r="Z6189" i="2"/>
  <c r="C6189" i="2"/>
  <c r="AA6188" i="2"/>
  <c r="Z6188" i="2"/>
  <c r="C6188" i="2"/>
  <c r="AA6187" i="2"/>
  <c r="Z6187" i="2"/>
  <c r="C6187" i="2"/>
  <c r="AA6186" i="2"/>
  <c r="Z6186" i="2"/>
  <c r="C6186" i="2"/>
  <c r="AA6185" i="2"/>
  <c r="Z6185" i="2"/>
  <c r="C6185" i="2"/>
  <c r="AA6184" i="2"/>
  <c r="Z6184" i="2"/>
  <c r="C6184" i="2"/>
  <c r="AA6183" i="2"/>
  <c r="Z6183" i="2"/>
  <c r="C6183" i="2"/>
  <c r="AA6182" i="2"/>
  <c r="Z6182" i="2"/>
  <c r="C6182" i="2"/>
  <c r="AA6181" i="2"/>
  <c r="Z6181" i="2"/>
  <c r="C6181" i="2"/>
  <c r="AA6180" i="2"/>
  <c r="Z6180" i="2"/>
  <c r="C6180" i="2"/>
  <c r="AA6179" i="2"/>
  <c r="Z6179" i="2"/>
  <c r="C6179" i="2"/>
  <c r="AA6178" i="2"/>
  <c r="Z6178" i="2"/>
  <c r="C6178" i="2"/>
  <c r="AA6177" i="2"/>
  <c r="Z6177" i="2"/>
  <c r="C6177" i="2"/>
  <c r="AA6176" i="2"/>
  <c r="Z6176" i="2"/>
  <c r="C6176" i="2"/>
  <c r="AA6175" i="2"/>
  <c r="Z6175" i="2"/>
  <c r="C6175" i="2"/>
  <c r="AA6174" i="2"/>
  <c r="Z6174" i="2"/>
  <c r="C6174" i="2"/>
  <c r="AA6173" i="2"/>
  <c r="Z6173" i="2"/>
  <c r="C6173" i="2"/>
  <c r="AA6172" i="2"/>
  <c r="Z6172" i="2"/>
  <c r="C6172" i="2"/>
  <c r="AA6171" i="2"/>
  <c r="Z6171" i="2"/>
  <c r="C6171" i="2"/>
  <c r="AA6170" i="2"/>
  <c r="Z6170" i="2"/>
  <c r="C6170" i="2"/>
  <c r="AA6169" i="2"/>
  <c r="Z6169" i="2"/>
  <c r="C6169" i="2"/>
  <c r="AA6168" i="2"/>
  <c r="Z6168" i="2"/>
  <c r="C6168" i="2"/>
  <c r="AA6167" i="2"/>
  <c r="Z6167" i="2"/>
  <c r="C6167" i="2"/>
  <c r="AA6166" i="2"/>
  <c r="Z6166" i="2"/>
  <c r="C6166" i="2"/>
  <c r="AA6165" i="2"/>
  <c r="Z6165" i="2"/>
  <c r="C6165" i="2"/>
  <c r="AA6164" i="2"/>
  <c r="Z6164" i="2"/>
  <c r="C6164" i="2"/>
  <c r="AA6163" i="2"/>
  <c r="Z6163" i="2"/>
  <c r="C6163" i="2"/>
  <c r="AA6162" i="2"/>
  <c r="Z6162" i="2"/>
  <c r="C6162" i="2"/>
  <c r="AA6161" i="2"/>
  <c r="Z6161" i="2"/>
  <c r="C6161" i="2"/>
  <c r="AA6160" i="2"/>
  <c r="Z6160" i="2"/>
  <c r="C6160" i="2"/>
  <c r="AA6159" i="2"/>
  <c r="Z6159" i="2"/>
  <c r="C6159" i="2"/>
  <c r="AA6158" i="2"/>
  <c r="Z6158" i="2"/>
  <c r="C6158" i="2"/>
  <c r="AA6157" i="2"/>
  <c r="Z6157" i="2"/>
  <c r="C6157" i="2"/>
  <c r="AA6156" i="2"/>
  <c r="Z6156" i="2"/>
  <c r="C6156" i="2"/>
  <c r="AA6155" i="2"/>
  <c r="Z6155" i="2"/>
  <c r="C6155" i="2"/>
  <c r="AA6154" i="2"/>
  <c r="Z6154" i="2"/>
  <c r="C6154" i="2"/>
  <c r="AA6153" i="2"/>
  <c r="Z6153" i="2"/>
  <c r="C6153" i="2"/>
  <c r="AA6152" i="2"/>
  <c r="Z6152" i="2"/>
  <c r="C6152" i="2"/>
  <c r="AA6151" i="2"/>
  <c r="Z6151" i="2"/>
  <c r="C6151" i="2"/>
  <c r="AA6150" i="2"/>
  <c r="Z6150" i="2"/>
  <c r="C6150" i="2"/>
  <c r="AA6149" i="2"/>
  <c r="Z6149" i="2"/>
  <c r="C6149" i="2"/>
  <c r="AA6148" i="2"/>
  <c r="Z6148" i="2"/>
  <c r="C6148" i="2"/>
  <c r="AA6147" i="2"/>
  <c r="Z6147" i="2"/>
  <c r="C6147" i="2"/>
  <c r="AA6146" i="2"/>
  <c r="Z6146" i="2"/>
  <c r="C6146" i="2"/>
  <c r="AA6145" i="2"/>
  <c r="Z6145" i="2"/>
  <c r="C6145" i="2"/>
  <c r="AA6144" i="2"/>
  <c r="Z6144" i="2"/>
  <c r="C6144" i="2"/>
  <c r="AA6143" i="2"/>
  <c r="Z6143" i="2"/>
  <c r="C6143" i="2"/>
  <c r="AA6142" i="2"/>
  <c r="Z6142" i="2"/>
  <c r="C6142" i="2"/>
  <c r="AA6141" i="2"/>
  <c r="Z6141" i="2"/>
  <c r="C6141" i="2"/>
  <c r="AA6140" i="2"/>
  <c r="Z6140" i="2"/>
  <c r="C6140" i="2"/>
  <c r="AA6139" i="2"/>
  <c r="Z6139" i="2"/>
  <c r="C6139" i="2"/>
  <c r="AA6138" i="2"/>
  <c r="Z6138" i="2"/>
  <c r="C6138" i="2"/>
  <c r="AA6137" i="2"/>
  <c r="Z6137" i="2"/>
  <c r="C6137" i="2"/>
  <c r="AA6136" i="2"/>
  <c r="Z6136" i="2"/>
  <c r="C6136" i="2"/>
  <c r="AA6135" i="2"/>
  <c r="Z6135" i="2"/>
  <c r="C6135" i="2"/>
  <c r="AA6134" i="2"/>
  <c r="Z6134" i="2"/>
  <c r="C6134" i="2"/>
  <c r="AA6133" i="2"/>
  <c r="Z6133" i="2"/>
  <c r="C6133" i="2"/>
  <c r="AA6132" i="2"/>
  <c r="Z6132" i="2"/>
  <c r="C6132" i="2"/>
  <c r="AA6131" i="2"/>
  <c r="Z6131" i="2"/>
  <c r="C6131" i="2"/>
  <c r="AA6130" i="2"/>
  <c r="Z6130" i="2"/>
  <c r="C6130" i="2"/>
  <c r="AA6129" i="2"/>
  <c r="Z6129" i="2"/>
  <c r="C6129" i="2"/>
  <c r="AA6128" i="2"/>
  <c r="Z6128" i="2"/>
  <c r="C6128" i="2"/>
  <c r="AA6127" i="2"/>
  <c r="Z6127" i="2"/>
  <c r="C6127" i="2"/>
  <c r="AA6126" i="2"/>
  <c r="Z6126" i="2"/>
  <c r="C6126" i="2"/>
  <c r="AA6125" i="2"/>
  <c r="Z6125" i="2"/>
  <c r="C6125" i="2"/>
  <c r="AA6124" i="2"/>
  <c r="Z6124" i="2"/>
  <c r="C6124" i="2"/>
  <c r="AA6123" i="2"/>
  <c r="Z6123" i="2"/>
  <c r="C6123" i="2"/>
  <c r="AA6122" i="2"/>
  <c r="Z6122" i="2"/>
  <c r="C6122" i="2"/>
  <c r="AA6121" i="2"/>
  <c r="Z6121" i="2"/>
  <c r="C6121" i="2"/>
  <c r="AA6120" i="2"/>
  <c r="Z6120" i="2"/>
  <c r="C6120" i="2"/>
  <c r="AA6119" i="2"/>
  <c r="Z6119" i="2"/>
  <c r="C6119" i="2"/>
  <c r="AA6118" i="2"/>
  <c r="Z6118" i="2"/>
  <c r="C6118" i="2"/>
  <c r="AA6117" i="2"/>
  <c r="Z6117" i="2"/>
  <c r="C6117" i="2"/>
  <c r="AA6116" i="2"/>
  <c r="Z6116" i="2"/>
  <c r="C6116" i="2"/>
  <c r="AA6115" i="2"/>
  <c r="Z6115" i="2"/>
  <c r="C6115" i="2"/>
  <c r="AA6114" i="2"/>
  <c r="Z6114" i="2"/>
  <c r="C6114" i="2"/>
  <c r="AA6113" i="2"/>
  <c r="Z6113" i="2"/>
  <c r="C6113" i="2"/>
  <c r="AA6112" i="2"/>
  <c r="Z6112" i="2"/>
  <c r="C6112" i="2"/>
  <c r="AA6111" i="2"/>
  <c r="Z6111" i="2"/>
  <c r="C6111" i="2"/>
  <c r="AA6110" i="2"/>
  <c r="Z6110" i="2"/>
  <c r="C6110" i="2"/>
  <c r="AA6109" i="2"/>
  <c r="Z6109" i="2"/>
  <c r="C6109" i="2"/>
  <c r="AA6108" i="2"/>
  <c r="Z6108" i="2"/>
  <c r="C6108" i="2"/>
  <c r="AA6107" i="2"/>
  <c r="Z6107" i="2"/>
  <c r="C6107" i="2"/>
  <c r="AA6106" i="2"/>
  <c r="Z6106" i="2"/>
  <c r="C6106" i="2"/>
  <c r="AA6105" i="2"/>
  <c r="Z6105" i="2"/>
  <c r="C6105" i="2"/>
  <c r="AA6104" i="2"/>
  <c r="Z6104" i="2"/>
  <c r="C6104" i="2"/>
  <c r="AA6103" i="2"/>
  <c r="Z6103" i="2"/>
  <c r="C6103" i="2"/>
  <c r="AA6102" i="2"/>
  <c r="Z6102" i="2"/>
  <c r="C6102" i="2"/>
  <c r="AA6101" i="2"/>
  <c r="Z6101" i="2"/>
  <c r="C6101" i="2"/>
  <c r="AA6100" i="2"/>
  <c r="Z6100" i="2"/>
  <c r="C6100" i="2"/>
  <c r="AA6099" i="2"/>
  <c r="Z6099" i="2"/>
  <c r="C6099" i="2"/>
  <c r="AA6098" i="2"/>
  <c r="Z6098" i="2"/>
  <c r="C6098" i="2"/>
  <c r="AA6097" i="2"/>
  <c r="Z6097" i="2"/>
  <c r="C6097" i="2"/>
  <c r="AA6096" i="2"/>
  <c r="Z6096" i="2"/>
  <c r="C6096" i="2"/>
  <c r="AA6095" i="2"/>
  <c r="Z6095" i="2"/>
  <c r="C6095" i="2"/>
  <c r="AA6094" i="2"/>
  <c r="Z6094" i="2"/>
  <c r="C6094" i="2"/>
  <c r="AA6093" i="2"/>
  <c r="Z6093" i="2"/>
  <c r="C6093" i="2"/>
  <c r="AA6092" i="2"/>
  <c r="Z6092" i="2"/>
  <c r="C6092" i="2"/>
  <c r="AA6091" i="2"/>
  <c r="Z6091" i="2"/>
  <c r="C6091" i="2"/>
  <c r="AA6090" i="2"/>
  <c r="Z6090" i="2"/>
  <c r="C6090" i="2"/>
  <c r="AA6089" i="2"/>
  <c r="Z6089" i="2"/>
  <c r="C6089" i="2"/>
  <c r="AA6088" i="2"/>
  <c r="Z6088" i="2"/>
  <c r="C6088" i="2"/>
  <c r="AA6087" i="2"/>
  <c r="Z6087" i="2"/>
  <c r="C6087" i="2"/>
  <c r="AA6086" i="2"/>
  <c r="Z6086" i="2"/>
  <c r="C6086" i="2"/>
  <c r="AA6085" i="2"/>
  <c r="Z6085" i="2"/>
  <c r="C6085" i="2"/>
  <c r="AA6084" i="2"/>
  <c r="Z6084" i="2"/>
  <c r="C6084" i="2"/>
  <c r="AA6083" i="2"/>
  <c r="Z6083" i="2"/>
  <c r="C6083" i="2"/>
  <c r="AA6082" i="2"/>
  <c r="Z6082" i="2"/>
  <c r="C6082" i="2"/>
  <c r="AA6081" i="2"/>
  <c r="Z6081" i="2"/>
  <c r="C6081" i="2"/>
  <c r="AA6080" i="2"/>
  <c r="Z6080" i="2"/>
  <c r="C6080" i="2"/>
  <c r="AA6079" i="2"/>
  <c r="Z6079" i="2"/>
  <c r="C6079" i="2"/>
  <c r="AA6078" i="2"/>
  <c r="Z6078" i="2"/>
  <c r="C6078" i="2"/>
  <c r="AA6077" i="2"/>
  <c r="Z6077" i="2"/>
  <c r="C6077" i="2"/>
  <c r="AA6076" i="2"/>
  <c r="Z6076" i="2"/>
  <c r="C6076" i="2"/>
  <c r="AA6075" i="2"/>
  <c r="Z6075" i="2"/>
  <c r="C6075" i="2"/>
  <c r="AA6074" i="2"/>
  <c r="Z6074" i="2"/>
  <c r="C6074" i="2"/>
  <c r="AA6073" i="2"/>
  <c r="Z6073" i="2"/>
  <c r="C6073" i="2"/>
  <c r="AA6072" i="2"/>
  <c r="Z6072" i="2"/>
  <c r="C6072" i="2"/>
  <c r="AA6071" i="2"/>
  <c r="Z6071" i="2"/>
  <c r="C6071" i="2"/>
  <c r="AA6070" i="2"/>
  <c r="Z6070" i="2"/>
  <c r="C6070" i="2"/>
  <c r="AA6069" i="2"/>
  <c r="Z6069" i="2"/>
  <c r="C6069" i="2"/>
  <c r="AA6068" i="2"/>
  <c r="Z6068" i="2"/>
  <c r="C6068" i="2"/>
  <c r="AA6067" i="2"/>
  <c r="Z6067" i="2"/>
  <c r="C6067" i="2"/>
  <c r="AA6066" i="2"/>
  <c r="Z6066" i="2"/>
  <c r="C6066" i="2"/>
  <c r="AA6065" i="2"/>
  <c r="Z6065" i="2"/>
  <c r="C6065" i="2"/>
  <c r="AA6064" i="2"/>
  <c r="Z6064" i="2"/>
  <c r="C6064" i="2"/>
  <c r="AA6063" i="2"/>
  <c r="Z6063" i="2"/>
  <c r="C6063" i="2"/>
  <c r="AA6062" i="2"/>
  <c r="Z6062" i="2"/>
  <c r="C6062" i="2"/>
  <c r="AA6061" i="2"/>
  <c r="Z6061" i="2"/>
  <c r="C6061" i="2"/>
  <c r="AA6060" i="2"/>
  <c r="Z6060" i="2"/>
  <c r="C6060" i="2"/>
  <c r="AA6059" i="2"/>
  <c r="Z6059" i="2"/>
  <c r="C6059" i="2"/>
  <c r="AA6058" i="2"/>
  <c r="Z6058" i="2"/>
  <c r="C6058" i="2"/>
  <c r="AA6057" i="2"/>
  <c r="Z6057" i="2"/>
  <c r="C6057" i="2"/>
  <c r="AA6056" i="2"/>
  <c r="Z6056" i="2"/>
  <c r="C6056" i="2"/>
  <c r="AA6055" i="2"/>
  <c r="Z6055" i="2"/>
  <c r="C6055" i="2"/>
  <c r="AA6054" i="2"/>
  <c r="Z6054" i="2"/>
  <c r="C6054" i="2"/>
  <c r="AA6053" i="2"/>
  <c r="Z6053" i="2"/>
  <c r="C6053" i="2"/>
  <c r="AA6052" i="2"/>
  <c r="Z6052" i="2"/>
  <c r="C6052" i="2"/>
  <c r="AA6051" i="2"/>
  <c r="Z6051" i="2"/>
  <c r="C6051" i="2"/>
  <c r="AA6050" i="2"/>
  <c r="Z6050" i="2"/>
  <c r="C6050" i="2"/>
  <c r="AA6049" i="2"/>
  <c r="Z6049" i="2"/>
  <c r="C6049" i="2"/>
  <c r="AA6048" i="2"/>
  <c r="Z6048" i="2"/>
  <c r="C6048" i="2"/>
  <c r="AA6047" i="2"/>
  <c r="Z6047" i="2"/>
  <c r="C6047" i="2"/>
  <c r="AA6046" i="2"/>
  <c r="Z6046" i="2"/>
  <c r="C6046" i="2"/>
  <c r="AA6045" i="2"/>
  <c r="Z6045" i="2"/>
  <c r="C6045" i="2"/>
  <c r="AA6044" i="2"/>
  <c r="Z6044" i="2"/>
  <c r="C6044" i="2"/>
  <c r="AA6043" i="2"/>
  <c r="Z6043" i="2"/>
  <c r="C6043" i="2"/>
  <c r="AA6042" i="2"/>
  <c r="Z6042" i="2"/>
  <c r="C6042" i="2"/>
  <c r="AA6041" i="2"/>
  <c r="Z6041" i="2"/>
  <c r="C6041" i="2"/>
  <c r="AA6040" i="2"/>
  <c r="Z6040" i="2"/>
  <c r="C6040" i="2"/>
  <c r="AA6039" i="2"/>
  <c r="Z6039" i="2"/>
  <c r="C6039" i="2"/>
  <c r="AA6038" i="2"/>
  <c r="Z6038" i="2"/>
  <c r="C6038" i="2"/>
  <c r="AA6037" i="2"/>
  <c r="Z6037" i="2"/>
  <c r="C6037" i="2"/>
  <c r="AA6036" i="2"/>
  <c r="Z6036" i="2"/>
  <c r="C6036" i="2"/>
  <c r="AA6035" i="2"/>
  <c r="Z6035" i="2"/>
  <c r="C6035" i="2"/>
  <c r="AA6034" i="2"/>
  <c r="Z6034" i="2"/>
  <c r="C6034" i="2"/>
  <c r="AA6033" i="2"/>
  <c r="Z6033" i="2"/>
  <c r="C6033" i="2"/>
  <c r="AA6032" i="2"/>
  <c r="Z6032" i="2"/>
  <c r="C6032" i="2"/>
  <c r="AA6031" i="2"/>
  <c r="Z6031" i="2"/>
  <c r="C6031" i="2"/>
  <c r="AA6030" i="2"/>
  <c r="Z6030" i="2"/>
  <c r="C6030" i="2"/>
  <c r="AA6029" i="2"/>
  <c r="Z6029" i="2"/>
  <c r="C6029" i="2"/>
  <c r="AA6028" i="2"/>
  <c r="Z6028" i="2"/>
  <c r="C6028" i="2"/>
  <c r="AA6027" i="2"/>
  <c r="Z6027" i="2"/>
  <c r="C6027" i="2"/>
  <c r="AA6026" i="2"/>
  <c r="Z6026" i="2"/>
  <c r="C6026" i="2"/>
  <c r="AA6025" i="2"/>
  <c r="Z6025" i="2"/>
  <c r="C6025" i="2"/>
  <c r="AA6024" i="2"/>
  <c r="Z6024" i="2"/>
  <c r="C6024" i="2"/>
  <c r="AA6023" i="2"/>
  <c r="Z6023" i="2"/>
  <c r="C6023" i="2"/>
  <c r="AA6022" i="2"/>
  <c r="Z6022" i="2"/>
  <c r="C6022" i="2"/>
  <c r="AA6021" i="2"/>
  <c r="Z6021" i="2"/>
  <c r="C6021" i="2"/>
  <c r="AA6020" i="2"/>
  <c r="Z6020" i="2"/>
  <c r="C6020" i="2"/>
  <c r="AA6019" i="2"/>
  <c r="Z6019" i="2"/>
  <c r="C6019" i="2"/>
  <c r="AA6018" i="2"/>
  <c r="Z6018" i="2"/>
  <c r="C6018" i="2"/>
  <c r="AA6017" i="2"/>
  <c r="Z6017" i="2"/>
  <c r="C6017" i="2"/>
  <c r="AA6016" i="2"/>
  <c r="Z6016" i="2"/>
  <c r="C6016" i="2"/>
  <c r="AA6015" i="2"/>
  <c r="Z6015" i="2"/>
  <c r="C6015" i="2"/>
  <c r="AA6014" i="2"/>
  <c r="Z6014" i="2"/>
  <c r="C6014" i="2"/>
  <c r="AA6013" i="2"/>
  <c r="Z6013" i="2"/>
  <c r="C6013" i="2"/>
  <c r="AA6012" i="2"/>
  <c r="Z6012" i="2"/>
  <c r="C6012" i="2"/>
  <c r="AA6011" i="2"/>
  <c r="Z6011" i="2"/>
  <c r="C6011" i="2"/>
  <c r="AA6010" i="2"/>
  <c r="Z6010" i="2"/>
  <c r="C6010" i="2"/>
  <c r="AA6009" i="2"/>
  <c r="Z6009" i="2"/>
  <c r="C6009" i="2"/>
  <c r="AA6008" i="2"/>
  <c r="Z6008" i="2"/>
  <c r="C6008" i="2"/>
  <c r="AA6007" i="2"/>
  <c r="Z6007" i="2"/>
  <c r="C6007" i="2"/>
  <c r="AA6006" i="2"/>
  <c r="Z6006" i="2"/>
  <c r="C6006" i="2"/>
  <c r="AA6005" i="2"/>
  <c r="Z6005" i="2"/>
  <c r="C6005" i="2"/>
  <c r="AA6004" i="2"/>
  <c r="Z6004" i="2"/>
  <c r="C6004" i="2"/>
  <c r="AA6003" i="2"/>
  <c r="Z6003" i="2"/>
  <c r="C6003" i="2"/>
  <c r="AA6002" i="2"/>
  <c r="Z6002" i="2"/>
  <c r="C6002" i="2"/>
  <c r="AA6001" i="2"/>
  <c r="Z6001" i="2"/>
  <c r="C6001" i="2"/>
  <c r="AA6000" i="2"/>
  <c r="Z6000" i="2"/>
  <c r="C6000" i="2"/>
  <c r="AA5999" i="2"/>
  <c r="Z5999" i="2"/>
  <c r="C5999" i="2"/>
  <c r="AA5998" i="2"/>
  <c r="Z5998" i="2"/>
  <c r="C5998" i="2"/>
  <c r="AA5997" i="2"/>
  <c r="Z5997" i="2"/>
  <c r="C5997" i="2"/>
  <c r="AA5996" i="2"/>
  <c r="Z5996" i="2"/>
  <c r="C5996" i="2"/>
  <c r="AA5995" i="2"/>
  <c r="Z5995" i="2"/>
  <c r="C5995" i="2"/>
  <c r="AA5994" i="2"/>
  <c r="Z5994" i="2"/>
  <c r="C5994" i="2"/>
  <c r="AA5993" i="2"/>
  <c r="Z5993" i="2"/>
  <c r="C5993" i="2"/>
  <c r="AA5992" i="2"/>
  <c r="Z5992" i="2"/>
  <c r="C5992" i="2"/>
  <c r="AA5991" i="2"/>
  <c r="Z5991" i="2"/>
  <c r="C5991" i="2"/>
  <c r="AA5990" i="2"/>
  <c r="Z5990" i="2"/>
  <c r="C5990" i="2"/>
  <c r="AA5989" i="2"/>
  <c r="Z5989" i="2"/>
  <c r="C5989" i="2"/>
  <c r="AA5988" i="2"/>
  <c r="Z5988" i="2"/>
  <c r="C5988" i="2"/>
  <c r="AA5987" i="2"/>
  <c r="Z5987" i="2"/>
  <c r="C5987" i="2"/>
  <c r="AA5986" i="2"/>
  <c r="Z5986" i="2"/>
  <c r="C5986" i="2"/>
  <c r="AA5985" i="2"/>
  <c r="Z5985" i="2"/>
  <c r="C5985" i="2"/>
  <c r="AA5984" i="2"/>
  <c r="Z5984" i="2"/>
  <c r="C5984" i="2"/>
  <c r="AA5983" i="2"/>
  <c r="Z5983" i="2"/>
  <c r="C5983" i="2"/>
  <c r="AA5982" i="2"/>
  <c r="Z5982" i="2"/>
  <c r="C5982" i="2"/>
  <c r="AA5981" i="2"/>
  <c r="Z5981" i="2"/>
  <c r="C5981" i="2"/>
  <c r="AA5980" i="2"/>
  <c r="Z5980" i="2"/>
  <c r="C5980" i="2"/>
  <c r="AA5979" i="2"/>
  <c r="Z5979" i="2"/>
  <c r="C5979" i="2"/>
  <c r="AA5978" i="2"/>
  <c r="Z5978" i="2"/>
  <c r="C5978" i="2"/>
  <c r="AA5977" i="2"/>
  <c r="Z5977" i="2"/>
  <c r="C5977" i="2"/>
  <c r="AA5976" i="2"/>
  <c r="Z5976" i="2"/>
  <c r="C5976" i="2"/>
  <c r="AA5975" i="2"/>
  <c r="Z5975" i="2"/>
  <c r="C5975" i="2"/>
  <c r="AA5974" i="2"/>
  <c r="Z5974" i="2"/>
  <c r="C5974" i="2"/>
  <c r="AA5973" i="2"/>
  <c r="Z5973" i="2"/>
  <c r="C5973" i="2"/>
  <c r="AA5972" i="2"/>
  <c r="Z5972" i="2"/>
  <c r="C5972" i="2"/>
  <c r="AA5971" i="2"/>
  <c r="Z5971" i="2"/>
  <c r="C5971" i="2"/>
  <c r="AA5970" i="2"/>
  <c r="Z5970" i="2"/>
  <c r="C5970" i="2"/>
  <c r="AA5969" i="2"/>
  <c r="Z5969" i="2"/>
  <c r="C5969" i="2"/>
  <c r="AA5968" i="2"/>
  <c r="Z5968" i="2"/>
  <c r="C5968" i="2"/>
  <c r="AA5967" i="2"/>
  <c r="Z5967" i="2"/>
  <c r="C5967" i="2"/>
  <c r="AA5966" i="2"/>
  <c r="Z5966" i="2"/>
  <c r="C5966" i="2"/>
  <c r="AA5965" i="2"/>
  <c r="Z5965" i="2"/>
  <c r="C5965" i="2"/>
  <c r="AA5964" i="2"/>
  <c r="Z5964" i="2"/>
  <c r="C5964" i="2"/>
  <c r="AA5963" i="2"/>
  <c r="Z5963" i="2"/>
  <c r="C5963" i="2"/>
  <c r="AA5962" i="2"/>
  <c r="Z5962" i="2"/>
  <c r="C5962" i="2"/>
  <c r="AA5961" i="2"/>
  <c r="Z5961" i="2"/>
  <c r="C5961" i="2"/>
  <c r="AA5960" i="2"/>
  <c r="Z5960" i="2"/>
  <c r="C5960" i="2"/>
  <c r="AA5959" i="2"/>
  <c r="Z5959" i="2"/>
  <c r="C5959" i="2"/>
  <c r="AA5958" i="2"/>
  <c r="Z5958" i="2"/>
  <c r="C5958" i="2"/>
  <c r="AA5957" i="2"/>
  <c r="Z5957" i="2"/>
  <c r="C5957" i="2"/>
  <c r="AA5956" i="2"/>
  <c r="Z5956" i="2"/>
  <c r="C5956" i="2"/>
  <c r="AA5955" i="2"/>
  <c r="Z5955" i="2"/>
  <c r="C5955" i="2"/>
  <c r="AA5954" i="2"/>
  <c r="Z5954" i="2"/>
  <c r="C5954" i="2"/>
  <c r="AA5953" i="2"/>
  <c r="Z5953" i="2"/>
  <c r="C5953" i="2"/>
  <c r="AA5952" i="2"/>
  <c r="Z5952" i="2"/>
  <c r="C5952" i="2"/>
  <c r="AA5951" i="2"/>
  <c r="Z5951" i="2"/>
  <c r="C5951" i="2"/>
  <c r="AA5950" i="2"/>
  <c r="Z5950" i="2"/>
  <c r="C5950" i="2"/>
  <c r="AA5949" i="2"/>
  <c r="Z5949" i="2"/>
  <c r="C5949" i="2"/>
  <c r="AA5948" i="2"/>
  <c r="Z5948" i="2"/>
  <c r="C5948" i="2"/>
  <c r="AA5947" i="2"/>
  <c r="Z5947" i="2"/>
  <c r="C5947" i="2"/>
  <c r="AA5946" i="2"/>
  <c r="Z5946" i="2"/>
  <c r="C5946" i="2"/>
  <c r="AA5945" i="2"/>
  <c r="Z5945" i="2"/>
  <c r="C5945" i="2"/>
  <c r="AA5944" i="2"/>
  <c r="Z5944" i="2"/>
  <c r="C5944" i="2"/>
  <c r="AA5943" i="2"/>
  <c r="Z5943" i="2"/>
  <c r="C5943" i="2"/>
  <c r="AA5942" i="2"/>
  <c r="Z5942" i="2"/>
  <c r="C5942" i="2"/>
  <c r="AA5941" i="2"/>
  <c r="Z5941" i="2"/>
  <c r="C5941" i="2"/>
  <c r="AA5940" i="2"/>
  <c r="Z5940" i="2"/>
  <c r="C5940" i="2"/>
  <c r="AA5939" i="2"/>
  <c r="Z5939" i="2"/>
  <c r="C5939" i="2"/>
  <c r="AA5938" i="2"/>
  <c r="Z5938" i="2"/>
  <c r="C5938" i="2"/>
  <c r="AA5937" i="2"/>
  <c r="Z5937" i="2"/>
  <c r="C5937" i="2"/>
  <c r="AA5936" i="2"/>
  <c r="Z5936" i="2"/>
  <c r="C5936" i="2"/>
  <c r="AA5935" i="2"/>
  <c r="Z5935" i="2"/>
  <c r="C5935" i="2"/>
  <c r="AA5934" i="2"/>
  <c r="Z5934" i="2"/>
  <c r="C5934" i="2"/>
  <c r="AA5933" i="2"/>
  <c r="Z5933" i="2"/>
  <c r="C5933" i="2"/>
  <c r="AA5932" i="2"/>
  <c r="Z5932" i="2"/>
  <c r="C5932" i="2"/>
  <c r="AA5931" i="2"/>
  <c r="Z5931" i="2"/>
  <c r="C5931" i="2"/>
  <c r="AA5930" i="2"/>
  <c r="Z5930" i="2"/>
  <c r="C5930" i="2"/>
  <c r="AA5929" i="2"/>
  <c r="Z5929" i="2"/>
  <c r="C5929" i="2"/>
  <c r="AA5928" i="2"/>
  <c r="Z5928" i="2"/>
  <c r="C5928" i="2"/>
  <c r="AA5927" i="2"/>
  <c r="Z5927" i="2"/>
  <c r="C5927" i="2"/>
  <c r="AA5926" i="2"/>
  <c r="Z5926" i="2"/>
  <c r="C5926" i="2"/>
  <c r="AA5925" i="2"/>
  <c r="Z5925" i="2"/>
  <c r="C5925" i="2"/>
  <c r="AA5924" i="2"/>
  <c r="Z5924" i="2"/>
  <c r="C5924" i="2"/>
  <c r="AA5923" i="2"/>
  <c r="Z5923" i="2"/>
  <c r="C5923" i="2"/>
  <c r="AA5922" i="2"/>
  <c r="Z5922" i="2"/>
  <c r="C5922" i="2"/>
  <c r="AA5921" i="2"/>
  <c r="Z5921" i="2"/>
  <c r="C5921" i="2"/>
  <c r="AA5920" i="2"/>
  <c r="Z5920" i="2"/>
  <c r="C5920" i="2"/>
  <c r="AA5919" i="2"/>
  <c r="Z5919" i="2"/>
  <c r="C5919" i="2"/>
  <c r="AA5918" i="2"/>
  <c r="Z5918" i="2"/>
  <c r="C5918" i="2"/>
  <c r="AA5917" i="2"/>
  <c r="Z5917" i="2"/>
  <c r="C5917" i="2"/>
  <c r="AA5916" i="2"/>
  <c r="Z5916" i="2"/>
  <c r="C5916" i="2"/>
  <c r="AA5915" i="2"/>
  <c r="Z5915" i="2"/>
  <c r="C5915" i="2"/>
  <c r="AA5914" i="2"/>
  <c r="Z5914" i="2"/>
  <c r="C5914" i="2"/>
  <c r="AA5913" i="2"/>
  <c r="Z5913" i="2"/>
  <c r="C5913" i="2"/>
  <c r="AA5912" i="2"/>
  <c r="Z5912" i="2"/>
  <c r="C5912" i="2"/>
  <c r="AA5911" i="2"/>
  <c r="Z5911" i="2"/>
  <c r="C5911" i="2"/>
  <c r="AA5910" i="2"/>
  <c r="Z5910" i="2"/>
  <c r="C5910" i="2"/>
  <c r="AA5909" i="2"/>
  <c r="Z5909" i="2"/>
  <c r="C5909" i="2"/>
  <c r="AA5908" i="2"/>
  <c r="Z5908" i="2"/>
  <c r="C5908" i="2"/>
  <c r="AA5907" i="2"/>
  <c r="Z5907" i="2"/>
  <c r="C5907" i="2"/>
  <c r="AA5906" i="2"/>
  <c r="Z5906" i="2"/>
  <c r="C5906" i="2"/>
  <c r="AA5905" i="2"/>
  <c r="Z5905" i="2"/>
  <c r="C5905" i="2"/>
  <c r="AA5904" i="2"/>
  <c r="Z5904" i="2"/>
  <c r="C5904" i="2"/>
  <c r="AA5903" i="2"/>
  <c r="Z5903" i="2"/>
  <c r="C5903" i="2"/>
  <c r="AA5902" i="2"/>
  <c r="Z5902" i="2"/>
  <c r="C5902" i="2"/>
  <c r="AA5901" i="2"/>
  <c r="Z5901" i="2"/>
  <c r="C5901" i="2"/>
  <c r="AA5900" i="2"/>
  <c r="Z5900" i="2"/>
  <c r="C5900" i="2"/>
  <c r="AA5899" i="2"/>
  <c r="Z5899" i="2"/>
  <c r="C5899" i="2"/>
  <c r="AA5898" i="2"/>
  <c r="Z5898" i="2"/>
  <c r="C5898" i="2"/>
  <c r="AA5897" i="2"/>
  <c r="Z5897" i="2"/>
  <c r="C5897" i="2"/>
  <c r="AA5896" i="2"/>
  <c r="Z5896" i="2"/>
  <c r="C5896" i="2"/>
  <c r="AA5895" i="2"/>
  <c r="Z5895" i="2"/>
  <c r="C5895" i="2"/>
  <c r="AA5894" i="2"/>
  <c r="Z5894" i="2"/>
  <c r="C5894" i="2"/>
  <c r="AA5893" i="2"/>
  <c r="Z5893" i="2"/>
  <c r="C5893" i="2"/>
  <c r="AA5892" i="2"/>
  <c r="Z5892" i="2"/>
  <c r="C5892" i="2"/>
  <c r="AA5891" i="2"/>
  <c r="Z5891" i="2"/>
  <c r="C5891" i="2"/>
  <c r="AA5890" i="2"/>
  <c r="Z5890" i="2"/>
  <c r="C5890" i="2"/>
  <c r="AA5889" i="2"/>
  <c r="Z5889" i="2"/>
  <c r="C5889" i="2"/>
  <c r="AA5888" i="2"/>
  <c r="Z5888" i="2"/>
  <c r="C5888" i="2"/>
  <c r="AA5887" i="2"/>
  <c r="Z5887" i="2"/>
  <c r="C5887" i="2"/>
  <c r="AA5886" i="2"/>
  <c r="Z5886" i="2"/>
  <c r="C5886" i="2"/>
  <c r="AA5885" i="2"/>
  <c r="Z5885" i="2"/>
  <c r="C5885" i="2"/>
  <c r="AA5884" i="2"/>
  <c r="Z5884" i="2"/>
  <c r="C5884" i="2"/>
  <c r="AA5883" i="2"/>
  <c r="Z5883" i="2"/>
  <c r="C5883" i="2"/>
  <c r="AA5882" i="2"/>
  <c r="Z5882" i="2"/>
  <c r="C5882" i="2"/>
  <c r="AA5881" i="2"/>
  <c r="Z5881" i="2"/>
  <c r="C5881" i="2"/>
  <c r="AA5880" i="2"/>
  <c r="Z5880" i="2"/>
  <c r="C5880" i="2"/>
  <c r="AA5879" i="2"/>
  <c r="Z5879" i="2"/>
  <c r="C5879" i="2"/>
  <c r="AA5878" i="2"/>
  <c r="Z5878" i="2"/>
  <c r="C5878" i="2"/>
  <c r="AA5877" i="2"/>
  <c r="Z5877" i="2"/>
  <c r="C5877" i="2"/>
  <c r="AA5876" i="2"/>
  <c r="Z5876" i="2"/>
  <c r="C5876" i="2"/>
  <c r="AA5875" i="2"/>
  <c r="Z5875" i="2"/>
  <c r="C5875" i="2"/>
  <c r="AA5874" i="2"/>
  <c r="Z5874" i="2"/>
  <c r="C5874" i="2"/>
  <c r="AA5873" i="2"/>
  <c r="Z5873" i="2"/>
  <c r="C5873" i="2"/>
  <c r="AA5872" i="2"/>
  <c r="Z5872" i="2"/>
  <c r="C5872" i="2"/>
  <c r="AA5871" i="2"/>
  <c r="Z5871" i="2"/>
  <c r="C5871" i="2"/>
  <c r="AA5870" i="2"/>
  <c r="Z5870" i="2"/>
  <c r="C5870" i="2"/>
  <c r="AA5869" i="2"/>
  <c r="Z5869" i="2"/>
  <c r="C5869" i="2"/>
  <c r="AA5868" i="2"/>
  <c r="Z5868" i="2"/>
  <c r="C5868" i="2"/>
  <c r="AA5867" i="2"/>
  <c r="Z5867" i="2"/>
  <c r="C5867" i="2"/>
  <c r="AA5866" i="2"/>
  <c r="Z5866" i="2"/>
  <c r="C5866" i="2"/>
  <c r="AA5865" i="2"/>
  <c r="Z5865" i="2"/>
  <c r="C5865" i="2"/>
  <c r="AA5864" i="2"/>
  <c r="Z5864" i="2"/>
  <c r="C5864" i="2"/>
  <c r="AA5863" i="2"/>
  <c r="Z5863" i="2"/>
  <c r="C5863" i="2"/>
  <c r="AA5862" i="2"/>
  <c r="Z5862" i="2"/>
  <c r="C5862" i="2"/>
  <c r="AA5861" i="2"/>
  <c r="Z5861" i="2"/>
  <c r="C5861" i="2"/>
  <c r="AA5860" i="2"/>
  <c r="Z5860" i="2"/>
  <c r="C5860" i="2"/>
  <c r="AA5859" i="2"/>
  <c r="Z5859" i="2"/>
  <c r="C5859" i="2"/>
  <c r="AA5858" i="2"/>
  <c r="Z5858" i="2"/>
  <c r="C5858" i="2"/>
  <c r="AA5857" i="2"/>
  <c r="Z5857" i="2"/>
  <c r="C5857" i="2"/>
  <c r="AA5856" i="2"/>
  <c r="Z5856" i="2"/>
  <c r="C5856" i="2"/>
  <c r="AA5855" i="2"/>
  <c r="Z5855" i="2"/>
  <c r="C5855" i="2"/>
  <c r="AA5854" i="2"/>
  <c r="Z5854" i="2"/>
  <c r="C5854" i="2"/>
  <c r="AA5853" i="2"/>
  <c r="Z5853" i="2"/>
  <c r="C5853" i="2"/>
  <c r="AA5852" i="2"/>
  <c r="Z5852" i="2"/>
  <c r="C5852" i="2"/>
  <c r="AA5851" i="2"/>
  <c r="Z5851" i="2"/>
  <c r="C5851" i="2"/>
  <c r="AA5850" i="2"/>
  <c r="Z5850" i="2"/>
  <c r="C5850" i="2"/>
  <c r="AA5849" i="2"/>
  <c r="Z5849" i="2"/>
  <c r="C5849" i="2"/>
  <c r="AA5848" i="2"/>
  <c r="Z5848" i="2"/>
  <c r="C5848" i="2"/>
  <c r="AA5847" i="2"/>
  <c r="Z5847" i="2"/>
  <c r="C5847" i="2"/>
  <c r="AA5846" i="2"/>
  <c r="Z5846" i="2"/>
  <c r="C5846" i="2"/>
  <c r="AA5845" i="2"/>
  <c r="Z5845" i="2"/>
  <c r="C5845" i="2"/>
  <c r="AA5844" i="2"/>
  <c r="Z5844" i="2"/>
  <c r="C5844" i="2"/>
  <c r="AA5843" i="2"/>
  <c r="Z5843" i="2"/>
  <c r="C5843" i="2"/>
  <c r="AA5842" i="2"/>
  <c r="Z5842" i="2"/>
  <c r="C5842" i="2"/>
  <c r="AA5841" i="2"/>
  <c r="Z5841" i="2"/>
  <c r="C5841" i="2"/>
  <c r="AA5840" i="2"/>
  <c r="Z5840" i="2"/>
  <c r="C5840" i="2"/>
  <c r="AA5839" i="2"/>
  <c r="Z5839" i="2"/>
  <c r="C5839" i="2"/>
  <c r="AA5838" i="2"/>
  <c r="Z5838" i="2"/>
  <c r="C5838" i="2"/>
  <c r="AA5837" i="2"/>
  <c r="Z5837" i="2"/>
  <c r="C5837" i="2"/>
  <c r="AA5836" i="2"/>
  <c r="Z5836" i="2"/>
  <c r="C5836" i="2"/>
  <c r="AA5835" i="2"/>
  <c r="Z5835" i="2"/>
  <c r="C5835" i="2"/>
  <c r="AA5834" i="2"/>
  <c r="Z5834" i="2"/>
  <c r="C5834" i="2"/>
  <c r="AA5833" i="2"/>
  <c r="Z5833" i="2"/>
  <c r="C5833" i="2"/>
  <c r="AA5832" i="2"/>
  <c r="Z5832" i="2"/>
  <c r="C5832" i="2"/>
  <c r="AA5831" i="2"/>
  <c r="Z5831" i="2"/>
  <c r="C5831" i="2"/>
  <c r="AA5830" i="2"/>
  <c r="Z5830" i="2"/>
  <c r="C5830" i="2"/>
  <c r="AA5829" i="2"/>
  <c r="Z5829" i="2"/>
  <c r="C5829" i="2"/>
  <c r="AA5828" i="2"/>
  <c r="Z5828" i="2"/>
  <c r="C5828" i="2"/>
  <c r="AA5827" i="2"/>
  <c r="Z5827" i="2"/>
  <c r="C5827" i="2"/>
  <c r="AA5826" i="2"/>
  <c r="Z5826" i="2"/>
  <c r="C5826" i="2"/>
  <c r="AA5825" i="2"/>
  <c r="Z5825" i="2"/>
  <c r="C5825" i="2"/>
  <c r="AA5824" i="2"/>
  <c r="Z5824" i="2"/>
  <c r="C5824" i="2"/>
  <c r="AA5823" i="2"/>
  <c r="Z5823" i="2"/>
  <c r="C5823" i="2"/>
  <c r="AA5822" i="2"/>
  <c r="Z5822" i="2"/>
  <c r="C5822" i="2"/>
  <c r="AA5821" i="2"/>
  <c r="Z5821" i="2"/>
  <c r="C5821" i="2"/>
  <c r="AA5820" i="2"/>
  <c r="Z5820" i="2"/>
  <c r="C5820" i="2"/>
  <c r="AA5819" i="2"/>
  <c r="Z5819" i="2"/>
  <c r="C5819" i="2"/>
  <c r="AA5818" i="2"/>
  <c r="Z5818" i="2"/>
  <c r="C5818" i="2"/>
  <c r="AA5817" i="2"/>
  <c r="Z5817" i="2"/>
  <c r="C5817" i="2"/>
  <c r="AA5816" i="2"/>
  <c r="Z5816" i="2"/>
  <c r="C5816" i="2"/>
  <c r="AA5815" i="2"/>
  <c r="Z5815" i="2"/>
  <c r="C5815" i="2"/>
  <c r="AA5814" i="2"/>
  <c r="Z5814" i="2"/>
  <c r="C5814" i="2"/>
  <c r="AA5813" i="2"/>
  <c r="Z5813" i="2"/>
  <c r="C5813" i="2"/>
  <c r="AA5812" i="2"/>
  <c r="Z5812" i="2"/>
  <c r="C5812" i="2"/>
  <c r="AA5811" i="2"/>
  <c r="Z5811" i="2"/>
  <c r="C5811" i="2"/>
  <c r="AA5810" i="2"/>
  <c r="Z5810" i="2"/>
  <c r="C5810" i="2"/>
  <c r="AA5809" i="2"/>
  <c r="Z5809" i="2"/>
  <c r="C5809" i="2"/>
  <c r="AA5808" i="2"/>
  <c r="Z5808" i="2"/>
  <c r="C5808" i="2"/>
  <c r="AA5807" i="2"/>
  <c r="Z5807" i="2"/>
  <c r="C5807" i="2"/>
  <c r="AA5806" i="2"/>
  <c r="Z5806" i="2"/>
  <c r="C5806" i="2"/>
  <c r="AA5805" i="2"/>
  <c r="Z5805" i="2"/>
  <c r="C5805" i="2"/>
  <c r="AA5804" i="2"/>
  <c r="Z5804" i="2"/>
  <c r="C5804" i="2"/>
  <c r="AA5803" i="2"/>
  <c r="Z5803" i="2"/>
  <c r="C5803" i="2"/>
  <c r="AA5802" i="2"/>
  <c r="Z5802" i="2"/>
  <c r="C5802" i="2"/>
  <c r="AA5801" i="2"/>
  <c r="Z5801" i="2"/>
  <c r="C5801" i="2"/>
  <c r="AA5800" i="2"/>
  <c r="Z5800" i="2"/>
  <c r="C5800" i="2"/>
  <c r="AA5799" i="2"/>
  <c r="Z5799" i="2"/>
  <c r="C5799" i="2"/>
  <c r="AA5798" i="2"/>
  <c r="Z5798" i="2"/>
  <c r="C5798" i="2"/>
  <c r="AA5797" i="2"/>
  <c r="Z5797" i="2"/>
  <c r="C5797" i="2"/>
  <c r="AA5796" i="2"/>
  <c r="Z5796" i="2"/>
  <c r="C5796" i="2"/>
  <c r="AA5795" i="2"/>
  <c r="Z5795" i="2"/>
  <c r="C5795" i="2"/>
  <c r="AA5794" i="2"/>
  <c r="Z5794" i="2"/>
  <c r="C5794" i="2"/>
  <c r="AA5793" i="2"/>
  <c r="Z5793" i="2"/>
  <c r="C5793" i="2"/>
  <c r="AA5792" i="2"/>
  <c r="Z5792" i="2"/>
  <c r="C5792" i="2"/>
  <c r="AA5791" i="2"/>
  <c r="Z5791" i="2"/>
  <c r="C5791" i="2"/>
  <c r="AA5790" i="2"/>
  <c r="Z5790" i="2"/>
  <c r="C5790" i="2"/>
  <c r="AA5789" i="2"/>
  <c r="Z5789" i="2"/>
  <c r="C5789" i="2"/>
  <c r="AA5788" i="2"/>
  <c r="Z5788" i="2"/>
  <c r="C5788" i="2"/>
  <c r="AA5787" i="2"/>
  <c r="Z5787" i="2"/>
  <c r="C5787" i="2"/>
  <c r="AA5786" i="2"/>
  <c r="Z5786" i="2"/>
  <c r="C5786" i="2"/>
  <c r="AA5785" i="2"/>
  <c r="Z5785" i="2"/>
  <c r="C5785" i="2"/>
  <c r="AA5784" i="2"/>
  <c r="Z5784" i="2"/>
  <c r="C5784" i="2"/>
  <c r="AA5783" i="2"/>
  <c r="Z5783" i="2"/>
  <c r="C5783" i="2"/>
  <c r="AA5782" i="2"/>
  <c r="Z5782" i="2"/>
  <c r="C5782" i="2"/>
  <c r="AA5781" i="2"/>
  <c r="Z5781" i="2"/>
  <c r="C5781" i="2"/>
  <c r="AA5780" i="2"/>
  <c r="Z5780" i="2"/>
  <c r="C5780" i="2"/>
  <c r="AA5779" i="2"/>
  <c r="Z5779" i="2"/>
  <c r="C5779" i="2"/>
  <c r="AA5778" i="2"/>
  <c r="Z5778" i="2"/>
  <c r="C5778" i="2"/>
  <c r="AA5777" i="2"/>
  <c r="Z5777" i="2"/>
  <c r="C5777" i="2"/>
  <c r="AA5776" i="2"/>
  <c r="Z5776" i="2"/>
  <c r="C5776" i="2"/>
  <c r="AA5775" i="2"/>
  <c r="Z5775" i="2"/>
  <c r="C5775" i="2"/>
  <c r="AA5774" i="2"/>
  <c r="Z5774" i="2"/>
  <c r="C5774" i="2"/>
  <c r="AA5773" i="2"/>
  <c r="Z5773" i="2"/>
  <c r="C5773" i="2"/>
  <c r="AA5772" i="2"/>
  <c r="Z5772" i="2"/>
  <c r="C5772" i="2"/>
  <c r="AA5771" i="2"/>
  <c r="Z5771" i="2"/>
  <c r="C5771" i="2"/>
  <c r="AA5770" i="2"/>
  <c r="Z5770" i="2"/>
  <c r="C5770" i="2"/>
  <c r="AA5769" i="2"/>
  <c r="Z5769" i="2"/>
  <c r="C5769" i="2"/>
  <c r="AA5768" i="2"/>
  <c r="Z5768" i="2"/>
  <c r="C5768" i="2"/>
  <c r="AA5767" i="2"/>
  <c r="Z5767" i="2"/>
  <c r="C5767" i="2"/>
  <c r="AA5766" i="2"/>
  <c r="Z5766" i="2"/>
  <c r="C5766" i="2"/>
  <c r="AA5765" i="2"/>
  <c r="Z5765" i="2"/>
  <c r="C5765" i="2"/>
  <c r="AA5764" i="2"/>
  <c r="Z5764" i="2"/>
  <c r="C5764" i="2"/>
  <c r="AA5763" i="2"/>
  <c r="Z5763" i="2"/>
  <c r="C5763" i="2"/>
  <c r="AA5762" i="2"/>
  <c r="Z5762" i="2"/>
  <c r="C5762" i="2"/>
  <c r="AA5761" i="2"/>
  <c r="Z5761" i="2"/>
  <c r="C5761" i="2"/>
  <c r="AA5760" i="2"/>
  <c r="Z5760" i="2"/>
  <c r="C5760" i="2"/>
  <c r="AA5759" i="2"/>
  <c r="Z5759" i="2"/>
  <c r="C5759" i="2"/>
  <c r="AA5758" i="2"/>
  <c r="Z5758" i="2"/>
  <c r="C5758" i="2"/>
  <c r="AA5757" i="2"/>
  <c r="Z5757" i="2"/>
  <c r="C5757" i="2"/>
  <c r="AA5756" i="2"/>
  <c r="Z5756" i="2"/>
  <c r="C5756" i="2"/>
  <c r="AA5755" i="2"/>
  <c r="Z5755" i="2"/>
  <c r="C5755" i="2"/>
  <c r="AA5754" i="2"/>
  <c r="Z5754" i="2"/>
  <c r="C5754" i="2"/>
  <c r="AA5753" i="2"/>
  <c r="Z5753" i="2"/>
  <c r="C5753" i="2"/>
  <c r="AA5752" i="2"/>
  <c r="Z5752" i="2"/>
  <c r="C5752" i="2"/>
  <c r="AA5751" i="2"/>
  <c r="Z5751" i="2"/>
  <c r="C5751" i="2"/>
  <c r="AA5750" i="2"/>
  <c r="Z5750" i="2"/>
  <c r="C5750" i="2"/>
  <c r="AA5749" i="2"/>
  <c r="Z5749" i="2"/>
  <c r="C5749" i="2"/>
  <c r="AA5748" i="2"/>
  <c r="Z5748" i="2"/>
  <c r="C5748" i="2"/>
  <c r="AA5747" i="2"/>
  <c r="Z5747" i="2"/>
  <c r="C5747" i="2"/>
  <c r="AA5746" i="2"/>
  <c r="Z5746" i="2"/>
  <c r="C5746" i="2"/>
  <c r="AA5745" i="2"/>
  <c r="Z5745" i="2"/>
  <c r="C5745" i="2"/>
  <c r="AA5744" i="2"/>
  <c r="Z5744" i="2"/>
  <c r="C5744" i="2"/>
  <c r="AA5743" i="2"/>
  <c r="Z5743" i="2"/>
  <c r="C5743" i="2"/>
  <c r="AA5742" i="2"/>
  <c r="Z5742" i="2"/>
  <c r="C5742" i="2"/>
  <c r="AA5741" i="2"/>
  <c r="Z5741" i="2"/>
  <c r="C5741" i="2"/>
  <c r="AA5740" i="2"/>
  <c r="Z5740" i="2"/>
  <c r="C5740" i="2"/>
  <c r="AA5739" i="2"/>
  <c r="Z5739" i="2"/>
  <c r="C5739" i="2"/>
  <c r="AA5738" i="2"/>
  <c r="Z5738" i="2"/>
  <c r="C5738" i="2"/>
  <c r="AA5737" i="2"/>
  <c r="Z5737" i="2"/>
  <c r="C5737" i="2"/>
  <c r="AA5736" i="2"/>
  <c r="Z5736" i="2"/>
  <c r="C5736" i="2"/>
  <c r="AA5735" i="2"/>
  <c r="Z5735" i="2"/>
  <c r="C5735" i="2"/>
  <c r="AA5734" i="2"/>
  <c r="Z5734" i="2"/>
  <c r="C5734" i="2"/>
  <c r="AA5733" i="2"/>
  <c r="Z5733" i="2"/>
  <c r="C5733" i="2"/>
  <c r="AA5732" i="2"/>
  <c r="Z5732" i="2"/>
  <c r="C5732" i="2"/>
  <c r="AA5731" i="2"/>
  <c r="Z5731" i="2"/>
  <c r="C5731" i="2"/>
  <c r="AA5730" i="2"/>
  <c r="Z5730" i="2"/>
  <c r="C5730" i="2"/>
  <c r="AA5729" i="2"/>
  <c r="Z5729" i="2"/>
  <c r="C5729" i="2"/>
  <c r="AA5728" i="2"/>
  <c r="Z5728" i="2"/>
  <c r="C5728" i="2"/>
  <c r="AA5727" i="2"/>
  <c r="Z5727" i="2"/>
  <c r="C5727" i="2"/>
  <c r="AA5726" i="2"/>
  <c r="Z5726" i="2"/>
  <c r="C5726" i="2"/>
  <c r="AA5725" i="2"/>
  <c r="Z5725" i="2"/>
  <c r="C5725" i="2"/>
  <c r="AA5724" i="2"/>
  <c r="Z5724" i="2"/>
  <c r="C5724" i="2"/>
  <c r="AA5723" i="2"/>
  <c r="Z5723" i="2"/>
  <c r="C5723" i="2"/>
  <c r="AA5722" i="2"/>
  <c r="Z5722" i="2"/>
  <c r="C5722" i="2"/>
  <c r="AA5721" i="2"/>
  <c r="Z5721" i="2"/>
  <c r="C5721" i="2"/>
  <c r="AA5720" i="2"/>
  <c r="Z5720" i="2"/>
  <c r="C5720" i="2"/>
  <c r="AA5719" i="2"/>
  <c r="Z5719" i="2"/>
  <c r="C5719" i="2"/>
  <c r="AA5718" i="2"/>
  <c r="Z5718" i="2"/>
  <c r="C5718" i="2"/>
  <c r="AA5717" i="2"/>
  <c r="Z5717" i="2"/>
  <c r="C5717" i="2"/>
  <c r="AA5716" i="2"/>
  <c r="Z5716" i="2"/>
  <c r="C5716" i="2"/>
  <c r="AA5715" i="2"/>
  <c r="Z5715" i="2"/>
  <c r="C5715" i="2"/>
  <c r="AA5714" i="2"/>
  <c r="Z5714" i="2"/>
  <c r="C5714" i="2"/>
  <c r="AA5713" i="2"/>
  <c r="Z5713" i="2"/>
  <c r="C5713" i="2"/>
  <c r="AA5712" i="2"/>
  <c r="Z5712" i="2"/>
  <c r="C5712" i="2"/>
  <c r="AA5711" i="2"/>
  <c r="Z5711" i="2"/>
  <c r="C5711" i="2"/>
  <c r="AA5710" i="2"/>
  <c r="Z5710" i="2"/>
  <c r="C5710" i="2"/>
  <c r="AA5709" i="2"/>
  <c r="Z5709" i="2"/>
  <c r="C5709" i="2"/>
  <c r="AA5708" i="2"/>
  <c r="Z5708" i="2"/>
  <c r="C5708" i="2"/>
  <c r="AA5707" i="2"/>
  <c r="Z5707" i="2"/>
  <c r="C5707" i="2"/>
  <c r="AA5706" i="2"/>
  <c r="Z5706" i="2"/>
  <c r="C5706" i="2"/>
  <c r="AA5705" i="2"/>
  <c r="Z5705" i="2"/>
  <c r="C5705" i="2"/>
  <c r="AA5704" i="2"/>
  <c r="Z5704" i="2"/>
  <c r="C5704" i="2"/>
  <c r="AA5703" i="2"/>
  <c r="Z5703" i="2"/>
  <c r="C5703" i="2"/>
  <c r="AA5702" i="2"/>
  <c r="Z5702" i="2"/>
  <c r="C5702" i="2"/>
  <c r="AA5701" i="2"/>
  <c r="Z5701" i="2"/>
  <c r="C5701" i="2"/>
  <c r="AA5700" i="2"/>
  <c r="Z5700" i="2"/>
  <c r="C5700" i="2"/>
  <c r="AA5699" i="2"/>
  <c r="Z5699" i="2"/>
  <c r="C5699" i="2"/>
  <c r="AA5698" i="2"/>
  <c r="Z5698" i="2"/>
  <c r="C5698" i="2"/>
  <c r="AA5697" i="2"/>
  <c r="Z5697" i="2"/>
  <c r="C5697" i="2"/>
  <c r="AA5696" i="2"/>
  <c r="Z5696" i="2"/>
  <c r="C5696" i="2"/>
  <c r="AA5695" i="2"/>
  <c r="Z5695" i="2"/>
  <c r="C5695" i="2"/>
  <c r="AA5694" i="2"/>
  <c r="Z5694" i="2"/>
  <c r="C5694" i="2"/>
  <c r="AA5693" i="2"/>
  <c r="Z5693" i="2"/>
  <c r="C5693" i="2"/>
  <c r="AA5692" i="2"/>
  <c r="Z5692" i="2"/>
  <c r="C5692" i="2"/>
  <c r="AA5691" i="2"/>
  <c r="Z5691" i="2"/>
  <c r="C5691" i="2"/>
  <c r="AA5690" i="2"/>
  <c r="Z5690" i="2"/>
  <c r="C5690" i="2"/>
  <c r="AA5689" i="2"/>
  <c r="Z5689" i="2"/>
  <c r="C5689" i="2"/>
  <c r="AA5688" i="2"/>
  <c r="Z5688" i="2"/>
  <c r="C5688" i="2"/>
  <c r="AA5687" i="2"/>
  <c r="Z5687" i="2"/>
  <c r="C5687" i="2"/>
  <c r="AA5686" i="2"/>
  <c r="Z5686" i="2"/>
  <c r="C5686" i="2"/>
  <c r="AA5685" i="2"/>
  <c r="Z5685" i="2"/>
  <c r="C5685" i="2"/>
  <c r="AA5684" i="2"/>
  <c r="Z5684" i="2"/>
  <c r="C5684" i="2"/>
  <c r="AA5683" i="2"/>
  <c r="Z5683" i="2"/>
  <c r="C5683" i="2"/>
  <c r="AA5682" i="2"/>
  <c r="Z5682" i="2"/>
  <c r="C5682" i="2"/>
  <c r="AA5681" i="2"/>
  <c r="Z5681" i="2"/>
  <c r="C5681" i="2"/>
  <c r="AA5680" i="2"/>
  <c r="Z5680" i="2"/>
  <c r="C5680" i="2"/>
  <c r="AA5679" i="2"/>
  <c r="Z5679" i="2"/>
  <c r="C5679" i="2"/>
  <c r="AA5678" i="2"/>
  <c r="Z5678" i="2"/>
  <c r="C5678" i="2"/>
  <c r="AA5677" i="2"/>
  <c r="Z5677" i="2"/>
  <c r="C5677" i="2"/>
  <c r="AA5676" i="2"/>
  <c r="Z5676" i="2"/>
  <c r="C5676" i="2"/>
  <c r="AA5675" i="2"/>
  <c r="Z5675" i="2"/>
  <c r="C5675" i="2"/>
  <c r="AA5674" i="2"/>
  <c r="Z5674" i="2"/>
  <c r="C5674" i="2"/>
  <c r="AA5673" i="2"/>
  <c r="Z5673" i="2"/>
  <c r="C5673" i="2"/>
  <c r="AA5672" i="2"/>
  <c r="Z5672" i="2"/>
  <c r="C5672" i="2"/>
  <c r="AA5671" i="2"/>
  <c r="Z5671" i="2"/>
  <c r="C5671" i="2"/>
  <c r="AA5670" i="2"/>
  <c r="Z5670" i="2"/>
  <c r="C5670" i="2"/>
  <c r="AA5669" i="2"/>
  <c r="Z5669" i="2"/>
  <c r="C5669" i="2"/>
  <c r="AA5668" i="2"/>
  <c r="Z5668" i="2"/>
  <c r="C5668" i="2"/>
  <c r="AA5667" i="2"/>
  <c r="Z5667" i="2"/>
  <c r="C5667" i="2"/>
  <c r="AA5666" i="2"/>
  <c r="Z5666" i="2"/>
  <c r="C5666" i="2"/>
  <c r="AA5665" i="2"/>
  <c r="Z5665" i="2"/>
  <c r="C5665" i="2"/>
  <c r="AA5664" i="2"/>
  <c r="Z5664" i="2"/>
  <c r="C5664" i="2"/>
  <c r="AA5663" i="2"/>
  <c r="Z5663" i="2"/>
  <c r="C5663" i="2"/>
  <c r="AA5662" i="2"/>
  <c r="Z5662" i="2"/>
  <c r="C5662" i="2"/>
  <c r="AA5661" i="2"/>
  <c r="Z5661" i="2"/>
  <c r="C5661" i="2"/>
  <c r="AA5660" i="2"/>
  <c r="Z5660" i="2"/>
  <c r="C5660" i="2"/>
  <c r="AA5659" i="2"/>
  <c r="Z5659" i="2"/>
  <c r="C5659" i="2"/>
  <c r="AA5658" i="2"/>
  <c r="Z5658" i="2"/>
  <c r="C5658" i="2"/>
  <c r="AA5657" i="2"/>
  <c r="Z5657" i="2"/>
  <c r="C5657" i="2"/>
  <c r="AA5656" i="2"/>
  <c r="Z5656" i="2"/>
  <c r="C5656" i="2"/>
  <c r="AA5655" i="2"/>
  <c r="Z5655" i="2"/>
  <c r="C5655" i="2"/>
  <c r="AA5654" i="2"/>
  <c r="Z5654" i="2"/>
  <c r="C5654" i="2"/>
  <c r="AA5653" i="2"/>
  <c r="Z5653" i="2"/>
  <c r="C5653" i="2"/>
  <c r="AA5652" i="2"/>
  <c r="Z5652" i="2"/>
  <c r="C5652" i="2"/>
  <c r="AA5651" i="2"/>
  <c r="Z5651" i="2"/>
  <c r="C5651" i="2"/>
  <c r="AA5650" i="2"/>
  <c r="Z5650" i="2"/>
  <c r="C5650" i="2"/>
  <c r="AA5649" i="2"/>
  <c r="Z5649" i="2"/>
  <c r="C5649" i="2"/>
  <c r="AA5648" i="2"/>
  <c r="Z5648" i="2"/>
  <c r="C5648" i="2"/>
  <c r="AA5647" i="2"/>
  <c r="Z5647" i="2"/>
  <c r="C5647" i="2"/>
  <c r="AA5646" i="2"/>
  <c r="Z5646" i="2"/>
  <c r="C5646" i="2"/>
  <c r="AA5645" i="2"/>
  <c r="Z5645" i="2"/>
  <c r="C5645" i="2"/>
  <c r="AA5644" i="2"/>
  <c r="Z5644" i="2"/>
  <c r="C5644" i="2"/>
  <c r="AA5643" i="2"/>
  <c r="Z5643" i="2"/>
  <c r="C5643" i="2"/>
  <c r="AA5642" i="2"/>
  <c r="Z5642" i="2"/>
  <c r="C5642" i="2"/>
  <c r="AA5641" i="2"/>
  <c r="Z5641" i="2"/>
  <c r="C5641" i="2"/>
  <c r="AA5640" i="2"/>
  <c r="Z5640" i="2"/>
  <c r="C5640" i="2"/>
  <c r="AA5639" i="2"/>
  <c r="Z5639" i="2"/>
  <c r="C5639" i="2"/>
  <c r="AA5638" i="2"/>
  <c r="Z5638" i="2"/>
  <c r="C5638" i="2"/>
  <c r="AA5637" i="2"/>
  <c r="Z5637" i="2"/>
  <c r="C5637" i="2"/>
  <c r="AA5636" i="2"/>
  <c r="Z5636" i="2"/>
  <c r="C5636" i="2"/>
  <c r="AA5635" i="2"/>
  <c r="Z5635" i="2"/>
  <c r="C5635" i="2"/>
  <c r="AA5634" i="2"/>
  <c r="Z5634" i="2"/>
  <c r="C5634" i="2"/>
  <c r="AA5633" i="2"/>
  <c r="Z5633" i="2"/>
  <c r="C5633" i="2"/>
  <c r="AA5632" i="2"/>
  <c r="Z5632" i="2"/>
  <c r="C5632" i="2"/>
  <c r="AA5631" i="2"/>
  <c r="Z5631" i="2"/>
  <c r="C5631" i="2"/>
  <c r="AA5630" i="2"/>
  <c r="Z5630" i="2"/>
  <c r="C5630" i="2"/>
  <c r="AA5629" i="2"/>
  <c r="Z5629" i="2"/>
  <c r="C5629" i="2"/>
  <c r="AA5628" i="2"/>
  <c r="Z5628" i="2"/>
  <c r="C5628" i="2"/>
  <c r="AA5627" i="2"/>
  <c r="Z5627" i="2"/>
  <c r="C5627" i="2"/>
  <c r="AA5626" i="2"/>
  <c r="Z5626" i="2"/>
  <c r="C5626" i="2"/>
  <c r="AA5625" i="2"/>
  <c r="Z5625" i="2"/>
  <c r="C5625" i="2"/>
  <c r="AA5624" i="2"/>
  <c r="Z5624" i="2"/>
  <c r="C5624" i="2"/>
  <c r="AA5623" i="2"/>
  <c r="Z5623" i="2"/>
  <c r="C5623" i="2"/>
  <c r="AA5622" i="2"/>
  <c r="Z5622" i="2"/>
  <c r="C5622" i="2"/>
  <c r="AA5621" i="2"/>
  <c r="Z5621" i="2"/>
  <c r="C5621" i="2"/>
  <c r="AA5620" i="2"/>
  <c r="Z5620" i="2"/>
  <c r="C5620" i="2"/>
  <c r="AA5619" i="2"/>
  <c r="Z5619" i="2"/>
  <c r="C5619" i="2"/>
  <c r="AA5618" i="2"/>
  <c r="Z5618" i="2"/>
  <c r="C5618" i="2"/>
  <c r="AA5617" i="2"/>
  <c r="Z5617" i="2"/>
  <c r="C5617" i="2"/>
  <c r="AA5616" i="2"/>
  <c r="Z5616" i="2"/>
  <c r="C5616" i="2"/>
  <c r="AA5615" i="2"/>
  <c r="Z5615" i="2"/>
  <c r="C5615" i="2"/>
  <c r="AA5614" i="2"/>
  <c r="Z5614" i="2"/>
  <c r="C5614" i="2"/>
  <c r="AA5613" i="2"/>
  <c r="Z5613" i="2"/>
  <c r="C5613" i="2"/>
  <c r="AA5612" i="2"/>
  <c r="Z5612" i="2"/>
  <c r="C5612" i="2"/>
  <c r="AA5611" i="2"/>
  <c r="Z5611" i="2"/>
  <c r="C5611" i="2"/>
  <c r="AA5610" i="2"/>
  <c r="Z5610" i="2"/>
  <c r="C5610" i="2"/>
  <c r="AA5609" i="2"/>
  <c r="Z5609" i="2"/>
  <c r="C5609" i="2"/>
  <c r="AA5608" i="2"/>
  <c r="Z5608" i="2"/>
  <c r="C5608" i="2"/>
  <c r="AA5607" i="2"/>
  <c r="Z5607" i="2"/>
  <c r="C5607" i="2"/>
  <c r="AA5606" i="2"/>
  <c r="Z5606" i="2"/>
  <c r="C5606" i="2"/>
  <c r="AA5605" i="2"/>
  <c r="Z5605" i="2"/>
  <c r="C5605" i="2"/>
  <c r="AA5604" i="2"/>
  <c r="Z5604" i="2"/>
  <c r="C5604" i="2"/>
  <c r="AA5603" i="2"/>
  <c r="Z5603" i="2"/>
  <c r="C5603" i="2"/>
  <c r="AA5602" i="2"/>
  <c r="Z5602" i="2"/>
  <c r="C5602" i="2"/>
  <c r="AA5601" i="2"/>
  <c r="Z5601" i="2"/>
  <c r="C5601" i="2"/>
  <c r="AA5600" i="2"/>
  <c r="Z5600" i="2"/>
  <c r="C5600" i="2"/>
  <c r="AA5599" i="2"/>
  <c r="Z5599" i="2"/>
  <c r="C5599" i="2"/>
  <c r="AA5598" i="2"/>
  <c r="Z5598" i="2"/>
  <c r="C5598" i="2"/>
  <c r="AA5597" i="2"/>
  <c r="Z5597" i="2"/>
  <c r="C5597" i="2"/>
  <c r="AA5596" i="2"/>
  <c r="Z5596" i="2"/>
  <c r="C5596" i="2"/>
  <c r="AA5595" i="2"/>
  <c r="Z5595" i="2"/>
  <c r="C5595" i="2"/>
  <c r="AA5594" i="2"/>
  <c r="Z5594" i="2"/>
  <c r="C5594" i="2"/>
  <c r="AA5593" i="2"/>
  <c r="Z5593" i="2"/>
  <c r="C5593" i="2"/>
  <c r="AA5592" i="2"/>
  <c r="Z5592" i="2"/>
  <c r="C5592" i="2"/>
  <c r="AA5591" i="2"/>
  <c r="Z5591" i="2"/>
  <c r="C5591" i="2"/>
  <c r="AA5590" i="2"/>
  <c r="Z5590" i="2"/>
  <c r="C5590" i="2"/>
  <c r="AA5589" i="2"/>
  <c r="Z5589" i="2"/>
  <c r="C5589" i="2"/>
  <c r="AA5588" i="2"/>
  <c r="Z5588" i="2"/>
  <c r="C5588" i="2"/>
  <c r="AA5587" i="2"/>
  <c r="Z5587" i="2"/>
  <c r="C5587" i="2"/>
  <c r="AA5586" i="2"/>
  <c r="Z5586" i="2"/>
  <c r="C5586" i="2"/>
  <c r="AA5585" i="2"/>
  <c r="Z5585" i="2"/>
  <c r="C5585" i="2"/>
  <c r="AA5584" i="2"/>
  <c r="Z5584" i="2"/>
  <c r="C5584" i="2"/>
  <c r="AA5583" i="2"/>
  <c r="Z5583" i="2"/>
  <c r="C5583" i="2"/>
  <c r="AA5582" i="2"/>
  <c r="Z5582" i="2"/>
  <c r="C5582" i="2"/>
  <c r="AA5581" i="2"/>
  <c r="Z5581" i="2"/>
  <c r="C5581" i="2"/>
  <c r="AA5580" i="2"/>
  <c r="Z5580" i="2"/>
  <c r="C5580" i="2"/>
  <c r="AA5579" i="2"/>
  <c r="Z5579" i="2"/>
  <c r="C5579" i="2"/>
  <c r="AA5578" i="2"/>
  <c r="Z5578" i="2"/>
  <c r="C5578" i="2"/>
  <c r="AA5577" i="2"/>
  <c r="Z5577" i="2"/>
  <c r="C5577" i="2"/>
  <c r="AA5576" i="2"/>
  <c r="Z5576" i="2"/>
  <c r="C5576" i="2"/>
  <c r="AA5575" i="2"/>
  <c r="Z5575" i="2"/>
  <c r="C5575" i="2"/>
  <c r="AA5574" i="2"/>
  <c r="Z5574" i="2"/>
  <c r="C5574" i="2"/>
  <c r="AA5573" i="2"/>
  <c r="Z5573" i="2"/>
  <c r="C5573" i="2"/>
  <c r="AA5572" i="2"/>
  <c r="Z5572" i="2"/>
  <c r="C5572" i="2"/>
  <c r="AA5571" i="2"/>
  <c r="Z5571" i="2"/>
  <c r="C5571" i="2"/>
  <c r="AA5570" i="2"/>
  <c r="Z5570" i="2"/>
  <c r="C5570" i="2"/>
  <c r="AA5569" i="2"/>
  <c r="Z5569" i="2"/>
  <c r="C5569" i="2"/>
  <c r="AA5568" i="2"/>
  <c r="Z5568" i="2"/>
  <c r="C5568" i="2"/>
  <c r="AA5567" i="2"/>
  <c r="Z5567" i="2"/>
  <c r="C5567" i="2"/>
  <c r="AA5566" i="2"/>
  <c r="Z5566" i="2"/>
  <c r="C5566" i="2"/>
  <c r="AA5565" i="2"/>
  <c r="Z5565" i="2"/>
  <c r="C5565" i="2"/>
  <c r="AA5564" i="2"/>
  <c r="Z5564" i="2"/>
  <c r="C5564" i="2"/>
  <c r="AA5563" i="2"/>
  <c r="Z5563" i="2"/>
  <c r="C5563" i="2"/>
  <c r="AA5562" i="2"/>
  <c r="Z5562" i="2"/>
  <c r="C5562" i="2"/>
  <c r="AA5561" i="2"/>
  <c r="Z5561" i="2"/>
  <c r="C5561" i="2"/>
  <c r="AA5560" i="2"/>
  <c r="Z5560" i="2"/>
  <c r="C5560" i="2"/>
  <c r="AA5559" i="2"/>
  <c r="Z5559" i="2"/>
  <c r="C5559" i="2"/>
  <c r="AA5558" i="2"/>
  <c r="Z5558" i="2"/>
  <c r="C5558" i="2"/>
  <c r="AA5557" i="2"/>
  <c r="Z5557" i="2"/>
  <c r="C5557" i="2"/>
  <c r="AA5556" i="2"/>
  <c r="Z5556" i="2"/>
  <c r="C5556" i="2"/>
  <c r="AA5555" i="2"/>
  <c r="Z5555" i="2"/>
  <c r="C5555" i="2"/>
  <c r="AA5554" i="2"/>
  <c r="Z5554" i="2"/>
  <c r="C5554" i="2"/>
  <c r="AA5553" i="2"/>
  <c r="Z5553" i="2"/>
  <c r="C5553" i="2"/>
  <c r="AA5552" i="2"/>
  <c r="Z5552" i="2"/>
  <c r="C5552" i="2"/>
  <c r="AA5551" i="2"/>
  <c r="Z5551" i="2"/>
  <c r="C5551" i="2"/>
  <c r="AA5550" i="2"/>
  <c r="Z5550" i="2"/>
  <c r="C5550" i="2"/>
  <c r="AA5549" i="2"/>
  <c r="Z5549" i="2"/>
  <c r="C5549" i="2"/>
  <c r="AA5548" i="2"/>
  <c r="Z5548" i="2"/>
  <c r="C5548" i="2"/>
  <c r="AA5547" i="2"/>
  <c r="Z5547" i="2"/>
  <c r="C5547" i="2"/>
  <c r="AA5546" i="2"/>
  <c r="Z5546" i="2"/>
  <c r="C5546" i="2"/>
  <c r="AA5545" i="2"/>
  <c r="Z5545" i="2"/>
  <c r="C5545" i="2"/>
  <c r="AA5544" i="2"/>
  <c r="Z5544" i="2"/>
  <c r="C5544" i="2"/>
  <c r="AA5543" i="2"/>
  <c r="Z5543" i="2"/>
  <c r="C5543" i="2"/>
  <c r="AA5542" i="2"/>
  <c r="Z5542" i="2"/>
  <c r="C5542" i="2"/>
  <c r="AA5541" i="2"/>
  <c r="Z5541" i="2"/>
  <c r="C5541" i="2"/>
  <c r="AA5540" i="2"/>
  <c r="Z5540" i="2"/>
  <c r="C5540" i="2"/>
  <c r="AA5539" i="2"/>
  <c r="Z5539" i="2"/>
  <c r="C5539" i="2"/>
  <c r="AA5538" i="2"/>
  <c r="Z5538" i="2"/>
  <c r="C5538" i="2"/>
  <c r="AA5537" i="2"/>
  <c r="Z5537" i="2"/>
  <c r="C5537" i="2"/>
  <c r="AA5536" i="2"/>
  <c r="Z5536" i="2"/>
  <c r="C5536" i="2"/>
  <c r="AA5535" i="2"/>
  <c r="Z5535" i="2"/>
  <c r="C5535" i="2"/>
  <c r="AA5534" i="2"/>
  <c r="Z5534" i="2"/>
  <c r="C5534" i="2"/>
  <c r="AA5533" i="2"/>
  <c r="Z5533" i="2"/>
  <c r="C5533" i="2"/>
  <c r="AA5532" i="2"/>
  <c r="Z5532" i="2"/>
  <c r="C5532" i="2"/>
  <c r="AA5531" i="2"/>
  <c r="Z5531" i="2"/>
  <c r="C5531" i="2"/>
  <c r="AA5530" i="2"/>
  <c r="Z5530" i="2"/>
  <c r="C5530" i="2"/>
  <c r="AA5529" i="2"/>
  <c r="Z5529" i="2"/>
  <c r="C5529" i="2"/>
  <c r="AA5528" i="2"/>
  <c r="Z5528" i="2"/>
  <c r="C5528" i="2"/>
  <c r="AA5527" i="2"/>
  <c r="Z5527" i="2"/>
  <c r="C5527" i="2"/>
  <c r="AA5526" i="2"/>
  <c r="Z5526" i="2"/>
  <c r="C5526" i="2"/>
  <c r="AA5525" i="2"/>
  <c r="Z5525" i="2"/>
  <c r="C5525" i="2"/>
  <c r="AA5524" i="2"/>
  <c r="Z5524" i="2"/>
  <c r="C5524" i="2"/>
  <c r="AA5523" i="2"/>
  <c r="Z5523" i="2"/>
  <c r="C5523" i="2"/>
  <c r="AA5522" i="2"/>
  <c r="Z5522" i="2"/>
  <c r="C5522" i="2"/>
  <c r="AA5521" i="2"/>
  <c r="Z5521" i="2"/>
  <c r="C5521" i="2"/>
  <c r="AA5520" i="2"/>
  <c r="Z5520" i="2"/>
  <c r="C5520" i="2"/>
  <c r="AA5519" i="2"/>
  <c r="Z5519" i="2"/>
  <c r="C5519" i="2"/>
  <c r="AA5518" i="2"/>
  <c r="Z5518" i="2"/>
  <c r="C5518" i="2"/>
  <c r="AA5517" i="2"/>
  <c r="Z5517" i="2"/>
  <c r="C5517" i="2"/>
  <c r="AA5516" i="2"/>
  <c r="Z5516" i="2"/>
  <c r="C5516" i="2"/>
  <c r="AA5515" i="2"/>
  <c r="Z5515" i="2"/>
  <c r="C5515" i="2"/>
  <c r="AA5514" i="2"/>
  <c r="Z5514" i="2"/>
  <c r="C5514" i="2"/>
  <c r="AA5513" i="2"/>
  <c r="Z5513" i="2"/>
  <c r="C5513" i="2"/>
  <c r="AA5512" i="2"/>
  <c r="Z5512" i="2"/>
  <c r="C5512" i="2"/>
  <c r="AA5511" i="2"/>
  <c r="Z5511" i="2"/>
  <c r="C5511" i="2"/>
  <c r="AA5510" i="2"/>
  <c r="Z5510" i="2"/>
  <c r="C5510" i="2"/>
  <c r="AA5509" i="2"/>
  <c r="Z5509" i="2"/>
  <c r="C5509" i="2"/>
  <c r="AA5508" i="2"/>
  <c r="Z5508" i="2"/>
  <c r="C5508" i="2"/>
  <c r="AA5507" i="2"/>
  <c r="Z5507" i="2"/>
  <c r="C5507" i="2"/>
  <c r="AA5506" i="2"/>
  <c r="Z5506" i="2"/>
  <c r="C5506" i="2"/>
  <c r="AA5505" i="2"/>
  <c r="Z5505" i="2"/>
  <c r="C5505" i="2"/>
  <c r="AA5504" i="2"/>
  <c r="Z5504" i="2"/>
  <c r="C5504" i="2"/>
  <c r="AA5503" i="2"/>
  <c r="Z5503" i="2"/>
  <c r="C5503" i="2"/>
  <c r="AA5502" i="2"/>
  <c r="Z5502" i="2"/>
  <c r="C5502" i="2"/>
  <c r="AA5501" i="2"/>
  <c r="Z5501" i="2"/>
  <c r="C5501" i="2"/>
  <c r="AA5500" i="2"/>
  <c r="Z5500" i="2"/>
  <c r="C5500" i="2"/>
  <c r="AA5499" i="2"/>
  <c r="Z5499" i="2"/>
  <c r="C5499" i="2"/>
  <c r="AA5498" i="2"/>
  <c r="Z5498" i="2"/>
  <c r="C5498" i="2"/>
  <c r="AA5497" i="2"/>
  <c r="Z5497" i="2"/>
  <c r="C5497" i="2"/>
  <c r="AA5496" i="2"/>
  <c r="Z5496" i="2"/>
  <c r="C5496" i="2"/>
  <c r="AA5495" i="2"/>
  <c r="Z5495" i="2"/>
  <c r="C5495" i="2"/>
  <c r="AA5494" i="2"/>
  <c r="Z5494" i="2"/>
  <c r="C5494" i="2"/>
  <c r="AA5493" i="2"/>
  <c r="Z5493" i="2"/>
  <c r="C5493" i="2"/>
  <c r="AA5492" i="2"/>
  <c r="Z5492" i="2"/>
  <c r="C5492" i="2"/>
  <c r="AA5491" i="2"/>
  <c r="Z5491" i="2"/>
  <c r="C5491" i="2"/>
  <c r="AA5490" i="2"/>
  <c r="Z5490" i="2"/>
  <c r="C5490" i="2"/>
  <c r="AA5489" i="2"/>
  <c r="Z5489" i="2"/>
  <c r="C5489" i="2"/>
  <c r="AA5488" i="2"/>
  <c r="Z5488" i="2"/>
  <c r="C5488" i="2"/>
  <c r="AA5487" i="2"/>
  <c r="Z5487" i="2"/>
  <c r="C5487" i="2"/>
  <c r="AA5486" i="2"/>
  <c r="Z5486" i="2"/>
  <c r="C5486" i="2"/>
  <c r="AA5485" i="2"/>
  <c r="Z5485" i="2"/>
  <c r="C5485" i="2"/>
  <c r="AA5484" i="2"/>
  <c r="Z5484" i="2"/>
  <c r="C5484" i="2"/>
  <c r="AA5483" i="2"/>
  <c r="Z5483" i="2"/>
  <c r="C5483" i="2"/>
  <c r="AA5482" i="2"/>
  <c r="Z5482" i="2"/>
  <c r="C5482" i="2"/>
  <c r="AA5481" i="2"/>
  <c r="Z5481" i="2"/>
  <c r="C5481" i="2"/>
  <c r="AA5480" i="2"/>
  <c r="Z5480" i="2"/>
  <c r="C5480" i="2"/>
  <c r="AA5479" i="2"/>
  <c r="Z5479" i="2"/>
  <c r="C5479" i="2"/>
  <c r="AA5478" i="2"/>
  <c r="Z5478" i="2"/>
  <c r="C5478" i="2"/>
  <c r="AA5477" i="2"/>
  <c r="Z5477" i="2"/>
  <c r="C5477" i="2"/>
  <c r="AA5476" i="2"/>
  <c r="Z5476" i="2"/>
  <c r="C5476" i="2"/>
  <c r="AA5475" i="2"/>
  <c r="Z5475" i="2"/>
  <c r="C5475" i="2"/>
  <c r="AA5474" i="2"/>
  <c r="Z5474" i="2"/>
  <c r="C5474" i="2"/>
  <c r="AA5473" i="2"/>
  <c r="Z5473" i="2"/>
  <c r="C5473" i="2"/>
  <c r="AA5472" i="2"/>
  <c r="Z5472" i="2"/>
  <c r="C5472" i="2"/>
  <c r="AA5471" i="2"/>
  <c r="Z5471" i="2"/>
  <c r="C5471" i="2"/>
  <c r="AA5470" i="2"/>
  <c r="Z5470" i="2"/>
  <c r="C5470" i="2"/>
  <c r="AA5469" i="2"/>
  <c r="Z5469" i="2"/>
  <c r="C5469" i="2"/>
  <c r="AA5468" i="2"/>
  <c r="Z5468" i="2"/>
  <c r="C5468" i="2"/>
  <c r="AA5467" i="2"/>
  <c r="Z5467" i="2"/>
  <c r="C5467" i="2"/>
  <c r="AA5466" i="2"/>
  <c r="Z5466" i="2"/>
  <c r="C5466" i="2"/>
  <c r="AA5465" i="2"/>
  <c r="Z5465" i="2"/>
  <c r="C5465" i="2"/>
  <c r="AA5464" i="2"/>
  <c r="Z5464" i="2"/>
  <c r="C5464" i="2"/>
  <c r="AA5463" i="2"/>
  <c r="Z5463" i="2"/>
  <c r="C5463" i="2"/>
  <c r="AA5462" i="2"/>
  <c r="Z5462" i="2"/>
  <c r="C5462" i="2"/>
  <c r="AA5461" i="2"/>
  <c r="Z5461" i="2"/>
  <c r="C5461" i="2"/>
  <c r="AA5460" i="2"/>
  <c r="Z5460" i="2"/>
  <c r="C5460" i="2"/>
  <c r="AA5459" i="2"/>
  <c r="Z5459" i="2"/>
  <c r="C5459" i="2"/>
  <c r="AA5458" i="2"/>
  <c r="Z5458" i="2"/>
  <c r="C5458" i="2"/>
  <c r="AA5457" i="2"/>
  <c r="Z5457" i="2"/>
  <c r="C5457" i="2"/>
  <c r="AA5456" i="2"/>
  <c r="Z5456" i="2"/>
  <c r="C5456" i="2"/>
  <c r="AA5455" i="2"/>
  <c r="Z5455" i="2"/>
  <c r="C5455" i="2"/>
  <c r="AA5454" i="2"/>
  <c r="Z5454" i="2"/>
  <c r="C5454" i="2"/>
  <c r="AA5453" i="2"/>
  <c r="Z5453" i="2"/>
  <c r="C5453" i="2"/>
  <c r="AA5452" i="2"/>
  <c r="Z5452" i="2"/>
  <c r="C5452" i="2"/>
  <c r="AA5451" i="2"/>
  <c r="Z5451" i="2"/>
  <c r="C5451" i="2"/>
  <c r="AA5450" i="2"/>
  <c r="Z5450" i="2"/>
  <c r="C5450" i="2"/>
  <c r="AA5449" i="2"/>
  <c r="Z5449" i="2"/>
  <c r="C5449" i="2"/>
  <c r="AA5448" i="2"/>
  <c r="Z5448" i="2"/>
  <c r="C5448" i="2"/>
  <c r="AA5447" i="2"/>
  <c r="Z5447" i="2"/>
  <c r="C5447" i="2"/>
  <c r="AA5446" i="2"/>
  <c r="Z5446" i="2"/>
  <c r="C5446" i="2"/>
  <c r="AA5445" i="2"/>
  <c r="Z5445" i="2"/>
  <c r="C5445" i="2"/>
  <c r="AA5444" i="2"/>
  <c r="Z5444" i="2"/>
  <c r="C5444" i="2"/>
  <c r="AA5443" i="2"/>
  <c r="Z5443" i="2"/>
  <c r="C5443" i="2"/>
  <c r="AA5442" i="2"/>
  <c r="Z5442" i="2"/>
  <c r="C5442" i="2"/>
  <c r="AA5441" i="2"/>
  <c r="Z5441" i="2"/>
  <c r="C5441" i="2"/>
  <c r="AA5440" i="2"/>
  <c r="Z5440" i="2"/>
  <c r="C5440" i="2"/>
  <c r="AA5439" i="2"/>
  <c r="Z5439" i="2"/>
  <c r="C5439" i="2"/>
  <c r="AA5438" i="2"/>
  <c r="Z5438" i="2"/>
  <c r="C5438" i="2"/>
  <c r="AA5437" i="2"/>
  <c r="Z5437" i="2"/>
  <c r="C5437" i="2"/>
  <c r="AA5436" i="2"/>
  <c r="Z5436" i="2"/>
  <c r="C5436" i="2"/>
  <c r="AA5435" i="2"/>
  <c r="Z5435" i="2"/>
  <c r="C5435" i="2"/>
  <c r="AA5434" i="2"/>
  <c r="Z5434" i="2"/>
  <c r="C5434" i="2"/>
  <c r="AA5433" i="2"/>
  <c r="Z5433" i="2"/>
  <c r="C5433" i="2"/>
  <c r="AA5432" i="2"/>
  <c r="Z5432" i="2"/>
  <c r="C5432" i="2"/>
  <c r="AA5431" i="2"/>
  <c r="Z5431" i="2"/>
  <c r="C5431" i="2"/>
  <c r="AA5430" i="2"/>
  <c r="Z5430" i="2"/>
  <c r="C5430" i="2"/>
  <c r="AA5429" i="2"/>
  <c r="Z5429" i="2"/>
  <c r="C5429" i="2"/>
  <c r="AA5428" i="2"/>
  <c r="Z5428" i="2"/>
  <c r="C5428" i="2"/>
  <c r="AA5427" i="2"/>
  <c r="Z5427" i="2"/>
  <c r="C5427" i="2"/>
  <c r="AA5426" i="2"/>
  <c r="Z5426" i="2"/>
  <c r="C5426" i="2"/>
  <c r="AA5425" i="2"/>
  <c r="Z5425" i="2"/>
  <c r="C5425" i="2"/>
  <c r="AA5424" i="2"/>
  <c r="Z5424" i="2"/>
  <c r="C5424" i="2"/>
  <c r="AA5423" i="2"/>
  <c r="Z5423" i="2"/>
  <c r="C5423" i="2"/>
  <c r="AA5422" i="2"/>
  <c r="Z5422" i="2"/>
  <c r="C5422" i="2"/>
  <c r="AA5421" i="2"/>
  <c r="Z5421" i="2"/>
  <c r="C5421" i="2"/>
  <c r="AA5420" i="2"/>
  <c r="Z5420" i="2"/>
  <c r="C5420" i="2"/>
  <c r="AA5419" i="2"/>
  <c r="Z5419" i="2"/>
  <c r="C5419" i="2"/>
  <c r="AA5418" i="2"/>
  <c r="Z5418" i="2"/>
  <c r="C5418" i="2"/>
  <c r="AA5417" i="2"/>
  <c r="Z5417" i="2"/>
  <c r="C5417" i="2"/>
  <c r="AA5416" i="2"/>
  <c r="Z5416" i="2"/>
  <c r="C5416" i="2"/>
  <c r="AA5415" i="2"/>
  <c r="Z5415" i="2"/>
  <c r="C5415" i="2"/>
  <c r="AA5414" i="2"/>
  <c r="Z5414" i="2"/>
  <c r="C5414" i="2"/>
  <c r="AA5413" i="2"/>
  <c r="Z5413" i="2"/>
  <c r="C5413" i="2"/>
  <c r="AA5412" i="2"/>
  <c r="Z5412" i="2"/>
  <c r="C5412" i="2"/>
  <c r="AA5411" i="2"/>
  <c r="Z5411" i="2"/>
  <c r="C5411" i="2"/>
  <c r="AA5410" i="2"/>
  <c r="Z5410" i="2"/>
  <c r="C5410" i="2"/>
  <c r="AA5409" i="2"/>
  <c r="Z5409" i="2"/>
  <c r="C5409" i="2"/>
  <c r="AA5408" i="2"/>
  <c r="Z5408" i="2"/>
  <c r="C5408" i="2"/>
  <c r="AA5407" i="2"/>
  <c r="Z5407" i="2"/>
  <c r="C5407" i="2"/>
  <c r="AA5406" i="2"/>
  <c r="Z5406" i="2"/>
  <c r="C5406" i="2"/>
  <c r="AA5405" i="2"/>
  <c r="Z5405" i="2"/>
  <c r="C5405" i="2"/>
  <c r="AA5404" i="2"/>
  <c r="Z5404" i="2"/>
  <c r="C5404" i="2"/>
  <c r="AA5403" i="2"/>
  <c r="Z5403" i="2"/>
  <c r="C5403" i="2"/>
  <c r="AA5402" i="2"/>
  <c r="Z5402" i="2"/>
  <c r="C5402" i="2"/>
  <c r="AA5401" i="2"/>
  <c r="Z5401" i="2"/>
  <c r="C5401" i="2"/>
  <c r="AA5400" i="2"/>
  <c r="Z5400" i="2"/>
  <c r="C5400" i="2"/>
  <c r="AA5399" i="2"/>
  <c r="Z5399" i="2"/>
  <c r="C5399" i="2"/>
  <c r="AA5398" i="2"/>
  <c r="Z5398" i="2"/>
  <c r="C5398" i="2"/>
  <c r="AA5397" i="2"/>
  <c r="Z5397" i="2"/>
  <c r="C5397" i="2"/>
  <c r="AA5396" i="2"/>
  <c r="Z5396" i="2"/>
  <c r="C5396" i="2"/>
  <c r="AA5395" i="2"/>
  <c r="Z5395" i="2"/>
  <c r="C5395" i="2"/>
  <c r="AA5394" i="2"/>
  <c r="Z5394" i="2"/>
  <c r="C5394" i="2"/>
  <c r="AA5393" i="2"/>
  <c r="Z5393" i="2"/>
  <c r="C5393" i="2"/>
  <c r="AA5392" i="2"/>
  <c r="Z5392" i="2"/>
  <c r="C5392" i="2"/>
  <c r="AA5391" i="2"/>
  <c r="Z5391" i="2"/>
  <c r="C5391" i="2"/>
  <c r="AA5390" i="2"/>
  <c r="Z5390" i="2"/>
  <c r="C5390" i="2"/>
  <c r="AA5389" i="2"/>
  <c r="Z5389" i="2"/>
  <c r="C5389" i="2"/>
  <c r="AA5388" i="2"/>
  <c r="Z5388" i="2"/>
  <c r="C5388" i="2"/>
  <c r="AA5387" i="2"/>
  <c r="Z5387" i="2"/>
  <c r="C5387" i="2"/>
  <c r="AA5386" i="2"/>
  <c r="Z5386" i="2"/>
  <c r="C5386" i="2"/>
  <c r="AA5385" i="2"/>
  <c r="Z5385" i="2"/>
  <c r="C5385" i="2"/>
  <c r="AA5384" i="2"/>
  <c r="Z5384" i="2"/>
  <c r="C5384" i="2"/>
  <c r="AA5383" i="2"/>
  <c r="Z5383" i="2"/>
  <c r="C5383" i="2"/>
  <c r="AA5382" i="2"/>
  <c r="Z5382" i="2"/>
  <c r="C5382" i="2"/>
  <c r="AA5381" i="2"/>
  <c r="Z5381" i="2"/>
  <c r="C5381" i="2"/>
  <c r="AA5380" i="2"/>
  <c r="Z5380" i="2"/>
  <c r="C5380" i="2"/>
  <c r="AA5379" i="2"/>
  <c r="Z5379" i="2"/>
  <c r="C5379" i="2"/>
  <c r="AA5378" i="2"/>
  <c r="Z5378" i="2"/>
  <c r="C5378" i="2"/>
  <c r="AA5377" i="2"/>
  <c r="Z5377" i="2"/>
  <c r="C5377" i="2"/>
  <c r="AA5376" i="2"/>
  <c r="Z5376" i="2"/>
  <c r="C5376" i="2"/>
  <c r="AA5375" i="2"/>
  <c r="Z5375" i="2"/>
  <c r="C5375" i="2"/>
  <c r="AA5374" i="2"/>
  <c r="Z5374" i="2"/>
  <c r="C5374" i="2"/>
  <c r="AA5373" i="2"/>
  <c r="Z5373" i="2"/>
  <c r="C5373" i="2"/>
  <c r="AA5372" i="2"/>
  <c r="Z5372" i="2"/>
  <c r="C5372" i="2"/>
  <c r="AA5371" i="2"/>
  <c r="Z5371" i="2"/>
  <c r="C5371" i="2"/>
  <c r="AA5370" i="2"/>
  <c r="Z5370" i="2"/>
  <c r="C5370" i="2"/>
  <c r="AA5369" i="2"/>
  <c r="Z5369" i="2"/>
  <c r="C5369" i="2"/>
  <c r="AA5368" i="2"/>
  <c r="Z5368" i="2"/>
  <c r="C5368" i="2"/>
  <c r="AA5367" i="2"/>
  <c r="Z5367" i="2"/>
  <c r="C5367" i="2"/>
  <c r="AA5366" i="2"/>
  <c r="Z5366" i="2"/>
  <c r="C5366" i="2"/>
  <c r="AA5365" i="2"/>
  <c r="Z5365" i="2"/>
  <c r="C5365" i="2"/>
  <c r="AA5364" i="2"/>
  <c r="Z5364" i="2"/>
  <c r="C5364" i="2"/>
  <c r="AA5363" i="2"/>
  <c r="Z5363" i="2"/>
  <c r="C5363" i="2"/>
  <c r="AA5362" i="2"/>
  <c r="Z5362" i="2"/>
  <c r="C5362" i="2"/>
  <c r="AA5361" i="2"/>
  <c r="Z5361" i="2"/>
  <c r="C5361" i="2"/>
  <c r="AA5360" i="2"/>
  <c r="Z5360" i="2"/>
  <c r="C5360" i="2"/>
  <c r="AA5359" i="2"/>
  <c r="Z5359" i="2"/>
  <c r="C5359" i="2"/>
  <c r="AA5358" i="2"/>
  <c r="Z5358" i="2"/>
  <c r="C5358" i="2"/>
  <c r="AA5357" i="2"/>
  <c r="Z5357" i="2"/>
  <c r="C5357" i="2"/>
  <c r="AA5356" i="2"/>
  <c r="Z5356" i="2"/>
  <c r="C5356" i="2"/>
  <c r="AA5355" i="2"/>
  <c r="Z5355" i="2"/>
  <c r="C5355" i="2"/>
  <c r="AA5354" i="2"/>
  <c r="Z5354" i="2"/>
  <c r="C5354" i="2"/>
  <c r="AA5353" i="2"/>
  <c r="Z5353" i="2"/>
  <c r="C5353" i="2"/>
  <c r="AA5352" i="2"/>
  <c r="Z5352" i="2"/>
  <c r="C5352" i="2"/>
  <c r="AA5351" i="2"/>
  <c r="Z5351" i="2"/>
  <c r="C5351" i="2"/>
  <c r="AA5350" i="2"/>
  <c r="Z5350" i="2"/>
  <c r="C5350" i="2"/>
  <c r="AA5349" i="2"/>
  <c r="Z5349" i="2"/>
  <c r="C5349" i="2"/>
  <c r="AA5348" i="2"/>
  <c r="Z5348" i="2"/>
  <c r="C5348" i="2"/>
  <c r="AA5347" i="2"/>
  <c r="Z5347" i="2"/>
  <c r="C5347" i="2"/>
  <c r="AA5346" i="2"/>
  <c r="Z5346" i="2"/>
  <c r="C5346" i="2"/>
  <c r="AA5345" i="2"/>
  <c r="Z5345" i="2"/>
  <c r="C5345" i="2"/>
  <c r="AA5344" i="2"/>
  <c r="Z5344" i="2"/>
  <c r="C5344" i="2"/>
  <c r="AA5343" i="2"/>
  <c r="Z5343" i="2"/>
  <c r="C5343" i="2"/>
  <c r="AA5342" i="2"/>
  <c r="Z5342" i="2"/>
  <c r="C5342" i="2"/>
  <c r="AA5341" i="2"/>
  <c r="Z5341" i="2"/>
  <c r="C5341" i="2"/>
  <c r="AA5340" i="2"/>
  <c r="Z5340" i="2"/>
  <c r="C5340" i="2"/>
  <c r="AA5339" i="2"/>
  <c r="Z5339" i="2"/>
  <c r="C5339" i="2"/>
  <c r="AA5338" i="2"/>
  <c r="Z5338" i="2"/>
  <c r="C5338" i="2"/>
  <c r="AA5337" i="2"/>
  <c r="Z5337" i="2"/>
  <c r="C5337" i="2"/>
  <c r="AA5336" i="2"/>
  <c r="Z5336" i="2"/>
  <c r="C5336" i="2"/>
  <c r="AA5335" i="2"/>
  <c r="Z5335" i="2"/>
  <c r="C5335" i="2"/>
  <c r="AA5334" i="2"/>
  <c r="Z5334" i="2"/>
  <c r="C5334" i="2"/>
  <c r="AA5333" i="2"/>
  <c r="Z5333" i="2"/>
  <c r="C5333" i="2"/>
  <c r="AA5332" i="2"/>
  <c r="Z5332" i="2"/>
  <c r="C5332" i="2"/>
  <c r="AA5331" i="2"/>
  <c r="Z5331" i="2"/>
  <c r="C5331" i="2"/>
  <c r="AA5330" i="2"/>
  <c r="Z5330" i="2"/>
  <c r="C5330" i="2"/>
  <c r="AA5329" i="2"/>
  <c r="Z5329" i="2"/>
  <c r="C5329" i="2"/>
  <c r="AA5328" i="2"/>
  <c r="Z5328" i="2"/>
  <c r="C5328" i="2"/>
  <c r="AA5327" i="2"/>
  <c r="Z5327" i="2"/>
  <c r="C5327" i="2"/>
  <c r="AA5326" i="2"/>
  <c r="Z5326" i="2"/>
  <c r="C5326" i="2"/>
  <c r="AA5325" i="2"/>
  <c r="Z5325" i="2"/>
  <c r="C5325" i="2"/>
  <c r="AA5324" i="2"/>
  <c r="Z5324" i="2"/>
  <c r="C5324" i="2"/>
  <c r="AA5323" i="2"/>
  <c r="Z5323" i="2"/>
  <c r="C5323" i="2"/>
  <c r="AA5322" i="2"/>
  <c r="Z5322" i="2"/>
  <c r="C5322" i="2"/>
  <c r="AA5321" i="2"/>
  <c r="Z5321" i="2"/>
  <c r="C5321" i="2"/>
  <c r="AA5320" i="2"/>
  <c r="Z5320" i="2"/>
  <c r="C5320" i="2"/>
  <c r="AA5319" i="2"/>
  <c r="Z5319" i="2"/>
  <c r="C5319" i="2"/>
  <c r="AA5318" i="2"/>
  <c r="Z5318" i="2"/>
  <c r="C5318" i="2"/>
  <c r="AA5317" i="2"/>
  <c r="Z5317" i="2"/>
  <c r="C5317" i="2"/>
  <c r="AA5316" i="2"/>
  <c r="Z5316" i="2"/>
  <c r="C5316" i="2"/>
  <c r="AA5315" i="2"/>
  <c r="Z5315" i="2"/>
  <c r="C5315" i="2"/>
  <c r="AA5314" i="2"/>
  <c r="Z5314" i="2"/>
  <c r="C5314" i="2"/>
  <c r="AA5313" i="2"/>
  <c r="Z5313" i="2"/>
  <c r="C5313" i="2"/>
  <c r="AA5312" i="2"/>
  <c r="Z5312" i="2"/>
  <c r="C5312" i="2"/>
  <c r="AA5311" i="2"/>
  <c r="Z5311" i="2"/>
  <c r="C5311" i="2"/>
  <c r="AA5310" i="2"/>
  <c r="Z5310" i="2"/>
  <c r="C5310" i="2"/>
  <c r="AA5309" i="2"/>
  <c r="Z5309" i="2"/>
  <c r="C5309" i="2"/>
  <c r="AA5308" i="2"/>
  <c r="Z5308" i="2"/>
  <c r="C5308" i="2"/>
  <c r="AA5307" i="2"/>
  <c r="Z5307" i="2"/>
  <c r="C5307" i="2"/>
  <c r="AA5306" i="2"/>
  <c r="Z5306" i="2"/>
  <c r="C5306" i="2"/>
  <c r="AA5305" i="2"/>
  <c r="Z5305" i="2"/>
  <c r="C5305" i="2"/>
  <c r="AA5304" i="2"/>
  <c r="Z5304" i="2"/>
  <c r="C5304" i="2"/>
  <c r="AA5303" i="2"/>
  <c r="Z5303" i="2"/>
  <c r="C5303" i="2"/>
  <c r="AA5302" i="2"/>
  <c r="Z5302" i="2"/>
  <c r="C5302" i="2"/>
  <c r="AA5301" i="2"/>
  <c r="Z5301" i="2"/>
  <c r="C5301" i="2"/>
  <c r="AA5300" i="2"/>
  <c r="Z5300" i="2"/>
  <c r="C5300" i="2"/>
  <c r="AA5299" i="2"/>
  <c r="Z5299" i="2"/>
  <c r="C5299" i="2"/>
  <c r="AA5298" i="2"/>
  <c r="Z5298" i="2"/>
  <c r="C5298" i="2"/>
  <c r="AA5297" i="2"/>
  <c r="Z5297" i="2"/>
  <c r="C5297" i="2"/>
  <c r="AA5296" i="2"/>
  <c r="Z5296" i="2"/>
  <c r="C5296" i="2"/>
  <c r="AA5295" i="2"/>
  <c r="Z5295" i="2"/>
  <c r="C5295" i="2"/>
  <c r="AA5294" i="2"/>
  <c r="Z5294" i="2"/>
  <c r="C5294" i="2"/>
  <c r="AA5293" i="2"/>
  <c r="Z5293" i="2"/>
  <c r="C5293" i="2"/>
  <c r="AA5292" i="2"/>
  <c r="Z5292" i="2"/>
  <c r="C5292" i="2"/>
  <c r="AA5291" i="2"/>
  <c r="Z5291" i="2"/>
  <c r="C5291" i="2"/>
  <c r="AA5290" i="2"/>
  <c r="Z5290" i="2"/>
  <c r="C5290" i="2"/>
  <c r="AA5289" i="2"/>
  <c r="Z5289" i="2"/>
  <c r="C5289" i="2"/>
  <c r="AA5288" i="2"/>
  <c r="Z5288" i="2"/>
  <c r="C5288" i="2"/>
  <c r="AA5287" i="2"/>
  <c r="Z5287" i="2"/>
  <c r="C5287" i="2"/>
  <c r="AA5286" i="2"/>
  <c r="Z5286" i="2"/>
  <c r="C5286" i="2"/>
  <c r="AA5285" i="2"/>
  <c r="Z5285" i="2"/>
  <c r="C5285" i="2"/>
  <c r="AA5284" i="2"/>
  <c r="Z5284" i="2"/>
  <c r="C5284" i="2"/>
  <c r="AA5283" i="2"/>
  <c r="Z5283" i="2"/>
  <c r="C5283" i="2"/>
  <c r="AA5282" i="2"/>
  <c r="Z5282" i="2"/>
  <c r="C5282" i="2"/>
  <c r="AA5281" i="2"/>
  <c r="Z5281" i="2"/>
  <c r="C5281" i="2"/>
  <c r="AA5280" i="2"/>
  <c r="Z5280" i="2"/>
  <c r="C5280" i="2"/>
  <c r="AA5279" i="2"/>
  <c r="Z5279" i="2"/>
  <c r="C5279" i="2"/>
  <c r="AA5278" i="2"/>
  <c r="Z5278" i="2"/>
  <c r="C5278" i="2"/>
  <c r="AA5277" i="2"/>
  <c r="Z5277" i="2"/>
  <c r="C5277" i="2"/>
  <c r="AA5276" i="2"/>
  <c r="Z5276" i="2"/>
  <c r="C5276" i="2"/>
  <c r="AA5275" i="2"/>
  <c r="Z5275" i="2"/>
  <c r="C5275" i="2"/>
  <c r="AA5274" i="2"/>
  <c r="Z5274" i="2"/>
  <c r="C5274" i="2"/>
  <c r="AA5273" i="2"/>
  <c r="Z5273" i="2"/>
  <c r="C5273" i="2"/>
  <c r="AA5272" i="2"/>
  <c r="Z5272" i="2"/>
  <c r="C5272" i="2"/>
  <c r="AA5271" i="2"/>
  <c r="Z5271" i="2"/>
  <c r="C5271" i="2"/>
  <c r="AA5270" i="2"/>
  <c r="Z5270" i="2"/>
  <c r="C5270" i="2"/>
  <c r="AA5269" i="2"/>
  <c r="Z5269" i="2"/>
  <c r="C5269" i="2"/>
  <c r="AA5268" i="2"/>
  <c r="Z5268" i="2"/>
  <c r="C5268" i="2"/>
  <c r="AA5267" i="2"/>
  <c r="Z5267" i="2"/>
  <c r="C5267" i="2"/>
  <c r="AA5266" i="2"/>
  <c r="Z5266" i="2"/>
  <c r="C5266" i="2"/>
  <c r="AA5265" i="2"/>
  <c r="Z5265" i="2"/>
  <c r="C5265" i="2"/>
  <c r="AA5264" i="2"/>
  <c r="Z5264" i="2"/>
  <c r="C5264" i="2"/>
  <c r="AA5263" i="2"/>
  <c r="Z5263" i="2"/>
  <c r="C5263" i="2"/>
  <c r="AA5262" i="2"/>
  <c r="Z5262" i="2"/>
  <c r="C5262" i="2"/>
  <c r="AA5261" i="2"/>
  <c r="Z5261" i="2"/>
  <c r="C5261" i="2"/>
  <c r="AA5260" i="2"/>
  <c r="Z5260" i="2"/>
  <c r="C5260" i="2"/>
  <c r="AA5259" i="2"/>
  <c r="Z5259" i="2"/>
  <c r="C5259" i="2"/>
  <c r="AA5258" i="2"/>
  <c r="Z5258" i="2"/>
  <c r="C5258" i="2"/>
  <c r="AA5257" i="2"/>
  <c r="Z5257" i="2"/>
  <c r="C5257" i="2"/>
  <c r="AA5256" i="2"/>
  <c r="Z5256" i="2"/>
  <c r="C5256" i="2"/>
  <c r="AA5255" i="2"/>
  <c r="Z5255" i="2"/>
  <c r="C5255" i="2"/>
  <c r="AA5254" i="2"/>
  <c r="Z5254" i="2"/>
  <c r="C5254" i="2"/>
  <c r="AA5253" i="2"/>
  <c r="Z5253" i="2"/>
  <c r="C5253" i="2"/>
  <c r="AA5252" i="2"/>
  <c r="Z5252" i="2"/>
  <c r="C5252" i="2"/>
  <c r="AA5251" i="2"/>
  <c r="Z5251" i="2"/>
  <c r="C5251" i="2"/>
  <c r="AA5250" i="2"/>
  <c r="Z5250" i="2"/>
  <c r="C5250" i="2"/>
  <c r="AA5249" i="2"/>
  <c r="Z5249" i="2"/>
  <c r="C5249" i="2"/>
  <c r="AA5248" i="2"/>
  <c r="Z5248" i="2"/>
  <c r="C5248" i="2"/>
  <c r="AA5247" i="2"/>
  <c r="Z5247" i="2"/>
  <c r="C5247" i="2"/>
  <c r="AA5246" i="2"/>
  <c r="Z5246" i="2"/>
  <c r="C5246" i="2"/>
  <c r="AA5245" i="2"/>
  <c r="Z5245" i="2"/>
  <c r="C5245" i="2"/>
  <c r="AA5244" i="2"/>
  <c r="Z5244" i="2"/>
  <c r="C5244" i="2"/>
  <c r="AA5243" i="2"/>
  <c r="Z5243" i="2"/>
  <c r="C5243" i="2"/>
  <c r="AA5242" i="2"/>
  <c r="Z5242" i="2"/>
  <c r="C5242" i="2"/>
  <c r="AA5241" i="2"/>
  <c r="Z5241" i="2"/>
  <c r="C5241" i="2"/>
  <c r="AA5240" i="2"/>
  <c r="Z5240" i="2"/>
  <c r="C5240" i="2"/>
  <c r="AA5239" i="2"/>
  <c r="Z5239" i="2"/>
  <c r="C5239" i="2"/>
  <c r="AA5238" i="2"/>
  <c r="Z5238" i="2"/>
  <c r="C5238" i="2"/>
  <c r="AA5237" i="2"/>
  <c r="Z5237" i="2"/>
  <c r="C5237" i="2"/>
  <c r="AA5236" i="2"/>
  <c r="Z5236" i="2"/>
  <c r="C5236" i="2"/>
  <c r="AA5235" i="2"/>
  <c r="Z5235" i="2"/>
  <c r="C5235" i="2"/>
  <c r="AA5234" i="2"/>
  <c r="Z5234" i="2"/>
  <c r="C5234" i="2"/>
  <c r="AA5233" i="2"/>
  <c r="Z5233" i="2"/>
  <c r="C5233" i="2"/>
  <c r="AA5232" i="2"/>
  <c r="Z5232" i="2"/>
  <c r="C5232" i="2"/>
  <c r="AA5231" i="2"/>
  <c r="Z5231" i="2"/>
  <c r="C5231" i="2"/>
  <c r="AA5230" i="2"/>
  <c r="Z5230" i="2"/>
  <c r="C5230" i="2"/>
  <c r="AA5229" i="2"/>
  <c r="Z5229" i="2"/>
  <c r="C5229" i="2"/>
  <c r="AA5228" i="2"/>
  <c r="Z5228" i="2"/>
  <c r="C5228" i="2"/>
  <c r="AA5227" i="2"/>
  <c r="Z5227" i="2"/>
  <c r="C5227" i="2"/>
  <c r="AA5226" i="2"/>
  <c r="Z5226" i="2"/>
  <c r="C5226" i="2"/>
  <c r="AA5225" i="2"/>
  <c r="Z5225" i="2"/>
  <c r="C5225" i="2"/>
  <c r="AA5224" i="2"/>
  <c r="Z5224" i="2"/>
  <c r="C5224" i="2"/>
  <c r="AA5223" i="2"/>
  <c r="Z5223" i="2"/>
  <c r="C5223" i="2"/>
  <c r="AA5222" i="2"/>
  <c r="Z5222" i="2"/>
  <c r="C5222" i="2"/>
  <c r="AA5221" i="2"/>
  <c r="Z5221" i="2"/>
  <c r="C5221" i="2"/>
  <c r="AA5220" i="2"/>
  <c r="Z5220" i="2"/>
  <c r="C5220" i="2"/>
  <c r="AA5219" i="2"/>
  <c r="Z5219" i="2"/>
  <c r="C5219" i="2"/>
  <c r="AA5218" i="2"/>
  <c r="Z5218" i="2"/>
  <c r="C5218" i="2"/>
  <c r="AA5217" i="2"/>
  <c r="Z5217" i="2"/>
  <c r="C5217" i="2"/>
  <c r="AA5216" i="2"/>
  <c r="Z5216" i="2"/>
  <c r="C5216" i="2"/>
  <c r="AA5215" i="2"/>
  <c r="Z5215" i="2"/>
  <c r="C5215" i="2"/>
  <c r="AA5214" i="2"/>
  <c r="Z5214" i="2"/>
  <c r="C5214" i="2"/>
  <c r="AA5213" i="2"/>
  <c r="Z5213" i="2"/>
  <c r="C5213" i="2"/>
  <c r="AA5212" i="2"/>
  <c r="Z5212" i="2"/>
  <c r="C5212" i="2"/>
  <c r="AA5211" i="2"/>
  <c r="Z5211" i="2"/>
  <c r="C5211" i="2"/>
  <c r="AA5210" i="2"/>
  <c r="Z5210" i="2"/>
  <c r="C5210" i="2"/>
  <c r="AA5209" i="2"/>
  <c r="Z5209" i="2"/>
  <c r="C5209" i="2"/>
  <c r="AA5208" i="2"/>
  <c r="Z5208" i="2"/>
  <c r="C5208" i="2"/>
  <c r="AA5207" i="2"/>
  <c r="Z5207" i="2"/>
  <c r="C5207" i="2"/>
  <c r="AA5206" i="2"/>
  <c r="Z5206" i="2"/>
  <c r="C5206" i="2"/>
  <c r="AA5205" i="2"/>
  <c r="Z5205" i="2"/>
  <c r="C5205" i="2"/>
  <c r="AA5204" i="2"/>
  <c r="Z5204" i="2"/>
  <c r="C5204" i="2"/>
  <c r="AA5203" i="2"/>
  <c r="Z5203" i="2"/>
  <c r="C5203" i="2"/>
  <c r="AA5202" i="2"/>
  <c r="Z5202" i="2"/>
  <c r="C5202" i="2"/>
  <c r="AA5201" i="2"/>
  <c r="Z5201" i="2"/>
  <c r="C5201" i="2"/>
  <c r="AA5200" i="2"/>
  <c r="Z5200" i="2"/>
  <c r="C5200" i="2"/>
  <c r="AA5199" i="2"/>
  <c r="Z5199" i="2"/>
  <c r="C5199" i="2"/>
  <c r="AA5198" i="2"/>
  <c r="Z5198" i="2"/>
  <c r="C5198" i="2"/>
  <c r="AA5197" i="2"/>
  <c r="Z5197" i="2"/>
  <c r="C5197" i="2"/>
  <c r="AA5196" i="2"/>
  <c r="Z5196" i="2"/>
  <c r="C5196" i="2"/>
  <c r="AA5195" i="2"/>
  <c r="Z5195" i="2"/>
  <c r="C5195" i="2"/>
  <c r="AA5194" i="2"/>
  <c r="Z5194" i="2"/>
  <c r="C5194" i="2"/>
  <c r="AA5193" i="2"/>
  <c r="Z5193" i="2"/>
  <c r="C5193" i="2"/>
  <c r="AA5192" i="2"/>
  <c r="Z5192" i="2"/>
  <c r="C5192" i="2"/>
  <c r="AA5191" i="2"/>
  <c r="Z5191" i="2"/>
  <c r="C5191" i="2"/>
  <c r="AA5190" i="2"/>
  <c r="Z5190" i="2"/>
  <c r="C5190" i="2"/>
  <c r="AA5189" i="2"/>
  <c r="Z5189" i="2"/>
  <c r="C5189" i="2"/>
  <c r="AA5188" i="2"/>
  <c r="Z5188" i="2"/>
  <c r="C5188" i="2"/>
  <c r="AA5187" i="2"/>
  <c r="Z5187" i="2"/>
  <c r="C5187" i="2"/>
  <c r="AA5186" i="2"/>
  <c r="Z5186" i="2"/>
  <c r="C5186" i="2"/>
  <c r="AA5185" i="2"/>
  <c r="Z5185" i="2"/>
  <c r="C5185" i="2"/>
  <c r="AA5184" i="2"/>
  <c r="Z5184" i="2"/>
  <c r="C5184" i="2"/>
  <c r="AA5183" i="2"/>
  <c r="Z5183" i="2"/>
  <c r="C5183" i="2"/>
  <c r="AA5182" i="2"/>
  <c r="Z5182" i="2"/>
  <c r="C5182" i="2"/>
  <c r="AA5181" i="2"/>
  <c r="Z5181" i="2"/>
  <c r="C5181" i="2"/>
  <c r="AA5180" i="2"/>
  <c r="Z5180" i="2"/>
  <c r="C5180" i="2"/>
  <c r="AA5179" i="2"/>
  <c r="Z5179" i="2"/>
  <c r="C5179" i="2"/>
  <c r="AA5178" i="2"/>
  <c r="Z5178" i="2"/>
  <c r="C5178" i="2"/>
  <c r="AA5177" i="2"/>
  <c r="Z5177" i="2"/>
  <c r="C5177" i="2"/>
  <c r="AA5176" i="2"/>
  <c r="Z5176" i="2"/>
  <c r="C5176" i="2"/>
  <c r="AA5175" i="2"/>
  <c r="Z5175" i="2"/>
  <c r="C5175" i="2"/>
  <c r="AA5174" i="2"/>
  <c r="Z5174" i="2"/>
  <c r="C5174" i="2"/>
  <c r="AA5173" i="2"/>
  <c r="Z5173" i="2"/>
  <c r="C5173" i="2"/>
  <c r="AA5172" i="2"/>
  <c r="Z5172" i="2"/>
  <c r="C5172" i="2"/>
  <c r="AA5171" i="2"/>
  <c r="Z5171" i="2"/>
  <c r="C5171" i="2"/>
  <c r="AA5170" i="2"/>
  <c r="Z5170" i="2"/>
  <c r="C5170" i="2"/>
  <c r="AA5169" i="2"/>
  <c r="Z5169" i="2"/>
  <c r="C5169" i="2"/>
  <c r="AA5168" i="2"/>
  <c r="Z5168" i="2"/>
  <c r="C5168" i="2"/>
  <c r="AA5167" i="2"/>
  <c r="Z5167" i="2"/>
  <c r="C5167" i="2"/>
  <c r="AA5166" i="2"/>
  <c r="Z5166" i="2"/>
  <c r="C5166" i="2"/>
  <c r="AA5165" i="2"/>
  <c r="Z5165" i="2"/>
  <c r="C5165" i="2"/>
  <c r="AA5164" i="2"/>
  <c r="Z5164" i="2"/>
  <c r="C5164" i="2"/>
  <c r="AA5163" i="2"/>
  <c r="Z5163" i="2"/>
  <c r="C5163" i="2"/>
  <c r="AA5162" i="2"/>
  <c r="Z5162" i="2"/>
  <c r="C5162" i="2"/>
  <c r="AA5161" i="2"/>
  <c r="Z5161" i="2"/>
  <c r="C5161" i="2"/>
  <c r="AA5160" i="2"/>
  <c r="Z5160" i="2"/>
  <c r="C5160" i="2"/>
  <c r="AA5159" i="2"/>
  <c r="Z5159" i="2"/>
  <c r="C5159" i="2"/>
  <c r="AA5158" i="2"/>
  <c r="Z5158" i="2"/>
  <c r="C5158" i="2"/>
  <c r="AA5157" i="2"/>
  <c r="Z5157" i="2"/>
  <c r="C5157" i="2"/>
  <c r="AA5156" i="2"/>
  <c r="Z5156" i="2"/>
  <c r="C5156" i="2"/>
  <c r="AA5155" i="2"/>
  <c r="Z5155" i="2"/>
  <c r="C5155" i="2"/>
  <c r="AA5154" i="2"/>
  <c r="Z5154" i="2"/>
  <c r="C5154" i="2"/>
  <c r="AA5153" i="2"/>
  <c r="Z5153" i="2"/>
  <c r="C5153" i="2"/>
  <c r="AA5152" i="2"/>
  <c r="Z5152" i="2"/>
  <c r="C5152" i="2"/>
  <c r="AA5151" i="2"/>
  <c r="Z5151" i="2"/>
  <c r="C5151" i="2"/>
  <c r="AA5150" i="2"/>
  <c r="Z5150" i="2"/>
  <c r="C5150" i="2"/>
  <c r="AA5149" i="2"/>
  <c r="Z5149" i="2"/>
  <c r="C5149" i="2"/>
  <c r="AA5148" i="2"/>
  <c r="Z5148" i="2"/>
  <c r="C5148" i="2"/>
  <c r="AA5147" i="2"/>
  <c r="Z5147" i="2"/>
  <c r="C5147" i="2"/>
  <c r="AA5146" i="2"/>
  <c r="Z5146" i="2"/>
  <c r="C5146" i="2"/>
  <c r="AA5145" i="2"/>
  <c r="Z5145" i="2"/>
  <c r="C5145" i="2"/>
  <c r="AA5144" i="2"/>
  <c r="Z5144" i="2"/>
  <c r="C5144" i="2"/>
  <c r="AA5143" i="2"/>
  <c r="Z5143" i="2"/>
  <c r="C5143" i="2"/>
  <c r="AA5142" i="2"/>
  <c r="Z5142" i="2"/>
  <c r="C5142" i="2"/>
  <c r="AA5141" i="2"/>
  <c r="Z5141" i="2"/>
  <c r="C5141" i="2"/>
  <c r="AA5140" i="2"/>
  <c r="Z5140" i="2"/>
  <c r="C5140" i="2"/>
  <c r="AA5139" i="2"/>
  <c r="Z5139" i="2"/>
  <c r="C5139" i="2"/>
  <c r="AA5138" i="2"/>
  <c r="Z5138" i="2"/>
  <c r="C5138" i="2"/>
  <c r="AA5137" i="2"/>
  <c r="Z5137" i="2"/>
  <c r="C5137" i="2"/>
  <c r="AA5136" i="2"/>
  <c r="Z5136" i="2"/>
  <c r="C5136" i="2"/>
  <c r="AA5135" i="2"/>
  <c r="Z5135" i="2"/>
  <c r="C5135" i="2"/>
  <c r="AA5134" i="2"/>
  <c r="Z5134" i="2"/>
  <c r="C5134" i="2"/>
  <c r="AA5133" i="2"/>
  <c r="Z5133" i="2"/>
  <c r="C5133" i="2"/>
  <c r="AA5132" i="2"/>
  <c r="Z5132" i="2"/>
  <c r="C5132" i="2"/>
  <c r="AA5131" i="2"/>
  <c r="Z5131" i="2"/>
  <c r="C5131" i="2"/>
  <c r="AA5130" i="2"/>
  <c r="Z5130" i="2"/>
  <c r="C5130" i="2"/>
  <c r="AA5129" i="2"/>
  <c r="Z5129" i="2"/>
  <c r="C5129" i="2"/>
  <c r="AA5128" i="2"/>
  <c r="Z5128" i="2"/>
  <c r="C5128" i="2"/>
  <c r="AA5127" i="2"/>
  <c r="Z5127" i="2"/>
  <c r="C5127" i="2"/>
  <c r="AA5126" i="2"/>
  <c r="Z5126" i="2"/>
  <c r="C5126" i="2"/>
  <c r="AA5125" i="2"/>
  <c r="Z5125" i="2"/>
  <c r="C5125" i="2"/>
  <c r="AA5124" i="2"/>
  <c r="Z5124" i="2"/>
  <c r="C5124" i="2"/>
  <c r="AA5123" i="2"/>
  <c r="Z5123" i="2"/>
  <c r="C5123" i="2"/>
  <c r="AA5122" i="2"/>
  <c r="Z5122" i="2"/>
  <c r="C5122" i="2"/>
  <c r="AA5121" i="2"/>
  <c r="Z5121" i="2"/>
  <c r="C5121" i="2"/>
  <c r="AA5120" i="2"/>
  <c r="Z5120" i="2"/>
  <c r="C5120" i="2"/>
  <c r="AA5119" i="2"/>
  <c r="Z5119" i="2"/>
  <c r="C5119" i="2"/>
  <c r="AA5118" i="2"/>
  <c r="Z5118" i="2"/>
  <c r="C5118" i="2"/>
  <c r="AA5117" i="2"/>
  <c r="Z5117" i="2"/>
  <c r="C5117" i="2"/>
  <c r="AA5116" i="2"/>
  <c r="Z5116" i="2"/>
  <c r="C5116" i="2"/>
  <c r="AA5115" i="2"/>
  <c r="Z5115" i="2"/>
  <c r="C5115" i="2"/>
  <c r="AA5114" i="2"/>
  <c r="Z5114" i="2"/>
  <c r="C5114" i="2"/>
  <c r="AA5113" i="2"/>
  <c r="Z5113" i="2"/>
  <c r="C5113" i="2"/>
  <c r="AA5112" i="2"/>
  <c r="Z5112" i="2"/>
  <c r="C5112" i="2"/>
  <c r="AA5111" i="2"/>
  <c r="Z5111" i="2"/>
  <c r="C5111" i="2"/>
  <c r="AA5110" i="2"/>
  <c r="Z5110" i="2"/>
  <c r="C5110" i="2"/>
  <c r="AA5109" i="2"/>
  <c r="Z5109" i="2"/>
  <c r="C5109" i="2"/>
  <c r="AA5108" i="2"/>
  <c r="Z5108" i="2"/>
  <c r="C5108" i="2"/>
  <c r="AA5107" i="2"/>
  <c r="Z5107" i="2"/>
  <c r="C5107" i="2"/>
  <c r="AA5106" i="2"/>
  <c r="Z5106" i="2"/>
  <c r="C5106" i="2"/>
  <c r="AA5105" i="2"/>
  <c r="Z5105" i="2"/>
  <c r="C5105" i="2"/>
  <c r="AA5104" i="2"/>
  <c r="Z5104" i="2"/>
  <c r="C5104" i="2"/>
  <c r="AA5103" i="2"/>
  <c r="Z5103" i="2"/>
  <c r="C5103" i="2"/>
  <c r="AA5102" i="2"/>
  <c r="Z5102" i="2"/>
  <c r="C5102" i="2"/>
  <c r="AA5101" i="2"/>
  <c r="Z5101" i="2"/>
  <c r="C5101" i="2"/>
  <c r="AA5100" i="2"/>
  <c r="Z5100" i="2"/>
  <c r="C5100" i="2"/>
  <c r="AA5099" i="2"/>
  <c r="Z5099" i="2"/>
  <c r="C5099" i="2"/>
  <c r="AA5098" i="2"/>
  <c r="Z5098" i="2"/>
  <c r="C5098" i="2"/>
  <c r="AA5097" i="2"/>
  <c r="Z5097" i="2"/>
  <c r="C5097" i="2"/>
  <c r="AA5096" i="2"/>
  <c r="Z5096" i="2"/>
  <c r="C5096" i="2"/>
  <c r="AA5095" i="2"/>
  <c r="Z5095" i="2"/>
  <c r="C5095" i="2"/>
  <c r="AA5094" i="2"/>
  <c r="Z5094" i="2"/>
  <c r="C5094" i="2"/>
  <c r="AA5093" i="2"/>
  <c r="Z5093" i="2"/>
  <c r="C5093" i="2"/>
  <c r="AA5092" i="2"/>
  <c r="Z5092" i="2"/>
  <c r="C5092" i="2"/>
  <c r="AA5091" i="2"/>
  <c r="Z5091" i="2"/>
  <c r="C5091" i="2"/>
  <c r="AA5090" i="2"/>
  <c r="Z5090" i="2"/>
  <c r="C5090" i="2"/>
  <c r="AA5089" i="2"/>
  <c r="Z5089" i="2"/>
  <c r="C5089" i="2"/>
  <c r="AA5088" i="2"/>
  <c r="Z5088" i="2"/>
  <c r="C5088" i="2"/>
  <c r="AA5087" i="2"/>
  <c r="Z5087" i="2"/>
  <c r="C5087" i="2"/>
  <c r="AA5086" i="2"/>
  <c r="Z5086" i="2"/>
  <c r="C5086" i="2"/>
  <c r="AA5085" i="2"/>
  <c r="Z5085" i="2"/>
  <c r="C5085" i="2"/>
  <c r="AA5084" i="2"/>
  <c r="Z5084" i="2"/>
  <c r="C5084" i="2"/>
  <c r="AA5083" i="2"/>
  <c r="Z5083" i="2"/>
  <c r="C5083" i="2"/>
  <c r="AA5082" i="2"/>
  <c r="Z5082" i="2"/>
  <c r="C5082" i="2"/>
  <c r="AA5081" i="2"/>
  <c r="Z5081" i="2"/>
  <c r="C5081" i="2"/>
  <c r="AA5080" i="2"/>
  <c r="Z5080" i="2"/>
  <c r="C5080" i="2"/>
  <c r="AA5079" i="2"/>
  <c r="Z5079" i="2"/>
  <c r="C5079" i="2"/>
  <c r="AA5078" i="2"/>
  <c r="Z5078" i="2"/>
  <c r="C5078" i="2"/>
  <c r="AA5077" i="2"/>
  <c r="Z5077" i="2"/>
  <c r="C5077" i="2"/>
  <c r="AA5076" i="2"/>
  <c r="Z5076" i="2"/>
  <c r="C5076" i="2"/>
  <c r="AA5075" i="2"/>
  <c r="Z5075" i="2"/>
  <c r="C5075" i="2"/>
  <c r="AA5074" i="2"/>
  <c r="Z5074" i="2"/>
  <c r="C5074" i="2"/>
  <c r="AA5073" i="2"/>
  <c r="Z5073" i="2"/>
  <c r="C5073" i="2"/>
  <c r="AA5072" i="2"/>
  <c r="Z5072" i="2"/>
  <c r="C5072" i="2"/>
  <c r="AA5071" i="2"/>
  <c r="Z5071" i="2"/>
  <c r="C5071" i="2"/>
  <c r="AA5070" i="2"/>
  <c r="Z5070" i="2"/>
  <c r="C5070" i="2"/>
  <c r="AA5069" i="2"/>
  <c r="Z5069" i="2"/>
  <c r="C5069" i="2"/>
  <c r="AA5068" i="2"/>
  <c r="Z5068" i="2"/>
  <c r="C5068" i="2"/>
  <c r="AA5067" i="2"/>
  <c r="Z5067" i="2"/>
  <c r="C5067" i="2"/>
  <c r="AA5066" i="2"/>
  <c r="Z5066" i="2"/>
  <c r="C5066" i="2"/>
  <c r="AA5065" i="2"/>
  <c r="Z5065" i="2"/>
  <c r="C5065" i="2"/>
  <c r="AA5064" i="2"/>
  <c r="Z5064" i="2"/>
  <c r="C5064" i="2"/>
  <c r="AA5063" i="2"/>
  <c r="Z5063" i="2"/>
  <c r="C5063" i="2"/>
  <c r="AA5062" i="2"/>
  <c r="Z5062" i="2"/>
  <c r="C5062" i="2"/>
  <c r="AA5061" i="2"/>
  <c r="Z5061" i="2"/>
  <c r="C5061" i="2"/>
  <c r="AA5060" i="2"/>
  <c r="Z5060" i="2"/>
  <c r="C5060" i="2"/>
  <c r="AA5059" i="2"/>
  <c r="Z5059" i="2"/>
  <c r="C5059" i="2"/>
  <c r="AA5058" i="2"/>
  <c r="Z5058" i="2"/>
  <c r="C5058" i="2"/>
  <c r="AA5057" i="2"/>
  <c r="Z5057" i="2"/>
  <c r="C5057" i="2"/>
  <c r="AA5056" i="2"/>
  <c r="Z5056" i="2"/>
  <c r="C5056" i="2"/>
  <c r="AA5055" i="2"/>
  <c r="Z5055" i="2"/>
  <c r="C5055" i="2"/>
  <c r="AA5054" i="2"/>
  <c r="Z5054" i="2"/>
  <c r="C5054" i="2"/>
  <c r="AA5053" i="2"/>
  <c r="Z5053" i="2"/>
  <c r="C5053" i="2"/>
  <c r="AA5052" i="2"/>
  <c r="Z5052" i="2"/>
  <c r="C5052" i="2"/>
  <c r="AA5051" i="2"/>
  <c r="Z5051" i="2"/>
  <c r="C5051" i="2"/>
  <c r="AA5050" i="2"/>
  <c r="Z5050" i="2"/>
  <c r="C5050" i="2"/>
  <c r="AA5049" i="2"/>
  <c r="Z5049" i="2"/>
  <c r="C5049" i="2"/>
  <c r="AA5048" i="2"/>
  <c r="Z5048" i="2"/>
  <c r="C5048" i="2"/>
  <c r="AA5047" i="2"/>
  <c r="Z5047" i="2"/>
  <c r="C5047" i="2"/>
  <c r="AA5046" i="2"/>
  <c r="Z5046" i="2"/>
  <c r="C5046" i="2"/>
  <c r="AA5045" i="2"/>
  <c r="Z5045" i="2"/>
  <c r="C5045" i="2"/>
  <c r="AA5044" i="2"/>
  <c r="Z5044" i="2"/>
  <c r="C5044" i="2"/>
  <c r="AA5043" i="2"/>
  <c r="Z5043" i="2"/>
  <c r="C5043" i="2"/>
  <c r="AA5042" i="2"/>
  <c r="Z5042" i="2"/>
  <c r="C5042" i="2"/>
  <c r="AA5041" i="2"/>
  <c r="Z5041" i="2"/>
  <c r="C5041" i="2"/>
  <c r="AA5040" i="2"/>
  <c r="Z5040" i="2"/>
  <c r="C5040" i="2"/>
  <c r="AA5039" i="2"/>
  <c r="Z5039" i="2"/>
  <c r="C5039" i="2"/>
  <c r="AA5038" i="2"/>
  <c r="Z5038" i="2"/>
  <c r="C5038" i="2"/>
  <c r="AA5037" i="2"/>
  <c r="Z5037" i="2"/>
  <c r="C5037" i="2"/>
  <c r="AA5036" i="2"/>
  <c r="Z5036" i="2"/>
  <c r="C5036" i="2"/>
  <c r="AA5035" i="2"/>
  <c r="Z5035" i="2"/>
  <c r="C5035" i="2"/>
  <c r="AA5034" i="2"/>
  <c r="Z5034" i="2"/>
  <c r="C5034" i="2"/>
  <c r="AA5033" i="2"/>
  <c r="Z5033" i="2"/>
  <c r="C5033" i="2"/>
  <c r="AA5032" i="2"/>
  <c r="Z5032" i="2"/>
  <c r="C5032" i="2"/>
  <c r="AA5031" i="2"/>
  <c r="Z5031" i="2"/>
  <c r="C5031" i="2"/>
  <c r="AA5030" i="2"/>
  <c r="Z5030" i="2"/>
  <c r="C5030" i="2"/>
  <c r="AA5029" i="2"/>
  <c r="Z5029" i="2"/>
  <c r="C5029" i="2"/>
  <c r="AA5028" i="2"/>
  <c r="Z5028" i="2"/>
  <c r="C5028" i="2"/>
  <c r="AA5027" i="2"/>
  <c r="Z5027" i="2"/>
  <c r="C5027" i="2"/>
  <c r="AA5026" i="2"/>
  <c r="Z5026" i="2"/>
  <c r="C5026" i="2"/>
  <c r="AA5025" i="2"/>
  <c r="Z5025" i="2"/>
  <c r="C5025" i="2"/>
  <c r="AA5024" i="2"/>
  <c r="Z5024" i="2"/>
  <c r="C5024" i="2"/>
  <c r="AA5023" i="2"/>
  <c r="Z5023" i="2"/>
  <c r="C5023" i="2"/>
  <c r="AA5022" i="2"/>
  <c r="Z5022" i="2"/>
  <c r="C5022" i="2"/>
  <c r="AA5021" i="2"/>
  <c r="Z5021" i="2"/>
  <c r="C5021" i="2"/>
  <c r="AA5020" i="2"/>
  <c r="Z5020" i="2"/>
  <c r="C5020" i="2"/>
  <c r="AA5019" i="2"/>
  <c r="Z5019" i="2"/>
  <c r="C5019" i="2"/>
  <c r="AA5018" i="2"/>
  <c r="Z5018" i="2"/>
  <c r="C5018" i="2"/>
  <c r="AA5017" i="2"/>
  <c r="Z5017" i="2"/>
  <c r="C5017" i="2"/>
  <c r="AA5016" i="2"/>
  <c r="Z5016" i="2"/>
  <c r="C5016" i="2"/>
  <c r="AA5015" i="2"/>
  <c r="Z5015" i="2"/>
  <c r="C5015" i="2"/>
  <c r="AA5014" i="2"/>
  <c r="Z5014" i="2"/>
  <c r="C5014" i="2"/>
  <c r="AA5013" i="2"/>
  <c r="Z5013" i="2"/>
  <c r="C5013" i="2"/>
  <c r="AA5012" i="2"/>
  <c r="Z5012" i="2"/>
  <c r="C5012" i="2"/>
  <c r="AA5011" i="2"/>
  <c r="Z5011" i="2"/>
  <c r="C5011" i="2"/>
  <c r="AA5010" i="2"/>
  <c r="Z5010" i="2"/>
  <c r="C5010" i="2"/>
  <c r="AA5009" i="2"/>
  <c r="Z5009" i="2"/>
  <c r="C5009" i="2"/>
  <c r="AA5008" i="2"/>
  <c r="Z5008" i="2"/>
  <c r="C5008" i="2"/>
  <c r="AA5007" i="2"/>
  <c r="Z5007" i="2"/>
  <c r="C5007" i="2"/>
  <c r="AA5006" i="2"/>
  <c r="Z5006" i="2"/>
  <c r="C5006" i="2"/>
  <c r="AA5005" i="2"/>
  <c r="Z5005" i="2"/>
  <c r="C5005" i="2"/>
  <c r="AA5004" i="2"/>
  <c r="Z5004" i="2"/>
  <c r="C5004" i="2"/>
  <c r="AA5003" i="2"/>
  <c r="Z5003" i="2"/>
  <c r="C5003" i="2"/>
  <c r="AA5002" i="2"/>
  <c r="Z5002" i="2"/>
  <c r="C5002" i="2"/>
  <c r="AA5001" i="2"/>
  <c r="Z5001" i="2"/>
  <c r="C5001" i="2"/>
  <c r="AA5000" i="2"/>
  <c r="Z5000" i="2"/>
  <c r="C5000" i="2"/>
  <c r="AA4999" i="2"/>
  <c r="Z4999" i="2"/>
  <c r="C4999" i="2"/>
  <c r="AA4998" i="2"/>
  <c r="Z4998" i="2"/>
  <c r="C4998" i="2"/>
  <c r="AA4997" i="2"/>
  <c r="Z4997" i="2"/>
  <c r="C4997" i="2"/>
  <c r="AA4996" i="2"/>
  <c r="Z4996" i="2"/>
  <c r="C4996" i="2"/>
  <c r="AA4995" i="2"/>
  <c r="Z4995" i="2"/>
  <c r="C4995" i="2"/>
  <c r="AA4994" i="2"/>
  <c r="Z4994" i="2"/>
  <c r="C4994" i="2"/>
  <c r="AA4993" i="2"/>
  <c r="Z4993" i="2"/>
  <c r="C4993" i="2"/>
  <c r="AA4992" i="2"/>
  <c r="Z4992" i="2"/>
  <c r="C4992" i="2"/>
  <c r="AA4991" i="2"/>
  <c r="Z4991" i="2"/>
  <c r="C4991" i="2"/>
  <c r="AA4990" i="2"/>
  <c r="Z4990" i="2"/>
  <c r="C4990" i="2"/>
  <c r="AA4989" i="2"/>
  <c r="Z4989" i="2"/>
  <c r="C4989" i="2"/>
  <c r="AA4988" i="2"/>
  <c r="Z4988" i="2"/>
  <c r="C4988" i="2"/>
  <c r="AA4987" i="2"/>
  <c r="Z4987" i="2"/>
  <c r="C4987" i="2"/>
  <c r="AA4986" i="2"/>
  <c r="Z4986" i="2"/>
  <c r="C4986" i="2"/>
  <c r="AA4985" i="2"/>
  <c r="Z4985" i="2"/>
  <c r="C4985" i="2"/>
  <c r="AA4984" i="2"/>
  <c r="Z4984" i="2"/>
  <c r="C4984" i="2"/>
  <c r="AA4983" i="2"/>
  <c r="Z4983" i="2"/>
  <c r="C4983" i="2"/>
  <c r="AA4982" i="2"/>
  <c r="Z4982" i="2"/>
  <c r="C4982" i="2"/>
  <c r="AA4981" i="2"/>
  <c r="Z4981" i="2"/>
  <c r="C4981" i="2"/>
  <c r="AA4980" i="2"/>
  <c r="Z4980" i="2"/>
  <c r="C4980" i="2"/>
  <c r="AA4979" i="2"/>
  <c r="Z4979" i="2"/>
  <c r="C4979" i="2"/>
  <c r="AA4978" i="2"/>
  <c r="Z4978" i="2"/>
  <c r="C4978" i="2"/>
  <c r="AA4977" i="2"/>
  <c r="Z4977" i="2"/>
  <c r="C4977" i="2"/>
  <c r="AA4976" i="2"/>
  <c r="Z4976" i="2"/>
  <c r="C4976" i="2"/>
  <c r="AA4975" i="2"/>
  <c r="Z4975" i="2"/>
  <c r="C4975" i="2"/>
  <c r="AA4974" i="2"/>
  <c r="Z4974" i="2"/>
  <c r="C4974" i="2"/>
  <c r="AA4973" i="2"/>
  <c r="Z4973" i="2"/>
  <c r="C4973" i="2"/>
  <c r="AA4972" i="2"/>
  <c r="Z4972" i="2"/>
  <c r="C4972" i="2"/>
  <c r="AA4971" i="2"/>
  <c r="Z4971" i="2"/>
  <c r="C4971" i="2"/>
  <c r="AA4970" i="2"/>
  <c r="Z4970" i="2"/>
  <c r="C4970" i="2"/>
  <c r="AA4969" i="2"/>
  <c r="Z4969" i="2"/>
  <c r="C4969" i="2"/>
  <c r="AA4968" i="2"/>
  <c r="Z4968" i="2"/>
  <c r="C4968" i="2"/>
  <c r="AA4967" i="2"/>
  <c r="Z4967" i="2"/>
  <c r="C4967" i="2"/>
  <c r="AA4966" i="2"/>
  <c r="Z4966" i="2"/>
  <c r="C4966" i="2"/>
  <c r="AA4965" i="2"/>
  <c r="Z4965" i="2"/>
  <c r="C4965" i="2"/>
  <c r="AA4964" i="2"/>
  <c r="Z4964" i="2"/>
  <c r="C4964" i="2"/>
  <c r="AA4963" i="2"/>
  <c r="Z4963" i="2"/>
  <c r="C4963" i="2"/>
  <c r="AA4962" i="2"/>
  <c r="Z4962" i="2"/>
  <c r="C4962" i="2"/>
  <c r="AA4961" i="2"/>
  <c r="Z4961" i="2"/>
  <c r="C4961" i="2"/>
  <c r="AA4960" i="2"/>
  <c r="Z4960" i="2"/>
  <c r="C4960" i="2"/>
  <c r="AA4959" i="2"/>
  <c r="Z4959" i="2"/>
  <c r="C4959" i="2"/>
  <c r="AA4958" i="2"/>
  <c r="Z4958" i="2"/>
  <c r="C4958" i="2"/>
  <c r="AA4957" i="2"/>
  <c r="Z4957" i="2"/>
  <c r="C4957" i="2"/>
  <c r="AA4956" i="2"/>
  <c r="Z4956" i="2"/>
  <c r="C4956" i="2"/>
  <c r="AA4955" i="2"/>
  <c r="Z4955" i="2"/>
  <c r="C4955" i="2"/>
  <c r="AA4954" i="2"/>
  <c r="Z4954" i="2"/>
  <c r="C4954" i="2"/>
  <c r="AA4953" i="2"/>
  <c r="Z4953" i="2"/>
  <c r="C4953" i="2"/>
  <c r="AA4952" i="2"/>
  <c r="Z4952" i="2"/>
  <c r="C4952" i="2"/>
  <c r="AA4951" i="2"/>
  <c r="Z4951" i="2"/>
  <c r="C4951" i="2"/>
  <c r="AA4950" i="2"/>
  <c r="Z4950" i="2"/>
  <c r="C4950" i="2"/>
  <c r="AA4949" i="2"/>
  <c r="Z4949" i="2"/>
  <c r="C4949" i="2"/>
  <c r="AA4948" i="2"/>
  <c r="Z4948" i="2"/>
  <c r="C4948" i="2"/>
  <c r="AA4947" i="2"/>
  <c r="Z4947" i="2"/>
  <c r="C4947" i="2"/>
  <c r="AA4946" i="2"/>
  <c r="Z4946" i="2"/>
  <c r="C4946" i="2"/>
  <c r="AA4945" i="2"/>
  <c r="Z4945" i="2"/>
  <c r="C4945" i="2"/>
  <c r="AA4944" i="2"/>
  <c r="Z4944" i="2"/>
  <c r="C4944" i="2"/>
  <c r="AA4943" i="2"/>
  <c r="Z4943" i="2"/>
  <c r="C4943" i="2"/>
  <c r="AA4942" i="2"/>
  <c r="Z4942" i="2"/>
  <c r="C4942" i="2"/>
  <c r="AA4941" i="2"/>
  <c r="Z4941" i="2"/>
  <c r="C4941" i="2"/>
  <c r="AA4940" i="2"/>
  <c r="Z4940" i="2"/>
  <c r="C4940" i="2"/>
  <c r="AA4939" i="2"/>
  <c r="Z4939" i="2"/>
  <c r="C4939" i="2"/>
  <c r="AA4938" i="2"/>
  <c r="Z4938" i="2"/>
  <c r="C4938" i="2"/>
  <c r="AA4937" i="2"/>
  <c r="Z4937" i="2"/>
  <c r="C4937" i="2"/>
  <c r="AA4936" i="2"/>
  <c r="Z4936" i="2"/>
  <c r="C4936" i="2"/>
  <c r="AA4935" i="2"/>
  <c r="Z4935" i="2"/>
  <c r="C4935" i="2"/>
  <c r="AA4934" i="2"/>
  <c r="Z4934" i="2"/>
  <c r="C4934" i="2"/>
  <c r="AA4933" i="2"/>
  <c r="Z4933" i="2"/>
  <c r="C4933" i="2"/>
  <c r="AA4932" i="2"/>
  <c r="Z4932" i="2"/>
  <c r="C4932" i="2"/>
  <c r="AA4931" i="2"/>
  <c r="Z4931" i="2"/>
  <c r="C4931" i="2"/>
  <c r="AA4930" i="2"/>
  <c r="Z4930" i="2"/>
  <c r="C4930" i="2"/>
  <c r="AA4929" i="2"/>
  <c r="Z4929" i="2"/>
  <c r="C4929" i="2"/>
  <c r="AA4928" i="2"/>
  <c r="Z4928" i="2"/>
  <c r="C4928" i="2"/>
  <c r="AA4927" i="2"/>
  <c r="Z4927" i="2"/>
  <c r="C4927" i="2"/>
  <c r="AA4926" i="2"/>
  <c r="Z4926" i="2"/>
  <c r="C4926" i="2"/>
  <c r="AA4925" i="2"/>
  <c r="Z4925" i="2"/>
  <c r="C4925" i="2"/>
  <c r="AA4924" i="2"/>
  <c r="Z4924" i="2"/>
  <c r="C4924" i="2"/>
  <c r="AA4923" i="2"/>
  <c r="Z4923" i="2"/>
  <c r="C4923" i="2"/>
  <c r="AA4922" i="2"/>
  <c r="Z4922" i="2"/>
  <c r="C4922" i="2"/>
  <c r="AA4921" i="2"/>
  <c r="Z4921" i="2"/>
  <c r="C4921" i="2"/>
  <c r="AA4920" i="2"/>
  <c r="Z4920" i="2"/>
  <c r="C4920" i="2"/>
  <c r="AA4919" i="2"/>
  <c r="Z4919" i="2"/>
  <c r="C4919" i="2"/>
  <c r="AA4918" i="2"/>
  <c r="Z4918" i="2"/>
  <c r="C4918" i="2"/>
  <c r="AA4917" i="2"/>
  <c r="Z4917" i="2"/>
  <c r="C4917" i="2"/>
  <c r="AA4916" i="2"/>
  <c r="Z4916" i="2"/>
  <c r="C4916" i="2"/>
  <c r="AA4915" i="2"/>
  <c r="Z4915" i="2"/>
  <c r="C4915" i="2"/>
  <c r="AA4914" i="2"/>
  <c r="Z4914" i="2"/>
  <c r="C4914" i="2"/>
  <c r="AA4913" i="2"/>
  <c r="Z4913" i="2"/>
  <c r="C4913" i="2"/>
  <c r="AA4912" i="2"/>
  <c r="Z4912" i="2"/>
  <c r="C4912" i="2"/>
  <c r="AA4911" i="2"/>
  <c r="Z4911" i="2"/>
  <c r="C4911" i="2"/>
  <c r="AA4910" i="2"/>
  <c r="Z4910" i="2"/>
  <c r="C4910" i="2"/>
  <c r="AA4909" i="2"/>
  <c r="Z4909" i="2"/>
  <c r="C4909" i="2"/>
  <c r="AA4908" i="2"/>
  <c r="Z4908" i="2"/>
  <c r="C4908" i="2"/>
  <c r="AA4907" i="2"/>
  <c r="Z4907" i="2"/>
  <c r="C4907" i="2"/>
  <c r="AA4906" i="2"/>
  <c r="Z4906" i="2"/>
  <c r="C4906" i="2"/>
  <c r="AA4905" i="2"/>
  <c r="Z4905" i="2"/>
  <c r="C4905" i="2"/>
  <c r="AA4904" i="2"/>
  <c r="Z4904" i="2"/>
  <c r="C4904" i="2"/>
  <c r="AA4903" i="2"/>
  <c r="Z4903" i="2"/>
  <c r="C4903" i="2"/>
  <c r="AA4902" i="2"/>
  <c r="Z4902" i="2"/>
  <c r="C4902" i="2"/>
  <c r="AA4901" i="2"/>
  <c r="Z4901" i="2"/>
  <c r="C4901" i="2"/>
  <c r="AA4900" i="2"/>
  <c r="Z4900" i="2"/>
  <c r="C4900" i="2"/>
  <c r="AA4899" i="2"/>
  <c r="Z4899" i="2"/>
  <c r="C4899" i="2"/>
  <c r="AA4898" i="2"/>
  <c r="Z4898" i="2"/>
  <c r="C4898" i="2"/>
  <c r="AA4897" i="2"/>
  <c r="Z4897" i="2"/>
  <c r="C4897" i="2"/>
  <c r="AA4896" i="2"/>
  <c r="Z4896" i="2"/>
  <c r="C4896" i="2"/>
  <c r="AA4895" i="2"/>
  <c r="Z4895" i="2"/>
  <c r="C4895" i="2"/>
  <c r="AA4894" i="2"/>
  <c r="Z4894" i="2"/>
  <c r="C4894" i="2"/>
  <c r="AA4893" i="2"/>
  <c r="Z4893" i="2"/>
  <c r="C4893" i="2"/>
  <c r="AA4892" i="2"/>
  <c r="Z4892" i="2"/>
  <c r="C4892" i="2"/>
  <c r="AA4891" i="2"/>
  <c r="Z4891" i="2"/>
  <c r="C4891" i="2"/>
  <c r="AA4890" i="2"/>
  <c r="Z4890" i="2"/>
  <c r="C4890" i="2"/>
  <c r="AA4889" i="2"/>
  <c r="Z4889" i="2"/>
  <c r="C4889" i="2"/>
  <c r="AA4888" i="2"/>
  <c r="Z4888" i="2"/>
  <c r="C4888" i="2"/>
  <c r="AA4887" i="2"/>
  <c r="Z4887" i="2"/>
  <c r="C4887" i="2"/>
  <c r="AA4886" i="2"/>
  <c r="Z4886" i="2"/>
  <c r="C4886" i="2"/>
  <c r="AA4885" i="2"/>
  <c r="Z4885" i="2"/>
  <c r="C4885" i="2"/>
  <c r="AA4884" i="2"/>
  <c r="Z4884" i="2"/>
  <c r="C4884" i="2"/>
  <c r="AA4883" i="2"/>
  <c r="Z4883" i="2"/>
  <c r="C4883" i="2"/>
  <c r="AA4882" i="2"/>
  <c r="Z4882" i="2"/>
  <c r="C4882" i="2"/>
  <c r="AA4881" i="2"/>
  <c r="Z4881" i="2"/>
  <c r="C4881" i="2"/>
  <c r="AA4880" i="2"/>
  <c r="Z4880" i="2"/>
  <c r="C4880" i="2"/>
  <c r="AA4879" i="2"/>
  <c r="Z4879" i="2"/>
  <c r="C4879" i="2"/>
  <c r="AA4878" i="2"/>
  <c r="Z4878" i="2"/>
  <c r="C4878" i="2"/>
  <c r="AA4877" i="2"/>
  <c r="Z4877" i="2"/>
  <c r="C4877" i="2"/>
  <c r="AA4876" i="2"/>
  <c r="Z4876" i="2"/>
  <c r="C4876" i="2"/>
  <c r="AA4875" i="2"/>
  <c r="Z4875" i="2"/>
  <c r="C4875" i="2"/>
  <c r="AA4874" i="2"/>
  <c r="Z4874" i="2"/>
  <c r="C4874" i="2"/>
  <c r="AA4873" i="2"/>
  <c r="Z4873" i="2"/>
  <c r="C4873" i="2"/>
  <c r="AA4872" i="2"/>
  <c r="Z4872" i="2"/>
  <c r="C4872" i="2"/>
  <c r="AA4871" i="2"/>
  <c r="Z4871" i="2"/>
  <c r="C4871" i="2"/>
  <c r="AA4870" i="2"/>
  <c r="Z4870" i="2"/>
  <c r="C4870" i="2"/>
  <c r="AA4869" i="2"/>
  <c r="Z4869" i="2"/>
  <c r="C4869" i="2"/>
  <c r="AA4868" i="2"/>
  <c r="Z4868" i="2"/>
  <c r="C4868" i="2"/>
  <c r="AA4867" i="2"/>
  <c r="Z4867" i="2"/>
  <c r="C4867" i="2"/>
  <c r="AA4866" i="2"/>
  <c r="Z4866" i="2"/>
  <c r="C4866" i="2"/>
  <c r="AA4865" i="2"/>
  <c r="Z4865" i="2"/>
  <c r="C4865" i="2"/>
  <c r="AA4864" i="2"/>
  <c r="Z4864" i="2"/>
  <c r="C4864" i="2"/>
  <c r="AA4863" i="2"/>
  <c r="Z4863" i="2"/>
  <c r="C4863" i="2"/>
  <c r="AA4862" i="2"/>
  <c r="Z4862" i="2"/>
  <c r="C4862" i="2"/>
  <c r="AA4861" i="2"/>
  <c r="Z4861" i="2"/>
  <c r="C4861" i="2"/>
  <c r="AA4860" i="2"/>
  <c r="Z4860" i="2"/>
  <c r="C4860" i="2"/>
  <c r="AA4859" i="2"/>
  <c r="Z4859" i="2"/>
  <c r="C4859" i="2"/>
  <c r="AA4858" i="2"/>
  <c r="Z4858" i="2"/>
  <c r="C4858" i="2"/>
  <c r="AA4857" i="2"/>
  <c r="Z4857" i="2"/>
  <c r="C4857" i="2"/>
  <c r="AA4856" i="2"/>
  <c r="Z4856" i="2"/>
  <c r="C4856" i="2"/>
  <c r="AA4855" i="2"/>
  <c r="Z4855" i="2"/>
  <c r="C4855" i="2"/>
  <c r="AA4854" i="2"/>
  <c r="Z4854" i="2"/>
  <c r="C4854" i="2"/>
  <c r="AA4853" i="2"/>
  <c r="Z4853" i="2"/>
  <c r="C4853" i="2"/>
  <c r="AA4852" i="2"/>
  <c r="Z4852" i="2"/>
  <c r="C4852" i="2"/>
  <c r="AA4851" i="2"/>
  <c r="Z4851" i="2"/>
  <c r="C4851" i="2"/>
  <c r="AA4850" i="2"/>
  <c r="Z4850" i="2"/>
  <c r="C4850" i="2"/>
  <c r="AA4849" i="2"/>
  <c r="Z4849" i="2"/>
  <c r="C4849" i="2"/>
  <c r="AA4848" i="2"/>
  <c r="Z4848" i="2"/>
  <c r="C4848" i="2"/>
  <c r="AA4847" i="2"/>
  <c r="Z4847" i="2"/>
  <c r="C4847" i="2"/>
  <c r="AA4846" i="2"/>
  <c r="Z4846" i="2"/>
  <c r="C4846" i="2"/>
  <c r="AA4845" i="2"/>
  <c r="Z4845" i="2"/>
  <c r="C4845" i="2"/>
  <c r="AA4844" i="2"/>
  <c r="Z4844" i="2"/>
  <c r="C4844" i="2"/>
  <c r="AA4843" i="2"/>
  <c r="Z4843" i="2"/>
  <c r="C4843" i="2"/>
  <c r="AA4842" i="2"/>
  <c r="Z4842" i="2"/>
  <c r="C4842" i="2"/>
  <c r="AA4841" i="2"/>
  <c r="Z4841" i="2"/>
  <c r="C4841" i="2"/>
  <c r="AA4840" i="2"/>
  <c r="Z4840" i="2"/>
  <c r="C4840" i="2"/>
  <c r="AA4839" i="2"/>
  <c r="Z4839" i="2"/>
  <c r="C4839" i="2"/>
  <c r="AA4838" i="2"/>
  <c r="Z4838" i="2"/>
  <c r="C4838" i="2"/>
  <c r="AA4837" i="2"/>
  <c r="Z4837" i="2"/>
  <c r="C4837" i="2"/>
  <c r="AA4836" i="2"/>
  <c r="Z4836" i="2"/>
  <c r="C4836" i="2"/>
  <c r="AA4835" i="2"/>
  <c r="Z4835" i="2"/>
  <c r="C4835" i="2"/>
  <c r="AA4834" i="2"/>
  <c r="Z4834" i="2"/>
  <c r="C4834" i="2"/>
  <c r="AA4833" i="2"/>
  <c r="Z4833" i="2"/>
  <c r="C4833" i="2"/>
  <c r="AA4832" i="2"/>
  <c r="Z4832" i="2"/>
  <c r="C4832" i="2"/>
  <c r="AA4831" i="2"/>
  <c r="Z4831" i="2"/>
  <c r="C4831" i="2"/>
  <c r="AA4830" i="2"/>
  <c r="Z4830" i="2"/>
  <c r="C4830" i="2"/>
  <c r="AA4829" i="2"/>
  <c r="Z4829" i="2"/>
  <c r="C4829" i="2"/>
  <c r="AA4828" i="2"/>
  <c r="Z4828" i="2"/>
  <c r="C4828" i="2"/>
  <c r="AA4827" i="2"/>
  <c r="Z4827" i="2"/>
  <c r="C4827" i="2"/>
  <c r="AA4826" i="2"/>
  <c r="Z4826" i="2"/>
  <c r="C4826" i="2"/>
  <c r="AA4825" i="2"/>
  <c r="Z4825" i="2"/>
  <c r="C4825" i="2"/>
  <c r="AA4824" i="2"/>
  <c r="Z4824" i="2"/>
  <c r="C4824" i="2"/>
  <c r="AA4823" i="2"/>
  <c r="Z4823" i="2"/>
  <c r="C4823" i="2"/>
  <c r="AA4822" i="2"/>
  <c r="Z4822" i="2"/>
  <c r="C4822" i="2"/>
  <c r="AA4821" i="2"/>
  <c r="Z4821" i="2"/>
  <c r="C4821" i="2"/>
  <c r="AA4820" i="2"/>
  <c r="Z4820" i="2"/>
  <c r="C4820" i="2"/>
  <c r="AA4819" i="2"/>
  <c r="Z4819" i="2"/>
  <c r="C4819" i="2"/>
  <c r="AA4818" i="2"/>
  <c r="Z4818" i="2"/>
  <c r="C4818" i="2"/>
  <c r="AA4817" i="2"/>
  <c r="Z4817" i="2"/>
  <c r="C4817" i="2"/>
  <c r="AA4816" i="2"/>
  <c r="Z4816" i="2"/>
  <c r="C4816" i="2"/>
  <c r="AA4815" i="2"/>
  <c r="Z4815" i="2"/>
  <c r="C4815" i="2"/>
  <c r="AA4814" i="2"/>
  <c r="Z4814" i="2"/>
  <c r="C4814" i="2"/>
  <c r="AA4813" i="2"/>
  <c r="Z4813" i="2"/>
  <c r="C4813" i="2"/>
  <c r="AA4812" i="2"/>
  <c r="Z4812" i="2"/>
  <c r="C4812" i="2"/>
  <c r="AA4811" i="2"/>
  <c r="Z4811" i="2"/>
  <c r="C4811" i="2"/>
  <c r="AA4810" i="2"/>
  <c r="Z4810" i="2"/>
  <c r="C4810" i="2"/>
  <c r="AA4809" i="2"/>
  <c r="Z4809" i="2"/>
  <c r="C4809" i="2"/>
  <c r="AA4808" i="2"/>
  <c r="Z4808" i="2"/>
  <c r="C4808" i="2"/>
  <c r="AA4807" i="2"/>
  <c r="Z4807" i="2"/>
  <c r="C4807" i="2"/>
  <c r="AA4806" i="2"/>
  <c r="Z4806" i="2"/>
  <c r="C4806" i="2"/>
  <c r="AA4805" i="2"/>
  <c r="Z4805" i="2"/>
  <c r="C4805" i="2"/>
  <c r="AA4804" i="2"/>
  <c r="Z4804" i="2"/>
  <c r="C4804" i="2"/>
  <c r="AA4803" i="2"/>
  <c r="Z4803" i="2"/>
  <c r="C4803" i="2"/>
  <c r="AA4802" i="2"/>
  <c r="Z4802" i="2"/>
  <c r="C4802" i="2"/>
  <c r="AA4801" i="2"/>
  <c r="Z4801" i="2"/>
  <c r="C4801" i="2"/>
  <c r="AA4800" i="2"/>
  <c r="Z4800" i="2"/>
  <c r="C4800" i="2"/>
  <c r="AA4799" i="2"/>
  <c r="Z4799" i="2"/>
  <c r="C4799" i="2"/>
  <c r="AA4798" i="2"/>
  <c r="Z4798" i="2"/>
  <c r="C4798" i="2"/>
  <c r="AA4797" i="2"/>
  <c r="Z4797" i="2"/>
  <c r="C4797" i="2"/>
  <c r="AA4796" i="2"/>
  <c r="Z4796" i="2"/>
  <c r="C4796" i="2"/>
  <c r="AA4795" i="2"/>
  <c r="Z4795" i="2"/>
  <c r="C4795" i="2"/>
  <c r="AA4794" i="2"/>
  <c r="Z4794" i="2"/>
  <c r="C4794" i="2"/>
  <c r="AA4793" i="2"/>
  <c r="Z4793" i="2"/>
  <c r="C4793" i="2"/>
  <c r="AA4792" i="2"/>
  <c r="Z4792" i="2"/>
  <c r="C4792" i="2"/>
  <c r="AA4791" i="2"/>
  <c r="Z4791" i="2"/>
  <c r="C4791" i="2"/>
  <c r="AA4790" i="2"/>
  <c r="Z4790" i="2"/>
  <c r="C4790" i="2"/>
  <c r="AA4789" i="2"/>
  <c r="Z4789" i="2"/>
  <c r="C4789" i="2"/>
  <c r="AA4788" i="2"/>
  <c r="Z4788" i="2"/>
  <c r="C4788" i="2"/>
  <c r="AA4787" i="2"/>
  <c r="Z4787" i="2"/>
  <c r="C4787" i="2"/>
  <c r="AA4786" i="2"/>
  <c r="Z4786" i="2"/>
  <c r="C4786" i="2"/>
  <c r="AA4785" i="2"/>
  <c r="Z4785" i="2"/>
  <c r="C4785" i="2"/>
  <c r="AA4784" i="2"/>
  <c r="Z4784" i="2"/>
  <c r="C4784" i="2"/>
  <c r="AA4783" i="2"/>
  <c r="Z4783" i="2"/>
  <c r="C4783" i="2"/>
  <c r="AA4782" i="2"/>
  <c r="Z4782" i="2"/>
  <c r="C4782" i="2"/>
  <c r="AA4781" i="2"/>
  <c r="Z4781" i="2"/>
  <c r="C4781" i="2"/>
  <c r="AA4780" i="2"/>
  <c r="Z4780" i="2"/>
  <c r="C4780" i="2"/>
  <c r="AA4779" i="2"/>
  <c r="Z4779" i="2"/>
  <c r="C4779" i="2"/>
  <c r="AA4778" i="2"/>
  <c r="Z4778" i="2"/>
  <c r="C4778" i="2"/>
  <c r="AA4777" i="2"/>
  <c r="Z4777" i="2"/>
  <c r="C4777" i="2"/>
  <c r="AA4776" i="2"/>
  <c r="Z4776" i="2"/>
  <c r="C4776" i="2"/>
  <c r="AA4775" i="2"/>
  <c r="Z4775" i="2"/>
  <c r="C4775" i="2"/>
  <c r="AA4774" i="2"/>
  <c r="Z4774" i="2"/>
  <c r="C4774" i="2"/>
  <c r="AA4773" i="2"/>
  <c r="Z4773" i="2"/>
  <c r="C4773" i="2"/>
  <c r="AA4772" i="2"/>
  <c r="Z4772" i="2"/>
  <c r="C4772" i="2"/>
  <c r="AA4771" i="2"/>
  <c r="Z4771" i="2"/>
  <c r="C4771" i="2"/>
  <c r="AA4770" i="2"/>
  <c r="Z4770" i="2"/>
  <c r="C4770" i="2"/>
  <c r="AA4769" i="2"/>
  <c r="Z4769" i="2"/>
  <c r="C4769" i="2"/>
  <c r="AA4768" i="2"/>
  <c r="Z4768" i="2"/>
  <c r="C4768" i="2"/>
  <c r="AA4767" i="2"/>
  <c r="Z4767" i="2"/>
  <c r="C4767" i="2"/>
  <c r="AA4766" i="2"/>
  <c r="Z4766" i="2"/>
  <c r="C4766" i="2"/>
  <c r="AA4765" i="2"/>
  <c r="Z4765" i="2"/>
  <c r="C4765" i="2"/>
  <c r="AA4764" i="2"/>
  <c r="Z4764" i="2"/>
  <c r="C4764" i="2"/>
  <c r="AA4763" i="2"/>
  <c r="Z4763" i="2"/>
  <c r="C4763" i="2"/>
  <c r="AA4762" i="2"/>
  <c r="Z4762" i="2"/>
  <c r="C4762" i="2"/>
  <c r="AA4761" i="2"/>
  <c r="Z4761" i="2"/>
  <c r="C4761" i="2"/>
  <c r="AA4760" i="2"/>
  <c r="Z4760" i="2"/>
  <c r="C4760" i="2"/>
  <c r="AA4759" i="2"/>
  <c r="Z4759" i="2"/>
  <c r="C4759" i="2"/>
  <c r="AA4758" i="2"/>
  <c r="Z4758" i="2"/>
  <c r="C4758" i="2"/>
  <c r="AA4757" i="2"/>
  <c r="Z4757" i="2"/>
  <c r="C4757" i="2"/>
  <c r="AA4756" i="2"/>
  <c r="Z4756" i="2"/>
  <c r="C4756" i="2"/>
  <c r="AA4755" i="2"/>
  <c r="Z4755" i="2"/>
  <c r="C4755" i="2"/>
  <c r="AA4754" i="2"/>
  <c r="Z4754" i="2"/>
  <c r="C4754" i="2"/>
  <c r="AA4753" i="2"/>
  <c r="Z4753" i="2"/>
  <c r="C4753" i="2"/>
  <c r="AA4752" i="2"/>
  <c r="Z4752" i="2"/>
  <c r="C4752" i="2"/>
  <c r="AA4751" i="2"/>
  <c r="Z4751" i="2"/>
  <c r="C4751" i="2"/>
  <c r="AA4750" i="2"/>
  <c r="Z4750" i="2"/>
  <c r="C4750" i="2"/>
  <c r="AA4749" i="2"/>
  <c r="Z4749" i="2"/>
  <c r="C4749" i="2"/>
  <c r="AA4748" i="2"/>
  <c r="Z4748" i="2"/>
  <c r="C4748" i="2"/>
  <c r="AA4747" i="2"/>
  <c r="Z4747" i="2"/>
  <c r="C4747" i="2"/>
  <c r="AA4746" i="2"/>
  <c r="Z4746" i="2"/>
  <c r="C4746" i="2"/>
  <c r="AA4745" i="2"/>
  <c r="Z4745" i="2"/>
  <c r="C4745" i="2"/>
  <c r="AA4744" i="2"/>
  <c r="Z4744" i="2"/>
  <c r="C4744" i="2"/>
  <c r="AA4743" i="2"/>
  <c r="Z4743" i="2"/>
  <c r="C4743" i="2"/>
  <c r="AA4742" i="2"/>
  <c r="Z4742" i="2"/>
  <c r="C4742" i="2"/>
  <c r="AA4741" i="2"/>
  <c r="Z4741" i="2"/>
  <c r="C4741" i="2"/>
  <c r="AA4740" i="2"/>
  <c r="Z4740" i="2"/>
  <c r="C4740" i="2"/>
  <c r="AA4739" i="2"/>
  <c r="Z4739" i="2"/>
  <c r="C4739" i="2"/>
  <c r="AA4738" i="2"/>
  <c r="Z4738" i="2"/>
  <c r="C4738" i="2"/>
  <c r="AA4737" i="2"/>
  <c r="Z4737" i="2"/>
  <c r="C4737" i="2"/>
  <c r="AA4736" i="2"/>
  <c r="Z4736" i="2"/>
  <c r="C4736" i="2"/>
  <c r="AA4735" i="2"/>
  <c r="Z4735" i="2"/>
  <c r="C4735" i="2"/>
  <c r="AA4734" i="2"/>
  <c r="Z4734" i="2"/>
  <c r="C4734" i="2"/>
  <c r="AA4733" i="2"/>
  <c r="Z4733" i="2"/>
  <c r="C4733" i="2"/>
  <c r="AA4732" i="2"/>
  <c r="Z4732" i="2"/>
  <c r="C4732" i="2"/>
  <c r="AA4731" i="2"/>
  <c r="Z4731" i="2"/>
  <c r="C4731" i="2"/>
  <c r="AA4730" i="2"/>
  <c r="Z4730" i="2"/>
  <c r="C4730" i="2"/>
  <c r="AA4729" i="2"/>
  <c r="Z4729" i="2"/>
  <c r="C4729" i="2"/>
  <c r="AA4728" i="2"/>
  <c r="Z4728" i="2"/>
  <c r="C4728" i="2"/>
  <c r="AA4727" i="2"/>
  <c r="Z4727" i="2"/>
  <c r="C4727" i="2"/>
  <c r="AA4726" i="2"/>
  <c r="Z4726" i="2"/>
  <c r="C4726" i="2"/>
  <c r="AA4725" i="2"/>
  <c r="Z4725" i="2"/>
  <c r="C4725" i="2"/>
  <c r="AA4724" i="2"/>
  <c r="Z4724" i="2"/>
  <c r="C4724" i="2"/>
  <c r="AA4723" i="2"/>
  <c r="Z4723" i="2"/>
  <c r="C4723" i="2"/>
  <c r="AA4722" i="2"/>
  <c r="Z4722" i="2"/>
  <c r="C4722" i="2"/>
  <c r="AA4721" i="2"/>
  <c r="Z4721" i="2"/>
  <c r="C4721" i="2"/>
  <c r="AA4720" i="2"/>
  <c r="Z4720" i="2"/>
  <c r="C4720" i="2"/>
  <c r="AA4719" i="2"/>
  <c r="Z4719" i="2"/>
  <c r="C4719" i="2"/>
  <c r="AA4718" i="2"/>
  <c r="Z4718" i="2"/>
  <c r="C4718" i="2"/>
  <c r="AA4717" i="2"/>
  <c r="Z4717" i="2"/>
  <c r="C4717" i="2"/>
  <c r="AA4716" i="2"/>
  <c r="Z4716" i="2"/>
  <c r="C4716" i="2"/>
  <c r="AA4715" i="2"/>
  <c r="Z4715" i="2"/>
  <c r="C4715" i="2"/>
  <c r="AA4714" i="2"/>
  <c r="Z4714" i="2"/>
  <c r="C4714" i="2"/>
  <c r="AA4713" i="2"/>
  <c r="Z4713" i="2"/>
  <c r="C4713" i="2"/>
  <c r="AA4712" i="2"/>
  <c r="Z4712" i="2"/>
  <c r="C4712" i="2"/>
  <c r="AA4711" i="2"/>
  <c r="Z4711" i="2"/>
  <c r="C4711" i="2"/>
  <c r="AA4710" i="2"/>
  <c r="Z4710" i="2"/>
  <c r="C4710" i="2"/>
  <c r="AA4709" i="2"/>
  <c r="Z4709" i="2"/>
  <c r="C4709" i="2"/>
  <c r="AA4708" i="2"/>
  <c r="Z4708" i="2"/>
  <c r="C4708" i="2"/>
  <c r="AA4707" i="2"/>
  <c r="Z4707" i="2"/>
  <c r="C4707" i="2"/>
  <c r="AA4706" i="2"/>
  <c r="Z4706" i="2"/>
  <c r="C4706" i="2"/>
  <c r="AA4705" i="2"/>
  <c r="Z4705" i="2"/>
  <c r="C4705" i="2"/>
  <c r="AA4704" i="2"/>
  <c r="Z4704" i="2"/>
  <c r="C4704" i="2"/>
  <c r="AA4703" i="2"/>
  <c r="Z4703" i="2"/>
  <c r="C4703" i="2"/>
  <c r="AA4702" i="2"/>
  <c r="Z4702" i="2"/>
  <c r="C4702" i="2"/>
  <c r="AA4701" i="2"/>
  <c r="Z4701" i="2"/>
  <c r="C4701" i="2"/>
  <c r="AA4700" i="2"/>
  <c r="Z4700" i="2"/>
  <c r="C4700" i="2"/>
  <c r="AA4699" i="2"/>
  <c r="Z4699" i="2"/>
  <c r="C4699" i="2"/>
  <c r="AA4698" i="2"/>
  <c r="Z4698" i="2"/>
  <c r="C4698" i="2"/>
  <c r="AA4697" i="2"/>
  <c r="Z4697" i="2"/>
  <c r="C4697" i="2"/>
  <c r="AA4696" i="2"/>
  <c r="Z4696" i="2"/>
  <c r="C4696" i="2"/>
  <c r="AA4695" i="2"/>
  <c r="Z4695" i="2"/>
  <c r="C4695" i="2"/>
  <c r="AA4694" i="2"/>
  <c r="Z4694" i="2"/>
  <c r="C4694" i="2"/>
  <c r="AA4693" i="2"/>
  <c r="Z4693" i="2"/>
  <c r="C4693" i="2"/>
  <c r="AA4692" i="2"/>
  <c r="Z4692" i="2"/>
  <c r="C4692" i="2"/>
  <c r="AA4691" i="2"/>
  <c r="Z4691" i="2"/>
  <c r="C4691" i="2"/>
  <c r="AA4690" i="2"/>
  <c r="Z4690" i="2"/>
  <c r="C4690" i="2"/>
  <c r="AA4689" i="2"/>
  <c r="Z4689" i="2"/>
  <c r="C4689" i="2"/>
  <c r="AA4688" i="2"/>
  <c r="Z4688" i="2"/>
  <c r="C4688" i="2"/>
  <c r="AA4687" i="2"/>
  <c r="Z4687" i="2"/>
  <c r="C4687" i="2"/>
  <c r="AA4686" i="2"/>
  <c r="Z4686" i="2"/>
  <c r="C4686" i="2"/>
  <c r="AA4685" i="2"/>
  <c r="Z4685" i="2"/>
  <c r="C4685" i="2"/>
  <c r="AA4684" i="2"/>
  <c r="Z4684" i="2"/>
  <c r="C4684" i="2"/>
  <c r="AA4683" i="2"/>
  <c r="Z4683" i="2"/>
  <c r="C4683" i="2"/>
  <c r="AA4682" i="2"/>
  <c r="Z4682" i="2"/>
  <c r="C4682" i="2"/>
  <c r="AA4681" i="2"/>
  <c r="Z4681" i="2"/>
  <c r="C4681" i="2"/>
  <c r="AA4680" i="2"/>
  <c r="Z4680" i="2"/>
  <c r="C4680" i="2"/>
  <c r="AA4679" i="2"/>
  <c r="Z4679" i="2"/>
  <c r="C4679" i="2"/>
  <c r="AA4678" i="2"/>
  <c r="Z4678" i="2"/>
  <c r="C4678" i="2"/>
  <c r="AA4677" i="2"/>
  <c r="Z4677" i="2"/>
  <c r="C4677" i="2"/>
  <c r="AA4676" i="2"/>
  <c r="Z4676" i="2"/>
  <c r="C4676" i="2"/>
  <c r="AA4675" i="2"/>
  <c r="Z4675" i="2"/>
  <c r="C4675" i="2"/>
  <c r="AA4674" i="2"/>
  <c r="Z4674" i="2"/>
  <c r="C4674" i="2"/>
  <c r="AA4673" i="2"/>
  <c r="Z4673" i="2"/>
  <c r="C4673" i="2"/>
  <c r="AA4672" i="2"/>
  <c r="Z4672" i="2"/>
  <c r="C4672" i="2"/>
  <c r="AA4671" i="2"/>
  <c r="Z4671" i="2"/>
  <c r="C4671" i="2"/>
  <c r="AA4670" i="2"/>
  <c r="Z4670" i="2"/>
  <c r="C4670" i="2"/>
  <c r="AA4669" i="2"/>
  <c r="Z4669" i="2"/>
  <c r="C4669" i="2"/>
  <c r="AA4668" i="2"/>
  <c r="Z4668" i="2"/>
  <c r="C4668" i="2"/>
  <c r="AA4667" i="2"/>
  <c r="Z4667" i="2"/>
  <c r="C4667" i="2"/>
  <c r="AA4666" i="2"/>
  <c r="Z4666" i="2"/>
  <c r="C4666" i="2"/>
  <c r="AA4665" i="2"/>
  <c r="Z4665" i="2"/>
  <c r="C4665" i="2"/>
  <c r="AA4664" i="2"/>
  <c r="Z4664" i="2"/>
  <c r="C4664" i="2"/>
  <c r="AA4663" i="2"/>
  <c r="Z4663" i="2"/>
  <c r="C4663" i="2"/>
  <c r="AA4662" i="2"/>
  <c r="Z4662" i="2"/>
  <c r="C4662" i="2"/>
  <c r="AA4661" i="2"/>
  <c r="Z4661" i="2"/>
  <c r="C4661" i="2"/>
  <c r="AA4660" i="2"/>
  <c r="Z4660" i="2"/>
  <c r="C4660" i="2"/>
  <c r="AA4659" i="2"/>
  <c r="Z4659" i="2"/>
  <c r="C4659" i="2"/>
  <c r="AA4658" i="2"/>
  <c r="Z4658" i="2"/>
  <c r="C4658" i="2"/>
  <c r="AA4657" i="2"/>
  <c r="Z4657" i="2"/>
  <c r="C4657" i="2"/>
  <c r="AA4656" i="2"/>
  <c r="Z4656" i="2"/>
  <c r="C4656" i="2"/>
  <c r="AA4655" i="2"/>
  <c r="Z4655" i="2"/>
  <c r="C4655" i="2"/>
  <c r="AA4654" i="2"/>
  <c r="Z4654" i="2"/>
  <c r="C4654" i="2"/>
  <c r="AA4653" i="2"/>
  <c r="Z4653" i="2"/>
  <c r="C4653" i="2"/>
  <c r="AA4652" i="2"/>
  <c r="Z4652" i="2"/>
  <c r="C4652" i="2"/>
  <c r="AA4651" i="2"/>
  <c r="Z4651" i="2"/>
  <c r="C4651" i="2"/>
  <c r="AA4650" i="2"/>
  <c r="Z4650" i="2"/>
  <c r="C4650" i="2"/>
  <c r="AA4649" i="2"/>
  <c r="Z4649" i="2"/>
  <c r="C4649" i="2"/>
  <c r="AA4648" i="2"/>
  <c r="Z4648" i="2"/>
  <c r="C4648" i="2"/>
  <c r="AA4647" i="2"/>
  <c r="Z4647" i="2"/>
  <c r="C4647" i="2"/>
  <c r="AA4646" i="2"/>
  <c r="Z4646" i="2"/>
  <c r="C4646" i="2"/>
  <c r="AA4645" i="2"/>
  <c r="Z4645" i="2"/>
  <c r="C4645" i="2"/>
  <c r="AA4644" i="2"/>
  <c r="Z4644" i="2"/>
  <c r="C4644" i="2"/>
  <c r="AA4643" i="2"/>
  <c r="Z4643" i="2"/>
  <c r="C4643" i="2"/>
  <c r="AA4642" i="2"/>
  <c r="Z4642" i="2"/>
  <c r="C4642" i="2"/>
  <c r="AA4641" i="2"/>
  <c r="Z4641" i="2"/>
  <c r="C4641" i="2"/>
  <c r="AA4640" i="2"/>
  <c r="Z4640" i="2"/>
  <c r="C4640" i="2"/>
  <c r="AA4639" i="2"/>
  <c r="Z4639" i="2"/>
  <c r="C4639" i="2"/>
  <c r="AA4638" i="2"/>
  <c r="Z4638" i="2"/>
  <c r="C4638" i="2"/>
  <c r="AA4637" i="2"/>
  <c r="Z4637" i="2"/>
  <c r="C4637" i="2"/>
  <c r="AA4636" i="2"/>
  <c r="Z4636" i="2"/>
  <c r="C4636" i="2"/>
  <c r="AA4635" i="2"/>
  <c r="Z4635" i="2"/>
  <c r="C4635" i="2"/>
  <c r="AA4634" i="2"/>
  <c r="Z4634" i="2"/>
  <c r="C4634" i="2"/>
  <c r="AA4633" i="2"/>
  <c r="Z4633" i="2"/>
  <c r="C4633" i="2"/>
  <c r="AA4632" i="2"/>
  <c r="Z4632" i="2"/>
  <c r="C4632" i="2"/>
  <c r="AA4631" i="2"/>
  <c r="Z4631" i="2"/>
  <c r="C4631" i="2"/>
  <c r="AA4630" i="2"/>
  <c r="Z4630" i="2"/>
  <c r="C4630" i="2"/>
  <c r="AA4629" i="2"/>
  <c r="Z4629" i="2"/>
  <c r="C4629" i="2"/>
  <c r="AA4628" i="2"/>
  <c r="Z4628" i="2"/>
  <c r="C4628" i="2"/>
  <c r="AA4627" i="2"/>
  <c r="Z4627" i="2"/>
  <c r="C4627" i="2"/>
  <c r="AA4626" i="2"/>
  <c r="Z4626" i="2"/>
  <c r="C4626" i="2"/>
  <c r="AA4625" i="2"/>
  <c r="Z4625" i="2"/>
  <c r="C4625" i="2"/>
  <c r="AA4624" i="2"/>
  <c r="Z4624" i="2"/>
  <c r="C4624" i="2"/>
  <c r="AA4623" i="2"/>
  <c r="Z4623" i="2"/>
  <c r="C4623" i="2"/>
  <c r="AA4622" i="2"/>
  <c r="Z4622" i="2"/>
  <c r="C4622" i="2"/>
  <c r="AA4621" i="2"/>
  <c r="Z4621" i="2"/>
  <c r="C4621" i="2"/>
  <c r="AA4620" i="2"/>
  <c r="Z4620" i="2"/>
  <c r="C4620" i="2"/>
  <c r="AA4619" i="2"/>
  <c r="Z4619" i="2"/>
  <c r="C4619" i="2"/>
  <c r="AA4618" i="2"/>
  <c r="Z4618" i="2"/>
  <c r="C4618" i="2"/>
  <c r="AA4617" i="2"/>
  <c r="Z4617" i="2"/>
  <c r="C4617" i="2"/>
  <c r="AA4616" i="2"/>
  <c r="Z4616" i="2"/>
  <c r="C4616" i="2"/>
  <c r="AA4615" i="2"/>
  <c r="Z4615" i="2"/>
  <c r="C4615" i="2"/>
  <c r="AA4614" i="2"/>
  <c r="Z4614" i="2"/>
  <c r="C4614" i="2"/>
  <c r="AA4613" i="2"/>
  <c r="Z4613" i="2"/>
  <c r="C4613" i="2"/>
  <c r="AA4612" i="2"/>
  <c r="Z4612" i="2"/>
  <c r="C4612" i="2"/>
  <c r="AA4611" i="2"/>
  <c r="Z4611" i="2"/>
  <c r="C4611" i="2"/>
  <c r="AA4610" i="2"/>
  <c r="Z4610" i="2"/>
  <c r="C4610" i="2"/>
  <c r="AA4609" i="2"/>
  <c r="Z4609" i="2"/>
  <c r="C4609" i="2"/>
  <c r="AA4608" i="2"/>
  <c r="Z4608" i="2"/>
  <c r="C4608" i="2"/>
  <c r="AA4607" i="2"/>
  <c r="Z4607" i="2"/>
  <c r="C4607" i="2"/>
  <c r="AA4606" i="2"/>
  <c r="Z4606" i="2"/>
  <c r="C4606" i="2"/>
  <c r="AA4605" i="2"/>
  <c r="Z4605" i="2"/>
  <c r="C4605" i="2"/>
  <c r="AA4604" i="2"/>
  <c r="Z4604" i="2"/>
  <c r="C4604" i="2"/>
  <c r="AA4603" i="2"/>
  <c r="Z4603" i="2"/>
  <c r="C4603" i="2"/>
  <c r="AA4602" i="2"/>
  <c r="Z4602" i="2"/>
  <c r="C4602" i="2"/>
  <c r="AA4601" i="2"/>
  <c r="Z4601" i="2"/>
  <c r="C4601" i="2"/>
  <c r="AA4600" i="2"/>
  <c r="Z4600" i="2"/>
  <c r="C4600" i="2"/>
  <c r="AA4599" i="2"/>
  <c r="Z4599" i="2"/>
  <c r="C4599" i="2"/>
  <c r="AA4598" i="2"/>
  <c r="Z4598" i="2"/>
  <c r="C4598" i="2"/>
  <c r="AA4597" i="2"/>
  <c r="Z4597" i="2"/>
  <c r="C4597" i="2"/>
  <c r="AA4596" i="2"/>
  <c r="Z4596" i="2"/>
  <c r="C4596" i="2"/>
  <c r="AA4595" i="2"/>
  <c r="Z4595" i="2"/>
  <c r="C4595" i="2"/>
  <c r="AA4594" i="2"/>
  <c r="Z4594" i="2"/>
  <c r="C4594" i="2"/>
  <c r="AA4593" i="2"/>
  <c r="Z4593" i="2"/>
  <c r="C4593" i="2"/>
  <c r="AA4592" i="2"/>
  <c r="Z4592" i="2"/>
  <c r="C4592" i="2"/>
  <c r="AA4591" i="2"/>
  <c r="Z4591" i="2"/>
  <c r="C4591" i="2"/>
  <c r="AA4590" i="2"/>
  <c r="Z4590" i="2"/>
  <c r="C4590" i="2"/>
  <c r="AA4589" i="2"/>
  <c r="Z4589" i="2"/>
  <c r="C4589" i="2"/>
  <c r="AA4588" i="2"/>
  <c r="Z4588" i="2"/>
  <c r="C4588" i="2"/>
  <c r="AA4587" i="2"/>
  <c r="Z4587" i="2"/>
  <c r="C4587" i="2"/>
  <c r="AA4586" i="2"/>
  <c r="Z4586" i="2"/>
  <c r="C4586" i="2"/>
  <c r="AA4585" i="2"/>
  <c r="Z4585" i="2"/>
  <c r="C4585" i="2"/>
  <c r="AA4584" i="2"/>
  <c r="Z4584" i="2"/>
  <c r="C4584" i="2"/>
  <c r="AA4583" i="2"/>
  <c r="Z4583" i="2"/>
  <c r="C4583" i="2"/>
  <c r="AA4582" i="2"/>
  <c r="Z4582" i="2"/>
  <c r="C4582" i="2"/>
  <c r="AA4581" i="2"/>
  <c r="Z4581" i="2"/>
  <c r="C4581" i="2"/>
  <c r="AA4580" i="2"/>
  <c r="Z4580" i="2"/>
  <c r="C4580" i="2"/>
  <c r="AA4579" i="2"/>
  <c r="Z4579" i="2"/>
  <c r="C4579" i="2"/>
  <c r="AA4578" i="2"/>
  <c r="Z4578" i="2"/>
  <c r="C4578" i="2"/>
  <c r="AA4577" i="2"/>
  <c r="Z4577" i="2"/>
  <c r="C4577" i="2"/>
  <c r="AA4576" i="2"/>
  <c r="Z4576" i="2"/>
  <c r="C4576" i="2"/>
  <c r="AA4575" i="2"/>
  <c r="Z4575" i="2"/>
  <c r="C4575" i="2"/>
  <c r="AA4574" i="2"/>
  <c r="Z4574" i="2"/>
  <c r="C4574" i="2"/>
  <c r="AA4573" i="2"/>
  <c r="Z4573" i="2"/>
  <c r="C4573" i="2"/>
  <c r="AA4572" i="2"/>
  <c r="Z4572" i="2"/>
  <c r="C4572" i="2"/>
  <c r="AA4571" i="2"/>
  <c r="Z4571" i="2"/>
  <c r="C4571" i="2"/>
  <c r="AA4570" i="2"/>
  <c r="Z4570" i="2"/>
  <c r="C4570" i="2"/>
  <c r="AA4569" i="2"/>
  <c r="Z4569" i="2"/>
  <c r="C4569" i="2"/>
  <c r="AA4568" i="2"/>
  <c r="Z4568" i="2"/>
  <c r="C4568" i="2"/>
  <c r="AA4567" i="2"/>
  <c r="Z4567" i="2"/>
  <c r="C4567" i="2"/>
  <c r="AA4566" i="2"/>
  <c r="Z4566" i="2"/>
  <c r="C4566" i="2"/>
  <c r="AA4565" i="2"/>
  <c r="Z4565" i="2"/>
  <c r="C4565" i="2"/>
  <c r="AA4564" i="2"/>
  <c r="Z4564" i="2"/>
  <c r="C4564" i="2"/>
  <c r="AA4563" i="2"/>
  <c r="Z4563" i="2"/>
  <c r="C4563" i="2"/>
  <c r="AA4562" i="2"/>
  <c r="Z4562" i="2"/>
  <c r="C4562" i="2"/>
  <c r="AA4561" i="2"/>
  <c r="Z4561" i="2"/>
  <c r="C4561" i="2"/>
  <c r="AA4560" i="2"/>
  <c r="Z4560" i="2"/>
  <c r="C4560" i="2"/>
  <c r="AA4559" i="2"/>
  <c r="Z4559" i="2"/>
  <c r="C4559" i="2"/>
  <c r="AA4558" i="2"/>
  <c r="Z4558" i="2"/>
  <c r="C4558" i="2"/>
  <c r="AA4557" i="2"/>
  <c r="Z4557" i="2"/>
  <c r="C4557" i="2"/>
  <c r="AA4556" i="2"/>
  <c r="Z4556" i="2"/>
  <c r="C4556" i="2"/>
  <c r="AA4555" i="2"/>
  <c r="Z4555" i="2"/>
  <c r="C4555" i="2"/>
  <c r="AA4554" i="2"/>
  <c r="Z4554" i="2"/>
  <c r="C4554" i="2"/>
  <c r="AA4553" i="2"/>
  <c r="Z4553" i="2"/>
  <c r="C4553" i="2"/>
  <c r="AA4552" i="2"/>
  <c r="Z4552" i="2"/>
  <c r="C4552" i="2"/>
  <c r="AA4551" i="2"/>
  <c r="Z4551" i="2"/>
  <c r="C4551" i="2"/>
  <c r="AA4550" i="2"/>
  <c r="Z4550" i="2"/>
  <c r="C4550" i="2"/>
  <c r="AA4549" i="2"/>
  <c r="Z4549" i="2"/>
  <c r="C4549" i="2"/>
  <c r="AA4548" i="2"/>
  <c r="Z4548" i="2"/>
  <c r="C4548" i="2"/>
  <c r="AA4547" i="2"/>
  <c r="Z4547" i="2"/>
  <c r="C4547" i="2"/>
  <c r="AA4546" i="2"/>
  <c r="Z4546" i="2"/>
  <c r="C4546" i="2"/>
  <c r="AA4545" i="2"/>
  <c r="Z4545" i="2"/>
  <c r="C4545" i="2"/>
  <c r="AA4544" i="2"/>
  <c r="Z4544" i="2"/>
  <c r="C4544" i="2"/>
  <c r="AA4543" i="2"/>
  <c r="Z4543" i="2"/>
  <c r="C4543" i="2"/>
  <c r="AA4542" i="2"/>
  <c r="Z4542" i="2"/>
  <c r="C4542" i="2"/>
  <c r="AA4541" i="2"/>
  <c r="Z4541" i="2"/>
  <c r="C4541" i="2"/>
  <c r="AA4540" i="2"/>
  <c r="Z4540" i="2"/>
  <c r="C4540" i="2"/>
  <c r="AA4539" i="2"/>
  <c r="Z4539" i="2"/>
  <c r="C4539" i="2"/>
  <c r="AA4538" i="2"/>
  <c r="Z4538" i="2"/>
  <c r="C4538" i="2"/>
  <c r="AA4537" i="2"/>
  <c r="Z4537" i="2"/>
  <c r="C4537" i="2"/>
  <c r="AA4536" i="2"/>
  <c r="Z4536" i="2"/>
  <c r="C4536" i="2"/>
  <c r="AA4535" i="2"/>
  <c r="Z4535" i="2"/>
  <c r="C4535" i="2"/>
  <c r="AA4534" i="2"/>
  <c r="Z4534" i="2"/>
  <c r="C4534" i="2"/>
  <c r="AA4533" i="2"/>
  <c r="Z4533" i="2"/>
  <c r="C4533" i="2"/>
  <c r="AA4532" i="2"/>
  <c r="Z4532" i="2"/>
  <c r="C4532" i="2"/>
  <c r="AA4531" i="2"/>
  <c r="Z4531" i="2"/>
  <c r="C4531" i="2"/>
  <c r="AA4530" i="2"/>
  <c r="Z4530" i="2"/>
  <c r="C4530" i="2"/>
  <c r="AA4529" i="2"/>
  <c r="Z4529" i="2"/>
  <c r="C4529" i="2"/>
  <c r="AA4528" i="2"/>
  <c r="Z4528" i="2"/>
  <c r="C4528" i="2"/>
  <c r="AA4527" i="2"/>
  <c r="Z4527" i="2"/>
  <c r="C4527" i="2"/>
  <c r="AA4526" i="2"/>
  <c r="Z4526" i="2"/>
  <c r="C4526" i="2"/>
  <c r="AA4525" i="2"/>
  <c r="Z4525" i="2"/>
  <c r="C4525" i="2"/>
  <c r="AA4524" i="2"/>
  <c r="Z4524" i="2"/>
  <c r="C4524" i="2"/>
  <c r="AA4523" i="2"/>
  <c r="Z4523" i="2"/>
  <c r="C4523" i="2"/>
  <c r="AA4522" i="2"/>
  <c r="Z4522" i="2"/>
  <c r="C4522" i="2"/>
  <c r="AA4521" i="2"/>
  <c r="Z4521" i="2"/>
  <c r="C4521" i="2"/>
  <c r="AA4520" i="2"/>
  <c r="Z4520" i="2"/>
  <c r="C4520" i="2"/>
  <c r="AA4519" i="2"/>
  <c r="Z4519" i="2"/>
  <c r="C4519" i="2"/>
  <c r="AA4518" i="2"/>
  <c r="Z4518" i="2"/>
  <c r="C4518" i="2"/>
  <c r="AA4517" i="2"/>
  <c r="Z4517" i="2"/>
  <c r="C4517" i="2"/>
  <c r="AA4516" i="2"/>
  <c r="Z4516" i="2"/>
  <c r="C4516" i="2"/>
  <c r="AA4515" i="2"/>
  <c r="Z4515" i="2"/>
  <c r="C4515" i="2"/>
  <c r="AA4514" i="2"/>
  <c r="Z4514" i="2"/>
  <c r="C4514" i="2"/>
  <c r="AA4513" i="2"/>
  <c r="Z4513" i="2"/>
  <c r="C4513" i="2"/>
  <c r="AA4512" i="2"/>
  <c r="Z4512" i="2"/>
  <c r="C4512" i="2"/>
  <c r="AA4511" i="2"/>
  <c r="Z4511" i="2"/>
  <c r="C4511" i="2"/>
  <c r="AA4510" i="2"/>
  <c r="Z4510" i="2"/>
  <c r="C4510" i="2"/>
  <c r="AA4509" i="2"/>
  <c r="Z4509" i="2"/>
  <c r="C4509" i="2"/>
  <c r="AA4508" i="2"/>
  <c r="Z4508" i="2"/>
  <c r="C4508" i="2"/>
  <c r="AA4507" i="2"/>
  <c r="Z4507" i="2"/>
  <c r="C4507" i="2"/>
  <c r="AA4506" i="2"/>
  <c r="Z4506" i="2"/>
  <c r="C4506" i="2"/>
  <c r="AA4505" i="2"/>
  <c r="Z4505" i="2"/>
  <c r="C4505" i="2"/>
  <c r="AA4504" i="2"/>
  <c r="Z4504" i="2"/>
  <c r="C4504" i="2"/>
  <c r="AA4503" i="2"/>
  <c r="Z4503" i="2"/>
  <c r="C4503" i="2"/>
  <c r="AA4502" i="2"/>
  <c r="Z4502" i="2"/>
  <c r="C4502" i="2"/>
  <c r="AA4501" i="2"/>
  <c r="Z4501" i="2"/>
  <c r="C4501" i="2"/>
  <c r="AA4500" i="2"/>
  <c r="Z4500" i="2"/>
  <c r="C4500" i="2"/>
  <c r="AA4499" i="2"/>
  <c r="Z4499" i="2"/>
  <c r="C4499" i="2"/>
  <c r="AA4498" i="2"/>
  <c r="Z4498" i="2"/>
  <c r="C4498" i="2"/>
  <c r="AA4497" i="2"/>
  <c r="Z4497" i="2"/>
  <c r="C4497" i="2"/>
  <c r="AA4496" i="2"/>
  <c r="Z4496" i="2"/>
  <c r="C4496" i="2"/>
  <c r="AA4495" i="2"/>
  <c r="Z4495" i="2"/>
  <c r="C4495" i="2"/>
  <c r="AA4494" i="2"/>
  <c r="Z4494" i="2"/>
  <c r="C4494" i="2"/>
  <c r="AA4493" i="2"/>
  <c r="Z4493" i="2"/>
  <c r="C4493" i="2"/>
  <c r="AA4492" i="2"/>
  <c r="Z4492" i="2"/>
  <c r="C4492" i="2"/>
  <c r="AA4491" i="2"/>
  <c r="Z4491" i="2"/>
  <c r="C4491" i="2"/>
  <c r="AA4490" i="2"/>
  <c r="Z4490" i="2"/>
  <c r="C4490" i="2"/>
  <c r="AA4489" i="2"/>
  <c r="Z4489" i="2"/>
  <c r="C4489" i="2"/>
  <c r="AA4488" i="2"/>
  <c r="Z4488" i="2"/>
  <c r="C4488" i="2"/>
  <c r="AA4487" i="2"/>
  <c r="Z4487" i="2"/>
  <c r="C4487" i="2"/>
  <c r="AA4486" i="2"/>
  <c r="Z4486" i="2"/>
  <c r="C4486" i="2"/>
  <c r="AA4485" i="2"/>
  <c r="Z4485" i="2"/>
  <c r="C4485" i="2"/>
  <c r="AA4484" i="2"/>
  <c r="Z4484" i="2"/>
  <c r="C4484" i="2"/>
  <c r="AA4483" i="2"/>
  <c r="Z4483" i="2"/>
  <c r="C4483" i="2"/>
  <c r="AA4482" i="2"/>
  <c r="Z4482" i="2"/>
  <c r="C4482" i="2"/>
  <c r="AA4481" i="2"/>
  <c r="Z4481" i="2"/>
  <c r="C4481" i="2"/>
  <c r="AA4480" i="2"/>
  <c r="Z4480" i="2"/>
  <c r="C4480" i="2"/>
  <c r="AA4479" i="2"/>
  <c r="Z4479" i="2"/>
  <c r="C4479" i="2"/>
  <c r="AA4478" i="2"/>
  <c r="Z4478" i="2"/>
  <c r="C4478" i="2"/>
  <c r="AA4477" i="2"/>
  <c r="Z4477" i="2"/>
  <c r="C4477" i="2"/>
  <c r="AA4476" i="2"/>
  <c r="Z4476" i="2"/>
  <c r="C4476" i="2"/>
  <c r="AA4475" i="2"/>
  <c r="Z4475" i="2"/>
  <c r="C4475" i="2"/>
  <c r="AA4474" i="2"/>
  <c r="Z4474" i="2"/>
  <c r="C4474" i="2"/>
  <c r="AA4473" i="2"/>
  <c r="Z4473" i="2"/>
  <c r="C4473" i="2"/>
  <c r="AA4472" i="2"/>
  <c r="Z4472" i="2"/>
  <c r="C4472" i="2"/>
  <c r="AA4471" i="2"/>
  <c r="Z4471" i="2"/>
  <c r="C4471" i="2"/>
  <c r="AA4470" i="2"/>
  <c r="Z4470" i="2"/>
  <c r="C4470" i="2"/>
  <c r="AA4469" i="2"/>
  <c r="Z4469" i="2"/>
  <c r="C4469" i="2"/>
  <c r="AA4468" i="2"/>
  <c r="Z4468" i="2"/>
  <c r="C4468" i="2"/>
  <c r="AA4467" i="2"/>
  <c r="Z4467" i="2"/>
  <c r="C4467" i="2"/>
  <c r="AA4466" i="2"/>
  <c r="Z4466" i="2"/>
  <c r="C4466" i="2"/>
  <c r="AA4465" i="2"/>
  <c r="Z4465" i="2"/>
  <c r="C4465" i="2"/>
  <c r="AA4464" i="2"/>
  <c r="Z4464" i="2"/>
  <c r="C4464" i="2"/>
  <c r="AA4463" i="2"/>
  <c r="Z4463" i="2"/>
  <c r="C4463" i="2"/>
  <c r="AA4462" i="2"/>
  <c r="Z4462" i="2"/>
  <c r="C4462" i="2"/>
  <c r="AA4461" i="2"/>
  <c r="Z4461" i="2"/>
  <c r="C4461" i="2"/>
  <c r="AA4460" i="2"/>
  <c r="Z4460" i="2"/>
  <c r="C4460" i="2"/>
  <c r="AA4459" i="2"/>
  <c r="Z4459" i="2"/>
  <c r="C4459" i="2"/>
  <c r="AA4458" i="2"/>
  <c r="Z4458" i="2"/>
  <c r="C4458" i="2"/>
  <c r="AA4457" i="2"/>
  <c r="Z4457" i="2"/>
  <c r="C4457" i="2"/>
  <c r="AA4456" i="2"/>
  <c r="Z4456" i="2"/>
  <c r="C4456" i="2"/>
  <c r="AA4455" i="2"/>
  <c r="Z4455" i="2"/>
  <c r="C4455" i="2"/>
  <c r="AA4454" i="2"/>
  <c r="Z4454" i="2"/>
  <c r="C4454" i="2"/>
  <c r="AA4453" i="2"/>
  <c r="Z4453" i="2"/>
  <c r="C4453" i="2"/>
  <c r="AA4452" i="2"/>
  <c r="Z4452" i="2"/>
  <c r="C4452" i="2"/>
  <c r="AA4451" i="2"/>
  <c r="Z4451" i="2"/>
  <c r="C4451" i="2"/>
  <c r="AA4450" i="2"/>
  <c r="Z4450" i="2"/>
  <c r="C4450" i="2"/>
  <c r="AA4449" i="2"/>
  <c r="Z4449" i="2"/>
  <c r="C4449" i="2"/>
  <c r="AA4448" i="2"/>
  <c r="Z4448" i="2"/>
  <c r="C4448" i="2"/>
  <c r="AA4447" i="2"/>
  <c r="Z4447" i="2"/>
  <c r="C4447" i="2"/>
  <c r="AA4446" i="2"/>
  <c r="Z4446" i="2"/>
  <c r="C4446" i="2"/>
  <c r="AA4445" i="2"/>
  <c r="Z4445" i="2"/>
  <c r="C4445" i="2"/>
  <c r="AA4444" i="2"/>
  <c r="Z4444" i="2"/>
  <c r="C4444" i="2"/>
  <c r="AA4443" i="2"/>
  <c r="Z4443" i="2"/>
  <c r="C4443" i="2"/>
  <c r="AA4442" i="2"/>
  <c r="Z4442" i="2"/>
  <c r="C4442" i="2"/>
  <c r="AA4441" i="2"/>
  <c r="Z4441" i="2"/>
  <c r="C4441" i="2"/>
  <c r="AA4440" i="2"/>
  <c r="Z4440" i="2"/>
  <c r="C4440" i="2"/>
  <c r="AA4439" i="2"/>
  <c r="Z4439" i="2"/>
  <c r="C4439" i="2"/>
  <c r="AA4438" i="2"/>
  <c r="Z4438" i="2"/>
  <c r="C4438" i="2"/>
  <c r="AA4437" i="2"/>
  <c r="Z4437" i="2"/>
  <c r="C4437" i="2"/>
  <c r="AA4436" i="2"/>
  <c r="Z4436" i="2"/>
  <c r="C4436" i="2"/>
  <c r="AA4435" i="2"/>
  <c r="Z4435" i="2"/>
  <c r="C4435" i="2"/>
  <c r="AA4434" i="2"/>
  <c r="Z4434" i="2"/>
  <c r="C4434" i="2"/>
  <c r="AA4433" i="2"/>
  <c r="Z4433" i="2"/>
  <c r="C4433" i="2"/>
  <c r="AA4432" i="2"/>
  <c r="Z4432" i="2"/>
  <c r="C4432" i="2"/>
  <c r="AA4431" i="2"/>
  <c r="Z4431" i="2"/>
  <c r="C4431" i="2"/>
  <c r="AA4430" i="2"/>
  <c r="Z4430" i="2"/>
  <c r="C4430" i="2"/>
  <c r="AA4429" i="2"/>
  <c r="Z4429" i="2"/>
  <c r="C4429" i="2"/>
  <c r="AA4428" i="2"/>
  <c r="Z4428" i="2"/>
  <c r="C4428" i="2"/>
  <c r="AA4427" i="2"/>
  <c r="Z4427" i="2"/>
  <c r="C4427" i="2"/>
  <c r="AA4426" i="2"/>
  <c r="Z4426" i="2"/>
  <c r="C4426" i="2"/>
  <c r="AA4425" i="2"/>
  <c r="Z4425" i="2"/>
  <c r="C4425" i="2"/>
  <c r="AA4424" i="2"/>
  <c r="Z4424" i="2"/>
  <c r="C4424" i="2"/>
  <c r="AA4423" i="2"/>
  <c r="Z4423" i="2"/>
  <c r="C4423" i="2"/>
  <c r="AA4422" i="2"/>
  <c r="Z4422" i="2"/>
  <c r="C4422" i="2"/>
  <c r="AA4421" i="2"/>
  <c r="Z4421" i="2"/>
  <c r="C4421" i="2"/>
  <c r="AA4420" i="2"/>
  <c r="Z4420" i="2"/>
  <c r="C4420" i="2"/>
  <c r="AA4419" i="2"/>
  <c r="Z4419" i="2"/>
  <c r="C4419" i="2"/>
  <c r="AA4418" i="2"/>
  <c r="Z4418" i="2"/>
  <c r="C4418" i="2"/>
  <c r="AA4417" i="2"/>
  <c r="Z4417" i="2"/>
  <c r="C4417" i="2"/>
  <c r="AA4416" i="2"/>
  <c r="Z4416" i="2"/>
  <c r="C4416" i="2"/>
  <c r="AA4415" i="2"/>
  <c r="Z4415" i="2"/>
  <c r="C4415" i="2"/>
  <c r="AA4414" i="2"/>
  <c r="Z4414" i="2"/>
  <c r="C4414" i="2"/>
  <c r="AA4413" i="2"/>
  <c r="Z4413" i="2"/>
  <c r="C4413" i="2"/>
  <c r="AA4412" i="2"/>
  <c r="Z4412" i="2"/>
  <c r="C4412" i="2"/>
  <c r="AA4411" i="2"/>
  <c r="Z4411" i="2"/>
  <c r="C4411" i="2"/>
  <c r="AA4410" i="2"/>
  <c r="Z4410" i="2"/>
  <c r="C4410" i="2"/>
  <c r="AA4409" i="2"/>
  <c r="Z4409" i="2"/>
  <c r="C4409" i="2"/>
  <c r="AA4408" i="2"/>
  <c r="Z4408" i="2"/>
  <c r="C4408" i="2"/>
  <c r="AA4407" i="2"/>
  <c r="Z4407" i="2"/>
  <c r="C4407" i="2"/>
  <c r="AA4406" i="2"/>
  <c r="Z4406" i="2"/>
  <c r="C4406" i="2"/>
  <c r="AA4405" i="2"/>
  <c r="Z4405" i="2"/>
  <c r="C4405" i="2"/>
  <c r="AA4404" i="2"/>
  <c r="Z4404" i="2"/>
  <c r="C4404" i="2"/>
  <c r="AA4403" i="2"/>
  <c r="Z4403" i="2"/>
  <c r="C4403" i="2"/>
  <c r="AA4402" i="2"/>
  <c r="Z4402" i="2"/>
  <c r="C4402" i="2"/>
  <c r="AA4401" i="2"/>
  <c r="Z4401" i="2"/>
  <c r="C4401" i="2"/>
  <c r="AA4400" i="2"/>
  <c r="Z4400" i="2"/>
  <c r="C4400" i="2"/>
  <c r="AA4399" i="2"/>
  <c r="Z4399" i="2"/>
  <c r="C4399" i="2"/>
  <c r="AA4398" i="2"/>
  <c r="Z4398" i="2"/>
  <c r="C4398" i="2"/>
  <c r="AA4397" i="2"/>
  <c r="Z4397" i="2"/>
  <c r="C4397" i="2"/>
  <c r="AA4396" i="2"/>
  <c r="Z4396" i="2"/>
  <c r="C4396" i="2"/>
  <c r="AA4395" i="2"/>
  <c r="Z4395" i="2"/>
  <c r="C4395" i="2"/>
  <c r="AA4394" i="2"/>
  <c r="Z4394" i="2"/>
  <c r="C4394" i="2"/>
  <c r="AA4393" i="2"/>
  <c r="Z4393" i="2"/>
  <c r="C4393" i="2"/>
  <c r="AA4392" i="2"/>
  <c r="Z4392" i="2"/>
  <c r="C4392" i="2"/>
  <c r="AA4391" i="2"/>
  <c r="Z4391" i="2"/>
  <c r="C4391" i="2"/>
  <c r="AA4390" i="2"/>
  <c r="Z4390" i="2"/>
  <c r="C4390" i="2"/>
  <c r="AA4389" i="2"/>
  <c r="Z4389" i="2"/>
  <c r="C4389" i="2"/>
  <c r="AA4388" i="2"/>
  <c r="Z4388" i="2"/>
  <c r="C4388" i="2"/>
  <c r="AA4387" i="2"/>
  <c r="Z4387" i="2"/>
  <c r="C4387" i="2"/>
  <c r="AA4386" i="2"/>
  <c r="Z4386" i="2"/>
  <c r="C4386" i="2"/>
  <c r="AA4385" i="2"/>
  <c r="Z4385" i="2"/>
  <c r="C4385" i="2"/>
  <c r="AA4384" i="2"/>
  <c r="Z4384" i="2"/>
  <c r="C4384" i="2"/>
  <c r="AA4383" i="2"/>
  <c r="Z4383" i="2"/>
  <c r="C4383" i="2"/>
  <c r="AA4382" i="2"/>
  <c r="Z4382" i="2"/>
  <c r="C4382" i="2"/>
  <c r="AA4381" i="2"/>
  <c r="Z4381" i="2"/>
  <c r="C4381" i="2"/>
  <c r="AA4380" i="2"/>
  <c r="Z4380" i="2"/>
  <c r="C4380" i="2"/>
  <c r="AA4379" i="2"/>
  <c r="Z4379" i="2"/>
  <c r="C4379" i="2"/>
  <c r="AA4378" i="2"/>
  <c r="Z4378" i="2"/>
  <c r="C4378" i="2"/>
  <c r="AA4377" i="2"/>
  <c r="Z4377" i="2"/>
  <c r="C4377" i="2"/>
  <c r="AA4376" i="2"/>
  <c r="Z4376" i="2"/>
  <c r="C4376" i="2"/>
  <c r="AA4375" i="2"/>
  <c r="Z4375" i="2"/>
  <c r="C4375" i="2"/>
  <c r="AA4374" i="2"/>
  <c r="Z4374" i="2"/>
  <c r="C4374" i="2"/>
  <c r="AA4373" i="2"/>
  <c r="Z4373" i="2"/>
  <c r="C4373" i="2"/>
  <c r="AA4372" i="2"/>
  <c r="Z4372" i="2"/>
  <c r="C4372" i="2"/>
  <c r="AA4371" i="2"/>
  <c r="Z4371" i="2"/>
  <c r="C4371" i="2"/>
  <c r="AA4370" i="2"/>
  <c r="Z4370" i="2"/>
  <c r="C4370" i="2"/>
  <c r="AA4369" i="2"/>
  <c r="Z4369" i="2"/>
  <c r="C4369" i="2"/>
  <c r="AA4368" i="2"/>
  <c r="Z4368" i="2"/>
  <c r="C4368" i="2"/>
  <c r="AA4367" i="2"/>
  <c r="Z4367" i="2"/>
  <c r="C4367" i="2"/>
  <c r="AA4366" i="2"/>
  <c r="Z4366" i="2"/>
  <c r="C4366" i="2"/>
  <c r="AA4365" i="2"/>
  <c r="Z4365" i="2"/>
  <c r="C4365" i="2"/>
  <c r="AA4364" i="2"/>
  <c r="Z4364" i="2"/>
  <c r="C4364" i="2"/>
  <c r="AA4363" i="2"/>
  <c r="Z4363" i="2"/>
  <c r="C4363" i="2"/>
  <c r="AA4362" i="2"/>
  <c r="Z4362" i="2"/>
  <c r="C4362" i="2"/>
  <c r="AA4361" i="2"/>
  <c r="Z4361" i="2"/>
  <c r="C4361" i="2"/>
  <c r="AA4360" i="2"/>
  <c r="Z4360" i="2"/>
  <c r="C4360" i="2"/>
  <c r="AA4359" i="2"/>
  <c r="Z4359" i="2"/>
  <c r="C4359" i="2"/>
  <c r="AA4358" i="2"/>
  <c r="Z4358" i="2"/>
  <c r="C4358" i="2"/>
  <c r="AA4357" i="2"/>
  <c r="Z4357" i="2"/>
  <c r="C4357" i="2"/>
  <c r="AA4356" i="2"/>
  <c r="Z4356" i="2"/>
  <c r="C4356" i="2"/>
  <c r="AA4355" i="2"/>
  <c r="Z4355" i="2"/>
  <c r="C4355" i="2"/>
  <c r="AA4354" i="2"/>
  <c r="Z4354" i="2"/>
  <c r="C4354" i="2"/>
  <c r="AA4353" i="2"/>
  <c r="Z4353" i="2"/>
  <c r="C4353" i="2"/>
  <c r="AA4352" i="2"/>
  <c r="Z4352" i="2"/>
  <c r="C4352" i="2"/>
  <c r="AA4351" i="2"/>
  <c r="Z4351" i="2"/>
  <c r="C4351" i="2"/>
  <c r="AA4350" i="2"/>
  <c r="Z4350" i="2"/>
  <c r="C4350" i="2"/>
  <c r="AA4349" i="2"/>
  <c r="Z4349" i="2"/>
  <c r="C4349" i="2"/>
  <c r="AA4348" i="2"/>
  <c r="Z4348" i="2"/>
  <c r="C4348" i="2"/>
  <c r="AA4347" i="2"/>
  <c r="Z4347" i="2"/>
  <c r="C4347" i="2"/>
  <c r="AA4346" i="2"/>
  <c r="Z4346" i="2"/>
  <c r="C4346" i="2"/>
  <c r="AA4345" i="2"/>
  <c r="Z4345" i="2"/>
  <c r="C4345" i="2"/>
  <c r="AA4344" i="2"/>
  <c r="Z4344" i="2"/>
  <c r="C4344" i="2"/>
  <c r="AA4343" i="2"/>
  <c r="Z4343" i="2"/>
  <c r="C4343" i="2"/>
  <c r="AA4342" i="2"/>
  <c r="Z4342" i="2"/>
  <c r="C4342" i="2"/>
  <c r="AA4341" i="2"/>
  <c r="Z4341" i="2"/>
  <c r="C4341" i="2"/>
  <c r="AA4340" i="2"/>
  <c r="Z4340" i="2"/>
  <c r="C4340" i="2"/>
  <c r="AA4339" i="2"/>
  <c r="Z4339" i="2"/>
  <c r="C4339" i="2"/>
  <c r="AA4338" i="2"/>
  <c r="Z4338" i="2"/>
  <c r="C4338" i="2"/>
  <c r="AA4337" i="2"/>
  <c r="Z4337" i="2"/>
  <c r="C4337" i="2"/>
  <c r="AA4336" i="2"/>
  <c r="Z4336" i="2"/>
  <c r="C4336" i="2"/>
  <c r="AA4335" i="2"/>
  <c r="Z4335" i="2"/>
  <c r="C4335" i="2"/>
  <c r="AA4334" i="2"/>
  <c r="Z4334" i="2"/>
  <c r="C4334" i="2"/>
  <c r="AA4333" i="2"/>
  <c r="Z4333" i="2"/>
  <c r="C4333" i="2"/>
  <c r="AA4332" i="2"/>
  <c r="Z4332" i="2"/>
  <c r="C4332" i="2"/>
  <c r="AA4331" i="2"/>
  <c r="Z4331" i="2"/>
  <c r="C4331" i="2"/>
  <c r="AA4330" i="2"/>
  <c r="Z4330" i="2"/>
  <c r="C4330" i="2"/>
  <c r="AA4329" i="2"/>
  <c r="Z4329" i="2"/>
  <c r="C4329" i="2"/>
  <c r="AA4328" i="2"/>
  <c r="Z4328" i="2"/>
  <c r="C4328" i="2"/>
  <c r="AA4327" i="2"/>
  <c r="Z4327" i="2"/>
  <c r="C4327" i="2"/>
  <c r="AA4326" i="2"/>
  <c r="Z4326" i="2"/>
  <c r="C4326" i="2"/>
  <c r="AA4325" i="2"/>
  <c r="Z4325" i="2"/>
  <c r="C4325" i="2"/>
  <c r="AA4324" i="2"/>
  <c r="Z4324" i="2"/>
  <c r="C4324" i="2"/>
  <c r="AA4323" i="2"/>
  <c r="Z4323" i="2"/>
  <c r="C4323" i="2"/>
  <c r="AA4322" i="2"/>
  <c r="Z4322" i="2"/>
  <c r="C4322" i="2"/>
  <c r="AA4321" i="2"/>
  <c r="Z4321" i="2"/>
  <c r="C4321" i="2"/>
  <c r="AA4320" i="2"/>
  <c r="Z4320" i="2"/>
  <c r="C4320" i="2"/>
  <c r="AA4319" i="2"/>
  <c r="Z4319" i="2"/>
  <c r="C4319" i="2"/>
  <c r="AA4318" i="2"/>
  <c r="Z4318" i="2"/>
  <c r="C4318" i="2"/>
  <c r="AA4317" i="2"/>
  <c r="Z4317" i="2"/>
  <c r="C4317" i="2"/>
  <c r="AA4316" i="2"/>
  <c r="Z4316" i="2"/>
  <c r="C4316" i="2"/>
  <c r="AA4315" i="2"/>
  <c r="Z4315" i="2"/>
  <c r="C4315" i="2"/>
  <c r="AA4314" i="2"/>
  <c r="Z4314" i="2"/>
  <c r="C4314" i="2"/>
  <c r="AA4313" i="2"/>
  <c r="Z4313" i="2"/>
  <c r="C4313" i="2"/>
  <c r="AA4312" i="2"/>
  <c r="Z4312" i="2"/>
  <c r="C4312" i="2"/>
  <c r="AA4311" i="2"/>
  <c r="Z4311" i="2"/>
  <c r="C4311" i="2"/>
  <c r="AA4310" i="2"/>
  <c r="Z4310" i="2"/>
  <c r="C4310" i="2"/>
  <c r="AA4309" i="2"/>
  <c r="Z4309" i="2"/>
  <c r="C4309" i="2"/>
  <c r="AA4308" i="2"/>
  <c r="Z4308" i="2"/>
  <c r="C4308" i="2"/>
  <c r="AA4307" i="2"/>
  <c r="Z4307" i="2"/>
  <c r="C4307" i="2"/>
  <c r="AA4306" i="2"/>
  <c r="Z4306" i="2"/>
  <c r="C4306" i="2"/>
  <c r="AA4305" i="2"/>
  <c r="Z4305" i="2"/>
  <c r="C4305" i="2"/>
  <c r="AA4304" i="2"/>
  <c r="Z4304" i="2"/>
  <c r="C4304" i="2"/>
  <c r="AA4303" i="2"/>
  <c r="Z4303" i="2"/>
  <c r="C4303" i="2"/>
  <c r="AA4302" i="2"/>
  <c r="Z4302" i="2"/>
  <c r="C4302" i="2"/>
  <c r="AA4301" i="2"/>
  <c r="Z4301" i="2"/>
  <c r="C4301" i="2"/>
  <c r="AA4300" i="2"/>
  <c r="Z4300" i="2"/>
  <c r="C4300" i="2"/>
  <c r="AA4299" i="2"/>
  <c r="Z4299" i="2"/>
  <c r="C4299" i="2"/>
  <c r="AA4298" i="2"/>
  <c r="Z4298" i="2"/>
  <c r="C4298" i="2"/>
  <c r="AA4297" i="2"/>
  <c r="Z4297" i="2"/>
  <c r="C4297" i="2"/>
  <c r="AA4296" i="2"/>
  <c r="Z4296" i="2"/>
  <c r="C4296" i="2"/>
  <c r="AA4295" i="2"/>
  <c r="Z4295" i="2"/>
  <c r="C4295" i="2"/>
  <c r="AA4294" i="2"/>
  <c r="Z4294" i="2"/>
  <c r="C4294" i="2"/>
  <c r="AA4293" i="2"/>
  <c r="Z4293" i="2"/>
  <c r="C4293" i="2"/>
  <c r="AA4292" i="2"/>
  <c r="Z4292" i="2"/>
  <c r="C4292" i="2"/>
  <c r="AA4291" i="2"/>
  <c r="Z4291" i="2"/>
  <c r="C4291" i="2"/>
  <c r="AA4290" i="2"/>
  <c r="Z4290" i="2"/>
  <c r="C4290" i="2"/>
  <c r="AA4289" i="2"/>
  <c r="Z4289" i="2"/>
  <c r="C4289" i="2"/>
  <c r="AA4288" i="2"/>
  <c r="Z4288" i="2"/>
  <c r="C4288" i="2"/>
  <c r="AA4287" i="2"/>
  <c r="Z4287" i="2"/>
  <c r="C4287" i="2"/>
  <c r="AA4286" i="2"/>
  <c r="Z4286" i="2"/>
  <c r="C4286" i="2"/>
  <c r="AA4285" i="2"/>
  <c r="Z4285" i="2"/>
  <c r="C4285" i="2"/>
  <c r="AA4284" i="2"/>
  <c r="Z4284" i="2"/>
  <c r="C4284" i="2"/>
  <c r="AA4283" i="2"/>
  <c r="Z4283" i="2"/>
  <c r="C4283" i="2"/>
  <c r="AA4282" i="2"/>
  <c r="Z4282" i="2"/>
  <c r="C4282" i="2"/>
  <c r="AA4281" i="2"/>
  <c r="Z4281" i="2"/>
  <c r="C4281" i="2"/>
  <c r="AA4280" i="2"/>
  <c r="Z4280" i="2"/>
  <c r="C4280" i="2"/>
  <c r="AA4279" i="2"/>
  <c r="Z4279" i="2"/>
  <c r="C4279" i="2"/>
  <c r="AA4278" i="2"/>
  <c r="Z4278" i="2"/>
  <c r="C4278" i="2"/>
  <c r="AA4277" i="2"/>
  <c r="Z4277" i="2"/>
  <c r="C4277" i="2"/>
  <c r="AA4276" i="2"/>
  <c r="Z4276" i="2"/>
  <c r="C4276" i="2"/>
  <c r="AA4275" i="2"/>
  <c r="Z4275" i="2"/>
  <c r="C4275" i="2"/>
  <c r="AA4274" i="2"/>
  <c r="Z4274" i="2"/>
  <c r="C4274" i="2"/>
  <c r="AA4273" i="2"/>
  <c r="Z4273" i="2"/>
  <c r="C4273" i="2"/>
  <c r="AA4272" i="2"/>
  <c r="Z4272" i="2"/>
  <c r="C4272" i="2"/>
  <c r="AA4271" i="2"/>
  <c r="Z4271" i="2"/>
  <c r="C4271" i="2"/>
  <c r="AA4270" i="2"/>
  <c r="Z4270" i="2"/>
  <c r="C4270" i="2"/>
  <c r="AA4269" i="2"/>
  <c r="Z4269" i="2"/>
  <c r="C4269" i="2"/>
  <c r="AA4268" i="2"/>
  <c r="Z4268" i="2"/>
  <c r="C4268" i="2"/>
  <c r="AA4267" i="2"/>
  <c r="Z4267" i="2"/>
  <c r="C4267" i="2"/>
  <c r="AA4266" i="2"/>
  <c r="Z4266" i="2"/>
  <c r="C4266" i="2"/>
  <c r="AA4265" i="2"/>
  <c r="Z4265" i="2"/>
  <c r="C4265" i="2"/>
  <c r="AA4264" i="2"/>
  <c r="Z4264" i="2"/>
  <c r="C4264" i="2"/>
  <c r="AA4263" i="2"/>
  <c r="Z4263" i="2"/>
  <c r="C4263" i="2"/>
  <c r="AA4262" i="2"/>
  <c r="Z4262" i="2"/>
  <c r="C4262" i="2"/>
  <c r="AA4261" i="2"/>
  <c r="Z4261" i="2"/>
  <c r="C4261" i="2"/>
  <c r="AA4260" i="2"/>
  <c r="Z4260" i="2"/>
  <c r="C4260" i="2"/>
  <c r="AA4259" i="2"/>
  <c r="Z4259" i="2"/>
  <c r="C4259" i="2"/>
  <c r="AA4258" i="2"/>
  <c r="Z4258" i="2"/>
  <c r="C4258" i="2"/>
  <c r="AA4257" i="2"/>
  <c r="Z4257" i="2"/>
  <c r="C4257" i="2"/>
  <c r="AA4256" i="2"/>
  <c r="Z4256" i="2"/>
  <c r="C4256" i="2"/>
  <c r="AA4255" i="2"/>
  <c r="Z4255" i="2"/>
  <c r="C4255" i="2"/>
  <c r="AA4254" i="2"/>
  <c r="Z4254" i="2"/>
  <c r="C4254" i="2"/>
  <c r="AA4253" i="2"/>
  <c r="Z4253" i="2"/>
  <c r="C4253" i="2"/>
  <c r="AA4252" i="2"/>
  <c r="Z4252" i="2"/>
  <c r="C4252" i="2"/>
  <c r="AA4251" i="2"/>
  <c r="Z4251" i="2"/>
  <c r="C4251" i="2"/>
  <c r="AA4250" i="2"/>
  <c r="Z4250" i="2"/>
  <c r="C4250" i="2"/>
  <c r="AA4249" i="2"/>
  <c r="Z4249" i="2"/>
  <c r="C4249" i="2"/>
  <c r="AA4248" i="2"/>
  <c r="Z4248" i="2"/>
  <c r="C4248" i="2"/>
  <c r="AA4247" i="2"/>
  <c r="Z4247" i="2"/>
  <c r="C4247" i="2"/>
  <c r="AA4246" i="2"/>
  <c r="Z4246" i="2"/>
  <c r="C4246" i="2"/>
  <c r="AA4245" i="2"/>
  <c r="Z4245" i="2"/>
  <c r="C4245" i="2"/>
  <c r="AA4244" i="2"/>
  <c r="Z4244" i="2"/>
  <c r="C4244" i="2"/>
  <c r="AA4243" i="2"/>
  <c r="Z4243" i="2"/>
  <c r="C4243" i="2"/>
  <c r="AA4242" i="2"/>
  <c r="Z4242" i="2"/>
  <c r="C4242" i="2"/>
  <c r="AA4241" i="2"/>
  <c r="Z4241" i="2"/>
  <c r="C4241" i="2"/>
  <c r="AA4240" i="2"/>
  <c r="Z4240" i="2"/>
  <c r="C4240" i="2"/>
  <c r="AA4239" i="2"/>
  <c r="Z4239" i="2"/>
  <c r="C4239" i="2"/>
  <c r="AA4238" i="2"/>
  <c r="Z4238" i="2"/>
  <c r="C4238" i="2"/>
  <c r="AA4237" i="2"/>
  <c r="Z4237" i="2"/>
  <c r="C4237" i="2"/>
  <c r="AA4236" i="2"/>
  <c r="Z4236" i="2"/>
  <c r="C4236" i="2"/>
  <c r="AA4235" i="2"/>
  <c r="Z4235" i="2"/>
  <c r="C4235" i="2"/>
  <c r="AA4234" i="2"/>
  <c r="Z4234" i="2"/>
  <c r="C4234" i="2"/>
  <c r="AA4233" i="2"/>
  <c r="Z4233" i="2"/>
  <c r="C4233" i="2"/>
  <c r="AA4232" i="2"/>
  <c r="Z4232" i="2"/>
  <c r="C4232" i="2"/>
  <c r="AA4231" i="2"/>
  <c r="Z4231" i="2"/>
  <c r="C4231" i="2"/>
  <c r="AA4230" i="2"/>
  <c r="Z4230" i="2"/>
  <c r="C4230" i="2"/>
  <c r="AA4229" i="2"/>
  <c r="Z4229" i="2"/>
  <c r="C4229" i="2"/>
  <c r="AA4228" i="2"/>
  <c r="Z4228" i="2"/>
  <c r="C4228" i="2"/>
  <c r="AA4227" i="2"/>
  <c r="Z4227" i="2"/>
  <c r="C4227" i="2"/>
  <c r="AA4226" i="2"/>
  <c r="Z4226" i="2"/>
  <c r="C4226" i="2"/>
  <c r="AA4225" i="2"/>
  <c r="Z4225" i="2"/>
  <c r="C4225" i="2"/>
  <c r="AA4224" i="2"/>
  <c r="Z4224" i="2"/>
  <c r="C4224" i="2"/>
  <c r="AA4223" i="2"/>
  <c r="Z4223" i="2"/>
  <c r="C4223" i="2"/>
  <c r="AA4222" i="2"/>
  <c r="Z4222" i="2"/>
  <c r="C4222" i="2"/>
  <c r="AA4221" i="2"/>
  <c r="Z4221" i="2"/>
  <c r="C4221" i="2"/>
  <c r="AA4220" i="2"/>
  <c r="Z4220" i="2"/>
  <c r="C4220" i="2"/>
  <c r="AA4219" i="2"/>
  <c r="Z4219" i="2"/>
  <c r="C4219" i="2"/>
  <c r="AA4218" i="2"/>
  <c r="Z4218" i="2"/>
  <c r="C4218" i="2"/>
  <c r="AA4217" i="2"/>
  <c r="Z4217" i="2"/>
  <c r="C4217" i="2"/>
  <c r="AA4216" i="2"/>
  <c r="Z4216" i="2"/>
  <c r="C4216" i="2"/>
  <c r="AA4215" i="2"/>
  <c r="Z4215" i="2"/>
  <c r="C4215" i="2"/>
  <c r="AA4214" i="2"/>
  <c r="Z4214" i="2"/>
  <c r="C4214" i="2"/>
  <c r="AA4213" i="2"/>
  <c r="Z4213" i="2"/>
  <c r="C4213" i="2"/>
  <c r="AA4212" i="2"/>
  <c r="Z4212" i="2"/>
  <c r="C4212" i="2"/>
  <c r="AA4211" i="2"/>
  <c r="Z4211" i="2"/>
  <c r="C4211" i="2"/>
  <c r="AA4210" i="2"/>
  <c r="Z4210" i="2"/>
  <c r="C4210" i="2"/>
  <c r="AA4209" i="2"/>
  <c r="Z4209" i="2"/>
  <c r="C4209" i="2"/>
  <c r="AA4208" i="2"/>
  <c r="Z4208" i="2"/>
  <c r="C4208" i="2"/>
  <c r="AA4207" i="2"/>
  <c r="Z4207" i="2"/>
  <c r="C4207" i="2"/>
  <c r="AA4206" i="2"/>
  <c r="Z4206" i="2"/>
  <c r="C4206" i="2"/>
  <c r="AA4205" i="2"/>
  <c r="Z4205" i="2"/>
  <c r="C4205" i="2"/>
  <c r="AA4204" i="2"/>
  <c r="Z4204" i="2"/>
  <c r="C4204" i="2"/>
  <c r="AA4203" i="2"/>
  <c r="Z4203" i="2"/>
  <c r="C4203" i="2"/>
  <c r="AA4202" i="2"/>
  <c r="Z4202" i="2"/>
  <c r="C4202" i="2"/>
  <c r="AA4201" i="2"/>
  <c r="Z4201" i="2"/>
  <c r="C4201" i="2"/>
  <c r="AA4200" i="2"/>
  <c r="Z4200" i="2"/>
  <c r="C4200" i="2"/>
  <c r="AA4199" i="2"/>
  <c r="Z4199" i="2"/>
  <c r="C4199" i="2"/>
  <c r="AA4198" i="2"/>
  <c r="Z4198" i="2"/>
  <c r="C4198" i="2"/>
  <c r="AA4197" i="2"/>
  <c r="Z4197" i="2"/>
  <c r="C4197" i="2"/>
  <c r="AA4196" i="2"/>
  <c r="Z4196" i="2"/>
  <c r="C4196" i="2"/>
  <c r="AA4195" i="2"/>
  <c r="Z4195" i="2"/>
  <c r="C4195" i="2"/>
  <c r="AA4194" i="2"/>
  <c r="Z4194" i="2"/>
  <c r="C4194" i="2"/>
  <c r="AA4193" i="2"/>
  <c r="Z4193" i="2"/>
  <c r="C4193" i="2"/>
  <c r="AA4192" i="2"/>
  <c r="Z4192" i="2"/>
  <c r="C4192" i="2"/>
  <c r="AA4191" i="2"/>
  <c r="Z4191" i="2"/>
  <c r="C4191" i="2"/>
  <c r="AA4190" i="2"/>
  <c r="Z4190" i="2"/>
  <c r="C4190" i="2"/>
  <c r="AA4189" i="2"/>
  <c r="Z4189" i="2"/>
  <c r="C4189" i="2"/>
  <c r="AA4188" i="2"/>
  <c r="Z4188" i="2"/>
  <c r="C4188" i="2"/>
  <c r="AA4187" i="2"/>
  <c r="Z4187" i="2"/>
  <c r="C4187" i="2"/>
  <c r="AA4186" i="2"/>
  <c r="Z4186" i="2"/>
  <c r="C4186" i="2"/>
  <c r="AA4185" i="2"/>
  <c r="Z4185" i="2"/>
  <c r="C4185" i="2"/>
  <c r="AA4184" i="2"/>
  <c r="Z4184" i="2"/>
  <c r="C4184" i="2"/>
  <c r="AA4183" i="2"/>
  <c r="Z4183" i="2"/>
  <c r="C4183" i="2"/>
  <c r="AA4182" i="2"/>
  <c r="Z4182" i="2"/>
  <c r="C4182" i="2"/>
  <c r="AA4181" i="2"/>
  <c r="Z4181" i="2"/>
  <c r="C4181" i="2"/>
  <c r="AA4180" i="2"/>
  <c r="Z4180" i="2"/>
  <c r="C4180" i="2"/>
  <c r="AA4179" i="2"/>
  <c r="Z4179" i="2"/>
  <c r="C4179" i="2"/>
  <c r="AA4178" i="2"/>
  <c r="Z4178" i="2"/>
  <c r="C4178" i="2"/>
  <c r="AA4177" i="2"/>
  <c r="Z4177" i="2"/>
  <c r="C4177" i="2"/>
  <c r="AA4176" i="2"/>
  <c r="Z4176" i="2"/>
  <c r="C4176" i="2"/>
  <c r="AA4175" i="2"/>
  <c r="Z4175" i="2"/>
  <c r="C4175" i="2"/>
  <c r="AA4174" i="2"/>
  <c r="Z4174" i="2"/>
  <c r="C4174" i="2"/>
  <c r="AA4173" i="2"/>
  <c r="Z4173" i="2"/>
  <c r="C4173" i="2"/>
  <c r="AA4172" i="2"/>
  <c r="Z4172" i="2"/>
  <c r="C4172" i="2"/>
  <c r="AA4171" i="2"/>
  <c r="Z4171" i="2"/>
  <c r="C4171" i="2"/>
  <c r="AA4170" i="2"/>
  <c r="Z4170" i="2"/>
  <c r="C4170" i="2"/>
  <c r="AA4169" i="2"/>
  <c r="Z4169" i="2"/>
  <c r="C4169" i="2"/>
  <c r="AA4168" i="2"/>
  <c r="Z4168" i="2"/>
  <c r="C4168" i="2"/>
  <c r="AA4167" i="2"/>
  <c r="Z4167" i="2"/>
  <c r="C4167" i="2"/>
  <c r="AA4166" i="2"/>
  <c r="Z4166" i="2"/>
  <c r="C4166" i="2"/>
  <c r="AA4165" i="2"/>
  <c r="Z4165" i="2"/>
  <c r="C4165" i="2"/>
  <c r="AA4164" i="2"/>
  <c r="Z4164" i="2"/>
  <c r="C4164" i="2"/>
  <c r="AA4163" i="2"/>
  <c r="Z4163" i="2"/>
  <c r="C4163" i="2"/>
  <c r="AA4162" i="2"/>
  <c r="Z4162" i="2"/>
  <c r="C4162" i="2"/>
  <c r="AA4161" i="2"/>
  <c r="Z4161" i="2"/>
  <c r="C4161" i="2"/>
  <c r="AA4160" i="2"/>
  <c r="Z4160" i="2"/>
  <c r="C4160" i="2"/>
  <c r="AA4159" i="2"/>
  <c r="Z4159" i="2"/>
  <c r="C4159" i="2"/>
  <c r="AA4158" i="2"/>
  <c r="Z4158" i="2"/>
  <c r="C4158" i="2"/>
  <c r="AA4157" i="2"/>
  <c r="Z4157" i="2"/>
  <c r="C4157" i="2"/>
  <c r="AA4156" i="2"/>
  <c r="Z4156" i="2"/>
  <c r="C4156" i="2"/>
  <c r="AA4155" i="2"/>
  <c r="Z4155" i="2"/>
  <c r="C4155" i="2"/>
  <c r="AA4154" i="2"/>
  <c r="Z4154" i="2"/>
  <c r="C4154" i="2"/>
  <c r="AA4153" i="2"/>
  <c r="Z4153" i="2"/>
  <c r="C4153" i="2"/>
  <c r="AA4152" i="2"/>
  <c r="Z4152" i="2"/>
  <c r="C4152" i="2"/>
  <c r="AA4151" i="2"/>
  <c r="Z4151" i="2"/>
  <c r="C4151" i="2"/>
  <c r="AA4150" i="2"/>
  <c r="Z4150" i="2"/>
  <c r="C4150" i="2"/>
  <c r="AA4149" i="2"/>
  <c r="Z4149" i="2"/>
  <c r="C4149" i="2"/>
  <c r="AA4148" i="2"/>
  <c r="Z4148" i="2"/>
  <c r="C4148" i="2"/>
  <c r="AA4147" i="2"/>
  <c r="Z4147" i="2"/>
  <c r="C4147" i="2"/>
  <c r="AA4146" i="2"/>
  <c r="Z4146" i="2"/>
  <c r="C4146" i="2"/>
  <c r="AA4145" i="2"/>
  <c r="Z4145" i="2"/>
  <c r="C4145" i="2"/>
  <c r="AA4144" i="2"/>
  <c r="Z4144" i="2"/>
  <c r="C4144" i="2"/>
  <c r="AA4143" i="2"/>
  <c r="Z4143" i="2"/>
  <c r="C4143" i="2"/>
  <c r="AA4142" i="2"/>
  <c r="Z4142" i="2"/>
  <c r="C4142" i="2"/>
  <c r="AA4141" i="2"/>
  <c r="Z4141" i="2"/>
  <c r="C4141" i="2"/>
  <c r="AA4140" i="2"/>
  <c r="Z4140" i="2"/>
  <c r="C4140" i="2"/>
  <c r="AA4139" i="2"/>
  <c r="Z4139" i="2"/>
  <c r="C4139" i="2"/>
  <c r="AA4138" i="2"/>
  <c r="Z4138" i="2"/>
  <c r="C4138" i="2"/>
  <c r="AA4137" i="2"/>
  <c r="Z4137" i="2"/>
  <c r="C4137" i="2"/>
  <c r="AA4136" i="2"/>
  <c r="Z4136" i="2"/>
  <c r="C4136" i="2"/>
  <c r="AA4135" i="2"/>
  <c r="Z4135" i="2"/>
  <c r="C4135" i="2"/>
  <c r="AA4134" i="2"/>
  <c r="Z4134" i="2"/>
  <c r="C4134" i="2"/>
  <c r="AA4133" i="2"/>
  <c r="Z4133" i="2"/>
  <c r="C4133" i="2"/>
  <c r="AA4132" i="2"/>
  <c r="Z4132" i="2"/>
  <c r="C4132" i="2"/>
  <c r="AA4131" i="2"/>
  <c r="Z4131" i="2"/>
  <c r="C4131" i="2"/>
  <c r="AA4130" i="2"/>
  <c r="Z4130" i="2"/>
  <c r="C4130" i="2"/>
  <c r="AA4129" i="2"/>
  <c r="Z4129" i="2"/>
  <c r="C4129" i="2"/>
  <c r="AA4128" i="2"/>
  <c r="Z4128" i="2"/>
  <c r="C4128" i="2"/>
  <c r="AA4127" i="2"/>
  <c r="Z4127" i="2"/>
  <c r="C4127" i="2"/>
  <c r="AA4126" i="2"/>
  <c r="Z4126" i="2"/>
  <c r="C4126" i="2"/>
  <c r="AA4125" i="2"/>
  <c r="Z4125" i="2"/>
  <c r="C4125" i="2"/>
  <c r="AA4124" i="2"/>
  <c r="Z4124" i="2"/>
  <c r="C4124" i="2"/>
  <c r="AA4123" i="2"/>
  <c r="Z4123" i="2"/>
  <c r="C4123" i="2"/>
  <c r="AA4122" i="2"/>
  <c r="Z4122" i="2"/>
  <c r="C4122" i="2"/>
  <c r="AA4121" i="2"/>
  <c r="Z4121" i="2"/>
  <c r="C4121" i="2"/>
  <c r="AA4120" i="2"/>
  <c r="Z4120" i="2"/>
  <c r="C4120" i="2"/>
  <c r="AA4119" i="2"/>
  <c r="Z4119" i="2"/>
  <c r="C4119" i="2"/>
  <c r="AA4118" i="2"/>
  <c r="Z4118" i="2"/>
  <c r="C4118" i="2"/>
  <c r="AA4117" i="2"/>
  <c r="Z4117" i="2"/>
  <c r="C4117" i="2"/>
  <c r="AA4116" i="2"/>
  <c r="Z4116" i="2"/>
  <c r="C4116" i="2"/>
  <c r="AA4115" i="2"/>
  <c r="Z4115" i="2"/>
  <c r="C4115" i="2"/>
  <c r="AA4114" i="2"/>
  <c r="Z4114" i="2"/>
  <c r="C4114" i="2"/>
  <c r="AA4113" i="2"/>
  <c r="Z4113" i="2"/>
  <c r="C4113" i="2"/>
  <c r="AA4112" i="2"/>
  <c r="Z4112" i="2"/>
  <c r="C4112" i="2"/>
  <c r="AA4111" i="2"/>
  <c r="Z4111" i="2"/>
  <c r="C4111" i="2"/>
  <c r="AA4110" i="2"/>
  <c r="Z4110" i="2"/>
  <c r="C4110" i="2"/>
  <c r="AA4109" i="2"/>
  <c r="Z4109" i="2"/>
  <c r="C4109" i="2"/>
  <c r="AA4108" i="2"/>
  <c r="Z4108" i="2"/>
  <c r="C4108" i="2"/>
  <c r="AA4107" i="2"/>
  <c r="Z4107" i="2"/>
  <c r="C4107" i="2"/>
  <c r="AA4106" i="2"/>
  <c r="Z4106" i="2"/>
  <c r="C4106" i="2"/>
  <c r="AA4105" i="2"/>
  <c r="Z4105" i="2"/>
  <c r="C4105" i="2"/>
  <c r="AA4104" i="2"/>
  <c r="Z4104" i="2"/>
  <c r="C4104" i="2"/>
  <c r="AA4103" i="2"/>
  <c r="Z4103" i="2"/>
  <c r="C4103" i="2"/>
  <c r="AA4102" i="2"/>
  <c r="Z4102" i="2"/>
  <c r="C4102" i="2"/>
  <c r="AA4101" i="2"/>
  <c r="Z4101" i="2"/>
  <c r="C4101" i="2"/>
  <c r="AA4100" i="2"/>
  <c r="Z4100" i="2"/>
  <c r="C4100" i="2"/>
  <c r="AA4099" i="2"/>
  <c r="Z4099" i="2"/>
  <c r="C4099" i="2"/>
  <c r="AA4098" i="2"/>
  <c r="Z4098" i="2"/>
  <c r="C4098" i="2"/>
  <c r="AA4097" i="2"/>
  <c r="Z4097" i="2"/>
  <c r="C4097" i="2"/>
  <c r="AA4096" i="2"/>
  <c r="Z4096" i="2"/>
  <c r="C4096" i="2"/>
  <c r="AA4095" i="2"/>
  <c r="Z4095" i="2"/>
  <c r="C4095" i="2"/>
  <c r="AA4094" i="2"/>
  <c r="Z4094" i="2"/>
  <c r="C4094" i="2"/>
  <c r="AA4093" i="2"/>
  <c r="Z4093" i="2"/>
  <c r="C4093" i="2"/>
  <c r="AA4092" i="2"/>
  <c r="Z4092" i="2"/>
  <c r="C4092" i="2"/>
  <c r="AA4091" i="2"/>
  <c r="Z4091" i="2"/>
  <c r="C4091" i="2"/>
  <c r="AA4090" i="2"/>
  <c r="Z4090" i="2"/>
  <c r="C4090" i="2"/>
  <c r="AA4089" i="2"/>
  <c r="Z4089" i="2"/>
  <c r="C4089" i="2"/>
  <c r="AA4088" i="2"/>
  <c r="Z4088" i="2"/>
  <c r="C4088" i="2"/>
  <c r="AA4087" i="2"/>
  <c r="Z4087" i="2"/>
  <c r="C4087" i="2"/>
  <c r="AA4086" i="2"/>
  <c r="Z4086" i="2"/>
  <c r="C4086" i="2"/>
  <c r="AA4085" i="2"/>
  <c r="Z4085" i="2"/>
  <c r="C4085" i="2"/>
  <c r="AA4084" i="2"/>
  <c r="Z4084" i="2"/>
  <c r="C4084" i="2"/>
  <c r="AA4083" i="2"/>
  <c r="Z4083" i="2"/>
  <c r="C4083" i="2"/>
  <c r="AA4082" i="2"/>
  <c r="Z4082" i="2"/>
  <c r="C4082" i="2"/>
  <c r="AA4081" i="2"/>
  <c r="Z4081" i="2"/>
  <c r="C4081" i="2"/>
  <c r="AA4080" i="2"/>
  <c r="Z4080" i="2"/>
  <c r="C4080" i="2"/>
  <c r="AA4079" i="2"/>
  <c r="Z4079" i="2"/>
  <c r="C4079" i="2"/>
  <c r="AA4078" i="2"/>
  <c r="Z4078" i="2"/>
  <c r="C4078" i="2"/>
  <c r="AA4077" i="2"/>
  <c r="Z4077" i="2"/>
  <c r="C4077" i="2"/>
  <c r="AA4076" i="2"/>
  <c r="Z4076" i="2"/>
  <c r="C4076" i="2"/>
  <c r="AA4075" i="2"/>
  <c r="Z4075" i="2"/>
  <c r="C4075" i="2"/>
  <c r="AA4074" i="2"/>
  <c r="Z4074" i="2"/>
  <c r="C4074" i="2"/>
  <c r="AA4073" i="2"/>
  <c r="Z4073" i="2"/>
  <c r="C4073" i="2"/>
  <c r="AA4072" i="2"/>
  <c r="Z4072" i="2"/>
  <c r="C4072" i="2"/>
  <c r="AA4071" i="2"/>
  <c r="Z4071" i="2"/>
  <c r="C4071" i="2"/>
  <c r="AA4070" i="2"/>
  <c r="Z4070" i="2"/>
  <c r="C4070" i="2"/>
  <c r="AA4069" i="2"/>
  <c r="Z4069" i="2"/>
  <c r="C4069" i="2"/>
  <c r="AA4068" i="2"/>
  <c r="Z4068" i="2"/>
  <c r="C4068" i="2"/>
  <c r="AA4067" i="2"/>
  <c r="Z4067" i="2"/>
  <c r="C4067" i="2"/>
  <c r="AA4066" i="2"/>
  <c r="Z4066" i="2"/>
  <c r="C4066" i="2"/>
  <c r="AA4065" i="2"/>
  <c r="Z4065" i="2"/>
  <c r="C4065" i="2"/>
  <c r="AA4064" i="2"/>
  <c r="Z4064" i="2"/>
  <c r="C4064" i="2"/>
  <c r="AA4063" i="2"/>
  <c r="Z4063" i="2"/>
  <c r="C4063" i="2"/>
  <c r="AA4062" i="2"/>
  <c r="Z4062" i="2"/>
  <c r="C4062" i="2"/>
  <c r="AA4061" i="2"/>
  <c r="Z4061" i="2"/>
  <c r="C4061" i="2"/>
  <c r="AA4060" i="2"/>
  <c r="Z4060" i="2"/>
  <c r="C4060" i="2"/>
  <c r="AA4059" i="2"/>
  <c r="Z4059" i="2"/>
  <c r="C4059" i="2"/>
  <c r="AA4058" i="2"/>
  <c r="Z4058" i="2"/>
  <c r="C4058" i="2"/>
  <c r="AA4057" i="2"/>
  <c r="Z4057" i="2"/>
  <c r="C4057" i="2"/>
  <c r="AA4056" i="2"/>
  <c r="Z4056" i="2"/>
  <c r="C4056" i="2"/>
  <c r="AA4055" i="2"/>
  <c r="Z4055" i="2"/>
  <c r="C4055" i="2"/>
  <c r="AA4054" i="2"/>
  <c r="Z4054" i="2"/>
  <c r="C4054" i="2"/>
  <c r="AA4053" i="2"/>
  <c r="Z4053" i="2"/>
  <c r="C4053" i="2"/>
  <c r="AA4052" i="2"/>
  <c r="Z4052" i="2"/>
  <c r="C4052" i="2"/>
  <c r="AA4051" i="2"/>
  <c r="Z4051" i="2"/>
  <c r="C4051" i="2"/>
  <c r="AA4050" i="2"/>
  <c r="Z4050" i="2"/>
  <c r="C4050" i="2"/>
  <c r="AA4049" i="2"/>
  <c r="Z4049" i="2"/>
  <c r="C4049" i="2"/>
  <c r="AA4048" i="2"/>
  <c r="Z4048" i="2"/>
  <c r="C4048" i="2"/>
  <c r="AA4047" i="2"/>
  <c r="Z4047" i="2"/>
  <c r="C4047" i="2"/>
  <c r="AA4046" i="2"/>
  <c r="Z4046" i="2"/>
  <c r="C4046" i="2"/>
  <c r="AA4045" i="2"/>
  <c r="Z4045" i="2"/>
  <c r="C4045" i="2"/>
  <c r="AA4044" i="2"/>
  <c r="Z4044" i="2"/>
  <c r="C4044" i="2"/>
  <c r="AA4043" i="2"/>
  <c r="Z4043" i="2"/>
  <c r="C4043" i="2"/>
  <c r="AA4042" i="2"/>
  <c r="Z4042" i="2"/>
  <c r="C4042" i="2"/>
  <c r="AA4041" i="2"/>
  <c r="Z4041" i="2"/>
  <c r="C4041" i="2"/>
  <c r="AA4040" i="2"/>
  <c r="Z4040" i="2"/>
  <c r="C4040" i="2"/>
  <c r="AA4039" i="2"/>
  <c r="Z4039" i="2"/>
  <c r="C4039" i="2"/>
  <c r="AA4038" i="2"/>
  <c r="Z4038" i="2"/>
  <c r="C4038" i="2"/>
  <c r="AA4037" i="2"/>
  <c r="Z4037" i="2"/>
  <c r="C4037" i="2"/>
  <c r="AA4036" i="2"/>
  <c r="Z4036" i="2"/>
  <c r="C4036" i="2"/>
  <c r="AA4035" i="2"/>
  <c r="Z4035" i="2"/>
  <c r="C4035" i="2"/>
  <c r="AA4034" i="2"/>
  <c r="Z4034" i="2"/>
  <c r="C4034" i="2"/>
  <c r="AA4033" i="2"/>
  <c r="Z4033" i="2"/>
  <c r="C4033" i="2"/>
  <c r="AA4032" i="2"/>
  <c r="Z4032" i="2"/>
  <c r="C4032" i="2"/>
  <c r="AA4031" i="2"/>
  <c r="Z4031" i="2"/>
  <c r="C4031" i="2"/>
  <c r="AA4030" i="2"/>
  <c r="Z4030" i="2"/>
  <c r="C4030" i="2"/>
  <c r="AA4029" i="2"/>
  <c r="Z4029" i="2"/>
  <c r="C4029" i="2"/>
  <c r="AA4028" i="2"/>
  <c r="Z4028" i="2"/>
  <c r="C4028" i="2"/>
  <c r="AA4027" i="2"/>
  <c r="Z4027" i="2"/>
  <c r="C4027" i="2"/>
  <c r="AA4026" i="2"/>
  <c r="Z4026" i="2"/>
  <c r="C4026" i="2"/>
  <c r="AA4025" i="2"/>
  <c r="Z4025" i="2"/>
  <c r="C4025" i="2"/>
  <c r="AA4024" i="2"/>
  <c r="Z4024" i="2"/>
  <c r="C4024" i="2"/>
  <c r="AA4023" i="2"/>
  <c r="Z4023" i="2"/>
  <c r="C4023" i="2"/>
  <c r="AA4022" i="2"/>
  <c r="Z4022" i="2"/>
  <c r="C4022" i="2"/>
  <c r="AA4021" i="2"/>
  <c r="Z4021" i="2"/>
  <c r="C4021" i="2"/>
  <c r="AA4020" i="2"/>
  <c r="Z4020" i="2"/>
  <c r="C4020" i="2"/>
  <c r="AA4019" i="2"/>
  <c r="Z4019" i="2"/>
  <c r="C4019" i="2"/>
  <c r="AA4018" i="2"/>
  <c r="Z4018" i="2"/>
  <c r="C4018" i="2"/>
  <c r="AA4017" i="2"/>
  <c r="Z4017" i="2"/>
  <c r="C4017" i="2"/>
  <c r="AA4016" i="2"/>
  <c r="Z4016" i="2"/>
  <c r="C4016" i="2"/>
  <c r="AA4015" i="2"/>
  <c r="Z4015" i="2"/>
  <c r="C4015" i="2"/>
  <c r="AA4014" i="2"/>
  <c r="Z4014" i="2"/>
  <c r="C4014" i="2"/>
  <c r="AA4013" i="2"/>
  <c r="Z4013" i="2"/>
  <c r="C4013" i="2"/>
  <c r="AA4012" i="2"/>
  <c r="Z4012" i="2"/>
  <c r="C4012" i="2"/>
  <c r="AA4011" i="2"/>
  <c r="Z4011" i="2"/>
  <c r="C4011" i="2"/>
  <c r="AA4010" i="2"/>
  <c r="Z4010" i="2"/>
  <c r="C4010" i="2"/>
  <c r="AA4009" i="2"/>
  <c r="Z4009" i="2"/>
  <c r="C4009" i="2"/>
  <c r="AA4008" i="2"/>
  <c r="Z4008" i="2"/>
  <c r="C4008" i="2"/>
  <c r="AA4007" i="2"/>
  <c r="Z4007" i="2"/>
  <c r="C4007" i="2"/>
  <c r="AA4006" i="2"/>
  <c r="Z4006" i="2"/>
  <c r="C4006" i="2"/>
  <c r="AA4005" i="2"/>
  <c r="Z4005" i="2"/>
  <c r="C4005" i="2"/>
  <c r="AA4004" i="2"/>
  <c r="Z4004" i="2"/>
  <c r="C4004" i="2"/>
  <c r="AA4003" i="2"/>
  <c r="Z4003" i="2"/>
  <c r="C4003" i="2"/>
  <c r="AA4002" i="2"/>
  <c r="Z4002" i="2"/>
  <c r="C4002" i="2"/>
  <c r="AA4001" i="2"/>
  <c r="Z4001" i="2"/>
  <c r="C4001" i="2"/>
  <c r="AA4000" i="2"/>
  <c r="Z4000" i="2"/>
  <c r="C4000" i="2"/>
  <c r="AA3999" i="2"/>
  <c r="Z3999" i="2"/>
  <c r="C3999" i="2"/>
  <c r="AA3998" i="2"/>
  <c r="Z3998" i="2"/>
  <c r="C3998" i="2"/>
  <c r="AA3997" i="2"/>
  <c r="Z3997" i="2"/>
  <c r="C3997" i="2"/>
  <c r="AA3996" i="2"/>
  <c r="Z3996" i="2"/>
  <c r="C3996" i="2"/>
  <c r="AA3995" i="2"/>
  <c r="Z3995" i="2"/>
  <c r="C3995" i="2"/>
  <c r="AA3994" i="2"/>
  <c r="Z3994" i="2"/>
  <c r="C3994" i="2"/>
  <c r="AA3993" i="2"/>
  <c r="Z3993" i="2"/>
  <c r="C3993" i="2"/>
  <c r="AA3992" i="2"/>
  <c r="Z3992" i="2"/>
  <c r="C3992" i="2"/>
  <c r="AA3991" i="2"/>
  <c r="Z3991" i="2"/>
  <c r="C3991" i="2"/>
  <c r="AA3990" i="2"/>
  <c r="Z3990" i="2"/>
  <c r="C3990" i="2"/>
  <c r="AA3989" i="2"/>
  <c r="Z3989" i="2"/>
  <c r="C3989" i="2"/>
  <c r="AA3988" i="2"/>
  <c r="Z3988" i="2"/>
  <c r="C3988" i="2"/>
  <c r="AA3987" i="2"/>
  <c r="Z3987" i="2"/>
  <c r="C3987" i="2"/>
  <c r="AA3986" i="2"/>
  <c r="Z3986" i="2"/>
  <c r="C3986" i="2"/>
  <c r="AA3985" i="2"/>
  <c r="Z3985" i="2"/>
  <c r="C3985" i="2"/>
  <c r="AA3984" i="2"/>
  <c r="Z3984" i="2"/>
  <c r="C3984" i="2"/>
  <c r="AA3983" i="2"/>
  <c r="Z3983" i="2"/>
  <c r="C3983" i="2"/>
  <c r="AA3982" i="2"/>
  <c r="Z3982" i="2"/>
  <c r="C3982" i="2"/>
  <c r="AA3981" i="2"/>
  <c r="Z3981" i="2"/>
  <c r="C3981" i="2"/>
  <c r="AA3980" i="2"/>
  <c r="Z3980" i="2"/>
  <c r="C3980" i="2"/>
  <c r="AA3979" i="2"/>
  <c r="Z3979" i="2"/>
  <c r="C3979" i="2"/>
  <c r="AA3978" i="2"/>
  <c r="Z3978" i="2"/>
  <c r="C3978" i="2"/>
  <c r="AA3977" i="2"/>
  <c r="Z3977" i="2"/>
  <c r="C3977" i="2"/>
  <c r="AA3976" i="2"/>
  <c r="Z3976" i="2"/>
  <c r="C3976" i="2"/>
  <c r="AA3975" i="2"/>
  <c r="Z3975" i="2"/>
  <c r="C3975" i="2"/>
  <c r="AA3974" i="2"/>
  <c r="Z3974" i="2"/>
  <c r="C3974" i="2"/>
  <c r="AA3973" i="2"/>
  <c r="Z3973" i="2"/>
  <c r="C3973" i="2"/>
  <c r="AA3972" i="2"/>
  <c r="Z3972" i="2"/>
  <c r="C3972" i="2"/>
  <c r="AA3971" i="2"/>
  <c r="Z3971" i="2"/>
  <c r="C3971" i="2"/>
  <c r="AA3970" i="2"/>
  <c r="Z3970" i="2"/>
  <c r="C3970" i="2"/>
  <c r="AA3969" i="2"/>
  <c r="Z3969" i="2"/>
  <c r="C3969" i="2"/>
  <c r="AA3968" i="2"/>
  <c r="Z3968" i="2"/>
  <c r="C3968" i="2"/>
  <c r="AA3967" i="2"/>
  <c r="Z3967" i="2"/>
  <c r="C3967" i="2"/>
  <c r="AA3966" i="2"/>
  <c r="Z3966" i="2"/>
  <c r="C3966" i="2"/>
  <c r="AA3965" i="2"/>
  <c r="Z3965" i="2"/>
  <c r="C3965" i="2"/>
  <c r="AA3964" i="2"/>
  <c r="Z3964" i="2"/>
  <c r="C3964" i="2"/>
  <c r="AA3963" i="2"/>
  <c r="Z3963" i="2"/>
  <c r="C3963" i="2"/>
  <c r="AA3962" i="2"/>
  <c r="Z3962" i="2"/>
  <c r="C3962" i="2"/>
  <c r="AA3961" i="2"/>
  <c r="Z3961" i="2"/>
  <c r="C3961" i="2"/>
  <c r="AA3960" i="2"/>
  <c r="Z3960" i="2"/>
  <c r="C3960" i="2"/>
  <c r="AA3959" i="2"/>
  <c r="Z3959" i="2"/>
  <c r="C3959" i="2"/>
  <c r="AA3958" i="2"/>
  <c r="Z3958" i="2"/>
  <c r="C3958" i="2"/>
  <c r="AA3957" i="2"/>
  <c r="Z3957" i="2"/>
  <c r="C3957" i="2"/>
  <c r="AA3956" i="2"/>
  <c r="Z3956" i="2"/>
  <c r="C3956" i="2"/>
  <c r="AA3955" i="2"/>
  <c r="Z3955" i="2"/>
  <c r="C3955" i="2"/>
  <c r="AA3954" i="2"/>
  <c r="Z3954" i="2"/>
  <c r="C3954" i="2"/>
  <c r="AA3953" i="2"/>
  <c r="Z3953" i="2"/>
  <c r="C3953" i="2"/>
  <c r="AA3952" i="2"/>
  <c r="Z3952" i="2"/>
  <c r="C3952" i="2"/>
  <c r="AA3951" i="2"/>
  <c r="Z3951" i="2"/>
  <c r="C3951" i="2"/>
  <c r="AA3950" i="2"/>
  <c r="Z3950" i="2"/>
  <c r="C3950" i="2"/>
  <c r="AA3949" i="2"/>
  <c r="Z3949" i="2"/>
  <c r="C3949" i="2"/>
  <c r="AA3948" i="2"/>
  <c r="Z3948" i="2"/>
  <c r="C3948" i="2"/>
  <c r="AA3947" i="2"/>
  <c r="Z3947" i="2"/>
  <c r="C3947" i="2"/>
  <c r="AA3946" i="2"/>
  <c r="Z3946" i="2"/>
  <c r="C3946" i="2"/>
  <c r="AA3945" i="2"/>
  <c r="Z3945" i="2"/>
  <c r="C3945" i="2"/>
  <c r="AA3944" i="2"/>
  <c r="Z3944" i="2"/>
  <c r="C3944" i="2"/>
  <c r="AA3943" i="2"/>
  <c r="Z3943" i="2"/>
  <c r="C3943" i="2"/>
  <c r="AA3942" i="2"/>
  <c r="Z3942" i="2"/>
  <c r="C3942" i="2"/>
  <c r="AA3941" i="2"/>
  <c r="Z3941" i="2"/>
  <c r="C3941" i="2"/>
  <c r="AA3940" i="2"/>
  <c r="Z3940" i="2"/>
  <c r="C3940" i="2"/>
  <c r="AA3939" i="2"/>
  <c r="Z3939" i="2"/>
  <c r="C3939" i="2"/>
  <c r="AA3938" i="2"/>
  <c r="Z3938" i="2"/>
  <c r="C3938" i="2"/>
  <c r="AA3937" i="2"/>
  <c r="Z3937" i="2"/>
  <c r="C3937" i="2"/>
  <c r="AA3936" i="2"/>
  <c r="Z3936" i="2"/>
  <c r="C3936" i="2"/>
  <c r="AA3935" i="2"/>
  <c r="Z3935" i="2"/>
  <c r="C3935" i="2"/>
  <c r="AA3934" i="2"/>
  <c r="Z3934" i="2"/>
  <c r="C3934" i="2"/>
  <c r="AA3933" i="2"/>
  <c r="Z3933" i="2"/>
  <c r="C3933" i="2"/>
  <c r="AA3932" i="2"/>
  <c r="Z3932" i="2"/>
  <c r="C3932" i="2"/>
  <c r="AA3931" i="2"/>
  <c r="Z3931" i="2"/>
  <c r="C3931" i="2"/>
  <c r="AA3930" i="2"/>
  <c r="Z3930" i="2"/>
  <c r="C3930" i="2"/>
  <c r="AA3929" i="2"/>
  <c r="Z3929" i="2"/>
  <c r="C3929" i="2"/>
  <c r="AA3928" i="2"/>
  <c r="Z3928" i="2"/>
  <c r="C3928" i="2"/>
  <c r="AA3927" i="2"/>
  <c r="Z3927" i="2"/>
  <c r="C3927" i="2"/>
  <c r="AA3926" i="2"/>
  <c r="Z3926" i="2"/>
  <c r="C3926" i="2"/>
  <c r="AA3925" i="2"/>
  <c r="Z3925" i="2"/>
  <c r="C3925" i="2"/>
  <c r="AA3924" i="2"/>
  <c r="Z3924" i="2"/>
  <c r="C3924" i="2"/>
  <c r="AA3923" i="2"/>
  <c r="Z3923" i="2"/>
  <c r="C3923" i="2"/>
  <c r="AA3922" i="2"/>
  <c r="Z3922" i="2"/>
  <c r="C3922" i="2"/>
  <c r="AA3921" i="2"/>
  <c r="Z3921" i="2"/>
  <c r="C3921" i="2"/>
  <c r="AA3920" i="2"/>
  <c r="Z3920" i="2"/>
  <c r="C3920" i="2"/>
  <c r="AA3919" i="2"/>
  <c r="Z3919" i="2"/>
  <c r="C3919" i="2"/>
  <c r="AA3918" i="2"/>
  <c r="Z3918" i="2"/>
  <c r="C3918" i="2"/>
  <c r="AA3917" i="2"/>
  <c r="Z3917" i="2"/>
  <c r="C3917" i="2"/>
  <c r="AA3916" i="2"/>
  <c r="Z3916" i="2"/>
  <c r="C3916" i="2"/>
  <c r="AA3915" i="2"/>
  <c r="Z3915" i="2"/>
  <c r="C3915" i="2"/>
  <c r="AA3914" i="2"/>
  <c r="Z3914" i="2"/>
  <c r="C3914" i="2"/>
  <c r="AA3913" i="2"/>
  <c r="Z3913" i="2"/>
  <c r="C3913" i="2"/>
  <c r="AA3912" i="2"/>
  <c r="Z3912" i="2"/>
  <c r="C3912" i="2"/>
  <c r="AA3911" i="2"/>
  <c r="Z3911" i="2"/>
  <c r="C3911" i="2"/>
  <c r="AA3910" i="2"/>
  <c r="Z3910" i="2"/>
  <c r="C3910" i="2"/>
  <c r="AA3909" i="2"/>
  <c r="Z3909" i="2"/>
  <c r="C3909" i="2"/>
  <c r="AA3908" i="2"/>
  <c r="Z3908" i="2"/>
  <c r="C3908" i="2"/>
  <c r="AA3907" i="2"/>
  <c r="Z3907" i="2"/>
  <c r="C3907" i="2"/>
  <c r="AA3906" i="2"/>
  <c r="Z3906" i="2"/>
  <c r="C3906" i="2"/>
  <c r="AA3905" i="2"/>
  <c r="Z3905" i="2"/>
  <c r="C3905" i="2"/>
  <c r="AA3904" i="2"/>
  <c r="Z3904" i="2"/>
  <c r="C3904" i="2"/>
  <c r="AA3903" i="2"/>
  <c r="Z3903" i="2"/>
  <c r="C3903" i="2"/>
  <c r="AA3902" i="2"/>
  <c r="Z3902" i="2"/>
  <c r="C3902" i="2"/>
  <c r="AA3901" i="2"/>
  <c r="Z3901" i="2"/>
  <c r="C3901" i="2"/>
  <c r="AA3900" i="2"/>
  <c r="Z3900" i="2"/>
  <c r="C3900" i="2"/>
  <c r="AA3899" i="2"/>
  <c r="Z3899" i="2"/>
  <c r="C3899" i="2"/>
  <c r="AA3898" i="2"/>
  <c r="Z3898" i="2"/>
  <c r="C3898" i="2"/>
  <c r="AA3897" i="2"/>
  <c r="Z3897" i="2"/>
  <c r="C3897" i="2"/>
  <c r="AA3896" i="2"/>
  <c r="Z3896" i="2"/>
  <c r="C3896" i="2"/>
  <c r="AA3895" i="2"/>
  <c r="Z3895" i="2"/>
  <c r="C3895" i="2"/>
  <c r="AA3894" i="2"/>
  <c r="Z3894" i="2"/>
  <c r="C3894" i="2"/>
  <c r="AA3893" i="2"/>
  <c r="Z3893" i="2"/>
  <c r="C3893" i="2"/>
  <c r="AA3892" i="2"/>
  <c r="Z3892" i="2"/>
  <c r="C3892" i="2"/>
  <c r="AA3891" i="2"/>
  <c r="Z3891" i="2"/>
  <c r="C3891" i="2"/>
  <c r="AA3890" i="2"/>
  <c r="Z3890" i="2"/>
  <c r="C3890" i="2"/>
  <c r="AA3889" i="2"/>
  <c r="Z3889" i="2"/>
  <c r="C3889" i="2"/>
  <c r="AA3888" i="2"/>
  <c r="Z3888" i="2"/>
  <c r="C3888" i="2"/>
  <c r="AA3887" i="2"/>
  <c r="Z3887" i="2"/>
  <c r="C3887" i="2"/>
  <c r="AA3886" i="2"/>
  <c r="Z3886" i="2"/>
  <c r="C3886" i="2"/>
  <c r="AA3885" i="2"/>
  <c r="Z3885" i="2"/>
  <c r="C3885" i="2"/>
  <c r="AA3884" i="2"/>
  <c r="Z3884" i="2"/>
  <c r="C3884" i="2"/>
  <c r="AA3883" i="2"/>
  <c r="Z3883" i="2"/>
  <c r="C3883" i="2"/>
  <c r="AA3882" i="2"/>
  <c r="Z3882" i="2"/>
  <c r="C3882" i="2"/>
  <c r="AA3881" i="2"/>
  <c r="Z3881" i="2"/>
  <c r="C3881" i="2"/>
  <c r="AA3880" i="2"/>
  <c r="Z3880" i="2"/>
  <c r="C3880" i="2"/>
  <c r="AA3879" i="2"/>
  <c r="Z3879" i="2"/>
  <c r="C3879" i="2"/>
  <c r="AA3878" i="2"/>
  <c r="Z3878" i="2"/>
  <c r="C3878" i="2"/>
  <c r="AA3877" i="2"/>
  <c r="Z3877" i="2"/>
  <c r="C3877" i="2"/>
  <c r="AA3876" i="2"/>
  <c r="Z3876" i="2"/>
  <c r="C3876" i="2"/>
  <c r="AA3875" i="2"/>
  <c r="Z3875" i="2"/>
  <c r="C3875" i="2"/>
  <c r="AA3874" i="2"/>
  <c r="Z3874" i="2"/>
  <c r="C3874" i="2"/>
  <c r="AA3873" i="2"/>
  <c r="Z3873" i="2"/>
  <c r="C3873" i="2"/>
  <c r="AA3872" i="2"/>
  <c r="Z3872" i="2"/>
  <c r="C3872" i="2"/>
  <c r="AA3871" i="2"/>
  <c r="Z3871" i="2"/>
  <c r="C3871" i="2"/>
  <c r="AA3870" i="2"/>
  <c r="Z3870" i="2"/>
  <c r="C3870" i="2"/>
  <c r="AA3869" i="2"/>
  <c r="Z3869" i="2"/>
  <c r="C3869" i="2"/>
  <c r="AA3868" i="2"/>
  <c r="Z3868" i="2"/>
  <c r="C3868" i="2"/>
  <c r="AA3867" i="2"/>
  <c r="Z3867" i="2"/>
  <c r="C3867" i="2"/>
  <c r="AA3866" i="2"/>
  <c r="Z3866" i="2"/>
  <c r="C3866" i="2"/>
  <c r="AA3865" i="2"/>
  <c r="Z3865" i="2"/>
  <c r="C3865" i="2"/>
  <c r="AA3864" i="2"/>
  <c r="Z3864" i="2"/>
  <c r="C3864" i="2"/>
  <c r="AA3863" i="2"/>
  <c r="Z3863" i="2"/>
  <c r="C3863" i="2"/>
  <c r="AA3862" i="2"/>
  <c r="Z3862" i="2"/>
  <c r="C3862" i="2"/>
  <c r="AA3861" i="2"/>
  <c r="Z3861" i="2"/>
  <c r="C3861" i="2"/>
  <c r="AA3860" i="2"/>
  <c r="Z3860" i="2"/>
  <c r="C3860" i="2"/>
  <c r="AA3859" i="2"/>
  <c r="Z3859" i="2"/>
  <c r="C3859" i="2"/>
  <c r="AA3858" i="2"/>
  <c r="Z3858" i="2"/>
  <c r="C3858" i="2"/>
  <c r="AA3857" i="2"/>
  <c r="Z3857" i="2"/>
  <c r="C3857" i="2"/>
  <c r="AA3856" i="2"/>
  <c r="Z3856" i="2"/>
  <c r="C3856" i="2"/>
  <c r="AA3855" i="2"/>
  <c r="Z3855" i="2"/>
  <c r="C3855" i="2"/>
  <c r="AA3854" i="2"/>
  <c r="Z3854" i="2"/>
  <c r="C3854" i="2"/>
  <c r="AA3853" i="2"/>
  <c r="Z3853" i="2"/>
  <c r="C3853" i="2"/>
  <c r="AA3852" i="2"/>
  <c r="Z3852" i="2"/>
  <c r="C3852" i="2"/>
  <c r="AA3851" i="2"/>
  <c r="Z3851" i="2"/>
  <c r="C3851" i="2"/>
  <c r="AA3850" i="2"/>
  <c r="Z3850" i="2"/>
  <c r="C3850" i="2"/>
  <c r="AA3849" i="2"/>
  <c r="Z3849" i="2"/>
  <c r="C3849" i="2"/>
  <c r="AA3848" i="2"/>
  <c r="Z3848" i="2"/>
  <c r="C3848" i="2"/>
  <c r="AA3847" i="2"/>
  <c r="Z3847" i="2"/>
  <c r="C3847" i="2"/>
  <c r="AA3846" i="2"/>
  <c r="Z3846" i="2"/>
  <c r="C3846" i="2"/>
  <c r="AA3845" i="2"/>
  <c r="Z3845" i="2"/>
  <c r="C3845" i="2"/>
  <c r="AA3844" i="2"/>
  <c r="Z3844" i="2"/>
  <c r="C3844" i="2"/>
  <c r="AA3843" i="2"/>
  <c r="Z3843" i="2"/>
  <c r="C3843" i="2"/>
  <c r="AA3842" i="2"/>
  <c r="Z3842" i="2"/>
  <c r="C3842" i="2"/>
  <c r="AA3841" i="2"/>
  <c r="Z3841" i="2"/>
  <c r="C3841" i="2"/>
  <c r="AA3840" i="2"/>
  <c r="Z3840" i="2"/>
  <c r="C3840" i="2"/>
  <c r="AA3839" i="2"/>
  <c r="Z3839" i="2"/>
  <c r="C3839" i="2"/>
  <c r="AA3838" i="2"/>
  <c r="Z3838" i="2"/>
  <c r="C3838" i="2"/>
  <c r="AA3837" i="2"/>
  <c r="Z3837" i="2"/>
  <c r="C3837" i="2"/>
  <c r="AA3836" i="2"/>
  <c r="Z3836" i="2"/>
  <c r="C3836" i="2"/>
  <c r="AA3835" i="2"/>
  <c r="Z3835" i="2"/>
  <c r="C3835" i="2"/>
  <c r="AA3834" i="2"/>
  <c r="Z3834" i="2"/>
  <c r="C3834" i="2"/>
  <c r="AA3833" i="2"/>
  <c r="Z3833" i="2"/>
  <c r="C3833" i="2"/>
  <c r="AA3832" i="2"/>
  <c r="Z3832" i="2"/>
  <c r="C3832" i="2"/>
  <c r="AA3831" i="2"/>
  <c r="Z3831" i="2"/>
  <c r="C3831" i="2"/>
  <c r="AA3830" i="2"/>
  <c r="Z3830" i="2"/>
  <c r="C3830" i="2"/>
  <c r="AA3829" i="2"/>
  <c r="Z3829" i="2"/>
  <c r="C3829" i="2"/>
  <c r="AA3828" i="2"/>
  <c r="Z3828" i="2"/>
  <c r="C3828" i="2"/>
  <c r="AA3827" i="2"/>
  <c r="Z3827" i="2"/>
  <c r="C3827" i="2"/>
  <c r="AA3826" i="2"/>
  <c r="Z3826" i="2"/>
  <c r="C3826" i="2"/>
  <c r="AA3825" i="2"/>
  <c r="Z3825" i="2"/>
  <c r="C3825" i="2"/>
  <c r="AA3824" i="2"/>
  <c r="Z3824" i="2"/>
  <c r="C3824" i="2"/>
  <c r="AA3823" i="2"/>
  <c r="Z3823" i="2"/>
  <c r="C3823" i="2"/>
  <c r="AA3822" i="2"/>
  <c r="Z3822" i="2"/>
  <c r="C3822" i="2"/>
  <c r="AA3821" i="2"/>
  <c r="Z3821" i="2"/>
  <c r="C3821" i="2"/>
  <c r="AA3820" i="2"/>
  <c r="Z3820" i="2"/>
  <c r="C3820" i="2"/>
  <c r="AA3819" i="2"/>
  <c r="Z3819" i="2"/>
  <c r="C3819" i="2"/>
  <c r="AA3818" i="2"/>
  <c r="Z3818" i="2"/>
  <c r="C3818" i="2"/>
  <c r="AA3817" i="2"/>
  <c r="Z3817" i="2"/>
  <c r="C3817" i="2"/>
  <c r="AA3816" i="2"/>
  <c r="Z3816" i="2"/>
  <c r="C3816" i="2"/>
  <c r="AA3815" i="2"/>
  <c r="Z3815" i="2"/>
  <c r="C3815" i="2"/>
  <c r="AA3814" i="2"/>
  <c r="Z3814" i="2"/>
  <c r="C3814" i="2"/>
  <c r="AA3813" i="2"/>
  <c r="Z3813" i="2"/>
  <c r="C3813" i="2"/>
  <c r="AA3812" i="2"/>
  <c r="Z3812" i="2"/>
  <c r="C3812" i="2"/>
  <c r="AA3811" i="2"/>
  <c r="Z3811" i="2"/>
  <c r="C3811" i="2"/>
  <c r="AA3810" i="2"/>
  <c r="Z3810" i="2"/>
  <c r="C3810" i="2"/>
  <c r="AA3809" i="2"/>
  <c r="Z3809" i="2"/>
  <c r="C3809" i="2"/>
  <c r="AA3808" i="2"/>
  <c r="Z3808" i="2"/>
  <c r="C3808" i="2"/>
  <c r="AA3807" i="2"/>
  <c r="Z3807" i="2"/>
  <c r="C3807" i="2"/>
  <c r="AA3806" i="2"/>
  <c r="Z3806" i="2"/>
  <c r="C3806" i="2"/>
  <c r="AA3805" i="2"/>
  <c r="Z3805" i="2"/>
  <c r="C3805" i="2"/>
  <c r="AA3804" i="2"/>
  <c r="Z3804" i="2"/>
  <c r="C3804" i="2"/>
  <c r="AA3803" i="2"/>
  <c r="Z3803" i="2"/>
  <c r="C3803" i="2"/>
  <c r="AA3802" i="2"/>
  <c r="Z3802" i="2"/>
  <c r="C3802" i="2"/>
  <c r="AA3801" i="2"/>
  <c r="Z3801" i="2"/>
  <c r="C3801" i="2"/>
  <c r="AA3800" i="2"/>
  <c r="Z3800" i="2"/>
  <c r="C3800" i="2"/>
  <c r="AA3799" i="2"/>
  <c r="Z3799" i="2"/>
  <c r="C3799" i="2"/>
  <c r="AA3798" i="2"/>
  <c r="Z3798" i="2"/>
  <c r="C3798" i="2"/>
  <c r="AA3797" i="2"/>
  <c r="Z3797" i="2"/>
  <c r="C3797" i="2"/>
  <c r="AA3796" i="2"/>
  <c r="Z3796" i="2"/>
  <c r="C3796" i="2"/>
  <c r="AA3795" i="2"/>
  <c r="Z3795" i="2"/>
  <c r="C3795" i="2"/>
  <c r="AA3794" i="2"/>
  <c r="Z3794" i="2"/>
  <c r="C3794" i="2"/>
  <c r="AA3793" i="2"/>
  <c r="Z3793" i="2"/>
  <c r="C3793" i="2"/>
  <c r="AA3792" i="2"/>
  <c r="Z3792" i="2"/>
  <c r="C3792" i="2"/>
  <c r="AA3791" i="2"/>
  <c r="Z3791" i="2"/>
  <c r="C3791" i="2"/>
  <c r="AA3790" i="2"/>
  <c r="Z3790" i="2"/>
  <c r="C3790" i="2"/>
  <c r="AA3789" i="2"/>
  <c r="Z3789" i="2"/>
  <c r="C3789" i="2"/>
  <c r="AA3788" i="2"/>
  <c r="Z3788" i="2"/>
  <c r="C3788" i="2"/>
  <c r="AA3787" i="2"/>
  <c r="Z3787" i="2"/>
  <c r="C3787" i="2"/>
  <c r="AA3786" i="2"/>
  <c r="Z3786" i="2"/>
  <c r="C3786" i="2"/>
  <c r="AA3785" i="2"/>
  <c r="Z3785" i="2"/>
  <c r="C3785" i="2"/>
  <c r="AA3784" i="2"/>
  <c r="Z3784" i="2"/>
  <c r="C3784" i="2"/>
  <c r="AA3783" i="2"/>
  <c r="Z3783" i="2"/>
  <c r="C3783" i="2"/>
  <c r="AA3782" i="2"/>
  <c r="Z3782" i="2"/>
  <c r="C3782" i="2"/>
  <c r="AA3781" i="2"/>
  <c r="Z3781" i="2"/>
  <c r="C3781" i="2"/>
  <c r="AA3780" i="2"/>
  <c r="Z3780" i="2"/>
  <c r="C3780" i="2"/>
  <c r="AA3779" i="2"/>
  <c r="Z3779" i="2"/>
  <c r="C3779" i="2"/>
  <c r="AA3778" i="2"/>
  <c r="Z3778" i="2"/>
  <c r="C3778" i="2"/>
  <c r="AA3777" i="2"/>
  <c r="Z3777" i="2"/>
  <c r="C3777" i="2"/>
  <c r="AA3776" i="2"/>
  <c r="Z3776" i="2"/>
  <c r="C3776" i="2"/>
  <c r="AA3775" i="2"/>
  <c r="Z3775" i="2"/>
  <c r="C3775" i="2"/>
  <c r="AA3774" i="2"/>
  <c r="Z3774" i="2"/>
  <c r="C3774" i="2"/>
  <c r="AA3773" i="2"/>
  <c r="Z3773" i="2"/>
  <c r="C3773" i="2"/>
  <c r="AA3772" i="2"/>
  <c r="Z3772" i="2"/>
  <c r="C3772" i="2"/>
  <c r="AA3771" i="2"/>
  <c r="Z3771" i="2"/>
  <c r="C3771" i="2"/>
  <c r="AA3770" i="2"/>
  <c r="Z3770" i="2"/>
  <c r="C3770" i="2"/>
  <c r="AA3769" i="2"/>
  <c r="Z3769" i="2"/>
  <c r="C3769" i="2"/>
  <c r="AA3768" i="2"/>
  <c r="Z3768" i="2"/>
  <c r="C3768" i="2"/>
  <c r="AA3767" i="2"/>
  <c r="Z3767" i="2"/>
  <c r="C3767" i="2"/>
  <c r="AA3766" i="2"/>
  <c r="Z3766" i="2"/>
  <c r="C3766" i="2"/>
  <c r="AA3765" i="2"/>
  <c r="Z3765" i="2"/>
  <c r="C3765" i="2"/>
  <c r="AA3764" i="2"/>
  <c r="Z3764" i="2"/>
  <c r="C3764" i="2"/>
  <c r="AA3763" i="2"/>
  <c r="Z3763" i="2"/>
  <c r="C3763" i="2"/>
  <c r="AA3762" i="2"/>
  <c r="Z3762" i="2"/>
  <c r="C3762" i="2"/>
  <c r="AA3761" i="2"/>
  <c r="Z3761" i="2"/>
  <c r="C3761" i="2"/>
  <c r="AA3760" i="2"/>
  <c r="Z3760" i="2"/>
  <c r="C3760" i="2"/>
  <c r="AA3759" i="2"/>
  <c r="Z3759" i="2"/>
  <c r="C3759" i="2"/>
  <c r="AA3758" i="2"/>
  <c r="Z3758" i="2"/>
  <c r="C3758" i="2"/>
  <c r="AA3757" i="2"/>
  <c r="Z3757" i="2"/>
  <c r="C3757" i="2"/>
  <c r="AA3756" i="2"/>
  <c r="Z3756" i="2"/>
  <c r="C3756" i="2"/>
  <c r="AA3755" i="2"/>
  <c r="Z3755" i="2"/>
  <c r="C3755" i="2"/>
  <c r="AA3754" i="2"/>
  <c r="Z3754" i="2"/>
  <c r="C3754" i="2"/>
  <c r="AA3753" i="2"/>
  <c r="Z3753" i="2"/>
  <c r="C3753" i="2"/>
  <c r="AA3752" i="2"/>
  <c r="Z3752" i="2"/>
  <c r="C3752" i="2"/>
  <c r="AA3751" i="2"/>
  <c r="Z3751" i="2"/>
  <c r="C3751" i="2"/>
  <c r="AA3750" i="2"/>
  <c r="Z3750" i="2"/>
  <c r="C3750" i="2"/>
  <c r="AA3749" i="2"/>
  <c r="Z3749" i="2"/>
  <c r="C3749" i="2"/>
  <c r="AA3748" i="2"/>
  <c r="Z3748" i="2"/>
  <c r="C3748" i="2"/>
  <c r="AA3747" i="2"/>
  <c r="Z3747" i="2"/>
  <c r="C3747" i="2"/>
  <c r="AA3746" i="2"/>
  <c r="Z3746" i="2"/>
  <c r="C3746" i="2"/>
  <c r="AA3745" i="2"/>
  <c r="Z3745" i="2"/>
  <c r="C3745" i="2"/>
  <c r="AA3744" i="2"/>
  <c r="Z3744" i="2"/>
  <c r="C3744" i="2"/>
  <c r="AA3743" i="2"/>
  <c r="Z3743" i="2"/>
  <c r="C3743" i="2"/>
  <c r="AA3742" i="2"/>
  <c r="Z3742" i="2"/>
  <c r="C3742" i="2"/>
  <c r="AA3741" i="2"/>
  <c r="Z3741" i="2"/>
  <c r="C3741" i="2"/>
  <c r="AA3740" i="2"/>
  <c r="Z3740" i="2"/>
  <c r="C3740" i="2"/>
  <c r="AA3739" i="2"/>
  <c r="Z3739" i="2"/>
  <c r="C3739" i="2"/>
  <c r="AA3738" i="2"/>
  <c r="Z3738" i="2"/>
  <c r="C3738" i="2"/>
  <c r="AA3737" i="2"/>
  <c r="Z3737" i="2"/>
  <c r="C3737" i="2"/>
  <c r="AA3736" i="2"/>
  <c r="Z3736" i="2"/>
  <c r="C3736" i="2"/>
  <c r="AA3735" i="2"/>
  <c r="Z3735" i="2"/>
  <c r="C3735" i="2"/>
  <c r="AA3734" i="2"/>
  <c r="Z3734" i="2"/>
  <c r="C3734" i="2"/>
  <c r="AA3733" i="2"/>
  <c r="Z3733" i="2"/>
  <c r="C3733" i="2"/>
  <c r="AA3732" i="2"/>
  <c r="Z3732" i="2"/>
  <c r="C3732" i="2"/>
  <c r="AA3731" i="2"/>
  <c r="Z3731" i="2"/>
  <c r="C3731" i="2"/>
  <c r="AA3730" i="2"/>
  <c r="Z3730" i="2"/>
  <c r="C3730" i="2"/>
  <c r="AA3729" i="2"/>
  <c r="Z3729" i="2"/>
  <c r="C3729" i="2"/>
  <c r="AA3728" i="2"/>
  <c r="Z3728" i="2"/>
  <c r="C3728" i="2"/>
  <c r="AA3727" i="2"/>
  <c r="Z3727" i="2"/>
  <c r="C3727" i="2"/>
  <c r="AA3726" i="2"/>
  <c r="Z3726" i="2"/>
  <c r="C3726" i="2"/>
  <c r="AA3725" i="2"/>
  <c r="Z3725" i="2"/>
  <c r="C3725" i="2"/>
  <c r="AA3724" i="2"/>
  <c r="Z3724" i="2"/>
  <c r="C3724" i="2"/>
  <c r="AA3723" i="2"/>
  <c r="Z3723" i="2"/>
  <c r="C3723" i="2"/>
  <c r="AA3722" i="2"/>
  <c r="Z3722" i="2"/>
  <c r="C3722" i="2"/>
  <c r="AA3721" i="2"/>
  <c r="Z3721" i="2"/>
  <c r="C3721" i="2"/>
  <c r="AA3720" i="2"/>
  <c r="Z3720" i="2"/>
  <c r="C3720" i="2"/>
  <c r="AA3719" i="2"/>
  <c r="Z3719" i="2"/>
  <c r="C3719" i="2"/>
  <c r="AA3718" i="2"/>
  <c r="Z3718" i="2"/>
  <c r="C3718" i="2"/>
  <c r="AA3717" i="2"/>
  <c r="Z3717" i="2"/>
  <c r="C3717" i="2"/>
  <c r="AA3716" i="2"/>
  <c r="Z3716" i="2"/>
  <c r="C3716" i="2"/>
  <c r="AA3715" i="2"/>
  <c r="Z3715" i="2"/>
  <c r="C3715" i="2"/>
  <c r="AA3714" i="2"/>
  <c r="Z3714" i="2"/>
  <c r="C3714" i="2"/>
  <c r="AA3713" i="2"/>
  <c r="Z3713" i="2"/>
  <c r="C3713" i="2"/>
  <c r="AA3712" i="2"/>
  <c r="Z3712" i="2"/>
  <c r="C3712" i="2"/>
  <c r="AA3711" i="2"/>
  <c r="Z3711" i="2"/>
  <c r="C3711" i="2"/>
  <c r="AA3710" i="2"/>
  <c r="Z3710" i="2"/>
  <c r="C3710" i="2"/>
  <c r="AA3709" i="2"/>
  <c r="Z3709" i="2"/>
  <c r="C3709" i="2"/>
  <c r="AA3708" i="2"/>
  <c r="Z3708" i="2"/>
  <c r="C3708" i="2"/>
  <c r="AA3707" i="2"/>
  <c r="Z3707" i="2"/>
  <c r="C3707" i="2"/>
  <c r="AA3706" i="2"/>
  <c r="Z3706" i="2"/>
  <c r="C3706" i="2"/>
  <c r="AA3705" i="2"/>
  <c r="Z3705" i="2"/>
  <c r="C3705" i="2"/>
  <c r="AA3704" i="2"/>
  <c r="Z3704" i="2"/>
  <c r="C3704" i="2"/>
  <c r="AA3703" i="2"/>
  <c r="Z3703" i="2"/>
  <c r="C3703" i="2"/>
  <c r="AA3702" i="2"/>
  <c r="Z3702" i="2"/>
  <c r="C3702" i="2"/>
  <c r="AA3701" i="2"/>
  <c r="Z3701" i="2"/>
  <c r="C3701" i="2"/>
  <c r="AA3700" i="2"/>
  <c r="Z3700" i="2"/>
  <c r="C3700" i="2"/>
  <c r="AA3699" i="2"/>
  <c r="Z3699" i="2"/>
  <c r="C3699" i="2"/>
  <c r="AA3698" i="2"/>
  <c r="Z3698" i="2"/>
  <c r="C3698" i="2"/>
  <c r="AA3697" i="2"/>
  <c r="Z3697" i="2"/>
  <c r="C3697" i="2"/>
  <c r="AA3696" i="2"/>
  <c r="Z3696" i="2"/>
  <c r="C3696" i="2"/>
  <c r="AA3695" i="2"/>
  <c r="Z3695" i="2"/>
  <c r="C3695" i="2"/>
  <c r="AA3694" i="2"/>
  <c r="Z3694" i="2"/>
  <c r="C3694" i="2"/>
  <c r="AA3693" i="2"/>
  <c r="Z3693" i="2"/>
  <c r="C3693" i="2"/>
  <c r="AA3692" i="2"/>
  <c r="Z3692" i="2"/>
  <c r="C3692" i="2"/>
  <c r="AA3691" i="2"/>
  <c r="Z3691" i="2"/>
  <c r="C3691" i="2"/>
  <c r="AA3690" i="2"/>
  <c r="Z3690" i="2"/>
  <c r="C3690" i="2"/>
  <c r="AA3689" i="2"/>
  <c r="Z3689" i="2"/>
  <c r="C3689" i="2"/>
  <c r="AA3688" i="2"/>
  <c r="Z3688" i="2"/>
  <c r="C3688" i="2"/>
  <c r="AA3687" i="2"/>
  <c r="Z3687" i="2"/>
  <c r="C3687" i="2"/>
  <c r="AA3686" i="2"/>
  <c r="Z3686" i="2"/>
  <c r="C3686" i="2"/>
  <c r="AA3685" i="2"/>
  <c r="Z3685" i="2"/>
  <c r="C3685" i="2"/>
  <c r="AA3684" i="2"/>
  <c r="Z3684" i="2"/>
  <c r="C3684" i="2"/>
  <c r="AA3683" i="2"/>
  <c r="Z3683" i="2"/>
  <c r="C3683" i="2"/>
  <c r="AA3682" i="2"/>
  <c r="Z3682" i="2"/>
  <c r="C3682" i="2"/>
  <c r="AA3681" i="2"/>
  <c r="Z3681" i="2"/>
  <c r="C3681" i="2"/>
  <c r="AA3680" i="2"/>
  <c r="Z3680" i="2"/>
  <c r="C3680" i="2"/>
  <c r="AA3679" i="2"/>
  <c r="Z3679" i="2"/>
  <c r="C3679" i="2"/>
  <c r="AA3678" i="2"/>
  <c r="Z3678" i="2"/>
  <c r="C3678" i="2"/>
  <c r="AA3677" i="2"/>
  <c r="Z3677" i="2"/>
  <c r="C3677" i="2"/>
  <c r="AA3676" i="2"/>
  <c r="Z3676" i="2"/>
  <c r="C3676" i="2"/>
  <c r="AA3675" i="2"/>
  <c r="Z3675" i="2"/>
  <c r="C3675" i="2"/>
  <c r="AA3674" i="2"/>
  <c r="Z3674" i="2"/>
  <c r="C3674" i="2"/>
  <c r="AA3673" i="2"/>
  <c r="Z3673" i="2"/>
  <c r="C3673" i="2"/>
  <c r="AA3672" i="2"/>
  <c r="Z3672" i="2"/>
  <c r="C3672" i="2"/>
  <c r="AA3671" i="2"/>
  <c r="Z3671" i="2"/>
  <c r="C3671" i="2"/>
  <c r="AA3670" i="2"/>
  <c r="Z3670" i="2"/>
  <c r="C3670" i="2"/>
  <c r="AA3669" i="2"/>
  <c r="Z3669" i="2"/>
  <c r="C3669" i="2"/>
  <c r="AA3668" i="2"/>
  <c r="Z3668" i="2"/>
  <c r="C3668" i="2"/>
  <c r="AA3667" i="2"/>
  <c r="Z3667" i="2"/>
  <c r="C3667" i="2"/>
  <c r="AA3666" i="2"/>
  <c r="Z3666" i="2"/>
  <c r="C3666" i="2"/>
  <c r="AA3665" i="2"/>
  <c r="Z3665" i="2"/>
  <c r="C3665" i="2"/>
  <c r="AA3664" i="2"/>
  <c r="Z3664" i="2"/>
  <c r="C3664" i="2"/>
  <c r="AA3663" i="2"/>
  <c r="Z3663" i="2"/>
  <c r="C3663" i="2"/>
  <c r="AA3662" i="2"/>
  <c r="Z3662" i="2"/>
  <c r="C3662" i="2"/>
  <c r="AA3661" i="2"/>
  <c r="Z3661" i="2"/>
  <c r="C3661" i="2"/>
  <c r="AA3660" i="2"/>
  <c r="Z3660" i="2"/>
  <c r="C3660" i="2"/>
  <c r="AA3659" i="2"/>
  <c r="Z3659" i="2"/>
  <c r="C3659" i="2"/>
  <c r="AA3658" i="2"/>
  <c r="Z3658" i="2"/>
  <c r="C3658" i="2"/>
  <c r="AA3657" i="2"/>
  <c r="Z3657" i="2"/>
  <c r="C3657" i="2"/>
  <c r="AA3656" i="2"/>
  <c r="Z3656" i="2"/>
  <c r="C3656" i="2"/>
  <c r="AA3655" i="2"/>
  <c r="Z3655" i="2"/>
  <c r="C3655" i="2"/>
  <c r="AA3654" i="2"/>
  <c r="Z3654" i="2"/>
  <c r="C3654" i="2"/>
  <c r="AA3653" i="2"/>
  <c r="Z3653" i="2"/>
  <c r="C3653" i="2"/>
  <c r="AA3652" i="2"/>
  <c r="Z3652" i="2"/>
  <c r="C3652" i="2"/>
  <c r="AA3651" i="2"/>
  <c r="Z3651" i="2"/>
  <c r="C3651" i="2"/>
  <c r="AA3650" i="2"/>
  <c r="Z3650" i="2"/>
  <c r="C3650" i="2"/>
  <c r="AA3649" i="2"/>
  <c r="Z3649" i="2"/>
  <c r="C3649" i="2"/>
  <c r="AA3648" i="2"/>
  <c r="Z3648" i="2"/>
  <c r="C3648" i="2"/>
  <c r="AA3647" i="2"/>
  <c r="Z3647" i="2"/>
  <c r="C3647" i="2"/>
  <c r="AA3646" i="2"/>
  <c r="Z3646" i="2"/>
  <c r="C3646" i="2"/>
  <c r="AA3645" i="2"/>
  <c r="Z3645" i="2"/>
  <c r="C3645" i="2"/>
  <c r="AA3644" i="2"/>
  <c r="Z3644" i="2"/>
  <c r="C3644" i="2"/>
  <c r="AA3643" i="2"/>
  <c r="Z3643" i="2"/>
  <c r="C3643" i="2"/>
  <c r="AA3642" i="2"/>
  <c r="Z3642" i="2"/>
  <c r="C3642" i="2"/>
  <c r="AA3641" i="2"/>
  <c r="Z3641" i="2"/>
  <c r="C3641" i="2"/>
  <c r="AA3640" i="2"/>
  <c r="Z3640" i="2"/>
  <c r="C3640" i="2"/>
  <c r="AA3639" i="2"/>
  <c r="Z3639" i="2"/>
  <c r="C3639" i="2"/>
  <c r="AA3638" i="2"/>
  <c r="Z3638" i="2"/>
  <c r="C3638" i="2"/>
  <c r="AA3637" i="2"/>
  <c r="Z3637" i="2"/>
  <c r="C3637" i="2"/>
  <c r="AA3636" i="2"/>
  <c r="Z3636" i="2"/>
  <c r="C3636" i="2"/>
  <c r="AA3635" i="2"/>
  <c r="Z3635" i="2"/>
  <c r="C3635" i="2"/>
  <c r="AA3634" i="2"/>
  <c r="Z3634" i="2"/>
  <c r="C3634" i="2"/>
  <c r="AA3633" i="2"/>
  <c r="Z3633" i="2"/>
  <c r="C3633" i="2"/>
  <c r="AA3632" i="2"/>
  <c r="Z3632" i="2"/>
  <c r="C3632" i="2"/>
  <c r="AA3631" i="2"/>
  <c r="Z3631" i="2"/>
  <c r="C3631" i="2"/>
  <c r="AA3630" i="2"/>
  <c r="Z3630" i="2"/>
  <c r="C3630" i="2"/>
  <c r="AA3629" i="2"/>
  <c r="Z3629" i="2"/>
  <c r="C3629" i="2"/>
  <c r="AA3628" i="2"/>
  <c r="Z3628" i="2"/>
  <c r="C3628" i="2"/>
  <c r="AA3627" i="2"/>
  <c r="Z3627" i="2"/>
  <c r="C3627" i="2"/>
  <c r="AA3626" i="2"/>
  <c r="Z3626" i="2"/>
  <c r="C3626" i="2"/>
  <c r="AA3625" i="2"/>
  <c r="Z3625" i="2"/>
  <c r="C3625" i="2"/>
  <c r="AA3624" i="2"/>
  <c r="Z3624" i="2"/>
  <c r="C3624" i="2"/>
  <c r="AA3623" i="2"/>
  <c r="Z3623" i="2"/>
  <c r="C3623" i="2"/>
  <c r="AA3622" i="2"/>
  <c r="Z3622" i="2"/>
  <c r="C3622" i="2"/>
  <c r="AA3621" i="2"/>
  <c r="Z3621" i="2"/>
  <c r="C3621" i="2"/>
  <c r="AA3620" i="2"/>
  <c r="Z3620" i="2"/>
  <c r="C3620" i="2"/>
  <c r="AA3619" i="2"/>
  <c r="Z3619" i="2"/>
  <c r="C3619" i="2"/>
  <c r="AA3618" i="2"/>
  <c r="Z3618" i="2"/>
  <c r="C3618" i="2"/>
  <c r="AA3617" i="2"/>
  <c r="Z3617" i="2"/>
  <c r="C3617" i="2"/>
  <c r="AA3616" i="2"/>
  <c r="Z3616" i="2"/>
  <c r="C3616" i="2"/>
  <c r="AA3615" i="2"/>
  <c r="Z3615" i="2"/>
  <c r="C3615" i="2"/>
  <c r="AA3614" i="2"/>
  <c r="Z3614" i="2"/>
  <c r="C3614" i="2"/>
  <c r="AA3613" i="2"/>
  <c r="Z3613" i="2"/>
  <c r="C3613" i="2"/>
  <c r="AA3612" i="2"/>
  <c r="Z3612" i="2"/>
  <c r="C3612" i="2"/>
  <c r="AA3611" i="2"/>
  <c r="Z3611" i="2"/>
  <c r="C3611" i="2"/>
  <c r="AA3610" i="2"/>
  <c r="Z3610" i="2"/>
  <c r="C3610" i="2"/>
  <c r="AA3609" i="2"/>
  <c r="Z3609" i="2"/>
  <c r="C3609" i="2"/>
  <c r="AA3608" i="2"/>
  <c r="Z3608" i="2"/>
  <c r="C3608" i="2"/>
  <c r="AA3607" i="2"/>
  <c r="Z3607" i="2"/>
  <c r="C3607" i="2"/>
  <c r="AA3606" i="2"/>
  <c r="Z3606" i="2"/>
  <c r="C3606" i="2"/>
  <c r="AA3605" i="2"/>
  <c r="Z3605" i="2"/>
  <c r="C3605" i="2"/>
  <c r="AA3604" i="2"/>
  <c r="Z3604" i="2"/>
  <c r="C3604" i="2"/>
  <c r="AA3603" i="2"/>
  <c r="Z3603" i="2"/>
  <c r="C3603" i="2"/>
  <c r="AA3602" i="2"/>
  <c r="Z3602" i="2"/>
  <c r="C3602" i="2"/>
  <c r="AA3601" i="2"/>
  <c r="Z3601" i="2"/>
  <c r="C3601" i="2"/>
  <c r="AA3600" i="2"/>
  <c r="Z3600" i="2"/>
  <c r="C3600" i="2"/>
  <c r="AA3599" i="2"/>
  <c r="Z3599" i="2"/>
  <c r="C3599" i="2"/>
  <c r="AA3598" i="2"/>
  <c r="Z3598" i="2"/>
  <c r="C3598" i="2"/>
  <c r="AA3597" i="2"/>
  <c r="Z3597" i="2"/>
  <c r="C3597" i="2"/>
  <c r="AA3596" i="2"/>
  <c r="Z3596" i="2"/>
  <c r="C3596" i="2"/>
  <c r="AA3595" i="2"/>
  <c r="Z3595" i="2"/>
  <c r="C3595" i="2"/>
  <c r="AA3594" i="2"/>
  <c r="Z3594" i="2"/>
  <c r="C3594" i="2"/>
  <c r="AA3593" i="2"/>
  <c r="Z3593" i="2"/>
  <c r="C3593" i="2"/>
  <c r="AA3592" i="2"/>
  <c r="Z3592" i="2"/>
  <c r="C3592" i="2"/>
  <c r="AA3591" i="2"/>
  <c r="Z3591" i="2"/>
  <c r="C3591" i="2"/>
  <c r="AA3590" i="2"/>
  <c r="Z3590" i="2"/>
  <c r="C3590" i="2"/>
  <c r="AA3589" i="2"/>
  <c r="Z3589" i="2"/>
  <c r="C3589" i="2"/>
  <c r="AA3588" i="2"/>
  <c r="Z3588" i="2"/>
  <c r="C3588" i="2"/>
  <c r="AA3587" i="2"/>
  <c r="Z3587" i="2"/>
  <c r="C3587" i="2"/>
  <c r="AA3586" i="2"/>
  <c r="Z3586" i="2"/>
  <c r="C3586" i="2"/>
  <c r="AA3585" i="2"/>
  <c r="Z3585" i="2"/>
  <c r="C3585" i="2"/>
  <c r="AA3584" i="2"/>
  <c r="Z3584" i="2"/>
  <c r="C3584" i="2"/>
  <c r="AA3583" i="2"/>
  <c r="Z3583" i="2"/>
  <c r="C3583" i="2"/>
  <c r="AA3582" i="2"/>
  <c r="Z3582" i="2"/>
  <c r="C3582" i="2"/>
  <c r="AA3581" i="2"/>
  <c r="Z3581" i="2"/>
  <c r="C3581" i="2"/>
  <c r="AA3580" i="2"/>
  <c r="Z3580" i="2"/>
  <c r="C3580" i="2"/>
  <c r="AA3579" i="2"/>
  <c r="Z3579" i="2"/>
  <c r="C3579" i="2"/>
  <c r="AA3578" i="2"/>
  <c r="Z3578" i="2"/>
  <c r="C3578" i="2"/>
  <c r="AA3577" i="2"/>
  <c r="Z3577" i="2"/>
  <c r="C3577" i="2"/>
  <c r="AA3576" i="2"/>
  <c r="Z3576" i="2"/>
  <c r="C3576" i="2"/>
  <c r="AA3575" i="2"/>
  <c r="Z3575" i="2"/>
  <c r="C3575" i="2"/>
  <c r="AA3574" i="2"/>
  <c r="Z3574" i="2"/>
  <c r="C3574" i="2"/>
  <c r="AA3573" i="2"/>
  <c r="Z3573" i="2"/>
  <c r="C3573" i="2"/>
  <c r="AA3572" i="2"/>
  <c r="Z3572" i="2"/>
  <c r="C3572" i="2"/>
  <c r="AA3571" i="2"/>
  <c r="Z3571" i="2"/>
  <c r="C3571" i="2"/>
  <c r="AA3570" i="2"/>
  <c r="Z3570" i="2"/>
  <c r="C3570" i="2"/>
  <c r="AA3569" i="2"/>
  <c r="Z3569" i="2"/>
  <c r="C3569" i="2"/>
  <c r="AA3568" i="2"/>
  <c r="Z3568" i="2"/>
  <c r="C3568" i="2"/>
  <c r="AA3567" i="2"/>
  <c r="Z3567" i="2"/>
  <c r="C3567" i="2"/>
  <c r="AA3566" i="2"/>
  <c r="Z3566" i="2"/>
  <c r="C3566" i="2"/>
  <c r="AA3565" i="2"/>
  <c r="Z3565" i="2"/>
  <c r="C3565" i="2"/>
  <c r="AA3564" i="2"/>
  <c r="Z3564" i="2"/>
  <c r="C3564" i="2"/>
  <c r="AA3563" i="2"/>
  <c r="Z3563" i="2"/>
  <c r="C3563" i="2"/>
  <c r="AA3562" i="2"/>
  <c r="Z3562" i="2"/>
  <c r="C3562" i="2"/>
  <c r="AA3561" i="2"/>
  <c r="Z3561" i="2"/>
  <c r="C3561" i="2"/>
  <c r="AA3560" i="2"/>
  <c r="Z3560" i="2"/>
  <c r="C3560" i="2"/>
  <c r="AA3559" i="2"/>
  <c r="Z3559" i="2"/>
  <c r="C3559" i="2"/>
  <c r="AA3558" i="2"/>
  <c r="Z3558" i="2"/>
  <c r="C3558" i="2"/>
  <c r="AA3557" i="2"/>
  <c r="Z3557" i="2"/>
  <c r="C3557" i="2"/>
  <c r="AA3556" i="2"/>
  <c r="Z3556" i="2"/>
  <c r="C3556" i="2"/>
  <c r="AA3555" i="2"/>
  <c r="Z3555" i="2"/>
  <c r="C3555" i="2"/>
  <c r="AA3554" i="2"/>
  <c r="Z3554" i="2"/>
  <c r="C3554" i="2"/>
  <c r="AA3553" i="2"/>
  <c r="Z3553" i="2"/>
  <c r="C3553" i="2"/>
  <c r="AA3552" i="2"/>
  <c r="Z3552" i="2"/>
  <c r="C3552" i="2"/>
  <c r="AA3551" i="2"/>
  <c r="Z3551" i="2"/>
  <c r="C3551" i="2"/>
  <c r="AA3550" i="2"/>
  <c r="Z3550" i="2"/>
  <c r="C3550" i="2"/>
  <c r="AA3549" i="2"/>
  <c r="Z3549" i="2"/>
  <c r="C3549" i="2"/>
  <c r="AA3548" i="2"/>
  <c r="Z3548" i="2"/>
  <c r="C3548" i="2"/>
  <c r="AA3547" i="2"/>
  <c r="Z3547" i="2"/>
  <c r="C3547" i="2"/>
  <c r="AA3546" i="2"/>
  <c r="Z3546" i="2"/>
  <c r="C3546" i="2"/>
  <c r="AA3545" i="2"/>
  <c r="Z3545" i="2"/>
  <c r="C3545" i="2"/>
  <c r="AA3544" i="2"/>
  <c r="Z3544" i="2"/>
  <c r="C3544" i="2"/>
  <c r="AA3543" i="2"/>
  <c r="Z3543" i="2"/>
  <c r="C3543" i="2"/>
  <c r="AA3542" i="2"/>
  <c r="Z3542" i="2"/>
  <c r="C3542" i="2"/>
  <c r="AA3541" i="2"/>
  <c r="Z3541" i="2"/>
  <c r="C3541" i="2"/>
  <c r="AA3540" i="2"/>
  <c r="Z3540" i="2"/>
  <c r="C3540" i="2"/>
  <c r="AA3539" i="2"/>
  <c r="Z3539" i="2"/>
  <c r="C3539" i="2"/>
  <c r="AA3538" i="2"/>
  <c r="Z3538" i="2"/>
  <c r="C3538" i="2"/>
  <c r="AA3537" i="2"/>
  <c r="Z3537" i="2"/>
  <c r="C3537" i="2"/>
  <c r="AA3536" i="2"/>
  <c r="Z3536" i="2"/>
  <c r="C3536" i="2"/>
  <c r="AA3535" i="2"/>
  <c r="Z3535" i="2"/>
  <c r="C3535" i="2"/>
  <c r="AA3534" i="2"/>
  <c r="Z3534" i="2"/>
  <c r="C3534" i="2"/>
  <c r="AA3533" i="2"/>
  <c r="Z3533" i="2"/>
  <c r="C3533" i="2"/>
  <c r="AA3532" i="2"/>
  <c r="Z3532" i="2"/>
  <c r="C3532" i="2"/>
  <c r="AA3531" i="2"/>
  <c r="Z3531" i="2"/>
  <c r="C3531" i="2"/>
  <c r="AA3530" i="2"/>
  <c r="Z3530" i="2"/>
  <c r="C3530" i="2"/>
  <c r="AA3529" i="2"/>
  <c r="Z3529" i="2"/>
  <c r="C3529" i="2"/>
  <c r="AA3528" i="2"/>
  <c r="Z3528" i="2"/>
  <c r="C3528" i="2"/>
  <c r="AA3527" i="2"/>
  <c r="Z3527" i="2"/>
  <c r="C3527" i="2"/>
  <c r="AA3526" i="2"/>
  <c r="Z3526" i="2"/>
  <c r="C3526" i="2"/>
  <c r="AA3525" i="2"/>
  <c r="Z3525" i="2"/>
  <c r="C3525" i="2"/>
  <c r="AA3524" i="2"/>
  <c r="Z3524" i="2"/>
  <c r="C3524" i="2"/>
  <c r="AA3523" i="2"/>
  <c r="Z3523" i="2"/>
  <c r="C3523" i="2"/>
  <c r="AA3522" i="2"/>
  <c r="Z3522" i="2"/>
  <c r="C3522" i="2"/>
  <c r="AA3521" i="2"/>
  <c r="Z3521" i="2"/>
  <c r="C3521" i="2"/>
  <c r="AA3520" i="2"/>
  <c r="Z3520" i="2"/>
  <c r="C3520" i="2"/>
  <c r="AA3519" i="2"/>
  <c r="Z3519" i="2"/>
  <c r="C3519" i="2"/>
  <c r="AA3518" i="2"/>
  <c r="Z3518" i="2"/>
  <c r="C3518" i="2"/>
  <c r="AA3517" i="2"/>
  <c r="Z3517" i="2"/>
  <c r="C3517" i="2"/>
  <c r="AA3516" i="2"/>
  <c r="Z3516" i="2"/>
  <c r="C3516" i="2"/>
  <c r="AA3515" i="2"/>
  <c r="Z3515" i="2"/>
  <c r="C3515" i="2"/>
  <c r="AA3514" i="2"/>
  <c r="Z3514" i="2"/>
  <c r="C3514" i="2"/>
  <c r="AA3513" i="2"/>
  <c r="Z3513" i="2"/>
  <c r="C3513" i="2"/>
  <c r="AA3512" i="2"/>
  <c r="Z3512" i="2"/>
  <c r="C3512" i="2"/>
  <c r="AA3511" i="2"/>
  <c r="Z3511" i="2"/>
  <c r="C3511" i="2"/>
  <c r="AA3510" i="2"/>
  <c r="Z3510" i="2"/>
  <c r="C3510" i="2"/>
  <c r="AA3509" i="2"/>
  <c r="Z3509" i="2"/>
  <c r="C3509" i="2"/>
  <c r="AA3508" i="2"/>
  <c r="Z3508" i="2"/>
  <c r="C3508" i="2"/>
  <c r="AA3507" i="2"/>
  <c r="Z3507" i="2"/>
  <c r="C3507" i="2"/>
  <c r="AA3506" i="2"/>
  <c r="Z3506" i="2"/>
  <c r="C3506" i="2"/>
  <c r="AA3505" i="2"/>
  <c r="Z3505" i="2"/>
  <c r="C3505" i="2"/>
  <c r="AA3504" i="2"/>
  <c r="Z3504" i="2"/>
  <c r="C3504" i="2"/>
  <c r="AA3503" i="2"/>
  <c r="Z3503" i="2"/>
  <c r="C3503" i="2"/>
  <c r="AA3502" i="2"/>
  <c r="Z3502" i="2"/>
  <c r="C3502" i="2"/>
  <c r="AA3501" i="2"/>
  <c r="Z3501" i="2"/>
  <c r="C3501" i="2"/>
  <c r="AA3500" i="2"/>
  <c r="Z3500" i="2"/>
  <c r="C3500" i="2"/>
  <c r="AA3499" i="2"/>
  <c r="Z3499" i="2"/>
  <c r="C3499" i="2"/>
  <c r="AA3498" i="2"/>
  <c r="Z3498" i="2"/>
  <c r="C3498" i="2"/>
  <c r="AA3497" i="2"/>
  <c r="Z3497" i="2"/>
  <c r="C3497" i="2"/>
  <c r="AA3496" i="2"/>
  <c r="Z3496" i="2"/>
  <c r="C3496" i="2"/>
  <c r="AA3495" i="2"/>
  <c r="Z3495" i="2"/>
  <c r="C3495" i="2"/>
  <c r="AA3494" i="2"/>
  <c r="Z3494" i="2"/>
  <c r="C3494" i="2"/>
  <c r="AA3493" i="2"/>
  <c r="Z3493" i="2"/>
  <c r="C3493" i="2"/>
  <c r="AA3492" i="2"/>
  <c r="Z3492" i="2"/>
  <c r="C3492" i="2"/>
  <c r="AA3491" i="2"/>
  <c r="Z3491" i="2"/>
  <c r="C3491" i="2"/>
  <c r="AA3490" i="2"/>
  <c r="Z3490" i="2"/>
  <c r="C3490" i="2"/>
  <c r="AA3489" i="2"/>
  <c r="Z3489" i="2"/>
  <c r="C3489" i="2"/>
  <c r="AA3488" i="2"/>
  <c r="Z3488" i="2"/>
  <c r="C3488" i="2"/>
  <c r="AA3487" i="2"/>
  <c r="Z3487" i="2"/>
  <c r="C3487" i="2"/>
  <c r="AA3486" i="2"/>
  <c r="Z3486" i="2"/>
  <c r="C3486" i="2"/>
  <c r="AA3485" i="2"/>
  <c r="Z3485" i="2"/>
  <c r="C3485" i="2"/>
  <c r="AA3484" i="2"/>
  <c r="Z3484" i="2"/>
  <c r="C3484" i="2"/>
  <c r="AA3483" i="2"/>
  <c r="Z3483" i="2"/>
  <c r="C3483" i="2"/>
  <c r="AA3482" i="2"/>
  <c r="Z3482" i="2"/>
  <c r="C3482" i="2"/>
  <c r="AA3481" i="2"/>
  <c r="Z3481" i="2"/>
  <c r="C3481" i="2"/>
  <c r="AA3480" i="2"/>
  <c r="Z3480" i="2"/>
  <c r="C3480" i="2"/>
  <c r="AA3479" i="2"/>
  <c r="Z3479" i="2"/>
  <c r="C3479" i="2"/>
  <c r="AA3478" i="2"/>
  <c r="Z3478" i="2"/>
  <c r="C3478" i="2"/>
  <c r="AA3477" i="2"/>
  <c r="Z3477" i="2"/>
  <c r="C3477" i="2"/>
  <c r="AA3476" i="2"/>
  <c r="Z3476" i="2"/>
  <c r="C3476" i="2"/>
  <c r="AA3475" i="2"/>
  <c r="Z3475" i="2"/>
  <c r="C3475" i="2"/>
  <c r="AA3474" i="2"/>
  <c r="Z3474" i="2"/>
  <c r="C3474" i="2"/>
  <c r="AA3473" i="2"/>
  <c r="Z3473" i="2"/>
  <c r="C3473" i="2"/>
  <c r="AA3472" i="2"/>
  <c r="Z3472" i="2"/>
  <c r="C3472" i="2"/>
  <c r="AA3471" i="2"/>
  <c r="Z3471" i="2"/>
  <c r="C3471" i="2"/>
  <c r="AA3470" i="2"/>
  <c r="Z3470" i="2"/>
  <c r="C3470" i="2"/>
  <c r="AA3469" i="2"/>
  <c r="Z3469" i="2"/>
  <c r="C3469" i="2"/>
  <c r="AA3468" i="2"/>
  <c r="Z3468" i="2"/>
  <c r="C3468" i="2"/>
  <c r="AA3467" i="2"/>
  <c r="Z3467" i="2"/>
  <c r="C3467" i="2"/>
  <c r="AA3466" i="2"/>
  <c r="Z3466" i="2"/>
  <c r="C3466" i="2"/>
  <c r="AA3465" i="2"/>
  <c r="Z3465" i="2"/>
  <c r="C3465" i="2"/>
  <c r="AA3464" i="2"/>
  <c r="Z3464" i="2"/>
  <c r="C3464" i="2"/>
  <c r="AA3463" i="2"/>
  <c r="Z3463" i="2"/>
  <c r="C3463" i="2"/>
  <c r="AA3462" i="2"/>
  <c r="Z3462" i="2"/>
  <c r="C3462" i="2"/>
  <c r="AA3461" i="2"/>
  <c r="Z3461" i="2"/>
  <c r="C3461" i="2"/>
  <c r="AA3460" i="2"/>
  <c r="Z3460" i="2"/>
  <c r="C3460" i="2"/>
  <c r="AA3459" i="2"/>
  <c r="Z3459" i="2"/>
  <c r="C3459" i="2"/>
  <c r="AA3458" i="2"/>
  <c r="Z3458" i="2"/>
  <c r="C3458" i="2"/>
  <c r="AA3457" i="2"/>
  <c r="Z3457" i="2"/>
  <c r="C3457" i="2"/>
  <c r="AA3456" i="2"/>
  <c r="Z3456" i="2"/>
  <c r="C3456" i="2"/>
  <c r="AA3455" i="2"/>
  <c r="Z3455" i="2"/>
  <c r="C3455" i="2"/>
  <c r="AA3454" i="2"/>
  <c r="Z3454" i="2"/>
  <c r="C3454" i="2"/>
  <c r="AA3453" i="2"/>
  <c r="Z3453" i="2"/>
  <c r="C3453" i="2"/>
  <c r="AA3452" i="2"/>
  <c r="Z3452" i="2"/>
  <c r="C3452" i="2"/>
  <c r="AA3451" i="2"/>
  <c r="Z3451" i="2"/>
  <c r="C3451" i="2"/>
  <c r="AA3450" i="2"/>
  <c r="Z3450" i="2"/>
  <c r="C3450" i="2"/>
  <c r="AA3449" i="2"/>
  <c r="Z3449" i="2"/>
  <c r="C3449" i="2"/>
  <c r="AA3448" i="2"/>
  <c r="Z3448" i="2"/>
  <c r="C3448" i="2"/>
  <c r="AA3447" i="2"/>
  <c r="Z3447" i="2"/>
  <c r="C3447" i="2"/>
  <c r="AA3446" i="2"/>
  <c r="Z3446" i="2"/>
  <c r="C3446" i="2"/>
  <c r="AA3445" i="2"/>
  <c r="Z3445" i="2"/>
  <c r="C3445" i="2"/>
  <c r="AA3444" i="2"/>
  <c r="Z3444" i="2"/>
  <c r="C3444" i="2"/>
  <c r="AA3443" i="2"/>
  <c r="Z3443" i="2"/>
  <c r="C3443" i="2"/>
  <c r="AA3442" i="2"/>
  <c r="Z3442" i="2"/>
  <c r="C3442" i="2"/>
  <c r="AA3441" i="2"/>
  <c r="Z3441" i="2"/>
  <c r="C3441" i="2"/>
  <c r="AA3440" i="2"/>
  <c r="Z3440" i="2"/>
  <c r="C3440" i="2"/>
  <c r="AA3439" i="2"/>
  <c r="Z3439" i="2"/>
  <c r="C3439" i="2"/>
  <c r="AA3438" i="2"/>
  <c r="Z3438" i="2"/>
  <c r="C3438" i="2"/>
  <c r="AA3437" i="2"/>
  <c r="Z3437" i="2"/>
  <c r="C3437" i="2"/>
  <c r="AA3436" i="2"/>
  <c r="Z3436" i="2"/>
  <c r="C3436" i="2"/>
  <c r="AA3435" i="2"/>
  <c r="Z3435" i="2"/>
  <c r="C3435" i="2"/>
  <c r="AA3434" i="2"/>
  <c r="Z3434" i="2"/>
  <c r="C3434" i="2"/>
  <c r="AA3433" i="2"/>
  <c r="Z3433" i="2"/>
  <c r="C3433" i="2"/>
  <c r="AA3432" i="2"/>
  <c r="Z3432" i="2"/>
  <c r="C3432" i="2"/>
  <c r="AA3431" i="2"/>
  <c r="Z3431" i="2"/>
  <c r="C3431" i="2"/>
  <c r="AA3430" i="2"/>
  <c r="Z3430" i="2"/>
  <c r="C3430" i="2"/>
  <c r="AA3429" i="2"/>
  <c r="Z3429" i="2"/>
  <c r="C3429" i="2"/>
  <c r="AA3428" i="2"/>
  <c r="Z3428" i="2"/>
  <c r="C3428" i="2"/>
  <c r="AA3427" i="2"/>
  <c r="Z3427" i="2"/>
  <c r="C3427" i="2"/>
  <c r="AA3426" i="2"/>
  <c r="Z3426" i="2"/>
  <c r="C3426" i="2"/>
  <c r="AA3425" i="2"/>
  <c r="Z3425" i="2"/>
  <c r="C3425" i="2"/>
  <c r="AA3424" i="2"/>
  <c r="Z3424" i="2"/>
  <c r="C3424" i="2"/>
  <c r="AA3423" i="2"/>
  <c r="Z3423" i="2"/>
  <c r="C3423" i="2"/>
  <c r="AA3422" i="2"/>
  <c r="Z3422" i="2"/>
  <c r="C3422" i="2"/>
  <c r="AA3421" i="2"/>
  <c r="Z3421" i="2"/>
  <c r="C3421" i="2"/>
  <c r="AA3420" i="2"/>
  <c r="Z3420" i="2"/>
  <c r="C3420" i="2"/>
  <c r="AA3419" i="2"/>
  <c r="Z3419" i="2"/>
  <c r="C3419" i="2"/>
  <c r="AA3418" i="2"/>
  <c r="Z3418" i="2"/>
  <c r="C3418" i="2"/>
  <c r="AA3417" i="2"/>
  <c r="Z3417" i="2"/>
  <c r="C3417" i="2"/>
  <c r="AA3416" i="2"/>
  <c r="Z3416" i="2"/>
  <c r="C3416" i="2"/>
  <c r="AA3415" i="2"/>
  <c r="Z3415" i="2"/>
  <c r="C3415" i="2"/>
  <c r="AA3414" i="2"/>
  <c r="Z3414" i="2"/>
  <c r="C3414" i="2"/>
  <c r="AA3413" i="2"/>
  <c r="Z3413" i="2"/>
  <c r="C3413" i="2"/>
  <c r="AA3412" i="2"/>
  <c r="Z3412" i="2"/>
  <c r="C3412" i="2"/>
  <c r="AA3411" i="2"/>
  <c r="Z3411" i="2"/>
  <c r="C3411" i="2"/>
  <c r="AA3410" i="2"/>
  <c r="Z3410" i="2"/>
  <c r="C3410" i="2"/>
  <c r="AA3409" i="2"/>
  <c r="Z3409" i="2"/>
  <c r="C3409" i="2"/>
  <c r="AA3408" i="2"/>
  <c r="Z3408" i="2"/>
  <c r="C3408" i="2"/>
  <c r="AA3407" i="2"/>
  <c r="Z3407" i="2"/>
  <c r="C3407" i="2"/>
  <c r="AA3406" i="2"/>
  <c r="Z3406" i="2"/>
  <c r="C3406" i="2"/>
  <c r="AA3405" i="2"/>
  <c r="Z3405" i="2"/>
  <c r="C3405" i="2"/>
  <c r="AA3404" i="2"/>
  <c r="Z3404" i="2"/>
  <c r="C3404" i="2"/>
  <c r="AA3403" i="2"/>
  <c r="Z3403" i="2"/>
  <c r="C3403" i="2"/>
  <c r="AA3402" i="2"/>
  <c r="Z3402" i="2"/>
  <c r="C3402" i="2"/>
  <c r="AA3401" i="2"/>
  <c r="Z3401" i="2"/>
  <c r="C3401" i="2"/>
  <c r="AA3400" i="2"/>
  <c r="Z3400" i="2"/>
  <c r="C3400" i="2"/>
  <c r="AA3399" i="2"/>
  <c r="Z3399" i="2"/>
  <c r="C3399" i="2"/>
  <c r="AA3398" i="2"/>
  <c r="Z3398" i="2"/>
  <c r="C3398" i="2"/>
  <c r="AA3397" i="2"/>
  <c r="Z3397" i="2"/>
  <c r="C3397" i="2"/>
  <c r="AA3396" i="2"/>
  <c r="Z3396" i="2"/>
  <c r="C3396" i="2"/>
  <c r="AA3395" i="2"/>
  <c r="Z3395" i="2"/>
  <c r="C3395" i="2"/>
  <c r="AA3394" i="2"/>
  <c r="Z3394" i="2"/>
  <c r="C3394" i="2"/>
  <c r="AA3393" i="2"/>
  <c r="Z3393" i="2"/>
  <c r="C3393" i="2"/>
  <c r="AA3392" i="2"/>
  <c r="Z3392" i="2"/>
  <c r="C3392" i="2"/>
  <c r="AA3391" i="2"/>
  <c r="Z3391" i="2"/>
  <c r="C3391" i="2"/>
  <c r="AA3390" i="2"/>
  <c r="Z3390" i="2"/>
  <c r="C3390" i="2"/>
  <c r="AA3389" i="2"/>
  <c r="Z3389" i="2"/>
  <c r="C3389" i="2"/>
  <c r="AA3388" i="2"/>
  <c r="Z3388" i="2"/>
  <c r="C3388" i="2"/>
  <c r="AA3387" i="2"/>
  <c r="Z3387" i="2"/>
  <c r="C3387" i="2"/>
  <c r="AA3386" i="2"/>
  <c r="Z3386" i="2"/>
  <c r="C3386" i="2"/>
  <c r="AA3385" i="2"/>
  <c r="Z3385" i="2"/>
  <c r="C3385" i="2"/>
  <c r="AA3384" i="2"/>
  <c r="Z3384" i="2"/>
  <c r="C3384" i="2"/>
  <c r="AA3383" i="2"/>
  <c r="Z3383" i="2"/>
  <c r="C3383" i="2"/>
  <c r="AA3382" i="2"/>
  <c r="Z3382" i="2"/>
  <c r="C3382" i="2"/>
  <c r="AA3381" i="2"/>
  <c r="Z3381" i="2"/>
  <c r="C3381" i="2"/>
  <c r="AA3380" i="2"/>
  <c r="Z3380" i="2"/>
  <c r="C3380" i="2"/>
  <c r="AA3379" i="2"/>
  <c r="Z3379" i="2"/>
  <c r="C3379" i="2"/>
  <c r="AA3378" i="2"/>
  <c r="Z3378" i="2"/>
  <c r="C3378" i="2"/>
  <c r="AA3377" i="2"/>
  <c r="Z3377" i="2"/>
  <c r="C3377" i="2"/>
  <c r="AA3376" i="2"/>
  <c r="Z3376" i="2"/>
  <c r="C3376" i="2"/>
  <c r="AA3375" i="2"/>
  <c r="Z3375" i="2"/>
  <c r="C3375" i="2"/>
  <c r="AA3374" i="2"/>
  <c r="Z3374" i="2"/>
  <c r="C3374" i="2"/>
  <c r="AA3373" i="2"/>
  <c r="Z3373" i="2"/>
  <c r="C3373" i="2"/>
  <c r="AA3372" i="2"/>
  <c r="Z3372" i="2"/>
  <c r="C3372" i="2"/>
  <c r="AA3371" i="2"/>
  <c r="Z3371" i="2"/>
  <c r="C3371" i="2"/>
  <c r="AA3370" i="2"/>
  <c r="Z3370" i="2"/>
  <c r="C3370" i="2"/>
  <c r="AA3369" i="2"/>
  <c r="Z3369" i="2"/>
  <c r="C3369" i="2"/>
  <c r="AA3368" i="2"/>
  <c r="Z3368" i="2"/>
  <c r="C3368" i="2"/>
  <c r="AA3367" i="2"/>
  <c r="Z3367" i="2"/>
  <c r="C3367" i="2"/>
  <c r="AA3366" i="2"/>
  <c r="Z3366" i="2"/>
  <c r="C3366" i="2"/>
  <c r="AA3365" i="2"/>
  <c r="Z3365" i="2"/>
  <c r="C3365" i="2"/>
  <c r="AA3364" i="2"/>
  <c r="Z3364" i="2"/>
  <c r="C3364" i="2"/>
  <c r="AA3363" i="2"/>
  <c r="Z3363" i="2"/>
  <c r="C3363" i="2"/>
  <c r="AA3362" i="2"/>
  <c r="Z3362" i="2"/>
  <c r="C3362" i="2"/>
  <c r="AA3361" i="2"/>
  <c r="Z3361" i="2"/>
  <c r="C3361" i="2"/>
  <c r="AA3360" i="2"/>
  <c r="Z3360" i="2"/>
  <c r="C3360" i="2"/>
  <c r="AA3359" i="2"/>
  <c r="Z3359" i="2"/>
  <c r="C3359" i="2"/>
  <c r="AA3358" i="2"/>
  <c r="Z3358" i="2"/>
  <c r="C3358" i="2"/>
  <c r="AA3357" i="2"/>
  <c r="Z3357" i="2"/>
  <c r="C3357" i="2"/>
  <c r="AA3356" i="2"/>
  <c r="Z3356" i="2"/>
  <c r="C3356" i="2"/>
  <c r="AA3355" i="2"/>
  <c r="Z3355" i="2"/>
  <c r="C3355" i="2"/>
  <c r="AA3354" i="2"/>
  <c r="Z3354" i="2"/>
  <c r="C3354" i="2"/>
  <c r="AA3353" i="2"/>
  <c r="Z3353" i="2"/>
  <c r="C3353" i="2"/>
  <c r="AA3352" i="2"/>
  <c r="Z3352" i="2"/>
  <c r="C3352" i="2"/>
  <c r="AA3351" i="2"/>
  <c r="Z3351" i="2"/>
  <c r="C3351" i="2"/>
  <c r="AA3350" i="2"/>
  <c r="Z3350" i="2"/>
  <c r="C3350" i="2"/>
  <c r="AA3349" i="2"/>
  <c r="Z3349" i="2"/>
  <c r="C3349" i="2"/>
  <c r="AA3348" i="2"/>
  <c r="Z3348" i="2"/>
  <c r="C3348" i="2"/>
  <c r="AA3347" i="2"/>
  <c r="Z3347" i="2"/>
  <c r="C3347" i="2"/>
  <c r="AA3346" i="2"/>
  <c r="Z3346" i="2"/>
  <c r="C3346" i="2"/>
  <c r="AA3345" i="2"/>
  <c r="Z3345" i="2"/>
  <c r="C3345" i="2"/>
  <c r="AA3344" i="2"/>
  <c r="Z3344" i="2"/>
  <c r="C3344" i="2"/>
  <c r="AA3343" i="2"/>
  <c r="Z3343" i="2"/>
  <c r="C3343" i="2"/>
  <c r="AA3342" i="2"/>
  <c r="Z3342" i="2"/>
  <c r="C3342" i="2"/>
  <c r="AA3341" i="2"/>
  <c r="Z3341" i="2"/>
  <c r="C3341" i="2"/>
  <c r="AA3340" i="2"/>
  <c r="Z3340" i="2"/>
  <c r="C3340" i="2"/>
  <c r="AA3339" i="2"/>
  <c r="Z3339" i="2"/>
  <c r="C3339" i="2"/>
  <c r="AA3338" i="2"/>
  <c r="Z3338" i="2"/>
  <c r="C3338" i="2"/>
  <c r="AA3337" i="2"/>
  <c r="Z3337" i="2"/>
  <c r="C3337" i="2"/>
  <c r="AA3336" i="2"/>
  <c r="Z3336" i="2"/>
  <c r="C3336" i="2"/>
  <c r="AA3335" i="2"/>
  <c r="Z3335" i="2"/>
  <c r="C3335" i="2"/>
  <c r="AA3334" i="2"/>
  <c r="Z3334" i="2"/>
  <c r="C3334" i="2"/>
  <c r="AA3333" i="2"/>
  <c r="Z3333" i="2"/>
  <c r="C3333" i="2"/>
  <c r="AA3332" i="2"/>
  <c r="Z3332" i="2"/>
  <c r="C3332" i="2"/>
  <c r="AA3331" i="2"/>
  <c r="Z3331" i="2"/>
  <c r="C3331" i="2"/>
  <c r="AA3330" i="2"/>
  <c r="Z3330" i="2"/>
  <c r="C3330" i="2"/>
  <c r="AA3329" i="2"/>
  <c r="Z3329" i="2"/>
  <c r="C3329" i="2"/>
  <c r="AA3328" i="2"/>
  <c r="Z3328" i="2"/>
  <c r="C3328" i="2"/>
  <c r="AA3327" i="2"/>
  <c r="Z3327" i="2"/>
  <c r="C3327" i="2"/>
  <c r="AA3326" i="2"/>
  <c r="Z3326" i="2"/>
  <c r="C3326" i="2"/>
  <c r="AA3325" i="2"/>
  <c r="Z3325" i="2"/>
  <c r="C3325" i="2"/>
  <c r="AA3324" i="2"/>
  <c r="Z3324" i="2"/>
  <c r="C3324" i="2"/>
  <c r="AA3323" i="2"/>
  <c r="Z3323" i="2"/>
  <c r="C3323" i="2"/>
  <c r="AA3322" i="2"/>
  <c r="Z3322" i="2"/>
  <c r="C3322" i="2"/>
  <c r="AA3321" i="2"/>
  <c r="Z3321" i="2"/>
  <c r="C3321" i="2"/>
  <c r="AA3320" i="2"/>
  <c r="Z3320" i="2"/>
  <c r="C3320" i="2"/>
  <c r="AA3319" i="2"/>
  <c r="Z3319" i="2"/>
  <c r="C3319" i="2"/>
  <c r="AA3318" i="2"/>
  <c r="Z3318" i="2"/>
  <c r="C3318" i="2"/>
  <c r="AA3317" i="2"/>
  <c r="Z3317" i="2"/>
  <c r="C3317" i="2"/>
  <c r="AA3316" i="2"/>
  <c r="Z3316" i="2"/>
  <c r="C3316" i="2"/>
  <c r="AA3315" i="2"/>
  <c r="Z3315" i="2"/>
  <c r="C3315" i="2"/>
  <c r="AA3314" i="2"/>
  <c r="Z3314" i="2"/>
  <c r="C3314" i="2"/>
  <c r="AA3313" i="2"/>
  <c r="Z3313" i="2"/>
  <c r="C3313" i="2"/>
  <c r="AA3312" i="2"/>
  <c r="Z3312" i="2"/>
  <c r="C3312" i="2"/>
  <c r="AA3311" i="2"/>
  <c r="Z3311" i="2"/>
  <c r="C3311" i="2"/>
  <c r="AA3310" i="2"/>
  <c r="Z3310" i="2"/>
  <c r="C3310" i="2"/>
  <c r="AA3309" i="2"/>
  <c r="Z3309" i="2"/>
  <c r="C3309" i="2"/>
  <c r="AA3308" i="2"/>
  <c r="Z3308" i="2"/>
  <c r="C3308" i="2"/>
  <c r="AA3307" i="2"/>
  <c r="Z3307" i="2"/>
  <c r="C3307" i="2"/>
  <c r="AA3306" i="2"/>
  <c r="Z3306" i="2"/>
  <c r="C3306" i="2"/>
  <c r="AA3305" i="2"/>
  <c r="Z3305" i="2"/>
  <c r="C3305" i="2"/>
  <c r="AA3304" i="2"/>
  <c r="Z3304" i="2"/>
  <c r="C3304" i="2"/>
  <c r="AA3303" i="2"/>
  <c r="Z3303" i="2"/>
  <c r="C3303" i="2"/>
  <c r="AA3302" i="2"/>
  <c r="Z3302" i="2"/>
  <c r="C3302" i="2"/>
  <c r="AA3301" i="2"/>
  <c r="Z3301" i="2"/>
  <c r="C3301" i="2"/>
  <c r="AA3300" i="2"/>
  <c r="Z3300" i="2"/>
  <c r="C3300" i="2"/>
  <c r="AA3299" i="2"/>
  <c r="Z3299" i="2"/>
  <c r="C3299" i="2"/>
  <c r="AA3298" i="2"/>
  <c r="Z3298" i="2"/>
  <c r="C3298" i="2"/>
  <c r="AA3297" i="2"/>
  <c r="Z3297" i="2"/>
  <c r="C3297" i="2"/>
  <c r="AA3296" i="2"/>
  <c r="Z3296" i="2"/>
  <c r="C3296" i="2"/>
  <c r="AA3295" i="2"/>
  <c r="Z3295" i="2"/>
  <c r="C3295" i="2"/>
  <c r="AA3294" i="2"/>
  <c r="Z3294" i="2"/>
  <c r="C3294" i="2"/>
  <c r="AA3293" i="2"/>
  <c r="Z3293" i="2"/>
  <c r="C3293" i="2"/>
  <c r="AA3292" i="2"/>
  <c r="Z3292" i="2"/>
  <c r="C3292" i="2"/>
  <c r="AA3291" i="2"/>
  <c r="Z3291" i="2"/>
  <c r="C3291" i="2"/>
  <c r="AA3290" i="2"/>
  <c r="Z3290" i="2"/>
  <c r="C3290" i="2"/>
  <c r="AA3289" i="2"/>
  <c r="Z3289" i="2"/>
  <c r="C3289" i="2"/>
  <c r="AA3288" i="2"/>
  <c r="Z3288" i="2"/>
  <c r="C3288" i="2"/>
  <c r="AA3287" i="2"/>
  <c r="Z3287" i="2"/>
  <c r="C3287" i="2"/>
  <c r="AA3286" i="2"/>
  <c r="Z3286" i="2"/>
  <c r="C3286" i="2"/>
  <c r="AA3285" i="2"/>
  <c r="Z3285" i="2"/>
  <c r="C3285" i="2"/>
  <c r="AA3284" i="2"/>
  <c r="Z3284" i="2"/>
  <c r="C3284" i="2"/>
  <c r="AA3283" i="2"/>
  <c r="Z3283" i="2"/>
  <c r="C3283" i="2"/>
  <c r="AA3282" i="2"/>
  <c r="Z3282" i="2"/>
  <c r="C3282" i="2"/>
  <c r="AA3281" i="2"/>
  <c r="Z3281" i="2"/>
  <c r="C3281" i="2"/>
  <c r="AA3280" i="2"/>
  <c r="Z3280" i="2"/>
  <c r="C3280" i="2"/>
  <c r="AA3279" i="2"/>
  <c r="Z3279" i="2"/>
  <c r="C3279" i="2"/>
  <c r="AA3278" i="2"/>
  <c r="Z3278" i="2"/>
  <c r="C3278" i="2"/>
  <c r="AA3277" i="2"/>
  <c r="Z3277" i="2"/>
  <c r="C3277" i="2"/>
  <c r="AA3276" i="2"/>
  <c r="Z3276" i="2"/>
  <c r="C3276" i="2"/>
  <c r="AA3275" i="2"/>
  <c r="Z3275" i="2"/>
  <c r="C3275" i="2"/>
  <c r="AA3274" i="2"/>
  <c r="Z3274" i="2"/>
  <c r="C3274" i="2"/>
  <c r="AA3273" i="2"/>
  <c r="Z3273" i="2"/>
  <c r="C3273" i="2"/>
  <c r="AA3272" i="2"/>
  <c r="Z3272" i="2"/>
  <c r="C3272" i="2"/>
  <c r="AA3271" i="2"/>
  <c r="Z3271" i="2"/>
  <c r="C3271" i="2"/>
  <c r="AA3270" i="2"/>
  <c r="Z3270" i="2"/>
  <c r="C3270" i="2"/>
  <c r="AA3269" i="2"/>
  <c r="Z3269" i="2"/>
  <c r="C3269" i="2"/>
  <c r="AA3268" i="2"/>
  <c r="Z3268" i="2"/>
  <c r="C3268" i="2"/>
  <c r="AA3267" i="2"/>
  <c r="Z3267" i="2"/>
  <c r="C3267" i="2"/>
  <c r="AA3266" i="2"/>
  <c r="Z3266" i="2"/>
  <c r="C3266" i="2"/>
  <c r="AA3265" i="2"/>
  <c r="Z3265" i="2"/>
  <c r="C3265" i="2"/>
  <c r="AA3264" i="2"/>
  <c r="Z3264" i="2"/>
  <c r="C3264" i="2"/>
  <c r="AA3263" i="2"/>
  <c r="Z3263" i="2"/>
  <c r="C3263" i="2"/>
  <c r="AA3262" i="2"/>
  <c r="Z3262" i="2"/>
  <c r="C3262" i="2"/>
  <c r="AA3261" i="2"/>
  <c r="Z3261" i="2"/>
  <c r="C3261" i="2"/>
  <c r="AA3260" i="2"/>
  <c r="Z3260" i="2"/>
  <c r="C3260" i="2"/>
  <c r="AA3259" i="2"/>
  <c r="Z3259" i="2"/>
  <c r="C3259" i="2"/>
  <c r="AA3258" i="2"/>
  <c r="Z3258" i="2"/>
  <c r="C3258" i="2"/>
  <c r="AA3257" i="2"/>
  <c r="Z3257" i="2"/>
  <c r="C3257" i="2"/>
  <c r="AA3256" i="2"/>
  <c r="Z3256" i="2"/>
  <c r="C3256" i="2"/>
  <c r="AA3255" i="2"/>
  <c r="Z3255" i="2"/>
  <c r="C3255" i="2"/>
  <c r="AA3254" i="2"/>
  <c r="Z3254" i="2"/>
  <c r="C3254" i="2"/>
  <c r="AA3253" i="2"/>
  <c r="Z3253" i="2"/>
  <c r="C3253" i="2"/>
  <c r="AA3252" i="2"/>
  <c r="Z3252" i="2"/>
  <c r="C3252" i="2"/>
  <c r="AA3251" i="2"/>
  <c r="Z3251" i="2"/>
  <c r="C3251" i="2"/>
  <c r="AA3250" i="2"/>
  <c r="Z3250" i="2"/>
  <c r="C3250" i="2"/>
  <c r="AA3249" i="2"/>
  <c r="Z3249" i="2"/>
  <c r="C3249" i="2"/>
  <c r="AA3248" i="2"/>
  <c r="Z3248" i="2"/>
  <c r="C3248" i="2"/>
  <c r="AA3247" i="2"/>
  <c r="Z3247" i="2"/>
  <c r="C3247" i="2"/>
  <c r="AA3246" i="2"/>
  <c r="Z3246" i="2"/>
  <c r="C3246" i="2"/>
  <c r="AA3245" i="2"/>
  <c r="Z3245" i="2"/>
  <c r="C3245" i="2"/>
  <c r="AA3244" i="2"/>
  <c r="Z3244" i="2"/>
  <c r="C3244" i="2"/>
  <c r="AA3243" i="2"/>
  <c r="Z3243" i="2"/>
  <c r="C3243" i="2"/>
  <c r="AA3242" i="2"/>
  <c r="Z3242" i="2"/>
  <c r="C3242" i="2"/>
  <c r="AA3241" i="2"/>
  <c r="Z3241" i="2"/>
  <c r="C3241" i="2"/>
  <c r="AA3240" i="2"/>
  <c r="Z3240" i="2"/>
  <c r="C3240" i="2"/>
  <c r="AA3239" i="2"/>
  <c r="Z3239" i="2"/>
  <c r="C3239" i="2"/>
  <c r="AA3238" i="2"/>
  <c r="Z3238" i="2"/>
  <c r="C3238" i="2"/>
  <c r="AA3237" i="2"/>
  <c r="Z3237" i="2"/>
  <c r="C3237" i="2"/>
  <c r="AA3236" i="2"/>
  <c r="Z3236" i="2"/>
  <c r="C3236" i="2"/>
  <c r="AA3235" i="2"/>
  <c r="Z3235" i="2"/>
  <c r="C3235" i="2"/>
  <c r="AA3234" i="2"/>
  <c r="Z3234" i="2"/>
  <c r="C3234" i="2"/>
  <c r="AA3233" i="2"/>
  <c r="Z3233" i="2"/>
  <c r="C3233" i="2"/>
  <c r="AA3232" i="2"/>
  <c r="Z3232" i="2"/>
  <c r="C3232" i="2"/>
  <c r="AA3231" i="2"/>
  <c r="Z3231" i="2"/>
  <c r="C3231" i="2"/>
  <c r="AA3230" i="2"/>
  <c r="Z3230" i="2"/>
  <c r="C3230" i="2"/>
  <c r="AA3229" i="2"/>
  <c r="Z3229" i="2"/>
  <c r="C3229" i="2"/>
  <c r="AA3228" i="2"/>
  <c r="Z3228" i="2"/>
  <c r="C3228" i="2"/>
  <c r="AA3227" i="2"/>
  <c r="Z3227" i="2"/>
  <c r="C3227" i="2"/>
  <c r="AA3226" i="2"/>
  <c r="Z3226" i="2"/>
  <c r="C3226" i="2"/>
  <c r="AA3225" i="2"/>
  <c r="Z3225" i="2"/>
  <c r="C3225" i="2"/>
  <c r="AA3224" i="2"/>
  <c r="Z3224" i="2"/>
  <c r="C3224" i="2"/>
  <c r="AA3223" i="2"/>
  <c r="Z3223" i="2"/>
  <c r="C3223" i="2"/>
  <c r="AA3222" i="2"/>
  <c r="Z3222" i="2"/>
  <c r="C3222" i="2"/>
  <c r="AA3221" i="2"/>
  <c r="Z3221" i="2"/>
  <c r="C3221" i="2"/>
  <c r="AA3220" i="2"/>
  <c r="Z3220" i="2"/>
  <c r="C3220" i="2"/>
  <c r="AA3219" i="2"/>
  <c r="Z3219" i="2"/>
  <c r="C3219" i="2"/>
  <c r="AA3218" i="2"/>
  <c r="Z3218" i="2"/>
  <c r="C3218" i="2"/>
  <c r="AA3217" i="2"/>
  <c r="Z3217" i="2"/>
  <c r="C3217" i="2"/>
  <c r="AA3216" i="2"/>
  <c r="Z3216" i="2"/>
  <c r="C3216" i="2"/>
  <c r="AA3215" i="2"/>
  <c r="Z3215" i="2"/>
  <c r="C3215" i="2"/>
  <c r="AA3214" i="2"/>
  <c r="Z3214" i="2"/>
  <c r="C3214" i="2"/>
  <c r="AA3213" i="2"/>
  <c r="Z3213" i="2"/>
  <c r="C3213" i="2"/>
  <c r="AA3212" i="2"/>
  <c r="Z3212" i="2"/>
  <c r="C3212" i="2"/>
  <c r="AA3211" i="2"/>
  <c r="Z3211" i="2"/>
  <c r="C3211" i="2"/>
  <c r="AA3210" i="2"/>
  <c r="Z3210" i="2"/>
  <c r="C3210" i="2"/>
  <c r="AA3209" i="2"/>
  <c r="Z3209" i="2"/>
  <c r="C3209" i="2"/>
  <c r="AA3208" i="2"/>
  <c r="Z3208" i="2"/>
  <c r="C3208" i="2"/>
  <c r="AA3207" i="2"/>
  <c r="Z3207" i="2"/>
  <c r="C3207" i="2"/>
  <c r="AA3206" i="2"/>
  <c r="Z3206" i="2"/>
  <c r="C3206" i="2"/>
  <c r="AA3205" i="2"/>
  <c r="Z3205" i="2"/>
  <c r="C3205" i="2"/>
  <c r="AA3204" i="2"/>
  <c r="Z3204" i="2"/>
  <c r="C3204" i="2"/>
  <c r="AA3203" i="2"/>
  <c r="Z3203" i="2"/>
  <c r="C3203" i="2"/>
  <c r="AA3202" i="2"/>
  <c r="Z3202" i="2"/>
  <c r="C3202" i="2"/>
  <c r="AA3201" i="2"/>
  <c r="Z3201" i="2"/>
  <c r="C3201" i="2"/>
  <c r="AA3200" i="2"/>
  <c r="Z3200" i="2"/>
  <c r="C3200" i="2"/>
  <c r="AA3199" i="2"/>
  <c r="Z3199" i="2"/>
  <c r="C3199" i="2"/>
  <c r="AA3198" i="2"/>
  <c r="Z3198" i="2"/>
  <c r="C3198" i="2"/>
  <c r="AA3197" i="2"/>
  <c r="Z3197" i="2"/>
  <c r="C3197" i="2"/>
  <c r="AA3196" i="2"/>
  <c r="Z3196" i="2"/>
  <c r="C3196" i="2"/>
  <c r="AA3195" i="2"/>
  <c r="Z3195" i="2"/>
  <c r="C3195" i="2"/>
  <c r="AA3194" i="2"/>
  <c r="Z3194" i="2"/>
  <c r="C3194" i="2"/>
  <c r="AA3193" i="2"/>
  <c r="Z3193" i="2"/>
  <c r="C3193" i="2"/>
  <c r="AA3192" i="2"/>
  <c r="Z3192" i="2"/>
  <c r="C3192" i="2"/>
  <c r="AA3191" i="2"/>
  <c r="Z3191" i="2"/>
  <c r="C3191" i="2"/>
  <c r="AA3190" i="2"/>
  <c r="Z3190" i="2"/>
  <c r="C3190" i="2"/>
  <c r="AA3189" i="2"/>
  <c r="Z3189" i="2"/>
  <c r="C3189" i="2"/>
  <c r="AA3188" i="2"/>
  <c r="Z3188" i="2"/>
  <c r="C3188" i="2"/>
  <c r="AA3187" i="2"/>
  <c r="Z3187" i="2"/>
  <c r="C3187" i="2"/>
  <c r="AA3186" i="2"/>
  <c r="Z3186" i="2"/>
  <c r="C3186" i="2"/>
  <c r="AA3185" i="2"/>
  <c r="Z3185" i="2"/>
  <c r="C3185" i="2"/>
  <c r="AA3184" i="2"/>
  <c r="Z3184" i="2"/>
  <c r="C3184" i="2"/>
  <c r="AA3183" i="2"/>
  <c r="Z3183" i="2"/>
  <c r="C3183" i="2"/>
  <c r="AA3182" i="2"/>
  <c r="Z3182" i="2"/>
  <c r="C3182" i="2"/>
  <c r="AA3181" i="2"/>
  <c r="Z3181" i="2"/>
  <c r="C3181" i="2"/>
  <c r="AA3180" i="2"/>
  <c r="Z3180" i="2"/>
  <c r="C3180" i="2"/>
  <c r="AA3179" i="2"/>
  <c r="Z3179" i="2"/>
  <c r="C3179" i="2"/>
  <c r="AA3178" i="2"/>
  <c r="Z3178" i="2"/>
  <c r="C3178" i="2"/>
  <c r="AA3177" i="2"/>
  <c r="Z3177" i="2"/>
  <c r="C3177" i="2"/>
  <c r="AA3176" i="2"/>
  <c r="Z3176" i="2"/>
  <c r="C3176" i="2"/>
  <c r="AA3175" i="2"/>
  <c r="Z3175" i="2"/>
  <c r="C3175" i="2"/>
  <c r="AA3174" i="2"/>
  <c r="Z3174" i="2"/>
  <c r="C3174" i="2"/>
  <c r="AA3173" i="2"/>
  <c r="Z3173" i="2"/>
  <c r="C3173" i="2"/>
  <c r="AA3172" i="2"/>
  <c r="Z3172" i="2"/>
  <c r="C3172" i="2"/>
  <c r="AA3171" i="2"/>
  <c r="Z3171" i="2"/>
  <c r="C3171" i="2"/>
  <c r="AA3170" i="2"/>
  <c r="Z3170" i="2"/>
  <c r="C3170" i="2"/>
  <c r="AA3169" i="2"/>
  <c r="Z3169" i="2"/>
  <c r="C3169" i="2"/>
  <c r="AA3168" i="2"/>
  <c r="Z3168" i="2"/>
  <c r="C3168" i="2"/>
  <c r="AA3167" i="2"/>
  <c r="Z3167" i="2"/>
  <c r="C3167" i="2"/>
  <c r="AA3166" i="2"/>
  <c r="Z3166" i="2"/>
  <c r="C3166" i="2"/>
  <c r="AA3165" i="2"/>
  <c r="Z3165" i="2"/>
  <c r="C3165" i="2"/>
  <c r="AA3164" i="2"/>
  <c r="Z3164" i="2"/>
  <c r="C3164" i="2"/>
  <c r="AA3163" i="2"/>
  <c r="Z3163" i="2"/>
  <c r="C3163" i="2"/>
  <c r="AA3162" i="2"/>
  <c r="Z3162" i="2"/>
  <c r="C3162" i="2"/>
  <c r="AA3161" i="2"/>
  <c r="Z3161" i="2"/>
  <c r="C3161" i="2"/>
  <c r="AA3160" i="2"/>
  <c r="Z3160" i="2"/>
  <c r="C3160" i="2"/>
  <c r="AA3159" i="2"/>
  <c r="Z3159" i="2"/>
  <c r="C3159" i="2"/>
  <c r="AA3158" i="2"/>
  <c r="Z3158" i="2"/>
  <c r="C3158" i="2"/>
  <c r="AA3157" i="2"/>
  <c r="Z3157" i="2"/>
  <c r="C3157" i="2"/>
  <c r="AA3156" i="2"/>
  <c r="Z3156" i="2"/>
  <c r="C3156" i="2"/>
  <c r="AA3155" i="2"/>
  <c r="Z3155" i="2"/>
  <c r="C3155" i="2"/>
  <c r="AA3154" i="2"/>
  <c r="Z3154" i="2"/>
  <c r="C3154" i="2"/>
  <c r="AA3153" i="2"/>
  <c r="Z3153" i="2"/>
  <c r="C3153" i="2"/>
  <c r="AA3152" i="2"/>
  <c r="Z3152" i="2"/>
  <c r="C3152" i="2"/>
  <c r="AA3151" i="2"/>
  <c r="Z3151" i="2"/>
  <c r="C3151" i="2"/>
  <c r="AA3150" i="2"/>
  <c r="Z3150" i="2"/>
  <c r="C3150" i="2"/>
  <c r="AA3149" i="2"/>
  <c r="Z3149" i="2"/>
  <c r="C3149" i="2"/>
  <c r="AA3148" i="2"/>
  <c r="Z3148" i="2"/>
  <c r="C3148" i="2"/>
  <c r="AA3147" i="2"/>
  <c r="Z3147" i="2"/>
  <c r="C3147" i="2"/>
  <c r="AA3146" i="2"/>
  <c r="Z3146" i="2"/>
  <c r="C3146" i="2"/>
  <c r="AA3145" i="2"/>
  <c r="Z3145" i="2"/>
  <c r="C3145" i="2"/>
  <c r="AA3144" i="2"/>
  <c r="Z3144" i="2"/>
  <c r="C3144" i="2"/>
  <c r="AA3143" i="2"/>
  <c r="Z3143" i="2"/>
  <c r="C3143" i="2"/>
  <c r="AA3142" i="2"/>
  <c r="Z3142" i="2"/>
  <c r="C3142" i="2"/>
  <c r="AA3141" i="2"/>
  <c r="Z3141" i="2"/>
  <c r="C3141" i="2"/>
  <c r="AA3140" i="2"/>
  <c r="Z3140" i="2"/>
  <c r="C3140" i="2"/>
  <c r="AA3139" i="2"/>
  <c r="Z3139" i="2"/>
  <c r="C3139" i="2"/>
  <c r="AA3138" i="2"/>
  <c r="Z3138" i="2"/>
  <c r="C3138" i="2"/>
  <c r="AA3137" i="2"/>
  <c r="Z3137" i="2"/>
  <c r="C3137" i="2"/>
  <c r="AA3136" i="2"/>
  <c r="Z3136" i="2"/>
  <c r="C3136" i="2"/>
  <c r="AA3135" i="2"/>
  <c r="Z3135" i="2"/>
  <c r="C3135" i="2"/>
  <c r="AA3134" i="2"/>
  <c r="Z3134" i="2"/>
  <c r="C3134" i="2"/>
  <c r="AA3133" i="2"/>
  <c r="Z3133" i="2"/>
  <c r="C3133" i="2"/>
  <c r="AA3132" i="2"/>
  <c r="Z3132" i="2"/>
  <c r="C3132" i="2"/>
  <c r="AA3131" i="2"/>
  <c r="Z3131" i="2"/>
  <c r="C3131" i="2"/>
  <c r="AA3130" i="2"/>
  <c r="Z3130" i="2"/>
  <c r="C3130" i="2"/>
  <c r="AA3129" i="2"/>
  <c r="Z3129" i="2"/>
  <c r="C3129" i="2"/>
  <c r="AA3128" i="2"/>
  <c r="Z3128" i="2"/>
  <c r="C3128" i="2"/>
  <c r="AA3127" i="2"/>
  <c r="Z3127" i="2"/>
  <c r="C3127" i="2"/>
  <c r="AA3126" i="2"/>
  <c r="Z3126" i="2"/>
  <c r="C3126" i="2"/>
  <c r="AA3125" i="2"/>
  <c r="Z3125" i="2"/>
  <c r="C3125" i="2"/>
  <c r="AA3124" i="2"/>
  <c r="Z3124" i="2"/>
  <c r="C3124" i="2"/>
  <c r="AA3123" i="2"/>
  <c r="Z3123" i="2"/>
  <c r="C3123" i="2"/>
  <c r="AA3122" i="2"/>
  <c r="Z3122" i="2"/>
  <c r="C3122" i="2"/>
  <c r="AA3121" i="2"/>
  <c r="Z3121" i="2"/>
  <c r="C3121" i="2"/>
  <c r="AA3120" i="2"/>
  <c r="Z3120" i="2"/>
  <c r="C3120" i="2"/>
  <c r="AA3119" i="2"/>
  <c r="Z3119" i="2"/>
  <c r="C3119" i="2"/>
  <c r="AA3118" i="2"/>
  <c r="Z3118" i="2"/>
  <c r="C3118" i="2"/>
  <c r="AA3117" i="2"/>
  <c r="Z3117" i="2"/>
  <c r="C3117" i="2"/>
  <c r="AA3116" i="2"/>
  <c r="Z3116" i="2"/>
  <c r="C3116" i="2"/>
  <c r="AA3115" i="2"/>
  <c r="Z3115" i="2"/>
  <c r="C3115" i="2"/>
  <c r="AA3114" i="2"/>
  <c r="Z3114" i="2"/>
  <c r="C3114" i="2"/>
  <c r="AA3113" i="2"/>
  <c r="Z3113" i="2"/>
  <c r="C3113" i="2"/>
  <c r="AA3112" i="2"/>
  <c r="Z3112" i="2"/>
  <c r="C3112" i="2"/>
  <c r="AA3111" i="2"/>
  <c r="Z3111" i="2"/>
  <c r="C3111" i="2"/>
  <c r="AA3110" i="2"/>
  <c r="Z3110" i="2"/>
  <c r="C3110" i="2"/>
  <c r="AA3109" i="2"/>
  <c r="Z3109" i="2"/>
  <c r="C3109" i="2"/>
  <c r="AA3108" i="2"/>
  <c r="Z3108" i="2"/>
  <c r="C3108" i="2"/>
  <c r="AA3107" i="2"/>
  <c r="Z3107" i="2"/>
  <c r="C3107" i="2"/>
  <c r="AA3106" i="2"/>
  <c r="Z3106" i="2"/>
  <c r="C3106" i="2"/>
  <c r="AA3105" i="2"/>
  <c r="Z3105" i="2"/>
  <c r="C3105" i="2"/>
  <c r="AA3104" i="2"/>
  <c r="Z3104" i="2"/>
  <c r="C3104" i="2"/>
  <c r="AA3103" i="2"/>
  <c r="Z3103" i="2"/>
  <c r="C3103" i="2"/>
  <c r="AA3102" i="2"/>
  <c r="Z3102" i="2"/>
  <c r="C3102" i="2"/>
  <c r="AA3101" i="2"/>
  <c r="Z3101" i="2"/>
  <c r="C3101" i="2"/>
  <c r="AA3100" i="2"/>
  <c r="Z3100" i="2"/>
  <c r="C3100" i="2"/>
  <c r="AA3099" i="2"/>
  <c r="Z3099" i="2"/>
  <c r="C3099" i="2"/>
  <c r="AA3098" i="2"/>
  <c r="Z3098" i="2"/>
  <c r="C3098" i="2"/>
  <c r="AA3097" i="2"/>
  <c r="Z3097" i="2"/>
  <c r="C3097" i="2"/>
  <c r="AA3096" i="2"/>
  <c r="Z3096" i="2"/>
  <c r="C3096" i="2"/>
  <c r="AA3095" i="2"/>
  <c r="Z3095" i="2"/>
  <c r="C3095" i="2"/>
  <c r="AA3094" i="2"/>
  <c r="Z3094" i="2"/>
  <c r="C3094" i="2"/>
  <c r="AA3093" i="2"/>
  <c r="Z3093" i="2"/>
  <c r="C3093" i="2"/>
  <c r="AA3092" i="2"/>
  <c r="Z3092" i="2"/>
  <c r="C3092" i="2"/>
  <c r="AA3091" i="2"/>
  <c r="Z3091" i="2"/>
  <c r="C3091" i="2"/>
  <c r="AA3090" i="2"/>
  <c r="Z3090" i="2"/>
  <c r="C3090" i="2"/>
  <c r="AA3089" i="2"/>
  <c r="Z3089" i="2"/>
  <c r="C3089" i="2"/>
  <c r="AA3088" i="2"/>
  <c r="Z3088" i="2"/>
  <c r="C3088" i="2"/>
  <c r="AA3087" i="2"/>
  <c r="Z3087" i="2"/>
  <c r="C3087" i="2"/>
  <c r="AA3086" i="2"/>
  <c r="Z3086" i="2"/>
  <c r="C3086" i="2"/>
  <c r="AA3085" i="2"/>
  <c r="Z3085" i="2"/>
  <c r="C3085" i="2"/>
  <c r="AA3084" i="2"/>
  <c r="Z3084" i="2"/>
  <c r="C3084" i="2"/>
  <c r="AA3083" i="2"/>
  <c r="Z3083" i="2"/>
  <c r="C3083" i="2"/>
  <c r="AA3082" i="2"/>
  <c r="Z3082" i="2"/>
  <c r="C3082" i="2"/>
  <c r="AA3081" i="2"/>
  <c r="Z3081" i="2"/>
  <c r="C3081" i="2"/>
  <c r="AA3080" i="2"/>
  <c r="Z3080" i="2"/>
  <c r="C3080" i="2"/>
  <c r="AA3079" i="2"/>
  <c r="Z3079" i="2"/>
  <c r="C3079" i="2"/>
  <c r="AA3078" i="2"/>
  <c r="Z3078" i="2"/>
  <c r="C3078" i="2"/>
  <c r="AA3077" i="2"/>
  <c r="Z3077" i="2"/>
  <c r="C3077" i="2"/>
  <c r="AA3076" i="2"/>
  <c r="Z3076" i="2"/>
  <c r="C3076" i="2"/>
  <c r="AA3075" i="2"/>
  <c r="Z3075" i="2"/>
  <c r="C3075" i="2"/>
  <c r="AA3074" i="2"/>
  <c r="Z3074" i="2"/>
  <c r="C3074" i="2"/>
  <c r="AA3073" i="2"/>
  <c r="Z3073" i="2"/>
  <c r="C3073" i="2"/>
  <c r="AA3072" i="2"/>
  <c r="Z3072" i="2"/>
  <c r="C3072" i="2"/>
  <c r="AA3071" i="2"/>
  <c r="Z3071" i="2"/>
  <c r="C3071" i="2"/>
  <c r="AA3070" i="2"/>
  <c r="Z3070" i="2"/>
  <c r="C3070" i="2"/>
  <c r="AA3069" i="2"/>
  <c r="Z3069" i="2"/>
  <c r="C3069" i="2"/>
  <c r="AA3068" i="2"/>
  <c r="Z3068" i="2"/>
  <c r="C3068" i="2"/>
  <c r="AA3067" i="2"/>
  <c r="Z3067" i="2"/>
  <c r="C3067" i="2"/>
  <c r="AA3066" i="2"/>
  <c r="Z3066" i="2"/>
  <c r="C3066" i="2"/>
  <c r="AA3065" i="2"/>
  <c r="Z3065" i="2"/>
  <c r="C3065" i="2"/>
  <c r="AA3064" i="2"/>
  <c r="Z3064" i="2"/>
  <c r="C3064" i="2"/>
  <c r="AA3063" i="2"/>
  <c r="Z3063" i="2"/>
  <c r="C3063" i="2"/>
  <c r="AA3062" i="2"/>
  <c r="Z3062" i="2"/>
  <c r="C3062" i="2"/>
  <c r="AA3061" i="2"/>
  <c r="Z3061" i="2"/>
  <c r="C3061" i="2"/>
  <c r="AA3060" i="2"/>
  <c r="Z3060" i="2"/>
  <c r="C3060" i="2"/>
  <c r="AA3059" i="2"/>
  <c r="Z3059" i="2"/>
  <c r="C3059" i="2"/>
  <c r="AA3058" i="2"/>
  <c r="Z3058" i="2"/>
  <c r="C3058" i="2"/>
  <c r="AA3057" i="2"/>
  <c r="Z3057" i="2"/>
  <c r="C3057" i="2"/>
  <c r="AA3056" i="2"/>
  <c r="Z3056" i="2"/>
  <c r="C3056" i="2"/>
  <c r="AA3055" i="2"/>
  <c r="Z3055" i="2"/>
  <c r="C3055" i="2"/>
  <c r="AA3054" i="2"/>
  <c r="Z3054" i="2"/>
  <c r="C3054" i="2"/>
  <c r="AA3053" i="2"/>
  <c r="Z3053" i="2"/>
  <c r="C3053" i="2"/>
  <c r="AA3052" i="2"/>
  <c r="Z3052" i="2"/>
  <c r="C3052" i="2"/>
  <c r="AA3051" i="2"/>
  <c r="Z3051" i="2"/>
  <c r="C3051" i="2"/>
  <c r="AA3050" i="2"/>
  <c r="Z3050" i="2"/>
  <c r="C3050" i="2"/>
  <c r="AA3049" i="2"/>
  <c r="Z3049" i="2"/>
  <c r="C3049" i="2"/>
  <c r="AA3048" i="2"/>
  <c r="Z3048" i="2"/>
  <c r="C3048" i="2"/>
  <c r="AA3047" i="2"/>
  <c r="Z3047" i="2"/>
  <c r="C3047" i="2"/>
  <c r="AA3046" i="2"/>
  <c r="Z3046" i="2"/>
  <c r="C3046" i="2"/>
  <c r="AA3045" i="2"/>
  <c r="Z3045" i="2"/>
  <c r="C3045" i="2"/>
  <c r="AA3044" i="2"/>
  <c r="Z3044" i="2"/>
  <c r="C3044" i="2"/>
  <c r="AA3043" i="2"/>
  <c r="Z3043" i="2"/>
  <c r="C3043" i="2"/>
  <c r="AA3042" i="2"/>
  <c r="Z3042" i="2"/>
  <c r="C3042" i="2"/>
  <c r="AA3041" i="2"/>
  <c r="Z3041" i="2"/>
  <c r="C3041" i="2"/>
  <c r="AA3040" i="2"/>
  <c r="Z3040" i="2"/>
  <c r="C3040" i="2"/>
  <c r="AA3039" i="2"/>
  <c r="Z3039" i="2"/>
  <c r="C3039" i="2"/>
  <c r="AA3038" i="2"/>
  <c r="Z3038" i="2"/>
  <c r="C3038" i="2"/>
  <c r="AA3037" i="2"/>
  <c r="Z3037" i="2"/>
  <c r="C3037" i="2"/>
  <c r="AA3036" i="2"/>
  <c r="Z3036" i="2"/>
  <c r="C3036" i="2"/>
  <c r="AA3035" i="2"/>
  <c r="Z3035" i="2"/>
  <c r="C3035" i="2"/>
  <c r="AA3034" i="2"/>
  <c r="Z3034" i="2"/>
  <c r="C3034" i="2"/>
  <c r="AA3033" i="2"/>
  <c r="Z3033" i="2"/>
  <c r="C3033" i="2"/>
  <c r="AA3032" i="2"/>
  <c r="Z3032" i="2"/>
  <c r="C3032" i="2"/>
  <c r="AA3031" i="2"/>
  <c r="Z3031" i="2"/>
  <c r="C3031" i="2"/>
  <c r="AA3030" i="2"/>
  <c r="Z3030" i="2"/>
  <c r="C3030" i="2"/>
  <c r="AA3029" i="2"/>
  <c r="Z3029" i="2"/>
  <c r="C3029" i="2"/>
  <c r="AA3028" i="2"/>
  <c r="Z3028" i="2"/>
  <c r="C3028" i="2"/>
  <c r="AA3027" i="2"/>
  <c r="Z3027" i="2"/>
  <c r="C3027" i="2"/>
  <c r="AA3026" i="2"/>
  <c r="Z3026" i="2"/>
  <c r="C3026" i="2"/>
  <c r="AA3025" i="2"/>
  <c r="Z3025" i="2"/>
  <c r="C3025" i="2"/>
  <c r="AA3024" i="2"/>
  <c r="Z3024" i="2"/>
  <c r="C3024" i="2"/>
  <c r="AA3023" i="2"/>
  <c r="Z3023" i="2"/>
  <c r="C3023" i="2"/>
  <c r="AA3022" i="2"/>
  <c r="Z3022" i="2"/>
  <c r="C3022" i="2"/>
  <c r="AA3021" i="2"/>
  <c r="Z3021" i="2"/>
  <c r="C3021" i="2"/>
  <c r="AA3020" i="2"/>
  <c r="Z3020" i="2"/>
  <c r="C3020" i="2"/>
  <c r="AA3019" i="2"/>
  <c r="Z3019" i="2"/>
  <c r="C3019" i="2"/>
  <c r="AA3018" i="2"/>
  <c r="Z3018" i="2"/>
  <c r="C3018" i="2"/>
  <c r="AA3017" i="2"/>
  <c r="Z3017" i="2"/>
  <c r="C3017" i="2"/>
  <c r="AA3016" i="2"/>
  <c r="Z3016" i="2"/>
  <c r="C3016" i="2"/>
  <c r="AA3015" i="2"/>
  <c r="Z3015" i="2"/>
  <c r="C3015" i="2"/>
  <c r="AA3014" i="2"/>
  <c r="Z3014" i="2"/>
  <c r="C3014" i="2"/>
  <c r="AA3013" i="2"/>
  <c r="Z3013" i="2"/>
  <c r="C3013" i="2"/>
  <c r="AA3012" i="2"/>
  <c r="Z3012" i="2"/>
  <c r="C3012" i="2"/>
  <c r="AA3011" i="2"/>
  <c r="Z3011" i="2"/>
  <c r="C3011" i="2"/>
  <c r="AA3010" i="2"/>
  <c r="Z3010" i="2"/>
  <c r="C3010" i="2"/>
  <c r="AA3009" i="2"/>
  <c r="Z3009" i="2"/>
  <c r="C3009" i="2"/>
  <c r="AA3008" i="2"/>
  <c r="Z3008" i="2"/>
  <c r="C3008" i="2"/>
  <c r="AA3007" i="2"/>
  <c r="Z3007" i="2"/>
  <c r="C3007" i="2"/>
  <c r="AA3006" i="2"/>
  <c r="Z3006" i="2"/>
  <c r="C3006" i="2"/>
  <c r="AA3005" i="2"/>
  <c r="Z3005" i="2"/>
  <c r="C3005" i="2"/>
  <c r="AA3004" i="2"/>
  <c r="Z3004" i="2"/>
  <c r="C3004" i="2"/>
  <c r="AA3003" i="2"/>
  <c r="Z3003" i="2"/>
  <c r="C3003" i="2"/>
  <c r="AA3002" i="2"/>
  <c r="Z3002" i="2"/>
  <c r="C3002" i="2"/>
  <c r="AA3001" i="2"/>
  <c r="Z3001" i="2"/>
  <c r="C3001" i="2"/>
  <c r="AA3000" i="2"/>
  <c r="Z3000" i="2"/>
  <c r="C3000" i="2"/>
  <c r="AA2999" i="2"/>
  <c r="Z2999" i="2"/>
  <c r="C2999" i="2"/>
  <c r="AA2998" i="2"/>
  <c r="Z2998" i="2"/>
  <c r="C2998" i="2"/>
  <c r="AA2997" i="2"/>
  <c r="Z2997" i="2"/>
  <c r="C2997" i="2"/>
  <c r="AA2996" i="2"/>
  <c r="Z2996" i="2"/>
  <c r="C2996" i="2"/>
  <c r="AA2995" i="2"/>
  <c r="Z2995" i="2"/>
  <c r="C2995" i="2"/>
  <c r="AA2994" i="2"/>
  <c r="Z2994" i="2"/>
  <c r="C2994" i="2"/>
  <c r="AA2993" i="2"/>
  <c r="Z2993" i="2"/>
  <c r="C2993" i="2"/>
  <c r="AA2992" i="2"/>
  <c r="Z2992" i="2"/>
  <c r="C2992" i="2"/>
  <c r="AA2991" i="2"/>
  <c r="Z2991" i="2"/>
  <c r="C2991" i="2"/>
  <c r="AA2990" i="2"/>
  <c r="Z2990" i="2"/>
  <c r="C2990" i="2"/>
  <c r="AA2989" i="2"/>
  <c r="Z2989" i="2"/>
  <c r="C2989" i="2"/>
  <c r="AA2988" i="2"/>
  <c r="Z2988" i="2"/>
  <c r="C2988" i="2"/>
  <c r="AA2987" i="2"/>
  <c r="Z2987" i="2"/>
  <c r="C2987" i="2"/>
  <c r="AA2986" i="2"/>
  <c r="Z2986" i="2"/>
  <c r="C2986" i="2"/>
  <c r="AA2985" i="2"/>
  <c r="Z2985" i="2"/>
  <c r="C2985" i="2"/>
  <c r="AA2984" i="2"/>
  <c r="Z2984" i="2"/>
  <c r="C2984" i="2"/>
  <c r="AA2983" i="2"/>
  <c r="Z2983" i="2"/>
  <c r="C2983" i="2"/>
  <c r="AA2982" i="2"/>
  <c r="Z2982" i="2"/>
  <c r="C2982" i="2"/>
  <c r="AA2981" i="2"/>
  <c r="Z2981" i="2"/>
  <c r="C2981" i="2"/>
  <c r="AA2980" i="2"/>
  <c r="Z2980" i="2"/>
  <c r="C2980" i="2"/>
  <c r="AA2979" i="2"/>
  <c r="Z2979" i="2"/>
  <c r="C2979" i="2"/>
  <c r="AA2978" i="2"/>
  <c r="Z2978" i="2"/>
  <c r="C2978" i="2"/>
  <c r="AA2977" i="2"/>
  <c r="Z2977" i="2"/>
  <c r="C2977" i="2"/>
  <c r="AA2976" i="2"/>
  <c r="Z2976" i="2"/>
  <c r="C2976" i="2"/>
  <c r="AA2975" i="2"/>
  <c r="Z2975" i="2"/>
  <c r="C2975" i="2"/>
  <c r="AA2974" i="2"/>
  <c r="Z2974" i="2"/>
  <c r="C2974" i="2"/>
  <c r="AA2973" i="2"/>
  <c r="Z2973" i="2"/>
  <c r="C2973" i="2"/>
  <c r="AA2972" i="2"/>
  <c r="Z2972" i="2"/>
  <c r="C2972" i="2"/>
  <c r="AA2971" i="2"/>
  <c r="Z2971" i="2"/>
  <c r="C2971" i="2"/>
  <c r="AA2970" i="2"/>
  <c r="Z2970" i="2"/>
  <c r="C2970" i="2"/>
  <c r="AA2969" i="2"/>
  <c r="Z2969" i="2"/>
  <c r="C2969" i="2"/>
  <c r="AA2968" i="2"/>
  <c r="Z2968" i="2"/>
  <c r="C2968" i="2"/>
  <c r="AA2967" i="2"/>
  <c r="Z2967" i="2"/>
  <c r="C2967" i="2"/>
  <c r="AA2966" i="2"/>
  <c r="Z2966" i="2"/>
  <c r="C2966" i="2"/>
  <c r="AA2965" i="2"/>
  <c r="Z2965" i="2"/>
  <c r="C2965" i="2"/>
  <c r="AA2964" i="2"/>
  <c r="Z2964" i="2"/>
  <c r="C2964" i="2"/>
  <c r="AA2963" i="2"/>
  <c r="Z2963" i="2"/>
  <c r="C2963" i="2"/>
  <c r="AA2962" i="2"/>
  <c r="Z2962" i="2"/>
  <c r="C2962" i="2"/>
  <c r="AA2961" i="2"/>
  <c r="Z2961" i="2"/>
  <c r="C2961" i="2"/>
  <c r="AA2960" i="2"/>
  <c r="Z2960" i="2"/>
  <c r="C2960" i="2"/>
  <c r="AA2959" i="2"/>
  <c r="Z2959" i="2"/>
  <c r="C2959" i="2"/>
  <c r="AA2958" i="2"/>
  <c r="Z2958" i="2"/>
  <c r="C2958" i="2"/>
  <c r="AA2957" i="2"/>
  <c r="Z2957" i="2"/>
  <c r="C2957" i="2"/>
  <c r="AA2956" i="2"/>
  <c r="Z2956" i="2"/>
  <c r="C2956" i="2"/>
  <c r="AA2955" i="2"/>
  <c r="Z2955" i="2"/>
  <c r="C2955" i="2"/>
  <c r="AA2954" i="2"/>
  <c r="Z2954" i="2"/>
  <c r="C2954" i="2"/>
  <c r="AA2953" i="2"/>
  <c r="Z2953" i="2"/>
  <c r="C2953" i="2"/>
  <c r="AA2952" i="2"/>
  <c r="Z2952" i="2"/>
  <c r="C2952" i="2"/>
  <c r="AA2951" i="2"/>
  <c r="Z2951" i="2"/>
  <c r="C2951" i="2"/>
  <c r="AA2950" i="2"/>
  <c r="Z2950" i="2"/>
  <c r="C2950" i="2"/>
  <c r="AA2949" i="2"/>
  <c r="Z2949" i="2"/>
  <c r="C2949" i="2"/>
  <c r="AA2948" i="2"/>
  <c r="Z2948" i="2"/>
  <c r="C2948" i="2"/>
  <c r="AA2947" i="2"/>
  <c r="Z2947" i="2"/>
  <c r="C2947" i="2"/>
  <c r="AA2946" i="2"/>
  <c r="Z2946" i="2"/>
  <c r="C2946" i="2"/>
  <c r="AA2945" i="2"/>
  <c r="Z2945" i="2"/>
  <c r="C2945" i="2"/>
  <c r="AA2944" i="2"/>
  <c r="Z2944" i="2"/>
  <c r="C2944" i="2"/>
  <c r="AA2943" i="2"/>
  <c r="Z2943" i="2"/>
  <c r="C2943" i="2"/>
  <c r="AA2942" i="2"/>
  <c r="Z2942" i="2"/>
  <c r="C2942" i="2"/>
  <c r="AA2941" i="2"/>
  <c r="Z2941" i="2"/>
  <c r="C2941" i="2"/>
  <c r="AA2940" i="2"/>
  <c r="Z2940" i="2"/>
  <c r="C2940" i="2"/>
  <c r="AA2939" i="2"/>
  <c r="Z2939" i="2"/>
  <c r="C2939" i="2"/>
  <c r="AA2938" i="2"/>
  <c r="Z2938" i="2"/>
  <c r="C2938" i="2"/>
  <c r="AA2937" i="2"/>
  <c r="Z2937" i="2"/>
  <c r="C2937" i="2"/>
  <c r="AA2936" i="2"/>
  <c r="Z2936" i="2"/>
  <c r="C2936" i="2"/>
  <c r="AA2935" i="2"/>
  <c r="Z2935" i="2"/>
  <c r="C2935" i="2"/>
  <c r="AA2934" i="2"/>
  <c r="Z2934" i="2"/>
  <c r="C2934" i="2"/>
  <c r="AA2933" i="2"/>
  <c r="Z2933" i="2"/>
  <c r="C2933" i="2"/>
  <c r="AA2932" i="2"/>
  <c r="Z2932" i="2"/>
  <c r="C2932" i="2"/>
  <c r="AA2931" i="2"/>
  <c r="Z2931" i="2"/>
  <c r="C2931" i="2"/>
  <c r="AA2930" i="2"/>
  <c r="Z2930" i="2"/>
  <c r="C2930" i="2"/>
  <c r="AA2929" i="2"/>
  <c r="Z2929" i="2"/>
  <c r="C2929" i="2"/>
  <c r="AA2928" i="2"/>
  <c r="Z2928" i="2"/>
  <c r="C2928" i="2"/>
  <c r="AA2927" i="2"/>
  <c r="Z2927" i="2"/>
  <c r="C2927" i="2"/>
  <c r="AA2926" i="2"/>
  <c r="Z2926" i="2"/>
  <c r="C2926" i="2"/>
  <c r="AA2925" i="2"/>
  <c r="Z2925" i="2"/>
  <c r="C2925" i="2"/>
  <c r="AA2924" i="2"/>
  <c r="Z2924" i="2"/>
  <c r="C2924" i="2"/>
  <c r="AA2923" i="2"/>
  <c r="Z2923" i="2"/>
  <c r="C2923" i="2"/>
  <c r="AA2922" i="2"/>
  <c r="Z2922" i="2"/>
  <c r="C2922" i="2"/>
  <c r="AA2921" i="2"/>
  <c r="Z2921" i="2"/>
  <c r="C2921" i="2"/>
  <c r="AA2920" i="2"/>
  <c r="Z2920" i="2"/>
  <c r="C2920" i="2"/>
  <c r="AA2919" i="2"/>
  <c r="Z2919" i="2"/>
  <c r="C2919" i="2"/>
  <c r="AA2918" i="2"/>
  <c r="Z2918" i="2"/>
  <c r="C2918" i="2"/>
  <c r="AA2917" i="2"/>
  <c r="Z2917" i="2"/>
  <c r="C2917" i="2"/>
  <c r="AA2916" i="2"/>
  <c r="Z2916" i="2"/>
  <c r="C2916" i="2"/>
  <c r="AA2915" i="2"/>
  <c r="Z2915" i="2"/>
  <c r="C2915" i="2"/>
  <c r="AA2914" i="2"/>
  <c r="Z2914" i="2"/>
  <c r="C2914" i="2"/>
  <c r="AA2913" i="2"/>
  <c r="Z2913" i="2"/>
  <c r="C2913" i="2"/>
  <c r="AA2912" i="2"/>
  <c r="Z2912" i="2"/>
  <c r="C2912" i="2"/>
  <c r="AA2911" i="2"/>
  <c r="Z2911" i="2"/>
  <c r="C2911" i="2"/>
  <c r="AA2910" i="2"/>
  <c r="Z2910" i="2"/>
  <c r="C2910" i="2"/>
  <c r="AA2909" i="2"/>
  <c r="Z2909" i="2"/>
  <c r="C2909" i="2"/>
  <c r="AA2908" i="2"/>
  <c r="Z2908" i="2"/>
  <c r="C2908" i="2"/>
  <c r="AA2907" i="2"/>
  <c r="Z2907" i="2"/>
  <c r="C2907" i="2"/>
  <c r="AA2906" i="2"/>
  <c r="Z2906" i="2"/>
  <c r="C2906" i="2"/>
  <c r="AA2905" i="2"/>
  <c r="Z2905" i="2"/>
  <c r="C2905" i="2"/>
  <c r="AA2904" i="2"/>
  <c r="Z2904" i="2"/>
  <c r="C2904" i="2"/>
  <c r="AA2903" i="2"/>
  <c r="Z2903" i="2"/>
  <c r="C2903" i="2"/>
  <c r="AA2902" i="2"/>
  <c r="Z2902" i="2"/>
  <c r="C2902" i="2"/>
  <c r="AA2901" i="2"/>
  <c r="Z2901" i="2"/>
  <c r="C2901" i="2"/>
  <c r="AA2900" i="2"/>
  <c r="Z2900" i="2"/>
  <c r="C2900" i="2"/>
  <c r="AA2899" i="2"/>
  <c r="Z2899" i="2"/>
  <c r="C2899" i="2"/>
  <c r="AA2898" i="2"/>
  <c r="Z2898" i="2"/>
  <c r="C2898" i="2"/>
  <c r="AA2897" i="2"/>
  <c r="Z2897" i="2"/>
  <c r="C2897" i="2"/>
  <c r="AA2896" i="2"/>
  <c r="Z2896" i="2"/>
  <c r="C2896" i="2"/>
  <c r="AA2895" i="2"/>
  <c r="Z2895" i="2"/>
  <c r="C2895" i="2"/>
  <c r="AA2894" i="2"/>
  <c r="Z2894" i="2"/>
  <c r="C2894" i="2"/>
  <c r="AA2893" i="2"/>
  <c r="Z2893" i="2"/>
  <c r="C2893" i="2"/>
  <c r="AA2892" i="2"/>
  <c r="Z2892" i="2"/>
  <c r="C2892" i="2"/>
  <c r="AA2891" i="2"/>
  <c r="Z2891" i="2"/>
  <c r="C2891" i="2"/>
  <c r="AA2890" i="2"/>
  <c r="Z2890" i="2"/>
  <c r="C2890" i="2"/>
  <c r="AA2889" i="2"/>
  <c r="Z2889" i="2"/>
  <c r="C2889" i="2"/>
  <c r="AA2888" i="2"/>
  <c r="Z2888" i="2"/>
  <c r="C2888" i="2"/>
  <c r="AA2887" i="2"/>
  <c r="Z2887" i="2"/>
  <c r="C2887" i="2"/>
  <c r="AA2886" i="2"/>
  <c r="Z2886" i="2"/>
  <c r="C2886" i="2"/>
  <c r="AA2885" i="2"/>
  <c r="Z2885" i="2"/>
  <c r="C2885" i="2"/>
  <c r="AA2884" i="2"/>
  <c r="Z2884" i="2"/>
  <c r="C2884" i="2"/>
  <c r="AA2883" i="2"/>
  <c r="Z2883" i="2"/>
  <c r="C2883" i="2"/>
  <c r="AA2882" i="2"/>
  <c r="Z2882" i="2"/>
  <c r="C2882" i="2"/>
  <c r="AA2881" i="2"/>
  <c r="Z2881" i="2"/>
  <c r="C2881" i="2"/>
  <c r="AA2880" i="2"/>
  <c r="Z2880" i="2"/>
  <c r="C2880" i="2"/>
  <c r="AA2879" i="2"/>
  <c r="Z2879" i="2"/>
  <c r="C2879" i="2"/>
  <c r="AA2878" i="2"/>
  <c r="Z2878" i="2"/>
  <c r="C2878" i="2"/>
  <c r="AA2877" i="2"/>
  <c r="Z2877" i="2"/>
  <c r="C2877" i="2"/>
  <c r="AA2876" i="2"/>
  <c r="Z2876" i="2"/>
  <c r="C2876" i="2"/>
  <c r="AA2875" i="2"/>
  <c r="Z2875" i="2"/>
  <c r="C2875" i="2"/>
  <c r="AA2874" i="2"/>
  <c r="Z2874" i="2"/>
  <c r="C2874" i="2"/>
  <c r="AA2873" i="2"/>
  <c r="Z2873" i="2"/>
  <c r="C2873" i="2"/>
  <c r="AA2872" i="2"/>
  <c r="Z2872" i="2"/>
  <c r="C2872" i="2"/>
  <c r="AA2871" i="2"/>
  <c r="Z2871" i="2"/>
  <c r="C2871" i="2"/>
  <c r="AA2870" i="2"/>
  <c r="Z2870" i="2"/>
  <c r="C2870" i="2"/>
  <c r="AA2869" i="2"/>
  <c r="Z2869" i="2"/>
  <c r="C2869" i="2"/>
  <c r="AA2868" i="2"/>
  <c r="Z2868" i="2"/>
  <c r="C2868" i="2"/>
  <c r="AA2867" i="2"/>
  <c r="Z2867" i="2"/>
  <c r="C2867" i="2"/>
  <c r="AA2866" i="2"/>
  <c r="Z2866" i="2"/>
  <c r="C2866" i="2"/>
  <c r="AA2865" i="2"/>
  <c r="Z2865" i="2"/>
  <c r="C2865" i="2"/>
  <c r="AA2864" i="2"/>
  <c r="Z2864" i="2"/>
  <c r="C2864" i="2"/>
  <c r="AA2863" i="2"/>
  <c r="Z2863" i="2"/>
  <c r="C2863" i="2"/>
  <c r="AA2862" i="2"/>
  <c r="Z2862" i="2"/>
  <c r="C2862" i="2"/>
  <c r="AA2861" i="2"/>
  <c r="Z2861" i="2"/>
  <c r="C2861" i="2"/>
  <c r="AA2860" i="2"/>
  <c r="Z2860" i="2"/>
  <c r="C2860" i="2"/>
  <c r="AA2859" i="2"/>
  <c r="Z2859" i="2"/>
  <c r="C2859" i="2"/>
  <c r="AA2858" i="2"/>
  <c r="Z2858" i="2"/>
  <c r="C2858" i="2"/>
  <c r="AA2857" i="2"/>
  <c r="Z2857" i="2"/>
  <c r="C2857" i="2"/>
  <c r="AA2856" i="2"/>
  <c r="Z2856" i="2"/>
  <c r="C2856" i="2"/>
  <c r="AA2855" i="2"/>
  <c r="Z2855" i="2"/>
  <c r="C2855" i="2"/>
  <c r="AA2854" i="2"/>
  <c r="Z2854" i="2"/>
  <c r="C2854" i="2"/>
  <c r="AA2853" i="2"/>
  <c r="Z2853" i="2"/>
  <c r="C2853" i="2"/>
  <c r="AA2852" i="2"/>
  <c r="Z2852" i="2"/>
  <c r="C2852" i="2"/>
  <c r="AA2851" i="2"/>
  <c r="Z2851" i="2"/>
  <c r="C2851" i="2"/>
  <c r="AA2850" i="2"/>
  <c r="Z2850" i="2"/>
  <c r="C2850" i="2"/>
  <c r="AA2849" i="2"/>
  <c r="Z2849" i="2"/>
  <c r="C2849" i="2"/>
  <c r="AA2848" i="2"/>
  <c r="Z2848" i="2"/>
  <c r="C2848" i="2"/>
  <c r="AA2847" i="2"/>
  <c r="Z2847" i="2"/>
  <c r="C2847" i="2"/>
  <c r="AA2846" i="2"/>
  <c r="Z2846" i="2"/>
  <c r="C2846" i="2"/>
  <c r="AA2845" i="2"/>
  <c r="Z2845" i="2"/>
  <c r="C2845" i="2"/>
  <c r="AA2844" i="2"/>
  <c r="Z2844" i="2"/>
  <c r="C2844" i="2"/>
  <c r="AA2843" i="2"/>
  <c r="Z2843" i="2"/>
  <c r="C2843" i="2"/>
  <c r="AA2842" i="2"/>
  <c r="Z2842" i="2"/>
  <c r="C2842" i="2"/>
  <c r="AA2841" i="2"/>
  <c r="Z2841" i="2"/>
  <c r="C2841" i="2"/>
  <c r="AA2840" i="2"/>
  <c r="Z2840" i="2"/>
  <c r="C2840" i="2"/>
  <c r="AA2839" i="2"/>
  <c r="Z2839" i="2"/>
  <c r="C2839" i="2"/>
  <c r="AA2838" i="2"/>
  <c r="Z2838" i="2"/>
  <c r="C2838" i="2"/>
  <c r="AA2837" i="2"/>
  <c r="Z2837" i="2"/>
  <c r="C2837" i="2"/>
  <c r="AA2836" i="2"/>
  <c r="Z2836" i="2"/>
  <c r="C2836" i="2"/>
  <c r="AA2835" i="2"/>
  <c r="Z2835" i="2"/>
  <c r="C2835" i="2"/>
  <c r="AA2834" i="2"/>
  <c r="Z2834" i="2"/>
  <c r="C2834" i="2"/>
  <c r="AA2833" i="2"/>
  <c r="Z2833" i="2"/>
  <c r="C2833" i="2"/>
  <c r="AA2832" i="2"/>
  <c r="Z2832" i="2"/>
  <c r="C2832" i="2"/>
  <c r="AA2831" i="2"/>
  <c r="Z2831" i="2"/>
  <c r="C2831" i="2"/>
  <c r="AA2830" i="2"/>
  <c r="Z2830" i="2"/>
  <c r="C2830" i="2"/>
  <c r="AA2829" i="2"/>
  <c r="Z2829" i="2"/>
  <c r="C2829" i="2"/>
  <c r="AA2828" i="2"/>
  <c r="Z2828" i="2"/>
  <c r="C2828" i="2"/>
  <c r="AA2827" i="2"/>
  <c r="Z2827" i="2"/>
  <c r="C2827" i="2"/>
  <c r="AA2826" i="2"/>
  <c r="Z2826" i="2"/>
  <c r="C2826" i="2"/>
  <c r="AA2825" i="2"/>
  <c r="Z2825" i="2"/>
  <c r="C2825" i="2"/>
  <c r="AA2824" i="2"/>
  <c r="Z2824" i="2"/>
  <c r="C2824" i="2"/>
  <c r="AA2823" i="2"/>
  <c r="Z2823" i="2"/>
  <c r="C2823" i="2"/>
  <c r="AA2822" i="2"/>
  <c r="Z2822" i="2"/>
  <c r="C2822" i="2"/>
  <c r="AA2821" i="2"/>
  <c r="Z2821" i="2"/>
  <c r="C2821" i="2"/>
  <c r="AA2820" i="2"/>
  <c r="Z2820" i="2"/>
  <c r="C2820" i="2"/>
  <c r="AA2819" i="2"/>
  <c r="Z2819" i="2"/>
  <c r="C2819" i="2"/>
  <c r="AA2818" i="2"/>
  <c r="Z2818" i="2"/>
  <c r="C2818" i="2"/>
  <c r="AA2817" i="2"/>
  <c r="Z2817" i="2"/>
  <c r="C2817" i="2"/>
  <c r="AA2816" i="2"/>
  <c r="Z2816" i="2"/>
  <c r="C2816" i="2"/>
  <c r="AA2815" i="2"/>
  <c r="Z2815" i="2"/>
  <c r="C2815" i="2"/>
  <c r="AA2814" i="2"/>
  <c r="Z2814" i="2"/>
  <c r="C2814" i="2"/>
  <c r="AA2813" i="2"/>
  <c r="Z2813" i="2"/>
  <c r="C2813" i="2"/>
  <c r="AA2812" i="2"/>
  <c r="Z2812" i="2"/>
  <c r="C2812" i="2"/>
  <c r="AA2811" i="2"/>
  <c r="Z2811" i="2"/>
  <c r="C2811" i="2"/>
  <c r="AA2810" i="2"/>
  <c r="Z2810" i="2"/>
  <c r="C2810" i="2"/>
  <c r="AA2809" i="2"/>
  <c r="Z2809" i="2"/>
  <c r="C2809" i="2"/>
  <c r="AA2808" i="2"/>
  <c r="Z2808" i="2"/>
  <c r="C2808" i="2"/>
  <c r="AA2807" i="2"/>
  <c r="Z2807" i="2"/>
  <c r="C2807" i="2"/>
  <c r="AA2806" i="2"/>
  <c r="Z2806" i="2"/>
  <c r="C2806" i="2"/>
  <c r="AA2805" i="2"/>
  <c r="Z2805" i="2"/>
  <c r="C2805" i="2"/>
  <c r="AA2804" i="2"/>
  <c r="Z2804" i="2"/>
  <c r="C2804" i="2"/>
  <c r="AA2803" i="2"/>
  <c r="Z2803" i="2"/>
  <c r="C2803" i="2"/>
  <c r="AA2802" i="2"/>
  <c r="Z2802" i="2"/>
  <c r="C2802" i="2"/>
  <c r="AA2801" i="2"/>
  <c r="Z2801" i="2"/>
  <c r="C2801" i="2"/>
  <c r="AA2800" i="2"/>
  <c r="Z2800" i="2"/>
  <c r="C2800" i="2"/>
  <c r="AA2799" i="2"/>
  <c r="Z2799" i="2"/>
  <c r="C2799" i="2"/>
  <c r="AA2798" i="2"/>
  <c r="Z2798" i="2"/>
  <c r="C2798" i="2"/>
  <c r="AA2797" i="2"/>
  <c r="Z2797" i="2"/>
  <c r="C2797" i="2"/>
  <c r="AA2796" i="2"/>
  <c r="Z2796" i="2"/>
  <c r="C2796" i="2"/>
  <c r="AA2795" i="2"/>
  <c r="Z2795" i="2"/>
  <c r="C2795" i="2"/>
  <c r="AA2794" i="2"/>
  <c r="Z2794" i="2"/>
  <c r="C2794" i="2"/>
  <c r="AA2793" i="2"/>
  <c r="Z2793" i="2"/>
  <c r="C2793" i="2"/>
  <c r="AA2792" i="2"/>
  <c r="Z2792" i="2"/>
  <c r="C2792" i="2"/>
  <c r="AA2791" i="2"/>
  <c r="Z2791" i="2"/>
  <c r="C2791" i="2"/>
  <c r="AA2790" i="2"/>
  <c r="Z2790" i="2"/>
  <c r="C2790" i="2"/>
  <c r="AA2789" i="2"/>
  <c r="Z2789" i="2"/>
  <c r="C2789" i="2"/>
  <c r="AA2788" i="2"/>
  <c r="Z2788" i="2"/>
  <c r="C2788" i="2"/>
  <c r="AA2787" i="2"/>
  <c r="Z2787" i="2"/>
  <c r="C2787" i="2"/>
  <c r="AA2786" i="2"/>
  <c r="Z2786" i="2"/>
  <c r="C2786" i="2"/>
  <c r="AA2785" i="2"/>
  <c r="Z2785" i="2"/>
  <c r="C2785" i="2"/>
  <c r="AA2784" i="2"/>
  <c r="Z2784" i="2"/>
  <c r="C2784" i="2"/>
  <c r="AA2783" i="2"/>
  <c r="Z2783" i="2"/>
  <c r="C2783" i="2"/>
  <c r="AA2782" i="2"/>
  <c r="Z2782" i="2"/>
  <c r="C2782" i="2"/>
  <c r="AA2781" i="2"/>
  <c r="Z2781" i="2"/>
  <c r="C2781" i="2"/>
  <c r="AA2780" i="2"/>
  <c r="Z2780" i="2"/>
  <c r="C2780" i="2"/>
  <c r="AA2779" i="2"/>
  <c r="Z2779" i="2"/>
  <c r="C2779" i="2"/>
  <c r="AA2778" i="2"/>
  <c r="Z2778" i="2"/>
  <c r="C2778" i="2"/>
  <c r="AA2777" i="2"/>
  <c r="Z2777" i="2"/>
  <c r="C2777" i="2"/>
  <c r="AA2776" i="2"/>
  <c r="Z2776" i="2"/>
  <c r="C2776" i="2"/>
  <c r="AA2775" i="2"/>
  <c r="Z2775" i="2"/>
  <c r="C2775" i="2"/>
  <c r="AA2774" i="2"/>
  <c r="Z2774" i="2"/>
  <c r="C2774" i="2"/>
  <c r="AA2773" i="2"/>
  <c r="Z2773" i="2"/>
  <c r="C2773" i="2"/>
  <c r="AA2772" i="2"/>
  <c r="Z2772" i="2"/>
  <c r="C2772" i="2"/>
  <c r="AA2771" i="2"/>
  <c r="Z2771" i="2"/>
  <c r="C2771" i="2"/>
  <c r="AA2770" i="2"/>
  <c r="Z2770" i="2"/>
  <c r="C2770" i="2"/>
  <c r="AA2769" i="2"/>
  <c r="Z2769" i="2"/>
  <c r="C2769" i="2"/>
  <c r="AA2768" i="2"/>
  <c r="Z2768" i="2"/>
  <c r="C2768" i="2"/>
  <c r="AA2767" i="2"/>
  <c r="Z2767" i="2"/>
  <c r="C2767" i="2"/>
  <c r="AA2766" i="2"/>
  <c r="Z2766" i="2"/>
  <c r="C2766" i="2"/>
  <c r="AA2765" i="2"/>
  <c r="Z2765" i="2"/>
  <c r="C2765" i="2"/>
  <c r="AA2764" i="2"/>
  <c r="Z2764" i="2"/>
  <c r="C2764" i="2"/>
  <c r="AA2763" i="2"/>
  <c r="Z2763" i="2"/>
  <c r="C2763" i="2"/>
  <c r="AA2762" i="2"/>
  <c r="Z2762" i="2"/>
  <c r="C2762" i="2"/>
  <c r="AA2761" i="2"/>
  <c r="Z2761" i="2"/>
  <c r="C2761" i="2"/>
  <c r="AA2760" i="2"/>
  <c r="Z2760" i="2"/>
  <c r="C2760" i="2"/>
  <c r="AA2759" i="2"/>
  <c r="Z2759" i="2"/>
  <c r="C2759" i="2"/>
  <c r="AA2758" i="2"/>
  <c r="Z2758" i="2"/>
  <c r="C2758" i="2"/>
  <c r="AA2757" i="2"/>
  <c r="Z2757" i="2"/>
  <c r="C2757" i="2"/>
  <c r="AA2756" i="2"/>
  <c r="Z2756" i="2"/>
  <c r="C2756" i="2"/>
  <c r="AA2755" i="2"/>
  <c r="Z2755" i="2"/>
  <c r="C2755" i="2"/>
  <c r="AA2754" i="2"/>
  <c r="Z2754" i="2"/>
  <c r="C2754" i="2"/>
  <c r="AA2753" i="2"/>
  <c r="Z2753" i="2"/>
  <c r="C2753" i="2"/>
  <c r="AA2752" i="2"/>
  <c r="Z2752" i="2"/>
  <c r="C2752" i="2"/>
  <c r="AA2751" i="2"/>
  <c r="Z2751" i="2"/>
  <c r="C2751" i="2"/>
  <c r="AA2750" i="2"/>
  <c r="Z2750" i="2"/>
  <c r="C2750" i="2"/>
  <c r="AA2749" i="2"/>
  <c r="Z2749" i="2"/>
  <c r="C2749" i="2"/>
  <c r="AA2748" i="2"/>
  <c r="Z2748" i="2"/>
  <c r="C2748" i="2"/>
  <c r="AA2747" i="2"/>
  <c r="Z2747" i="2"/>
  <c r="C2747" i="2"/>
  <c r="AA2746" i="2"/>
  <c r="Z2746" i="2"/>
  <c r="C2746" i="2"/>
  <c r="AA2745" i="2"/>
  <c r="Z2745" i="2"/>
  <c r="C2745" i="2"/>
  <c r="AA2744" i="2"/>
  <c r="Z2744" i="2"/>
  <c r="C2744" i="2"/>
  <c r="AA2743" i="2"/>
  <c r="Z2743" i="2"/>
  <c r="C2743" i="2"/>
  <c r="AA2742" i="2"/>
  <c r="Z2742" i="2"/>
  <c r="C2742" i="2"/>
  <c r="AA2741" i="2"/>
  <c r="Z2741" i="2"/>
  <c r="C2741" i="2"/>
  <c r="AA2740" i="2"/>
  <c r="Z2740" i="2"/>
  <c r="C2740" i="2"/>
  <c r="AA2739" i="2"/>
  <c r="Z2739" i="2"/>
  <c r="C2739" i="2"/>
  <c r="AA2738" i="2"/>
  <c r="Z2738" i="2"/>
  <c r="C2738" i="2"/>
  <c r="AA2737" i="2"/>
  <c r="Z2737" i="2"/>
  <c r="C2737" i="2"/>
  <c r="AA2736" i="2"/>
  <c r="Z2736" i="2"/>
  <c r="C2736" i="2"/>
  <c r="AA2735" i="2"/>
  <c r="Z2735" i="2"/>
  <c r="C2735" i="2"/>
  <c r="AA2734" i="2"/>
  <c r="Z2734" i="2"/>
  <c r="C2734" i="2"/>
  <c r="AA2733" i="2"/>
  <c r="Z2733" i="2"/>
  <c r="C2733" i="2"/>
  <c r="AA2732" i="2"/>
  <c r="Z2732" i="2"/>
  <c r="C2732" i="2"/>
  <c r="AA2731" i="2"/>
  <c r="Z2731" i="2"/>
  <c r="C2731" i="2"/>
  <c r="AA2730" i="2"/>
  <c r="Z2730" i="2"/>
  <c r="C2730" i="2"/>
  <c r="AA2729" i="2"/>
  <c r="Z2729" i="2"/>
  <c r="C2729" i="2"/>
  <c r="AA2728" i="2"/>
  <c r="Z2728" i="2"/>
  <c r="C2728" i="2"/>
  <c r="AA2727" i="2"/>
  <c r="Z2727" i="2"/>
  <c r="C2727" i="2"/>
  <c r="AA2726" i="2"/>
  <c r="Z2726" i="2"/>
  <c r="C2726" i="2"/>
  <c r="AA2725" i="2"/>
  <c r="Z2725" i="2"/>
  <c r="C2725" i="2"/>
  <c r="AA2724" i="2"/>
  <c r="Z2724" i="2"/>
  <c r="C2724" i="2"/>
  <c r="AA2723" i="2"/>
  <c r="Z2723" i="2"/>
  <c r="C2723" i="2"/>
  <c r="AA2722" i="2"/>
  <c r="Z2722" i="2"/>
  <c r="C2722" i="2"/>
  <c r="AA2721" i="2"/>
  <c r="Z2721" i="2"/>
  <c r="C2721" i="2"/>
  <c r="AA2720" i="2"/>
  <c r="Z2720" i="2"/>
  <c r="C2720" i="2"/>
  <c r="AA2719" i="2"/>
  <c r="Z2719" i="2"/>
  <c r="C2719" i="2"/>
  <c r="AA2718" i="2"/>
  <c r="Z2718" i="2"/>
  <c r="C2718" i="2"/>
  <c r="AA2717" i="2"/>
  <c r="Z2717" i="2"/>
  <c r="C2717" i="2"/>
  <c r="AA2716" i="2"/>
  <c r="Z2716" i="2"/>
  <c r="C2716" i="2"/>
  <c r="AA2715" i="2"/>
  <c r="Z2715" i="2"/>
  <c r="C2715" i="2"/>
  <c r="AA2714" i="2"/>
  <c r="Z2714" i="2"/>
  <c r="C2714" i="2"/>
  <c r="AA2713" i="2"/>
  <c r="Z2713" i="2"/>
  <c r="C2713" i="2"/>
  <c r="AA2712" i="2"/>
  <c r="Z2712" i="2"/>
  <c r="C2712" i="2"/>
  <c r="AA2711" i="2"/>
  <c r="Z2711" i="2"/>
  <c r="C2711" i="2"/>
  <c r="AA2710" i="2"/>
  <c r="Z2710" i="2"/>
  <c r="C2710" i="2"/>
  <c r="AA2709" i="2"/>
  <c r="Z2709" i="2"/>
  <c r="C2709" i="2"/>
  <c r="AA2708" i="2"/>
  <c r="Z2708" i="2"/>
  <c r="C2708" i="2"/>
  <c r="AA2707" i="2"/>
  <c r="Z2707" i="2"/>
  <c r="C2707" i="2"/>
  <c r="AA2706" i="2"/>
  <c r="Z2706" i="2"/>
  <c r="C2706" i="2"/>
  <c r="AA2705" i="2"/>
  <c r="Z2705" i="2"/>
  <c r="C2705" i="2"/>
  <c r="AA2704" i="2"/>
  <c r="Z2704" i="2"/>
  <c r="C2704" i="2"/>
  <c r="AA2703" i="2"/>
  <c r="Z2703" i="2"/>
  <c r="C2703" i="2"/>
  <c r="AA2702" i="2"/>
  <c r="Z2702" i="2"/>
  <c r="C2702" i="2"/>
  <c r="AA2701" i="2"/>
  <c r="Z2701" i="2"/>
  <c r="C2701" i="2"/>
  <c r="AA2700" i="2"/>
  <c r="Z2700" i="2"/>
  <c r="C2700" i="2"/>
  <c r="AA2699" i="2"/>
  <c r="Z2699" i="2"/>
  <c r="C2699" i="2"/>
  <c r="AA2698" i="2"/>
  <c r="Z2698" i="2"/>
  <c r="C2698" i="2"/>
  <c r="AA2697" i="2"/>
  <c r="Z2697" i="2"/>
  <c r="C2697" i="2"/>
  <c r="AA2696" i="2"/>
  <c r="Z2696" i="2"/>
  <c r="C2696" i="2"/>
  <c r="AA2695" i="2"/>
  <c r="Z2695" i="2"/>
  <c r="C2695" i="2"/>
  <c r="AA2694" i="2"/>
  <c r="Z2694" i="2"/>
  <c r="C2694" i="2"/>
  <c r="AA2693" i="2"/>
  <c r="Z2693" i="2"/>
  <c r="C2693" i="2"/>
  <c r="AA2692" i="2"/>
  <c r="Z2692" i="2"/>
  <c r="C2692" i="2"/>
  <c r="AA2691" i="2"/>
  <c r="Z2691" i="2"/>
  <c r="C2691" i="2"/>
  <c r="AA2690" i="2"/>
  <c r="Z2690" i="2"/>
  <c r="C2690" i="2"/>
  <c r="AA2689" i="2"/>
  <c r="Z2689" i="2"/>
  <c r="C2689" i="2"/>
  <c r="AA2688" i="2"/>
  <c r="Z2688" i="2"/>
  <c r="C2688" i="2"/>
  <c r="AA2687" i="2"/>
  <c r="Z2687" i="2"/>
  <c r="C2687" i="2"/>
  <c r="AA2686" i="2"/>
  <c r="Z2686" i="2"/>
  <c r="C2686" i="2"/>
  <c r="AA2685" i="2"/>
  <c r="Z2685" i="2"/>
  <c r="C2685" i="2"/>
  <c r="AA2684" i="2"/>
  <c r="Z2684" i="2"/>
  <c r="C2684" i="2"/>
  <c r="AA2683" i="2"/>
  <c r="Z2683" i="2"/>
  <c r="C2683" i="2"/>
  <c r="AA2682" i="2"/>
  <c r="Z2682" i="2"/>
  <c r="C2682" i="2"/>
  <c r="AA2681" i="2"/>
  <c r="Z2681" i="2"/>
  <c r="C2681" i="2"/>
  <c r="AA2680" i="2"/>
  <c r="Z2680" i="2"/>
  <c r="C2680" i="2"/>
  <c r="AA2679" i="2"/>
  <c r="Z2679" i="2"/>
  <c r="C2679" i="2"/>
  <c r="AA2678" i="2"/>
  <c r="Z2678" i="2"/>
  <c r="C2678" i="2"/>
  <c r="AA2677" i="2"/>
  <c r="Z2677" i="2"/>
  <c r="C2677" i="2"/>
  <c r="AA2676" i="2"/>
  <c r="Z2676" i="2"/>
  <c r="C2676" i="2"/>
  <c r="AA2675" i="2"/>
  <c r="Z2675" i="2"/>
  <c r="C2675" i="2"/>
  <c r="AA2674" i="2"/>
  <c r="Z2674" i="2"/>
  <c r="C2674" i="2"/>
  <c r="AA2673" i="2"/>
  <c r="Z2673" i="2"/>
  <c r="C2673" i="2"/>
  <c r="AA2672" i="2"/>
  <c r="Z2672" i="2"/>
  <c r="C2672" i="2"/>
  <c r="AA2671" i="2"/>
  <c r="Z2671" i="2"/>
  <c r="C2671" i="2"/>
  <c r="AA2670" i="2"/>
  <c r="Z2670" i="2"/>
  <c r="C2670" i="2"/>
  <c r="AA2669" i="2"/>
  <c r="Z2669" i="2"/>
  <c r="C2669" i="2"/>
  <c r="AA2668" i="2"/>
  <c r="Z2668" i="2"/>
  <c r="C2668" i="2"/>
  <c r="AA2667" i="2"/>
  <c r="Z2667" i="2"/>
  <c r="C2667" i="2"/>
  <c r="AA2666" i="2"/>
  <c r="Z2666" i="2"/>
  <c r="C2666" i="2"/>
  <c r="AA2665" i="2"/>
  <c r="Z2665" i="2"/>
  <c r="C2665" i="2"/>
  <c r="AA2664" i="2"/>
  <c r="Z2664" i="2"/>
  <c r="C2664" i="2"/>
  <c r="AA2663" i="2"/>
  <c r="Z2663" i="2"/>
  <c r="C2663" i="2"/>
  <c r="AA2662" i="2"/>
  <c r="Z2662" i="2"/>
  <c r="C2662" i="2"/>
  <c r="AA2661" i="2"/>
  <c r="Z2661" i="2"/>
  <c r="C2661" i="2"/>
  <c r="AA2660" i="2"/>
  <c r="Z2660" i="2"/>
  <c r="C2660" i="2"/>
  <c r="AA2659" i="2"/>
  <c r="Z2659" i="2"/>
  <c r="C2659" i="2"/>
  <c r="AA2658" i="2"/>
  <c r="Z2658" i="2"/>
  <c r="C2658" i="2"/>
  <c r="AA2657" i="2"/>
  <c r="Z2657" i="2"/>
  <c r="C2657" i="2"/>
  <c r="AA2656" i="2"/>
  <c r="Z2656" i="2"/>
  <c r="C2656" i="2"/>
  <c r="AA2655" i="2"/>
  <c r="Z2655" i="2"/>
  <c r="C2655" i="2"/>
  <c r="AA2654" i="2"/>
  <c r="Z2654" i="2"/>
  <c r="C2654" i="2"/>
  <c r="AA2653" i="2"/>
  <c r="Z2653" i="2"/>
  <c r="C2653" i="2"/>
  <c r="AA2652" i="2"/>
  <c r="Z2652" i="2"/>
  <c r="C2652" i="2"/>
  <c r="AA2651" i="2"/>
  <c r="Z2651" i="2"/>
  <c r="C2651" i="2"/>
  <c r="AA2650" i="2"/>
  <c r="Z2650" i="2"/>
  <c r="C2650" i="2"/>
  <c r="AA2649" i="2"/>
  <c r="Z2649" i="2"/>
  <c r="C2649" i="2"/>
  <c r="AA2648" i="2"/>
  <c r="Z2648" i="2"/>
  <c r="C2648" i="2"/>
  <c r="AA2647" i="2"/>
  <c r="Z2647" i="2"/>
  <c r="C2647" i="2"/>
  <c r="AA2646" i="2"/>
  <c r="Z2646" i="2"/>
  <c r="C2646" i="2"/>
  <c r="AA2645" i="2"/>
  <c r="Z2645" i="2"/>
  <c r="C2645" i="2"/>
  <c r="AA2644" i="2"/>
  <c r="Z2644" i="2"/>
  <c r="C2644" i="2"/>
  <c r="AA2643" i="2"/>
  <c r="Z2643" i="2"/>
  <c r="C2643" i="2"/>
  <c r="AA2642" i="2"/>
  <c r="Z2642" i="2"/>
  <c r="C2642" i="2"/>
  <c r="AA2641" i="2"/>
  <c r="Z2641" i="2"/>
  <c r="C2641" i="2"/>
  <c r="AA2640" i="2"/>
  <c r="Z2640" i="2"/>
  <c r="C2640" i="2"/>
  <c r="AA2639" i="2"/>
  <c r="Z2639" i="2"/>
  <c r="C2639" i="2"/>
  <c r="AA2638" i="2"/>
  <c r="Z2638" i="2"/>
  <c r="C2638" i="2"/>
  <c r="AA2637" i="2"/>
  <c r="Z2637" i="2"/>
  <c r="C2637" i="2"/>
  <c r="AA2636" i="2"/>
  <c r="Z2636" i="2"/>
  <c r="C2636" i="2"/>
  <c r="AA2635" i="2"/>
  <c r="Z2635" i="2"/>
  <c r="C2635" i="2"/>
  <c r="AA2634" i="2"/>
  <c r="Z2634" i="2"/>
  <c r="C2634" i="2"/>
  <c r="AA2633" i="2"/>
  <c r="Z2633" i="2"/>
  <c r="C2633" i="2"/>
  <c r="AA2632" i="2"/>
  <c r="Z2632" i="2"/>
  <c r="C2632" i="2"/>
  <c r="AA2631" i="2"/>
  <c r="Z2631" i="2"/>
  <c r="C2631" i="2"/>
  <c r="AA2630" i="2"/>
  <c r="Z2630" i="2"/>
  <c r="C2630" i="2"/>
  <c r="AA2629" i="2"/>
  <c r="Z2629" i="2"/>
  <c r="C2629" i="2"/>
  <c r="AA2628" i="2"/>
  <c r="Z2628" i="2"/>
  <c r="C2628" i="2"/>
  <c r="AA2627" i="2"/>
  <c r="Z2627" i="2"/>
  <c r="C2627" i="2"/>
  <c r="AA2626" i="2"/>
  <c r="Z2626" i="2"/>
  <c r="C2626" i="2"/>
  <c r="AA2625" i="2"/>
  <c r="Z2625" i="2"/>
  <c r="C2625" i="2"/>
  <c r="AA2624" i="2"/>
  <c r="Z2624" i="2"/>
  <c r="C2624" i="2"/>
  <c r="AA2623" i="2"/>
  <c r="Z2623" i="2"/>
  <c r="C2623" i="2"/>
  <c r="AA2622" i="2"/>
  <c r="Z2622" i="2"/>
  <c r="C2622" i="2"/>
  <c r="AA2621" i="2"/>
  <c r="Z2621" i="2"/>
  <c r="C2621" i="2"/>
  <c r="AA2620" i="2"/>
  <c r="Z2620" i="2"/>
  <c r="C2620" i="2"/>
  <c r="AA2619" i="2"/>
  <c r="Z2619" i="2"/>
  <c r="C2619" i="2"/>
  <c r="AA2618" i="2"/>
  <c r="Z2618" i="2"/>
  <c r="C2618" i="2"/>
  <c r="AA2617" i="2"/>
  <c r="Z2617" i="2"/>
  <c r="C2617" i="2"/>
  <c r="AA2616" i="2"/>
  <c r="Z2616" i="2"/>
  <c r="C2616" i="2"/>
  <c r="AA2615" i="2"/>
  <c r="Z2615" i="2"/>
  <c r="C2615" i="2"/>
  <c r="AA2614" i="2"/>
  <c r="Z2614" i="2"/>
  <c r="C2614" i="2"/>
  <c r="AA2613" i="2"/>
  <c r="Z2613" i="2"/>
  <c r="C2613" i="2"/>
  <c r="AA2612" i="2"/>
  <c r="Z2612" i="2"/>
  <c r="C2612" i="2"/>
  <c r="AA2611" i="2"/>
  <c r="Z2611" i="2"/>
  <c r="C2611" i="2"/>
  <c r="AA2610" i="2"/>
  <c r="Z2610" i="2"/>
  <c r="C2610" i="2"/>
  <c r="AA2609" i="2"/>
  <c r="Z2609" i="2"/>
  <c r="C2609" i="2"/>
  <c r="AA2608" i="2"/>
  <c r="Z2608" i="2"/>
  <c r="C2608" i="2"/>
  <c r="AA2607" i="2"/>
  <c r="Z2607" i="2"/>
  <c r="C2607" i="2"/>
  <c r="AA2606" i="2"/>
  <c r="Z2606" i="2"/>
  <c r="C2606" i="2"/>
  <c r="AA2605" i="2"/>
  <c r="Z2605" i="2"/>
  <c r="C2605" i="2"/>
  <c r="AA2604" i="2"/>
  <c r="Z2604" i="2"/>
  <c r="C2604" i="2"/>
  <c r="AA2603" i="2"/>
  <c r="Z2603" i="2"/>
  <c r="C2603" i="2"/>
  <c r="AA2602" i="2"/>
  <c r="Z2602" i="2"/>
  <c r="C2602" i="2"/>
  <c r="AA2601" i="2"/>
  <c r="Z2601" i="2"/>
  <c r="C2601" i="2"/>
  <c r="AA2600" i="2"/>
  <c r="Z2600" i="2"/>
  <c r="C2600" i="2"/>
  <c r="AA2599" i="2"/>
  <c r="Z2599" i="2"/>
  <c r="C2599" i="2"/>
  <c r="AA2598" i="2"/>
  <c r="Z2598" i="2"/>
  <c r="C2598" i="2"/>
  <c r="AA2597" i="2"/>
  <c r="Z2597" i="2"/>
  <c r="C2597" i="2"/>
  <c r="AA2596" i="2"/>
  <c r="Z2596" i="2"/>
  <c r="C2596" i="2"/>
  <c r="AA2595" i="2"/>
  <c r="Z2595" i="2"/>
  <c r="C2595" i="2"/>
  <c r="AA2594" i="2"/>
  <c r="Z2594" i="2"/>
  <c r="C2594" i="2"/>
  <c r="AA2593" i="2"/>
  <c r="Z2593" i="2"/>
  <c r="C2593" i="2"/>
  <c r="AA2592" i="2"/>
  <c r="Z2592" i="2"/>
  <c r="C2592" i="2"/>
  <c r="AA2591" i="2"/>
  <c r="Z2591" i="2"/>
  <c r="C2591" i="2"/>
  <c r="AA2590" i="2"/>
  <c r="Z2590" i="2"/>
  <c r="C2590" i="2"/>
  <c r="AA2589" i="2"/>
  <c r="Z2589" i="2"/>
  <c r="C2589" i="2"/>
  <c r="AA2588" i="2"/>
  <c r="Z2588" i="2"/>
  <c r="C2588" i="2"/>
  <c r="AA2587" i="2"/>
  <c r="Z2587" i="2"/>
  <c r="C2587" i="2"/>
  <c r="AA2586" i="2"/>
  <c r="Z2586" i="2"/>
  <c r="C2586" i="2"/>
  <c r="AA2585" i="2"/>
  <c r="Z2585" i="2"/>
  <c r="C2585" i="2"/>
  <c r="AA2584" i="2"/>
  <c r="Z2584" i="2"/>
  <c r="C2584" i="2"/>
  <c r="AA2583" i="2"/>
  <c r="Z2583" i="2"/>
  <c r="C2583" i="2"/>
  <c r="AA2582" i="2"/>
  <c r="Z2582" i="2"/>
  <c r="C2582" i="2"/>
  <c r="AA2581" i="2"/>
  <c r="Z2581" i="2"/>
  <c r="C2581" i="2"/>
  <c r="AA2580" i="2"/>
  <c r="Z2580" i="2"/>
  <c r="C2580" i="2"/>
  <c r="AA2579" i="2"/>
  <c r="Z2579" i="2"/>
  <c r="C2579" i="2"/>
  <c r="AA2578" i="2"/>
  <c r="Z2578" i="2"/>
  <c r="C2578" i="2"/>
  <c r="AA2577" i="2"/>
  <c r="Z2577" i="2"/>
  <c r="C2577" i="2"/>
  <c r="AA2576" i="2"/>
  <c r="Z2576" i="2"/>
  <c r="C2576" i="2"/>
  <c r="AA2575" i="2"/>
  <c r="Z2575" i="2"/>
  <c r="C2575" i="2"/>
  <c r="AA2574" i="2"/>
  <c r="Z2574" i="2"/>
  <c r="C2574" i="2"/>
  <c r="AA2573" i="2"/>
  <c r="Z2573" i="2"/>
  <c r="C2573" i="2"/>
  <c r="AA2572" i="2"/>
  <c r="Z2572" i="2"/>
  <c r="C2572" i="2"/>
  <c r="AA2571" i="2"/>
  <c r="Z2571" i="2"/>
  <c r="C2571" i="2"/>
  <c r="AA2570" i="2"/>
  <c r="Z2570" i="2"/>
  <c r="C2570" i="2"/>
  <c r="AA2569" i="2"/>
  <c r="Z2569" i="2"/>
  <c r="C2569" i="2"/>
  <c r="AA2568" i="2"/>
  <c r="Z2568" i="2"/>
  <c r="C2568" i="2"/>
  <c r="AA2567" i="2"/>
  <c r="Z2567" i="2"/>
  <c r="C2567" i="2"/>
  <c r="AA2566" i="2"/>
  <c r="Z2566" i="2"/>
  <c r="C2566" i="2"/>
  <c r="AA2565" i="2"/>
  <c r="Z2565" i="2"/>
  <c r="C2565" i="2"/>
  <c r="AA2564" i="2"/>
  <c r="Z2564" i="2"/>
  <c r="C2564" i="2"/>
  <c r="AA2563" i="2"/>
  <c r="Z2563" i="2"/>
  <c r="C2563" i="2"/>
  <c r="AA2562" i="2"/>
  <c r="Z2562" i="2"/>
  <c r="C2562" i="2"/>
  <c r="AA2561" i="2"/>
  <c r="Z2561" i="2"/>
  <c r="C2561" i="2"/>
  <c r="AA2560" i="2"/>
  <c r="Z2560" i="2"/>
  <c r="C2560" i="2"/>
  <c r="AA2559" i="2"/>
  <c r="Z2559" i="2"/>
  <c r="C2559" i="2"/>
  <c r="AA2558" i="2"/>
  <c r="Z2558" i="2"/>
  <c r="C2558" i="2"/>
  <c r="AA2557" i="2"/>
  <c r="Z2557" i="2"/>
  <c r="C2557" i="2"/>
  <c r="AA2556" i="2"/>
  <c r="Z2556" i="2"/>
  <c r="C2556" i="2"/>
  <c r="AA2555" i="2"/>
  <c r="Z2555" i="2"/>
  <c r="C2555" i="2"/>
  <c r="AA2554" i="2"/>
  <c r="Z2554" i="2"/>
  <c r="C2554" i="2"/>
  <c r="AA2553" i="2"/>
  <c r="Z2553" i="2"/>
  <c r="C2553" i="2"/>
  <c r="AA2552" i="2"/>
  <c r="Z2552" i="2"/>
  <c r="C2552" i="2"/>
  <c r="AA2551" i="2"/>
  <c r="Z2551" i="2"/>
  <c r="C2551" i="2"/>
  <c r="AA2550" i="2"/>
  <c r="Z2550" i="2"/>
  <c r="C2550" i="2"/>
  <c r="AA2549" i="2"/>
  <c r="Z2549" i="2"/>
  <c r="C2549" i="2"/>
  <c r="AA2548" i="2"/>
  <c r="Z2548" i="2"/>
  <c r="C2548" i="2"/>
  <c r="AA2547" i="2"/>
  <c r="Z2547" i="2"/>
  <c r="C2547" i="2"/>
  <c r="AA2546" i="2"/>
  <c r="Z2546" i="2"/>
  <c r="C2546" i="2"/>
  <c r="AA2545" i="2"/>
  <c r="Z2545" i="2"/>
  <c r="C2545" i="2"/>
  <c r="AA2544" i="2"/>
  <c r="Z2544" i="2"/>
  <c r="C2544" i="2"/>
  <c r="AA2543" i="2"/>
  <c r="Z2543" i="2"/>
  <c r="C2543" i="2"/>
  <c r="AA2542" i="2"/>
  <c r="Z2542" i="2"/>
  <c r="C2542" i="2"/>
  <c r="AA2541" i="2"/>
  <c r="Z2541" i="2"/>
  <c r="C2541" i="2"/>
  <c r="AA2540" i="2"/>
  <c r="Z2540" i="2"/>
  <c r="C2540" i="2"/>
  <c r="AA2539" i="2"/>
  <c r="Z2539" i="2"/>
  <c r="C2539" i="2"/>
  <c r="AA2538" i="2"/>
  <c r="Z2538" i="2"/>
  <c r="C2538" i="2"/>
  <c r="AA2537" i="2"/>
  <c r="Z2537" i="2"/>
  <c r="C2537" i="2"/>
  <c r="AA2536" i="2"/>
  <c r="Z2536" i="2"/>
  <c r="C2536" i="2"/>
  <c r="AA2535" i="2"/>
  <c r="Z2535" i="2"/>
  <c r="C2535" i="2"/>
  <c r="AA2534" i="2"/>
  <c r="Z2534" i="2"/>
  <c r="C2534" i="2"/>
  <c r="AA2533" i="2"/>
  <c r="Z2533" i="2"/>
  <c r="C2533" i="2"/>
  <c r="AA2532" i="2"/>
  <c r="Z2532" i="2"/>
  <c r="C2532" i="2"/>
  <c r="AA2531" i="2"/>
  <c r="Z2531" i="2"/>
  <c r="C2531" i="2"/>
  <c r="AA2530" i="2"/>
  <c r="Z2530" i="2"/>
  <c r="C2530" i="2"/>
  <c r="AA2529" i="2"/>
  <c r="Z2529" i="2"/>
  <c r="C2529" i="2"/>
  <c r="AA2528" i="2"/>
  <c r="Z2528" i="2"/>
  <c r="C2528" i="2"/>
  <c r="AA2527" i="2"/>
  <c r="Z2527" i="2"/>
  <c r="C2527" i="2"/>
  <c r="AA2526" i="2"/>
  <c r="Z2526" i="2"/>
  <c r="C2526" i="2"/>
  <c r="AA2525" i="2"/>
  <c r="Z2525" i="2"/>
  <c r="C2525" i="2"/>
  <c r="AA2524" i="2"/>
  <c r="Z2524" i="2"/>
  <c r="C2524" i="2"/>
  <c r="AA2523" i="2"/>
  <c r="Z2523" i="2"/>
  <c r="C2523" i="2"/>
  <c r="AA2522" i="2"/>
  <c r="Z2522" i="2"/>
  <c r="C2522" i="2"/>
  <c r="AA2521" i="2"/>
  <c r="Z2521" i="2"/>
  <c r="C2521" i="2"/>
  <c r="AA2520" i="2"/>
  <c r="Z2520" i="2"/>
  <c r="C2520" i="2"/>
  <c r="AA2519" i="2"/>
  <c r="Z2519" i="2"/>
  <c r="C2519" i="2"/>
  <c r="AA2518" i="2"/>
  <c r="Z2518" i="2"/>
  <c r="C2518" i="2"/>
  <c r="AA2517" i="2"/>
  <c r="Z2517" i="2"/>
  <c r="C2517" i="2"/>
  <c r="AA2516" i="2"/>
  <c r="Z2516" i="2"/>
  <c r="C2516" i="2"/>
  <c r="AA2515" i="2"/>
  <c r="Z2515" i="2"/>
  <c r="C2515" i="2"/>
  <c r="AA2514" i="2"/>
  <c r="Z2514" i="2"/>
  <c r="C2514" i="2"/>
  <c r="AA2513" i="2"/>
  <c r="Z2513" i="2"/>
  <c r="C2513" i="2"/>
  <c r="AA2512" i="2"/>
  <c r="Z2512" i="2"/>
  <c r="C2512" i="2"/>
  <c r="AA2511" i="2"/>
  <c r="Z2511" i="2"/>
  <c r="C2511" i="2"/>
  <c r="AA2510" i="2"/>
  <c r="Z2510" i="2"/>
  <c r="C2510" i="2"/>
  <c r="AA2509" i="2"/>
  <c r="Z2509" i="2"/>
  <c r="C2509" i="2"/>
  <c r="AA2508" i="2"/>
  <c r="Z2508" i="2"/>
  <c r="C2508" i="2"/>
  <c r="AA2507" i="2"/>
  <c r="Z2507" i="2"/>
  <c r="C2507" i="2"/>
  <c r="AA2506" i="2"/>
  <c r="Z2506" i="2"/>
  <c r="C2506" i="2"/>
  <c r="AA2505" i="2"/>
  <c r="Z2505" i="2"/>
  <c r="C2505" i="2"/>
  <c r="AA2504" i="2"/>
  <c r="Z2504" i="2"/>
  <c r="C2504" i="2"/>
  <c r="AA2503" i="2"/>
  <c r="Z2503" i="2"/>
  <c r="C2503" i="2"/>
  <c r="AA2502" i="2"/>
  <c r="Z2502" i="2"/>
  <c r="C2502" i="2"/>
  <c r="AA2501" i="2"/>
  <c r="Z2501" i="2"/>
  <c r="C2501" i="2"/>
  <c r="AA2500" i="2"/>
  <c r="Z2500" i="2"/>
  <c r="C2500" i="2"/>
  <c r="AA2499" i="2"/>
  <c r="Z2499" i="2"/>
  <c r="C2499" i="2"/>
  <c r="AA2498" i="2"/>
  <c r="Z2498" i="2"/>
  <c r="C2498" i="2"/>
  <c r="AA2497" i="2"/>
  <c r="Z2497" i="2"/>
  <c r="C2497" i="2"/>
  <c r="AA2496" i="2"/>
  <c r="Z2496" i="2"/>
  <c r="C2496" i="2"/>
  <c r="AA2495" i="2"/>
  <c r="Z2495" i="2"/>
  <c r="C2495" i="2"/>
  <c r="AA2494" i="2"/>
  <c r="Z2494" i="2"/>
  <c r="C2494" i="2"/>
  <c r="AA2493" i="2"/>
  <c r="Z2493" i="2"/>
  <c r="C2493" i="2"/>
  <c r="AA2492" i="2"/>
  <c r="Z2492" i="2"/>
  <c r="C2492" i="2"/>
  <c r="AA2491" i="2"/>
  <c r="Z2491" i="2"/>
  <c r="C2491" i="2"/>
  <c r="AA2490" i="2"/>
  <c r="Z2490" i="2"/>
  <c r="C2490" i="2"/>
  <c r="AA2489" i="2"/>
  <c r="Z2489" i="2"/>
  <c r="C2489" i="2"/>
  <c r="AA2488" i="2"/>
  <c r="Z2488" i="2"/>
  <c r="C2488" i="2"/>
  <c r="AA2487" i="2"/>
  <c r="Z2487" i="2"/>
  <c r="C2487" i="2"/>
  <c r="AA2486" i="2"/>
  <c r="Z2486" i="2"/>
  <c r="C2486" i="2"/>
  <c r="AA2485" i="2"/>
  <c r="Z2485" i="2"/>
  <c r="C2485" i="2"/>
  <c r="AA2484" i="2"/>
  <c r="Z2484" i="2"/>
  <c r="C2484" i="2"/>
  <c r="AA2483" i="2"/>
  <c r="Z2483" i="2"/>
  <c r="C2483" i="2"/>
  <c r="AA2482" i="2"/>
  <c r="Z2482" i="2"/>
  <c r="C2482" i="2"/>
  <c r="AA2481" i="2"/>
  <c r="Z2481" i="2"/>
  <c r="C2481" i="2"/>
  <c r="AA2480" i="2"/>
  <c r="Z2480" i="2"/>
  <c r="C2480" i="2"/>
  <c r="AA2479" i="2"/>
  <c r="Z2479" i="2"/>
  <c r="C2479" i="2"/>
  <c r="AA2478" i="2"/>
  <c r="Z2478" i="2"/>
  <c r="C2478" i="2"/>
  <c r="AA2477" i="2"/>
  <c r="Z2477" i="2"/>
  <c r="C2477" i="2"/>
  <c r="AA2476" i="2"/>
  <c r="Z2476" i="2"/>
  <c r="C2476" i="2"/>
  <c r="AA2475" i="2"/>
  <c r="Z2475" i="2"/>
  <c r="C2475" i="2"/>
  <c r="AA2474" i="2"/>
  <c r="Z2474" i="2"/>
  <c r="C2474" i="2"/>
  <c r="AA2473" i="2"/>
  <c r="Z2473" i="2"/>
  <c r="C2473" i="2"/>
  <c r="AA2472" i="2"/>
  <c r="Z2472" i="2"/>
  <c r="C2472" i="2"/>
  <c r="AA2471" i="2"/>
  <c r="Z2471" i="2"/>
  <c r="C2471" i="2"/>
  <c r="AA2470" i="2"/>
  <c r="Z2470" i="2"/>
  <c r="C2470" i="2"/>
  <c r="AA2469" i="2"/>
  <c r="Z2469" i="2"/>
  <c r="C2469" i="2"/>
  <c r="AA2468" i="2"/>
  <c r="Z2468" i="2"/>
  <c r="C2468" i="2"/>
  <c r="AA2467" i="2"/>
  <c r="Z2467" i="2"/>
  <c r="C2467" i="2"/>
  <c r="AA2466" i="2"/>
  <c r="Z2466" i="2"/>
  <c r="C2466" i="2"/>
  <c r="AA2465" i="2"/>
  <c r="Z2465" i="2"/>
  <c r="C2465" i="2"/>
  <c r="AA2464" i="2"/>
  <c r="Z2464" i="2"/>
  <c r="C2464" i="2"/>
  <c r="AA2463" i="2"/>
  <c r="Z2463" i="2"/>
  <c r="C2463" i="2"/>
  <c r="AA2462" i="2"/>
  <c r="Z2462" i="2"/>
  <c r="C2462" i="2"/>
  <c r="AA2461" i="2"/>
  <c r="Z2461" i="2"/>
  <c r="C2461" i="2"/>
  <c r="AA2460" i="2"/>
  <c r="Z2460" i="2"/>
  <c r="C2460" i="2"/>
  <c r="AA2459" i="2"/>
  <c r="Z2459" i="2"/>
  <c r="C2459" i="2"/>
  <c r="AA2458" i="2"/>
  <c r="Z2458" i="2"/>
  <c r="C2458" i="2"/>
  <c r="AA2457" i="2"/>
  <c r="Z2457" i="2"/>
  <c r="C2457" i="2"/>
  <c r="AA2456" i="2"/>
  <c r="Z2456" i="2"/>
  <c r="C2456" i="2"/>
  <c r="AA2455" i="2"/>
  <c r="Z2455" i="2"/>
  <c r="C2455" i="2"/>
  <c r="AA2454" i="2"/>
  <c r="Z2454" i="2"/>
  <c r="C2454" i="2"/>
  <c r="AA2453" i="2"/>
  <c r="Z2453" i="2"/>
  <c r="C2453" i="2"/>
  <c r="AA2452" i="2"/>
  <c r="Z2452" i="2"/>
  <c r="C2452" i="2"/>
  <c r="AA2451" i="2"/>
  <c r="Z2451" i="2"/>
  <c r="C2451" i="2"/>
  <c r="AA2450" i="2"/>
  <c r="Z2450" i="2"/>
  <c r="C2450" i="2"/>
  <c r="AA2449" i="2"/>
  <c r="Z2449" i="2"/>
  <c r="C2449" i="2"/>
  <c r="AA2448" i="2"/>
  <c r="Z2448" i="2"/>
  <c r="C2448" i="2"/>
  <c r="AA2447" i="2"/>
  <c r="Z2447" i="2"/>
  <c r="C2447" i="2"/>
  <c r="AA2446" i="2"/>
  <c r="Z2446" i="2"/>
  <c r="C2446" i="2"/>
  <c r="AA2445" i="2"/>
  <c r="Z2445" i="2"/>
  <c r="C2445" i="2"/>
  <c r="AA2444" i="2"/>
  <c r="Z2444" i="2"/>
  <c r="C2444" i="2"/>
  <c r="AA2443" i="2"/>
  <c r="Z2443" i="2"/>
  <c r="C2443" i="2"/>
  <c r="AA2442" i="2"/>
  <c r="Z2442" i="2"/>
  <c r="C2442" i="2"/>
  <c r="AA2441" i="2"/>
  <c r="Z2441" i="2"/>
  <c r="C2441" i="2"/>
  <c r="AA2440" i="2"/>
  <c r="Z2440" i="2"/>
  <c r="C2440" i="2"/>
  <c r="AA2439" i="2"/>
  <c r="Z2439" i="2"/>
  <c r="C2439" i="2"/>
  <c r="AA2438" i="2"/>
  <c r="Z2438" i="2"/>
  <c r="C2438" i="2"/>
  <c r="AA2437" i="2"/>
  <c r="Z2437" i="2"/>
  <c r="C2437" i="2"/>
  <c r="AA2436" i="2"/>
  <c r="Z2436" i="2"/>
  <c r="C2436" i="2"/>
  <c r="AA2435" i="2"/>
  <c r="Z2435" i="2"/>
  <c r="C2435" i="2"/>
  <c r="AA2434" i="2"/>
  <c r="Z2434" i="2"/>
  <c r="C2434" i="2"/>
  <c r="AA2433" i="2"/>
  <c r="Z2433" i="2"/>
  <c r="C2433" i="2"/>
  <c r="AA2432" i="2"/>
  <c r="Z2432" i="2"/>
  <c r="C2432" i="2"/>
  <c r="AA2431" i="2"/>
  <c r="Z2431" i="2"/>
  <c r="C2431" i="2"/>
  <c r="AA2430" i="2"/>
  <c r="Z2430" i="2"/>
  <c r="C2430" i="2"/>
  <c r="AA2429" i="2"/>
  <c r="Z2429" i="2"/>
  <c r="C2429" i="2"/>
  <c r="AA2428" i="2"/>
  <c r="Z2428" i="2"/>
  <c r="C2428" i="2"/>
  <c r="AA2427" i="2"/>
  <c r="Z2427" i="2"/>
  <c r="C2427" i="2"/>
  <c r="AA2426" i="2"/>
  <c r="Z2426" i="2"/>
  <c r="C2426" i="2"/>
  <c r="AA2425" i="2"/>
  <c r="Z2425" i="2"/>
  <c r="C2425" i="2"/>
  <c r="AA2424" i="2"/>
  <c r="Z2424" i="2"/>
  <c r="C2424" i="2"/>
  <c r="AA2423" i="2"/>
  <c r="Z2423" i="2"/>
  <c r="C2423" i="2"/>
  <c r="AA2422" i="2"/>
  <c r="Z2422" i="2"/>
  <c r="C2422" i="2"/>
  <c r="AA2421" i="2"/>
  <c r="Z2421" i="2"/>
  <c r="C2421" i="2"/>
  <c r="AA2420" i="2"/>
  <c r="Z2420" i="2"/>
  <c r="C2420" i="2"/>
  <c r="AA2419" i="2"/>
  <c r="Z2419" i="2"/>
  <c r="C2419" i="2"/>
  <c r="AA2418" i="2"/>
  <c r="Z2418" i="2"/>
  <c r="C2418" i="2"/>
  <c r="AA2417" i="2"/>
  <c r="Z2417" i="2"/>
  <c r="C2417" i="2"/>
  <c r="AA2416" i="2"/>
  <c r="Z2416" i="2"/>
  <c r="C2416" i="2"/>
  <c r="AA2415" i="2"/>
  <c r="Z2415" i="2"/>
  <c r="C2415" i="2"/>
  <c r="AA2414" i="2"/>
  <c r="Z2414" i="2"/>
  <c r="C2414" i="2"/>
  <c r="AA2413" i="2"/>
  <c r="Z2413" i="2"/>
  <c r="C2413" i="2"/>
  <c r="AA2412" i="2"/>
  <c r="Z2412" i="2"/>
  <c r="C2412" i="2"/>
  <c r="AA2411" i="2"/>
  <c r="Z2411" i="2"/>
  <c r="C2411" i="2"/>
  <c r="AA2410" i="2"/>
  <c r="Z2410" i="2"/>
  <c r="C2410" i="2"/>
  <c r="AA2409" i="2"/>
  <c r="Z2409" i="2"/>
  <c r="C2409" i="2"/>
  <c r="AA2408" i="2"/>
  <c r="Z2408" i="2"/>
  <c r="C2408" i="2"/>
  <c r="AA2407" i="2"/>
  <c r="Z2407" i="2"/>
  <c r="C2407" i="2"/>
  <c r="AA2406" i="2"/>
  <c r="Z2406" i="2"/>
  <c r="C2406" i="2"/>
  <c r="AA2405" i="2"/>
  <c r="Z2405" i="2"/>
  <c r="C2405" i="2"/>
  <c r="AA2404" i="2"/>
  <c r="Z2404" i="2"/>
  <c r="C2404" i="2"/>
  <c r="AA2403" i="2"/>
  <c r="Z2403" i="2"/>
  <c r="C2403" i="2"/>
  <c r="AA2402" i="2"/>
  <c r="Z2402" i="2"/>
  <c r="C2402" i="2"/>
  <c r="AA2401" i="2"/>
  <c r="Z2401" i="2"/>
  <c r="C2401" i="2"/>
  <c r="AA2400" i="2"/>
  <c r="Z2400" i="2"/>
  <c r="C2400" i="2"/>
  <c r="AA2399" i="2"/>
  <c r="Z2399" i="2"/>
  <c r="C2399" i="2"/>
  <c r="AA2398" i="2"/>
  <c r="Z2398" i="2"/>
  <c r="C2398" i="2"/>
  <c r="AA2397" i="2"/>
  <c r="Z2397" i="2"/>
  <c r="C2397" i="2"/>
  <c r="AA2396" i="2"/>
  <c r="Z2396" i="2"/>
  <c r="C2396" i="2"/>
  <c r="AA2395" i="2"/>
  <c r="Z2395" i="2"/>
  <c r="C2395" i="2"/>
  <c r="AA2394" i="2"/>
  <c r="Z2394" i="2"/>
  <c r="C2394" i="2"/>
  <c r="AA2393" i="2"/>
  <c r="Z2393" i="2"/>
  <c r="C2393" i="2"/>
  <c r="AA2392" i="2"/>
  <c r="Z2392" i="2"/>
  <c r="C2392" i="2"/>
  <c r="AA2391" i="2"/>
  <c r="Z2391" i="2"/>
  <c r="C2391" i="2"/>
  <c r="AA2390" i="2"/>
  <c r="Z2390" i="2"/>
  <c r="C2390" i="2"/>
  <c r="AA2389" i="2"/>
  <c r="Z2389" i="2"/>
  <c r="C2389" i="2"/>
  <c r="AA2388" i="2"/>
  <c r="Z2388" i="2"/>
  <c r="C2388" i="2"/>
  <c r="AA2387" i="2"/>
  <c r="Z2387" i="2"/>
  <c r="C2387" i="2"/>
  <c r="AA2386" i="2"/>
  <c r="Z2386" i="2"/>
  <c r="C2386" i="2"/>
  <c r="AA2385" i="2"/>
  <c r="Z2385" i="2"/>
  <c r="C2385" i="2"/>
  <c r="AA2384" i="2"/>
  <c r="Z2384" i="2"/>
  <c r="C2384" i="2"/>
  <c r="AA2383" i="2"/>
  <c r="Z2383" i="2"/>
  <c r="C2383" i="2"/>
  <c r="AA2382" i="2"/>
  <c r="Z2382" i="2"/>
  <c r="C2382" i="2"/>
  <c r="AA2381" i="2"/>
  <c r="Z2381" i="2"/>
  <c r="C2381" i="2"/>
  <c r="AA2380" i="2"/>
  <c r="Z2380" i="2"/>
  <c r="C2380" i="2"/>
  <c r="AA2379" i="2"/>
  <c r="Z2379" i="2"/>
  <c r="C2379" i="2"/>
  <c r="AA2378" i="2"/>
  <c r="Z2378" i="2"/>
  <c r="C2378" i="2"/>
  <c r="AA2377" i="2"/>
  <c r="Z2377" i="2"/>
  <c r="C2377" i="2"/>
  <c r="AA2376" i="2"/>
  <c r="Z2376" i="2"/>
  <c r="C2376" i="2"/>
  <c r="AA2375" i="2"/>
  <c r="Z2375" i="2"/>
  <c r="C2375" i="2"/>
  <c r="AA2374" i="2"/>
  <c r="Z2374" i="2"/>
  <c r="C2374" i="2"/>
  <c r="AA2373" i="2"/>
  <c r="Z2373" i="2"/>
  <c r="C2373" i="2"/>
  <c r="AA2372" i="2"/>
  <c r="Z2372" i="2"/>
  <c r="C2372" i="2"/>
  <c r="AA2371" i="2"/>
  <c r="Z2371" i="2"/>
  <c r="C2371" i="2"/>
  <c r="AA2370" i="2"/>
  <c r="Z2370" i="2"/>
  <c r="C2370" i="2"/>
  <c r="AA2369" i="2"/>
  <c r="Z2369" i="2"/>
  <c r="C2369" i="2"/>
  <c r="AA2368" i="2"/>
  <c r="Z2368" i="2"/>
  <c r="C2368" i="2"/>
  <c r="AA2367" i="2"/>
  <c r="Z2367" i="2"/>
  <c r="C2367" i="2"/>
  <c r="AA2366" i="2"/>
  <c r="Z2366" i="2"/>
  <c r="C2366" i="2"/>
  <c r="AA2365" i="2"/>
  <c r="Z2365" i="2"/>
  <c r="C2365" i="2"/>
  <c r="AA2364" i="2"/>
  <c r="Z2364" i="2"/>
  <c r="C2364" i="2"/>
  <c r="AA2363" i="2"/>
  <c r="Z2363" i="2"/>
  <c r="C2363" i="2"/>
  <c r="AA2362" i="2"/>
  <c r="Z2362" i="2"/>
  <c r="C2362" i="2"/>
  <c r="AA2361" i="2"/>
  <c r="Z2361" i="2"/>
  <c r="C2361" i="2"/>
  <c r="AA2360" i="2"/>
  <c r="Z2360" i="2"/>
  <c r="C2360" i="2"/>
  <c r="AA2359" i="2"/>
  <c r="Z2359" i="2"/>
  <c r="C2359" i="2"/>
  <c r="AA2358" i="2"/>
  <c r="Z2358" i="2"/>
  <c r="C2358" i="2"/>
  <c r="AA2357" i="2"/>
  <c r="Z2357" i="2"/>
  <c r="C2357" i="2"/>
  <c r="AA2356" i="2"/>
  <c r="Z2356" i="2"/>
  <c r="C2356" i="2"/>
  <c r="AA2355" i="2"/>
  <c r="Z2355" i="2"/>
  <c r="C2355" i="2"/>
  <c r="AA2354" i="2"/>
  <c r="Z2354" i="2"/>
  <c r="C2354" i="2"/>
  <c r="AA2353" i="2"/>
  <c r="Z2353" i="2"/>
  <c r="C2353" i="2"/>
  <c r="AA2352" i="2"/>
  <c r="Z2352" i="2"/>
  <c r="C2352" i="2"/>
  <c r="AA2351" i="2"/>
  <c r="Z2351" i="2"/>
  <c r="C2351" i="2"/>
  <c r="AA2350" i="2"/>
  <c r="Z2350" i="2"/>
  <c r="C2350" i="2"/>
  <c r="AA2349" i="2"/>
  <c r="Z2349" i="2"/>
  <c r="C2349" i="2"/>
  <c r="AA2348" i="2"/>
  <c r="Z2348" i="2"/>
  <c r="C2348" i="2"/>
  <c r="AA2347" i="2"/>
  <c r="Z2347" i="2"/>
  <c r="C2347" i="2"/>
  <c r="AA2346" i="2"/>
  <c r="Z2346" i="2"/>
  <c r="C2346" i="2"/>
  <c r="AA2345" i="2"/>
  <c r="Z2345" i="2"/>
  <c r="C2345" i="2"/>
  <c r="AA2344" i="2"/>
  <c r="Z2344" i="2"/>
  <c r="C2344" i="2"/>
  <c r="AA2343" i="2"/>
  <c r="Z2343" i="2"/>
  <c r="C2343" i="2"/>
  <c r="AA2342" i="2"/>
  <c r="Z2342" i="2"/>
  <c r="C2342" i="2"/>
  <c r="AA2341" i="2"/>
  <c r="Z2341" i="2"/>
  <c r="C2341" i="2"/>
  <c r="AA2340" i="2"/>
  <c r="Z2340" i="2"/>
  <c r="C2340" i="2"/>
  <c r="AA2339" i="2"/>
  <c r="Z2339" i="2"/>
  <c r="C2339" i="2"/>
  <c r="AA2338" i="2"/>
  <c r="Z2338" i="2"/>
  <c r="C2338" i="2"/>
  <c r="AA2337" i="2"/>
  <c r="Z2337" i="2"/>
  <c r="C2337" i="2"/>
  <c r="AA2336" i="2"/>
  <c r="Z2336" i="2"/>
  <c r="C2336" i="2"/>
  <c r="AA2335" i="2"/>
  <c r="Z2335" i="2"/>
  <c r="C2335" i="2"/>
  <c r="AA2334" i="2"/>
  <c r="Z2334" i="2"/>
  <c r="C2334" i="2"/>
  <c r="AA2333" i="2"/>
  <c r="Z2333" i="2"/>
  <c r="C2333" i="2"/>
  <c r="AA2332" i="2"/>
  <c r="Z2332" i="2"/>
  <c r="C2332" i="2"/>
  <c r="AA2331" i="2"/>
  <c r="Z2331" i="2"/>
  <c r="C2331" i="2"/>
  <c r="AA2330" i="2"/>
  <c r="Z2330" i="2"/>
  <c r="C2330" i="2"/>
  <c r="AA2329" i="2"/>
  <c r="Z2329" i="2"/>
  <c r="C2329" i="2"/>
  <c r="AA2328" i="2"/>
  <c r="Z2328" i="2"/>
  <c r="C2328" i="2"/>
  <c r="AA2327" i="2"/>
  <c r="Z2327" i="2"/>
  <c r="C2327" i="2"/>
  <c r="AA2326" i="2"/>
  <c r="Z2326" i="2"/>
  <c r="C2326" i="2"/>
  <c r="AA2325" i="2"/>
  <c r="Z2325" i="2"/>
  <c r="C2325" i="2"/>
  <c r="AA2324" i="2"/>
  <c r="Z2324" i="2"/>
  <c r="C2324" i="2"/>
  <c r="AA2323" i="2"/>
  <c r="Z2323" i="2"/>
  <c r="C2323" i="2"/>
  <c r="AA2322" i="2"/>
  <c r="Z2322" i="2"/>
  <c r="C2322" i="2"/>
  <c r="AA2321" i="2"/>
  <c r="Z2321" i="2"/>
  <c r="C2321" i="2"/>
  <c r="AA2320" i="2"/>
  <c r="Z2320" i="2"/>
  <c r="C2320" i="2"/>
  <c r="AA2319" i="2"/>
  <c r="Z2319" i="2"/>
  <c r="C2319" i="2"/>
  <c r="AA2318" i="2"/>
  <c r="Z2318" i="2"/>
  <c r="C2318" i="2"/>
  <c r="AA2317" i="2"/>
  <c r="Z2317" i="2"/>
  <c r="C2317" i="2"/>
  <c r="AA2316" i="2"/>
  <c r="Z2316" i="2"/>
  <c r="C2316" i="2"/>
  <c r="AA2315" i="2"/>
  <c r="Z2315" i="2"/>
  <c r="C2315" i="2"/>
  <c r="AA2314" i="2"/>
  <c r="Z2314" i="2"/>
  <c r="C2314" i="2"/>
  <c r="AA2313" i="2"/>
  <c r="Z2313" i="2"/>
  <c r="C2313" i="2"/>
  <c r="AA2312" i="2"/>
  <c r="Z2312" i="2"/>
  <c r="C2312" i="2"/>
  <c r="AA2311" i="2"/>
  <c r="Z2311" i="2"/>
  <c r="C2311" i="2"/>
  <c r="AA2310" i="2"/>
  <c r="Z2310" i="2"/>
  <c r="C2310" i="2"/>
  <c r="AA2309" i="2"/>
  <c r="Z2309" i="2"/>
  <c r="C2309" i="2"/>
  <c r="AA2308" i="2"/>
  <c r="Z2308" i="2"/>
  <c r="C2308" i="2"/>
  <c r="AA2307" i="2"/>
  <c r="Z2307" i="2"/>
  <c r="C2307" i="2"/>
  <c r="AA2306" i="2"/>
  <c r="Z2306" i="2"/>
  <c r="C2306" i="2"/>
  <c r="AA2305" i="2"/>
  <c r="Z2305" i="2"/>
  <c r="C2305" i="2"/>
  <c r="AA2304" i="2"/>
  <c r="Z2304" i="2"/>
  <c r="C2304" i="2"/>
  <c r="AA2303" i="2"/>
  <c r="Z2303" i="2"/>
  <c r="C2303" i="2"/>
  <c r="AA2302" i="2"/>
  <c r="Z2302" i="2"/>
  <c r="C2302" i="2"/>
  <c r="AA2301" i="2"/>
  <c r="Z2301" i="2"/>
  <c r="C2301" i="2"/>
  <c r="AA2300" i="2"/>
  <c r="Z2300" i="2"/>
  <c r="C2300" i="2"/>
  <c r="AA2299" i="2"/>
  <c r="Z2299" i="2"/>
  <c r="C2299" i="2"/>
  <c r="AA2298" i="2"/>
  <c r="Z2298" i="2"/>
  <c r="C2298" i="2"/>
  <c r="AA2297" i="2"/>
  <c r="Z2297" i="2"/>
  <c r="C2297" i="2"/>
  <c r="AA2296" i="2"/>
  <c r="Z2296" i="2"/>
  <c r="C2296" i="2"/>
  <c r="AA2295" i="2"/>
  <c r="Z2295" i="2"/>
  <c r="C2295" i="2"/>
  <c r="AA2294" i="2"/>
  <c r="Z2294" i="2"/>
  <c r="C2294" i="2"/>
  <c r="AA2293" i="2"/>
  <c r="Z2293" i="2"/>
  <c r="C2293" i="2"/>
  <c r="AA2292" i="2"/>
  <c r="Z2292" i="2"/>
  <c r="C2292" i="2"/>
  <c r="AA2291" i="2"/>
  <c r="Z2291" i="2"/>
  <c r="C2291" i="2"/>
  <c r="AA2290" i="2"/>
  <c r="Z2290" i="2"/>
  <c r="C2290" i="2"/>
  <c r="AA2289" i="2"/>
  <c r="Z2289" i="2"/>
  <c r="C2289" i="2"/>
  <c r="AA2288" i="2"/>
  <c r="Z2288" i="2"/>
  <c r="C2288" i="2"/>
  <c r="AA2287" i="2"/>
  <c r="Z2287" i="2"/>
  <c r="C2287" i="2"/>
  <c r="AA2286" i="2"/>
  <c r="Z2286" i="2"/>
  <c r="C2286" i="2"/>
  <c r="AA2285" i="2"/>
  <c r="Z2285" i="2"/>
  <c r="C2285" i="2"/>
  <c r="AA2284" i="2"/>
  <c r="Z2284" i="2"/>
  <c r="C2284" i="2"/>
  <c r="AA2283" i="2"/>
  <c r="Z2283" i="2"/>
  <c r="C2283" i="2"/>
  <c r="AA2282" i="2"/>
  <c r="Z2282" i="2"/>
  <c r="C2282" i="2"/>
  <c r="AA2281" i="2"/>
  <c r="Z2281" i="2"/>
  <c r="C2281" i="2"/>
  <c r="AA2280" i="2"/>
  <c r="Z2280" i="2"/>
  <c r="C2280" i="2"/>
  <c r="AA2279" i="2"/>
  <c r="Z2279" i="2"/>
  <c r="C2279" i="2"/>
  <c r="AA2278" i="2"/>
  <c r="Z2278" i="2"/>
  <c r="C2278" i="2"/>
  <c r="AA2277" i="2"/>
  <c r="Z2277" i="2"/>
  <c r="C2277" i="2"/>
  <c r="AA2276" i="2"/>
  <c r="Z2276" i="2"/>
  <c r="C2276" i="2"/>
  <c r="AA2275" i="2"/>
  <c r="Z2275" i="2"/>
  <c r="C2275" i="2"/>
  <c r="AA2274" i="2"/>
  <c r="Z2274" i="2"/>
  <c r="C2274" i="2"/>
  <c r="AA2273" i="2"/>
  <c r="Z2273" i="2"/>
  <c r="C2273" i="2"/>
  <c r="AA2272" i="2"/>
  <c r="Z2272" i="2"/>
  <c r="C2272" i="2"/>
  <c r="AA2271" i="2"/>
  <c r="Z2271" i="2"/>
  <c r="C2271" i="2"/>
  <c r="AA2270" i="2"/>
  <c r="Z2270" i="2"/>
  <c r="C2270" i="2"/>
  <c r="AA2269" i="2"/>
  <c r="Z2269" i="2"/>
  <c r="C2269" i="2"/>
  <c r="AA2268" i="2"/>
  <c r="Z2268" i="2"/>
  <c r="C2268" i="2"/>
  <c r="AA2267" i="2"/>
  <c r="Z2267" i="2"/>
  <c r="C2267" i="2"/>
  <c r="AA2266" i="2"/>
  <c r="Z2266" i="2"/>
  <c r="C2266" i="2"/>
  <c r="AA2265" i="2"/>
  <c r="Z2265" i="2"/>
  <c r="C2265" i="2"/>
  <c r="AA2264" i="2"/>
  <c r="Z2264" i="2"/>
  <c r="C2264" i="2"/>
  <c r="AA2263" i="2"/>
  <c r="Z2263" i="2"/>
  <c r="C2263" i="2"/>
  <c r="AA2262" i="2"/>
  <c r="Z2262" i="2"/>
  <c r="C2262" i="2"/>
  <c r="AA2261" i="2"/>
  <c r="Z2261" i="2"/>
  <c r="C2261" i="2"/>
  <c r="AA2260" i="2"/>
  <c r="Z2260" i="2"/>
  <c r="C2260" i="2"/>
  <c r="AA2259" i="2"/>
  <c r="Z2259" i="2"/>
  <c r="C2259" i="2"/>
  <c r="AA2258" i="2"/>
  <c r="Z2258" i="2"/>
  <c r="C2258" i="2"/>
  <c r="AA2257" i="2"/>
  <c r="Z2257" i="2"/>
  <c r="C2257" i="2"/>
  <c r="AA2256" i="2"/>
  <c r="Z2256" i="2"/>
  <c r="C2256" i="2"/>
  <c r="AA2255" i="2"/>
  <c r="Z2255" i="2"/>
  <c r="C2255" i="2"/>
  <c r="AA2254" i="2"/>
  <c r="Z2254" i="2"/>
  <c r="C2254" i="2"/>
  <c r="AA2253" i="2"/>
  <c r="Z2253" i="2"/>
  <c r="C2253" i="2"/>
  <c r="AA2252" i="2"/>
  <c r="Z2252" i="2"/>
  <c r="C2252" i="2"/>
  <c r="AA2251" i="2"/>
  <c r="Z2251" i="2"/>
  <c r="C2251" i="2"/>
  <c r="AA2250" i="2"/>
  <c r="Z2250" i="2"/>
  <c r="C2250" i="2"/>
  <c r="AA2249" i="2"/>
  <c r="Z2249" i="2"/>
  <c r="C2249" i="2"/>
  <c r="AA2248" i="2"/>
  <c r="Z2248" i="2"/>
  <c r="C2248" i="2"/>
  <c r="AA2247" i="2"/>
  <c r="Z2247" i="2"/>
  <c r="C2247" i="2"/>
  <c r="AA2246" i="2"/>
  <c r="Z2246" i="2"/>
  <c r="C2246" i="2"/>
  <c r="AA2245" i="2"/>
  <c r="Z2245" i="2"/>
  <c r="C2245" i="2"/>
  <c r="AA2244" i="2"/>
  <c r="Z2244" i="2"/>
  <c r="C2244" i="2"/>
  <c r="AA2243" i="2"/>
  <c r="Z2243" i="2"/>
  <c r="C2243" i="2"/>
  <c r="AA2242" i="2"/>
  <c r="Z2242" i="2"/>
  <c r="C2242" i="2"/>
  <c r="AA2241" i="2"/>
  <c r="Z2241" i="2"/>
  <c r="C2241" i="2"/>
  <c r="AA2240" i="2"/>
  <c r="Z2240" i="2"/>
  <c r="C2240" i="2"/>
  <c r="AA2239" i="2"/>
  <c r="Z2239" i="2"/>
  <c r="C2239" i="2"/>
  <c r="AA2238" i="2"/>
  <c r="Z2238" i="2"/>
  <c r="C2238" i="2"/>
  <c r="AA2237" i="2"/>
  <c r="Z2237" i="2"/>
  <c r="C2237" i="2"/>
  <c r="AA2236" i="2"/>
  <c r="Z2236" i="2"/>
  <c r="C2236" i="2"/>
  <c r="AA2235" i="2"/>
  <c r="Z2235" i="2"/>
  <c r="C2235" i="2"/>
  <c r="AA2234" i="2"/>
  <c r="Z2234" i="2"/>
  <c r="C2234" i="2"/>
  <c r="AA2233" i="2"/>
  <c r="Z2233" i="2"/>
  <c r="C2233" i="2"/>
  <c r="AA2232" i="2"/>
  <c r="Z2232" i="2"/>
  <c r="C2232" i="2"/>
  <c r="AA2231" i="2"/>
  <c r="Z2231" i="2"/>
  <c r="C2231" i="2"/>
  <c r="AA2230" i="2"/>
  <c r="Z2230" i="2"/>
  <c r="C2230" i="2"/>
  <c r="AA2229" i="2"/>
  <c r="Z2229" i="2"/>
  <c r="C2229" i="2"/>
  <c r="AA2228" i="2"/>
  <c r="Z2228" i="2"/>
  <c r="C2228" i="2"/>
  <c r="AA2227" i="2"/>
  <c r="Z2227" i="2"/>
  <c r="C2227" i="2"/>
  <c r="AA2226" i="2"/>
  <c r="Z2226" i="2"/>
  <c r="C2226" i="2"/>
  <c r="AA2225" i="2"/>
  <c r="Z2225" i="2"/>
  <c r="C2225" i="2"/>
  <c r="AA2224" i="2"/>
  <c r="Z2224" i="2"/>
  <c r="C2224" i="2"/>
  <c r="AA2223" i="2"/>
  <c r="Z2223" i="2"/>
  <c r="C2223" i="2"/>
  <c r="AA2222" i="2"/>
  <c r="Z2222" i="2"/>
  <c r="C2222" i="2"/>
  <c r="AA2221" i="2"/>
  <c r="Z2221" i="2"/>
  <c r="C2221" i="2"/>
  <c r="AA2220" i="2"/>
  <c r="Z2220" i="2"/>
  <c r="C2220" i="2"/>
  <c r="AA2219" i="2"/>
  <c r="Z2219" i="2"/>
  <c r="C2219" i="2"/>
  <c r="AA2218" i="2"/>
  <c r="Z2218" i="2"/>
  <c r="C2218" i="2"/>
  <c r="AA2217" i="2"/>
  <c r="Z2217" i="2"/>
  <c r="C2217" i="2"/>
  <c r="AA2216" i="2"/>
  <c r="Z2216" i="2"/>
  <c r="C2216" i="2"/>
  <c r="AA2215" i="2"/>
  <c r="Z2215" i="2"/>
  <c r="C2215" i="2"/>
  <c r="AA2214" i="2"/>
  <c r="Z2214" i="2"/>
  <c r="C2214" i="2"/>
  <c r="AA2213" i="2"/>
  <c r="Z2213" i="2"/>
  <c r="C2213" i="2"/>
  <c r="AA2212" i="2"/>
  <c r="Z2212" i="2"/>
  <c r="C2212" i="2"/>
  <c r="AA2211" i="2"/>
  <c r="Z2211" i="2"/>
  <c r="C2211" i="2"/>
  <c r="AA2210" i="2"/>
  <c r="Z2210" i="2"/>
  <c r="C2210" i="2"/>
  <c r="AA2209" i="2"/>
  <c r="Z2209" i="2"/>
  <c r="C2209" i="2"/>
  <c r="AA2208" i="2"/>
  <c r="Z2208" i="2"/>
  <c r="C2208" i="2"/>
  <c r="AA2207" i="2"/>
  <c r="Z2207" i="2"/>
  <c r="C2207" i="2"/>
  <c r="AA2206" i="2"/>
  <c r="Z2206" i="2"/>
  <c r="C2206" i="2"/>
  <c r="AA2205" i="2"/>
  <c r="Z2205" i="2"/>
  <c r="C2205" i="2"/>
  <c r="AA2204" i="2"/>
  <c r="Z2204" i="2"/>
  <c r="C2204" i="2"/>
  <c r="AA2203" i="2"/>
  <c r="Z2203" i="2"/>
  <c r="C2203" i="2"/>
  <c r="AA2202" i="2"/>
  <c r="Z2202" i="2"/>
  <c r="C2202" i="2"/>
  <c r="AA2201" i="2"/>
  <c r="Z2201" i="2"/>
  <c r="C2201" i="2"/>
  <c r="AA2200" i="2"/>
  <c r="Z2200" i="2"/>
  <c r="C2200" i="2"/>
  <c r="AA2199" i="2"/>
  <c r="Z2199" i="2"/>
  <c r="C2199" i="2"/>
  <c r="AA2198" i="2"/>
  <c r="Z2198" i="2"/>
  <c r="C2198" i="2"/>
  <c r="AA2197" i="2"/>
  <c r="Z2197" i="2"/>
  <c r="C2197" i="2"/>
  <c r="AA2196" i="2"/>
  <c r="Z2196" i="2"/>
  <c r="C2196" i="2"/>
  <c r="AA2195" i="2"/>
  <c r="Z2195" i="2"/>
  <c r="C2195" i="2"/>
  <c r="AA2194" i="2"/>
  <c r="Z2194" i="2"/>
  <c r="C2194" i="2"/>
  <c r="AA2193" i="2"/>
  <c r="Z2193" i="2"/>
  <c r="C2193" i="2"/>
  <c r="AA2192" i="2"/>
  <c r="Z2192" i="2"/>
  <c r="C2192" i="2"/>
  <c r="AA2191" i="2"/>
  <c r="Z2191" i="2"/>
  <c r="C2191" i="2"/>
  <c r="AA2190" i="2"/>
  <c r="Z2190" i="2"/>
  <c r="C2190" i="2"/>
  <c r="AA2189" i="2"/>
  <c r="Z2189" i="2"/>
  <c r="C2189" i="2"/>
  <c r="AA2188" i="2"/>
  <c r="Z2188" i="2"/>
  <c r="C2188" i="2"/>
  <c r="AA2187" i="2"/>
  <c r="Z2187" i="2"/>
  <c r="C2187" i="2"/>
  <c r="AA2186" i="2"/>
  <c r="Z2186" i="2"/>
  <c r="C2186" i="2"/>
  <c r="AA2185" i="2"/>
  <c r="Z2185" i="2"/>
  <c r="C2185" i="2"/>
  <c r="AA2184" i="2"/>
  <c r="Z2184" i="2"/>
  <c r="C2184" i="2"/>
  <c r="AA2183" i="2"/>
  <c r="Z2183" i="2"/>
  <c r="C2183" i="2"/>
  <c r="AA2182" i="2"/>
  <c r="Z2182" i="2"/>
  <c r="C2182" i="2"/>
  <c r="AA2181" i="2"/>
  <c r="Z2181" i="2"/>
  <c r="C2181" i="2"/>
  <c r="AA2180" i="2"/>
  <c r="Z2180" i="2"/>
  <c r="C2180" i="2"/>
  <c r="AA2179" i="2"/>
  <c r="Z2179" i="2"/>
  <c r="C2179" i="2"/>
  <c r="AA2178" i="2"/>
  <c r="Z2178" i="2"/>
  <c r="C2178" i="2"/>
  <c r="AA2177" i="2"/>
  <c r="Z2177" i="2"/>
  <c r="C2177" i="2"/>
  <c r="AA2176" i="2"/>
  <c r="Z2176" i="2"/>
  <c r="C2176" i="2"/>
  <c r="AA2175" i="2"/>
  <c r="Z2175" i="2"/>
  <c r="C2175" i="2"/>
  <c r="AA2174" i="2"/>
  <c r="Z2174" i="2"/>
  <c r="C2174" i="2"/>
  <c r="AA2173" i="2"/>
  <c r="Z2173" i="2"/>
  <c r="C2173" i="2"/>
  <c r="AA2172" i="2"/>
  <c r="Z2172" i="2"/>
  <c r="C2172" i="2"/>
  <c r="AA2171" i="2"/>
  <c r="Z2171" i="2"/>
  <c r="C2171" i="2"/>
  <c r="AA2170" i="2"/>
  <c r="Z2170" i="2"/>
  <c r="C2170" i="2"/>
  <c r="AA2169" i="2"/>
  <c r="Z2169" i="2"/>
  <c r="C2169" i="2"/>
  <c r="AA2168" i="2"/>
  <c r="Z2168" i="2"/>
  <c r="C2168" i="2"/>
  <c r="AA2167" i="2"/>
  <c r="Z2167" i="2"/>
  <c r="C2167" i="2"/>
  <c r="AA2166" i="2"/>
  <c r="Z2166" i="2"/>
  <c r="C2166" i="2"/>
  <c r="AA2165" i="2"/>
  <c r="Z2165" i="2"/>
  <c r="C2165" i="2"/>
  <c r="AA2164" i="2"/>
  <c r="Z2164" i="2"/>
  <c r="C2164" i="2"/>
  <c r="AA2163" i="2"/>
  <c r="Z2163" i="2"/>
  <c r="C2163" i="2"/>
  <c r="AA2162" i="2"/>
  <c r="Z2162" i="2"/>
  <c r="C2162" i="2"/>
  <c r="AA2161" i="2"/>
  <c r="Z2161" i="2"/>
  <c r="C2161" i="2"/>
  <c r="AA2160" i="2"/>
  <c r="Z2160" i="2"/>
  <c r="C2160" i="2"/>
  <c r="AA2159" i="2"/>
  <c r="Z2159" i="2"/>
  <c r="C2159" i="2"/>
  <c r="AA2158" i="2"/>
  <c r="Z2158" i="2"/>
  <c r="C2158" i="2"/>
  <c r="AA2157" i="2"/>
  <c r="Z2157" i="2"/>
  <c r="C2157" i="2"/>
  <c r="AA2156" i="2"/>
  <c r="Z2156" i="2"/>
  <c r="C2156" i="2"/>
  <c r="AA2155" i="2"/>
  <c r="Z2155" i="2"/>
  <c r="C2155" i="2"/>
  <c r="AA2154" i="2"/>
  <c r="Z2154" i="2"/>
  <c r="C2154" i="2"/>
  <c r="AA2153" i="2"/>
  <c r="Z2153" i="2"/>
  <c r="C2153" i="2"/>
  <c r="AA2152" i="2"/>
  <c r="Z2152" i="2"/>
  <c r="C2152" i="2"/>
  <c r="AA2151" i="2"/>
  <c r="Z2151" i="2"/>
  <c r="C2151" i="2"/>
  <c r="AA2150" i="2"/>
  <c r="Z2150" i="2"/>
  <c r="C2150" i="2"/>
  <c r="AA2149" i="2"/>
  <c r="Z2149" i="2"/>
  <c r="C2149" i="2"/>
  <c r="AA2148" i="2"/>
  <c r="Z2148" i="2"/>
  <c r="C2148" i="2"/>
  <c r="AA2147" i="2"/>
  <c r="Z2147" i="2"/>
  <c r="C2147" i="2"/>
  <c r="AA2146" i="2"/>
  <c r="Z2146" i="2"/>
  <c r="C2146" i="2"/>
  <c r="AA2145" i="2"/>
  <c r="Z2145" i="2"/>
  <c r="C2145" i="2"/>
  <c r="AA2144" i="2"/>
  <c r="Z2144" i="2"/>
  <c r="C2144" i="2"/>
  <c r="AA2143" i="2"/>
  <c r="Z2143" i="2"/>
  <c r="C2143" i="2"/>
  <c r="AA2142" i="2"/>
  <c r="Z2142" i="2"/>
  <c r="C2142" i="2"/>
  <c r="AA2141" i="2"/>
  <c r="Z2141" i="2"/>
  <c r="C2141" i="2"/>
  <c r="AA2140" i="2"/>
  <c r="Z2140" i="2"/>
  <c r="C2140" i="2"/>
  <c r="AA2139" i="2"/>
  <c r="Z2139" i="2"/>
  <c r="C2139" i="2"/>
  <c r="AA2138" i="2"/>
  <c r="Z2138" i="2"/>
  <c r="C2138" i="2"/>
  <c r="AA2137" i="2"/>
  <c r="Z2137" i="2"/>
  <c r="C2137" i="2"/>
  <c r="AA2136" i="2"/>
  <c r="Z2136" i="2"/>
  <c r="C2136" i="2"/>
  <c r="AA2135" i="2"/>
  <c r="Z2135" i="2"/>
  <c r="C2135" i="2"/>
  <c r="AA2134" i="2"/>
  <c r="Z2134" i="2"/>
  <c r="C2134" i="2"/>
  <c r="AA2133" i="2"/>
  <c r="Z2133" i="2"/>
  <c r="C2133" i="2"/>
  <c r="AA2132" i="2"/>
  <c r="Z2132" i="2"/>
  <c r="C2132" i="2"/>
  <c r="AA2131" i="2"/>
  <c r="Z2131" i="2"/>
  <c r="C2131" i="2"/>
  <c r="AA2130" i="2"/>
  <c r="Z2130" i="2"/>
  <c r="C2130" i="2"/>
  <c r="AA2129" i="2"/>
  <c r="Z2129" i="2"/>
  <c r="C2129" i="2"/>
  <c r="AA2128" i="2"/>
  <c r="Z2128" i="2"/>
  <c r="C2128" i="2"/>
  <c r="AA2127" i="2"/>
  <c r="Z2127" i="2"/>
  <c r="C2127" i="2"/>
  <c r="AA2126" i="2"/>
  <c r="Z2126" i="2"/>
  <c r="C2126" i="2"/>
  <c r="AA2125" i="2"/>
  <c r="Z2125" i="2"/>
  <c r="C2125" i="2"/>
  <c r="AA2124" i="2"/>
  <c r="Z2124" i="2"/>
  <c r="C2124" i="2"/>
  <c r="AA2123" i="2"/>
  <c r="Z2123" i="2"/>
  <c r="C2123" i="2"/>
  <c r="AA2122" i="2"/>
  <c r="Z2122" i="2"/>
  <c r="C2122" i="2"/>
  <c r="AA2121" i="2"/>
  <c r="Z2121" i="2"/>
  <c r="C2121" i="2"/>
  <c r="AA2120" i="2"/>
  <c r="Z2120" i="2"/>
  <c r="C2120" i="2"/>
  <c r="AA2119" i="2"/>
  <c r="Z2119" i="2"/>
  <c r="C2119" i="2"/>
  <c r="AA2118" i="2"/>
  <c r="Z2118" i="2"/>
  <c r="C2118" i="2"/>
  <c r="AA2117" i="2"/>
  <c r="Z2117" i="2"/>
  <c r="C2117" i="2"/>
  <c r="AA2116" i="2"/>
  <c r="Z2116" i="2"/>
  <c r="C2116" i="2"/>
  <c r="AA2115" i="2"/>
  <c r="Z2115" i="2"/>
  <c r="C2115" i="2"/>
  <c r="AA2114" i="2"/>
  <c r="Z2114" i="2"/>
  <c r="C2114" i="2"/>
  <c r="AA2113" i="2"/>
  <c r="Z2113" i="2"/>
  <c r="C2113" i="2"/>
  <c r="AA2112" i="2"/>
  <c r="Z2112" i="2"/>
  <c r="C2112" i="2"/>
  <c r="AA2111" i="2"/>
  <c r="Z2111" i="2"/>
  <c r="C2111" i="2"/>
  <c r="AA2110" i="2"/>
  <c r="Z2110" i="2"/>
  <c r="C2110" i="2"/>
  <c r="AA2109" i="2"/>
  <c r="Z2109" i="2"/>
  <c r="C2109" i="2"/>
  <c r="AA2108" i="2"/>
  <c r="Z2108" i="2"/>
  <c r="C2108" i="2"/>
  <c r="AA2107" i="2"/>
  <c r="Z2107" i="2"/>
  <c r="C2107" i="2"/>
  <c r="AA2106" i="2"/>
  <c r="Z2106" i="2"/>
  <c r="C2106" i="2"/>
  <c r="AA2105" i="2"/>
  <c r="Z2105" i="2"/>
  <c r="C2105" i="2"/>
  <c r="AA2104" i="2"/>
  <c r="Z2104" i="2"/>
  <c r="C2104" i="2"/>
  <c r="AA2103" i="2"/>
  <c r="Z2103" i="2"/>
  <c r="C2103" i="2"/>
  <c r="AA2102" i="2"/>
  <c r="Z2102" i="2"/>
  <c r="C2102" i="2"/>
  <c r="AA2101" i="2"/>
  <c r="Z2101" i="2"/>
  <c r="C2101" i="2"/>
  <c r="AA2100" i="2"/>
  <c r="Z2100" i="2"/>
  <c r="C2100" i="2"/>
  <c r="AA2099" i="2"/>
  <c r="Z2099" i="2"/>
  <c r="C2099" i="2"/>
  <c r="AA2098" i="2"/>
  <c r="Z2098" i="2"/>
  <c r="C2098" i="2"/>
  <c r="AA2097" i="2"/>
  <c r="Z2097" i="2"/>
  <c r="C2097" i="2"/>
  <c r="AA2096" i="2"/>
  <c r="Z2096" i="2"/>
  <c r="C2096" i="2"/>
  <c r="AA2095" i="2"/>
  <c r="Z2095" i="2"/>
  <c r="C2095" i="2"/>
  <c r="AA2094" i="2"/>
  <c r="Z2094" i="2"/>
  <c r="C2094" i="2"/>
  <c r="AA2093" i="2"/>
  <c r="Z2093" i="2"/>
  <c r="C2093" i="2"/>
  <c r="AA2092" i="2"/>
  <c r="Z2092" i="2"/>
  <c r="C2092" i="2"/>
  <c r="AA2091" i="2"/>
  <c r="Z2091" i="2"/>
  <c r="C2091" i="2"/>
  <c r="AA2090" i="2"/>
  <c r="Z2090" i="2"/>
  <c r="C2090" i="2"/>
  <c r="AA2089" i="2"/>
  <c r="Z2089" i="2"/>
  <c r="C2089" i="2"/>
  <c r="AA2088" i="2"/>
  <c r="Z2088" i="2"/>
  <c r="C2088" i="2"/>
  <c r="AA2087" i="2"/>
  <c r="Z2087" i="2"/>
  <c r="C2087" i="2"/>
  <c r="AA2086" i="2"/>
  <c r="Z2086" i="2"/>
  <c r="C2086" i="2"/>
  <c r="AA2085" i="2"/>
  <c r="Z2085" i="2"/>
  <c r="C2085" i="2"/>
  <c r="AA2084" i="2"/>
  <c r="Z2084" i="2"/>
  <c r="C2084" i="2"/>
  <c r="AA2083" i="2"/>
  <c r="Z2083" i="2"/>
  <c r="C2083" i="2"/>
  <c r="AA2082" i="2"/>
  <c r="Z2082" i="2"/>
  <c r="C2082" i="2"/>
  <c r="AA2081" i="2"/>
  <c r="Z2081" i="2"/>
  <c r="C2081" i="2"/>
  <c r="AA2080" i="2"/>
  <c r="Z2080" i="2"/>
  <c r="C2080" i="2"/>
  <c r="AA2079" i="2"/>
  <c r="Z2079" i="2"/>
  <c r="C2079" i="2"/>
  <c r="AA2078" i="2"/>
  <c r="Z2078" i="2"/>
  <c r="C2078" i="2"/>
  <c r="AA2077" i="2"/>
  <c r="Z2077" i="2"/>
  <c r="C2077" i="2"/>
  <c r="AA2076" i="2"/>
  <c r="Z2076" i="2"/>
  <c r="C2076" i="2"/>
  <c r="AA2075" i="2"/>
  <c r="Z2075" i="2"/>
  <c r="C2075" i="2"/>
  <c r="AA2074" i="2"/>
  <c r="Z2074" i="2"/>
  <c r="C2074" i="2"/>
  <c r="AA2073" i="2"/>
  <c r="Z2073" i="2"/>
  <c r="C2073" i="2"/>
  <c r="AA2072" i="2"/>
  <c r="Z2072" i="2"/>
  <c r="C2072" i="2"/>
  <c r="AA2071" i="2"/>
  <c r="Z2071" i="2"/>
  <c r="C2071" i="2"/>
  <c r="AA2070" i="2"/>
  <c r="Z2070" i="2"/>
  <c r="C2070" i="2"/>
  <c r="AA2069" i="2"/>
  <c r="Z2069" i="2"/>
  <c r="C2069" i="2"/>
  <c r="AA2068" i="2"/>
  <c r="Z2068" i="2"/>
  <c r="C2068" i="2"/>
  <c r="AA2067" i="2"/>
  <c r="Z2067" i="2"/>
  <c r="C2067" i="2"/>
  <c r="AA2066" i="2"/>
  <c r="Z2066" i="2"/>
  <c r="C2066" i="2"/>
  <c r="AA2065" i="2"/>
  <c r="Z2065" i="2"/>
  <c r="C2065" i="2"/>
  <c r="AA2064" i="2"/>
  <c r="Z2064" i="2"/>
  <c r="C2064" i="2"/>
  <c r="AA2063" i="2"/>
  <c r="Z2063" i="2"/>
  <c r="C2063" i="2"/>
  <c r="AA2062" i="2"/>
  <c r="Z2062" i="2"/>
  <c r="C2062" i="2"/>
  <c r="AA2061" i="2"/>
  <c r="Z2061" i="2"/>
  <c r="C2061" i="2"/>
  <c r="AA2060" i="2"/>
  <c r="Z2060" i="2"/>
  <c r="C2060" i="2"/>
  <c r="AA2059" i="2"/>
  <c r="Z2059" i="2"/>
  <c r="C2059" i="2"/>
  <c r="AA2058" i="2"/>
  <c r="Z2058" i="2"/>
  <c r="C2058" i="2"/>
  <c r="AA2057" i="2"/>
  <c r="Z2057" i="2"/>
  <c r="C2057" i="2"/>
  <c r="AA2056" i="2"/>
  <c r="Z2056" i="2"/>
  <c r="C2056" i="2"/>
  <c r="AA2055" i="2"/>
  <c r="Z2055" i="2"/>
  <c r="C2055" i="2"/>
  <c r="AA2054" i="2"/>
  <c r="Z2054" i="2"/>
  <c r="C2054" i="2"/>
  <c r="AA2053" i="2"/>
  <c r="Z2053" i="2"/>
  <c r="C2053" i="2"/>
  <c r="AA2052" i="2"/>
  <c r="Z2052" i="2"/>
  <c r="C2052" i="2"/>
  <c r="AA2051" i="2"/>
  <c r="Z2051" i="2"/>
  <c r="C2051" i="2"/>
  <c r="AA2050" i="2"/>
  <c r="Z2050" i="2"/>
  <c r="C2050" i="2"/>
  <c r="AA2049" i="2"/>
  <c r="Z2049" i="2"/>
  <c r="C2049" i="2"/>
  <c r="AA2048" i="2"/>
  <c r="Z2048" i="2"/>
  <c r="C2048" i="2"/>
  <c r="AA2047" i="2"/>
  <c r="Z2047" i="2"/>
  <c r="C2047" i="2"/>
  <c r="AA2046" i="2"/>
  <c r="Z2046" i="2"/>
  <c r="C2046" i="2"/>
  <c r="AA2045" i="2"/>
  <c r="Z2045" i="2"/>
  <c r="C2045" i="2"/>
  <c r="AA2044" i="2"/>
  <c r="Z2044" i="2"/>
  <c r="C2044" i="2"/>
  <c r="AA2043" i="2"/>
  <c r="Z2043" i="2"/>
  <c r="C2043" i="2"/>
  <c r="AA2042" i="2"/>
  <c r="Z2042" i="2"/>
  <c r="C2042" i="2"/>
  <c r="AA2041" i="2"/>
  <c r="Z2041" i="2"/>
  <c r="C2041" i="2"/>
  <c r="AA2040" i="2"/>
  <c r="Z2040" i="2"/>
  <c r="C2040" i="2"/>
  <c r="AA2039" i="2"/>
  <c r="Z2039" i="2"/>
  <c r="C2039" i="2"/>
  <c r="AA2038" i="2"/>
  <c r="Z2038" i="2"/>
  <c r="C2038" i="2"/>
  <c r="AA2037" i="2"/>
  <c r="Z2037" i="2"/>
  <c r="C2037" i="2"/>
  <c r="AA2036" i="2"/>
  <c r="Z2036" i="2"/>
  <c r="C2036" i="2"/>
  <c r="AA2035" i="2"/>
  <c r="Z2035" i="2"/>
  <c r="C2035" i="2"/>
  <c r="AA2034" i="2"/>
  <c r="Z2034" i="2"/>
  <c r="C2034" i="2"/>
  <c r="AA2033" i="2"/>
  <c r="Z2033" i="2"/>
  <c r="C2033" i="2"/>
  <c r="AA2032" i="2"/>
  <c r="Z2032" i="2"/>
  <c r="C2032" i="2"/>
  <c r="AA2031" i="2"/>
  <c r="Z2031" i="2"/>
  <c r="C2031" i="2"/>
  <c r="AA2030" i="2"/>
  <c r="Z2030" i="2"/>
  <c r="C2030" i="2"/>
  <c r="AA2029" i="2"/>
  <c r="Z2029" i="2"/>
  <c r="C2029" i="2"/>
  <c r="AA2028" i="2"/>
  <c r="Z2028" i="2"/>
  <c r="C2028" i="2"/>
  <c r="AA2027" i="2"/>
  <c r="Z2027" i="2"/>
  <c r="C2027" i="2"/>
  <c r="AA2026" i="2"/>
  <c r="Z2026" i="2"/>
  <c r="C2026" i="2"/>
  <c r="AA2025" i="2"/>
  <c r="Z2025" i="2"/>
  <c r="C2025" i="2"/>
  <c r="AA2024" i="2"/>
  <c r="Z2024" i="2"/>
  <c r="C2024" i="2"/>
  <c r="AA2023" i="2"/>
  <c r="Z2023" i="2"/>
  <c r="C2023" i="2"/>
  <c r="AA2022" i="2"/>
  <c r="Z2022" i="2"/>
  <c r="C2022" i="2"/>
  <c r="AA2021" i="2"/>
  <c r="Z2021" i="2"/>
  <c r="C2021" i="2"/>
  <c r="AA2020" i="2"/>
  <c r="Z2020" i="2"/>
  <c r="C2020" i="2"/>
  <c r="AA2019" i="2"/>
  <c r="Z2019" i="2"/>
  <c r="C2019" i="2"/>
  <c r="AA2018" i="2"/>
  <c r="Z2018" i="2"/>
  <c r="C2018" i="2"/>
  <c r="AA2017" i="2"/>
  <c r="Z2017" i="2"/>
  <c r="C2017" i="2"/>
  <c r="AA2016" i="2"/>
  <c r="Z2016" i="2"/>
  <c r="C2016" i="2"/>
  <c r="AA2015" i="2"/>
  <c r="Z2015" i="2"/>
  <c r="C2015" i="2"/>
  <c r="AA2014" i="2"/>
  <c r="Z2014" i="2"/>
  <c r="C2014" i="2"/>
  <c r="AA2013" i="2"/>
  <c r="Z2013" i="2"/>
  <c r="C2013" i="2"/>
  <c r="AA2012" i="2"/>
  <c r="Z2012" i="2"/>
  <c r="C2012" i="2"/>
  <c r="AA2011" i="2"/>
  <c r="Z2011" i="2"/>
  <c r="C2011" i="2"/>
  <c r="AA2010" i="2"/>
  <c r="Z2010" i="2"/>
  <c r="C2010" i="2"/>
  <c r="AA2009" i="2"/>
  <c r="Z2009" i="2"/>
  <c r="C2009" i="2"/>
  <c r="AA2008" i="2"/>
  <c r="Z2008" i="2"/>
  <c r="C2008" i="2"/>
  <c r="AA2007" i="2"/>
  <c r="Z2007" i="2"/>
  <c r="C2007" i="2"/>
  <c r="AA2006" i="2"/>
  <c r="Z2006" i="2"/>
  <c r="C2006" i="2"/>
  <c r="AA2005" i="2"/>
  <c r="Z2005" i="2"/>
  <c r="C2005" i="2"/>
  <c r="AA2004" i="2"/>
  <c r="Z2004" i="2"/>
  <c r="C2004" i="2"/>
  <c r="AA2003" i="2"/>
  <c r="Z2003" i="2"/>
  <c r="C2003" i="2"/>
  <c r="AA2002" i="2"/>
  <c r="Z2002" i="2"/>
  <c r="C2002" i="2"/>
  <c r="AA2001" i="2"/>
  <c r="Z2001" i="2"/>
  <c r="C2001" i="2"/>
  <c r="AA2000" i="2"/>
  <c r="Z2000" i="2"/>
  <c r="C2000" i="2"/>
  <c r="AA1999" i="2"/>
  <c r="Z1999" i="2"/>
  <c r="C1999" i="2"/>
  <c r="AA1998" i="2"/>
  <c r="Z1998" i="2"/>
  <c r="C1998" i="2"/>
  <c r="AA1997" i="2"/>
  <c r="Z1997" i="2"/>
  <c r="C1997" i="2"/>
  <c r="AA1996" i="2"/>
  <c r="Z1996" i="2"/>
  <c r="C1996" i="2"/>
  <c r="AA1995" i="2"/>
  <c r="Z1995" i="2"/>
  <c r="C1995" i="2"/>
  <c r="AA1994" i="2"/>
  <c r="Z1994" i="2"/>
  <c r="C1994" i="2"/>
  <c r="AA1993" i="2"/>
  <c r="Z1993" i="2"/>
  <c r="C1993" i="2"/>
  <c r="AA1992" i="2"/>
  <c r="Z1992" i="2"/>
  <c r="C1992" i="2"/>
  <c r="AA1991" i="2"/>
  <c r="Z1991" i="2"/>
  <c r="C1991" i="2"/>
  <c r="AA1990" i="2"/>
  <c r="Z1990" i="2"/>
  <c r="C1990" i="2"/>
  <c r="AA1989" i="2"/>
  <c r="Z1989" i="2"/>
  <c r="C1989" i="2"/>
  <c r="AA1988" i="2"/>
  <c r="Z1988" i="2"/>
  <c r="C1988" i="2"/>
  <c r="AA1987" i="2"/>
  <c r="Z1987" i="2"/>
  <c r="C1987" i="2"/>
  <c r="AA1986" i="2"/>
  <c r="Z1986" i="2"/>
  <c r="C1986" i="2"/>
  <c r="AA1985" i="2"/>
  <c r="Z1985" i="2"/>
  <c r="C1985" i="2"/>
  <c r="AA1984" i="2"/>
  <c r="Z1984" i="2"/>
  <c r="C1984" i="2"/>
  <c r="AA1983" i="2"/>
  <c r="Z1983" i="2"/>
  <c r="C1983" i="2"/>
  <c r="AA1982" i="2"/>
  <c r="Z1982" i="2"/>
  <c r="C1982" i="2"/>
  <c r="AA1981" i="2"/>
  <c r="Z1981" i="2"/>
  <c r="C1981" i="2"/>
  <c r="AA1980" i="2"/>
  <c r="Z1980" i="2"/>
  <c r="C1980" i="2"/>
  <c r="AA1979" i="2"/>
  <c r="Z1979" i="2"/>
  <c r="C1979" i="2"/>
  <c r="AA1978" i="2"/>
  <c r="Z1978" i="2"/>
  <c r="C1978" i="2"/>
  <c r="AA1977" i="2"/>
  <c r="Z1977" i="2"/>
  <c r="C1977" i="2"/>
  <c r="AA1976" i="2"/>
  <c r="Z1976" i="2"/>
  <c r="C1976" i="2"/>
  <c r="AA1975" i="2"/>
  <c r="Z1975" i="2"/>
  <c r="C1975" i="2"/>
  <c r="AA1974" i="2"/>
  <c r="Z1974" i="2"/>
  <c r="C1974" i="2"/>
  <c r="AA1973" i="2"/>
  <c r="Z1973" i="2"/>
  <c r="C1973" i="2"/>
  <c r="AA1972" i="2"/>
  <c r="Z1972" i="2"/>
  <c r="C1972" i="2"/>
  <c r="AA1971" i="2"/>
  <c r="Z1971" i="2"/>
  <c r="C1971" i="2"/>
  <c r="AA1970" i="2"/>
  <c r="Z1970" i="2"/>
  <c r="C1970" i="2"/>
  <c r="AA1969" i="2"/>
  <c r="Z1969" i="2"/>
  <c r="C1969" i="2"/>
  <c r="AA1968" i="2"/>
  <c r="Z1968" i="2"/>
  <c r="C1968" i="2"/>
  <c r="AA1967" i="2"/>
  <c r="Z1967" i="2"/>
  <c r="C1967" i="2"/>
  <c r="AA1966" i="2"/>
  <c r="Z1966" i="2"/>
  <c r="C1966" i="2"/>
  <c r="AA1965" i="2"/>
  <c r="Z1965" i="2"/>
  <c r="C1965" i="2"/>
  <c r="AA1964" i="2"/>
  <c r="Z1964" i="2"/>
  <c r="C1964" i="2"/>
  <c r="AA1963" i="2"/>
  <c r="Z1963" i="2"/>
  <c r="C1963" i="2"/>
  <c r="AA1962" i="2"/>
  <c r="Z1962" i="2"/>
  <c r="C1962" i="2"/>
  <c r="AA1961" i="2"/>
  <c r="Z1961" i="2"/>
  <c r="C1961" i="2"/>
  <c r="AA1960" i="2"/>
  <c r="Z1960" i="2"/>
  <c r="C1960" i="2"/>
  <c r="AA1959" i="2"/>
  <c r="Z1959" i="2"/>
  <c r="C1959" i="2"/>
  <c r="AA1958" i="2"/>
  <c r="Z1958" i="2"/>
  <c r="C1958" i="2"/>
  <c r="AA1957" i="2"/>
  <c r="Z1957" i="2"/>
  <c r="C1957" i="2"/>
  <c r="AA1956" i="2"/>
  <c r="Z1956" i="2"/>
  <c r="C1956" i="2"/>
  <c r="AA1955" i="2"/>
  <c r="Z1955" i="2"/>
  <c r="C1955" i="2"/>
  <c r="AA1954" i="2"/>
  <c r="Z1954" i="2"/>
  <c r="C1954" i="2"/>
  <c r="AA1953" i="2"/>
  <c r="Z1953" i="2"/>
  <c r="C1953" i="2"/>
  <c r="AA1952" i="2"/>
  <c r="Z1952" i="2"/>
  <c r="C1952" i="2"/>
  <c r="AA1951" i="2"/>
  <c r="Z1951" i="2"/>
  <c r="C1951" i="2"/>
  <c r="AA1950" i="2"/>
  <c r="Z1950" i="2"/>
  <c r="C1950" i="2"/>
  <c r="AA1949" i="2"/>
  <c r="Z1949" i="2"/>
  <c r="C1949" i="2"/>
  <c r="AA1948" i="2"/>
  <c r="Z1948" i="2"/>
  <c r="C1948" i="2"/>
  <c r="AA1947" i="2"/>
  <c r="Z1947" i="2"/>
  <c r="C1947" i="2"/>
  <c r="AA1946" i="2"/>
  <c r="Z1946" i="2"/>
  <c r="C1946" i="2"/>
  <c r="AA1945" i="2"/>
  <c r="Z1945" i="2"/>
  <c r="C1945" i="2"/>
  <c r="AA1944" i="2"/>
  <c r="Z1944" i="2"/>
  <c r="C1944" i="2"/>
  <c r="AA1943" i="2"/>
  <c r="Z1943" i="2"/>
  <c r="C1943" i="2"/>
  <c r="AA1942" i="2"/>
  <c r="Z1942" i="2"/>
  <c r="C1942" i="2"/>
  <c r="AA1941" i="2"/>
  <c r="Z1941" i="2"/>
  <c r="C1941" i="2"/>
  <c r="AA1940" i="2"/>
  <c r="Z1940" i="2"/>
  <c r="C1940" i="2"/>
  <c r="AA1939" i="2"/>
  <c r="Z1939" i="2"/>
  <c r="C1939" i="2"/>
  <c r="AA1938" i="2"/>
  <c r="Z1938" i="2"/>
  <c r="C1938" i="2"/>
  <c r="AA1937" i="2"/>
  <c r="Z1937" i="2"/>
  <c r="C1937" i="2"/>
  <c r="AA1936" i="2"/>
  <c r="Z1936" i="2"/>
  <c r="C1936" i="2"/>
  <c r="AA1935" i="2"/>
  <c r="Z1935" i="2"/>
  <c r="C1935" i="2"/>
  <c r="AA1934" i="2"/>
  <c r="Z1934" i="2"/>
  <c r="C1934" i="2"/>
  <c r="AA1933" i="2"/>
  <c r="Z1933" i="2"/>
  <c r="C1933" i="2"/>
  <c r="AA1932" i="2"/>
  <c r="Z1932" i="2"/>
  <c r="C1932" i="2"/>
  <c r="AA1931" i="2"/>
  <c r="Z1931" i="2"/>
  <c r="C1931" i="2"/>
  <c r="AA1930" i="2"/>
  <c r="Z1930" i="2"/>
  <c r="C1930" i="2"/>
  <c r="AA1929" i="2"/>
  <c r="Z1929" i="2"/>
  <c r="C1929" i="2"/>
  <c r="AA1928" i="2"/>
  <c r="Z1928" i="2"/>
  <c r="C1928" i="2"/>
  <c r="AA1927" i="2"/>
  <c r="Z1927" i="2"/>
  <c r="C1927" i="2"/>
  <c r="AA1926" i="2"/>
  <c r="Z1926" i="2"/>
  <c r="C1926" i="2"/>
  <c r="AA1925" i="2"/>
  <c r="Z1925" i="2"/>
  <c r="C1925" i="2"/>
  <c r="AA1924" i="2"/>
  <c r="Z1924" i="2"/>
  <c r="C1924" i="2"/>
  <c r="AA1923" i="2"/>
  <c r="Z1923" i="2"/>
  <c r="C1923" i="2"/>
  <c r="AA1922" i="2"/>
  <c r="Z1922" i="2"/>
  <c r="C1922" i="2"/>
  <c r="AA1921" i="2"/>
  <c r="Z1921" i="2"/>
  <c r="C1921" i="2"/>
  <c r="AA1920" i="2"/>
  <c r="Z1920" i="2"/>
  <c r="C1920" i="2"/>
  <c r="AA1919" i="2"/>
  <c r="Z1919" i="2"/>
  <c r="C1919" i="2"/>
  <c r="AA1918" i="2"/>
  <c r="Z1918" i="2"/>
  <c r="C1918" i="2"/>
  <c r="AA1917" i="2"/>
  <c r="Z1917" i="2"/>
  <c r="C1917" i="2"/>
  <c r="AA1916" i="2"/>
  <c r="Z1916" i="2"/>
  <c r="C1916" i="2"/>
  <c r="AA1915" i="2"/>
  <c r="Z1915" i="2"/>
  <c r="C1915" i="2"/>
  <c r="AA1914" i="2"/>
  <c r="Z1914" i="2"/>
  <c r="C1914" i="2"/>
  <c r="AA1913" i="2"/>
  <c r="Z1913" i="2"/>
  <c r="C1913" i="2"/>
  <c r="AA1912" i="2"/>
  <c r="Z1912" i="2"/>
  <c r="C1912" i="2"/>
  <c r="AA1911" i="2"/>
  <c r="Z1911" i="2"/>
  <c r="C1911" i="2"/>
  <c r="AA1910" i="2"/>
  <c r="Z1910" i="2"/>
  <c r="C1910" i="2"/>
  <c r="AA1909" i="2"/>
  <c r="Z1909" i="2"/>
  <c r="C1909" i="2"/>
  <c r="AA1908" i="2"/>
  <c r="Z1908" i="2"/>
  <c r="C1908" i="2"/>
  <c r="AA1907" i="2"/>
  <c r="Z1907" i="2"/>
  <c r="C1907" i="2"/>
  <c r="AA1906" i="2"/>
  <c r="Z1906" i="2"/>
  <c r="C1906" i="2"/>
  <c r="AA1905" i="2"/>
  <c r="Z1905" i="2"/>
  <c r="C1905" i="2"/>
  <c r="AA1904" i="2"/>
  <c r="Z1904" i="2"/>
  <c r="C1904" i="2"/>
  <c r="AA1903" i="2"/>
  <c r="Z1903" i="2"/>
  <c r="C1903" i="2"/>
  <c r="AA1902" i="2"/>
  <c r="Z1902" i="2"/>
  <c r="C1902" i="2"/>
  <c r="AA1901" i="2"/>
  <c r="Z1901" i="2"/>
  <c r="C1901" i="2"/>
  <c r="AA1900" i="2"/>
  <c r="Z1900" i="2"/>
  <c r="C1900" i="2"/>
  <c r="AA1899" i="2"/>
  <c r="Z1899" i="2"/>
  <c r="C1899" i="2"/>
  <c r="AA1898" i="2"/>
  <c r="Z1898" i="2"/>
  <c r="C1898" i="2"/>
  <c r="AA1897" i="2"/>
  <c r="Z1897" i="2"/>
  <c r="C1897" i="2"/>
  <c r="AA1896" i="2"/>
  <c r="Z1896" i="2"/>
  <c r="C1896" i="2"/>
  <c r="AA1895" i="2"/>
  <c r="Z1895" i="2"/>
  <c r="C1895" i="2"/>
  <c r="AA1894" i="2"/>
  <c r="Z1894" i="2"/>
  <c r="C1894" i="2"/>
  <c r="AA1893" i="2"/>
  <c r="Z1893" i="2"/>
  <c r="C1893" i="2"/>
  <c r="AA1892" i="2"/>
  <c r="Z1892" i="2"/>
  <c r="C1892" i="2"/>
  <c r="AA1891" i="2"/>
  <c r="Z1891" i="2"/>
  <c r="C1891" i="2"/>
  <c r="AA1890" i="2"/>
  <c r="Z1890" i="2"/>
  <c r="C1890" i="2"/>
  <c r="AA1889" i="2"/>
  <c r="Z1889" i="2"/>
  <c r="C1889" i="2"/>
  <c r="AA1888" i="2"/>
  <c r="Z1888" i="2"/>
  <c r="C1888" i="2"/>
  <c r="AA1887" i="2"/>
  <c r="Z1887" i="2"/>
  <c r="C1887" i="2"/>
  <c r="AA1886" i="2"/>
  <c r="Z1886" i="2"/>
  <c r="C1886" i="2"/>
  <c r="AA1885" i="2"/>
  <c r="Z1885" i="2"/>
  <c r="C1885" i="2"/>
  <c r="AA1884" i="2"/>
  <c r="Z1884" i="2"/>
  <c r="C1884" i="2"/>
  <c r="AA1883" i="2"/>
  <c r="Z1883" i="2"/>
  <c r="C1883" i="2"/>
  <c r="AA1882" i="2"/>
  <c r="Z1882" i="2"/>
  <c r="C1882" i="2"/>
  <c r="AA1881" i="2"/>
  <c r="Z1881" i="2"/>
  <c r="C1881" i="2"/>
  <c r="AA1880" i="2"/>
  <c r="Z1880" i="2"/>
  <c r="C1880" i="2"/>
  <c r="AA1879" i="2"/>
  <c r="Z1879" i="2"/>
  <c r="C1879" i="2"/>
  <c r="AA1878" i="2"/>
  <c r="Z1878" i="2"/>
  <c r="C1878" i="2"/>
  <c r="AA1877" i="2"/>
  <c r="Z1877" i="2"/>
  <c r="C1877" i="2"/>
  <c r="AA1876" i="2"/>
  <c r="Z1876" i="2"/>
  <c r="C1876" i="2"/>
  <c r="AA1875" i="2"/>
  <c r="Z1875" i="2"/>
  <c r="C1875" i="2"/>
  <c r="AA1874" i="2"/>
  <c r="Z1874" i="2"/>
  <c r="C1874" i="2"/>
  <c r="AA1873" i="2"/>
  <c r="Z1873" i="2"/>
  <c r="C1873" i="2"/>
  <c r="AA1872" i="2"/>
  <c r="Z1872" i="2"/>
  <c r="C1872" i="2"/>
  <c r="AA1871" i="2"/>
  <c r="Z1871" i="2"/>
  <c r="C1871" i="2"/>
  <c r="AA1870" i="2"/>
  <c r="Z1870" i="2"/>
  <c r="C1870" i="2"/>
  <c r="AA1869" i="2"/>
  <c r="Z1869" i="2"/>
  <c r="C1869" i="2"/>
  <c r="AA1868" i="2"/>
  <c r="Z1868" i="2"/>
  <c r="C1868" i="2"/>
  <c r="AA1867" i="2"/>
  <c r="Z1867" i="2"/>
  <c r="C1867" i="2"/>
  <c r="AA1866" i="2"/>
  <c r="Z1866" i="2"/>
  <c r="C1866" i="2"/>
  <c r="AA1865" i="2"/>
  <c r="Z1865" i="2"/>
  <c r="C1865" i="2"/>
  <c r="AA1864" i="2"/>
  <c r="Z1864" i="2"/>
  <c r="C1864" i="2"/>
  <c r="AA1863" i="2"/>
  <c r="Z1863" i="2"/>
  <c r="C1863" i="2"/>
  <c r="AA1862" i="2"/>
  <c r="Z1862" i="2"/>
  <c r="C1862" i="2"/>
  <c r="AA1861" i="2"/>
  <c r="Z1861" i="2"/>
  <c r="C1861" i="2"/>
  <c r="AA1860" i="2"/>
  <c r="Z1860" i="2"/>
  <c r="C1860" i="2"/>
  <c r="AA1859" i="2"/>
  <c r="Z1859" i="2"/>
  <c r="C1859" i="2"/>
  <c r="AA1858" i="2"/>
  <c r="Z1858" i="2"/>
  <c r="C1858" i="2"/>
  <c r="AA1857" i="2"/>
  <c r="Z1857" i="2"/>
  <c r="C1857" i="2"/>
  <c r="AA1856" i="2"/>
  <c r="Z1856" i="2"/>
  <c r="C1856" i="2"/>
  <c r="AA1855" i="2"/>
  <c r="Z1855" i="2"/>
  <c r="C1855" i="2"/>
  <c r="AA1854" i="2"/>
  <c r="Z1854" i="2"/>
  <c r="C1854" i="2"/>
  <c r="AA1853" i="2"/>
  <c r="Z1853" i="2"/>
  <c r="C1853" i="2"/>
  <c r="AA1852" i="2"/>
  <c r="Z1852" i="2"/>
  <c r="C1852" i="2"/>
  <c r="AA1851" i="2"/>
  <c r="Z1851" i="2"/>
  <c r="C1851" i="2"/>
  <c r="AA1850" i="2"/>
  <c r="Z1850" i="2"/>
  <c r="C1850" i="2"/>
  <c r="AA1849" i="2"/>
  <c r="Z1849" i="2"/>
  <c r="C1849" i="2"/>
  <c r="AA1848" i="2"/>
  <c r="Z1848" i="2"/>
  <c r="C1848" i="2"/>
  <c r="AA1847" i="2"/>
  <c r="Z1847" i="2"/>
  <c r="C1847" i="2"/>
  <c r="AA1846" i="2"/>
  <c r="Z1846" i="2"/>
  <c r="C1846" i="2"/>
  <c r="AA1845" i="2"/>
  <c r="Z1845" i="2"/>
  <c r="C1845" i="2"/>
  <c r="AA1844" i="2"/>
  <c r="Z1844" i="2"/>
  <c r="C1844" i="2"/>
  <c r="AA1843" i="2"/>
  <c r="Z1843" i="2"/>
  <c r="C1843" i="2"/>
  <c r="AA1842" i="2"/>
  <c r="Z1842" i="2"/>
  <c r="C1842" i="2"/>
  <c r="AA1841" i="2"/>
  <c r="Z1841" i="2"/>
  <c r="C1841" i="2"/>
  <c r="AA1840" i="2"/>
  <c r="Z1840" i="2"/>
  <c r="C1840" i="2"/>
  <c r="AA1839" i="2"/>
  <c r="Z1839" i="2"/>
  <c r="C1839" i="2"/>
  <c r="AA1838" i="2"/>
  <c r="Z1838" i="2"/>
  <c r="C1838" i="2"/>
  <c r="AA1837" i="2"/>
  <c r="Z1837" i="2"/>
  <c r="C1837" i="2"/>
  <c r="AA1836" i="2"/>
  <c r="Z1836" i="2"/>
  <c r="C1836" i="2"/>
  <c r="AA1835" i="2"/>
  <c r="Z1835" i="2"/>
  <c r="C1835" i="2"/>
  <c r="AA1834" i="2"/>
  <c r="Z1834" i="2"/>
  <c r="C1834" i="2"/>
  <c r="AA1833" i="2"/>
  <c r="Z1833" i="2"/>
  <c r="C1833" i="2"/>
  <c r="AA1832" i="2"/>
  <c r="Z1832" i="2"/>
  <c r="C1832" i="2"/>
  <c r="AA1831" i="2"/>
  <c r="Z1831" i="2"/>
  <c r="C1831" i="2"/>
  <c r="AA1830" i="2"/>
  <c r="Z1830" i="2"/>
  <c r="C1830" i="2"/>
  <c r="AA1829" i="2"/>
  <c r="Z1829" i="2"/>
  <c r="C1829" i="2"/>
  <c r="AA1828" i="2"/>
  <c r="Z1828" i="2"/>
  <c r="C1828" i="2"/>
  <c r="AA1827" i="2"/>
  <c r="Z1827" i="2"/>
  <c r="C1827" i="2"/>
  <c r="AA1826" i="2"/>
  <c r="Z1826" i="2"/>
  <c r="C1826" i="2"/>
  <c r="AA1825" i="2"/>
  <c r="Z1825" i="2"/>
  <c r="C1825" i="2"/>
  <c r="AA1824" i="2"/>
  <c r="Z1824" i="2"/>
  <c r="C1824" i="2"/>
  <c r="AA1823" i="2"/>
  <c r="Z1823" i="2"/>
  <c r="C1823" i="2"/>
  <c r="AA1822" i="2"/>
  <c r="Z1822" i="2"/>
  <c r="C1822" i="2"/>
  <c r="AA1821" i="2"/>
  <c r="Z1821" i="2"/>
  <c r="C1821" i="2"/>
  <c r="AA1820" i="2"/>
  <c r="Z1820" i="2"/>
  <c r="C1820" i="2"/>
  <c r="AA1819" i="2"/>
  <c r="Z1819" i="2"/>
  <c r="C1819" i="2"/>
  <c r="AA1818" i="2"/>
  <c r="Z1818" i="2"/>
  <c r="C1818" i="2"/>
  <c r="AA1817" i="2"/>
  <c r="Z1817" i="2"/>
  <c r="C1817" i="2"/>
  <c r="AA1816" i="2"/>
  <c r="Z1816" i="2"/>
  <c r="C1816" i="2"/>
  <c r="AA1815" i="2"/>
  <c r="Z1815" i="2"/>
  <c r="C1815" i="2"/>
  <c r="AA1814" i="2"/>
  <c r="Z1814" i="2"/>
  <c r="C1814" i="2"/>
  <c r="AA1813" i="2"/>
  <c r="Z1813" i="2"/>
  <c r="C1813" i="2"/>
  <c r="AA1812" i="2"/>
  <c r="Z1812" i="2"/>
  <c r="C1812" i="2"/>
  <c r="AA1811" i="2"/>
  <c r="Z1811" i="2"/>
  <c r="C1811" i="2"/>
  <c r="AA1810" i="2"/>
  <c r="Z1810" i="2"/>
  <c r="C1810" i="2"/>
  <c r="AA1809" i="2"/>
  <c r="Z1809" i="2"/>
  <c r="C1809" i="2"/>
  <c r="AA1808" i="2"/>
  <c r="Z1808" i="2"/>
  <c r="C1808" i="2"/>
  <c r="AA1807" i="2"/>
  <c r="Z1807" i="2"/>
  <c r="C1807" i="2"/>
  <c r="AA1806" i="2"/>
  <c r="Z1806" i="2"/>
  <c r="C1806" i="2"/>
  <c r="AA1805" i="2"/>
  <c r="Z1805" i="2"/>
  <c r="C1805" i="2"/>
  <c r="AA1804" i="2"/>
  <c r="Z1804" i="2"/>
  <c r="C1804" i="2"/>
  <c r="AA1803" i="2"/>
  <c r="Z1803" i="2"/>
  <c r="C1803" i="2"/>
  <c r="AA1802" i="2"/>
  <c r="Z1802" i="2"/>
  <c r="C1802" i="2"/>
  <c r="AA1801" i="2"/>
  <c r="Z1801" i="2"/>
  <c r="C1801" i="2"/>
  <c r="AA1800" i="2"/>
  <c r="Z1800" i="2"/>
  <c r="C1800" i="2"/>
  <c r="AA1799" i="2"/>
  <c r="Z1799" i="2"/>
  <c r="C1799" i="2"/>
  <c r="AA1798" i="2"/>
  <c r="Z1798" i="2"/>
  <c r="C1798" i="2"/>
  <c r="AA1797" i="2"/>
  <c r="Z1797" i="2"/>
  <c r="C1797" i="2"/>
  <c r="AA1796" i="2"/>
  <c r="Z1796" i="2"/>
  <c r="C1796" i="2"/>
  <c r="AA1795" i="2"/>
  <c r="Z1795" i="2"/>
  <c r="C1795" i="2"/>
  <c r="AA1794" i="2"/>
  <c r="Z1794" i="2"/>
  <c r="C1794" i="2"/>
  <c r="AA1793" i="2"/>
  <c r="Z1793" i="2"/>
  <c r="C1793" i="2"/>
  <c r="AA1792" i="2"/>
  <c r="Z1792" i="2"/>
  <c r="C1792" i="2"/>
  <c r="AA1791" i="2"/>
  <c r="Z1791" i="2"/>
  <c r="C1791" i="2"/>
  <c r="AA1790" i="2"/>
  <c r="Z1790" i="2"/>
  <c r="C1790" i="2"/>
  <c r="AA1789" i="2"/>
  <c r="Z1789" i="2"/>
  <c r="C1789" i="2"/>
  <c r="AA1788" i="2"/>
  <c r="Z1788" i="2"/>
  <c r="C1788" i="2"/>
  <c r="AA1787" i="2"/>
  <c r="Z1787" i="2"/>
  <c r="C1787" i="2"/>
  <c r="AA1786" i="2"/>
  <c r="Z1786" i="2"/>
  <c r="C1786" i="2"/>
  <c r="AA1785" i="2"/>
  <c r="Z1785" i="2"/>
  <c r="C1785" i="2"/>
  <c r="AA1784" i="2"/>
  <c r="Z1784" i="2"/>
  <c r="C1784" i="2"/>
  <c r="AA1783" i="2"/>
  <c r="Z1783" i="2"/>
  <c r="C1783" i="2"/>
  <c r="AA1782" i="2"/>
  <c r="Z1782" i="2"/>
  <c r="C1782" i="2"/>
  <c r="AA1781" i="2"/>
  <c r="Z1781" i="2"/>
  <c r="C1781" i="2"/>
  <c r="AA1780" i="2"/>
  <c r="Z1780" i="2"/>
  <c r="C1780" i="2"/>
  <c r="AA1779" i="2"/>
  <c r="Z1779" i="2"/>
  <c r="C1779" i="2"/>
  <c r="AA1778" i="2"/>
  <c r="Z1778" i="2"/>
  <c r="C1778" i="2"/>
  <c r="AA1777" i="2"/>
  <c r="Z1777" i="2"/>
  <c r="C1777" i="2"/>
  <c r="AA1776" i="2"/>
  <c r="Z1776" i="2"/>
  <c r="C1776" i="2"/>
  <c r="AA1775" i="2"/>
  <c r="Z1775" i="2"/>
  <c r="C1775" i="2"/>
  <c r="AA1774" i="2"/>
  <c r="Z1774" i="2"/>
  <c r="C1774" i="2"/>
  <c r="AA1773" i="2"/>
  <c r="Z1773" i="2"/>
  <c r="C1773" i="2"/>
  <c r="AA1772" i="2"/>
  <c r="Z1772" i="2"/>
  <c r="C1772" i="2"/>
  <c r="AA1771" i="2"/>
  <c r="Z1771" i="2"/>
  <c r="C1771" i="2"/>
  <c r="AA1770" i="2"/>
  <c r="Z1770" i="2"/>
  <c r="C1770" i="2"/>
  <c r="AA1769" i="2"/>
  <c r="Z1769" i="2"/>
  <c r="C1769" i="2"/>
  <c r="AA1768" i="2"/>
  <c r="Z1768" i="2"/>
  <c r="C1768" i="2"/>
  <c r="AA1767" i="2"/>
  <c r="Z1767" i="2"/>
  <c r="C1767" i="2"/>
  <c r="AA1766" i="2"/>
  <c r="Z1766" i="2"/>
  <c r="C1766" i="2"/>
  <c r="AA1765" i="2"/>
  <c r="Z1765" i="2"/>
  <c r="C1765" i="2"/>
  <c r="AA1764" i="2"/>
  <c r="Z1764" i="2"/>
  <c r="C1764" i="2"/>
  <c r="AA1763" i="2"/>
  <c r="Z1763" i="2"/>
  <c r="C1763" i="2"/>
  <c r="AA1762" i="2"/>
  <c r="Z1762" i="2"/>
  <c r="C1762" i="2"/>
  <c r="AA1761" i="2"/>
  <c r="Z1761" i="2"/>
  <c r="C1761" i="2"/>
  <c r="AA1760" i="2"/>
  <c r="Z1760" i="2"/>
  <c r="C1760" i="2"/>
  <c r="AA1759" i="2"/>
  <c r="Z1759" i="2"/>
  <c r="C1759" i="2"/>
  <c r="AA1758" i="2"/>
  <c r="Z1758" i="2"/>
  <c r="C1758" i="2"/>
  <c r="AA1757" i="2"/>
  <c r="Z1757" i="2"/>
  <c r="C1757" i="2"/>
  <c r="AA1756" i="2"/>
  <c r="Z1756" i="2"/>
  <c r="C1756" i="2"/>
  <c r="AA1755" i="2"/>
  <c r="Z1755" i="2"/>
  <c r="C1755" i="2"/>
  <c r="AA1754" i="2"/>
  <c r="Z1754" i="2"/>
  <c r="C1754" i="2"/>
  <c r="AA1753" i="2"/>
  <c r="Z1753" i="2"/>
  <c r="C1753" i="2"/>
  <c r="AA1752" i="2"/>
  <c r="Z1752" i="2"/>
  <c r="C1752" i="2"/>
  <c r="AA1751" i="2"/>
  <c r="Z1751" i="2"/>
  <c r="C1751" i="2"/>
  <c r="AA1750" i="2"/>
  <c r="Z1750" i="2"/>
  <c r="C1750" i="2"/>
  <c r="AA1749" i="2"/>
  <c r="Z1749" i="2"/>
  <c r="C1749" i="2"/>
  <c r="AA1748" i="2"/>
  <c r="Z1748" i="2"/>
  <c r="C1748" i="2"/>
  <c r="AA1747" i="2"/>
  <c r="Z1747" i="2"/>
  <c r="C1747" i="2"/>
  <c r="AA1746" i="2"/>
  <c r="Z1746" i="2"/>
  <c r="C1746" i="2"/>
  <c r="AA1745" i="2"/>
  <c r="Z1745" i="2"/>
  <c r="C1745" i="2"/>
  <c r="AA1744" i="2"/>
  <c r="Z1744" i="2"/>
  <c r="C1744" i="2"/>
  <c r="AA1743" i="2"/>
  <c r="Z1743" i="2"/>
  <c r="C1743" i="2"/>
  <c r="AA1742" i="2"/>
  <c r="Z1742" i="2"/>
  <c r="C1742" i="2"/>
  <c r="AA1741" i="2"/>
  <c r="Z1741" i="2"/>
  <c r="C1741" i="2"/>
  <c r="AA1740" i="2"/>
  <c r="Z1740" i="2"/>
  <c r="C1740" i="2"/>
  <c r="AA1739" i="2"/>
  <c r="Z1739" i="2"/>
  <c r="C1739" i="2"/>
  <c r="AA1738" i="2"/>
  <c r="Z1738" i="2"/>
  <c r="C1738" i="2"/>
  <c r="AA1737" i="2"/>
  <c r="Z1737" i="2"/>
  <c r="C1737" i="2"/>
  <c r="AA1736" i="2"/>
  <c r="Z1736" i="2"/>
  <c r="C1736" i="2"/>
  <c r="AA1735" i="2"/>
  <c r="Z1735" i="2"/>
  <c r="C1735" i="2"/>
  <c r="AA1734" i="2"/>
  <c r="Z1734" i="2"/>
  <c r="C1734" i="2"/>
  <c r="AA1733" i="2"/>
  <c r="Z1733" i="2"/>
  <c r="C1733" i="2"/>
  <c r="AA1732" i="2"/>
  <c r="Z1732" i="2"/>
  <c r="C1732" i="2"/>
  <c r="AA1731" i="2"/>
  <c r="Z1731" i="2"/>
  <c r="C1731" i="2"/>
  <c r="AA1730" i="2"/>
  <c r="Z1730" i="2"/>
  <c r="C1730" i="2"/>
  <c r="AA1729" i="2"/>
  <c r="Z1729" i="2"/>
  <c r="C1729" i="2"/>
  <c r="AA1728" i="2"/>
  <c r="Z1728" i="2"/>
  <c r="C1728" i="2"/>
  <c r="AA1727" i="2"/>
  <c r="Z1727" i="2"/>
  <c r="C1727" i="2"/>
  <c r="AA1726" i="2"/>
  <c r="Z1726" i="2"/>
  <c r="C1726" i="2"/>
  <c r="AA1725" i="2"/>
  <c r="Z1725" i="2"/>
  <c r="C1725" i="2"/>
  <c r="AA1724" i="2"/>
  <c r="Z1724" i="2"/>
  <c r="C1724" i="2"/>
  <c r="AA1723" i="2"/>
  <c r="Z1723" i="2"/>
  <c r="C1723" i="2"/>
  <c r="AA1722" i="2"/>
  <c r="Z1722" i="2"/>
  <c r="C1722" i="2"/>
  <c r="AA1721" i="2"/>
  <c r="Z1721" i="2"/>
  <c r="C1721" i="2"/>
  <c r="AA1720" i="2"/>
  <c r="Z1720" i="2"/>
  <c r="C1720" i="2"/>
  <c r="AA1719" i="2"/>
  <c r="Z1719" i="2"/>
  <c r="C1719" i="2"/>
  <c r="AA1718" i="2"/>
  <c r="Z1718" i="2"/>
  <c r="C1718" i="2"/>
  <c r="AA1717" i="2"/>
  <c r="Z1717" i="2"/>
  <c r="C1717" i="2"/>
  <c r="AA1716" i="2"/>
  <c r="Z1716" i="2"/>
  <c r="C1716" i="2"/>
  <c r="AA1715" i="2"/>
  <c r="Z1715" i="2"/>
  <c r="C1715" i="2"/>
  <c r="AA1714" i="2"/>
  <c r="Z1714" i="2"/>
  <c r="C1714" i="2"/>
  <c r="AA1713" i="2"/>
  <c r="Z1713" i="2"/>
  <c r="C1713" i="2"/>
  <c r="AA1712" i="2"/>
  <c r="Z1712" i="2"/>
  <c r="C1712" i="2"/>
  <c r="AA1711" i="2"/>
  <c r="Z1711" i="2"/>
  <c r="C1711" i="2"/>
  <c r="AA1710" i="2"/>
  <c r="Z1710" i="2"/>
  <c r="C1710" i="2"/>
  <c r="AA1709" i="2"/>
  <c r="Z1709" i="2"/>
  <c r="C1709" i="2"/>
  <c r="AA1708" i="2"/>
  <c r="Z1708" i="2"/>
  <c r="C1708" i="2"/>
  <c r="AA1707" i="2"/>
  <c r="Z1707" i="2"/>
  <c r="C1707" i="2"/>
  <c r="AA1706" i="2"/>
  <c r="Z1706" i="2"/>
  <c r="C1706" i="2"/>
  <c r="AA1705" i="2"/>
  <c r="Z1705" i="2"/>
  <c r="C1705" i="2"/>
  <c r="AA1704" i="2"/>
  <c r="Z1704" i="2"/>
  <c r="C1704" i="2"/>
  <c r="AA1703" i="2"/>
  <c r="Z1703" i="2"/>
  <c r="C1703" i="2"/>
  <c r="AA1702" i="2"/>
  <c r="Z1702" i="2"/>
  <c r="C1702" i="2"/>
  <c r="AA1701" i="2"/>
  <c r="Z1701" i="2"/>
  <c r="C1701" i="2"/>
  <c r="AA1700" i="2"/>
  <c r="Z1700" i="2"/>
  <c r="C1700" i="2"/>
  <c r="AA1699" i="2"/>
  <c r="Z1699" i="2"/>
  <c r="C1699" i="2"/>
  <c r="AA1698" i="2"/>
  <c r="Z1698" i="2"/>
  <c r="C1698" i="2"/>
  <c r="AA1697" i="2"/>
  <c r="Z1697" i="2"/>
  <c r="C1697" i="2"/>
  <c r="AA1696" i="2"/>
  <c r="Z1696" i="2"/>
  <c r="C1696" i="2"/>
  <c r="AA1695" i="2"/>
  <c r="Z1695" i="2"/>
  <c r="C1695" i="2"/>
  <c r="AA1694" i="2"/>
  <c r="Z1694" i="2"/>
  <c r="C1694" i="2"/>
  <c r="AA1693" i="2"/>
  <c r="Z1693" i="2"/>
  <c r="C1693" i="2"/>
  <c r="AA1692" i="2"/>
  <c r="Z1692" i="2"/>
  <c r="C1692" i="2"/>
  <c r="AA1691" i="2"/>
  <c r="Z1691" i="2"/>
  <c r="C1691" i="2"/>
  <c r="AA1690" i="2"/>
  <c r="Z1690" i="2"/>
  <c r="C1690" i="2"/>
  <c r="AA1689" i="2"/>
  <c r="Z1689" i="2"/>
  <c r="C1689" i="2"/>
  <c r="AA1688" i="2"/>
  <c r="Z1688" i="2"/>
  <c r="C1688" i="2"/>
  <c r="AA1687" i="2"/>
  <c r="Z1687" i="2"/>
  <c r="C1687" i="2"/>
  <c r="AA1686" i="2"/>
  <c r="Z1686" i="2"/>
  <c r="C1686" i="2"/>
  <c r="AA1685" i="2"/>
  <c r="Z1685" i="2"/>
  <c r="C1685" i="2"/>
  <c r="AA1684" i="2"/>
  <c r="Z1684" i="2"/>
  <c r="C1684" i="2"/>
  <c r="AA1683" i="2"/>
  <c r="Z1683" i="2"/>
  <c r="C1683" i="2"/>
  <c r="AA1682" i="2"/>
  <c r="Z1682" i="2"/>
  <c r="C1682" i="2"/>
  <c r="AA1681" i="2"/>
  <c r="Z1681" i="2"/>
  <c r="C1681" i="2"/>
  <c r="AA1680" i="2"/>
  <c r="Z1680" i="2"/>
  <c r="C1680" i="2"/>
  <c r="AA1679" i="2"/>
  <c r="Z1679" i="2"/>
  <c r="C1679" i="2"/>
  <c r="AA1678" i="2"/>
  <c r="Z1678" i="2"/>
  <c r="C1678" i="2"/>
  <c r="AA1677" i="2"/>
  <c r="Z1677" i="2"/>
  <c r="C1677" i="2"/>
  <c r="AA1676" i="2"/>
  <c r="Z1676" i="2"/>
  <c r="C1676" i="2"/>
  <c r="AA1675" i="2"/>
  <c r="Z1675" i="2"/>
  <c r="C1675" i="2"/>
  <c r="AA1674" i="2"/>
  <c r="Z1674" i="2"/>
  <c r="C1674" i="2"/>
  <c r="AA1673" i="2"/>
  <c r="Z1673" i="2"/>
  <c r="C1673" i="2"/>
  <c r="AA1672" i="2"/>
  <c r="Z1672" i="2"/>
  <c r="C1672" i="2"/>
  <c r="AA1671" i="2"/>
  <c r="Z1671" i="2"/>
  <c r="C1671" i="2"/>
  <c r="AA1670" i="2"/>
  <c r="Z1670" i="2"/>
  <c r="C1670" i="2"/>
  <c r="AA1669" i="2"/>
  <c r="Z1669" i="2"/>
  <c r="C1669" i="2"/>
  <c r="AA1668" i="2"/>
  <c r="Z1668" i="2"/>
  <c r="C1668" i="2"/>
  <c r="AA1667" i="2"/>
  <c r="Z1667" i="2"/>
  <c r="C1667" i="2"/>
  <c r="AA1666" i="2"/>
  <c r="Z1666" i="2"/>
  <c r="C1666" i="2"/>
  <c r="AA1665" i="2"/>
  <c r="Z1665" i="2"/>
  <c r="C1665" i="2"/>
  <c r="AA1664" i="2"/>
  <c r="Z1664" i="2"/>
  <c r="C1664" i="2"/>
  <c r="AA1663" i="2"/>
  <c r="Z1663" i="2"/>
  <c r="C1663" i="2"/>
  <c r="AA1662" i="2"/>
  <c r="Z1662" i="2"/>
  <c r="C1662" i="2"/>
  <c r="AA1661" i="2"/>
  <c r="Z1661" i="2"/>
  <c r="C1661" i="2"/>
  <c r="AA1660" i="2"/>
  <c r="Z1660" i="2"/>
  <c r="C1660" i="2"/>
  <c r="AA1659" i="2"/>
  <c r="Z1659" i="2"/>
  <c r="C1659" i="2"/>
  <c r="AA1658" i="2"/>
  <c r="Z1658" i="2"/>
  <c r="C1658" i="2"/>
  <c r="AA1657" i="2"/>
  <c r="Z1657" i="2"/>
  <c r="C1657" i="2"/>
  <c r="AA1656" i="2"/>
  <c r="Z1656" i="2"/>
  <c r="C1656" i="2"/>
  <c r="AA1655" i="2"/>
  <c r="Z1655" i="2"/>
  <c r="C1655" i="2"/>
  <c r="AA1654" i="2"/>
  <c r="Z1654" i="2"/>
  <c r="C1654" i="2"/>
  <c r="AA1653" i="2"/>
  <c r="Z1653" i="2"/>
  <c r="C1653" i="2"/>
  <c r="AA1652" i="2"/>
  <c r="Z1652" i="2"/>
  <c r="C1652" i="2"/>
  <c r="AA1651" i="2"/>
  <c r="Z1651" i="2"/>
  <c r="C1651" i="2"/>
  <c r="AA1650" i="2"/>
  <c r="Z1650" i="2"/>
  <c r="C1650" i="2"/>
  <c r="AA1649" i="2"/>
  <c r="Z1649" i="2"/>
  <c r="C1649" i="2"/>
  <c r="AA1648" i="2"/>
  <c r="Z1648" i="2"/>
  <c r="C1648" i="2"/>
  <c r="AA1647" i="2"/>
  <c r="Z1647" i="2"/>
  <c r="C1647" i="2"/>
  <c r="AA1646" i="2"/>
  <c r="Z1646" i="2"/>
  <c r="C1646" i="2"/>
  <c r="AA1645" i="2"/>
  <c r="Z1645" i="2"/>
  <c r="C1645" i="2"/>
  <c r="AA1644" i="2"/>
  <c r="Z1644" i="2"/>
  <c r="C1644" i="2"/>
  <c r="AA1643" i="2"/>
  <c r="Z1643" i="2"/>
  <c r="C1643" i="2"/>
  <c r="AA1642" i="2"/>
  <c r="Z1642" i="2"/>
  <c r="C1642" i="2"/>
  <c r="AA1641" i="2"/>
  <c r="Z1641" i="2"/>
  <c r="C1641" i="2"/>
  <c r="AA1640" i="2"/>
  <c r="Z1640" i="2"/>
  <c r="C1640" i="2"/>
  <c r="AA1639" i="2"/>
  <c r="Z1639" i="2"/>
  <c r="C1639" i="2"/>
  <c r="AA1638" i="2"/>
  <c r="Z1638" i="2"/>
  <c r="C1638" i="2"/>
  <c r="AA1637" i="2"/>
  <c r="Z1637" i="2"/>
  <c r="C1637" i="2"/>
  <c r="AA1636" i="2"/>
  <c r="Z1636" i="2"/>
  <c r="C1636" i="2"/>
  <c r="AA1635" i="2"/>
  <c r="Z1635" i="2"/>
  <c r="C1635" i="2"/>
  <c r="AA1634" i="2"/>
  <c r="Z1634" i="2"/>
  <c r="C1634" i="2"/>
  <c r="AA1633" i="2"/>
  <c r="Z1633" i="2"/>
  <c r="C1633" i="2"/>
  <c r="AA1632" i="2"/>
  <c r="Z1632" i="2"/>
  <c r="C1632" i="2"/>
  <c r="AA1631" i="2"/>
  <c r="Z1631" i="2"/>
  <c r="C1631" i="2"/>
  <c r="AA1630" i="2"/>
  <c r="Z1630" i="2"/>
  <c r="C1630" i="2"/>
  <c r="AA1629" i="2"/>
  <c r="Z1629" i="2"/>
  <c r="C1629" i="2"/>
  <c r="AA1628" i="2"/>
  <c r="Z1628" i="2"/>
  <c r="C1628" i="2"/>
  <c r="AA1627" i="2"/>
  <c r="Z1627" i="2"/>
  <c r="C1627" i="2"/>
  <c r="AA1626" i="2"/>
  <c r="Z1626" i="2"/>
  <c r="C1626" i="2"/>
  <c r="AA1625" i="2"/>
  <c r="Z1625" i="2"/>
  <c r="C1625" i="2"/>
  <c r="AA1624" i="2"/>
  <c r="Z1624" i="2"/>
  <c r="C1624" i="2"/>
  <c r="AA1623" i="2"/>
  <c r="Z1623" i="2"/>
  <c r="C1623" i="2"/>
  <c r="AA1622" i="2"/>
  <c r="Z1622" i="2"/>
  <c r="C1622" i="2"/>
  <c r="AA1621" i="2"/>
  <c r="Z1621" i="2"/>
  <c r="C1621" i="2"/>
  <c r="AA1620" i="2"/>
  <c r="Z1620" i="2"/>
  <c r="C1620" i="2"/>
  <c r="AA1619" i="2"/>
  <c r="Z1619" i="2"/>
  <c r="C1619" i="2"/>
  <c r="AA1618" i="2"/>
  <c r="Z1618" i="2"/>
  <c r="C1618" i="2"/>
  <c r="AA1617" i="2"/>
  <c r="Z1617" i="2"/>
  <c r="C1617" i="2"/>
  <c r="AA1616" i="2"/>
  <c r="Z1616" i="2"/>
  <c r="C1616" i="2"/>
  <c r="AA1615" i="2"/>
  <c r="Z1615" i="2"/>
  <c r="C1615" i="2"/>
  <c r="AA1614" i="2"/>
  <c r="Z1614" i="2"/>
  <c r="C1614" i="2"/>
  <c r="AA1613" i="2"/>
  <c r="Z1613" i="2"/>
  <c r="C1613" i="2"/>
  <c r="AA1612" i="2"/>
  <c r="Z1612" i="2"/>
  <c r="C1612" i="2"/>
  <c r="AA1611" i="2"/>
  <c r="Z1611" i="2"/>
  <c r="C1611" i="2"/>
  <c r="AA1610" i="2"/>
  <c r="Z1610" i="2"/>
  <c r="C1610" i="2"/>
  <c r="AA1609" i="2"/>
  <c r="Z1609" i="2"/>
  <c r="C1609" i="2"/>
  <c r="AA1608" i="2"/>
  <c r="Z1608" i="2"/>
  <c r="C1608" i="2"/>
  <c r="AA1607" i="2"/>
  <c r="Z1607" i="2"/>
  <c r="C1607" i="2"/>
  <c r="AA1606" i="2"/>
  <c r="Z1606" i="2"/>
  <c r="C1606" i="2"/>
  <c r="AA1605" i="2"/>
  <c r="Z1605" i="2"/>
  <c r="C1605" i="2"/>
  <c r="AA1604" i="2"/>
  <c r="Z1604" i="2"/>
  <c r="C1604" i="2"/>
  <c r="AA1603" i="2"/>
  <c r="Z1603" i="2"/>
  <c r="C1603" i="2"/>
  <c r="AA1602" i="2"/>
  <c r="Z1602" i="2"/>
  <c r="C1602" i="2"/>
  <c r="AA1601" i="2"/>
  <c r="Z1601" i="2"/>
  <c r="C1601" i="2"/>
  <c r="AA1600" i="2"/>
  <c r="Z1600" i="2"/>
  <c r="C1600" i="2"/>
  <c r="AA1599" i="2"/>
  <c r="Z1599" i="2"/>
  <c r="C1599" i="2"/>
  <c r="AA1598" i="2"/>
  <c r="Z1598" i="2"/>
  <c r="C1598" i="2"/>
  <c r="AA1597" i="2"/>
  <c r="Z1597" i="2"/>
  <c r="C1597" i="2"/>
  <c r="AA1596" i="2"/>
  <c r="Z1596" i="2"/>
  <c r="C1596" i="2"/>
  <c r="AA1595" i="2"/>
  <c r="Z1595" i="2"/>
  <c r="C1595" i="2"/>
  <c r="AA1594" i="2"/>
  <c r="Z1594" i="2"/>
  <c r="C1594" i="2"/>
  <c r="AA1593" i="2"/>
  <c r="Z1593" i="2"/>
  <c r="C1593" i="2"/>
  <c r="AA1592" i="2"/>
  <c r="Z1592" i="2"/>
  <c r="C1592" i="2"/>
  <c r="AA1591" i="2"/>
  <c r="Z1591" i="2"/>
  <c r="C1591" i="2"/>
  <c r="AA1590" i="2"/>
  <c r="Z1590" i="2"/>
  <c r="C1590" i="2"/>
  <c r="AA1589" i="2"/>
  <c r="Z1589" i="2"/>
  <c r="C1589" i="2"/>
  <c r="AA1588" i="2"/>
  <c r="Z1588" i="2"/>
  <c r="C1588" i="2"/>
  <c r="AA1587" i="2"/>
  <c r="Z1587" i="2"/>
  <c r="C1587" i="2"/>
  <c r="AA1586" i="2"/>
  <c r="Z1586" i="2"/>
  <c r="C1586" i="2"/>
  <c r="AA1585" i="2"/>
  <c r="Z1585" i="2"/>
  <c r="C1585" i="2"/>
  <c r="AA1584" i="2"/>
  <c r="Z1584" i="2"/>
  <c r="C1584" i="2"/>
  <c r="AA1583" i="2"/>
  <c r="Z1583" i="2"/>
  <c r="C1583" i="2"/>
  <c r="AA1582" i="2"/>
  <c r="Z1582" i="2"/>
  <c r="C1582" i="2"/>
  <c r="AA1581" i="2"/>
  <c r="Z1581" i="2"/>
  <c r="C1581" i="2"/>
  <c r="AA1580" i="2"/>
  <c r="Z1580" i="2"/>
  <c r="C1580" i="2"/>
  <c r="AA1579" i="2"/>
  <c r="Z1579" i="2"/>
  <c r="C1579" i="2"/>
  <c r="AA1578" i="2"/>
  <c r="Z1578" i="2"/>
  <c r="C1578" i="2"/>
  <c r="AA1577" i="2"/>
  <c r="Z1577" i="2"/>
  <c r="C1577" i="2"/>
  <c r="AA1576" i="2"/>
  <c r="Z1576" i="2"/>
  <c r="C1576" i="2"/>
  <c r="AA1575" i="2"/>
  <c r="Z1575" i="2"/>
  <c r="C1575" i="2"/>
  <c r="AA1574" i="2"/>
  <c r="Z1574" i="2"/>
  <c r="C1574" i="2"/>
  <c r="AA1573" i="2"/>
  <c r="Z1573" i="2"/>
  <c r="C1573" i="2"/>
  <c r="AA1572" i="2"/>
  <c r="Z1572" i="2"/>
  <c r="C1572" i="2"/>
  <c r="AA1571" i="2"/>
  <c r="Z1571" i="2"/>
  <c r="C1571" i="2"/>
  <c r="AA1570" i="2"/>
  <c r="Z1570" i="2"/>
  <c r="C1570" i="2"/>
  <c r="AA1569" i="2"/>
  <c r="Z1569" i="2"/>
  <c r="C1569" i="2"/>
  <c r="AA1568" i="2"/>
  <c r="Z1568" i="2"/>
  <c r="C1568" i="2"/>
  <c r="AA1567" i="2"/>
  <c r="Z1567" i="2"/>
  <c r="C1567" i="2"/>
  <c r="AA1566" i="2"/>
  <c r="Z1566" i="2"/>
  <c r="C1566" i="2"/>
  <c r="AA1565" i="2"/>
  <c r="Z1565" i="2"/>
  <c r="C1565" i="2"/>
  <c r="AA1564" i="2"/>
  <c r="Z1564" i="2"/>
  <c r="C1564" i="2"/>
  <c r="AA1563" i="2"/>
  <c r="Z1563" i="2"/>
  <c r="C1563" i="2"/>
  <c r="AA1562" i="2"/>
  <c r="Z1562" i="2"/>
  <c r="C1562" i="2"/>
  <c r="AA1561" i="2"/>
  <c r="Z1561" i="2"/>
  <c r="C1561" i="2"/>
  <c r="AA1560" i="2"/>
  <c r="Z1560" i="2"/>
  <c r="C1560" i="2"/>
  <c r="AA1559" i="2"/>
  <c r="Z1559" i="2"/>
  <c r="C1559" i="2"/>
  <c r="AA1558" i="2"/>
  <c r="Z1558" i="2"/>
  <c r="C1558" i="2"/>
  <c r="AA1557" i="2"/>
  <c r="Z1557" i="2"/>
  <c r="C1557" i="2"/>
  <c r="AA1556" i="2"/>
  <c r="Z1556" i="2"/>
  <c r="C1556" i="2"/>
  <c r="AA1555" i="2"/>
  <c r="Z1555" i="2"/>
  <c r="C1555" i="2"/>
  <c r="AA1554" i="2"/>
  <c r="Z1554" i="2"/>
  <c r="C1554" i="2"/>
  <c r="AA1553" i="2"/>
  <c r="Z1553" i="2"/>
  <c r="C1553" i="2"/>
  <c r="AA1552" i="2"/>
  <c r="Z1552" i="2"/>
  <c r="C1552" i="2"/>
  <c r="AA1551" i="2"/>
  <c r="Z1551" i="2"/>
  <c r="C1551" i="2"/>
  <c r="AA1550" i="2"/>
  <c r="Z1550" i="2"/>
  <c r="C1550" i="2"/>
  <c r="AA1549" i="2"/>
  <c r="Z1549" i="2"/>
  <c r="C1549" i="2"/>
  <c r="AA1548" i="2"/>
  <c r="Z1548" i="2"/>
  <c r="C1548" i="2"/>
  <c r="AA1547" i="2"/>
  <c r="Z1547" i="2"/>
  <c r="C1547" i="2"/>
  <c r="AA1546" i="2"/>
  <c r="Z1546" i="2"/>
  <c r="C1546" i="2"/>
  <c r="AA1545" i="2"/>
  <c r="Z1545" i="2"/>
  <c r="C1545" i="2"/>
  <c r="AA1544" i="2"/>
  <c r="Z1544" i="2"/>
  <c r="C1544" i="2"/>
  <c r="AA1543" i="2"/>
  <c r="Z1543" i="2"/>
  <c r="C1543" i="2"/>
  <c r="AA1542" i="2"/>
  <c r="Z1542" i="2"/>
  <c r="C1542" i="2"/>
  <c r="AA1541" i="2"/>
  <c r="Z1541" i="2"/>
  <c r="C1541" i="2"/>
  <c r="AA1540" i="2"/>
  <c r="Z1540" i="2"/>
  <c r="C1540" i="2"/>
  <c r="AA1539" i="2"/>
  <c r="Z1539" i="2"/>
  <c r="C1539" i="2"/>
  <c r="AA1538" i="2"/>
  <c r="Z1538" i="2"/>
  <c r="C1538" i="2"/>
  <c r="AA1537" i="2"/>
  <c r="Z1537" i="2"/>
  <c r="C1537" i="2"/>
  <c r="AA1536" i="2"/>
  <c r="Z1536" i="2"/>
  <c r="C1536" i="2"/>
  <c r="AA1535" i="2"/>
  <c r="Z1535" i="2"/>
  <c r="C1535" i="2"/>
  <c r="AA1534" i="2"/>
  <c r="Z1534" i="2"/>
  <c r="C1534" i="2"/>
  <c r="AA1533" i="2"/>
  <c r="Z1533" i="2"/>
  <c r="C1533" i="2"/>
  <c r="AA1532" i="2"/>
  <c r="Z1532" i="2"/>
  <c r="C1532" i="2"/>
  <c r="AA1531" i="2"/>
  <c r="Z1531" i="2"/>
  <c r="C1531" i="2"/>
  <c r="AA1530" i="2"/>
  <c r="Z1530" i="2"/>
  <c r="C1530" i="2"/>
  <c r="AA1529" i="2"/>
  <c r="Z1529" i="2"/>
  <c r="C1529" i="2"/>
  <c r="AA1528" i="2"/>
  <c r="Z1528" i="2"/>
  <c r="C1528" i="2"/>
  <c r="AA1527" i="2"/>
  <c r="Z1527" i="2"/>
  <c r="C1527" i="2"/>
  <c r="AA1526" i="2"/>
  <c r="Z1526" i="2"/>
  <c r="C1526" i="2"/>
  <c r="AA1525" i="2"/>
  <c r="Z1525" i="2"/>
  <c r="C1525" i="2"/>
  <c r="AA1524" i="2"/>
  <c r="Z1524" i="2"/>
  <c r="C1524" i="2"/>
  <c r="AA1523" i="2"/>
  <c r="Z1523" i="2"/>
  <c r="C1523" i="2"/>
  <c r="AA1522" i="2"/>
  <c r="Z1522" i="2"/>
  <c r="C1522" i="2"/>
  <c r="AA1521" i="2"/>
  <c r="Z1521" i="2"/>
  <c r="C1521" i="2"/>
  <c r="AA1520" i="2"/>
  <c r="Z1520" i="2"/>
  <c r="C1520" i="2"/>
  <c r="AA1519" i="2"/>
  <c r="Z1519" i="2"/>
  <c r="C1519" i="2"/>
  <c r="AA1518" i="2"/>
  <c r="Z1518" i="2"/>
  <c r="C1518" i="2"/>
  <c r="AA1517" i="2"/>
  <c r="Z1517" i="2"/>
  <c r="C1517" i="2"/>
  <c r="AA1516" i="2"/>
  <c r="Z1516" i="2"/>
  <c r="C1516" i="2"/>
  <c r="AA1515" i="2"/>
  <c r="Z1515" i="2"/>
  <c r="C1515" i="2"/>
  <c r="AA1514" i="2"/>
  <c r="Z1514" i="2"/>
  <c r="C1514" i="2"/>
  <c r="AA1513" i="2"/>
  <c r="Z1513" i="2"/>
  <c r="C1513" i="2"/>
  <c r="AA1512" i="2"/>
  <c r="Z1512" i="2"/>
  <c r="C1512" i="2"/>
  <c r="AA1511" i="2"/>
  <c r="Z1511" i="2"/>
  <c r="C1511" i="2"/>
  <c r="AA1510" i="2"/>
  <c r="Z1510" i="2"/>
  <c r="C1510" i="2"/>
  <c r="AA1509" i="2"/>
  <c r="Z1509" i="2"/>
  <c r="C1509" i="2"/>
  <c r="AA1508" i="2"/>
  <c r="Z1508" i="2"/>
  <c r="C1508" i="2"/>
  <c r="AA1507" i="2"/>
  <c r="Z1507" i="2"/>
  <c r="C1507" i="2"/>
  <c r="AA1506" i="2"/>
  <c r="Z1506" i="2"/>
  <c r="C1506" i="2"/>
  <c r="AA1505" i="2"/>
  <c r="Z1505" i="2"/>
  <c r="C1505" i="2"/>
  <c r="AA1504" i="2"/>
  <c r="Z1504" i="2"/>
  <c r="C1504" i="2"/>
  <c r="AA1503" i="2"/>
  <c r="Z1503" i="2"/>
  <c r="C1503" i="2"/>
  <c r="AA1502" i="2"/>
  <c r="Z1502" i="2"/>
  <c r="C1502" i="2"/>
  <c r="AA1501" i="2"/>
  <c r="Z1501" i="2"/>
  <c r="C1501" i="2"/>
  <c r="AA1500" i="2"/>
  <c r="Z1500" i="2"/>
  <c r="C1500" i="2"/>
  <c r="AA1499" i="2"/>
  <c r="Z1499" i="2"/>
  <c r="C1499" i="2"/>
  <c r="AA1498" i="2"/>
  <c r="Z1498" i="2"/>
  <c r="C1498" i="2"/>
  <c r="AA1497" i="2"/>
  <c r="Z1497" i="2"/>
  <c r="C1497" i="2"/>
  <c r="AA1496" i="2"/>
  <c r="Z1496" i="2"/>
  <c r="C1496" i="2"/>
  <c r="AA1495" i="2"/>
  <c r="Z1495" i="2"/>
  <c r="C1495" i="2"/>
  <c r="AA1494" i="2"/>
  <c r="Z1494" i="2"/>
  <c r="C1494" i="2"/>
  <c r="AA1493" i="2"/>
  <c r="Z1493" i="2"/>
  <c r="C1493" i="2"/>
  <c r="AA1492" i="2"/>
  <c r="Z1492" i="2"/>
  <c r="C1492" i="2"/>
  <c r="AA1491" i="2"/>
  <c r="Z1491" i="2"/>
  <c r="C1491" i="2"/>
  <c r="AA1490" i="2"/>
  <c r="Z1490" i="2"/>
  <c r="C1490" i="2"/>
  <c r="AA1489" i="2"/>
  <c r="Z1489" i="2"/>
  <c r="C1489" i="2"/>
  <c r="AA1488" i="2"/>
  <c r="Z1488" i="2"/>
  <c r="C1488" i="2"/>
  <c r="AA1487" i="2"/>
  <c r="Z1487" i="2"/>
  <c r="C1487" i="2"/>
  <c r="AA1486" i="2"/>
  <c r="Z1486" i="2"/>
  <c r="C1486" i="2"/>
  <c r="AA1485" i="2"/>
  <c r="Z1485" i="2"/>
  <c r="C1485" i="2"/>
  <c r="AA1484" i="2"/>
  <c r="Z1484" i="2"/>
  <c r="C1484" i="2"/>
  <c r="AA1483" i="2"/>
  <c r="Z1483" i="2"/>
  <c r="C1483" i="2"/>
  <c r="AA1482" i="2"/>
  <c r="Z1482" i="2"/>
  <c r="C1482" i="2"/>
  <c r="AA1481" i="2"/>
  <c r="Z1481" i="2"/>
  <c r="C1481" i="2"/>
  <c r="AA1480" i="2"/>
  <c r="Z1480" i="2"/>
  <c r="C1480" i="2"/>
  <c r="AA1479" i="2"/>
  <c r="Z1479" i="2"/>
  <c r="C1479" i="2"/>
  <c r="AA1478" i="2"/>
  <c r="Z1478" i="2"/>
  <c r="C1478" i="2"/>
  <c r="AA1477" i="2"/>
  <c r="Z1477" i="2"/>
  <c r="C1477" i="2"/>
  <c r="AA1476" i="2"/>
  <c r="Z1476" i="2"/>
  <c r="C1476" i="2"/>
  <c r="AA1475" i="2"/>
  <c r="Z1475" i="2"/>
  <c r="C1475" i="2"/>
  <c r="AA1474" i="2"/>
  <c r="Z1474" i="2"/>
  <c r="C1474" i="2"/>
  <c r="AA1473" i="2"/>
  <c r="Z1473" i="2"/>
  <c r="C1473" i="2"/>
  <c r="AA1472" i="2"/>
  <c r="Z1472" i="2"/>
  <c r="C1472" i="2"/>
  <c r="AA1471" i="2"/>
  <c r="Z1471" i="2"/>
  <c r="C1471" i="2"/>
  <c r="AA1470" i="2"/>
  <c r="Z1470" i="2"/>
  <c r="C1470" i="2"/>
  <c r="AA1469" i="2"/>
  <c r="Z1469" i="2"/>
  <c r="C1469" i="2"/>
  <c r="AA1468" i="2"/>
  <c r="Z1468" i="2"/>
  <c r="C1468" i="2"/>
  <c r="AA1467" i="2"/>
  <c r="Z1467" i="2"/>
  <c r="C1467" i="2"/>
  <c r="AA1466" i="2"/>
  <c r="Z1466" i="2"/>
  <c r="C1466" i="2"/>
  <c r="AA1465" i="2"/>
  <c r="Z1465" i="2"/>
  <c r="C1465" i="2"/>
  <c r="AA1464" i="2"/>
  <c r="Z1464" i="2"/>
  <c r="C1464" i="2"/>
  <c r="AA1463" i="2"/>
  <c r="Z1463" i="2"/>
  <c r="C1463" i="2"/>
  <c r="AA1462" i="2"/>
  <c r="Z1462" i="2"/>
  <c r="C1462" i="2"/>
  <c r="AA1461" i="2"/>
  <c r="Z1461" i="2"/>
  <c r="C1461" i="2"/>
  <c r="AA1460" i="2"/>
  <c r="Z1460" i="2"/>
  <c r="C1460" i="2"/>
  <c r="AA1459" i="2"/>
  <c r="Z1459" i="2"/>
  <c r="C1459" i="2"/>
  <c r="AA1458" i="2"/>
  <c r="Z1458" i="2"/>
  <c r="C1458" i="2"/>
  <c r="AA1457" i="2"/>
  <c r="Z1457" i="2"/>
  <c r="C1457" i="2"/>
  <c r="AA1456" i="2"/>
  <c r="Z1456" i="2"/>
  <c r="C1456" i="2"/>
  <c r="AA1455" i="2"/>
  <c r="Z1455" i="2"/>
  <c r="C1455" i="2"/>
  <c r="AA1454" i="2"/>
  <c r="Z1454" i="2"/>
  <c r="C1454" i="2"/>
  <c r="AA1453" i="2"/>
  <c r="Z1453" i="2"/>
  <c r="C1453" i="2"/>
  <c r="AA1452" i="2"/>
  <c r="Z1452" i="2"/>
  <c r="C1452" i="2"/>
  <c r="AA1451" i="2"/>
  <c r="Z1451" i="2"/>
  <c r="C1451" i="2"/>
  <c r="AA1450" i="2"/>
  <c r="Z1450" i="2"/>
  <c r="C1450" i="2"/>
  <c r="AA1449" i="2"/>
  <c r="Z1449" i="2"/>
  <c r="C1449" i="2"/>
  <c r="AA1448" i="2"/>
  <c r="Z1448" i="2"/>
  <c r="C1448" i="2"/>
  <c r="AA1447" i="2"/>
  <c r="Z1447" i="2"/>
  <c r="C1447" i="2"/>
  <c r="AA1446" i="2"/>
  <c r="Z1446" i="2"/>
  <c r="C1446" i="2"/>
  <c r="AA1445" i="2"/>
  <c r="Z1445" i="2"/>
  <c r="C1445" i="2"/>
  <c r="AA1444" i="2"/>
  <c r="Z1444" i="2"/>
  <c r="C1444" i="2"/>
  <c r="AA1443" i="2"/>
  <c r="Z1443" i="2"/>
  <c r="C1443" i="2"/>
  <c r="AA1442" i="2"/>
  <c r="Z1442" i="2"/>
  <c r="C1442" i="2"/>
  <c r="AA1441" i="2"/>
  <c r="Z1441" i="2"/>
  <c r="C1441" i="2"/>
  <c r="AA1440" i="2"/>
  <c r="Z1440" i="2"/>
  <c r="C1440" i="2"/>
  <c r="AA1439" i="2"/>
  <c r="Z1439" i="2"/>
  <c r="C1439" i="2"/>
  <c r="AA1438" i="2"/>
  <c r="Z1438" i="2"/>
  <c r="C1438" i="2"/>
  <c r="AA1437" i="2"/>
  <c r="Z1437" i="2"/>
  <c r="C1437" i="2"/>
  <c r="AA1436" i="2"/>
  <c r="Z1436" i="2"/>
  <c r="C1436" i="2"/>
  <c r="AA1435" i="2"/>
  <c r="Z1435" i="2"/>
  <c r="C1435" i="2"/>
  <c r="AA1434" i="2"/>
  <c r="Z1434" i="2"/>
  <c r="C1434" i="2"/>
  <c r="AA1433" i="2"/>
  <c r="Z1433" i="2"/>
  <c r="C1433" i="2"/>
  <c r="AA1432" i="2"/>
  <c r="Z1432" i="2"/>
  <c r="C1432" i="2"/>
  <c r="AA1431" i="2"/>
  <c r="Z1431" i="2"/>
  <c r="C1431" i="2"/>
  <c r="AA1430" i="2"/>
  <c r="Z1430" i="2"/>
  <c r="C1430" i="2"/>
  <c r="AA1429" i="2"/>
  <c r="Z1429" i="2"/>
  <c r="C1429" i="2"/>
  <c r="AA1428" i="2"/>
  <c r="Z1428" i="2"/>
  <c r="C1428" i="2"/>
  <c r="AA1427" i="2"/>
  <c r="Z1427" i="2"/>
  <c r="C1427" i="2"/>
  <c r="AA1426" i="2"/>
  <c r="Z1426" i="2"/>
  <c r="C1426" i="2"/>
  <c r="AA1425" i="2"/>
  <c r="Z1425" i="2"/>
  <c r="C1425" i="2"/>
  <c r="AA1424" i="2"/>
  <c r="Z1424" i="2"/>
  <c r="C1424" i="2"/>
  <c r="AA1423" i="2"/>
  <c r="Z1423" i="2"/>
  <c r="C1423" i="2"/>
  <c r="AA1422" i="2"/>
  <c r="Z1422" i="2"/>
  <c r="C1422" i="2"/>
  <c r="AA1421" i="2"/>
  <c r="Z1421" i="2"/>
  <c r="C1421" i="2"/>
  <c r="AA1420" i="2"/>
  <c r="Z1420" i="2"/>
  <c r="C1420" i="2"/>
  <c r="AA1419" i="2"/>
  <c r="Z1419" i="2"/>
  <c r="C1419" i="2"/>
  <c r="AA1418" i="2"/>
  <c r="Z1418" i="2"/>
  <c r="C1418" i="2"/>
  <c r="AA1417" i="2"/>
  <c r="Z1417" i="2"/>
  <c r="C1417" i="2"/>
  <c r="AA1416" i="2"/>
  <c r="Z1416" i="2"/>
  <c r="C1416" i="2"/>
  <c r="AA1415" i="2"/>
  <c r="Z1415" i="2"/>
  <c r="C1415" i="2"/>
  <c r="AA1414" i="2"/>
  <c r="Z1414" i="2"/>
  <c r="C1414" i="2"/>
  <c r="AA1413" i="2"/>
  <c r="Z1413" i="2"/>
  <c r="C1413" i="2"/>
  <c r="AA1412" i="2"/>
  <c r="Z1412" i="2"/>
  <c r="C1412" i="2"/>
  <c r="AA1411" i="2"/>
  <c r="Z1411" i="2"/>
  <c r="C1411" i="2"/>
  <c r="AA1410" i="2"/>
  <c r="Z1410" i="2"/>
  <c r="C1410" i="2"/>
  <c r="AA1409" i="2"/>
  <c r="Z1409" i="2"/>
  <c r="C1409" i="2"/>
  <c r="AA1408" i="2"/>
  <c r="Z1408" i="2"/>
  <c r="C1408" i="2"/>
  <c r="AA1407" i="2"/>
  <c r="Z1407" i="2"/>
  <c r="C1407" i="2"/>
  <c r="AA1406" i="2"/>
  <c r="Z1406" i="2"/>
  <c r="C1406" i="2"/>
  <c r="AA1405" i="2"/>
  <c r="Z1405" i="2"/>
  <c r="C1405" i="2"/>
  <c r="AA1404" i="2"/>
  <c r="Z1404" i="2"/>
  <c r="C1404" i="2"/>
  <c r="AA1403" i="2"/>
  <c r="Z1403" i="2"/>
  <c r="C1403" i="2"/>
  <c r="AA1402" i="2"/>
  <c r="Z1402" i="2"/>
  <c r="C1402" i="2"/>
  <c r="AA1401" i="2"/>
  <c r="Z1401" i="2"/>
  <c r="C1401" i="2"/>
  <c r="AA1400" i="2"/>
  <c r="Z1400" i="2"/>
  <c r="C1400" i="2"/>
  <c r="AA1399" i="2"/>
  <c r="Z1399" i="2"/>
  <c r="C1399" i="2"/>
  <c r="AA1398" i="2"/>
  <c r="Z1398" i="2"/>
  <c r="C1398" i="2"/>
  <c r="AA1397" i="2"/>
  <c r="Z1397" i="2"/>
  <c r="C1397" i="2"/>
  <c r="AA1396" i="2"/>
  <c r="Z1396" i="2"/>
  <c r="C1396" i="2"/>
  <c r="AA1395" i="2"/>
  <c r="Z1395" i="2"/>
  <c r="C1395" i="2"/>
  <c r="AA1394" i="2"/>
  <c r="Z1394" i="2"/>
  <c r="C1394" i="2"/>
  <c r="AA1393" i="2"/>
  <c r="Z1393" i="2"/>
  <c r="C1393" i="2"/>
  <c r="AA1392" i="2"/>
  <c r="Z1392" i="2"/>
  <c r="C1392" i="2"/>
  <c r="AA1391" i="2"/>
  <c r="Z1391" i="2"/>
  <c r="C1391" i="2"/>
  <c r="AA1390" i="2"/>
  <c r="Z1390" i="2"/>
  <c r="C1390" i="2"/>
  <c r="AA1389" i="2"/>
  <c r="Z1389" i="2"/>
  <c r="C1389" i="2"/>
  <c r="AA1388" i="2"/>
  <c r="Z1388" i="2"/>
  <c r="C1388" i="2"/>
  <c r="AA1387" i="2"/>
  <c r="Z1387" i="2"/>
  <c r="C1387" i="2"/>
  <c r="AA1386" i="2"/>
  <c r="Z1386" i="2"/>
  <c r="C1386" i="2"/>
  <c r="AA1385" i="2"/>
  <c r="Z1385" i="2"/>
  <c r="C1385" i="2"/>
  <c r="AA1384" i="2"/>
  <c r="Z1384" i="2"/>
  <c r="C1384" i="2"/>
  <c r="AA1383" i="2"/>
  <c r="Z1383" i="2"/>
  <c r="C1383" i="2"/>
  <c r="AA1382" i="2"/>
  <c r="Z1382" i="2"/>
  <c r="C1382" i="2"/>
  <c r="AA1381" i="2"/>
  <c r="Z1381" i="2"/>
  <c r="C1381" i="2"/>
  <c r="AA1380" i="2"/>
  <c r="Z1380" i="2"/>
  <c r="C1380" i="2"/>
  <c r="AA1379" i="2"/>
  <c r="Z1379" i="2"/>
  <c r="C1379" i="2"/>
  <c r="AA1378" i="2"/>
  <c r="Z1378" i="2"/>
  <c r="C1378" i="2"/>
  <c r="AA1377" i="2"/>
  <c r="Z1377" i="2"/>
  <c r="C1377" i="2"/>
  <c r="AA1376" i="2"/>
  <c r="Z1376" i="2"/>
  <c r="C1376" i="2"/>
  <c r="AA1375" i="2"/>
  <c r="Z1375" i="2"/>
  <c r="C1375" i="2"/>
  <c r="AA1374" i="2"/>
  <c r="Z1374" i="2"/>
  <c r="C1374" i="2"/>
  <c r="AA1373" i="2"/>
  <c r="Z1373" i="2"/>
  <c r="C1373" i="2"/>
  <c r="AA1372" i="2"/>
  <c r="Z1372" i="2"/>
  <c r="C1372" i="2"/>
  <c r="AA1371" i="2"/>
  <c r="Z1371" i="2"/>
  <c r="C1371" i="2"/>
  <c r="AA1370" i="2"/>
  <c r="Z1370" i="2"/>
  <c r="C1370" i="2"/>
  <c r="AA1369" i="2"/>
  <c r="Z1369" i="2"/>
  <c r="C1369" i="2"/>
  <c r="AA1368" i="2"/>
  <c r="Z1368" i="2"/>
  <c r="C1368" i="2"/>
  <c r="AA1367" i="2"/>
  <c r="Z1367" i="2"/>
  <c r="C1367" i="2"/>
  <c r="AA1366" i="2"/>
  <c r="Z1366" i="2"/>
  <c r="C1366" i="2"/>
  <c r="AA1365" i="2"/>
  <c r="Z1365" i="2"/>
  <c r="C1365" i="2"/>
  <c r="AA1364" i="2"/>
  <c r="Z1364" i="2"/>
  <c r="C1364" i="2"/>
  <c r="AA1363" i="2"/>
  <c r="Z1363" i="2"/>
  <c r="C1363" i="2"/>
  <c r="AA1362" i="2"/>
  <c r="Z1362" i="2"/>
  <c r="C1362" i="2"/>
  <c r="AA1361" i="2"/>
  <c r="Z1361" i="2"/>
  <c r="C1361" i="2"/>
  <c r="AA1360" i="2"/>
  <c r="Z1360" i="2"/>
  <c r="C1360" i="2"/>
  <c r="AA1359" i="2"/>
  <c r="Z1359" i="2"/>
  <c r="C1359" i="2"/>
  <c r="AA1358" i="2"/>
  <c r="Z1358" i="2"/>
  <c r="C1358" i="2"/>
  <c r="AA1357" i="2"/>
  <c r="Z1357" i="2"/>
  <c r="C1357" i="2"/>
  <c r="AA1356" i="2"/>
  <c r="Z1356" i="2"/>
  <c r="C1356" i="2"/>
  <c r="AA1355" i="2"/>
  <c r="Z1355" i="2"/>
  <c r="C1355" i="2"/>
  <c r="AA1354" i="2"/>
  <c r="Z1354" i="2"/>
  <c r="C1354" i="2"/>
  <c r="AA1353" i="2"/>
  <c r="Z1353" i="2"/>
  <c r="C1353" i="2"/>
  <c r="AA1352" i="2"/>
  <c r="Z1352" i="2"/>
  <c r="C1352" i="2"/>
  <c r="AA1351" i="2"/>
  <c r="Z1351" i="2"/>
  <c r="C1351" i="2"/>
  <c r="AA1350" i="2"/>
  <c r="Z1350" i="2"/>
  <c r="C1350" i="2"/>
  <c r="AA1349" i="2"/>
  <c r="Z1349" i="2"/>
  <c r="C1349" i="2"/>
  <c r="AA1348" i="2"/>
  <c r="Z1348" i="2"/>
  <c r="C1348" i="2"/>
  <c r="AA1347" i="2"/>
  <c r="Z1347" i="2"/>
  <c r="C1347" i="2"/>
  <c r="AA1346" i="2"/>
  <c r="Z1346" i="2"/>
  <c r="C1346" i="2"/>
  <c r="AA1345" i="2"/>
  <c r="Z1345" i="2"/>
  <c r="C1345" i="2"/>
  <c r="AA1344" i="2"/>
  <c r="Z1344" i="2"/>
  <c r="C1344" i="2"/>
  <c r="AA1343" i="2"/>
  <c r="Z1343" i="2"/>
  <c r="C1343" i="2"/>
  <c r="AA1342" i="2"/>
  <c r="Z1342" i="2"/>
  <c r="C1342" i="2"/>
  <c r="AA1341" i="2"/>
  <c r="Z1341" i="2"/>
  <c r="C1341" i="2"/>
  <c r="AA1340" i="2"/>
  <c r="Z1340" i="2"/>
  <c r="C1340" i="2"/>
  <c r="AA1339" i="2"/>
  <c r="Z1339" i="2"/>
  <c r="C1339" i="2"/>
  <c r="AA1338" i="2"/>
  <c r="Z1338" i="2"/>
  <c r="C1338" i="2"/>
  <c r="AA1337" i="2"/>
  <c r="Z1337" i="2"/>
  <c r="C1337" i="2"/>
  <c r="AA1336" i="2"/>
  <c r="Z1336" i="2"/>
  <c r="C1336" i="2"/>
  <c r="AA1335" i="2"/>
  <c r="Z1335" i="2"/>
  <c r="C1335" i="2"/>
  <c r="AA1334" i="2"/>
  <c r="Z1334" i="2"/>
  <c r="C1334" i="2"/>
  <c r="AA1333" i="2"/>
  <c r="Z1333" i="2"/>
  <c r="C1333" i="2"/>
  <c r="AA1332" i="2"/>
  <c r="Z1332" i="2"/>
  <c r="C1332" i="2"/>
  <c r="AA1331" i="2"/>
  <c r="Z1331" i="2"/>
  <c r="C1331" i="2"/>
  <c r="AA1330" i="2"/>
  <c r="Z1330" i="2"/>
  <c r="C1330" i="2"/>
  <c r="AA1329" i="2"/>
  <c r="Z1329" i="2"/>
  <c r="C1329" i="2"/>
  <c r="AA1328" i="2"/>
  <c r="Z1328" i="2"/>
  <c r="C1328" i="2"/>
  <c r="AA1327" i="2"/>
  <c r="Z1327" i="2"/>
  <c r="C1327" i="2"/>
  <c r="AA1326" i="2"/>
  <c r="Z1326" i="2"/>
  <c r="C1326" i="2"/>
  <c r="AA1325" i="2"/>
  <c r="Z1325" i="2"/>
  <c r="C1325" i="2"/>
  <c r="AA1324" i="2"/>
  <c r="Z1324" i="2"/>
  <c r="C1324" i="2"/>
  <c r="AA1323" i="2"/>
  <c r="Z1323" i="2"/>
  <c r="C1323" i="2"/>
  <c r="AA1322" i="2"/>
  <c r="Z1322" i="2"/>
  <c r="C1322" i="2"/>
  <c r="AA1321" i="2"/>
  <c r="Z1321" i="2"/>
  <c r="C1321" i="2"/>
  <c r="AA1320" i="2"/>
  <c r="Z1320" i="2"/>
  <c r="C1320" i="2"/>
  <c r="AA1319" i="2"/>
  <c r="Z1319" i="2"/>
  <c r="C1319" i="2"/>
  <c r="AA1318" i="2"/>
  <c r="Z1318" i="2"/>
  <c r="C1318" i="2"/>
  <c r="AA1317" i="2"/>
  <c r="Z1317" i="2"/>
  <c r="C1317" i="2"/>
  <c r="AA1316" i="2"/>
  <c r="Z1316" i="2"/>
  <c r="C1316" i="2"/>
  <c r="AA1315" i="2"/>
  <c r="Z1315" i="2"/>
  <c r="C1315" i="2"/>
  <c r="AA1314" i="2"/>
  <c r="Z1314" i="2"/>
  <c r="C1314" i="2"/>
  <c r="AA1313" i="2"/>
  <c r="Z1313" i="2"/>
  <c r="C1313" i="2"/>
  <c r="AA1312" i="2"/>
  <c r="Z1312" i="2"/>
  <c r="C1312" i="2"/>
  <c r="AA1311" i="2"/>
  <c r="Z1311" i="2"/>
  <c r="C1311" i="2"/>
  <c r="AA1310" i="2"/>
  <c r="Z1310" i="2"/>
  <c r="C1310" i="2"/>
  <c r="AA1309" i="2"/>
  <c r="Z1309" i="2"/>
  <c r="C1309" i="2"/>
  <c r="AA1308" i="2"/>
  <c r="Z1308" i="2"/>
  <c r="C1308" i="2"/>
  <c r="AA1307" i="2"/>
  <c r="Z1307" i="2"/>
  <c r="C1307" i="2"/>
  <c r="AA1306" i="2"/>
  <c r="Z1306" i="2"/>
  <c r="C1306" i="2"/>
  <c r="AA1305" i="2"/>
  <c r="Z1305" i="2"/>
  <c r="C1305" i="2"/>
  <c r="AA1304" i="2"/>
  <c r="Z1304" i="2"/>
  <c r="C1304" i="2"/>
  <c r="AA1303" i="2"/>
  <c r="Z1303" i="2"/>
  <c r="C1303" i="2"/>
  <c r="AA1302" i="2"/>
  <c r="Z1302" i="2"/>
  <c r="C1302" i="2"/>
  <c r="AA1301" i="2"/>
  <c r="Z1301" i="2"/>
  <c r="C1301" i="2"/>
  <c r="AA1300" i="2"/>
  <c r="Z1300" i="2"/>
  <c r="C1300" i="2"/>
  <c r="AA1299" i="2"/>
  <c r="Z1299" i="2"/>
  <c r="C1299" i="2"/>
  <c r="AA1298" i="2"/>
  <c r="Z1298" i="2"/>
  <c r="C1298" i="2"/>
  <c r="AA1297" i="2"/>
  <c r="Z1297" i="2"/>
  <c r="C1297" i="2"/>
  <c r="AA1296" i="2"/>
  <c r="Z1296" i="2"/>
  <c r="C1296" i="2"/>
  <c r="AA1295" i="2"/>
  <c r="Z1295" i="2"/>
  <c r="C1295" i="2"/>
  <c r="AA1294" i="2"/>
  <c r="Z1294" i="2"/>
  <c r="C1294" i="2"/>
  <c r="AA1293" i="2"/>
  <c r="Z1293" i="2"/>
  <c r="C1293" i="2"/>
  <c r="AA1292" i="2"/>
  <c r="Z1292" i="2"/>
  <c r="C1292" i="2"/>
  <c r="AA1291" i="2"/>
  <c r="Z1291" i="2"/>
  <c r="C1291" i="2"/>
  <c r="AA1290" i="2"/>
  <c r="Z1290" i="2"/>
  <c r="C1290" i="2"/>
  <c r="AA1289" i="2"/>
  <c r="Z1289" i="2"/>
  <c r="C1289" i="2"/>
  <c r="AA1288" i="2"/>
  <c r="Z1288" i="2"/>
  <c r="C1288" i="2"/>
  <c r="AA1287" i="2"/>
  <c r="Z1287" i="2"/>
  <c r="C1287" i="2"/>
  <c r="AA1286" i="2"/>
  <c r="Z1286" i="2"/>
  <c r="C1286" i="2"/>
  <c r="AA1285" i="2"/>
  <c r="Z1285" i="2"/>
  <c r="C1285" i="2"/>
  <c r="AA1284" i="2"/>
  <c r="Z1284" i="2"/>
  <c r="C1284" i="2"/>
  <c r="AA1283" i="2"/>
  <c r="Z1283" i="2"/>
  <c r="C1283" i="2"/>
  <c r="AA1282" i="2"/>
  <c r="Z1282" i="2"/>
  <c r="C1282" i="2"/>
  <c r="AA1281" i="2"/>
  <c r="Z1281" i="2"/>
  <c r="C1281" i="2"/>
  <c r="AA1280" i="2"/>
  <c r="Z1280" i="2"/>
  <c r="C1280" i="2"/>
  <c r="AA1279" i="2"/>
  <c r="Z1279" i="2"/>
  <c r="C1279" i="2"/>
  <c r="AA1278" i="2"/>
  <c r="Z1278" i="2"/>
  <c r="C1278" i="2"/>
  <c r="AA1277" i="2"/>
  <c r="Z1277" i="2"/>
  <c r="C1277" i="2"/>
  <c r="AA1276" i="2"/>
  <c r="Z1276" i="2"/>
  <c r="C1276" i="2"/>
  <c r="AA1275" i="2"/>
  <c r="Z1275" i="2"/>
  <c r="C1275" i="2"/>
  <c r="AA1274" i="2"/>
  <c r="Z1274" i="2"/>
  <c r="C1274" i="2"/>
  <c r="AA1273" i="2"/>
  <c r="Z1273" i="2"/>
  <c r="C1273" i="2"/>
  <c r="AA1272" i="2"/>
  <c r="Z1272" i="2"/>
  <c r="C1272" i="2"/>
  <c r="AA1271" i="2"/>
  <c r="Z1271" i="2"/>
  <c r="C1271" i="2"/>
  <c r="AA1270" i="2"/>
  <c r="Z1270" i="2"/>
  <c r="C1270" i="2"/>
  <c r="AA1269" i="2"/>
  <c r="Z1269" i="2"/>
  <c r="C1269" i="2"/>
  <c r="AA1268" i="2"/>
  <c r="Z1268" i="2"/>
  <c r="C1268" i="2"/>
  <c r="AA1267" i="2"/>
  <c r="Z1267" i="2"/>
  <c r="C1267" i="2"/>
  <c r="AA1266" i="2"/>
  <c r="Z1266" i="2"/>
  <c r="C1266" i="2"/>
  <c r="AA1265" i="2"/>
  <c r="Z1265" i="2"/>
  <c r="C1265" i="2"/>
  <c r="AA1264" i="2"/>
  <c r="Z1264" i="2"/>
  <c r="C1264" i="2"/>
  <c r="AA1263" i="2"/>
  <c r="Z1263" i="2"/>
  <c r="C1263" i="2"/>
  <c r="AA1262" i="2"/>
  <c r="Z1262" i="2"/>
  <c r="C1262" i="2"/>
  <c r="AA1261" i="2"/>
  <c r="Z1261" i="2"/>
  <c r="C1261" i="2"/>
  <c r="AA1260" i="2"/>
  <c r="Z1260" i="2"/>
  <c r="C1260" i="2"/>
  <c r="AA1259" i="2"/>
  <c r="Z1259" i="2"/>
  <c r="C1259" i="2"/>
  <c r="AA1258" i="2"/>
  <c r="Z1258" i="2"/>
  <c r="C1258" i="2"/>
  <c r="AA1257" i="2"/>
  <c r="Z1257" i="2"/>
  <c r="C1257" i="2"/>
  <c r="AA1256" i="2"/>
  <c r="Z1256" i="2"/>
  <c r="C1256" i="2"/>
  <c r="AA1255" i="2"/>
  <c r="Z1255" i="2"/>
  <c r="C1255" i="2"/>
  <c r="AA1254" i="2"/>
  <c r="Z1254" i="2"/>
  <c r="C1254" i="2"/>
  <c r="AA1253" i="2"/>
  <c r="Z1253" i="2"/>
  <c r="C1253" i="2"/>
  <c r="AA1252" i="2"/>
  <c r="Z1252" i="2"/>
  <c r="C1252" i="2"/>
  <c r="AA1251" i="2"/>
  <c r="Z1251" i="2"/>
  <c r="C1251" i="2"/>
  <c r="AA1250" i="2"/>
  <c r="Z1250" i="2"/>
  <c r="C1250" i="2"/>
  <c r="AA1249" i="2"/>
  <c r="Z1249" i="2"/>
  <c r="C1249" i="2"/>
  <c r="AA1248" i="2"/>
  <c r="Z1248" i="2"/>
  <c r="C1248" i="2"/>
  <c r="AA1247" i="2"/>
  <c r="Z1247" i="2"/>
  <c r="C1247" i="2"/>
  <c r="AA1246" i="2"/>
  <c r="Z1246" i="2"/>
  <c r="C1246" i="2"/>
  <c r="AA1245" i="2"/>
  <c r="Z1245" i="2"/>
  <c r="C1245" i="2"/>
  <c r="AA1244" i="2"/>
  <c r="Z1244" i="2"/>
  <c r="C1244" i="2"/>
  <c r="AA1243" i="2"/>
  <c r="Z1243" i="2"/>
  <c r="C1243" i="2"/>
  <c r="AA1242" i="2"/>
  <c r="Z1242" i="2"/>
  <c r="C1242" i="2"/>
  <c r="AA1241" i="2"/>
  <c r="Z1241" i="2"/>
  <c r="C1241" i="2"/>
  <c r="AA1240" i="2"/>
  <c r="Z1240" i="2"/>
  <c r="C1240" i="2"/>
  <c r="AA1239" i="2"/>
  <c r="Z1239" i="2"/>
  <c r="C1239" i="2"/>
  <c r="AA1238" i="2"/>
  <c r="Z1238" i="2"/>
  <c r="C1238" i="2"/>
  <c r="AA1237" i="2"/>
  <c r="Z1237" i="2"/>
  <c r="C1237" i="2"/>
  <c r="AA1236" i="2"/>
  <c r="Z1236" i="2"/>
  <c r="C1236" i="2"/>
  <c r="AA1235" i="2"/>
  <c r="Z1235" i="2"/>
  <c r="C1235" i="2"/>
  <c r="AA1234" i="2"/>
  <c r="Z1234" i="2"/>
  <c r="C1234" i="2"/>
  <c r="AA1233" i="2"/>
  <c r="Z1233" i="2"/>
  <c r="C1233" i="2"/>
  <c r="AA1232" i="2"/>
  <c r="Z1232" i="2"/>
  <c r="C1232" i="2"/>
  <c r="AA1231" i="2"/>
  <c r="Z1231" i="2"/>
  <c r="C1231" i="2"/>
  <c r="AA1230" i="2"/>
  <c r="Z1230" i="2"/>
  <c r="C1230" i="2"/>
  <c r="AA1229" i="2"/>
  <c r="Z1229" i="2"/>
  <c r="C1229" i="2"/>
  <c r="AA1228" i="2"/>
  <c r="Z1228" i="2"/>
  <c r="C1228" i="2"/>
  <c r="AA1227" i="2"/>
  <c r="Z1227" i="2"/>
  <c r="C1227" i="2"/>
  <c r="AA1226" i="2"/>
  <c r="Z1226" i="2"/>
  <c r="C1226" i="2"/>
  <c r="AA1225" i="2"/>
  <c r="Z1225" i="2"/>
  <c r="C1225" i="2"/>
  <c r="AA1224" i="2"/>
  <c r="Z1224" i="2"/>
  <c r="C1224" i="2"/>
  <c r="AA1223" i="2"/>
  <c r="Z1223" i="2"/>
  <c r="C1223" i="2"/>
  <c r="AA1222" i="2"/>
  <c r="Z1222" i="2"/>
  <c r="C1222" i="2"/>
  <c r="AA1221" i="2"/>
  <c r="Z1221" i="2"/>
  <c r="C1221" i="2"/>
  <c r="AA1220" i="2"/>
  <c r="Z1220" i="2"/>
  <c r="C1220" i="2"/>
  <c r="AA1219" i="2"/>
  <c r="Z1219" i="2"/>
  <c r="C1219" i="2"/>
  <c r="AA1218" i="2"/>
  <c r="Z1218" i="2"/>
  <c r="C1218" i="2"/>
  <c r="AA1217" i="2"/>
  <c r="Z1217" i="2"/>
  <c r="C1217" i="2"/>
  <c r="AA1216" i="2"/>
  <c r="Z1216" i="2"/>
  <c r="C1216" i="2"/>
  <c r="AA1215" i="2"/>
  <c r="Z1215" i="2"/>
  <c r="C1215" i="2"/>
  <c r="AA1214" i="2"/>
  <c r="Z1214" i="2"/>
  <c r="C1214" i="2"/>
  <c r="AA1213" i="2"/>
  <c r="Z1213" i="2"/>
  <c r="C1213" i="2"/>
  <c r="AA1212" i="2"/>
  <c r="Z1212" i="2"/>
  <c r="C1212" i="2"/>
  <c r="AA1211" i="2"/>
  <c r="Z1211" i="2"/>
  <c r="C1211" i="2"/>
  <c r="AA1210" i="2"/>
  <c r="Z1210" i="2"/>
  <c r="C1210" i="2"/>
  <c r="AA1209" i="2"/>
  <c r="Z1209" i="2"/>
  <c r="C1209" i="2"/>
  <c r="AA1208" i="2"/>
  <c r="Z1208" i="2"/>
  <c r="C1208" i="2"/>
  <c r="AA1207" i="2"/>
  <c r="Z1207" i="2"/>
  <c r="C1207" i="2"/>
  <c r="AA1206" i="2"/>
  <c r="Z1206" i="2"/>
  <c r="C1206" i="2"/>
  <c r="AA1205" i="2"/>
  <c r="Z1205" i="2"/>
  <c r="C1205" i="2"/>
  <c r="AA1204" i="2"/>
  <c r="Z1204" i="2"/>
  <c r="C1204" i="2"/>
  <c r="AA1203" i="2"/>
  <c r="Z1203" i="2"/>
  <c r="C1203" i="2"/>
  <c r="AA1202" i="2"/>
  <c r="Z1202" i="2"/>
  <c r="C1202" i="2"/>
  <c r="AA1201" i="2"/>
  <c r="Z1201" i="2"/>
  <c r="C1201" i="2"/>
  <c r="AA1200" i="2"/>
  <c r="Z1200" i="2"/>
  <c r="C1200" i="2"/>
  <c r="AA1199" i="2"/>
  <c r="Z1199" i="2"/>
  <c r="C1199" i="2"/>
  <c r="AA1198" i="2"/>
  <c r="Z1198" i="2"/>
  <c r="C1198" i="2"/>
  <c r="AA1197" i="2"/>
  <c r="Z1197" i="2"/>
  <c r="C1197" i="2"/>
  <c r="AA1196" i="2"/>
  <c r="Z1196" i="2"/>
  <c r="C1196" i="2"/>
  <c r="AA1195" i="2"/>
  <c r="Z1195" i="2"/>
  <c r="C1195" i="2"/>
  <c r="AA1194" i="2"/>
  <c r="Z1194" i="2"/>
  <c r="C1194" i="2"/>
  <c r="AA1193" i="2"/>
  <c r="Z1193" i="2"/>
  <c r="C1193" i="2"/>
  <c r="AA1192" i="2"/>
  <c r="Z1192" i="2"/>
  <c r="C1192" i="2"/>
  <c r="AA1191" i="2"/>
  <c r="Z1191" i="2"/>
  <c r="C1191" i="2"/>
  <c r="AA1190" i="2"/>
  <c r="Z1190" i="2"/>
  <c r="C1190" i="2"/>
  <c r="AA1189" i="2"/>
  <c r="Z1189" i="2"/>
  <c r="C1189" i="2"/>
  <c r="AA1188" i="2"/>
  <c r="Z1188" i="2"/>
  <c r="C1188" i="2"/>
  <c r="AA1187" i="2"/>
  <c r="Z1187" i="2"/>
  <c r="C1187" i="2"/>
  <c r="AA1186" i="2"/>
  <c r="Z1186" i="2"/>
  <c r="C1186" i="2"/>
  <c r="AA1185" i="2"/>
  <c r="Z1185" i="2"/>
  <c r="C1185" i="2"/>
  <c r="AA1184" i="2"/>
  <c r="Z1184" i="2"/>
  <c r="C1184" i="2"/>
  <c r="AA1183" i="2"/>
  <c r="Z1183" i="2"/>
  <c r="C1183" i="2"/>
  <c r="AA1182" i="2"/>
  <c r="Z1182" i="2"/>
  <c r="C1182" i="2"/>
  <c r="AA1181" i="2"/>
  <c r="Z1181" i="2"/>
  <c r="C1181" i="2"/>
  <c r="AA1180" i="2"/>
  <c r="Z1180" i="2"/>
  <c r="C1180" i="2"/>
  <c r="AA1179" i="2"/>
  <c r="Z1179" i="2"/>
  <c r="C1179" i="2"/>
  <c r="AA1178" i="2"/>
  <c r="Z1178" i="2"/>
  <c r="C1178" i="2"/>
  <c r="AA1177" i="2"/>
  <c r="Z1177" i="2"/>
  <c r="C1177" i="2"/>
  <c r="AA1176" i="2"/>
  <c r="Z1176" i="2"/>
  <c r="C1176" i="2"/>
  <c r="AA1175" i="2"/>
  <c r="Z1175" i="2"/>
  <c r="C1175" i="2"/>
  <c r="AA1174" i="2"/>
  <c r="Z1174" i="2"/>
  <c r="C1174" i="2"/>
  <c r="AA1173" i="2"/>
  <c r="Z1173" i="2"/>
  <c r="C1173" i="2"/>
  <c r="AA1172" i="2"/>
  <c r="Z1172" i="2"/>
  <c r="C1172" i="2"/>
  <c r="AA1171" i="2"/>
  <c r="Z1171" i="2"/>
  <c r="C1171" i="2"/>
  <c r="AA1170" i="2"/>
  <c r="Z1170" i="2"/>
  <c r="C1170" i="2"/>
  <c r="AA1169" i="2"/>
  <c r="Z1169" i="2"/>
  <c r="C1169" i="2"/>
  <c r="AA1168" i="2"/>
  <c r="Z1168" i="2"/>
  <c r="C1168" i="2"/>
  <c r="AA1167" i="2"/>
  <c r="Z1167" i="2"/>
  <c r="C1167" i="2"/>
  <c r="AA1166" i="2"/>
  <c r="Z1166" i="2"/>
  <c r="C1166" i="2"/>
  <c r="AA1165" i="2"/>
  <c r="Z1165" i="2"/>
  <c r="C1165" i="2"/>
  <c r="AA1164" i="2"/>
  <c r="Z1164" i="2"/>
  <c r="C1164" i="2"/>
  <c r="AA1163" i="2"/>
  <c r="Z1163" i="2"/>
  <c r="C1163" i="2"/>
  <c r="AA1162" i="2"/>
  <c r="Z1162" i="2"/>
  <c r="C1162" i="2"/>
  <c r="AA1161" i="2"/>
  <c r="Z1161" i="2"/>
  <c r="C1161" i="2"/>
  <c r="AA1160" i="2"/>
  <c r="Z1160" i="2"/>
  <c r="C1160" i="2"/>
  <c r="AA1159" i="2"/>
  <c r="Z1159" i="2"/>
  <c r="C1159" i="2"/>
  <c r="AA1158" i="2"/>
  <c r="Z1158" i="2"/>
  <c r="C1158" i="2"/>
  <c r="AA1157" i="2"/>
  <c r="Z1157" i="2"/>
  <c r="C1157" i="2"/>
  <c r="AA1156" i="2"/>
  <c r="Z1156" i="2"/>
  <c r="C1156" i="2"/>
  <c r="AA1155" i="2"/>
  <c r="Z1155" i="2"/>
  <c r="C1155" i="2"/>
  <c r="AA1154" i="2"/>
  <c r="Z1154" i="2"/>
  <c r="C1154" i="2"/>
  <c r="AA1153" i="2"/>
  <c r="Z1153" i="2"/>
  <c r="C1153" i="2"/>
  <c r="AA1152" i="2"/>
  <c r="Z1152" i="2"/>
  <c r="C1152" i="2"/>
  <c r="AA1151" i="2"/>
  <c r="Z1151" i="2"/>
  <c r="C1151" i="2"/>
  <c r="AA1150" i="2"/>
  <c r="Z1150" i="2"/>
  <c r="C1150" i="2"/>
  <c r="AA1149" i="2"/>
  <c r="Z1149" i="2"/>
  <c r="C1149" i="2"/>
  <c r="AA1148" i="2"/>
  <c r="Z1148" i="2"/>
  <c r="C1148" i="2"/>
  <c r="AA1147" i="2"/>
  <c r="Z1147" i="2"/>
  <c r="C1147" i="2"/>
  <c r="AA1146" i="2"/>
  <c r="Z1146" i="2"/>
  <c r="C1146" i="2"/>
  <c r="AA1145" i="2"/>
  <c r="Z1145" i="2"/>
  <c r="C1145" i="2"/>
  <c r="AA1144" i="2"/>
  <c r="Z1144" i="2"/>
  <c r="C1144" i="2"/>
  <c r="AA1143" i="2"/>
  <c r="Z1143" i="2"/>
  <c r="C1143" i="2"/>
  <c r="AA1142" i="2"/>
  <c r="Z1142" i="2"/>
  <c r="C1142" i="2"/>
  <c r="AA1141" i="2"/>
  <c r="Z1141" i="2"/>
  <c r="C1141" i="2"/>
  <c r="AA1140" i="2"/>
  <c r="Z1140" i="2"/>
  <c r="C1140" i="2"/>
  <c r="AA1139" i="2"/>
  <c r="Z1139" i="2"/>
  <c r="C1139" i="2"/>
  <c r="AA1138" i="2"/>
  <c r="Z1138" i="2"/>
  <c r="C1138" i="2"/>
  <c r="AA1137" i="2"/>
  <c r="Z1137" i="2"/>
  <c r="C1137" i="2"/>
  <c r="AA1136" i="2"/>
  <c r="Z1136" i="2"/>
  <c r="C1136" i="2"/>
  <c r="AA1135" i="2"/>
  <c r="Z1135" i="2"/>
  <c r="C1135" i="2"/>
  <c r="AA1134" i="2"/>
  <c r="Z1134" i="2"/>
  <c r="C1134" i="2"/>
  <c r="AA1133" i="2"/>
  <c r="Z1133" i="2"/>
  <c r="C1133" i="2"/>
  <c r="AA1132" i="2"/>
  <c r="Z1132" i="2"/>
  <c r="C1132" i="2"/>
  <c r="AA1131" i="2"/>
  <c r="Z1131" i="2"/>
  <c r="C1131" i="2"/>
  <c r="AA1130" i="2"/>
  <c r="Z1130" i="2"/>
  <c r="C1130" i="2"/>
  <c r="AA1129" i="2"/>
  <c r="Z1129" i="2"/>
  <c r="C1129" i="2"/>
  <c r="AA1128" i="2"/>
  <c r="Z1128" i="2"/>
  <c r="C1128" i="2"/>
  <c r="AA1127" i="2"/>
  <c r="Z1127" i="2"/>
  <c r="C1127" i="2"/>
  <c r="AA1126" i="2"/>
  <c r="Z1126" i="2"/>
  <c r="C1126" i="2"/>
  <c r="AA1125" i="2"/>
  <c r="Z1125" i="2"/>
  <c r="C1125" i="2"/>
  <c r="AA1124" i="2"/>
  <c r="Z1124" i="2"/>
  <c r="C1124" i="2"/>
  <c r="AA1123" i="2"/>
  <c r="Z1123" i="2"/>
  <c r="C1123" i="2"/>
  <c r="AA1122" i="2"/>
  <c r="Z1122" i="2"/>
  <c r="C1122" i="2"/>
  <c r="AA1121" i="2"/>
  <c r="Z1121" i="2"/>
  <c r="C1121" i="2"/>
  <c r="AA1120" i="2"/>
  <c r="Z1120" i="2"/>
  <c r="C1120" i="2"/>
  <c r="AA1119" i="2"/>
  <c r="Z1119" i="2"/>
  <c r="C1119" i="2"/>
  <c r="AA1118" i="2"/>
  <c r="Z1118" i="2"/>
  <c r="C1118" i="2"/>
  <c r="AA1117" i="2"/>
  <c r="Z1117" i="2"/>
  <c r="C1117" i="2"/>
  <c r="AA1116" i="2"/>
  <c r="Z1116" i="2"/>
  <c r="C1116" i="2"/>
  <c r="AA1115" i="2"/>
  <c r="Z1115" i="2"/>
  <c r="C1115" i="2"/>
  <c r="AA1114" i="2"/>
  <c r="Z1114" i="2"/>
  <c r="C1114" i="2"/>
  <c r="AA1113" i="2"/>
  <c r="Z1113" i="2"/>
  <c r="C1113" i="2"/>
  <c r="AA1112" i="2"/>
  <c r="Z1112" i="2"/>
  <c r="C1112" i="2"/>
  <c r="AA1111" i="2"/>
  <c r="Z1111" i="2"/>
  <c r="C1111" i="2"/>
  <c r="AA1110" i="2"/>
  <c r="Z1110" i="2"/>
  <c r="C1110" i="2"/>
  <c r="AA1109" i="2"/>
  <c r="Z1109" i="2"/>
  <c r="C1109" i="2"/>
  <c r="AA1108" i="2"/>
  <c r="Z1108" i="2"/>
  <c r="C1108" i="2"/>
  <c r="AA1107" i="2"/>
  <c r="Z1107" i="2"/>
  <c r="C1107" i="2"/>
  <c r="AA1106" i="2"/>
  <c r="Z1106" i="2"/>
  <c r="C1106" i="2"/>
  <c r="AA1105" i="2"/>
  <c r="Z1105" i="2"/>
  <c r="C1105" i="2"/>
  <c r="AA1104" i="2"/>
  <c r="Z1104" i="2"/>
  <c r="C1104" i="2"/>
  <c r="AA1103" i="2"/>
  <c r="Z1103" i="2"/>
  <c r="C1103" i="2"/>
  <c r="AA1102" i="2"/>
  <c r="Z1102" i="2"/>
  <c r="C1102" i="2"/>
  <c r="AA1101" i="2"/>
  <c r="Z1101" i="2"/>
  <c r="C1101" i="2"/>
  <c r="AA1100" i="2"/>
  <c r="Z1100" i="2"/>
  <c r="C1100" i="2"/>
  <c r="AA1099" i="2"/>
  <c r="Z1099" i="2"/>
  <c r="C1099" i="2"/>
  <c r="AA1098" i="2"/>
  <c r="Z1098" i="2"/>
  <c r="C1098" i="2"/>
  <c r="AA1097" i="2"/>
  <c r="Z1097" i="2"/>
  <c r="C1097" i="2"/>
  <c r="AA1096" i="2"/>
  <c r="Z1096" i="2"/>
  <c r="C1096" i="2"/>
  <c r="AA1095" i="2"/>
  <c r="Z1095" i="2"/>
  <c r="C1095" i="2"/>
  <c r="AA1094" i="2"/>
  <c r="Z1094" i="2"/>
  <c r="C1094" i="2"/>
  <c r="AA1093" i="2"/>
  <c r="Z1093" i="2"/>
  <c r="C1093" i="2"/>
  <c r="AA1092" i="2"/>
  <c r="Z1092" i="2"/>
  <c r="C1092" i="2"/>
  <c r="AA1091" i="2"/>
  <c r="Z1091" i="2"/>
  <c r="C1091" i="2"/>
  <c r="AA1090" i="2"/>
  <c r="Z1090" i="2"/>
  <c r="C1090" i="2"/>
  <c r="AA1089" i="2"/>
  <c r="Z1089" i="2"/>
  <c r="C1089" i="2"/>
  <c r="AA1088" i="2"/>
  <c r="Z1088" i="2"/>
  <c r="C1088" i="2"/>
  <c r="AA1087" i="2"/>
  <c r="Z1087" i="2"/>
  <c r="C1087" i="2"/>
  <c r="AA1086" i="2"/>
  <c r="Z1086" i="2"/>
  <c r="C1086" i="2"/>
  <c r="AA1085" i="2"/>
  <c r="Z1085" i="2"/>
  <c r="C1085" i="2"/>
  <c r="AA1084" i="2"/>
  <c r="Z1084" i="2"/>
  <c r="C1084" i="2"/>
  <c r="AA1083" i="2"/>
  <c r="Z1083" i="2"/>
  <c r="C1083" i="2"/>
  <c r="AA1082" i="2"/>
  <c r="Z1082" i="2"/>
  <c r="C1082" i="2"/>
  <c r="AA1081" i="2"/>
  <c r="Z1081" i="2"/>
  <c r="C1081" i="2"/>
  <c r="AA1080" i="2"/>
  <c r="Z1080" i="2"/>
  <c r="C1080" i="2"/>
  <c r="AA1079" i="2"/>
  <c r="Z1079" i="2"/>
  <c r="C1079" i="2"/>
  <c r="AA1078" i="2"/>
  <c r="Z1078" i="2"/>
  <c r="C1078" i="2"/>
  <c r="AA1077" i="2"/>
  <c r="Z1077" i="2"/>
  <c r="C1077" i="2"/>
  <c r="AA1076" i="2"/>
  <c r="Z1076" i="2"/>
  <c r="C1076" i="2"/>
  <c r="AA1075" i="2"/>
  <c r="Z1075" i="2"/>
  <c r="C1075" i="2"/>
  <c r="AA1074" i="2"/>
  <c r="Z1074" i="2"/>
  <c r="C1074" i="2"/>
  <c r="AA1073" i="2"/>
  <c r="Z1073" i="2"/>
  <c r="C1073" i="2"/>
  <c r="AA1072" i="2"/>
  <c r="Z1072" i="2"/>
  <c r="C1072" i="2"/>
  <c r="AA1071" i="2"/>
  <c r="Z1071" i="2"/>
  <c r="C1071" i="2"/>
  <c r="AA1070" i="2"/>
  <c r="Z1070" i="2"/>
  <c r="C1070" i="2"/>
  <c r="AA1069" i="2"/>
  <c r="Z1069" i="2"/>
  <c r="C1069" i="2"/>
  <c r="AA1068" i="2"/>
  <c r="Z1068" i="2"/>
  <c r="C1068" i="2"/>
  <c r="AA1067" i="2"/>
  <c r="Z1067" i="2"/>
  <c r="C1067" i="2"/>
  <c r="AA1066" i="2"/>
  <c r="Z1066" i="2"/>
  <c r="C1066" i="2"/>
  <c r="AA1065" i="2"/>
  <c r="Z1065" i="2"/>
  <c r="C1065" i="2"/>
  <c r="AA1064" i="2"/>
  <c r="Z1064" i="2"/>
  <c r="C1064" i="2"/>
  <c r="AA1063" i="2"/>
  <c r="Z1063" i="2"/>
  <c r="C1063" i="2"/>
  <c r="AA1062" i="2"/>
  <c r="Z1062" i="2"/>
  <c r="C1062" i="2"/>
  <c r="AA1061" i="2"/>
  <c r="Z1061" i="2"/>
  <c r="C1061" i="2"/>
  <c r="AA1060" i="2"/>
  <c r="Z1060" i="2"/>
  <c r="C1060" i="2"/>
  <c r="AA1059" i="2"/>
  <c r="Z1059" i="2"/>
  <c r="C1059" i="2"/>
  <c r="AA1058" i="2"/>
  <c r="Z1058" i="2"/>
  <c r="C1058" i="2"/>
  <c r="AA1057" i="2"/>
  <c r="Z1057" i="2"/>
  <c r="C1057" i="2"/>
  <c r="AA1056" i="2"/>
  <c r="Z1056" i="2"/>
  <c r="C1056" i="2"/>
  <c r="AA1055" i="2"/>
  <c r="Z1055" i="2"/>
  <c r="C1055" i="2"/>
  <c r="AA1054" i="2"/>
  <c r="Z1054" i="2"/>
  <c r="C1054" i="2"/>
  <c r="AA1053" i="2"/>
  <c r="Z1053" i="2"/>
  <c r="C1053" i="2"/>
  <c r="AA1052" i="2"/>
  <c r="Z1052" i="2"/>
  <c r="C1052" i="2"/>
  <c r="AA1051" i="2"/>
  <c r="Z1051" i="2"/>
  <c r="C1051" i="2"/>
  <c r="AA1050" i="2"/>
  <c r="Z1050" i="2"/>
  <c r="C1050" i="2"/>
  <c r="AA1049" i="2"/>
  <c r="Z1049" i="2"/>
  <c r="C1049" i="2"/>
  <c r="AA1048" i="2"/>
  <c r="Z1048" i="2"/>
  <c r="C1048" i="2"/>
  <c r="AA1047" i="2"/>
  <c r="Z1047" i="2"/>
  <c r="C1047" i="2"/>
  <c r="AA1046" i="2"/>
  <c r="Z1046" i="2"/>
  <c r="C1046" i="2"/>
  <c r="AA1045" i="2"/>
  <c r="Z1045" i="2"/>
  <c r="C1045" i="2"/>
  <c r="AA1044" i="2"/>
  <c r="Z1044" i="2"/>
  <c r="C1044" i="2"/>
  <c r="AA1043" i="2"/>
  <c r="Z1043" i="2"/>
  <c r="C1043" i="2"/>
  <c r="AA1042" i="2"/>
  <c r="Z1042" i="2"/>
  <c r="C1042" i="2"/>
  <c r="AA1041" i="2"/>
  <c r="Z1041" i="2"/>
  <c r="C1041" i="2"/>
  <c r="AA1040" i="2"/>
  <c r="Z1040" i="2"/>
  <c r="C1040" i="2"/>
  <c r="AA1039" i="2"/>
  <c r="Z1039" i="2"/>
  <c r="C1039" i="2"/>
  <c r="AA1038" i="2"/>
  <c r="Z1038" i="2"/>
  <c r="C1038" i="2"/>
  <c r="AA1037" i="2"/>
  <c r="Z1037" i="2"/>
  <c r="C1037" i="2"/>
  <c r="AA1036" i="2"/>
  <c r="Z1036" i="2"/>
  <c r="C1036" i="2"/>
  <c r="AA1035" i="2"/>
  <c r="Z1035" i="2"/>
  <c r="C1035" i="2"/>
  <c r="AA1034" i="2"/>
  <c r="Z1034" i="2"/>
  <c r="C1034" i="2"/>
  <c r="AA1033" i="2"/>
  <c r="Z1033" i="2"/>
  <c r="C1033" i="2"/>
  <c r="AA1032" i="2"/>
  <c r="Z1032" i="2"/>
  <c r="C1032" i="2"/>
  <c r="AA1031" i="2"/>
  <c r="Z1031" i="2"/>
  <c r="C1031" i="2"/>
  <c r="AA1030" i="2"/>
  <c r="Z1030" i="2"/>
  <c r="C1030" i="2"/>
  <c r="AA1029" i="2"/>
  <c r="Z1029" i="2"/>
  <c r="C1029" i="2"/>
  <c r="AA1028" i="2"/>
  <c r="Z1028" i="2"/>
  <c r="C1028" i="2"/>
  <c r="AA1027" i="2"/>
  <c r="Z1027" i="2"/>
  <c r="C1027" i="2"/>
  <c r="AA1026" i="2"/>
  <c r="Z1026" i="2"/>
  <c r="C1026" i="2"/>
  <c r="AA1025" i="2"/>
  <c r="Z1025" i="2"/>
  <c r="C1025" i="2"/>
  <c r="AA1024" i="2"/>
  <c r="Z1024" i="2"/>
  <c r="C1024" i="2"/>
  <c r="AA1023" i="2"/>
  <c r="Z1023" i="2"/>
  <c r="C1023" i="2"/>
  <c r="AA1022" i="2"/>
  <c r="Z1022" i="2"/>
  <c r="C1022" i="2"/>
  <c r="AA1021" i="2"/>
  <c r="Z1021" i="2"/>
  <c r="C1021" i="2"/>
  <c r="AA1020" i="2"/>
  <c r="Z1020" i="2"/>
  <c r="C1020" i="2"/>
  <c r="AA1019" i="2"/>
  <c r="Z1019" i="2"/>
  <c r="C1019" i="2"/>
  <c r="AA1018" i="2"/>
  <c r="Z1018" i="2"/>
  <c r="C1018" i="2"/>
  <c r="AA1017" i="2"/>
  <c r="Z1017" i="2"/>
  <c r="C1017" i="2"/>
  <c r="AA1016" i="2"/>
  <c r="Z1016" i="2"/>
  <c r="C1016" i="2"/>
  <c r="AA1015" i="2"/>
  <c r="Z1015" i="2"/>
  <c r="C1015" i="2"/>
  <c r="AA1014" i="2"/>
  <c r="Z1014" i="2"/>
  <c r="C1014" i="2"/>
  <c r="AA1013" i="2"/>
  <c r="Z1013" i="2"/>
  <c r="C1013" i="2"/>
  <c r="AA1012" i="2"/>
  <c r="Z1012" i="2"/>
  <c r="C1012" i="2"/>
  <c r="AA1011" i="2"/>
  <c r="Z1011" i="2"/>
  <c r="C1011" i="2"/>
  <c r="AA1010" i="2"/>
  <c r="Z1010" i="2"/>
  <c r="C1010" i="2"/>
  <c r="AA1009" i="2"/>
  <c r="Z1009" i="2"/>
  <c r="C1009" i="2"/>
  <c r="AA1008" i="2"/>
  <c r="Z1008" i="2"/>
  <c r="C1008" i="2"/>
  <c r="AA1007" i="2"/>
  <c r="Z1007" i="2"/>
  <c r="C1007" i="2"/>
  <c r="AA1006" i="2"/>
  <c r="Z1006" i="2"/>
  <c r="C1006" i="2"/>
  <c r="AA1005" i="2"/>
  <c r="Z1005" i="2"/>
  <c r="C1005" i="2"/>
  <c r="AA1004" i="2"/>
  <c r="Z1004" i="2"/>
  <c r="C1004" i="2"/>
  <c r="AA1003" i="2"/>
  <c r="Z1003" i="2"/>
  <c r="C1003" i="2"/>
  <c r="AA1002" i="2"/>
  <c r="Z1002" i="2"/>
  <c r="C1002" i="2"/>
  <c r="AA1001" i="2"/>
  <c r="Z1001" i="2"/>
  <c r="C1001" i="2"/>
  <c r="AA1000" i="2"/>
  <c r="Z1000" i="2"/>
  <c r="C1000" i="2"/>
  <c r="AA999" i="2"/>
  <c r="Z999" i="2"/>
  <c r="C999" i="2"/>
  <c r="AA998" i="2"/>
  <c r="Z998" i="2"/>
  <c r="C998" i="2"/>
  <c r="AA997" i="2"/>
  <c r="Z997" i="2"/>
  <c r="C997" i="2"/>
  <c r="AA996" i="2"/>
  <c r="Z996" i="2"/>
  <c r="C996" i="2"/>
  <c r="AA995" i="2"/>
  <c r="Z995" i="2"/>
  <c r="C995" i="2"/>
  <c r="AA994" i="2"/>
  <c r="Z994" i="2"/>
  <c r="C994" i="2"/>
  <c r="AA993" i="2"/>
  <c r="Z993" i="2"/>
  <c r="C993" i="2"/>
  <c r="AA992" i="2"/>
  <c r="Z992" i="2"/>
  <c r="C992" i="2"/>
  <c r="AA991" i="2"/>
  <c r="Z991" i="2"/>
  <c r="C991" i="2"/>
  <c r="AA990" i="2"/>
  <c r="Z990" i="2"/>
  <c r="C990" i="2"/>
  <c r="AA989" i="2"/>
  <c r="Z989" i="2"/>
  <c r="C989" i="2"/>
  <c r="AA988" i="2"/>
  <c r="Z988" i="2"/>
  <c r="C988" i="2"/>
  <c r="AA987" i="2"/>
  <c r="Z987" i="2"/>
  <c r="C987" i="2"/>
  <c r="AA986" i="2"/>
  <c r="Z986" i="2"/>
  <c r="C986" i="2"/>
  <c r="AA985" i="2"/>
  <c r="Z985" i="2"/>
  <c r="C985" i="2"/>
  <c r="AA984" i="2"/>
  <c r="Z984" i="2"/>
  <c r="C984" i="2"/>
  <c r="AA983" i="2"/>
  <c r="Z983" i="2"/>
  <c r="C983" i="2"/>
  <c r="AA982" i="2"/>
  <c r="Z982" i="2"/>
  <c r="C982" i="2"/>
  <c r="AA981" i="2"/>
  <c r="Z981" i="2"/>
  <c r="C981" i="2"/>
  <c r="AA980" i="2"/>
  <c r="Z980" i="2"/>
  <c r="C980" i="2"/>
  <c r="AA979" i="2"/>
  <c r="Z979" i="2"/>
  <c r="C979" i="2"/>
  <c r="AA978" i="2"/>
  <c r="Z978" i="2"/>
  <c r="C978" i="2"/>
  <c r="AA977" i="2"/>
  <c r="Z977" i="2"/>
  <c r="C977" i="2"/>
  <c r="AA976" i="2"/>
  <c r="Z976" i="2"/>
  <c r="C976" i="2"/>
  <c r="AA975" i="2"/>
  <c r="Z975" i="2"/>
  <c r="C975" i="2"/>
  <c r="AA974" i="2"/>
  <c r="Z974" i="2"/>
  <c r="C974" i="2"/>
  <c r="AA973" i="2"/>
  <c r="Z973" i="2"/>
  <c r="C973" i="2"/>
  <c r="AA972" i="2"/>
  <c r="Z972" i="2"/>
  <c r="C972" i="2"/>
  <c r="AA971" i="2"/>
  <c r="Z971" i="2"/>
  <c r="C971" i="2"/>
  <c r="AA970" i="2"/>
  <c r="Z970" i="2"/>
  <c r="C970" i="2"/>
  <c r="AA969" i="2"/>
  <c r="Z969" i="2"/>
  <c r="C969" i="2"/>
  <c r="AA968" i="2"/>
  <c r="Z968" i="2"/>
  <c r="C968" i="2"/>
  <c r="AA967" i="2"/>
  <c r="Z967" i="2"/>
  <c r="C967" i="2"/>
  <c r="AA966" i="2"/>
  <c r="Z966" i="2"/>
  <c r="C966" i="2"/>
  <c r="AA965" i="2"/>
  <c r="Z965" i="2"/>
  <c r="C965" i="2"/>
  <c r="AA964" i="2"/>
  <c r="Z964" i="2"/>
  <c r="C964" i="2"/>
  <c r="AA963" i="2"/>
  <c r="Z963" i="2"/>
  <c r="C963" i="2"/>
  <c r="AA962" i="2"/>
  <c r="Z962" i="2"/>
  <c r="C962" i="2"/>
  <c r="AA961" i="2"/>
  <c r="Z961" i="2"/>
  <c r="C961" i="2"/>
  <c r="AA960" i="2"/>
  <c r="Z960" i="2"/>
  <c r="C960" i="2"/>
  <c r="AA959" i="2"/>
  <c r="Z959" i="2"/>
  <c r="C959" i="2"/>
  <c r="AA958" i="2"/>
  <c r="Z958" i="2"/>
  <c r="C958" i="2"/>
  <c r="AA957" i="2"/>
  <c r="Z957" i="2"/>
  <c r="C957" i="2"/>
  <c r="AA956" i="2"/>
  <c r="Z956" i="2"/>
  <c r="C956" i="2"/>
  <c r="AA955" i="2"/>
  <c r="Z955" i="2"/>
  <c r="C955" i="2"/>
  <c r="AA954" i="2"/>
  <c r="Z954" i="2"/>
  <c r="C954" i="2"/>
  <c r="AA953" i="2"/>
  <c r="Z953" i="2"/>
  <c r="C953" i="2"/>
  <c r="AA952" i="2"/>
  <c r="Z952" i="2"/>
  <c r="C952" i="2"/>
  <c r="AA951" i="2"/>
  <c r="Z951" i="2"/>
  <c r="C951" i="2"/>
  <c r="AA950" i="2"/>
  <c r="Z950" i="2"/>
  <c r="C950" i="2"/>
  <c r="AA949" i="2"/>
  <c r="Z949" i="2"/>
  <c r="C949" i="2"/>
  <c r="AA948" i="2"/>
  <c r="Z948" i="2"/>
  <c r="C948" i="2"/>
  <c r="AA947" i="2"/>
  <c r="Z947" i="2"/>
  <c r="C947" i="2"/>
  <c r="AA946" i="2"/>
  <c r="Z946" i="2"/>
  <c r="C946" i="2"/>
  <c r="AA945" i="2"/>
  <c r="Z945" i="2"/>
  <c r="C945" i="2"/>
  <c r="AA944" i="2"/>
  <c r="Z944" i="2"/>
  <c r="C944" i="2"/>
  <c r="AA943" i="2"/>
  <c r="Z943" i="2"/>
  <c r="C943" i="2"/>
  <c r="AA942" i="2"/>
  <c r="Z942" i="2"/>
  <c r="C942" i="2"/>
  <c r="AA941" i="2"/>
  <c r="Z941" i="2"/>
  <c r="C941" i="2"/>
  <c r="AA940" i="2"/>
  <c r="Z940" i="2"/>
  <c r="C940" i="2"/>
  <c r="AA939" i="2"/>
  <c r="Z939" i="2"/>
  <c r="C939" i="2"/>
  <c r="AA938" i="2"/>
  <c r="Z938" i="2"/>
  <c r="C938" i="2"/>
  <c r="AA937" i="2"/>
  <c r="Z937" i="2"/>
  <c r="C937" i="2"/>
  <c r="AA936" i="2"/>
  <c r="Z936" i="2"/>
  <c r="C936" i="2"/>
  <c r="AA935" i="2"/>
  <c r="Z935" i="2"/>
  <c r="C935" i="2"/>
  <c r="AA934" i="2"/>
  <c r="Z934" i="2"/>
  <c r="C934" i="2"/>
  <c r="AA933" i="2"/>
  <c r="Z933" i="2"/>
  <c r="C933" i="2"/>
  <c r="AA932" i="2"/>
  <c r="Z932" i="2"/>
  <c r="C932" i="2"/>
  <c r="AA931" i="2"/>
  <c r="Z931" i="2"/>
  <c r="C931" i="2"/>
  <c r="AA930" i="2"/>
  <c r="Z930" i="2"/>
  <c r="C930" i="2"/>
  <c r="AA929" i="2"/>
  <c r="Z929" i="2"/>
  <c r="C929" i="2"/>
  <c r="AA928" i="2"/>
  <c r="Z928" i="2"/>
  <c r="C928" i="2"/>
  <c r="AA927" i="2"/>
  <c r="Z927" i="2"/>
  <c r="C927" i="2"/>
  <c r="AA926" i="2"/>
  <c r="Z926" i="2"/>
  <c r="C926" i="2"/>
  <c r="AA925" i="2"/>
  <c r="Z925" i="2"/>
  <c r="C925" i="2"/>
  <c r="AA924" i="2"/>
  <c r="Z924" i="2"/>
  <c r="C924" i="2"/>
  <c r="AA923" i="2"/>
  <c r="Z923" i="2"/>
  <c r="C923" i="2"/>
  <c r="AA922" i="2"/>
  <c r="Z922" i="2"/>
  <c r="C922" i="2"/>
  <c r="AA921" i="2"/>
  <c r="Z921" i="2"/>
  <c r="C921" i="2"/>
  <c r="AA920" i="2"/>
  <c r="Z920" i="2"/>
  <c r="C920" i="2"/>
  <c r="AA919" i="2"/>
  <c r="Z919" i="2"/>
  <c r="C919" i="2"/>
  <c r="AA918" i="2"/>
  <c r="Z918" i="2"/>
  <c r="C918" i="2"/>
  <c r="AA917" i="2"/>
  <c r="Z917" i="2"/>
  <c r="C917" i="2"/>
  <c r="AA916" i="2"/>
  <c r="Z916" i="2"/>
  <c r="C916" i="2"/>
  <c r="AA915" i="2"/>
  <c r="Z915" i="2"/>
  <c r="C915" i="2"/>
  <c r="AA914" i="2"/>
  <c r="Z914" i="2"/>
  <c r="C914" i="2"/>
  <c r="AA913" i="2"/>
  <c r="Z913" i="2"/>
  <c r="C913" i="2"/>
  <c r="AA912" i="2"/>
  <c r="Z912" i="2"/>
  <c r="C912" i="2"/>
  <c r="AA911" i="2"/>
  <c r="Z911" i="2"/>
  <c r="C911" i="2"/>
  <c r="AA910" i="2"/>
  <c r="Z910" i="2"/>
  <c r="C910" i="2"/>
  <c r="AA909" i="2"/>
  <c r="Z909" i="2"/>
  <c r="C909" i="2"/>
  <c r="AA908" i="2"/>
  <c r="Z908" i="2"/>
  <c r="C908" i="2"/>
  <c r="AA907" i="2"/>
  <c r="Z907" i="2"/>
  <c r="C907" i="2"/>
  <c r="AA906" i="2"/>
  <c r="Z906" i="2"/>
  <c r="C906" i="2"/>
  <c r="AA905" i="2"/>
  <c r="Z905" i="2"/>
  <c r="C905" i="2"/>
  <c r="AA904" i="2"/>
  <c r="Z904" i="2"/>
  <c r="C904" i="2"/>
  <c r="AA903" i="2"/>
  <c r="Z903" i="2"/>
  <c r="C903" i="2"/>
  <c r="AA902" i="2"/>
  <c r="Z902" i="2"/>
  <c r="C902" i="2"/>
  <c r="AA901" i="2"/>
  <c r="Z901" i="2"/>
  <c r="C901" i="2"/>
  <c r="AA900" i="2"/>
  <c r="Z900" i="2"/>
  <c r="C900" i="2"/>
  <c r="AA899" i="2"/>
  <c r="Z899" i="2"/>
  <c r="C899" i="2"/>
  <c r="AA898" i="2"/>
  <c r="Z898" i="2"/>
  <c r="C898" i="2"/>
  <c r="AA897" i="2"/>
  <c r="Z897" i="2"/>
  <c r="C897" i="2"/>
  <c r="AA896" i="2"/>
  <c r="Z896" i="2"/>
  <c r="C896" i="2"/>
  <c r="AA895" i="2"/>
  <c r="Z895" i="2"/>
  <c r="C895" i="2"/>
  <c r="AA894" i="2"/>
  <c r="Z894" i="2"/>
  <c r="C894" i="2"/>
  <c r="AA893" i="2"/>
  <c r="Z893" i="2"/>
  <c r="C893" i="2"/>
  <c r="AA892" i="2"/>
  <c r="Z892" i="2"/>
  <c r="C892" i="2"/>
  <c r="AA891" i="2"/>
  <c r="Z891" i="2"/>
  <c r="C891" i="2"/>
  <c r="AA890" i="2"/>
  <c r="Z890" i="2"/>
  <c r="C890" i="2"/>
  <c r="AA889" i="2"/>
  <c r="Z889" i="2"/>
  <c r="C889" i="2"/>
  <c r="AA888" i="2"/>
  <c r="Z888" i="2"/>
  <c r="C888" i="2"/>
  <c r="AA887" i="2"/>
  <c r="Z887" i="2"/>
  <c r="C887" i="2"/>
  <c r="AA886" i="2"/>
  <c r="Z886" i="2"/>
  <c r="C886" i="2"/>
  <c r="AA885" i="2"/>
  <c r="Z885" i="2"/>
  <c r="C885" i="2"/>
  <c r="AA884" i="2"/>
  <c r="Z884" i="2"/>
  <c r="C884" i="2"/>
  <c r="AA883" i="2"/>
  <c r="Z883" i="2"/>
  <c r="C883" i="2"/>
  <c r="AA882" i="2"/>
  <c r="Z882" i="2"/>
  <c r="C882" i="2"/>
  <c r="AA881" i="2"/>
  <c r="Z881" i="2"/>
  <c r="C881" i="2"/>
  <c r="AA880" i="2"/>
  <c r="Z880" i="2"/>
  <c r="C880" i="2"/>
  <c r="AA879" i="2"/>
  <c r="Z879" i="2"/>
  <c r="C879" i="2"/>
  <c r="AA878" i="2"/>
  <c r="Z878" i="2"/>
  <c r="C878" i="2"/>
  <c r="AA877" i="2"/>
  <c r="Z877" i="2"/>
  <c r="C877" i="2"/>
  <c r="AA876" i="2"/>
  <c r="Z876" i="2"/>
  <c r="C876" i="2"/>
  <c r="AA875" i="2"/>
  <c r="Z875" i="2"/>
  <c r="C875" i="2"/>
  <c r="AA874" i="2"/>
  <c r="Z874" i="2"/>
  <c r="C874" i="2"/>
  <c r="AA873" i="2"/>
  <c r="Z873" i="2"/>
  <c r="C873" i="2"/>
  <c r="AA872" i="2"/>
  <c r="Z872" i="2"/>
  <c r="C872" i="2"/>
  <c r="AA871" i="2"/>
  <c r="Z871" i="2"/>
  <c r="C871" i="2"/>
  <c r="AA870" i="2"/>
  <c r="Z870" i="2"/>
  <c r="C870" i="2"/>
  <c r="AA869" i="2"/>
  <c r="Z869" i="2"/>
  <c r="C869" i="2"/>
  <c r="AA868" i="2"/>
  <c r="Z868" i="2"/>
  <c r="C868" i="2"/>
  <c r="AA867" i="2"/>
  <c r="Z867" i="2"/>
  <c r="C867" i="2"/>
  <c r="AA866" i="2"/>
  <c r="Z866" i="2"/>
  <c r="C866" i="2"/>
  <c r="AA865" i="2"/>
  <c r="Z865" i="2"/>
  <c r="C865" i="2"/>
  <c r="AA864" i="2"/>
  <c r="Z864" i="2"/>
  <c r="C864" i="2"/>
  <c r="AA863" i="2"/>
  <c r="Z863" i="2"/>
  <c r="C863" i="2"/>
  <c r="AA862" i="2"/>
  <c r="Z862" i="2"/>
  <c r="C862" i="2"/>
  <c r="AA861" i="2"/>
  <c r="Z861" i="2"/>
  <c r="C861" i="2"/>
  <c r="AA860" i="2"/>
  <c r="Z860" i="2"/>
  <c r="C860" i="2"/>
  <c r="AA859" i="2"/>
  <c r="Z859" i="2"/>
  <c r="C859" i="2"/>
  <c r="AA858" i="2"/>
  <c r="Z858" i="2"/>
  <c r="C858" i="2"/>
  <c r="AA857" i="2"/>
  <c r="Z857" i="2"/>
  <c r="C857" i="2"/>
  <c r="AA856" i="2"/>
  <c r="Z856" i="2"/>
  <c r="C856" i="2"/>
  <c r="AA855" i="2"/>
  <c r="Z855" i="2"/>
  <c r="C855" i="2"/>
  <c r="AA854" i="2"/>
  <c r="Z854" i="2"/>
  <c r="C854" i="2"/>
  <c r="AA853" i="2"/>
  <c r="Z853" i="2"/>
  <c r="C853" i="2"/>
  <c r="AA852" i="2"/>
  <c r="Z852" i="2"/>
  <c r="C852" i="2"/>
  <c r="AA851" i="2"/>
  <c r="Z851" i="2"/>
  <c r="C851" i="2"/>
  <c r="AA850" i="2"/>
  <c r="Z850" i="2"/>
  <c r="C850" i="2"/>
  <c r="AA849" i="2"/>
  <c r="Z849" i="2"/>
  <c r="C849" i="2"/>
  <c r="AA848" i="2"/>
  <c r="Z848" i="2"/>
  <c r="C848" i="2"/>
  <c r="AA847" i="2"/>
  <c r="Z847" i="2"/>
  <c r="C847" i="2"/>
  <c r="AA846" i="2"/>
  <c r="Z846" i="2"/>
  <c r="C846" i="2"/>
  <c r="AA845" i="2"/>
  <c r="Z845" i="2"/>
  <c r="C845" i="2"/>
  <c r="AA844" i="2"/>
  <c r="Z844" i="2"/>
  <c r="C844" i="2"/>
  <c r="AA843" i="2"/>
  <c r="Z843" i="2"/>
  <c r="C843" i="2"/>
  <c r="AA842" i="2"/>
  <c r="Z842" i="2"/>
  <c r="C842" i="2"/>
  <c r="AA841" i="2"/>
  <c r="Z841" i="2"/>
  <c r="C841" i="2"/>
  <c r="AA840" i="2"/>
  <c r="Z840" i="2"/>
  <c r="C840" i="2"/>
  <c r="AA839" i="2"/>
  <c r="Z839" i="2"/>
  <c r="C839" i="2"/>
  <c r="AA838" i="2"/>
  <c r="Z838" i="2"/>
  <c r="C838" i="2"/>
  <c r="AA837" i="2"/>
  <c r="Z837" i="2"/>
  <c r="C837" i="2"/>
  <c r="AA836" i="2"/>
  <c r="Z836" i="2"/>
  <c r="C836" i="2"/>
  <c r="AA835" i="2"/>
  <c r="Z835" i="2"/>
  <c r="C835" i="2"/>
  <c r="AA834" i="2"/>
  <c r="Z834" i="2"/>
  <c r="C834" i="2"/>
  <c r="AA833" i="2"/>
  <c r="Z833" i="2"/>
  <c r="C833" i="2"/>
  <c r="AA832" i="2"/>
  <c r="Z832" i="2"/>
  <c r="C832" i="2"/>
  <c r="AA831" i="2"/>
  <c r="Z831" i="2"/>
  <c r="C831" i="2"/>
  <c r="AA830" i="2"/>
  <c r="Z830" i="2"/>
  <c r="C830" i="2"/>
  <c r="AA829" i="2"/>
  <c r="Z829" i="2"/>
  <c r="C829" i="2"/>
  <c r="AA828" i="2"/>
  <c r="Z828" i="2"/>
  <c r="C828" i="2"/>
  <c r="AA827" i="2"/>
  <c r="Z827" i="2"/>
  <c r="C827" i="2"/>
  <c r="AA826" i="2"/>
  <c r="Z826" i="2"/>
  <c r="C826" i="2"/>
  <c r="AA825" i="2"/>
  <c r="Z825" i="2"/>
  <c r="C825" i="2"/>
  <c r="AA824" i="2"/>
  <c r="Z824" i="2"/>
  <c r="C824" i="2"/>
  <c r="AA823" i="2"/>
  <c r="Z823" i="2"/>
  <c r="C823" i="2"/>
  <c r="AA822" i="2"/>
  <c r="Z822" i="2"/>
  <c r="C822" i="2"/>
  <c r="AA821" i="2"/>
  <c r="Z821" i="2"/>
  <c r="C821" i="2"/>
  <c r="AA820" i="2"/>
  <c r="Z820" i="2"/>
  <c r="C820" i="2"/>
  <c r="AA819" i="2"/>
  <c r="Z819" i="2"/>
  <c r="C819" i="2"/>
  <c r="AA818" i="2"/>
  <c r="Z818" i="2"/>
  <c r="C818" i="2"/>
  <c r="AA817" i="2"/>
  <c r="Z817" i="2"/>
  <c r="C817" i="2"/>
  <c r="AA816" i="2"/>
  <c r="Z816" i="2"/>
  <c r="C816" i="2"/>
  <c r="AA815" i="2"/>
  <c r="Z815" i="2"/>
  <c r="C815" i="2"/>
  <c r="AA814" i="2"/>
  <c r="Z814" i="2"/>
  <c r="C814" i="2"/>
  <c r="AA813" i="2"/>
  <c r="Z813" i="2"/>
  <c r="C813" i="2"/>
  <c r="AA812" i="2"/>
  <c r="Z812" i="2"/>
  <c r="C812" i="2"/>
  <c r="AA811" i="2"/>
  <c r="Z811" i="2"/>
  <c r="C811" i="2"/>
  <c r="AA810" i="2"/>
  <c r="Z810" i="2"/>
  <c r="C810" i="2"/>
  <c r="AA809" i="2"/>
  <c r="Z809" i="2"/>
  <c r="C809" i="2"/>
  <c r="AA808" i="2"/>
  <c r="Z808" i="2"/>
  <c r="C808" i="2"/>
  <c r="AA807" i="2"/>
  <c r="Z807" i="2"/>
  <c r="C807" i="2"/>
  <c r="AA806" i="2"/>
  <c r="Z806" i="2"/>
  <c r="C806" i="2"/>
  <c r="AA805" i="2"/>
  <c r="Z805" i="2"/>
  <c r="C805" i="2"/>
  <c r="AA804" i="2"/>
  <c r="Z804" i="2"/>
  <c r="C804" i="2"/>
  <c r="AA803" i="2"/>
  <c r="Z803" i="2"/>
  <c r="C803" i="2"/>
  <c r="AA802" i="2"/>
  <c r="Z802" i="2"/>
  <c r="C802" i="2"/>
  <c r="AA801" i="2"/>
  <c r="Z801" i="2"/>
  <c r="C801" i="2"/>
  <c r="AA800" i="2"/>
  <c r="Z800" i="2"/>
  <c r="C800" i="2"/>
  <c r="AA799" i="2"/>
  <c r="Z799" i="2"/>
  <c r="C799" i="2"/>
  <c r="AA798" i="2"/>
  <c r="Z798" i="2"/>
  <c r="C798" i="2"/>
  <c r="AA797" i="2"/>
  <c r="Z797" i="2"/>
  <c r="C797" i="2"/>
  <c r="AA796" i="2"/>
  <c r="Z796" i="2"/>
  <c r="C796" i="2"/>
  <c r="AA795" i="2"/>
  <c r="Z795" i="2"/>
  <c r="C795" i="2"/>
  <c r="AA794" i="2"/>
  <c r="Z794" i="2"/>
  <c r="C794" i="2"/>
  <c r="AA793" i="2"/>
  <c r="Z793" i="2"/>
  <c r="C793" i="2"/>
  <c r="AA792" i="2"/>
  <c r="Z792" i="2"/>
  <c r="C792" i="2"/>
  <c r="AA791" i="2"/>
  <c r="Z791" i="2"/>
  <c r="C791" i="2"/>
  <c r="AA790" i="2"/>
  <c r="Z790" i="2"/>
  <c r="C790" i="2"/>
  <c r="AA789" i="2"/>
  <c r="Z789" i="2"/>
  <c r="C789" i="2"/>
  <c r="AA788" i="2"/>
  <c r="Z788" i="2"/>
  <c r="C788" i="2"/>
  <c r="AA787" i="2"/>
  <c r="Z787" i="2"/>
  <c r="C787" i="2"/>
  <c r="AA786" i="2"/>
  <c r="Z786" i="2"/>
  <c r="C786" i="2"/>
  <c r="AA785" i="2"/>
  <c r="Z785" i="2"/>
  <c r="C785" i="2"/>
  <c r="AA784" i="2"/>
  <c r="Z784" i="2"/>
  <c r="C784" i="2"/>
  <c r="AA783" i="2"/>
  <c r="Z783" i="2"/>
  <c r="C783" i="2"/>
  <c r="AA782" i="2"/>
  <c r="Z782" i="2"/>
  <c r="C782" i="2"/>
  <c r="AA781" i="2"/>
  <c r="Z781" i="2"/>
  <c r="C781" i="2"/>
  <c r="AA780" i="2"/>
  <c r="Z780" i="2"/>
  <c r="C780" i="2"/>
  <c r="AA779" i="2"/>
  <c r="Z779" i="2"/>
  <c r="C779" i="2"/>
  <c r="AA778" i="2"/>
  <c r="Z778" i="2"/>
  <c r="C778" i="2"/>
  <c r="AA777" i="2"/>
  <c r="Z777" i="2"/>
  <c r="C777" i="2"/>
  <c r="AA776" i="2"/>
  <c r="Z776" i="2"/>
  <c r="C776" i="2"/>
  <c r="AA775" i="2"/>
  <c r="Z775" i="2"/>
  <c r="C775" i="2"/>
  <c r="AA774" i="2"/>
  <c r="Z774" i="2"/>
  <c r="C774" i="2"/>
  <c r="AA773" i="2"/>
  <c r="Z773" i="2"/>
  <c r="C773" i="2"/>
  <c r="AA772" i="2"/>
  <c r="Z772" i="2"/>
  <c r="C772" i="2"/>
  <c r="AA771" i="2"/>
  <c r="Z771" i="2"/>
  <c r="C771" i="2"/>
  <c r="AA770" i="2"/>
  <c r="Z770" i="2"/>
  <c r="C770" i="2"/>
  <c r="AA769" i="2"/>
  <c r="Z769" i="2"/>
  <c r="C769" i="2"/>
  <c r="AA768" i="2"/>
  <c r="Z768" i="2"/>
  <c r="C768" i="2"/>
  <c r="AA767" i="2"/>
  <c r="Z767" i="2"/>
  <c r="C767" i="2"/>
  <c r="AA766" i="2"/>
  <c r="Z766" i="2"/>
  <c r="C766" i="2"/>
  <c r="AA765" i="2"/>
  <c r="Z765" i="2"/>
  <c r="C765" i="2"/>
  <c r="AA764" i="2"/>
  <c r="Z764" i="2"/>
  <c r="C764" i="2"/>
  <c r="AA763" i="2"/>
  <c r="Z763" i="2"/>
  <c r="C763" i="2"/>
  <c r="AA762" i="2"/>
  <c r="Z762" i="2"/>
  <c r="C762" i="2"/>
  <c r="AA761" i="2"/>
  <c r="Z761" i="2"/>
  <c r="C761" i="2"/>
  <c r="AA760" i="2"/>
  <c r="Z760" i="2"/>
  <c r="C760" i="2"/>
  <c r="AA759" i="2"/>
  <c r="Z759" i="2"/>
  <c r="C759" i="2"/>
  <c r="AA758" i="2"/>
  <c r="Z758" i="2"/>
  <c r="C758" i="2"/>
  <c r="AA757" i="2"/>
  <c r="Z757" i="2"/>
  <c r="C757" i="2"/>
  <c r="AA756" i="2"/>
  <c r="Z756" i="2"/>
  <c r="C756" i="2"/>
  <c r="AA755" i="2"/>
  <c r="Z755" i="2"/>
  <c r="C755" i="2"/>
  <c r="AA754" i="2"/>
  <c r="Z754" i="2"/>
  <c r="C754" i="2"/>
  <c r="AA753" i="2"/>
  <c r="Z753" i="2"/>
  <c r="C753" i="2"/>
  <c r="AA752" i="2"/>
  <c r="Z752" i="2"/>
  <c r="C752" i="2"/>
  <c r="AA751" i="2"/>
  <c r="Z751" i="2"/>
  <c r="C751" i="2"/>
  <c r="AA750" i="2"/>
  <c r="Z750" i="2"/>
  <c r="C750" i="2"/>
  <c r="AA749" i="2"/>
  <c r="Z749" i="2"/>
  <c r="C749" i="2"/>
  <c r="AA748" i="2"/>
  <c r="Z748" i="2"/>
  <c r="C748" i="2"/>
  <c r="AA747" i="2"/>
  <c r="Z747" i="2"/>
  <c r="C747" i="2"/>
  <c r="AA746" i="2"/>
  <c r="Z746" i="2"/>
  <c r="C746" i="2"/>
  <c r="AA745" i="2"/>
  <c r="Z745" i="2"/>
  <c r="C745" i="2"/>
  <c r="AA744" i="2"/>
  <c r="Z744" i="2"/>
  <c r="C744" i="2"/>
  <c r="AA743" i="2"/>
  <c r="Z743" i="2"/>
  <c r="C743" i="2"/>
  <c r="AA742" i="2"/>
  <c r="Z742" i="2"/>
  <c r="C742" i="2"/>
  <c r="AA741" i="2"/>
  <c r="Z741" i="2"/>
  <c r="C741" i="2"/>
  <c r="AA740" i="2"/>
  <c r="Z740" i="2"/>
  <c r="C740" i="2"/>
  <c r="AA739" i="2"/>
  <c r="Z739" i="2"/>
  <c r="C739" i="2"/>
  <c r="AA738" i="2"/>
  <c r="Z738" i="2"/>
  <c r="C738" i="2"/>
  <c r="AA737" i="2"/>
  <c r="Z737" i="2"/>
  <c r="C737" i="2"/>
  <c r="AA736" i="2"/>
  <c r="Z736" i="2"/>
  <c r="C736" i="2"/>
  <c r="AA735" i="2"/>
  <c r="Z735" i="2"/>
  <c r="C735" i="2"/>
  <c r="AA734" i="2"/>
  <c r="Z734" i="2"/>
  <c r="C734" i="2"/>
  <c r="AA733" i="2"/>
  <c r="Z733" i="2"/>
  <c r="C733" i="2"/>
  <c r="AA732" i="2"/>
  <c r="Z732" i="2"/>
  <c r="C732" i="2"/>
  <c r="AA731" i="2"/>
  <c r="Z731" i="2"/>
  <c r="C731" i="2"/>
  <c r="AA730" i="2"/>
  <c r="Z730" i="2"/>
  <c r="C730" i="2"/>
  <c r="AA729" i="2"/>
  <c r="Z729" i="2"/>
  <c r="C729" i="2"/>
  <c r="AA728" i="2"/>
  <c r="Z728" i="2"/>
  <c r="C728" i="2"/>
  <c r="AA727" i="2"/>
  <c r="Z727" i="2"/>
  <c r="C727" i="2"/>
  <c r="AA726" i="2"/>
  <c r="Z726" i="2"/>
  <c r="C726" i="2"/>
  <c r="AA725" i="2"/>
  <c r="Z725" i="2"/>
  <c r="C725" i="2"/>
  <c r="AA724" i="2"/>
  <c r="Z724" i="2"/>
  <c r="C724" i="2"/>
  <c r="AA723" i="2"/>
  <c r="Z723" i="2"/>
  <c r="C723" i="2"/>
  <c r="AA722" i="2"/>
  <c r="Z722" i="2"/>
  <c r="C722" i="2"/>
  <c r="AA721" i="2"/>
  <c r="Z721" i="2"/>
  <c r="C721" i="2"/>
  <c r="AA720" i="2"/>
  <c r="Z720" i="2"/>
  <c r="C720" i="2"/>
  <c r="AA719" i="2"/>
  <c r="Z719" i="2"/>
  <c r="C719" i="2"/>
  <c r="AA718" i="2"/>
  <c r="Z718" i="2"/>
  <c r="C718" i="2"/>
  <c r="AA717" i="2"/>
  <c r="Z717" i="2"/>
  <c r="C717" i="2"/>
  <c r="AA716" i="2"/>
  <c r="Z716" i="2"/>
  <c r="C716" i="2"/>
  <c r="AA715" i="2"/>
  <c r="Z715" i="2"/>
  <c r="C715" i="2"/>
  <c r="AA714" i="2"/>
  <c r="Z714" i="2"/>
  <c r="C714" i="2"/>
  <c r="AA713" i="2"/>
  <c r="Z713" i="2"/>
  <c r="C713" i="2"/>
  <c r="AA712" i="2"/>
  <c r="Z712" i="2"/>
  <c r="C712" i="2"/>
  <c r="AA711" i="2"/>
  <c r="Z711" i="2"/>
  <c r="C711" i="2"/>
  <c r="AA710" i="2"/>
  <c r="Z710" i="2"/>
  <c r="C710" i="2"/>
  <c r="AA709" i="2"/>
  <c r="Z709" i="2"/>
  <c r="C709" i="2"/>
  <c r="AA708" i="2"/>
  <c r="Z708" i="2"/>
  <c r="C708" i="2"/>
  <c r="AA707" i="2"/>
  <c r="Z707" i="2"/>
  <c r="C707" i="2"/>
  <c r="AA706" i="2"/>
  <c r="Z706" i="2"/>
  <c r="C706" i="2"/>
  <c r="AA705" i="2"/>
  <c r="Z705" i="2"/>
  <c r="C705" i="2"/>
  <c r="AA704" i="2"/>
  <c r="Z704" i="2"/>
  <c r="C704" i="2"/>
  <c r="AA703" i="2"/>
  <c r="Z703" i="2"/>
  <c r="C703" i="2"/>
  <c r="AA702" i="2"/>
  <c r="Z702" i="2"/>
  <c r="C702" i="2"/>
  <c r="AA701" i="2"/>
  <c r="Z701" i="2"/>
  <c r="C701" i="2"/>
  <c r="AA700" i="2"/>
  <c r="Z700" i="2"/>
  <c r="C700" i="2"/>
  <c r="AA699" i="2"/>
  <c r="Z699" i="2"/>
  <c r="C699" i="2"/>
  <c r="AA698" i="2"/>
  <c r="Z698" i="2"/>
  <c r="C698" i="2"/>
  <c r="AA697" i="2"/>
  <c r="Z697" i="2"/>
  <c r="C697" i="2"/>
  <c r="AA696" i="2"/>
  <c r="Z696" i="2"/>
  <c r="C696" i="2"/>
  <c r="AA695" i="2"/>
  <c r="Z695" i="2"/>
  <c r="C695" i="2"/>
  <c r="AA694" i="2"/>
  <c r="Z694" i="2"/>
  <c r="C694" i="2"/>
  <c r="AA693" i="2"/>
  <c r="Z693" i="2"/>
  <c r="C693" i="2"/>
  <c r="AA692" i="2"/>
  <c r="Z692" i="2"/>
  <c r="C692" i="2"/>
  <c r="AA691" i="2"/>
  <c r="Z691" i="2"/>
  <c r="C691" i="2"/>
  <c r="AA690" i="2"/>
  <c r="Z690" i="2"/>
  <c r="C690" i="2"/>
  <c r="AA689" i="2"/>
  <c r="Z689" i="2"/>
  <c r="C689" i="2"/>
  <c r="AA688" i="2"/>
  <c r="Z688" i="2"/>
  <c r="C688" i="2"/>
  <c r="AA687" i="2"/>
  <c r="Z687" i="2"/>
  <c r="C687" i="2"/>
  <c r="AA686" i="2"/>
  <c r="Z686" i="2"/>
  <c r="C686" i="2"/>
  <c r="AA685" i="2"/>
  <c r="Z685" i="2"/>
  <c r="C685" i="2"/>
  <c r="AA684" i="2"/>
  <c r="Z684" i="2"/>
  <c r="C684" i="2"/>
  <c r="AA683" i="2"/>
  <c r="Z683" i="2"/>
  <c r="C683" i="2"/>
  <c r="AA682" i="2"/>
  <c r="Z682" i="2"/>
  <c r="C682" i="2"/>
  <c r="AA681" i="2"/>
  <c r="Z681" i="2"/>
  <c r="C681" i="2"/>
  <c r="AA680" i="2"/>
  <c r="Z680" i="2"/>
  <c r="C680" i="2"/>
  <c r="AA679" i="2"/>
  <c r="Z679" i="2"/>
  <c r="C679" i="2"/>
  <c r="AA678" i="2"/>
  <c r="Z678" i="2"/>
  <c r="C678" i="2"/>
  <c r="AA677" i="2"/>
  <c r="Z677" i="2"/>
  <c r="C677" i="2"/>
  <c r="AA676" i="2"/>
  <c r="Z676" i="2"/>
  <c r="C676" i="2"/>
  <c r="AA675" i="2"/>
  <c r="Z675" i="2"/>
  <c r="C675" i="2"/>
  <c r="AA674" i="2"/>
  <c r="Z674" i="2"/>
  <c r="C674" i="2"/>
  <c r="AA673" i="2"/>
  <c r="Z673" i="2"/>
  <c r="C673" i="2"/>
  <c r="AA672" i="2"/>
  <c r="Z672" i="2"/>
  <c r="C672" i="2"/>
  <c r="AA671" i="2"/>
  <c r="Z671" i="2"/>
  <c r="C671" i="2"/>
  <c r="AA670" i="2"/>
  <c r="Z670" i="2"/>
  <c r="C670" i="2"/>
  <c r="AA669" i="2"/>
  <c r="Z669" i="2"/>
  <c r="C669" i="2"/>
  <c r="AA668" i="2"/>
  <c r="Z668" i="2"/>
  <c r="C668" i="2"/>
  <c r="AA667" i="2"/>
  <c r="Z667" i="2"/>
  <c r="C667" i="2"/>
  <c r="AA666" i="2"/>
  <c r="Z666" i="2"/>
  <c r="C666" i="2"/>
  <c r="AA665" i="2"/>
  <c r="Z665" i="2"/>
  <c r="C665" i="2"/>
  <c r="AA664" i="2"/>
  <c r="Z664" i="2"/>
  <c r="C664" i="2"/>
  <c r="AA663" i="2"/>
  <c r="Z663" i="2"/>
  <c r="C663" i="2"/>
  <c r="AA662" i="2"/>
  <c r="Z662" i="2"/>
  <c r="C662" i="2"/>
  <c r="AA661" i="2"/>
  <c r="Z661" i="2"/>
  <c r="C661" i="2"/>
  <c r="AA660" i="2"/>
  <c r="Z660" i="2"/>
  <c r="C660" i="2"/>
  <c r="AA659" i="2"/>
  <c r="Z659" i="2"/>
  <c r="C659" i="2"/>
  <c r="AA658" i="2"/>
  <c r="Z658" i="2"/>
  <c r="C658" i="2"/>
  <c r="AA657" i="2"/>
  <c r="Z657" i="2"/>
  <c r="C657" i="2"/>
  <c r="AA656" i="2"/>
  <c r="Z656" i="2"/>
  <c r="C656" i="2"/>
  <c r="AA655" i="2"/>
  <c r="Z655" i="2"/>
  <c r="C655" i="2"/>
  <c r="AA654" i="2"/>
  <c r="Z654" i="2"/>
  <c r="C654" i="2"/>
  <c r="AA653" i="2"/>
  <c r="Z653" i="2"/>
  <c r="C653" i="2"/>
  <c r="AA652" i="2"/>
  <c r="Z652" i="2"/>
  <c r="C652" i="2"/>
  <c r="AA651" i="2"/>
  <c r="Z651" i="2"/>
  <c r="C651" i="2"/>
  <c r="AA650" i="2"/>
  <c r="Z650" i="2"/>
  <c r="C650" i="2"/>
  <c r="AA649" i="2"/>
  <c r="Z649" i="2"/>
  <c r="C649" i="2"/>
  <c r="AA648" i="2"/>
  <c r="Z648" i="2"/>
  <c r="C648" i="2"/>
  <c r="AA647" i="2"/>
  <c r="Z647" i="2"/>
  <c r="C647" i="2"/>
  <c r="AA646" i="2"/>
  <c r="Z646" i="2"/>
  <c r="C646" i="2"/>
  <c r="AA645" i="2"/>
  <c r="Z645" i="2"/>
  <c r="C645" i="2"/>
  <c r="AA644" i="2"/>
  <c r="Z644" i="2"/>
  <c r="C644" i="2"/>
  <c r="AA643" i="2"/>
  <c r="Z643" i="2"/>
  <c r="C643" i="2"/>
  <c r="AA642" i="2"/>
  <c r="Z642" i="2"/>
  <c r="C642" i="2"/>
  <c r="AA641" i="2"/>
  <c r="Z641" i="2"/>
  <c r="C641" i="2"/>
  <c r="AA640" i="2"/>
  <c r="Z640" i="2"/>
  <c r="C640" i="2"/>
  <c r="AA639" i="2"/>
  <c r="Z639" i="2"/>
  <c r="C639" i="2"/>
  <c r="AA638" i="2"/>
  <c r="Z638" i="2"/>
  <c r="C638" i="2"/>
  <c r="AA637" i="2"/>
  <c r="Z637" i="2"/>
  <c r="C637" i="2"/>
  <c r="AA636" i="2"/>
  <c r="Z636" i="2"/>
  <c r="C636" i="2"/>
  <c r="AA635" i="2"/>
  <c r="Z635" i="2"/>
  <c r="C635" i="2"/>
  <c r="AA634" i="2"/>
  <c r="Z634" i="2"/>
  <c r="C634" i="2"/>
  <c r="AA633" i="2"/>
  <c r="Z633" i="2"/>
  <c r="C633" i="2"/>
  <c r="AA632" i="2"/>
  <c r="Z632" i="2"/>
  <c r="C632" i="2"/>
  <c r="AA631" i="2"/>
  <c r="Z631" i="2"/>
  <c r="C631" i="2"/>
  <c r="AA630" i="2"/>
  <c r="Z630" i="2"/>
  <c r="C630" i="2"/>
  <c r="AA629" i="2"/>
  <c r="Z629" i="2"/>
  <c r="C629" i="2"/>
  <c r="AA628" i="2"/>
  <c r="Z628" i="2"/>
  <c r="C628" i="2"/>
  <c r="AA627" i="2"/>
  <c r="Z627" i="2"/>
  <c r="C627" i="2"/>
  <c r="AA626" i="2"/>
  <c r="Z626" i="2"/>
  <c r="C626" i="2"/>
  <c r="AA625" i="2"/>
  <c r="Z625" i="2"/>
  <c r="C625" i="2"/>
  <c r="AA624" i="2"/>
  <c r="Z624" i="2"/>
  <c r="C624" i="2"/>
  <c r="AA623" i="2"/>
  <c r="Z623" i="2"/>
  <c r="C623" i="2"/>
  <c r="AA622" i="2"/>
  <c r="Z622" i="2"/>
  <c r="C622" i="2"/>
  <c r="AA621" i="2"/>
  <c r="Z621" i="2"/>
  <c r="C621" i="2"/>
  <c r="AA620" i="2"/>
  <c r="Z620" i="2"/>
  <c r="C620" i="2"/>
  <c r="AA619" i="2"/>
  <c r="Z619" i="2"/>
  <c r="C619" i="2"/>
  <c r="AA618" i="2"/>
  <c r="Z618" i="2"/>
  <c r="C618" i="2"/>
  <c r="AA617" i="2"/>
  <c r="Z617" i="2"/>
  <c r="C617" i="2"/>
  <c r="AA616" i="2"/>
  <c r="Z616" i="2"/>
  <c r="C616" i="2"/>
  <c r="AA615" i="2"/>
  <c r="Z615" i="2"/>
  <c r="C615" i="2"/>
  <c r="AA614" i="2"/>
  <c r="Z614" i="2"/>
  <c r="C614" i="2"/>
  <c r="AA613" i="2"/>
  <c r="Z613" i="2"/>
  <c r="C613" i="2"/>
  <c r="AA612" i="2"/>
  <c r="Z612" i="2"/>
  <c r="C612" i="2"/>
  <c r="AA611" i="2"/>
  <c r="Z611" i="2"/>
  <c r="C611" i="2"/>
  <c r="AA610" i="2"/>
  <c r="Z610" i="2"/>
  <c r="C610" i="2"/>
  <c r="AA609" i="2"/>
  <c r="Z609" i="2"/>
  <c r="C609" i="2"/>
  <c r="AA608" i="2"/>
  <c r="Z608" i="2"/>
  <c r="C608" i="2"/>
  <c r="AA607" i="2"/>
  <c r="Z607" i="2"/>
  <c r="C607" i="2"/>
  <c r="AA606" i="2"/>
  <c r="Z606" i="2"/>
  <c r="C606" i="2"/>
  <c r="AA605" i="2"/>
  <c r="Z605" i="2"/>
  <c r="C605" i="2"/>
  <c r="AA604" i="2"/>
  <c r="Z604" i="2"/>
  <c r="C604" i="2"/>
  <c r="AA603" i="2"/>
  <c r="Z603" i="2"/>
  <c r="C603" i="2"/>
  <c r="AA602" i="2"/>
  <c r="Z602" i="2"/>
  <c r="C602" i="2"/>
  <c r="AA601" i="2"/>
  <c r="Z601" i="2"/>
  <c r="C601" i="2"/>
  <c r="AA600" i="2"/>
  <c r="Z600" i="2"/>
  <c r="C600" i="2"/>
  <c r="AA599" i="2"/>
  <c r="Z599" i="2"/>
  <c r="C599" i="2"/>
  <c r="AA598" i="2"/>
  <c r="Z598" i="2"/>
  <c r="C598" i="2"/>
  <c r="AA597" i="2"/>
  <c r="Z597" i="2"/>
  <c r="C597" i="2"/>
  <c r="AA596" i="2"/>
  <c r="Z596" i="2"/>
  <c r="C596" i="2"/>
  <c r="AA595" i="2"/>
  <c r="Z595" i="2"/>
  <c r="C595" i="2"/>
  <c r="AA594" i="2"/>
  <c r="Z594" i="2"/>
  <c r="C594" i="2"/>
  <c r="AA593" i="2"/>
  <c r="Z593" i="2"/>
  <c r="C593" i="2"/>
  <c r="AA592" i="2"/>
  <c r="Z592" i="2"/>
  <c r="C592" i="2"/>
  <c r="AA591" i="2"/>
  <c r="Z591" i="2"/>
  <c r="C591" i="2"/>
  <c r="AA590" i="2"/>
  <c r="Z590" i="2"/>
  <c r="C590" i="2"/>
  <c r="AA589" i="2"/>
  <c r="Z589" i="2"/>
  <c r="C589" i="2"/>
  <c r="AA588" i="2"/>
  <c r="Z588" i="2"/>
  <c r="C588" i="2"/>
  <c r="AA587" i="2"/>
  <c r="Z587" i="2"/>
  <c r="C587" i="2"/>
  <c r="AA586" i="2"/>
  <c r="Z586" i="2"/>
  <c r="C586" i="2"/>
  <c r="AA585" i="2"/>
  <c r="Z585" i="2"/>
  <c r="C585" i="2"/>
  <c r="AA584" i="2"/>
  <c r="Z584" i="2"/>
  <c r="C584" i="2"/>
  <c r="AA583" i="2"/>
  <c r="Z583" i="2"/>
  <c r="C583" i="2"/>
  <c r="AA582" i="2"/>
  <c r="Z582" i="2"/>
  <c r="C582" i="2"/>
  <c r="AA581" i="2"/>
  <c r="Z581" i="2"/>
  <c r="C581" i="2"/>
  <c r="AA580" i="2"/>
  <c r="Z580" i="2"/>
  <c r="C580" i="2"/>
  <c r="AA579" i="2"/>
  <c r="Z579" i="2"/>
  <c r="C579" i="2"/>
  <c r="AA578" i="2"/>
  <c r="Z578" i="2"/>
  <c r="C578" i="2"/>
  <c r="AA577" i="2"/>
  <c r="Z577" i="2"/>
  <c r="C577" i="2"/>
  <c r="AA576" i="2"/>
  <c r="Z576" i="2"/>
  <c r="C576" i="2"/>
  <c r="AA575" i="2"/>
  <c r="Z575" i="2"/>
  <c r="C575" i="2"/>
  <c r="AA574" i="2"/>
  <c r="Z574" i="2"/>
  <c r="C574" i="2"/>
  <c r="AA573" i="2"/>
  <c r="Z573" i="2"/>
  <c r="C573" i="2"/>
  <c r="AA572" i="2"/>
  <c r="Z572" i="2"/>
  <c r="C572" i="2"/>
  <c r="AA571" i="2"/>
  <c r="Z571" i="2"/>
  <c r="C571" i="2"/>
  <c r="AA570" i="2"/>
  <c r="Z570" i="2"/>
  <c r="C570" i="2"/>
  <c r="AA569" i="2"/>
  <c r="Z569" i="2"/>
  <c r="C569" i="2"/>
  <c r="AA568" i="2"/>
  <c r="Z568" i="2"/>
  <c r="C568" i="2"/>
  <c r="AA567" i="2"/>
  <c r="Z567" i="2"/>
  <c r="C567" i="2"/>
  <c r="AA566" i="2"/>
  <c r="Z566" i="2"/>
  <c r="C566" i="2"/>
  <c r="AA565" i="2"/>
  <c r="Z565" i="2"/>
  <c r="C565" i="2"/>
  <c r="AA564" i="2"/>
  <c r="Z564" i="2"/>
  <c r="C564" i="2"/>
  <c r="AA563" i="2"/>
  <c r="Z563" i="2"/>
  <c r="C563" i="2"/>
  <c r="AA562" i="2"/>
  <c r="Z562" i="2"/>
  <c r="C562" i="2"/>
  <c r="AA561" i="2"/>
  <c r="Z561" i="2"/>
  <c r="C561" i="2"/>
  <c r="AA560" i="2"/>
  <c r="Z560" i="2"/>
  <c r="C560" i="2"/>
  <c r="AA559" i="2"/>
  <c r="Z559" i="2"/>
  <c r="C559" i="2"/>
  <c r="AA558" i="2"/>
  <c r="Z558" i="2"/>
  <c r="C558" i="2"/>
  <c r="AA557" i="2"/>
  <c r="Z557" i="2"/>
  <c r="C557" i="2"/>
  <c r="AA556" i="2"/>
  <c r="Z556" i="2"/>
  <c r="C556" i="2"/>
  <c r="AA555" i="2"/>
  <c r="Z555" i="2"/>
  <c r="C555" i="2"/>
  <c r="AA554" i="2"/>
  <c r="Z554" i="2"/>
  <c r="C554" i="2"/>
  <c r="AA553" i="2"/>
  <c r="Z553" i="2"/>
  <c r="C553" i="2"/>
  <c r="AA552" i="2"/>
  <c r="Z552" i="2"/>
  <c r="C552" i="2"/>
  <c r="AA551" i="2"/>
  <c r="Z551" i="2"/>
  <c r="C551" i="2"/>
  <c r="AA550" i="2"/>
  <c r="Z550" i="2"/>
  <c r="C550" i="2"/>
  <c r="AA549" i="2"/>
  <c r="Z549" i="2"/>
  <c r="C549" i="2"/>
  <c r="AA548" i="2"/>
  <c r="Z548" i="2"/>
  <c r="C548" i="2"/>
  <c r="AA547" i="2"/>
  <c r="Z547" i="2"/>
  <c r="C547" i="2"/>
  <c r="AA546" i="2"/>
  <c r="Z546" i="2"/>
  <c r="C546" i="2"/>
  <c r="AA545" i="2"/>
  <c r="Z545" i="2"/>
  <c r="C545" i="2"/>
  <c r="AA544" i="2"/>
  <c r="Z544" i="2"/>
  <c r="C544" i="2"/>
  <c r="AA543" i="2"/>
  <c r="Z543" i="2"/>
  <c r="C543" i="2"/>
  <c r="AA542" i="2"/>
  <c r="Z542" i="2"/>
  <c r="C542" i="2"/>
  <c r="AA541" i="2"/>
  <c r="Z541" i="2"/>
  <c r="C541" i="2"/>
  <c r="AA540" i="2"/>
  <c r="Z540" i="2"/>
  <c r="C540" i="2"/>
  <c r="AA539" i="2"/>
  <c r="Z539" i="2"/>
  <c r="C539" i="2"/>
  <c r="AA538" i="2"/>
  <c r="Z538" i="2"/>
  <c r="C538" i="2"/>
  <c r="AA537" i="2"/>
  <c r="Z537" i="2"/>
  <c r="C537" i="2"/>
  <c r="AA536" i="2"/>
  <c r="Z536" i="2"/>
  <c r="C536" i="2"/>
  <c r="AA535" i="2"/>
  <c r="Z535" i="2"/>
  <c r="C535" i="2"/>
  <c r="AA534" i="2"/>
  <c r="Z534" i="2"/>
  <c r="C534" i="2"/>
  <c r="AA533" i="2"/>
  <c r="Z533" i="2"/>
  <c r="C533" i="2"/>
  <c r="AA532" i="2"/>
  <c r="Z532" i="2"/>
  <c r="C532" i="2"/>
  <c r="AA531" i="2"/>
  <c r="Z531" i="2"/>
  <c r="C531" i="2"/>
  <c r="AA530" i="2"/>
  <c r="Z530" i="2"/>
  <c r="C530" i="2"/>
  <c r="AA529" i="2"/>
  <c r="Z529" i="2"/>
  <c r="C529" i="2"/>
  <c r="AA528" i="2"/>
  <c r="Z528" i="2"/>
  <c r="C528" i="2"/>
  <c r="AA527" i="2"/>
  <c r="Z527" i="2"/>
  <c r="C527" i="2"/>
  <c r="AA526" i="2"/>
  <c r="Z526" i="2"/>
  <c r="C526" i="2"/>
  <c r="AA525" i="2"/>
  <c r="Z525" i="2"/>
  <c r="C525" i="2"/>
  <c r="AA524" i="2"/>
  <c r="Z524" i="2"/>
  <c r="C524" i="2"/>
  <c r="AA523" i="2"/>
  <c r="Z523" i="2"/>
  <c r="C523" i="2"/>
  <c r="AA522" i="2"/>
  <c r="Z522" i="2"/>
  <c r="C522" i="2"/>
  <c r="AA521" i="2"/>
  <c r="Z521" i="2"/>
  <c r="C521" i="2"/>
  <c r="AA520" i="2"/>
  <c r="Z520" i="2"/>
  <c r="C520" i="2"/>
  <c r="AA519" i="2"/>
  <c r="Z519" i="2"/>
  <c r="C519" i="2"/>
  <c r="AA518" i="2"/>
  <c r="Z518" i="2"/>
  <c r="C518" i="2"/>
  <c r="AA517" i="2"/>
  <c r="Z517" i="2"/>
  <c r="C517" i="2"/>
  <c r="AA516" i="2"/>
  <c r="Z516" i="2"/>
  <c r="C516" i="2"/>
  <c r="AA515" i="2"/>
  <c r="Z515" i="2"/>
  <c r="C515" i="2"/>
  <c r="AA514" i="2"/>
  <c r="Z514" i="2"/>
  <c r="C514" i="2"/>
  <c r="AA513" i="2"/>
  <c r="Z513" i="2"/>
  <c r="C513" i="2"/>
  <c r="AA512" i="2"/>
  <c r="Z512" i="2"/>
  <c r="C512" i="2"/>
  <c r="AA511" i="2"/>
  <c r="Z511" i="2"/>
  <c r="C511" i="2"/>
  <c r="AA510" i="2"/>
  <c r="Z510" i="2"/>
  <c r="C510" i="2"/>
  <c r="AA509" i="2"/>
  <c r="Z509" i="2"/>
  <c r="C509" i="2"/>
  <c r="AA508" i="2"/>
  <c r="Z508" i="2"/>
  <c r="C508" i="2"/>
  <c r="AA507" i="2"/>
  <c r="Z507" i="2"/>
  <c r="C507" i="2"/>
  <c r="AA506" i="2"/>
  <c r="Z506" i="2"/>
  <c r="C506" i="2"/>
  <c r="AA505" i="2"/>
  <c r="Z505" i="2"/>
  <c r="C505" i="2"/>
  <c r="AA504" i="2"/>
  <c r="Z504" i="2"/>
  <c r="C504" i="2"/>
  <c r="AA503" i="2"/>
  <c r="Z503" i="2"/>
  <c r="C503" i="2"/>
  <c r="AA502" i="2"/>
  <c r="Z502" i="2"/>
  <c r="C502" i="2"/>
  <c r="AA501" i="2"/>
  <c r="Z501" i="2"/>
  <c r="C501" i="2"/>
  <c r="AA500" i="2"/>
  <c r="Z500" i="2"/>
  <c r="C500" i="2"/>
  <c r="AA499" i="2"/>
  <c r="Z499" i="2"/>
  <c r="C499" i="2"/>
  <c r="AA498" i="2"/>
  <c r="Z498" i="2"/>
  <c r="C498" i="2"/>
  <c r="AA497" i="2"/>
  <c r="Z497" i="2"/>
  <c r="C497" i="2"/>
  <c r="AA496" i="2"/>
  <c r="Z496" i="2"/>
  <c r="C496" i="2"/>
  <c r="AA495" i="2"/>
  <c r="Z495" i="2"/>
  <c r="C495" i="2"/>
  <c r="AA494" i="2"/>
  <c r="Z494" i="2"/>
  <c r="C494" i="2"/>
  <c r="AA493" i="2"/>
  <c r="Z493" i="2"/>
  <c r="C493" i="2"/>
  <c r="AA492" i="2"/>
  <c r="Z492" i="2"/>
  <c r="C492" i="2"/>
  <c r="AA491" i="2"/>
  <c r="Z491" i="2"/>
  <c r="C491" i="2"/>
  <c r="AA490" i="2"/>
  <c r="Z490" i="2"/>
  <c r="C490" i="2"/>
  <c r="AA489" i="2"/>
  <c r="Z489" i="2"/>
  <c r="C489" i="2"/>
  <c r="AA488" i="2"/>
  <c r="Z488" i="2"/>
  <c r="C488" i="2"/>
  <c r="AA487" i="2"/>
  <c r="Z487" i="2"/>
  <c r="C487" i="2"/>
  <c r="AA486" i="2"/>
  <c r="Z486" i="2"/>
  <c r="C486" i="2"/>
  <c r="AA485" i="2"/>
  <c r="Z485" i="2"/>
  <c r="C485" i="2"/>
  <c r="AA484" i="2"/>
  <c r="Z484" i="2"/>
  <c r="C484" i="2"/>
  <c r="AA483" i="2"/>
  <c r="Z483" i="2"/>
  <c r="C483" i="2"/>
  <c r="AA482" i="2"/>
  <c r="Z482" i="2"/>
  <c r="C482" i="2"/>
  <c r="AA481" i="2"/>
  <c r="Z481" i="2"/>
  <c r="C481" i="2"/>
  <c r="AA480" i="2"/>
  <c r="Z480" i="2"/>
  <c r="C480" i="2"/>
  <c r="AA479" i="2"/>
  <c r="Z479" i="2"/>
  <c r="C479" i="2"/>
  <c r="AA478" i="2"/>
  <c r="Z478" i="2"/>
  <c r="C478" i="2"/>
  <c r="AA477" i="2"/>
  <c r="Z477" i="2"/>
  <c r="C477" i="2"/>
  <c r="AA476" i="2"/>
  <c r="Z476" i="2"/>
  <c r="C476" i="2"/>
  <c r="AA475" i="2"/>
  <c r="Z475" i="2"/>
  <c r="C475" i="2"/>
  <c r="AA474" i="2"/>
  <c r="Z474" i="2"/>
  <c r="C474" i="2"/>
  <c r="AA473" i="2"/>
  <c r="Z473" i="2"/>
  <c r="C473" i="2"/>
  <c r="AA472" i="2"/>
  <c r="Z472" i="2"/>
  <c r="C472" i="2"/>
  <c r="AA471" i="2"/>
  <c r="Z471" i="2"/>
  <c r="C471" i="2"/>
  <c r="AA470" i="2"/>
  <c r="Z470" i="2"/>
  <c r="C470" i="2"/>
  <c r="AA469" i="2"/>
  <c r="Z469" i="2"/>
  <c r="C469" i="2"/>
  <c r="AA468" i="2"/>
  <c r="Z468" i="2"/>
  <c r="C468" i="2"/>
  <c r="AA467" i="2"/>
  <c r="Z467" i="2"/>
  <c r="C467" i="2"/>
  <c r="AA466" i="2"/>
  <c r="Z466" i="2"/>
  <c r="C466" i="2"/>
  <c r="AA465" i="2"/>
  <c r="Z465" i="2"/>
  <c r="C465" i="2"/>
  <c r="AA464" i="2"/>
  <c r="Z464" i="2"/>
  <c r="C464" i="2"/>
  <c r="AA463" i="2"/>
  <c r="Z463" i="2"/>
  <c r="C463" i="2"/>
  <c r="AA462" i="2"/>
  <c r="Z462" i="2"/>
  <c r="C462" i="2"/>
  <c r="AA461" i="2"/>
  <c r="Z461" i="2"/>
  <c r="C461" i="2"/>
  <c r="AA460" i="2"/>
  <c r="Z460" i="2"/>
  <c r="C460" i="2"/>
  <c r="AA459" i="2"/>
  <c r="Z459" i="2"/>
  <c r="C459" i="2"/>
  <c r="AA458" i="2"/>
  <c r="Z458" i="2"/>
  <c r="C458" i="2"/>
  <c r="AA457" i="2"/>
  <c r="Z457" i="2"/>
  <c r="C457" i="2"/>
  <c r="AA456" i="2"/>
  <c r="Z456" i="2"/>
  <c r="C456" i="2"/>
  <c r="AA455" i="2"/>
  <c r="Z455" i="2"/>
  <c r="C455" i="2"/>
  <c r="AA454" i="2"/>
  <c r="Z454" i="2"/>
  <c r="C454" i="2"/>
  <c r="AA453" i="2"/>
  <c r="Z453" i="2"/>
  <c r="C453" i="2"/>
  <c r="AA452" i="2"/>
  <c r="Z452" i="2"/>
  <c r="C452" i="2"/>
  <c r="AA451" i="2"/>
  <c r="Z451" i="2"/>
  <c r="C451" i="2"/>
  <c r="AA450" i="2"/>
  <c r="Z450" i="2"/>
  <c r="C450" i="2"/>
  <c r="AA449" i="2"/>
  <c r="Z449" i="2"/>
  <c r="C449" i="2"/>
  <c r="AA448" i="2"/>
  <c r="Z448" i="2"/>
  <c r="C448" i="2"/>
  <c r="AA447" i="2"/>
  <c r="Z447" i="2"/>
  <c r="C447" i="2"/>
  <c r="AA446" i="2"/>
  <c r="Z446" i="2"/>
  <c r="C446" i="2"/>
  <c r="AA445" i="2"/>
  <c r="Z445" i="2"/>
  <c r="C445" i="2"/>
  <c r="AA444" i="2"/>
  <c r="Z444" i="2"/>
  <c r="C444" i="2"/>
  <c r="AA443" i="2"/>
  <c r="Z443" i="2"/>
  <c r="C443" i="2"/>
  <c r="AA442" i="2"/>
  <c r="Z442" i="2"/>
  <c r="C442" i="2"/>
  <c r="AA441" i="2"/>
  <c r="Z441" i="2"/>
  <c r="C441" i="2"/>
  <c r="AA440" i="2"/>
  <c r="Z440" i="2"/>
  <c r="C440" i="2"/>
  <c r="AA439" i="2"/>
  <c r="Z439" i="2"/>
  <c r="C439" i="2"/>
  <c r="AA438" i="2"/>
  <c r="Z438" i="2"/>
  <c r="C438" i="2"/>
  <c r="AA437" i="2"/>
  <c r="Z437" i="2"/>
  <c r="C437" i="2"/>
  <c r="AA436" i="2"/>
  <c r="Z436" i="2"/>
  <c r="C436" i="2"/>
  <c r="AA435" i="2"/>
  <c r="Z435" i="2"/>
  <c r="C435" i="2"/>
  <c r="AA434" i="2"/>
  <c r="Z434" i="2"/>
  <c r="C434" i="2"/>
  <c r="AA433" i="2"/>
  <c r="Z433" i="2"/>
  <c r="C433" i="2"/>
  <c r="AA432" i="2"/>
  <c r="Z432" i="2"/>
  <c r="C432" i="2"/>
  <c r="AA431" i="2"/>
  <c r="Z431" i="2"/>
  <c r="C431" i="2"/>
  <c r="AA430" i="2"/>
  <c r="Z430" i="2"/>
  <c r="C430" i="2"/>
  <c r="AA429" i="2"/>
  <c r="Z429" i="2"/>
  <c r="C429" i="2"/>
  <c r="AA428" i="2"/>
  <c r="Z428" i="2"/>
  <c r="C428" i="2"/>
  <c r="AA427" i="2"/>
  <c r="Z427" i="2"/>
  <c r="C427" i="2"/>
  <c r="AA426" i="2"/>
  <c r="Z426" i="2"/>
  <c r="C426" i="2"/>
  <c r="AA425" i="2"/>
  <c r="Z425" i="2"/>
  <c r="C425" i="2"/>
  <c r="AA424" i="2"/>
  <c r="Z424" i="2"/>
  <c r="C424" i="2"/>
  <c r="AA423" i="2"/>
  <c r="Z423" i="2"/>
  <c r="C423" i="2"/>
  <c r="AA422" i="2"/>
  <c r="Z422" i="2"/>
  <c r="C422" i="2"/>
  <c r="AA421" i="2"/>
  <c r="Z421" i="2"/>
  <c r="C421" i="2"/>
  <c r="AA420" i="2"/>
  <c r="Z420" i="2"/>
  <c r="C420" i="2"/>
  <c r="AA419" i="2"/>
  <c r="Z419" i="2"/>
  <c r="C419" i="2"/>
  <c r="AA418" i="2"/>
  <c r="Z418" i="2"/>
  <c r="C418" i="2"/>
  <c r="AA417" i="2"/>
  <c r="Z417" i="2"/>
  <c r="C417" i="2"/>
  <c r="AA416" i="2"/>
  <c r="Z416" i="2"/>
  <c r="C416" i="2"/>
  <c r="AA415" i="2"/>
  <c r="Z415" i="2"/>
  <c r="C415" i="2"/>
  <c r="AA414" i="2"/>
  <c r="Z414" i="2"/>
  <c r="C414" i="2"/>
  <c r="AA413" i="2"/>
  <c r="Z413" i="2"/>
  <c r="C413" i="2"/>
  <c r="AA412" i="2"/>
  <c r="Z412" i="2"/>
  <c r="C412" i="2"/>
  <c r="AA411" i="2"/>
  <c r="Z411" i="2"/>
  <c r="C411" i="2"/>
  <c r="AA410" i="2"/>
  <c r="Z410" i="2"/>
  <c r="C410" i="2"/>
  <c r="AA409" i="2"/>
  <c r="Z409" i="2"/>
  <c r="C409" i="2"/>
  <c r="AA408" i="2"/>
  <c r="Z408" i="2"/>
  <c r="C408" i="2"/>
  <c r="AA407" i="2"/>
  <c r="Z407" i="2"/>
  <c r="C407" i="2"/>
  <c r="AA406" i="2"/>
  <c r="Z406" i="2"/>
  <c r="C406" i="2"/>
  <c r="AA405" i="2"/>
  <c r="Z405" i="2"/>
  <c r="C405" i="2"/>
  <c r="AA404" i="2"/>
  <c r="Z404" i="2"/>
  <c r="C404" i="2"/>
  <c r="AA403" i="2"/>
  <c r="Z403" i="2"/>
  <c r="C403" i="2"/>
  <c r="AA402" i="2"/>
  <c r="Z402" i="2"/>
  <c r="C402" i="2"/>
  <c r="AA401" i="2"/>
  <c r="Z401" i="2"/>
  <c r="C401" i="2"/>
  <c r="AA400" i="2"/>
  <c r="Z400" i="2"/>
  <c r="C400" i="2"/>
  <c r="AA399" i="2"/>
  <c r="Z399" i="2"/>
  <c r="C399" i="2"/>
  <c r="AA398" i="2"/>
  <c r="Z398" i="2"/>
  <c r="C398" i="2"/>
  <c r="AA397" i="2"/>
  <c r="Z397" i="2"/>
  <c r="C397" i="2"/>
  <c r="AA396" i="2"/>
  <c r="Z396" i="2"/>
  <c r="C396" i="2"/>
  <c r="AA395" i="2"/>
  <c r="Z395" i="2"/>
  <c r="C395" i="2"/>
  <c r="AA394" i="2"/>
  <c r="Z394" i="2"/>
  <c r="C394" i="2"/>
  <c r="AA393" i="2"/>
  <c r="Z393" i="2"/>
  <c r="C393" i="2"/>
  <c r="AA392" i="2"/>
  <c r="Z392" i="2"/>
  <c r="C392" i="2"/>
  <c r="AA391" i="2"/>
  <c r="Z391" i="2"/>
  <c r="C391" i="2"/>
  <c r="AA390" i="2"/>
  <c r="Z390" i="2"/>
  <c r="C390" i="2"/>
  <c r="AA389" i="2"/>
  <c r="Z389" i="2"/>
  <c r="C389" i="2"/>
  <c r="AA388" i="2"/>
  <c r="Z388" i="2"/>
  <c r="C388" i="2"/>
  <c r="AA387" i="2"/>
  <c r="Z387" i="2"/>
  <c r="C387" i="2"/>
  <c r="AA386" i="2"/>
  <c r="Z386" i="2"/>
  <c r="C386" i="2"/>
  <c r="AA385" i="2"/>
  <c r="Z385" i="2"/>
  <c r="C385" i="2"/>
  <c r="AA384" i="2"/>
  <c r="Z384" i="2"/>
  <c r="C384" i="2"/>
  <c r="AA383" i="2"/>
  <c r="Z383" i="2"/>
  <c r="C383" i="2"/>
  <c r="AA382" i="2"/>
  <c r="Z382" i="2"/>
  <c r="C382" i="2"/>
  <c r="AA381" i="2"/>
  <c r="Z381" i="2"/>
  <c r="C381" i="2"/>
  <c r="AA380" i="2"/>
  <c r="Z380" i="2"/>
  <c r="C380" i="2"/>
  <c r="AA379" i="2"/>
  <c r="Z379" i="2"/>
  <c r="C379" i="2"/>
  <c r="AA378" i="2"/>
  <c r="Z378" i="2"/>
  <c r="C378" i="2"/>
  <c r="AA377" i="2"/>
  <c r="Z377" i="2"/>
  <c r="C377" i="2"/>
  <c r="AA376" i="2"/>
  <c r="Z376" i="2"/>
  <c r="C376" i="2"/>
  <c r="AA375" i="2"/>
  <c r="Z375" i="2"/>
  <c r="C375" i="2"/>
  <c r="AA374" i="2"/>
  <c r="Z374" i="2"/>
  <c r="C374" i="2"/>
  <c r="AA373" i="2"/>
  <c r="Z373" i="2"/>
  <c r="C373" i="2"/>
  <c r="AA372" i="2"/>
  <c r="Z372" i="2"/>
  <c r="C372" i="2"/>
  <c r="AA371" i="2"/>
  <c r="Z371" i="2"/>
  <c r="C371" i="2"/>
  <c r="AA370" i="2"/>
  <c r="Z370" i="2"/>
  <c r="C370" i="2"/>
  <c r="AA369" i="2"/>
  <c r="Z369" i="2"/>
  <c r="C369" i="2"/>
  <c r="AA368" i="2"/>
  <c r="Z368" i="2"/>
  <c r="C368" i="2"/>
  <c r="AA367" i="2"/>
  <c r="Z367" i="2"/>
  <c r="C367" i="2"/>
  <c r="AA366" i="2"/>
  <c r="Z366" i="2"/>
  <c r="C366" i="2"/>
  <c r="AA365" i="2"/>
  <c r="Z365" i="2"/>
  <c r="C365" i="2"/>
  <c r="AA364" i="2"/>
  <c r="Z364" i="2"/>
  <c r="C364" i="2"/>
  <c r="AA363" i="2"/>
  <c r="Z363" i="2"/>
  <c r="C363" i="2"/>
  <c r="AA362" i="2"/>
  <c r="Z362" i="2"/>
  <c r="C362" i="2"/>
  <c r="AA361" i="2"/>
  <c r="Z361" i="2"/>
  <c r="C361" i="2"/>
  <c r="AA360" i="2"/>
  <c r="Z360" i="2"/>
  <c r="C360" i="2"/>
  <c r="AA359" i="2"/>
  <c r="Z359" i="2"/>
  <c r="C359" i="2"/>
  <c r="AA358" i="2"/>
  <c r="Z358" i="2"/>
  <c r="C358" i="2"/>
  <c r="AA357" i="2"/>
  <c r="Z357" i="2"/>
  <c r="C357" i="2"/>
  <c r="AA356" i="2"/>
  <c r="Z356" i="2"/>
  <c r="C356" i="2"/>
  <c r="AA355" i="2"/>
  <c r="Z355" i="2"/>
  <c r="C355" i="2"/>
  <c r="AA354" i="2"/>
  <c r="Z354" i="2"/>
  <c r="C354" i="2"/>
  <c r="AA353" i="2"/>
  <c r="Z353" i="2"/>
  <c r="C353" i="2"/>
  <c r="AA352" i="2"/>
  <c r="Z352" i="2"/>
  <c r="C352" i="2"/>
  <c r="AA351" i="2"/>
  <c r="Z351" i="2"/>
  <c r="C351" i="2"/>
  <c r="AA350" i="2"/>
  <c r="Z350" i="2"/>
  <c r="C350" i="2"/>
  <c r="AA349" i="2"/>
  <c r="Z349" i="2"/>
  <c r="C349" i="2"/>
  <c r="AA348" i="2"/>
  <c r="Z348" i="2"/>
  <c r="C348" i="2"/>
  <c r="AA347" i="2"/>
  <c r="Z347" i="2"/>
  <c r="C347" i="2"/>
  <c r="AA346" i="2"/>
  <c r="Z346" i="2"/>
  <c r="C346" i="2"/>
  <c r="AA345" i="2"/>
  <c r="Z345" i="2"/>
  <c r="C345" i="2"/>
  <c r="AA344" i="2"/>
  <c r="Z344" i="2"/>
  <c r="C344" i="2"/>
  <c r="AA343" i="2"/>
  <c r="Z343" i="2"/>
  <c r="C343" i="2"/>
  <c r="AA342" i="2"/>
  <c r="Z342" i="2"/>
  <c r="C342" i="2"/>
  <c r="AA341" i="2"/>
  <c r="Z341" i="2"/>
  <c r="C341" i="2"/>
  <c r="AA340" i="2"/>
  <c r="Z340" i="2"/>
  <c r="C340" i="2"/>
  <c r="AA339" i="2"/>
  <c r="Z339" i="2"/>
  <c r="C339" i="2"/>
  <c r="AA338" i="2"/>
  <c r="Z338" i="2"/>
  <c r="C338" i="2"/>
  <c r="AA337" i="2"/>
  <c r="Z337" i="2"/>
  <c r="C337" i="2"/>
  <c r="AA336" i="2"/>
  <c r="Z336" i="2"/>
  <c r="C336" i="2"/>
  <c r="AA335" i="2"/>
  <c r="Z335" i="2"/>
  <c r="C335" i="2"/>
  <c r="AA334" i="2"/>
  <c r="Z334" i="2"/>
  <c r="C334" i="2"/>
  <c r="AA333" i="2"/>
  <c r="Z333" i="2"/>
  <c r="C333" i="2"/>
  <c r="AA332" i="2"/>
  <c r="Z332" i="2"/>
  <c r="C332" i="2"/>
  <c r="AA331" i="2"/>
  <c r="Z331" i="2"/>
  <c r="C331" i="2"/>
  <c r="AA330" i="2"/>
  <c r="Z330" i="2"/>
  <c r="C330" i="2"/>
  <c r="AA329" i="2"/>
  <c r="Z329" i="2"/>
  <c r="C329" i="2"/>
  <c r="AA328" i="2"/>
  <c r="Z328" i="2"/>
  <c r="C328" i="2"/>
  <c r="AA327" i="2"/>
  <c r="Z327" i="2"/>
  <c r="C327" i="2"/>
  <c r="AA326" i="2"/>
  <c r="Z326" i="2"/>
  <c r="C326" i="2"/>
  <c r="AA325" i="2"/>
  <c r="Z325" i="2"/>
  <c r="C325" i="2"/>
  <c r="AA324" i="2"/>
  <c r="Z324" i="2"/>
  <c r="C324" i="2"/>
  <c r="AA323" i="2"/>
  <c r="Z323" i="2"/>
  <c r="C323" i="2"/>
  <c r="AA322" i="2"/>
  <c r="Z322" i="2"/>
  <c r="C322" i="2"/>
  <c r="AA321" i="2"/>
  <c r="Z321" i="2"/>
  <c r="C321" i="2"/>
  <c r="AA320" i="2"/>
  <c r="Z320" i="2"/>
  <c r="C320" i="2"/>
  <c r="AA319" i="2"/>
  <c r="Z319" i="2"/>
  <c r="C319" i="2"/>
  <c r="AA318" i="2"/>
  <c r="Z318" i="2"/>
  <c r="C318" i="2"/>
  <c r="AA317" i="2"/>
  <c r="Z317" i="2"/>
  <c r="C317" i="2"/>
  <c r="AA316" i="2"/>
  <c r="Z316" i="2"/>
  <c r="C316" i="2"/>
  <c r="AA315" i="2"/>
  <c r="Z315" i="2"/>
  <c r="C315" i="2"/>
  <c r="AA314" i="2"/>
  <c r="Z314" i="2"/>
  <c r="C314" i="2"/>
  <c r="AA313" i="2"/>
  <c r="Z313" i="2"/>
  <c r="C313" i="2"/>
  <c r="AA312" i="2"/>
  <c r="Z312" i="2"/>
  <c r="C312" i="2"/>
  <c r="AA311" i="2"/>
  <c r="Z311" i="2"/>
  <c r="C311" i="2"/>
  <c r="AA310" i="2"/>
  <c r="Z310" i="2"/>
  <c r="C310" i="2"/>
  <c r="AA309" i="2"/>
  <c r="Z309" i="2"/>
  <c r="C309" i="2"/>
  <c r="AA308" i="2"/>
  <c r="Z308" i="2"/>
  <c r="C308" i="2"/>
  <c r="AA307" i="2"/>
  <c r="Z307" i="2"/>
  <c r="C307" i="2"/>
  <c r="AA306" i="2"/>
  <c r="Z306" i="2"/>
  <c r="C306" i="2"/>
  <c r="AA305" i="2"/>
  <c r="Z305" i="2"/>
  <c r="C305" i="2"/>
  <c r="AA304" i="2"/>
  <c r="Z304" i="2"/>
  <c r="C304" i="2"/>
  <c r="AA303" i="2"/>
  <c r="Z303" i="2"/>
  <c r="C303" i="2"/>
  <c r="AA302" i="2"/>
  <c r="Z302" i="2"/>
  <c r="C302" i="2"/>
  <c r="AA301" i="2"/>
  <c r="Z301" i="2"/>
  <c r="C301" i="2"/>
  <c r="AA300" i="2"/>
  <c r="Z300" i="2"/>
  <c r="C300" i="2"/>
  <c r="AA299" i="2"/>
  <c r="Z299" i="2"/>
  <c r="C299" i="2"/>
  <c r="AA298" i="2"/>
  <c r="Z298" i="2"/>
  <c r="C298" i="2"/>
  <c r="AA297" i="2"/>
  <c r="Z297" i="2"/>
  <c r="C297" i="2"/>
  <c r="AA296" i="2"/>
  <c r="Z296" i="2"/>
  <c r="C296" i="2"/>
  <c r="AA295" i="2"/>
  <c r="Z295" i="2"/>
  <c r="C295" i="2"/>
  <c r="AA294" i="2"/>
  <c r="Z294" i="2"/>
  <c r="C294" i="2"/>
  <c r="AA293" i="2"/>
  <c r="Z293" i="2"/>
  <c r="C293" i="2"/>
  <c r="AA292" i="2"/>
  <c r="Z292" i="2"/>
  <c r="C292" i="2"/>
  <c r="AA291" i="2"/>
  <c r="Z291" i="2"/>
  <c r="C291" i="2"/>
  <c r="AA290" i="2"/>
  <c r="Z290" i="2"/>
  <c r="C290" i="2"/>
  <c r="AA289" i="2"/>
  <c r="Z289" i="2"/>
  <c r="C289" i="2"/>
  <c r="AA288" i="2"/>
  <c r="Z288" i="2"/>
  <c r="C288" i="2"/>
  <c r="AA287" i="2"/>
  <c r="Z287" i="2"/>
  <c r="C287" i="2"/>
  <c r="AA286" i="2"/>
  <c r="Z286" i="2"/>
  <c r="C286" i="2"/>
  <c r="AA285" i="2"/>
  <c r="Z285" i="2"/>
  <c r="C285" i="2"/>
  <c r="AA284" i="2"/>
  <c r="Z284" i="2"/>
  <c r="C284" i="2"/>
  <c r="AA283" i="2"/>
  <c r="Z283" i="2"/>
  <c r="C283" i="2"/>
  <c r="AA282" i="2"/>
  <c r="Z282" i="2"/>
  <c r="C282" i="2"/>
  <c r="AA281" i="2"/>
  <c r="Z281" i="2"/>
  <c r="C281" i="2"/>
  <c r="AA280" i="2"/>
  <c r="Z280" i="2"/>
  <c r="C280" i="2"/>
  <c r="AA279" i="2"/>
  <c r="Z279" i="2"/>
  <c r="C279" i="2"/>
  <c r="AA278" i="2"/>
  <c r="Z278" i="2"/>
  <c r="C278" i="2"/>
  <c r="AA277" i="2"/>
  <c r="Z277" i="2"/>
  <c r="C277" i="2"/>
  <c r="AA276" i="2"/>
  <c r="Z276" i="2"/>
  <c r="C276" i="2"/>
  <c r="AA275" i="2"/>
  <c r="Z275" i="2"/>
  <c r="C275" i="2"/>
  <c r="AA274" i="2"/>
  <c r="Z274" i="2"/>
  <c r="C274" i="2"/>
  <c r="AA273" i="2"/>
  <c r="Z273" i="2"/>
  <c r="C273" i="2"/>
  <c r="AA272" i="2"/>
  <c r="Z272" i="2"/>
  <c r="C272" i="2"/>
  <c r="AA271" i="2"/>
  <c r="Z271" i="2"/>
  <c r="C271" i="2"/>
  <c r="AA270" i="2"/>
  <c r="Z270" i="2"/>
  <c r="C270" i="2"/>
  <c r="AA269" i="2"/>
  <c r="Z269" i="2"/>
  <c r="C269" i="2"/>
  <c r="AA268" i="2"/>
  <c r="Z268" i="2"/>
  <c r="C268" i="2"/>
  <c r="AA267" i="2"/>
  <c r="Z267" i="2"/>
  <c r="C267" i="2"/>
  <c r="AA266" i="2"/>
  <c r="Z266" i="2"/>
  <c r="C266" i="2"/>
  <c r="AA265" i="2"/>
  <c r="Z265" i="2"/>
  <c r="C265" i="2"/>
  <c r="AA264" i="2"/>
  <c r="Z264" i="2"/>
  <c r="C264" i="2"/>
  <c r="AA263" i="2"/>
  <c r="Z263" i="2"/>
  <c r="C263" i="2"/>
  <c r="AA262" i="2"/>
  <c r="Z262" i="2"/>
  <c r="C262" i="2"/>
  <c r="AA261" i="2"/>
  <c r="Z261" i="2"/>
  <c r="C261" i="2"/>
  <c r="AA260" i="2"/>
  <c r="Z260" i="2"/>
  <c r="C260" i="2"/>
  <c r="AA259" i="2"/>
  <c r="Z259" i="2"/>
  <c r="C259" i="2"/>
  <c r="AA258" i="2"/>
  <c r="Z258" i="2"/>
  <c r="C258" i="2"/>
  <c r="AA257" i="2"/>
  <c r="Z257" i="2"/>
  <c r="C257" i="2"/>
  <c r="AA256" i="2"/>
  <c r="Z256" i="2"/>
  <c r="C256" i="2"/>
  <c r="AA255" i="2"/>
  <c r="Z255" i="2"/>
  <c r="C255" i="2"/>
  <c r="AA254" i="2"/>
  <c r="Z254" i="2"/>
  <c r="C254" i="2"/>
  <c r="AA253" i="2"/>
  <c r="Z253" i="2"/>
  <c r="C253" i="2"/>
  <c r="AA252" i="2"/>
  <c r="Z252" i="2"/>
  <c r="C252" i="2"/>
  <c r="AA251" i="2"/>
  <c r="Z251" i="2"/>
  <c r="C251" i="2"/>
  <c r="AA250" i="2"/>
  <c r="Z250" i="2"/>
  <c r="C250" i="2"/>
  <c r="AA249" i="2"/>
  <c r="Z249" i="2"/>
  <c r="C249" i="2"/>
  <c r="AA248" i="2"/>
  <c r="Z248" i="2"/>
  <c r="C248" i="2"/>
  <c r="AA247" i="2"/>
  <c r="Z247" i="2"/>
  <c r="C247" i="2"/>
  <c r="AA246" i="2"/>
  <c r="Z246" i="2"/>
  <c r="C246" i="2"/>
  <c r="AA245" i="2"/>
  <c r="Z245" i="2"/>
  <c r="C245" i="2"/>
  <c r="AA244" i="2"/>
  <c r="Z244" i="2"/>
  <c r="C244" i="2"/>
  <c r="AA243" i="2"/>
  <c r="Z243" i="2"/>
  <c r="C243" i="2"/>
  <c r="AA242" i="2"/>
  <c r="Z242" i="2"/>
  <c r="C242" i="2"/>
  <c r="AA241" i="2"/>
  <c r="Z241" i="2"/>
  <c r="C241" i="2"/>
  <c r="AA240" i="2"/>
  <c r="Z240" i="2"/>
  <c r="C240" i="2"/>
  <c r="AA239" i="2"/>
  <c r="Z239" i="2"/>
  <c r="C239" i="2"/>
  <c r="AA238" i="2"/>
  <c r="Z238" i="2"/>
  <c r="C238" i="2"/>
  <c r="AA237" i="2"/>
  <c r="Z237" i="2"/>
  <c r="C237" i="2"/>
  <c r="AA236" i="2"/>
  <c r="Z236" i="2"/>
  <c r="C236" i="2"/>
  <c r="AA235" i="2"/>
  <c r="Z235" i="2"/>
  <c r="C235" i="2"/>
  <c r="AA234" i="2"/>
  <c r="Z234" i="2"/>
  <c r="C234" i="2"/>
  <c r="AA233" i="2"/>
  <c r="Z233" i="2"/>
  <c r="C233" i="2"/>
  <c r="AA232" i="2"/>
  <c r="Z232" i="2"/>
  <c r="C232" i="2"/>
  <c r="AA231" i="2"/>
  <c r="Z231" i="2"/>
  <c r="C231" i="2"/>
  <c r="AA230" i="2"/>
  <c r="Z230" i="2"/>
  <c r="C230" i="2"/>
  <c r="AA229" i="2"/>
  <c r="Z229" i="2"/>
  <c r="C229" i="2"/>
  <c r="AA228" i="2"/>
  <c r="Z228" i="2"/>
  <c r="C228" i="2"/>
  <c r="AA227" i="2"/>
  <c r="Z227" i="2"/>
  <c r="C227" i="2"/>
  <c r="AA226" i="2"/>
  <c r="Z226" i="2"/>
  <c r="C226" i="2"/>
  <c r="AA225" i="2"/>
  <c r="Z225" i="2"/>
  <c r="C225" i="2"/>
  <c r="AA224" i="2"/>
  <c r="Z224" i="2"/>
  <c r="C224" i="2"/>
  <c r="AA223" i="2"/>
  <c r="Z223" i="2"/>
  <c r="C223" i="2"/>
  <c r="AA222" i="2"/>
  <c r="Z222" i="2"/>
  <c r="C222" i="2"/>
  <c r="AA221" i="2"/>
  <c r="Z221" i="2"/>
  <c r="C221" i="2"/>
  <c r="AA220" i="2"/>
  <c r="Z220" i="2"/>
  <c r="C220" i="2"/>
  <c r="AA219" i="2"/>
  <c r="Z219" i="2"/>
  <c r="C219" i="2"/>
  <c r="AA218" i="2"/>
  <c r="Z218" i="2"/>
  <c r="C218" i="2"/>
  <c r="AA217" i="2"/>
  <c r="Z217" i="2"/>
  <c r="C217" i="2"/>
  <c r="AA216" i="2"/>
  <c r="Z216" i="2"/>
  <c r="C216" i="2"/>
  <c r="AA215" i="2"/>
  <c r="Z215" i="2"/>
  <c r="C215" i="2"/>
  <c r="AA214" i="2"/>
  <c r="Z214" i="2"/>
  <c r="C214" i="2"/>
  <c r="AA213" i="2"/>
  <c r="Z213" i="2"/>
  <c r="C213" i="2"/>
  <c r="AA212" i="2"/>
  <c r="Z212" i="2"/>
  <c r="C212" i="2"/>
  <c r="AA211" i="2"/>
  <c r="Z211" i="2"/>
  <c r="C211" i="2"/>
  <c r="AA210" i="2"/>
  <c r="Z210" i="2"/>
  <c r="C210" i="2"/>
  <c r="AA209" i="2"/>
  <c r="Z209" i="2"/>
  <c r="C209" i="2"/>
  <c r="AA208" i="2"/>
  <c r="Z208" i="2"/>
  <c r="C208" i="2"/>
  <c r="AA207" i="2"/>
  <c r="Z207" i="2"/>
  <c r="C207" i="2"/>
  <c r="AA206" i="2"/>
  <c r="Z206" i="2"/>
  <c r="C206" i="2"/>
  <c r="AA205" i="2"/>
  <c r="Z205" i="2"/>
  <c r="C205" i="2"/>
  <c r="AA204" i="2"/>
  <c r="Z204" i="2"/>
  <c r="C204" i="2"/>
  <c r="AA203" i="2"/>
  <c r="Z203" i="2"/>
  <c r="C203" i="2"/>
  <c r="AA202" i="2"/>
  <c r="Z202" i="2"/>
  <c r="C202" i="2"/>
  <c r="AA201" i="2"/>
  <c r="Z201" i="2"/>
  <c r="C201" i="2"/>
  <c r="AA200" i="2"/>
  <c r="Z200" i="2"/>
  <c r="C200" i="2"/>
  <c r="AA199" i="2"/>
  <c r="Z199" i="2"/>
  <c r="C199" i="2"/>
  <c r="AA198" i="2"/>
  <c r="Z198" i="2"/>
  <c r="C198" i="2"/>
  <c r="AA197" i="2"/>
  <c r="Z197" i="2"/>
  <c r="C197" i="2"/>
  <c r="AA196" i="2"/>
  <c r="Z196" i="2"/>
  <c r="C196" i="2"/>
  <c r="AA195" i="2"/>
  <c r="Z195" i="2"/>
  <c r="C195" i="2"/>
  <c r="AA194" i="2"/>
  <c r="Z194" i="2"/>
  <c r="C194" i="2"/>
  <c r="AA193" i="2"/>
  <c r="Z193" i="2"/>
  <c r="C193" i="2"/>
  <c r="AA192" i="2"/>
  <c r="Z192" i="2"/>
  <c r="C192" i="2"/>
  <c r="AA191" i="2"/>
  <c r="Z191" i="2"/>
  <c r="C191" i="2"/>
  <c r="AA190" i="2"/>
  <c r="Z190" i="2"/>
  <c r="C190" i="2"/>
  <c r="AA189" i="2"/>
  <c r="Z189" i="2"/>
  <c r="C189" i="2"/>
  <c r="AA188" i="2"/>
  <c r="Z188" i="2"/>
  <c r="C188" i="2"/>
  <c r="AA187" i="2"/>
  <c r="Z187" i="2"/>
  <c r="C187" i="2"/>
  <c r="AA186" i="2"/>
  <c r="Z186" i="2"/>
  <c r="C186" i="2"/>
  <c r="AA185" i="2"/>
  <c r="Z185" i="2"/>
  <c r="C185" i="2"/>
  <c r="AA184" i="2"/>
  <c r="Z184" i="2"/>
  <c r="C184" i="2"/>
  <c r="AA183" i="2"/>
  <c r="Z183" i="2"/>
  <c r="C183" i="2"/>
  <c r="AA182" i="2"/>
  <c r="Z182" i="2"/>
  <c r="C182" i="2"/>
  <c r="AA181" i="2"/>
  <c r="Z181" i="2"/>
  <c r="C181" i="2"/>
  <c r="AA180" i="2"/>
  <c r="Z180" i="2"/>
  <c r="C180" i="2"/>
  <c r="AA179" i="2"/>
  <c r="Z179" i="2"/>
  <c r="C179" i="2"/>
  <c r="AA178" i="2"/>
  <c r="Z178" i="2"/>
  <c r="C178" i="2"/>
  <c r="AA177" i="2"/>
  <c r="Z177" i="2"/>
  <c r="C177" i="2"/>
  <c r="AA176" i="2"/>
  <c r="Z176" i="2"/>
  <c r="C176" i="2"/>
  <c r="AA175" i="2"/>
  <c r="Z175" i="2"/>
  <c r="C175" i="2"/>
  <c r="AA174" i="2"/>
  <c r="Z174" i="2"/>
  <c r="C174" i="2"/>
  <c r="AA173" i="2"/>
  <c r="Z173" i="2"/>
  <c r="C173" i="2"/>
  <c r="AA172" i="2"/>
  <c r="Z172" i="2"/>
  <c r="C172" i="2"/>
  <c r="AA171" i="2"/>
  <c r="Z171" i="2"/>
  <c r="C171" i="2"/>
  <c r="AA170" i="2"/>
  <c r="Z170" i="2"/>
  <c r="C170" i="2"/>
  <c r="AA169" i="2"/>
  <c r="Z169" i="2"/>
  <c r="C169" i="2"/>
  <c r="AA168" i="2"/>
  <c r="Z168" i="2"/>
  <c r="C168" i="2"/>
  <c r="AA167" i="2"/>
  <c r="Z167" i="2"/>
  <c r="C167" i="2"/>
  <c r="AA166" i="2"/>
  <c r="Z166" i="2"/>
  <c r="C166" i="2"/>
  <c r="AA165" i="2"/>
  <c r="Z165" i="2"/>
  <c r="C165" i="2"/>
  <c r="AA164" i="2"/>
  <c r="Z164" i="2"/>
  <c r="C164" i="2"/>
  <c r="AA163" i="2"/>
  <c r="Z163" i="2"/>
  <c r="C163" i="2"/>
  <c r="AA162" i="2"/>
  <c r="Z162" i="2"/>
  <c r="C162" i="2"/>
  <c r="AA161" i="2"/>
  <c r="Z161" i="2"/>
  <c r="C161" i="2"/>
  <c r="AA160" i="2"/>
  <c r="Z160" i="2"/>
  <c r="C160" i="2"/>
  <c r="AA159" i="2"/>
  <c r="Z159" i="2"/>
  <c r="C159" i="2"/>
  <c r="AA158" i="2"/>
  <c r="Z158" i="2"/>
  <c r="C158" i="2"/>
  <c r="AA157" i="2"/>
  <c r="Z157" i="2"/>
  <c r="C157" i="2"/>
  <c r="AA156" i="2"/>
  <c r="Z156" i="2"/>
  <c r="C156" i="2"/>
  <c r="AA155" i="2"/>
  <c r="Z155" i="2"/>
  <c r="C155" i="2"/>
  <c r="AA154" i="2"/>
  <c r="Z154" i="2"/>
  <c r="C154" i="2"/>
  <c r="AA153" i="2"/>
  <c r="Z153" i="2"/>
  <c r="C153" i="2"/>
  <c r="AA152" i="2"/>
  <c r="Z152" i="2"/>
  <c r="C152" i="2"/>
  <c r="AA151" i="2"/>
  <c r="Z151" i="2"/>
  <c r="C151" i="2"/>
  <c r="AA150" i="2"/>
  <c r="Z150" i="2"/>
  <c r="C150" i="2"/>
  <c r="AA149" i="2"/>
  <c r="Z149" i="2"/>
  <c r="C149" i="2"/>
  <c r="AA148" i="2"/>
  <c r="Z148" i="2"/>
  <c r="C148" i="2"/>
  <c r="AA147" i="2"/>
  <c r="Z147" i="2"/>
  <c r="C147" i="2"/>
  <c r="AA146" i="2"/>
  <c r="Z146" i="2"/>
  <c r="C146" i="2"/>
  <c r="AA145" i="2"/>
  <c r="Z145" i="2"/>
  <c r="C145" i="2"/>
  <c r="AA144" i="2"/>
  <c r="Z144" i="2"/>
  <c r="C144" i="2"/>
  <c r="AA143" i="2"/>
  <c r="Z143" i="2"/>
  <c r="C143" i="2"/>
  <c r="AA142" i="2"/>
  <c r="Z142" i="2"/>
  <c r="C142" i="2"/>
  <c r="AA141" i="2"/>
  <c r="Z141" i="2"/>
  <c r="C141" i="2"/>
  <c r="AA140" i="2"/>
  <c r="Z140" i="2"/>
  <c r="C140" i="2"/>
  <c r="AA139" i="2"/>
  <c r="Z139" i="2"/>
  <c r="C139" i="2"/>
  <c r="AA138" i="2"/>
  <c r="Z138" i="2"/>
  <c r="C138" i="2"/>
  <c r="AA137" i="2"/>
  <c r="Z137" i="2"/>
  <c r="C137" i="2"/>
  <c r="AA136" i="2"/>
  <c r="Z136" i="2"/>
  <c r="C136" i="2"/>
  <c r="AA135" i="2"/>
  <c r="Z135" i="2"/>
  <c r="C135" i="2"/>
  <c r="AA134" i="2"/>
  <c r="Z134" i="2"/>
  <c r="C134" i="2"/>
  <c r="AA133" i="2"/>
  <c r="Z133" i="2"/>
  <c r="C133" i="2"/>
  <c r="AA132" i="2"/>
  <c r="Z132" i="2"/>
  <c r="C132" i="2"/>
  <c r="AA131" i="2"/>
  <c r="Z131" i="2"/>
  <c r="C131" i="2"/>
  <c r="AA130" i="2"/>
  <c r="Z130" i="2"/>
  <c r="C130" i="2"/>
  <c r="AA129" i="2"/>
  <c r="Z129" i="2"/>
  <c r="C129" i="2"/>
  <c r="AA128" i="2"/>
  <c r="Z128" i="2"/>
  <c r="C128" i="2"/>
  <c r="AA127" i="2"/>
  <c r="Z127" i="2"/>
  <c r="C127" i="2"/>
  <c r="AA126" i="2"/>
  <c r="Z126" i="2"/>
  <c r="C126" i="2"/>
  <c r="AA125" i="2"/>
  <c r="Z125" i="2"/>
  <c r="C125" i="2"/>
  <c r="AA124" i="2"/>
  <c r="Z124" i="2"/>
  <c r="C124" i="2"/>
  <c r="AA123" i="2"/>
  <c r="Z123" i="2"/>
  <c r="C123" i="2"/>
  <c r="AA122" i="2"/>
  <c r="Z122" i="2"/>
  <c r="C122" i="2"/>
  <c r="AA121" i="2"/>
  <c r="Z121" i="2"/>
  <c r="C121" i="2"/>
  <c r="AA120" i="2"/>
  <c r="Z120" i="2"/>
  <c r="C120" i="2"/>
  <c r="AA119" i="2"/>
  <c r="Z119" i="2"/>
  <c r="C119" i="2"/>
  <c r="AA118" i="2"/>
  <c r="Z118" i="2"/>
  <c r="C118" i="2"/>
  <c r="AA117" i="2"/>
  <c r="Z117" i="2"/>
  <c r="C117" i="2"/>
  <c r="AA116" i="2"/>
  <c r="Z116" i="2"/>
  <c r="C116" i="2"/>
  <c r="AA115" i="2"/>
  <c r="Z115" i="2"/>
  <c r="C115" i="2"/>
  <c r="AA114" i="2"/>
  <c r="Z114" i="2"/>
  <c r="C114" i="2"/>
  <c r="AA113" i="2"/>
  <c r="Z113" i="2"/>
  <c r="C113" i="2"/>
  <c r="AA112" i="2"/>
  <c r="Z112" i="2"/>
  <c r="C112" i="2"/>
  <c r="AA111" i="2"/>
  <c r="Z111" i="2"/>
  <c r="C111" i="2"/>
  <c r="AA110" i="2"/>
  <c r="Z110" i="2"/>
  <c r="C110" i="2"/>
  <c r="AA109" i="2"/>
  <c r="Z109" i="2"/>
  <c r="C109" i="2"/>
  <c r="AA108" i="2"/>
  <c r="Z108" i="2"/>
  <c r="C108" i="2"/>
  <c r="AA107" i="2"/>
  <c r="Z107" i="2"/>
  <c r="C107" i="2"/>
  <c r="AA106" i="2"/>
  <c r="Z106" i="2"/>
  <c r="C106" i="2"/>
  <c r="AA105" i="2"/>
  <c r="Z105" i="2"/>
  <c r="C105" i="2"/>
  <c r="AA104" i="2"/>
  <c r="Z104" i="2"/>
  <c r="C104" i="2"/>
  <c r="AA103" i="2"/>
  <c r="Z103" i="2"/>
  <c r="C103" i="2"/>
  <c r="AA102" i="2"/>
  <c r="Z102" i="2"/>
  <c r="C102" i="2"/>
  <c r="AA101" i="2"/>
  <c r="Z101" i="2"/>
  <c r="C101" i="2"/>
  <c r="AA100" i="2"/>
  <c r="Z100" i="2"/>
  <c r="C100" i="2"/>
  <c r="AA99" i="2"/>
  <c r="Z99" i="2"/>
  <c r="C99" i="2"/>
  <c r="AA98" i="2"/>
  <c r="Z98" i="2"/>
  <c r="C98" i="2"/>
  <c r="AA97" i="2"/>
  <c r="Z97" i="2"/>
  <c r="C97" i="2"/>
  <c r="AA96" i="2"/>
  <c r="Z96" i="2"/>
  <c r="C96" i="2"/>
  <c r="AA95" i="2"/>
  <c r="Z95" i="2"/>
  <c r="C95" i="2"/>
  <c r="AA94" i="2"/>
  <c r="Z94" i="2"/>
  <c r="C94" i="2"/>
  <c r="AA93" i="2"/>
  <c r="Z93" i="2"/>
  <c r="C93" i="2"/>
  <c r="AA92" i="2"/>
  <c r="Z92" i="2"/>
  <c r="C92" i="2"/>
  <c r="AA91" i="2"/>
  <c r="Z91" i="2"/>
  <c r="C91" i="2"/>
  <c r="AA90" i="2"/>
  <c r="Z90" i="2"/>
  <c r="C90" i="2"/>
  <c r="AA89" i="2"/>
  <c r="Z89" i="2"/>
  <c r="C89" i="2"/>
  <c r="AA88" i="2"/>
  <c r="Z88" i="2"/>
  <c r="C88" i="2"/>
  <c r="AA87" i="2"/>
  <c r="Z87" i="2"/>
  <c r="C87" i="2"/>
  <c r="AA86" i="2"/>
  <c r="Z86" i="2"/>
  <c r="C86" i="2"/>
  <c r="AA85" i="2"/>
  <c r="Z85" i="2"/>
  <c r="C85" i="2"/>
  <c r="AA84" i="2"/>
  <c r="Z84" i="2"/>
  <c r="C84" i="2"/>
  <c r="AA83" i="2"/>
  <c r="Z83" i="2"/>
  <c r="C83" i="2"/>
  <c r="AA82" i="2"/>
  <c r="Z82" i="2"/>
  <c r="C82" i="2"/>
  <c r="AA81" i="2"/>
  <c r="Z81" i="2"/>
  <c r="C81" i="2"/>
  <c r="AA80" i="2"/>
  <c r="Z80" i="2"/>
  <c r="C80" i="2"/>
  <c r="AA79" i="2"/>
  <c r="Z79" i="2"/>
  <c r="C79" i="2"/>
  <c r="AA78" i="2"/>
  <c r="Z78" i="2"/>
  <c r="C78" i="2"/>
  <c r="AA77" i="2"/>
  <c r="Z77" i="2"/>
  <c r="C77" i="2"/>
  <c r="AA76" i="2"/>
  <c r="Z76" i="2"/>
  <c r="C76" i="2"/>
  <c r="AA75" i="2"/>
  <c r="Z75" i="2"/>
  <c r="C75" i="2"/>
  <c r="AA74" i="2"/>
  <c r="Z74" i="2"/>
  <c r="C74" i="2"/>
  <c r="AA73" i="2"/>
  <c r="Z73" i="2"/>
  <c r="C73" i="2"/>
  <c r="AA72" i="2"/>
  <c r="Z72" i="2"/>
  <c r="C72" i="2"/>
  <c r="AA71" i="2"/>
  <c r="Z71" i="2"/>
  <c r="C71" i="2"/>
  <c r="AA70" i="2"/>
  <c r="Z70" i="2"/>
  <c r="C70" i="2"/>
  <c r="AA69" i="2"/>
  <c r="Z69" i="2"/>
  <c r="C69" i="2"/>
  <c r="AA68" i="2"/>
  <c r="Z68" i="2"/>
  <c r="C68" i="2"/>
  <c r="AA67" i="2"/>
  <c r="Z67" i="2"/>
  <c r="C67" i="2"/>
  <c r="AA66" i="2"/>
  <c r="Z66" i="2"/>
  <c r="C66" i="2"/>
  <c r="AA65" i="2"/>
  <c r="Z65" i="2"/>
  <c r="C65" i="2"/>
  <c r="AA64" i="2"/>
  <c r="Z64" i="2"/>
  <c r="C64" i="2"/>
  <c r="AA63" i="2"/>
  <c r="Z63" i="2"/>
  <c r="C63" i="2"/>
  <c r="AA62" i="2"/>
  <c r="Z62" i="2"/>
  <c r="C62" i="2"/>
  <c r="AA61" i="2"/>
  <c r="Z61" i="2"/>
  <c r="C61" i="2"/>
  <c r="AA60" i="2"/>
  <c r="Z60" i="2"/>
  <c r="C60" i="2"/>
  <c r="AA59" i="2"/>
  <c r="Z59" i="2"/>
  <c r="C59" i="2"/>
  <c r="AA58" i="2"/>
  <c r="Z58" i="2"/>
  <c r="C58" i="2"/>
  <c r="AA57" i="2"/>
  <c r="Z57" i="2"/>
  <c r="C57" i="2"/>
  <c r="AA56" i="2"/>
  <c r="Z56" i="2"/>
  <c r="C56" i="2"/>
  <c r="AA55" i="2"/>
  <c r="Z55" i="2"/>
  <c r="C55" i="2"/>
  <c r="AA54" i="2"/>
  <c r="Z54" i="2"/>
  <c r="C54" i="2"/>
  <c r="AA53" i="2"/>
  <c r="Z53" i="2"/>
  <c r="C53" i="2"/>
  <c r="AA52" i="2"/>
  <c r="Z52" i="2"/>
  <c r="C52" i="2"/>
  <c r="AA51" i="2"/>
  <c r="Z51" i="2"/>
  <c r="C51" i="2"/>
  <c r="AA50" i="2"/>
  <c r="Z50" i="2"/>
  <c r="C50" i="2"/>
  <c r="AA49" i="2"/>
  <c r="Z49" i="2"/>
  <c r="C49" i="2"/>
  <c r="AA48" i="2"/>
  <c r="Z48" i="2"/>
  <c r="C48" i="2"/>
  <c r="AA47" i="2"/>
  <c r="Z47" i="2"/>
  <c r="C47" i="2"/>
  <c r="AA46" i="2"/>
  <c r="Z46" i="2"/>
  <c r="C46" i="2"/>
  <c r="AA45" i="2"/>
  <c r="Z45" i="2"/>
  <c r="C45" i="2"/>
  <c r="AA44" i="2"/>
  <c r="Z44" i="2"/>
  <c r="C44" i="2"/>
  <c r="AA43" i="2"/>
  <c r="Z43" i="2"/>
  <c r="C43" i="2"/>
  <c r="AA42" i="2"/>
  <c r="Z42" i="2"/>
  <c r="C42" i="2"/>
  <c r="AA41" i="2"/>
  <c r="Z41" i="2"/>
  <c r="C41" i="2"/>
  <c r="AA40" i="2"/>
  <c r="Z40" i="2"/>
  <c r="C40" i="2"/>
  <c r="AA39" i="2"/>
  <c r="Z39" i="2"/>
  <c r="C39" i="2"/>
  <c r="AA38" i="2"/>
  <c r="Z38" i="2"/>
  <c r="C38" i="2"/>
  <c r="AA37" i="2"/>
  <c r="Z37" i="2"/>
  <c r="C37" i="2"/>
  <c r="AA36" i="2"/>
  <c r="Z36" i="2"/>
  <c r="C36" i="2"/>
  <c r="AA35" i="2"/>
  <c r="Z35" i="2"/>
  <c r="C35" i="2"/>
  <c r="AA34" i="2"/>
  <c r="Z34" i="2"/>
  <c r="C34" i="2"/>
  <c r="AA33" i="2"/>
  <c r="Z33" i="2"/>
  <c r="C33" i="2"/>
  <c r="AA32" i="2"/>
  <c r="Z32" i="2"/>
  <c r="C32" i="2"/>
  <c r="AA31" i="2"/>
  <c r="Z31" i="2"/>
  <c r="C31" i="2"/>
  <c r="AA30" i="2"/>
  <c r="Z30" i="2"/>
  <c r="C30" i="2"/>
  <c r="AA29" i="2"/>
  <c r="Z29" i="2"/>
  <c r="C29" i="2"/>
  <c r="AA28" i="2"/>
  <c r="Z28" i="2"/>
  <c r="C28" i="2"/>
  <c r="AA27" i="2"/>
  <c r="Z27" i="2"/>
  <c r="C27" i="2"/>
  <c r="AA26" i="2"/>
  <c r="Z26" i="2"/>
  <c r="C26" i="2"/>
  <c r="AA25" i="2"/>
  <c r="Z25" i="2"/>
  <c r="C25" i="2"/>
  <c r="AA24" i="2"/>
  <c r="Z24" i="2"/>
  <c r="C24" i="2"/>
  <c r="AA23" i="2"/>
  <c r="Z23" i="2"/>
  <c r="C23" i="2"/>
  <c r="AA22" i="2"/>
  <c r="Z22" i="2"/>
  <c r="C22" i="2"/>
  <c r="AA21" i="2"/>
  <c r="Z21" i="2"/>
  <c r="C21" i="2"/>
  <c r="AA20" i="2"/>
  <c r="Z20" i="2"/>
  <c r="C20" i="2"/>
  <c r="AA19" i="2"/>
  <c r="Z19" i="2"/>
  <c r="C19" i="2"/>
  <c r="AA18" i="2"/>
  <c r="Z18" i="2"/>
  <c r="C18" i="2"/>
  <c r="AA17" i="2"/>
  <c r="Z17" i="2"/>
  <c r="C17" i="2"/>
  <c r="AA16" i="2"/>
  <c r="Z16" i="2"/>
  <c r="C16" i="2"/>
  <c r="AA15" i="2"/>
  <c r="Z15" i="2"/>
  <c r="C15" i="2"/>
  <c r="AA14" i="2"/>
  <c r="Z14" i="2"/>
  <c r="C14" i="2"/>
  <c r="AA13" i="2"/>
  <c r="Z13" i="2"/>
  <c r="C13" i="2"/>
  <c r="AA12" i="2"/>
  <c r="Z12" i="2"/>
  <c r="C12" i="2"/>
  <c r="AA11" i="2"/>
  <c r="Z11" i="2"/>
  <c r="C11" i="2"/>
  <c r="AA10" i="2"/>
  <c r="Z10" i="2"/>
  <c r="C10" i="2"/>
  <c r="AA9" i="2"/>
  <c r="Z9" i="2"/>
  <c r="C9" i="2"/>
  <c r="AA8" i="2"/>
  <c r="Z8" i="2"/>
  <c r="C8" i="2"/>
  <c r="AA7" i="2"/>
  <c r="Z7" i="2"/>
  <c r="C7" i="2"/>
  <c r="AA6" i="2"/>
  <c r="Z6" i="2"/>
  <c r="C6" i="2"/>
</calcChain>
</file>

<file path=xl/sharedStrings.xml><?xml version="1.0" encoding="utf-8"?>
<sst xmlns="http://schemas.openxmlformats.org/spreadsheetml/2006/main" count="107429" uniqueCount="8127">
  <si>
    <t>4.33*4.35*2.67</t>
  </si>
  <si>
    <t>12.47*19.49*7.62</t>
  </si>
  <si>
    <t>4.38*4.41*2.67</t>
  </si>
  <si>
    <t>10.41*10.47*6.35</t>
  </si>
  <si>
    <t>5.59*5.63*3.54</t>
  </si>
  <si>
    <t>5.41*7.48*3.67</t>
  </si>
  <si>
    <t>11.10*11.14*6.70</t>
  </si>
  <si>
    <t>6.64*6.67*4.48</t>
  </si>
  <si>
    <t>6.83*6.89*3.79</t>
  </si>
  <si>
    <t>6.57*6.60*4.09</t>
  </si>
  <si>
    <t>5.10*7.34*3.11</t>
  </si>
  <si>
    <t>4.19*5.87*2.83</t>
  </si>
  <si>
    <t>5.39*5.43*3.39</t>
  </si>
  <si>
    <t>VS1</t>
  </si>
  <si>
    <t>5.96*7.55*3.97</t>
  </si>
  <si>
    <t>SQUARE EMERALD</t>
  </si>
  <si>
    <t>5.53*5.56*3.48</t>
  </si>
  <si>
    <t>5.66*5.94*3.56</t>
  </si>
  <si>
    <t>5.29*6.32*3.60</t>
  </si>
  <si>
    <t>5.14*5.15*3.20</t>
  </si>
  <si>
    <t>4.47*4.57*2.83</t>
  </si>
  <si>
    <t>6.35*9.90*4.00</t>
  </si>
  <si>
    <t>7.57*11.08*5.08</t>
  </si>
  <si>
    <t>5.60*5.67*3.50</t>
  </si>
  <si>
    <t>4.27*4.32*2.73</t>
  </si>
  <si>
    <t>4.99*5.21*3.17</t>
  </si>
  <si>
    <t>7.20*10.13*4.41</t>
  </si>
  <si>
    <t>7.17*7.22*4.46</t>
  </si>
  <si>
    <t>6.39*6.45*4.01</t>
  </si>
  <si>
    <t>4.33*4.39*2.67</t>
  </si>
  <si>
    <t>5.65*8.79*3.44</t>
  </si>
  <si>
    <t>7.84*7.88*4.83</t>
  </si>
  <si>
    <t>4.78*7.03*3.06</t>
  </si>
  <si>
    <t>5.97*8.27*3.71</t>
  </si>
  <si>
    <t>4.66*6.63*2.42</t>
  </si>
  <si>
    <t>4.33*4.35*2.63</t>
  </si>
  <si>
    <t>5.43*7.38*3.46</t>
  </si>
  <si>
    <t>4.27*4.31*2.70</t>
  </si>
  <si>
    <t>11-19.99</t>
  </si>
  <si>
    <t>6.62*9.17*4.02</t>
  </si>
  <si>
    <t>7.14*9.85*4.48</t>
  </si>
  <si>
    <t>4.77*6.94*3.09</t>
  </si>
  <si>
    <t>5.05*6.58*3.29</t>
  </si>
  <si>
    <t>6.15*6.21*3.86</t>
  </si>
  <si>
    <t>6.25*7.58*4.20</t>
  </si>
  <si>
    <t>4.61*6.35*2.87</t>
  </si>
  <si>
    <t>9.46*13.05*5.90</t>
  </si>
  <si>
    <t>6.49*6.52*3.97</t>
  </si>
  <si>
    <t>6.50*6.52*3.93</t>
  </si>
  <si>
    <t>4.57*4.61*2.87</t>
  </si>
  <si>
    <t>7.29*10.13*4.40</t>
  </si>
  <si>
    <t>8.62*11.63*5.77</t>
  </si>
  <si>
    <t>7.78*9.15*4.93</t>
  </si>
  <si>
    <t>5.33*5.61*3.59</t>
  </si>
  <si>
    <t>6.84*9.56*4.55</t>
  </si>
  <si>
    <t>5.86*8.00*4.00</t>
  </si>
  <si>
    <t>6.60*9.08*4.09</t>
  </si>
  <si>
    <t>5.57*6.63*3.69</t>
  </si>
  <si>
    <t>5.48*8.46*3.37</t>
  </si>
  <si>
    <t>10.30*10.34*6.20</t>
  </si>
  <si>
    <t>4.80*4.83*3.03</t>
  </si>
  <si>
    <t>5.65*8.15*3.46</t>
  </si>
  <si>
    <t>6.99*8.48*4.72</t>
  </si>
  <si>
    <t>6.58*8.85*4.33</t>
  </si>
  <si>
    <t>5.43*5.46*3.62</t>
  </si>
  <si>
    <t>6.51*6.55*4.06</t>
  </si>
  <si>
    <t>4.33*4.38*2.74</t>
  </si>
  <si>
    <t>4.62*4.75*2.91</t>
  </si>
  <si>
    <t>6.45*6.45*4.40</t>
  </si>
  <si>
    <t>9.14*9.19*5.67</t>
  </si>
  <si>
    <t>FANCY VIVID ORANGE PINK</t>
  </si>
  <si>
    <t>5.15*5.21*3.04</t>
  </si>
  <si>
    <t>4.37*4.40*2.69</t>
  </si>
  <si>
    <t>7.38*8.48*4.27</t>
  </si>
  <si>
    <t>6.47*6.52*3.92</t>
  </si>
  <si>
    <t>6.99*7.01*4.32</t>
  </si>
  <si>
    <t>8.43*8.47*5.18</t>
  </si>
  <si>
    <t>6.43*6.44*3.99</t>
  </si>
  <si>
    <t>9.72*13.64*5.98</t>
  </si>
  <si>
    <t>5.59*5.65*3.56</t>
  </si>
  <si>
    <t>8.10*8.21*5.22</t>
  </si>
  <si>
    <t>5.28*7.17*3.32</t>
  </si>
  <si>
    <t>6.92*9.71*4.64</t>
  </si>
  <si>
    <t>4.50*6.24*2.81</t>
  </si>
  <si>
    <t>5.06*6.82*3.25</t>
  </si>
  <si>
    <t>4.90*6.59*3.15</t>
  </si>
  <si>
    <t>4.39*4.41*2.67</t>
  </si>
  <si>
    <t>5.65*8.58*3.42</t>
  </si>
  <si>
    <t>5.00*7.90*3.02</t>
  </si>
  <si>
    <t>4.66*4.69*2.82</t>
  </si>
  <si>
    <t>7.49*10.89*5.06</t>
  </si>
  <si>
    <t>6.75*6.90*4.47</t>
  </si>
  <si>
    <t>9.29*9.32*5.70</t>
  </si>
  <si>
    <t>5.46*7.53*3.42</t>
  </si>
  <si>
    <t>5.56*5.05*3.25</t>
  </si>
  <si>
    <t>6.46*8.80*4.07</t>
  </si>
  <si>
    <t>7.49*9.43*5.05</t>
  </si>
  <si>
    <t>4.28*4.31*2.64</t>
  </si>
  <si>
    <t>6.82*6.86*4.54</t>
  </si>
  <si>
    <t>6.21*6.23*4.08</t>
  </si>
  <si>
    <t>4.41*4.42*2.71</t>
  </si>
  <si>
    <t>6.16*7.43*4.14</t>
  </si>
  <si>
    <t>5.41*5.42*3.91</t>
  </si>
  <si>
    <t>8.06*8.08*4.99</t>
  </si>
  <si>
    <t>6.37*6.41*3.99</t>
  </si>
  <si>
    <t>6.68*9.10*4.06</t>
  </si>
  <si>
    <t>5.39*7.46*3.69</t>
  </si>
  <si>
    <t>7.98*11.66*5.14</t>
  </si>
  <si>
    <t>4.48*4.50*2.78</t>
  </si>
  <si>
    <t>5.12*5.15*3.06</t>
  </si>
  <si>
    <t>4.24*6.19*2.83</t>
  </si>
  <si>
    <t>7.98*8.03*5.01</t>
  </si>
  <si>
    <t>10.85*10.89*6.51</t>
  </si>
  <si>
    <t>4.94*5.16*3.24</t>
  </si>
  <si>
    <t>7.09*11.07*4.27</t>
  </si>
  <si>
    <t>6.23*7.71*4.20</t>
  </si>
  <si>
    <t>5.98*6.89*4.11</t>
  </si>
  <si>
    <t>5.95*8.46*3.94</t>
  </si>
  <si>
    <t>5.12*10.03*3.23</t>
  </si>
  <si>
    <t>5.52*5.56*3.57</t>
  </si>
  <si>
    <t>4.86*5.14*3.22</t>
  </si>
  <si>
    <t>6.41*6.47*3.99</t>
  </si>
  <si>
    <t>5.78*5.90*3.88</t>
  </si>
  <si>
    <t>5.92*8.36*3.73</t>
  </si>
  <si>
    <t>8.04*11.97*5.18</t>
  </si>
  <si>
    <t>5.58*8.44*3.58</t>
  </si>
  <si>
    <t>4.95*8.06*2.99</t>
  </si>
  <si>
    <t>4.27*4.31*2.61</t>
  </si>
  <si>
    <t>5.57*5.59*3.99</t>
  </si>
  <si>
    <t>4.35*4.37*2.71</t>
  </si>
  <si>
    <t>6.91*7.11*4.38</t>
  </si>
  <si>
    <t>8.57*8.60*5.23</t>
  </si>
  <si>
    <t>4.44*4.46*2.78</t>
  </si>
  <si>
    <t>4.22*6.14*2.74</t>
  </si>
  <si>
    <t>9.43*15.88*5.71</t>
  </si>
  <si>
    <t>6.00*8.29*3.92</t>
  </si>
  <si>
    <t>6.92*6.02*3.98</t>
  </si>
  <si>
    <t>4.16*6.19*2.77</t>
  </si>
  <si>
    <t>6.63*6.65*4.04</t>
  </si>
  <si>
    <t>7.08*7.09*4.75</t>
  </si>
  <si>
    <t>6.54*6.75*4.39</t>
  </si>
  <si>
    <t>4.30*4.34*2.71</t>
  </si>
  <si>
    <t>6.67*9.28*4.08</t>
  </si>
  <si>
    <t>7.18*7.45*4.54</t>
  </si>
  <si>
    <t>5.32*6.72*3.37</t>
  </si>
  <si>
    <t>5.42*5.65*3.73</t>
  </si>
  <si>
    <t>5.78*7.87*3.59</t>
  </si>
  <si>
    <t>7.12*10.87*4.44</t>
  </si>
  <si>
    <t>4.57*6.37*2.83</t>
  </si>
  <si>
    <t>5.61*5.64*3.43</t>
  </si>
  <si>
    <t>6.97*7.06*4.48</t>
  </si>
  <si>
    <t>4.89*6.85*3.30</t>
  </si>
  <si>
    <t>4.30*4.34*2.65</t>
  </si>
  <si>
    <t>9.12*9.19*5.54</t>
  </si>
  <si>
    <t>5.17*5.21*3.13</t>
  </si>
  <si>
    <t>4.67*4.70*2.90</t>
  </si>
  <si>
    <t>6.48*6.51*3.94</t>
  </si>
  <si>
    <t>10.43*8.95*5.71</t>
  </si>
  <si>
    <t>6.48*8.83*4.09</t>
  </si>
  <si>
    <t>4.67*6.55*3.17</t>
  </si>
  <si>
    <t>7.05*7.05*4.68</t>
  </si>
  <si>
    <t>Cert</t>
  </si>
  <si>
    <t>5.20*7.82*3.57</t>
  </si>
  <si>
    <t>5.64*8.48*3.52</t>
  </si>
  <si>
    <t>6.25*6.58*4.32</t>
  </si>
  <si>
    <t>8.16*8.56*5.20</t>
  </si>
  <si>
    <t>5.08*5.12*3.22</t>
  </si>
  <si>
    <t>6.12*6.12*4.46</t>
  </si>
  <si>
    <t>8.17*8.21*5.06</t>
  </si>
  <si>
    <t>3.69*5.35*2.48</t>
  </si>
  <si>
    <t>7.84*10.96*5.26</t>
  </si>
  <si>
    <t>6.48*8.81*4.12</t>
  </si>
  <si>
    <t>4.38*4.43*2.65</t>
  </si>
  <si>
    <t>6.60*6.62*4.08</t>
  </si>
  <si>
    <t>5.03*7.30*3.03</t>
  </si>
  <si>
    <t>4.64*4.66*2.88</t>
  </si>
  <si>
    <t>4.52*6.33*2.82</t>
  </si>
  <si>
    <t>6.39*6.51*4.65</t>
  </si>
  <si>
    <t>4.45*5.75*2.89</t>
  </si>
  <si>
    <t>5.13*5.15*3.19</t>
  </si>
  <si>
    <t>7.13*10.94*4.30</t>
  </si>
  <si>
    <t>4.95*6.68*3.31</t>
  </si>
  <si>
    <t>5.78*7.98*3.54</t>
  </si>
  <si>
    <t>4.79*6.79*3.06</t>
  </si>
  <si>
    <t>4.26*4.54*2.94</t>
  </si>
  <si>
    <t>5.09*5.13*3.21</t>
  </si>
  <si>
    <t>5.22*5.24*3.18</t>
  </si>
  <si>
    <t>5.68*5.73*3.54</t>
  </si>
  <si>
    <t>10.10*8.57*5.94</t>
  </si>
  <si>
    <t>7.56*7.72*5.44</t>
  </si>
  <si>
    <t>Cut Cornered Rectangular Modified Brilliant</t>
  </si>
  <si>
    <t>4.83*6.77*3.27</t>
  </si>
  <si>
    <t>4.48*4.58*2.87</t>
  </si>
  <si>
    <t>6.55*6.61*4.11</t>
  </si>
  <si>
    <t>7.11*13.28*4.35</t>
  </si>
  <si>
    <t>5.46*7.69*3.61</t>
  </si>
  <si>
    <t>7.22*8.30*4.54</t>
  </si>
  <si>
    <t>5.56*8.51*3.47</t>
  </si>
  <si>
    <t>4.97*5.07*3.31</t>
  </si>
  <si>
    <t>5.54*5.58*3.87</t>
  </si>
  <si>
    <t>5.93*6.90*3.48</t>
  </si>
  <si>
    <t>7.35*6.45*4.41</t>
  </si>
  <si>
    <t>9.29*9.34*5.77</t>
  </si>
  <si>
    <t>6.15*7.38*3.91</t>
  </si>
  <si>
    <t>4.59*6.94*2.86</t>
  </si>
  <si>
    <t>11.11*21.70*6.50</t>
  </si>
  <si>
    <t>9.02*17.10*5.73</t>
  </si>
  <si>
    <t>4.46*5.89*3.00</t>
  </si>
  <si>
    <t>4.80*6.75*3.11</t>
  </si>
  <si>
    <t>6.78*6.81*4.18</t>
  </si>
  <si>
    <t>4.54*4.55*2.93</t>
  </si>
  <si>
    <t>5.12*6.92*3.46</t>
  </si>
  <si>
    <t>4.90*4.93*3.10</t>
  </si>
  <si>
    <t>5.71*7.87*3.56</t>
  </si>
  <si>
    <t>9.04*9.10*5.65</t>
  </si>
  <si>
    <t>5.32*6.42*3.59</t>
  </si>
  <si>
    <t>9.95*14.04*5.98</t>
  </si>
  <si>
    <t>5.51*5.78*3.63</t>
  </si>
  <si>
    <t>4.23*4.25*2.67</t>
  </si>
  <si>
    <t>4.90*4.94*3.13</t>
  </si>
  <si>
    <t>5.50*7.54*3.55</t>
  </si>
  <si>
    <t>5.80*8.57*3.54</t>
  </si>
  <si>
    <t>8.25*11.53*4.99</t>
  </si>
  <si>
    <t>5.81*7.92*3.58</t>
  </si>
  <si>
    <t>7.05*6.38*3.91</t>
  </si>
  <si>
    <t>6.48*6.55*4.00</t>
  </si>
  <si>
    <t>3.86*5.40*2.51</t>
  </si>
  <si>
    <t>8.42*8.54*5.46</t>
  </si>
  <si>
    <t>5.13*5.15*3.23</t>
  </si>
  <si>
    <t>5.34*5.51*3.89</t>
  </si>
  <si>
    <t>5.05*6.65*3.33</t>
  </si>
  <si>
    <t>4.70*6.02*3.12</t>
  </si>
  <si>
    <t>9.27*9.35*6.16</t>
  </si>
  <si>
    <t>6.29*6.32*4.12</t>
  </si>
  <si>
    <t>6.54*9.07*4.03</t>
  </si>
  <si>
    <t>7.29*7.32*4.97</t>
  </si>
  <si>
    <t>6.55*6.59*4.06</t>
  </si>
  <si>
    <t>4.40*4.42*2.70</t>
  </si>
  <si>
    <t>6.72*12.72*4.15</t>
  </si>
  <si>
    <t>4.72*6.77*3.05</t>
  </si>
  <si>
    <t>7.20*10.76*4.42</t>
  </si>
  <si>
    <t>6.48*6.50*3.97</t>
  </si>
  <si>
    <t>7.27*7.30*5.12</t>
  </si>
  <si>
    <t>6.51*9.09*4.10</t>
  </si>
  <si>
    <t>7.22*9.99*4.48</t>
  </si>
  <si>
    <t>5.87*7.99*4.01</t>
  </si>
  <si>
    <t>5.63*8.57*3.51</t>
  </si>
  <si>
    <t>5.55*7.55*3.74</t>
  </si>
  <si>
    <t>6.61*7.93*4.40</t>
  </si>
  <si>
    <t>6.33*6.40*3.99</t>
  </si>
  <si>
    <t>5.53*7.74*3.60</t>
  </si>
  <si>
    <t>5.48*7.45*3.72</t>
  </si>
  <si>
    <t>5.60*7.60*3.79</t>
  </si>
  <si>
    <t>8.00*8.15*5.58</t>
  </si>
  <si>
    <t>5.59*5.64*3.54</t>
  </si>
  <si>
    <t>5.42*5.80*3.66</t>
  </si>
  <si>
    <t>5.16*5.18*3.21</t>
  </si>
  <si>
    <t>8.09*8.13*5.00</t>
  </si>
  <si>
    <t>5.40*5.52*3.89</t>
  </si>
  <si>
    <t>4.43*4.46*2.63</t>
  </si>
  <si>
    <t>5.10*5.16*3.23</t>
  </si>
  <si>
    <t>4.73*4.75*2.94</t>
  </si>
  <si>
    <t>4.54*7.35*2.70</t>
  </si>
  <si>
    <t>4.49*6.97*2.80</t>
  </si>
  <si>
    <t>5.08*9.82*3.15</t>
  </si>
  <si>
    <t>6.25*6.40*4.20</t>
  </si>
  <si>
    <t>MOVAL</t>
  </si>
  <si>
    <t>D</t>
  </si>
  <si>
    <t>10.66*9.43*6.12</t>
  </si>
  <si>
    <t>5.06*7.79*3.11</t>
  </si>
  <si>
    <t>11.61*11.84*8.05</t>
  </si>
  <si>
    <t>5.62*8.62*3.44</t>
  </si>
  <si>
    <t>7.03*7.08*4.74</t>
  </si>
  <si>
    <t>5.54*5.77*3.70</t>
  </si>
  <si>
    <t>6.04*8.26*3.95</t>
  </si>
  <si>
    <t>5.44*7.91*3.62</t>
  </si>
  <si>
    <t>3.79*5.16*2.57</t>
  </si>
  <si>
    <t>7.21*10.23*4.35</t>
  </si>
  <si>
    <t>6.22*8.01*4.16</t>
  </si>
  <si>
    <t>5.79*5.98*3.74</t>
  </si>
  <si>
    <t>4.51*6.26*3.07</t>
  </si>
  <si>
    <t>7.59*11.00*5.00</t>
  </si>
  <si>
    <t>6.75*5.68*4.02</t>
  </si>
  <si>
    <t>6.72*6.79*4.41</t>
  </si>
  <si>
    <t>4.99*5.28*3.34</t>
  </si>
  <si>
    <t>5.35*7.49*3.61</t>
  </si>
  <si>
    <t>4.29*4.32*2.66</t>
  </si>
  <si>
    <t>7.43*8.51*4.28</t>
  </si>
  <si>
    <t>7.11*7.18*4.39</t>
  </si>
  <si>
    <t>4.14*6.29*2.66</t>
  </si>
  <si>
    <t>8.06*8.10*4.88</t>
  </si>
  <si>
    <t>6.61*6.62*4.05</t>
  </si>
  <si>
    <t>4.61*4.64*2.89</t>
  </si>
  <si>
    <t>5.87*8.17*3.52</t>
  </si>
  <si>
    <t>4.85*4.89*2.97</t>
  </si>
  <si>
    <t>5.64*8.97*3.47</t>
  </si>
  <si>
    <t>4.32*4.34*3.09</t>
  </si>
  <si>
    <t>6.51*6.52*4.30</t>
  </si>
  <si>
    <t>4.34*4.39*2.63</t>
  </si>
  <si>
    <t>6.45*6.47*3.91</t>
  </si>
  <si>
    <t>4.67*4.71*2.91</t>
  </si>
  <si>
    <t>8.15*12.35*4.94</t>
  </si>
  <si>
    <t>7.17*6.36*3.98</t>
  </si>
  <si>
    <t>8.19*11.84*5.02</t>
  </si>
  <si>
    <t>4.06*6.39*2.62</t>
  </si>
  <si>
    <t>4.75*4.78*2.97</t>
  </si>
  <si>
    <t>5.53*7.54*3.75</t>
  </si>
  <si>
    <t>5.55*5.61*3.30</t>
  </si>
  <si>
    <t>5.89*7.10*3.96</t>
  </si>
  <si>
    <t>4.77*6.69*3.16</t>
  </si>
  <si>
    <t>8.63*13.21*5.22</t>
  </si>
  <si>
    <t>4.87*4.90*2.98</t>
  </si>
  <si>
    <t>4.55*6.68*3.05</t>
  </si>
  <si>
    <t>6.45*6.47*3.98</t>
  </si>
  <si>
    <t>3.84*5.38*2.44</t>
  </si>
  <si>
    <t>8.48*8.51*5.18</t>
  </si>
  <si>
    <t>8.27*8.33*5.10</t>
  </si>
  <si>
    <t>6.57*6.74*4.32</t>
  </si>
  <si>
    <t>5.24*6.27*3.54</t>
  </si>
  <si>
    <t>5.71*5.75*3.49</t>
  </si>
  <si>
    <t>6.43*6.46*3.95</t>
  </si>
  <si>
    <t>7.44*7.50*4.53</t>
  </si>
  <si>
    <t>5.61*5.65*3.46</t>
  </si>
  <si>
    <t>4.87*9.05*3.13</t>
  </si>
  <si>
    <t>4.85*6.58*3.21</t>
  </si>
  <si>
    <t>5.88*8.11*3.52</t>
  </si>
  <si>
    <t>4.22*4.32*2.86</t>
  </si>
  <si>
    <t>6.58*6.60*4.11</t>
  </si>
  <si>
    <t>4.94*5.31*3.12</t>
  </si>
  <si>
    <t>5.70*7.98*3.54</t>
  </si>
  <si>
    <t>4.34*4.37*2.93</t>
  </si>
  <si>
    <t>6.41*6.45*3.99</t>
  </si>
  <si>
    <t>8.19*8.23*5.09</t>
  </si>
  <si>
    <t>9.20*9.27*5.75</t>
  </si>
  <si>
    <t>6.63*9.01*4.13</t>
  </si>
  <si>
    <t>4.71*6.83*3.16</t>
  </si>
  <si>
    <t>4.92*5.15*3.22</t>
  </si>
  <si>
    <t>10.34*10.37*6.17</t>
  </si>
  <si>
    <t>4.54*6.38*2.85</t>
  </si>
  <si>
    <t>5.58*5.62*3.55</t>
  </si>
  <si>
    <t>5.66*8.67*3.45</t>
  </si>
  <si>
    <t>5.42*7.49*3.66</t>
  </si>
  <si>
    <t>6.45*9.71*4.04</t>
  </si>
  <si>
    <t>5.96*11.72*3.65</t>
  </si>
  <si>
    <t>5.38*5.56*3.42</t>
  </si>
  <si>
    <t>4.70*6.89*3.13</t>
  </si>
  <si>
    <t>5.62*8.30*3.57</t>
  </si>
  <si>
    <t>7.48*13.88*4.80</t>
  </si>
  <si>
    <t>5.12*6.59*3.41</t>
  </si>
  <si>
    <t>8.13*11.33*5.10</t>
  </si>
  <si>
    <t>5.50*7.51*3.63</t>
  </si>
  <si>
    <t>8.01*12.51*5.04</t>
  </si>
  <si>
    <t>6.20*7.52*3.93</t>
  </si>
  <si>
    <t>7.20*7.30*4.62</t>
  </si>
  <si>
    <t>5.59*5.66*3.58</t>
  </si>
  <si>
    <t>8.55*12.31*5.15</t>
  </si>
  <si>
    <t>3.84*5.50*2.58</t>
  </si>
  <si>
    <t>6.78*6.90*4.56</t>
  </si>
  <si>
    <t>4.42*4.45*2.68</t>
  </si>
  <si>
    <t>6.43*6.47*3.96</t>
  </si>
  <si>
    <t>6.44*9.52*4.15</t>
  </si>
  <si>
    <t>4.73*4.77*2.85</t>
  </si>
  <si>
    <t>5.06*5.10*3.15</t>
  </si>
  <si>
    <t>6.45*7.72*4.30</t>
  </si>
  <si>
    <t>5.14*5.18*3.03</t>
  </si>
  <si>
    <t>5.47*5.72*3.69</t>
  </si>
  <si>
    <t>5.09*6.56*3.41</t>
  </si>
  <si>
    <t>7.41*7.46*4.64</t>
  </si>
  <si>
    <t>4.22*4.25*2.67</t>
  </si>
  <si>
    <t>6.69*6.72*4.06</t>
  </si>
  <si>
    <t>5.38*7.47*3.65</t>
  </si>
  <si>
    <t>7.77*8.92*4.43</t>
  </si>
  <si>
    <t>7.56*7.60*4.58</t>
  </si>
  <si>
    <t>6.62*9.14*4.03</t>
  </si>
  <si>
    <t>6.55*9.03*3.95</t>
  </si>
  <si>
    <t>5.71*5.75*3.47</t>
  </si>
  <si>
    <t>4.70*4.72*2.91</t>
  </si>
  <si>
    <t>6.54*8.87*4.10</t>
  </si>
  <si>
    <t>5.32*7.61*3.44</t>
  </si>
  <si>
    <t>4.99*7.00*3.38</t>
  </si>
  <si>
    <t>5.35*7.76*3.42</t>
  </si>
  <si>
    <t>3.91*5.48*2.62</t>
  </si>
  <si>
    <t>5.56*5.77*3.60</t>
  </si>
  <si>
    <t>5.57*5.61*3.51</t>
  </si>
  <si>
    <t>6.93*13.63*4.23</t>
  </si>
  <si>
    <t>5.88*5.95*3.66</t>
  </si>
  <si>
    <t>6.13*7.31*3.98</t>
  </si>
  <si>
    <t>4.64*6.34*2.78</t>
  </si>
  <si>
    <t>5.39*8.69*3.32</t>
  </si>
  <si>
    <t>5.70*5.73*3.76</t>
  </si>
  <si>
    <t>4.24*5.97*2.80</t>
  </si>
  <si>
    <t>5.51*7.78*3.41</t>
  </si>
  <si>
    <t>6.59*9.09*4.09</t>
  </si>
  <si>
    <t>8.00*8.09*4.97</t>
  </si>
  <si>
    <t>4.22*5.73*2.89</t>
  </si>
  <si>
    <t>FANCY VIVID YELLOW</t>
  </si>
  <si>
    <t>4.35*4.38*2.93</t>
  </si>
  <si>
    <t>5.35*6.42*3.50</t>
  </si>
  <si>
    <t>5.71*8.22*3.50</t>
  </si>
  <si>
    <t>6.45*6.84*4.08</t>
  </si>
  <si>
    <t>5.09*6.52*3.33</t>
  </si>
  <si>
    <t>5.70*8.17*3.55</t>
  </si>
  <si>
    <t>4.48*4.50*2.84</t>
  </si>
  <si>
    <t>11.17*11.22*6.84</t>
  </si>
  <si>
    <t>4.05*8.46*2.49</t>
  </si>
  <si>
    <t>6.87*6.92*4.62</t>
  </si>
  <si>
    <t>4.62*8.84*2.88</t>
  </si>
  <si>
    <t>5.07*6.50*3.39</t>
  </si>
  <si>
    <t>4.30*4.35*2.68</t>
  </si>
  <si>
    <t>4.54*6.33*2.86</t>
  </si>
  <si>
    <t>8.66*8.69*5.40</t>
  </si>
  <si>
    <t>6.59*7.91*4.45</t>
  </si>
  <si>
    <t>7.28*7.34*5.27</t>
  </si>
  <si>
    <t>10.31*21.61*6.22</t>
  </si>
  <si>
    <t>5.43*6.98*3.57</t>
  </si>
  <si>
    <t>5.67*5.72*3.40</t>
  </si>
  <si>
    <t>4.78*4.80*2.94</t>
  </si>
  <si>
    <t>6.49*6.52*4.01</t>
  </si>
  <si>
    <t>5.52*5.56*3.40</t>
  </si>
  <si>
    <t>7.29*8.46*4.47</t>
  </si>
  <si>
    <t>4.81*4.83*3.01</t>
  </si>
  <si>
    <t>6.64*9.11*4.09</t>
  </si>
  <si>
    <t>6.56*8.96*4.10</t>
  </si>
  <si>
    <t>7.38*7.42*4.59</t>
  </si>
  <si>
    <t>5.01*5.27*3.14</t>
  </si>
  <si>
    <t>4.47*7.22*2.74</t>
  </si>
  <si>
    <t>11.30*11.35*7.03</t>
  </si>
  <si>
    <t>4.52*6.94*2.82</t>
  </si>
  <si>
    <t>4.25*4.27*2.65</t>
  </si>
  <si>
    <t>6.64*6.69*4.02</t>
  </si>
  <si>
    <t>4.37*4.41*2.68</t>
  </si>
  <si>
    <t>5.77*7.94*3.57</t>
  </si>
  <si>
    <t>5.28*8.24*3.54</t>
  </si>
  <si>
    <t>6.02*8.46*3.56</t>
  </si>
  <si>
    <t>5.41*7.73*3.53</t>
  </si>
  <si>
    <t>6.55*9.99*3.99</t>
  </si>
  <si>
    <t>4.79*4.82*3.00</t>
  </si>
  <si>
    <t>4.30-4.49</t>
  </si>
  <si>
    <t>7.55*7.59*4.65</t>
  </si>
  <si>
    <t>7.12*7.15*4.42</t>
  </si>
  <si>
    <t>4.86*6.24*3.23</t>
  </si>
  <si>
    <t>5.35*5.39*3.40</t>
  </si>
  <si>
    <t>4.65*4.84*3.44</t>
  </si>
  <si>
    <t>6.54*6.60*4.13</t>
  </si>
  <si>
    <t>SI1</t>
  </si>
  <si>
    <t>5.52*7.78*3.43</t>
  </si>
  <si>
    <t>6.30*5.48*3.52</t>
  </si>
  <si>
    <t>4.81*6.73*3.20</t>
  </si>
  <si>
    <t>4.64*9.71*2.84</t>
  </si>
  <si>
    <t>4.77*9.04*2.94</t>
  </si>
  <si>
    <t>6.46*6.49*3.94</t>
  </si>
  <si>
    <t>5.83*8.39*3.52</t>
  </si>
  <si>
    <t>4.18*5.71*2.84</t>
  </si>
  <si>
    <t>9.95*14.39*6.55</t>
  </si>
  <si>
    <t>4.71*6.62*3.16</t>
  </si>
  <si>
    <t>4.08*6.07*2.79</t>
  </si>
  <si>
    <t>5.65*5.68*3.54</t>
  </si>
  <si>
    <t>4.13*6.43*2.65</t>
  </si>
  <si>
    <t>8.02*11.06*5.47</t>
  </si>
  <si>
    <t>5.03*6.49*3.39</t>
  </si>
  <si>
    <t>8.22*11.51*5.06</t>
  </si>
  <si>
    <t>4.58*7.09*2.80</t>
  </si>
  <si>
    <t>7.41*7.44*4.50</t>
  </si>
  <si>
    <t>6.50*8.94*4.05</t>
  </si>
  <si>
    <t>8.63*8.67*5.20</t>
  </si>
  <si>
    <t>8.95*12.78*5.53</t>
  </si>
  <si>
    <t>5.43*6.77*3.55</t>
  </si>
  <si>
    <t>5.90*8.16*3.54</t>
  </si>
  <si>
    <t>6.80*5.95*3.94</t>
  </si>
  <si>
    <t>5.86*7.07*3.89</t>
  </si>
  <si>
    <t>4.71*6.47*3.23</t>
  </si>
  <si>
    <t>Oval Brilliant</t>
  </si>
  <si>
    <t>7.26*7.31*4.49</t>
  </si>
  <si>
    <t>5.77*7.92*3.60</t>
  </si>
  <si>
    <t>5.63*5.89*3.70</t>
  </si>
  <si>
    <t>6.46*6.52*4.11</t>
  </si>
  <si>
    <t>5.06*7.33*3.07</t>
  </si>
  <si>
    <t>8.29*8.35*5.06</t>
  </si>
  <si>
    <t>5.65*5.67*3.48</t>
  </si>
  <si>
    <t>8.06*6.97*4.77</t>
  </si>
  <si>
    <t>7.16*7.19*4.41</t>
  </si>
  <si>
    <t>4.59*4.60*2.97</t>
  </si>
  <si>
    <t>6.63*9.12*4.02</t>
  </si>
  <si>
    <t>5.62*7.62*3.50</t>
  </si>
  <si>
    <t>8.78*12.54*5.31</t>
  </si>
  <si>
    <t>5.43*7.67*3.52</t>
  </si>
  <si>
    <t>4.69*7.37*2.99</t>
  </si>
  <si>
    <t>6.89*9.83*4.49</t>
  </si>
  <si>
    <t>4.40*4.44*2.69</t>
  </si>
  <si>
    <t>8.95*13.21*5.68</t>
  </si>
  <si>
    <t>5.57*8.47*3.58</t>
  </si>
  <si>
    <t>4.21*4.26*2.67</t>
  </si>
  <si>
    <t>6.79*9.59*4.42</t>
  </si>
  <si>
    <t>6.57*9.05*4.47</t>
  </si>
  <si>
    <t>4.89*7.03*3.24</t>
  </si>
  <si>
    <t>8.31*8.36*5.21</t>
  </si>
  <si>
    <t>5.26*9.78*3.37</t>
  </si>
  <si>
    <t>6.45*8.74*4.22</t>
  </si>
  <si>
    <t>6.53*6.58*4.07</t>
  </si>
  <si>
    <t>6.21*6.40*4.48</t>
  </si>
  <si>
    <t>5.27*5.30*3.25</t>
  </si>
  <si>
    <t>4.78*6.70*3.18</t>
  </si>
  <si>
    <t>6.20*6.37*4.15</t>
  </si>
  <si>
    <t>7.18*11.06*4.43</t>
  </si>
  <si>
    <t>6.47*6.48*4.00</t>
  </si>
  <si>
    <t>6.25*6.37*4.06</t>
  </si>
  <si>
    <t>4.43*4.48*2.71</t>
  </si>
  <si>
    <t>6.52*6.57*3.95</t>
  </si>
  <si>
    <t>4.24*5.75*2.86</t>
  </si>
  <si>
    <t>5.67*8.77*3.47</t>
  </si>
  <si>
    <t>4.54*4.70*2.96</t>
  </si>
  <si>
    <t>6.58*9.72*4.13</t>
  </si>
  <si>
    <t>5.43*5.70*3.66</t>
  </si>
  <si>
    <t>6.55*6.60*4.10</t>
  </si>
  <si>
    <t>5.46*6.56*3.61</t>
  </si>
  <si>
    <t>5.47*7.49*3.71</t>
  </si>
  <si>
    <t>5.16*5.22*3.24</t>
  </si>
  <si>
    <t>4.49*4.52*2.85</t>
  </si>
  <si>
    <t>3.91*5.51*2.62</t>
  </si>
  <si>
    <t>4.65*8.88*2.95</t>
  </si>
  <si>
    <t>7.07*7.11*4.49</t>
  </si>
  <si>
    <t>9.84*9.87*6.56</t>
  </si>
  <si>
    <t>4.26*4.28*2.66</t>
  </si>
  <si>
    <t>5.91*5.94*3.73</t>
  </si>
  <si>
    <t>4.79*6.77*3.15</t>
  </si>
  <si>
    <t>5.23*8.24*3.45</t>
  </si>
  <si>
    <t>6.95*10.97*4.37</t>
  </si>
  <si>
    <t>5.64*7.67*3.58</t>
  </si>
  <si>
    <t>8.60*12.94*5.17</t>
  </si>
  <si>
    <t>LONG CU BRIL</t>
  </si>
  <si>
    <t>5.28*7.10*3.40</t>
  </si>
  <si>
    <t>7.71*8.22*4.89</t>
  </si>
  <si>
    <t>6.41*6.43*3.98</t>
  </si>
  <si>
    <t>0.35-0.39</t>
  </si>
  <si>
    <t>6.49*6.76*4.13</t>
  </si>
  <si>
    <t>6.30*6.34*4.58</t>
  </si>
  <si>
    <t>5.61*7.23*3.79</t>
  </si>
  <si>
    <t>6.24*5.70*3.54</t>
  </si>
  <si>
    <t>4.73*4.77*2.96</t>
  </si>
  <si>
    <t>5.57*5.62*3.53</t>
  </si>
  <si>
    <t>8.59*8.63*5.77</t>
  </si>
  <si>
    <t>8.90*18.56*5.49</t>
  </si>
  <si>
    <t>5.38*5.46*3.92</t>
  </si>
  <si>
    <t>5.70*5.72*3.56</t>
  </si>
  <si>
    <t>5.11*7.38*3.40</t>
  </si>
  <si>
    <t>7.56*9.18*4.96</t>
  </si>
  <si>
    <t>5.54*7.59*3.74</t>
  </si>
  <si>
    <t>4.81*6.53*3.25</t>
  </si>
  <si>
    <t>5.38*7.45*3.65</t>
  </si>
  <si>
    <t>5.16*6.29*3.52</t>
  </si>
  <si>
    <t>6.51*6.54*3.90</t>
  </si>
  <si>
    <t>4.73*4.77*2.91</t>
  </si>
  <si>
    <t>6.47*6.50*3.96</t>
  </si>
  <si>
    <t>5.08*5.10*3.18</t>
  </si>
  <si>
    <t>5.93*8.64*4.11</t>
  </si>
  <si>
    <t>7.21*10.81*4.41</t>
  </si>
  <si>
    <t>TOTAL</t>
  </si>
  <si>
    <t>5.55*5.84*3.54</t>
  </si>
  <si>
    <t>5.55*7.72*3.65</t>
  </si>
  <si>
    <t>5.09*7.88*3.19</t>
  </si>
  <si>
    <t>6.06*12.03*3.74</t>
  </si>
  <si>
    <t>4.33*4.35*2.69</t>
  </si>
  <si>
    <t>5.01*6.66*3.37</t>
  </si>
  <si>
    <t>6.46*6.48*3.98</t>
  </si>
  <si>
    <t>6.01*6.05*3.76</t>
  </si>
  <si>
    <t>7.16*6.35*4.00</t>
  </si>
  <si>
    <t>6.50*10.01*4.04</t>
  </si>
  <si>
    <t>5.54*8.30*3.63</t>
  </si>
  <si>
    <t>8.13*7.00*4.63</t>
  </si>
  <si>
    <t>4.30*4.32*2.65</t>
  </si>
  <si>
    <t>5.32*5.48*3.57</t>
  </si>
  <si>
    <t>4.63*4.67*2.91</t>
  </si>
  <si>
    <t>6.89*9.92*4.57</t>
  </si>
  <si>
    <t>6.13*6.15*4.45</t>
  </si>
  <si>
    <t>8.23*8.28*4.94</t>
  </si>
  <si>
    <t>4.54*6.96*2.77</t>
  </si>
  <si>
    <t>5.49*8.01*3.59</t>
  </si>
  <si>
    <t>8.18*12.12*5.18</t>
  </si>
  <si>
    <t>10.33*10.37*6.38</t>
  </si>
  <si>
    <t>7.50*7.56*4.53</t>
  </si>
  <si>
    <t>5.13*6.59*3.44</t>
  </si>
  <si>
    <t>8.04*8.07*4.98</t>
  </si>
  <si>
    <t>6.55*9.11*4.06</t>
  </si>
  <si>
    <t>6.14*6.27*4.40</t>
  </si>
  <si>
    <t>8.19*11.73*4.99</t>
  </si>
  <si>
    <t>5.49*6.94*3.54</t>
  </si>
  <si>
    <t>4.18*5.76*2.84</t>
  </si>
  <si>
    <t>6.50*8.85*4.03</t>
  </si>
  <si>
    <t>5.79*8.12*3.48</t>
  </si>
  <si>
    <t>5.43*7.42*3.70</t>
  </si>
  <si>
    <t>4.83*4.86*2.90</t>
  </si>
  <si>
    <t>9.28*9.31*6.13</t>
  </si>
  <si>
    <t>4.71*4.73*2.79</t>
  </si>
  <si>
    <t>5.50*7.70*3.43</t>
  </si>
  <si>
    <t>5.57*5.61*3.56</t>
  </si>
  <si>
    <t>4.66*4.69*2.85</t>
  </si>
  <si>
    <t>5.76*8.29*3.53</t>
  </si>
  <si>
    <t>13.82*13.89*8.43</t>
  </si>
  <si>
    <t>7.31*7.38*4.92</t>
  </si>
  <si>
    <t>5.87*8.05*3.53</t>
  </si>
  <si>
    <t>5.82*5.90*3.67</t>
  </si>
  <si>
    <t>6.53*8.90*4.09</t>
  </si>
  <si>
    <t>4.59*6.86*2.81</t>
  </si>
  <si>
    <t>6.20*6.23*3.90</t>
  </si>
  <si>
    <t>5.38*8.63*3.35</t>
  </si>
  <si>
    <t>4.30*4.38*3.13</t>
  </si>
  <si>
    <t>5.67*7.70*3.57</t>
  </si>
  <si>
    <t>9.10*9.14*5.79</t>
  </si>
  <si>
    <t>4.25*4.29*2.59</t>
  </si>
  <si>
    <t>4.93*6.96*3.28</t>
  </si>
  <si>
    <t>6.32*7.58*4.23</t>
  </si>
  <si>
    <t>8.90*14.17*5.45</t>
  </si>
  <si>
    <t>5.51*8.00*3.51</t>
  </si>
  <si>
    <t>4.62*4.69*3.28</t>
  </si>
  <si>
    <t>4.97*10.36*3.06</t>
  </si>
  <si>
    <t>5.10*7.16*3.34</t>
  </si>
  <si>
    <t>10.33*9.29*5.83</t>
  </si>
  <si>
    <t>6.55*6.60*4.11</t>
  </si>
  <si>
    <t>5.66*5.70*3.55</t>
  </si>
  <si>
    <t>7.12*6.15*4.10</t>
  </si>
  <si>
    <t>4.82*4.88*3.46</t>
  </si>
  <si>
    <t>7.35*7.37*4.54</t>
  </si>
  <si>
    <t>5.03*7.73*3.10</t>
  </si>
  <si>
    <t>5.49*5.57*3.55</t>
  </si>
  <si>
    <t>8.02*8.06*5.00</t>
  </si>
  <si>
    <t>6.56*8.92*4.12</t>
  </si>
  <si>
    <t>7.38*7.40*4.49</t>
  </si>
  <si>
    <t>4.13*6.04*2.76</t>
  </si>
  <si>
    <t>4.84*9.20*3.10</t>
  </si>
  <si>
    <t>5.81*7.96*3.94</t>
  </si>
  <si>
    <t>4.66*6.78*3.13</t>
  </si>
  <si>
    <t>4.24*4.37*3.05</t>
  </si>
  <si>
    <t>4.34*4.36*2.65</t>
  </si>
  <si>
    <t>5.57*5.80*3.62</t>
  </si>
  <si>
    <t>4.77*4.79*2.94</t>
  </si>
  <si>
    <t>6.57*7.92*4.19</t>
  </si>
  <si>
    <t>4.50*4.65*2.89</t>
  </si>
  <si>
    <t>4.73*6.67*3.21</t>
  </si>
  <si>
    <t>6.81*6.98*4.81</t>
  </si>
  <si>
    <t>5.92*5.94*4.28</t>
  </si>
  <si>
    <t>7.39*7.43*4.61</t>
  </si>
  <si>
    <t>5.69*5.83*3.70</t>
  </si>
  <si>
    <t>5.08*7.38*3.33</t>
  </si>
  <si>
    <t>6.73*13.55*4.15</t>
  </si>
  <si>
    <t>6.72*6.75*4.09</t>
  </si>
  <si>
    <t>4.53*8.57*2.72</t>
  </si>
  <si>
    <t>6.33*6.36*4.01</t>
  </si>
  <si>
    <t>5.39*7.55*3.62</t>
  </si>
  <si>
    <t>5.16*8.09*3.52</t>
  </si>
  <si>
    <t>5.36*5.60*3.50</t>
  </si>
  <si>
    <t>7.85*8.22*5.09</t>
  </si>
  <si>
    <t>7.17*7.21*4.46</t>
  </si>
  <si>
    <t>5.78*7.99*3.55</t>
  </si>
  <si>
    <t>4.49*6.98*2.76</t>
  </si>
  <si>
    <t>5.10*7.81*3.10</t>
  </si>
  <si>
    <t>5.65*5.66*3.83</t>
  </si>
  <si>
    <t>6.50*9.04*3.92</t>
  </si>
  <si>
    <t>6.95*10.86*4.43</t>
  </si>
  <si>
    <t>7.97*6.85*4.68</t>
  </si>
  <si>
    <t>4.44*6.86*2.76</t>
  </si>
  <si>
    <t>6.01*8.18*4.05</t>
  </si>
  <si>
    <t>7.31*10.86*4.65</t>
  </si>
  <si>
    <t>5.63*8.62*3.51</t>
  </si>
  <si>
    <t>9.25*9.28*5.78</t>
  </si>
  <si>
    <t>5.17*5.20*3.22</t>
  </si>
  <si>
    <t>8.51*8.69*5.60</t>
  </si>
  <si>
    <t>6.34*6.44*4.27</t>
  </si>
  <si>
    <t>4.28*4.31*2.58</t>
  </si>
  <si>
    <t>8.95*9.00*5.35</t>
  </si>
  <si>
    <t>6.52*9.60*3.97</t>
  </si>
  <si>
    <t>5.51*5.76*3.69</t>
  </si>
  <si>
    <t>6.30*6.39*4.07</t>
  </si>
  <si>
    <t>4.52*6.21*2.84</t>
  </si>
  <si>
    <t>4.77*6.97*3.21</t>
  </si>
  <si>
    <t>5.04*6.81*3.34</t>
  </si>
  <si>
    <t>4.48*7.02*3.02</t>
  </si>
  <si>
    <t>5.44*8.16*3.42</t>
  </si>
  <si>
    <t>7.44*10.29*4.59</t>
  </si>
  <si>
    <t>10.19*10.22*6.28</t>
  </si>
  <si>
    <t>6.13*5.53*3.55</t>
  </si>
  <si>
    <t>4.25*4.35*3.07</t>
  </si>
  <si>
    <t>4.27*6.30*2.71</t>
  </si>
  <si>
    <t>4.94*6.66*3.34</t>
  </si>
  <si>
    <t>7.13*9.96*4.44</t>
  </si>
  <si>
    <t>0.45-0.49</t>
  </si>
  <si>
    <t>4.25*4.30*2.63</t>
  </si>
  <si>
    <t>5.86*8.22*3.59</t>
  </si>
  <si>
    <t>7.22*10.91*4.76</t>
  </si>
  <si>
    <t>5.43*7.58*3.46</t>
  </si>
  <si>
    <t>6.25*5.70*3.57</t>
  </si>
  <si>
    <t>7.17*7.21*4.39</t>
  </si>
  <si>
    <t>6.55*6.58*4.11</t>
  </si>
  <si>
    <t>6.94*7.11*4.78</t>
  </si>
  <si>
    <t>5.63*5.88*3.79</t>
  </si>
  <si>
    <t>7.20*10.10*4.36</t>
  </si>
  <si>
    <t>7.36*10.93*4.86</t>
  </si>
  <si>
    <t>4.80*4.86*2.96</t>
  </si>
  <si>
    <t>6.28*6.35*4.14</t>
  </si>
  <si>
    <t>7.43*7.47*4.56</t>
  </si>
  <si>
    <t>3.78*5.31*2.53</t>
  </si>
  <si>
    <t>7.24*9.98*4.51</t>
  </si>
  <si>
    <t>8.20*8.28*5.26</t>
  </si>
  <si>
    <t>5.78*8.17*3.45</t>
  </si>
  <si>
    <t>8.10*8.13*5.03</t>
  </si>
  <si>
    <t>4.01*5.79*2.39</t>
  </si>
  <si>
    <t>4.45*6.87*2.80</t>
  </si>
  <si>
    <t>7.40*7.44*4.62</t>
  </si>
  <si>
    <t>4.49*4.56*2.75</t>
  </si>
  <si>
    <t>9.03*9.05*5.44</t>
  </si>
  <si>
    <t>5.69*5.72*3.49</t>
  </si>
  <si>
    <t>4.82*6.75*3.11</t>
  </si>
  <si>
    <t>1.50-1.69</t>
  </si>
  <si>
    <t>4.72*6.62*3.16</t>
  </si>
  <si>
    <t>6.15*6.37*3.93</t>
  </si>
  <si>
    <t>4.41*6.39*2.87</t>
  </si>
  <si>
    <t>5.58*5.73*3.95</t>
  </si>
  <si>
    <t>5.04*6.49*3.41</t>
  </si>
  <si>
    <t>5.66*5.67*3.79</t>
  </si>
  <si>
    <t>4.39*4.40*2.73</t>
  </si>
  <si>
    <t>5.43*7.51*3.67</t>
  </si>
  <si>
    <t>5.26*6.89*3.59</t>
  </si>
  <si>
    <t>8.22*11.47*5.05</t>
  </si>
  <si>
    <t>6.03*11.86*3.75</t>
  </si>
  <si>
    <t>5.74*7.75*3.57</t>
  </si>
  <si>
    <t>5.90*8.30*3.71</t>
  </si>
  <si>
    <t>8.51*8.70*5.62</t>
  </si>
  <si>
    <t>8.20*11.44*5.06</t>
  </si>
  <si>
    <t>5.43*7.50*3.68</t>
  </si>
  <si>
    <t>5.45*7.69*3.51</t>
  </si>
  <si>
    <t>4.40*4.45*2.63</t>
  </si>
  <si>
    <t>6.58*6.61*4.09</t>
  </si>
  <si>
    <t>7.13*7.19*4.47</t>
  </si>
  <si>
    <t>5.72*8.88*3.49</t>
  </si>
  <si>
    <t>6.60*9.25*3.99</t>
  </si>
  <si>
    <t>6.87*6.92*4.09</t>
  </si>
  <si>
    <t>5.84*8.42*3.64</t>
  </si>
  <si>
    <t>5.18*7.97*3.24</t>
  </si>
  <si>
    <t>6.36*6.39*3.97</t>
  </si>
  <si>
    <t>7.26*10.17*4.37</t>
  </si>
  <si>
    <t>5.16*5.17*3.18</t>
  </si>
  <si>
    <t>4.86*6.61*3.21</t>
  </si>
  <si>
    <t>8.93*9.00*5.46</t>
  </si>
  <si>
    <t>8.02*8.27*5.12</t>
  </si>
  <si>
    <t>7.22*7.09*3.59</t>
  </si>
  <si>
    <t>6.89*7.26*4.59</t>
  </si>
  <si>
    <t>5.71*7.90*3.57</t>
  </si>
  <si>
    <t>5.54*7.82*3.40</t>
  </si>
  <si>
    <t>5.81*5.82*4.24</t>
  </si>
  <si>
    <t>7.12*9.97*4.80</t>
  </si>
  <si>
    <t>4.36*6.72*3.00</t>
  </si>
  <si>
    <t>6.22*8.82*4.16</t>
  </si>
  <si>
    <t>7.62*10.92*4.76</t>
  </si>
  <si>
    <t>6.67*6.70*4.02</t>
  </si>
  <si>
    <t>5.10*7.26*3.11</t>
  </si>
  <si>
    <t>4.08*5.91*2.65</t>
  </si>
  <si>
    <t>8.33*8.40*5.14</t>
  </si>
  <si>
    <t>6.47*9.95*3.97</t>
  </si>
  <si>
    <t>5.93*12.46*3.62</t>
  </si>
  <si>
    <t>6.62*6.66*4.02</t>
  </si>
  <si>
    <t>8.18*11.13*5.20</t>
  </si>
  <si>
    <t>Price $/Ct</t>
  </si>
  <si>
    <t>7.84*6.63*4.79</t>
  </si>
  <si>
    <t>5.13*7.84*3.24</t>
  </si>
  <si>
    <t>5.63*5.93*3.61</t>
  </si>
  <si>
    <t>4.46*4.47*2.90</t>
  </si>
  <si>
    <t>4.59*6.45*2.82</t>
  </si>
  <si>
    <t>4.39*4.42*2.74</t>
  </si>
  <si>
    <t>7.20*9.96*4.45</t>
  </si>
  <si>
    <t>6.61*6.62*4.03</t>
  </si>
  <si>
    <t>5.49*7.65*3.42</t>
  </si>
  <si>
    <t>6.16*6.41*4.29</t>
  </si>
  <si>
    <t>6.16*6.21*4.15</t>
  </si>
  <si>
    <t>4.39*4.42*2.71</t>
  </si>
  <si>
    <t>6.49*10.03*4.04</t>
  </si>
  <si>
    <t>5.34*5.46*3.94</t>
  </si>
  <si>
    <t>6.54*6.78*4.41</t>
  </si>
  <si>
    <t>5.08*5.11*3.17</t>
  </si>
  <si>
    <t>4.89*4.92*3.00</t>
  </si>
  <si>
    <t>6.57*6.61*4.10</t>
  </si>
  <si>
    <t>6.89*6.89*4.63</t>
  </si>
  <si>
    <t>6.58*6.62*4.07</t>
  </si>
  <si>
    <t>5.59*5.82*3.73</t>
  </si>
  <si>
    <t>6.54*8.87*4.11</t>
  </si>
  <si>
    <t>7.25*7.27*5.34</t>
  </si>
  <si>
    <t>4.38*4.40*2.71</t>
  </si>
  <si>
    <t>5.53*5.61*3.43</t>
  </si>
  <si>
    <t>5.45*7.42*3.68</t>
  </si>
  <si>
    <t>5.49*5.79*3.63</t>
  </si>
  <si>
    <t>7.97*6.77*4.82</t>
  </si>
  <si>
    <t>5.25*6.32*3.53</t>
  </si>
  <si>
    <t>4.51*4.66*2.87</t>
  </si>
  <si>
    <t>6.89*7.01*4.39</t>
  </si>
  <si>
    <t>4.32*4.40*2.80</t>
  </si>
  <si>
    <t>8.37*11.39*5.12</t>
  </si>
  <si>
    <t>4.54*6.35*2.74</t>
  </si>
  <si>
    <t>7.96*6.83*4.67</t>
  </si>
  <si>
    <t>5.13*7.82*3.09</t>
  </si>
  <si>
    <t>5.10*5.12*3.14</t>
  </si>
  <si>
    <t>4.23*6.17*2.73</t>
  </si>
  <si>
    <t>9.95*9.99*6.09</t>
  </si>
  <si>
    <t>4.67*4.70*2.94</t>
  </si>
  <si>
    <t>7.11*9.88*4.45</t>
  </si>
  <si>
    <t>5.06*6.57*3.43</t>
  </si>
  <si>
    <t>5.84*5.88*3.45</t>
  </si>
  <si>
    <t>5.01*7.48*3.03</t>
  </si>
  <si>
    <t>9.19*9.40*5.88</t>
  </si>
  <si>
    <t>4.13*5.80*2.80</t>
  </si>
  <si>
    <t>4.52*7.04*2.65</t>
  </si>
  <si>
    <t>5.88*12.28*3.64</t>
  </si>
  <si>
    <t>5.54*5.56*3.38</t>
  </si>
  <si>
    <t>6.20*6.25*4.42</t>
  </si>
  <si>
    <t>6.28*6.30*4.11</t>
  </si>
  <si>
    <t>4.63*7.02*3.02</t>
  </si>
  <si>
    <t>7.19*11.69*4.30</t>
  </si>
  <si>
    <t>5.47*5.47*3.53</t>
  </si>
  <si>
    <t>4.61*4.66*2.90</t>
  </si>
  <si>
    <t>5.12*6.75*3.46</t>
  </si>
  <si>
    <t>6.40*6.41*4.11</t>
  </si>
  <si>
    <t>6.26*6.40*4.10</t>
  </si>
  <si>
    <t>8.34*11.47*5.14</t>
  </si>
  <si>
    <t>9.50*15.53*5.83</t>
  </si>
  <si>
    <t>4.34*6.07*2.86</t>
  </si>
  <si>
    <t>5.82*8.07*3.61</t>
  </si>
  <si>
    <t>6.39*9.50*4.12</t>
  </si>
  <si>
    <t>5.75*5.78*3.57</t>
  </si>
  <si>
    <t>4.83*6.81*3.12</t>
  </si>
  <si>
    <t>5.78*8.05*3.56</t>
  </si>
  <si>
    <t>7.93*8.06*5.73</t>
  </si>
  <si>
    <t>6.62*6.66*4.08</t>
  </si>
  <si>
    <t>5.49*5.77*3.64</t>
  </si>
  <si>
    <t>4.20*5.94*2.73</t>
  </si>
  <si>
    <t>6.30*6.32*4.19</t>
  </si>
  <si>
    <t>7.21*10.07*4.35</t>
  </si>
  <si>
    <t>4.65*6.80*3.05</t>
  </si>
  <si>
    <t>4.29*4.31*2.64</t>
  </si>
  <si>
    <t>4.80*6.72*3.16</t>
  </si>
  <si>
    <t>5.76*5.91*3.81</t>
  </si>
  <si>
    <t>4.59*4.62*2.77</t>
  </si>
  <si>
    <t>4.62*6.39*2.84</t>
  </si>
  <si>
    <t>5.46*7.43*3.72</t>
  </si>
  <si>
    <t>9.12*9.20*5.71</t>
  </si>
  <si>
    <t>5.74*5.77*3.61</t>
  </si>
  <si>
    <t>5.66*5.95*3.57</t>
  </si>
  <si>
    <t>5.11*7.88*3.10</t>
  </si>
  <si>
    <t>4.74*5.71*3.14</t>
  </si>
  <si>
    <t>3.75*5.27*2.54</t>
  </si>
  <si>
    <t>8.33*12.73*5.18</t>
  </si>
  <si>
    <t>7.18*10.64*4.37</t>
  </si>
  <si>
    <t>7.18*9.87*4.50</t>
  </si>
  <si>
    <t>4.20*5.75*2.87</t>
  </si>
  <si>
    <t>7.38*7.43*4.53</t>
  </si>
  <si>
    <t>4.78*6.70*3.10</t>
  </si>
  <si>
    <t>5.80*9.24*3.48</t>
  </si>
  <si>
    <t>4.31*4.38*2.83</t>
  </si>
  <si>
    <t>3.67*5.55*2.41</t>
  </si>
  <si>
    <t>6.99*7.48*4.43</t>
  </si>
  <si>
    <t>5.30*5.32*3.33</t>
  </si>
  <si>
    <t>5.20*5.22*3.15</t>
  </si>
  <si>
    <t>5.95*8.14*3.48</t>
  </si>
  <si>
    <t>4.40*4.44*2.76</t>
  </si>
  <si>
    <t>6.76*6.77*4.56</t>
  </si>
  <si>
    <t>ROUND</t>
  </si>
  <si>
    <t>5.53*5.74*3.68</t>
  </si>
  <si>
    <t>5.18*7.19*3.11</t>
  </si>
  <si>
    <t>8.29*12.57*5.08</t>
  </si>
  <si>
    <t>4.41*6.86*3.00</t>
  </si>
  <si>
    <t>9.57*15.66*5.86</t>
  </si>
  <si>
    <t>6.98*7.09*4.70</t>
  </si>
  <si>
    <t>7.04*7.27*4.63</t>
  </si>
  <si>
    <t>5.41*5.44*3.52</t>
  </si>
  <si>
    <t>7.57*9.10*5.05</t>
  </si>
  <si>
    <t>6.55*9.04*4.02</t>
  </si>
  <si>
    <t>6.19*6.21*4.53</t>
  </si>
  <si>
    <t>5.51*7.53*3.58</t>
  </si>
  <si>
    <t>4.61*7.03*2.77</t>
  </si>
  <si>
    <t>6.44*6.46*3.96</t>
  </si>
  <si>
    <t>8.07*8.09*5.02</t>
  </si>
  <si>
    <t>4.34*4.37*2.69</t>
  </si>
  <si>
    <t>5.75*8.02*3.57</t>
  </si>
  <si>
    <t>4.44*6.86*2.74</t>
  </si>
  <si>
    <t>5.60*7.63*3.56</t>
  </si>
  <si>
    <t>4.37*6.38*2.92</t>
  </si>
  <si>
    <t>5.52*5.54*3.76</t>
  </si>
  <si>
    <t>6.67*6.70*4.03</t>
  </si>
  <si>
    <t>4.85*4.90*2.94</t>
  </si>
  <si>
    <t>6.09*5.32*3.68</t>
  </si>
  <si>
    <t>5.52*8.64*3.50</t>
  </si>
  <si>
    <t>4.95*5.20*3.10</t>
  </si>
  <si>
    <t>8.22*11.22*5.02</t>
  </si>
  <si>
    <t>6.42*8.32*4.17</t>
  </si>
  <si>
    <t>5.78*8.13*3.46</t>
  </si>
  <si>
    <t>5.51*7.38*3.72</t>
  </si>
  <si>
    <t>11.21*10.23*6.43</t>
  </si>
  <si>
    <t>6.97*6.25*4.02</t>
  </si>
  <si>
    <t>4.79*9.11*2.91</t>
  </si>
  <si>
    <t>5.72*7.77*3.56</t>
  </si>
  <si>
    <t>8.69*8.74*5.33</t>
  </si>
  <si>
    <t>8.24*8.27*4.91</t>
  </si>
  <si>
    <t>4.98*5.30*3.10</t>
  </si>
  <si>
    <t>6.49*6.52*4.00</t>
  </si>
  <si>
    <t>6.14*5.32*3.63</t>
  </si>
  <si>
    <t>6.42*6.47*4.00</t>
  </si>
  <si>
    <t>4.31*4.34*2.68</t>
  </si>
  <si>
    <t>4.59*9.07*2.86</t>
  </si>
  <si>
    <t>8.47*11.70*5.23</t>
  </si>
  <si>
    <t>5.79*8.04*3.59</t>
  </si>
  <si>
    <t>3.84*5.60*2.48</t>
  </si>
  <si>
    <t>5.71*5.77*3.44</t>
  </si>
  <si>
    <t>4.49*4.59*2.84</t>
  </si>
  <si>
    <t>Flo</t>
  </si>
  <si>
    <t>6.66*6.70*4.04</t>
  </si>
  <si>
    <t>5.10*7.22*3.18</t>
  </si>
  <si>
    <t>4.32*4.37*2.68</t>
  </si>
  <si>
    <t>8.52*8.59*5.34</t>
  </si>
  <si>
    <t>6.48*9.01*4.02</t>
  </si>
  <si>
    <t>4.79*4.82*2.93</t>
  </si>
  <si>
    <t>9.26*9.33*5.67</t>
  </si>
  <si>
    <t>5.66*7.84*3.50</t>
  </si>
  <si>
    <t>STEP</t>
  </si>
  <si>
    <t>5.76*8.24*3.47</t>
  </si>
  <si>
    <t>4.42*4.56*2.95</t>
  </si>
  <si>
    <t>5.43*7.63*3.65</t>
  </si>
  <si>
    <t>8.63*8.80*6.21</t>
  </si>
  <si>
    <t>9.78*13.32*6.06</t>
  </si>
  <si>
    <t>SL</t>
  </si>
  <si>
    <t>6.55*6.58*4.04</t>
  </si>
  <si>
    <t>8.09*8.49*5.16</t>
  </si>
  <si>
    <t>4.29*4.33*2.61</t>
  </si>
  <si>
    <t>5.74*8.11*3.44</t>
  </si>
  <si>
    <t>4.20*4.25*2.87</t>
  </si>
  <si>
    <t>4.23*4.26*2.69</t>
  </si>
  <si>
    <t>7.53*7.57*4.54</t>
  </si>
  <si>
    <t>10.34*14.28*6.62</t>
  </si>
  <si>
    <t>10.01*15.76*6.50</t>
  </si>
  <si>
    <t>4.14*6.06*2.68</t>
  </si>
  <si>
    <t>9.47*15.22*5.98</t>
  </si>
  <si>
    <t>5.64*7.76*3.51</t>
  </si>
  <si>
    <t>6.94*6.30*3.92</t>
  </si>
  <si>
    <t>5.61*5.64*3.57</t>
  </si>
  <si>
    <t>8.09*7.05*4.72</t>
  </si>
  <si>
    <t>5.58*7.83*3.42</t>
  </si>
  <si>
    <t>6.48*6.49*3.96</t>
  </si>
  <si>
    <t>6.38*9.86*3.97</t>
  </si>
  <si>
    <t>6.34*8.49*4.23</t>
  </si>
  <si>
    <t>6.65*9.26*4.04</t>
  </si>
  <si>
    <t>Cut</t>
  </si>
  <si>
    <t>6.21*6.24*3.85</t>
  </si>
  <si>
    <t>6.54*9.01*4.01</t>
  </si>
  <si>
    <t>4.29*4.32*2.69</t>
  </si>
  <si>
    <t>6.50*6.54*4.04</t>
  </si>
  <si>
    <t>4.60*6.25*3.15</t>
  </si>
  <si>
    <t>5.77*7.85*3.63</t>
  </si>
  <si>
    <t>5.43*5.47*3.53</t>
  </si>
  <si>
    <t>8.20*11.46*5.11</t>
  </si>
  <si>
    <t>6.02*11.87*3.67</t>
  </si>
  <si>
    <t>8.55*8.75*5.57</t>
  </si>
  <si>
    <t>6.52*6.56*3.94</t>
  </si>
  <si>
    <t>4.33*4.35*2.62</t>
  </si>
  <si>
    <t>5.66*7.73*3.86</t>
  </si>
  <si>
    <t>5.37*7.41*3.64</t>
  </si>
  <si>
    <t>6.38*7.66*4.19</t>
  </si>
  <si>
    <t>5.49*5.80*3.54</t>
  </si>
  <si>
    <t>6.60*9.15*4.09</t>
  </si>
  <si>
    <t>5.83*7.20*3.92</t>
  </si>
  <si>
    <t>4.41*6.90*2.85</t>
  </si>
  <si>
    <t>5.64*8.30*3.84</t>
  </si>
  <si>
    <t>7.13*10.08*4.38</t>
  </si>
  <si>
    <t>4.86*4.88*3.01</t>
  </si>
  <si>
    <t>8.24*8.16*4.24</t>
  </si>
  <si>
    <t>5.13*7.84*3.14</t>
  </si>
  <si>
    <t>6.21*6.35*4.50</t>
  </si>
  <si>
    <t>5.54*5.55*3.66</t>
  </si>
  <si>
    <t>6.50*6.97*4.15</t>
  </si>
  <si>
    <t>4.66*4.68*2.95</t>
  </si>
  <si>
    <t>4.49*4.52*2.73</t>
  </si>
  <si>
    <t>4.26*4.31*3.11</t>
  </si>
  <si>
    <t>6.39*9.99*3.87</t>
  </si>
  <si>
    <t>7.35*7.40*4.56</t>
  </si>
  <si>
    <t>6.38*6.42*3.98</t>
  </si>
  <si>
    <t>9.59*14.20*5.85</t>
  </si>
  <si>
    <t>5.64*9.06*3.46</t>
  </si>
  <si>
    <t>4.79*4.80*2.96</t>
  </si>
  <si>
    <t>4.70*6.40*3.26</t>
  </si>
  <si>
    <t>5.28*6.95*3.37</t>
  </si>
  <si>
    <t>4.46*6.98*2.88</t>
  </si>
  <si>
    <t>4.52*6.91*2.77</t>
  </si>
  <si>
    <t>4.25*8.18*2.67</t>
  </si>
  <si>
    <t>5.72*5.75*3.59</t>
  </si>
  <si>
    <t>5.42*7.49*3.64</t>
  </si>
  <si>
    <t>9.18*9.24*5.72</t>
  </si>
  <si>
    <t>4.21*5.90*2.84</t>
  </si>
  <si>
    <t>6.39*6.56*4.34</t>
  </si>
  <si>
    <t>7.17*9.99*4.37</t>
  </si>
  <si>
    <t>6.57*6.62*4.10</t>
  </si>
  <si>
    <t>4.31*4.37*2.63</t>
  </si>
  <si>
    <t>5.58*7.63*3.81</t>
  </si>
  <si>
    <t>4.18*5.78*2.86</t>
  </si>
  <si>
    <t>5.05*6.56*3.32</t>
  </si>
  <si>
    <t>9.52*9.56*5.78</t>
  </si>
  <si>
    <t>4.40*4.42*2.69</t>
  </si>
  <si>
    <t>4.52*6.32*2.83</t>
  </si>
  <si>
    <t>8.15*8.18*4.93</t>
  </si>
  <si>
    <t>4.34*4.37*2.70</t>
  </si>
  <si>
    <t>5.42*6.55*3.50</t>
  </si>
  <si>
    <t>9.60*15.68*5.94</t>
  </si>
  <si>
    <t>5.50*7.58*3.43</t>
  </si>
  <si>
    <t>5.51*8.48*3.49</t>
  </si>
  <si>
    <t>5.94*5.99*3.80</t>
  </si>
  <si>
    <t>4.22*4.28*2.66</t>
  </si>
  <si>
    <t>5.62*5.83*3.50</t>
  </si>
  <si>
    <t>4.31*4.36*2.67</t>
  </si>
  <si>
    <t>9.54*9.63*5.76</t>
  </si>
  <si>
    <t>5.01*7.64*3.13</t>
  </si>
  <si>
    <t>9.31*9.44*6.39</t>
  </si>
  <si>
    <t>5.47*5.56*3.91</t>
  </si>
  <si>
    <t>7.61*10.65*4.71</t>
  </si>
  <si>
    <t>7.31*7.36*4.58</t>
  </si>
  <si>
    <t>5.03*6.48*3.31</t>
  </si>
  <si>
    <t>6.58*9.13*4.03</t>
  </si>
  <si>
    <t>5.78*8.34*3.48</t>
  </si>
  <si>
    <t>5.06*5.09*3.14</t>
  </si>
  <si>
    <t>5.11*7.06*3.16</t>
  </si>
  <si>
    <t>6.28*6.32*4.16</t>
  </si>
  <si>
    <t>4.74*4.77*2.92</t>
  </si>
  <si>
    <t>6.50*6.52*4.03</t>
  </si>
  <si>
    <t>6.91*5.96*4.18</t>
  </si>
  <si>
    <t>6.06*7.16*4.15</t>
  </si>
  <si>
    <t>7.98*7.21*4.57</t>
  </si>
  <si>
    <t>7.03*10.37*4.55</t>
  </si>
  <si>
    <t>7.90*6.92*4.73</t>
  </si>
  <si>
    <t>8.71*8.75*5.44</t>
  </si>
  <si>
    <t>5.42*6.56*3.45</t>
  </si>
  <si>
    <t>5.49*7.75*3.61</t>
  </si>
  <si>
    <t>7.28*8.40*4.31</t>
  </si>
  <si>
    <t>4.69*6.44*3.07</t>
  </si>
  <si>
    <t>8.37*8.51*5.88</t>
  </si>
  <si>
    <t>9.47*15.33*5.74</t>
  </si>
  <si>
    <t>5.79*5.98*3.91</t>
  </si>
  <si>
    <t>5.63*5.68*3.56</t>
  </si>
  <si>
    <t>4.84*4.88*2.95</t>
  </si>
  <si>
    <t>9.76*13.37*5.98</t>
  </si>
  <si>
    <t>5.69*5.73*3.57</t>
  </si>
  <si>
    <t>5.95*8.31*3.57</t>
  </si>
  <si>
    <t>5.36*7.43*3.34</t>
  </si>
  <si>
    <t>6.19*10.00*3.70</t>
  </si>
  <si>
    <t>4.82*6.56*3.14</t>
  </si>
  <si>
    <t>5.49*7.50*3.44</t>
  </si>
  <si>
    <t>4.66*8.73*2.94</t>
  </si>
  <si>
    <t>10.15*10.19*6.28</t>
  </si>
  <si>
    <t>7.25*7.35*4.45</t>
  </si>
  <si>
    <t>8.83*8.87*5.48</t>
  </si>
  <si>
    <t>5.61*5.67*3.77</t>
  </si>
  <si>
    <t>5.49*7.49*3.64</t>
  </si>
  <si>
    <t>5.29*6.60*3.34</t>
  </si>
  <si>
    <t>6.46*6.48*3.97</t>
  </si>
  <si>
    <t>5.62*5.88*3.65</t>
  </si>
  <si>
    <t>6.31*6.34*4.01</t>
  </si>
  <si>
    <t>9.28*9.35*5.67</t>
  </si>
  <si>
    <t>5.47*7.77*3.70</t>
  </si>
  <si>
    <t>5.60*7.67*3.64</t>
  </si>
  <si>
    <t>5.78*5.78*4.14</t>
  </si>
  <si>
    <t>9.12*9.45*5.85</t>
  </si>
  <si>
    <t>5.16*8.38*3.10</t>
  </si>
  <si>
    <t>7.98*10.69*5.11</t>
  </si>
  <si>
    <t>7.14*6.46*4.12</t>
  </si>
  <si>
    <t>4.73*6.51*3.26</t>
  </si>
  <si>
    <t>FANCY INTENSE PINK</t>
  </si>
  <si>
    <t>6.52*8.99*4.06</t>
  </si>
  <si>
    <t>4.34*6.79*2.74</t>
  </si>
  <si>
    <t>5.72*5.75*3.52</t>
  </si>
  <si>
    <t>4.33*4.37*2.70</t>
  </si>
  <si>
    <t>4.90*6.60*3.39</t>
  </si>
  <si>
    <t>7.15*7.20*4.45</t>
  </si>
  <si>
    <t>6.02*8.21*3.95</t>
  </si>
  <si>
    <t>4.63*4.67*2.93</t>
  </si>
  <si>
    <t>6.01*6.12*4.29</t>
  </si>
  <si>
    <t>7.19*10.04*4.48</t>
  </si>
  <si>
    <t>4.72*6.72*2.42</t>
  </si>
  <si>
    <t>5.05*6.78*3.27</t>
  </si>
  <si>
    <t>5.96*8.12*4.07</t>
  </si>
  <si>
    <t>6.57*6.61*4.07</t>
  </si>
  <si>
    <t>4.37*4.39*2.68</t>
  </si>
  <si>
    <t>8.00*8.36*5.26</t>
  </si>
  <si>
    <t>6.44*9.84*4.01</t>
  </si>
  <si>
    <t>5.05*6.67*3.31</t>
  </si>
  <si>
    <t>9.22*9.27*5.81</t>
  </si>
  <si>
    <t>4.87*6.83*3.24</t>
  </si>
  <si>
    <t>5.13*5.16*3.21</t>
  </si>
  <si>
    <t>7.22*7.25*4.58</t>
  </si>
  <si>
    <t>4.79*5.11*3.23</t>
  </si>
  <si>
    <t>7.67*16.13*4.68</t>
  </si>
  <si>
    <t>4.39*4.44*2.67</t>
  </si>
  <si>
    <t>5.39*4.90*3.21</t>
  </si>
  <si>
    <t>7.42*7.46*4.55</t>
  </si>
  <si>
    <t>4.42*4.46*2.71</t>
  </si>
  <si>
    <t>6.19*5.58*3.66</t>
  </si>
  <si>
    <t>5.57*5.70*3.85</t>
  </si>
  <si>
    <t>5.00*6.47*3.40</t>
  </si>
  <si>
    <t>4.74*6.89*3.10</t>
  </si>
  <si>
    <t>6.90*7.18*4.51</t>
  </si>
  <si>
    <t>8.19*11.82*4.92</t>
  </si>
  <si>
    <t>5.76*4.95*3.40</t>
  </si>
  <si>
    <t>5.95*8.18*4.09</t>
  </si>
  <si>
    <t>4.36*4.40*2.64</t>
  </si>
  <si>
    <t>7.11*10.01*4.44</t>
  </si>
  <si>
    <t>5.68*5.71*3.46</t>
  </si>
  <si>
    <t>4.89*4.98*3.25</t>
  </si>
  <si>
    <t>5.37*5.64*3.48</t>
  </si>
  <si>
    <t>6.67*6.70*4.04</t>
  </si>
  <si>
    <t>7.97*6.97*4.63</t>
  </si>
  <si>
    <t>6.14*6.25*3.95</t>
  </si>
  <si>
    <t>10.67*10.72*6.57</t>
  </si>
  <si>
    <t>FANCY PINK</t>
  </si>
  <si>
    <t>5.79*8.01*3.50</t>
  </si>
  <si>
    <t>4.36*4.37*2.65</t>
  </si>
  <si>
    <t>9.73*9.74*6.47</t>
  </si>
  <si>
    <t>8.02*8.18*5.64</t>
  </si>
  <si>
    <t>5.73*5.77*3.48</t>
  </si>
  <si>
    <t>5.69*5.75*3.60</t>
  </si>
  <si>
    <t>10.23*10.29*6.24</t>
  </si>
  <si>
    <t>5.63*5.69*3.55</t>
  </si>
  <si>
    <t>5.21*5.25*3.26</t>
  </si>
  <si>
    <t>4.46*6.96*2.78</t>
  </si>
  <si>
    <t>4.93*6.87*3.01</t>
  </si>
  <si>
    <t>3.80*5.35*2.47</t>
  </si>
  <si>
    <t>6.29*6.35*4.04</t>
  </si>
  <si>
    <t>8.09*8.13*5.03</t>
  </si>
  <si>
    <t>6.48*6.53*4.07</t>
  </si>
  <si>
    <t>4.26*4.29*2.62</t>
  </si>
  <si>
    <t>3.78*5.41*2.55</t>
  </si>
  <si>
    <t>6.40*6.45*4.00</t>
  </si>
  <si>
    <t>8.06*11.58*4.95</t>
  </si>
  <si>
    <t>8.33*12.18*5.64</t>
  </si>
  <si>
    <t>8.23*8.48*5.42</t>
  </si>
  <si>
    <t>6.60*6.63*4.08</t>
  </si>
  <si>
    <t>5.74*5.77*3.50</t>
  </si>
  <si>
    <t>5.61*5.66*3.45</t>
  </si>
  <si>
    <t>4.47*6.76*2.80</t>
  </si>
  <si>
    <t>4.83*4.93*3.22</t>
  </si>
  <si>
    <t>10.15*10.23*6.27</t>
  </si>
  <si>
    <t>8.67*18.40*5.38</t>
  </si>
  <si>
    <t>6.48*9.60*4.15</t>
  </si>
  <si>
    <t>8.06*11.28*5.10</t>
  </si>
  <si>
    <t>6.48*8.78*4.12</t>
  </si>
  <si>
    <t>4.70*6.39*3.21</t>
  </si>
  <si>
    <t>5.62*7.20*3.76</t>
  </si>
  <si>
    <t>6.17*6.23*3.89</t>
  </si>
  <si>
    <t>5.47*7.65*3.37</t>
  </si>
  <si>
    <t>4.84*6.69*2.97</t>
  </si>
  <si>
    <t>4.31*6.31*2.87</t>
  </si>
  <si>
    <t>4.39*4.40*2.71</t>
  </si>
  <si>
    <t>7.45*7.49*4.52</t>
  </si>
  <si>
    <t>8.00*8.06*4.99</t>
  </si>
  <si>
    <t>4.65*6.76*3.09</t>
  </si>
  <si>
    <t>5.03*8.05*3.02</t>
  </si>
  <si>
    <t>5.00*7.82*3.11</t>
  </si>
  <si>
    <t>4.79*4.80*3.23</t>
  </si>
  <si>
    <t>4.45*4.47*2.67</t>
  </si>
  <si>
    <t>6.19*6.29*4.44</t>
  </si>
  <si>
    <t>4.37*4.40*2.74</t>
  </si>
  <si>
    <t>4.81*4.84*2.90</t>
  </si>
  <si>
    <t>6.58*10.08*3.95</t>
  </si>
  <si>
    <t>9.12*9.14*5.77</t>
  </si>
  <si>
    <t>6.56*6.61*4.09</t>
  </si>
  <si>
    <t>4.53*6.31*2.73</t>
  </si>
  <si>
    <t>4.89*7.15*3.29</t>
  </si>
  <si>
    <t>6.45*6.48*3.99</t>
  </si>
  <si>
    <t>5.84*8.19*3.60</t>
  </si>
  <si>
    <t>6.55*9.04*3.96</t>
  </si>
  <si>
    <t>7.05*7.35*4.54</t>
  </si>
  <si>
    <t>4.92*6.86*3.31</t>
  </si>
  <si>
    <t>4.22*4.27*2.68</t>
  </si>
  <si>
    <t>7.21*11.00*4.34</t>
  </si>
  <si>
    <t>6.24*6.27*4.11</t>
  </si>
  <si>
    <t>4.58*6.36*2.81</t>
  </si>
  <si>
    <t>7.43*8.52*4.36</t>
  </si>
  <si>
    <t>8.07*8.10*5.01</t>
  </si>
  <si>
    <t>5.54*5.61*3.54</t>
  </si>
  <si>
    <t>5.37*5.64*3.43</t>
  </si>
  <si>
    <t>6.70*6.96*4.49</t>
  </si>
  <si>
    <t>6.28*6.60*4.16</t>
  </si>
  <si>
    <t>6.58*6.63*4.04</t>
  </si>
  <si>
    <t>8.29*8.48*5.87</t>
  </si>
  <si>
    <t>8.12*11.04*5.14</t>
  </si>
  <si>
    <t>9.22*9.27*5.71</t>
  </si>
  <si>
    <t>7.10*6.31*3.96</t>
  </si>
  <si>
    <t>5.28*5.55*3.51</t>
  </si>
  <si>
    <t>4.31*4.36*2.69</t>
  </si>
  <si>
    <t>6.37*6.44*3.88</t>
  </si>
  <si>
    <t>5.51*7.68*3.37</t>
  </si>
  <si>
    <t>4.35*4.38*2.64</t>
  </si>
  <si>
    <t>6.32*6.37*3.98</t>
  </si>
  <si>
    <t>5.75*7.98*3.81</t>
  </si>
  <si>
    <t>4.72*4.76*2.95</t>
  </si>
  <si>
    <t>5.85*5.87*3.61</t>
  </si>
  <si>
    <t>7.01*7.27*4.58</t>
  </si>
  <si>
    <t>5.46*7.60*3.67</t>
  </si>
  <si>
    <t>4.64*4.67*2.78</t>
  </si>
  <si>
    <t>6.62*7.96*4.42</t>
  </si>
  <si>
    <t>5.80*8.23*3.53</t>
  </si>
  <si>
    <t>5.64*7.67*3.57</t>
  </si>
  <si>
    <t>5.37*7.56*3.68</t>
  </si>
  <si>
    <t>5.57*7.72*3.61</t>
  </si>
  <si>
    <t>4.32*4.39*3.11</t>
  </si>
  <si>
    <t>5.96*6.86*3.48</t>
  </si>
  <si>
    <t>8.05*8.10*5.03</t>
  </si>
  <si>
    <t>5.66*5.70*3.74</t>
  </si>
  <si>
    <t>5.42*7.49*3.52</t>
  </si>
  <si>
    <t>4.76*9.41*2.94</t>
  </si>
  <si>
    <t>6.22*8.43*4.23</t>
  </si>
  <si>
    <t>4.67*6.66*3.08</t>
  </si>
  <si>
    <t>4.66*6.32*3.08</t>
  </si>
  <si>
    <t>6.15*6.19*4.46</t>
  </si>
  <si>
    <t>8.07*8.10*4.99</t>
  </si>
  <si>
    <t>6.02*7.73*3.87</t>
  </si>
  <si>
    <t>5.11*7.37*3.12</t>
  </si>
  <si>
    <t>4.38*8.90*2.63</t>
  </si>
  <si>
    <t>5.29*7.36*3.45</t>
  </si>
  <si>
    <t>4.24*4.26*2.67</t>
  </si>
  <si>
    <t>5.82*8.24*3.97</t>
  </si>
  <si>
    <t>5.64*8.39*3.59</t>
  </si>
  <si>
    <t>7.98*8.02*5.04</t>
  </si>
  <si>
    <t>6.62*7.94*4.47</t>
  </si>
  <si>
    <t>4.57*6.59*2.75</t>
  </si>
  <si>
    <t>5.47*5.50*3.41</t>
  </si>
  <si>
    <t>5.43*7.38*3.70</t>
  </si>
  <si>
    <t>4.44*4.48*2.70</t>
  </si>
  <si>
    <t>5.73*5.76*3.48</t>
  </si>
  <si>
    <t>5.40*7.42*3.69</t>
  </si>
  <si>
    <t>4.41*4.47*2.70</t>
  </si>
  <si>
    <t>5.39*7.35*3.70</t>
  </si>
  <si>
    <t>5.17*6.07*3.38</t>
  </si>
  <si>
    <t>4.88*5.10*3.30</t>
  </si>
  <si>
    <t>10.94*11.01*6.84</t>
  </si>
  <si>
    <t>Hexagonal Modified Brilliant</t>
  </si>
  <si>
    <t>7.27*7.03*3.62</t>
  </si>
  <si>
    <t>4.79*5.05*3.20</t>
  </si>
  <si>
    <t>5.66*5.67*3.81</t>
  </si>
  <si>
    <t>5.60*5.64*3.45</t>
  </si>
  <si>
    <t>7.86*9.07*4.67</t>
  </si>
  <si>
    <t>4.39*4.42*2.65</t>
  </si>
  <si>
    <t>5.49*7.59*3.55</t>
  </si>
  <si>
    <t>9.50*15.51*5.76</t>
  </si>
  <si>
    <t>5.60*5.61*3.77</t>
  </si>
  <si>
    <t>6.43*6.48*3.99</t>
  </si>
  <si>
    <t>6.47*6.51*3.94</t>
  </si>
  <si>
    <t>7.51*7.56*4.70</t>
  </si>
  <si>
    <t>4.76*6.47*3.23</t>
  </si>
  <si>
    <t>5.52*5.77*3.69</t>
  </si>
  <si>
    <t>5.56*4.85*3.16</t>
  </si>
  <si>
    <t>6.39*10.39*3.93</t>
  </si>
  <si>
    <t>8.78*8.91*5.82</t>
  </si>
  <si>
    <t>6.49*6.52*4.03</t>
  </si>
  <si>
    <t>MIX</t>
  </si>
  <si>
    <t>5.79*8.04*3.50</t>
  </si>
  <si>
    <t>10-10.99</t>
  </si>
  <si>
    <t>5.63*10.43*3.57</t>
  </si>
  <si>
    <t>4.81*4.84*2.98</t>
  </si>
  <si>
    <t>4.73*6.78*3.16</t>
  </si>
  <si>
    <t>6.23*6.27*4.19</t>
  </si>
  <si>
    <t>4.57*6.38*2.85</t>
  </si>
  <si>
    <t>5.39*7.59*3.63</t>
  </si>
  <si>
    <t>5.74*5.76*3.38</t>
  </si>
  <si>
    <t>5.17*5.20*3.13</t>
  </si>
  <si>
    <t>6.61*6.64*4.04</t>
  </si>
  <si>
    <t>5.67*5.82*3.68</t>
  </si>
  <si>
    <t>4.20*5.77*2.82</t>
  </si>
  <si>
    <t>3.76*5.31*2.46</t>
  </si>
  <si>
    <t>8.02*6.94*4.64</t>
  </si>
  <si>
    <t>4.90*5.02*3.25</t>
  </si>
  <si>
    <t>9.35*9.39*5.52</t>
  </si>
  <si>
    <t>4.44*4.46*2.65</t>
  </si>
  <si>
    <t>4.45*4.49*2.67</t>
  </si>
  <si>
    <t>6.95*7.29*4.67</t>
  </si>
  <si>
    <t>4.80*4.83*2.96</t>
  </si>
  <si>
    <t>4.07*6.40*2.73</t>
  </si>
  <si>
    <t>5.05*5.09*3.04</t>
  </si>
  <si>
    <t>5.41*7.56*3.65</t>
  </si>
  <si>
    <t>8.60*13.16*5.32</t>
  </si>
  <si>
    <t>5.98*11.97*3.79</t>
  </si>
  <si>
    <t>5.39*5.40*3.62</t>
  </si>
  <si>
    <t>7.18*10.01*4.40</t>
  </si>
  <si>
    <t>5.51*7.58*3.47</t>
  </si>
  <si>
    <t>4.29*6.03*2.81</t>
  </si>
  <si>
    <t>10.25*8.76*6.08</t>
  </si>
  <si>
    <t>6.85*6.87*4.63</t>
  </si>
  <si>
    <t>6.61*6.66*4.04</t>
  </si>
  <si>
    <t>6.48*13.06*4.04</t>
  </si>
  <si>
    <t>7.10*9.64*4.39</t>
  </si>
  <si>
    <t>5.36*5.63*3.41</t>
  </si>
  <si>
    <t>5.61*9.07*3.43</t>
  </si>
  <si>
    <t>6.68*8.01*4.41</t>
  </si>
  <si>
    <t>4.28*4.30*2.69</t>
  </si>
  <si>
    <t>7.11*11.55*4.26</t>
  </si>
  <si>
    <t>4.93*6.64*3.36</t>
  </si>
  <si>
    <t>7.98*6.68*4.81</t>
  </si>
  <si>
    <t>6.62*9.22*4.24</t>
  </si>
  <si>
    <t>5.16*5.20*3.19</t>
  </si>
  <si>
    <t>5.13*5.17*3.10</t>
  </si>
  <si>
    <t>6.76*10.41*4.18</t>
  </si>
  <si>
    <t>6.61*6.64*4.08</t>
  </si>
  <si>
    <t>6.52*8.34*4.40</t>
  </si>
  <si>
    <t>5.73*8.02*3.57</t>
  </si>
  <si>
    <t>4.69*8.91*2.97</t>
  </si>
  <si>
    <t>6.68*6.73*4.02</t>
  </si>
  <si>
    <t>4.42*4.49*2.67</t>
  </si>
  <si>
    <t>6.23*7.93*4.10</t>
  </si>
  <si>
    <t>4.63*7.28*2.97</t>
  </si>
  <si>
    <t>9.27*17.82*5.79</t>
  </si>
  <si>
    <t>5.46*7.64*3.67</t>
  </si>
  <si>
    <t>4.56*7.16*2.99</t>
  </si>
  <si>
    <t>8.16*8.28*5.32</t>
  </si>
  <si>
    <t>4.66*4.68*2.91</t>
  </si>
  <si>
    <t>4.94*5.95*3.26</t>
  </si>
  <si>
    <t>5.36*5.63*3.48</t>
  </si>
  <si>
    <t>4.35*4.38*2.70</t>
  </si>
  <si>
    <t>4.95*5.20*3.15</t>
  </si>
  <si>
    <t>7.01*7.02*4.72</t>
  </si>
  <si>
    <t>4.60*6.36*2.81</t>
  </si>
  <si>
    <t>7.58*7.81*5.54</t>
  </si>
  <si>
    <t>4.63*6.01*3.13</t>
  </si>
  <si>
    <t>5.58*5.61*3.43</t>
  </si>
  <si>
    <t>6.22*8.56*3.88</t>
  </si>
  <si>
    <t>6.60*6.64*4.10</t>
  </si>
  <si>
    <t>4.47*8.62*2.72</t>
  </si>
  <si>
    <t>3.55*5.59*2.43</t>
  </si>
  <si>
    <t>6.39*5.48*3.73</t>
  </si>
  <si>
    <t>5.84*6.67*3.51</t>
  </si>
  <si>
    <t>4.82*4.89*3.48</t>
  </si>
  <si>
    <t>10.96*11.01*6.76</t>
  </si>
  <si>
    <t>4.32*4.35*2.66</t>
  </si>
  <si>
    <t>4.86*4.88*3.08</t>
  </si>
  <si>
    <t>5.46*7.47*3.65</t>
  </si>
  <si>
    <t>5.94*5.97*3.74</t>
  </si>
  <si>
    <t>5.46*5.51*3.37</t>
  </si>
  <si>
    <t>6.70*8.61*4.50</t>
  </si>
  <si>
    <t>7.47*7.50*4.49</t>
  </si>
  <si>
    <t>6.49*6.53*3.94</t>
  </si>
  <si>
    <t>6.55*8.93*4.11</t>
  </si>
  <si>
    <t>6.86*6.87*4.54</t>
  </si>
  <si>
    <t>7.03*9.43*4.70</t>
  </si>
  <si>
    <t>7.77*8.19*5.33</t>
  </si>
  <si>
    <t>5.42*7.58*3.63</t>
  </si>
  <si>
    <t>4.70*6.58*3.16</t>
  </si>
  <si>
    <t>4.76*6.81*3.13</t>
  </si>
  <si>
    <t>5.01*8.15*3.03</t>
  </si>
  <si>
    <t>6.15*6.19*4.14</t>
  </si>
  <si>
    <t>6.74*6.79*4.17</t>
  </si>
  <si>
    <t>6.81*9.52*4.49</t>
  </si>
  <si>
    <t>6.46*6.50*3.93</t>
  </si>
  <si>
    <t>4.43*4.45*2.62</t>
  </si>
  <si>
    <t>4.87*4.91*3.03</t>
  </si>
  <si>
    <t>5.28*7.78*3.52</t>
  </si>
  <si>
    <t>4.24*4.27*2.59</t>
  </si>
  <si>
    <t>3.81*5.45*2.46</t>
  </si>
  <si>
    <t>8.15*12.82*4.88</t>
  </si>
  <si>
    <t>4.62*6.40*2.79</t>
  </si>
  <si>
    <t>4.62*6.42*2.80</t>
  </si>
  <si>
    <t>6.28*6.40*4.04</t>
  </si>
  <si>
    <t>8.78*8.81*5.41</t>
  </si>
  <si>
    <t>6.41*6.44*3.98</t>
  </si>
  <si>
    <t>6.15*6.22*4.40</t>
  </si>
  <si>
    <t>4.12*7.68*2.68</t>
  </si>
  <si>
    <t>Rap Amount</t>
  </si>
  <si>
    <t>5.76*8.51*3.57</t>
  </si>
  <si>
    <t>5.95*5.99*3.72</t>
  </si>
  <si>
    <t>6.51*8.98*4.07</t>
  </si>
  <si>
    <t>4.76*4.79*2.99</t>
  </si>
  <si>
    <t>6.57*9.13*4.04</t>
  </si>
  <si>
    <t>4.32*4.35*2.74</t>
  </si>
  <si>
    <t>5.81*7.98*3.66</t>
  </si>
  <si>
    <t>5.88*7.98*4.03</t>
  </si>
  <si>
    <t>4.26*4.30*2.65</t>
  </si>
  <si>
    <t>7.22*10.12*4.41</t>
  </si>
  <si>
    <t>PCS</t>
  </si>
  <si>
    <t>5.68*8.82*3.44</t>
  </si>
  <si>
    <t>6.46*6.47*3.98</t>
  </si>
  <si>
    <t>7.80*7.03*4.55</t>
  </si>
  <si>
    <t>6.59*8.95*4.11</t>
  </si>
  <si>
    <t>4.20*8.63*2.56</t>
  </si>
  <si>
    <t>5.46*7.41*3.72</t>
  </si>
  <si>
    <t>4.84*6.80*3.13</t>
  </si>
  <si>
    <t>4.45*6.77*3.00</t>
  </si>
  <si>
    <t>5.64*8.43*3.57</t>
  </si>
  <si>
    <t>6.05*8.64*3.67</t>
  </si>
  <si>
    <t>6.50*6.52*3.96</t>
  </si>
  <si>
    <t>6.26*7.49*4.14</t>
  </si>
  <si>
    <t>4.79*4.81*2.88</t>
  </si>
  <si>
    <t>4.85*6.40*3.13</t>
  </si>
  <si>
    <t>5.39*7.51*3.65</t>
  </si>
  <si>
    <t>4.73*4.75*3.24</t>
  </si>
  <si>
    <t>9.31*14.29*5.60</t>
  </si>
  <si>
    <t>4.49*6.64*3.02</t>
  </si>
  <si>
    <t>5.64*8.33*3.54</t>
  </si>
  <si>
    <t>10.22*10.26*6.19</t>
  </si>
  <si>
    <t>6.03*12.13*3.68</t>
  </si>
  <si>
    <t>5.28*7.37*3.55</t>
  </si>
  <si>
    <t>5.64*5.67*3.51</t>
  </si>
  <si>
    <t>6.37*6.41*3.98</t>
  </si>
  <si>
    <t>5.78*8.17*3.44</t>
  </si>
  <si>
    <t>4.54*6.34*2.83</t>
  </si>
  <si>
    <t>9.29*8.14*5.21</t>
  </si>
  <si>
    <t>9.17*9.37*6.01</t>
  </si>
  <si>
    <t>7.21*7.25*4.37</t>
  </si>
  <si>
    <t>5.07*6.78*3.36</t>
  </si>
  <si>
    <t>4.23*4.26*2.67</t>
  </si>
  <si>
    <t>4.45*4.48*2.74</t>
  </si>
  <si>
    <t>6.23*6.53*4.15</t>
  </si>
  <si>
    <t>6.58*6.61*4.08</t>
  </si>
  <si>
    <t>5.09*5.14*3.11</t>
  </si>
  <si>
    <t>4.66*6.34*3.20</t>
  </si>
  <si>
    <t>3.74*5.32*2.52</t>
  </si>
  <si>
    <t>6.64*9.16*4.03</t>
  </si>
  <si>
    <t>9.25*9.30*5.73</t>
  </si>
  <si>
    <t>8.81*9.39*5.47</t>
  </si>
  <si>
    <t>5.38*5.63*3.37</t>
  </si>
  <si>
    <t>5.54*7.50*3.64</t>
  </si>
  <si>
    <t>6.64*9.32*3.96</t>
  </si>
  <si>
    <t>4.45*6.25*2.99</t>
  </si>
  <si>
    <t>8.96*17.86*5.56</t>
  </si>
  <si>
    <t>4.51*6.98*2.74</t>
  </si>
  <si>
    <t>4.85*6.66*3.27</t>
  </si>
  <si>
    <t>8.26*12.51*5.07</t>
  </si>
  <si>
    <t>6.44*6.47*4.03</t>
  </si>
  <si>
    <t>5.92*8.73*3.84</t>
  </si>
  <si>
    <t>8.37*8.63*6.00</t>
  </si>
  <si>
    <t>4.43*4.46*2.77</t>
  </si>
  <si>
    <t>6.47*9.94*4.01</t>
  </si>
  <si>
    <t>4.31*4.31*2.86</t>
  </si>
  <si>
    <t>4.66*8.69*2.91</t>
  </si>
  <si>
    <t>5.78*5.80*3.44</t>
  </si>
  <si>
    <t>7.02*11.40*4.30</t>
  </si>
  <si>
    <t>5.50*5.59*3.99</t>
  </si>
  <si>
    <t>5.51*5.61*3.73</t>
  </si>
  <si>
    <t>7.36*7.38*4.52</t>
  </si>
  <si>
    <t>CUSHION BRILLIANT HA</t>
  </si>
  <si>
    <t>4.81*6.80*3.14</t>
  </si>
  <si>
    <t>6.56*8.84*4.25</t>
  </si>
  <si>
    <t>7.07*6.16*4.01</t>
  </si>
  <si>
    <t>5.08*6.87*3.23</t>
  </si>
  <si>
    <t>5.60*5.65*3.56</t>
  </si>
  <si>
    <t>4.64*4.78*2.89</t>
  </si>
  <si>
    <t>8.48*8.59*5.58</t>
  </si>
  <si>
    <t>4.74*9.18*2.95</t>
  </si>
  <si>
    <t>9.88*15.34*6.37</t>
  </si>
  <si>
    <t>9.64*12.99*6.03</t>
  </si>
  <si>
    <t>5.68*5.96*3.59</t>
  </si>
  <si>
    <t>9.66*13.73*5.97</t>
  </si>
  <si>
    <t>5.71*7.98*3.54</t>
  </si>
  <si>
    <t>6.13*6.15*4.42</t>
  </si>
  <si>
    <t>4.59*6.33*2.85</t>
  </si>
  <si>
    <t>6.41*9.89*3.96</t>
  </si>
  <si>
    <t>-</t>
  </si>
  <si>
    <t>4.33*4.36*2.70</t>
  </si>
  <si>
    <t>8.70*8.91*6.03</t>
  </si>
  <si>
    <t>6.47*6.51*3.95</t>
  </si>
  <si>
    <t>4.43*4.45*2.77</t>
  </si>
  <si>
    <t>5.44*7.50*3.67</t>
  </si>
  <si>
    <t>6.25*6.39*4.13</t>
  </si>
  <si>
    <t>HEXAGONAL</t>
  </si>
  <si>
    <t>9.88*13.58*7.04</t>
  </si>
  <si>
    <t>5.05*5.09*3.18</t>
  </si>
  <si>
    <t>6.62*6.66*4.04</t>
  </si>
  <si>
    <t>5.42*7.67*3.63</t>
  </si>
  <si>
    <t>4.83*6.82*3.11</t>
  </si>
  <si>
    <t>7.97*10.74*5.48</t>
  </si>
  <si>
    <t>6.60*6.63*4.03</t>
  </si>
  <si>
    <t>6.52*6.55*4.04</t>
  </si>
  <si>
    <t>6.12*7.89*4.08</t>
  </si>
  <si>
    <t>4.46*4.51*2.75</t>
  </si>
  <si>
    <t>5.31*5.36*3.84</t>
  </si>
  <si>
    <t>9.12*9.31*6.13</t>
  </si>
  <si>
    <t>4.37*4.44*3.09</t>
  </si>
  <si>
    <t>6.08*11.88*3.69</t>
  </si>
  <si>
    <t>4.67*6.81*3.05</t>
  </si>
  <si>
    <t>9.13*9.21*5.72</t>
  </si>
  <si>
    <t>6.40*6.43*4.02</t>
  </si>
  <si>
    <t>9.52*9.69*6.23</t>
  </si>
  <si>
    <t>8.14*11.32*5.10</t>
  </si>
  <si>
    <t>4.71*4.74*2.93</t>
  </si>
  <si>
    <t>5.67*8.17*3.46</t>
  </si>
  <si>
    <t>4.75*6.55*3.15</t>
  </si>
  <si>
    <t>6.53*6.60*4.09</t>
  </si>
  <si>
    <t>4.23*5.87*2.76</t>
  </si>
  <si>
    <t>4.73*6.73*3.26</t>
  </si>
  <si>
    <t>6.44*6.45*3.97</t>
  </si>
  <si>
    <t>7.15*9.97*4.47</t>
  </si>
  <si>
    <t>6.48*6.51*3.96</t>
  </si>
  <si>
    <t>6.64*6.68*4.13</t>
  </si>
  <si>
    <t>4.41*4.45*2.66</t>
  </si>
  <si>
    <t>8.42*11.60*5.26</t>
  </si>
  <si>
    <t>5.41*7.82*3.59</t>
  </si>
  <si>
    <t>4.31*4.34*2.70</t>
  </si>
  <si>
    <t>4.35*4.38*2.63</t>
  </si>
  <si>
    <t>6.57*6.62*4.09</t>
  </si>
  <si>
    <t>5.58*5.63*3.53</t>
  </si>
  <si>
    <t>4.36*4.38*2.72</t>
  </si>
  <si>
    <t>6.45*9.87*4.04</t>
  </si>
  <si>
    <t>6.98*5.88*4.15</t>
  </si>
  <si>
    <t>5.86*6.82*3.36</t>
  </si>
  <si>
    <t>7.63*7.69*4.79</t>
  </si>
  <si>
    <t>5.48*5.51*3.43</t>
  </si>
  <si>
    <t>4.44*4.48*2.78</t>
  </si>
  <si>
    <t>7.58*10.92*5.02</t>
  </si>
  <si>
    <t>4.82*6.80*3.12</t>
  </si>
  <si>
    <t>H</t>
  </si>
  <si>
    <t>4.47*4.51*2.76</t>
  </si>
  <si>
    <t>4.87*4.95*3.54</t>
  </si>
  <si>
    <t>7.26*7.30*4.37</t>
  </si>
  <si>
    <t>4.21*4.28*2.68</t>
  </si>
  <si>
    <t>5.79*8.25*3.48</t>
  </si>
  <si>
    <t>4.86*6.84*3.15</t>
  </si>
  <si>
    <t>7.14*10.09*4.46</t>
  </si>
  <si>
    <t>4.61*4.64*2.87</t>
  </si>
  <si>
    <t>4.25*4.27*3.08</t>
  </si>
  <si>
    <t>4.93*6.66*3.28</t>
  </si>
  <si>
    <t>6.65*6.68*4.06</t>
  </si>
  <si>
    <t>4.32*4.34*3.12</t>
  </si>
  <si>
    <t>4.97*6.76*3.24</t>
  </si>
  <si>
    <t>5.92*5.95*3.69</t>
  </si>
  <si>
    <t>4.99*6.65*3.39</t>
  </si>
  <si>
    <t>4.39*4.40*3.09</t>
  </si>
  <si>
    <t>8.05*11.63*5.37</t>
  </si>
  <si>
    <t>5.40*5.43*3.39</t>
  </si>
  <si>
    <t>5.54*5.56*3.39</t>
  </si>
  <si>
    <t>10.17*10.26*6.24</t>
  </si>
  <si>
    <t>8.18*8.58*5.20</t>
  </si>
  <si>
    <t>5.53*4.80*3.29</t>
  </si>
  <si>
    <t>6.28*6.36*4.13</t>
  </si>
  <si>
    <t>6.43*6.49*3.93</t>
  </si>
  <si>
    <t>8.50*12.09*5.16</t>
  </si>
  <si>
    <t>4.84*4.87*3.03</t>
  </si>
  <si>
    <t>6.88*6.95*4.47</t>
  </si>
  <si>
    <t>4.41*4.50*2.82</t>
  </si>
  <si>
    <t>5.63*8.64*3.49</t>
  </si>
  <si>
    <t>8.16*11.37*5.06</t>
  </si>
  <si>
    <t>4.27*4.39*3.10</t>
  </si>
  <si>
    <t>7.43*8.56*4.34</t>
  </si>
  <si>
    <t>6.45*6.49*3.97</t>
  </si>
  <si>
    <t>5.82*8.08*3.53</t>
  </si>
  <si>
    <t>4.70*4.79*3.41</t>
  </si>
  <si>
    <t>4.86*6.72*3.27</t>
  </si>
  <si>
    <t>5.15*5.16*3.20</t>
  </si>
  <si>
    <t>4.68*6.63*3.17</t>
  </si>
  <si>
    <t>5.06*6.97*3.13</t>
  </si>
  <si>
    <t>7.13*9.77*4.51</t>
  </si>
  <si>
    <t>5.65*5.70*3.42</t>
  </si>
  <si>
    <t>6.38*8.93*4.05</t>
  </si>
  <si>
    <t>11.05*11.08*6.70</t>
  </si>
  <si>
    <t>6.35*12.32*3.93</t>
  </si>
  <si>
    <t>6.46*6.49*3.96</t>
  </si>
  <si>
    <t>6.46*6.50*3.94</t>
  </si>
  <si>
    <t>6.28*6.45*4.30</t>
  </si>
  <si>
    <t>6.58*7.90*4.48</t>
  </si>
  <si>
    <t>5.83*8.03*3.55</t>
  </si>
  <si>
    <t>6.08*6.10*4.42</t>
  </si>
  <si>
    <t>7.35*7.39*4.60</t>
  </si>
  <si>
    <t>6.55*6.88*4.38</t>
  </si>
  <si>
    <t>9.26*9.30*5.73</t>
  </si>
  <si>
    <t>8.15*11.37*5.09</t>
  </si>
  <si>
    <t>9.07*13.43*5.59</t>
  </si>
  <si>
    <t>4.95*8.13*2.98</t>
  </si>
  <si>
    <t>6.89*7.20*4.63</t>
  </si>
  <si>
    <t>4.38*4.42*2.72</t>
  </si>
  <si>
    <t>4.59*6.71*3.14</t>
  </si>
  <si>
    <t>4.51*6.98*2.77</t>
  </si>
  <si>
    <t>10.48*10.54*6.22</t>
  </si>
  <si>
    <t>6.49*10.23*3.90</t>
  </si>
  <si>
    <t>5.30*5.66*3.59</t>
  </si>
  <si>
    <t>5.38*7.38*3.66</t>
  </si>
  <si>
    <t>4.35*4.38*2.71</t>
  </si>
  <si>
    <t>8.32*11.61*5.58</t>
  </si>
  <si>
    <t>4.78*4.80*3.00</t>
  </si>
  <si>
    <t>OVAL</t>
  </si>
  <si>
    <t>7.41*7.47*4.47</t>
  </si>
  <si>
    <t>7.26*10.15*4.45</t>
  </si>
  <si>
    <t>5.58*5.81*3.69</t>
  </si>
  <si>
    <t>4.99*7.76*3.12</t>
  </si>
  <si>
    <t>6.54*9.03*4.06</t>
  </si>
  <si>
    <t>5.25*6.37*3.38</t>
  </si>
  <si>
    <t>5.76*5.80*3.58</t>
  </si>
  <si>
    <t>8.06*8.10*4.96</t>
  </si>
  <si>
    <t>4.86*6.62*3.13</t>
  </si>
  <si>
    <t>5.60*5.66*3.55</t>
  </si>
  <si>
    <t>5.47*7.97*3.60</t>
  </si>
  <si>
    <t>6.10*6.19*4.40</t>
  </si>
  <si>
    <t>5.42*5.69*3.43</t>
  </si>
  <si>
    <t>7.76*7.81*4.87</t>
  </si>
  <si>
    <t>4.62*4.65*2.88</t>
  </si>
  <si>
    <t>5.68*7.99*3.52</t>
  </si>
  <si>
    <t>7.87*7.14*4.62</t>
  </si>
  <si>
    <t>5.08*10.10*3.06</t>
  </si>
  <si>
    <t>5.74*8.26*3.50</t>
  </si>
  <si>
    <t>8.11*11.15*5.17</t>
  </si>
  <si>
    <t>6.59*9.16*4.06</t>
  </si>
  <si>
    <t>4.42*4.45*2.76</t>
  </si>
  <si>
    <t>5.68*5.69*4.10</t>
  </si>
  <si>
    <t>6.63*6.69*4.14</t>
  </si>
  <si>
    <t>6.11*8.30*3.85</t>
  </si>
  <si>
    <t>5.57*7.51*3.69</t>
  </si>
  <si>
    <t>5.79*5.84*3.65</t>
  </si>
  <si>
    <t>6.58*6.62*3.99</t>
  </si>
  <si>
    <t>6.51*6.53*4.07</t>
  </si>
  <si>
    <t>4.76*6.65*2.95</t>
  </si>
  <si>
    <t>9.66*14.99*5.79</t>
  </si>
  <si>
    <t>5.70*7.36*3.89</t>
  </si>
  <si>
    <t>6.94*13.16*4.29</t>
  </si>
  <si>
    <t>5.17*5.20*3.23</t>
  </si>
  <si>
    <t>5.71*5.73*3.34</t>
  </si>
  <si>
    <t>4.73*4.75*2.92</t>
  </si>
  <si>
    <t>6.65*7.82*4.57</t>
  </si>
  <si>
    <t>6.65*13.31*4.11</t>
  </si>
  <si>
    <t>4.35*8.30*2.75</t>
  </si>
  <si>
    <t>5.35*5.62*3.49</t>
  </si>
  <si>
    <t>5.58*8.43*3.50</t>
  </si>
  <si>
    <t>5.70*8.07*3.41</t>
  </si>
  <si>
    <t>6.44*10.12*3.97</t>
  </si>
  <si>
    <t>6.85*7.01*4.70</t>
  </si>
  <si>
    <t>9.26*12.96*5.64</t>
  </si>
  <si>
    <t>5.33*5.60*3.35</t>
  </si>
  <si>
    <t>5.64*8.99*3.42</t>
  </si>
  <si>
    <t>5.39*7.34*3.67</t>
  </si>
  <si>
    <t>5.22*7.30*3.51</t>
  </si>
  <si>
    <t>4.14*5.48*2.81</t>
  </si>
  <si>
    <t>7.38*7.44*4.60</t>
  </si>
  <si>
    <t>4.38*4.42*2.74</t>
  </si>
  <si>
    <t>5.81*5.85*3.65</t>
  </si>
  <si>
    <t>5.82*7.92*3.62</t>
  </si>
  <si>
    <t>8.29*11.60*5.61</t>
  </si>
  <si>
    <t>5.40*7.34*3.65</t>
  </si>
  <si>
    <t>6.62*6.65*4.01</t>
  </si>
  <si>
    <t>5.23*8.22*3.44</t>
  </si>
  <si>
    <t>6.63*9.06*4.05</t>
  </si>
  <si>
    <t>7.50*7.53*4.55</t>
  </si>
  <si>
    <t>6.83*6.87*4.18</t>
  </si>
  <si>
    <t>5.35*7.41*3.66</t>
  </si>
  <si>
    <t>5.99*6.95*3.78</t>
  </si>
  <si>
    <t>9.42*9.49*5.86</t>
  </si>
  <si>
    <t>3.62*5.71*2.40</t>
  </si>
  <si>
    <t>5.48*7.69*3.67</t>
  </si>
  <si>
    <t>4.61*6.55*3.02</t>
  </si>
  <si>
    <t>6.26*6.36*4.06</t>
  </si>
  <si>
    <t>5.15*6.63*3.45</t>
  </si>
  <si>
    <t>5.04*5.06*3.00</t>
  </si>
  <si>
    <t>10.94*10.98*6.79</t>
  </si>
  <si>
    <t>4.50*6.89*2.81</t>
  </si>
  <si>
    <t>5.86*5.88*3.67</t>
  </si>
  <si>
    <t>4.28*4.30*2.63</t>
  </si>
  <si>
    <t>7.64*7.67*5.13</t>
  </si>
  <si>
    <t>4.30*4.34*2.83</t>
  </si>
  <si>
    <t>4.41*4.42*2.73</t>
  </si>
  <si>
    <t>7.13*7.17*4.50</t>
  </si>
  <si>
    <t>5.93*8.10*4.06</t>
  </si>
  <si>
    <t>9.20*9.37*5.95</t>
  </si>
  <si>
    <t>9.25*9.28*5.70</t>
  </si>
  <si>
    <t>6.19*5.25*3.63</t>
  </si>
  <si>
    <t>6.34*8.50*4.27</t>
  </si>
  <si>
    <t>4.43*4.49*2.80</t>
  </si>
  <si>
    <t>5.53*7.62*3.47</t>
  </si>
  <si>
    <t>4.54*4.65*2.90</t>
  </si>
  <si>
    <t>6.16*6.22*3.78</t>
  </si>
  <si>
    <t>4.43*6.20*2.99</t>
  </si>
  <si>
    <t>4.36*4.40*2.67</t>
  </si>
  <si>
    <t>7.16*7.36*5.25</t>
  </si>
  <si>
    <t>6.38*6.41*4.11</t>
  </si>
  <si>
    <t>4.46*4.47*2.91</t>
  </si>
  <si>
    <t>5.69*7.68*3.74</t>
  </si>
  <si>
    <t>6.42*6.46*4.01</t>
  </si>
  <si>
    <t>5.51*8.45*3.48</t>
  </si>
  <si>
    <t>4.77*6.70*3.19</t>
  </si>
  <si>
    <t>4.59*6.85*2.96</t>
  </si>
  <si>
    <t>4.38*4.42*2.69</t>
  </si>
  <si>
    <t>6.90*5.90*4.04</t>
  </si>
  <si>
    <t>4.18*5.33*2.78</t>
  </si>
  <si>
    <t>5.51*7.96*3.55</t>
  </si>
  <si>
    <t>4.74*6.82*3.28</t>
  </si>
  <si>
    <t>7.92*7.94*4.76</t>
  </si>
  <si>
    <t>5.60*5.86*3.54</t>
  </si>
  <si>
    <t>7.02*7.30*4.49</t>
  </si>
  <si>
    <t>6.95*8.77*4.68</t>
  </si>
  <si>
    <t>4.39*4.41*2.68</t>
  </si>
  <si>
    <t>6.56*6.60*4.07</t>
  </si>
  <si>
    <t>6.67*6.70*4.05</t>
  </si>
  <si>
    <t>11.07*11.10*6.67</t>
  </si>
  <si>
    <t>6.44*6.46*4.00</t>
  </si>
  <si>
    <t>6.25*6.33*4.05</t>
  </si>
  <si>
    <t>5.51*8.21*3.55</t>
  </si>
  <si>
    <t>5.05*6.61*3.32</t>
  </si>
  <si>
    <t>6.41*6.45*3.95</t>
  </si>
  <si>
    <t>6.70*9.13*3.98</t>
  </si>
  <si>
    <t>5.69*8.24*3.42</t>
  </si>
  <si>
    <t>9.65*15.75*5.83</t>
  </si>
  <si>
    <t>5.11*5.14*3.10</t>
  </si>
  <si>
    <t>5.85*7.93*3.67</t>
  </si>
  <si>
    <t>7.04*9.39*4.62</t>
  </si>
  <si>
    <t>4.77*6.84*3.13</t>
  </si>
  <si>
    <t>6.54*6.60*4.05</t>
  </si>
  <si>
    <t>7.98*8.27*5.32</t>
  </si>
  <si>
    <t>8.78*8.84*5.41</t>
  </si>
  <si>
    <t>5.49*5.53*3.53</t>
  </si>
  <si>
    <t>4.39*4.40*3.14</t>
  </si>
  <si>
    <t>6.24*9.55*3.86</t>
  </si>
  <si>
    <t>4.52*6.34*2.85</t>
  </si>
  <si>
    <t>6.80*9.56*4.58</t>
  </si>
  <si>
    <t>4.39*4.42*2.70</t>
  </si>
  <si>
    <t>4.75*6.80*3.09</t>
  </si>
  <si>
    <t>6.99*10.36*4.53</t>
  </si>
  <si>
    <t>6.60*6.62*4.09</t>
  </si>
  <si>
    <t>4.65*4.68*2.85</t>
  </si>
  <si>
    <t>9.35*9.40*5.81</t>
  </si>
  <si>
    <t>5.01*6.49*3.40</t>
  </si>
  <si>
    <t>4.89*5.09*3.11</t>
  </si>
  <si>
    <t>6.99*7.03*4.51</t>
  </si>
  <si>
    <t>6.18*7.87*4.10</t>
  </si>
  <si>
    <t>4.40*4.43*2.77</t>
  </si>
  <si>
    <t>7.95*10.71*5.09</t>
  </si>
  <si>
    <t>6.25*6.44*4.20</t>
  </si>
  <si>
    <t>5.40*7.89*3.50</t>
  </si>
  <si>
    <t>4.73*4.80*3.31</t>
  </si>
  <si>
    <t>7.90*6.63*4.80</t>
  </si>
  <si>
    <t>6.44*6.49*4.04</t>
  </si>
  <si>
    <t>5.45*5.47*3.62</t>
  </si>
  <si>
    <t>5.99*6.88*3.39</t>
  </si>
  <si>
    <t>8.53*10.07*5.52</t>
  </si>
  <si>
    <t>5.58*5.63*3.52</t>
  </si>
  <si>
    <t>5.47*5.66*3.45</t>
  </si>
  <si>
    <t>5.21*10.07*3.25</t>
  </si>
  <si>
    <t>5.14*5.20*3.25</t>
  </si>
  <si>
    <t>8.10*8.14*4.95</t>
  </si>
  <si>
    <t>6.68*6.70*4.01</t>
  </si>
  <si>
    <t>5.73*7.77*3.59</t>
  </si>
  <si>
    <t>6.09*8.37*3.87</t>
  </si>
  <si>
    <t>4.41*6.80*2.77</t>
  </si>
  <si>
    <t>5.66*7.84*3.45</t>
  </si>
  <si>
    <t>6.96*9.43*4.62</t>
  </si>
  <si>
    <t>6.79*6.82*4.23</t>
  </si>
  <si>
    <t>4.81*4.84*2.92</t>
  </si>
  <si>
    <t>7.03*7.34*4.52</t>
  </si>
  <si>
    <t>5.98*8.26*4.05</t>
  </si>
  <si>
    <t>4.65*7.17*2.88</t>
  </si>
  <si>
    <t>6.95*8.07*4.13</t>
  </si>
  <si>
    <t>4.52*6.71*2.72</t>
  </si>
  <si>
    <t>7.07*6.82*3.99</t>
  </si>
  <si>
    <t>5.58*5.59*4.02</t>
  </si>
  <si>
    <t>8.69*12.02*5.31</t>
  </si>
  <si>
    <t>4.33*4.36*2.75</t>
  </si>
  <si>
    <t>4.90*4.92*3.04</t>
  </si>
  <si>
    <t>5.33*6.43*3.54</t>
  </si>
  <si>
    <t>7.38*7.41*4.54</t>
  </si>
  <si>
    <t>5.79*6.66*3.69</t>
  </si>
  <si>
    <t>8.23*11.23*5.14</t>
  </si>
  <si>
    <t>6.55*6.60*4.09</t>
  </si>
  <si>
    <t>7.85*8.03*5.11</t>
  </si>
  <si>
    <t>5.69*5.74*3.59</t>
  </si>
  <si>
    <t>4.21*4.24*2.70</t>
  </si>
  <si>
    <t>7.76*7.80*4.83</t>
  </si>
  <si>
    <t>6.53*8.95*4.13</t>
  </si>
  <si>
    <t>5.76*7.86*3.62</t>
  </si>
  <si>
    <t>5.09*6.74*3.39</t>
  </si>
  <si>
    <t>5.90*7.54*3.95</t>
  </si>
  <si>
    <t>9.42*15.29*5.80</t>
  </si>
  <si>
    <t>4.86*4.90*2.99</t>
  </si>
  <si>
    <t>4.83*6.80*2.88</t>
  </si>
  <si>
    <t>5.14*7.94*3.09</t>
  </si>
  <si>
    <t>5.80*5.73*2.94</t>
  </si>
  <si>
    <t>9.53*13.48*5.99</t>
  </si>
  <si>
    <t>7.41*8.52*4.33</t>
  </si>
  <si>
    <t>6.41*9.93*3.97</t>
  </si>
  <si>
    <t>6.07*7.30*4.03</t>
  </si>
  <si>
    <t>4.66*4.68*2.93</t>
  </si>
  <si>
    <t>4.66*4.71*2.82</t>
  </si>
  <si>
    <t>5.68*8.24*3.41</t>
  </si>
  <si>
    <t>7.34*7.46*4.88</t>
  </si>
  <si>
    <t>5.55*5.61*3.55</t>
  </si>
  <si>
    <t>6.55*9.20*3.93</t>
  </si>
  <si>
    <t>5.27*5.29*3.34</t>
  </si>
  <si>
    <t>6.26*6.28*4.16</t>
  </si>
  <si>
    <t>4.44*6.26*2.89</t>
  </si>
  <si>
    <t>10.78*10.87*6.77</t>
  </si>
  <si>
    <t>4.33*4.36*2.72</t>
  </si>
  <si>
    <t>6.27*11.90*3.94</t>
  </si>
  <si>
    <t>8.18*8.22*4.92</t>
  </si>
  <si>
    <t>4.31*4.32*2.56</t>
  </si>
  <si>
    <t>4.56*6.64*2.80</t>
  </si>
  <si>
    <t>4.59*7.05*2.78</t>
  </si>
  <si>
    <t>4.50*6.31*2.79</t>
  </si>
  <si>
    <t>5.27*5.42*3.89</t>
  </si>
  <si>
    <t>4.79*6.56*3.23</t>
  </si>
  <si>
    <t>4.57*6.26*3.09</t>
  </si>
  <si>
    <t>4.64*4.66*2.81</t>
  </si>
  <si>
    <t>4.39*4.43*2.79</t>
  </si>
  <si>
    <t>3.85*5.44*2.54</t>
  </si>
  <si>
    <t>5.18*5.23*3.28</t>
  </si>
  <si>
    <t>3.73*5.20*2.51</t>
  </si>
  <si>
    <t>5.64*7.93*3.51</t>
  </si>
  <si>
    <t>7.20*10.91*4.36</t>
  </si>
  <si>
    <t>3.69*5.45*2.42</t>
  </si>
  <si>
    <t>6.73*9.33*4.21</t>
  </si>
  <si>
    <t>6.23*7.52*3.97</t>
  </si>
  <si>
    <t>5.32*5.58*3.58</t>
  </si>
  <si>
    <t>5.57*5.85*3.64</t>
  </si>
  <si>
    <t>4.33*4.40*2.73</t>
  </si>
  <si>
    <t>4.21*5.94*2.85</t>
  </si>
  <si>
    <t>5.60*8.31*3.60</t>
  </si>
  <si>
    <t>8.68*8.72*5.44</t>
  </si>
  <si>
    <t>SELECTED</t>
  </si>
  <si>
    <t>5.48*5.61*3.54</t>
  </si>
  <si>
    <t>6.60*6.79*4.42</t>
  </si>
  <si>
    <t>6.45*6.50*3.91</t>
  </si>
  <si>
    <t>8.19*8.57*5.27</t>
  </si>
  <si>
    <t>4.84*4.90*3.29</t>
  </si>
  <si>
    <t>8.58*12.38*5.14</t>
  </si>
  <si>
    <t>7.47*9.92*4.59</t>
  </si>
  <si>
    <t>7.47*9.41*4.95</t>
  </si>
  <si>
    <t>5.47*7.64*3.66</t>
  </si>
  <si>
    <t>7.45*9.59*4.94</t>
  </si>
  <si>
    <t>6.68*9.32*4.05</t>
  </si>
  <si>
    <t>8.33*8.35*6.04</t>
  </si>
  <si>
    <t>6.13*11.69*3.77</t>
  </si>
  <si>
    <t>8.40*8.43*5.24</t>
  </si>
  <si>
    <t>4.99*5.02*3.01</t>
  </si>
  <si>
    <t>4.32*4.34*2.63</t>
  </si>
  <si>
    <t>5.26*5.29*3.18</t>
  </si>
  <si>
    <t>5.61*9.40*3.25</t>
  </si>
  <si>
    <t>6.77*9.36*4.23</t>
  </si>
  <si>
    <t>6.16*7.54*4.02</t>
  </si>
  <si>
    <t>6.76*8.21*4.35</t>
  </si>
  <si>
    <t>5.07*5.11*3.15</t>
  </si>
  <si>
    <t>6.50*8.99*3.98</t>
  </si>
  <si>
    <t>5.53*7.61*3.42</t>
  </si>
  <si>
    <t>5.07*6.48*3.37</t>
  </si>
  <si>
    <t>4.29*4.33*2.71</t>
  </si>
  <si>
    <t>9.19*9.25*5.72</t>
  </si>
  <si>
    <t>7.07*10.59*4.52</t>
  </si>
  <si>
    <t>4.26*4.31*2.63</t>
  </si>
  <si>
    <t>7.16*10.92*4.44</t>
  </si>
  <si>
    <t>4.99*6.42*3.36</t>
  </si>
  <si>
    <t>4.84*7.03*3.12</t>
  </si>
  <si>
    <t>4.91*4.92*3.28</t>
  </si>
  <si>
    <t>5.41*7.47*3.61</t>
  </si>
  <si>
    <t>7.90*7.96*4.76</t>
  </si>
  <si>
    <t>6.40*12.16*3.93</t>
  </si>
  <si>
    <t>5.17*5.19*3.18</t>
  </si>
  <si>
    <t>4.61*6.36*2.84</t>
  </si>
  <si>
    <t>6.00*8.72*3.89</t>
  </si>
  <si>
    <t>7.99*8.06*5.20</t>
  </si>
  <si>
    <t>6.05*7.25*4.05</t>
  </si>
  <si>
    <t>4.25*4.33*2.85</t>
  </si>
  <si>
    <t>5.67*5.69*3.55</t>
  </si>
  <si>
    <t>5.70*5.74*3.47</t>
  </si>
  <si>
    <t>4.93*7.19*3.20</t>
  </si>
  <si>
    <t>6.34*7.75*4.18</t>
  </si>
  <si>
    <t>5.62*7.88*3.78</t>
  </si>
  <si>
    <t>4.22*4.26*2.67</t>
  </si>
  <si>
    <t>7.45*7.48*4.64</t>
  </si>
  <si>
    <t>6.60*9.23*4.10</t>
  </si>
  <si>
    <t>4.35*4.39*2.69</t>
  </si>
  <si>
    <t>8.87*8.90*5.54</t>
  </si>
  <si>
    <t>5.19*7.52*3.36</t>
  </si>
  <si>
    <t>3.81*5.58*2.51</t>
  </si>
  <si>
    <t>5.00*6.65*3.34</t>
  </si>
  <si>
    <t>5.26*5.29*3.19</t>
  </si>
  <si>
    <t>6.26*7.50*4.19</t>
  </si>
  <si>
    <t>6.43*6.46*4.00</t>
  </si>
  <si>
    <t>8.31*10.00*5.61</t>
  </si>
  <si>
    <t>6.50*6.52*3.91</t>
  </si>
  <si>
    <t>5.60*5.68*3.59</t>
  </si>
  <si>
    <t>6.45*9.76*4.07</t>
  </si>
  <si>
    <t>4.79*4.84*3.19</t>
  </si>
  <si>
    <t>8.20*11.52*5.47</t>
  </si>
  <si>
    <t>5.42*7.41*3.68</t>
  </si>
  <si>
    <t>4.17*5.79*2.75</t>
  </si>
  <si>
    <t>6.17*6.33*4.39</t>
  </si>
  <si>
    <t>4.77*4.80*3.19</t>
  </si>
  <si>
    <t>7.20*10.40*4.42</t>
  </si>
  <si>
    <t>8.36*11.51*5.16</t>
  </si>
  <si>
    <t>5.61*5.64*3.55</t>
  </si>
  <si>
    <t>7.58*7.61*4.55</t>
  </si>
  <si>
    <t>5.80*8.63*3.54</t>
  </si>
  <si>
    <t>5.74*5.77*3.35</t>
  </si>
  <si>
    <t>5.99*8.09*4.07</t>
  </si>
  <si>
    <t>5.64*5.77*3.66</t>
  </si>
  <si>
    <t>4.71*7.40*3.00</t>
  </si>
  <si>
    <t>4.31*4.36*2.60</t>
  </si>
  <si>
    <t>5.41*7.42*3.69</t>
  </si>
  <si>
    <t>5.63*5.67*3.58</t>
  </si>
  <si>
    <t>4.41*4.44*2.73</t>
  </si>
  <si>
    <t>5.74*7.92*3.57</t>
  </si>
  <si>
    <t>5.68*7.72*3.58</t>
  </si>
  <si>
    <t>4.80*6.71*3.18</t>
  </si>
  <si>
    <t>5.60*5.67*3.58</t>
  </si>
  <si>
    <t>9.19*9.23*5.66</t>
  </si>
  <si>
    <t>4.17*5.72*2.69</t>
  </si>
  <si>
    <t>7.92*6.82*4.73</t>
  </si>
  <si>
    <t>5.45*10.50*3.26</t>
  </si>
  <si>
    <t>6.54*6.56*4.09</t>
  </si>
  <si>
    <t>5.29*5.39*3.41</t>
  </si>
  <si>
    <t>5.30*5.59*3.50</t>
  </si>
  <si>
    <t>6.88*6.93*4.55</t>
  </si>
  <si>
    <t>4.65*7.14*2.94</t>
  </si>
  <si>
    <t>5.59*8.61*3.36</t>
  </si>
  <si>
    <t>5.61*8.32*3.59</t>
  </si>
  <si>
    <t>7.10*7.45*4.54</t>
  </si>
  <si>
    <t>4.60*6.20*3.09</t>
  </si>
  <si>
    <t>4.92*6.43*3.32</t>
  </si>
  <si>
    <t>6.62*6.65*4.13</t>
  </si>
  <si>
    <t>4.42*4.43*2.67</t>
  </si>
  <si>
    <t>4.42*4.44*2.72</t>
  </si>
  <si>
    <t>4.72*4.75*2.94</t>
  </si>
  <si>
    <t>6.48*9.05*4.05</t>
  </si>
  <si>
    <t>4.62*6.38*2.84</t>
  </si>
  <si>
    <t>5.86*8.98*3.86</t>
  </si>
  <si>
    <t>5.62*7.60*3.78</t>
  </si>
  <si>
    <t>6.58*6.62*4.12</t>
  </si>
  <si>
    <t>5.47*5.00*3.27</t>
  </si>
  <si>
    <t>6.13*6.18*3.87</t>
  </si>
  <si>
    <t>6.56*6.58*4.09</t>
  </si>
  <si>
    <t>4.82*6.92*3.17</t>
  </si>
  <si>
    <t>4.75*6.48*3.20</t>
  </si>
  <si>
    <t>6.80*10.53*4.18</t>
  </si>
  <si>
    <t>Freeform Mixed Cut</t>
  </si>
  <si>
    <t>5.00*6.73*3.34</t>
  </si>
  <si>
    <t>4.34*7.10*2.69</t>
  </si>
  <si>
    <t>5.02*6.72*3.35</t>
  </si>
  <si>
    <t>0.60-0.69</t>
  </si>
  <si>
    <t>9.08*9.17*5.73</t>
  </si>
  <si>
    <t>7.04*6.12*4.04</t>
  </si>
  <si>
    <t>5.72*5.75*3.46</t>
  </si>
  <si>
    <t>9.31*9.37*5.68</t>
  </si>
  <si>
    <t>5.75*6.68*3.50</t>
  </si>
  <si>
    <t>Tapered Baguette</t>
  </si>
  <si>
    <t>6.28*6.33*3.70</t>
  </si>
  <si>
    <t>6.70*6.74*4.04</t>
  </si>
  <si>
    <t>5.63*7.66*3.57</t>
  </si>
  <si>
    <t>5.11*5.14*3.16</t>
  </si>
  <si>
    <t>5.62*9.18*3.48</t>
  </si>
  <si>
    <t>4.33*4.39*2.73</t>
  </si>
  <si>
    <t>6.88*6.91*4.09</t>
  </si>
  <si>
    <t>9.46*9.51*5.80</t>
  </si>
  <si>
    <t>7.25*7.29*4.57</t>
  </si>
  <si>
    <t>5.41*7.80*3.46</t>
  </si>
  <si>
    <t>4.52*9.43*2.79</t>
  </si>
  <si>
    <t>5.66*5.74*3.67</t>
  </si>
  <si>
    <t>5.85*8.07*3.58</t>
  </si>
  <si>
    <t>7.41*11.89*4.48</t>
  </si>
  <si>
    <t>6.59*8.98*4.11</t>
  </si>
  <si>
    <t>5.52*7.69*3.46</t>
  </si>
  <si>
    <t>6.91*6.93*4.56</t>
  </si>
  <si>
    <t>4.38*4.40*2.77</t>
  </si>
  <si>
    <t>5.58*5.87*3.67</t>
  </si>
  <si>
    <t>5.63*7.73*3.56</t>
  </si>
  <si>
    <t>8.14*8.18*5.08</t>
  </si>
  <si>
    <t>6.17*7.40*4.11</t>
  </si>
  <si>
    <t>5.77*8.75*3.50</t>
  </si>
  <si>
    <t>8.28*8.56*5.30</t>
  </si>
  <si>
    <t>6.76*6.83*4.48</t>
  </si>
  <si>
    <t>5.60*5.64*3.57</t>
  </si>
  <si>
    <t>5.74*8.76*3.54</t>
  </si>
  <si>
    <t>5.35*5.41*3.89</t>
  </si>
  <si>
    <t>3.74*5.19*2.52</t>
  </si>
  <si>
    <t>6.50*9.80*4.05</t>
  </si>
  <si>
    <t>4.52*6.38*2.81</t>
  </si>
  <si>
    <t>5.50*5.63*3.72</t>
  </si>
  <si>
    <t>5.94*8.29*3.57</t>
  </si>
  <si>
    <t>5.69*8.39*3.52</t>
  </si>
  <si>
    <t>4.45*4.47*2.66</t>
  </si>
  <si>
    <t>7.00-7.99</t>
  </si>
  <si>
    <t>5.55*8.22*3.45</t>
  </si>
  <si>
    <t>7.25*8.31*4.52</t>
  </si>
  <si>
    <t>4.35*4.37*2.66</t>
  </si>
  <si>
    <t>7.09*9.75*4.43</t>
  </si>
  <si>
    <t>5.53*7.62*3.46</t>
  </si>
  <si>
    <t>5.13*5.18*3.18</t>
  </si>
  <si>
    <t>7.82*10.14*4.89</t>
  </si>
  <si>
    <t>6.73*10.37*4.19</t>
  </si>
  <si>
    <t>5.70*5.72*3.82</t>
  </si>
  <si>
    <t>8.10*8.50*5.27</t>
  </si>
  <si>
    <t>6.61*9.12*4.11</t>
  </si>
  <si>
    <t>4.44*4.56*2.81</t>
  </si>
  <si>
    <t>5.38*7.52*3.62</t>
  </si>
  <si>
    <t>4.76*6.67*3.15</t>
  </si>
  <si>
    <t>7.23*11.23*4.33</t>
  </si>
  <si>
    <t>7.57*14.43*4.73</t>
  </si>
  <si>
    <t>10.04*9.09*5.85</t>
  </si>
  <si>
    <t>7.37*10.90*4.36</t>
  </si>
  <si>
    <t>5.43*7.30*3.65</t>
  </si>
  <si>
    <t>4.35*4.38*2.68</t>
  </si>
  <si>
    <t>6.47*10.41*4.03</t>
  </si>
  <si>
    <t>6.19*8.33*4.00</t>
  </si>
  <si>
    <t>10.25*8.93*5.87</t>
  </si>
  <si>
    <t>3.66*5.67*2.36</t>
  </si>
  <si>
    <t>12.06*17.48*7.54</t>
  </si>
  <si>
    <t>4.75*4.79*2.95</t>
  </si>
  <si>
    <t>6.52*6.56*4.05</t>
  </si>
  <si>
    <t>5.64*8.20*3.43</t>
  </si>
  <si>
    <t>7.10*10.84*4.44</t>
  </si>
  <si>
    <t>8.15*8.18*4.92</t>
  </si>
  <si>
    <t>4.55*6.57*2.69</t>
  </si>
  <si>
    <t>5.53*10.50*3.40</t>
  </si>
  <si>
    <t>8.33*11.61*5.00</t>
  </si>
  <si>
    <t>6.58*7.90*4.43</t>
  </si>
  <si>
    <t>6.64*6.67*4.03</t>
  </si>
  <si>
    <t>4.25*4.26*2.63</t>
  </si>
  <si>
    <t>4.62*6.34*3.09</t>
  </si>
  <si>
    <t>11.02*11.06*6.70</t>
  </si>
  <si>
    <t>6.44*6.47*3.95</t>
  </si>
  <si>
    <t>6.53*6.56*3.93</t>
  </si>
  <si>
    <t>5.67*7.74*3.52</t>
  </si>
  <si>
    <t>5.13*6.84*3.27</t>
  </si>
  <si>
    <t>5.73*7.88*3.57</t>
  </si>
  <si>
    <t>5.39*5.44*3.38</t>
  </si>
  <si>
    <t>8.00*8.37*5.25</t>
  </si>
  <si>
    <t>5.65*5.69*3.73</t>
  </si>
  <si>
    <t>4.52*6.36*2.81</t>
  </si>
  <si>
    <t>3.67*5.39*2.47</t>
  </si>
  <si>
    <t>5.06*7.00*3.16</t>
  </si>
  <si>
    <t>4.91*9.95*2.98</t>
  </si>
  <si>
    <t>7.17*9.98*4.46</t>
  </si>
  <si>
    <t>4.21*5.90*2.85</t>
  </si>
  <si>
    <t>4.74*6.81*3.26</t>
  </si>
  <si>
    <t>5.60*5.98*3.52</t>
  </si>
  <si>
    <t>4.70*6.74*3.11</t>
  </si>
  <si>
    <t>6.49*9.65*4.09</t>
  </si>
  <si>
    <t>6.77*7.22*4.59</t>
  </si>
  <si>
    <t>6.02*8.26*4.06</t>
  </si>
  <si>
    <t>4.42*4.47*2.82</t>
  </si>
  <si>
    <t>5.08*7.31*3.09</t>
  </si>
  <si>
    <t>5.40*7.61*3.65</t>
  </si>
  <si>
    <t>9.19*9.64*6.25</t>
  </si>
  <si>
    <t>5.69*5.97*3.62</t>
  </si>
  <si>
    <t>8.61*8.66*5.28</t>
  </si>
  <si>
    <t>4.27*4.30*2.66</t>
  </si>
  <si>
    <t>5.48*7.85*3.53</t>
  </si>
  <si>
    <t>3.89*5.33*2.61</t>
  </si>
  <si>
    <t>4.46*6.88*2.76</t>
  </si>
  <si>
    <t>9.18*9.25*5.72</t>
  </si>
  <si>
    <t>7.48*10.57*5.05</t>
  </si>
  <si>
    <t>7.14*6.23*4.01</t>
  </si>
  <si>
    <t>6.60*6.65*4.13</t>
  </si>
  <si>
    <t>7.28*6.28*4.23</t>
  </si>
  <si>
    <t>5.68*5.72*3.48</t>
  </si>
  <si>
    <t>5.76*8.80*3.44</t>
  </si>
  <si>
    <t>4.79*4.88*3.40</t>
  </si>
  <si>
    <t>5.43*10.54*3.37</t>
  </si>
  <si>
    <t>5.02*6.77*3.33</t>
  </si>
  <si>
    <t>8.13*7.01*4.83</t>
  </si>
  <si>
    <t>9.24*9.27*6.51</t>
  </si>
  <si>
    <t>7.65*9.18*5.15</t>
  </si>
  <si>
    <t>CUSHION BRILLIANT</t>
  </si>
  <si>
    <t>4.26*4.30*2.68</t>
  </si>
  <si>
    <t>5.64*5.82*3.77</t>
  </si>
  <si>
    <t>5.03*5.07*3.15</t>
  </si>
  <si>
    <t>4.44*4.71*2.73</t>
  </si>
  <si>
    <t>5.97*8.26*3.97</t>
  </si>
  <si>
    <t>MARQUISE</t>
  </si>
  <si>
    <t>6.52*12.11*4.17</t>
  </si>
  <si>
    <t>4.62*9.59*2.86</t>
  </si>
  <si>
    <t>6.57*6.63*4.06</t>
  </si>
  <si>
    <t>5.95*8.12*3.52</t>
  </si>
  <si>
    <t>5.51*7.71*3.61</t>
  </si>
  <si>
    <t>8.23*11.81*5.00</t>
  </si>
  <si>
    <t>6.80*7.20*4.63</t>
  </si>
  <si>
    <t>4.34*4.38*2.72</t>
  </si>
  <si>
    <t>4.63*6.46*2.81</t>
  </si>
  <si>
    <t>4.20*5.79*2.86</t>
  </si>
  <si>
    <t>4.91*5.03*3.29</t>
  </si>
  <si>
    <t>4.67*8.90*2.88</t>
  </si>
  <si>
    <t>4.72*5.71*3.16</t>
  </si>
  <si>
    <t>4.94*6.68*3.35</t>
  </si>
  <si>
    <t>4.24*8.79*2.66</t>
  </si>
  <si>
    <t>5.47*5.48*3.59</t>
  </si>
  <si>
    <t>5.64*5.67*3.52</t>
  </si>
  <si>
    <t>5.24*5.61*3.58</t>
  </si>
  <si>
    <t>4.36*4.37*2.67</t>
  </si>
  <si>
    <t>5.56*6.97*3.60</t>
  </si>
  <si>
    <t>11.66*10.16*7.02</t>
  </si>
  <si>
    <t>7.27*10.78*4.65</t>
  </si>
  <si>
    <t>5.54*5.54*3.95</t>
  </si>
  <si>
    <t>4.41*4.44*2.75</t>
  </si>
  <si>
    <t>4.44*9.58*2.76</t>
  </si>
  <si>
    <t>5.31*5.42*3.44</t>
  </si>
  <si>
    <t>6.84*9.23*4.65</t>
  </si>
  <si>
    <t>5.94*5.96*3.69</t>
  </si>
  <si>
    <t>5.20*5.22*3.14</t>
  </si>
  <si>
    <t>6.46*8.99*4.02</t>
  </si>
  <si>
    <t>5.43*7.77*3.29</t>
  </si>
  <si>
    <t>6.00*6.22*4.40</t>
  </si>
  <si>
    <t>6.46*6.49*3.97</t>
  </si>
  <si>
    <t>5.17*5.21*3.01</t>
  </si>
  <si>
    <t>5.97*8.11*4.06</t>
  </si>
  <si>
    <t>5.87*8.68*3.64</t>
  </si>
  <si>
    <t>4.69*6.07*3.16</t>
  </si>
  <si>
    <t>7.37*7.17*3.96</t>
  </si>
  <si>
    <t>6.44*7.74*4.14</t>
  </si>
  <si>
    <t>5.87*8.24*3.57</t>
  </si>
  <si>
    <t>6.57*9.07*4.00</t>
  </si>
  <si>
    <t>4.20*5.76*2.82</t>
  </si>
  <si>
    <t>9.86*18.88*6.05</t>
  </si>
  <si>
    <t>5.86*8.18*3.50</t>
  </si>
  <si>
    <t>5.51*5.77*3.59</t>
  </si>
  <si>
    <t>6.38*5.47*3.60</t>
  </si>
  <si>
    <t>14.02*14.06*8.34</t>
  </si>
  <si>
    <t>4.29*4.31*3.10</t>
  </si>
  <si>
    <t>4.56*4.59*2.86</t>
  </si>
  <si>
    <t>6.17*5.19*3.72</t>
  </si>
  <si>
    <t>4.57*6.31*2.83</t>
  </si>
  <si>
    <t>5.59*8.97*3.43</t>
  </si>
  <si>
    <t>4.37*4.41*2.69</t>
  </si>
  <si>
    <t>4.24*6.15*2.76</t>
  </si>
  <si>
    <t>4.53*7.03*2.83</t>
  </si>
  <si>
    <t>6.95*6.14*4.16</t>
  </si>
  <si>
    <t>6.53*9.97*4.13</t>
  </si>
  <si>
    <t>5.55*5.87*3.66</t>
  </si>
  <si>
    <t>4.23*4.27*2.67</t>
  </si>
  <si>
    <t>4.92*6.38*3.35</t>
  </si>
  <si>
    <t>4.24*4.31*2.68</t>
  </si>
  <si>
    <t>7.93*12.40*4.77</t>
  </si>
  <si>
    <t>5.97*6.01*3.70</t>
  </si>
  <si>
    <t>8.50*8.59*5.54</t>
  </si>
  <si>
    <t>4.69*6.63*3.17</t>
  </si>
  <si>
    <t>6.37*9.35*4.03</t>
  </si>
  <si>
    <t>5.47*7.67*3.63</t>
  </si>
  <si>
    <t>6.53*6.57*4.01</t>
  </si>
  <si>
    <t>4.84*6.76*3.11</t>
  </si>
  <si>
    <t>6.11*6.31*4.44</t>
  </si>
  <si>
    <t>6.60*6.63*4.06</t>
  </si>
  <si>
    <t>7.01*6.37*3.93</t>
  </si>
  <si>
    <t>6.28*6.31*4.11</t>
  </si>
  <si>
    <t>6.66*9.28*3.98</t>
  </si>
  <si>
    <t>7.37*7.53*5.28</t>
  </si>
  <si>
    <t>5.23*5.28*3.18</t>
  </si>
  <si>
    <t>4.47*4.50*2.80</t>
  </si>
  <si>
    <t>4.82*6.74*3.20</t>
  </si>
  <si>
    <t>4.51*6.24*2.82</t>
  </si>
  <si>
    <t>5.42*7.81*3.47</t>
  </si>
  <si>
    <t>5.28*5.33*3.21</t>
  </si>
  <si>
    <t>5.56*5.59*3.48</t>
  </si>
  <si>
    <t>7.36*10.80*4.97</t>
  </si>
  <si>
    <t>4.20*5.90*2.81</t>
  </si>
  <si>
    <t>5.19*5.22*3.26</t>
  </si>
  <si>
    <t>4.48*6.37*2.98</t>
  </si>
  <si>
    <t>5.63*8.48*3.43</t>
  </si>
  <si>
    <t>9.52*15.77*6.03</t>
  </si>
  <si>
    <t>6.01*8.41*3.96</t>
  </si>
  <si>
    <t>5.06*6.86*3.25</t>
  </si>
  <si>
    <t>6.64*7.67*3.97</t>
  </si>
  <si>
    <t>6.64*6.68*4.55</t>
  </si>
  <si>
    <t>8.20*8.23*4.89</t>
  </si>
  <si>
    <t>4.67*6.85*3.04</t>
  </si>
  <si>
    <t>5.89*6.86*3.52</t>
  </si>
  <si>
    <t>4.54*6.34*2.81</t>
  </si>
  <si>
    <t>4.78*9.12*2.94</t>
  </si>
  <si>
    <t>5.56*5.83*3.67</t>
  </si>
  <si>
    <t>8.51*9.10*5.83</t>
  </si>
  <si>
    <t>5.27*6.35*3.49</t>
  </si>
  <si>
    <t>7.22*7.26*4.58</t>
  </si>
  <si>
    <t>7.19*9.54*4.83</t>
  </si>
  <si>
    <t>5.73*5.76*3.77</t>
  </si>
  <si>
    <t>9.36*9.43*5.84</t>
  </si>
  <si>
    <t>6.59*8.00*4.44</t>
  </si>
  <si>
    <t>7.95*8.35*5.23</t>
  </si>
  <si>
    <t>9.21*9.24*5.73</t>
  </si>
  <si>
    <t>7.66*9.18*5.27</t>
  </si>
  <si>
    <t>5.68*5.70*3.33</t>
  </si>
  <si>
    <t>5.64*7.74*3.53</t>
  </si>
  <si>
    <t>4.89*6.64*3.27</t>
  </si>
  <si>
    <t>4.36*4.40*2.87</t>
  </si>
  <si>
    <t>4.43*4.48*2.74</t>
  </si>
  <si>
    <t>6.58*6.63*4.08</t>
  </si>
  <si>
    <t>4.83*4.91*3.14</t>
  </si>
  <si>
    <t>6.04*6.12*4.45</t>
  </si>
  <si>
    <t>6.01*8.29*3.73</t>
  </si>
  <si>
    <t>7.61*7.67*4.74</t>
  </si>
  <si>
    <t>7.39*7.42*4.60</t>
  </si>
  <si>
    <t>5.70*7.76*3.58</t>
  </si>
  <si>
    <t>5.83*7.88*3.67</t>
  </si>
  <si>
    <t>6.18*5.44*3.66</t>
  </si>
  <si>
    <t>5.75*8.34*3.44</t>
  </si>
  <si>
    <t>5.62*8.47*3.45</t>
  </si>
  <si>
    <t>5.45*5.57*3.55</t>
  </si>
  <si>
    <t>5.47*5.69*3.61</t>
  </si>
  <si>
    <t>7.10*7.13*4.38</t>
  </si>
  <si>
    <t>7.07*10.49*4.54</t>
  </si>
  <si>
    <t>5.11*6.55*3.43</t>
  </si>
  <si>
    <t>6.51*8.90*4.03</t>
  </si>
  <si>
    <t>4.91*6.90*3.27</t>
  </si>
  <si>
    <t>CVD</t>
  </si>
  <si>
    <t>5.16*5.18*3.16</t>
  </si>
  <si>
    <t>4.17*5.91*2.76</t>
  </si>
  <si>
    <t>5.88*8.73*3.58</t>
  </si>
  <si>
    <t>5.71*6.64*3.57</t>
  </si>
  <si>
    <t>5.02*5.06*3.10</t>
  </si>
  <si>
    <t>4.85*4.88*2.89</t>
  </si>
  <si>
    <t>7.02*7.08*4.31</t>
  </si>
  <si>
    <t>4.80*4.83*2.97</t>
  </si>
  <si>
    <t>8.23*8.34*5.81</t>
  </si>
  <si>
    <t>6.61*9.35*4.04</t>
  </si>
  <si>
    <t>5.46*5.82*3.40</t>
  </si>
  <si>
    <t>9.47*14.82*5.99</t>
  </si>
  <si>
    <t>3.84*5.29*2.44</t>
  </si>
  <si>
    <t>10.24*10.27*6.22</t>
  </si>
  <si>
    <t>6.22*6.67*4.29</t>
  </si>
  <si>
    <t>5.64*7.77*3.47</t>
  </si>
  <si>
    <t>5.06*5.12*3.17</t>
  </si>
  <si>
    <t>Disc.%</t>
  </si>
  <si>
    <t>7.22*7.26*4.51</t>
  </si>
  <si>
    <t>6.24*10.15*3.76</t>
  </si>
  <si>
    <t>6.61*9.21*4.02</t>
  </si>
  <si>
    <t>6.46*6.52*3.89</t>
  </si>
  <si>
    <t>7.13*10.07*4.80</t>
  </si>
  <si>
    <t>6.52*6.57*4.06</t>
  </si>
  <si>
    <t>4.54*6.38*2.83</t>
  </si>
  <si>
    <t>7.12*10.97*4.38</t>
  </si>
  <si>
    <t>6.69*6.72*4.14</t>
  </si>
  <si>
    <t>5.11*5.14*3.14</t>
  </si>
  <si>
    <t>5.45*5.63*3.89</t>
  </si>
  <si>
    <t>6.03*11.41*3.75</t>
  </si>
  <si>
    <t>5.58*8.11*3.35</t>
  </si>
  <si>
    <t>4.81*5.15*3.28</t>
  </si>
  <si>
    <t>4.71*4.78*3.47</t>
  </si>
  <si>
    <t>7.42*7.48*4.62</t>
  </si>
  <si>
    <t>8.41*8.47*5.27</t>
  </si>
  <si>
    <t>4.56*6.24*3.11</t>
  </si>
  <si>
    <t>5.62*8.48*3.59</t>
  </si>
  <si>
    <t>11.17*11.21*6.55</t>
  </si>
  <si>
    <t>5.76*7.96*3.56</t>
  </si>
  <si>
    <t>6.11*8.29*3.95</t>
  </si>
  <si>
    <t>4.53*6.25*2.79</t>
  </si>
  <si>
    <t>7.29*11.01*4.60</t>
  </si>
  <si>
    <t>13.54*13.60*8.06</t>
  </si>
  <si>
    <t>9.33*9.40*5.73</t>
  </si>
  <si>
    <t>6.47*6.54*3.98</t>
  </si>
  <si>
    <t>6.48*6.51*3.89</t>
  </si>
  <si>
    <t>8.12*7.42*4.54</t>
  </si>
  <si>
    <t>5.07*6.94*3.15</t>
  </si>
  <si>
    <t>4.70*6.92*3.04</t>
  </si>
  <si>
    <t>7.87*7.16*4.68</t>
  </si>
  <si>
    <t>7.94*6.79*4.66</t>
  </si>
  <si>
    <t>6.30*6.43*4.12</t>
  </si>
  <si>
    <t>7.08*8.38*4.71</t>
  </si>
  <si>
    <t>7.09*7.33*4.58</t>
  </si>
  <si>
    <t>5.63*5.66*3.36</t>
  </si>
  <si>
    <t>5.54*8.72*3.41</t>
  </si>
  <si>
    <t>6.91*6.98*4.46</t>
  </si>
  <si>
    <t>5.76*7.93*3.53</t>
  </si>
  <si>
    <t>4.24*6.20*2.85</t>
  </si>
  <si>
    <t>6.50*9.91*3.99</t>
  </si>
  <si>
    <t>4.86*4.90*3.24</t>
  </si>
  <si>
    <t>5.05*6.82*3.24</t>
  </si>
  <si>
    <t>5.93*6.06*3.97</t>
  </si>
  <si>
    <t>4.77*4.79*2.96</t>
  </si>
  <si>
    <t>7.99*11.44*5.05</t>
  </si>
  <si>
    <t>7.36*14.18*4.53</t>
  </si>
  <si>
    <t>6.55*6.60*4.05</t>
  </si>
  <si>
    <t>5.64*5.68*3.55</t>
  </si>
  <si>
    <t>4.51*4.53*2.75</t>
  </si>
  <si>
    <t>5.55*7.65*3.45</t>
  </si>
  <si>
    <t>4.43*8.81*2.72</t>
  </si>
  <si>
    <t>6.54*8.92*4.12</t>
  </si>
  <si>
    <t>5.73*5.86*3.76</t>
  </si>
  <si>
    <t>5.31*7.73*3.50</t>
  </si>
  <si>
    <t>6.20*6.39*3.95</t>
  </si>
  <si>
    <t>8.18*11.17*5.11</t>
  </si>
  <si>
    <t>9.03*12.47*5.64</t>
  </si>
  <si>
    <t>5.68*7.97*3.79</t>
  </si>
  <si>
    <t>6.56*9.92*3.83</t>
  </si>
  <si>
    <t>6.38*6.42*3.96</t>
  </si>
  <si>
    <t>4.75*4.79*2.91</t>
  </si>
  <si>
    <t>4.36*9.15*2.65</t>
  </si>
  <si>
    <t>6.19*6.24*4.12</t>
  </si>
  <si>
    <t>6.72*9.10*4.47</t>
  </si>
  <si>
    <t>5.02*7.09*3.36</t>
  </si>
  <si>
    <t>5.98*6.02*3.74</t>
  </si>
  <si>
    <t>12.60*19.36*7.87</t>
  </si>
  <si>
    <t>5.62*5.79*3.77</t>
  </si>
  <si>
    <t>7.96*8.05*5.04</t>
  </si>
  <si>
    <t>5.85*8.39*3.54</t>
  </si>
  <si>
    <t>4.77*6.69*3.18</t>
  </si>
  <si>
    <t>7.13*10.93*4.42</t>
  </si>
  <si>
    <t>6.60*9.10*4.09</t>
  </si>
  <si>
    <t>6.19*6.64*4.03</t>
  </si>
  <si>
    <t>5.98*8.17*4.05</t>
  </si>
  <si>
    <t>5.68*8.75*3.44</t>
  </si>
  <si>
    <t>4.75*4.85*3.43</t>
  </si>
  <si>
    <t>5.96*7.62*4.01</t>
  </si>
  <si>
    <t>5.45*7.47*3.64</t>
  </si>
  <si>
    <t>6.30*6.45*4.11</t>
  </si>
  <si>
    <t>8.95*17.98*5.47</t>
  </si>
  <si>
    <t>6.89*6.91*4.16</t>
  </si>
  <si>
    <t>8.86*13.99*5.36</t>
  </si>
  <si>
    <t>7.21*6.89*3.62</t>
  </si>
  <si>
    <t>Horse Head</t>
  </si>
  <si>
    <t>5.05*5.10*3.17</t>
  </si>
  <si>
    <t>8.35*11.55*5.20</t>
  </si>
  <si>
    <t>4.68*6.48*3.26</t>
  </si>
  <si>
    <t>10.24*8.87*6.11</t>
  </si>
  <si>
    <t>6.24*6.25*4.54</t>
  </si>
  <si>
    <t>14.75*15.03*9.40</t>
  </si>
  <si>
    <t>4.88*4.93*3.12</t>
  </si>
  <si>
    <t>5.35*5.63*3.49</t>
  </si>
  <si>
    <t>5.45*7.61*3.65</t>
  </si>
  <si>
    <t>4.77*6.72*3.19</t>
  </si>
  <si>
    <t>6.53*6.83*4.11</t>
  </si>
  <si>
    <t>7.26*7.32*4.51</t>
  </si>
  <si>
    <t>4.81*8.91*2.87</t>
  </si>
  <si>
    <t>7.82*10.40*5.31</t>
  </si>
  <si>
    <t>6.15*7.16*3.50</t>
  </si>
  <si>
    <t>5.68*7.85*3.53</t>
  </si>
  <si>
    <t>6.41*6.44*3.97</t>
  </si>
  <si>
    <t>4.76*4.86*3.18</t>
  </si>
  <si>
    <t>5.69*7.67*3.78</t>
  </si>
  <si>
    <t>7.97*8.00*5.36</t>
  </si>
  <si>
    <t>8.23*11.33*5.14</t>
  </si>
  <si>
    <t>7.44*7.46*4.58</t>
  </si>
  <si>
    <t>8.39*8.56*5.88</t>
  </si>
  <si>
    <t>5.62*5.84*3.64</t>
  </si>
  <si>
    <t>7.31*7.37*4.55</t>
  </si>
  <si>
    <t>NON</t>
  </si>
  <si>
    <t>6.75*8.07*4.51</t>
  </si>
  <si>
    <t>8.01*11.54*4.98</t>
  </si>
  <si>
    <t>5.50*7.71*3.56</t>
  </si>
  <si>
    <t>5.36*7.68*3.45</t>
  </si>
  <si>
    <t>5.83*5.98*3.78</t>
  </si>
  <si>
    <t>6.62*6.68*4.06</t>
  </si>
  <si>
    <t>4.17*6.01*2.78</t>
  </si>
  <si>
    <t>6.27*8.79*4.27</t>
  </si>
  <si>
    <t>4.77*4.81*2.94</t>
  </si>
  <si>
    <t>6.01*6.94*3.54</t>
  </si>
  <si>
    <t>4.25*4.29*2.70</t>
  </si>
  <si>
    <t>4.42*6.64*2.85</t>
  </si>
  <si>
    <t>5.62*5.69*3.70</t>
  </si>
  <si>
    <t>6.51*9.01*3.98</t>
  </si>
  <si>
    <t>4.99*6.76*3.24</t>
  </si>
  <si>
    <t>6.59*6.62*4.07</t>
  </si>
  <si>
    <t>8.12*11.24*4.97</t>
  </si>
  <si>
    <t>5.11*5.16*3.21</t>
  </si>
  <si>
    <t>4.78*6.52*3.19</t>
  </si>
  <si>
    <t>6.56*8.98*4.14</t>
  </si>
  <si>
    <t>8.18*10.52*5.34</t>
  </si>
  <si>
    <t>7.03*7.34*4.44</t>
  </si>
  <si>
    <t>5.61*8.83*3.85</t>
  </si>
  <si>
    <t>6.23*5.69*3.51</t>
  </si>
  <si>
    <t>6.89*7.12*4.63</t>
  </si>
  <si>
    <t>6.55*6.58*4.09</t>
  </si>
  <si>
    <t>4.72*4.74*2.92</t>
  </si>
  <si>
    <t>4.22*4.27*2.64</t>
  </si>
  <si>
    <t>7.14*6.22*4.06</t>
  </si>
  <si>
    <t>4.94*6.75*3.24</t>
  </si>
  <si>
    <t>6.59*9.70*3.93</t>
  </si>
  <si>
    <t>6.29*6.43*4.08</t>
  </si>
  <si>
    <t>5.02*6.44*3.41</t>
  </si>
  <si>
    <t>5.75*5.77*3.57</t>
  </si>
  <si>
    <t>6.62*7.81*4.46</t>
  </si>
  <si>
    <t>5.53*5.54*3.61</t>
  </si>
  <si>
    <t>5.52*5.58*3.54</t>
  </si>
  <si>
    <t>6.49*6.51*4.05</t>
  </si>
  <si>
    <t>5.79*8.04*3.53</t>
  </si>
  <si>
    <t>5.16*5.17*3.20</t>
  </si>
  <si>
    <t>5.66*7.82*3.54</t>
  </si>
  <si>
    <t>6.93*6.95*4.67</t>
  </si>
  <si>
    <t>5.65*8.21*3.41</t>
  </si>
  <si>
    <t>4.79*5.07*3.26</t>
  </si>
  <si>
    <t>4.53*6.20*3.08</t>
  </si>
  <si>
    <t>5.00*8.14*2.96</t>
  </si>
  <si>
    <t>6.79*6.04*4.08</t>
  </si>
  <si>
    <t>5.99*12.11*3.77</t>
  </si>
  <si>
    <t>5.94*8.26*4.01</t>
  </si>
  <si>
    <t>6.40*6.44*3.99</t>
  </si>
  <si>
    <t>6.76*6.83*4.24</t>
  </si>
  <si>
    <t>9.15*9.19*5.73</t>
  </si>
  <si>
    <t>8.19*12.58*4.95</t>
  </si>
  <si>
    <t>6.59*6.62*4.03</t>
  </si>
  <si>
    <t>Clarity</t>
  </si>
  <si>
    <t>5.75*5.80*3.44</t>
  </si>
  <si>
    <t>6.05*8.73*3.74</t>
  </si>
  <si>
    <t>5.74*8.75*3.51</t>
  </si>
  <si>
    <t>7.46*15.64*4.59</t>
  </si>
  <si>
    <t>5.41*7.36*3.70</t>
  </si>
  <si>
    <t>9.35*9.41*5.84</t>
  </si>
  <si>
    <t>5.26*7.62*3.43</t>
  </si>
  <si>
    <t>3.94*5.59*2.65</t>
  </si>
  <si>
    <t>5.98*6.11*4.35</t>
  </si>
  <si>
    <t>5.85*5.87*3.67</t>
  </si>
  <si>
    <t>4.20*5.89*2.79</t>
  </si>
  <si>
    <t>6.68*6.92*4.90</t>
  </si>
  <si>
    <t>5.54*7.64*3.45</t>
  </si>
  <si>
    <t>5.96*8.22*4.03</t>
  </si>
  <si>
    <t>6.03*6.06*3.62</t>
  </si>
  <si>
    <t>12.50*17.41*8.00</t>
  </si>
  <si>
    <t>7.14*9.97*4.35</t>
  </si>
  <si>
    <t>5.76*8.14*3.49</t>
  </si>
  <si>
    <t>5.73*7.90*3.53</t>
  </si>
  <si>
    <t>10.08*8.76*6.00</t>
  </si>
  <si>
    <t>6.10*8.23*4.02</t>
  </si>
  <si>
    <t>11.16*9.87*6.30</t>
  </si>
  <si>
    <t>6.29*6.42*4.09</t>
  </si>
  <si>
    <t>4.36*4.40*2.73</t>
  </si>
  <si>
    <t>7.21*10.22*4.36</t>
  </si>
  <si>
    <t>4.45*4.47*2.78</t>
  </si>
  <si>
    <t>3.76*5.19*2.42</t>
  </si>
  <si>
    <t>6.23*6.25*4.46</t>
  </si>
  <si>
    <t>4.86*4.86*3.52</t>
  </si>
  <si>
    <t>7.61*14.42*4.78</t>
  </si>
  <si>
    <t>5.72*7.99*3.51</t>
  </si>
  <si>
    <t>5.59*5.67*3.59</t>
  </si>
  <si>
    <t>6.12*6.19*3.85</t>
  </si>
  <si>
    <t>5.41*5.48*3.62</t>
  </si>
  <si>
    <t>7.66*7.72*4.66</t>
  </si>
  <si>
    <t>5.63*8.32*3.59</t>
  </si>
  <si>
    <t>4.42*6.23*2.92</t>
  </si>
  <si>
    <t>4.45*5.74*3.01</t>
  </si>
  <si>
    <t>4.82*4.87*3.01</t>
  </si>
  <si>
    <t>7.73*10.07*5.24</t>
  </si>
  <si>
    <t>7.57*10.76*5.02</t>
  </si>
  <si>
    <t>4.21*5.97*2.83</t>
  </si>
  <si>
    <t>5.28*7.41*3.51</t>
  </si>
  <si>
    <t>6.55*6.58*3.86</t>
  </si>
  <si>
    <t>5.74*7.92*3.58</t>
  </si>
  <si>
    <t>5.15*7.68*3.52</t>
  </si>
  <si>
    <t>9.63*13.48*6.02</t>
  </si>
  <si>
    <t>4.37*4.39*2.69</t>
  </si>
  <si>
    <t>4.25*4.28*2.67</t>
  </si>
  <si>
    <t>7.36*7.40*4.52</t>
  </si>
  <si>
    <t>5.62*5.63*3.79</t>
  </si>
  <si>
    <t>5.99*6.91*3.41</t>
  </si>
  <si>
    <t>5.85*5.91*3.67</t>
  </si>
  <si>
    <t>16.16*14.07*9.07</t>
  </si>
  <si>
    <t>4.62*7.02*2.75</t>
  </si>
  <si>
    <t>9.30*9.46*6.03</t>
  </si>
  <si>
    <t>5.67*7.51*3.62</t>
  </si>
  <si>
    <t>4.89*4.93*3.09</t>
  </si>
  <si>
    <t>6.01*7.22*4.03</t>
  </si>
  <si>
    <t>7.86*7.91*4.91</t>
  </si>
  <si>
    <t>8.11*8.25*5.66</t>
  </si>
  <si>
    <t>5.50*7.39*3.56</t>
  </si>
  <si>
    <t>5.36*6.43*3.61</t>
  </si>
  <si>
    <t>5.06*7.04*3.16</t>
  </si>
  <si>
    <t>5.53*7.52*3.56</t>
  </si>
  <si>
    <t>4.39*4.41*2.72</t>
  </si>
  <si>
    <t>8.19*9.83*5.44</t>
  </si>
  <si>
    <t>7.79*7.80*5.55</t>
  </si>
  <si>
    <t>5.26*7.17*3.57</t>
  </si>
  <si>
    <t>6.88*7.38*4.40</t>
  </si>
  <si>
    <t>5.39*8.78*3.34</t>
  </si>
  <si>
    <t>12.27*17.74*8.31</t>
  </si>
  <si>
    <t>6.59*8.98*4.14</t>
  </si>
  <si>
    <t>6.34*6.38*3.94</t>
  </si>
  <si>
    <t>5.73*7.90*3.57</t>
  </si>
  <si>
    <t>5.32*7.35*3.63</t>
  </si>
  <si>
    <t>Princess Cut</t>
  </si>
  <si>
    <t>7.15*9.37*4.77</t>
  </si>
  <si>
    <t>Carat</t>
  </si>
  <si>
    <t>5.66*5.89*3.64</t>
  </si>
  <si>
    <t>4.18*6.24*2.66</t>
  </si>
  <si>
    <t>5.45*7.50*3.65</t>
  </si>
  <si>
    <t>7.10*6.44*4.05</t>
  </si>
  <si>
    <t>4.19*8.59*2.64</t>
  </si>
  <si>
    <t>9.45*9.53*5.71</t>
  </si>
  <si>
    <t>4.35*4.40*2.78</t>
  </si>
  <si>
    <t>7.74*12.64*4.82</t>
  </si>
  <si>
    <t>6.18*6.21*4.15</t>
  </si>
  <si>
    <t>5.47*8.01*3.25</t>
  </si>
  <si>
    <t>5.90*5.95*3.70</t>
  </si>
  <si>
    <t>5.39*7.64*3.63</t>
  </si>
  <si>
    <t>5.67*8.38*3.54</t>
  </si>
  <si>
    <t>6.60*9.19*3.91</t>
  </si>
  <si>
    <t>4.60*4.63*2.87</t>
  </si>
  <si>
    <t>4.85*4.88*3.01</t>
  </si>
  <si>
    <t>4.35*4.37*2.73</t>
  </si>
  <si>
    <t>5.77*7.84*3.64</t>
  </si>
  <si>
    <t>7.91*7.10*4.75</t>
  </si>
  <si>
    <t>5.36*10.08*3.27</t>
  </si>
  <si>
    <t>5.81*6.78*3.50</t>
  </si>
  <si>
    <t>5.83*8.31*3.51</t>
  </si>
  <si>
    <t>8.61*8.64*5.99</t>
  </si>
  <si>
    <t>6.29*8.04*4.24</t>
  </si>
  <si>
    <t>5.66*5.69*3.51</t>
  </si>
  <si>
    <t>6.17*5.64*3.58</t>
  </si>
  <si>
    <t>8.58*8.65*5.98</t>
  </si>
  <si>
    <t>6.67*6.69*4.04</t>
  </si>
  <si>
    <t>7.46*7.52*4.37</t>
  </si>
  <si>
    <t>7.30*9.33*4.93</t>
  </si>
  <si>
    <t>4.98*6.51*3.33</t>
  </si>
  <si>
    <t>4.21*4.27*2.67</t>
  </si>
  <si>
    <t>8.00*8.06*5.00</t>
  </si>
  <si>
    <t>5.53*7.75*3.60</t>
  </si>
  <si>
    <t>4.68*4.71*2.80</t>
  </si>
  <si>
    <t>5.51*5.78*3.49</t>
  </si>
  <si>
    <t>5.94*5.97*3.71</t>
  </si>
  <si>
    <t>5.41*5.50*3.51</t>
  </si>
  <si>
    <t>5.43*7.74*3.61</t>
  </si>
  <si>
    <t>7.16*8.31*4.55</t>
  </si>
  <si>
    <t>4.23*4.26*2.68</t>
  </si>
  <si>
    <t>6.47*6.50*3.97</t>
  </si>
  <si>
    <t>14.56*15.32*9.26</t>
  </si>
  <si>
    <t>6.55*6.59*4.12</t>
  </si>
  <si>
    <t>8.17*8.21*4.96</t>
  </si>
  <si>
    <t>6.05*6.08*3.67</t>
  </si>
  <si>
    <t>3.70*5.30*2.56</t>
  </si>
  <si>
    <t>7.79*7.05*4.48</t>
  </si>
  <si>
    <t>5.66*8.40*3.55</t>
  </si>
  <si>
    <t>4.42*6.45*2.84</t>
  </si>
  <si>
    <t>7.68*9.24*5.04</t>
  </si>
  <si>
    <t>5.14*7.95*2.98</t>
  </si>
  <si>
    <t>5.31*5.44*3.78</t>
  </si>
  <si>
    <t>7.67*9.01*5.17</t>
  </si>
  <si>
    <t>5.67*5.71*3.57</t>
  </si>
  <si>
    <t>5.09*7.20*3.08</t>
  </si>
  <si>
    <t>5.40*5.48*3.88</t>
  </si>
  <si>
    <t>5.12*7.28*3.45</t>
  </si>
  <si>
    <t>6.61*6.63*4.37</t>
  </si>
  <si>
    <t>5.36*5.61*3.53</t>
  </si>
  <si>
    <t>9.27*9.31*5.80</t>
  </si>
  <si>
    <t>6.50*9.93*4.05</t>
  </si>
  <si>
    <t>7.08*9.25*4.78</t>
  </si>
  <si>
    <t>6.59*9.10*4.12</t>
  </si>
  <si>
    <t>4.24*5.73*2.84</t>
  </si>
  <si>
    <t>5.61*5.88*3.66</t>
  </si>
  <si>
    <t>6.65*6.67*4.03</t>
  </si>
  <si>
    <t>6.38*6.44*3.90</t>
  </si>
  <si>
    <t>6.51*6.54*3.92</t>
  </si>
  <si>
    <t>8.10*11.47*5.10</t>
  </si>
  <si>
    <t>7.13*9.89*4.40</t>
  </si>
  <si>
    <t>5.69*8.75*3.53</t>
  </si>
  <si>
    <t>Hexagonal Step Cut</t>
  </si>
  <si>
    <t>6.97*7.02*4.36</t>
  </si>
  <si>
    <t>4.72*4.76*2.93</t>
  </si>
  <si>
    <t>4.22*4.27*2.65</t>
  </si>
  <si>
    <t>4.77*4.84*3.47</t>
  </si>
  <si>
    <t>7.39*7.45*4.62</t>
  </si>
  <si>
    <t>6.40*6.44*4.00</t>
  </si>
  <si>
    <t>5.83*8.76*3.43</t>
  </si>
  <si>
    <t>6.55*8.89*4.11</t>
  </si>
  <si>
    <t>5.70*5.83*3.61</t>
  </si>
  <si>
    <t>6.35*8.62*3.92</t>
  </si>
  <si>
    <t>8.17*8.20*4.94</t>
  </si>
  <si>
    <t>8.23*12.18*5.17</t>
  </si>
  <si>
    <t>7.64*7.66*5.45</t>
  </si>
  <si>
    <t>7.17*9.95*4.47</t>
  </si>
  <si>
    <t>5.40*5.43*3.32</t>
  </si>
  <si>
    <t>6.59*6.63*4.07</t>
  </si>
  <si>
    <t>6.31*6.46*4.11</t>
  </si>
  <si>
    <t>9.13*9.20*5.72</t>
  </si>
  <si>
    <t>8.08*7.31*4.52</t>
  </si>
  <si>
    <t>8.15*8.31*5.72</t>
  </si>
  <si>
    <t>4.35*4.38*2.72</t>
  </si>
  <si>
    <t>6.28*6.36*3.99</t>
  </si>
  <si>
    <t>6.56*7.94*4.43</t>
  </si>
  <si>
    <t>6.50*6.53*3.93</t>
  </si>
  <si>
    <t>6.25*6.31*4.05</t>
  </si>
  <si>
    <t>5.08*5.11*3.15</t>
  </si>
  <si>
    <t>7.57*7.61*4.63</t>
  </si>
  <si>
    <t>7.48*7.53*4.50</t>
  </si>
  <si>
    <t>5.48*7.67*3.65</t>
  </si>
  <si>
    <t>4.88*4.89*3.56</t>
  </si>
  <si>
    <t>5.71*7.38*3.82</t>
  </si>
  <si>
    <t>4.63*4.65*2.77</t>
  </si>
  <si>
    <t>5.50*5.53*3.47</t>
  </si>
  <si>
    <t>5.17*5.20*3.24</t>
  </si>
  <si>
    <t>5.27*5.42*3.87</t>
  </si>
  <si>
    <t>5.28*7.83*3.24</t>
  </si>
  <si>
    <t>6.51*10.31*4.01</t>
  </si>
  <si>
    <t>5.04*6.64*3.54</t>
  </si>
  <si>
    <t>5.56*7.55*3.71</t>
  </si>
  <si>
    <t>5.66*8.37*3.59</t>
  </si>
  <si>
    <t>4.77*9.08*2.98</t>
  </si>
  <si>
    <t>6.98*8.95*4.72</t>
  </si>
  <si>
    <t>4.41*4.46*2.76</t>
  </si>
  <si>
    <t>5.62*7.78*3.47</t>
  </si>
  <si>
    <t>4.96*6.68*3.36</t>
  </si>
  <si>
    <t>11.25*11.34*6.71</t>
  </si>
  <si>
    <t>9.38*9.42*5.66</t>
  </si>
  <si>
    <t>5.92*8.17*3.61</t>
  </si>
  <si>
    <t>8.04*10.95*5.39</t>
  </si>
  <si>
    <t>6.14*9.64*3.69</t>
  </si>
  <si>
    <t>7.39*7.45*4.58</t>
  </si>
  <si>
    <t>6.11*8.35*3.83</t>
  </si>
  <si>
    <t>5.69*7.86*3.54</t>
  </si>
  <si>
    <t>3.71*5.13*2.53</t>
  </si>
  <si>
    <t>6.20*6.28*4.49</t>
  </si>
  <si>
    <t>5.78*8.12*3.49</t>
  </si>
  <si>
    <t>4.62*6.81*2.99</t>
  </si>
  <si>
    <t>5.27*5.35*3.70</t>
  </si>
  <si>
    <t>5.73*8.15*3.76</t>
  </si>
  <si>
    <t>4.76*6.68*3.18</t>
  </si>
  <si>
    <t>4.77*6.47*3.26</t>
  </si>
  <si>
    <t>4.17*5.85*2.84</t>
  </si>
  <si>
    <t>5.14*5.19*3.23</t>
  </si>
  <si>
    <t>6.55*10.00*3.97</t>
  </si>
  <si>
    <t>6.44*6.47*4.00</t>
  </si>
  <si>
    <t>5.91*7.57*3.76</t>
  </si>
  <si>
    <t>5.78*6.67*3.48</t>
  </si>
  <si>
    <t>4.50*6.97*2.77</t>
  </si>
  <si>
    <t>6.55*9.02*4.07</t>
  </si>
  <si>
    <t>6.91*7.25*4.65</t>
  </si>
  <si>
    <t>4.21*5.90*2.78</t>
  </si>
  <si>
    <t>6.88*5.92*4.13</t>
  </si>
  <si>
    <t>4.96*6.39*3.36</t>
  </si>
  <si>
    <t>6.86*7.18*4.58</t>
  </si>
  <si>
    <t>6.03*9.20*3.65</t>
  </si>
  <si>
    <t>4.98*7.16*3.12</t>
  </si>
  <si>
    <t>5.89*5.91*3.69</t>
  </si>
  <si>
    <t>6.38*6.43*3.97</t>
  </si>
  <si>
    <t>8.32*12.35*5.44</t>
  </si>
  <si>
    <t>5.40*5.68*3.51</t>
  </si>
  <si>
    <t>7.76*8.05*5.29</t>
  </si>
  <si>
    <t>6.51*8.98*4.06</t>
  </si>
  <si>
    <t>9.68*15.71*5.88</t>
  </si>
  <si>
    <t>7.80*7.82*4.78</t>
  </si>
  <si>
    <t>5.96*8.41*3.97</t>
  </si>
  <si>
    <t>4.31*8.23*2.58</t>
  </si>
  <si>
    <t>4.55*6.36*2.83</t>
  </si>
  <si>
    <t>5.82*5.85*3.63</t>
  </si>
  <si>
    <t>SI2</t>
  </si>
  <si>
    <t>5.29*5.33*3.86</t>
  </si>
  <si>
    <t>6.09*6.21*4.08</t>
  </si>
  <si>
    <t>Heart Modified Brilliant</t>
  </si>
  <si>
    <t>4.77*4.79*2.98</t>
  </si>
  <si>
    <t>7.35*7.41*4.61</t>
  </si>
  <si>
    <t>7.70*10.62*4.76</t>
  </si>
  <si>
    <t>5.63*7.16*3.80</t>
  </si>
  <si>
    <t>6.21*5.22*3.70</t>
  </si>
  <si>
    <t>7.21*7.33*4.91</t>
  </si>
  <si>
    <t>6.61*6.63*4.01</t>
  </si>
  <si>
    <t>5.48*8.53*3.35</t>
  </si>
  <si>
    <t>6.45*6.48*3.97</t>
  </si>
  <si>
    <t>4.44*4.47*2.70</t>
  </si>
  <si>
    <t>6.56*10.09*3.91</t>
  </si>
  <si>
    <t>8.07*8.14*5.04</t>
  </si>
  <si>
    <t>5.46*7.41*3.68</t>
  </si>
  <si>
    <t>7.16*11.11*4.31</t>
  </si>
  <si>
    <t>5.67*5.70*3.42</t>
  </si>
  <si>
    <t>5.32*6.31*3.43</t>
  </si>
  <si>
    <t>4.77*4.80*2.95</t>
  </si>
  <si>
    <t>8.06*7.12*4.64</t>
  </si>
  <si>
    <t>5.67*9.01*3.47</t>
  </si>
  <si>
    <t>5.71*7.91*3.55</t>
  </si>
  <si>
    <t>4.15*5.75*2.84</t>
  </si>
  <si>
    <t>8.28*8.32*5.11</t>
  </si>
  <si>
    <t>6.96*6.22*4.01</t>
  </si>
  <si>
    <t>7.67*9.21*5.07</t>
  </si>
  <si>
    <t>5.84*7.50*3.95</t>
  </si>
  <si>
    <t>5.19*5.21*3.15</t>
  </si>
  <si>
    <t>6.90*9.30*4.71</t>
  </si>
  <si>
    <t>5.51*5.56*3.43</t>
  </si>
  <si>
    <t>3.84*5.49*2.46</t>
  </si>
  <si>
    <t>4.99*7.17*3.03</t>
  </si>
  <si>
    <t>5.58*5.62*3.51</t>
  </si>
  <si>
    <t>5.28*5.31*3.36</t>
  </si>
  <si>
    <t>8.29*11.87*5.16</t>
  </si>
  <si>
    <t>4.92*5.13*3.32</t>
  </si>
  <si>
    <t>5.71*5.75*3.41</t>
  </si>
  <si>
    <t>5.45*7.68*3.71</t>
  </si>
  <si>
    <t>Sym</t>
  </si>
  <si>
    <t>9.81*14.21*5.96</t>
  </si>
  <si>
    <t>7.57*10.44*4.96</t>
  </si>
  <si>
    <t>5.64*5.92*3.57</t>
  </si>
  <si>
    <t>5.66*5.69*3.58</t>
  </si>
  <si>
    <t>9.16*9.22*5.74</t>
  </si>
  <si>
    <t>FANCY INTENSE YELLOW</t>
  </si>
  <si>
    <t>7.21*8.29*4.48</t>
  </si>
  <si>
    <t>4.77*6.68*3.22</t>
  </si>
  <si>
    <t>8.16*8.19*4.96</t>
  </si>
  <si>
    <t>5.55*5.58*3.43</t>
  </si>
  <si>
    <t>5.04*5.08*3.17</t>
  </si>
  <si>
    <t>5.43*7.80*3.56</t>
  </si>
  <si>
    <t>3.60*5.52*2.46</t>
  </si>
  <si>
    <t>4.56*4.64*2.91</t>
  </si>
  <si>
    <t>5.52*4.96*3.26</t>
  </si>
  <si>
    <t>8.77*9.14*5.52</t>
  </si>
  <si>
    <t>6.45*6.49*3.99</t>
  </si>
  <si>
    <t>6.18*6.22*3.84</t>
  </si>
  <si>
    <t>7.98*8.37*4.96</t>
  </si>
  <si>
    <t>10.94*7.85*4.93</t>
  </si>
  <si>
    <t>6.15*7.37*4.00</t>
  </si>
  <si>
    <t>4.30*4.33*2.62</t>
  </si>
  <si>
    <t>5.64*8.69*3.42</t>
  </si>
  <si>
    <t>4.90*6.84*3.21</t>
  </si>
  <si>
    <t>5.74*7.73*3.78</t>
  </si>
  <si>
    <t>4.52*4.56*2.85</t>
  </si>
  <si>
    <t>6.90*5.46*3.99</t>
  </si>
  <si>
    <t>5.32*11.10*3.25</t>
  </si>
  <si>
    <t>5.30*7.16*3.55</t>
  </si>
  <si>
    <t>7.31*8.48*4.59</t>
  </si>
  <si>
    <t>6.51*8.91*4.10</t>
  </si>
  <si>
    <t>5.12*6.95*3.12</t>
  </si>
  <si>
    <t>8.04*7.31*4.54</t>
  </si>
  <si>
    <t>4.64*4.67*2.88</t>
  </si>
  <si>
    <t>4.26*4.30*2.70</t>
  </si>
  <si>
    <t>5.68*7.83*3.41</t>
  </si>
  <si>
    <t>5.93*5.96*3.77</t>
  </si>
  <si>
    <t>4.79*4.81*2.97</t>
  </si>
  <si>
    <t>5.42*7.58*3.64</t>
  </si>
  <si>
    <t>5.95*8.91*3.53</t>
  </si>
  <si>
    <t>2.70-2.99</t>
  </si>
  <si>
    <t>5.87*8.14*3.53</t>
  </si>
  <si>
    <t>6.00*8.19*4.06</t>
  </si>
  <si>
    <t>5.26*5.61*3.45</t>
  </si>
  <si>
    <t>6.61*6.65*4.07</t>
  </si>
  <si>
    <t>6.19*6.28*4.47</t>
  </si>
  <si>
    <t>10.21*10.30*6.40</t>
  </si>
  <si>
    <t>5.70*5.88*3.79</t>
  </si>
  <si>
    <t>5.22*5.27*3.21</t>
  </si>
  <si>
    <t>4.65*8.55*2.96</t>
  </si>
  <si>
    <t>4.33*4.41*2.82</t>
  </si>
  <si>
    <t>5.51*5.52*3.96</t>
  </si>
  <si>
    <t>5.75*5.92*3.83</t>
  </si>
  <si>
    <t>4.26*4.32*2.65</t>
  </si>
  <si>
    <t>6.69*12.70*4.19</t>
  </si>
  <si>
    <t>5.71*7.68*3.68</t>
  </si>
  <si>
    <t>6.48*6.51*4.00</t>
  </si>
  <si>
    <t>4.94*6.97*3.28</t>
  </si>
  <si>
    <t>4.91*6.58*3.32</t>
  </si>
  <si>
    <t>8.62*11.85*5.19</t>
  </si>
  <si>
    <t>6.40*9.68*4.11</t>
  </si>
  <si>
    <t>4.42*4.47*2.78</t>
  </si>
  <si>
    <t>8.12*8.16*4.96</t>
  </si>
  <si>
    <t>4.14*6.35*2.74</t>
  </si>
  <si>
    <t>4.36*8.61*2.74</t>
  </si>
  <si>
    <t>8.04*11.74*4.98</t>
  </si>
  <si>
    <t>4.58*4.61*2.81</t>
  </si>
  <si>
    <t>6.82*9.78*4.58</t>
  </si>
  <si>
    <t>5.95*8.09*4.04</t>
  </si>
  <si>
    <t>6.29*5.42*3.56</t>
  </si>
  <si>
    <t>7.36*10.31*5.02</t>
  </si>
  <si>
    <t>5.46*5.57*3.90</t>
  </si>
  <si>
    <t>5.57*7.14*3.78</t>
  </si>
  <si>
    <t>4.98*5.20*3.34</t>
  </si>
  <si>
    <t>10.39*10.42*6.15</t>
  </si>
  <si>
    <t>4.56*4.68*2.98</t>
  </si>
  <si>
    <t>4.88*6.68*3.29</t>
  </si>
  <si>
    <t>8.00-8.99</t>
  </si>
  <si>
    <t>5.75*7.33*3.86</t>
  </si>
  <si>
    <t>4.59*6.35*2.85</t>
  </si>
  <si>
    <t>6.70*6.72*4.14</t>
  </si>
  <si>
    <t>6.56*6.59*4.08</t>
  </si>
  <si>
    <t>9.20*9.25*5.69</t>
  </si>
  <si>
    <t>4.69*4.73*2.88</t>
  </si>
  <si>
    <t>5.66*8.60*3.52</t>
  </si>
  <si>
    <t>11.29*23.85*6.36</t>
  </si>
  <si>
    <t>5.84*7.54*3.98</t>
  </si>
  <si>
    <t>9.66*13.62*5.97</t>
  </si>
  <si>
    <t>4.76*6.82*3.13</t>
  </si>
  <si>
    <t>7.79*10.81*4.76</t>
  </si>
  <si>
    <t>5.50*7.58*3.68</t>
  </si>
  <si>
    <t>6.05*6.18*4.49</t>
  </si>
  <si>
    <t>6.39*6.43*3.98</t>
  </si>
  <si>
    <t>6.23*6.35*4.51</t>
  </si>
  <si>
    <t>4.77*5.01*3.24</t>
  </si>
  <si>
    <t>4.26*8.11*2.66</t>
  </si>
  <si>
    <t>6.63*9.11*4.07</t>
  </si>
  <si>
    <t>6.05*8.41*3.87</t>
  </si>
  <si>
    <t>6.41*9.52*4.10</t>
  </si>
  <si>
    <t>6.07*12.12*3.81</t>
  </si>
  <si>
    <t>9.67*13.64*5.97</t>
  </si>
  <si>
    <t>5.50*7.60*3.39</t>
  </si>
  <si>
    <t>4.92*7.54*3.10</t>
  </si>
  <si>
    <t>6.60*6.64*4.05</t>
  </si>
  <si>
    <t>6.66*6.67*4.07</t>
  </si>
  <si>
    <t>6.45*9.02*4.04</t>
  </si>
  <si>
    <t>6.06*6.25*4.48</t>
  </si>
  <si>
    <t>4.69*4.72*2.92</t>
  </si>
  <si>
    <t>5.42*7.56*3.63</t>
  </si>
  <si>
    <t>4.47*6.02*2.85</t>
  </si>
  <si>
    <t>5.06*6.99*3.39</t>
  </si>
  <si>
    <t>6.19*6.27*4.46</t>
  </si>
  <si>
    <t>5.05*7.28*3.03</t>
  </si>
  <si>
    <t>4.17*5.67*2.85</t>
  </si>
  <si>
    <t>6.63*13.79*4.19</t>
  </si>
  <si>
    <t>4.27*4.32*2.60</t>
  </si>
  <si>
    <t>6.45*6.47*3.99</t>
  </si>
  <si>
    <t>5.40*7.51*3.36</t>
  </si>
  <si>
    <t>4.84*4.86*2.99</t>
  </si>
  <si>
    <t>4.79*6.71*3.14</t>
  </si>
  <si>
    <t>4.60*6.33*2.81</t>
  </si>
  <si>
    <t>5.38*5.67*3.41</t>
  </si>
  <si>
    <t>4.58*6.35*2.84</t>
  </si>
  <si>
    <t>4.84*4.92*3.31</t>
  </si>
  <si>
    <t>4.86*9.28*3.07</t>
  </si>
  <si>
    <t>4.92*4.95*3.08</t>
  </si>
  <si>
    <t>9.71*13.60*6.02</t>
  </si>
  <si>
    <t>6.43*6.45*4.02</t>
  </si>
  <si>
    <t>6.66*6.70*4.08</t>
  </si>
  <si>
    <t>5.40*5.77*3.68</t>
  </si>
  <si>
    <t>6.18*6.21*3.99</t>
  </si>
  <si>
    <t>11.18*11.27*6.63</t>
  </si>
  <si>
    <t>6.78*6.87*4.40</t>
  </si>
  <si>
    <t>4.33*4.37*3.07</t>
  </si>
  <si>
    <t>7.81*7.89*5.53</t>
  </si>
  <si>
    <t>6.79*6.81*4.96</t>
  </si>
  <si>
    <t>4.82*4.85*3.01</t>
  </si>
  <si>
    <t>7.91*7.00*4.72</t>
  </si>
  <si>
    <t>5.05*6.97*3.39</t>
  </si>
  <si>
    <t>8.18*11.59*5.29</t>
  </si>
  <si>
    <t>11.01*11.10*6.83</t>
  </si>
  <si>
    <t>5.49*8.57*3.28</t>
  </si>
  <si>
    <t>5.67*7.74*3.54</t>
  </si>
  <si>
    <t>6.77*6.17*3.95</t>
  </si>
  <si>
    <t>6.56*6.60*4.06</t>
  </si>
  <si>
    <t>5.66*8.71*3.48</t>
  </si>
  <si>
    <t>7.00*6.25*3.97</t>
  </si>
  <si>
    <t>5.15*8.19*3.17</t>
  </si>
  <si>
    <t>0.40-0.44</t>
  </si>
  <si>
    <t>6.53*6.55*4.08</t>
  </si>
  <si>
    <t>8.56*8.61*5.10</t>
  </si>
  <si>
    <t>5.61*9.07*3.36</t>
  </si>
  <si>
    <t>5.67*5.72*3.45</t>
  </si>
  <si>
    <t>4.18*5.67*2.86</t>
  </si>
  <si>
    <t>4.56*8.70*2.86</t>
  </si>
  <si>
    <t>5.62*5.91*3.73</t>
  </si>
  <si>
    <t>6.89*6.92*4.15</t>
  </si>
  <si>
    <t>7.12*6.18*4.15</t>
  </si>
  <si>
    <t>9.73*14.05*6.00</t>
  </si>
  <si>
    <t>8.76*8.80*5.45</t>
  </si>
  <si>
    <t>5.79*7.89*3.57</t>
  </si>
  <si>
    <t>6.65*9.20*4.02</t>
  </si>
  <si>
    <t>5.77*8.26*3.76</t>
  </si>
  <si>
    <t>4.49*4.64*2.80</t>
  </si>
  <si>
    <t>5.58*5.66*3.57</t>
  </si>
  <si>
    <t>6.22*6.31*4.31</t>
  </si>
  <si>
    <t>6.03*8.76*4.01</t>
  </si>
  <si>
    <t>4.80*6.85*3.09</t>
  </si>
  <si>
    <t>5.38*9.95*3.43</t>
  </si>
  <si>
    <t>8.46*8.53*5.27</t>
  </si>
  <si>
    <t>6.34*6.36*4.15</t>
  </si>
  <si>
    <t>4.63*4.65*2.95</t>
  </si>
  <si>
    <t>4.27*4.32*2.69</t>
  </si>
  <si>
    <t>4.84*4.87*2.90</t>
  </si>
  <si>
    <t>11.85*10.08*7.16</t>
  </si>
  <si>
    <t>5.13*5.15*3.12</t>
  </si>
  <si>
    <t>9.88*14.11*5.96</t>
  </si>
  <si>
    <t>4.67*9.89*2.76</t>
  </si>
  <si>
    <t>4.50*6.24*2.78</t>
  </si>
  <si>
    <t>6.45*8.92*4.00</t>
  </si>
  <si>
    <t>8.16*8.20*4.92</t>
  </si>
  <si>
    <t>4.23*6.19*2.74</t>
  </si>
  <si>
    <t>4.56*6.95*2.74</t>
  </si>
  <si>
    <t>5.68*5.99*3.60</t>
  </si>
  <si>
    <t>5.71*8.23*3.38</t>
  </si>
  <si>
    <t>4.58*6.38*2.85</t>
  </si>
  <si>
    <t>4.71*6.65*3.15</t>
  </si>
  <si>
    <t>7.08*6.36*3.91</t>
  </si>
  <si>
    <t>14.48*14.56*8.60</t>
  </si>
  <si>
    <t>12.26*17.26*8.01</t>
  </si>
  <si>
    <t>4.40*4.43*2.73</t>
  </si>
  <si>
    <t>20-29.99</t>
  </si>
  <si>
    <t>4.71*6.86*3.11</t>
  </si>
  <si>
    <t>4.47*6.81*2.76</t>
  </si>
  <si>
    <t>6.28*6.75*4.05</t>
  </si>
  <si>
    <t>6.75*9.17*4.63</t>
  </si>
  <si>
    <t>4.79*6.73*3.22</t>
  </si>
  <si>
    <t>6.14*6.26*4.42</t>
  </si>
  <si>
    <t>5.40*7.59*3.63</t>
  </si>
  <si>
    <t>5.60*5.77*3.59</t>
  </si>
  <si>
    <t>10.21*10.26*6.26</t>
  </si>
  <si>
    <t>8.38*12.86*5.12</t>
  </si>
  <si>
    <t>4.31*4.35*2.71</t>
  </si>
  <si>
    <t>4.82*4.85*2.93</t>
  </si>
  <si>
    <t>6.62*6.65*4.05</t>
  </si>
  <si>
    <t>4.77*6.46*3.25</t>
  </si>
  <si>
    <t>5.75*5.85*3.66</t>
  </si>
  <si>
    <t>4.37*4.39*2.62</t>
  </si>
  <si>
    <t>7.44*8.52*4.49</t>
  </si>
  <si>
    <t>5.62*8.37*3.62</t>
  </si>
  <si>
    <t>6.76*5.88*3.94</t>
  </si>
  <si>
    <t>6.33*5.60*3.55</t>
  </si>
  <si>
    <t>4.27*4.30*2.69</t>
  </si>
  <si>
    <t>7.18*7.24*4.41</t>
  </si>
  <si>
    <t>6.26*6.47*4.18</t>
  </si>
  <si>
    <t>6.57*6.59*4.06</t>
  </si>
  <si>
    <t>7.37*7.68*4.95</t>
  </si>
  <si>
    <t>7.00*7.15*4.68</t>
  </si>
  <si>
    <t>4.31*4.34*2.58</t>
  </si>
  <si>
    <t>4.72*4.75*2.96</t>
  </si>
  <si>
    <t>6.84*6.86*4.08</t>
  </si>
  <si>
    <t>6.98*7.07*4.51</t>
  </si>
  <si>
    <t>5.13*6.06*3.51</t>
  </si>
  <si>
    <t>5.63*5.67*3.54</t>
  </si>
  <si>
    <t>4.34*4.37*2.72</t>
  </si>
  <si>
    <t>5.39*8.29*3.20</t>
  </si>
  <si>
    <t>6.38*6.51*4.11</t>
  </si>
  <si>
    <t>5.89*5.15*3.40</t>
  </si>
  <si>
    <t>7.18*7.39*5.25</t>
  </si>
  <si>
    <t>5.36*10.18*3.29</t>
  </si>
  <si>
    <t>6.66*6.75*4.48</t>
  </si>
  <si>
    <t>6.84*7.10*4.69</t>
  </si>
  <si>
    <t>8.00*8.04*4.92</t>
  </si>
  <si>
    <t>6.02*6.07*3.82</t>
  </si>
  <si>
    <t>4.40*4.46*2.93</t>
  </si>
  <si>
    <t>7.19*9.90*4.44</t>
  </si>
  <si>
    <t>5.17*9.69*3.31</t>
  </si>
  <si>
    <t>7.39*7.44*4.63</t>
  </si>
  <si>
    <t>4.39*4.41*2.69</t>
  </si>
  <si>
    <t>6.69*7.90*4.50</t>
  </si>
  <si>
    <t>6.83*6.97*4.43</t>
  </si>
  <si>
    <t>6.16*6.21*4.18</t>
  </si>
  <si>
    <t>9.00-9.99</t>
  </si>
  <si>
    <t>Emerald Cut</t>
  </si>
  <si>
    <t>6.62*12.56*4.13</t>
  </si>
  <si>
    <t>6.28*6.34*3.97</t>
  </si>
  <si>
    <t>4.36*4.38*2.66</t>
  </si>
  <si>
    <t>8.09*8.12*4.99</t>
  </si>
  <si>
    <t>5.71*5.76*3.59</t>
  </si>
  <si>
    <t>6.42*8.59*4.15</t>
  </si>
  <si>
    <t>4.40*4.42*2.68</t>
  </si>
  <si>
    <t>4.21*6.16*2.85</t>
  </si>
  <si>
    <t>5.45*5.59*3.43</t>
  </si>
  <si>
    <t>4.37*4.40*2.73</t>
  </si>
  <si>
    <t>3.83*5.50*2.42</t>
  </si>
  <si>
    <t>8.77*12.26*5.42</t>
  </si>
  <si>
    <t>4.52*7.00*2.77</t>
  </si>
  <si>
    <t>5.34*5.40*3.40</t>
  </si>
  <si>
    <t>6.59*6.62*4.05</t>
  </si>
  <si>
    <t>5.82*8.16*3.46</t>
  </si>
  <si>
    <t>5.55*7.56*3.77</t>
  </si>
  <si>
    <t>7.19*10.12*4.45</t>
  </si>
  <si>
    <t>5.79*8.00*3.51</t>
  </si>
  <si>
    <t>6.18*8.02*4.01</t>
  </si>
  <si>
    <t>6.60*6.63*4.12</t>
  </si>
  <si>
    <t>7.45*7.51*4.58</t>
  </si>
  <si>
    <t>8.49*8.55*6.13</t>
  </si>
  <si>
    <t>5.00*7.00*3.34</t>
  </si>
  <si>
    <t>5.44*7.51*3.70</t>
  </si>
  <si>
    <t>7.37*7.41*5.33</t>
  </si>
  <si>
    <t>4.86*4.90*3.00</t>
  </si>
  <si>
    <t>5.58*7.64*3.61</t>
  </si>
  <si>
    <t>6.65*6.67*4.01</t>
  </si>
  <si>
    <t>5.83*8.08*3.51</t>
  </si>
  <si>
    <t>4.74*6.82*2.85</t>
  </si>
  <si>
    <t>4.27*4.31*2.72</t>
  </si>
  <si>
    <t>5.59*9.16*3.33</t>
  </si>
  <si>
    <t>4.45*6.92*2.71</t>
  </si>
  <si>
    <t>5.18*5.21*3.16</t>
  </si>
  <si>
    <t>5.76*8.78*3.36</t>
  </si>
  <si>
    <t>6.50*6.54*3.93</t>
  </si>
  <si>
    <t>6.68*6.70*4.08</t>
  </si>
  <si>
    <t>9.28*9.32*5.71</t>
  </si>
  <si>
    <t>4.89*6.87*3.32</t>
  </si>
  <si>
    <t>7.23*9.97*4.48</t>
  </si>
  <si>
    <t>6.45*6.49*4.00</t>
  </si>
  <si>
    <t>4.22*4.25*2.68</t>
  </si>
  <si>
    <t>5.75*8.09*3.52</t>
  </si>
  <si>
    <t>5.43*7.92*3.51</t>
  </si>
  <si>
    <t>6.11*6.17*3.83</t>
  </si>
  <si>
    <t>6.53*8.89*4.09</t>
  </si>
  <si>
    <t>7.66*9.18*5.04</t>
  </si>
  <si>
    <t>6.27*6.39*4.02</t>
  </si>
  <si>
    <t>4.28*4.36*3.02</t>
  </si>
  <si>
    <t>4.42*4.44*2.71</t>
  </si>
  <si>
    <t>6.82*6.87*4.26</t>
  </si>
  <si>
    <t>7.34*10.30*4.98</t>
  </si>
  <si>
    <t>5.39*8.74*3.24</t>
  </si>
  <si>
    <t>5.48*5.64*3.69</t>
  </si>
  <si>
    <t>5.36*7.69*3.61</t>
  </si>
  <si>
    <t>6.51*9.79*4.02</t>
  </si>
  <si>
    <t>5.65*5.92*3.73</t>
  </si>
  <si>
    <t>5.85*5.87*3.59</t>
  </si>
  <si>
    <t>6.22*6.33*4.43</t>
  </si>
  <si>
    <t>4.35*4.36*2.60</t>
  </si>
  <si>
    <t>6.59*8.93*4.13</t>
  </si>
  <si>
    <t>4.49*6.99*2.79</t>
  </si>
  <si>
    <t>4.27*8.31*2.59</t>
  </si>
  <si>
    <t>4.62*6.37*2.86</t>
  </si>
  <si>
    <t>4.90*4.93*2.99</t>
  </si>
  <si>
    <t>4.67*4.69*2.87</t>
  </si>
  <si>
    <t>6.17*6.22*3.92</t>
  </si>
  <si>
    <t>6.21*6.30*3.96</t>
  </si>
  <si>
    <t>3.90*5.36*2.48</t>
  </si>
  <si>
    <t>5.76*5.78*3.61</t>
  </si>
  <si>
    <t>4.34*4.37*2.71</t>
  </si>
  <si>
    <t>4.62*6.30*3.13</t>
  </si>
  <si>
    <t>4.35*6.34*2.88</t>
  </si>
  <si>
    <t>11.78*17.14*7.94</t>
  </si>
  <si>
    <t>8.26*8.32*5.15</t>
  </si>
  <si>
    <t>8.64*8.80*5.62</t>
  </si>
  <si>
    <t>6.88*8.25*4.38</t>
  </si>
  <si>
    <t>6.61*6.66*4.06</t>
  </si>
  <si>
    <t>5.88*7.07*3.91</t>
  </si>
  <si>
    <t>7.23*6.26*4.19</t>
  </si>
  <si>
    <t>5.71*8.77*3.40</t>
  </si>
  <si>
    <t>8.05*8.08*5.00</t>
  </si>
  <si>
    <t>5.66*9.19*3.43</t>
  </si>
  <si>
    <t>4.61*4.62*2.87</t>
  </si>
  <si>
    <t>3.74*5.33*2.52</t>
  </si>
  <si>
    <t>6.81*8.98*4.47</t>
  </si>
  <si>
    <t>5.95*8.26*3.74</t>
  </si>
  <si>
    <t>4.78*4.83*3.14</t>
  </si>
  <si>
    <t>6.64*6.69*4.01</t>
  </si>
  <si>
    <t>7.31*7.36*4.53</t>
  </si>
  <si>
    <t>4.38*4.41*2.77</t>
  </si>
  <si>
    <t>0.90-0.94</t>
  </si>
  <si>
    <t>3.76*5.10*2.58</t>
  </si>
  <si>
    <t>5.71*6.63*3.56</t>
  </si>
  <si>
    <t>4.21*5.91*2.85</t>
  </si>
  <si>
    <t>3.82*5.36*2.55</t>
  </si>
  <si>
    <t>8.09*12.00*5.16</t>
  </si>
  <si>
    <t>4.28*4.31*2.66</t>
  </si>
  <si>
    <t>5.62*5.66*3.54</t>
  </si>
  <si>
    <t>5.44*7.37*3.71</t>
  </si>
  <si>
    <t>5.35*7.41*3.58</t>
  </si>
  <si>
    <t>7.35*6.47*4.19</t>
  </si>
  <si>
    <t>4.77*6.71*3.52</t>
  </si>
  <si>
    <t>5.40*7.78*3.55</t>
  </si>
  <si>
    <t>6.98*6.03*4.09</t>
  </si>
  <si>
    <t>9.34*9.59*6.29</t>
  </si>
  <si>
    <t>6.96*6.99*4.50</t>
  </si>
  <si>
    <t>6.48*6.53*3.92</t>
  </si>
  <si>
    <t>6.42*6.45*3.94</t>
  </si>
  <si>
    <t>11.92*16.88*7.45</t>
  </si>
  <si>
    <t>4.07*5.73*2.74</t>
  </si>
  <si>
    <t>7.61*9.16*5.11</t>
  </si>
  <si>
    <t>7.39*7.42*4.54</t>
  </si>
  <si>
    <t>5.92*6.78*3.35</t>
  </si>
  <si>
    <t>6.56*9.03*4.08</t>
  </si>
  <si>
    <t>4.40*4.43*2.80</t>
  </si>
  <si>
    <t>5.39*7.47*3.66</t>
  </si>
  <si>
    <t>4.76*6.92*3.08</t>
  </si>
  <si>
    <t>5.74*7.90*3.60</t>
  </si>
  <si>
    <t>7.96*7.96*5.53</t>
  </si>
  <si>
    <t>5.17*5.41*3.36</t>
  </si>
  <si>
    <t>4.41*4.74*2.77</t>
  </si>
  <si>
    <t>5.32*7.80*3.60</t>
  </si>
  <si>
    <t>4.44*6.84*2.75</t>
  </si>
  <si>
    <t>7.52*7.56*4.55</t>
  </si>
  <si>
    <t>4.71*6.75*2.41</t>
  </si>
  <si>
    <t>4.48*6.54*2.94</t>
  </si>
  <si>
    <t>6.53*10.22*3.92</t>
  </si>
  <si>
    <t>4.27*4.30*2.63</t>
  </si>
  <si>
    <t>7.12*9.82*4.51</t>
  </si>
  <si>
    <t>6.28*6.38*4.07</t>
  </si>
  <si>
    <t>7.41*7.43*4.62</t>
  </si>
  <si>
    <t>4.90*6.98*3.17</t>
  </si>
  <si>
    <t>6.94*7.08*4.50</t>
  </si>
  <si>
    <t>6.54*8.99*4.06</t>
  </si>
  <si>
    <t>4.42*4.45*2.65</t>
  </si>
  <si>
    <t>7.26*7.30*4.56</t>
  </si>
  <si>
    <t>4.72*6.66*3.18</t>
  </si>
  <si>
    <t>6.79*9.88*4.52</t>
  </si>
  <si>
    <t>4.33*4.39*2.71</t>
  </si>
  <si>
    <t>5.96*7.13*3.94</t>
  </si>
  <si>
    <t>5.70*7.97*3.86</t>
  </si>
  <si>
    <t>8.12*8.17*4.96</t>
  </si>
  <si>
    <t>4.80*4.83*2.95</t>
  </si>
  <si>
    <t>4.26*4.28*2.69</t>
  </si>
  <si>
    <t>4.30*4.32*2.69</t>
  </si>
  <si>
    <t>9.45*15.71*5.84</t>
  </si>
  <si>
    <t>8.07*7.07*4.72</t>
  </si>
  <si>
    <t>6.42*6.48*4.04</t>
  </si>
  <si>
    <t>6.59*6.84*4.42</t>
  </si>
  <si>
    <t>5.53*7.66*3.35</t>
  </si>
  <si>
    <t>4.43*4.74*2.76</t>
  </si>
  <si>
    <t>6.25*8.96*3.87</t>
  </si>
  <si>
    <t>5.83*8.17*3.49</t>
  </si>
  <si>
    <t>5.30*5.34*3.32</t>
  </si>
  <si>
    <t>1.00-1.19</t>
  </si>
  <si>
    <t>6.13*7.37*4.10</t>
  </si>
  <si>
    <t>6.12*8.41*3.74</t>
  </si>
  <si>
    <t>5.75*8.02*3.48</t>
  </si>
  <si>
    <t>4.57*6.96*2.79</t>
  </si>
  <si>
    <t>6.59*12.53*4.21</t>
  </si>
  <si>
    <t>5.65*5.68*3.58</t>
  </si>
  <si>
    <t>Heart Brilliant</t>
  </si>
  <si>
    <t>4.97*6.64*3.32</t>
  </si>
  <si>
    <t>5.65*5.69*3.52</t>
  </si>
  <si>
    <t>5.60*5.63*3.45</t>
  </si>
  <si>
    <t>5.38*7.68*3.58</t>
  </si>
  <si>
    <t>7.67*7.70*4.61</t>
  </si>
  <si>
    <t>6.39*8.95*4.31</t>
  </si>
  <si>
    <t>5.34*7.80*3.56</t>
  </si>
  <si>
    <t>5.38*5.66*3.58</t>
  </si>
  <si>
    <t>5.36*5.39*3.36</t>
  </si>
  <si>
    <t>5.40*5.61*3.39</t>
  </si>
  <si>
    <t>4.96*4.96*3.16</t>
  </si>
  <si>
    <t>5.92*5.96*3.72</t>
  </si>
  <si>
    <t>4.75*4.79*3.26</t>
  </si>
  <si>
    <t>8.05*8.10*5.02</t>
  </si>
  <si>
    <t>8.16*8.20*4.84</t>
  </si>
  <si>
    <t>4.68*8.93*2.91</t>
  </si>
  <si>
    <t>6.89*10.55*4.28</t>
  </si>
  <si>
    <t>5.68*8.48*3.52</t>
  </si>
  <si>
    <t>7.89*7.93*4.93</t>
  </si>
  <si>
    <t>4.78*6.49*3.22</t>
  </si>
  <si>
    <t>7.13*9.88*4.47</t>
  </si>
  <si>
    <t>9.05*9.08*5.52</t>
  </si>
  <si>
    <t>5.14*5.16*3.16</t>
  </si>
  <si>
    <t>7.79*8.21*5.11</t>
  </si>
  <si>
    <t>4.63*8.81*2.84</t>
  </si>
  <si>
    <t>4.30*4.33*2.70</t>
  </si>
  <si>
    <t>4.11*5.73*2.81</t>
  </si>
  <si>
    <t>7.12*10.99*4.37</t>
  </si>
  <si>
    <t>8.10*8.23*5.72</t>
  </si>
  <si>
    <t>4.88*9.27*3.05</t>
  </si>
  <si>
    <t>6.63*6.65*3.97</t>
  </si>
  <si>
    <t>7.17*13.57*4.40</t>
  </si>
  <si>
    <t>7.26*9.74*4.90</t>
  </si>
  <si>
    <t>11.05*11.09*6.60</t>
  </si>
  <si>
    <t>4.25*4.28*2.65</t>
  </si>
  <si>
    <t>4.42*4.44*2.74</t>
  </si>
  <si>
    <t>5.18*7.95*3.53</t>
  </si>
  <si>
    <t>5.37*8.77*3.39</t>
  </si>
  <si>
    <t>5.51*7.59*3.45</t>
  </si>
  <si>
    <t>5.92*8.04*4.02</t>
  </si>
  <si>
    <t>5.43*7.60*3.52</t>
  </si>
  <si>
    <t>5.52*5.57*3.97</t>
  </si>
  <si>
    <t>7.19*7.22*4.37</t>
  </si>
  <si>
    <t>5.42*7.35*3.70</t>
  </si>
  <si>
    <t>5.57*5.83*3.53</t>
  </si>
  <si>
    <t>6.64*9.22*4.15</t>
  </si>
  <si>
    <t>4.56*4.58*2.79</t>
  </si>
  <si>
    <t>5.15*5.18*3.18</t>
  </si>
  <si>
    <t>6.52*9.01*4.04</t>
  </si>
  <si>
    <t>4.39*4.44*2.71</t>
  </si>
  <si>
    <t>4.45*6.73*2.80</t>
  </si>
  <si>
    <t>5.76*8.36*3.76</t>
  </si>
  <si>
    <t>4.50*4.63*2.87</t>
  </si>
  <si>
    <t>8.22*11.39*5.11</t>
  </si>
  <si>
    <t>6.16*9.84*3.86</t>
  </si>
  <si>
    <t>6.64*9.23*4.02</t>
  </si>
  <si>
    <t>9.59*13.03*6.11</t>
  </si>
  <si>
    <t>5.49*7.46*3.62</t>
  </si>
  <si>
    <t>7.06*6.23*4.13</t>
  </si>
  <si>
    <t>7.35*7.38*4.55</t>
  </si>
  <si>
    <t>7.96*6.70*4.81</t>
  </si>
  <si>
    <t>5.66*5.69*3.41</t>
  </si>
  <si>
    <t>4.18*5.72*2.84</t>
  </si>
  <si>
    <t>6.54*6.60*4.11</t>
  </si>
  <si>
    <t>10.94*11.02*6.88</t>
  </si>
  <si>
    <t>7.24*9.99*4.42</t>
  </si>
  <si>
    <t>6.50*6.84*4.28</t>
  </si>
  <si>
    <t>4.37*4.42*2.76</t>
  </si>
  <si>
    <t>8.44*8.51*5.21</t>
  </si>
  <si>
    <t>5.31*7.62*3.59</t>
  </si>
  <si>
    <t>6.24*6.41*4.09</t>
  </si>
  <si>
    <t>6.21*6.28*4.00</t>
  </si>
  <si>
    <t>4.00-4.29</t>
  </si>
  <si>
    <t>5.52*7.72*3.59</t>
  </si>
  <si>
    <t>7.33*7.46*5.40</t>
  </si>
  <si>
    <t>7.04*9.89*4.60</t>
  </si>
  <si>
    <t>4.20*4.24*2.67</t>
  </si>
  <si>
    <t>6.43*6.48*3.98</t>
  </si>
  <si>
    <t>5.79*8.02*3.50</t>
  </si>
  <si>
    <t>4.50*6.65*2.88</t>
  </si>
  <si>
    <t>6.96*6.01*3.65</t>
  </si>
  <si>
    <t>6.99*6.75*3.90</t>
  </si>
  <si>
    <t>8.21*8.36*5.46</t>
  </si>
  <si>
    <t>5.71*5.79*3.83</t>
  </si>
  <si>
    <t>4.47*4.49*2.77</t>
  </si>
  <si>
    <t>8.19*8.61*5.51</t>
  </si>
  <si>
    <t>6.03*8.27*3.79</t>
  </si>
  <si>
    <t>5.06*7.34*3.04</t>
  </si>
  <si>
    <t>4.87*7.87*2.99</t>
  </si>
  <si>
    <t>4.41*4.44*2.76</t>
  </si>
  <si>
    <t>5.60*8.32*3.60</t>
  </si>
  <si>
    <t>7.85*7.98*5.47</t>
  </si>
  <si>
    <t>6.46*6.50*3.97</t>
  </si>
  <si>
    <t>8.31*12.82*5.07</t>
  </si>
  <si>
    <t>4.48*4.50*2.83</t>
  </si>
  <si>
    <t>5.63*8.42*3.52</t>
  </si>
  <si>
    <t>8.19*11.32*5.09</t>
  </si>
  <si>
    <t>8.96*13.31*5.74</t>
  </si>
  <si>
    <t>8.89*13.93*5.38</t>
  </si>
  <si>
    <t>9.46*9.53*5.92</t>
  </si>
  <si>
    <t>6.77*6.86*4.58</t>
  </si>
  <si>
    <t>6.39*6.85*3.93</t>
  </si>
  <si>
    <t>8.10*8.13*4.95</t>
  </si>
  <si>
    <t>5.55*8.48*3.41</t>
  </si>
  <si>
    <t>8.21*8.54*5.40</t>
  </si>
  <si>
    <t>4.59*4.62*2.86</t>
  </si>
  <si>
    <t>6.02*8.50*4.13</t>
  </si>
  <si>
    <t>7.22*6.19*4.11</t>
  </si>
  <si>
    <t>5.32*5.45*3.86</t>
  </si>
  <si>
    <t>4.30*4.33*2.63</t>
  </si>
  <si>
    <t>6.52*9.88*3.99</t>
  </si>
  <si>
    <t>5.96*5.98*3.72</t>
  </si>
  <si>
    <t>5.00-5.99</t>
  </si>
  <si>
    <t>4.82*4.88*3.50</t>
  </si>
  <si>
    <t>7.40*7.44*4.44</t>
  </si>
  <si>
    <t>4.35*4.39*2.70</t>
  </si>
  <si>
    <t>9.24*9.28*5.69</t>
  </si>
  <si>
    <t>5.84*8.05*3.57</t>
  </si>
  <si>
    <t>5.65*10.57*3.51</t>
  </si>
  <si>
    <t>8.20*8.23*5.08</t>
  </si>
  <si>
    <t>6.57*6.60*4.07</t>
  </si>
  <si>
    <t>4.39*4.39*2.91</t>
  </si>
  <si>
    <t>6.59*6.63*4.12</t>
  </si>
  <si>
    <t>7.84*8.40*5.39</t>
  </si>
  <si>
    <t>5.87*5.90*3.60</t>
  </si>
  <si>
    <t>5.05*7.08*3.40</t>
  </si>
  <si>
    <t>9.54*10.00*6.29</t>
  </si>
  <si>
    <t>4.67*4.74*2.93</t>
  </si>
  <si>
    <t>4.27*4.32*2.70</t>
  </si>
  <si>
    <t>FANCY DEEP ORANGE</t>
  </si>
  <si>
    <t>4.29*4.34*2.68</t>
  </si>
  <si>
    <t>5.76*8.11*3.50</t>
  </si>
  <si>
    <t>7.45*7.47*4.56</t>
  </si>
  <si>
    <t>5.69*8.23*3.42</t>
  </si>
  <si>
    <t>5.64*8.40*3.53</t>
  </si>
  <si>
    <t>6.48*6.52*4.07</t>
  </si>
  <si>
    <t>4.59*6.95*2.79</t>
  </si>
  <si>
    <t>4.38*4.40*2.73</t>
  </si>
  <si>
    <t>5.46*8.58*3.30</t>
  </si>
  <si>
    <t>4.45*6.84*2.79</t>
  </si>
  <si>
    <t>6.75*6.93*4.53</t>
  </si>
  <si>
    <t>7.86*7.90*4.99</t>
  </si>
  <si>
    <t>6.49*6.52*3.99</t>
  </si>
  <si>
    <t>6.56*6.59*4.10</t>
  </si>
  <si>
    <t>4.40*4.43*2.75</t>
  </si>
  <si>
    <t>8.53*8.59*5.66</t>
  </si>
  <si>
    <t>4.29*6.25*2.89</t>
  </si>
  <si>
    <t>4.27*8.11*2.61</t>
  </si>
  <si>
    <t>4.27*5.75*2.85</t>
  </si>
  <si>
    <t>11.54*12.35*7.79</t>
  </si>
  <si>
    <t>8.21*8.63*5.23</t>
  </si>
  <si>
    <t>5.57*5.86*3.55</t>
  </si>
  <si>
    <t>6.42*6.47*3.98</t>
  </si>
  <si>
    <t>4.96*6.68*3.35</t>
  </si>
  <si>
    <t>6.32*6.49*4.23</t>
  </si>
  <si>
    <t>6.40*6.45*4.03</t>
  </si>
  <si>
    <t>5.09*7.54*3.07</t>
  </si>
  <si>
    <t>7.25*8.40*4.54</t>
  </si>
  <si>
    <t>4.73*4.77*2.94</t>
  </si>
  <si>
    <t>6.77*6.79*4.58</t>
  </si>
  <si>
    <t>6.32*6.33*4.18</t>
  </si>
  <si>
    <t>5.48*5.51*3.57</t>
  </si>
  <si>
    <t>5.29*5.30*3.64</t>
  </si>
  <si>
    <t>7.61*10.22*5.02</t>
  </si>
  <si>
    <t>4.78*6.77*3.08</t>
  </si>
  <si>
    <t>7.20*7.21*5.18</t>
  </si>
  <si>
    <t>5.02*7.61*3.11</t>
  </si>
  <si>
    <t>6.33*12.03*3.92</t>
  </si>
  <si>
    <t>6.27*6.39*4.07</t>
  </si>
  <si>
    <t>6.55*7.56*4.03</t>
  </si>
  <si>
    <t>4.82*4.85*2.99</t>
  </si>
  <si>
    <t>6.06*8.47*4.12</t>
  </si>
  <si>
    <t>4.61*7.23*2.94</t>
  </si>
  <si>
    <t>11.04*23.58*6.45</t>
  </si>
  <si>
    <t>6.14*6.19*4.16</t>
  </si>
  <si>
    <t>9.26*9.31*5.73</t>
  </si>
  <si>
    <t>4.47*7.26*2.66</t>
  </si>
  <si>
    <t>8.87*8.65*4.69</t>
  </si>
  <si>
    <t>6.59*6.64*4.04</t>
  </si>
  <si>
    <t>5.44*7.47*3.70</t>
  </si>
  <si>
    <t>5.32*6.82*3.62</t>
  </si>
  <si>
    <t>7.39*7.48*4.61</t>
  </si>
  <si>
    <t>8.17*11.31*5.12</t>
  </si>
  <si>
    <t>5.94*8.55*3.97</t>
  </si>
  <si>
    <t>4.98*7.73*3.10</t>
  </si>
  <si>
    <t>5.57*5.88*3.55</t>
  </si>
  <si>
    <t>7.77*7.84*4.88</t>
  </si>
  <si>
    <t>5.47*7.47*3.59</t>
  </si>
  <si>
    <t>5.63*7.78*3.61</t>
  </si>
  <si>
    <t>8.39*8.42*5.84</t>
  </si>
  <si>
    <t>8.24*11.20*5.14</t>
  </si>
  <si>
    <t>7.13*9.78*4.48</t>
  </si>
  <si>
    <t>7.63*7.68*4.73</t>
  </si>
  <si>
    <t>4.49*6.97*2.72</t>
  </si>
  <si>
    <t>6.44*6.47*4.18</t>
  </si>
  <si>
    <t>4.42*4.45*2.69</t>
  </si>
  <si>
    <t>4.82*6.52*3.21</t>
  </si>
  <si>
    <t>5.67*5.67*3.74</t>
  </si>
  <si>
    <t>5.11*5.17*3.21</t>
  </si>
  <si>
    <t>8.16*11.24*5.07</t>
  </si>
  <si>
    <t>5.15*7.10*3.16</t>
  </si>
  <si>
    <t>12.57*18.09*8.38</t>
  </si>
  <si>
    <t>5.41*7.40*3.61</t>
  </si>
  <si>
    <t>7.21*11.02*4.36</t>
  </si>
  <si>
    <t>6.48*6.53*4.06</t>
  </si>
  <si>
    <t>5.43*5.68*3.66</t>
  </si>
  <si>
    <t>5.96*7.11*3.99</t>
  </si>
  <si>
    <t>4.83*7.58*2.92</t>
  </si>
  <si>
    <t>5.97*7.16*4.02</t>
  </si>
  <si>
    <t>4.31*4.33*2.69</t>
  </si>
  <si>
    <t>6.32*6.32*4.16</t>
  </si>
  <si>
    <t>8.10*8.14*5.05</t>
  </si>
  <si>
    <t>4.29*4.32*2.61</t>
  </si>
  <si>
    <t>7.20*6.40*4.04</t>
  </si>
  <si>
    <t>8.96*12.24*5.71</t>
  </si>
  <si>
    <t>7.91*7.10*4.62</t>
  </si>
  <si>
    <t>4.24*5.91*2.85</t>
  </si>
  <si>
    <t>6.79*10.07*3.98</t>
  </si>
  <si>
    <t>4.94*5.16*3.11</t>
  </si>
  <si>
    <t>5.01*7.68*3.14</t>
  </si>
  <si>
    <t>6.59*6.64*4.10</t>
  </si>
  <si>
    <t>6.55*6.59*4.04</t>
  </si>
  <si>
    <t>7.79*7.84*5.69</t>
  </si>
  <si>
    <t>9.08*9.16*5.78</t>
  </si>
  <si>
    <t>5.32*5.46*3.59</t>
  </si>
  <si>
    <t>6.71*12.79*4.14</t>
  </si>
  <si>
    <t>6.49*8.98*4.18</t>
  </si>
  <si>
    <t>6.09*7.31*4.03</t>
  </si>
  <si>
    <t>6.46*6.48*3.96</t>
  </si>
  <si>
    <t>5.68*8.45*3.55</t>
  </si>
  <si>
    <t>7.04*7.36*4.73</t>
  </si>
  <si>
    <t>7.17*7.21*4.57</t>
  </si>
  <si>
    <t>4.70*6.64*3.19</t>
  </si>
  <si>
    <t>5.73*7.90*3.58</t>
  </si>
  <si>
    <t>CUSHION</t>
  </si>
  <si>
    <t>5.48*7.45*3.73</t>
  </si>
  <si>
    <t>5.76*6.69*3.52</t>
  </si>
  <si>
    <t>5.69*5.71*3.72</t>
  </si>
  <si>
    <t>5.01*7.11*3.11</t>
  </si>
  <si>
    <t>7.60*10.72*5.05</t>
  </si>
  <si>
    <t>5.94*9.91*3.84</t>
  </si>
  <si>
    <t>6.69*6.71*4.04</t>
  </si>
  <si>
    <t>7.57*10.58*4.95</t>
  </si>
  <si>
    <t>7.70*7.72*4.70</t>
  </si>
  <si>
    <t>5.78*5.79*3.55</t>
  </si>
  <si>
    <t>5.37*7.59*3.60</t>
  </si>
  <si>
    <t>7.57*7.63*4.76</t>
  </si>
  <si>
    <t>5.82*7.95*3.87</t>
  </si>
  <si>
    <t>4.46*6.85*2.81</t>
  </si>
  <si>
    <t>6.59*6.63*4.08</t>
  </si>
  <si>
    <t>6.58*7.89*4.44</t>
  </si>
  <si>
    <t>5.46*7.52*3.68</t>
  </si>
  <si>
    <t>6.19*6.32*4.09</t>
  </si>
  <si>
    <t>8.07*8.50*4.85</t>
  </si>
  <si>
    <t>6.53*8.94*4.14</t>
  </si>
  <si>
    <t>4.42*4.46*2.77</t>
  </si>
  <si>
    <t>5.56*8.38*3.50</t>
  </si>
  <si>
    <t>4.12*6.10*2.69</t>
  </si>
  <si>
    <t>6.13*6.18*3.77</t>
  </si>
  <si>
    <t>4.77*6.84*3.17</t>
  </si>
  <si>
    <t>6.85*7.05*4.34</t>
  </si>
  <si>
    <t>6.23*6.51*3.95</t>
  </si>
  <si>
    <t>6.59*7.91*4.41</t>
  </si>
  <si>
    <t>5.56*5.85*3.50</t>
  </si>
  <si>
    <t>6.86*7.20*4.47</t>
  </si>
  <si>
    <t>5.81*6.72*3.50</t>
  </si>
  <si>
    <t>4.94*6.83*3.14</t>
  </si>
  <si>
    <t>4.27*4.33*2.66</t>
  </si>
  <si>
    <t>4.32*4.35*2.70</t>
  </si>
  <si>
    <t>8.10*12.04*5.12</t>
  </si>
  <si>
    <t>9.21*9.41*5.94</t>
  </si>
  <si>
    <t>6.05*7.33*4.03</t>
  </si>
  <si>
    <t>5.48*7.46*3.63</t>
  </si>
  <si>
    <t>4.32*4.36*2.72</t>
  </si>
  <si>
    <t>6.47*6.49*3.94</t>
  </si>
  <si>
    <t>6.24*6.26*4.48</t>
  </si>
  <si>
    <t>5.46*5.56*3.60</t>
  </si>
  <si>
    <t>6.59*9.08*4.14</t>
  </si>
  <si>
    <t>7.93*11.70*4.97</t>
  </si>
  <si>
    <t>5.08*9.77*3.16</t>
  </si>
  <si>
    <t>6.70*6.73*4.27</t>
  </si>
  <si>
    <t>5.98*8.24*4.07</t>
  </si>
  <si>
    <t>4.73*6.44*3.22</t>
  </si>
  <si>
    <t>5.11*9.73*3.22</t>
  </si>
  <si>
    <t>6.36*6.42*4.00</t>
  </si>
  <si>
    <t>6.59*6.64*4.06</t>
  </si>
  <si>
    <t>6.09*8.23*3.89</t>
  </si>
  <si>
    <t>4.59*5.86*3.08</t>
  </si>
  <si>
    <t>8.17*8.20*4.97</t>
  </si>
  <si>
    <t>7.10*6.87*3.67</t>
  </si>
  <si>
    <t>8.08*8.11*5.29</t>
  </si>
  <si>
    <t>4.27*6.22*2.76</t>
  </si>
  <si>
    <t>5.48*7.64*3.68</t>
  </si>
  <si>
    <t>4.12*5.66*2.83</t>
  </si>
  <si>
    <t>4.33*4.40*3.03</t>
  </si>
  <si>
    <t>4.35*4.39*2.68</t>
  </si>
  <si>
    <t>Shade</t>
  </si>
  <si>
    <t>5.53*5.82*3.60</t>
  </si>
  <si>
    <t>4.62*4.65*2.96</t>
  </si>
  <si>
    <t>7.12*10.93*4.40</t>
  </si>
  <si>
    <t>9.33*9.37*5.85</t>
  </si>
  <si>
    <t>5.49*7.68*3.42</t>
  </si>
  <si>
    <t>5.50*5.80*3.65</t>
  </si>
  <si>
    <t>7.04*6.17*4.12</t>
  </si>
  <si>
    <t>5.46*5.56*3.84</t>
  </si>
  <si>
    <t>4.51*6.22*3.06</t>
  </si>
  <si>
    <t>6.62*9.14*4.06</t>
  </si>
  <si>
    <t>6.36*8.75*3.97</t>
  </si>
  <si>
    <t>4.70*6.68*3.14</t>
  </si>
  <si>
    <t>5.00*6.51*3.35</t>
  </si>
  <si>
    <t>4.42*4.47*2.79</t>
  </si>
  <si>
    <t>3.92*5.54*2.65</t>
  </si>
  <si>
    <t>5.83*8.83*3.67</t>
  </si>
  <si>
    <t>7.29*10.06*4.52</t>
  </si>
  <si>
    <t>6.67*9.28*4.00</t>
  </si>
  <si>
    <t>6.58*9.08*4.11</t>
  </si>
  <si>
    <t>4.64*4.67*2.74</t>
  </si>
  <si>
    <t>7.44*7.49*4.62</t>
  </si>
  <si>
    <t>5.83*7.93*3.63</t>
  </si>
  <si>
    <t>5.04*6.48*3.43</t>
  </si>
  <si>
    <t>8.41*10.30*5.33</t>
  </si>
  <si>
    <t>5.03*7.01*3.07</t>
  </si>
  <si>
    <t>7.12*10.18*4.72</t>
  </si>
  <si>
    <t>4.83*4.84*2.94</t>
  </si>
  <si>
    <t>3.95*6.22*2.75</t>
  </si>
  <si>
    <t>5.72*5.74*3.52</t>
  </si>
  <si>
    <t>6.32*6.40*4.24</t>
  </si>
  <si>
    <t>6.93*7.06*4.51</t>
  </si>
  <si>
    <t>ID</t>
  </si>
  <si>
    <t>4.32*4.36*3.08</t>
  </si>
  <si>
    <t>5.94*7.61*4.03</t>
  </si>
  <si>
    <t>9.25*9.32*5.76</t>
  </si>
  <si>
    <t>4.56*6.36*2.82</t>
  </si>
  <si>
    <t>7.36*7.39*4.54</t>
  </si>
  <si>
    <t>6.60*9.08*4.08</t>
  </si>
  <si>
    <t>6.34*10.11*4.01</t>
  </si>
  <si>
    <t>5.87*8.08*3.64</t>
  </si>
  <si>
    <t>5.77*8.82*3.68</t>
  </si>
  <si>
    <t>5.49*5.55*3.88</t>
  </si>
  <si>
    <t>5.39*7.45*3.66</t>
  </si>
  <si>
    <t>4.65*7.28*3.02</t>
  </si>
  <si>
    <t>4.85*4.88*3.05</t>
  </si>
  <si>
    <t>12.40*17.44*8.25</t>
  </si>
  <si>
    <t>5.50*5.70*3.94</t>
  </si>
  <si>
    <t>4.65*5.54*3.16</t>
  </si>
  <si>
    <t>5.05*7.62*3.10</t>
  </si>
  <si>
    <t>6.38*6.41*3.99</t>
  </si>
  <si>
    <t>6.38*6.42*3.92</t>
  </si>
  <si>
    <t>9.20*9.23*5.68</t>
  </si>
  <si>
    <t>6.48*8.95*4.05</t>
  </si>
  <si>
    <t>FANCY INTENSE BROWN PINK</t>
  </si>
  <si>
    <t>5.67*7.78*3.53</t>
  </si>
  <si>
    <t>9.98*15.70*6.30</t>
  </si>
  <si>
    <t>5.75*8.84*3.48</t>
  </si>
  <si>
    <t>8.00*8.41*5.23</t>
  </si>
  <si>
    <t>9.01*12.26*5.62</t>
  </si>
  <si>
    <t>5.07*7.77*3.05</t>
  </si>
  <si>
    <t>5.00*7.79*3.09</t>
  </si>
  <si>
    <t>7.18*7.19*5.08</t>
  </si>
  <si>
    <t>5.60*5.62*4.06</t>
  </si>
  <si>
    <t>9.23*9.29*5.69</t>
  </si>
  <si>
    <t>5.63*5.66*3.42</t>
  </si>
  <si>
    <t>7.94*8.33*4.93</t>
  </si>
  <si>
    <t>GCAL</t>
  </si>
  <si>
    <t>5.98*6.07*4.35</t>
  </si>
  <si>
    <t>5.67*5.93*3.63</t>
  </si>
  <si>
    <t>5.89*7.28*3.92</t>
  </si>
  <si>
    <t>4.21*6.13*2.72</t>
  </si>
  <si>
    <t>8.09*8.14*5.01</t>
  </si>
  <si>
    <t>5.46*7.43*3.65</t>
  </si>
  <si>
    <t>6.18*6.27*3.93</t>
  </si>
  <si>
    <t>5.68*8.59*3.47</t>
  </si>
  <si>
    <t>7.53*9.42*5.00</t>
  </si>
  <si>
    <t>7.32*11.47*4.69</t>
  </si>
  <si>
    <t>5.79*7.98*3.57</t>
  </si>
  <si>
    <t>5.79*7.87*3.63</t>
  </si>
  <si>
    <t>4.98*5.02*3.04</t>
  </si>
  <si>
    <t>4.17*5.84*2.85</t>
  </si>
  <si>
    <t>6.78*7.02*4.37</t>
  </si>
  <si>
    <t>5.51*7.45*3.39</t>
  </si>
  <si>
    <t>6.20*7.58*4.16</t>
  </si>
  <si>
    <t>7.09*9.87*4.50</t>
  </si>
  <si>
    <t>9.11*9.18*5.70</t>
  </si>
  <si>
    <t>6.69*6.72*4.02</t>
  </si>
  <si>
    <t>6.15*6.19*3.61</t>
  </si>
  <si>
    <t>3.72*5.33*2.50</t>
  </si>
  <si>
    <t>4.93*6.62*3.33</t>
  </si>
  <si>
    <t>5.45*5.49*3.33</t>
  </si>
  <si>
    <t>5.02*6.71*3.22</t>
  </si>
  <si>
    <t>5.66*7.96*3.53</t>
  </si>
  <si>
    <t>6.01*8.22*4.03</t>
  </si>
  <si>
    <t>6.07*6.08*4.46</t>
  </si>
  <si>
    <t>6.55*9.01*3.95</t>
  </si>
  <si>
    <t>5.53*7.61*3.51</t>
  </si>
  <si>
    <t>4.11*5.85*2.82</t>
  </si>
  <si>
    <t>8.47*7.54*5.05</t>
  </si>
  <si>
    <t>5.66*5.71*3.60</t>
  </si>
  <si>
    <t>3.69*5.71*2.38</t>
  </si>
  <si>
    <t>10.58*9.58*6.12</t>
  </si>
  <si>
    <t>6.85*6.87*4.60</t>
  </si>
  <si>
    <t>6.89*6.92*4.11</t>
  </si>
  <si>
    <t>7.44*7.48*4.38</t>
  </si>
  <si>
    <t>7.29*7.35*4.54</t>
  </si>
  <si>
    <t>4.55*6.92*2.79</t>
  </si>
  <si>
    <t>6.61*6.73*4.48</t>
  </si>
  <si>
    <t>5.38*7.34*3.67</t>
  </si>
  <si>
    <t>5.39*8.79*3.21</t>
  </si>
  <si>
    <t>8.13*8.19*4.99</t>
  </si>
  <si>
    <t>7.39*7.43*4.53</t>
  </si>
  <si>
    <t>4.44*4.47*2.79</t>
  </si>
  <si>
    <t>4.57*6.99*2.80</t>
  </si>
  <si>
    <t>3.82*5.38*2.49</t>
  </si>
  <si>
    <t>8.10*8.13*4.99</t>
  </si>
  <si>
    <t>7.26*11.09*4.45</t>
  </si>
  <si>
    <t>7.27*7.30*4.56</t>
  </si>
  <si>
    <t>5.79*7.99*3.60</t>
  </si>
  <si>
    <t>6.96*7.26*4.65</t>
  </si>
  <si>
    <t>4.90*4.86*3.03</t>
  </si>
  <si>
    <t>4.22*5.88*2.83</t>
  </si>
  <si>
    <t>6.45*9.85*4.02</t>
  </si>
  <si>
    <t>4.51*6.74*2.80</t>
  </si>
  <si>
    <t>4.35*4.39*2.74</t>
  </si>
  <si>
    <t>5.50*7.60*3.57</t>
  </si>
  <si>
    <t>5.71*7.54*3.79</t>
  </si>
  <si>
    <t>6.59*6.61*4.13</t>
  </si>
  <si>
    <t>4.86*4.89*2.92</t>
  </si>
  <si>
    <t>5.46*7.44*3.60</t>
  </si>
  <si>
    <t>5.54*7.39*3.68</t>
  </si>
  <si>
    <t>5.28*6.31*3.59</t>
  </si>
  <si>
    <t>5.41*5.44*3.40</t>
  </si>
  <si>
    <t>5.67*9.04*3.46</t>
  </si>
  <si>
    <t>6.61*6.64*4.06</t>
  </si>
  <si>
    <t>6.46*6.50*3.96</t>
  </si>
  <si>
    <t>5.67*8.79*3.54</t>
  </si>
  <si>
    <t>6.57*9.45*4.48</t>
  </si>
  <si>
    <t>9.14*17.38*5.62</t>
  </si>
  <si>
    <t>5.49*7.60*3.65</t>
  </si>
  <si>
    <t>4.73*4.77*2.99</t>
  </si>
  <si>
    <t>7.16*10.00*4.43</t>
  </si>
  <si>
    <t>9.05*13.76*5.69</t>
  </si>
  <si>
    <t>5.22*5.25*3.14</t>
  </si>
  <si>
    <t>5.96*7.12*4.02</t>
  </si>
  <si>
    <t>6.29*6.45*4.19</t>
  </si>
  <si>
    <t>6.48*8.86*4.09</t>
  </si>
  <si>
    <t>7.14*9.96*4.44</t>
  </si>
  <si>
    <t>5.41*7.52*3.60</t>
  </si>
  <si>
    <t>6.59*6.64*4.00</t>
  </si>
  <si>
    <t>5.89*8.14*3.53</t>
  </si>
  <si>
    <t>6.30*6.36*3.91</t>
  </si>
  <si>
    <t>8.54*8.60*5.17</t>
  </si>
  <si>
    <t>6.43*6.55*4.46</t>
  </si>
  <si>
    <t>9.57*14.70*5.91</t>
  </si>
  <si>
    <t>7.06*6.21*4.08</t>
  </si>
  <si>
    <t>6.24*12.03*3.75</t>
  </si>
  <si>
    <t>7.87*6.82*4.78</t>
  </si>
  <si>
    <t>4.76*4.78*2.89</t>
  </si>
  <si>
    <t>6.05*8.38*3.77</t>
  </si>
  <si>
    <t>8.39*8.55*5.60</t>
  </si>
  <si>
    <t>5.30*5.31*3.19</t>
  </si>
  <si>
    <t>6.28*8.66*3.87</t>
  </si>
  <si>
    <t>6.23*8.59*4.05</t>
  </si>
  <si>
    <t>7.13*7.02*3.79</t>
  </si>
  <si>
    <t>4.60*6.34*2.84</t>
  </si>
  <si>
    <t>5.41*7.37*3.69</t>
  </si>
  <si>
    <t>10.23*9.24*5.73</t>
  </si>
  <si>
    <t>4.97*10.41*3.00</t>
  </si>
  <si>
    <t>7.28*7.32*4.56</t>
  </si>
  <si>
    <t>7.37*10.61*5.02</t>
  </si>
  <si>
    <t>6.78*6.83*4.25</t>
  </si>
  <si>
    <t>5.31*6.48*3.47</t>
  </si>
  <si>
    <t>5.41*7.84*3.40</t>
  </si>
  <si>
    <t>9.10*9.27*6.15</t>
  </si>
  <si>
    <t>5.56*6.74*3.74</t>
  </si>
  <si>
    <t>9.45*9.49*5.77</t>
  </si>
  <si>
    <t>5.75*5.78*3.51</t>
  </si>
  <si>
    <t>7.45*7.48*4.36</t>
  </si>
  <si>
    <t>4.49*4.62*2.90</t>
  </si>
  <si>
    <t>4.20*5.81*2.86</t>
  </si>
  <si>
    <t>7.30*6.85*3.56</t>
  </si>
  <si>
    <t>6.15*6.17*4.47</t>
  </si>
  <si>
    <t>5.77*8.83*3.52</t>
  </si>
  <si>
    <t>4.70-4.99</t>
  </si>
  <si>
    <t>4.79*6.77*3.18</t>
  </si>
  <si>
    <t>5.42*5.51*3.64</t>
  </si>
  <si>
    <t>5.03*5.06*3.18</t>
  </si>
  <si>
    <t>8.56*12.95*5.26</t>
  </si>
  <si>
    <t>5.95*12.32*3.67</t>
  </si>
  <si>
    <t>4.28*4.31*2.71</t>
  </si>
  <si>
    <t>4.23*4.28*2.65</t>
  </si>
  <si>
    <t>5.13*7.08*3.16</t>
  </si>
  <si>
    <t>6.53*6.56*3.94</t>
  </si>
  <si>
    <t>6.19*8.44*4.25</t>
  </si>
  <si>
    <t>7.22*9.96*4.47</t>
  </si>
  <si>
    <t>7.02*10.22*4.54</t>
  </si>
  <si>
    <t>6.49*6.51*3.93</t>
  </si>
  <si>
    <t>8.17*8.53*5.25</t>
  </si>
  <si>
    <t>9.70*14.95*5.98</t>
  </si>
  <si>
    <t>5.48*5.77*3.62</t>
  </si>
  <si>
    <t>5.31*5.34*3.33</t>
  </si>
  <si>
    <t>4.42*4.45*2.70</t>
  </si>
  <si>
    <t>5.41*7.59*3.62</t>
  </si>
  <si>
    <t>5.48*5.51*3.64</t>
  </si>
  <si>
    <t>5.68*5.70*3.47</t>
  </si>
  <si>
    <t>5.94*8.35*3.92</t>
  </si>
  <si>
    <t>7.22*10.05*4.41</t>
  </si>
  <si>
    <t>4.36*4.41*2.73</t>
  </si>
  <si>
    <t>7.45*7.48*4.54</t>
  </si>
  <si>
    <t>8.84*8.87*5.41</t>
  </si>
  <si>
    <t>8.01*8.13*5.60</t>
  </si>
  <si>
    <t>5.33*5.55*3.50</t>
  </si>
  <si>
    <t>Amount</t>
  </si>
  <si>
    <t>5.82*5.85*3.62</t>
  </si>
  <si>
    <t>Disc %</t>
  </si>
  <si>
    <t>6.42*8.74*4.05</t>
  </si>
  <si>
    <t>Pol</t>
  </si>
  <si>
    <t>5.25*8.05*3.17</t>
  </si>
  <si>
    <t>6.58*6.62*4.06</t>
  </si>
  <si>
    <t>6.65*9.38*4.48</t>
  </si>
  <si>
    <t>4.16*5.78*2.87</t>
  </si>
  <si>
    <t>6.84*7.17*4.72</t>
  </si>
  <si>
    <t>7.87*7.92*4.93</t>
  </si>
  <si>
    <t>5.83*8.45*3.50</t>
  </si>
  <si>
    <t>5.78*5.81*3.66</t>
  </si>
  <si>
    <t>5.37*7.78*3.30</t>
  </si>
  <si>
    <t>5.53*7.59*3.46</t>
  </si>
  <si>
    <t>5.63*5.69*3.97</t>
  </si>
  <si>
    <t>6.88*6.91*4.45</t>
  </si>
  <si>
    <t>5.78*6.00*3.79</t>
  </si>
  <si>
    <t>5.02*7.98*3.09</t>
  </si>
  <si>
    <t>4.77*4.81*2.96</t>
  </si>
  <si>
    <t>4.77*6.54*3.07</t>
  </si>
  <si>
    <t>5.10*5.14*3.19</t>
  </si>
  <si>
    <t>5.81*7.96*3.61</t>
  </si>
  <si>
    <t>6.19*6.24*4.46</t>
  </si>
  <si>
    <t>6.29*9.95*3.89</t>
  </si>
  <si>
    <t>5.77*8.01*3.47</t>
  </si>
  <si>
    <t>5.79*7.98*3.93</t>
  </si>
  <si>
    <t>6.92*8.01*3.98</t>
  </si>
  <si>
    <t>5.27*5.52*3.54</t>
  </si>
  <si>
    <t>5.89*8.17*3.55</t>
  </si>
  <si>
    <t>5.49*5.55*3.92</t>
  </si>
  <si>
    <t>4.56*6.35*2.86</t>
  </si>
  <si>
    <t>4.38*4.42*2.67</t>
  </si>
  <si>
    <t>5.11*7.72*3.02</t>
  </si>
  <si>
    <t>4.54*4.61*2.90</t>
  </si>
  <si>
    <t>4.45*4.54*2.93</t>
  </si>
  <si>
    <t>4.28*4.32*2.60</t>
  </si>
  <si>
    <t>5.15*5.17*3.20</t>
  </si>
  <si>
    <t>4.42*4.46*2.74</t>
  </si>
  <si>
    <t>7.97*16.28*4.88</t>
  </si>
  <si>
    <t>6.73*8.00*4.38</t>
  </si>
  <si>
    <t>4.33*4.37*2.69</t>
  </si>
  <si>
    <t>7.19*11.27*4.44</t>
  </si>
  <si>
    <t>5.22*5.37*3.64</t>
  </si>
  <si>
    <t>5.60*5.64*3.56</t>
  </si>
  <si>
    <t>8.05*8.11*5.00</t>
  </si>
  <si>
    <t>6.91*13.21*4.44</t>
  </si>
  <si>
    <t>4.50*4.52*2.72</t>
  </si>
  <si>
    <t>7.14*9.95*4.46</t>
  </si>
  <si>
    <t>6.06*7.28*4.08</t>
  </si>
  <si>
    <t>4.45*6.83*2.79</t>
  </si>
  <si>
    <t>4.86*6.25*3.25</t>
  </si>
  <si>
    <t>4.54*4.57*2.70</t>
  </si>
  <si>
    <t>5.11*5.15*3.18</t>
  </si>
  <si>
    <t>5.98*8.12*4.08</t>
  </si>
  <si>
    <t>10.48*10.55*6.49</t>
  </si>
  <si>
    <t>3.50-3.69</t>
  </si>
  <si>
    <t>9.36*9.40*5.68</t>
  </si>
  <si>
    <t>5.93*5.97*3.73</t>
  </si>
  <si>
    <t>6.22*6.23*4.15</t>
  </si>
  <si>
    <t>TRILLIANT</t>
  </si>
  <si>
    <t>6.67*6.73*4.40</t>
  </si>
  <si>
    <t>7.98*8.02*4.80</t>
  </si>
  <si>
    <t>5.55*5.83*3.53</t>
  </si>
  <si>
    <t>6.56*9.19*4.00</t>
  </si>
  <si>
    <t>4.76*7.01*3.08</t>
  </si>
  <si>
    <t>8.36*11.51*5.17</t>
  </si>
  <si>
    <t>9.53*15.67*5.93</t>
  </si>
  <si>
    <t>8.30*8.37*5.20</t>
  </si>
  <si>
    <t>4.65*8.72*2.92</t>
  </si>
  <si>
    <t>5.18*5.21*3.25</t>
  </si>
  <si>
    <t>4.74*6.64*3.20</t>
  </si>
  <si>
    <t>6.46*7.76*4.30</t>
  </si>
  <si>
    <t>7.67*7.70*4.71</t>
  </si>
  <si>
    <t>6.32*6.37*4.00</t>
  </si>
  <si>
    <t>4.94*6.53*3.36</t>
  </si>
  <si>
    <t>7.52*7.56*4.71</t>
  </si>
  <si>
    <t>6.57*9.04*4.07</t>
  </si>
  <si>
    <t>8.21*8.23*5.05</t>
  </si>
  <si>
    <t>5.93*12.25*3.73</t>
  </si>
  <si>
    <t>5.09*6.74*3.37</t>
  </si>
  <si>
    <t>5.86*5.89*3.63</t>
  </si>
  <si>
    <t>6.63*9.22*4.08</t>
  </si>
  <si>
    <t>5.36*5.41*3.58</t>
  </si>
  <si>
    <t>6.48*6.52*3.90</t>
  </si>
  <si>
    <t>6.19*6.31*4.08</t>
  </si>
  <si>
    <t>2.00-2.29</t>
  </si>
  <si>
    <t>5.72*7.92*3.56</t>
  </si>
  <si>
    <t>4.59*6.99*3.05</t>
  </si>
  <si>
    <t>7.45*7.49*4.59</t>
  </si>
  <si>
    <t>5.08*7.84*3.05</t>
  </si>
  <si>
    <t>5.75*5.78*3.61</t>
  </si>
  <si>
    <t>5.60*7.86*3.74</t>
  </si>
  <si>
    <t>3.75*5.37*2.47</t>
  </si>
  <si>
    <t>6.38*6.45*3.96</t>
  </si>
  <si>
    <t>6.53*9.01*4.05</t>
  </si>
  <si>
    <t>5.52*8.44*3.42</t>
  </si>
  <si>
    <t>6.71*9.33*4.19</t>
  </si>
  <si>
    <t>6.92*8.29*4.59</t>
  </si>
  <si>
    <t>4.88*6.64*3.32</t>
  </si>
  <si>
    <t>8.13*11.67*5.04</t>
  </si>
  <si>
    <t>9.87*20.60*6.00</t>
  </si>
  <si>
    <t>6.57*8.74*4.42</t>
  </si>
  <si>
    <t>8.25*8.28*5.12</t>
  </si>
  <si>
    <t>4.60*4.64*2.85</t>
  </si>
  <si>
    <t>8.16*11.84*4.90</t>
  </si>
  <si>
    <t>6.52*6.54*4.10</t>
  </si>
  <si>
    <t>6.56*9.07*4.04</t>
  </si>
  <si>
    <t>4.91*7.12*3.09</t>
  </si>
  <si>
    <t>8.67*8.72*5.44</t>
  </si>
  <si>
    <t>4.46*4.59*2.96</t>
  </si>
  <si>
    <t>10.97*11.03*6.73</t>
  </si>
  <si>
    <t>9.74*14.07*5.98</t>
  </si>
  <si>
    <t>5.80*7.97*3.61</t>
  </si>
  <si>
    <t>7.75*10.85*5.25</t>
  </si>
  <si>
    <t>4.50*6.22*3.06</t>
  </si>
  <si>
    <t>4.24*4.28*2.67</t>
  </si>
  <si>
    <t>4.36*4.40*2.72</t>
  </si>
  <si>
    <t>6.01*7.31*4.05</t>
  </si>
  <si>
    <t>5.45*7.66*3.66</t>
  </si>
  <si>
    <t>6.01*6.17*4.45</t>
  </si>
  <si>
    <t>5.16*5.18*3.18</t>
  </si>
  <si>
    <t>5.80*5.85*3.62</t>
  </si>
  <si>
    <t>7.49*10.35*4.98</t>
  </si>
  <si>
    <t>5.09*8.18*3.06</t>
  </si>
  <si>
    <t>5.49*7.55*3.68</t>
  </si>
  <si>
    <t>Cut-Cornered Rectangular Modified Brilliant</t>
  </si>
  <si>
    <t>5.74*7.97*3.58</t>
  </si>
  <si>
    <t>6.27*6.42*4.06</t>
  </si>
  <si>
    <t>6.46*9.46*4.17</t>
  </si>
  <si>
    <t>4.30*4.32*2.64</t>
  </si>
  <si>
    <t>5.35*5.69*3.43</t>
  </si>
  <si>
    <t>7.12*7.21*4.60</t>
  </si>
  <si>
    <t>4.37*4.40*2.68</t>
  </si>
  <si>
    <t>6.14*6.14*4.14</t>
  </si>
  <si>
    <t xml:space="preserve">Tot Amout $ </t>
  </si>
  <si>
    <t>6.52*8.99*4.07</t>
  </si>
  <si>
    <t>5.43*7.63*3.67</t>
  </si>
  <si>
    <t>4.54*6.29*2.84</t>
  </si>
  <si>
    <t>6.47*8.76*4.08</t>
  </si>
  <si>
    <t>4.93*6.56*3.31</t>
  </si>
  <si>
    <t>5.35*6.67*3.41</t>
  </si>
  <si>
    <t>5.61*5.66*3.54</t>
  </si>
  <si>
    <t>6.39*6.67*4.06</t>
  </si>
  <si>
    <t>6.42*10.25*3.89</t>
  </si>
  <si>
    <t>6.60*9.25*4.02</t>
  </si>
  <si>
    <t>4.22*4.24*2.69</t>
  </si>
  <si>
    <t>8.00*6.88*4.80</t>
  </si>
  <si>
    <t>5.54*5.65*3.64</t>
  </si>
  <si>
    <t>6.42*8.26*4.36</t>
  </si>
  <si>
    <t>I</t>
  </si>
  <si>
    <t>6.49*6.54*3.98</t>
  </si>
  <si>
    <t>6.44*6.48*3.95</t>
  </si>
  <si>
    <t>5.68*5.71*3.57</t>
  </si>
  <si>
    <t>9.17*9.25*5.58</t>
  </si>
  <si>
    <t>4.36*4.39*2.69</t>
  </si>
  <si>
    <t>8.05*12.50*4.97</t>
  </si>
  <si>
    <t>4.29*4.33*2.70</t>
  </si>
  <si>
    <t>6.17*6.36*4.23</t>
  </si>
  <si>
    <t>6.66*9.34*4.00</t>
  </si>
  <si>
    <t>9.11*12.71*5.50</t>
  </si>
  <si>
    <t>4.74*6.52*2.96</t>
  </si>
  <si>
    <t>6.98*7.36*4.47</t>
  </si>
  <si>
    <t>6.34*6.62*4.15</t>
  </si>
  <si>
    <t>5.45*8.38*3.35</t>
  </si>
  <si>
    <t>4.60*4.65*2.77</t>
  </si>
  <si>
    <t>6.18*6.29*4.04</t>
  </si>
  <si>
    <t>6.53*6.61*4.47</t>
  </si>
  <si>
    <t>5.58*5.62*3.44</t>
  </si>
  <si>
    <t>5.42*7.76*3.64</t>
  </si>
  <si>
    <t>4.44*6.49*2.97</t>
  </si>
  <si>
    <t>6.83*10.97*4.43</t>
  </si>
  <si>
    <t>5.06*7.73*3.16</t>
  </si>
  <si>
    <t>5.62*7.68*3.86</t>
  </si>
  <si>
    <t>4.73*6.71*3.13</t>
  </si>
  <si>
    <t>6.90*7.27*4.50</t>
  </si>
  <si>
    <t>5.25*6.26*3.51</t>
  </si>
  <si>
    <t>5.62*5.65*3.58</t>
  </si>
  <si>
    <t>5.80*8.00*3.55</t>
  </si>
  <si>
    <t>4.42*4.45*2.77</t>
  </si>
  <si>
    <t>5.91*8.59*3.82</t>
  </si>
  <si>
    <t>5.71*7.75*3.57</t>
  </si>
  <si>
    <t>6.31*9.69*3.93</t>
  </si>
  <si>
    <t>8.21*11.53*5.10</t>
  </si>
  <si>
    <t>7.85*11.03*5.22</t>
  </si>
  <si>
    <t>4.79*4.82*2.96</t>
  </si>
  <si>
    <t>5.26*7.46*3.42</t>
  </si>
  <si>
    <t>5.42*8.59*3.27</t>
  </si>
  <si>
    <t>7.25*15.14*4.54</t>
  </si>
  <si>
    <t>5.09*6.87*3.28</t>
  </si>
  <si>
    <t>4.90*4.93*3.18</t>
  </si>
  <si>
    <t>4.50*6.87*2.79</t>
  </si>
  <si>
    <t>9.06*9.12*5.55</t>
  </si>
  <si>
    <t>6.53*6.56*4.12</t>
  </si>
  <si>
    <t>4.88*6.92*3.01</t>
  </si>
  <si>
    <t>7.09*6.51*3.90</t>
  </si>
  <si>
    <t>6.11*9.38*3.81</t>
  </si>
  <si>
    <t>4.29*4.33*2.68</t>
  </si>
  <si>
    <t>5.78*7.86*3.62</t>
  </si>
  <si>
    <t>4.85*6.84*3.29</t>
  </si>
  <si>
    <t>5.31*5.56*3.59</t>
  </si>
  <si>
    <t>5.75*8.06*3.54</t>
  </si>
  <si>
    <t>5.57*7.70*3.42</t>
  </si>
  <si>
    <t>4.56*6.06*2.93</t>
  </si>
  <si>
    <t>5.93*6.87*3.41</t>
  </si>
  <si>
    <t>Stone ID</t>
  </si>
  <si>
    <t>8.95*9.02*5.44</t>
  </si>
  <si>
    <t>4.17*5.80*2.82</t>
  </si>
  <si>
    <t>5.84*6.00*3.95</t>
  </si>
  <si>
    <t>7.55*7.64*5.48</t>
  </si>
  <si>
    <t>5.42*5.43*3.90</t>
  </si>
  <si>
    <t>11.72*11.84*7.53</t>
  </si>
  <si>
    <t>5.66*7.25*3.86</t>
  </si>
  <si>
    <t>6.48*6.50*3.94</t>
  </si>
  <si>
    <t>4.25*4.26*2.70</t>
  </si>
  <si>
    <t>4.31*4.34*2.65</t>
  </si>
  <si>
    <t>4.27*4.29*2.68</t>
  </si>
  <si>
    <t>4.16*5.68*2.85</t>
  </si>
  <si>
    <t>5.88*5.91*3.70</t>
  </si>
  <si>
    <t>4.51*6.71*2.94</t>
  </si>
  <si>
    <t>7.16*11.02*4.37</t>
  </si>
  <si>
    <t>5.83*5.89*3.66</t>
  </si>
  <si>
    <t>6.63*6.67*4.05</t>
  </si>
  <si>
    <t>5.43*5.65*3.47</t>
  </si>
  <si>
    <t>5.78*5.83*3.62</t>
  </si>
  <si>
    <t>8.17*8.21*4.91</t>
  </si>
  <si>
    <t>7.10*7.18*4.44</t>
  </si>
  <si>
    <t>6.33*6.34*4.14</t>
  </si>
  <si>
    <t>7.47*10.21*4.62</t>
  </si>
  <si>
    <t>4.19*5.69*2.84</t>
  </si>
  <si>
    <t>5.50*8.36*3.48</t>
  </si>
  <si>
    <t>6.75*8.06*4.52</t>
  </si>
  <si>
    <t>6.98*10.45*4.50</t>
  </si>
  <si>
    <t>9.67*13.98*5.82</t>
  </si>
  <si>
    <t>5.39*5.61*3.43</t>
  </si>
  <si>
    <t>4.40*4.45*2.68</t>
  </si>
  <si>
    <t>5.06*7.57*3.11</t>
  </si>
  <si>
    <t>4.30*7.09*2.67</t>
  </si>
  <si>
    <t>4.88*4.90*3.55</t>
  </si>
  <si>
    <t>4.73*6.42*3.23</t>
  </si>
  <si>
    <t>6.07*5.42*3.59</t>
  </si>
  <si>
    <t>6.32*6.45*4.18</t>
  </si>
  <si>
    <t>7.27*9.35*4.91</t>
  </si>
  <si>
    <t>6.58*6.61*4.07</t>
  </si>
  <si>
    <t>6.69*9.84*4.58</t>
  </si>
  <si>
    <t>7.60*7.70*5.36</t>
  </si>
  <si>
    <t>4.89*4.91*3.22</t>
  </si>
  <si>
    <t>4.58*4.59*2.74</t>
  </si>
  <si>
    <t>5.14*5.18*3.23</t>
  </si>
  <si>
    <t>4.61*8.95*2.95</t>
  </si>
  <si>
    <t>5.43*7.82*3.47</t>
  </si>
  <si>
    <t>4.42*4.48*2.81</t>
  </si>
  <si>
    <t>6.31*6.58*4.16</t>
  </si>
  <si>
    <t>8.48*8.53*5.20</t>
  </si>
  <si>
    <t>5.65*5.88*3.64</t>
  </si>
  <si>
    <t>7.46*10.20*4.67</t>
  </si>
  <si>
    <t>5.82*7.93*3.65</t>
  </si>
  <si>
    <t>4.70*4.71*3.44</t>
  </si>
  <si>
    <t>8.39*8.51*5.29</t>
  </si>
  <si>
    <t>6.66*9.26*4.10</t>
  </si>
  <si>
    <t>7.06*10.12*4.67</t>
  </si>
  <si>
    <t>5.89*5.99*4.27</t>
  </si>
  <si>
    <t>5.49*5.57*3.49</t>
  </si>
  <si>
    <t>6.63*6.69*4.06</t>
  </si>
  <si>
    <t>8.69*8.74*5.42</t>
  </si>
  <si>
    <t>4.23*4.25*2.66</t>
  </si>
  <si>
    <t>5.73*7.91*3.54</t>
  </si>
  <si>
    <t>6.61*6.64*4.11</t>
  </si>
  <si>
    <t>6.33*6.33*4.22</t>
  </si>
  <si>
    <t>4.94*6.56*3.31</t>
  </si>
  <si>
    <t>10.84*10.90*6.69</t>
  </si>
  <si>
    <t>5.84*7.96*3.59</t>
  </si>
  <si>
    <t>6.49*9.95*3.94</t>
  </si>
  <si>
    <t>5.97*12.46*3.46</t>
  </si>
  <si>
    <t>5.56*5.59*3.51</t>
  </si>
  <si>
    <t>5.47*8.41*3.39</t>
  </si>
  <si>
    <t>5.91*5.98*3.69</t>
  </si>
  <si>
    <t>5.84*6.69*3.55</t>
  </si>
  <si>
    <t>5.18*6.64*3.42</t>
  </si>
  <si>
    <t>Cushion Brilliant</t>
  </si>
  <si>
    <t>4.99*5.18*3.30</t>
  </si>
  <si>
    <t>5.47*7.91*3.62</t>
  </si>
  <si>
    <t>8.51*12.27*5.13</t>
  </si>
  <si>
    <t>5.35*7.19*3.61</t>
  </si>
  <si>
    <t>6.57*9.09*4.08</t>
  </si>
  <si>
    <t>5.03*5.10*3.15</t>
  </si>
  <si>
    <t>6.52*6.83*4.06</t>
  </si>
  <si>
    <t>5.67*7.84*3.53</t>
  </si>
  <si>
    <t>5.03*7.04*2.87</t>
  </si>
  <si>
    <t>4.38*4.43*2.76</t>
  </si>
  <si>
    <t>8.11*8.15*4.91</t>
  </si>
  <si>
    <t>4.33*4.36*2.61</t>
  </si>
  <si>
    <t>5.45*6.56*3.46</t>
  </si>
  <si>
    <t>8.12*8.14*4.95</t>
  </si>
  <si>
    <t>6.55*6.62*4.47</t>
  </si>
  <si>
    <t>8.44*12.14*5.02</t>
  </si>
  <si>
    <t>4.75*6.68*3.13</t>
  </si>
  <si>
    <t>Moval</t>
  </si>
  <si>
    <t>8.02*8.26*5.29</t>
  </si>
  <si>
    <t>9.69*13.82*6.01</t>
  </si>
  <si>
    <t>5.62*5.84*3.77</t>
  </si>
  <si>
    <t>6.69*9.09*4.06</t>
  </si>
  <si>
    <t>6.06*7.21*4.05</t>
  </si>
  <si>
    <t>4.80*4.83*3.00</t>
  </si>
  <si>
    <t>4.50*4.59*2.86</t>
  </si>
  <si>
    <t>5.63*5.66*3.58</t>
  </si>
  <si>
    <t>4.32*6.72*2.87</t>
  </si>
  <si>
    <t>7.33*11.14*4.61</t>
  </si>
  <si>
    <t>6.38*9.63*4.09</t>
  </si>
  <si>
    <t>6.57*6.61*4.11</t>
  </si>
  <si>
    <t>4.33*4.34*2.68</t>
  </si>
  <si>
    <t>3.77*5.26*2.55</t>
  </si>
  <si>
    <t>6.73*7.05*4.32</t>
  </si>
  <si>
    <t>4.24*4.30*2.67</t>
  </si>
  <si>
    <t>5.03*7.50*3.13</t>
  </si>
  <si>
    <t>4.81*6.85*3.27</t>
  </si>
  <si>
    <t>13.22*20.23*8.19</t>
  </si>
  <si>
    <t>4.47*4.50*2.74</t>
  </si>
  <si>
    <t>5.23*7.87*3.55</t>
  </si>
  <si>
    <t>5.74*9.22*3.39</t>
  </si>
  <si>
    <t>9.02*9.07*5.51</t>
  </si>
  <si>
    <t>6.56*9.17*4.13</t>
  </si>
  <si>
    <t>8.07*8.08*5.01</t>
  </si>
  <si>
    <t>5.36*5.63*3.64</t>
  </si>
  <si>
    <t>7.68*9.23*5.12</t>
  </si>
  <si>
    <t>5.72*5.76*3.35</t>
  </si>
  <si>
    <t>4.87*6.65*3.19</t>
  </si>
  <si>
    <t>5.41*7.11*3.58</t>
  </si>
  <si>
    <t>4.25*4.29*2.64</t>
  </si>
  <si>
    <t>4.51*6.94*2.80</t>
  </si>
  <si>
    <t>5.59*5.66*3.68</t>
  </si>
  <si>
    <t>5.57*5.60*3.50</t>
  </si>
  <si>
    <t>4.16*5.90*2.81</t>
  </si>
  <si>
    <t>4.43*6.82*2.78</t>
  </si>
  <si>
    <t>6.55*6.82*4.42</t>
  </si>
  <si>
    <t>7.76*12.25*4.75</t>
  </si>
  <si>
    <t>7.38*7.43*4.54</t>
  </si>
  <si>
    <t>7.64*7.73*4.78</t>
  </si>
  <si>
    <t>4.51*6.94*2.77</t>
  </si>
  <si>
    <t>6.36*6.41*3.91</t>
  </si>
  <si>
    <t>5.67*7.70*3.82</t>
  </si>
  <si>
    <t>6.60*6.65*4.07</t>
  </si>
  <si>
    <t>7.40*14.01*4.63</t>
  </si>
  <si>
    <t>6.14*6.19*4.02</t>
  </si>
  <si>
    <t>6.44*6.45*3.98</t>
  </si>
  <si>
    <t>6.51*8.86*4.10</t>
  </si>
  <si>
    <t>5.39*7.27*3.62</t>
  </si>
  <si>
    <t>4.34*4.37*2.74</t>
  </si>
  <si>
    <t>4.70*6.64*2.93</t>
  </si>
  <si>
    <t>8.05*7.66*4.43</t>
  </si>
  <si>
    <t>8.08*8.11*5.03</t>
  </si>
  <si>
    <t>6.34*6.38*4.00</t>
  </si>
  <si>
    <t>4.33*4.37*2.71</t>
  </si>
  <si>
    <t>8.35*11.91*5.10</t>
  </si>
  <si>
    <t>7.89*10.11*5.28</t>
  </si>
  <si>
    <t>5.73*7.96*3.56</t>
  </si>
  <si>
    <t>6.51*8.96*4.07</t>
  </si>
  <si>
    <t>5.00*7.86*3.13</t>
  </si>
  <si>
    <t>6.49*9.63*4.08</t>
  </si>
  <si>
    <t>5.18*5.21*3.28</t>
  </si>
  <si>
    <t>9.07*12.71*5.67</t>
  </si>
  <si>
    <t>5.39*7.52*3.65</t>
  </si>
  <si>
    <t>9.36*16.16*5.57</t>
  </si>
  <si>
    <t>5.99*6.04*3.67</t>
  </si>
  <si>
    <t>5.51*7.86*3.54</t>
  </si>
  <si>
    <t>6.83*6.96*4.37</t>
  </si>
  <si>
    <t>8.01*8.31*5.19</t>
  </si>
  <si>
    <t>6.44*6.46*3.97</t>
  </si>
  <si>
    <t>6.48*8.75*4.28</t>
  </si>
  <si>
    <t>5.60*5.66*3.56</t>
  </si>
  <si>
    <t>VVS2</t>
  </si>
  <si>
    <t>7.92*8.04*5.69</t>
  </si>
  <si>
    <t>6.74*9.79*4.39</t>
  </si>
  <si>
    <t>5.63*5.67*3.75</t>
  </si>
  <si>
    <t>6.49*8.96*4.03</t>
  </si>
  <si>
    <t>5.94*8.06*4.07</t>
  </si>
  <si>
    <t>10.98*11.07*6.65</t>
  </si>
  <si>
    <t>5.36*5.39*3.22</t>
  </si>
  <si>
    <t>6.95*6.95*4.76</t>
  </si>
  <si>
    <t>6.56*10.08*4.08</t>
  </si>
  <si>
    <t>11.05*11.17*6.57</t>
  </si>
  <si>
    <t>5.47*5.50*3.36</t>
  </si>
  <si>
    <t>5.36*7.80*3.52</t>
  </si>
  <si>
    <t>6.55*9.04*4.08</t>
  </si>
  <si>
    <t>5.61*9.03*3.30</t>
  </si>
  <si>
    <t>4.22*4.26*2.70</t>
  </si>
  <si>
    <t>5.98*6.86*3.39</t>
  </si>
  <si>
    <t>5.75*5.89*3.88</t>
  </si>
  <si>
    <t>3.94*5.65*2.57</t>
  </si>
  <si>
    <t>4.65*6.95*3.02</t>
  </si>
  <si>
    <t>5.72*7.88*3.51</t>
  </si>
  <si>
    <t>4.34*4.39*2.70</t>
  </si>
  <si>
    <t>9.19*9.27*5.77</t>
  </si>
  <si>
    <t>5.95*8.09*4.03</t>
  </si>
  <si>
    <t>7.21*7.22*4.97</t>
  </si>
  <si>
    <t>6.52*8.85*4.07</t>
  </si>
  <si>
    <t>5.46*7.50*3.64</t>
  </si>
  <si>
    <t>6.74*6.76*4.02</t>
  </si>
  <si>
    <t>4.49*7.01*2.84</t>
  </si>
  <si>
    <t>6.25*6.26*4.17</t>
  </si>
  <si>
    <t>5.88*5.93*3.68</t>
  </si>
  <si>
    <t>7.15*8.23*4.45</t>
  </si>
  <si>
    <t>6.24*6.36*4.01</t>
  </si>
  <si>
    <t>4.88*4.90*2.92</t>
  </si>
  <si>
    <t>4.40*4.43*2.68</t>
  </si>
  <si>
    <t>5.14*5.17*3.21</t>
  </si>
  <si>
    <t>5.91*5.97*3.68</t>
  </si>
  <si>
    <t>8.22*12.78*4.99</t>
  </si>
  <si>
    <t>4.97*5.20*3.17</t>
  </si>
  <si>
    <t>4.34*4.37*2.90</t>
  </si>
  <si>
    <t>5.73*8.01*3.51</t>
  </si>
  <si>
    <t>6.50*6.52*3.92</t>
  </si>
  <si>
    <t>6.26*9.51*3.91</t>
  </si>
  <si>
    <t>7.04*10.76*4.45</t>
  </si>
  <si>
    <t>4.75*6.47*3.21</t>
  </si>
  <si>
    <t>7.52*7.56*5.43</t>
  </si>
  <si>
    <t>6.58*6.61*4.10</t>
  </si>
  <si>
    <t>7.70*7.75*4.78</t>
  </si>
  <si>
    <t>6.49*8.87*4.11</t>
  </si>
  <si>
    <t>7.96*8.40*5.07</t>
  </si>
  <si>
    <t>4.50*6.47*2.73</t>
  </si>
  <si>
    <t>6.54*8.87*4.13</t>
  </si>
  <si>
    <t>5.59*5.61*3.55</t>
  </si>
  <si>
    <t>7.35*7.40*4.59</t>
  </si>
  <si>
    <t>5.61*8.25*3.44</t>
  </si>
  <si>
    <t>4.77*4.79*2.90</t>
  </si>
  <si>
    <t>5.53*7.52*3.48</t>
  </si>
  <si>
    <t>8.42*8.50*5.26</t>
  </si>
  <si>
    <t>5.16*5.18*3.19</t>
  </si>
  <si>
    <t>6.33*6.61*4.20</t>
  </si>
  <si>
    <t>5.18*5.21*3.24</t>
  </si>
  <si>
    <t>4.48*6.96*2.75</t>
  </si>
  <si>
    <t>6.73*6.78*4.59</t>
  </si>
  <si>
    <t>6.60*10.64*3.98</t>
  </si>
  <si>
    <t>4.86*4.89*3.06</t>
  </si>
  <si>
    <t>5.79*7.90*3.61</t>
  </si>
  <si>
    <t>6.04*6.06*3.80</t>
  </si>
  <si>
    <t>4.61*4.64*2.85</t>
  </si>
  <si>
    <t>6.58*9.80*4.01</t>
  </si>
  <si>
    <t>4.68*4.75*2.91</t>
  </si>
  <si>
    <t>4.37*4.40*2.63</t>
  </si>
  <si>
    <t>5.54*7.73*3.40</t>
  </si>
  <si>
    <t>4.65*4.77*3.48</t>
  </si>
  <si>
    <t>7.45*8.65*4.66</t>
  </si>
  <si>
    <t>7.26*9.99*4.45</t>
  </si>
  <si>
    <t>4.63*4.69*2.96</t>
  </si>
  <si>
    <t>4.24*4.27*2.66</t>
  </si>
  <si>
    <t>4.77*6.45*3.22</t>
  </si>
  <si>
    <t>6.90*6.77*3.84</t>
  </si>
  <si>
    <t>4.61*4.63*2.86</t>
  </si>
  <si>
    <t>4.51*7.00*2.73</t>
  </si>
  <si>
    <t>7.09*7.13*4.72</t>
  </si>
  <si>
    <t>10.35*10.43*6.48</t>
  </si>
  <si>
    <t>3.77*5.24*2.50</t>
  </si>
  <si>
    <t>4.69*6.63*3.13</t>
  </si>
  <si>
    <t>3.77*5.20*2.55</t>
  </si>
  <si>
    <t>5.50*5.57*3.52</t>
  </si>
  <si>
    <t>RADIANT</t>
  </si>
  <si>
    <t>7.43*8.53*4.41</t>
  </si>
  <si>
    <t>5.44*7.52*3.70</t>
  </si>
  <si>
    <t>2.50-2.69</t>
  </si>
  <si>
    <t>5.22*5.24*3.15</t>
  </si>
  <si>
    <t>5.92*7.86*3.73</t>
  </si>
  <si>
    <t>5.51*5.77*3.67</t>
  </si>
  <si>
    <t>4.76*4.81*3.50</t>
  </si>
  <si>
    <t>4.93*5.02*3.40</t>
  </si>
  <si>
    <t>4.21*6.12*2.71</t>
  </si>
  <si>
    <t>6.53*6.57*4.05</t>
  </si>
  <si>
    <t>4.25*5.99*2.83</t>
  </si>
  <si>
    <t>7.74*7.89*5.50</t>
  </si>
  <si>
    <t>9.63*9.72*5.92</t>
  </si>
  <si>
    <t>5.26*5.31*3.21</t>
  </si>
  <si>
    <t>6.10*5.27*3.69</t>
  </si>
  <si>
    <t>4.82*4.85*3.49</t>
  </si>
  <si>
    <t>6.27*6.28*4.16</t>
  </si>
  <si>
    <t>7.18*8.32*4.39</t>
  </si>
  <si>
    <t>5.56*5.60*3.52</t>
  </si>
  <si>
    <t>7.99*13.24*4.79</t>
  </si>
  <si>
    <t>7.22*10.15*4.46</t>
  </si>
  <si>
    <t>4.10*5.82*2.80</t>
  </si>
  <si>
    <t>7.78*7.81*4.87</t>
  </si>
  <si>
    <t>7.80*6.64*4.77</t>
  </si>
  <si>
    <t>7.23*10.81*4.42</t>
  </si>
  <si>
    <t>5.23*5.29*3.74</t>
  </si>
  <si>
    <t>5.92*8.40*3.99</t>
  </si>
  <si>
    <t>7.14*10.03*4.51</t>
  </si>
  <si>
    <t>6.22*6.36*4.01</t>
  </si>
  <si>
    <t>5.79*7.82*3.70</t>
  </si>
  <si>
    <t>6.43*6.45*3.99</t>
  </si>
  <si>
    <t>6.00-6.99</t>
  </si>
  <si>
    <t>7.74*7.92*5.39</t>
  </si>
  <si>
    <t>5.75*5.79*3.49</t>
  </si>
  <si>
    <t>5.70*5.72*3.49</t>
  </si>
  <si>
    <t>4.94*5.15*3.15</t>
  </si>
  <si>
    <t>5.24*10.01*3.19</t>
  </si>
  <si>
    <t>6.19*6.23*3.88</t>
  </si>
  <si>
    <t>6.03*6.05*3.81</t>
  </si>
  <si>
    <t>11.11*9.98*6.63</t>
  </si>
  <si>
    <t>5.37*5.58*3.39</t>
  </si>
  <si>
    <t>5.93*8.11*4.06</t>
  </si>
  <si>
    <t>7.14*10.90*4.38</t>
  </si>
  <si>
    <t>6.16*6.37*4.32</t>
  </si>
  <si>
    <t>7.45*7.46*4.78</t>
  </si>
  <si>
    <t>5.81*6.75*3.59</t>
  </si>
  <si>
    <t>5.96*6.01*3.70</t>
  </si>
  <si>
    <t>6.68*6.71*4.07</t>
  </si>
  <si>
    <t>6.46*7.77*4.43</t>
  </si>
  <si>
    <t>6.69*6.85*4.49</t>
  </si>
  <si>
    <t>5.41*5.78*3.58</t>
  </si>
  <si>
    <t>4.53*4.59*3.00</t>
  </si>
  <si>
    <t>6.48*6.50*3.96</t>
  </si>
  <si>
    <t>5.86*8.57*3.88</t>
  </si>
  <si>
    <t>4.21*6.03*2.75</t>
  </si>
  <si>
    <t>6.43*6.52*3.96</t>
  </si>
  <si>
    <t>7.66*10.92*4.71</t>
  </si>
  <si>
    <t>8.38*8.45*5.09</t>
  </si>
  <si>
    <t>7.48*7.51*4.60</t>
  </si>
  <si>
    <t>6.53*7.86*4.38</t>
  </si>
  <si>
    <t>4.40*4.41*2.65</t>
  </si>
  <si>
    <t>9.33*9.36*5.68</t>
  </si>
  <si>
    <t>6.55*9.77*4.10</t>
  </si>
  <si>
    <t>7.20*8.36*4.51</t>
  </si>
  <si>
    <t>4.27*5.92*2.85</t>
  </si>
  <si>
    <t>4.40*9.25*2.69</t>
  </si>
  <si>
    <t>4.32*4.35*2.72</t>
  </si>
  <si>
    <t>5.76*8.09*3.47</t>
  </si>
  <si>
    <t>5.45*7.64*3.66</t>
  </si>
  <si>
    <t>5.95*5.24*3.42</t>
  </si>
  <si>
    <t>7.17*10.72*4.46</t>
  </si>
  <si>
    <t>5.59*8.38*3.56</t>
  </si>
  <si>
    <t>4.90*6.59*3.32</t>
  </si>
  <si>
    <t>9.39*9.43*5.59</t>
  </si>
  <si>
    <t>5.98*7.18*3.99</t>
  </si>
  <si>
    <t>9.70*13.78*5.94</t>
  </si>
  <si>
    <t>4.53*6.88*2.75</t>
  </si>
  <si>
    <t>4.66*4.72*2.91</t>
  </si>
  <si>
    <t>5.40*7.37*3.73</t>
  </si>
  <si>
    <t>4.61*6.39*2.81</t>
  </si>
  <si>
    <t>6.08*6.17*4.45</t>
  </si>
  <si>
    <t>4.31*4.37*3.04</t>
  </si>
  <si>
    <t>4.86*4.89*2.91</t>
  </si>
  <si>
    <t>4.28*4.32*2.65</t>
  </si>
  <si>
    <t>4.53*6.94*2.73</t>
  </si>
  <si>
    <t>4.84*6.69*3.13</t>
  </si>
  <si>
    <t>6.15*5.16*3.62</t>
  </si>
  <si>
    <t>9.15*9.21*5.76</t>
  </si>
  <si>
    <t>6.32*6.36*3.95</t>
  </si>
  <si>
    <t>5.53*7.75*3.73</t>
  </si>
  <si>
    <t>6.69*8.18*4.44</t>
  </si>
  <si>
    <t>0.95-0.99</t>
  </si>
  <si>
    <t>6.56*6.59*4.01</t>
  </si>
  <si>
    <t>4.64*6.78*3.18</t>
  </si>
  <si>
    <t>5.98*8.13*4.08</t>
  </si>
  <si>
    <t>4.68*6.55*3.15</t>
  </si>
  <si>
    <t>4.24*5.75*2.90</t>
  </si>
  <si>
    <t>3.96*5.62*2.62</t>
  </si>
  <si>
    <t>4.38*4.41*2.68</t>
  </si>
  <si>
    <t>5.66*5.94*3.60</t>
  </si>
  <si>
    <t>6.66*6.69*4.14</t>
  </si>
  <si>
    <t>5.51*8.59*3.33</t>
  </si>
  <si>
    <t>6.57*8.91*4.12</t>
  </si>
  <si>
    <t>5.47*8.41*3.42</t>
  </si>
  <si>
    <t>4.94*6.66*3.38</t>
  </si>
  <si>
    <t>12.99*18.82*7.83</t>
  </si>
  <si>
    <t>5.10*6.74*3.31</t>
  </si>
  <si>
    <t>7.44*7.49*4.36</t>
  </si>
  <si>
    <t>6.49*6.53*3.92</t>
  </si>
  <si>
    <t>4.77*6.84*3.05</t>
  </si>
  <si>
    <t>6.51*8.92*4.04</t>
  </si>
  <si>
    <t>5.62*8.32*3.60</t>
  </si>
  <si>
    <t>8.68*8.72*5.41</t>
  </si>
  <si>
    <t>5.78*7.88*3.63</t>
  </si>
  <si>
    <t>6.53*6.56*4.07</t>
  </si>
  <si>
    <t>5.40*7.99*3.46</t>
  </si>
  <si>
    <t>4.50*6.89*2.73</t>
  </si>
  <si>
    <t>6.66*9.18*4.05</t>
  </si>
  <si>
    <t>5.45*5.47*3.40</t>
  </si>
  <si>
    <t>6.21*8.40*4.00</t>
  </si>
  <si>
    <t>5.46*7.47*3.72</t>
  </si>
  <si>
    <t>7.73*12.46*4.81</t>
  </si>
  <si>
    <t>8.02*8.34*5.12</t>
  </si>
  <si>
    <t>6.33*8.61*3.84</t>
  </si>
  <si>
    <t>6.13*6.16*4.42</t>
  </si>
  <si>
    <t>11.04*24.30*6.30</t>
  </si>
  <si>
    <t>5.79*5.85*3.70</t>
  </si>
  <si>
    <t>8.12*7.02*4.70</t>
  </si>
  <si>
    <t>4.36*4.39*3.11</t>
  </si>
  <si>
    <t>4.34*4.36*2.73</t>
  </si>
  <si>
    <t>6.72*6.77*4.20</t>
  </si>
  <si>
    <t>7.20*10.13*4.44</t>
  </si>
  <si>
    <t>8.29*8.32*5.01</t>
  </si>
  <si>
    <t>6.49*8.94*4.04</t>
  </si>
  <si>
    <t>5.64*7.91*3.73</t>
  </si>
  <si>
    <t>8.24*11.33*5.10</t>
  </si>
  <si>
    <t>7.33*7.38*4.50</t>
  </si>
  <si>
    <t>4.33*4.38*2.62</t>
  </si>
  <si>
    <t>6.01*7.13*3.97</t>
  </si>
  <si>
    <t>8.16*8.20*4.97</t>
  </si>
  <si>
    <t>5.68*7.89*3.47</t>
  </si>
  <si>
    <t>5.26*7.45*3.59</t>
  </si>
  <si>
    <t>5.30*7.79*3.43</t>
  </si>
  <si>
    <t>3.68*5.64*2.33</t>
  </si>
  <si>
    <t>6.88*6.15*4.08</t>
  </si>
  <si>
    <t>6.88*7.00*4.50</t>
  </si>
  <si>
    <t>4.73*4.76*2.95</t>
  </si>
  <si>
    <t>6.60*6.64*4.04</t>
  </si>
  <si>
    <t>6.49*6.53*3.95</t>
  </si>
  <si>
    <t>6.47*6.53*3.92</t>
  </si>
  <si>
    <t>6.52*8.99*4.05</t>
  </si>
  <si>
    <t>4.85*4.90*2.99</t>
  </si>
  <si>
    <t>5.29*7.45*3.55</t>
  </si>
  <si>
    <t>9.15*9.22*5.62</t>
  </si>
  <si>
    <t>6.23*6.36*3.96</t>
  </si>
  <si>
    <t>5.31*5.67*3.37</t>
  </si>
  <si>
    <t>5.67*7.76*3.58</t>
  </si>
  <si>
    <t>6.61*9.13*4.09</t>
  </si>
  <si>
    <t>5.60*7.73*3.53</t>
  </si>
  <si>
    <t>7.78*10.31*5.16</t>
  </si>
  <si>
    <t>4.39*4.41*2.71</t>
  </si>
  <si>
    <t>6.03*8.25*4.04</t>
  </si>
  <si>
    <t>9.64*10.06*6.17</t>
  </si>
  <si>
    <t>11.71*17.23*7.51</t>
  </si>
  <si>
    <t>5.52*7.60*3.56</t>
  </si>
  <si>
    <t>4.52*7.42*2.57</t>
  </si>
  <si>
    <t>6.57*6.60*4.08</t>
  </si>
  <si>
    <t>8.06*8.10*4.99</t>
  </si>
  <si>
    <t>4.80*4.88*3.41</t>
  </si>
  <si>
    <t>6.84*8.76*4.37</t>
  </si>
  <si>
    <t>4.17*6.00*2.78</t>
  </si>
  <si>
    <t>6.88*6.34*4.15</t>
  </si>
  <si>
    <t>4.61*9.56*3.01</t>
  </si>
  <si>
    <t>6.45*6.47*3.95</t>
  </si>
  <si>
    <t>6.79*6.81*4.57</t>
  </si>
  <si>
    <t>8.22*8.61*5.28</t>
  </si>
  <si>
    <t>4.55*6.33*2.85</t>
  </si>
  <si>
    <t>5.15*5.18*3.17</t>
  </si>
  <si>
    <t>6.56*8.93*4.06</t>
  </si>
  <si>
    <t>6.35*6.46*4.38</t>
  </si>
  <si>
    <t>6.49*8.82*4.10</t>
  </si>
  <si>
    <t>4.35*9.00*2.72</t>
  </si>
  <si>
    <t>9.20*9.28*5.73</t>
  </si>
  <si>
    <t>4.34*4.38*2.68</t>
  </si>
  <si>
    <t>8.96*9.11*6.05</t>
  </si>
  <si>
    <t>4.90*7.23*3.28</t>
  </si>
  <si>
    <t>7.91*7.95*4.89</t>
  </si>
  <si>
    <t>6.19*5.36*3.67</t>
  </si>
  <si>
    <t>5.69*5.78*3.80</t>
  </si>
  <si>
    <t>6.81*8.24*4.45</t>
  </si>
  <si>
    <t>10.29*10.33*6.20</t>
  </si>
  <si>
    <t>5.63*8.60*3.49</t>
  </si>
  <si>
    <t>4.60*6.72*2.98</t>
  </si>
  <si>
    <t>5.66*5.69*3.55</t>
  </si>
  <si>
    <t>5.69*6.85*3.82</t>
  </si>
  <si>
    <t>6.98*9.99*4.41</t>
  </si>
  <si>
    <t>5.61*5.87*3.70</t>
  </si>
  <si>
    <t>5.61*9.01*3.50</t>
  </si>
  <si>
    <t>6.20*6.39*3.94</t>
  </si>
  <si>
    <t>6.41*6.45*4.02</t>
  </si>
  <si>
    <t>6.56*8.91*4.02</t>
  </si>
  <si>
    <t>4.60*6.34*2.83</t>
  </si>
  <si>
    <t>3.92*8.29*2.34</t>
  </si>
  <si>
    <t>6.47*6.50*3.98</t>
  </si>
  <si>
    <t>9.17*9.23*5.70</t>
  </si>
  <si>
    <t>9.40*9.48*5.78</t>
  </si>
  <si>
    <t>5.64*7.85*3.42</t>
  </si>
  <si>
    <t>4.81*6.85*3.19</t>
  </si>
  <si>
    <t>7.92*12.87*4.85</t>
  </si>
  <si>
    <t>4.42*4.46*2.75</t>
  </si>
  <si>
    <t>7.59*7.66*4.73</t>
  </si>
  <si>
    <t>5.97*7.26*4.10</t>
  </si>
  <si>
    <t>4.33*4.35*2.71</t>
  </si>
  <si>
    <t>7.32*7.48*4.87</t>
  </si>
  <si>
    <t>9.06*12.40*5.62</t>
  </si>
  <si>
    <t>6.62*6.65*4.11</t>
  </si>
  <si>
    <t>5.99*8.19*4.07</t>
  </si>
  <si>
    <t>4.46*6.09*2.98</t>
  </si>
  <si>
    <t>5.70*7.93*3.56</t>
  </si>
  <si>
    <t>6.69*6.73*4.04</t>
  </si>
  <si>
    <t>4.56*6.40*3.06</t>
  </si>
  <si>
    <t>8.65*13.32*5.31</t>
  </si>
  <si>
    <t>6.58*9.07*4.11</t>
  </si>
  <si>
    <t>5.67*5.86*3.70</t>
  </si>
  <si>
    <t>9.66*14.82*5.99</t>
  </si>
  <si>
    <t>5.03*7.75*3.09</t>
  </si>
  <si>
    <t>7.75*8.95*4.50</t>
  </si>
  <si>
    <t>6.34*8.77*4.28</t>
  </si>
  <si>
    <t>5.71*5.73*3.60</t>
  </si>
  <si>
    <t>6.93*5.89*4.12</t>
  </si>
  <si>
    <t>4.37*4.44*2.89</t>
  </si>
  <si>
    <t>7.21*10.30*4.39</t>
  </si>
  <si>
    <t>6.49*8.99*4.04</t>
  </si>
  <si>
    <t>5.36*5.45*3.78</t>
  </si>
  <si>
    <t>8.22*11.21*5.18</t>
  </si>
  <si>
    <t>6.16*9.10*3.84</t>
  </si>
  <si>
    <t>5.62*7.66*3.85</t>
  </si>
  <si>
    <t>4.28*4.29*2.63</t>
  </si>
  <si>
    <t>4.40*6.18*2.86</t>
  </si>
  <si>
    <t>7.16*7.31*4.62</t>
  </si>
  <si>
    <t>5.45*5.51*3.43</t>
  </si>
  <si>
    <t>8.87*12.73*5.32</t>
  </si>
  <si>
    <t>6.10*8.42*3.66</t>
  </si>
  <si>
    <t>7.29*8.43*4.57</t>
  </si>
  <si>
    <t>4.34*4.39*2.69</t>
  </si>
  <si>
    <t>8.19*11.27*5.09</t>
  </si>
  <si>
    <t>7.46*7.49*4.67</t>
  </si>
  <si>
    <t>5.49*5.52*3.42</t>
  </si>
  <si>
    <t>5.62*5.74*3.78</t>
  </si>
  <si>
    <t>5.42*5.68*3.42</t>
  </si>
  <si>
    <t>9.06*9.09*5.67</t>
  </si>
  <si>
    <t>8.65*8.80*5.64</t>
  </si>
  <si>
    <t>6.65*6.67*4.00</t>
  </si>
  <si>
    <t>4.71*6.49*3.16</t>
  </si>
  <si>
    <t>6.04*6.07*4.42</t>
  </si>
  <si>
    <t>11.08*10.12*6.23</t>
  </si>
  <si>
    <t>4.31*4.35*2.72</t>
  </si>
  <si>
    <t>4.72*4.77*2.96</t>
  </si>
  <si>
    <t>6.50*8.98*3.99</t>
  </si>
  <si>
    <t>4.51*6.84*2.97</t>
  </si>
  <si>
    <t>8.63*8.65*5.64</t>
  </si>
  <si>
    <t>6.69*6.70*4.02</t>
  </si>
  <si>
    <t>5.94*5.96*3.66</t>
  </si>
  <si>
    <t>5.41*5.63*3.68</t>
  </si>
  <si>
    <t>6.05*9.23*3.70</t>
  </si>
  <si>
    <t>6.31*6.43*4.10</t>
  </si>
  <si>
    <t>5.17*5.20*3.19</t>
  </si>
  <si>
    <t>4.24*4.27*2.67</t>
  </si>
  <si>
    <t>4.97*5.27*3.09</t>
  </si>
  <si>
    <t>5.81*7.95*3.61</t>
  </si>
  <si>
    <t>5.70*7.85*3.56</t>
  </si>
  <si>
    <t>4.59*6.39*2.80</t>
  </si>
  <si>
    <t>6.70*6.73*4.12</t>
  </si>
  <si>
    <t>4.25*4.27*2.64</t>
  </si>
  <si>
    <t>6.25*6.26*3.88</t>
  </si>
  <si>
    <t>4.43*4.45*2.68</t>
  </si>
  <si>
    <t>9.21*9.28*5.77</t>
  </si>
  <si>
    <t>Lab Shape</t>
  </si>
  <si>
    <t>7.61*7.72*5.52</t>
  </si>
  <si>
    <t>6.33*7.60*4.28</t>
  </si>
  <si>
    <t>4.69*4.76*3.43</t>
  </si>
  <si>
    <t>4.56*9.17*2.90</t>
  </si>
  <si>
    <t>5.83*8.03*3.57</t>
  </si>
  <si>
    <t>4.83*6.70*3.11</t>
  </si>
  <si>
    <t>7.21*10.07*4.40</t>
  </si>
  <si>
    <t>11.08*11.11*6.66</t>
  </si>
  <si>
    <t>6.14*7.34*4.02</t>
  </si>
  <si>
    <t>4.74*6.46*3.22</t>
  </si>
  <si>
    <t>4.79*6.72*3.17</t>
  </si>
  <si>
    <t>8.03*12.05*5.14</t>
  </si>
  <si>
    <t>7.19*6.44*4.04</t>
  </si>
  <si>
    <t>8.45*8.56*5.44</t>
  </si>
  <si>
    <t>4.96*5.22*3.16</t>
  </si>
  <si>
    <t>8.09*9.70*5.44</t>
  </si>
  <si>
    <t>4.76*6.46*3.25</t>
  </si>
  <si>
    <t>7.29*7.48*4.91</t>
  </si>
  <si>
    <t>5.98*6.05*4.00</t>
  </si>
  <si>
    <t>5.92*7.46*3.99</t>
  </si>
  <si>
    <t>5.74*7.96*3.57</t>
  </si>
  <si>
    <t>7.40*7.42*4.56</t>
  </si>
  <si>
    <t>6.61*6.65*4.00</t>
  </si>
  <si>
    <t>4.92*6.97*3.31</t>
  </si>
  <si>
    <t>5.36*7.53*3.67</t>
  </si>
  <si>
    <t>6.27*6.31*4.08</t>
  </si>
  <si>
    <t>7.05*7.08*4.73</t>
  </si>
  <si>
    <t>5.57*7.73*3.59</t>
  </si>
  <si>
    <t>BLUE1</t>
  </si>
  <si>
    <t>5.46*5.74*3.64</t>
  </si>
  <si>
    <t>4.76*6.59*3.22</t>
  </si>
  <si>
    <t>4.68*6.77*3.14</t>
  </si>
  <si>
    <t>8.55*12.61*5.82</t>
  </si>
  <si>
    <t>4.38*4.40*2.70</t>
  </si>
  <si>
    <t>4.56*6.31*2.86</t>
  </si>
  <si>
    <t>3.68*5.39*2.46</t>
  </si>
  <si>
    <t>4.51*4.52*2.76</t>
  </si>
  <si>
    <t>4.84*6.70*3.29</t>
  </si>
  <si>
    <t>9.44*9.90*5.96</t>
  </si>
  <si>
    <t>4.80*4.83*2.92</t>
  </si>
  <si>
    <t>4.30*4.30*3.13</t>
  </si>
  <si>
    <t>8.58*8.69*5.63</t>
  </si>
  <si>
    <t>7.60*7.65*4.65</t>
  </si>
  <si>
    <t>8.74*8.81*5.47</t>
  </si>
  <si>
    <t>7.72*11.78*4.82</t>
  </si>
  <si>
    <t>4.70*4.84*3.50</t>
  </si>
  <si>
    <t>5.60*5.65*3.54</t>
  </si>
  <si>
    <t>5.52*7.62*3.70</t>
  </si>
  <si>
    <t>5.76*7.92*3.60</t>
  </si>
  <si>
    <t>4.36*4.41*2.68</t>
  </si>
  <si>
    <t>7.39*7.44*4.38</t>
  </si>
  <si>
    <t>5.01*6.80*3.24</t>
  </si>
  <si>
    <t>5.41*5.45*3.28</t>
  </si>
  <si>
    <t>6.45*9.79*3.90</t>
  </si>
  <si>
    <t>4.98*6.70*3.35</t>
  </si>
  <si>
    <t>4.24*4.26*2.66</t>
  </si>
  <si>
    <t>5.24*6.63*3.51</t>
  </si>
  <si>
    <t>7.23*10.02*4.45</t>
  </si>
  <si>
    <t>6.08*8.36*3.72</t>
  </si>
  <si>
    <t>6.63*8.55*4.40</t>
  </si>
  <si>
    <t>8.24*8.62*5.27</t>
  </si>
  <si>
    <t>4.58*6.28*2.82</t>
  </si>
  <si>
    <t>7.09*9.96*4.78</t>
  </si>
  <si>
    <t>6.41*6.43*3.90</t>
  </si>
  <si>
    <t>5.16*7.12*3.12</t>
  </si>
  <si>
    <t>4.73*6.49*3.24</t>
  </si>
  <si>
    <t>4.09*5.92*2.69</t>
  </si>
  <si>
    <t>5.04*7.09*3.37</t>
  </si>
  <si>
    <t>5.67*5.69*3.60</t>
  </si>
  <si>
    <t>5.80*5.87*4.09</t>
  </si>
  <si>
    <t>4.25*4.29*2.65</t>
  </si>
  <si>
    <t>4.76*4.78*2.91</t>
  </si>
  <si>
    <t>16.28*14.60*9.54</t>
  </si>
  <si>
    <t>6.00*11.48*3.77</t>
  </si>
  <si>
    <t>5.68*5.72*3.54</t>
  </si>
  <si>
    <t>6.49*9.96*4.00</t>
  </si>
  <si>
    <t>4.78*6.14*3.25</t>
  </si>
  <si>
    <t>7.02*6.26*4.14</t>
  </si>
  <si>
    <t>6.24*6.71*4.11</t>
  </si>
  <si>
    <t>6.98*10.20*4.61</t>
  </si>
  <si>
    <t>5.63*8.58*3.41</t>
  </si>
  <si>
    <t>3.79*5.31*2.56</t>
  </si>
  <si>
    <t>6.93*7.03*4.48</t>
  </si>
  <si>
    <t>5.47*7.46*3.71</t>
  </si>
  <si>
    <t>6.87*7.00*4.50</t>
  </si>
  <si>
    <t>5.52*5.55*3.47</t>
  </si>
  <si>
    <t>4.66*4.68*2.85</t>
  </si>
  <si>
    <t>6.66*9.09*4.04</t>
  </si>
  <si>
    <t>6.74*9.90*4.54</t>
  </si>
  <si>
    <t>6.53*7.86*4.25</t>
  </si>
  <si>
    <t>5.01*5.22*3.18</t>
  </si>
  <si>
    <t>5.39*5.47*3.56</t>
  </si>
  <si>
    <t>5.53*6.76*3.65</t>
  </si>
  <si>
    <t>4.77*4.79*2.87</t>
  </si>
  <si>
    <t>5.79*6.09*3.68</t>
  </si>
  <si>
    <t>5.13*8.11*3.28</t>
  </si>
  <si>
    <t>6.14*6.37*4.43</t>
  </si>
  <si>
    <t>6.29*6.41*4.52</t>
  </si>
  <si>
    <t>6.59*12.14*4.27</t>
  </si>
  <si>
    <t>5.73*8.64*3.41</t>
  </si>
  <si>
    <t>5.04*7.78*3.05</t>
  </si>
  <si>
    <t>5.25*6.37*3.50</t>
  </si>
  <si>
    <t>6.35*6.44*4.10</t>
  </si>
  <si>
    <t>7.33*7.36*4.50</t>
  </si>
  <si>
    <t>7.36*7.42*4.56</t>
  </si>
  <si>
    <t>7.12*7.16*4.34</t>
  </si>
  <si>
    <t>11.87*16.85*8.01</t>
  </si>
  <si>
    <t>5.58*7.16*3.79</t>
  </si>
  <si>
    <t>5.56*5.86*3.56</t>
  </si>
  <si>
    <t>6.60*6.65*4.02</t>
  </si>
  <si>
    <t>6.64*6.70*4.08</t>
  </si>
  <si>
    <t>5.72*8.87*3.52</t>
  </si>
  <si>
    <t>4.21*5.87*2.83</t>
  </si>
  <si>
    <t>5.07*7.91*3.17</t>
  </si>
  <si>
    <t>6.01*8.16*4.00</t>
  </si>
  <si>
    <t>11.05*9.94*6.34</t>
  </si>
  <si>
    <t>4.40*5.98*2.98</t>
  </si>
  <si>
    <t>9.25*9.55*5.92</t>
  </si>
  <si>
    <t>4.77*6.68*3.16</t>
  </si>
  <si>
    <t>10.86*9.77*6.53</t>
  </si>
  <si>
    <t>5.77*5.80*3.46</t>
  </si>
  <si>
    <t>7.11*6.92*3.71</t>
  </si>
  <si>
    <t>10.17*14.82*6.59</t>
  </si>
  <si>
    <t>4.38*4.39*2.62</t>
  </si>
  <si>
    <t>6.83*6.89*4.12</t>
  </si>
  <si>
    <t>5.53*8.67*3.44</t>
  </si>
  <si>
    <t>4.72*4.75*2.92</t>
  </si>
  <si>
    <t>4.78*6.63*3.23</t>
  </si>
  <si>
    <t>4.34*4.35*3.06</t>
  </si>
  <si>
    <t>5.92*6.97*3.64</t>
  </si>
  <si>
    <t>4.52*6.66*3.00</t>
  </si>
  <si>
    <t>4.34*6.36*2.91</t>
  </si>
  <si>
    <t>4.78*4.80*2.96</t>
  </si>
  <si>
    <t>8.17*11.33*5.11</t>
  </si>
  <si>
    <t>5.01*7.07*3.12</t>
  </si>
  <si>
    <t>4.62*7.10*2.82</t>
  </si>
  <si>
    <t>6.40*6.44*3.95</t>
  </si>
  <si>
    <t>4.23*5.96*2.78</t>
  </si>
  <si>
    <t>8.05*7.08*4.64</t>
  </si>
  <si>
    <t>4.74*6.16*3.06</t>
  </si>
  <si>
    <t>5.80*9.10*3.54</t>
  </si>
  <si>
    <t>3.85*5.48*2.52</t>
  </si>
  <si>
    <t>7.13*9.53*4.79</t>
  </si>
  <si>
    <t>5.73*7.94*3.55</t>
  </si>
  <si>
    <t>3.77*5.30*2.48</t>
  </si>
  <si>
    <t>4.87*4.89*2.90</t>
  </si>
  <si>
    <t>5.53*5.66*3.72</t>
  </si>
  <si>
    <t>LIGHT BROWNISH PINK</t>
  </si>
  <si>
    <t>6.46*8.81*4.07</t>
  </si>
  <si>
    <t>4.35*4.38*3.04</t>
  </si>
  <si>
    <t>6.63*6.79*4.17</t>
  </si>
  <si>
    <t>6.62*6.64*3.98</t>
  </si>
  <si>
    <t>7.90*6.77*4.58</t>
  </si>
  <si>
    <t>6.49*9.91*3.97</t>
  </si>
  <si>
    <t>5.14*6.74*3.27</t>
  </si>
  <si>
    <t>4.47*4.50*2.79</t>
  </si>
  <si>
    <t>6.18*5.59*3.66</t>
  </si>
  <si>
    <t>5.39*5.46*3.40</t>
  </si>
  <si>
    <t>4.40*4.50*2.98</t>
  </si>
  <si>
    <t>5.78*5.81*3.41</t>
  </si>
  <si>
    <t>6.53*6.58*4.06</t>
  </si>
  <si>
    <t>4.50*6.95*2.74</t>
  </si>
  <si>
    <t>10.03*14.56*6.02</t>
  </si>
  <si>
    <t>6.67*8.13*4.40</t>
  </si>
  <si>
    <t>5.97*9.26*3.69</t>
  </si>
  <si>
    <t>5.46*8.49*3.37</t>
  </si>
  <si>
    <t>4.77*6.81*3.30</t>
  </si>
  <si>
    <t>4.24*4.30*2.72</t>
  </si>
  <si>
    <t>9.32*9.41*5.66</t>
  </si>
  <si>
    <t>5.61*5.64*3.56</t>
  </si>
  <si>
    <t>7.21*7.26*4.42</t>
  </si>
  <si>
    <t>11.95*10.28*7.02</t>
  </si>
  <si>
    <t>5.44*5.61*3.83</t>
  </si>
  <si>
    <t>8.01*8.60*5.19</t>
  </si>
  <si>
    <t>5.70*5.88*3.63</t>
  </si>
  <si>
    <t>10.77*10.86*6.76</t>
  </si>
  <si>
    <t>4.75*6.74*3.15</t>
  </si>
  <si>
    <t>4.60*7.05*2.82</t>
  </si>
  <si>
    <t>9.78*13.70*7.02</t>
  </si>
  <si>
    <t>9.30*9.33*5.64</t>
  </si>
  <si>
    <t>7.17*10.02*4.40</t>
  </si>
  <si>
    <t>6.55*6.57*4.07</t>
  </si>
  <si>
    <t>7.63*7.69*4.76</t>
  </si>
  <si>
    <t>4.32*4.36*2.67</t>
  </si>
  <si>
    <t>5.86*8.00*3.68</t>
  </si>
  <si>
    <t>4.18*5.69*2.83</t>
  </si>
  <si>
    <t>6.88*7.03*4.93</t>
  </si>
  <si>
    <t>8.21*8.25*5.18</t>
  </si>
  <si>
    <t>6.58*8.94*4.14</t>
  </si>
  <si>
    <t>4.47*4.51*2.70</t>
  </si>
  <si>
    <t>4.95*6.82*3.10</t>
  </si>
  <si>
    <t>7.88*7.96*5.65</t>
  </si>
  <si>
    <t>6.62*6.65*4.04</t>
  </si>
  <si>
    <t>6.33*6.38*4.03</t>
  </si>
  <si>
    <t>6.33*9.10*3.79</t>
  </si>
  <si>
    <t>5.88*8.17*3.61</t>
  </si>
  <si>
    <t>5.27*5.40*3.58</t>
  </si>
  <si>
    <t>8.38*12.90*5.13</t>
  </si>
  <si>
    <t>5.45*8.38*3.41</t>
  </si>
  <si>
    <t>4.47*6.26*2.80</t>
  </si>
  <si>
    <t>5.93*8.09*4.06</t>
  </si>
  <si>
    <t>7.80*7.84*5.12</t>
  </si>
  <si>
    <t>4.55*4.58*3.16</t>
  </si>
  <si>
    <t>5.69*5.98*3.62</t>
  </si>
  <si>
    <t>4.40*4.43*2.79</t>
  </si>
  <si>
    <t>4.86*6.77*3.54</t>
  </si>
  <si>
    <t>5.65*5.69*3.55</t>
  </si>
  <si>
    <t>4.13*5.30*2.79</t>
  </si>
  <si>
    <t>4.42*4.45*2.67</t>
  </si>
  <si>
    <t>7.74*10.65*4.83</t>
  </si>
  <si>
    <t>5.60*5.63*3.56</t>
  </si>
  <si>
    <t>4.79*5.11*3.30</t>
  </si>
  <si>
    <t>4.69*6.47*2.90</t>
  </si>
  <si>
    <t>4.65*7.00*2.96</t>
  </si>
  <si>
    <t>6.58*8.95*3.96</t>
  </si>
  <si>
    <t>5.19*7.06*3.12</t>
  </si>
  <si>
    <t>5.91*8.21*4.01</t>
  </si>
  <si>
    <t>5.39*8.27*3.38</t>
  </si>
  <si>
    <t>6.04*6.22*4.45</t>
  </si>
  <si>
    <t>5.86*7.98*3.55</t>
  </si>
  <si>
    <t>5.46*7.52*3.65</t>
  </si>
  <si>
    <t>7.90*7.96*4.94</t>
  </si>
  <si>
    <t>4.80*6.84*3.10</t>
  </si>
  <si>
    <t>6.90*7.05*4.33</t>
  </si>
  <si>
    <t>5.44*7.62*3.62</t>
  </si>
  <si>
    <t>5.66*5.70*3.58</t>
  </si>
  <si>
    <t>10.89*9.79*6.39</t>
  </si>
  <si>
    <t>P</t>
  </si>
  <si>
    <t>6.22*9.09*4.10</t>
  </si>
  <si>
    <t>4.66*7.33*3.10</t>
  </si>
  <si>
    <t>6.55*8.37*4.40</t>
  </si>
  <si>
    <t>6.65*6.68*4.14</t>
  </si>
  <si>
    <t>9.09*9.14*5.73</t>
  </si>
  <si>
    <t>5.67*5.71*3.40</t>
  </si>
  <si>
    <t>7.87*11.62*4.78</t>
  </si>
  <si>
    <t>7.21*11.03*4.32</t>
  </si>
  <si>
    <t>5.05*8.19*3.03</t>
  </si>
  <si>
    <t>5.56*5.58*3.35</t>
  </si>
  <si>
    <t>6.24*5.49*3.62</t>
  </si>
  <si>
    <t>5.89*5.91*3.96</t>
  </si>
  <si>
    <t>5.95*8.06*4.07</t>
  </si>
  <si>
    <t>4.60*7.22*3.09</t>
  </si>
  <si>
    <t>4.59*8.82*2.88</t>
  </si>
  <si>
    <t>8.36*8.39*5.06</t>
  </si>
  <si>
    <t>5.56*10.57*3.50</t>
  </si>
  <si>
    <t>7.75*7.93*5.23</t>
  </si>
  <si>
    <t>4.39*4.43*2.71</t>
  </si>
  <si>
    <t>8.28*12.68*5.16</t>
  </si>
  <si>
    <t>6.56*6.60*4.08</t>
  </si>
  <si>
    <t>5.71*7.86*3.59</t>
  </si>
  <si>
    <t>4.69*6.87*3.12</t>
  </si>
  <si>
    <t>4.64*6.30*3.26</t>
  </si>
  <si>
    <t>5.61*8.34*3.48</t>
  </si>
  <si>
    <t>4.33*4.36*2.71</t>
  </si>
  <si>
    <t>6.48*6.52*3.92</t>
  </si>
  <si>
    <t>3.00-3.29</t>
  </si>
  <si>
    <t>5.06*6.65*3.41</t>
  </si>
  <si>
    <t>4.80*5.04*3.12</t>
  </si>
  <si>
    <t>5.22*5.26*3.27</t>
  </si>
  <si>
    <t>4.48*4.57*2.84</t>
  </si>
  <si>
    <t>5.72*6.01*3.65</t>
  </si>
  <si>
    <t>9.43*9.48*5.86</t>
  </si>
  <si>
    <t>7.78*7.81*4.88</t>
  </si>
  <si>
    <t>5.14*5.17*3.19</t>
  </si>
  <si>
    <t>5.67*8.48*3.56</t>
  </si>
  <si>
    <t>4.36*4.45*2.89</t>
  </si>
  <si>
    <t>6.49*6.52*3.87</t>
  </si>
  <si>
    <t>6.79*9.37*4.60</t>
  </si>
  <si>
    <t>4.39*4.42*2.72</t>
  </si>
  <si>
    <t>4.72*6.68*3.12</t>
  </si>
  <si>
    <t>8.62*12.37*5.23</t>
  </si>
  <si>
    <t>6.35*8.73*3.96</t>
  </si>
  <si>
    <t>5.43*7.38*3.69</t>
  </si>
  <si>
    <t>6.33*8.55*4.12</t>
  </si>
  <si>
    <t>4.63*6.42*2.99</t>
  </si>
  <si>
    <t>7.38*7.40*4.60</t>
  </si>
  <si>
    <t>4.51*6.96*2.74</t>
  </si>
  <si>
    <t>5.78*7.41*3.73</t>
  </si>
  <si>
    <t>4.36*4.39*2.70</t>
  </si>
  <si>
    <t>6.02*6.06*3.81</t>
  </si>
  <si>
    <t>4.74*4.76*2.98</t>
  </si>
  <si>
    <t>5.55*5.59*3.47</t>
  </si>
  <si>
    <t>4.25*4.28*2.68</t>
  </si>
  <si>
    <t>8.94*13.66*5.50</t>
  </si>
  <si>
    <t>9.62*13.86*5.86</t>
  </si>
  <si>
    <t>4.46*6.79*2.74</t>
  </si>
  <si>
    <t>5.37*7.69*3.61</t>
  </si>
  <si>
    <t>5.75*5.79*3.52</t>
  </si>
  <si>
    <t>5.76*5.89*3.76</t>
  </si>
  <si>
    <t>8.52*8.69*5.58</t>
  </si>
  <si>
    <t>7.97*7.12*4.73</t>
  </si>
  <si>
    <t>4.82*4.84*2.96</t>
  </si>
  <si>
    <t>4.36*4.39*2.77</t>
  </si>
  <si>
    <t>5.53*7.86*3.42</t>
  </si>
  <si>
    <t>6.61*6.65*4.06</t>
  </si>
  <si>
    <t>5.58*5.61*3.55</t>
  </si>
  <si>
    <t>7.53*7.57*4.50</t>
  </si>
  <si>
    <t>6.10*6.22*4.37</t>
  </si>
  <si>
    <t>6.21*5.59*3.53</t>
  </si>
  <si>
    <t>4.40*4.45*2.65</t>
  </si>
  <si>
    <t>7.16*10.74*4.27</t>
  </si>
  <si>
    <t>5.98*7.32*4.03</t>
  </si>
  <si>
    <t>7.22*11.02*4.38</t>
  </si>
  <si>
    <t>4.72*6.58*3.18</t>
  </si>
  <si>
    <t>5.08*6.71*3.30</t>
  </si>
  <si>
    <t>6.49*8.85*4.07</t>
  </si>
  <si>
    <t>5.52*5.72*3.65</t>
  </si>
  <si>
    <t>6.87*9.29*4.57</t>
  </si>
  <si>
    <t>6.57*9.00*4.11</t>
  </si>
  <si>
    <t>5.73*5.79*3.35</t>
  </si>
  <si>
    <t>5.69*5.72*3.44</t>
  </si>
  <si>
    <t>5.64*5.67*3.55</t>
  </si>
  <si>
    <t>4.40*4.42*2.71</t>
  </si>
  <si>
    <t>7.67*7.71*4.54</t>
  </si>
  <si>
    <t>9.52*14.87*5.86</t>
  </si>
  <si>
    <t>6.63*12.57*4.15</t>
  </si>
  <si>
    <t>8.03*13.04*4.93</t>
  </si>
  <si>
    <t>Rap.($)</t>
  </si>
  <si>
    <t>4.59*4.78*3.43</t>
  </si>
  <si>
    <t>4.83*4.88*3.01</t>
  </si>
  <si>
    <t>6.65*6.66*4.08</t>
  </si>
  <si>
    <t>9.65*13.49*6.02</t>
  </si>
  <si>
    <t>7.27*7.33*4.46</t>
  </si>
  <si>
    <t>9.19*18.68*5.57</t>
  </si>
  <si>
    <t>4.46*4.49*2.78</t>
  </si>
  <si>
    <t>4.60*6.40*2.78</t>
  </si>
  <si>
    <t>6.93*7.26*4.70</t>
  </si>
  <si>
    <t>5.27*5.46*3.52</t>
  </si>
  <si>
    <t>5.44*6.62*3.62</t>
  </si>
  <si>
    <t>5.43*7.50*3.70</t>
  </si>
  <si>
    <t>6.45*6.47*3.96</t>
  </si>
  <si>
    <t>5.30*5.33*3.32</t>
  </si>
  <si>
    <t>5.60*7.69*3.54</t>
  </si>
  <si>
    <t>4.86*4.93*3.53</t>
  </si>
  <si>
    <t>5.79*5.82*3.63</t>
  </si>
  <si>
    <t>6.02*7.03*3.47</t>
  </si>
  <si>
    <t>5.91*5.94*3.58</t>
  </si>
  <si>
    <t>8.30*11.53*5.06</t>
  </si>
  <si>
    <t>10.27*21.79*6.13</t>
  </si>
  <si>
    <t>4.20*8.83*2.56</t>
  </si>
  <si>
    <t>6.66*6.69*4.03</t>
  </si>
  <si>
    <t>8.21*11.80*5.05</t>
  </si>
  <si>
    <t>7.11*13.56*4.46</t>
  </si>
  <si>
    <t>4.43*4.44*2.99</t>
  </si>
  <si>
    <t>6.78*8.13*4.52</t>
  </si>
  <si>
    <t>6.59*9.10*4.04</t>
  </si>
  <si>
    <t>5.62*5.67*3.55</t>
  </si>
  <si>
    <t>4.82*4.86*2.93</t>
  </si>
  <si>
    <t>8.35*8.39*5.22</t>
  </si>
  <si>
    <t>4.39*4.41*2.66</t>
  </si>
  <si>
    <t>5.23*7.05*3.33</t>
  </si>
  <si>
    <t>4.31*4.34*2.71</t>
  </si>
  <si>
    <t>5.71*5.74*3.59</t>
  </si>
  <si>
    <t>4.39*9.36*2.62</t>
  </si>
  <si>
    <t>6.89*6.92*4.32</t>
  </si>
  <si>
    <t>4.90*4.92*3.08</t>
  </si>
  <si>
    <t>6.60*7.78*4.53</t>
  </si>
  <si>
    <t>4.27*4.30*2.68</t>
  </si>
  <si>
    <t>6.42*6.44*3.99</t>
  </si>
  <si>
    <t>8.17*7.12*4.59</t>
  </si>
  <si>
    <t>8.22*11.75*4.99</t>
  </si>
  <si>
    <t>11.25*10.02*6.46</t>
  </si>
  <si>
    <t>4.84*4.87*3.05</t>
  </si>
  <si>
    <t>5.81*8.23*3.51</t>
  </si>
  <si>
    <t>6.80*6.83*4.93</t>
  </si>
  <si>
    <t>4.33*4.39*2.74</t>
  </si>
  <si>
    <t>8.19*11.30*5.06</t>
  </si>
  <si>
    <t>4.37*7.21*2.64</t>
  </si>
  <si>
    <t>4.50*6.81*2.81</t>
  </si>
  <si>
    <t>4.58*4.66*2.92</t>
  </si>
  <si>
    <t>4.39*4.42*2.77</t>
  </si>
  <si>
    <t>6.00*8.80*4.02</t>
  </si>
  <si>
    <t>8.09*8.17*5.61</t>
  </si>
  <si>
    <t>6.53*6.56*3.91</t>
  </si>
  <si>
    <t>4.36*4.38*2.67</t>
  </si>
  <si>
    <t>8.08*8.12*5.00</t>
  </si>
  <si>
    <t>5.41*7.59*3.63</t>
  </si>
  <si>
    <t>5.64*8.48*3.61</t>
  </si>
  <si>
    <t>7.61*11.68*4.68</t>
  </si>
  <si>
    <t>5.64*8.44*3.67</t>
  </si>
  <si>
    <t>4.33*4.35*2.73</t>
  </si>
  <si>
    <t>6.24*6.34*4.23</t>
  </si>
  <si>
    <t>6.26*6.42*4.17</t>
  </si>
  <si>
    <t>5.92*8.03*3.71</t>
  </si>
  <si>
    <t>6.15*6.20*3.73</t>
  </si>
  <si>
    <t>6.57*8.94*4.13</t>
  </si>
  <si>
    <t>6.17*9.44*3.71</t>
  </si>
  <si>
    <t>6.20*11.93*3.69</t>
  </si>
  <si>
    <t>6.52*6.58*4.09</t>
  </si>
  <si>
    <t>3.90*5.51*2.63</t>
  </si>
  <si>
    <t>4.67*5.61*3.15</t>
  </si>
  <si>
    <t>F</t>
  </si>
  <si>
    <t>5.12*7.13*3.19</t>
  </si>
  <si>
    <t>4.87*5.00*3.28</t>
  </si>
  <si>
    <t>4.71*6.47*3.17</t>
  </si>
  <si>
    <t>5.14*5.17*3.20</t>
  </si>
  <si>
    <t>8.08*8.15*4.93</t>
  </si>
  <si>
    <t>7.29*7.37*4.54</t>
  </si>
  <si>
    <t>3.76*5.42*2.48</t>
  </si>
  <si>
    <t>6.02*7.26*4.06</t>
  </si>
  <si>
    <t>8.13*8.18*4.90</t>
  </si>
  <si>
    <t>6.27*6.54*4.12</t>
  </si>
  <si>
    <t>5.17*7.49*3.38</t>
  </si>
  <si>
    <t>4.77*6.69*3.04</t>
  </si>
  <si>
    <t>5.57*5.61*3.54</t>
  </si>
  <si>
    <t>5.14*7.08*3.10</t>
  </si>
  <si>
    <t>4.85*6.85*3.27</t>
  </si>
  <si>
    <t>4.96*8.06*3.00</t>
  </si>
  <si>
    <t>6.54*6.58*4.08</t>
  </si>
  <si>
    <t>5.43*5.61*3.90</t>
  </si>
  <si>
    <t>6.77*8.23*4.49</t>
  </si>
  <si>
    <t>4.28*4.31*2.72</t>
  </si>
  <si>
    <t>8.35*8.37*5.05</t>
  </si>
  <si>
    <t>6.47*8.77*4.10</t>
  </si>
  <si>
    <t>6.86*9.54*4.67</t>
  </si>
  <si>
    <t>9.55*15.54*5.98</t>
  </si>
  <si>
    <t>4.83*6.88*3.12</t>
  </si>
  <si>
    <t>4.78*4.81*2.98</t>
  </si>
  <si>
    <t>5.12*5.14*3.13</t>
  </si>
  <si>
    <t>5.48*5.83*3.44</t>
  </si>
  <si>
    <t>10.13*19.42*6.30</t>
  </si>
  <si>
    <t>5.36*7.83*3.45</t>
  </si>
  <si>
    <t>5.13*5.16*3.13</t>
  </si>
  <si>
    <t>Triangular Brilliant</t>
  </si>
  <si>
    <t>6.35*6.39*4.00</t>
  </si>
  <si>
    <t>4.52*6.26*3.11</t>
  </si>
  <si>
    <t>5.78*7.99*3.50</t>
  </si>
  <si>
    <t>6.60*6.82*4.82</t>
  </si>
  <si>
    <t>6.54*9.12*4.07</t>
  </si>
  <si>
    <t>3.75*5.35*2.53</t>
  </si>
  <si>
    <t>4.84*4.88*2.96</t>
  </si>
  <si>
    <t>10.49*10.54*6.51</t>
  </si>
  <si>
    <t>7.18*9.93*4.50</t>
  </si>
  <si>
    <t>4.50*4.61*2.93</t>
  </si>
  <si>
    <t>4.34*4.42*3.03</t>
  </si>
  <si>
    <t>5.16*10.52*3.28</t>
  </si>
  <si>
    <t>6.41*9.66*4.00</t>
  </si>
  <si>
    <t>5.61*5.65*3.53</t>
  </si>
  <si>
    <t>4.29*4.34*2.60</t>
  </si>
  <si>
    <t>5.24*9.77*3.34</t>
  </si>
  <si>
    <t>5.50*7.74*3.65</t>
  </si>
  <si>
    <t>6.23*6.29*4.46</t>
  </si>
  <si>
    <t>5.58*5.89*3.47</t>
  </si>
  <si>
    <t>6.76*6.80*4.24</t>
  </si>
  <si>
    <t>7.41*7.46*4.49</t>
  </si>
  <si>
    <t>5.62*7.91*3.79</t>
  </si>
  <si>
    <t>8.13*8.17*4.84</t>
  </si>
  <si>
    <t>6.54*10.48*3.94</t>
  </si>
  <si>
    <t>6.37*12.11*3.99</t>
  </si>
  <si>
    <t>5.25*5.27*3.23</t>
  </si>
  <si>
    <t>4.70*4.80*3.29</t>
  </si>
  <si>
    <t>6.01*8.37*3.74</t>
  </si>
  <si>
    <t>5.57*5.07*3.24</t>
  </si>
  <si>
    <t>E</t>
  </si>
  <si>
    <t>6.44*9.75*4.09</t>
  </si>
  <si>
    <t>9.24*9.44*5.95</t>
  </si>
  <si>
    <t>8.52*13.01*5.32</t>
  </si>
  <si>
    <t>5.23*8.00*3.17</t>
  </si>
  <si>
    <t>8.52*8.55*5.32</t>
  </si>
  <si>
    <t>5.71*7.92*3.55</t>
  </si>
  <si>
    <t>3.72*5.25*2.54</t>
  </si>
  <si>
    <t>4.24*4.37*3.06</t>
  </si>
  <si>
    <t>5.05*5.23*3.27</t>
  </si>
  <si>
    <t>8.96*9.02*5.44</t>
  </si>
  <si>
    <t>7.67*11.13*4.79</t>
  </si>
  <si>
    <t>4.74*4.76*2.97</t>
  </si>
  <si>
    <t>6.16*6.18*4.15</t>
  </si>
  <si>
    <t>7.38*8.48*4.45</t>
  </si>
  <si>
    <t>8.32*11.62*5.07</t>
  </si>
  <si>
    <t>9.24*9.28*5.66</t>
  </si>
  <si>
    <t>4.78*6.54*3.24</t>
  </si>
  <si>
    <t>6.78*6.81*4.21</t>
  </si>
  <si>
    <t>3.75*5.28*2.50</t>
  </si>
  <si>
    <t>6.43*8.81*4.07</t>
  </si>
  <si>
    <t>7.58*10.68*5.09</t>
  </si>
  <si>
    <t>7.02*6.94*3.78</t>
  </si>
  <si>
    <t>4.84*4.86*2.94</t>
  </si>
  <si>
    <t>4.78*6.57*3.21</t>
  </si>
  <si>
    <t>5.26*9.98*3.29</t>
  </si>
  <si>
    <t>6.47*6.49*4.02</t>
  </si>
  <si>
    <t>5.69*5.74*3.40</t>
  </si>
  <si>
    <t>5.32*5.46*3.67</t>
  </si>
  <si>
    <t>4.20*5.67*2.87</t>
  </si>
  <si>
    <t>6.20*6.22*4.46</t>
  </si>
  <si>
    <t>9.46*9.51*5.58</t>
  </si>
  <si>
    <t>4.88*6.66*3.46</t>
  </si>
  <si>
    <t>6.37*6.41*3.95</t>
  </si>
  <si>
    <t>7.49*7.55*4.66</t>
  </si>
  <si>
    <t>9.26*9.29*5.69</t>
  </si>
  <si>
    <t>5.57*5.86*3.54</t>
  </si>
  <si>
    <t>7.68*7.73*4.81</t>
  </si>
  <si>
    <t>8.23*11.39*5.06</t>
  </si>
  <si>
    <t>5.65*5.77*3.69</t>
  </si>
  <si>
    <t>8.78*11.85*5.85</t>
  </si>
  <si>
    <t>4.61*5.55*3.14</t>
  </si>
  <si>
    <t>4.26*4.30*2.62</t>
  </si>
  <si>
    <t>4.42*4.44*2.68</t>
  </si>
  <si>
    <t>5.75*5.84*4.12</t>
  </si>
  <si>
    <t>7.25*7.43*4.82</t>
  </si>
  <si>
    <t>7.83*7.97*4.97</t>
  </si>
  <si>
    <t>9.21*9.25*5.74</t>
  </si>
  <si>
    <t>8.87*12.00*5.82</t>
  </si>
  <si>
    <t>5.40*5.53*3.50</t>
  </si>
  <si>
    <t>6.53*9.01*4.06</t>
  </si>
  <si>
    <t>8.17*8.21*4.98</t>
  </si>
  <si>
    <t>4.81*4.84*2.88</t>
  </si>
  <si>
    <t>7.06*9.78*4.47</t>
  </si>
  <si>
    <t>4.77*6.52*3.23</t>
  </si>
  <si>
    <t>5.19*5.22*3.09</t>
  </si>
  <si>
    <t>6.52*8.85*4.08</t>
  </si>
  <si>
    <t>7.01*9.87*4.65</t>
  </si>
  <si>
    <t>5.86*7.98*3.97</t>
  </si>
  <si>
    <t>5.54*5.56*3.43</t>
  </si>
  <si>
    <t>6.84*6.88*4.12</t>
  </si>
  <si>
    <t>9.06*13.86*5.61</t>
  </si>
  <si>
    <t>6.56*7.86*4.30</t>
  </si>
  <si>
    <t>8.34*8.39*5.10</t>
  </si>
  <si>
    <t>6.51*6.54*4.07</t>
  </si>
  <si>
    <t>6.30*6.31*4.17</t>
  </si>
  <si>
    <t>7.14*10.15*4.35</t>
  </si>
  <si>
    <t>4.43*4.46*2.67</t>
  </si>
  <si>
    <t>7.89*12.69*5.04</t>
  </si>
  <si>
    <t>5.60*5.65*3.51</t>
  </si>
  <si>
    <t>6.64*9.04*4.12</t>
  </si>
  <si>
    <t>7.84*7.07*4.55</t>
  </si>
  <si>
    <t>5.01*10.62*2.96</t>
  </si>
  <si>
    <t>6.54*6.68*4.39</t>
  </si>
  <si>
    <t>6.26*8.68*4.25</t>
  </si>
  <si>
    <t>5.18*5.19*3.17</t>
  </si>
  <si>
    <t>5.66*5.93*3.70</t>
  </si>
  <si>
    <t>6.48*6.51*3.95</t>
  </si>
  <si>
    <t>5.51*7.84*3.64</t>
  </si>
  <si>
    <t>5.67*8.57*3.44</t>
  </si>
  <si>
    <t>6.24*6.41*3.94</t>
  </si>
  <si>
    <t>5.83*8.01*3.57</t>
  </si>
  <si>
    <t>5.95*8.24*4.04</t>
  </si>
  <si>
    <t>6.62*9.05*4.07</t>
  </si>
  <si>
    <t>4.55*6.93*2.83</t>
  </si>
  <si>
    <t>4.93*6.68*3.35</t>
  </si>
  <si>
    <t>7.98*12.01*5.11</t>
  </si>
  <si>
    <t>8.19*11.14*5.18</t>
  </si>
  <si>
    <t>4.81*6.66*3.00</t>
  </si>
  <si>
    <t>9.59*15.48*5.63</t>
  </si>
  <si>
    <t>8.15*8.19*5.07</t>
  </si>
  <si>
    <t>6.55*8.87*4.10</t>
  </si>
  <si>
    <t>9.14*9.22*5.71</t>
  </si>
  <si>
    <t>9.72*13.78*5.94</t>
  </si>
  <si>
    <t>7.53*10.66*5.00</t>
  </si>
  <si>
    <t>4.78*6.47*3.20</t>
  </si>
  <si>
    <t>6.07*6.10*4.00</t>
  </si>
  <si>
    <t>5.01*6.81*3.21</t>
  </si>
  <si>
    <t>6.65*6.69*4.12</t>
  </si>
  <si>
    <t>4.82*7.05*3.13</t>
  </si>
  <si>
    <t>6.98*5.91*4.11</t>
  </si>
  <si>
    <t>4.53*6.89*2.82</t>
  </si>
  <si>
    <t>6.69*8.05*4.44</t>
  </si>
  <si>
    <t>6.73*5.83*4.04</t>
  </si>
  <si>
    <t>4.75*7.13*2.98</t>
  </si>
  <si>
    <t>4.99*6.49*3.36</t>
  </si>
  <si>
    <t>5.97*8.02*3.47</t>
  </si>
  <si>
    <t>5.65*5.67*3.57</t>
  </si>
  <si>
    <t>5.66*7.94*3.43</t>
  </si>
  <si>
    <t>5.04*7.68*3.04</t>
  </si>
  <si>
    <t>5.64*5.95*3.68</t>
  </si>
  <si>
    <t>4.86*4.90*3.05</t>
  </si>
  <si>
    <t>5.72*7.78*3.54</t>
  </si>
  <si>
    <t>5.32*7.76*3.43</t>
  </si>
  <si>
    <t>6.56*7.60*4.10</t>
  </si>
  <si>
    <t>6.82*5.90*3.68</t>
  </si>
  <si>
    <t>5.68*5.70*3.44</t>
  </si>
  <si>
    <t>5.42*7.75*3.37</t>
  </si>
  <si>
    <t>6.02*6.04*3.74</t>
  </si>
  <si>
    <t>6.12*7.35*4.11</t>
  </si>
  <si>
    <t>4.73*6.42*3.24</t>
  </si>
  <si>
    <t>5.70*8.65*3.54</t>
  </si>
  <si>
    <t>TYPE</t>
  </si>
  <si>
    <t>6.61*6.63*4.05</t>
  </si>
  <si>
    <t>5.03*7.32*2.99</t>
  </si>
  <si>
    <t>8.07*8.15*4.81</t>
  </si>
  <si>
    <t>4.95*9.18*3.13</t>
  </si>
  <si>
    <t>4.90*4.94*3.11</t>
  </si>
  <si>
    <t>4.46*4.48*2.70</t>
  </si>
  <si>
    <t>5.34*5.38*3.35</t>
  </si>
  <si>
    <t>7.18*7.23*4.57</t>
  </si>
  <si>
    <t>6.19*6.34*4.48</t>
  </si>
  <si>
    <t>6.29*6.31*4.24</t>
  </si>
  <si>
    <t>4.50*6.30*2.72</t>
  </si>
  <si>
    <t>10.86*16.82*6.58</t>
  </si>
  <si>
    <t>5.84*5.91*3.56</t>
  </si>
  <si>
    <t>4.12*5.66*2.78</t>
  </si>
  <si>
    <t>6.19*8.29*4.11</t>
  </si>
  <si>
    <t>6.44*6.49*3.97</t>
  </si>
  <si>
    <t>6.32*6.37*3.95</t>
  </si>
  <si>
    <t>5.47*5.50*3.52</t>
  </si>
  <si>
    <t>4.70*6.62*3.20</t>
  </si>
  <si>
    <t>5.64*5.68*3.47</t>
  </si>
  <si>
    <t>7.10*11.05*4.37</t>
  </si>
  <si>
    <t>7.66*7.71*4.78</t>
  </si>
  <si>
    <t>5.58*8.91*3.46</t>
  </si>
  <si>
    <t>6.59*6.73*4.48</t>
  </si>
  <si>
    <t>4.30*4.33*2.68</t>
  </si>
  <si>
    <t>9.43*9.46*5.68</t>
  </si>
  <si>
    <t>6.07*12.21*3.56</t>
  </si>
  <si>
    <t>6.53*6.57*4.09</t>
  </si>
  <si>
    <t>4.38*4.40*2.72</t>
  </si>
  <si>
    <t>9.13*18.03*5.59</t>
  </si>
  <si>
    <t>5.43*8.36*3.22</t>
  </si>
  <si>
    <t>7.93*7.93*5.52</t>
  </si>
  <si>
    <t>7.76*7.85*5.51</t>
  </si>
  <si>
    <t>5.99*6.86*3.60</t>
  </si>
  <si>
    <t>6.55*6.58*4.06</t>
  </si>
  <si>
    <t>7.64*12.42*4.70</t>
  </si>
  <si>
    <t>6.48*9.56*3.91</t>
  </si>
  <si>
    <t>4.72*6.56*2.91</t>
  </si>
  <si>
    <t>4.77*9.02*2.82</t>
  </si>
  <si>
    <t>5.48*5.52*3.71</t>
  </si>
  <si>
    <t>7.11*7.16*4.45</t>
  </si>
  <si>
    <t>4.76*4.80*2.96</t>
  </si>
  <si>
    <t>5.48*5.57*3.56</t>
  </si>
  <si>
    <t>6.58*9.18*4.06</t>
  </si>
  <si>
    <t>9.44*15.39*6.00</t>
  </si>
  <si>
    <t>4.43*4.44*3.09</t>
  </si>
  <si>
    <t>5.72*7.76*3.56</t>
  </si>
  <si>
    <t>5.03*8.04*2.98</t>
  </si>
  <si>
    <t>6.45*6.47*3.97</t>
  </si>
  <si>
    <t>5.55*5.62*3.75</t>
  </si>
  <si>
    <t>6.38*6.42*4.01</t>
  </si>
  <si>
    <t>4.66*6.53*3.07</t>
  </si>
  <si>
    <t>6.46*9.85*4.00</t>
  </si>
  <si>
    <t>4.38*4.40*2.75</t>
  </si>
  <si>
    <t>5.52*5.56*3.39</t>
  </si>
  <si>
    <t>7.73*11.80*4.87</t>
  </si>
  <si>
    <t>5.57*5.59*3.37</t>
  </si>
  <si>
    <t>7.26*11.17*4.95</t>
  </si>
  <si>
    <t>5.39*5.43*3.85</t>
  </si>
  <si>
    <t>7.79*9.57*5.40</t>
  </si>
  <si>
    <t>5.53*5.56*3.35</t>
  </si>
  <si>
    <t>8.06*8.06*5.34</t>
  </si>
  <si>
    <t>6.59*9.27*4.02</t>
  </si>
  <si>
    <t>6.62*9.10*4.10</t>
  </si>
  <si>
    <t>7.16*6.46*4.10</t>
  </si>
  <si>
    <t>4.25*4.30*2.67</t>
  </si>
  <si>
    <t>4.85*4.89*2.95</t>
  </si>
  <si>
    <t>5.35*5.52*3.73</t>
  </si>
  <si>
    <t>4.27*4.33*2.69</t>
  </si>
  <si>
    <t>6.56*6.62*4.06</t>
  </si>
  <si>
    <t>4.65*6.80*3.13</t>
  </si>
  <si>
    <t>6.55*8.90*4.13</t>
  </si>
  <si>
    <t>6.54*9.02*4.09</t>
  </si>
  <si>
    <t>4.89*6.96*3.15</t>
  </si>
  <si>
    <t>5.53*5.57*3.73</t>
  </si>
  <si>
    <t>6.55*6.59*3.88</t>
  </si>
  <si>
    <t>4.48*4.52*2.70</t>
  </si>
  <si>
    <t>5.72*7.76*3.62</t>
  </si>
  <si>
    <t>6.23*5.61*3.47</t>
  </si>
  <si>
    <t>6.22*6.24*4.34</t>
  </si>
  <si>
    <t>6.25*6.28*4.16</t>
  </si>
  <si>
    <t>5.25*5.30*3.13</t>
  </si>
  <si>
    <t>6.61*6.64*4.00</t>
  </si>
  <si>
    <t>8.12*12.01*5.13</t>
  </si>
  <si>
    <t>8.17*8.34*5.42</t>
  </si>
  <si>
    <t>4.37*4.40*2.70</t>
  </si>
  <si>
    <t>5.45*5.61*3.43</t>
  </si>
  <si>
    <t>6.19*7.73*4.10</t>
  </si>
  <si>
    <t>5.38*5.64*3.68</t>
  </si>
  <si>
    <t>8.10*8.15*4.97</t>
  </si>
  <si>
    <t>9.08*9.15*5.67</t>
  </si>
  <si>
    <t>4.19*5.69*2.88</t>
  </si>
  <si>
    <t>9.32*9.40*5.61</t>
  </si>
  <si>
    <t>8.07*7.32*4.60</t>
  </si>
  <si>
    <t>7.58*7.62*4.63</t>
  </si>
  <si>
    <t>6.45*8.98*4.05</t>
  </si>
  <si>
    <t>9.64*13.67*5.95</t>
  </si>
  <si>
    <t>7.15*9.95*4.43</t>
  </si>
  <si>
    <t>4.29*4.37*2.91</t>
  </si>
  <si>
    <t>6.68*6.71*4.03</t>
  </si>
  <si>
    <t>5.92*8.28*4.08</t>
  </si>
  <si>
    <t>4.86*4.89*3.48</t>
  </si>
  <si>
    <t>7.25*8.31*4.47</t>
  </si>
  <si>
    <t>7.22*10.01*4.39</t>
  </si>
  <si>
    <t>8.32*8.42*5.46</t>
  </si>
  <si>
    <t>5.68*8.67*3.55</t>
  </si>
  <si>
    <t>4.30*4.33*2.67</t>
  </si>
  <si>
    <t>4.76*6.57*3.23</t>
  </si>
  <si>
    <t>4.12*6.00*2.79</t>
  </si>
  <si>
    <t>5.56*5.70*3.58</t>
  </si>
  <si>
    <t>5.48*5.51*3.39</t>
  </si>
  <si>
    <t>6.73*8.07*4.50</t>
  </si>
  <si>
    <t>7.25*11.08*4.50</t>
  </si>
  <si>
    <t>5.29*8.61*3.26</t>
  </si>
  <si>
    <t>4.76*4.78*2.99</t>
  </si>
  <si>
    <t>5.72*5.86*3.73</t>
  </si>
  <si>
    <t>4.49*4.51*2.71</t>
  </si>
  <si>
    <t>6.23*6.40*4.47</t>
  </si>
  <si>
    <t>5.33*10.23*3.31</t>
  </si>
  <si>
    <t>6.91*10.06*4.49</t>
  </si>
  <si>
    <t>8.48*11.98*5.29</t>
  </si>
  <si>
    <t>6.68*10.28*4.15</t>
  </si>
  <si>
    <t>4.76*6.46*3.07</t>
  </si>
  <si>
    <t>7.68*11.56*4.86</t>
  </si>
  <si>
    <t>6.26*6.66*4.17</t>
  </si>
  <si>
    <t>6.82*6.88*4.25</t>
  </si>
  <si>
    <t>4.45*9.55*2.83</t>
  </si>
  <si>
    <t>6.34*6.58*4.17</t>
  </si>
  <si>
    <t>6.14*8.46*4.19</t>
  </si>
  <si>
    <t>6.69*6.74*4.26</t>
  </si>
  <si>
    <t>5.72*8.78*3.51</t>
  </si>
  <si>
    <t>5.42*5.44*3.64</t>
  </si>
  <si>
    <t>7.62*7.66*4.76</t>
  </si>
  <si>
    <t>6.94*7.07*4.85</t>
  </si>
  <si>
    <t>5.60*7.94*3.52</t>
  </si>
  <si>
    <t>7.74*12.19*4.79</t>
  </si>
  <si>
    <t>4.44*6.86*2.68</t>
  </si>
  <si>
    <t>5.56*8.05*3.69</t>
  </si>
  <si>
    <t>6.36*6.43*3.93</t>
  </si>
  <si>
    <t>6.54*6.58*4.07</t>
  </si>
  <si>
    <t>5.64*5.69*3.39</t>
  </si>
  <si>
    <t>5.64*5.68*3.78</t>
  </si>
  <si>
    <t>9.73*15.79*5.86</t>
  </si>
  <si>
    <t>5.02*10.63*3.27</t>
  </si>
  <si>
    <t>Marquise Brilliant</t>
  </si>
  <si>
    <t>6.98*6.35*3.92</t>
  </si>
  <si>
    <t>5.41*7.35*3.69</t>
  </si>
  <si>
    <t>10.30*8.87*5.84</t>
  </si>
  <si>
    <t>5.65*5.87*3.68</t>
  </si>
  <si>
    <t>5.38*9.06*3.14</t>
  </si>
  <si>
    <t>5.28*10.22*3.21</t>
  </si>
  <si>
    <t>6.99*7.04*4.38</t>
  </si>
  <si>
    <t>5.10*5.08*3.11</t>
  </si>
  <si>
    <t>7.43*7.47*4.57</t>
  </si>
  <si>
    <t>6.40*6.44*3.96</t>
  </si>
  <si>
    <t>4.73*6.45*3.24</t>
  </si>
  <si>
    <t>6.31*8.57*4.10</t>
  </si>
  <si>
    <t>6.05*11.73*3.67</t>
  </si>
  <si>
    <t>5.65*5.69*3.59</t>
  </si>
  <si>
    <t>4.41*4.45*2.68</t>
  </si>
  <si>
    <t>6.56*6.58*4.03</t>
  </si>
  <si>
    <t>5.21*5.24*3.13</t>
  </si>
  <si>
    <t>8.33*8.39*5.21</t>
  </si>
  <si>
    <t>5.52*7.68*3.53</t>
  </si>
  <si>
    <t>5.27*5.54*3.55</t>
  </si>
  <si>
    <t>6.57*8.92*4.08</t>
  </si>
  <si>
    <t>4.47*6.65*2.92</t>
  </si>
  <si>
    <t>5.48*5.49*3.49</t>
  </si>
  <si>
    <t>4.28*4.33*2.89</t>
  </si>
  <si>
    <t>5.55*7.50*3.48</t>
  </si>
  <si>
    <t>4.62*6.40*2.84</t>
  </si>
  <si>
    <t>8.22*11.25*5.10</t>
  </si>
  <si>
    <t>6.99*7.33*4.58</t>
  </si>
  <si>
    <t>7.01*10.96*4.43</t>
  </si>
  <si>
    <t>6.47*6.51*3.97</t>
  </si>
  <si>
    <t>4.45*6.52*2.80</t>
  </si>
  <si>
    <t>4.68*6.85*3.03</t>
  </si>
  <si>
    <t>5.60*5.69*4.01</t>
  </si>
  <si>
    <t>6.79*9.25*4.67</t>
  </si>
  <si>
    <t>6.48*6.49*3.95</t>
  </si>
  <si>
    <t>4.73*4.76*2.93</t>
  </si>
  <si>
    <t>8.56*8.59*6.19</t>
  </si>
  <si>
    <t>5.65*5.70*3.56</t>
  </si>
  <si>
    <t>5.60*8.28*3.57</t>
  </si>
  <si>
    <t>6.56*6.65*4.39</t>
  </si>
  <si>
    <t>5.23*5.27*3.30</t>
  </si>
  <si>
    <t>6.56*6.60*4.00</t>
  </si>
  <si>
    <t>4.35*4.39*2.67</t>
  </si>
  <si>
    <t>5.25*5.55*3.52</t>
  </si>
  <si>
    <t>4.26*4.30*2.66</t>
  </si>
  <si>
    <t>4.59*4.63*2.88</t>
  </si>
  <si>
    <t>7.82*7.89*5.07</t>
  </si>
  <si>
    <t>4.87*4.91*3.25</t>
  </si>
  <si>
    <t>4.57*4.60*2.76</t>
  </si>
  <si>
    <t>6.92*8.28*4.61</t>
  </si>
  <si>
    <t>8.11*8.15*5.01</t>
  </si>
  <si>
    <t>6.62*6.65*4.06</t>
  </si>
  <si>
    <t>5.49*7.58*3.66</t>
  </si>
  <si>
    <t>4.31*4.34*2.80</t>
  </si>
  <si>
    <t>5.61*5.65*3.56</t>
  </si>
  <si>
    <t>6.15*12.07*3.63</t>
  </si>
  <si>
    <t>5.30*7.15*3.48</t>
  </si>
  <si>
    <t>6.16*7.44*3.97</t>
  </si>
  <si>
    <t>4.61*6.70*3.16</t>
  </si>
  <si>
    <t>8.09*8.14*5.03</t>
  </si>
  <si>
    <t>4.79*4.83*2.99</t>
  </si>
  <si>
    <t>6.53*8.87*4.07</t>
  </si>
  <si>
    <t>6.64*7.69*4.01</t>
  </si>
  <si>
    <t>6.40*6.45*3.98</t>
  </si>
  <si>
    <t>7.37*10.79*4.94</t>
  </si>
  <si>
    <t>6.25*5.47*3.51</t>
  </si>
  <si>
    <t>4.67*6.79*3.11</t>
  </si>
  <si>
    <t>7.63*6.97*4.36</t>
  </si>
  <si>
    <t>6.22*5.61*3.68</t>
  </si>
  <si>
    <t>4.48*6.95*2.72</t>
  </si>
  <si>
    <t>4.76*4.83*3.50</t>
  </si>
  <si>
    <t>5.91*7.53*3.84</t>
  </si>
  <si>
    <t>7.81*7.19*4.64</t>
  </si>
  <si>
    <t>4.47*4.50*2.75</t>
  </si>
  <si>
    <t>4.23*5.96*2.76</t>
  </si>
  <si>
    <t>4.37*8.19*2.75</t>
  </si>
  <si>
    <t>4.33*4.36*2.69</t>
  </si>
  <si>
    <t>4.38*4.40*2.69</t>
  </si>
  <si>
    <t>5.77*8.15*3.46</t>
  </si>
  <si>
    <t>5.54*8.98*3.28</t>
  </si>
  <si>
    <t>6.94*8.87*4.58</t>
  </si>
  <si>
    <t>5.93*5.97*3.67</t>
  </si>
  <si>
    <t>5.91*7.48*3.94</t>
  </si>
  <si>
    <t>4.92*4.92*3.19</t>
  </si>
  <si>
    <t>7.43*10.62*4.95</t>
  </si>
  <si>
    <t>7.11*6.16*4.15</t>
  </si>
  <si>
    <t>5.74*7.81*3.60</t>
  </si>
  <si>
    <t>7.03*10.96*4.38</t>
  </si>
  <si>
    <t>8.12*9.59*5.30</t>
  </si>
  <si>
    <t>9.12*13.34*6.08</t>
  </si>
  <si>
    <t>Rap Price</t>
  </si>
  <si>
    <t>8.10*8.13*4.98</t>
  </si>
  <si>
    <t>4.45*4.50*2.69</t>
  </si>
  <si>
    <t>4.40*4.44*2.71</t>
  </si>
  <si>
    <t>6.46*9.93*4.01</t>
  </si>
  <si>
    <t>5.06*7.80*3.09</t>
  </si>
  <si>
    <t>4.47*4.57*2.85</t>
  </si>
  <si>
    <t>7.36*7.39*4.52</t>
  </si>
  <si>
    <t>7.09*9.76*4.37</t>
  </si>
  <si>
    <t>HPHT</t>
  </si>
  <si>
    <t>4.42*6.51*2.75</t>
  </si>
  <si>
    <t>6.28*6.29*4.22</t>
  </si>
  <si>
    <t>5.39*7.36*3.66</t>
  </si>
  <si>
    <t>4.47*4.50*2.71</t>
  </si>
  <si>
    <t>4.73*6.59*3.19</t>
  </si>
  <si>
    <t>HEART</t>
  </si>
  <si>
    <t>6.66*6.69*4.09</t>
  </si>
  <si>
    <t>5.67*5.97*3.61</t>
  </si>
  <si>
    <t>5.48*7.49*3.72</t>
  </si>
  <si>
    <t>8.52*8.93*5.40</t>
  </si>
  <si>
    <t>5.37*5.66*3.44</t>
  </si>
  <si>
    <t>6.56*6.59*4.09</t>
  </si>
  <si>
    <t>6.46*9.26*4.08</t>
  </si>
  <si>
    <t>4.73*6.40*3.25</t>
  </si>
  <si>
    <t>4.21*5.90*2.79</t>
  </si>
  <si>
    <t>VS2</t>
  </si>
  <si>
    <t>6.44*8.81*4.09</t>
  </si>
  <si>
    <t>8.11*12.30*5.04</t>
  </si>
  <si>
    <t>4.79*6.79*3.12</t>
  </si>
  <si>
    <t>4.52*6.98*2.78</t>
  </si>
  <si>
    <t>5.43*7.38*3.67</t>
  </si>
  <si>
    <t>7.06*10.81*4.40</t>
  </si>
  <si>
    <t>5.62*5.65*4.04</t>
  </si>
  <si>
    <t>6.51*7.88*4.23</t>
  </si>
  <si>
    <t>5.54*5.81*3.63</t>
  </si>
  <si>
    <t>2.30-2.49</t>
  </si>
  <si>
    <t>4.39*4.42*2.79</t>
  </si>
  <si>
    <t>5.27*7.84*3.58</t>
  </si>
  <si>
    <t>5.43*7.36*3.71</t>
  </si>
  <si>
    <t>8.08*8.15*5.22</t>
  </si>
  <si>
    <t>Round Modified Brilliant</t>
  </si>
  <si>
    <t>4.25*4.28*2.63</t>
  </si>
  <si>
    <t>4.54*4.55*2.76</t>
  </si>
  <si>
    <t>5.10*5.16*3.13</t>
  </si>
  <si>
    <t>7.45*7.53*4.66</t>
  </si>
  <si>
    <t>5.65*5.72*3.68</t>
  </si>
  <si>
    <t>5.44*7.63*3.61</t>
  </si>
  <si>
    <t>4.19*5.97*2.81</t>
  </si>
  <si>
    <t>5.87*5.90*3.74</t>
  </si>
  <si>
    <t>3.77*5.28*2.50</t>
  </si>
  <si>
    <t>5.36*7.30*3.38</t>
  </si>
  <si>
    <t>5.32*6.36*3.43</t>
  </si>
  <si>
    <t>4.78*6.90*3.14</t>
  </si>
  <si>
    <t>4.55*6.41*2.75</t>
  </si>
  <si>
    <t>4.76*6.89*3.04</t>
  </si>
  <si>
    <t>6.08*6.13*3.85</t>
  </si>
  <si>
    <t>5.01*5.23*3.17</t>
  </si>
  <si>
    <t>5.57*5.81*3.66</t>
  </si>
  <si>
    <t>5.35*7.66*3.53</t>
  </si>
  <si>
    <t>4.36*4.43*3.09</t>
  </si>
  <si>
    <t>5.10*6.51*3.46</t>
  </si>
  <si>
    <t>9.36*14.33*5.87</t>
  </si>
  <si>
    <t>6.45*6.48*3.96</t>
  </si>
  <si>
    <t>3.88*5.46*2.58</t>
  </si>
  <si>
    <t>4.97*6.75*3.37</t>
  </si>
  <si>
    <t>5.26*5.29*3.17</t>
  </si>
  <si>
    <t>5.62*8.35*3.47</t>
  </si>
  <si>
    <t>5.34*5.63*3.37</t>
  </si>
  <si>
    <t>8.15*12.71*4.91</t>
  </si>
  <si>
    <t>4.32*4.34*2.69</t>
  </si>
  <si>
    <t>5.04*7.04*3.41</t>
  </si>
  <si>
    <t>5.65*5.76*3.84</t>
  </si>
  <si>
    <t>3.75*5.18*2.53</t>
  </si>
  <si>
    <t>4.58*7.05*2.81</t>
  </si>
  <si>
    <t>6.08*7.28*4.11</t>
  </si>
  <si>
    <t>4.79*4.81*2.92</t>
  </si>
  <si>
    <t>5.62*5.69*3.53</t>
  </si>
  <si>
    <t>5.68*5.72*3.58</t>
  </si>
  <si>
    <t>5.11*5.16*3.19</t>
  </si>
  <si>
    <t>5.23*5.24*3.14</t>
  </si>
  <si>
    <t>5.79*7.40*3.91</t>
  </si>
  <si>
    <t>6.37*6.42*3.95</t>
  </si>
  <si>
    <t>5.05*7.46*3.05</t>
  </si>
  <si>
    <t>5.56*7.76*3.43</t>
  </si>
  <si>
    <t>5.40*7.45*3.62</t>
  </si>
  <si>
    <t>4.35*4.38*2.73</t>
  </si>
  <si>
    <t>8.76*8.81*5.34</t>
  </si>
  <si>
    <t>5.18*5.22*3.17</t>
  </si>
  <si>
    <t>4.40*4.43*2.72</t>
  </si>
  <si>
    <t>5.06*6.89*3.12</t>
  </si>
  <si>
    <t>5.54*5.63*3.91</t>
  </si>
  <si>
    <t>5.89*7.64*3.86</t>
  </si>
  <si>
    <t>5.15*5.19*3.20</t>
  </si>
  <si>
    <t>4.90*7.11*3.28</t>
  </si>
  <si>
    <t>5.51*5.53*3.41</t>
  </si>
  <si>
    <t>4.38*4.37*2.93</t>
  </si>
  <si>
    <t>5.16*6.48*3.45</t>
  </si>
  <si>
    <t>6.02*8.72*3.92</t>
  </si>
  <si>
    <t>4.22*5.87*2.81</t>
  </si>
  <si>
    <t>4.60*7.05*2.76</t>
  </si>
  <si>
    <t>7.74*9.93*5.24</t>
  </si>
  <si>
    <t>6.07*7.01*3.47</t>
  </si>
  <si>
    <t>EX</t>
  </si>
  <si>
    <t>5.63*8.75*3.48</t>
  </si>
  <si>
    <t>14.05*14.38*9.38</t>
  </si>
  <si>
    <t>5.79*7.96*3.53</t>
  </si>
  <si>
    <t>5.66*7.81*3.47</t>
  </si>
  <si>
    <t>PRINCESS</t>
  </si>
  <si>
    <t>6.09*8.13*4.06</t>
  </si>
  <si>
    <t>4.60*4.63*2.88</t>
  </si>
  <si>
    <t>5.53*5.81*3.51</t>
  </si>
  <si>
    <t>6.02*8.36*3.75</t>
  </si>
  <si>
    <t>9.72*14.95*5.89</t>
  </si>
  <si>
    <t>4.27*4.31*2.71</t>
  </si>
  <si>
    <t>5.61*5.81*3.57</t>
  </si>
  <si>
    <t>7.89*7.04*4.67</t>
  </si>
  <si>
    <t>1.20-1.39</t>
  </si>
  <si>
    <t>6.52*8.97*4.06</t>
  </si>
  <si>
    <t>5.38*5.43*3.57</t>
  </si>
  <si>
    <t>4.43*4.45*2.71</t>
  </si>
  <si>
    <t>8.79*8.83*5.47</t>
  </si>
  <si>
    <t>4.14*6.30*2.68</t>
  </si>
  <si>
    <t>6.27*6.61*4.16</t>
  </si>
  <si>
    <t>4.35*4.39*2.71</t>
  </si>
  <si>
    <t>7.66*10.56*5.12</t>
  </si>
  <si>
    <t>5.62*5.64*3.58</t>
  </si>
  <si>
    <t>4.93*5.10*3.30</t>
  </si>
  <si>
    <t>5.46*7.72*3.40</t>
  </si>
  <si>
    <t>5.60*8.32*3.47</t>
  </si>
  <si>
    <t>5.47*7.33*3.59</t>
  </si>
  <si>
    <t>5.61*5.90*3.67</t>
  </si>
  <si>
    <t>3.74*5.22*2.54</t>
  </si>
  <si>
    <t>5.58*8.55*3.46</t>
  </si>
  <si>
    <t>7.29*7.33*4.54</t>
  </si>
  <si>
    <t>6.52*6.83*4.38</t>
  </si>
  <si>
    <t>5.11*7.43*3.04</t>
  </si>
  <si>
    <t>6.51*6.56*4.09</t>
  </si>
  <si>
    <t>6.43*9.50*4.04</t>
  </si>
  <si>
    <t>4.76*6.90*3.11</t>
  </si>
  <si>
    <t>4.41*6.90*2.78</t>
  </si>
  <si>
    <t>6.49*6.52*3.94</t>
  </si>
  <si>
    <t>4.33*6.09*2.87</t>
  </si>
  <si>
    <t>7.01*8.14*4.51</t>
  </si>
  <si>
    <t>6.06*6.08*3.59</t>
  </si>
  <si>
    <t>4.48*4.51*2.76</t>
  </si>
  <si>
    <t>5.56*5.64*3.74</t>
  </si>
  <si>
    <t>4.65*6.32*3.22</t>
  </si>
  <si>
    <t>4.50*6.83*3.07</t>
  </si>
  <si>
    <t>11.77*10.48*6.96</t>
  </si>
  <si>
    <t>5.66*8.35*3.48</t>
  </si>
  <si>
    <t>5.48*8.41*3.42</t>
  </si>
  <si>
    <t>7.39*7.46*4.61</t>
  </si>
  <si>
    <t>6.59*7.94*4.43</t>
  </si>
  <si>
    <t>9.59*10.01*6.04</t>
  </si>
  <si>
    <t>4.35*6.41*2.96</t>
  </si>
  <si>
    <t>9.95*14.35*6.20</t>
  </si>
  <si>
    <t>4.57*4.68*2.90</t>
  </si>
  <si>
    <t>8.44*10.10*5.49</t>
  </si>
  <si>
    <t>4.41*4.44*2.64</t>
  </si>
  <si>
    <t>8.92*12.48*5.37</t>
  </si>
  <si>
    <t>4.57*6.32*2.82</t>
  </si>
  <si>
    <t>5.18*7.99*3.54</t>
  </si>
  <si>
    <t>1.40-1.49</t>
  </si>
  <si>
    <t>8.15*11.51*5.04</t>
  </si>
  <si>
    <t>9.47*9.51*5.93</t>
  </si>
  <si>
    <t>VSL</t>
  </si>
  <si>
    <t>4.70*6.49*3.20</t>
  </si>
  <si>
    <t>8.39*8.54*5.61</t>
  </si>
  <si>
    <t>4.41*4.43*2.67</t>
  </si>
  <si>
    <t>6.44*6.47*3.96</t>
  </si>
  <si>
    <t>4.93*7.15*2.96</t>
  </si>
  <si>
    <t>6.84*6.87*4.24</t>
  </si>
  <si>
    <t>4.86*6.63*3.29</t>
  </si>
  <si>
    <t>4.70*6.77*3.16</t>
  </si>
  <si>
    <t>5.56*5.62*3.50</t>
  </si>
  <si>
    <t>5.69*5.73*3.50</t>
  </si>
  <si>
    <t>4.77*6.56*3.20</t>
  </si>
  <si>
    <t>4.75*4.84*3.40</t>
  </si>
  <si>
    <t>7.17*10.06*4.43</t>
  </si>
  <si>
    <t>9.44*9.48*5.87</t>
  </si>
  <si>
    <t>4.89*5.00*3.11</t>
  </si>
  <si>
    <t>6.55*6.54*4.71</t>
  </si>
  <si>
    <t>5.18*5.20*3.09</t>
  </si>
  <si>
    <t>5.28*5.37*3.63</t>
  </si>
  <si>
    <t>5.45*7.72*3.67</t>
  </si>
  <si>
    <t>6.33*5.53*3.56</t>
  </si>
  <si>
    <t>7.41*7.51*5.33</t>
  </si>
  <si>
    <t>5.54*7.68*3.47</t>
  </si>
  <si>
    <t>8.01*7.02*4.80</t>
  </si>
  <si>
    <t>4.31*4.32*2.87</t>
  </si>
  <si>
    <t>4.58*6.34*2.82</t>
  </si>
  <si>
    <t>6.59*6.78*4.34</t>
  </si>
  <si>
    <t>4.74*9.18*2.91</t>
  </si>
  <si>
    <t>7.03*6.38*3.93</t>
  </si>
  <si>
    <t>1.70-1.89</t>
  </si>
  <si>
    <t>4.16*6.07*2.72</t>
  </si>
  <si>
    <t>4.87*4.89*2.89</t>
  </si>
  <si>
    <t>8.25*8.29*5.16</t>
  </si>
  <si>
    <t>6.13*6.14*3.68</t>
  </si>
  <si>
    <t>4.87*4.90*2.92</t>
  </si>
  <si>
    <t>4.38*4.41*2.74</t>
  </si>
  <si>
    <t>7.84*7.89*4.89</t>
  </si>
  <si>
    <t>5.56*8.45*3.49</t>
  </si>
  <si>
    <t>5.38*5.62*3.47</t>
  </si>
  <si>
    <t>5.54*7.57*3.72</t>
  </si>
  <si>
    <t>4.72*4.82*3.41</t>
  </si>
  <si>
    <t>6.03*8.31*3.73</t>
  </si>
  <si>
    <t>4.60*6.89*2.73</t>
  </si>
  <si>
    <t>5.73*7.94*3.57</t>
  </si>
  <si>
    <t>5.62*8.37*3.42</t>
  </si>
  <si>
    <t>5.12*8.00*3.02</t>
  </si>
  <si>
    <t>6.55*9.03*4.08</t>
  </si>
  <si>
    <t>6.67*6.71*4.01</t>
  </si>
  <si>
    <t>6.95*6.13*4.08</t>
  </si>
  <si>
    <t>8.08*11.90*4.88</t>
  </si>
  <si>
    <t>7.38*10.35*5.01</t>
  </si>
  <si>
    <t>8.77*13.07*5.46</t>
  </si>
  <si>
    <t>5.96*6.83*3.38</t>
  </si>
  <si>
    <t>7.15*7.02*3.66</t>
  </si>
  <si>
    <t>5.81*7.91*3.63</t>
  </si>
  <si>
    <t>6.54*8.94*4.00</t>
  </si>
  <si>
    <t>7.76*9.56*4.91</t>
  </si>
  <si>
    <t>6.56*9.05*4.08</t>
  </si>
  <si>
    <t>6.11*6.14*3.71</t>
  </si>
  <si>
    <t>7.90*11.09*4.83</t>
  </si>
  <si>
    <t>5.58*5.74*3.69</t>
  </si>
  <si>
    <t>3.76*5.23*2.52</t>
  </si>
  <si>
    <t>4.20*8.47*2.65</t>
  </si>
  <si>
    <t>8.97*12.23*5.61</t>
  </si>
  <si>
    <t>5.51*5.80*3.58</t>
  </si>
  <si>
    <t>6.55*8.90*4.12</t>
  </si>
  <si>
    <t>5.59*7.49*3.66</t>
  </si>
  <si>
    <t>5.51*7.91*3.35</t>
  </si>
  <si>
    <t>5.18*7.17*3.14</t>
  </si>
  <si>
    <t>6.93*7.18*4.39</t>
  </si>
  <si>
    <t>6.26*6.31*4.44</t>
  </si>
  <si>
    <t>5.42*5.71*3.58</t>
  </si>
  <si>
    <t>5.73*7.86*3.68</t>
  </si>
  <si>
    <t>9.18*9.21*5.75</t>
  </si>
  <si>
    <t>5.68*7.72*3.59</t>
  </si>
  <si>
    <t>11.97*10.25*7.05</t>
  </si>
  <si>
    <t>8.15*8.18*4.96</t>
  </si>
  <si>
    <t>5.50*5.53*3.45</t>
  </si>
  <si>
    <t>5.35*5.38*3.20</t>
  </si>
  <si>
    <t>7.09*10.49*4.54</t>
  </si>
  <si>
    <t>6.22*6.24*4.50</t>
  </si>
  <si>
    <t>5.79*8.07*3.55</t>
  </si>
  <si>
    <t>3.77*5.13*2.57</t>
  </si>
  <si>
    <t>9.16*9.23*5.66</t>
  </si>
  <si>
    <t>4.28*4.30*2.70</t>
  </si>
  <si>
    <t>5.16*5.20*3.22</t>
  </si>
  <si>
    <t>5.03*7.54*3.03</t>
  </si>
  <si>
    <t>5.50*7.61*3.54</t>
  </si>
  <si>
    <t>5.54*5.82*3.66</t>
  </si>
  <si>
    <t>5.40*5.46*3.26</t>
  </si>
  <si>
    <t>7.23*11.63*4.51</t>
  </si>
  <si>
    <t>6.66*8.91*4.25</t>
  </si>
  <si>
    <t>4.98*6.38*3.39</t>
  </si>
  <si>
    <t>8.39*8.73*5.34</t>
  </si>
  <si>
    <t>5.64*7.84*3.52</t>
  </si>
  <si>
    <t>6.92*7.06*4.68</t>
  </si>
  <si>
    <t>8.78*9.10*5.89</t>
  </si>
  <si>
    <t>8.04*8.43*5.14</t>
  </si>
  <si>
    <t>6.63*6.65*4.03</t>
  </si>
  <si>
    <t>4.35*4.39*2.62</t>
  </si>
  <si>
    <t>7.45*8.89*4.69</t>
  </si>
  <si>
    <t>6.07*8.51*3.66</t>
  </si>
  <si>
    <t>5.94*7.10*4.04</t>
  </si>
  <si>
    <t>8.35*11.30*5.64</t>
  </si>
  <si>
    <t>7.23*10.43*4.34</t>
  </si>
  <si>
    <t>7.92*6.74*4.76</t>
  </si>
  <si>
    <t>5.65*7.87*3.53</t>
  </si>
  <si>
    <t>5.58*8.27*3.57</t>
  </si>
  <si>
    <t>5.03*5.15*3.36</t>
  </si>
  <si>
    <t>7.07*7.33*4.48</t>
  </si>
  <si>
    <t>8.14*11.85*4.81</t>
  </si>
  <si>
    <t>5.48*7.69*3.65</t>
  </si>
  <si>
    <t>5.50*5.57*3.62</t>
  </si>
  <si>
    <t>4.81*4.84*3.49</t>
  </si>
  <si>
    <t>5.56*5.59*3.40</t>
  </si>
  <si>
    <t>6.13*7.34*4.11</t>
  </si>
  <si>
    <t>4.50*6.94*2.71</t>
  </si>
  <si>
    <t>4.84*4.87*2.95</t>
  </si>
  <si>
    <t>5.85*8.24*3.60</t>
  </si>
  <si>
    <t>8.07*8.24*5.21</t>
  </si>
  <si>
    <t>9.51*10.03*6.04</t>
  </si>
  <si>
    <t>Round Brilliant</t>
  </si>
  <si>
    <t>4.25*4.27*2.61</t>
  </si>
  <si>
    <t>6.63*9.31*4.46</t>
  </si>
  <si>
    <t>4.70*6.09*3.20</t>
  </si>
  <si>
    <t>7.04*10.75*4.47</t>
  </si>
  <si>
    <t>5.56*8.27*3.59</t>
  </si>
  <si>
    <t>ROSE CUT</t>
  </si>
  <si>
    <t>9.71*13.69*6.05</t>
  </si>
  <si>
    <t>6.35*6.70*4.05</t>
  </si>
  <si>
    <t>9.13*9.32*6.62</t>
  </si>
  <si>
    <t>5.66*5.71*3.58</t>
  </si>
  <si>
    <t>5.56*5.63*3.81</t>
  </si>
  <si>
    <t>6.06*8.86*4.03</t>
  </si>
  <si>
    <t>7.52*10.38*5.05</t>
  </si>
  <si>
    <t>4.65*7.13*3.02</t>
  </si>
  <si>
    <t>7.51*7.63*5.44</t>
  </si>
  <si>
    <t>7.17*10.08*4.45</t>
  </si>
  <si>
    <t>8.29*8.37*5.20</t>
  </si>
  <si>
    <t>5.52*5.54*3.40</t>
  </si>
  <si>
    <t>5.48*7.95*3.40</t>
  </si>
  <si>
    <t>7.76*11.24*5.18</t>
  </si>
  <si>
    <t>6.23*5.63*3.62</t>
  </si>
  <si>
    <t>6.64*8.02*4.42</t>
  </si>
  <si>
    <t>7.32*8.48*4.45</t>
  </si>
  <si>
    <t>9.31*9.34*5.63</t>
  </si>
  <si>
    <t>5.65*5.93*3.56</t>
  </si>
  <si>
    <t>8.23*7.36*4.75</t>
  </si>
  <si>
    <t>7.64*7.88*5.57</t>
  </si>
  <si>
    <t>4.58*4.61*2.78</t>
  </si>
  <si>
    <t>9.63*16.18*6.12</t>
  </si>
  <si>
    <t>5.57*7.16*3.80</t>
  </si>
  <si>
    <t>4.33*4.36*2.68</t>
  </si>
  <si>
    <t>3.82*5.40*2.47</t>
  </si>
  <si>
    <t>5.20*11.08*3.06</t>
  </si>
  <si>
    <t>6.56*9.07*4.09</t>
  </si>
  <si>
    <t>9.15*9.23*5.71</t>
  </si>
  <si>
    <t>5.54*7.63*3.45</t>
  </si>
  <si>
    <t>6.44*9.71*3.99</t>
  </si>
  <si>
    <t>4.33*4.37*2.68</t>
  </si>
  <si>
    <t>5.34*10.07*3.38</t>
  </si>
  <si>
    <t>4.42*4.44*2.70</t>
  </si>
  <si>
    <t>6.63*9.00*4.17</t>
  </si>
  <si>
    <t>5.86*5.90*3.66</t>
  </si>
  <si>
    <t>7.22*10.83*4.36</t>
  </si>
  <si>
    <t>3.73*5.15*2.52</t>
  </si>
  <si>
    <t>6.41*6.43*3.99</t>
  </si>
  <si>
    <t>4.59*6.36*2.80</t>
  </si>
  <si>
    <t>4.44*6.91*2.75</t>
  </si>
  <si>
    <t>5.41*5.43*3.39</t>
  </si>
  <si>
    <t>4.38*4.41*2.66</t>
  </si>
  <si>
    <t>4.35*6.86*2.92</t>
  </si>
  <si>
    <t>5.09*7.79*3.07</t>
  </si>
  <si>
    <t>10.05*19.26*6.22</t>
  </si>
  <si>
    <t>4.65*4.68*2.89</t>
  </si>
  <si>
    <t>4.31*4.34*2.67</t>
  </si>
  <si>
    <t>5.51*5.53*3.42</t>
  </si>
  <si>
    <t>4.69*6.38*2.97</t>
  </si>
  <si>
    <t>7.47*7.50*4.54</t>
  </si>
  <si>
    <t>5.09*5.12*3.13</t>
  </si>
  <si>
    <t>5.26*6.70*3.41</t>
  </si>
  <si>
    <t>6.24*6.45*4.00</t>
  </si>
  <si>
    <t>0.50-0.59</t>
  </si>
  <si>
    <t>6.91*5.88*4.20</t>
  </si>
  <si>
    <t>7.42*9.53*4.94</t>
  </si>
  <si>
    <t>4.36*4.41*2.91</t>
  </si>
  <si>
    <t>6.51*6.54*3.94</t>
  </si>
  <si>
    <t>4.18*6.10*2.74</t>
  </si>
  <si>
    <t>6.85*6.97*4.83</t>
  </si>
  <si>
    <t>6.11*6.13*4.42</t>
  </si>
  <si>
    <t>5.00*6.77*3.25</t>
  </si>
  <si>
    <t>8.23*11.71*5.43</t>
  </si>
  <si>
    <t>8.13*8.18*4.98</t>
  </si>
  <si>
    <t>5.77*7.98*3.59</t>
  </si>
  <si>
    <t>6.52*12.10*4.21</t>
  </si>
  <si>
    <t>6.98*6.74*3.85</t>
  </si>
  <si>
    <t>5.42*7.36*3.70</t>
  </si>
  <si>
    <t>5.65*8.64*3.41</t>
  </si>
  <si>
    <t>5.96*11.69*3.76</t>
  </si>
  <si>
    <t>8.58*8.63*5.30</t>
  </si>
  <si>
    <t>6.40*6.69*4.11</t>
  </si>
  <si>
    <t>3.75*5.27*2.52</t>
  </si>
  <si>
    <t>5.15*5.18*3.16</t>
  </si>
  <si>
    <t>4.48*6.92*2.79</t>
  </si>
  <si>
    <t>5.54*5.68*3.49</t>
  </si>
  <si>
    <t>6.53*8.88*4.11</t>
  </si>
  <si>
    <t>5.33*7.84*3.45</t>
  </si>
  <si>
    <t>9.36*9.40*5.47</t>
  </si>
  <si>
    <t>8.86*12.21*5.52</t>
  </si>
  <si>
    <t>3.90*5.50*2.55</t>
  </si>
  <si>
    <t>5.12*5.15*3.18</t>
  </si>
  <si>
    <t>4.84*4.88*3.06</t>
  </si>
  <si>
    <t>4.77*4.80*2.98</t>
  </si>
  <si>
    <t>5.48*7.68*3.68</t>
  </si>
  <si>
    <t>6.67*8.01*4.47</t>
  </si>
  <si>
    <t>5.50*7.54*3.49</t>
  </si>
  <si>
    <t>4.47*4.49*2.68</t>
  </si>
  <si>
    <t>8.52*11.86*5.31</t>
  </si>
  <si>
    <t>5.50*7.71*3.37</t>
  </si>
  <si>
    <t>5.63*8.60*3.48</t>
  </si>
  <si>
    <t>5.48*5.60*3.83</t>
  </si>
  <si>
    <t>5.54*7.54*3.57</t>
  </si>
  <si>
    <t>5.26*7.15*3.55</t>
  </si>
  <si>
    <t>4.49*4.54*2.83</t>
  </si>
  <si>
    <t>8.17*13.26*4.98</t>
  </si>
  <si>
    <t>4.91*4.93*3.07</t>
  </si>
  <si>
    <t>6.58*6.60*4.01</t>
  </si>
  <si>
    <t>6.13*6.15*4.48</t>
  </si>
  <si>
    <t>7.47*10.28*5.06</t>
  </si>
  <si>
    <t>5.81*5.88*3.96</t>
  </si>
  <si>
    <t>6.46*6.51*4.01</t>
  </si>
  <si>
    <t>4.41*4.46*2.60</t>
  </si>
  <si>
    <t>4.47*4.51*2.74</t>
  </si>
  <si>
    <t>9.25*9.28*5.71</t>
  </si>
  <si>
    <t>4.65*6.75*3.17</t>
  </si>
  <si>
    <t>5.70*8.48*3.50</t>
  </si>
  <si>
    <t>4.04*6.35*2.74</t>
  </si>
  <si>
    <t>5.66*5.69*3.52</t>
  </si>
  <si>
    <t>6.31*6.38*3.99</t>
  </si>
  <si>
    <t>7.82*8.00*5.05</t>
  </si>
  <si>
    <t>5.39*7.48*3.43</t>
  </si>
  <si>
    <t>5.38*7.53*3.69</t>
  </si>
  <si>
    <t>8.86*14.27*5.33</t>
  </si>
  <si>
    <t>6.36*6.47*4.12</t>
  </si>
  <si>
    <t>5.69*5.73*3.54</t>
  </si>
  <si>
    <t>5.33*5.61*3.48</t>
  </si>
  <si>
    <t>4.66*6.51*3.05</t>
  </si>
  <si>
    <t>4.59*6.33*3.04</t>
  </si>
  <si>
    <t>8.96*9.01*5.31</t>
  </si>
  <si>
    <t>9.84*13.98*5.78</t>
  </si>
  <si>
    <t>5.69*7.31*3.87</t>
  </si>
  <si>
    <t>4.90*6.60*3.36</t>
  </si>
  <si>
    <t>5.79*8.00*3.61</t>
  </si>
  <si>
    <t>5.79*8.87*3.47</t>
  </si>
  <si>
    <t>4.26*4.28*2.67</t>
  </si>
  <si>
    <t>4.72*6.73*2.43</t>
  </si>
  <si>
    <t>6.76*6.24*4.11</t>
  </si>
  <si>
    <t>5.68*8.43*3.51</t>
  </si>
  <si>
    <t>5.61*5.62*3.76</t>
  </si>
  <si>
    <t>8.50*8.54*5.32</t>
  </si>
  <si>
    <t>3.80*5.33*2.55</t>
  </si>
  <si>
    <t>8.31*7.26*4.92</t>
  </si>
  <si>
    <t>4.44*8.47*2.77</t>
  </si>
  <si>
    <t>8.97*12.43*5.62</t>
  </si>
  <si>
    <t>6.13*8.46*3.82</t>
  </si>
  <si>
    <t>6.64*9.14*4.07</t>
  </si>
  <si>
    <t>5.61*5.83*3.67</t>
  </si>
  <si>
    <t>4.64*9.14*2.92</t>
  </si>
  <si>
    <t>6.29*6.34*4.07</t>
  </si>
  <si>
    <t>5.04*6.52*3.33</t>
  </si>
  <si>
    <t>4.38*4.41*3.12</t>
  </si>
  <si>
    <t>4.91*4.92*3.22</t>
  </si>
  <si>
    <t>7.14*7.20*4.89</t>
  </si>
  <si>
    <t>9.24*9.30*5.78</t>
  </si>
  <si>
    <t>9.74*15.84*5.88</t>
  </si>
  <si>
    <t>5.03*7.04*3.39</t>
  </si>
  <si>
    <t>8.16*11.61*5.01</t>
  </si>
  <si>
    <t>5.45*7.72*3.58</t>
  </si>
  <si>
    <t>6.63*6.66*4.00</t>
  </si>
  <si>
    <t>8.28*11.58*5.58</t>
  </si>
  <si>
    <t>4.60*7.05*3.07</t>
  </si>
  <si>
    <t>5.53*5.79*3.66</t>
  </si>
  <si>
    <t>5.62*5.87*3.68</t>
  </si>
  <si>
    <t>4.31*4.34*2.62</t>
  </si>
  <si>
    <t>5.62*8.37*3.53</t>
  </si>
  <si>
    <t>6.66*9.29*4.07</t>
  </si>
  <si>
    <t>5.78*5.81*3.46</t>
  </si>
  <si>
    <t>5.29*5.52*3.64</t>
  </si>
  <si>
    <t>7.11*10.88*4.37</t>
  </si>
  <si>
    <t>4.36*4.37*3.05</t>
  </si>
  <si>
    <t>3.63*5.21*2.59</t>
  </si>
  <si>
    <t>5.63*8.75*3.43</t>
  </si>
  <si>
    <t>5.93*7.73*3.94</t>
  </si>
  <si>
    <t>6.39*9.13*4.20</t>
  </si>
  <si>
    <t>5.64*8.40*3.51</t>
  </si>
  <si>
    <t>4.98*7.59*3.11</t>
  </si>
  <si>
    <t>5.65*5.80*3.65</t>
  </si>
  <si>
    <t>4.71*4.76*3.00</t>
  </si>
  <si>
    <t>8.16*11.29*5.09</t>
  </si>
  <si>
    <t>4.36*4.38*2.71</t>
  </si>
  <si>
    <t>8.70*9.12*5.81</t>
  </si>
  <si>
    <t>5.67*7.69*3.56</t>
  </si>
  <si>
    <t>5.49*5.51*3.69</t>
  </si>
  <si>
    <t>8.85*8.90*5.53</t>
  </si>
  <si>
    <t>6.46*8.90*4.07</t>
  </si>
  <si>
    <t>5.75*7.84*3.62</t>
  </si>
  <si>
    <t>8.08*8.14*4.89</t>
  </si>
  <si>
    <t>9.71*14.83*5.70</t>
  </si>
  <si>
    <t>4.43*4.45*2.66</t>
  </si>
  <si>
    <t>4.72*6.78*3.07</t>
  </si>
  <si>
    <t>7.21*8.34*4.47</t>
  </si>
  <si>
    <t>6.57*8.96*4.13</t>
  </si>
  <si>
    <t>8.83*8.93*5.96</t>
  </si>
  <si>
    <t>GIA</t>
  </si>
  <si>
    <t>4.18*5.34*2.83</t>
  </si>
  <si>
    <t>4.72*4.78*2.97</t>
  </si>
  <si>
    <t>11.13*9.54*6.62</t>
  </si>
  <si>
    <t>6.19*6.30*4.45</t>
  </si>
  <si>
    <t>4.43*4.47*2.76</t>
  </si>
  <si>
    <t>5.01*6.56*3.39</t>
  </si>
  <si>
    <t>4.33*4.46*3.06</t>
  </si>
  <si>
    <t>6.67*7.67*3.98</t>
  </si>
  <si>
    <t>6.58*6.63*4.11</t>
  </si>
  <si>
    <t>5.62*5.64*3.54</t>
  </si>
  <si>
    <t>4.90*4.91*3.16</t>
  </si>
  <si>
    <t>5.70*7.80*3.58</t>
  </si>
  <si>
    <t>5.64*9.17*3.39</t>
  </si>
  <si>
    <t>5.55*5.57*3.95</t>
  </si>
  <si>
    <t>5.21*5.23*3.24</t>
  </si>
  <si>
    <t>5.84*5.87*3.71</t>
  </si>
  <si>
    <t>5.72*5.74*3.58</t>
  </si>
  <si>
    <t>6.50*6.75*4.45</t>
  </si>
  <si>
    <t>4.33*4.37*2.72</t>
  </si>
  <si>
    <t>4.64*4.69*2.90</t>
  </si>
  <si>
    <t>5.94*5.98*3.73</t>
  </si>
  <si>
    <t>6.25*6.26*4.21</t>
  </si>
  <si>
    <t>6.53*8.98*4.07</t>
  </si>
  <si>
    <t>6.20*7.32*4.11</t>
  </si>
  <si>
    <t>FANCY LIGHT PINK</t>
  </si>
  <si>
    <t>5.25*5.27*3.18</t>
  </si>
  <si>
    <t>5.57*8.55*3.38</t>
  </si>
  <si>
    <t>9.70*13.77*5.99</t>
  </si>
  <si>
    <t>6.44*6.50*4.01</t>
  </si>
  <si>
    <t>9.73*14.92*5.85</t>
  </si>
  <si>
    <t>4.46*4.49*2.65</t>
  </si>
  <si>
    <t>4.82*6.57*3.27</t>
  </si>
  <si>
    <t>4.26*5.86*2.91</t>
  </si>
  <si>
    <t>4.81*4.97*3.23</t>
  </si>
  <si>
    <t>5.74*5.78*3.42</t>
  </si>
  <si>
    <t>5.18*5.19*3.19</t>
  </si>
  <si>
    <t>5.18*6.21*3.52</t>
  </si>
  <si>
    <t>6.44*9.81*3.98</t>
  </si>
  <si>
    <t>6.92*9.92*4.56</t>
  </si>
  <si>
    <t>6.68*10.07*4.20</t>
  </si>
  <si>
    <t>5.48*7.57*3.59</t>
  </si>
  <si>
    <t>9.16*12.47*5.54</t>
  </si>
  <si>
    <t>7.18*7.53*4.59</t>
  </si>
  <si>
    <t>5.23*5.26*3.14</t>
  </si>
  <si>
    <t>6.60*6.63*4.07</t>
  </si>
  <si>
    <t>4.45*4.48*2.77</t>
  </si>
  <si>
    <t>5.93*8.48*3.93</t>
  </si>
  <si>
    <t>4.83*6.76*3.23</t>
  </si>
  <si>
    <t>5.03*7.94*3.07</t>
  </si>
  <si>
    <t>4.80*4.83*2.93</t>
  </si>
  <si>
    <t>5.81*9.01*3.49</t>
  </si>
  <si>
    <t>7.33*7.38*4.57</t>
  </si>
  <si>
    <t>5.65*5.65*3.78</t>
  </si>
  <si>
    <t>6.91*9.73*4.57</t>
  </si>
  <si>
    <t>6.23*10.22*3.72</t>
  </si>
  <si>
    <t>5.84*5.87*3.67</t>
  </si>
  <si>
    <t>5.62*5.69*3.58</t>
  </si>
  <si>
    <t>5.96*6.05*4.33</t>
  </si>
  <si>
    <t>4.27*4.31*2.66</t>
  </si>
  <si>
    <t>4.84*4.90*3.28</t>
  </si>
  <si>
    <t>5.40*10.27*3.31</t>
  </si>
  <si>
    <t>7.30*7.39*4.86</t>
  </si>
  <si>
    <t>5.39*6.48*3.55</t>
  </si>
  <si>
    <t>9.16*9.25*5.72</t>
  </si>
  <si>
    <t>4.70*6.43*3.26</t>
  </si>
  <si>
    <t>4.11*8.45*2.54</t>
  </si>
  <si>
    <t>4.42*4.45*2.78</t>
  </si>
  <si>
    <t>7.40*7.53*5.12</t>
  </si>
  <si>
    <t>4.95*4.98*3.59</t>
  </si>
  <si>
    <t>6.82*7.07*4.76</t>
  </si>
  <si>
    <t>6.74*10.56*4.04</t>
  </si>
  <si>
    <t>5.05*7.73*3.05</t>
  </si>
  <si>
    <t>5.51*7.48*3.62</t>
  </si>
  <si>
    <t>4.35*4.36*3.08</t>
  </si>
  <si>
    <t>5.13*9.70*3.19</t>
  </si>
  <si>
    <t>6.68*8.02*4.44</t>
  </si>
  <si>
    <t>4.86*4.94*3.46</t>
  </si>
  <si>
    <t>4.35*4.40*2.73</t>
  </si>
  <si>
    <t>5.56*5.60*3.46</t>
  </si>
  <si>
    <t>5.72*5.75*3.55</t>
  </si>
  <si>
    <t>4.75*4.78*2.92</t>
  </si>
  <si>
    <t>5.08*7.79*3.08</t>
  </si>
  <si>
    <t>7.24*6.37*4.16</t>
  </si>
  <si>
    <t>7.03*6.07*3.49</t>
  </si>
  <si>
    <t>7.18*7.22*4.43</t>
  </si>
  <si>
    <t>4.89*4.91*2.99</t>
  </si>
  <si>
    <t>5.53*7.93*3.58</t>
  </si>
  <si>
    <t>4.02*6.29*2.60</t>
  </si>
  <si>
    <t>7.08*6.42*3.97</t>
  </si>
  <si>
    <t>5.66*5.93*3.59</t>
  </si>
  <si>
    <t>6.23*7.37*4.19</t>
  </si>
  <si>
    <t>5.57*8.68*3.47</t>
  </si>
  <si>
    <t>5.69*5.73*3.59</t>
  </si>
  <si>
    <t>6.96*10.46*4.49</t>
  </si>
  <si>
    <t>5.36*5.51*3.59</t>
  </si>
  <si>
    <t>8.14*8.55*5.25</t>
  </si>
  <si>
    <t>6.04*9.26*3.75</t>
  </si>
  <si>
    <t>4.32*4.37*2.62</t>
  </si>
  <si>
    <t>6.91*5.92*4.11</t>
  </si>
  <si>
    <t>4.61*5.92*3.13</t>
  </si>
  <si>
    <t>6.56*6.61*4.05</t>
  </si>
  <si>
    <t>5.86*8.10*3.54</t>
  </si>
  <si>
    <t>5.42*7.66*3.52</t>
  </si>
  <si>
    <t>8.67*8.74*5.44</t>
  </si>
  <si>
    <t>5.42*5.57*3.40</t>
  </si>
  <si>
    <t>5.77*7.98*3.50</t>
  </si>
  <si>
    <t>4.71*6.94*3.06</t>
  </si>
  <si>
    <t>10.35*9.39*5.82</t>
  </si>
  <si>
    <t>7.11*11.03*4.38</t>
  </si>
  <si>
    <t>4.84*6.93*3.15</t>
  </si>
  <si>
    <t>6.50*6.69*4.41</t>
  </si>
  <si>
    <t>5.78*5.84*3.86</t>
  </si>
  <si>
    <t>7.35*8.57*4.61</t>
  </si>
  <si>
    <t>4.65*4.71*2.87</t>
  </si>
  <si>
    <t>4.34*4.41*3.12</t>
  </si>
  <si>
    <t>6.36*6.45*4.11</t>
  </si>
  <si>
    <t>5.09*7.60*3.46</t>
  </si>
  <si>
    <t>0.80-0.89</t>
  </si>
  <si>
    <t>4.76*6.56*2.97</t>
  </si>
  <si>
    <t>4.79*6.12*3.21</t>
  </si>
  <si>
    <t>5.95*8.20*4.04</t>
  </si>
  <si>
    <t>8.57*8.65*6.00</t>
  </si>
  <si>
    <t>8.33*11.54*5.21</t>
  </si>
  <si>
    <t>VG</t>
  </si>
  <si>
    <t>7.38*7.39*5.28</t>
  </si>
  <si>
    <t>5.07*7.29*3.10</t>
  </si>
  <si>
    <t>5.40*7.91*3.58</t>
  </si>
  <si>
    <t>5.34*10.37*3.30</t>
  </si>
  <si>
    <t>4.34*4.35*3.16</t>
  </si>
  <si>
    <t>5.76*5.79*3.37</t>
  </si>
  <si>
    <t>5.40*7.50*3.65</t>
  </si>
  <si>
    <t>8.58*8.78*5.53</t>
  </si>
  <si>
    <t>6.77*6.90*4.56</t>
  </si>
  <si>
    <t>5.64*5.86*3.58</t>
  </si>
  <si>
    <t>8.19*8.26*4.99</t>
  </si>
  <si>
    <t>7.99*8.11*5.36</t>
  </si>
  <si>
    <t>8.48*8.63*5.90</t>
  </si>
  <si>
    <t>7.16*10.42*4.75</t>
  </si>
  <si>
    <t>5.04*6.83*3.29</t>
  </si>
  <si>
    <t>5.12*6.94*3.21</t>
  </si>
  <si>
    <t>5.10*6.55*3.31</t>
  </si>
  <si>
    <t>5.51*7.59*3.66</t>
  </si>
  <si>
    <t>6.19*6.21*4.09</t>
  </si>
  <si>
    <t>4.78*6.84*3.14</t>
  </si>
  <si>
    <t>4.37*4.40*2.71</t>
  </si>
  <si>
    <t>6.50*7.61*4.33</t>
  </si>
  <si>
    <t>8.40*12.94*5.14</t>
  </si>
  <si>
    <t>6.06*6.14*4.37</t>
  </si>
  <si>
    <t>4.86*9.24*3.07</t>
  </si>
  <si>
    <t>4.82*4.86*2.94</t>
  </si>
  <si>
    <t>5.51*5.53*3.30</t>
  </si>
  <si>
    <t>4.41*4.44*2.65</t>
  </si>
  <si>
    <t>4.75*6.46*3.22</t>
  </si>
  <si>
    <t>6.45*6.47*4.00</t>
  </si>
  <si>
    <t>6.38*6.68*4.16</t>
  </si>
  <si>
    <t>5.63*5.89*3.64</t>
  </si>
  <si>
    <t>3.86*5.46*2.60</t>
  </si>
  <si>
    <t>8.14*12.76*4.93</t>
  </si>
  <si>
    <t>9.02*9.09*5.62</t>
  </si>
  <si>
    <t>8.05*11.12*4.92</t>
  </si>
  <si>
    <t>4.49*7.07*3.05</t>
  </si>
  <si>
    <t>5.86*11.82*3.74</t>
  </si>
  <si>
    <t>4.31*4.35*2.75</t>
  </si>
  <si>
    <t>6.76*6.78*4.22</t>
  </si>
  <si>
    <t>4.81*4.83*2.89</t>
  </si>
  <si>
    <t>4.75*6.69*3.17</t>
  </si>
  <si>
    <t>3.77*5.22*2.55</t>
  </si>
  <si>
    <t>5.07*6.83*3.39</t>
  </si>
  <si>
    <t>5.61*5.64*3.50</t>
  </si>
  <si>
    <t>5.56*5.60*3.54</t>
  </si>
  <si>
    <t>6.94*6.98*4.36</t>
  </si>
  <si>
    <t>8.65*8.71*5.37</t>
  </si>
  <si>
    <t>6.61*9.84*4.04</t>
  </si>
  <si>
    <t>Color</t>
  </si>
  <si>
    <t>5.94*8.11*4.05</t>
  </si>
  <si>
    <t>3.92*5.56*2.58</t>
  </si>
  <si>
    <t>6.37*9.43*3.88</t>
  </si>
  <si>
    <t>6.62*9.79*3.93</t>
  </si>
  <si>
    <t>5.30*5.49*3.57</t>
  </si>
  <si>
    <t>5.68*7.77*3.56</t>
  </si>
  <si>
    <t>4.75*4.82*3.04</t>
  </si>
  <si>
    <t>4.85*4.89*3.01</t>
  </si>
  <si>
    <t>4.65*4.68*2.90</t>
  </si>
  <si>
    <t>7.52*7.59*4.71</t>
  </si>
  <si>
    <t>4.21*5.96*2.77</t>
  </si>
  <si>
    <t>8.01*11.55*5.04</t>
  </si>
  <si>
    <t>5.90*8.11*3.98</t>
  </si>
  <si>
    <t>5.28*5.32*3.31</t>
  </si>
  <si>
    <t>4.84*4.85*2.95</t>
  </si>
  <si>
    <t>4.59*4.65*2.91</t>
  </si>
  <si>
    <t>6.53*6.60*4.10</t>
  </si>
  <si>
    <t>4.03*5.94*2.74</t>
  </si>
  <si>
    <t>5.48*5.53*3.43</t>
  </si>
  <si>
    <t>5.65*7.69*3.58</t>
  </si>
  <si>
    <t>4.67*8.69*2.99</t>
  </si>
  <si>
    <t>7.06*7.41*4.51</t>
  </si>
  <si>
    <t>5.72*8.09*3.45</t>
  </si>
  <si>
    <t>6.81*9.55*4.61</t>
  </si>
  <si>
    <t>5.38*10.58*3.26</t>
  </si>
  <si>
    <t>7.26*9.93*4.56</t>
  </si>
  <si>
    <t>6.41*6.45*3.98</t>
  </si>
  <si>
    <t>5.48*7.59*3.66</t>
  </si>
  <si>
    <t>6.54*6.58*4.03</t>
  </si>
  <si>
    <t>6.44*6.49*3.92</t>
  </si>
  <si>
    <t>4.63*4.67*2.79</t>
  </si>
  <si>
    <t>7.68*10.66*4.80</t>
  </si>
  <si>
    <t>6.36*7.67*4.29</t>
  </si>
  <si>
    <t>4.50*4.53*2.70</t>
  </si>
  <si>
    <t>8.06*6.85*4.73</t>
  </si>
  <si>
    <t>5.78*5.80*3.47</t>
  </si>
  <si>
    <t>6.41*9.78*3.88</t>
  </si>
  <si>
    <t>5.97*8.34*3.57</t>
  </si>
  <si>
    <t>4.83*4.86*3.04</t>
  </si>
  <si>
    <t>5.79*5.81*3.50</t>
  </si>
  <si>
    <t>5.84*8.10*3.55</t>
  </si>
  <si>
    <t>5.91*7.31*3.93</t>
  </si>
  <si>
    <t>5.60*7.64*3.81</t>
  </si>
  <si>
    <t>5.04*7.69*3.14</t>
  </si>
  <si>
    <t>6.68*6.87*4.57</t>
  </si>
  <si>
    <t>8.39*11.90*5.17</t>
  </si>
  <si>
    <t>4.59*7.11*2.82</t>
  </si>
  <si>
    <t>7.06*10.31*4.66</t>
  </si>
  <si>
    <t>6.50*6.54*4.12</t>
  </si>
  <si>
    <t>6.47*6.51*3.96</t>
  </si>
  <si>
    <t>4.33*4.35*2.74</t>
  </si>
  <si>
    <t>7.16*6.14*4.05</t>
  </si>
  <si>
    <t>6.59*10.01*4.01</t>
  </si>
  <si>
    <t>5.06*6.73*3.35</t>
  </si>
  <si>
    <t>6.73*9.54*4.47</t>
  </si>
  <si>
    <t>7.51*10.79*4.67</t>
  </si>
  <si>
    <t>6.13*6.15*4.11</t>
  </si>
  <si>
    <t>5.80*5.88*3.65</t>
  </si>
  <si>
    <t>8.55*8.61*6.06</t>
  </si>
  <si>
    <t>6.35*6.39*4.38</t>
  </si>
  <si>
    <t>5.41*5.51*3.90</t>
  </si>
  <si>
    <t>5.10*6.58*3.37</t>
  </si>
  <si>
    <t>4.93*5.06*3.29</t>
  </si>
  <si>
    <t>6.49*6.53*3.97</t>
  </si>
  <si>
    <t>5.26*5.35*3.38</t>
  </si>
  <si>
    <t>4.58*6.32*2.83</t>
  </si>
  <si>
    <t>5.44*7.50*3.39</t>
  </si>
  <si>
    <t>4.39*4.43*2.74</t>
  </si>
  <si>
    <t>6.48*8.81*4.05</t>
  </si>
  <si>
    <t>5.11*7.09*3.15</t>
  </si>
  <si>
    <t>9.12*18.81*5.55</t>
  </si>
  <si>
    <t>5.30*7.20*3.47</t>
  </si>
  <si>
    <t>4.06*8.56*2.48</t>
  </si>
  <si>
    <t>9.77*14.12*6.09</t>
  </si>
  <si>
    <t>6.18*6.20*3.74</t>
  </si>
  <si>
    <t>0.70-0.79</t>
  </si>
  <si>
    <t>6.01*6.06*3.79</t>
  </si>
  <si>
    <t>4.68*4.72*2.90</t>
  </si>
  <si>
    <t>4.36*4.39*2.71</t>
  </si>
  <si>
    <t>4.82*6.59*3.27</t>
  </si>
  <si>
    <t>6.97*10.89*4.28</t>
  </si>
  <si>
    <t>5.60*5.87*3.54</t>
  </si>
  <si>
    <t>6.58*6.62*4.11</t>
  </si>
  <si>
    <t>5.69*5.75*3.58</t>
  </si>
  <si>
    <t>4.78*6.59*2.99</t>
  </si>
  <si>
    <t>5.43*7.62*3.57</t>
  </si>
  <si>
    <t>5.08*6.53*3.34</t>
  </si>
  <si>
    <t>5.45*7.54*3.51</t>
  </si>
  <si>
    <t>8.30*12.44*5.03</t>
  </si>
  <si>
    <t>5.97*6.04*3.74</t>
  </si>
  <si>
    <t>4.89*4.91*3.05</t>
  </si>
  <si>
    <t>6.34*5.41*3.60</t>
  </si>
  <si>
    <t>4.60*6.99*2.77</t>
  </si>
  <si>
    <t>6.53*9.07*4.11</t>
  </si>
  <si>
    <t>5.67*8.16*3.50</t>
  </si>
  <si>
    <t>7.08*11.06*4.27</t>
  </si>
  <si>
    <t>4.67*6.61*3.17</t>
  </si>
  <si>
    <t>8.53*11.85*5.13</t>
  </si>
  <si>
    <t>5.02*6.53*3.39</t>
  </si>
  <si>
    <t>4.34*4.40*2.65</t>
  </si>
  <si>
    <t>4.32*4.35*2.58</t>
  </si>
  <si>
    <t>7.49*7.54*4.50</t>
  </si>
  <si>
    <t>7.76*7.92*5.49</t>
  </si>
  <si>
    <t>6.62*9.11*4.11</t>
  </si>
  <si>
    <t>6.20*6.32*4.41</t>
  </si>
  <si>
    <t>4.49*4.59*2.91</t>
  </si>
  <si>
    <t>7.54*7.61*4.74</t>
  </si>
  <si>
    <t>5.64*5.77*3.65</t>
  </si>
  <si>
    <t>5.40*5.43*3.31</t>
  </si>
  <si>
    <t>4.78*4.80*2.97</t>
  </si>
  <si>
    <t>5.94*11.98*3.70</t>
  </si>
  <si>
    <t>4.50*4.54*2.83</t>
  </si>
  <si>
    <t>8.10*12.39*5.00</t>
  </si>
  <si>
    <t>6.93*7.08*4.63</t>
  </si>
  <si>
    <t>6.55*9.03*4.09</t>
  </si>
  <si>
    <t>6.46*6.50*4.00</t>
  </si>
  <si>
    <t>8.26*11.52*5.09</t>
  </si>
  <si>
    <t>5.61*5.70*3.69</t>
  </si>
  <si>
    <t>4.46*4.49*2.73</t>
  </si>
  <si>
    <t>5.29*10.81*3.15</t>
  </si>
  <si>
    <t>4.81*4.83*2.91</t>
  </si>
  <si>
    <t>6.59*6.61*4.09</t>
  </si>
  <si>
    <t>7.81*10.80*4.82</t>
  </si>
  <si>
    <t>5.90*8.48*4.00</t>
  </si>
  <si>
    <t>5.42*7.37*3.70</t>
  </si>
  <si>
    <t>4.48*6.43*2.93</t>
  </si>
  <si>
    <t>4.24*4.26*2.65</t>
  </si>
  <si>
    <t>5.42*5.45*3.33</t>
  </si>
  <si>
    <t>6.57*9.49*3.95</t>
  </si>
  <si>
    <t>5.34*6.98*3.45</t>
  </si>
  <si>
    <t>6.60*6.63*4.04</t>
  </si>
  <si>
    <t>5.40*5.47*3.64</t>
  </si>
  <si>
    <t>6.54*6.58*4.09</t>
  </si>
  <si>
    <t>6.55*9.17*3.94</t>
  </si>
  <si>
    <t>5.86*8.13*3.54</t>
  </si>
  <si>
    <t>6.24*6.27*4.51</t>
  </si>
  <si>
    <t>4.74*6.64*3.18</t>
  </si>
  <si>
    <t>6.25*6.37*3.95</t>
  </si>
  <si>
    <t>6.59*6.62*4.08</t>
  </si>
  <si>
    <t>6.49*6.51*4.02</t>
  </si>
  <si>
    <t>12.09*17.10*8.14</t>
  </si>
  <si>
    <t>9.73*13.65*5.93</t>
  </si>
  <si>
    <t>6.21*6.28*4.09</t>
  </si>
  <si>
    <t>6.61*6.63*4.06</t>
  </si>
  <si>
    <t>5.69*5.76*3.50</t>
  </si>
  <si>
    <t>5.18*5.20*3.20</t>
  </si>
  <si>
    <t>6.39*12.20*4.03</t>
  </si>
  <si>
    <t>7.30*7.41*4.92</t>
  </si>
  <si>
    <t>7.52*10.78*4.95</t>
  </si>
  <si>
    <t>5.50*7.75*3.52</t>
  </si>
  <si>
    <t>6.49*8.83*4.04</t>
  </si>
  <si>
    <t>6.57*6.60*4.05</t>
  </si>
  <si>
    <t>6.49*8.98*4.02</t>
  </si>
  <si>
    <t>5.29*5.50*3.59</t>
  </si>
  <si>
    <t>4.55*6.35*2.72</t>
  </si>
  <si>
    <t>5.59*8.70*3.46</t>
  </si>
  <si>
    <t>5.61*5.64*3.42</t>
  </si>
  <si>
    <t>4.37*4.41*2.73</t>
  </si>
  <si>
    <t>5.71*7.90*3.37</t>
  </si>
  <si>
    <t>5.38*5.47*3.86</t>
  </si>
  <si>
    <t>6.70*13.12*3.92</t>
  </si>
  <si>
    <t>4.98*5.32*3.10</t>
  </si>
  <si>
    <t>6.48*6.50*3.98</t>
  </si>
  <si>
    <t>6.75*6.81*4.19</t>
  </si>
  <si>
    <t>4.76*6.47*3.18</t>
  </si>
  <si>
    <t>7.21*7.36*5.29</t>
  </si>
  <si>
    <t>5.68*5.70*3.55</t>
  </si>
  <si>
    <t>5.52*7.65*3.48</t>
  </si>
  <si>
    <t>4.75*6.44*3.19</t>
  </si>
  <si>
    <t>7.28*8.41*4.41</t>
  </si>
  <si>
    <t>5.03*6.47*3.39</t>
  </si>
  <si>
    <t>5.61*5.63*3.56</t>
  </si>
  <si>
    <t>4.38*4.40*2.65</t>
  </si>
  <si>
    <t>5.01*7.70*3.13</t>
  </si>
  <si>
    <t>5.09*7.01*3.16</t>
  </si>
  <si>
    <t>7.44*10.27*4.65</t>
  </si>
  <si>
    <t>5.53*5.78*3.81</t>
  </si>
  <si>
    <t>4.60*6.42*2.79</t>
  </si>
  <si>
    <t>5.31*5.58*3.48</t>
  </si>
  <si>
    <t>8.35*12.80*5.10</t>
  </si>
  <si>
    <t>4.48*4.52*2.78</t>
  </si>
  <si>
    <t>4.53*6.42*3.07</t>
  </si>
  <si>
    <t>4.37*4.39*2.70</t>
  </si>
  <si>
    <t>6.65*9.03*4.15</t>
  </si>
  <si>
    <t>14.06*14.71*8.72</t>
  </si>
  <si>
    <t>4.22*6.18*2.83</t>
  </si>
  <si>
    <t>5.49*7.70*3.56</t>
  </si>
  <si>
    <t>FANCY VIVID ORANGE</t>
  </si>
  <si>
    <t>5.14*5.18*3.24</t>
  </si>
  <si>
    <t>6.55*6.59*4.09</t>
  </si>
  <si>
    <t>6.12*8.44*3.70</t>
  </si>
  <si>
    <t>7.14*9.19*4.86</t>
  </si>
  <si>
    <t>8.18*11.29*5.07</t>
  </si>
  <si>
    <t>4.93*7.33*3.02</t>
  </si>
  <si>
    <t>4.42*6.88*2.79</t>
  </si>
  <si>
    <t>6.38*7.83*4.11</t>
  </si>
  <si>
    <t>8.37*8.40*5.09</t>
  </si>
  <si>
    <t>5.37*8.74*3.27</t>
  </si>
  <si>
    <t>9.72*13.41*6.05</t>
  </si>
  <si>
    <t>9.58*15.21*5.77</t>
  </si>
  <si>
    <t>6.59*9.33*4.04</t>
  </si>
  <si>
    <t>4.61*7.12*2.82</t>
  </si>
  <si>
    <t>5.23*10.01*3.30</t>
  </si>
  <si>
    <t>13.07*13.44*8.65</t>
  </si>
  <si>
    <t>7.99*8.05*5.63</t>
  </si>
  <si>
    <t>5.59*5.88*3.64</t>
  </si>
  <si>
    <t>4.68*4.71*2.84</t>
  </si>
  <si>
    <t>4.25*4.28*2.66</t>
  </si>
  <si>
    <t>8.06*8.09*5.03</t>
  </si>
  <si>
    <t>8.13*6.90*4.56</t>
  </si>
  <si>
    <t>10.14*15.62*6.36</t>
  </si>
  <si>
    <t>4.71*4.74*2.97</t>
  </si>
  <si>
    <t>6.88*6.91*4.62</t>
  </si>
  <si>
    <t>Square Cushion Modified Brilliant</t>
  </si>
  <si>
    <t>10.56*10.62*6.32</t>
  </si>
  <si>
    <t>4.36*4.39*2.88</t>
  </si>
  <si>
    <t>4.82*4.83*3.19</t>
  </si>
  <si>
    <t>8.00*7.26*4.53</t>
  </si>
  <si>
    <t>10.03*10.25*6.75</t>
  </si>
  <si>
    <t>8.12*8.15*5.01</t>
  </si>
  <si>
    <t>6.50*6.54*3.92</t>
  </si>
  <si>
    <t>7.95*8.37*5.34</t>
  </si>
  <si>
    <t>5.79*6.00*3.78</t>
  </si>
  <si>
    <t>6.46*6.49*3.95</t>
  </si>
  <si>
    <t>4.37*4.47*2.93</t>
  </si>
  <si>
    <t>5.73*5.76*3.61</t>
  </si>
  <si>
    <t>7.61*7.66*4.72</t>
  </si>
  <si>
    <t>6.76*6.83*4.56</t>
  </si>
  <si>
    <t>4.99*6.74*3.30</t>
  </si>
  <si>
    <t>4.35*6.23*2.89</t>
  </si>
  <si>
    <t>7.82*12.31*5.12</t>
  </si>
  <si>
    <t>4.49*7.04*3.05</t>
  </si>
  <si>
    <t>5.35*7.81*3.60</t>
  </si>
  <si>
    <t>7.63*10.97*4.97</t>
  </si>
  <si>
    <t>6.27*6.30*3.87</t>
  </si>
  <si>
    <t>7.03*6.32*4.13</t>
  </si>
  <si>
    <t>5.19*6.75*3.34</t>
  </si>
  <si>
    <t>7.30*10.06*4.46</t>
  </si>
  <si>
    <t>7.34*8.54*4.46</t>
  </si>
  <si>
    <t>7.99*6.91*4.74</t>
  </si>
  <si>
    <t>7.31*7.34*4.55</t>
  </si>
  <si>
    <t>4.75*4.80*2.98</t>
  </si>
  <si>
    <t>8.37*8.40*5.22</t>
  </si>
  <si>
    <t>5.05*6.81*3.33</t>
  </si>
  <si>
    <t>7.80*7.87*4.94</t>
  </si>
  <si>
    <t>4.66*4.69*2.79</t>
  </si>
  <si>
    <t>5.37*7.60*3.62</t>
  </si>
  <si>
    <t>4.43*4.47*2.73</t>
  </si>
  <si>
    <t>6.01*7.83*3.87</t>
  </si>
  <si>
    <t>4.59*8.76*2.94</t>
  </si>
  <si>
    <t>5.84*8.45*3.54</t>
  </si>
  <si>
    <t>6.48*9.61*4.13</t>
  </si>
  <si>
    <t>6.08*6.11*3.88</t>
  </si>
  <si>
    <t>4.94*8.14*2.95</t>
  </si>
  <si>
    <t>4.71*9.75*2.89</t>
  </si>
  <si>
    <t>6.51*8.90*4.08</t>
  </si>
  <si>
    <t>4.40*6.68*2.79</t>
  </si>
  <si>
    <t>7.12*6.83*3.82</t>
  </si>
  <si>
    <t>8.22*11.56*5.10</t>
  </si>
  <si>
    <t>5.96*11.39*3.76</t>
  </si>
  <si>
    <t>4.79*4.82*2.97</t>
  </si>
  <si>
    <t>9.30*9.33*5.69</t>
  </si>
  <si>
    <t>8.10*8.14*4.92</t>
  </si>
  <si>
    <t>5.61*5.91*3.65</t>
  </si>
  <si>
    <t>5.67*8.48*3.58</t>
  </si>
  <si>
    <t>6.26*6.26*4.13</t>
  </si>
  <si>
    <t>4.33*4.36*2.85</t>
  </si>
  <si>
    <t>7.11*6.83*4.00</t>
  </si>
  <si>
    <t>5.41*7.53*3.72</t>
  </si>
  <si>
    <t>5.10*5.15*3.77</t>
  </si>
  <si>
    <t>8.01*8.05*5.02</t>
  </si>
  <si>
    <t>6.15*6.20*4.47</t>
  </si>
  <si>
    <t>5.58*4.85*3.32</t>
  </si>
  <si>
    <t>5.07*8.21*3.04</t>
  </si>
  <si>
    <t>5.52*5.03*3.24</t>
  </si>
  <si>
    <t>8.18*11.56*5.08</t>
  </si>
  <si>
    <t>6.63*6.81*4.47</t>
  </si>
  <si>
    <t>7.60*7.64*4.72</t>
  </si>
  <si>
    <t>7.40*10.63*4.52</t>
  </si>
  <si>
    <t>9.26*9.31*5.64</t>
  </si>
  <si>
    <t>5.90*5.92*3.67</t>
  </si>
  <si>
    <t>5.57*7.82*3.75</t>
  </si>
  <si>
    <t>6.09*7.34*4.12</t>
  </si>
  <si>
    <t>11.07*11.10*6.70</t>
  </si>
  <si>
    <t>8.19*8.21*4.92</t>
  </si>
  <si>
    <t>4.52*6.86*2.81</t>
  </si>
  <si>
    <t>6.60*6.65*4.09</t>
  </si>
  <si>
    <t>5.14*5.15*3.19</t>
  </si>
  <si>
    <t>5.92*8.25*3.77</t>
  </si>
  <si>
    <t>5.75*7.81*3.61</t>
  </si>
  <si>
    <t>4.73*6.65*3.21</t>
  </si>
  <si>
    <t>7.68*7.73*5.65</t>
  </si>
  <si>
    <t>6.59*6.62*4.11</t>
  </si>
  <si>
    <t>4.54*6.36*2.85</t>
  </si>
  <si>
    <t>7.26*7.33*5.22</t>
  </si>
  <si>
    <t>8.03*8.06*5.33</t>
  </si>
  <si>
    <t>5.77*5.82*3.64</t>
  </si>
  <si>
    <t>7.84*7.20*4.58</t>
  </si>
  <si>
    <t>7.10*6.08*4.05</t>
  </si>
  <si>
    <t>6.01*6.04*4.43</t>
  </si>
  <si>
    <t>4.63*8.80*2.89</t>
  </si>
  <si>
    <t>4.80*5.04*3.13</t>
  </si>
  <si>
    <t>4.62*6.65*2.97</t>
  </si>
  <si>
    <t>5.41*7.50*3.60</t>
  </si>
  <si>
    <t>16.37*14.70*9.28</t>
  </si>
  <si>
    <t>8.05*10.47*5.32</t>
  </si>
  <si>
    <t>5.06*6.47*3.36</t>
  </si>
  <si>
    <t>9.31*9.37*5.52</t>
  </si>
  <si>
    <t>6.64*6.69*3.98</t>
  </si>
  <si>
    <t>6.65*12.62*4.17</t>
  </si>
  <si>
    <t>8.38*8.50*5.68</t>
  </si>
  <si>
    <t>4.93*5.25*3.10</t>
  </si>
  <si>
    <t>8.09*12.27*5.07</t>
  </si>
  <si>
    <t>5.70*5.73*3.56</t>
  </si>
  <si>
    <t>4.86*6.79*3.13</t>
  </si>
  <si>
    <t>7.90*7.95*4.96</t>
  </si>
  <si>
    <t>4.28*4.33*2.69</t>
  </si>
  <si>
    <t>6.91*5.84*4.22</t>
  </si>
  <si>
    <t>8.72*8.54*4.16</t>
  </si>
  <si>
    <t>6.39*9.86*3.97</t>
  </si>
  <si>
    <t>4.32*4.34*2.68</t>
  </si>
  <si>
    <t>5.38*5.60*3.44</t>
  </si>
  <si>
    <t>5.82*8.03*3.55</t>
  </si>
  <si>
    <t>7.94*7.99*5.38</t>
  </si>
  <si>
    <t>Oval</t>
  </si>
  <si>
    <t>4.90*4.97*3.29</t>
  </si>
  <si>
    <t>7.33*8.56*4.77</t>
  </si>
  <si>
    <t>4.69*4.73*2.94</t>
  </si>
  <si>
    <t>5.64*8.32*3.60</t>
  </si>
  <si>
    <t>6.04*6.13*4.57</t>
  </si>
  <si>
    <t>6.40*6.46*3.89</t>
  </si>
  <si>
    <t>6.44*6.47*3.94</t>
  </si>
  <si>
    <t>4.43*6.89*2.71</t>
  </si>
  <si>
    <t>5.12*7.86*3.14</t>
  </si>
  <si>
    <t>7.56*7.69*5.48</t>
  </si>
  <si>
    <t>4.44*4.46*2.76</t>
  </si>
  <si>
    <t>4.76*4.80*2.88</t>
  </si>
  <si>
    <t>4.36*4.38*2.64</t>
  </si>
  <si>
    <t>4.72*6.43*3.21</t>
  </si>
  <si>
    <t>7.90*12.89*4.79</t>
  </si>
  <si>
    <t>6.80*12.95*4.28</t>
  </si>
  <si>
    <t>5.91*5.11*3.37</t>
  </si>
  <si>
    <t>6.55*9.09*3.93</t>
  </si>
  <si>
    <t>3.94*5.59*2.66</t>
  </si>
  <si>
    <t>8.55*8.63*5.36</t>
  </si>
  <si>
    <t>4.69*6.46*3.20</t>
  </si>
  <si>
    <t>7.09*10.78*4.53</t>
  </si>
  <si>
    <t>4.48*6.88*2.78</t>
  </si>
  <si>
    <t>6.61*9.02*4.08</t>
  </si>
  <si>
    <t>5.10*6.97*3.14</t>
  </si>
  <si>
    <t>6.75*9.89*4.44</t>
  </si>
  <si>
    <t>7.03*10.82*4.38</t>
  </si>
  <si>
    <t>7.18*7.31*5.16</t>
  </si>
  <si>
    <t>4.62*4.65*2.81</t>
  </si>
  <si>
    <t>Oval Modified Brilliant</t>
  </si>
  <si>
    <t>3.79*5.41*2.49</t>
  </si>
  <si>
    <t>5.11*7.81*3.08</t>
  </si>
  <si>
    <t>5.20*5.21*3.14</t>
  </si>
  <si>
    <t>3.92*5.49*2.61</t>
  </si>
  <si>
    <t>6.57*8.47*4.46</t>
  </si>
  <si>
    <t>4.41*4.44*2.66</t>
  </si>
  <si>
    <t>4.36*6.46*2.71</t>
  </si>
  <si>
    <t>6.05*8.73*4.12</t>
  </si>
  <si>
    <t>4.78*6.50*3.26</t>
  </si>
  <si>
    <t>4.35*4.35*3.12</t>
  </si>
  <si>
    <t>5.65*8.84*3.35</t>
  </si>
  <si>
    <t>6.56*7.57*4.36</t>
  </si>
  <si>
    <t>7.39*10.51*4.96</t>
  </si>
  <si>
    <t>5.65*5.91*3.67</t>
  </si>
  <si>
    <t>5.87*8.37*3.99</t>
  </si>
  <si>
    <t>4.49*6.82*2.76</t>
  </si>
  <si>
    <t>6.83*6.90*4.49</t>
  </si>
  <si>
    <t>5.94*8.17*4.01</t>
  </si>
  <si>
    <t>8.67*8.89*5.59</t>
  </si>
  <si>
    <t>6.84*7.15*4.62</t>
  </si>
  <si>
    <t>5.87*5.88*3.71</t>
  </si>
  <si>
    <t>5.62*5.77*3.72</t>
  </si>
  <si>
    <t>4.37*9.18*2.66</t>
  </si>
  <si>
    <t>5.53*5.79*3.71</t>
  </si>
  <si>
    <t>4.87*4.90*3.01</t>
  </si>
  <si>
    <t>6.51*6.54*4.05</t>
  </si>
  <si>
    <t>5.64*5.72*3.48</t>
  </si>
  <si>
    <t>9.46*9.49*5.60</t>
  </si>
  <si>
    <t>Square Modified Brilliant</t>
  </si>
  <si>
    <t>5.52*8.16*3.46</t>
  </si>
  <si>
    <t>7.16*7.32*5.28</t>
  </si>
  <si>
    <t>8.24*8.30*5.03</t>
  </si>
  <si>
    <t>6.37*6.43*4.00</t>
  </si>
  <si>
    <t>4.76*6.65*3.19</t>
  </si>
  <si>
    <t>8.55*8.62*5.87</t>
  </si>
  <si>
    <t>8.78*8.84*5.66</t>
  </si>
  <si>
    <t>5.68*7.77*3.55</t>
  </si>
  <si>
    <t>4.65*4.68*2.95</t>
  </si>
  <si>
    <t>6.62*9.14*4.04</t>
  </si>
  <si>
    <t>6.41*6.47*3.97</t>
  </si>
  <si>
    <t>5.77*8.05*3.56</t>
  </si>
  <si>
    <t>5.65*8.00*3.41</t>
  </si>
  <si>
    <t>4.23*5.89*2.83</t>
  </si>
  <si>
    <t>9.00*12.22*5.64</t>
  </si>
  <si>
    <t>8.30*8.50*5.59</t>
  </si>
  <si>
    <t>8.75*8.83*5.28</t>
  </si>
  <si>
    <t>8.96*9.00*5.60</t>
  </si>
  <si>
    <t>9.87*14.15*5.95</t>
  </si>
  <si>
    <t>8.20*8.24*5.07</t>
  </si>
  <si>
    <t>5.52*5.73*3.65</t>
  </si>
  <si>
    <t>4.33*4.38*2.69</t>
  </si>
  <si>
    <t>5.39*7.51*3.62</t>
  </si>
  <si>
    <t>4.75*6.49*3.18</t>
  </si>
  <si>
    <t>7.04*9.69*4.56</t>
  </si>
  <si>
    <t>6.55*8.86*4.11</t>
  </si>
  <si>
    <t>5.84*6.70*3.61</t>
  </si>
  <si>
    <t>6.57*6.59*4.05</t>
  </si>
  <si>
    <t>4.67*6.92*3.00</t>
  </si>
  <si>
    <t>4.91*6.71*3.46</t>
  </si>
  <si>
    <t>8.30*7.18*4.80</t>
  </si>
  <si>
    <t>6.18*6.21*4.50</t>
  </si>
  <si>
    <t>7.06*13.10*4.53</t>
  </si>
  <si>
    <t>7.90*10.90*4.88</t>
  </si>
  <si>
    <t>6.15*6.24*4.52</t>
  </si>
  <si>
    <t>5.26*9.96*3.29</t>
  </si>
  <si>
    <t>5.80*8.01*3.57</t>
  </si>
  <si>
    <t>4.81*4.84*2.94</t>
  </si>
  <si>
    <t>4.71*6.86*3.13</t>
  </si>
  <si>
    <t>5.77*8.45*3.77</t>
  </si>
  <si>
    <t>4.32*4.36*2.71</t>
  </si>
  <si>
    <t>5.28*5.57*3.51</t>
  </si>
  <si>
    <t>4.80*6.52*2.95</t>
  </si>
  <si>
    <t>4.39*4.42*2.69</t>
  </si>
  <si>
    <t>7.78*9.34*5.15</t>
  </si>
  <si>
    <t>6.44*6.48*3.98</t>
  </si>
  <si>
    <t>4.56*6.30*2.75</t>
  </si>
  <si>
    <t>5.07*5.12*3.17</t>
  </si>
  <si>
    <t>10.20*10.25*6.17</t>
  </si>
  <si>
    <t>5.55*5.59*3.39</t>
  </si>
  <si>
    <t>6.03*8.19*4.09</t>
  </si>
  <si>
    <t>5.63*5.67*3.52</t>
  </si>
  <si>
    <t>8.75*8.84*5.59</t>
  </si>
  <si>
    <t>5.56*7.73*3.63</t>
  </si>
  <si>
    <t>5.61*8.71*3.52</t>
  </si>
  <si>
    <t>6.04*6.10*4.42</t>
  </si>
  <si>
    <t>4.70*4.72*2.87</t>
  </si>
  <si>
    <t>6.19*7.45*4.12</t>
  </si>
  <si>
    <t>4.35*4.41*2.67</t>
  </si>
  <si>
    <t>5.23*6.27*3.65</t>
  </si>
  <si>
    <t>15.75*14.20*9.24</t>
  </si>
  <si>
    <t>5.50*4.98*3.26</t>
  </si>
  <si>
    <t>5.67*9.00*3.42</t>
  </si>
  <si>
    <t>6.00*6.02*3.66</t>
  </si>
  <si>
    <t>6.45*9.54*4.13</t>
  </si>
  <si>
    <t>7.22*9.95*4.39</t>
  </si>
  <si>
    <t>8.08*8.13*4.97</t>
  </si>
  <si>
    <t>5.64*5.68*3.54</t>
  </si>
  <si>
    <t>5.81*9.00*3.80</t>
  </si>
  <si>
    <t>8.05*15.34*5.00</t>
  </si>
  <si>
    <t>5.89*8.02*3.64</t>
  </si>
  <si>
    <t>HORSE HEAD</t>
  </si>
  <si>
    <t>6.53*6.69*4.30</t>
  </si>
  <si>
    <t>7.02*7.08*4.71</t>
  </si>
  <si>
    <t>6.18*6.35*4.41</t>
  </si>
  <si>
    <t>6.56*6.59*4.41</t>
  </si>
  <si>
    <t>4.30*4.34*2.75</t>
  </si>
  <si>
    <t>6.33*5.46*3.64</t>
  </si>
  <si>
    <t>5.50*5.55*3.68</t>
  </si>
  <si>
    <t>4.77*6.78*3.11</t>
  </si>
  <si>
    <t>6.17*6.18*4.15</t>
  </si>
  <si>
    <t>8.14*11.02*5.13</t>
  </si>
  <si>
    <t>5.45*7.45*3.72</t>
  </si>
  <si>
    <t>6.38*6.46*4.49</t>
  </si>
  <si>
    <t>4.25*4.29*2.61</t>
  </si>
  <si>
    <t>8.54*8.61*5.20</t>
  </si>
  <si>
    <t>7.75*7.81*4.82</t>
  </si>
  <si>
    <t>4.36*6.28*2.93</t>
  </si>
  <si>
    <t>6.03*7.26*4.00</t>
  </si>
  <si>
    <t>5.60*8.29*3.54</t>
  </si>
  <si>
    <t>5.61*8.85*3.46</t>
  </si>
  <si>
    <t>7.20*7.04*3.80</t>
  </si>
  <si>
    <t>4.87*4.91*2.95</t>
  </si>
  <si>
    <t>5.99*7.21*4.05</t>
  </si>
  <si>
    <t>4.76*6.69*3.10</t>
  </si>
  <si>
    <t>7.10*10.94*4.41</t>
  </si>
  <si>
    <t>7.34*7.38*4.53</t>
  </si>
  <si>
    <t>6.64*6.67*4.08</t>
  </si>
  <si>
    <t>6.63*7.82*4.54</t>
  </si>
  <si>
    <t>5.40*5.42*3.42</t>
  </si>
  <si>
    <t>9.71*14.02*5.90</t>
  </si>
  <si>
    <t>8.65*8.81*5.74</t>
  </si>
  <si>
    <t>6.05*8.50*3.68</t>
  </si>
  <si>
    <t>5.02*6.44*3.38</t>
  </si>
  <si>
    <t>4.94*6.53*3.34</t>
  </si>
  <si>
    <t>4.82*4.85*2.96</t>
  </si>
  <si>
    <t>4.46*4.48*2.72</t>
  </si>
  <si>
    <t>6.68*9.34*4.00</t>
  </si>
  <si>
    <t>7.48*11.46*4.49</t>
  </si>
  <si>
    <t>4.29*8.19*2.68</t>
  </si>
  <si>
    <t>6.10*6.13*4.48</t>
  </si>
  <si>
    <t>4.44*4.47*2.78</t>
  </si>
  <si>
    <t>6.53*8.87*4.10</t>
  </si>
  <si>
    <t>4.83*6.57*3.16</t>
  </si>
  <si>
    <t>4.23*5.93*2.86</t>
  </si>
  <si>
    <t>4.79*6.51*3.25</t>
  </si>
  <si>
    <t>7.83*7.97*5.68</t>
  </si>
  <si>
    <t>5.98*11.96*3.76</t>
  </si>
  <si>
    <t>3.77*5.27*2.53</t>
  </si>
  <si>
    <t>6.12*9.41*3.67</t>
  </si>
  <si>
    <t>6.50*6.65*4.42</t>
  </si>
  <si>
    <t>5.24*5.45*3.57</t>
  </si>
  <si>
    <t>5.71*5.74*3.49</t>
  </si>
  <si>
    <t>Measurement</t>
  </si>
  <si>
    <t>7.39*7.44*4.51</t>
  </si>
  <si>
    <t>6.06*6.32*4.43</t>
  </si>
  <si>
    <t>7.27*7.31*4.55</t>
  </si>
  <si>
    <t>7.03*7.34*4.68</t>
  </si>
  <si>
    <t>5.11*7.02*3.19</t>
  </si>
  <si>
    <t>5.98*8.16*4.11</t>
  </si>
  <si>
    <t>9.20*9.28*5.68</t>
  </si>
  <si>
    <t>8.20*11.34*5.13</t>
  </si>
  <si>
    <t>8.11*11.88*5.35</t>
  </si>
  <si>
    <t>6.65*5.97*3.89</t>
  </si>
  <si>
    <t>5.08*7.33*3.01</t>
  </si>
  <si>
    <t>3.72*5.32*2.37</t>
  </si>
  <si>
    <t>6.15*6.35*4.31</t>
  </si>
  <si>
    <t>5.42*7.59*3.64</t>
  </si>
  <si>
    <t>6.52*6.54*3.90</t>
  </si>
  <si>
    <t>7.60*14.84*4.62</t>
  </si>
  <si>
    <t>5.04*6.60*3.32</t>
  </si>
  <si>
    <t>BLUE2</t>
  </si>
  <si>
    <t>5.14*7.29*3.06</t>
  </si>
  <si>
    <t>6.01*6.22*4.45</t>
  </si>
  <si>
    <t>6.59*6.64*4.08</t>
  </si>
  <si>
    <t>5.61*5.67*3.54</t>
  </si>
  <si>
    <t>3.78*5.15*2.50</t>
  </si>
  <si>
    <t>5.92*5.94*3.70</t>
  </si>
  <si>
    <t>7.63*7.66*4.74</t>
  </si>
  <si>
    <t>4.38*4.42*2.70</t>
  </si>
  <si>
    <t>6.44*9.08*4.03</t>
  </si>
  <si>
    <t>4.66*6.42*2.81</t>
  </si>
  <si>
    <t>7.04*7.50*4.36</t>
  </si>
  <si>
    <t>6.46*6.51*3.94</t>
  </si>
  <si>
    <t>8.33*8.36*5.13</t>
  </si>
  <si>
    <t>8.17*11.89*5.33</t>
  </si>
  <si>
    <t>6.60*7.93*4.46</t>
  </si>
  <si>
    <t>4.81*4.84*3.00</t>
  </si>
  <si>
    <t>5.93*8.43*3.73</t>
  </si>
  <si>
    <t>4.84*4.86*2.92</t>
  </si>
  <si>
    <t>7.41*7.43*4.55</t>
  </si>
  <si>
    <t>5.56*5.03*3.23</t>
  </si>
  <si>
    <t>5.29*6.33*3.52</t>
  </si>
  <si>
    <t>6.83*6.86*4.58</t>
  </si>
  <si>
    <t>5.62*7.24*3.83</t>
  </si>
  <si>
    <t>5.56*5.67*3.74</t>
  </si>
  <si>
    <t>9.86*13.99*6.15</t>
  </si>
  <si>
    <t>5.73*7.99*3.57</t>
  </si>
  <si>
    <t>5.54*7.54*3.62</t>
  </si>
  <si>
    <t>5.03*7.67*3.05</t>
  </si>
  <si>
    <t>4.06*5.71*2.74</t>
  </si>
  <si>
    <t>6.44*6.48*3.96</t>
  </si>
  <si>
    <t>5.79*7.98*3.42</t>
  </si>
  <si>
    <t>8.08*9.23*4.99</t>
  </si>
  <si>
    <t>4.88*4.92*3.11</t>
  </si>
  <si>
    <t>4.49*6.95*2.77</t>
  </si>
  <si>
    <t>4.57*5.92*3.12</t>
  </si>
  <si>
    <t>6.53*9.65*4.16</t>
  </si>
  <si>
    <t>5.95*7.97*3.79</t>
  </si>
  <si>
    <t>7.45*7.47*4.52</t>
  </si>
  <si>
    <t>6.95*7.01*4.36</t>
  </si>
  <si>
    <t>5.28*5.52*3.57</t>
  </si>
  <si>
    <t>5.44*7.49*3.69</t>
  </si>
  <si>
    <t>7.20*7.26*4.57</t>
  </si>
  <si>
    <t>6.21*7.66*4.01</t>
  </si>
  <si>
    <t>5.10*7.23*3.15</t>
  </si>
  <si>
    <t>4.70*4.72*2.89</t>
  </si>
  <si>
    <t>5.60*5.77*3.65</t>
  </si>
  <si>
    <t>SrNo</t>
  </si>
  <si>
    <t>5.20*7.24*3.13</t>
  </si>
  <si>
    <t>5.03*6.83*3.28</t>
  </si>
  <si>
    <t>5.46*7.71*3.55</t>
  </si>
  <si>
    <t>3.81*5.54*2.49</t>
  </si>
  <si>
    <t>6.68*9.34*4.49</t>
  </si>
  <si>
    <t>4.82*4.85*2.97</t>
  </si>
  <si>
    <t>7.38*10.79*4.97</t>
  </si>
  <si>
    <t>4.40*6.81*2.72</t>
  </si>
  <si>
    <t>6.29*6.35*4.18</t>
  </si>
  <si>
    <t>5.68*5.73*3.57</t>
  </si>
  <si>
    <t>8.19*13.35*4.90</t>
  </si>
  <si>
    <t>7.74*10.50*5.31</t>
  </si>
  <si>
    <t>5.98*6.22*4.36</t>
  </si>
  <si>
    <t>4.26*6.05*2.85</t>
  </si>
  <si>
    <t>11.81*12.29*7.86</t>
  </si>
  <si>
    <t>7.18*9.98*4.43</t>
  </si>
  <si>
    <t>5.66*5.69*3.56</t>
  </si>
  <si>
    <t>8.04*8.09*5.00</t>
  </si>
  <si>
    <t>5.54*5.60*3.82</t>
  </si>
  <si>
    <t>9.04*9.11*5.65</t>
  </si>
  <si>
    <t>7.05*7.14*4.64</t>
  </si>
  <si>
    <t>4.72*7.06*2.99</t>
  </si>
  <si>
    <t>5.22*5.25*3.29</t>
  </si>
  <si>
    <t>5.82*8.12*3.56</t>
  </si>
  <si>
    <t>7.19*7.38*4.76</t>
  </si>
  <si>
    <t>5.12*5.16*3.15</t>
  </si>
  <si>
    <t>4.50*4.64*2.87</t>
  </si>
  <si>
    <t>5.21*7.44*3.47</t>
  </si>
  <si>
    <t>4.73*7.71*2.85</t>
  </si>
  <si>
    <t>5.09*5.12*3.15</t>
  </si>
  <si>
    <t>5.59*7.59*3.50</t>
  </si>
  <si>
    <t>4.74*6.75*3.20</t>
  </si>
  <si>
    <t>6.45*8.81*4.08</t>
  </si>
  <si>
    <t>11.10*11.18*6.80</t>
  </si>
  <si>
    <t>6.39*9.52*4.09</t>
  </si>
  <si>
    <t>8.04*8.13*5.41</t>
  </si>
  <si>
    <t>4.37*4.41*2.65</t>
  </si>
  <si>
    <t>4.80*6.54*3.21</t>
  </si>
  <si>
    <t>6.85*6.29*4.04</t>
  </si>
  <si>
    <t>Lab</t>
  </si>
  <si>
    <t>4.69*6.39*3.22</t>
  </si>
  <si>
    <t>6.03*11.23*3.73</t>
  </si>
  <si>
    <t>8.11*10.90*5.24</t>
  </si>
  <si>
    <t>5.13*7.15*3.09</t>
  </si>
  <si>
    <t>10.44*10.51*7.10</t>
  </si>
  <si>
    <t>Carats</t>
  </si>
  <si>
    <t>6.65*6.70*4.15</t>
  </si>
  <si>
    <t>5.64*5.15*3.21</t>
  </si>
  <si>
    <t>4.82*4.84*2.85</t>
  </si>
  <si>
    <t>5.68*7.71*3.56</t>
  </si>
  <si>
    <t>5.55*6.79*3.64</t>
  </si>
  <si>
    <t>6.28*6.39*4.04</t>
  </si>
  <si>
    <t>5.72*7.83*3.60</t>
  </si>
  <si>
    <t>5.66*8.35*3.60</t>
  </si>
  <si>
    <t>5.60*8.54*3.54</t>
  </si>
  <si>
    <t>5.20*6.94*3.28</t>
  </si>
  <si>
    <t>5.37*5.39*3.66</t>
  </si>
  <si>
    <t>6.81*9.90*4.53</t>
  </si>
  <si>
    <t>5.75*7.97*3.56</t>
  </si>
  <si>
    <t>5.06*5.10*3.17</t>
  </si>
  <si>
    <t>5.57*7.75*3.58</t>
  </si>
  <si>
    <t>5.20*7.82*3.55</t>
  </si>
  <si>
    <t>3.74*5.13*2.55</t>
  </si>
  <si>
    <t>6.63*6.66*4.06</t>
  </si>
  <si>
    <t>6.48*6.75*4.24</t>
  </si>
  <si>
    <t>6.43*9.03*4.02</t>
  </si>
  <si>
    <t>5.41*7.58*3.64</t>
  </si>
  <si>
    <t>8.64*8.76*5.62</t>
  </si>
  <si>
    <t>6.53*9.03*4.07</t>
  </si>
  <si>
    <t>6.66*12.66*4.16</t>
  </si>
  <si>
    <t>6.61*9.10*4.02</t>
  </si>
  <si>
    <t>5.05*6.83*3.35</t>
  </si>
  <si>
    <t>7.17*7.23*4.50</t>
  </si>
  <si>
    <t>5.49*7.50*3.72</t>
  </si>
  <si>
    <t>6.25*6.25*4.16</t>
  </si>
  <si>
    <t>7.11*9.79*4.46</t>
  </si>
  <si>
    <t>5.94*8.30*4.00</t>
  </si>
  <si>
    <t>6.44*6.47*3.97</t>
  </si>
  <si>
    <t>6.81*6.84*4.18</t>
  </si>
  <si>
    <t>3.99*5.66*2.65</t>
  </si>
  <si>
    <t>5.84*5.89*3.69</t>
  </si>
  <si>
    <t>5.38*7.33*3.67</t>
  </si>
  <si>
    <t>5.72*8.41*3.92</t>
  </si>
  <si>
    <t>5.59*8.25*3.58</t>
  </si>
  <si>
    <t>5.94*6.01*3.64</t>
  </si>
  <si>
    <t>6.61*9.09*4.07</t>
  </si>
  <si>
    <t>5.49*7.72*3.56</t>
  </si>
  <si>
    <t>9.68*9.75*6.01</t>
  </si>
  <si>
    <t>7.52*7.57*4.72</t>
  </si>
  <si>
    <t>4.62*7.14*2.91</t>
  </si>
  <si>
    <t>7.34*10.80*4.94</t>
  </si>
  <si>
    <t>7.97*8.04*5.61</t>
  </si>
  <si>
    <t>6.22*6.34*4.02</t>
  </si>
  <si>
    <t>5.44*5.65*3.59</t>
  </si>
  <si>
    <t>4.30*4.31*2.64</t>
  </si>
  <si>
    <t>6.63*6.65*4.05</t>
  </si>
  <si>
    <t>6.38*9.07*3.94</t>
  </si>
  <si>
    <t>5.62*7.66*3.56</t>
  </si>
  <si>
    <t>4.80*4.85*2.96</t>
  </si>
  <si>
    <t>9.21*12.79*5.68</t>
  </si>
  <si>
    <t>8.10*8.14*5.00</t>
  </si>
  <si>
    <t>5.83*8.08*3.65</t>
  </si>
  <si>
    <t>4.86*4.88*2.90</t>
  </si>
  <si>
    <t>8.41*10.88*5.52</t>
  </si>
  <si>
    <t>6.44*6.46*3.93</t>
  </si>
  <si>
    <t>6.43*6.46*4.05</t>
  </si>
  <si>
    <t>6.60*9.03*4.34</t>
  </si>
  <si>
    <t>5.61*5.66*3.56</t>
  </si>
  <si>
    <t>6.02*7.50*3.93</t>
  </si>
  <si>
    <t>4.91*4.93*3.09</t>
  </si>
  <si>
    <t>8.03*7.11*4.55</t>
  </si>
  <si>
    <t>5.82*5.85*3.51</t>
  </si>
  <si>
    <t>4.25*4.29*2.68</t>
  </si>
  <si>
    <t>Shape</t>
  </si>
  <si>
    <t>6.57*6.60*4.03</t>
  </si>
  <si>
    <t>5.85*8.06*3.53</t>
  </si>
  <si>
    <t>4.08*7.79*2.62</t>
  </si>
  <si>
    <t>11.60*11.68*7.07</t>
  </si>
  <si>
    <t>4.77*4.83*3.00</t>
  </si>
  <si>
    <t>5.72*8.02*3.54</t>
  </si>
  <si>
    <t>5.81*7.87*3.63</t>
  </si>
  <si>
    <t>6.41*6.46*4.01</t>
  </si>
  <si>
    <t>6.48*6.51*3.97</t>
  </si>
  <si>
    <t>4.85*4.87*3.03</t>
  </si>
  <si>
    <t>3.30-3.49</t>
  </si>
  <si>
    <t>7.55*7.71*5.48</t>
  </si>
  <si>
    <t>4.37*4.40*2.75</t>
  </si>
  <si>
    <t>8.31*8.40*5.84</t>
  </si>
  <si>
    <t>7.08*6.08*4.17</t>
  </si>
  <si>
    <t>4.30*6.13*2.85</t>
  </si>
  <si>
    <t>5.42*5.53*3.51</t>
  </si>
  <si>
    <t>6.03*9.10*4.08</t>
  </si>
  <si>
    <t>5.48*8.11*3.38</t>
  </si>
  <si>
    <t>5.10*5.13*3.18</t>
  </si>
  <si>
    <t>4.54*6.31*2.83</t>
  </si>
  <si>
    <t>8.63*8.67*5.38</t>
  </si>
  <si>
    <t>8.48*8.53*5.31</t>
  </si>
  <si>
    <t>5.48*7.43*3.73</t>
  </si>
  <si>
    <t>9.14*9.21*5.68</t>
  </si>
  <si>
    <t>5.73*7.93*3.57</t>
  </si>
  <si>
    <t>10.20*10.29*6.27</t>
  </si>
  <si>
    <t>5.83*8.44*3.57</t>
  </si>
  <si>
    <t>9.99*20.70*5.99</t>
  </si>
  <si>
    <t>4.81*4.83*3.20</t>
  </si>
  <si>
    <t>7.03*7.12*4.60</t>
  </si>
  <si>
    <t>5.18*6.23*3.46</t>
  </si>
  <si>
    <t>5.44*5.45*3.57</t>
  </si>
  <si>
    <t>8.77*7.57*5.19</t>
  </si>
  <si>
    <t>7.39*7.41*4.49</t>
  </si>
  <si>
    <t>6.05*6.10*3.84</t>
  </si>
  <si>
    <t>5.60*5.65*3.53</t>
  </si>
  <si>
    <t>5.69*6.00*3.62</t>
  </si>
  <si>
    <t>11.95*10.86*7.14</t>
  </si>
  <si>
    <t>5.81*8.02*3.53</t>
  </si>
  <si>
    <t>5.70*7.96*3.56</t>
  </si>
  <si>
    <t>8.15*11.85*5.30</t>
  </si>
  <si>
    <t>5.29*5.44*3.84</t>
  </si>
  <si>
    <t>8.29*8.34*5.19</t>
  </si>
  <si>
    <t>5.05*7.69*3.14</t>
  </si>
  <si>
    <t>6.52*6.55*3.89</t>
  </si>
  <si>
    <t>11.85*16.73*8.07</t>
  </si>
  <si>
    <t>4.37*4.47*2.97</t>
  </si>
  <si>
    <t>5.62*5.66*3.57</t>
  </si>
  <si>
    <t>4.47*4.49*2.78</t>
  </si>
  <si>
    <t>8.29*11.67*5.11</t>
  </si>
  <si>
    <t>8.08*12.02*5.05</t>
  </si>
  <si>
    <t>7.75*7.87*5.01</t>
  </si>
  <si>
    <t>6.51*9.10*3.98</t>
  </si>
  <si>
    <t>6.24*6.29*4.13</t>
  </si>
  <si>
    <t>10.92*10.95*6.79</t>
  </si>
  <si>
    <t>10.99*11.03*6.72</t>
  </si>
  <si>
    <t>6.42*6.45*4.00</t>
  </si>
  <si>
    <t>4.27*4.29*2.69</t>
  </si>
  <si>
    <t>4.21*8.62*2.52</t>
  </si>
  <si>
    <t>6.73*9.25*4.21</t>
  </si>
  <si>
    <t>4.77*7.83*2.86</t>
  </si>
  <si>
    <t>5.24*6.50*3.43</t>
  </si>
  <si>
    <t>6.77*9.27*4.21</t>
  </si>
  <si>
    <t>5.38*7.26*3.55</t>
  </si>
  <si>
    <t>6.43*9.59*4.06</t>
  </si>
  <si>
    <t>4.49*5.85*3.04</t>
  </si>
  <si>
    <t>4.47*4.61*2.85</t>
  </si>
  <si>
    <t>5.63*5.69*3.58</t>
  </si>
  <si>
    <t>5.52*5.54*3.99</t>
  </si>
  <si>
    <t>4.66*4.70*2.94</t>
  </si>
  <si>
    <t>4.79*4.83*2.94</t>
  </si>
  <si>
    <t>9.27*9.38*6.16</t>
  </si>
  <si>
    <t>6.64*9.31*4.03</t>
  </si>
  <si>
    <t>6.91*6.96*4.33</t>
  </si>
  <si>
    <t>5.90*5.95*3.68</t>
  </si>
  <si>
    <t>4.38*4.42*2.73</t>
  </si>
  <si>
    <t>6.15*6.19*3.85</t>
  </si>
  <si>
    <t>9.69*13.73*5.94</t>
  </si>
  <si>
    <t>6.38*6.69*4.16</t>
  </si>
  <si>
    <t>4.79*4.85*3.00</t>
  </si>
  <si>
    <t>4.69*4.72*2.90</t>
  </si>
  <si>
    <t>4.40*4.44*2.79</t>
  </si>
  <si>
    <t>4.71*4.75*2.87</t>
  </si>
  <si>
    <t>8.12*12.11*5.10</t>
  </si>
  <si>
    <t>5.80*8.19*3.46</t>
  </si>
  <si>
    <t>8.28*8.29*5.94</t>
  </si>
  <si>
    <t>4.91*7.18*3.21</t>
  </si>
  <si>
    <t>7.37*7.42*4.56</t>
  </si>
  <si>
    <t>7.17*10.76*4.41</t>
  </si>
  <si>
    <t>6.71*9.15*4.04</t>
  </si>
  <si>
    <t>5.45*7.69*3.57</t>
  </si>
  <si>
    <t>8.21*11.42*5.08</t>
  </si>
  <si>
    <t>8.47*7.61*4.71</t>
  </si>
  <si>
    <t>4.76*4.78*2.93</t>
  </si>
  <si>
    <t>5.68*5.72*3.46</t>
  </si>
  <si>
    <t>VVS1</t>
  </si>
  <si>
    <t>5.04*6.52*3.39</t>
  </si>
  <si>
    <t>4.41*4.46*2.81</t>
  </si>
  <si>
    <t>4.51*6.25*2.81</t>
  </si>
  <si>
    <t>7.28*7.32*4.55</t>
  </si>
  <si>
    <t>7.10*6.22*4.03</t>
  </si>
  <si>
    <t>9.21*11.10*5.83</t>
  </si>
  <si>
    <t>6.62*9.00*4.13</t>
  </si>
  <si>
    <t>7.33*7.38*4.52</t>
  </si>
  <si>
    <t>4.26*4.27*2.68</t>
  </si>
  <si>
    <t>5.64*5.88*3.67</t>
  </si>
  <si>
    <t>5.64*7.87*3.44</t>
  </si>
  <si>
    <t>4.27*4.29*2.93</t>
  </si>
  <si>
    <t>4.88*4.89*3.50</t>
  </si>
  <si>
    <t>4.65*8.92*2.93</t>
  </si>
  <si>
    <t>11.10*11.16*6.61</t>
  </si>
  <si>
    <t>7.16*7.18*4.47</t>
  </si>
  <si>
    <t>5.84*5.89*3.64</t>
  </si>
  <si>
    <t>5.01*6.49*3.35</t>
  </si>
  <si>
    <t>3.90*5.76*2.54</t>
  </si>
  <si>
    <t>5.71*5.73*3.57</t>
  </si>
  <si>
    <t>6.27*7.40*4.29</t>
  </si>
  <si>
    <t>8.21*12.20*5.20</t>
  </si>
  <si>
    <t>6.27*6.37*4.03</t>
  </si>
  <si>
    <t>7.35*10.65*4.51</t>
  </si>
  <si>
    <t>4.83*4.86*2.92</t>
  </si>
  <si>
    <t>5.00*6.56*3.37</t>
  </si>
  <si>
    <t>4.72*6.73*2.35</t>
  </si>
  <si>
    <t>8.01*11.95*5.15</t>
  </si>
  <si>
    <t>6.59*9.12*4.04</t>
  </si>
  <si>
    <t>Video</t>
  </si>
  <si>
    <t>6.92*5.99*3.56</t>
  </si>
  <si>
    <t>G</t>
  </si>
  <si>
    <t>5.45*5.57*3.64</t>
  </si>
  <si>
    <t>4.67*8.64*2.97</t>
  </si>
  <si>
    <t>5.33*10.18*3.28</t>
  </si>
  <si>
    <t>6.16*6.24*4.17</t>
  </si>
  <si>
    <t>9.39*15.23*5.84</t>
  </si>
  <si>
    <t>7.15*10.09*4.34</t>
  </si>
  <si>
    <t>7.87*7.17*4.69</t>
  </si>
  <si>
    <t>6.60*10.12*3.92</t>
  </si>
  <si>
    <t>6.44*6.46*3.99</t>
  </si>
  <si>
    <t>7.61*7.70*5.21</t>
  </si>
  <si>
    <t>5.69*5.73*3.40</t>
  </si>
  <si>
    <t>4.53*6.35*2.82</t>
  </si>
  <si>
    <t>5.43*5.46*3.38</t>
  </si>
  <si>
    <t>4.66*4.72*2.92</t>
  </si>
  <si>
    <t>4.36*4.39*2.63</t>
  </si>
  <si>
    <t>4.38*4.41*2.72</t>
  </si>
  <si>
    <t>5.18*5.20*3.19</t>
  </si>
  <si>
    <t>8.15*12.00*5.56</t>
  </si>
  <si>
    <t>6.42*9.90*4.08</t>
  </si>
  <si>
    <t>6.07*9.44*3.77</t>
  </si>
  <si>
    <t>6.32*6.46*4.41</t>
  </si>
  <si>
    <t>5.19*5.23*3.16</t>
  </si>
  <si>
    <t>8.66*8.95*5.95</t>
  </si>
  <si>
    <t>7.38*7.44*4.62</t>
  </si>
  <si>
    <t>11.06*11.11*6.66</t>
  </si>
  <si>
    <t>5.75*7.92*3.58</t>
  </si>
  <si>
    <t>5.95*8.08*4.03</t>
  </si>
  <si>
    <t>6.13*7.94*4.07</t>
  </si>
  <si>
    <t>4.05*5.71*2.73</t>
  </si>
  <si>
    <t>4.51*6.95*2.78</t>
  </si>
  <si>
    <t>5.65*8.69*3.52</t>
  </si>
  <si>
    <t>4.77*6.47*3.25</t>
  </si>
  <si>
    <t>5.38*5.52*3.59</t>
  </si>
  <si>
    <t>6.51*9.87*3.96</t>
  </si>
  <si>
    <t>5.70*5.75*3.59</t>
  </si>
  <si>
    <t>5.36*7.39*3.66</t>
  </si>
  <si>
    <t>4.28*4.32*2.67</t>
  </si>
  <si>
    <t>6.04*6.06*3.65</t>
  </si>
  <si>
    <t>5.45*7.40*3.71</t>
  </si>
  <si>
    <t>4.39*4.43*2.75</t>
  </si>
  <si>
    <t>7.99*8.35*5.27</t>
  </si>
  <si>
    <t>4.15*7.70*2.70</t>
  </si>
  <si>
    <t>5.63*8.63*3.51</t>
  </si>
  <si>
    <t>5.09*7.80*3.10</t>
  </si>
  <si>
    <t>6.14*6.18*3.86</t>
  </si>
  <si>
    <t>5.48*7.68*3.55</t>
  </si>
  <si>
    <t>4.37*4.41*2.71</t>
  </si>
  <si>
    <t>4.71*4.73*2.85</t>
  </si>
  <si>
    <t>4.92*4.97*3.04</t>
  </si>
  <si>
    <t>4.38*4.41*2.58</t>
  </si>
  <si>
    <t>5.56*8.32*3.62</t>
  </si>
  <si>
    <t>4.52*6.36*2.82</t>
  </si>
  <si>
    <t>4.54*6.33*2.83</t>
  </si>
  <si>
    <t>5.57*5.62*3.56</t>
  </si>
  <si>
    <t>6.17*6.22*4.51</t>
  </si>
  <si>
    <t>7.67*10.31*4.95</t>
  </si>
  <si>
    <t>4.82*5.11*3.32</t>
  </si>
  <si>
    <t>4.26*4.28*2.61</t>
  </si>
  <si>
    <t>7.42*7.48*4.64</t>
  </si>
  <si>
    <t>8.26*9.75*5.66</t>
  </si>
  <si>
    <t>6.60*9.11*3.92</t>
  </si>
  <si>
    <t>6.86*6.06*4.06</t>
  </si>
  <si>
    <t>6.49*6.50*3.95</t>
  </si>
  <si>
    <t>8.04*8.42*5.16</t>
  </si>
  <si>
    <t>6.22*6.26*4.35</t>
  </si>
  <si>
    <t>4.86*6.67*3.24</t>
  </si>
  <si>
    <t>4.60*6.84*2.74</t>
  </si>
  <si>
    <t>6.66*9.13*4.09</t>
  </si>
  <si>
    <t>4.74*6.45*3.24</t>
  </si>
  <si>
    <t>7.89*8.16*5.26</t>
  </si>
  <si>
    <t>6.29*6.58*3.99</t>
  </si>
  <si>
    <t>4.50*6.22*2.82</t>
  </si>
  <si>
    <t>6.13*11.46*3.67</t>
  </si>
  <si>
    <t>4.24*4.27*2.65</t>
  </si>
  <si>
    <t>7.25*10.36*4.98</t>
  </si>
  <si>
    <t>7.38*7.43*4.61</t>
  </si>
  <si>
    <t>4.46*4.50*2.88</t>
  </si>
  <si>
    <t>6.59*6.62*4.09</t>
  </si>
  <si>
    <t>5.73*7.35*3.86</t>
  </si>
  <si>
    <t>6.62*6.64*4.06</t>
  </si>
  <si>
    <t>5.69*8.11*3.47</t>
  </si>
  <si>
    <t>5.06*7.73*3.09</t>
  </si>
  <si>
    <t>5.75*8.31*3.46</t>
  </si>
  <si>
    <t>5.74*7.81*3.57</t>
  </si>
  <si>
    <t>7.13*11.07*4.35</t>
  </si>
  <si>
    <t>5.16*7.22*3.46</t>
  </si>
  <si>
    <t>4.41*4.41*2.81</t>
  </si>
  <si>
    <t>1.90-1.99</t>
  </si>
  <si>
    <t>10.39*10.46*6.29</t>
  </si>
  <si>
    <t>4.78*6.47*3.23</t>
  </si>
  <si>
    <t>4.78*6.69*3.23</t>
  </si>
  <si>
    <t>5.07*7.81*3.04</t>
  </si>
  <si>
    <t>6.13*11.54*3.78</t>
  </si>
  <si>
    <t>7.02*10.55*4.53</t>
  </si>
  <si>
    <t>5.93*9.63*3.68</t>
  </si>
  <si>
    <t>5.48*5.62*3.98</t>
  </si>
  <si>
    <t>5.51*5.55*3.50</t>
  </si>
  <si>
    <t>5.29*5.54*3.53</t>
  </si>
  <si>
    <t>6.02*8.30*4.08</t>
  </si>
  <si>
    <t>Pear Brilliant</t>
  </si>
  <si>
    <t>7.96*6.94*4.74</t>
  </si>
  <si>
    <t>5.63*5.75*3.79</t>
  </si>
  <si>
    <t>4.73*4.75*2.86</t>
  </si>
  <si>
    <t>4.66*6.75*3.18</t>
  </si>
  <si>
    <t>5.61*5.62*3.67</t>
  </si>
  <si>
    <t>6.40*8.75*4.03</t>
  </si>
  <si>
    <t>10.18*15.04*6.55</t>
  </si>
  <si>
    <t>7.60*6.76*4.33</t>
  </si>
  <si>
    <t>6.96*7.00*4.36</t>
  </si>
  <si>
    <t>4.31*8.12*2.63</t>
  </si>
  <si>
    <t>6.37*6.41*3.96</t>
  </si>
  <si>
    <t>8.21*11.67*4.98</t>
  </si>
  <si>
    <t>6.57*7.64*4.06</t>
  </si>
  <si>
    <t>8.26*11.41*5.05</t>
  </si>
  <si>
    <t>5.70*8.15*3.39</t>
  </si>
  <si>
    <t>4.17*5.72*2.87</t>
  </si>
  <si>
    <t>8.18*7.11*4.60</t>
  </si>
  <si>
    <t>5.65*8.19*3.74</t>
  </si>
  <si>
    <t>7.89*12.43*5.01</t>
  </si>
  <si>
    <t>9.45*15.36*5.88</t>
  </si>
  <si>
    <t>5.41*8.21*3.41</t>
  </si>
  <si>
    <t>4.39*4.42*2.75</t>
  </si>
  <si>
    <t>5.18*5.21*3.17</t>
  </si>
  <si>
    <t>5.77*8.03*3.51</t>
  </si>
  <si>
    <t>7.36*7.40*4.43</t>
  </si>
  <si>
    <t>5.58*5.88*3.68</t>
  </si>
  <si>
    <t>6.34*8.62*4.02</t>
  </si>
  <si>
    <t>5.69*7.87*3.52</t>
  </si>
  <si>
    <t>8.52*8.57*5.29</t>
  </si>
  <si>
    <t>7.16*7.21*4.49</t>
  </si>
  <si>
    <t>5.59*7.53*3.82</t>
  </si>
  <si>
    <t>6.60*6.61*3.93</t>
  </si>
  <si>
    <t>4.27*4.33*3.01</t>
  </si>
  <si>
    <t>6.29*6.40*4.35</t>
  </si>
  <si>
    <t>4.35*4.45*2.91</t>
  </si>
  <si>
    <t>8.15*8.20*5.07</t>
  </si>
  <si>
    <t>9.49*10.01*5.89</t>
  </si>
  <si>
    <t>7.01*6.07*4.05</t>
  </si>
  <si>
    <t>6.64*9.03*4.13</t>
  </si>
  <si>
    <t>6.54*8.99*4.07</t>
  </si>
  <si>
    <t>9.23*9.29*5.72</t>
  </si>
  <si>
    <t>4.63*5.75*3.09</t>
  </si>
  <si>
    <t>3.96*6.25*2.71</t>
  </si>
  <si>
    <t>5.62*9.10*3.44</t>
  </si>
  <si>
    <t>7.24*8.34*4.60</t>
  </si>
  <si>
    <t>4.41*4.45*2.67</t>
  </si>
  <si>
    <t>5.70*5.74*3.58</t>
  </si>
  <si>
    <t>5.88*7.83*3.96</t>
  </si>
  <si>
    <t>5.39*7.54*3.62</t>
  </si>
  <si>
    <t>5.06*7.89*3.09</t>
  </si>
  <si>
    <t>5.94*8.36*3.99</t>
  </si>
  <si>
    <t>6.84*6.88*4.66</t>
  </si>
  <si>
    <t>9.16*9.24*5.69</t>
  </si>
  <si>
    <t>7.99*6.86*4.67</t>
  </si>
  <si>
    <t>6.06*12.17*3.72</t>
  </si>
  <si>
    <t>5.31*7.15*3.46</t>
  </si>
  <si>
    <t>8.23*11.22*5.17</t>
  </si>
  <si>
    <t>5.55*5.73*3.56</t>
  </si>
  <si>
    <t>4.01*5.65*2.70</t>
  </si>
  <si>
    <t>5.20*5.24*3.27</t>
  </si>
  <si>
    <t>FANCY INTENSE BLUE</t>
  </si>
  <si>
    <t>9.47*9.53*5.86</t>
  </si>
  <si>
    <t>5.62*5.66*3.53</t>
  </si>
  <si>
    <t>6.49*6.51*3.98</t>
  </si>
  <si>
    <t>4.43*8.40*2.70</t>
  </si>
  <si>
    <t>6.26*6.27*4.08</t>
  </si>
  <si>
    <t>8.66*8.70*5.37</t>
  </si>
  <si>
    <t>6.58*6.60*4.02</t>
  </si>
  <si>
    <t>3.67*5.39*2.40</t>
  </si>
  <si>
    <t>6.23*6.29*4.17</t>
  </si>
  <si>
    <t>6.88*7.22*4.35</t>
  </si>
  <si>
    <t>5.22*5.24*3.22</t>
  </si>
  <si>
    <t>6.46*6.47*3.94</t>
  </si>
  <si>
    <t>6.54*8.97*4.03</t>
  </si>
  <si>
    <t>6.77*6.81*4.24</t>
  </si>
  <si>
    <t>4.64*4.68*2.84</t>
  </si>
  <si>
    <t>6.13*7.33*4.12</t>
  </si>
  <si>
    <t>6.13*7.37*4.13</t>
  </si>
  <si>
    <t>5.40*5.58*3.41</t>
  </si>
  <si>
    <t>7.02*8.99*4.73</t>
  </si>
  <si>
    <t>6.61*7.62*3.95</t>
  </si>
  <si>
    <t>7.67*8.84*5.22</t>
  </si>
  <si>
    <t>5.73*7.92*3.51</t>
  </si>
  <si>
    <t>6.85*7.10*4.73</t>
  </si>
  <si>
    <t>5.08*8.24*3.06</t>
  </si>
  <si>
    <t>5.47*6.83*3.54</t>
  </si>
  <si>
    <t>7.94*8.00*4.90</t>
  </si>
  <si>
    <t>6.28*6.36*4.00</t>
  </si>
  <si>
    <t>5.06*5.96*3.50</t>
  </si>
  <si>
    <t>5.74*7.90*3.49</t>
  </si>
  <si>
    <t>7.81*8.95*4.55</t>
  </si>
  <si>
    <t>4.71*4.75*3.28</t>
  </si>
  <si>
    <t>5.08*5.12*3.15</t>
  </si>
  <si>
    <t>PEAR</t>
  </si>
  <si>
    <t>6.60*8.48*4.20</t>
  </si>
  <si>
    <t>4.25*6.05*2.70</t>
  </si>
  <si>
    <t>8.57*8.63*6.23</t>
  </si>
  <si>
    <t>6.52*8.98*4.02</t>
  </si>
  <si>
    <t>6.71*6.74*4.00</t>
  </si>
  <si>
    <t>7.11*11.03*4.30</t>
  </si>
  <si>
    <t>4.36*4.40*2.68</t>
  </si>
  <si>
    <t>5.73*5.76*3.57</t>
  </si>
  <si>
    <t>4.45*4.49*2.72</t>
  </si>
  <si>
    <t>8.17*12.77*4.94</t>
  </si>
  <si>
    <t>7.69*7.78*5.57</t>
  </si>
  <si>
    <t>6.70*6.73*4.02</t>
  </si>
  <si>
    <t>9.74*15.86*5.87</t>
  </si>
  <si>
    <t>9.26*9.46*6.03</t>
  </si>
  <si>
    <t>8.26*8.46*5.53</t>
  </si>
  <si>
    <t>4.80*4.89*3.42</t>
  </si>
  <si>
    <t>6.87*6.95*4.57</t>
  </si>
  <si>
    <t>8.21*8.24*4.86</t>
  </si>
  <si>
    <t>4.99*7.39*3.00</t>
  </si>
  <si>
    <t>6.65*9.15*4.04</t>
  </si>
  <si>
    <t>7.00*6.38*3.94</t>
  </si>
  <si>
    <t>11.00*11.05*6.74</t>
  </si>
  <si>
    <t>6.78*5.98*3.98</t>
  </si>
  <si>
    <t>5.64*5.67*3.56</t>
  </si>
  <si>
    <t>4.78*4.80*2.98</t>
  </si>
  <si>
    <t>5.58*5.65*3.47</t>
  </si>
  <si>
    <t>6.41*9.87*3.99</t>
  </si>
  <si>
    <t>6.06*6.19*4.11</t>
  </si>
  <si>
    <t>6.59*6.64*4.14</t>
  </si>
  <si>
    <t>6.45*6.48*4.01</t>
  </si>
  <si>
    <t>9.15*9.26*6.60</t>
  </si>
  <si>
    <t>4.66*6.61*3.25</t>
  </si>
  <si>
    <t>7.79*7.84*5.47</t>
  </si>
  <si>
    <t>5.56*7.71*3.45</t>
  </si>
  <si>
    <t>6.87*6.19*3.83</t>
  </si>
  <si>
    <t>4.45*8.39*2.83</t>
  </si>
  <si>
    <t>4.24*4.28*2.69</t>
  </si>
  <si>
    <t>5.93*8.07*4.07</t>
  </si>
  <si>
    <t>5.68*5.72*3.47</t>
  </si>
  <si>
    <t>9.27*9.35*5.70</t>
  </si>
  <si>
    <t>4.52*6.67*3.05</t>
  </si>
  <si>
    <t>7.65*14.34*4.76</t>
  </si>
  <si>
    <t>4.70*4.73*2.95</t>
  </si>
  <si>
    <t>5.49*7.96*3.30</t>
  </si>
  <si>
    <t>5.57*5.61*4.02</t>
  </si>
  <si>
    <t>4.70*4.80*3.42</t>
  </si>
  <si>
    <t>5.54*5.55*3.57</t>
  </si>
  <si>
    <t>4.40*4.44*2.67</t>
  </si>
  <si>
    <t>7.26*7.33*4.59</t>
  </si>
  <si>
    <t>5.20*5.24*3.17</t>
  </si>
  <si>
    <t>4.47*6.19*2.79</t>
  </si>
  <si>
    <t>4.79*4.82*2.98</t>
  </si>
  <si>
    <t>5.05*5.12*3.08</t>
  </si>
  <si>
    <t>7.12*6.13*4.08</t>
  </si>
  <si>
    <t>8.95*13.25*5.65</t>
  </si>
  <si>
    <t>7.31*7.35*4.59</t>
  </si>
  <si>
    <t>Square Emerald Cut</t>
  </si>
  <si>
    <t>4.40*4.43*2.65</t>
  </si>
  <si>
    <t>5.40*7.63*3.26</t>
  </si>
  <si>
    <t>5.71*7.99*3.57</t>
  </si>
  <si>
    <t>10.67*22.52*6.43</t>
  </si>
  <si>
    <t>5.19*10.91*3.15</t>
  </si>
  <si>
    <t>FANCY VIVID BROWNISH PINK</t>
  </si>
  <si>
    <t>FANCY VIVID BLUE</t>
  </si>
  <si>
    <t>6.48*6.53*4.08</t>
  </si>
  <si>
    <t>8.63*8.64*5.95</t>
  </si>
  <si>
    <t>11.72*17.07*7.80</t>
  </si>
  <si>
    <t>5.44*7.95*3.51</t>
  </si>
  <si>
    <t>5.03*7.99*3.03</t>
  </si>
  <si>
    <t>5.25*5.30*3.29</t>
  </si>
  <si>
    <t>5.63*5.65*3.54</t>
  </si>
  <si>
    <t>7.02*6.12*3.92</t>
  </si>
  <si>
    <t>5.73*9.19*3.48</t>
  </si>
  <si>
    <t>9.49*10.06*5.90</t>
  </si>
  <si>
    <t>9.60*14.84*5.77</t>
  </si>
  <si>
    <t>6.46*6.47*3.97</t>
  </si>
  <si>
    <t>9.73*13.67*5.94</t>
  </si>
  <si>
    <t>7.69*7.72*4.59</t>
  </si>
  <si>
    <t>6.48*8.97*4.02</t>
  </si>
  <si>
    <t>4.59*7.10*2.74</t>
  </si>
  <si>
    <t>4.90*6.88*3.31</t>
  </si>
  <si>
    <t>5.05*7.33*2.96</t>
  </si>
  <si>
    <t>6.04*6.07*4.47</t>
  </si>
  <si>
    <t>6.49*8.92*4.05</t>
  </si>
  <si>
    <t>4.09*6.43*2.60</t>
  </si>
  <si>
    <t>6.12*6.24*4.38</t>
  </si>
  <si>
    <t>5.27*10.02*3.24</t>
  </si>
  <si>
    <t>5.13*5.16*3.09</t>
  </si>
  <si>
    <t>4.61*4.71*3.21</t>
  </si>
  <si>
    <t>4.51*6.30*2.82</t>
  </si>
  <si>
    <t>4.45*4.53*2.93</t>
  </si>
  <si>
    <t>5.89*8.72*3.97</t>
  </si>
  <si>
    <t>FANCY VIVID PINK</t>
  </si>
  <si>
    <t>7.82*7.87*4.90</t>
  </si>
  <si>
    <t>5.57*5.59*3.34</t>
  </si>
  <si>
    <t>6.02*8.61*3.99</t>
  </si>
  <si>
    <t>5.42*7.94*3.50</t>
  </si>
  <si>
    <t>5.60*5.63*3.42</t>
  </si>
  <si>
    <t>5.61*8.56*3.53</t>
  </si>
  <si>
    <t>Depth%</t>
  </si>
  <si>
    <t>5.45*5.74*3.65</t>
  </si>
  <si>
    <t>6.43*8.72*4.05</t>
  </si>
  <si>
    <t>5.72*7.98*3.47</t>
  </si>
  <si>
    <t>Round Rose Cut</t>
  </si>
  <si>
    <t>4.21*5.89*2.83</t>
  </si>
  <si>
    <t>6.29*6.30*4.23</t>
  </si>
  <si>
    <t>4.64*4.70*2.91</t>
  </si>
  <si>
    <t>6.02*8.77*3.95</t>
  </si>
  <si>
    <t>6.58*6.62*4.03</t>
  </si>
  <si>
    <t>6.03*10.16*3.72</t>
  </si>
  <si>
    <t>6.12*5.61*3.58</t>
  </si>
  <si>
    <t>6.89*6.90*4.92</t>
  </si>
  <si>
    <t>6.61*7.96*4.39</t>
  </si>
  <si>
    <t>6.52*6.54*4.09</t>
  </si>
  <si>
    <t>6.49*8.80*4.11</t>
  </si>
  <si>
    <t>5.45*7.43*3.69</t>
  </si>
  <si>
    <t>9.87*15.61*6.17</t>
  </si>
  <si>
    <t>4.44*7.20*2.78</t>
  </si>
  <si>
    <t>6.01*8.42*3.88</t>
  </si>
  <si>
    <t>5.18*6.70*3.48</t>
  </si>
  <si>
    <t>5.52*5.56*3.38</t>
  </si>
  <si>
    <t>5.20*7.05*3.40</t>
  </si>
  <si>
    <t>5.40*7.82*3.61</t>
  </si>
  <si>
    <t>4.74*4.94*3.45</t>
  </si>
  <si>
    <t>8.08*11.75*5.28</t>
  </si>
  <si>
    <t>4.88*6.86*3.18</t>
  </si>
  <si>
    <t>5.48*5.76*3.65</t>
  </si>
  <si>
    <t>6.07*8.53*3.74</t>
  </si>
  <si>
    <t>4.55*6.27*2.83</t>
  </si>
  <si>
    <t>5.65*7.89*3.81</t>
  </si>
  <si>
    <t>7.54*8.67*4.37</t>
  </si>
  <si>
    <t>6.49*9.65*4.08</t>
  </si>
  <si>
    <t>5.72*5.82*3.72</t>
  </si>
  <si>
    <t>4.68*6.69*3.16</t>
  </si>
  <si>
    <t>6.12*6.12*4.47</t>
  </si>
  <si>
    <t>5.22*9.63*3.40</t>
  </si>
  <si>
    <t>7.15*6.09*4.15</t>
  </si>
  <si>
    <t>6.49*9.06*4.05</t>
  </si>
  <si>
    <t>6.48*8.86*4.10</t>
  </si>
  <si>
    <t>4.81*4.85*3.00</t>
  </si>
  <si>
    <t>10.24*10.27*6.25</t>
  </si>
  <si>
    <t>6.39*6.66*4.12</t>
  </si>
  <si>
    <t>6.23*6.66*4.01</t>
  </si>
  <si>
    <t>6.03*7.29*4.05</t>
  </si>
  <si>
    <t>6.57*6.72*4.37</t>
  </si>
  <si>
    <t>7.07*7.12*4.43</t>
  </si>
  <si>
    <t>6.14*6.19*3.89</t>
  </si>
  <si>
    <t>12.67*17.90*8.48</t>
  </si>
  <si>
    <t>8.04*8.09*4.98</t>
  </si>
  <si>
    <t>5.86*8.28*3.59</t>
  </si>
  <si>
    <t>6.14*6.32*4.30</t>
  </si>
  <si>
    <t>5.52*6.69*3.68</t>
  </si>
  <si>
    <t>7.69*11.58*4.60</t>
  </si>
  <si>
    <t>5.12*6.93*3.26</t>
  </si>
  <si>
    <t>9.25*9.32*5.72</t>
  </si>
  <si>
    <t>6.51*9.96*4.01</t>
  </si>
  <si>
    <t>6.74*6.78*4.23</t>
  </si>
  <si>
    <t>5.37*7.55*3.61</t>
  </si>
  <si>
    <t>4.26*5.98*2.76</t>
  </si>
  <si>
    <t>5.01*8.23*3.02</t>
  </si>
  <si>
    <t>4.29*4.33*2.64</t>
  </si>
  <si>
    <t>13.14*16.12*8.65</t>
  </si>
  <si>
    <t>4.55*6.28*2.83</t>
  </si>
  <si>
    <t>5.17*6.70*3.34</t>
  </si>
  <si>
    <t>4.55*4.72*2.90</t>
  </si>
  <si>
    <t>8.80*12.13*5.50</t>
  </si>
  <si>
    <t>6.42*9.56*4.41</t>
  </si>
  <si>
    <t>3.75*5.23*2.54</t>
  </si>
  <si>
    <t>4.41*4.43*2.66</t>
  </si>
  <si>
    <t>7.37*7.41*4.58</t>
  </si>
  <si>
    <t>7.00*7.01*4.74</t>
  </si>
  <si>
    <t>4.74*6.66*3.18</t>
  </si>
  <si>
    <t>6.19*6.26*3.89</t>
  </si>
  <si>
    <t>5.24*9.98*3.28</t>
  </si>
  <si>
    <t>5.68*5.77*3.70</t>
  </si>
  <si>
    <t>5.40*7.99*3.22</t>
  </si>
  <si>
    <t>5.53*5.01*3.23</t>
  </si>
  <si>
    <t>4.77*4.80*2.90</t>
  </si>
  <si>
    <t>8.15*8.56*5.20</t>
  </si>
  <si>
    <t>5.48*7.60*3.53</t>
  </si>
  <si>
    <t>5.27*5.33*3.32</t>
  </si>
  <si>
    <t>5.88*8.14*3.51</t>
  </si>
  <si>
    <t>8.13*12.06*5.13</t>
  </si>
  <si>
    <t>6.48*6.52*3.94</t>
  </si>
  <si>
    <t>4.31*6.23*2.84</t>
  </si>
  <si>
    <t>7.29*7.41*5.23</t>
  </si>
  <si>
    <t>4.88*7.35*3.19</t>
  </si>
  <si>
    <t>7.91*12.71*4.81</t>
  </si>
  <si>
    <t>3.88*5.40*2.63</t>
  </si>
  <si>
    <t>6.84*7.05*4.38</t>
  </si>
  <si>
    <t>5.33*5.35*3.50</t>
  </si>
  <si>
    <t>9.02*13.38*5.68</t>
  </si>
  <si>
    <t>6.53*9.81*4.01</t>
  </si>
  <si>
    <t>5.17*5.19*3.20</t>
  </si>
  <si>
    <t>8.60*8.73*6.19</t>
  </si>
  <si>
    <t>4.38*9.08*2.63</t>
  </si>
  <si>
    <t>5.62*5.65*3.54</t>
  </si>
  <si>
    <t>5.55*5.85*3.53</t>
  </si>
  <si>
    <t>4.65*6.76*3.16</t>
  </si>
  <si>
    <t>4.27*4.31*2.67</t>
  </si>
  <si>
    <t>8.94*9.01*5.53</t>
  </si>
  <si>
    <t>9.22*9.26*5.76</t>
  </si>
  <si>
    <t>5.78*5.82*3.51</t>
  </si>
  <si>
    <t>6.56*12.51*4.17</t>
  </si>
  <si>
    <t>7.69*7.74*4.67</t>
  </si>
  <si>
    <t>5.85*7.95*3.63</t>
  </si>
  <si>
    <t>4.54*6.46*2.73</t>
  </si>
  <si>
    <t>8.97*13.26*5.67</t>
  </si>
  <si>
    <t>5.58*5.64*3.56</t>
  </si>
  <si>
    <t>6.50*6.53*3.96</t>
  </si>
  <si>
    <t>5.42*7.48*3.65</t>
  </si>
  <si>
    <t>4.74*6.93*3.17</t>
  </si>
  <si>
    <t>5.70*5.72*3.45</t>
  </si>
  <si>
    <t>10.91*10.96*6.77</t>
  </si>
  <si>
    <t>5.55*5.79*3.62</t>
  </si>
  <si>
    <t>8.51*10.55*5.45</t>
  </si>
  <si>
    <t>6.49*8.96*4.05</t>
  </si>
  <si>
    <t>5.91*8.05*3.53</t>
  </si>
  <si>
    <t>4.43*4.48*2.80</t>
  </si>
  <si>
    <t>5.00*6.76*3.36</t>
  </si>
  <si>
    <t>4.51*4.54*2.72</t>
  </si>
  <si>
    <t>ROUND MODIFI BRILLIN</t>
  </si>
  <si>
    <t>6.89*9.86*4.36</t>
  </si>
  <si>
    <t>6.51*6.55*4.03</t>
  </si>
  <si>
    <t>4.94*6.69*3.31</t>
  </si>
  <si>
    <t>5.30*5.55*3.54</t>
  </si>
  <si>
    <t>4.27*8.03*2.65</t>
  </si>
  <si>
    <t>4.79*4.82*3.02</t>
  </si>
  <si>
    <t>6.67*6.72*4.02</t>
  </si>
  <si>
    <t>5.55*5.61*3.50</t>
  </si>
  <si>
    <t>7.08*6.06*4.06</t>
  </si>
  <si>
    <t>5.39*5.66*3.40</t>
  </si>
  <si>
    <t>6.03*7.35*3.82</t>
  </si>
  <si>
    <t>4.95*7.11*3.17</t>
  </si>
  <si>
    <t>7.16*6.18*4.06</t>
  </si>
  <si>
    <t>5.52*5.56*3.51</t>
  </si>
  <si>
    <t>6.86*6.89*4.18</t>
  </si>
  <si>
    <t>6.72*6.76*4.01</t>
  </si>
  <si>
    <t>4.85*7.01*3.17</t>
  </si>
  <si>
    <t>7.64*8.81*4.80</t>
  </si>
  <si>
    <t>5.35*5.57*3.44</t>
  </si>
  <si>
    <t>LONG CUSHION</t>
  </si>
  <si>
    <t>7.72*7.79*4.72</t>
  </si>
  <si>
    <t>4.71*6.61*3.06</t>
  </si>
  <si>
    <t>6.59*6.63*4.05</t>
  </si>
  <si>
    <t>6.30*6.38*4.02</t>
  </si>
  <si>
    <t>7.07*10.78*4.37</t>
  </si>
  <si>
    <t>9.13*9.21*5.71</t>
  </si>
  <si>
    <t>5.79*8.00*3.56</t>
  </si>
  <si>
    <t>10.00*20.94*6.04</t>
  </si>
  <si>
    <t>IF</t>
  </si>
  <si>
    <t>5.62*5.65*3.42</t>
  </si>
  <si>
    <t>8.04*11.57*5.00</t>
  </si>
  <si>
    <t>5.14*5.18*3.18</t>
  </si>
  <si>
    <t>5.73*9.39*3.44</t>
  </si>
  <si>
    <t>5.23*5.43*3.78</t>
  </si>
  <si>
    <t>8.52*8.64*5.67</t>
  </si>
  <si>
    <t>4.34*4.37*2.61</t>
  </si>
  <si>
    <t>5.50*7.47*3.65</t>
  </si>
  <si>
    <t>7.10*10.85*4.41</t>
  </si>
  <si>
    <t>7.65*7.71*4.56</t>
  </si>
  <si>
    <t>6.44*6.49*3.96</t>
  </si>
  <si>
    <t>7.22*11.04*4.41</t>
  </si>
  <si>
    <t>4.55*7.04*2.78</t>
  </si>
  <si>
    <t>7.18*9.89*4.42</t>
  </si>
  <si>
    <t>4.34*4.39*2.60</t>
  </si>
  <si>
    <t>7.03*5.96*4.10</t>
  </si>
  <si>
    <t>6.57*8.97*4.12</t>
  </si>
  <si>
    <t>5.43*7.58*3.63</t>
  </si>
  <si>
    <t>9.05*10.99*5.92</t>
  </si>
  <si>
    <t>5.35*5.39*3.38</t>
  </si>
  <si>
    <t>Cushion Modified Brilliant</t>
  </si>
  <si>
    <t>7.34*7.36*4.56</t>
  </si>
  <si>
    <t>7.38*7.43*4.62</t>
  </si>
  <si>
    <t>9.23*9.27*5.70</t>
  </si>
  <si>
    <t>6.61*6.64*4.07</t>
  </si>
  <si>
    <t>8.34*11.32*5.06</t>
  </si>
  <si>
    <t>5.59*8.29*3.57</t>
  </si>
  <si>
    <t>5.46*5.53*3.55</t>
  </si>
  <si>
    <t>6.57*6.60*4.11</t>
  </si>
  <si>
    <t>6.78*7.22*4.65</t>
  </si>
  <si>
    <t>4.69*5.63*3.08</t>
  </si>
  <si>
    <t>5.40*7.56*3.65</t>
  </si>
  <si>
    <t>5.81*5.83*3.50</t>
  </si>
  <si>
    <t>9.21*9.27*5.68</t>
  </si>
  <si>
    <t>5.92*9.50*3.68</t>
  </si>
  <si>
    <t>8.60*8.69*5.64</t>
  </si>
  <si>
    <t>7.68*8.08*4.99</t>
  </si>
  <si>
    <t>5.94*5.97*3.70</t>
  </si>
  <si>
    <t>6.59*6.62*4.06</t>
  </si>
  <si>
    <t>7.94*8.32*5.10</t>
  </si>
  <si>
    <t>5.04*6.93*3.17</t>
  </si>
  <si>
    <t>6.44*8.77*4.10</t>
  </si>
  <si>
    <t>4.79*4.94*3.46</t>
  </si>
  <si>
    <t>DUCK</t>
  </si>
  <si>
    <t>5.42*5.80*3.38</t>
  </si>
  <si>
    <t>6.60*8.95*4.12</t>
  </si>
  <si>
    <t>5.68*8.39*3.59</t>
  </si>
  <si>
    <t>6.57*9.06*4.10</t>
  </si>
  <si>
    <t>8.27*8.59*5.27</t>
  </si>
  <si>
    <t>7.99*8.06*5.14</t>
  </si>
  <si>
    <t>6.61*9.11*3.94</t>
  </si>
  <si>
    <t>5.44*8.74*3.35</t>
  </si>
  <si>
    <t>4.30*4.34*2.72</t>
  </si>
  <si>
    <t>5.55*8.33*3.33</t>
  </si>
  <si>
    <t>6.17*6.19*3.88</t>
  </si>
  <si>
    <t>6.43*6.47*3.98</t>
  </si>
  <si>
    <t>7.87*7.90*4.95</t>
  </si>
  <si>
    <t>7.25*10.05*4.48</t>
  </si>
  <si>
    <t>5.08*6.76*3.37</t>
  </si>
  <si>
    <t>4.32*4.35*2.77</t>
  </si>
  <si>
    <t>7.16*9.91*4.47</t>
  </si>
  <si>
    <t>6.00*9.22*3.74</t>
  </si>
  <si>
    <t>10.62*9.29*6.31</t>
  </si>
  <si>
    <t>5.76*5.78*3.62</t>
  </si>
  <si>
    <t>8.27*8.29*4.94</t>
  </si>
  <si>
    <t>4.68*6.66*2.92</t>
  </si>
  <si>
    <t>8.03*6.98*4.74</t>
  </si>
  <si>
    <t>5.98*6.89*3.74</t>
  </si>
  <si>
    <t>4.35*4.57*2.88</t>
  </si>
  <si>
    <t>5.26*10.02*3.25</t>
  </si>
  <si>
    <t>6.50*6.53*4.05</t>
  </si>
  <si>
    <t>4.04*6.40*2.60</t>
  </si>
  <si>
    <t>7.08*6.24*4.05</t>
  </si>
  <si>
    <t>6.35*6.41*4.01</t>
  </si>
  <si>
    <t>5.60*5.11*3.19</t>
  </si>
  <si>
    <t>10.17*15.27*6.73</t>
  </si>
  <si>
    <t>4.35*5.60*2.92</t>
  </si>
  <si>
    <t>7.52*7.58*4.72</t>
  </si>
  <si>
    <t>5.58*5.86*3.66</t>
  </si>
  <si>
    <t>6.00*11.91*3.75</t>
  </si>
  <si>
    <t>4.77*4.82*3.44</t>
  </si>
  <si>
    <t>8.08*8.45*5.26</t>
  </si>
  <si>
    <t>4.70*6.73*3.15</t>
  </si>
  <si>
    <t>5.40*7.82*3.52</t>
  </si>
  <si>
    <t>4.35*6.17*2.93</t>
  </si>
  <si>
    <t>5.41*7.50*3.68</t>
  </si>
  <si>
    <t>4.75*6.84*3.18</t>
  </si>
  <si>
    <t>5.34*5.36*3.82</t>
  </si>
  <si>
    <t>5.19*5.22*3.73</t>
  </si>
  <si>
    <t>5.33*5.36*3.34</t>
  </si>
  <si>
    <t>5.60*7.75*3.56</t>
  </si>
  <si>
    <t>8.10*12.97*4.88</t>
  </si>
  <si>
    <t>7.00*5.92*3.99</t>
  </si>
  <si>
    <t>8.29*8.44*5.98</t>
  </si>
  <si>
    <t>7.47*7.51*4.58</t>
  </si>
  <si>
    <t>5.48*7.70*3.62</t>
  </si>
  <si>
    <t>5.43*5.55*3.94</t>
  </si>
  <si>
    <t>6.74*6.80*4.54</t>
  </si>
  <si>
    <t>9.03*8.79*4.54</t>
  </si>
  <si>
    <t>5.49*5.77*3.69</t>
  </si>
  <si>
    <t>6.75*6.85*4.40</t>
  </si>
  <si>
    <t>5.11*5.14*3.19</t>
  </si>
  <si>
    <t>7.60*7.62*4.76</t>
  </si>
  <si>
    <t>6.71*7.66*4.12</t>
  </si>
  <si>
    <t>6.67*6.69*4.12</t>
  </si>
  <si>
    <t>4.94*7.57*3.10</t>
  </si>
  <si>
    <t>4.87*6.86*3.16</t>
  </si>
  <si>
    <t>4.76*4.78*2.98</t>
  </si>
  <si>
    <t>4.82*6.77*3.11</t>
  </si>
  <si>
    <t>6.22*5.50*3.55</t>
  </si>
  <si>
    <t>6.21*6.34*4.14</t>
  </si>
  <si>
    <t>6.30*6.34*4.09</t>
  </si>
  <si>
    <t>4.04*5.70*2.73</t>
  </si>
  <si>
    <t>5.86*7.99*3.57</t>
  </si>
  <si>
    <t>6.39*9.49*4.10</t>
  </si>
  <si>
    <t>6.21*6.32*4.14</t>
  </si>
  <si>
    <t>4.82*4.85*3.19</t>
  </si>
  <si>
    <t>4.97*6.70*3.27</t>
  </si>
  <si>
    <t>5.75*7.97*3.54</t>
  </si>
  <si>
    <t>4.39*4.41*2.61</t>
  </si>
  <si>
    <t>5.63*5.66*3.50</t>
  </si>
  <si>
    <t>5.02*6.64*3.36</t>
  </si>
  <si>
    <t>4.79*6.72*3.14</t>
  </si>
  <si>
    <t>8.12*12.64*5.03</t>
  </si>
  <si>
    <t>5.78*7.97*3.57</t>
  </si>
  <si>
    <t>4.89*4.98*3.28</t>
  </si>
  <si>
    <t>5.69*5.72*3.54</t>
  </si>
  <si>
    <t>7.14*7.20*4.55</t>
  </si>
  <si>
    <t>4.71*7.46*3.01</t>
  </si>
  <si>
    <t>5.71*9.12*3.43</t>
  </si>
  <si>
    <t>8.18*11.48*5.06</t>
  </si>
  <si>
    <t>5.19*5.22*3.13</t>
  </si>
  <si>
    <t>8.90*13.27*5.62</t>
  </si>
  <si>
    <t>5.26*7.80*3.14</t>
  </si>
  <si>
    <t>8.17*8.23*4.95</t>
  </si>
  <si>
    <t>8.39*11.69*5.19</t>
  </si>
  <si>
    <t>6.44*6.48*4.00</t>
  </si>
  <si>
    <t>5.03*6.44*3.38</t>
  </si>
  <si>
    <t>4.25*5.98*2.85</t>
  </si>
  <si>
    <t>5.88*8.08*3.61</t>
  </si>
  <si>
    <t>6.02*6.98*3.47</t>
  </si>
  <si>
    <t>4.77*4.80*2.99</t>
  </si>
  <si>
    <t>6.74*6.95*4.52</t>
  </si>
  <si>
    <t>8.34*8.51*5.50</t>
  </si>
  <si>
    <t>5.74*7.92*3.53</t>
  </si>
  <si>
    <t>4.17*5.81*2.86</t>
  </si>
  <si>
    <t>5.55*5.59*3.40</t>
  </si>
  <si>
    <t>6.21*8.36*4.24</t>
  </si>
  <si>
    <t>5.42*5.78*3.42</t>
  </si>
  <si>
    <t>5.06*6.98*3.16</t>
  </si>
  <si>
    <t>6.04*8.34*4.11</t>
  </si>
  <si>
    <t>9.02*12.34*5.66</t>
  </si>
  <si>
    <t>5.31*5.33*3.59</t>
  </si>
  <si>
    <t>5.46*8.32*3.40</t>
  </si>
  <si>
    <t>4.34*4.37*2.67</t>
  </si>
  <si>
    <t>5.26*5.29*3.28</t>
  </si>
  <si>
    <t>4.54*6.34*2.86</t>
  </si>
  <si>
    <t>13.09*15.68*8.82</t>
  </si>
  <si>
    <t>4.76*4.80*2.95</t>
  </si>
  <si>
    <t>5.69*7.84*3.50</t>
  </si>
  <si>
    <t>4.74*8.84*2.83</t>
  </si>
  <si>
    <t>6.52*9.18*4.09</t>
  </si>
  <si>
    <t>5.43*7.52*3.66</t>
  </si>
  <si>
    <t>5.09*7.87*3.06</t>
  </si>
  <si>
    <t>5.00*6.41*3.30</t>
  </si>
  <si>
    <t>4.39*4.42*2.78</t>
  </si>
  <si>
    <t>4.43*4.46*2.70</t>
  </si>
  <si>
    <t>4.94*7.16*3.11</t>
  </si>
  <si>
    <t>8.24*12.53*5.00</t>
  </si>
  <si>
    <t>5.00*5.04*3.18</t>
  </si>
  <si>
    <t>5.21*5.24*3.23</t>
  </si>
  <si>
    <t>7.80*11.15*5.09</t>
  </si>
  <si>
    <t>5.70*7.25*3.86</t>
  </si>
  <si>
    <t>4.80*4.82*2.94</t>
  </si>
  <si>
    <t>4.66*6.48*2.81</t>
  </si>
  <si>
    <t>7.17*9.59*4.71</t>
  </si>
  <si>
    <t>8.28*11.39*5.04</t>
  </si>
  <si>
    <t>6.59*6.66*4.10</t>
  </si>
  <si>
    <t>5.95*8.15*4.06</t>
  </si>
  <si>
    <t>5.22*7.19*3.50</t>
  </si>
  <si>
    <t>6.07*6.10*3.69</t>
  </si>
  <si>
    <t>6.66*9.08*4.11</t>
  </si>
  <si>
    <t>6.39*6.44*3.98</t>
  </si>
  <si>
    <t>5.81*8.17*3.60</t>
  </si>
  <si>
    <t>4.90*4.95*3.16</t>
  </si>
  <si>
    <t>6.35*6.39*4.10</t>
  </si>
  <si>
    <t>5.87*7.99*4.03</t>
  </si>
  <si>
    <t>5.62*5.76*3.64</t>
  </si>
  <si>
    <t>5.52*7.50*3.45</t>
  </si>
  <si>
    <t>11.10*11.13*6.66</t>
  </si>
  <si>
    <t>4.97*7.00*3.35</t>
  </si>
  <si>
    <t>5.81*7.99*3.44</t>
  </si>
  <si>
    <t>3.99*6.29*2.66</t>
  </si>
  <si>
    <t>6.28*6.29*4.51</t>
  </si>
  <si>
    <t>8.09*7.03*4.61</t>
  </si>
  <si>
    <t>5.34*5.41*3.63</t>
  </si>
  <si>
    <t>6.64*6.68*4.03</t>
  </si>
  <si>
    <t>6.10*6.21*4.43</t>
  </si>
  <si>
    <t>4.43*4.45*2.65</t>
  </si>
  <si>
    <t>8.24*11.21*5.13</t>
  </si>
  <si>
    <t>6.55*9.02*4.09</t>
  </si>
  <si>
    <t>5.47*7.43*3.43</t>
  </si>
  <si>
    <t>6.30*5.44*3.54</t>
  </si>
  <si>
    <t>7.47*7.51*4.38</t>
  </si>
  <si>
    <t>4.12*8.25*2.47</t>
  </si>
  <si>
    <t>6.94*6.82*3.85</t>
  </si>
  <si>
    <t>5.43*7.47*3.63</t>
  </si>
  <si>
    <t>7.09*6.45*3.99</t>
  </si>
  <si>
    <t>4.15*5.83*2.80</t>
  </si>
  <si>
    <t>7.97*8.56*5.06</t>
  </si>
  <si>
    <t>4.36*4.39*2.67</t>
  </si>
  <si>
    <t>5.38*5.63*3.45</t>
  </si>
  <si>
    <t>9.72*9.75*5.99</t>
  </si>
  <si>
    <t>5.82*8.31*3.64</t>
  </si>
  <si>
    <t>5.01*5.06*2.93</t>
  </si>
  <si>
    <t>7.21*7.40*4.82</t>
  </si>
  <si>
    <t>4.77*6.78*3.09</t>
  </si>
  <si>
    <t>6.64*6.68*4.14</t>
  </si>
  <si>
    <t>6.69*6.72*4.03</t>
  </si>
  <si>
    <t>5.62*8.63*3.45</t>
  </si>
  <si>
    <t>5.05*6.65*3.38</t>
  </si>
  <si>
    <t>6.44*7.44*4.26</t>
  </si>
  <si>
    <t>4.56*4.60*2.81</t>
  </si>
  <si>
    <t>5.89*8.21*3.56</t>
  </si>
  <si>
    <t>3.87*5.35*2.62</t>
  </si>
  <si>
    <t>4.29*4.32*2.71</t>
  </si>
  <si>
    <t>4.57*6.42*3.08</t>
  </si>
  <si>
    <t>4.32*4.38*2.61</t>
  </si>
  <si>
    <t>5.75*7.92*3.67</t>
  </si>
  <si>
    <t>5.47*7.89*3.57</t>
  </si>
  <si>
    <t>5.33*6.58*3.51</t>
  </si>
  <si>
    <t>9.77*13.86*6.02</t>
  </si>
  <si>
    <t>6.43*6.48*3.96</t>
  </si>
  <si>
    <t>7.44*9.13*4.99</t>
  </si>
  <si>
    <t>5.68*5.70*3.59</t>
  </si>
  <si>
    <t>7.16*10.32*4.45</t>
  </si>
  <si>
    <t>5.53*5.56*3.47</t>
  </si>
  <si>
    <t>4.49*4.51*2.70</t>
  </si>
  <si>
    <t>6.46*8.94*4.08</t>
  </si>
  <si>
    <t>4.87*4.91*3.09</t>
  </si>
  <si>
    <t>14.93*15.00*8.92</t>
  </si>
  <si>
    <t>4.66*4.72*2.93</t>
  </si>
  <si>
    <t>5.18*5.22*3.14</t>
  </si>
  <si>
    <t>6.27*6.30*4.00</t>
  </si>
  <si>
    <t>7.62*7.68*4.68</t>
  </si>
  <si>
    <t>6.69*8.48*4.31</t>
  </si>
  <si>
    <t>5.45*5.46*3.66</t>
  </si>
  <si>
    <t>4.82*6.69*2.97</t>
  </si>
  <si>
    <t>11.06*24.50*6.37</t>
  </si>
  <si>
    <t>5.30*5.34*3.18</t>
  </si>
  <si>
    <t>8.35*11.49*5.21</t>
  </si>
  <si>
    <t>4.29*4.32*2.67</t>
  </si>
  <si>
    <t>6.67*9.18*4.02</t>
  </si>
  <si>
    <t>5.74*8.03*3.53</t>
  </si>
  <si>
    <t>5.40*7.85*3.57</t>
  </si>
  <si>
    <t>6.18*6.25*4.47</t>
  </si>
  <si>
    <t>FANCY VIVID GREEN</t>
  </si>
  <si>
    <t>6.67*6.98*4.48</t>
  </si>
  <si>
    <t>5.73*7.93*3.33</t>
  </si>
  <si>
    <t>5.58*7.68*3.40</t>
  </si>
  <si>
    <t>9.82*15.92*6.01</t>
  </si>
  <si>
    <t>4.75*6.89*3.54</t>
  </si>
  <si>
    <t>7.28*10.20*4.79</t>
  </si>
  <si>
    <t>6.12*7.36*3.95</t>
  </si>
  <si>
    <t>7.40*7.44*4.63</t>
  </si>
  <si>
    <t>8.13*10.94*5.36</t>
  </si>
  <si>
    <t>4.70*6.51*3.01</t>
  </si>
  <si>
    <t>4.83*4.85*2.96</t>
  </si>
  <si>
    <t>3.78*5.22*2.49</t>
  </si>
  <si>
    <t>4.60*8.86*2.91</t>
  </si>
  <si>
    <t>6.65*9.19*3.92</t>
  </si>
  <si>
    <t>7.27*7.27*5.14</t>
  </si>
  <si>
    <t>6.43*6.49*3.98</t>
  </si>
  <si>
    <t>6.30*7.58*4.03</t>
  </si>
  <si>
    <t>4.56*4.80*2.92</t>
  </si>
  <si>
    <t>5.69*5.86*3.89</t>
  </si>
  <si>
    <t>4.12*6.09*2.80</t>
  </si>
  <si>
    <t>5.43*7.48*3.63</t>
  </si>
  <si>
    <t>4.72*6.41*3.23</t>
  </si>
  <si>
    <t>6.03*8.27*4.00</t>
  </si>
  <si>
    <t>7.21*10.07*4.37</t>
  </si>
  <si>
    <t>4.32*4.35*2.65</t>
  </si>
  <si>
    <t>4.37*4.51*2.83</t>
  </si>
  <si>
    <t>4.75*7.02*3.02</t>
  </si>
  <si>
    <t>4.25*4.29*2.72</t>
  </si>
  <si>
    <t>5.93*8.21*4.02</t>
  </si>
  <si>
    <t>5.16*10.72*3.22</t>
  </si>
  <si>
    <t>5.85*8.12*3.52</t>
  </si>
  <si>
    <t>4.65*6.79*3.19</t>
  </si>
  <si>
    <t>EMERALD</t>
  </si>
  <si>
    <t>6.52*6.56*4.07</t>
  </si>
  <si>
    <t>4.39*4.44*2.74</t>
  </si>
  <si>
    <t>6.20*5.51*3.56</t>
  </si>
  <si>
    <t>6.85*6.86*4.61</t>
  </si>
  <si>
    <t>9.93*10.17*6.63</t>
  </si>
  <si>
    <t>5.85*6.80*3.40</t>
  </si>
  <si>
    <t>4.39*6.37*2.94</t>
  </si>
  <si>
    <t>5.42*7.37*3.69</t>
  </si>
  <si>
    <t>7.13*10.10*4.45</t>
  </si>
  <si>
    <t>5.00*5.23*3.23</t>
  </si>
  <si>
    <t>9.24*9.27*5.72</t>
  </si>
  <si>
    <t>5.27*5.30*3.31</t>
  </si>
  <si>
    <t>4.63*4.67*2.88</t>
  </si>
  <si>
    <t>5.47*5.75*3.68</t>
  </si>
  <si>
    <t>6.50*8.99*4.05</t>
  </si>
  <si>
    <t>5.94*8.30*3.63</t>
  </si>
  <si>
    <t>7.21*7.30*4.60</t>
  </si>
  <si>
    <t>6.26*6.32*3.99</t>
  </si>
  <si>
    <t>9.06*9.12*5.77</t>
  </si>
  <si>
    <t>5.20*5.23*3.27</t>
  </si>
  <si>
    <t>5.82*7.89*3.65</t>
  </si>
  <si>
    <t>16.41*14.93*9.27</t>
  </si>
  <si>
    <t>5.26*5.41*3.84</t>
  </si>
  <si>
    <t>5.14*5.16*3.17</t>
  </si>
  <si>
    <t>4.71*4.75*2.86</t>
  </si>
  <si>
    <t>6.98*9.58*4.43</t>
  </si>
  <si>
    <t>5.01*6.81*3.19</t>
  </si>
  <si>
    <t>5.40*7.57*3.62</t>
  </si>
  <si>
    <t>5.28*5.32*3.13</t>
  </si>
  <si>
    <t>5.76*8.75*3.93</t>
  </si>
  <si>
    <t>8.17*12.49*5.10</t>
  </si>
  <si>
    <t>6.13*6.14*4.50</t>
  </si>
  <si>
    <t>6.70*10.69*4.05</t>
  </si>
  <si>
    <t>4.79*6.53*3.30</t>
  </si>
  <si>
    <t>4.46*7.00*2.88</t>
  </si>
  <si>
    <t>9.45*19.82*5.81</t>
  </si>
  <si>
    <t>8.14*12.72*4.88</t>
  </si>
  <si>
    <t>5.73*7.90*3.49</t>
  </si>
  <si>
    <t>4.97*6.89*3.08</t>
  </si>
  <si>
    <t>4.52*6.31*2.83</t>
  </si>
  <si>
    <t>9.29*9.35*5.66</t>
  </si>
  <si>
    <t>FANCY GREYISH YELLOW</t>
  </si>
  <si>
    <t>4.50*4.53*2.81</t>
  </si>
  <si>
    <t>5.46*5.48*3.32</t>
  </si>
  <si>
    <t>5.73*7.95*3.55</t>
  </si>
  <si>
    <t>7.87*6.75*4.70</t>
  </si>
  <si>
    <t>5.55*5.57*3.41</t>
  </si>
  <si>
    <t>6.65*9.21*4.14</t>
  </si>
  <si>
    <t>4.41*4.44*2.70</t>
  </si>
  <si>
    <t>6.89*6.68*3.94</t>
  </si>
  <si>
    <t>4.41*4.45*2.81</t>
  </si>
  <si>
    <t>Pear Modified Brilliant</t>
  </si>
  <si>
    <t>5.68*5.70*3.57</t>
  </si>
  <si>
    <t>5.51*5.54*3.32</t>
  </si>
  <si>
    <t>5.95*8.23*3.95</t>
  </si>
  <si>
    <t>9.44*9.62*6.59</t>
  </si>
  <si>
    <t>4.77*4.91*3.43</t>
  </si>
  <si>
    <t>4.47*4.50*2.70</t>
  </si>
  <si>
    <t>8.08*8.12*4.98</t>
  </si>
  <si>
    <t>6.54*6.58*4.11</t>
  </si>
  <si>
    <t>4.78*4.82*2.95</t>
  </si>
  <si>
    <t>6.38*9.22*3.98</t>
  </si>
  <si>
    <t>5.31*8.57*3.32</t>
  </si>
  <si>
    <t>8.06*8.43*5.19</t>
  </si>
  <si>
    <t>6.12*8.44*3.82</t>
  </si>
  <si>
    <t>7.20*8.99*4.86</t>
  </si>
  <si>
    <t>8.35*11.71*5.15</t>
  </si>
  <si>
    <t>7.21*10.02*4.43</t>
  </si>
  <si>
    <t>6.93*9.93*4.56</t>
  </si>
  <si>
    <t>8.63*8.78*5.65</t>
  </si>
  <si>
    <t>4.40*4.42*2.73</t>
  </si>
  <si>
    <t>8.56*11.55*5.64</t>
  </si>
  <si>
    <t>5.10*5.12*3.06</t>
  </si>
  <si>
    <t>7.37*10.74*4.91</t>
  </si>
  <si>
    <t>5.52*8.41*3.46</t>
  </si>
  <si>
    <t>5.79*7.86*3.64</t>
  </si>
  <si>
    <t>5.03*7.79*3.12</t>
  </si>
  <si>
    <t>5.17*10.85*3.17</t>
  </si>
  <si>
    <t>3.70-3.99</t>
  </si>
  <si>
    <t>8.45*8.50*5.15</t>
  </si>
  <si>
    <t>5.42*7.42*3.35</t>
  </si>
  <si>
    <t>7.28*10.26*4.78</t>
  </si>
  <si>
    <t>4.29*8.87*2.64</t>
  </si>
  <si>
    <t>4.69*4.72*2.89</t>
  </si>
  <si>
    <t>4.65*8.58*2.94</t>
  </si>
  <si>
    <t>4.27*4.29*2.70</t>
  </si>
  <si>
    <t>9.41*14.23*5.87</t>
  </si>
  <si>
    <t>4.97*10.50*2.99</t>
  </si>
  <si>
    <t>6.33*6.39*3.91</t>
  </si>
  <si>
    <t>8.13*8.18*4.91</t>
  </si>
  <si>
    <t>4.48*6.78*2.81</t>
  </si>
  <si>
    <t>4.91*6.65*3.31</t>
  </si>
  <si>
    <t>6.53*6.56*4.02</t>
  </si>
  <si>
    <t>5.60*5.64*3.54</t>
  </si>
  <si>
    <t>4.38*4.41*2.69</t>
  </si>
  <si>
    <t>5.36*7.28*3.58</t>
  </si>
  <si>
    <t>5.06*5.32*3.22</t>
  </si>
  <si>
    <t>7.63*7.66*4.78</t>
  </si>
  <si>
    <t>7.22*8.34*4.39</t>
  </si>
  <si>
    <t>5.75*8.29*3.55</t>
  </si>
  <si>
    <t>5.42*7.40*3.71</t>
  </si>
  <si>
    <t>6.46*9.85*3.98</t>
  </si>
  <si>
    <t>5.44*7.43*3.68</t>
  </si>
  <si>
    <t>4.62*6.73*3.16</t>
  </si>
  <si>
    <t>4.54*6.26*3.08</t>
  </si>
  <si>
    <t>6.47*8.87*4.05</t>
  </si>
  <si>
    <t>6.75*12.92*3.95</t>
  </si>
  <si>
    <t>8.24*11.40*5.08</t>
  </si>
  <si>
    <t>9.18*9.24*5.71</t>
  </si>
  <si>
    <t>7.14*6.30*4.13</t>
  </si>
  <si>
    <t>9.37*9.49*5.78</t>
  </si>
  <si>
    <t>5.61*5.86*3.70</t>
  </si>
  <si>
    <t>5.47*5.55*3.57</t>
  </si>
  <si>
    <t>6.38*6.71*4.11</t>
  </si>
  <si>
    <t>5.99*8.46*3.99</t>
  </si>
  <si>
    <t>7.00*6.04*4.11</t>
  </si>
  <si>
    <t>7.04*10.68*4.41</t>
  </si>
  <si>
    <t>7.97*8.05*4.97</t>
  </si>
  <si>
    <t>7.20*7.26*4.59</t>
  </si>
  <si>
    <t>7.43*7.48*4.64</t>
  </si>
  <si>
    <t>4.34*6.81*2.98</t>
  </si>
  <si>
    <t>5.25*5.30*3.30</t>
  </si>
  <si>
    <t>9.21*9.25*5.78</t>
  </si>
  <si>
    <t>5.47*7.68*3.45</t>
  </si>
  <si>
    <t>8.07*10.92*5.52</t>
  </si>
  <si>
    <t>8.09*8.68*5.12</t>
  </si>
  <si>
    <t>4.21*4.25*2.68</t>
  </si>
  <si>
    <t>5.58*7.59*3.64</t>
  </si>
  <si>
    <t>7.08*7.42*4.47</t>
  </si>
  <si>
    <t>4.91*6.57*3.26</t>
  </si>
  <si>
    <t>4.34*4.38*2.70</t>
  </si>
  <si>
    <t>6.61*6.74*4.41</t>
  </si>
  <si>
    <t>4.87*6.96*3.04</t>
  </si>
  <si>
    <t>8.38*7.19*4.85</t>
  </si>
  <si>
    <t>4.12*8.57*2.52</t>
  </si>
  <si>
    <t>6.64*9.05*4.13</t>
  </si>
  <si>
    <t>4.70*9.00*2.87</t>
  </si>
  <si>
    <t>10.00*9.10*5.63</t>
  </si>
  <si>
    <t>9.73*9.80*6.08</t>
  </si>
  <si>
    <t>4.25*4.27*2.68</t>
  </si>
  <si>
    <t>4.43*4.48*2.76</t>
  </si>
  <si>
    <t>5.39*7.65*3.63</t>
  </si>
  <si>
    <t>7.24*9.98*4.46</t>
  </si>
  <si>
    <t>5.76*7.92*3.50</t>
  </si>
  <si>
    <t>4.54*6.35*2.80</t>
  </si>
  <si>
    <t>4.08*5.95*2.65</t>
  </si>
  <si>
    <t>4.68*4.71*2.82</t>
  </si>
  <si>
    <t>4.50*4.55*2.79</t>
  </si>
  <si>
    <t>5.67*7.70*3.59</t>
  </si>
  <si>
    <t>4.96*6.70*3.41</t>
  </si>
  <si>
    <t>4.47*6.19*2.84</t>
  </si>
  <si>
    <t>5.90*5.96*3.61</t>
  </si>
  <si>
    <t>11.05*11.11*6.71</t>
  </si>
  <si>
    <t>5.40*8.64*3.20</t>
  </si>
  <si>
    <t>7.85*7.94*5.42</t>
  </si>
  <si>
    <t>9.63*15.02*5.93</t>
  </si>
  <si>
    <t>7.29*7.40*4.96</t>
  </si>
  <si>
    <t>4.80*4.88*3.54</t>
  </si>
  <si>
    <t>5.13*5.14*3.22</t>
  </si>
  <si>
    <t>5.68*7.75*3.50</t>
  </si>
  <si>
    <t>4.31*4.33*2.72</t>
  </si>
  <si>
    <t>4.28*4.31*2.69</t>
  </si>
  <si>
    <t>6.70*6.74*4.07</t>
  </si>
  <si>
    <t>4.67*6.72*3.18</t>
  </si>
  <si>
    <t>6.30*9.53*3.88</t>
  </si>
  <si>
    <t>5.67*5.71*3.54</t>
  </si>
  <si>
    <t>6.40*6.46*3.95</t>
  </si>
  <si>
    <t>5.69*7.86*3.56</t>
  </si>
  <si>
    <t>8.31*11.91*5.05</t>
  </si>
  <si>
    <t>6.09*8.57*4.01</t>
  </si>
  <si>
    <t>5.51*5.63*3.77</t>
  </si>
  <si>
    <t>5.12*7.07*3.12</t>
  </si>
  <si>
    <t>4.26*4.29*2.64</t>
  </si>
  <si>
    <t>8.19*11.46*5.06</t>
  </si>
  <si>
    <t>7.75*10.28*4.92</t>
  </si>
  <si>
    <t>5.49*5.52*3.60</t>
  </si>
  <si>
    <t>5.61*8.14*3.54</t>
  </si>
  <si>
    <t>4.43*6.89*2.77</t>
  </si>
  <si>
    <t>7.54*7.77*5.57</t>
  </si>
  <si>
    <t>6.82*6.86*4.15</t>
  </si>
  <si>
    <t>6.05*8.31*3.80</t>
  </si>
  <si>
    <t>5.54*5.58*3.52</t>
  </si>
  <si>
    <t>9.15*9.18*5.51</t>
  </si>
  <si>
    <t>5.76*8.08*3.49</t>
  </si>
  <si>
    <t>4.56*6.35*2.83</t>
  </si>
  <si>
    <t>6.62*7.93*4.48</t>
  </si>
  <si>
    <t>9.21*9.24*5.71</t>
  </si>
  <si>
    <t>6.44*6.46*3.98</t>
  </si>
  <si>
    <t>4.25*4.28*2.72</t>
  </si>
  <si>
    <t>6.55*8.98*3.97</t>
  </si>
  <si>
    <t>5.34*7.48*3.64</t>
  </si>
  <si>
    <t>8.27*11.67*5.03</t>
  </si>
  <si>
    <t>4.58*7.00*2.81</t>
  </si>
  <si>
    <t>6.49*10.50*3.95</t>
  </si>
  <si>
    <t>7.02*7.04*4.53</t>
  </si>
  <si>
    <t>4.96*6.69*3.36</t>
  </si>
  <si>
    <t>8.37*8.42*5.64</t>
  </si>
  <si>
    <t>7.02*7.33*4.50</t>
  </si>
  <si>
    <t>7.00*6.40*3.95</t>
  </si>
  <si>
    <t>4.03*5.77*2.69</t>
  </si>
  <si>
    <t>6.46*9.99*4.01</t>
  </si>
  <si>
    <t>4.41*6.87*2.69</t>
  </si>
  <si>
    <t>6.54*9.02*4.07</t>
  </si>
  <si>
    <t>5.53*5.73*3.71</t>
  </si>
  <si>
    <t>6.38*9.03*4.22</t>
  </si>
  <si>
    <t>4.78*4.81*2.92</t>
  </si>
  <si>
    <t>5.70*5.74*3.55</t>
  </si>
  <si>
    <t>5.00*7.41*3.21</t>
  </si>
  <si>
    <t>6.54*6.58*3.92</t>
  </si>
  <si>
    <t>6.02*8.44*4.01</t>
  </si>
  <si>
    <t>4.40*4.42*2.67</t>
  </si>
  <si>
    <t>4.87*6.85*3.15</t>
  </si>
  <si>
    <t>4.17*5.82*2.84</t>
  </si>
  <si>
    <t>9.33*9.52*6.56</t>
  </si>
  <si>
    <t>5.65*5.68*3.55</t>
  </si>
  <si>
    <t>5.55*7.54*3.71</t>
  </si>
  <si>
    <t>4.58*6.32*3.11</t>
  </si>
  <si>
    <t>4.43*6.96*2.93</t>
  </si>
  <si>
    <t>5.70*5.89*3.84</t>
  </si>
  <si>
    <t>6.22*5.61*3.53</t>
  </si>
  <si>
    <t>Table%</t>
  </si>
  <si>
    <t>6.62*9.06*3.95</t>
  </si>
  <si>
    <t>4.19*4.25*2.67</t>
  </si>
  <si>
    <t>6.17*6.20*4.10</t>
  </si>
  <si>
    <t>4.29*4.34*2.90</t>
  </si>
  <si>
    <t>4.23*4.27*2.66</t>
  </si>
  <si>
    <t>4.63*6.42*2.86</t>
  </si>
  <si>
    <t>6.80*9.91*4.59</t>
  </si>
  <si>
    <t>6.88*7.03*4.43</t>
  </si>
  <si>
    <t>6.70*7.73*4.19</t>
  </si>
  <si>
    <t>4.99*5.23*3.14</t>
  </si>
  <si>
    <t>7.34*7.39*4.57</t>
  </si>
  <si>
    <t>3.87*5.45*2.60</t>
  </si>
  <si>
    <t>5.78*8.23*3.46</t>
  </si>
  <si>
    <t>5.46*7.95*3.43</t>
  </si>
  <si>
    <t>5.55*5.56*3.84</t>
  </si>
  <si>
    <t>5.88*7.70*3.90</t>
  </si>
  <si>
    <t>6.06*6.18*4.44</t>
  </si>
  <si>
    <t>9.29*9.34*5.78</t>
  </si>
  <si>
    <t>5.85*8.64*3.47</t>
  </si>
  <si>
    <t>7.76*7.84*5.61</t>
  </si>
  <si>
    <t>4.40*4.42*2.76</t>
  </si>
  <si>
    <t>4.68*6.68*2.43</t>
  </si>
  <si>
    <t>4.70*6.34*3.29</t>
  </si>
  <si>
    <t>9.85*8.86*5.94</t>
  </si>
  <si>
    <t>8.05*6.92*4.65</t>
  </si>
  <si>
    <t>5.08*7.78*3.14</t>
  </si>
  <si>
    <t>4.70*6.78*3.05</t>
  </si>
  <si>
    <t>8.40*7.27*5.01</t>
  </si>
  <si>
    <t>5.47*7.66*3.69</t>
  </si>
  <si>
    <t>4.35*4.41*2.86</t>
  </si>
  <si>
    <t>4.35*4.40*2.60</t>
  </si>
  <si>
    <t>6.38*6.54*4.13</t>
  </si>
  <si>
    <t>7.48*10.55*5.05</t>
  </si>
  <si>
    <t>5.87*6.80*3.47</t>
  </si>
  <si>
    <t>4.41*4.43*2.71</t>
  </si>
  <si>
    <t>5.76*7.94*3.46</t>
  </si>
  <si>
    <t>7.57*7.62*5.38</t>
  </si>
  <si>
    <t>6.43*8.90*4.06</t>
  </si>
  <si>
    <t>6.27*7.50*4.04</t>
  </si>
  <si>
    <t>8.20*8.25*4.93</t>
  </si>
  <si>
    <t>5.58*5.72*3.63</t>
  </si>
  <si>
    <t>5.77*8.11*3.53</t>
  </si>
  <si>
    <t>8.28*11.35*5.15</t>
  </si>
  <si>
    <t>8.20*8.22*4.96</t>
  </si>
  <si>
    <t>4.95*6.36*3.31</t>
  </si>
  <si>
    <t>4.73*6.69*3.14</t>
  </si>
  <si>
    <t>4.22*6.18*2.79</t>
  </si>
  <si>
    <t>7.47*7.50*4.52</t>
  </si>
  <si>
    <t>5.12*5.14*3.18</t>
  </si>
  <si>
    <t>4.77*7.00*3.09</t>
  </si>
  <si>
    <t>5.89*8.09*3.85</t>
  </si>
  <si>
    <t>6.35*6.35*4.09</t>
  </si>
  <si>
    <t>6.16*6.17*4.15</t>
  </si>
  <si>
    <t>6.86*9.64*4.63</t>
  </si>
  <si>
    <t>4.81*4.94*3.10</t>
  </si>
  <si>
    <t>5.92*8.19*4.03</t>
  </si>
  <si>
    <t>7.83*8.00*5.42</t>
  </si>
  <si>
    <t>5.40*5.43*3.37</t>
  </si>
  <si>
    <t>5.56*5.59*3.55</t>
  </si>
  <si>
    <t>6.58*6.63*4.14</t>
  </si>
  <si>
    <t>4.79*4.81*2.95</t>
  </si>
  <si>
    <t>4.41*4.44*2.60</t>
  </si>
  <si>
    <t>5.25*5.28*3.30</t>
  </si>
  <si>
    <t>6.29*6.41*3.99</t>
  </si>
  <si>
    <t>6.92*9.28*4.71</t>
  </si>
  <si>
    <t>4.35*4.40*2.72</t>
  </si>
  <si>
    <t>9.11*9.17*5.54</t>
  </si>
  <si>
    <t>7.28*7.34*4.55</t>
  </si>
  <si>
    <t>4.57*6.39*3.08</t>
  </si>
  <si>
    <t>7.51*10.42*4.89</t>
  </si>
  <si>
    <t>6.48*6.53*3.95</t>
  </si>
  <si>
    <t>4.42*4.45*2.79</t>
  </si>
  <si>
    <t>5.45*8.35*3.43</t>
  </si>
  <si>
    <t>5.56*7.71*3.72</t>
  </si>
  <si>
    <t>5.70*5.73*3.42</t>
  </si>
  <si>
    <t>7.72*7.83*5.51</t>
  </si>
  <si>
    <t>7.07*9.01*4.77</t>
  </si>
  <si>
    <t>5.61*5.63*3.54</t>
  </si>
  <si>
    <t>8.27*11.51*5.15</t>
  </si>
  <si>
    <t>5.59*8.28*3.56</t>
  </si>
  <si>
    <t>8.08*8.11*5.01</t>
  </si>
  <si>
    <t>5.11*7.32*2.93</t>
  </si>
  <si>
    <t>10.77*17.82*6.41</t>
  </si>
  <si>
    <t>5.67*8.71*3.52</t>
  </si>
  <si>
    <t>7.25*7.56*4.69</t>
  </si>
  <si>
    <t>4.52*7.05*2.73</t>
  </si>
  <si>
    <t>8.11*8.15*5.04</t>
  </si>
  <si>
    <t>5.72*5.76*3.59</t>
  </si>
  <si>
    <t>4.77*6.45*3.23</t>
  </si>
  <si>
    <t>4.90*6.71*3.32</t>
  </si>
  <si>
    <t>6.26*7.55*4.21</t>
  </si>
  <si>
    <t>5.76*7.97*3.54</t>
  </si>
  <si>
    <t>4.45*4.51*2.72</t>
  </si>
  <si>
    <t>6.51*6.68*4.28</t>
  </si>
  <si>
    <t>5.75*8.33*3.58</t>
  </si>
  <si>
    <t>8.16*11.66*5.38</t>
  </si>
  <si>
    <t>3.93*5.54*2.69</t>
  </si>
  <si>
    <t>5.14*5.16*3.07</t>
  </si>
  <si>
    <t>5.48*7.67*3.67</t>
  </si>
  <si>
    <t>7.94*7.05*4.73</t>
  </si>
  <si>
    <t>7.31*6.42*4.14</t>
  </si>
  <si>
    <t>6.06*6.12*4.47</t>
  </si>
  <si>
    <t>5.02*7.95*3.02</t>
  </si>
  <si>
    <t>4.72*4.75*2.93</t>
  </si>
  <si>
    <t>4.99*7.25*3.08</t>
  </si>
  <si>
    <t>11.00*10.01*6.23</t>
  </si>
  <si>
    <t>6.50*8.35*4.43</t>
  </si>
  <si>
    <t>6.45*6.48*3.98</t>
  </si>
  <si>
    <t>4.36*4.40*2.70</t>
  </si>
  <si>
    <t>4.43*4.47*2.70</t>
  </si>
  <si>
    <t>9.98*9.08*5.86</t>
  </si>
  <si>
    <t>4.09*5.24*2.79</t>
  </si>
  <si>
    <t>6.49*6.51*4.01</t>
  </si>
  <si>
    <t>4.63*4.66*2.95</t>
  </si>
  <si>
    <t>4.27*4.29*2.67</t>
  </si>
  <si>
    <t>3.73*5.13*2.56</t>
  </si>
  <si>
    <t>6.43*6.56*4.20</t>
  </si>
  <si>
    <t>5.70*7.35*3.83</t>
  </si>
  <si>
    <t>5.59*7.67*3.81</t>
  </si>
  <si>
    <t>7.79*10.41*5.13</t>
  </si>
  <si>
    <t>4.83*4.85*2.93</t>
  </si>
  <si>
    <t>4.94*6.39*3.36</t>
  </si>
  <si>
    <t>9.35*9.37*5.68</t>
  </si>
  <si>
    <t>4.47*4.52*2.77</t>
  </si>
  <si>
    <t>7.35*11.22*4.55</t>
  </si>
  <si>
    <t>6.66*6.70*4.05</t>
  </si>
  <si>
    <t>Square Cushion Brilliant</t>
  </si>
  <si>
    <t>6.57*6.59*3.98</t>
  </si>
  <si>
    <t>DNA</t>
  </si>
  <si>
    <t>5.61*8.95*3.52</t>
  </si>
  <si>
    <t>9.01*13.34*5.67</t>
  </si>
  <si>
    <t>7.59*7.63*4.72</t>
  </si>
  <si>
    <t>6.01*6.88*3.42</t>
  </si>
  <si>
    <t>5.77*5.79*3.51</t>
  </si>
  <si>
    <t>5.54*5.76*3.64</t>
  </si>
  <si>
    <t>5.59*7.62*3.66</t>
  </si>
  <si>
    <t>8.16*11.71*5.06</t>
  </si>
  <si>
    <t>5.06*6.49*3.44</t>
  </si>
  <si>
    <t>9.04*13.43*5.63</t>
  </si>
  <si>
    <t>6.20*6.29*4.04</t>
  </si>
  <si>
    <t>4.56*6.21*3.14</t>
  </si>
  <si>
    <t>4.85*4.89*2.96</t>
  </si>
  <si>
    <t>6.50*8.83*4.08</t>
  </si>
  <si>
    <t>5.00*7.19*3.10</t>
  </si>
  <si>
    <t>5.74*8.01*3.49</t>
  </si>
  <si>
    <t>4.37*4.41*2.67</t>
  </si>
  <si>
    <t>6.92*9.81*4.64</t>
  </si>
  <si>
    <t>6.79*6.92*4.38</t>
  </si>
  <si>
    <t>6.18*6.20*3.90</t>
  </si>
  <si>
    <t>9.75*13.65*6.00</t>
  </si>
  <si>
    <t>6.99*6.38*4.06</t>
  </si>
  <si>
    <t>4.74*4.76*3.44</t>
  </si>
  <si>
    <t>8.83*8.87*5.25</t>
  </si>
  <si>
    <t>7.88*7.99*5.08</t>
  </si>
  <si>
    <t>6.21*6.36*4.02</t>
  </si>
  <si>
    <t>5.53*5.77*3.73</t>
  </si>
  <si>
    <t>6.58*8.92*4.12</t>
  </si>
  <si>
    <t>8.73*9.07*5.50</t>
  </si>
  <si>
    <t>8.31*11.63*5.60</t>
  </si>
  <si>
    <t>6.48*6.52*3.95</t>
  </si>
  <si>
    <t>5.48*7.90*3.71</t>
  </si>
  <si>
    <t>4.33*4.37*2.73</t>
  </si>
  <si>
    <t>5.38*7.54*3.39</t>
  </si>
  <si>
    <t>4.59*6.70*2.90</t>
  </si>
  <si>
    <t>5.72*8.75*3.50</t>
  </si>
  <si>
    <t>4.33*4.35*2.68</t>
  </si>
  <si>
    <t>4.77*6.96*3.09</t>
  </si>
  <si>
    <t>5.60*8.68*3.45</t>
  </si>
  <si>
    <t>4.76*4.79*2.91</t>
  </si>
  <si>
    <t>8.11*12.23*4.99</t>
  </si>
  <si>
    <t>8.07*11.84*5.07</t>
  </si>
  <si>
    <t>5.19*5.22*3.25</t>
  </si>
  <si>
    <t>5.63*5.66*3.59</t>
  </si>
  <si>
    <t>6.28*6.35*3.99</t>
  </si>
  <si>
    <t>8.33*11.38*4.91</t>
  </si>
  <si>
    <t>4.76*6.64*3.19</t>
  </si>
  <si>
    <t>5.67*7.96*3.49</t>
  </si>
  <si>
    <t>4.41*6.90*2.72</t>
  </si>
  <si>
    <t>6.51*8.86*4.05</t>
  </si>
  <si>
    <t>7.56*7.61*4.54</t>
  </si>
  <si>
    <t>6.01*8.51*3.93</t>
  </si>
  <si>
    <t>3.94*5.59*2.64</t>
  </si>
  <si>
    <t>4.25*4.29*2.67</t>
  </si>
  <si>
    <t>6.15*12.25*3.56</t>
  </si>
  <si>
    <t>6.55*8.93*4.49</t>
  </si>
  <si>
    <t>7.15*7.15*4.85</t>
  </si>
  <si>
    <t>4.25*4.29*2.69</t>
  </si>
  <si>
    <t>4.47*4.49*2.81</t>
  </si>
  <si>
    <t>8.11*7.37*4.56</t>
  </si>
  <si>
    <t>TAPERED BAGUETTE</t>
  </si>
  <si>
    <t>5.91*8.42*3.56</t>
  </si>
  <si>
    <t>5.70*5.75*3.62</t>
  </si>
  <si>
    <t>4.87*4.90*3.04</t>
  </si>
  <si>
    <t>4.76*4.81*2.89</t>
  </si>
  <si>
    <t>4.82*4.86*3.59</t>
  </si>
  <si>
    <t>4.71*4.73*2.96</t>
  </si>
  <si>
    <t>8.19*12.19*5.07</t>
  </si>
  <si>
    <t>6.42*6.45*3.99</t>
  </si>
  <si>
    <t>13.07*16.34*8.73</t>
  </si>
  <si>
    <t>4.45*4.46*2.75</t>
  </si>
  <si>
    <t>4.21*4.25*2.66</t>
  </si>
  <si>
    <t>5.13*7.45*3.31</t>
  </si>
  <si>
    <t>4.84*7.06*3.25</t>
  </si>
  <si>
    <t>6.55*9.06*4.08</t>
  </si>
  <si>
    <t>6.51*8.99*4.05</t>
  </si>
  <si>
    <t>6.34*6.36*4.09</t>
  </si>
  <si>
    <t>5.29*5.31*3.28</t>
  </si>
  <si>
    <t>5.55*5.61*3.52</t>
  </si>
  <si>
    <t>4.83*4.86*2.88</t>
  </si>
  <si>
    <t>4.32*4.35*2.73</t>
  </si>
  <si>
    <t>8.23*11.58*5.46</t>
  </si>
  <si>
    <t>8.16*8.16*5.78</t>
  </si>
  <si>
    <t>7.32*7.38*4.58</t>
  </si>
  <si>
    <t>5.66*5.97*3.76</t>
  </si>
  <si>
    <t>5.83*8.37*3.52</t>
  </si>
  <si>
    <t>8.30*11.45*5.08</t>
  </si>
  <si>
    <t>7.04*9.16*4.69</t>
  </si>
  <si>
    <t>12.85*13.01*8.64</t>
  </si>
  <si>
    <t>6.57*8.97*4.10</t>
  </si>
  <si>
    <t>6.51*9.02*3.99</t>
  </si>
  <si>
    <t>5.70*7.78*3.54</t>
  </si>
  <si>
    <t>5.65*8.45*3.53</t>
  </si>
  <si>
    <t>6.47*6.52*4.09</t>
  </si>
  <si>
    <t>6.26*6.28*3.92</t>
  </si>
  <si>
    <t>6.02*6.08*4.43</t>
  </si>
  <si>
    <t>7.54*7.57*4.57</t>
  </si>
  <si>
    <t>5.69*7.88*3.55</t>
  </si>
  <si>
    <t>5.75*6.73*3.43</t>
  </si>
  <si>
    <t>6.61*6.70*4.08</t>
  </si>
  <si>
    <t>4.17*8.29*2.55</t>
  </si>
  <si>
    <t>5.92*8.05*3.98</t>
  </si>
  <si>
    <t>5.20*5.22*3.16</t>
  </si>
  <si>
    <t>4.47*6.27*2.78</t>
  </si>
  <si>
    <t>6.49*6.51*4.00</t>
  </si>
  <si>
    <t>4.75*6.65*3.18</t>
  </si>
  <si>
    <t>5.25*10.08*3.29</t>
  </si>
  <si>
    <t>7.20*9.92*4.46</t>
  </si>
  <si>
    <t>4.50*6.27*2.83</t>
  </si>
  <si>
    <t>7.17*9.97*4.49</t>
  </si>
  <si>
    <t>6.62*6.63*4.43</t>
  </si>
  <si>
    <t>5.66*5.83*3.72</t>
  </si>
  <si>
    <t>4.68*6.83*3.08</t>
  </si>
  <si>
    <t>4.34*4.37*2.73</t>
  </si>
  <si>
    <t>7.34*10.60*4.88</t>
  </si>
  <si>
    <t>7.18*7.23*4.37</t>
  </si>
  <si>
    <t>4.34*4.38*2.55</t>
  </si>
  <si>
    <t>5.24*9.61*3.36</t>
  </si>
  <si>
    <t>5.99*6.03*3.64</t>
  </si>
  <si>
    <t>4.26*4.31*2.68</t>
  </si>
  <si>
    <t>5.26*5.66*3.51</t>
  </si>
  <si>
    <t>5.17*7.77*3.12</t>
  </si>
  <si>
    <t>6.72*7.02*4.30</t>
  </si>
  <si>
    <t>5.56*5.83*3.56</t>
  </si>
  <si>
    <t>7.12*9.97*4.38</t>
  </si>
  <si>
    <t>5.14*7.40*3.04</t>
  </si>
  <si>
    <t>4.33*4.37*2.57</t>
  </si>
  <si>
    <t>5.45*7.56*3.65</t>
  </si>
  <si>
    <t>4.75*6.52*3.27</t>
  </si>
  <si>
    <t>5.52*5.79*3.67</t>
  </si>
  <si>
    <t>7.17*9.88*4.47</t>
  </si>
  <si>
    <t>8.24*12.67*4.93</t>
  </si>
  <si>
    <t>5.45*5.74*3.75</t>
  </si>
  <si>
    <t>5.25*6.39*3.52</t>
  </si>
  <si>
    <t>7.50*11.00*4.95</t>
  </si>
  <si>
    <t>9.58*15.56*5.85</t>
  </si>
  <si>
    <t>6.98*7.30*4.49</t>
  </si>
  <si>
    <t>4.93*7.00*2.97</t>
  </si>
  <si>
    <t>4.50*7.04*2.97</t>
  </si>
  <si>
    <t>6.62*6.67*4.02</t>
  </si>
  <si>
    <t>5.74*5.78*3.39</t>
  </si>
  <si>
    <t>4.24*4.34*3.02</t>
  </si>
  <si>
    <t>4.68*4.70*2.90</t>
  </si>
  <si>
    <t>4.83*6.94*3.16</t>
  </si>
  <si>
    <t>7.39*7.42*4.59</t>
  </si>
  <si>
    <t>5.58*5.82*3.73</t>
  </si>
  <si>
    <t>5.37*5.66*3.42</t>
  </si>
  <si>
    <t>6.46*6.48*3.91</t>
  </si>
  <si>
    <t>6.54*9.00*4.01</t>
  </si>
  <si>
    <t>7.96*6.72*4.80</t>
  </si>
  <si>
    <t>9.27*9.31*5.68</t>
  </si>
  <si>
    <t>4.38*4.41*2.70</t>
  </si>
  <si>
    <t>6.72*5.93*4.04</t>
  </si>
  <si>
    <t>6.65*6.69*4.16</t>
  </si>
  <si>
    <t>7.58*7.63*4.75</t>
  </si>
  <si>
    <t>5.41*8.75*3.25</t>
  </si>
  <si>
    <t>4.60*4.64*2.89</t>
  </si>
  <si>
    <t>9.82*15.58*6.12</t>
  </si>
  <si>
    <t>4.33*4.35*2.65</t>
  </si>
  <si>
    <t>8.09*8.16*4.99</t>
  </si>
  <si>
    <t>5.65*5.72*3.57</t>
  </si>
  <si>
    <t>4.78*4.83*2.89</t>
  </si>
  <si>
    <t>5.52*7.69*3.67</t>
  </si>
  <si>
    <t>4.80*4.82*2.87</t>
  </si>
  <si>
    <t>5.15*5.18*3.22</t>
  </si>
  <si>
    <t>5.14*7.20*3.11</t>
  </si>
  <si>
    <t>4.56*5.87*3.10</t>
  </si>
  <si>
    <t>7.22*8.38*4.53</t>
  </si>
  <si>
    <t>6.55*8.87*4.11</t>
  </si>
  <si>
    <t>5.10*7.08*3.13</t>
  </si>
  <si>
    <t>6.48*9.98*4.02</t>
  </si>
  <si>
    <t>5.63*7.72*3.79</t>
  </si>
  <si>
    <t>4.35*4.38*2.69</t>
  </si>
  <si>
    <t>5.94*8.35*4.02</t>
  </si>
  <si>
    <t>4.35*4.37*2.68</t>
  </si>
  <si>
    <t>7.17*10.97*4.42</t>
  </si>
  <si>
    <t>6.35*6.42*3.98</t>
  </si>
  <si>
    <t>4.41*4.44*2.67</t>
  </si>
  <si>
    <t>5.95*8.21*4.02</t>
  </si>
  <si>
    <t>7.90*7.10*4.69</t>
  </si>
  <si>
    <t>8.04*12.53*5.02</t>
  </si>
  <si>
    <t>13.83*14.03*8.93</t>
  </si>
  <si>
    <t>6.55*6.58*4.07</t>
  </si>
  <si>
    <t>7.56*7.59*4.64</t>
  </si>
  <si>
    <t>9.18*9.27*5.70</t>
  </si>
  <si>
    <t>4.33*6.34*2.85</t>
  </si>
  <si>
    <t>5.99*6.06*3.98</t>
  </si>
  <si>
    <t>4.91*7.04*3.37</t>
  </si>
  <si>
    <t>10.85*10.93*6.75</t>
  </si>
  <si>
    <t>NONE</t>
  </si>
  <si>
    <t>7.28*6.24*4.20</t>
  </si>
  <si>
    <t>4.76*4.78*2.94</t>
  </si>
  <si>
    <t>6.55*9.07*3.98</t>
  </si>
  <si>
    <t>6.59*9.02*4.49</t>
  </si>
  <si>
    <t>5.50*7.71*3.66</t>
  </si>
  <si>
    <t>4.47*4.53*2.72</t>
  </si>
  <si>
    <t>4.82*4.86*2.99</t>
  </si>
  <si>
    <t>5.79*8.18*3.52</t>
  </si>
  <si>
    <t>4.37*4.41*2.66</t>
  </si>
  <si>
    <t>5.19*5.23*3.21</t>
  </si>
  <si>
    <t>4.67*4.70*2.82</t>
  </si>
  <si>
    <t>6.65*9.11*4.05</t>
  </si>
  <si>
    <t>5.57*7.82*3.76</t>
  </si>
  <si>
    <t>6.15*6.18*4.50</t>
  </si>
  <si>
    <t>8.08*11.92*5.44</t>
  </si>
  <si>
    <t>5.16*7.96*3.10</t>
  </si>
  <si>
    <t>12.48*17.58*8.05</t>
  </si>
  <si>
    <t>4.82*4.85*2.92</t>
  </si>
  <si>
    <t>9.06*9.15*5.77</t>
  </si>
  <si>
    <t>8.35*8.42*5.05</t>
  </si>
  <si>
    <t>4.52*6.34*2.74</t>
  </si>
  <si>
    <t>4.60*7.11*2.92</t>
  </si>
  <si>
    <t>7.82*8.00*5.00</t>
  </si>
  <si>
    <t>4.40*4.43*2.74</t>
  </si>
  <si>
    <t>5.85*8.10*3.64</t>
  </si>
  <si>
    <t>4.23*4.27*2.65</t>
  </si>
  <si>
    <t>5.41*7.56*3.67</t>
  </si>
  <si>
    <t>4.77*6.50*3.23</t>
  </si>
  <si>
    <t>5.47*7.72*3.49</t>
  </si>
  <si>
    <t>9.41*12.86*5.97</t>
  </si>
  <si>
    <t>6.43*8.99*4.04</t>
  </si>
  <si>
    <t>6.04*9.26*3.69</t>
  </si>
  <si>
    <t>7.27*6.32*4.18</t>
  </si>
  <si>
    <t>6.58*13.29*4.05</t>
  </si>
  <si>
    <t>6.13*6.15*3.79</t>
  </si>
  <si>
    <t>8.21*7.30*4.74</t>
  </si>
  <si>
    <t>7.43*10.19*5.00</t>
  </si>
  <si>
    <t>6.01*6.04*3.76</t>
  </si>
  <si>
    <t>8.99*12.39*5.61</t>
  </si>
  <si>
    <t>8.14*12.02*5.16</t>
  </si>
  <si>
    <t>5.53*8.44*3.42</t>
  </si>
  <si>
    <t>5.47*5.51*3.34</t>
  </si>
  <si>
    <t>8.09*8.67*5.02</t>
  </si>
  <si>
    <t>5.78*7.93*3.56</t>
  </si>
  <si>
    <t>4.27*5.75*2.82</t>
  </si>
  <si>
    <t>6.60*9.12*4.11</t>
  </si>
  <si>
    <t/>
  </si>
  <si>
    <t>6.43*6.45*4.00</t>
  </si>
  <si>
    <t>8.28*11.48*5.12</t>
  </si>
  <si>
    <t>10.99*11.10*6.69</t>
  </si>
  <si>
    <t>8.42*11.64*5.02</t>
  </si>
  <si>
    <t>4.40*4.42*2.65</t>
  </si>
  <si>
    <t>8.29*8.33*5.02</t>
  </si>
  <si>
    <t>15.54*14.11*8.67</t>
  </si>
  <si>
    <t>5.66*5.69*3.53</t>
  </si>
  <si>
    <t>7.22*10.00*4.51</t>
  </si>
  <si>
    <t>9.21*9.25*5.69</t>
  </si>
  <si>
    <t>4.42*4.46*2.78</t>
  </si>
  <si>
    <t>5.58*8.60*3.39</t>
  </si>
  <si>
    <t>6.10*7.06*3.47</t>
  </si>
  <si>
    <t>4.33*4.41*2.72</t>
  </si>
  <si>
    <t>6.38*6.42*4.00</t>
  </si>
  <si>
    <t>6.30*7.54*4.06</t>
  </si>
  <si>
    <t>4.22*4.26*2.66</t>
  </si>
  <si>
    <t>6.07*8.35*3.78</t>
  </si>
  <si>
    <t>5.82*5.83*3.45</t>
  </si>
  <si>
    <t>7.22*10.20*4.42</t>
  </si>
  <si>
    <t>6.89*7.26*4.42</t>
  </si>
  <si>
    <t>5.98*6.01*3.75</t>
  </si>
  <si>
    <t>6.60*6.63*4.09</t>
  </si>
  <si>
    <t>5.28*5.43*3.57</t>
  </si>
  <si>
    <t>5.61*5.66*3.50</t>
  </si>
  <si>
    <t>9.08*9.12*5.76</t>
  </si>
  <si>
    <t>5.61*5.73*3.59</t>
  </si>
  <si>
    <t>7.40*7.47*4.59</t>
  </si>
  <si>
    <t>6.00*8.23*4.10</t>
  </si>
  <si>
    <t>6.53*8.86*4.13</t>
  </si>
  <si>
    <t>5.64*7.90*3.68</t>
  </si>
  <si>
    <t>6.05*6.10*3.72</t>
  </si>
  <si>
    <t>8.21*15.72*5.27</t>
  </si>
  <si>
    <t>7.15*10.15*4.40</t>
  </si>
  <si>
    <t>5.29*7.64*3.54</t>
  </si>
  <si>
    <t>6.02*6.94*3.54</t>
  </si>
  <si>
    <t>6.26*5.62*3.67</t>
  </si>
  <si>
    <t>7.19*7.25*4.56</t>
  </si>
  <si>
    <t>5.89*5.93*3.69</t>
  </si>
  <si>
    <t>7.20*10.08*4.46</t>
  </si>
  <si>
    <t>5.52*5.54*3.46</t>
  </si>
  <si>
    <t>3.77*5.27*2.54</t>
  </si>
  <si>
    <t>6.99*6.05*4.06</t>
  </si>
  <si>
    <t>10.53*10.57*6.37</t>
  </si>
  <si>
    <t>0.30-0.34</t>
  </si>
  <si>
    <t>4.77*6.51*3.24</t>
  </si>
  <si>
    <t>6.43*6.74*4.19</t>
  </si>
  <si>
    <t>6.54*6.57*4.07</t>
  </si>
  <si>
    <t>4.35*4.40*2.69</t>
  </si>
  <si>
    <t>5.96*7.06*4.09</t>
  </si>
  <si>
    <t>5.51*7.72*3.66</t>
  </si>
  <si>
    <t>4.07*6.29*2.68</t>
  </si>
  <si>
    <t>5.08*5.13*3.20</t>
  </si>
  <si>
    <t>7.39*7.41*4.52</t>
  </si>
  <si>
    <t>7.06*13.43*4.33</t>
  </si>
  <si>
    <t>7.81*10.53*5.22</t>
  </si>
  <si>
    <t>5.64*6.03*3.50</t>
  </si>
  <si>
    <t>5.51*5.76*3.64</t>
  </si>
  <si>
    <t>16.48*14.42*9.21</t>
  </si>
  <si>
    <t>8.68*8.72*5.76</t>
  </si>
  <si>
    <t>5.02*5.13*3.30</t>
  </si>
  <si>
    <t>5.39*5.63*3.48</t>
  </si>
  <si>
    <t>5.89*8.19*3.60</t>
  </si>
  <si>
    <t>6.09*9.23*4.01</t>
  </si>
  <si>
    <t>4.79*6.69*3.16</t>
  </si>
  <si>
    <t>8.18*7.08*4.92</t>
  </si>
  <si>
    <t>5.00*7.69*3.11</t>
  </si>
  <si>
    <t>6.99*6.26*4.11</t>
  </si>
  <si>
    <t>11.05*9.69*6.46</t>
  </si>
  <si>
    <t>5.35*5.37*3.19</t>
  </si>
  <si>
    <t>3.75*5.26*2.53</t>
  </si>
  <si>
    <t>5.54*5.65*4.02</t>
  </si>
  <si>
    <t>4.69*9.44*2.84</t>
  </si>
  <si>
    <t>7.62*7.65*4.72</t>
  </si>
  <si>
    <t>7.43*7.46*4.64</t>
  </si>
  <si>
    <t>6.37*7.66*4.28</t>
  </si>
  <si>
    <t>5.46*5.57*3.97</t>
  </si>
  <si>
    <t>IGI</t>
  </si>
  <si>
    <t>8.66*7.88*5.14</t>
  </si>
  <si>
    <t>8.29*8.32*5.10</t>
  </si>
  <si>
    <t>5.82*5.97*3.91</t>
  </si>
  <si>
    <t>7.50*7.55*4.59</t>
  </si>
  <si>
    <t>6.84*7.14*4.54</t>
  </si>
  <si>
    <t>5.68*7.66*3.74</t>
  </si>
  <si>
    <t>7.24*10.56*4.93</t>
  </si>
  <si>
    <t>5.97*8.24*4.05</t>
  </si>
  <si>
    <t>4.78*6.96*3.08</t>
  </si>
  <si>
    <t>4.40*6.34*2.87</t>
  </si>
  <si>
    <t>4.59*6.11*2.94</t>
  </si>
  <si>
    <t>5.26*5.56*3.50</t>
  </si>
  <si>
    <t>4.58*7.01*2.80</t>
  </si>
  <si>
    <t>Modified Triangular Brilliant</t>
  </si>
  <si>
    <t>5.78*8.23*3.51</t>
  </si>
  <si>
    <t>5.61*8.66*3.54</t>
  </si>
  <si>
    <t>6.18*7.92*4.17</t>
  </si>
  <si>
    <t>4.32*4.36*2.61</t>
  </si>
  <si>
    <t>5.92*8.08*4.04</t>
  </si>
  <si>
    <t>5.55*7.53*3.59</t>
  </si>
  <si>
    <t>5.55*8.43*3.56</t>
  </si>
  <si>
    <t>9.16*9.35*6.15</t>
  </si>
  <si>
    <t>6.43*6.45*4.01</t>
  </si>
  <si>
    <t>4.97*6.41*3.33</t>
  </si>
  <si>
    <t>8.15*8.22*4.92</t>
  </si>
  <si>
    <t>5.59*5.63*3.57</t>
  </si>
  <si>
    <t>4.61*6.38*2.79</t>
  </si>
  <si>
    <t>7.65*7.69*4.78</t>
  </si>
  <si>
    <t>MIX TINGE1</t>
  </si>
  <si>
    <t>4.81*6.74*3.12</t>
  </si>
  <si>
    <t>4.36*4.39*2.72</t>
  </si>
  <si>
    <t>5.94*12.00*3.66</t>
  </si>
  <si>
    <t>8.36*8.48*5.64</t>
  </si>
  <si>
    <t>4.92*4.93*3.28</t>
  </si>
  <si>
    <t>5.15*9.67*3.22</t>
  </si>
  <si>
    <t>8.03*6.99*4.70</t>
  </si>
  <si>
    <t>5.06*7.74*3.15</t>
  </si>
  <si>
    <t>5.94*12.43*3.59</t>
  </si>
  <si>
    <t>6.62*6.65*4.08</t>
  </si>
  <si>
    <t>3.69*5.07*2.55</t>
  </si>
  <si>
    <t>5.59*8.27*3.51</t>
  </si>
  <si>
    <t>4.07*6.40*2.67</t>
  </si>
  <si>
    <t>6.43*9.94*3.96</t>
  </si>
  <si>
    <t>9.95*8.54*6.05</t>
  </si>
  <si>
    <t>6.84*7.03*4.84</t>
  </si>
  <si>
    <t>5.03*6.82*3.21</t>
  </si>
  <si>
    <t>9.10*9.15*5.77</t>
  </si>
  <si>
    <t>5.42*7.60*3.61</t>
  </si>
  <si>
    <t>5.88*8.16*3.60</t>
  </si>
  <si>
    <t>7.29*10.04*4.42</t>
  </si>
  <si>
    <t>5.21*6.34*3.50</t>
  </si>
  <si>
    <t>5.67*8.15*3.32</t>
  </si>
  <si>
    <t>5.52*5.03*3.35</t>
  </si>
  <si>
    <t>5.62*8.65*3.46</t>
  </si>
  <si>
    <t>5.97*6.74*3.54</t>
  </si>
  <si>
    <t>4.96*5.21*3.18</t>
  </si>
  <si>
    <t>6.58*9.01*4.04</t>
  </si>
  <si>
    <t>5.57*8.31*3.45</t>
  </si>
  <si>
    <t>6.61*6.66*4.02</t>
  </si>
  <si>
    <t>15.62*13.82*8.90</t>
  </si>
  <si>
    <t>4.36*4.41*2.59</t>
  </si>
  <si>
    <t>6.63*6.69*4.15</t>
  </si>
  <si>
    <t>10.19*8.73*6.09</t>
  </si>
  <si>
    <t>5.78*6.73*3.46</t>
  </si>
  <si>
    <t>6.53*6.58*4.09</t>
  </si>
  <si>
    <t>Ratio</t>
  </si>
  <si>
    <t>5.77*8.01*3.59</t>
  </si>
  <si>
    <t>3.70*5.21*2.51</t>
  </si>
  <si>
    <t>6.51*6.54*3.95</t>
  </si>
  <si>
    <t>4.94*6.92*3.21</t>
  </si>
  <si>
    <t>4.90*6.69*3.15</t>
  </si>
  <si>
    <t>7.25*10.19*4.74</t>
  </si>
  <si>
    <t>4.46*4.51*2.84</t>
  </si>
  <si>
    <t>5.48*7.55*3.70</t>
  </si>
  <si>
    <t>8.49*8.65*6.12</t>
  </si>
  <si>
    <t>6.67*6.71*4.00</t>
  </si>
  <si>
    <t>6.53*8.87*4.08</t>
  </si>
  <si>
    <t>6.87*6.11*4.12</t>
  </si>
  <si>
    <t>9.27*9.36*5.66</t>
  </si>
  <si>
    <t>4.65*4.73*2.95</t>
  </si>
  <si>
    <t>5.41*7.57*3.64</t>
  </si>
  <si>
    <t>8.06*7.17*4.63</t>
  </si>
  <si>
    <t>5.65*8.63*3.48</t>
  </si>
  <si>
    <t>4.40*4.47*2.76</t>
  </si>
  <si>
    <t>5.43*7.51*3.43</t>
  </si>
  <si>
    <t>4.83*6.68*2.91</t>
  </si>
  <si>
    <t>5.93*5.23*3.48</t>
  </si>
  <si>
    <t>5.22*5.23*3.22</t>
  </si>
  <si>
    <t>8.03*6.88*4.76</t>
  </si>
  <si>
    <t>7.29*8.32*4.45</t>
  </si>
  <si>
    <t>4.43*4.48*2.77</t>
  </si>
  <si>
    <t>11.07*11.14*6.70</t>
  </si>
  <si>
    <t>5.57*5.63*3.52</t>
  </si>
  <si>
    <t>10.70*10.77*6.41</t>
  </si>
  <si>
    <t>7.34*10.10*5.04</t>
  </si>
  <si>
    <t>7.91*7.24*4.57</t>
  </si>
  <si>
    <t>6.26*6.29*4.21</t>
  </si>
  <si>
    <t>7.42*7.46*4.61</t>
  </si>
  <si>
    <t>5.76*5.79*3.46</t>
  </si>
  <si>
    <t>4.51*6.30*2.83</t>
  </si>
  <si>
    <t>4.83*6.58*3.09</t>
  </si>
  <si>
    <t>9.35*11.50*6.16</t>
  </si>
  <si>
    <t>4.54*6.56*2.75</t>
  </si>
  <si>
    <t>5.63*6.02*3.48</t>
  </si>
  <si>
    <t>4.82*5.08*3.25</t>
  </si>
  <si>
    <t>4.27*5.87*2.85</t>
  </si>
  <si>
    <t>8.88*8.91*5.40</t>
  </si>
  <si>
    <t>5.97*8.71*3.89</t>
  </si>
  <si>
    <t>4.80*6.72*3.14</t>
  </si>
  <si>
    <t>6.15*6.31*4.47</t>
  </si>
  <si>
    <t>4.84*4.88*2.97</t>
  </si>
  <si>
    <t>8.05*8.10*5.01</t>
  </si>
  <si>
    <t>8.68*12.71*5.42</t>
  </si>
  <si>
    <t>8.58*11.59*5.50</t>
  </si>
  <si>
    <t>4.43*4.46*2.68</t>
  </si>
  <si>
    <t>6.17*6.24*3.92</t>
  </si>
  <si>
    <t>4.87*4.91*3.00</t>
  </si>
  <si>
    <t>5.40*7.31*3.68</t>
  </si>
  <si>
    <t>5.23*8.21*3.29</t>
  </si>
  <si>
    <t>5.93*5.95*3.57</t>
  </si>
  <si>
    <t>6.67*6.71*3.99</t>
  </si>
  <si>
    <t>6.37*9.75*3.88</t>
  </si>
  <si>
    <t>4.73*7.29*3.00</t>
  </si>
  <si>
    <t>4.50-4.69</t>
  </si>
  <si>
    <t>7.78*10.96*5.06</t>
  </si>
  <si>
    <t>4.38*4.42*2.68</t>
  </si>
  <si>
    <t>7.62*10.94*5.14</t>
  </si>
  <si>
    <t>7.17*10.96*4.43</t>
  </si>
  <si>
    <t>6.42*6.75*4.08</t>
  </si>
  <si>
    <t>4.77*6.52*3.24</t>
  </si>
  <si>
    <t>4.44*4.46*2.66</t>
  </si>
  <si>
    <t>8.60*8.61*5.70</t>
  </si>
  <si>
    <t>5.67*8.00*3.42</t>
  </si>
  <si>
    <t>13.45*13.66*8.71</t>
  </si>
  <si>
    <t>6.50*6.52*3.95</t>
  </si>
  <si>
    <t>4.34*4.39*2.74</t>
  </si>
  <si>
    <t>4.75*6.92*3.14</t>
  </si>
  <si>
    <t>4.29*8.93*2.71</t>
  </si>
  <si>
    <t>7.29*8.45*4.45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</si>
</sst>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##0.00"/>
  </numFmts>
  <fonts count="14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1"/>
      <name val="Arial"/>
      <family val="2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rgb="FF000000"/>
      <name val="Arial"/>
      <family val="2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8"/>
      <color theme="1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6337778862885"/>
        <bgColor auto="1"/>
      </patternFill>
    </fill>
    <fill>
      <patternFill patternType="solid">
        <fgColor theme="0"/>
        <bgColor auto="1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</borders>
  <cellStyleXfs count="3">
    <xf numFmtId="0" fontId="0" fillId="0" borderId="0"/>
    <xf numFmtId="0" fontId="12" fillId="0" borderId="0"/>
    <xf numFmtId="0" fontId="13" fillId="0" borderId="0" applyNumberFormat="0" applyFill="0" applyBorder="0" applyAlignment="0" applyProtection="0"/>
  </cellStyleXfs>
  <cellXfs count="40">
    <xf numFmtId="0" fontId="0" fillId="0" borderId="0" xfId="0"/>
    <xf numFmtId="2" fontId="1" fillId="2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top"/>
    </xf>
    <xf numFmtId="1" fontId="4" fillId="0" borderId="6" xfId="0" applyNumberFormat="1" applyFont="1" applyBorder="1" applyAlignment="1">
      <alignment horizontal="center" vertical="center"/>
    </xf>
    <xf numFmtId="1" fontId="4" fillId="2" borderId="1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10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2" fontId="7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top"/>
    </xf>
    <xf numFmtId="2" fontId="8" fillId="2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top"/>
    </xf>
    <xf numFmtId="2" fontId="0" fillId="0" borderId="0" xfId="0" applyNumberFormat="1" applyAlignment="1">
      <alignment horizontal="center" vertical="center"/>
    </xf>
    <xf numFmtId="1" fontId="1" fillId="3" borderId="1" xfId="0" applyNumberFormat="1" applyFont="1" applyFill="1" applyBorder="1" applyAlignment="1">
      <alignment horizontal="center" vertical="center"/>
    </xf>
    <xf numFmtId="2" fontId="4" fillId="0" borderId="10" xfId="0" applyNumberFormat="1" applyFont="1" applyBorder="1" applyAlignment="1">
      <alignment horizontal="center" vertical="center"/>
    </xf>
    <xf numFmtId="0" fontId="8" fillId="2" borderId="10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3" fillId="0" borderId="4" xfId="2" applyBorder="1" applyAlignment="1">
      <alignment horizontal="center" vertical="top"/>
    </xf>
    <xf numFmtId="0" fontId="9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4" xfId="0" applyNumberFormat="1" applyFont="1" applyBorder="1" applyAlignment="1">
      <alignment horizontal="center" vertical="top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76200</xdr:rowOff>
    </xdr:from>
    <xdr:to>
      <xdr:col>2</xdr:col>
      <xdr:colOff>485775</xdr:colOff>
      <xdr:row>2</xdr:row>
      <xdr:rowOff>238125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" y="510"/>
          <a:ext cx="2880" cy="6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pld.live/RapDetail.aspx?STONELIST=926301247&amp;ISCONFIRM=0" TargetMode="External"/><Relationship Id="rId3182" Type="http://schemas.openxmlformats.org/officeDocument/2006/relationships/hyperlink" Target="https://pld.live/RapDetail.aspx?STONELIST=925030323&amp;ISCONFIRM=0" TargetMode="External"/><Relationship Id="rId4233" Type="http://schemas.openxmlformats.org/officeDocument/2006/relationships/hyperlink" Target="https://pld.live/RapDetail.aspx?STONELIST=926700758&amp;ISCONFIRM=0" TargetMode="External"/><Relationship Id="rId7389" Type="http://schemas.openxmlformats.org/officeDocument/2006/relationships/hyperlink" Target="https://pld.live/RapDetail.aspx?STONELIST=925060309&amp;ISCONFIRM=0" TargetMode="External"/><Relationship Id="rId3999" Type="http://schemas.openxmlformats.org/officeDocument/2006/relationships/hyperlink" Target="https://pld.live/RapDetail.aspx?STONELIST=925732212&amp;ISCONFIRM=0" TargetMode="External"/><Relationship Id="rId4300" Type="http://schemas.openxmlformats.org/officeDocument/2006/relationships/hyperlink" Target="https://pld.live/RapDetail.aspx?STONELIST=941190336&amp;ISCONFIRM=0" TargetMode="External"/><Relationship Id="rId7456" Type="http://schemas.openxmlformats.org/officeDocument/2006/relationships/hyperlink" Target="https://pld.live/RapDetail.aspx?STONELIST=925771024&amp;ISCONFIRM=0" TargetMode="External"/><Relationship Id="rId170" Type="http://schemas.openxmlformats.org/officeDocument/2006/relationships/hyperlink" Target="https://pld.live/RapDetail.aspx?STONELIST=927070614&amp;ISCONFIRM=0" TargetMode="External"/><Relationship Id="rId6058" Type="http://schemas.openxmlformats.org/officeDocument/2006/relationships/hyperlink" Target="https://pld.live/RapDetail.aspx?STONELIST=941370468&amp;ISCONFIRM=0" TargetMode="External"/><Relationship Id="rId6472" Type="http://schemas.openxmlformats.org/officeDocument/2006/relationships/hyperlink" Target="https://pld.live/RapDetail.aspx?STONELIST=941071326&amp;ISCONFIRM=0" TargetMode="External"/><Relationship Id="rId7109" Type="http://schemas.openxmlformats.org/officeDocument/2006/relationships/hyperlink" Target="https://pld.live/RapDetail.aspx?STONELIST=941161006&amp;ISCONFIRM=0" TargetMode="External"/><Relationship Id="rId7523" Type="http://schemas.openxmlformats.org/officeDocument/2006/relationships/hyperlink" Target="https://pld.live/RapDetail.aspx?STONELIST=925771026&amp;ISCONFIRM=0" TargetMode="External"/><Relationship Id="rId7870" Type="http://schemas.openxmlformats.org/officeDocument/2006/relationships/hyperlink" Target="https://pld.live/RapDetail.aspx?STONELIST=926841124&amp;ISCONFIRM=0" TargetMode="External"/><Relationship Id="rId5074" Type="http://schemas.openxmlformats.org/officeDocument/2006/relationships/hyperlink" Target="https://pld.live/RapDetail.aspx?STONELIST=925621696&amp;ISCONFIRM=0" TargetMode="External"/><Relationship Id="rId6125" Type="http://schemas.openxmlformats.org/officeDocument/2006/relationships/hyperlink" Target="https://pld.live/RapDetail.aspx?STONELIST=926010275&amp;ISCONFIRM=0" TargetMode="External"/><Relationship Id="rId987" Type="http://schemas.openxmlformats.org/officeDocument/2006/relationships/hyperlink" Target="https://pld.live/RapDetail.aspx?STONELIST=941190274&amp;ISCONFIRM=0" TargetMode="External"/><Relationship Id="rId2668" Type="http://schemas.openxmlformats.org/officeDocument/2006/relationships/hyperlink" Target="https://pld.live/RapDetail.aspx?STONELIST=926191071&amp;ISCONFIRM=0" TargetMode="External"/><Relationship Id="rId3719" Type="http://schemas.openxmlformats.org/officeDocument/2006/relationships/hyperlink" Target="https://pld.live/RapDetail.aspx?STONELIST=925600335&amp;ISCONFIRM=0" TargetMode="External"/><Relationship Id="rId4090" Type="http://schemas.openxmlformats.org/officeDocument/2006/relationships/hyperlink" Target="https://pld.live/RapDetail.aspx?STONELIST=925801817&amp;ISCONFIRM=0" TargetMode="External"/><Relationship Id="rId1684" Type="http://schemas.openxmlformats.org/officeDocument/2006/relationships/hyperlink" Target="https://pld.live/RapDetail.aspx?STONELIST=925530097&amp;ISCONFIRM=0" TargetMode="External"/><Relationship Id="rId2735" Type="http://schemas.openxmlformats.org/officeDocument/2006/relationships/hyperlink" Target="https://pld.live/RapDetail.aspx?STONELIST=925020213&amp;ISCONFIRM=0" TargetMode="External"/><Relationship Id="rId5141" Type="http://schemas.openxmlformats.org/officeDocument/2006/relationships/hyperlink" Target="https://pld.live/RapDetail.aspx?STONELIST=925621997&amp;ISCONFIRM=0" TargetMode="External"/><Relationship Id="rId707" Type="http://schemas.openxmlformats.org/officeDocument/2006/relationships/hyperlink" Target="https://pld.live/RapDetail.aspx?STONELIST=821127657&amp;ISCONFIRM=0" TargetMode="External"/><Relationship Id="rId1337" Type="http://schemas.openxmlformats.org/officeDocument/2006/relationships/hyperlink" Target="https://pld.live/RapDetail.aspx?STONELIST=941360374&amp;ISCONFIRM=0" TargetMode="External"/><Relationship Id="rId1751" Type="http://schemas.openxmlformats.org/officeDocument/2006/relationships/hyperlink" Target="https://pld.live/RapDetail.aspx?STONELIST=926960691&amp;ISCONFIRM=0" TargetMode="External"/><Relationship Id="rId2802" Type="http://schemas.openxmlformats.org/officeDocument/2006/relationships/hyperlink" Target="https://pld.live/RapDetail.aspx?STONELIST=925920995&amp;ISCONFIRM=0" TargetMode="External"/><Relationship Id="rId5958" Type="http://schemas.openxmlformats.org/officeDocument/2006/relationships/hyperlink" Target="https://pld.live/RapDetail.aspx?STONELIST=926841384&amp;ISCONFIRM=0" TargetMode="External"/><Relationship Id="rId43" Type="http://schemas.openxmlformats.org/officeDocument/2006/relationships/hyperlink" Target="https://pld.live/RapDetail.aspx?STONELIST=831020576&amp;ISCONFIRM=0" TargetMode="External"/><Relationship Id="rId1404" Type="http://schemas.openxmlformats.org/officeDocument/2006/relationships/hyperlink" Target="https://pld.live/RapDetail.aspx?STONELIST=926221202&amp;ISCONFIRM=0" TargetMode="External"/><Relationship Id="rId7380" Type="http://schemas.openxmlformats.org/officeDocument/2006/relationships/hyperlink" Target="https://pld.live/RapDetail.aspx?STONELIST=941290212&amp;ISCONFIRM=0" TargetMode="External"/><Relationship Id="rId8017" Type="http://schemas.openxmlformats.org/officeDocument/2006/relationships/hyperlink" Target="https://pld.live/RapDetail.aspx?STONELIST=926460777&amp;ISCONFIRM=0" TargetMode="External"/><Relationship Id="rId3576" Type="http://schemas.openxmlformats.org/officeDocument/2006/relationships/hyperlink" Target="https://pld.live/RapDetail.aspx?STONELIST=926410447&amp;ISCONFIRM=0" TargetMode="External"/><Relationship Id="rId4627" Type="http://schemas.openxmlformats.org/officeDocument/2006/relationships/hyperlink" Target="https://pld.live/RapDetail.aspx?STONELIST=941261111&amp;ISCONFIRM=0" TargetMode="External"/><Relationship Id="rId4974" Type="http://schemas.openxmlformats.org/officeDocument/2006/relationships/hyperlink" Target="https://pld.live/RapDetail.aspx?STONELIST=925551880&amp;ISCONFIRM=0" TargetMode="External"/><Relationship Id="rId7033" Type="http://schemas.openxmlformats.org/officeDocument/2006/relationships/hyperlink" Target="https://pld.live/RapDetail.aspx?STONELIST=926621044&amp;ISCONFIRM=0" TargetMode="External"/><Relationship Id="rId497" Type="http://schemas.openxmlformats.org/officeDocument/2006/relationships/hyperlink" Target="https://pld.live/RapDetail.aspx?STONELIST=925951250&amp;ISCONFIRM=0" TargetMode="External"/><Relationship Id="rId2178" Type="http://schemas.openxmlformats.org/officeDocument/2006/relationships/hyperlink" Target="https://pld.live/RapDetail.aspx?STONELIST=926080972&amp;ISCONFIRM=0" TargetMode="External"/><Relationship Id="rId3229" Type="http://schemas.openxmlformats.org/officeDocument/2006/relationships/hyperlink" Target="https://pld.live/RapDetail.aspx?STONELIST=925290569&amp;ISCONFIRM=0" TargetMode="External"/><Relationship Id="rId3990" Type="http://schemas.openxmlformats.org/officeDocument/2006/relationships/hyperlink" Target="https://pld.live/RapDetail.aspx?STONELIST=925850816&amp;ISCONFIRM=0" TargetMode="External"/><Relationship Id="rId7100" Type="http://schemas.openxmlformats.org/officeDocument/2006/relationships/hyperlink" Target="https://pld.live/RapDetail.aspx?STONELIST=941120584&amp;ISCONFIRM=0" TargetMode="External"/><Relationship Id="rId1194" Type="http://schemas.openxmlformats.org/officeDocument/2006/relationships/hyperlink" Target="https://pld.live/RapDetail.aspx?STONELIST=941350782&amp;ISCONFIRM=0" TargetMode="External"/><Relationship Id="rId2592" Type="http://schemas.openxmlformats.org/officeDocument/2006/relationships/hyperlink" Target="https://pld.live/RapDetail.aspx?STONELIST=926230975&amp;ISCONFIRM=0" TargetMode="External"/><Relationship Id="rId3643" Type="http://schemas.openxmlformats.org/officeDocument/2006/relationships/hyperlink" Target="https://pld.live/RapDetail.aspx?STONELIST=925570060&amp;ISCONFIRM=0" TargetMode="External"/><Relationship Id="rId6799" Type="http://schemas.openxmlformats.org/officeDocument/2006/relationships/hyperlink" Target="https://pld.live/RapDetail.aspx?STONELIST=925630202&amp;ISCONFIRM=0" TargetMode="External"/><Relationship Id="rId217" Type="http://schemas.openxmlformats.org/officeDocument/2006/relationships/hyperlink" Target="https://pld.live/RapDetail.aspx?STONELIST=926450491&amp;ISCONFIRM=0" TargetMode="External"/><Relationship Id="rId564" Type="http://schemas.openxmlformats.org/officeDocument/2006/relationships/hyperlink" Target="https://pld.live/RapDetail.aspx?STONELIST=927092161&amp;ISCONFIRM=0" TargetMode="External"/><Relationship Id="rId2245" Type="http://schemas.openxmlformats.org/officeDocument/2006/relationships/hyperlink" Target="https://pld.live/RapDetail.aspx?STONELIST=926261188&amp;ISCONFIRM=0" TargetMode="External"/><Relationship Id="rId3710" Type="http://schemas.openxmlformats.org/officeDocument/2006/relationships/hyperlink" Target="https://pld.live/RapDetail.aspx?STONELIST=941060540&amp;ISCONFIRM=0" TargetMode="External"/><Relationship Id="rId6866" Type="http://schemas.openxmlformats.org/officeDocument/2006/relationships/hyperlink" Target="https://pld.live/RapDetail.aspx?STONELIST=924950269&amp;ISCONFIRM=0" TargetMode="External"/><Relationship Id="rId7917" Type="http://schemas.openxmlformats.org/officeDocument/2006/relationships/hyperlink" Target="https://pld.live/RapDetail.aspx?STONELIST=926810718&amp;ISCONFIRM=0" TargetMode="External"/><Relationship Id="rId631" Type="http://schemas.openxmlformats.org/officeDocument/2006/relationships/hyperlink" Target="https://pld.live/RapDetail.aspx?STONELIST=925861774&amp;ISCONFIRM=0" TargetMode="External"/><Relationship Id="rId1261" Type="http://schemas.openxmlformats.org/officeDocument/2006/relationships/hyperlink" Target="https://pld.live/RapDetail.aspx?STONELIST=941320667&amp;ISCONFIRM=0" TargetMode="External"/><Relationship Id="rId2312" Type="http://schemas.openxmlformats.org/officeDocument/2006/relationships/hyperlink" Target="https://pld.live/RapDetail.aspx?STONELIST=941300086&amp;ISCONFIRM=0" TargetMode="External"/><Relationship Id="rId5468" Type="http://schemas.openxmlformats.org/officeDocument/2006/relationships/hyperlink" Target="https://pld.live/RapDetail.aspx?STONELIST=941351091&amp;ISCONFIRM=0" TargetMode="External"/><Relationship Id="rId5882" Type="http://schemas.openxmlformats.org/officeDocument/2006/relationships/hyperlink" Target="https://pld.live/RapDetail.aspx?STONELIST=925951278&amp;ISCONFIRM=0" TargetMode="External"/><Relationship Id="rId6519" Type="http://schemas.openxmlformats.org/officeDocument/2006/relationships/hyperlink" Target="https://pld.live/RapDetail.aspx?STONELIST=924920288&amp;ISCONFIRM=0" TargetMode="External"/><Relationship Id="rId6933" Type="http://schemas.openxmlformats.org/officeDocument/2006/relationships/hyperlink" Target="https://pld.live/RapDetail.aspx?STONELIST=821113825&amp;ISCONFIRM=0" TargetMode="External"/><Relationship Id="rId4484" Type="http://schemas.openxmlformats.org/officeDocument/2006/relationships/hyperlink" Target="https://pld.live/RapDetail.aspx?STONELIST=941190462&amp;ISCONFIRM=0" TargetMode="External"/><Relationship Id="rId5535" Type="http://schemas.openxmlformats.org/officeDocument/2006/relationships/hyperlink" Target="https://pld.live/RapDetail.aspx?STONELIST=925830515&amp;ISCONFIRM=0" TargetMode="External"/><Relationship Id="rId3086" Type="http://schemas.openxmlformats.org/officeDocument/2006/relationships/hyperlink" Target="https://pld.live/RapDetail.aspx?STONELIST=821128396&amp;ISCONFIRM=0" TargetMode="External"/><Relationship Id="rId4137" Type="http://schemas.openxmlformats.org/officeDocument/2006/relationships/hyperlink" Target="https://pld.live/RapDetail.aspx?STONELIST=925861584&amp;ISCONFIRM=0" TargetMode="External"/><Relationship Id="rId4551" Type="http://schemas.openxmlformats.org/officeDocument/2006/relationships/hyperlink" Target="https://pld.live/RapDetail.aspx?STONELIST=924420409&amp;ISCONFIRM=0" TargetMode="External"/><Relationship Id="rId3153" Type="http://schemas.openxmlformats.org/officeDocument/2006/relationships/hyperlink" Target="https://pld.live/RapDetail.aspx?STONELIST=925030318&amp;ISCONFIRM=0" TargetMode="External"/><Relationship Id="rId4204" Type="http://schemas.openxmlformats.org/officeDocument/2006/relationships/hyperlink" Target="https://pld.live/RapDetail.aspx?STONELIST=926110893&amp;ISCONFIRM=0" TargetMode="External"/><Relationship Id="rId5602" Type="http://schemas.openxmlformats.org/officeDocument/2006/relationships/hyperlink" Target="https://pld.live/RapDetail.aspx?STONELIST=925040305&amp;ISCONFIRM=0" TargetMode="External"/><Relationship Id="rId7774" Type="http://schemas.openxmlformats.org/officeDocument/2006/relationships/hyperlink" Target="https://pld.live/RapDetail.aspx?STONELIST=926540049&amp;ISCONFIRM=0" TargetMode="External"/><Relationship Id="rId141" Type="http://schemas.openxmlformats.org/officeDocument/2006/relationships/hyperlink" Target="https://pld.live/RapDetail.aspx?STONELIST=941130247&amp;ISCONFIRM=0" TargetMode="External"/><Relationship Id="rId3220" Type="http://schemas.openxmlformats.org/officeDocument/2006/relationships/hyperlink" Target="https://pld.live/RapDetail.aspx?STONELIST=925040443&amp;ISCONFIRM=0" TargetMode="External"/><Relationship Id="rId6029" Type="http://schemas.openxmlformats.org/officeDocument/2006/relationships/hyperlink" Target="https://pld.live/RapDetail.aspx?STONELIST=941261126&amp;ISCONFIRM=0" TargetMode="External"/><Relationship Id="rId6376" Type="http://schemas.openxmlformats.org/officeDocument/2006/relationships/hyperlink" Target="https://pld.live/RapDetail.aspx?STONELIST=927020703&amp;ISCONFIRM=0" TargetMode="External"/><Relationship Id="rId6790" Type="http://schemas.openxmlformats.org/officeDocument/2006/relationships/hyperlink" Target="https://pld.live/RapDetail.aspx?STONELIST=925880253&amp;ISCONFIRM=0" TargetMode="External"/><Relationship Id="rId7427" Type="http://schemas.openxmlformats.org/officeDocument/2006/relationships/hyperlink" Target="https://pld.live/RapDetail.aspx?STONELIST=924300691&amp;ISCONFIRM=0" TargetMode="External"/><Relationship Id="rId7841" Type="http://schemas.openxmlformats.org/officeDocument/2006/relationships/hyperlink" Target="https://pld.live/RapDetail.aspx?STONELIST=924290292&amp;ISCONFIRM=0" TargetMode="External"/><Relationship Id="rId7" Type="http://schemas.openxmlformats.org/officeDocument/2006/relationships/hyperlink" Target="https://pld.live/RapDetail.aspx?STONELIST=831020742&amp;ISCONFIRM=0" TargetMode="External"/><Relationship Id="rId2986" Type="http://schemas.openxmlformats.org/officeDocument/2006/relationships/hyperlink" Target="https://pld.live/RapDetail.aspx?STONELIST=925830766&amp;ISCONFIRM=0" TargetMode="External"/><Relationship Id="rId5392" Type="http://schemas.openxmlformats.org/officeDocument/2006/relationships/hyperlink" Target="https://pld.live/RapDetail.aspx?STONELIST=926740266&amp;ISCONFIRM=0" TargetMode="External"/><Relationship Id="rId6443" Type="http://schemas.openxmlformats.org/officeDocument/2006/relationships/hyperlink" Target="https://pld.live/RapDetail.aspx?STONELIST=926831161&amp;ISCONFIRM=0" TargetMode="External"/><Relationship Id="rId958" Type="http://schemas.openxmlformats.org/officeDocument/2006/relationships/hyperlink" Target="https://pld.live/RapDetail.aspx?STONELIST=926771044&amp;ISCONFIRM=0" TargetMode="External"/><Relationship Id="rId1588" Type="http://schemas.openxmlformats.org/officeDocument/2006/relationships/hyperlink" Target="https://pld.live/RapDetail.aspx?STONELIST=941320500&amp;ISCONFIRM=0" TargetMode="External"/><Relationship Id="rId2639" Type="http://schemas.openxmlformats.org/officeDocument/2006/relationships/hyperlink" Target="https://pld.live/RapDetail.aspx?STONELIST=821127877&amp;ISCONFIRM=0" TargetMode="External"/><Relationship Id="rId5045" Type="http://schemas.openxmlformats.org/officeDocument/2006/relationships/hyperlink" Target="https://pld.live/RapDetail.aspx?STONELIST=925961211&amp;ISCONFIRM=0" TargetMode="External"/><Relationship Id="rId6510" Type="http://schemas.openxmlformats.org/officeDocument/2006/relationships/hyperlink" Target="https://pld.live/RapDetail.aspx?STONELIST=941090667&amp;ISCONFIRM=0" TargetMode="External"/><Relationship Id="rId1655" Type="http://schemas.openxmlformats.org/officeDocument/2006/relationships/hyperlink" Target="https://pld.live/RapDetail.aspx?STONELIST=926120750&amp;ISCONFIRM=0" TargetMode="External"/><Relationship Id="rId2706" Type="http://schemas.openxmlformats.org/officeDocument/2006/relationships/hyperlink" Target="https://pld.live/RapDetail.aspx?STONELIST=926320979&amp;ISCONFIRM=0" TargetMode="External"/><Relationship Id="rId4061" Type="http://schemas.openxmlformats.org/officeDocument/2006/relationships/hyperlink" Target="https://pld.live/RapDetail.aspx?STONELIST=925981065&amp;ISCONFIRM=0" TargetMode="External"/><Relationship Id="rId5112" Type="http://schemas.openxmlformats.org/officeDocument/2006/relationships/hyperlink" Target="https://pld.live/RapDetail.aspx?STONELIST=925500682&amp;ISCONFIRM=0" TargetMode="External"/><Relationship Id="rId1308" Type="http://schemas.openxmlformats.org/officeDocument/2006/relationships/hyperlink" Target="https://pld.live/RapDetail.aspx?STONELIST=941040190&amp;ISCONFIRM=0" TargetMode="External"/><Relationship Id="rId7284" Type="http://schemas.openxmlformats.org/officeDocument/2006/relationships/hyperlink" Target="https://pld.live/RapDetail.aspx?STONELIST=927132578&amp;ISCONFIRM=0" TargetMode="External"/><Relationship Id="rId1722" Type="http://schemas.openxmlformats.org/officeDocument/2006/relationships/hyperlink" Target="https://pld.live/RapDetail.aspx?STONELIST=941380160&amp;ISCONFIRM=0" TargetMode="External"/><Relationship Id="rId4878" Type="http://schemas.openxmlformats.org/officeDocument/2006/relationships/hyperlink" Target="https://pld.live/RapDetail.aspx?STONELIST=925861494&amp;ISCONFIRM=0" TargetMode="External"/><Relationship Id="rId5929" Type="http://schemas.openxmlformats.org/officeDocument/2006/relationships/hyperlink" Target="https://pld.live/RapDetail.aspx?STONELIST=924610450&amp;ISCONFIRM=0" TargetMode="External"/><Relationship Id="rId14" Type="http://schemas.openxmlformats.org/officeDocument/2006/relationships/hyperlink" Target="https://pld.live/RapDetail.aspx?STONELIST=925400022&amp;ISCONFIRM=0" TargetMode="External"/><Relationship Id="rId3894" Type="http://schemas.openxmlformats.org/officeDocument/2006/relationships/hyperlink" Target="https://pld.live/RapDetail.aspx?STONELIST=925120197&amp;ISCONFIRM=0" TargetMode="External"/><Relationship Id="rId4945" Type="http://schemas.openxmlformats.org/officeDocument/2006/relationships/hyperlink" Target="https://pld.live/RapDetail.aspx?STONELIST=926100904&amp;ISCONFIRM=0" TargetMode="External"/><Relationship Id="rId7004" Type="http://schemas.openxmlformats.org/officeDocument/2006/relationships/hyperlink" Target="https://pld.live/RapDetail.aspx?STONELIST=926200776&amp;ISCONFIRM=0" TargetMode="External"/><Relationship Id="rId7351" Type="http://schemas.openxmlformats.org/officeDocument/2006/relationships/hyperlink" Target="https://pld.live/RapDetail.aspx?STONELIST=925851300&amp;ISCONFIRM=0" TargetMode="External"/><Relationship Id="rId2496" Type="http://schemas.openxmlformats.org/officeDocument/2006/relationships/hyperlink" Target="https://pld.live/RapDetail.aspx?STONELIST=941290158&amp;ISCONFIRM=0" TargetMode="External"/><Relationship Id="rId3547" Type="http://schemas.openxmlformats.org/officeDocument/2006/relationships/hyperlink" Target="https://pld.live/RapDetail.aspx?STONELIST=923730592&amp;ISCONFIRM=0" TargetMode="External"/><Relationship Id="rId3961" Type="http://schemas.openxmlformats.org/officeDocument/2006/relationships/hyperlink" Target="https://pld.live/RapDetail.aspx?STONELIST=926100883&amp;ISCONFIRM=0" TargetMode="External"/><Relationship Id="rId468" Type="http://schemas.openxmlformats.org/officeDocument/2006/relationships/hyperlink" Target="https://pld.live/RapDetail.aspx?STONELIST=925721478&amp;ISCONFIRM=0" TargetMode="External"/><Relationship Id="rId882" Type="http://schemas.openxmlformats.org/officeDocument/2006/relationships/hyperlink" Target="https://pld.live/RapDetail.aspx?STONELIST=821127423&amp;ISCONFIRM=0" TargetMode="External"/><Relationship Id="rId1098" Type="http://schemas.openxmlformats.org/officeDocument/2006/relationships/hyperlink" Target="https://pld.live/RapDetail.aspx?STONELIST=927151769&amp;ISCONFIRM=0" TargetMode="External"/><Relationship Id="rId2149" Type="http://schemas.openxmlformats.org/officeDocument/2006/relationships/hyperlink" Target="https://pld.live/RapDetail.aspx?STONELIST=926081034&amp;ISCONFIRM=0" TargetMode="External"/><Relationship Id="rId2563" Type="http://schemas.openxmlformats.org/officeDocument/2006/relationships/hyperlink" Target="https://pld.live/RapDetail.aspx?STONELIST=926231090&amp;ISCONFIRM=0" TargetMode="External"/><Relationship Id="rId3614" Type="http://schemas.openxmlformats.org/officeDocument/2006/relationships/hyperlink" Target="https://pld.live/RapDetail.aspx?STONELIST=925350039&amp;ISCONFIRM=0" TargetMode="External"/><Relationship Id="rId6020" Type="http://schemas.openxmlformats.org/officeDocument/2006/relationships/hyperlink" Target="https://pld.live/RapDetail.aspx?STONELIST=941261130&amp;ISCONFIRM=0" TargetMode="External"/><Relationship Id="rId535" Type="http://schemas.openxmlformats.org/officeDocument/2006/relationships/hyperlink" Target="https://pld.live/RapDetail.aspx?STONELIST=941190457&amp;ISCONFIRM=0" TargetMode="External"/><Relationship Id="rId1165" Type="http://schemas.openxmlformats.org/officeDocument/2006/relationships/hyperlink" Target="https://pld.live/RapDetail.aspx?STONELIST=926750963&amp;ISCONFIRM=0" TargetMode="External"/><Relationship Id="rId2216" Type="http://schemas.openxmlformats.org/officeDocument/2006/relationships/hyperlink" Target="https://pld.live/RapDetail.aspx?STONELIST=925370218&amp;ISCONFIRM=0" TargetMode="External"/><Relationship Id="rId2630" Type="http://schemas.openxmlformats.org/officeDocument/2006/relationships/hyperlink" Target="https://pld.live/RapDetail.aspx?STONELIST=926721332&amp;ISCONFIRM=0" TargetMode="External"/><Relationship Id="rId5786" Type="http://schemas.openxmlformats.org/officeDocument/2006/relationships/hyperlink" Target="https://pld.live/RapDetail.aspx?STONELIST=941160519&amp;ISCONFIRM=0" TargetMode="External"/><Relationship Id="rId6837" Type="http://schemas.openxmlformats.org/officeDocument/2006/relationships/hyperlink" Target="https://pld.live/RapDetail.aspx?STONELIST=926150062&amp;ISCONFIRM=0" TargetMode="External"/><Relationship Id="rId8192" Type="http://schemas.openxmlformats.org/officeDocument/2006/relationships/hyperlink" Target="https://pld.live/RapDetail.aspx?STONELIST=925722135&amp;ISCONFIRM=0" TargetMode="External"/><Relationship Id="rId602" Type="http://schemas.openxmlformats.org/officeDocument/2006/relationships/hyperlink" Target="https://pld.live/RapDetail.aspx?STONELIST=831010470&amp;ISCONFIRM=0" TargetMode="External"/><Relationship Id="rId1232" Type="http://schemas.openxmlformats.org/officeDocument/2006/relationships/hyperlink" Target="https://pld.live/RapDetail.aspx?STONELIST=831010031&amp;ISCONFIRM=0" TargetMode="External"/><Relationship Id="rId4388" Type="http://schemas.openxmlformats.org/officeDocument/2006/relationships/hyperlink" Target="https://pld.live/RapDetail.aspx?STONELIST=926750806&amp;ISCONFIRM=0" TargetMode="External"/><Relationship Id="rId5439" Type="http://schemas.openxmlformats.org/officeDocument/2006/relationships/hyperlink" Target="https://pld.live/RapDetail.aspx?STONELIST=941200169&amp;ISCONFIRM=0" TargetMode="External"/><Relationship Id="rId5853" Type="http://schemas.openxmlformats.org/officeDocument/2006/relationships/hyperlink" Target="https://pld.live/RapDetail.aspx?STONELIST=924620122&amp;ISCONFIRM=0" TargetMode="External"/><Relationship Id="rId6904" Type="http://schemas.openxmlformats.org/officeDocument/2006/relationships/hyperlink" Target="https://pld.live/RapDetail.aspx?STONELIST=925960067&amp;ISCONFIRM=0" TargetMode="External"/><Relationship Id="rId3057" Type="http://schemas.openxmlformats.org/officeDocument/2006/relationships/hyperlink" Target="https://pld.live/RapDetail.aspx?STONELIST=925791407&amp;ISCONFIRM=0" TargetMode="External"/><Relationship Id="rId4108" Type="http://schemas.openxmlformats.org/officeDocument/2006/relationships/hyperlink" Target="https://pld.live/RapDetail.aspx?STONELIST=926041287&amp;ISCONFIRM=0" TargetMode="External"/><Relationship Id="rId4455" Type="http://schemas.openxmlformats.org/officeDocument/2006/relationships/hyperlink" Target="https://pld.live/RapDetail.aspx?STONELIST=926210633&amp;ISCONFIRM=0" TargetMode="External"/><Relationship Id="rId5506" Type="http://schemas.openxmlformats.org/officeDocument/2006/relationships/hyperlink" Target="https://pld.live/RapDetail.aspx?STONELIST=821113649&amp;ISCONFIRM=0" TargetMode="External"/><Relationship Id="rId5920" Type="http://schemas.openxmlformats.org/officeDocument/2006/relationships/hyperlink" Target="https://pld.live/RapDetail.aspx?STONELIST=926600038&amp;ISCONFIRM=0" TargetMode="External"/><Relationship Id="rId3471" Type="http://schemas.openxmlformats.org/officeDocument/2006/relationships/hyperlink" Target="https://pld.live/RapDetail.aspx?STONELIST=925961196&amp;ISCONFIRM=0" TargetMode="External"/><Relationship Id="rId4522" Type="http://schemas.openxmlformats.org/officeDocument/2006/relationships/hyperlink" Target="https://pld.live/RapDetail.aspx?STONELIST=926972230&amp;ISCONFIRM=0" TargetMode="External"/><Relationship Id="rId7678" Type="http://schemas.openxmlformats.org/officeDocument/2006/relationships/hyperlink" Target="https://pld.live/RapDetail.aspx?STONELIST=941261137&amp;ISCONFIRM=0" TargetMode="External"/><Relationship Id="rId392" Type="http://schemas.openxmlformats.org/officeDocument/2006/relationships/hyperlink" Target="https://pld.live/RapDetail.aspx?STONELIST=925960926&amp;ISCONFIRM=0" TargetMode="External"/><Relationship Id="rId2073" Type="http://schemas.openxmlformats.org/officeDocument/2006/relationships/hyperlink" Target="https://pld.live/RapDetail.aspx?STONELIST=924100274&amp;ISCONFIRM=0" TargetMode="External"/><Relationship Id="rId3124" Type="http://schemas.openxmlformats.org/officeDocument/2006/relationships/hyperlink" Target="https://pld.live/RapDetail.aspx?STONELIST=926210833&amp;ISCONFIRM=0" TargetMode="External"/><Relationship Id="rId6694" Type="http://schemas.openxmlformats.org/officeDocument/2006/relationships/hyperlink" Target="https://pld.live/RapDetail.aspx?STONELIST=927132456&amp;ISCONFIRM=0" TargetMode="External"/><Relationship Id="rId7745" Type="http://schemas.openxmlformats.org/officeDocument/2006/relationships/hyperlink" Target="https://pld.live/RapDetail.aspx?STONELIST=924250222&amp;ISCONFIRM=0" TargetMode="External"/><Relationship Id="rId2140" Type="http://schemas.openxmlformats.org/officeDocument/2006/relationships/hyperlink" Target="https://pld.live/RapDetail.aspx?STONELIST=926091411&amp;ISCONFIRM=0" TargetMode="External"/><Relationship Id="rId5296" Type="http://schemas.openxmlformats.org/officeDocument/2006/relationships/hyperlink" Target="https://pld.live/RapDetail.aspx?STONELIST=926740884&amp;ISCONFIRM=0" TargetMode="External"/><Relationship Id="rId6347" Type="http://schemas.openxmlformats.org/officeDocument/2006/relationships/hyperlink" Target="https://pld.live/RapDetail.aspx?STONELIST=927010799&amp;ISCONFIRM=0" TargetMode="External"/><Relationship Id="rId6761" Type="http://schemas.openxmlformats.org/officeDocument/2006/relationships/hyperlink" Target="https://pld.live/RapDetail.aspx?STONELIST=927132451&amp;ISCONFIRM=0" TargetMode="External"/><Relationship Id="rId7812" Type="http://schemas.openxmlformats.org/officeDocument/2006/relationships/hyperlink" Target="https://pld.live/RapDetail.aspx?STONELIST=831010477&amp;ISCONFIRM=0" TargetMode="External"/><Relationship Id="rId112" Type="http://schemas.openxmlformats.org/officeDocument/2006/relationships/hyperlink" Target="https://pld.live/RapDetail.aspx?STONELIST=831020624&amp;ISCONFIRM=0" TargetMode="External"/><Relationship Id="rId5363" Type="http://schemas.openxmlformats.org/officeDocument/2006/relationships/hyperlink" Target="https://pld.live/RapDetail.aspx?STONELIST=941351077&amp;ISCONFIRM=0" TargetMode="External"/><Relationship Id="rId6414" Type="http://schemas.openxmlformats.org/officeDocument/2006/relationships/hyperlink" Target="https://pld.live/RapDetail.aspx?STONELIST=941110514&amp;ISCONFIRM=0" TargetMode="External"/><Relationship Id="rId2957" Type="http://schemas.openxmlformats.org/officeDocument/2006/relationships/hyperlink" Target="https://pld.live/RapDetail.aspx?STONELIST=926111191&amp;ISCONFIRM=0" TargetMode="External"/><Relationship Id="rId5016" Type="http://schemas.openxmlformats.org/officeDocument/2006/relationships/hyperlink" Target="https://pld.live/RapDetail.aspx?STONELIST=926901064&amp;ISCONFIRM=0" TargetMode="External"/><Relationship Id="rId929" Type="http://schemas.openxmlformats.org/officeDocument/2006/relationships/hyperlink" Target="https://pld.live/RapDetail.aspx?STONELIST=925801648&amp;ISCONFIRM=0" TargetMode="External"/><Relationship Id="rId1559" Type="http://schemas.openxmlformats.org/officeDocument/2006/relationships/hyperlink" Target="https://pld.live/RapDetail.aspx?STONELIST=925790737&amp;ISCONFIRM=0" TargetMode="External"/><Relationship Id="rId1973" Type="http://schemas.openxmlformats.org/officeDocument/2006/relationships/hyperlink" Target="https://pld.live/RapDetail.aspx?STONELIST=926100945&amp;ISCONFIRM=0" TargetMode="External"/><Relationship Id="rId4032" Type="http://schemas.openxmlformats.org/officeDocument/2006/relationships/hyperlink" Target="https://pld.live/RapDetail.aspx?STONELIST=925861420&amp;ISCONFIRM=0" TargetMode="External"/><Relationship Id="rId5430" Type="http://schemas.openxmlformats.org/officeDocument/2006/relationships/hyperlink" Target="https://pld.live/RapDetail.aspx?STONELIST=941351048&amp;ISCONFIRM=0" TargetMode="External"/><Relationship Id="rId7188" Type="http://schemas.openxmlformats.org/officeDocument/2006/relationships/hyperlink" Target="https://pld.live/RapDetail.aspx?STONELIST=927070792&amp;ISCONFIRM=0" TargetMode="External"/><Relationship Id="rId8239" Type="http://schemas.openxmlformats.org/officeDocument/2006/relationships/hyperlink" Target="https://pld.live/RapDetail.aspx?STONELIST=925300338&amp;ISCONFIRM=0" TargetMode="External"/><Relationship Id="rId1626" Type="http://schemas.openxmlformats.org/officeDocument/2006/relationships/hyperlink" Target="https://pld.live/RapDetail.aspx?STONELIST=926801179&amp;ISCONFIRM=0" TargetMode="External"/><Relationship Id="rId3798" Type="http://schemas.openxmlformats.org/officeDocument/2006/relationships/hyperlink" Target="https://pld.live/RapDetail.aspx?STONELIST=941431235&amp;ISCONFIRM=0" TargetMode="External"/><Relationship Id="rId4849" Type="http://schemas.openxmlformats.org/officeDocument/2006/relationships/hyperlink" Target="https://pld.live/RapDetail.aspx?STONELIST=925961275&amp;ISCONFIRM=0" TargetMode="External"/><Relationship Id="rId7255" Type="http://schemas.openxmlformats.org/officeDocument/2006/relationships/hyperlink" Target="https://pld.live/RapDetail.aspx?STONELIST=941100165&amp;ISCONFIRM=0" TargetMode="External"/><Relationship Id="rId3865" Type="http://schemas.openxmlformats.org/officeDocument/2006/relationships/hyperlink" Target="https://pld.live/RapDetail.aspx?STONELIST=925950628&amp;ISCONFIRM=0" TargetMode="External"/><Relationship Id="rId4916" Type="http://schemas.openxmlformats.org/officeDocument/2006/relationships/hyperlink" Target="https://pld.live/RapDetail.aspx?STONELIST=926200898&amp;ISCONFIRM=0" TargetMode="External"/><Relationship Id="rId6271" Type="http://schemas.openxmlformats.org/officeDocument/2006/relationships/hyperlink" Target="https://pld.live/RapDetail.aspx?STONELIST=923310430&amp;ISCONFIRM=0" TargetMode="External"/><Relationship Id="rId7322" Type="http://schemas.openxmlformats.org/officeDocument/2006/relationships/hyperlink" Target="https://pld.live/RapDetail.aspx?STONELIST=941140793&amp;ISCONFIRM=0" TargetMode="External"/><Relationship Id="rId786" Type="http://schemas.openxmlformats.org/officeDocument/2006/relationships/hyperlink" Target="https://pld.live/RapDetail.aspx?STONELIST=925940534&amp;ISCONFIRM=0" TargetMode="External"/><Relationship Id="rId2467" Type="http://schemas.openxmlformats.org/officeDocument/2006/relationships/hyperlink" Target="https://pld.live/RapDetail.aspx?STONELIST=926240589&amp;ISCONFIRM=0" TargetMode="External"/><Relationship Id="rId3518" Type="http://schemas.openxmlformats.org/officeDocument/2006/relationships/hyperlink" Target="https://pld.live/RapDetail.aspx?STONELIST=926310843&amp;ISCONFIRM=0" TargetMode="External"/><Relationship Id="rId439" Type="http://schemas.openxmlformats.org/officeDocument/2006/relationships/hyperlink" Target="https://pld.live/RapDetail.aspx?STONELIST=925801750&amp;ISCONFIRM=0" TargetMode="External"/><Relationship Id="rId1069" Type="http://schemas.openxmlformats.org/officeDocument/2006/relationships/hyperlink" Target="https://pld.live/RapDetail.aspx?STONELIST=927101023&amp;ISCONFIRM=0" TargetMode="External"/><Relationship Id="rId1483" Type="http://schemas.openxmlformats.org/officeDocument/2006/relationships/hyperlink" Target="https://pld.live/RapDetail.aspx?STONELIST=926311383&amp;ISCONFIRM=0" TargetMode="External"/><Relationship Id="rId2881" Type="http://schemas.openxmlformats.org/officeDocument/2006/relationships/hyperlink" Target="https://pld.live/RapDetail.aspx?STONELIST=831010845&amp;ISCONFIRM=0" TargetMode="External"/><Relationship Id="rId3932" Type="http://schemas.openxmlformats.org/officeDocument/2006/relationships/hyperlink" Target="https://pld.live/RapDetail.aspx?STONELIST=925971204&amp;ISCONFIRM=0" TargetMode="External"/><Relationship Id="rId8096" Type="http://schemas.openxmlformats.org/officeDocument/2006/relationships/hyperlink" Target="https://pld.live/RapDetail.aspx?STONELIST=925621778&amp;ISCONFIRM=0" TargetMode="External"/><Relationship Id="rId506" Type="http://schemas.openxmlformats.org/officeDocument/2006/relationships/hyperlink" Target="https://pld.live/RapDetail.aspx?STONELIST=925621749&amp;ISCONFIRM=0" TargetMode="External"/><Relationship Id="rId853" Type="http://schemas.openxmlformats.org/officeDocument/2006/relationships/hyperlink" Target="https://pld.live/RapDetail.aspx?STONELIST=925860709&amp;ISCONFIRM=0" TargetMode="External"/><Relationship Id="rId1136" Type="http://schemas.openxmlformats.org/officeDocument/2006/relationships/hyperlink" Target="https://pld.live/RapDetail.aspx?STONELIST=941070937&amp;ISCONFIRM=0" TargetMode="External"/><Relationship Id="rId2534" Type="http://schemas.openxmlformats.org/officeDocument/2006/relationships/hyperlink" Target="https://pld.live/RapDetail.aspx?STONELIST=926081416&amp;ISCONFIRM=0" TargetMode="External"/><Relationship Id="rId8163" Type="http://schemas.openxmlformats.org/officeDocument/2006/relationships/hyperlink" Target="https://pld.live/RapDetail.aspx?STONELIST=831010735&amp;ISCONFIRM=0" TargetMode="External"/><Relationship Id="rId920" Type="http://schemas.openxmlformats.org/officeDocument/2006/relationships/hyperlink" Target="https://pld.live/RapDetail.aspx?STONELIST=924820034&amp;ISCONFIRM=0" TargetMode="External"/><Relationship Id="rId1550" Type="http://schemas.openxmlformats.org/officeDocument/2006/relationships/hyperlink" Target="https://pld.live/RapDetail.aspx?STONELIST=926221390&amp;ISCONFIRM=0" TargetMode="External"/><Relationship Id="rId2601" Type="http://schemas.openxmlformats.org/officeDocument/2006/relationships/hyperlink" Target="https://pld.live/RapDetail.aspx?STONELIST=941190755&amp;ISCONFIRM=0" TargetMode="External"/><Relationship Id="rId5757" Type="http://schemas.openxmlformats.org/officeDocument/2006/relationships/hyperlink" Target="https://pld.live/RapDetail.aspx?STONELIST=924460733&amp;ISCONFIRM=0" TargetMode="External"/><Relationship Id="rId6808" Type="http://schemas.openxmlformats.org/officeDocument/2006/relationships/hyperlink" Target="https://pld.live/RapDetail.aspx?STONELIST=922170050&amp;ISCONFIRM=0" TargetMode="External"/><Relationship Id="rId1203" Type="http://schemas.openxmlformats.org/officeDocument/2006/relationships/hyperlink" Target="https://pld.live/RapDetail.aspx?STONELIST=941070929&amp;ISCONFIRM=0" TargetMode="External"/><Relationship Id="rId4359" Type="http://schemas.openxmlformats.org/officeDocument/2006/relationships/hyperlink" Target="https://pld.live/RapDetail.aspx?STONELIST=927052515&amp;ISCONFIRM=0" TargetMode="External"/><Relationship Id="rId4773" Type="http://schemas.openxmlformats.org/officeDocument/2006/relationships/hyperlink" Target="https://pld.live/RapDetail.aspx?STONELIST=922180018&amp;ISCONFIRM=0" TargetMode="External"/><Relationship Id="rId5824" Type="http://schemas.openxmlformats.org/officeDocument/2006/relationships/hyperlink" Target="https://pld.live/RapDetail.aspx?STONELIST=926050372&amp;ISCONFIRM=0" TargetMode="External"/><Relationship Id="rId8230" Type="http://schemas.openxmlformats.org/officeDocument/2006/relationships/hyperlink" Target="https://pld.live/RapDetail.aspx?STONELIST=925300328&amp;ISCONFIRM=0" TargetMode="External"/><Relationship Id="rId3375" Type="http://schemas.openxmlformats.org/officeDocument/2006/relationships/hyperlink" Target="https://pld.live/RapDetail.aspx?STONELIST=925542754&amp;ISCONFIRM=0" TargetMode="External"/><Relationship Id="rId4426" Type="http://schemas.openxmlformats.org/officeDocument/2006/relationships/hyperlink" Target="https://pld.live/RapDetail.aspx?STONELIST=925080449&amp;ISCONFIRM=0" TargetMode="External"/><Relationship Id="rId4840" Type="http://schemas.openxmlformats.org/officeDocument/2006/relationships/hyperlink" Target="https://pld.live/RapDetail.aspx?STONELIST=926910425&amp;ISCONFIRM=0" TargetMode="External"/><Relationship Id="rId7996" Type="http://schemas.openxmlformats.org/officeDocument/2006/relationships/hyperlink" Target="https://pld.live/RapDetail.aspx?STONELIST=926580230&amp;ISCONFIRM=0" TargetMode="External"/><Relationship Id="rId296" Type="http://schemas.openxmlformats.org/officeDocument/2006/relationships/hyperlink" Target="https://pld.live/RapDetail.aspx?STONELIST=925310033&amp;ISCONFIRM=0" TargetMode="External"/><Relationship Id="rId2391" Type="http://schemas.openxmlformats.org/officeDocument/2006/relationships/hyperlink" Target="https://pld.live/RapDetail.aspx?STONELIST=926980603&amp;ISCONFIRM=0" TargetMode="External"/><Relationship Id="rId3028" Type="http://schemas.openxmlformats.org/officeDocument/2006/relationships/hyperlink" Target="https://pld.live/RapDetail.aspx?STONELIST=926111163&amp;ISCONFIRM=0" TargetMode="External"/><Relationship Id="rId3442" Type="http://schemas.openxmlformats.org/officeDocument/2006/relationships/hyperlink" Target="https://pld.live/RapDetail.aspx?STONELIST=831010788&amp;ISCONFIRM=0" TargetMode="External"/><Relationship Id="rId6598" Type="http://schemas.openxmlformats.org/officeDocument/2006/relationships/hyperlink" Target="https://pld.live/RapDetail.aspx?STONELIST=927052616&amp;ISCONFIRM=0" TargetMode="External"/><Relationship Id="rId7649" Type="http://schemas.openxmlformats.org/officeDocument/2006/relationships/hyperlink" Target="https://pld.live/RapDetail.aspx?STONELIST=926311220&amp;ISCONFIRM=0" TargetMode="External"/><Relationship Id="rId363" Type="http://schemas.openxmlformats.org/officeDocument/2006/relationships/hyperlink" Target="https://pld.live/RapDetail.aspx?STONELIST=925310007&amp;ISCONFIRM=0" TargetMode="External"/><Relationship Id="rId2044" Type="http://schemas.openxmlformats.org/officeDocument/2006/relationships/hyperlink" Target="https://pld.live/RapDetail.aspx?STONELIST=924400708&amp;ISCONFIRM=0" TargetMode="External"/><Relationship Id="rId430" Type="http://schemas.openxmlformats.org/officeDocument/2006/relationships/hyperlink" Target="https://pld.live/RapDetail.aspx?STONELIST=925440040&amp;ISCONFIRM=0" TargetMode="External"/><Relationship Id="rId1060" Type="http://schemas.openxmlformats.org/officeDocument/2006/relationships/hyperlink" Target="https://pld.live/RapDetail.aspx?STONELIST=926900854&amp;ISCONFIRM=0" TargetMode="External"/><Relationship Id="rId2111" Type="http://schemas.openxmlformats.org/officeDocument/2006/relationships/hyperlink" Target="https://pld.live/RapDetail.aspx?STONELIST=821127873&amp;ISCONFIRM=0" TargetMode="External"/><Relationship Id="rId5267" Type="http://schemas.openxmlformats.org/officeDocument/2006/relationships/hyperlink" Target="https://pld.live/RapDetail.aspx?STONELIST=926210622&amp;ISCONFIRM=0" TargetMode="External"/><Relationship Id="rId6318" Type="http://schemas.openxmlformats.org/officeDocument/2006/relationships/hyperlink" Target="https://pld.live/RapDetail.aspx?STONELIST=927010477&amp;ISCONFIRM=0" TargetMode="External"/><Relationship Id="rId6665" Type="http://schemas.openxmlformats.org/officeDocument/2006/relationships/hyperlink" Target="https://pld.live/RapDetail.aspx?STONELIST=921850008&amp;ISCONFIRM=0" TargetMode="External"/><Relationship Id="rId7716" Type="http://schemas.openxmlformats.org/officeDocument/2006/relationships/hyperlink" Target="https://pld.live/RapDetail.aspx?STONELIST=926820121&amp;ISCONFIRM=0" TargetMode="External"/><Relationship Id="rId5681" Type="http://schemas.openxmlformats.org/officeDocument/2006/relationships/hyperlink" Target="https://pld.live/RapDetail.aspx?STONELIST=831020345&amp;ISCONFIRM=0" TargetMode="External"/><Relationship Id="rId6732" Type="http://schemas.openxmlformats.org/officeDocument/2006/relationships/hyperlink" Target="https://pld.live/RapDetail.aspx?STONELIST=927152962&amp;ISCONFIRM=0" TargetMode="External"/><Relationship Id="rId1877" Type="http://schemas.openxmlformats.org/officeDocument/2006/relationships/hyperlink" Target="https://pld.live/RapDetail.aspx?STONELIST=926771036&amp;ISCONFIRM=0" TargetMode="External"/><Relationship Id="rId2928" Type="http://schemas.openxmlformats.org/officeDocument/2006/relationships/hyperlink" Target="https://pld.live/RapDetail.aspx?STONELIST=831010775&amp;ISCONFIRM=0" TargetMode="External"/><Relationship Id="rId4283" Type="http://schemas.openxmlformats.org/officeDocument/2006/relationships/hyperlink" Target="https://pld.live/RapDetail.aspx?STONELIST=926740895&amp;ISCONFIRM=0" TargetMode="External"/><Relationship Id="rId5334" Type="http://schemas.openxmlformats.org/officeDocument/2006/relationships/hyperlink" Target="https://pld.live/RapDetail.aspx?STONELIST=831020477&amp;ISCONFIRM=0" TargetMode="External"/><Relationship Id="rId1944" Type="http://schemas.openxmlformats.org/officeDocument/2006/relationships/hyperlink" Target="https://pld.live/RapDetail.aspx?STONELIST=926321134&amp;ISCONFIRM=0" TargetMode="External"/><Relationship Id="rId4350" Type="http://schemas.openxmlformats.org/officeDocument/2006/relationships/hyperlink" Target="https://pld.live/RapDetail.aspx?STONELIST=926270838&amp;ISCONFIRM=0" TargetMode="External"/><Relationship Id="rId5401" Type="http://schemas.openxmlformats.org/officeDocument/2006/relationships/hyperlink" Target="https://pld.live/RapDetail.aspx?STONELIST=831020375&amp;ISCONFIRM=0" TargetMode="External"/><Relationship Id="rId4003" Type="http://schemas.openxmlformats.org/officeDocument/2006/relationships/hyperlink" Target="https://pld.live/RapDetail.aspx?STONELIST=925981075&amp;ISCONFIRM=0" TargetMode="External"/><Relationship Id="rId7159" Type="http://schemas.openxmlformats.org/officeDocument/2006/relationships/hyperlink" Target="https://pld.live/RapDetail.aspx?STONELIST=926410392&amp;ISCONFIRM=0" TargetMode="External"/><Relationship Id="rId7573" Type="http://schemas.openxmlformats.org/officeDocument/2006/relationships/hyperlink" Target="https://pld.live/RapDetail.aspx?STONELIST=925801985&amp;ISCONFIRM=0" TargetMode="External"/><Relationship Id="rId6175" Type="http://schemas.openxmlformats.org/officeDocument/2006/relationships/hyperlink" Target="https://pld.live/RapDetail.aspx?STONELIST=924950425&amp;ISCONFIRM=0" TargetMode="External"/><Relationship Id="rId7226" Type="http://schemas.openxmlformats.org/officeDocument/2006/relationships/hyperlink" Target="https://pld.live/RapDetail.aspx?STONELIST=821118015&amp;ISCONFIRM=0" TargetMode="External"/><Relationship Id="rId3769" Type="http://schemas.openxmlformats.org/officeDocument/2006/relationships/hyperlink" Target="https://pld.live/RapDetail.aspx?STONELIST=9413800623&amp;ISCONFIRM=0" TargetMode="External"/><Relationship Id="rId5191" Type="http://schemas.openxmlformats.org/officeDocument/2006/relationships/hyperlink" Target="https://pld.live/RapDetail.aspx?STONELIST=925861615&amp;ISCONFIRM=0" TargetMode="External"/><Relationship Id="rId6242" Type="http://schemas.openxmlformats.org/officeDocument/2006/relationships/hyperlink" Target="https://pld.live/RapDetail.aspx?STONELIST=941150101&amp;ISCONFIRM=0" TargetMode="External"/><Relationship Id="rId7640" Type="http://schemas.openxmlformats.org/officeDocument/2006/relationships/hyperlink" Target="https://pld.live/RapDetail.aspx?STONELIST=924880354&amp;ISCONFIRM=0" TargetMode="External"/><Relationship Id="rId2785" Type="http://schemas.openxmlformats.org/officeDocument/2006/relationships/hyperlink" Target="https://pld.live/RapDetail.aspx?STONELIST=925500199&amp;ISCONFIRM=0" TargetMode="External"/><Relationship Id="rId3836" Type="http://schemas.openxmlformats.org/officeDocument/2006/relationships/hyperlink" Target="https://pld.live/RapDetail.aspx?STONELIST=941110529&amp;ISCONFIRM=0" TargetMode="External"/><Relationship Id="rId757" Type="http://schemas.openxmlformats.org/officeDocument/2006/relationships/hyperlink" Target="https://pld.live/RapDetail.aspx?STONELIST=925861938&amp;ISCONFIRM=0" TargetMode="External"/><Relationship Id="rId1387" Type="http://schemas.openxmlformats.org/officeDocument/2006/relationships/hyperlink" Target="https://pld.live/RapDetail.aspx?STONELIST=926280761&amp;ISCONFIRM=0" TargetMode="External"/><Relationship Id="rId2438" Type="http://schemas.openxmlformats.org/officeDocument/2006/relationships/hyperlink" Target="https://pld.live/RapDetail.aspx?STONELIST=926320987&amp;ISCONFIRM=0" TargetMode="External"/><Relationship Id="rId2852" Type="http://schemas.openxmlformats.org/officeDocument/2006/relationships/hyperlink" Target="https://pld.live/RapDetail.aspx?STONELIST=925970928&amp;ISCONFIRM=0" TargetMode="External"/><Relationship Id="rId3903" Type="http://schemas.openxmlformats.org/officeDocument/2006/relationships/hyperlink" Target="https://pld.live/RapDetail.aspx?STONELIST=925961193&amp;ISCONFIRM=0" TargetMode="External"/><Relationship Id="rId93" Type="http://schemas.openxmlformats.org/officeDocument/2006/relationships/hyperlink" Target="https://pld.live/RapDetail.aspx?STONELIST=923740179&amp;ISCONFIRM=0" TargetMode="External"/><Relationship Id="rId824" Type="http://schemas.openxmlformats.org/officeDocument/2006/relationships/hyperlink" Target="https://pld.live/RapDetail.aspx?STONELIST=925981152&amp;ISCONFIRM=0" TargetMode="External"/><Relationship Id="rId1454" Type="http://schemas.openxmlformats.org/officeDocument/2006/relationships/hyperlink" Target="https://pld.live/RapDetail.aspx?STONELIST=926221234&amp;ISCONFIRM=0" TargetMode="External"/><Relationship Id="rId2505" Type="http://schemas.openxmlformats.org/officeDocument/2006/relationships/hyperlink" Target="https://pld.live/RapDetail.aspx?STONELIST=926191352&amp;ISCONFIRM=0" TargetMode="External"/><Relationship Id="rId8067" Type="http://schemas.openxmlformats.org/officeDocument/2006/relationships/hyperlink" Target="https://pld.live/RapDetail.aspx?STONELIST=926100894&amp;ISCONFIRM=0" TargetMode="External"/><Relationship Id="rId1107" Type="http://schemas.openxmlformats.org/officeDocument/2006/relationships/hyperlink" Target="https://pld.live/RapDetail.aspx?STONELIST=927101063&amp;ISCONFIRM=0" TargetMode="External"/><Relationship Id="rId1521" Type="http://schemas.openxmlformats.org/officeDocument/2006/relationships/hyperlink" Target="https://pld.live/RapDetail.aspx?STONELIST=926221204&amp;ISCONFIRM=0" TargetMode="External"/><Relationship Id="rId4677" Type="http://schemas.openxmlformats.org/officeDocument/2006/relationships/hyperlink" Target="https://pld.live/RapDetail.aspx?STONELIST=831020187&amp;ISCONFIRM=0" TargetMode="External"/><Relationship Id="rId5728" Type="http://schemas.openxmlformats.org/officeDocument/2006/relationships/hyperlink" Target="https://pld.live/RapDetail.aspx?STONELIST=941380336&amp;ISCONFIRM=0" TargetMode="External"/><Relationship Id="rId7083" Type="http://schemas.openxmlformats.org/officeDocument/2006/relationships/hyperlink" Target="https://pld.live/RapDetail.aspx?STONELIST=927092420&amp;ISCONFIRM=0" TargetMode="External"/><Relationship Id="rId8134" Type="http://schemas.openxmlformats.org/officeDocument/2006/relationships/hyperlink" Target="https://pld.live/RapDetail.aspx?STONELIST=925621957&amp;ISCONFIRM=0" TargetMode="External"/><Relationship Id="rId3279" Type="http://schemas.openxmlformats.org/officeDocument/2006/relationships/hyperlink" Target="https://pld.live/RapDetail.aspx?STONELIST=9412700823&amp;ISCONFIRM=0" TargetMode="External"/><Relationship Id="rId3693" Type="http://schemas.openxmlformats.org/officeDocument/2006/relationships/hyperlink" Target="https://pld.live/RapDetail.aspx?STONELIST=941060536&amp;ISCONFIRM=0" TargetMode="External"/><Relationship Id="rId7150" Type="http://schemas.openxmlformats.org/officeDocument/2006/relationships/hyperlink" Target="https://pld.live/RapDetail.aspx?STONELIST=926360394&amp;ISCONFIRM=0" TargetMode="External"/><Relationship Id="rId8201" Type="http://schemas.openxmlformats.org/officeDocument/2006/relationships/hyperlink" Target="https://pld.live/RapDetail.aspx?STONELIST=925880322&amp;ISCONFIRM=0" TargetMode="External"/><Relationship Id="rId2295" Type="http://schemas.openxmlformats.org/officeDocument/2006/relationships/hyperlink" Target="https://pld.live/RapDetail.aspx?STONELIST=926240899&amp;ISCONFIRM=0" TargetMode="External"/><Relationship Id="rId3346" Type="http://schemas.openxmlformats.org/officeDocument/2006/relationships/hyperlink" Target="https://pld.live/RapDetail.aspx?STONELIST=924730237&amp;ISCONFIRM=0" TargetMode="External"/><Relationship Id="rId4744" Type="http://schemas.openxmlformats.org/officeDocument/2006/relationships/hyperlink" Target="https://pld.live/RapDetail.aspx?STONELIST=926930074&amp;ISCONFIRM=0" TargetMode="External"/><Relationship Id="rId267" Type="http://schemas.openxmlformats.org/officeDocument/2006/relationships/hyperlink" Target="https://pld.live/RapDetail.aspx?STONELIST=925541843&amp;ISCONFIRM=0" TargetMode="External"/><Relationship Id="rId3760" Type="http://schemas.openxmlformats.org/officeDocument/2006/relationships/hyperlink" Target="https://pld.live/RapDetail.aspx?STONELIST=927070174&amp;ISCONFIRM=0" TargetMode="External"/><Relationship Id="rId4811" Type="http://schemas.openxmlformats.org/officeDocument/2006/relationships/hyperlink" Target="https://pld.live/RapDetail.aspx?STONELIST=926540237&amp;ISCONFIRM=0" TargetMode="External"/><Relationship Id="rId7967" Type="http://schemas.openxmlformats.org/officeDocument/2006/relationships/hyperlink" Target="https://pld.live/RapDetail.aspx?STONELIST=926750823&amp;ISCONFIRM=0" TargetMode="External"/><Relationship Id="rId681" Type="http://schemas.openxmlformats.org/officeDocument/2006/relationships/hyperlink" Target="https://pld.live/RapDetail.aspx?STONELIST=926071829&amp;ISCONFIRM=0" TargetMode="External"/><Relationship Id="rId2362" Type="http://schemas.openxmlformats.org/officeDocument/2006/relationships/hyperlink" Target="https://pld.live/RapDetail.aspx?STONELIST=926341224&amp;ISCONFIRM=0" TargetMode="External"/><Relationship Id="rId3413" Type="http://schemas.openxmlformats.org/officeDocument/2006/relationships/hyperlink" Target="https://pld.live/RapDetail.aspx?STONELIST=925542699&amp;ISCONFIRM=0" TargetMode="External"/><Relationship Id="rId6569" Type="http://schemas.openxmlformats.org/officeDocument/2006/relationships/hyperlink" Target="https://pld.live/RapDetail.aspx?STONELIST=926010257&amp;ISCONFIRM=0" TargetMode="External"/><Relationship Id="rId6983" Type="http://schemas.openxmlformats.org/officeDocument/2006/relationships/hyperlink" Target="https://pld.live/RapDetail.aspx?STONELIST=925981238&amp;ISCONFIRM=0" TargetMode="External"/><Relationship Id="rId334" Type="http://schemas.openxmlformats.org/officeDocument/2006/relationships/hyperlink" Target="https://pld.live/RapDetail.aspx?STONELIST=941110083&amp;ISCONFIRM=0" TargetMode="External"/><Relationship Id="rId2015" Type="http://schemas.openxmlformats.org/officeDocument/2006/relationships/hyperlink" Target="https://pld.live/RapDetail.aspx?STONELIST=941250082&amp;ISCONFIRM=0" TargetMode="External"/><Relationship Id="rId5585" Type="http://schemas.openxmlformats.org/officeDocument/2006/relationships/hyperlink" Target="https://pld.live/RapDetail.aspx?STONELIST=924410883&amp;ISCONFIRM=0" TargetMode="External"/><Relationship Id="rId6636" Type="http://schemas.openxmlformats.org/officeDocument/2006/relationships/hyperlink" Target="https://pld.live/RapDetail.aspx?STONELIST=925930313&amp;ISCONFIRM=0" TargetMode="External"/><Relationship Id="rId401" Type="http://schemas.openxmlformats.org/officeDocument/2006/relationships/hyperlink" Target="https://pld.live/RapDetail.aspx?STONELIST=831020506&amp;ISCONFIRM=0" TargetMode="External"/><Relationship Id="rId1031" Type="http://schemas.openxmlformats.org/officeDocument/2006/relationships/hyperlink" Target="https://pld.live/RapDetail.aspx?STONELIST=941320074&amp;ISCONFIRM=0" TargetMode="External"/><Relationship Id="rId4187" Type="http://schemas.openxmlformats.org/officeDocument/2006/relationships/hyperlink" Target="https://pld.live/RapDetail.aspx?STONELIST=925732207&amp;ISCONFIRM=0" TargetMode="External"/><Relationship Id="rId5238" Type="http://schemas.openxmlformats.org/officeDocument/2006/relationships/hyperlink" Target="https://pld.live/RapDetail.aspx?STONELIST=926740001&amp;ISCONFIRM=0" TargetMode="External"/><Relationship Id="rId5652" Type="http://schemas.openxmlformats.org/officeDocument/2006/relationships/hyperlink" Target="https://pld.live/RapDetail.aspx?STONELIST=941261072&amp;ISCONFIRM=0" TargetMode="External"/><Relationship Id="rId6703" Type="http://schemas.openxmlformats.org/officeDocument/2006/relationships/hyperlink" Target="https://pld.live/RapDetail.aspx?STONELIST=927132449&amp;ISCONFIRM=0" TargetMode="External"/><Relationship Id="rId4254" Type="http://schemas.openxmlformats.org/officeDocument/2006/relationships/hyperlink" Target="https://pld.live/RapDetail.aspx?STONELIST=926621090&amp;ISCONFIRM=0" TargetMode="External"/><Relationship Id="rId5305" Type="http://schemas.openxmlformats.org/officeDocument/2006/relationships/hyperlink" Target="https://pld.live/RapDetail.aspx?STONELIST=926770431&amp;ISCONFIRM=0" TargetMode="External"/><Relationship Id="rId1848" Type="http://schemas.openxmlformats.org/officeDocument/2006/relationships/hyperlink" Target="https://pld.live/RapDetail.aspx?STONELIST=924010570&amp;ISCONFIRM=0" TargetMode="External"/><Relationship Id="rId3270" Type="http://schemas.openxmlformats.org/officeDocument/2006/relationships/hyperlink" Target="https://pld.live/RapDetail.aspx?STONELIST=941270818&amp;ISCONFIRM=0" TargetMode="External"/><Relationship Id="rId4321" Type="http://schemas.openxmlformats.org/officeDocument/2006/relationships/hyperlink" Target="https://pld.live/RapDetail.aspx?STONELIST=925722110&amp;ISCONFIRM=0" TargetMode="External"/><Relationship Id="rId7477" Type="http://schemas.openxmlformats.org/officeDocument/2006/relationships/hyperlink" Target="https://pld.live/RapDetail.aspx?STONELIST=926071602&amp;ISCONFIRM=0" TargetMode="External"/><Relationship Id="rId191" Type="http://schemas.openxmlformats.org/officeDocument/2006/relationships/hyperlink" Target="https://pld.live/RapDetail.aspx?STONELIST=924250344&amp;ISCONFIRM=0" TargetMode="External"/><Relationship Id="rId1915" Type="http://schemas.openxmlformats.org/officeDocument/2006/relationships/hyperlink" Target="https://pld.live/RapDetail.aspx?STONELIST=926801184&amp;ISCONFIRM=0" TargetMode="External"/><Relationship Id="rId6079" Type="http://schemas.openxmlformats.org/officeDocument/2006/relationships/hyperlink" Target="https://pld.live/RapDetail.aspx?STONELIST=926470459&amp;ISCONFIRM=0" TargetMode="External"/><Relationship Id="rId7891" Type="http://schemas.openxmlformats.org/officeDocument/2006/relationships/hyperlink" Target="https://pld.live/RapDetail.aspx?STONELIST=926870900&amp;ISCONFIRM=0" TargetMode="External"/><Relationship Id="rId5095" Type="http://schemas.openxmlformats.org/officeDocument/2006/relationships/hyperlink" Target="https://pld.live/RapDetail.aspx?STONELIST=925860680&amp;ISCONFIRM=0" TargetMode="External"/><Relationship Id="rId6493" Type="http://schemas.openxmlformats.org/officeDocument/2006/relationships/hyperlink" Target="https://pld.live/RapDetail.aspx?STONELIST=941050594&amp;ISCONFIRM=0" TargetMode="External"/><Relationship Id="rId7544" Type="http://schemas.openxmlformats.org/officeDocument/2006/relationships/hyperlink" Target="https://pld.live/RapDetail.aspx?STONELIST=925801527&amp;ISCONFIRM=0" TargetMode="External"/><Relationship Id="rId2689" Type="http://schemas.openxmlformats.org/officeDocument/2006/relationships/hyperlink" Target="https://pld.live/RapDetail.aspx?STONELIST=926321041&amp;ISCONFIRM=0" TargetMode="External"/><Relationship Id="rId6146" Type="http://schemas.openxmlformats.org/officeDocument/2006/relationships/hyperlink" Target="https://pld.live/RapDetail.aspx?STONELIST=831020122&amp;ISCONFIRM=0" TargetMode="External"/><Relationship Id="rId6560" Type="http://schemas.openxmlformats.org/officeDocument/2006/relationships/hyperlink" Target="https://pld.live/RapDetail.aspx?STONELIST=927030755&amp;ISCONFIRM=0" TargetMode="External"/><Relationship Id="rId7611" Type="http://schemas.openxmlformats.org/officeDocument/2006/relationships/hyperlink" Target="https://pld.live/RapDetail.aspx?STONELIST=926310379&amp;ISCONFIRM=0" TargetMode="External"/><Relationship Id="rId2756" Type="http://schemas.openxmlformats.org/officeDocument/2006/relationships/hyperlink" Target="https://pld.live/RapDetail.aspx?STONELIST=924950452&amp;ISCONFIRM=0" TargetMode="External"/><Relationship Id="rId3807" Type="http://schemas.openxmlformats.org/officeDocument/2006/relationships/hyperlink" Target="https://pld.live/RapDetail.aspx?STONELIST=925570103&amp;ISCONFIRM=0" TargetMode="External"/><Relationship Id="rId5162" Type="http://schemas.openxmlformats.org/officeDocument/2006/relationships/hyperlink" Target="https://pld.live/RapDetail.aspx?STONELIST=926170628&amp;ISCONFIRM=0" TargetMode="External"/><Relationship Id="rId6213" Type="http://schemas.openxmlformats.org/officeDocument/2006/relationships/hyperlink" Target="https://pld.live/RapDetail.aspx?STONELIST=925680169&amp;ISCONFIRM=0" TargetMode="External"/><Relationship Id="rId728" Type="http://schemas.openxmlformats.org/officeDocument/2006/relationships/hyperlink" Target="https://pld.live/RapDetail.aspx?STONELIST=926101512&amp;ISCONFIRM=0" TargetMode="External"/><Relationship Id="rId1358" Type="http://schemas.openxmlformats.org/officeDocument/2006/relationships/hyperlink" Target="https://pld.live/RapDetail.aspx?STONELIST=926221315&amp;ISCONFIRM=0" TargetMode="External"/><Relationship Id="rId1772" Type="http://schemas.openxmlformats.org/officeDocument/2006/relationships/hyperlink" Target="https://pld.live/RapDetail.aspx?STONELIST=941190199&amp;ISCONFIRM=0" TargetMode="External"/><Relationship Id="rId2409" Type="http://schemas.openxmlformats.org/officeDocument/2006/relationships/hyperlink" Target="https://pld.live/RapDetail.aspx?STONELIST=920830910&amp;ISCONFIRM=0" TargetMode="External"/><Relationship Id="rId5979" Type="http://schemas.openxmlformats.org/officeDocument/2006/relationships/hyperlink" Target="https://pld.live/RapDetail.aspx?STONELIST=926750975&amp;ISCONFIRM=0" TargetMode="External"/><Relationship Id="rId64" Type="http://schemas.openxmlformats.org/officeDocument/2006/relationships/hyperlink" Target="https://pld.live/RapDetail.aspx?STONELIST=941390348&amp;ISCONFIRM=0" TargetMode="External"/><Relationship Id="rId1425" Type="http://schemas.openxmlformats.org/officeDocument/2006/relationships/hyperlink" Target="https://pld.live/RapDetail.aspx?STONELIST=926270869&amp;ISCONFIRM=0" TargetMode="External"/><Relationship Id="rId2823" Type="http://schemas.openxmlformats.org/officeDocument/2006/relationships/hyperlink" Target="https://pld.live/RapDetail.aspx?STONELIST=925732132&amp;ISCONFIRM=0" TargetMode="External"/><Relationship Id="rId8038" Type="http://schemas.openxmlformats.org/officeDocument/2006/relationships/hyperlink" Target="https://pld.live/RapDetail.aspx?STONELIST=923380332&amp;ISCONFIRM=0" TargetMode="External"/><Relationship Id="rId4995" Type="http://schemas.openxmlformats.org/officeDocument/2006/relationships/hyperlink" Target="https://pld.live/RapDetail.aspx?STONELIST=926200747&amp;ISCONFIRM=0" TargetMode="External"/><Relationship Id="rId7054" Type="http://schemas.openxmlformats.org/officeDocument/2006/relationships/hyperlink" Target="https://pld.live/RapDetail.aspx?STONELIST=927092564&amp;ISCONFIRM=0" TargetMode="External"/><Relationship Id="rId8105" Type="http://schemas.openxmlformats.org/officeDocument/2006/relationships/hyperlink" Target="https://pld.live/RapDetail.aspx?STONELIST=925621952&amp;ISCONFIRM=0" TargetMode="External"/><Relationship Id="rId2199" Type="http://schemas.openxmlformats.org/officeDocument/2006/relationships/hyperlink" Target="https://pld.live/RapDetail.aspx?STONELIST=926201087&amp;ISCONFIRM=0" TargetMode="External"/><Relationship Id="rId3597" Type="http://schemas.openxmlformats.org/officeDocument/2006/relationships/hyperlink" Target="https://pld.live/RapDetail.aspx?STONELIST=924500098&amp;ISCONFIRM=0" TargetMode="External"/><Relationship Id="rId4648" Type="http://schemas.openxmlformats.org/officeDocument/2006/relationships/hyperlink" Target="https://pld.live/RapDetail.aspx?STONELIST=927052576&amp;ISCONFIRM=0" TargetMode="External"/><Relationship Id="rId6070" Type="http://schemas.openxmlformats.org/officeDocument/2006/relationships/hyperlink" Target="https://pld.live/RapDetail.aspx?STONELIST=926820147&amp;ISCONFIRM=0" TargetMode="External"/><Relationship Id="rId3664" Type="http://schemas.openxmlformats.org/officeDocument/2006/relationships/hyperlink" Target="https://pld.live/RapDetail.aspx?STONELIST=925630394&amp;ISCONFIRM=0" TargetMode="External"/><Relationship Id="rId4715" Type="http://schemas.openxmlformats.org/officeDocument/2006/relationships/hyperlink" Target="https://pld.live/RapDetail.aspx?STONELIST=831020630&amp;ISCONFIRM=0" TargetMode="External"/><Relationship Id="rId7121" Type="http://schemas.openxmlformats.org/officeDocument/2006/relationships/hyperlink" Target="https://pld.live/RapDetail.aspx?STONELIST=941170660&amp;ISCONFIRM=0" TargetMode="External"/><Relationship Id="rId585" Type="http://schemas.openxmlformats.org/officeDocument/2006/relationships/hyperlink" Target="https://pld.live/RapDetail.aspx?STONELIST=926901023&amp;ISCONFIRM=0" TargetMode="External"/><Relationship Id="rId2266" Type="http://schemas.openxmlformats.org/officeDocument/2006/relationships/hyperlink" Target="https://pld.live/RapDetail.aspx?STONELIST=926801264&amp;ISCONFIRM=0" TargetMode="External"/><Relationship Id="rId2680" Type="http://schemas.openxmlformats.org/officeDocument/2006/relationships/hyperlink" Target="https://pld.live/RapDetail.aspx?STONELIST=941351014&amp;ISCONFIRM=0" TargetMode="External"/><Relationship Id="rId3317" Type="http://schemas.openxmlformats.org/officeDocument/2006/relationships/hyperlink" Target="https://pld.live/RapDetail.aspx?STONELIST=921790058&amp;ISCONFIRM=0" TargetMode="External"/><Relationship Id="rId3731" Type="http://schemas.openxmlformats.org/officeDocument/2006/relationships/hyperlink" Target="https://pld.live/RapDetail.aspx?STONELIST=926030149&amp;ISCONFIRM=0" TargetMode="External"/><Relationship Id="rId6887" Type="http://schemas.openxmlformats.org/officeDocument/2006/relationships/hyperlink" Target="https://pld.live/RapDetail.aspx?STONELIST=831020737&amp;ISCONFIRM=0" TargetMode="External"/><Relationship Id="rId7938" Type="http://schemas.openxmlformats.org/officeDocument/2006/relationships/hyperlink" Target="https://pld.live/RapDetail.aspx?STONELIST=927150373&amp;ISCONFIRM=0" TargetMode="External"/><Relationship Id="rId238" Type="http://schemas.openxmlformats.org/officeDocument/2006/relationships/hyperlink" Target="https://pld.live/RapDetail.aspx?STONELIST=926560307&amp;ISCONFIRM=0" TargetMode="External"/><Relationship Id="rId652" Type="http://schemas.openxmlformats.org/officeDocument/2006/relationships/hyperlink" Target="https://pld.live/RapDetail.aspx?STONELIST=925951013&amp;ISCONFIRM=0" TargetMode="External"/><Relationship Id="rId1282" Type="http://schemas.openxmlformats.org/officeDocument/2006/relationships/hyperlink" Target="https://pld.live/RapDetail.aspx?STONELIST=927130139&amp;ISCONFIRM=0" TargetMode="External"/><Relationship Id="rId2333" Type="http://schemas.openxmlformats.org/officeDocument/2006/relationships/hyperlink" Target="https://pld.live/RapDetail.aspx?STONELIST=926240792&amp;ISCONFIRM=0" TargetMode="External"/><Relationship Id="rId5489" Type="http://schemas.openxmlformats.org/officeDocument/2006/relationships/hyperlink" Target="https://pld.live/RapDetail.aspx?STONELIST=927150266&amp;ISCONFIRM=0" TargetMode="External"/><Relationship Id="rId305" Type="http://schemas.openxmlformats.org/officeDocument/2006/relationships/hyperlink" Target="https://pld.live/RapDetail.aspx?STONELIST=941420559&amp;ISCONFIRM=0" TargetMode="External"/><Relationship Id="rId2400" Type="http://schemas.openxmlformats.org/officeDocument/2006/relationships/hyperlink" Target="https://pld.live/RapDetail.aspx?STONELIST=941230233&amp;ISCONFIRM=0" TargetMode="External"/><Relationship Id="rId5556" Type="http://schemas.openxmlformats.org/officeDocument/2006/relationships/hyperlink" Target="https://pld.live/RapDetail.aspx?STONELIST=924920446&amp;ISCONFIRM=0" TargetMode="External"/><Relationship Id="rId6607" Type="http://schemas.openxmlformats.org/officeDocument/2006/relationships/hyperlink" Target="https://pld.live/RapDetail.aspx?STONELIST=927092619&amp;ISCONFIRM=0" TargetMode="External"/><Relationship Id="rId6954" Type="http://schemas.openxmlformats.org/officeDocument/2006/relationships/hyperlink" Target="https://pld.live/RapDetail.aspx?STONELIST=831020735&amp;ISCONFIRM=0" TargetMode="External"/><Relationship Id="rId1002" Type="http://schemas.openxmlformats.org/officeDocument/2006/relationships/hyperlink" Target="https://pld.live/RapDetail.aspx?STONELIST=926810861&amp;ISCONFIRM=0" TargetMode="External"/><Relationship Id="rId4158" Type="http://schemas.openxmlformats.org/officeDocument/2006/relationships/hyperlink" Target="https://pld.live/RapDetail.aspx?STONELIST=926110181&amp;ISCONFIRM=0" TargetMode="External"/><Relationship Id="rId5209" Type="http://schemas.openxmlformats.org/officeDocument/2006/relationships/hyperlink" Target="https://pld.live/RapDetail.aspx?STONELIST=926150082&amp;ISCONFIRM=0" TargetMode="External"/><Relationship Id="rId5970" Type="http://schemas.openxmlformats.org/officeDocument/2006/relationships/hyperlink" Target="https://pld.live/RapDetail.aspx?STONELIST=926681198&amp;ISCONFIRM=0" TargetMode="External"/><Relationship Id="rId3174" Type="http://schemas.openxmlformats.org/officeDocument/2006/relationships/hyperlink" Target="https://pld.live/RapDetail.aspx?STONELIST=925290539&amp;ISCONFIRM=0" TargetMode="External"/><Relationship Id="rId4572" Type="http://schemas.openxmlformats.org/officeDocument/2006/relationships/hyperlink" Target="https://pld.live/RapDetail.aspx?STONELIST=927132219&amp;ISCONFIRM=0" TargetMode="External"/><Relationship Id="rId5623" Type="http://schemas.openxmlformats.org/officeDocument/2006/relationships/hyperlink" Target="https://pld.live/RapDetail.aspx?STONELIST=925040298&amp;ISCONFIRM=0" TargetMode="External"/><Relationship Id="rId1819" Type="http://schemas.openxmlformats.org/officeDocument/2006/relationships/hyperlink" Target="https://pld.live/RapDetail.aspx?STONELIST=924580127&amp;ISCONFIRM=0" TargetMode="External"/><Relationship Id="rId4225" Type="http://schemas.openxmlformats.org/officeDocument/2006/relationships/hyperlink" Target="https://pld.live/RapDetail.aspx?STONELIST=925280409&amp;ISCONFIRM=0" TargetMode="External"/><Relationship Id="rId7795" Type="http://schemas.openxmlformats.org/officeDocument/2006/relationships/hyperlink" Target="https://pld.live/RapDetail.aspx?STONELIST=924930134&amp;ISCONFIRM=0" TargetMode="External"/><Relationship Id="rId2190" Type="http://schemas.openxmlformats.org/officeDocument/2006/relationships/hyperlink" Target="https://pld.live/RapDetail.aspx?STONELIST=926171168&amp;ISCONFIRM=0" TargetMode="External"/><Relationship Id="rId3241" Type="http://schemas.openxmlformats.org/officeDocument/2006/relationships/hyperlink" Target="https://pld.live/RapDetail.aspx?STONELIST=9412700821&amp;ISCONFIRM=0" TargetMode="External"/><Relationship Id="rId6397" Type="http://schemas.openxmlformats.org/officeDocument/2006/relationships/hyperlink" Target="https://pld.live/RapDetail.aspx?STONELIST=925110104&amp;ISCONFIRM=0" TargetMode="External"/><Relationship Id="rId7448" Type="http://schemas.openxmlformats.org/officeDocument/2006/relationships/hyperlink" Target="https://pld.live/RapDetail.aspx?STONELIST=924830253&amp;ISCONFIRM=0" TargetMode="External"/><Relationship Id="rId7862" Type="http://schemas.openxmlformats.org/officeDocument/2006/relationships/hyperlink" Target="https://pld.live/RapDetail.aspx?STONELIST=821126906&amp;ISCONFIRM=0" TargetMode="External"/><Relationship Id="rId162" Type="http://schemas.openxmlformats.org/officeDocument/2006/relationships/hyperlink" Target="https://pld.live/RapDetail.aspx?STONELIST=926450555&amp;ISCONFIRM=0" TargetMode="External"/><Relationship Id="rId6464" Type="http://schemas.openxmlformats.org/officeDocument/2006/relationships/hyperlink" Target="https://pld.live/RapDetail.aspx?STONELIST=927132430&amp;ISCONFIRM=0" TargetMode="External"/><Relationship Id="rId7515" Type="http://schemas.openxmlformats.org/officeDocument/2006/relationships/hyperlink" Target="https://pld.live/RapDetail.aspx?STONELIST=925720615&amp;ISCONFIRM=0" TargetMode="External"/><Relationship Id="rId979" Type="http://schemas.openxmlformats.org/officeDocument/2006/relationships/hyperlink" Target="https://pld.live/RapDetail.aspx?STONELIST=926070351&amp;ISCONFIRM=0" TargetMode="External"/><Relationship Id="rId5066" Type="http://schemas.openxmlformats.org/officeDocument/2006/relationships/hyperlink" Target="https://pld.live/RapDetail.aspx?STONELIST=925110368&amp;ISCONFIRM=0" TargetMode="External"/><Relationship Id="rId5480" Type="http://schemas.openxmlformats.org/officeDocument/2006/relationships/hyperlink" Target="https://pld.live/RapDetail.aspx?STONELIST=924610403&amp;ISCONFIRM=0" TargetMode="External"/><Relationship Id="rId6117" Type="http://schemas.openxmlformats.org/officeDocument/2006/relationships/hyperlink" Target="https://pld.live/RapDetail.aspx?STONELIST=926000060&amp;ISCONFIRM=0" TargetMode="External"/><Relationship Id="rId6531" Type="http://schemas.openxmlformats.org/officeDocument/2006/relationships/hyperlink" Target="https://pld.live/RapDetail.aspx?STONELIST=925520605&amp;ISCONFIRM=0" TargetMode="External"/><Relationship Id="rId4082" Type="http://schemas.openxmlformats.org/officeDocument/2006/relationships/hyperlink" Target="https://pld.live/RapDetail.aspx?STONELIST=925140124&amp;ISCONFIRM=0" TargetMode="External"/><Relationship Id="rId5133" Type="http://schemas.openxmlformats.org/officeDocument/2006/relationships/hyperlink" Target="https://pld.live/RapDetail.aspx?STONELIST=925890529&amp;ISCONFIRM=0" TargetMode="External"/><Relationship Id="rId1676" Type="http://schemas.openxmlformats.org/officeDocument/2006/relationships/hyperlink" Target="https://pld.live/RapDetail.aspx?STONELIST=821125018&amp;ISCONFIRM=0" TargetMode="External"/><Relationship Id="rId2727" Type="http://schemas.openxmlformats.org/officeDocument/2006/relationships/hyperlink" Target="https://pld.live/RapDetail.aspx?STONELIST=924940268&amp;ISCONFIRM=0" TargetMode="External"/><Relationship Id="rId1329" Type="http://schemas.openxmlformats.org/officeDocument/2006/relationships/hyperlink" Target="https://pld.live/RapDetail.aspx?STONELIST=926211283&amp;ISCONFIRM=0" TargetMode="External"/><Relationship Id="rId1743" Type="http://schemas.openxmlformats.org/officeDocument/2006/relationships/hyperlink" Target="https://pld.live/RapDetail.aspx?STONELIST=941190358&amp;ISCONFIRM=0" TargetMode="External"/><Relationship Id="rId4899" Type="http://schemas.openxmlformats.org/officeDocument/2006/relationships/hyperlink" Target="https://pld.live/RapDetail.aspx?STONELIST=925771354&amp;ISCONFIRM=0" TargetMode="External"/><Relationship Id="rId5200" Type="http://schemas.openxmlformats.org/officeDocument/2006/relationships/hyperlink" Target="https://pld.live/RapDetail.aspx?STONELIST=831010744&amp;ISCONFIRM=0" TargetMode="External"/><Relationship Id="rId8009" Type="http://schemas.openxmlformats.org/officeDocument/2006/relationships/hyperlink" Target="https://pld.live/RapDetail.aspx?STONELIST=925900343&amp;ISCONFIRM=0" TargetMode="External"/><Relationship Id="rId35" Type="http://schemas.openxmlformats.org/officeDocument/2006/relationships/hyperlink" Target="https://pld.live/RapDetail.aspx?STONELIST=941330481&amp;ISCONFIRM=0" TargetMode="External"/><Relationship Id="rId1810" Type="http://schemas.openxmlformats.org/officeDocument/2006/relationships/hyperlink" Target="https://pld.live/RapDetail.aspx?STONELIST=926320719&amp;ISCONFIRM=0" TargetMode="External"/><Relationship Id="rId4966" Type="http://schemas.openxmlformats.org/officeDocument/2006/relationships/hyperlink" Target="https://pld.live/RapDetail.aspx?STONELIST=925861899&amp;ISCONFIRM=0" TargetMode="External"/><Relationship Id="rId7372" Type="http://schemas.openxmlformats.org/officeDocument/2006/relationships/hyperlink" Target="https://pld.live/RapDetail.aspx?STONELIST=927152931&amp;ISCONFIRM=0" TargetMode="External"/><Relationship Id="rId3568" Type="http://schemas.openxmlformats.org/officeDocument/2006/relationships/hyperlink" Target="https://pld.live/RapDetail.aspx?STONELIST=924500017&amp;ISCONFIRM=0" TargetMode="External"/><Relationship Id="rId3982" Type="http://schemas.openxmlformats.org/officeDocument/2006/relationships/hyperlink" Target="https://pld.live/RapDetail.aspx?STONELIST=926171472&amp;ISCONFIRM=0" TargetMode="External"/><Relationship Id="rId4619" Type="http://schemas.openxmlformats.org/officeDocument/2006/relationships/hyperlink" Target="https://pld.live/RapDetail.aspx?STONELIST=927152859&amp;ISCONFIRM=0" TargetMode="External"/><Relationship Id="rId7025" Type="http://schemas.openxmlformats.org/officeDocument/2006/relationships/hyperlink" Target="https://pld.live/RapDetail.aspx?STONELIST=926841340&amp;ISCONFIRM=0" TargetMode="External"/><Relationship Id="rId489" Type="http://schemas.openxmlformats.org/officeDocument/2006/relationships/hyperlink" Target="https://pld.live/RapDetail.aspx?STONELIST=941370239&amp;ISCONFIRM=0" TargetMode="External"/><Relationship Id="rId2584" Type="http://schemas.openxmlformats.org/officeDocument/2006/relationships/hyperlink" Target="https://pld.live/RapDetail.aspx?STONELIST=926231106&amp;ISCONFIRM=0" TargetMode="External"/><Relationship Id="rId3635" Type="http://schemas.openxmlformats.org/officeDocument/2006/relationships/hyperlink" Target="https://pld.live/RapDetail.aspx?STONELIST=925700285&amp;ISCONFIRM=0" TargetMode="External"/><Relationship Id="rId6041" Type="http://schemas.openxmlformats.org/officeDocument/2006/relationships/hyperlink" Target="https://pld.live/RapDetail.aspx?STONELIST=941261129&amp;ISCONFIRM=0" TargetMode="External"/><Relationship Id="rId556" Type="http://schemas.openxmlformats.org/officeDocument/2006/relationships/hyperlink" Target="https://pld.live/RapDetail.aspx?STONELIST=926201165&amp;ISCONFIRM=0" TargetMode="External"/><Relationship Id="rId1186" Type="http://schemas.openxmlformats.org/officeDocument/2006/relationships/hyperlink" Target="https://pld.live/RapDetail.aspx?STONELIST=941170026&amp;ISCONFIRM=0" TargetMode="External"/><Relationship Id="rId2237" Type="http://schemas.openxmlformats.org/officeDocument/2006/relationships/hyperlink" Target="https://pld.live/RapDetail.aspx?STONELIST=925630185&amp;ISCONFIRM=0" TargetMode="External"/><Relationship Id="rId209" Type="http://schemas.openxmlformats.org/officeDocument/2006/relationships/hyperlink" Target="https://pld.live/RapDetail.aspx?STONELIST=924300602&amp;ISCONFIRM=0" TargetMode="External"/><Relationship Id="rId970" Type="http://schemas.openxmlformats.org/officeDocument/2006/relationships/hyperlink" Target="https://pld.live/RapDetail.aspx?STONELIST=924550170&amp;ISCONFIRM=0" TargetMode="External"/><Relationship Id="rId1253" Type="http://schemas.openxmlformats.org/officeDocument/2006/relationships/hyperlink" Target="https://pld.live/RapDetail.aspx?STONELIST=821126416&amp;ISCONFIRM=0" TargetMode="External"/><Relationship Id="rId2651" Type="http://schemas.openxmlformats.org/officeDocument/2006/relationships/hyperlink" Target="https://pld.live/RapDetail.aspx?STONELIST=926171579&amp;ISCONFIRM=0" TargetMode="External"/><Relationship Id="rId3702" Type="http://schemas.openxmlformats.org/officeDocument/2006/relationships/hyperlink" Target="https://pld.live/RapDetail.aspx?STONELIST=924250736&amp;ISCONFIRM=0" TargetMode="External"/><Relationship Id="rId6858" Type="http://schemas.openxmlformats.org/officeDocument/2006/relationships/hyperlink" Target="https://pld.live/RapDetail.aspx?STONELIST=926910167&amp;ISCONFIRM=0" TargetMode="External"/><Relationship Id="rId7909" Type="http://schemas.openxmlformats.org/officeDocument/2006/relationships/hyperlink" Target="https://pld.live/RapDetail.aspx?STONELIST=927152621&amp;ISCONFIRM=0" TargetMode="External"/><Relationship Id="rId623" Type="http://schemas.openxmlformats.org/officeDocument/2006/relationships/hyperlink" Target="https://pld.live/RapDetail.aspx?STONELIST=925290117&amp;ISCONFIRM=0" TargetMode="External"/><Relationship Id="rId2304" Type="http://schemas.openxmlformats.org/officeDocument/2006/relationships/hyperlink" Target="https://pld.live/RapDetail.aspx?STONELIST=926231041&amp;ISCONFIRM=0" TargetMode="External"/><Relationship Id="rId5874" Type="http://schemas.openxmlformats.org/officeDocument/2006/relationships/hyperlink" Target="https://pld.live/RapDetail.aspx?STONELIST=925801847&amp;ISCONFIRM=0" TargetMode="External"/><Relationship Id="rId6925" Type="http://schemas.openxmlformats.org/officeDocument/2006/relationships/hyperlink" Target="https://pld.live/RapDetail.aspx?STONELIST=925501274&amp;ISCONFIRM=0" TargetMode="External"/><Relationship Id="rId1320" Type="http://schemas.openxmlformats.org/officeDocument/2006/relationships/hyperlink" Target="https://pld.live/RapDetail.aspx?STONELIST=926941134&amp;ISCONFIRM=0" TargetMode="External"/><Relationship Id="rId4476" Type="http://schemas.openxmlformats.org/officeDocument/2006/relationships/hyperlink" Target="https://pld.live/RapDetail.aspx?STONELIST=941320827&amp;ISCONFIRM=0" TargetMode="External"/><Relationship Id="rId4890" Type="http://schemas.openxmlformats.org/officeDocument/2006/relationships/hyperlink" Target="https://pld.live/RapDetail.aspx?STONELIST=925850518&amp;ISCONFIRM=0" TargetMode="External"/><Relationship Id="rId5527" Type="http://schemas.openxmlformats.org/officeDocument/2006/relationships/hyperlink" Target="https://pld.live/RapDetail.aspx?STONELIST=923490283&amp;ISCONFIRM=0" TargetMode="External"/><Relationship Id="rId5941" Type="http://schemas.openxmlformats.org/officeDocument/2006/relationships/hyperlink" Target="https://pld.live/RapDetail.aspx?STONELIST=926871113&amp;ISCONFIRM=0" TargetMode="External"/><Relationship Id="rId3078" Type="http://schemas.openxmlformats.org/officeDocument/2006/relationships/hyperlink" Target="https://pld.live/RapDetail.aspx?STONELIST=926210846&amp;ISCONFIRM=0" TargetMode="External"/><Relationship Id="rId3492" Type="http://schemas.openxmlformats.org/officeDocument/2006/relationships/hyperlink" Target="https://pld.live/RapDetail.aspx?STONELIST=926210869&amp;ISCONFIRM=0" TargetMode="External"/><Relationship Id="rId4129" Type="http://schemas.openxmlformats.org/officeDocument/2006/relationships/hyperlink" Target="https://pld.live/RapDetail.aspx?STONELIST=926040883&amp;ISCONFIRM=0" TargetMode="External"/><Relationship Id="rId4543" Type="http://schemas.openxmlformats.org/officeDocument/2006/relationships/hyperlink" Target="https://pld.live/RapDetail.aspx?STONELIST=941320808&amp;ISCONFIRM=0" TargetMode="External"/><Relationship Id="rId7699" Type="http://schemas.openxmlformats.org/officeDocument/2006/relationships/hyperlink" Target="https://pld.live/RapDetail.aspx?STONELIST=941270457&amp;ISCONFIRM=0" TargetMode="External"/><Relationship Id="rId8000" Type="http://schemas.openxmlformats.org/officeDocument/2006/relationships/hyperlink" Target="https://pld.live/RapDetail.aspx?STONELIST=923420292&amp;ISCONFIRM=0" TargetMode="External"/><Relationship Id="rId2094" Type="http://schemas.openxmlformats.org/officeDocument/2006/relationships/hyperlink" Target="https://pld.live/RapDetail.aspx?STONELIST=927132343&amp;ISCONFIRM=0" TargetMode="External"/><Relationship Id="rId3145" Type="http://schemas.openxmlformats.org/officeDocument/2006/relationships/hyperlink" Target="https://pld.live/RapDetail.aspx?STONELIST=925210052&amp;ISCONFIRM=0" TargetMode="External"/><Relationship Id="rId4610" Type="http://schemas.openxmlformats.org/officeDocument/2006/relationships/hyperlink" Target="https://pld.live/RapDetail.aspx?STONELIST=941040521&amp;ISCONFIRM=0" TargetMode="External"/><Relationship Id="rId7766" Type="http://schemas.openxmlformats.org/officeDocument/2006/relationships/hyperlink" Target="https://pld.live/RapDetail.aspx?STONELIST=924930084&amp;ISCONFIRM=0" TargetMode="External"/><Relationship Id="rId480" Type="http://schemas.openxmlformats.org/officeDocument/2006/relationships/hyperlink" Target="https://pld.live/RapDetail.aspx?STONELIST=925801211&amp;ISCONFIRM=0" TargetMode="External"/><Relationship Id="rId2161" Type="http://schemas.openxmlformats.org/officeDocument/2006/relationships/hyperlink" Target="https://pld.live/RapDetail.aspx?STONELIST=926320991&amp;ISCONFIRM=0" TargetMode="External"/><Relationship Id="rId3212" Type="http://schemas.openxmlformats.org/officeDocument/2006/relationships/hyperlink" Target="https://pld.live/RapDetail.aspx?STONELIST=925040456&amp;ISCONFIRM=0" TargetMode="External"/><Relationship Id="rId6368" Type="http://schemas.openxmlformats.org/officeDocument/2006/relationships/hyperlink" Target="https://pld.live/RapDetail.aspx?STONELIST=926960845&amp;ISCONFIRM=0" TargetMode="External"/><Relationship Id="rId7419" Type="http://schemas.openxmlformats.org/officeDocument/2006/relationships/hyperlink" Target="https://pld.live/RapDetail.aspx?STONELIST=925050155&amp;ISCONFIRM=0" TargetMode="External"/><Relationship Id="rId133" Type="http://schemas.openxmlformats.org/officeDocument/2006/relationships/hyperlink" Target="https://pld.live/RapDetail.aspx?STONELIST=941050466&amp;ISCONFIRM=0" TargetMode="External"/><Relationship Id="rId5384" Type="http://schemas.openxmlformats.org/officeDocument/2006/relationships/hyperlink" Target="https://pld.live/RapDetail.aspx?STONELIST=927140014&amp;ISCONFIRM=0" TargetMode="External"/><Relationship Id="rId6782" Type="http://schemas.openxmlformats.org/officeDocument/2006/relationships/hyperlink" Target="https://pld.live/RapDetail.aspx?STONELIST=925930129&amp;ISCONFIRM=0" TargetMode="External"/><Relationship Id="rId7833" Type="http://schemas.openxmlformats.org/officeDocument/2006/relationships/hyperlink" Target="https://pld.live/RapDetail.aspx?STONELIST=925521870&amp;ISCONFIRM=0" TargetMode="External"/><Relationship Id="rId200" Type="http://schemas.openxmlformats.org/officeDocument/2006/relationships/hyperlink" Target="https://pld.live/RapDetail.aspx?STONELIST=924350041&amp;ISCONFIRM=0" TargetMode="External"/><Relationship Id="rId2978" Type="http://schemas.openxmlformats.org/officeDocument/2006/relationships/hyperlink" Target="https://pld.live/RapDetail.aspx?STONELIST=925080606&amp;ISCONFIRM=0" TargetMode="External"/><Relationship Id="rId5037" Type="http://schemas.openxmlformats.org/officeDocument/2006/relationships/hyperlink" Target="https://pld.live/RapDetail.aspx?STONELIST=925621943&amp;ISCONFIRM=0" TargetMode="External"/><Relationship Id="rId6435" Type="http://schemas.openxmlformats.org/officeDocument/2006/relationships/hyperlink" Target="https://pld.live/RapDetail.aspx?STONELIST=941090198&amp;ISCONFIRM=0" TargetMode="External"/><Relationship Id="rId7900" Type="http://schemas.openxmlformats.org/officeDocument/2006/relationships/hyperlink" Target="https://pld.live/RapDetail.aspx?STONELIST=926841123&amp;ISCONFIRM=0" TargetMode="External"/><Relationship Id="rId1994" Type="http://schemas.openxmlformats.org/officeDocument/2006/relationships/hyperlink" Target="https://pld.live/RapDetail.aspx?STONELIST=926120077&amp;ISCONFIRM=0" TargetMode="External"/><Relationship Id="rId5451" Type="http://schemas.openxmlformats.org/officeDocument/2006/relationships/hyperlink" Target="https://pld.live/RapDetail.aspx?STONELIST=926690742&amp;ISCONFIRM=0" TargetMode="External"/><Relationship Id="rId6502" Type="http://schemas.openxmlformats.org/officeDocument/2006/relationships/hyperlink" Target="https://pld.live/RapDetail.aspx?STONELIST=927132454&amp;ISCONFIRM=0" TargetMode="External"/><Relationship Id="rId1647" Type="http://schemas.openxmlformats.org/officeDocument/2006/relationships/hyperlink" Target="https://pld.live/RapDetail.aspx?STONELIST=926220860&amp;ISCONFIRM=0" TargetMode="External"/><Relationship Id="rId4053" Type="http://schemas.openxmlformats.org/officeDocument/2006/relationships/hyperlink" Target="https://pld.live/RapDetail.aspx?STONELIST=925951251&amp;ISCONFIRM=0" TargetMode="External"/><Relationship Id="rId5104" Type="http://schemas.openxmlformats.org/officeDocument/2006/relationships/hyperlink" Target="https://pld.live/RapDetail.aspx?STONELIST=926171452&amp;ISCONFIRM=0" TargetMode="External"/><Relationship Id="rId1714" Type="http://schemas.openxmlformats.org/officeDocument/2006/relationships/hyperlink" Target="https://pld.live/RapDetail.aspx?STONELIST=821128459&amp;ISCONFIRM=0" TargetMode="External"/><Relationship Id="rId4120" Type="http://schemas.openxmlformats.org/officeDocument/2006/relationships/hyperlink" Target="https://pld.live/RapDetail.aspx?STONELIST=925450220&amp;ISCONFIRM=0" TargetMode="External"/><Relationship Id="rId7276" Type="http://schemas.openxmlformats.org/officeDocument/2006/relationships/hyperlink" Target="https://pld.live/RapDetail.aspx?STONELIST=927102436&amp;ISCONFIRM=0" TargetMode="External"/><Relationship Id="rId7690" Type="http://schemas.openxmlformats.org/officeDocument/2006/relationships/hyperlink" Target="https://pld.live/RapDetail.aspx?STONELIST=941261113&amp;ISCONFIRM=0" TargetMode="External"/><Relationship Id="rId6292" Type="http://schemas.openxmlformats.org/officeDocument/2006/relationships/hyperlink" Target="https://pld.live/RapDetail.aspx?STONELIST=941090653&amp;ISCONFIRM=0" TargetMode="External"/><Relationship Id="rId7343" Type="http://schemas.openxmlformats.org/officeDocument/2006/relationships/hyperlink" Target="https://pld.live/RapDetail.aspx?STONELIST=926060010&amp;ISCONFIRM=0" TargetMode="External"/><Relationship Id="rId2488" Type="http://schemas.openxmlformats.org/officeDocument/2006/relationships/hyperlink" Target="https://pld.live/RapDetail.aspx?STONELIST=926341247&amp;ISCONFIRM=0" TargetMode="External"/><Relationship Id="rId3886" Type="http://schemas.openxmlformats.org/officeDocument/2006/relationships/hyperlink" Target="https://pld.live/RapDetail.aspx?STONELIST=925722092&amp;ISCONFIRM=0" TargetMode="External"/><Relationship Id="rId4937" Type="http://schemas.openxmlformats.org/officeDocument/2006/relationships/hyperlink" Target="https://pld.live/RapDetail.aspx?STONELIST=926040461&amp;ISCONFIRM=0" TargetMode="External"/><Relationship Id="rId3539" Type="http://schemas.openxmlformats.org/officeDocument/2006/relationships/hyperlink" Target="https://pld.live/RapDetail.aspx?STONELIST=923870407&amp;ISCONFIRM=0" TargetMode="External"/><Relationship Id="rId3953" Type="http://schemas.openxmlformats.org/officeDocument/2006/relationships/hyperlink" Target="https://pld.live/RapDetail.aspx?STONELIST=925520475&amp;ISCONFIRM=0" TargetMode="External"/><Relationship Id="rId6012" Type="http://schemas.openxmlformats.org/officeDocument/2006/relationships/hyperlink" Target="https://pld.live/RapDetail.aspx?STONELIST=924440184&amp;ISCONFIRM=0" TargetMode="External"/><Relationship Id="rId7410" Type="http://schemas.openxmlformats.org/officeDocument/2006/relationships/hyperlink" Target="https://pld.live/RapDetail.aspx?STONELIST=831020257&amp;ISCONFIRM=0" TargetMode="External"/><Relationship Id="rId874" Type="http://schemas.openxmlformats.org/officeDocument/2006/relationships/hyperlink" Target="https://pld.live/RapDetail.aspx?STONELIST=821128429&amp;ISCONFIRM=0" TargetMode="External"/><Relationship Id="rId2555" Type="http://schemas.openxmlformats.org/officeDocument/2006/relationships/hyperlink" Target="https://pld.live/RapDetail.aspx?STONELIST=926231002&amp;ISCONFIRM=0" TargetMode="External"/><Relationship Id="rId3606" Type="http://schemas.openxmlformats.org/officeDocument/2006/relationships/hyperlink" Target="https://pld.live/RapDetail.aspx?STONELIST=925700308&amp;ISCONFIRM=0" TargetMode="External"/><Relationship Id="rId527" Type="http://schemas.openxmlformats.org/officeDocument/2006/relationships/hyperlink" Target="https://pld.live/RapDetail.aspx?STONELIST=941400206&amp;ISCONFIRM=0" TargetMode="External"/><Relationship Id="rId941" Type="http://schemas.openxmlformats.org/officeDocument/2006/relationships/hyperlink" Target="https://pld.live/RapDetail.aspx?STONELIST=926741081&amp;ISCONFIRM=0" TargetMode="External"/><Relationship Id="rId1157" Type="http://schemas.openxmlformats.org/officeDocument/2006/relationships/hyperlink" Target="https://pld.live/RapDetail.aspx?STONELIST=941071225&amp;ISCONFIRM=0" TargetMode="External"/><Relationship Id="rId1571" Type="http://schemas.openxmlformats.org/officeDocument/2006/relationships/hyperlink" Target="https://pld.live/RapDetail.aspx?STONELIST=821125882&amp;ISCONFIRM=0" TargetMode="External"/><Relationship Id="rId2208" Type="http://schemas.openxmlformats.org/officeDocument/2006/relationships/hyperlink" Target="https://pld.live/RapDetail.aspx?STONELIST=926181011&amp;ISCONFIRM=0" TargetMode="External"/><Relationship Id="rId2622" Type="http://schemas.openxmlformats.org/officeDocument/2006/relationships/hyperlink" Target="https://pld.live/RapDetail.aspx?STONELIST=926491230&amp;ISCONFIRM=0" TargetMode="External"/><Relationship Id="rId5778" Type="http://schemas.openxmlformats.org/officeDocument/2006/relationships/hyperlink" Target="https://pld.live/RapDetail.aspx?STONELIST=941170281&amp;ISCONFIRM=0" TargetMode="External"/><Relationship Id="rId6829" Type="http://schemas.openxmlformats.org/officeDocument/2006/relationships/hyperlink" Target="https://pld.live/RapDetail.aspx?STONELIST=926890556&amp;ISCONFIRM=0" TargetMode="External"/><Relationship Id="rId8184" Type="http://schemas.openxmlformats.org/officeDocument/2006/relationships/hyperlink" Target="https://pld.live/RapDetail.aspx?STONELIST=924440157&amp;ISCONFIRM=0" TargetMode="External"/><Relationship Id="rId1224" Type="http://schemas.openxmlformats.org/officeDocument/2006/relationships/hyperlink" Target="https://pld.live/RapDetail.aspx?STONELIST=926921263&amp;ISCONFIRM=0" TargetMode="External"/><Relationship Id="rId4794" Type="http://schemas.openxmlformats.org/officeDocument/2006/relationships/hyperlink" Target="https://pld.live/RapDetail.aspx?STONELIST=924950061&amp;ISCONFIRM=0" TargetMode="External"/><Relationship Id="rId5845" Type="http://schemas.openxmlformats.org/officeDocument/2006/relationships/hyperlink" Target="https://pld.live/RapDetail.aspx?STONELIST=926041299&amp;ISCONFIRM=0" TargetMode="External"/><Relationship Id="rId8251" Type="http://schemas.openxmlformats.org/officeDocument/2006/relationships/hyperlink" Target="https://pld.live/RapDetail.aspx?STONELIST=925080617&amp;ISCONFIRM=0" TargetMode="External"/><Relationship Id="rId3396" Type="http://schemas.openxmlformats.org/officeDocument/2006/relationships/hyperlink" Target="https://pld.live/RapDetail.aspx?STONELIST=923600467&amp;ISCONFIRM=0" TargetMode="External"/><Relationship Id="rId4447" Type="http://schemas.openxmlformats.org/officeDocument/2006/relationships/hyperlink" Target="https://pld.live/RapDetail.aspx?STONELIST=831010709&amp;ISCONFIRM=0" TargetMode="External"/><Relationship Id="rId3049" Type="http://schemas.openxmlformats.org/officeDocument/2006/relationships/hyperlink" Target="https://pld.live/RapDetail.aspx?STONELIST=821128376&amp;ISCONFIRM=0" TargetMode="External"/><Relationship Id="rId3463" Type="http://schemas.openxmlformats.org/officeDocument/2006/relationships/hyperlink" Target="https://pld.live/RapDetail.aspx?STONELIST=831020087&amp;ISCONFIRM=0" TargetMode="External"/><Relationship Id="rId4861" Type="http://schemas.openxmlformats.org/officeDocument/2006/relationships/hyperlink" Target="https://pld.live/RapDetail.aspx?STONELIST=926100928&amp;ISCONFIRM=0" TargetMode="External"/><Relationship Id="rId5912" Type="http://schemas.openxmlformats.org/officeDocument/2006/relationships/hyperlink" Target="https://pld.live/RapDetail.aspx?STONELIST=925300373&amp;ISCONFIRM=0" TargetMode="External"/><Relationship Id="rId384" Type="http://schemas.openxmlformats.org/officeDocument/2006/relationships/hyperlink" Target="https://pld.live/RapDetail.aspx?STONELIST=831010752&amp;ISCONFIRM=0" TargetMode="External"/><Relationship Id="rId2065" Type="http://schemas.openxmlformats.org/officeDocument/2006/relationships/hyperlink" Target="https://pld.live/RapDetail.aspx?STONELIST=924510006&amp;ISCONFIRM=0" TargetMode="External"/><Relationship Id="rId3116" Type="http://schemas.openxmlformats.org/officeDocument/2006/relationships/hyperlink" Target="https://pld.live/RapDetail.aspx?STONELIST=925791447&amp;ISCONFIRM=0" TargetMode="External"/><Relationship Id="rId4514" Type="http://schemas.openxmlformats.org/officeDocument/2006/relationships/hyperlink" Target="https://pld.live/RapDetail.aspx?STONELIST=927092634&amp;ISCONFIRM=0" TargetMode="External"/><Relationship Id="rId1081" Type="http://schemas.openxmlformats.org/officeDocument/2006/relationships/hyperlink" Target="https://pld.live/RapDetail.aspx?STONELIST=926871107&amp;ISCONFIRM=0" TargetMode="External"/><Relationship Id="rId3530" Type="http://schemas.openxmlformats.org/officeDocument/2006/relationships/hyperlink" Target="https://pld.live/RapDetail.aspx?STONELIST=925280560&amp;ISCONFIRM=0" TargetMode="External"/><Relationship Id="rId6686" Type="http://schemas.openxmlformats.org/officeDocument/2006/relationships/hyperlink" Target="https://pld.live/RapDetail.aspx?STONELIST=927132448&amp;ISCONFIRM=0" TargetMode="External"/><Relationship Id="rId7737" Type="http://schemas.openxmlformats.org/officeDocument/2006/relationships/hyperlink" Target="https://pld.live/RapDetail.aspx?STONELIST=926860066&amp;ISCONFIRM=0" TargetMode="External"/><Relationship Id="rId451" Type="http://schemas.openxmlformats.org/officeDocument/2006/relationships/hyperlink" Target="https://pld.live/RapDetail.aspx?STONELIST=925971224&amp;ISCONFIRM=0" TargetMode="External"/><Relationship Id="rId2132" Type="http://schemas.openxmlformats.org/officeDocument/2006/relationships/hyperlink" Target="https://pld.live/RapDetail.aspx?STONELIST=925610109&amp;ISCONFIRM=0" TargetMode="External"/><Relationship Id="rId5288" Type="http://schemas.openxmlformats.org/officeDocument/2006/relationships/hyperlink" Target="https://pld.live/RapDetail.aspx?STONELIST=924880322&amp;ISCONFIRM=0" TargetMode="External"/><Relationship Id="rId6339" Type="http://schemas.openxmlformats.org/officeDocument/2006/relationships/hyperlink" Target="https://pld.live/RapDetail.aspx?STONELIST=925771223&amp;ISCONFIRM=0" TargetMode="External"/><Relationship Id="rId6753" Type="http://schemas.openxmlformats.org/officeDocument/2006/relationships/hyperlink" Target="https://pld.live/RapDetail.aspx?STONELIST=927132560&amp;ISCONFIRM=0" TargetMode="External"/><Relationship Id="rId7804" Type="http://schemas.openxmlformats.org/officeDocument/2006/relationships/hyperlink" Target="https://pld.live/RapDetail.aspx?STONELIST=927151515&amp;ISCONFIRM=0" TargetMode="External"/><Relationship Id="rId104" Type="http://schemas.openxmlformats.org/officeDocument/2006/relationships/hyperlink" Target="https://pld.live/RapDetail.aspx?STONELIST=926010049&amp;ISCONFIRM=0" TargetMode="External"/><Relationship Id="rId1898" Type="http://schemas.openxmlformats.org/officeDocument/2006/relationships/hyperlink" Target="https://pld.live/RapDetail.aspx?STONELIST=926430878&amp;ISCONFIRM=0" TargetMode="External"/><Relationship Id="rId2949" Type="http://schemas.openxmlformats.org/officeDocument/2006/relationships/hyperlink" Target="https://pld.live/RapDetail.aspx?STONELIST=926110975&amp;ISCONFIRM=0" TargetMode="External"/><Relationship Id="rId5355" Type="http://schemas.openxmlformats.org/officeDocument/2006/relationships/hyperlink" Target="https://pld.live/RapDetail.aspx?STONELIST=926690793&amp;ISCONFIRM=0" TargetMode="External"/><Relationship Id="rId6406" Type="http://schemas.openxmlformats.org/officeDocument/2006/relationships/hyperlink" Target="https://pld.live/RapDetail.aspx?STONELIST=926631392&amp;ISCONFIRM=0" TargetMode="External"/><Relationship Id="rId6820" Type="http://schemas.openxmlformats.org/officeDocument/2006/relationships/hyperlink" Target="https://pld.live/RapDetail.aspx?STONELIST=926420219&amp;ISCONFIRM=0" TargetMode="External"/><Relationship Id="rId4371" Type="http://schemas.openxmlformats.org/officeDocument/2006/relationships/hyperlink" Target="https://pld.live/RapDetail.aspx?STONELIST=926210870&amp;ISCONFIRM=0" TargetMode="External"/><Relationship Id="rId5008" Type="http://schemas.openxmlformats.org/officeDocument/2006/relationships/hyperlink" Target="https://pld.live/RapDetail.aspx?STONELIST=925801976&amp;ISCONFIRM=0" TargetMode="External"/><Relationship Id="rId5422" Type="http://schemas.openxmlformats.org/officeDocument/2006/relationships/hyperlink" Target="https://pld.live/RapDetail.aspx?STONELIST=924880300&amp;ISCONFIRM=0" TargetMode="External"/><Relationship Id="rId1965" Type="http://schemas.openxmlformats.org/officeDocument/2006/relationships/hyperlink" Target="https://pld.live/RapDetail.aspx?STONELIST=941270566&amp;ISCONFIRM=0" TargetMode="External"/><Relationship Id="rId4024" Type="http://schemas.openxmlformats.org/officeDocument/2006/relationships/hyperlink" Target="https://pld.live/RapDetail.aspx?STONELIST=926071554&amp;ISCONFIRM=0" TargetMode="External"/><Relationship Id="rId7594" Type="http://schemas.openxmlformats.org/officeDocument/2006/relationships/hyperlink" Target="https://pld.live/RapDetail.aspx?STONELIST=925801997&amp;ISCONFIRM=0" TargetMode="External"/><Relationship Id="rId1618" Type="http://schemas.openxmlformats.org/officeDocument/2006/relationships/hyperlink" Target="https://pld.live/RapDetail.aspx?STONELIST=941260921&amp;ISCONFIRM=0" TargetMode="External"/><Relationship Id="rId3040" Type="http://schemas.openxmlformats.org/officeDocument/2006/relationships/hyperlink" Target="https://pld.live/RapDetail.aspx?STONELIST=926210874&amp;ISCONFIRM=0" TargetMode="External"/><Relationship Id="rId6196" Type="http://schemas.openxmlformats.org/officeDocument/2006/relationships/hyperlink" Target="https://pld.live/RapDetail.aspx?STONELIST=925560099&amp;ISCONFIRM=0" TargetMode="External"/><Relationship Id="rId7247" Type="http://schemas.openxmlformats.org/officeDocument/2006/relationships/hyperlink" Target="https://pld.live/RapDetail.aspx?STONELIST=924260668&amp;ISCONFIRM=0" TargetMode="External"/><Relationship Id="rId7661" Type="http://schemas.openxmlformats.org/officeDocument/2006/relationships/hyperlink" Target="https://pld.live/RapDetail.aspx?STONELIST=941261088&amp;ISCONFIRM=0" TargetMode="External"/><Relationship Id="rId3857" Type="http://schemas.openxmlformats.org/officeDocument/2006/relationships/hyperlink" Target="https://pld.live/RapDetail.aspx?STONELIST=926041297&amp;ISCONFIRM=0" TargetMode="External"/><Relationship Id="rId4908" Type="http://schemas.openxmlformats.org/officeDocument/2006/relationships/hyperlink" Target="https://pld.live/RapDetail.aspx?STONELIST=926910424&amp;ISCONFIRM=0" TargetMode="External"/><Relationship Id="rId6263" Type="http://schemas.openxmlformats.org/officeDocument/2006/relationships/hyperlink" Target="https://pld.live/RapDetail.aspx?STONELIST=941120580&amp;ISCONFIRM=0" TargetMode="External"/><Relationship Id="rId7314" Type="http://schemas.openxmlformats.org/officeDocument/2006/relationships/hyperlink" Target="https://pld.live/RapDetail.aspx?STONELIST=941140832&amp;ISCONFIRM=0" TargetMode="External"/><Relationship Id="rId778" Type="http://schemas.openxmlformats.org/officeDocument/2006/relationships/hyperlink" Target="https://pld.live/RapDetail.aspx?STONELIST=925861338&amp;ISCONFIRM=0" TargetMode="External"/><Relationship Id="rId2459" Type="http://schemas.openxmlformats.org/officeDocument/2006/relationships/hyperlink" Target="https://pld.live/RapDetail.aspx?STONELIST=926801357&amp;ISCONFIRM=0" TargetMode="External"/><Relationship Id="rId2873" Type="http://schemas.openxmlformats.org/officeDocument/2006/relationships/hyperlink" Target="https://pld.live/RapDetail.aspx?STONELIST=922200120&amp;ISCONFIRM=0" TargetMode="External"/><Relationship Id="rId3924" Type="http://schemas.openxmlformats.org/officeDocument/2006/relationships/hyperlink" Target="https://pld.live/RapDetail.aspx?STONELIST=925502148&amp;ISCONFIRM=0" TargetMode="External"/><Relationship Id="rId6330" Type="http://schemas.openxmlformats.org/officeDocument/2006/relationships/hyperlink" Target="https://pld.live/RapDetail.aspx?STONELIST=926990345&amp;ISCONFIRM=0" TargetMode="External"/><Relationship Id="rId845" Type="http://schemas.openxmlformats.org/officeDocument/2006/relationships/hyperlink" Target="https://pld.live/RapDetail.aspx?STONELIST=821127411&amp;ISCONFIRM=0" TargetMode="External"/><Relationship Id="rId1475" Type="http://schemas.openxmlformats.org/officeDocument/2006/relationships/hyperlink" Target="https://pld.live/RapDetail.aspx?STONELIST=926270899&amp;ISCONFIRM=0" TargetMode="External"/><Relationship Id="rId2526" Type="http://schemas.openxmlformats.org/officeDocument/2006/relationships/hyperlink" Target="https://pld.live/RapDetail.aspx?STONELIST=925721007&amp;ISCONFIRM=0" TargetMode="External"/><Relationship Id="rId8088" Type="http://schemas.openxmlformats.org/officeDocument/2006/relationships/hyperlink" Target="https://pld.live/RapDetail.aspx?STONELIST=926930873&amp;ISCONFIRM=0" TargetMode="External"/><Relationship Id="rId1128" Type="http://schemas.openxmlformats.org/officeDocument/2006/relationships/hyperlink" Target="https://pld.live/RapDetail.aspx?STONELIST=926810894&amp;ISCONFIRM=0" TargetMode="External"/><Relationship Id="rId1542" Type="http://schemas.openxmlformats.org/officeDocument/2006/relationships/hyperlink" Target="https://pld.live/RapDetail.aspx?STONELIST=926440509&amp;ISCONFIRM=0" TargetMode="External"/><Relationship Id="rId2940" Type="http://schemas.openxmlformats.org/officeDocument/2006/relationships/hyperlink" Target="https://pld.live/RapDetail.aspx?STONELIST=925940638&amp;ISCONFIRM=0" TargetMode="External"/><Relationship Id="rId4698" Type="http://schemas.openxmlformats.org/officeDocument/2006/relationships/hyperlink" Target="https://pld.live/RapDetail.aspx?STONELIST=927120053&amp;ISCONFIRM=0" TargetMode="External"/><Relationship Id="rId5749" Type="http://schemas.openxmlformats.org/officeDocument/2006/relationships/hyperlink" Target="https://pld.live/RapDetail.aspx?STONELIST=941270759&amp;ISCONFIRM=0" TargetMode="External"/><Relationship Id="rId8155" Type="http://schemas.openxmlformats.org/officeDocument/2006/relationships/hyperlink" Target="https://pld.live/RapDetail.aspx?STONELIST=831020550&amp;ISCONFIRM=0" TargetMode="External"/><Relationship Id="rId912" Type="http://schemas.openxmlformats.org/officeDocument/2006/relationships/hyperlink" Target="https://pld.live/RapDetail.aspx?STONELIST=821127421&amp;ISCONFIRM=0" TargetMode="External"/><Relationship Id="rId7171" Type="http://schemas.openxmlformats.org/officeDocument/2006/relationships/hyperlink" Target="https://pld.live/RapDetail.aspx?STONELIST=924380415&amp;ISCONFIRM=0" TargetMode="External"/><Relationship Id="rId8222" Type="http://schemas.openxmlformats.org/officeDocument/2006/relationships/hyperlink" Target="https://pld.live/RapDetail.aspx?STONELIST=925180249&amp;ISCONFIRM=0" TargetMode="External"/><Relationship Id="rId4765" Type="http://schemas.openxmlformats.org/officeDocument/2006/relationships/hyperlink" Target="https://pld.live/RapDetail.aspx?STONELIST=831020721&amp;ISCONFIRM=0" TargetMode="External"/><Relationship Id="rId5816" Type="http://schemas.openxmlformats.org/officeDocument/2006/relationships/hyperlink" Target="https://pld.live/RapDetail.aspx?STONELIST=926050395&amp;ISCONFIRM=0" TargetMode="External"/><Relationship Id="rId288" Type="http://schemas.openxmlformats.org/officeDocument/2006/relationships/hyperlink" Target="https://pld.live/RapDetail.aspx?STONELIST=831010833&amp;ISCONFIRM=0" TargetMode="External"/><Relationship Id="rId3367" Type="http://schemas.openxmlformats.org/officeDocument/2006/relationships/hyperlink" Target="https://pld.live/RapDetail.aspx?STONELIST=926170928&amp;ISCONFIRM=0" TargetMode="External"/><Relationship Id="rId3781" Type="http://schemas.openxmlformats.org/officeDocument/2006/relationships/hyperlink" Target="https://pld.live/RapDetail.aspx?STONELIST=941150080&amp;ISCONFIRM=0" TargetMode="External"/><Relationship Id="rId4418" Type="http://schemas.openxmlformats.org/officeDocument/2006/relationships/hyperlink" Target="https://pld.live/RapDetail.aspx?STONELIST=925940595&amp;ISCONFIRM=0" TargetMode="External"/><Relationship Id="rId4832" Type="http://schemas.openxmlformats.org/officeDocument/2006/relationships/hyperlink" Target="https://pld.live/RapDetail.aspx?STONELIST=925960726&amp;ISCONFIRM=0" TargetMode="External"/><Relationship Id="rId7988" Type="http://schemas.openxmlformats.org/officeDocument/2006/relationships/hyperlink" Target="https://pld.live/RapDetail.aspx?STONELIST=927140011&amp;ISCONFIRM=0" TargetMode="External"/><Relationship Id="rId2383" Type="http://schemas.openxmlformats.org/officeDocument/2006/relationships/hyperlink" Target="https://pld.live/RapDetail.aspx?STONELIST=924400190&amp;ISCONFIRM=0" TargetMode="External"/><Relationship Id="rId3434" Type="http://schemas.openxmlformats.org/officeDocument/2006/relationships/hyperlink" Target="https://pld.live/RapDetail.aspx?STONELIST=926171453&amp;ISCONFIRM=0" TargetMode="External"/><Relationship Id="rId355" Type="http://schemas.openxmlformats.org/officeDocument/2006/relationships/hyperlink" Target="https://pld.live/RapDetail.aspx?STONELIST=941400422&amp;ISCONFIRM=0" TargetMode="External"/><Relationship Id="rId2036" Type="http://schemas.openxmlformats.org/officeDocument/2006/relationships/hyperlink" Target="https://pld.live/RapDetail.aspx?STONELIST=924010040&amp;ISCONFIRM=0" TargetMode="External"/><Relationship Id="rId2450" Type="http://schemas.openxmlformats.org/officeDocument/2006/relationships/hyperlink" Target="https://pld.live/RapDetail.aspx?STONELIST=941071245&amp;ISCONFIRM=0" TargetMode="External"/><Relationship Id="rId3501" Type="http://schemas.openxmlformats.org/officeDocument/2006/relationships/hyperlink" Target="https://pld.live/RapDetail.aspx?STONELIST=926270817&amp;ISCONFIRM=0" TargetMode="External"/><Relationship Id="rId6657" Type="http://schemas.openxmlformats.org/officeDocument/2006/relationships/hyperlink" Target="https://pld.live/RapDetail.aspx?STONELIST=927092604&amp;ISCONFIRM=0" TargetMode="External"/><Relationship Id="rId7708" Type="http://schemas.openxmlformats.org/officeDocument/2006/relationships/hyperlink" Target="https://pld.live/RapDetail.aspx?STONELIST=941270795&amp;ISCONFIRM=0" TargetMode="External"/><Relationship Id="rId422" Type="http://schemas.openxmlformats.org/officeDocument/2006/relationships/hyperlink" Target="https://pld.live/RapDetail.aspx?STONELIST=924390253&amp;ISCONFIRM=0" TargetMode="External"/><Relationship Id="rId1052" Type="http://schemas.openxmlformats.org/officeDocument/2006/relationships/hyperlink" Target="https://pld.live/RapDetail.aspx?STONELIST=926741070&amp;ISCONFIRM=0" TargetMode="External"/><Relationship Id="rId2103" Type="http://schemas.openxmlformats.org/officeDocument/2006/relationships/hyperlink" Target="https://pld.live/RapDetail.aspx?STONELIST=926231038&amp;ISCONFIRM=0" TargetMode="External"/><Relationship Id="rId5259" Type="http://schemas.openxmlformats.org/officeDocument/2006/relationships/hyperlink" Target="https://pld.live/RapDetail.aspx?STONELIST=925980773&amp;ISCONFIRM=0" TargetMode="External"/><Relationship Id="rId5673" Type="http://schemas.openxmlformats.org/officeDocument/2006/relationships/hyperlink" Target="https://pld.live/RapDetail.aspx?STONELIST=924420439&amp;ISCONFIRM=0" TargetMode="External"/><Relationship Id="rId4275" Type="http://schemas.openxmlformats.org/officeDocument/2006/relationships/hyperlink" Target="https://pld.live/RapDetail.aspx?STONELIST=926030135&amp;ISCONFIRM=0" TargetMode="External"/><Relationship Id="rId5326" Type="http://schemas.openxmlformats.org/officeDocument/2006/relationships/hyperlink" Target="https://pld.live/RapDetail.aspx?STONELIST=926680967&amp;ISCONFIRM=0" TargetMode="External"/><Relationship Id="rId6724" Type="http://schemas.openxmlformats.org/officeDocument/2006/relationships/hyperlink" Target="https://pld.live/RapDetail.aspx?STONELIST=927132565&amp;ISCONFIRM=0" TargetMode="External"/><Relationship Id="rId1869" Type="http://schemas.openxmlformats.org/officeDocument/2006/relationships/hyperlink" Target="https://pld.live/RapDetail.aspx?STONELIST=924540178&amp;ISCONFIRM=0" TargetMode="External"/><Relationship Id="rId3291" Type="http://schemas.openxmlformats.org/officeDocument/2006/relationships/hyperlink" Target="https://pld.live/RapDetail.aspx?STONELIST=926420433&amp;ISCONFIRM=0" TargetMode="External"/><Relationship Id="rId5740" Type="http://schemas.openxmlformats.org/officeDocument/2006/relationships/hyperlink" Target="https://pld.live/RapDetail.aspx?STONELIST=926320729&amp;ISCONFIRM=0" TargetMode="External"/><Relationship Id="rId1936" Type="http://schemas.openxmlformats.org/officeDocument/2006/relationships/hyperlink" Target="https://pld.live/RapDetail.aspx?STONELIST=941220019&amp;ISCONFIRM=0" TargetMode="External"/><Relationship Id="rId4342" Type="http://schemas.openxmlformats.org/officeDocument/2006/relationships/hyperlink" Target="https://pld.live/RapDetail.aspx?STONELIST=925732047&amp;ISCONFIRM=0" TargetMode="External"/><Relationship Id="rId7498" Type="http://schemas.openxmlformats.org/officeDocument/2006/relationships/hyperlink" Target="https://pld.live/RapDetail.aspx?STONELIST=925732284&amp;ISCONFIRM=0" TargetMode="External"/><Relationship Id="rId7565" Type="http://schemas.openxmlformats.org/officeDocument/2006/relationships/hyperlink" Target="https://pld.live/RapDetail.aspx?STONELIST=925732028&amp;ISCONFIRM=0" TargetMode="External"/><Relationship Id="rId3011" Type="http://schemas.openxmlformats.org/officeDocument/2006/relationships/hyperlink" Target="https://pld.live/RapDetail.aspx?STONELIST=925830752&amp;ISCONFIRM=0" TargetMode="External"/><Relationship Id="rId6167" Type="http://schemas.openxmlformats.org/officeDocument/2006/relationships/hyperlink" Target="https://pld.live/RapDetail.aspx?STONELIST=941090683&amp;ISCONFIRM=0" TargetMode="External"/><Relationship Id="rId6581" Type="http://schemas.openxmlformats.org/officeDocument/2006/relationships/hyperlink" Target="https://pld.live/RapDetail.aspx?STONELIST=926370009&amp;ISCONFIRM=0" TargetMode="External"/><Relationship Id="rId7218" Type="http://schemas.openxmlformats.org/officeDocument/2006/relationships/hyperlink" Target="https://pld.live/RapDetail.aspx?STONELIST=821113006&amp;ISCONFIRM=0" TargetMode="External"/><Relationship Id="rId7632" Type="http://schemas.openxmlformats.org/officeDocument/2006/relationships/hyperlink" Target="https://pld.live/RapDetail.aspx?STONELIST=924880360&amp;ISCONFIRM=0" TargetMode="External"/><Relationship Id="rId2777" Type="http://schemas.openxmlformats.org/officeDocument/2006/relationships/hyperlink" Target="https://pld.live/RapDetail.aspx?STONELIST=831020557&amp;ISCONFIRM=0" TargetMode="External"/><Relationship Id="rId5183" Type="http://schemas.openxmlformats.org/officeDocument/2006/relationships/hyperlink" Target="https://pld.live/RapDetail.aspx?STONELIST=926171444&amp;ISCONFIRM=0" TargetMode="External"/><Relationship Id="rId6234" Type="http://schemas.openxmlformats.org/officeDocument/2006/relationships/hyperlink" Target="https://pld.live/RapDetail.aspx?STONELIST=941110511&amp;ISCONFIRM=0" TargetMode="External"/><Relationship Id="rId749" Type="http://schemas.openxmlformats.org/officeDocument/2006/relationships/hyperlink" Target="https://pld.live/RapDetail.aspx?STONELIST=821127453&amp;ISCONFIRM=0" TargetMode="External"/><Relationship Id="rId1379" Type="http://schemas.openxmlformats.org/officeDocument/2006/relationships/hyperlink" Target="https://pld.live/RapDetail.aspx?STONELIST=926331684&amp;ISCONFIRM=0" TargetMode="External"/><Relationship Id="rId3828" Type="http://schemas.openxmlformats.org/officeDocument/2006/relationships/hyperlink" Target="https://pld.live/RapDetail.aspx?STONELIST=941080857&amp;ISCONFIRM=0" TargetMode="External"/><Relationship Id="rId5250" Type="http://schemas.openxmlformats.org/officeDocument/2006/relationships/hyperlink" Target="https://pld.live/RapDetail.aspx?STONELIST=923570848&amp;ISCONFIRM=0" TargetMode="External"/><Relationship Id="rId6301" Type="http://schemas.openxmlformats.org/officeDocument/2006/relationships/hyperlink" Target="https://pld.live/RapDetail.aspx?STONELIST=925710090&amp;ISCONFIRM=0" TargetMode="External"/><Relationship Id="rId1793" Type="http://schemas.openxmlformats.org/officeDocument/2006/relationships/hyperlink" Target="https://pld.live/RapDetail.aspx?STONELIST=941230013&amp;ISCONFIRM=0" TargetMode="External"/><Relationship Id="rId2844" Type="http://schemas.openxmlformats.org/officeDocument/2006/relationships/hyperlink" Target="https://pld.live/RapDetail.aspx?STONELIST=925971332&amp;ISCONFIRM=0" TargetMode="External"/><Relationship Id="rId8059" Type="http://schemas.openxmlformats.org/officeDocument/2006/relationships/hyperlink" Target="https://pld.live/RapDetail.aspx?STONELIST=925951080&amp;ISCONFIRM=0" TargetMode="External"/><Relationship Id="rId85" Type="http://schemas.openxmlformats.org/officeDocument/2006/relationships/hyperlink" Target="https://pld.live/RapDetail.aspx?STONELIST=925630060&amp;ISCONFIRM=0" TargetMode="External"/><Relationship Id="rId816" Type="http://schemas.openxmlformats.org/officeDocument/2006/relationships/hyperlink" Target="https://pld.live/RapDetail.aspx?STONELIST=925971278&amp;ISCONFIRM=0" TargetMode="External"/><Relationship Id="rId1446" Type="http://schemas.openxmlformats.org/officeDocument/2006/relationships/hyperlink" Target="https://pld.live/RapDetail.aspx?STONELIST=821125859&amp;ISCONFIRM=0" TargetMode="External"/><Relationship Id="rId1860" Type="http://schemas.openxmlformats.org/officeDocument/2006/relationships/hyperlink" Target="https://pld.live/RapDetail.aspx?STONELIST=925840754&amp;ISCONFIRM=0" TargetMode="External"/><Relationship Id="rId2911" Type="http://schemas.openxmlformats.org/officeDocument/2006/relationships/hyperlink" Target="https://pld.live/RapDetail.aspx?STONELIST=926201054&amp;ISCONFIRM=0" TargetMode="External"/><Relationship Id="rId7075" Type="http://schemas.openxmlformats.org/officeDocument/2006/relationships/hyperlink" Target="https://pld.live/RapDetail.aspx?STONELIST=927092144&amp;ISCONFIRM=0" TargetMode="External"/><Relationship Id="rId1513" Type="http://schemas.openxmlformats.org/officeDocument/2006/relationships/hyperlink" Target="https://pld.live/RapDetail.aspx?STONELIST=926280682&amp;ISCONFIRM=0" TargetMode="External"/><Relationship Id="rId4669" Type="http://schemas.openxmlformats.org/officeDocument/2006/relationships/hyperlink" Target="https://pld.live/RapDetail.aspx?STONELIST=927120045&amp;ISCONFIRM=0" TargetMode="External"/><Relationship Id="rId8126" Type="http://schemas.openxmlformats.org/officeDocument/2006/relationships/hyperlink" Target="https://pld.live/RapDetail.aspx?STONELIST=926580091&amp;ISCONFIRM=0" TargetMode="External"/><Relationship Id="rId3685" Type="http://schemas.openxmlformats.org/officeDocument/2006/relationships/hyperlink" Target="https://pld.live/RapDetail.aspx?STONELIST=926910543&amp;ISCONFIRM=0" TargetMode="External"/><Relationship Id="rId4736" Type="http://schemas.openxmlformats.org/officeDocument/2006/relationships/hyperlink" Target="https://pld.live/RapDetail.aspx?STONELIST=925820066&amp;ISCONFIRM=0" TargetMode="External"/><Relationship Id="rId6091" Type="http://schemas.openxmlformats.org/officeDocument/2006/relationships/hyperlink" Target="https://pld.live/RapDetail.aspx?STONELIST=926420453&amp;ISCONFIRM=0" TargetMode="External"/><Relationship Id="rId7142" Type="http://schemas.openxmlformats.org/officeDocument/2006/relationships/hyperlink" Target="https://pld.live/RapDetail.aspx?STONELIST=926360380&amp;ISCONFIRM=0" TargetMode="External"/><Relationship Id="rId2287" Type="http://schemas.openxmlformats.org/officeDocument/2006/relationships/hyperlink" Target="https://pld.live/RapDetail.aspx?STONELIST=926240685&amp;ISCONFIRM=0" TargetMode="External"/><Relationship Id="rId3338" Type="http://schemas.openxmlformats.org/officeDocument/2006/relationships/hyperlink" Target="https://pld.live/RapDetail.aspx?STONELIST=924590296&amp;ISCONFIRM=0" TargetMode="External"/><Relationship Id="rId3752" Type="http://schemas.openxmlformats.org/officeDocument/2006/relationships/hyperlink" Target="https://pld.live/RapDetail.aspx?STONELIST=925060347&amp;ISCONFIRM=0" TargetMode="External"/><Relationship Id="rId7959" Type="http://schemas.openxmlformats.org/officeDocument/2006/relationships/hyperlink" Target="https://pld.live/RapDetail.aspx?STONELIST=926810619&amp;ISCONFIRM=0" TargetMode="External"/><Relationship Id="rId259" Type="http://schemas.openxmlformats.org/officeDocument/2006/relationships/hyperlink" Target="https://pld.live/RapDetail.aspx?STONELIST=831010814&amp;ISCONFIRM=0" TargetMode="External"/><Relationship Id="rId673" Type="http://schemas.openxmlformats.org/officeDocument/2006/relationships/hyperlink" Target="https://pld.live/RapDetail.aspx?STONELIST=925960943&amp;ISCONFIRM=0" TargetMode="External"/><Relationship Id="rId2354" Type="http://schemas.openxmlformats.org/officeDocument/2006/relationships/hyperlink" Target="https://pld.live/RapDetail.aspx?STONELIST=927152200&amp;ISCONFIRM=0" TargetMode="External"/><Relationship Id="rId3405" Type="http://schemas.openxmlformats.org/officeDocument/2006/relationships/hyperlink" Target="https://pld.live/RapDetail.aspx?STONELIST=926071903&amp;ISCONFIRM=0" TargetMode="External"/><Relationship Id="rId4803" Type="http://schemas.openxmlformats.org/officeDocument/2006/relationships/hyperlink" Target="https://pld.live/RapDetail.aspx?STONELIST=925570088&amp;ISCONFIRM=0" TargetMode="External"/><Relationship Id="rId326" Type="http://schemas.openxmlformats.org/officeDocument/2006/relationships/hyperlink" Target="https://pld.live/RapDetail.aspx?STONELIST=941430412&amp;ISCONFIRM=0" TargetMode="External"/><Relationship Id="rId1370" Type="http://schemas.openxmlformats.org/officeDocument/2006/relationships/hyperlink" Target="https://pld.live/RapDetail.aspx?STONELIST=925790395&amp;ISCONFIRM=0" TargetMode="External"/><Relationship Id="rId2007" Type="http://schemas.openxmlformats.org/officeDocument/2006/relationships/hyperlink" Target="https://pld.live/RapDetail.aspx?STONELIST=941360296&amp;ISCONFIRM=0" TargetMode="External"/><Relationship Id="rId6975" Type="http://schemas.openxmlformats.org/officeDocument/2006/relationships/hyperlink" Target="https://pld.live/RapDetail.aspx?STONELIST=821113865&amp;ISCONFIRM=0" TargetMode="External"/><Relationship Id="rId740" Type="http://schemas.openxmlformats.org/officeDocument/2006/relationships/hyperlink" Target="https://pld.live/RapDetail.aspx?STONELIST=925801469&amp;ISCONFIRM=0" TargetMode="External"/><Relationship Id="rId1023" Type="http://schemas.openxmlformats.org/officeDocument/2006/relationships/hyperlink" Target="https://pld.live/RapDetail.aspx?STONELIST=926810880&amp;ISCONFIRM=0" TargetMode="External"/><Relationship Id="rId2421" Type="http://schemas.openxmlformats.org/officeDocument/2006/relationships/hyperlink" Target="https://pld.live/RapDetail.aspx?STONELIST=926181040&amp;ISCONFIRM=0" TargetMode="External"/><Relationship Id="rId4179" Type="http://schemas.openxmlformats.org/officeDocument/2006/relationships/hyperlink" Target="https://pld.live/RapDetail.aspx?STONELIST=926040609&amp;ISCONFIRM=0" TargetMode="External"/><Relationship Id="rId5577" Type="http://schemas.openxmlformats.org/officeDocument/2006/relationships/hyperlink" Target="https://pld.live/RapDetail.aspx?STONELIST=926210831&amp;ISCONFIRM=0" TargetMode="External"/><Relationship Id="rId5991" Type="http://schemas.openxmlformats.org/officeDocument/2006/relationships/hyperlink" Target="https://pld.live/RapDetail.aspx?STONELIST=926791087&amp;ISCONFIRM=0" TargetMode="External"/><Relationship Id="rId6628" Type="http://schemas.openxmlformats.org/officeDocument/2006/relationships/hyperlink" Target="https://pld.live/RapDetail.aspx?STONELIST=9412800541&amp;ISCONFIRM=0" TargetMode="External"/><Relationship Id="rId8050" Type="http://schemas.openxmlformats.org/officeDocument/2006/relationships/hyperlink" Target="https://pld.live/RapDetail.aspx?STONELIST=923520444&amp;ISCONFIRM=0" TargetMode="External"/><Relationship Id="rId4593" Type="http://schemas.openxmlformats.org/officeDocument/2006/relationships/hyperlink" Target="https://pld.live/RapDetail.aspx?STONELIST=941270789&amp;ISCONFIRM=0" TargetMode="External"/><Relationship Id="rId5644" Type="http://schemas.openxmlformats.org/officeDocument/2006/relationships/hyperlink" Target="https://pld.live/RapDetail.aspx?STONELIST=941261103&amp;ISCONFIRM=0" TargetMode="External"/><Relationship Id="rId3195" Type="http://schemas.openxmlformats.org/officeDocument/2006/relationships/hyperlink" Target="https://pld.live/RapDetail.aspx?STONELIST=925091128&amp;ISCONFIRM=0" TargetMode="External"/><Relationship Id="rId4246" Type="http://schemas.openxmlformats.org/officeDocument/2006/relationships/hyperlink" Target="https://pld.live/RapDetail.aspx?STONELIST=923570786&amp;ISCONFIRM=0" TargetMode="External"/><Relationship Id="rId4660" Type="http://schemas.openxmlformats.org/officeDocument/2006/relationships/hyperlink" Target="https://pld.live/RapDetail.aspx?STONELIST=927152870&amp;ISCONFIRM=0" TargetMode="External"/><Relationship Id="rId5711" Type="http://schemas.openxmlformats.org/officeDocument/2006/relationships/hyperlink" Target="https://pld.live/RapDetail.aspx?STONELIST=925090950&amp;ISCONFIRM=0" TargetMode="External"/><Relationship Id="rId3262" Type="http://schemas.openxmlformats.org/officeDocument/2006/relationships/hyperlink" Target="https://pld.live/RapDetail.aspx?STONELIST=941261071&amp;ISCONFIRM=0" TargetMode="External"/><Relationship Id="rId4313" Type="http://schemas.openxmlformats.org/officeDocument/2006/relationships/hyperlink" Target="https://pld.live/RapDetail.aspx?STONELIST=927030581&amp;ISCONFIRM=0" TargetMode="External"/><Relationship Id="rId7469" Type="http://schemas.openxmlformats.org/officeDocument/2006/relationships/hyperlink" Target="https://pld.live/RapDetail.aspx?STONELIST=925850930&amp;ISCONFIRM=0" TargetMode="External"/><Relationship Id="rId7883" Type="http://schemas.openxmlformats.org/officeDocument/2006/relationships/hyperlink" Target="https://pld.live/RapDetail.aspx?STONELIST=926841276&amp;ISCONFIRM=0" TargetMode="External"/><Relationship Id="rId183" Type="http://schemas.openxmlformats.org/officeDocument/2006/relationships/hyperlink" Target="https://pld.live/RapDetail.aspx?STONELIST=927080709&amp;ISCONFIRM=0" TargetMode="External"/><Relationship Id="rId1907" Type="http://schemas.openxmlformats.org/officeDocument/2006/relationships/hyperlink" Target="https://pld.live/RapDetail.aspx?STONELIST=831010718&amp;ISCONFIRM=0" TargetMode="External"/><Relationship Id="rId6485" Type="http://schemas.openxmlformats.org/officeDocument/2006/relationships/hyperlink" Target="https://pld.live/RapDetail.aspx?STONELIST=941100649&amp;ISCONFIRM=0" TargetMode="External"/><Relationship Id="rId7536" Type="http://schemas.openxmlformats.org/officeDocument/2006/relationships/hyperlink" Target="https://pld.live/RapDetail.aspx?STONELIST=925801722&amp;ISCONFIRM=0" TargetMode="External"/><Relationship Id="rId250" Type="http://schemas.openxmlformats.org/officeDocument/2006/relationships/hyperlink" Target="https://pld.live/RapDetail.aspx?STONELIST=831020539&amp;ISCONFIRM=0" TargetMode="External"/><Relationship Id="rId5087" Type="http://schemas.openxmlformats.org/officeDocument/2006/relationships/hyperlink" Target="https://pld.live/RapDetail.aspx?STONELIST=925980906&amp;ISCONFIRM=0" TargetMode="External"/><Relationship Id="rId6138" Type="http://schemas.openxmlformats.org/officeDocument/2006/relationships/hyperlink" Target="https://pld.live/RapDetail.aspx?STONELIST=924890042&amp;ISCONFIRM=0" TargetMode="External"/><Relationship Id="rId7950" Type="http://schemas.openxmlformats.org/officeDocument/2006/relationships/hyperlink" Target="https://pld.live/RapDetail.aspx?STONELIST=927052497&amp;ISCONFIRM=0" TargetMode="External"/><Relationship Id="rId5154" Type="http://schemas.openxmlformats.org/officeDocument/2006/relationships/hyperlink" Target="https://pld.live/RapDetail.aspx?STONELIST=925930139&amp;ISCONFIRM=0" TargetMode="External"/><Relationship Id="rId6552" Type="http://schemas.openxmlformats.org/officeDocument/2006/relationships/hyperlink" Target="https://pld.live/RapDetail.aspx?STONELIST=920470437&amp;ISCONFIRM=0" TargetMode="External"/><Relationship Id="rId7603" Type="http://schemas.openxmlformats.org/officeDocument/2006/relationships/hyperlink" Target="https://pld.live/RapDetail.aspx?STONELIST=925802065&amp;ISCONFIRM=0" TargetMode="External"/><Relationship Id="rId1697" Type="http://schemas.openxmlformats.org/officeDocument/2006/relationships/hyperlink" Target="https://pld.live/RapDetail.aspx?STONELIST=941280389&amp;ISCONFIRM=0" TargetMode="External"/><Relationship Id="rId2748" Type="http://schemas.openxmlformats.org/officeDocument/2006/relationships/hyperlink" Target="https://pld.live/RapDetail.aspx?STONELIST=924950305&amp;ISCONFIRM=0" TargetMode="External"/><Relationship Id="rId6205" Type="http://schemas.openxmlformats.org/officeDocument/2006/relationships/hyperlink" Target="https://pld.live/RapDetail.aspx?STONELIST=821115760&amp;ISCONFIRM=0" TargetMode="External"/><Relationship Id="rId1764" Type="http://schemas.openxmlformats.org/officeDocument/2006/relationships/hyperlink" Target="https://pld.live/RapDetail.aspx?STONELIST=941380239&amp;ISCONFIRM=0" TargetMode="External"/><Relationship Id="rId2815" Type="http://schemas.openxmlformats.org/officeDocument/2006/relationships/hyperlink" Target="https://pld.live/RapDetail.aspx?STONELIST=925732052&amp;ISCONFIRM=0" TargetMode="External"/><Relationship Id="rId4170" Type="http://schemas.openxmlformats.org/officeDocument/2006/relationships/hyperlink" Target="https://pld.live/RapDetail.aspx?STONELIST=925830689&amp;ISCONFIRM=0" TargetMode="External"/><Relationship Id="rId5221" Type="http://schemas.openxmlformats.org/officeDocument/2006/relationships/hyperlink" Target="https://pld.live/RapDetail.aspx?STONELIST=925520296&amp;ISCONFIRM=0" TargetMode="External"/><Relationship Id="rId56" Type="http://schemas.openxmlformats.org/officeDocument/2006/relationships/hyperlink" Target="https://pld.live/RapDetail.aspx?STONELIST=926010120&amp;ISCONFIRM=0" TargetMode="External"/><Relationship Id="rId1417" Type="http://schemas.openxmlformats.org/officeDocument/2006/relationships/hyperlink" Target="https://pld.live/RapDetail.aspx?STONELIST=926221224&amp;ISCONFIRM=0" TargetMode="External"/><Relationship Id="rId1831" Type="http://schemas.openxmlformats.org/officeDocument/2006/relationships/hyperlink" Target="https://pld.live/RapDetail.aspx?STONELIST=821127842&amp;ISCONFIRM=0" TargetMode="External"/><Relationship Id="rId4987" Type="http://schemas.openxmlformats.org/officeDocument/2006/relationships/hyperlink" Target="https://pld.live/RapDetail.aspx?STONELIST=925960084&amp;ISCONFIRM=0" TargetMode="External"/><Relationship Id="rId7393" Type="http://schemas.openxmlformats.org/officeDocument/2006/relationships/hyperlink" Target="https://pld.live/RapDetail.aspx?STONELIST=925880067&amp;ISCONFIRM=0" TargetMode="External"/><Relationship Id="rId3589" Type="http://schemas.openxmlformats.org/officeDocument/2006/relationships/hyperlink" Target="https://pld.live/RapDetail.aspx?STONELIST=926130080&amp;ISCONFIRM=0" TargetMode="External"/><Relationship Id="rId7046" Type="http://schemas.openxmlformats.org/officeDocument/2006/relationships/hyperlink" Target="https://pld.live/RapDetail.aspx?STONELIST=927140485&amp;ISCONFIRM=0" TargetMode="External"/><Relationship Id="rId7460" Type="http://schemas.openxmlformats.org/officeDocument/2006/relationships/hyperlink" Target="https://pld.live/RapDetail.aspx?STONELIST=925771305&amp;ISCONFIRM=0" TargetMode="External"/><Relationship Id="rId6062" Type="http://schemas.openxmlformats.org/officeDocument/2006/relationships/hyperlink" Target="https://pld.live/RapDetail.aspx?STONELIST=941170472&amp;ISCONFIRM=0" TargetMode="External"/><Relationship Id="rId7113" Type="http://schemas.openxmlformats.org/officeDocument/2006/relationships/hyperlink" Target="https://pld.live/RapDetail.aspx?STONELIST=941140976&amp;ISCONFIRM=0" TargetMode="External"/><Relationship Id="rId577" Type="http://schemas.openxmlformats.org/officeDocument/2006/relationships/hyperlink" Target="https://pld.live/RapDetail.aspx?STONELIST=925521426&amp;ISCONFIRM=0" TargetMode="External"/><Relationship Id="rId2258" Type="http://schemas.openxmlformats.org/officeDocument/2006/relationships/hyperlink" Target="https://pld.live/RapDetail.aspx?STONELIST=941380231&amp;ISCONFIRM=0" TargetMode="External"/><Relationship Id="rId3656" Type="http://schemas.openxmlformats.org/officeDocument/2006/relationships/hyperlink" Target="https://pld.live/RapDetail.aspx?STONELIST=927000651&amp;ISCONFIRM=0" TargetMode="External"/><Relationship Id="rId4707" Type="http://schemas.openxmlformats.org/officeDocument/2006/relationships/hyperlink" Target="https://pld.live/RapDetail.aspx?STONELIST=925820261&amp;ISCONFIRM=0" TargetMode="External"/><Relationship Id="rId991" Type="http://schemas.openxmlformats.org/officeDocument/2006/relationships/hyperlink" Target="https://pld.live/RapDetail.aspx?STONELIST=927130169&amp;ISCONFIRM=0" TargetMode="External"/><Relationship Id="rId2672" Type="http://schemas.openxmlformats.org/officeDocument/2006/relationships/hyperlink" Target="https://pld.live/RapDetail.aspx?STONELIST=920661495&amp;ISCONFIRM=0" TargetMode="External"/><Relationship Id="rId3309" Type="http://schemas.openxmlformats.org/officeDocument/2006/relationships/hyperlink" Target="https://pld.live/RapDetail.aspx?STONELIST=926030144&amp;ISCONFIRM=0" TargetMode="External"/><Relationship Id="rId3723" Type="http://schemas.openxmlformats.org/officeDocument/2006/relationships/hyperlink" Target="https://pld.live/RapDetail.aspx?STONELIST=924940310&amp;ISCONFIRM=0" TargetMode="External"/><Relationship Id="rId6879" Type="http://schemas.openxmlformats.org/officeDocument/2006/relationships/hyperlink" Target="https://pld.live/RapDetail.aspx?STONELIST=821113324&amp;ISCONFIRM=0" TargetMode="External"/><Relationship Id="rId644" Type="http://schemas.openxmlformats.org/officeDocument/2006/relationships/hyperlink" Target="https://pld.live/RapDetail.aspx?STONELIST=831010468&amp;ISCONFIRM=0" TargetMode="External"/><Relationship Id="rId1274" Type="http://schemas.openxmlformats.org/officeDocument/2006/relationships/hyperlink" Target="https://pld.live/RapDetail.aspx?STONELIST=941320666&amp;ISCONFIRM=0" TargetMode="External"/><Relationship Id="rId2325" Type="http://schemas.openxmlformats.org/officeDocument/2006/relationships/hyperlink" Target="https://pld.live/RapDetail.aspx?STONELIST=920661245&amp;ISCONFIRM=0" TargetMode="External"/><Relationship Id="rId5895" Type="http://schemas.openxmlformats.org/officeDocument/2006/relationships/hyperlink" Target="https://pld.live/RapDetail.aspx?STONELIST=925981255&amp;ISCONFIRM=0" TargetMode="External"/><Relationship Id="rId6946" Type="http://schemas.openxmlformats.org/officeDocument/2006/relationships/hyperlink" Target="https://pld.live/RapDetail.aspx?STONELIST=926071902&amp;ISCONFIRM=0" TargetMode="External"/><Relationship Id="rId711" Type="http://schemas.openxmlformats.org/officeDocument/2006/relationships/hyperlink" Target="https://pld.live/RapDetail.aspx?STONELIST=821127643&amp;ISCONFIRM=0" TargetMode="External"/><Relationship Id="rId1341" Type="http://schemas.openxmlformats.org/officeDocument/2006/relationships/hyperlink" Target="https://pld.live/RapDetail.aspx?STONELIST=941320540&amp;ISCONFIRM=0" TargetMode="External"/><Relationship Id="rId4497" Type="http://schemas.openxmlformats.org/officeDocument/2006/relationships/hyperlink" Target="https://pld.live/RapDetail.aspx?STONELIST=927092593&amp;ISCONFIRM=0" TargetMode="External"/><Relationship Id="rId5548" Type="http://schemas.openxmlformats.org/officeDocument/2006/relationships/hyperlink" Target="https://pld.live/RapDetail.aspx?STONELIST=925030362&amp;ISCONFIRM=0" TargetMode="External"/><Relationship Id="rId5962" Type="http://schemas.openxmlformats.org/officeDocument/2006/relationships/hyperlink" Target="https://pld.live/RapDetail.aspx?STONELIST=927092419&amp;ISCONFIRM=0" TargetMode="External"/><Relationship Id="rId3099" Type="http://schemas.openxmlformats.org/officeDocument/2006/relationships/hyperlink" Target="https://pld.live/RapDetail.aspx?STONELIST=926210855&amp;ISCONFIRM=0" TargetMode="External"/><Relationship Id="rId4564" Type="http://schemas.openxmlformats.org/officeDocument/2006/relationships/hyperlink" Target="https://pld.live/RapDetail.aspx?STONELIST=941351162&amp;ISCONFIRM=0" TargetMode="External"/><Relationship Id="rId5615" Type="http://schemas.openxmlformats.org/officeDocument/2006/relationships/hyperlink" Target="https://pld.live/RapDetail.aspx?STONELIST=923870445&amp;ISCONFIRM=0" TargetMode="External"/><Relationship Id="rId8021" Type="http://schemas.openxmlformats.org/officeDocument/2006/relationships/hyperlink" Target="https://pld.live/RapDetail.aspx?STONELIST=925610481&amp;ISCONFIRM=0" TargetMode="External"/><Relationship Id="rId3166" Type="http://schemas.openxmlformats.org/officeDocument/2006/relationships/hyperlink" Target="https://pld.live/RapDetail.aspx?STONELIST=922510163&amp;ISCONFIRM=0" TargetMode="External"/><Relationship Id="rId3580" Type="http://schemas.openxmlformats.org/officeDocument/2006/relationships/hyperlink" Target="https://pld.live/RapDetail.aspx?STONELIST=925700296&amp;ISCONFIRM=0" TargetMode="External"/><Relationship Id="rId4217" Type="http://schemas.openxmlformats.org/officeDocument/2006/relationships/hyperlink" Target="https://pld.live/RapDetail.aspx?STONELIST=925520674&amp;ISCONFIRM=0" TargetMode="External"/><Relationship Id="rId2182" Type="http://schemas.openxmlformats.org/officeDocument/2006/relationships/hyperlink" Target="https://pld.live/RapDetail.aspx?STONELIST=941230182&amp;ISCONFIRM=0" TargetMode="External"/><Relationship Id="rId3233" Type="http://schemas.openxmlformats.org/officeDocument/2006/relationships/hyperlink" Target="https://pld.live/RapDetail.aspx?STONELIST=924960344&amp;ISCONFIRM=0" TargetMode="External"/><Relationship Id="rId4631" Type="http://schemas.openxmlformats.org/officeDocument/2006/relationships/hyperlink" Target="https://pld.live/RapDetail.aspx?STONELIST=927150494&amp;ISCONFIRM=0" TargetMode="External"/><Relationship Id="rId6389" Type="http://schemas.openxmlformats.org/officeDocument/2006/relationships/hyperlink" Target="https://pld.live/RapDetail.aspx?STONELIST=925680183&amp;ISCONFIRM=0" TargetMode="External"/><Relationship Id="rId7787" Type="http://schemas.openxmlformats.org/officeDocument/2006/relationships/hyperlink" Target="https://pld.live/RapDetail.aspx?STONELIST=924410525&amp;ISCONFIRM=0" TargetMode="External"/><Relationship Id="rId154" Type="http://schemas.openxmlformats.org/officeDocument/2006/relationships/hyperlink" Target="https://pld.live/RapDetail.aspx?STONELIST=941050302&amp;ISCONFIRM=0" TargetMode="External"/><Relationship Id="rId7854" Type="http://schemas.openxmlformats.org/officeDocument/2006/relationships/hyperlink" Target="https://pld.live/RapDetail.aspx?STONELIST=925300362&amp;ISCONFIRM=0" TargetMode="External"/><Relationship Id="rId2999" Type="http://schemas.openxmlformats.org/officeDocument/2006/relationships/hyperlink" Target="https://pld.live/RapDetail.aspx?STONELIST=925900580&amp;ISCONFIRM=0" TargetMode="External"/><Relationship Id="rId3300" Type="http://schemas.openxmlformats.org/officeDocument/2006/relationships/hyperlink" Target="https://pld.live/RapDetail.aspx?STONELIST=923740291&amp;ISCONFIRM=0" TargetMode="External"/><Relationship Id="rId6456" Type="http://schemas.openxmlformats.org/officeDocument/2006/relationships/hyperlink" Target="https://pld.live/RapDetail.aspx?STONELIST=941100641&amp;ISCONFIRM=0" TargetMode="External"/><Relationship Id="rId6870" Type="http://schemas.openxmlformats.org/officeDocument/2006/relationships/hyperlink" Target="https://pld.live/RapDetail.aspx?STONELIST=831020739&amp;ISCONFIRM=0" TargetMode="External"/><Relationship Id="rId7507" Type="http://schemas.openxmlformats.org/officeDocument/2006/relationships/hyperlink" Target="https://pld.live/RapDetail.aspx?STONELIST=925731411&amp;ISCONFIRM=0" TargetMode="External"/><Relationship Id="rId7921" Type="http://schemas.openxmlformats.org/officeDocument/2006/relationships/hyperlink" Target="https://pld.live/RapDetail.aspx?STONELIST=926311333&amp;ISCONFIRM=0" TargetMode="External"/><Relationship Id="rId221" Type="http://schemas.openxmlformats.org/officeDocument/2006/relationships/hyperlink" Target="https://pld.live/RapDetail.aspx?STONELIST=941380380&amp;ISCONFIRM=0" TargetMode="External"/><Relationship Id="rId5058" Type="http://schemas.openxmlformats.org/officeDocument/2006/relationships/hyperlink" Target="https://pld.live/RapDetail.aspx?STONELIST=926200775&amp;ISCONFIRM=0" TargetMode="External"/><Relationship Id="rId5472" Type="http://schemas.openxmlformats.org/officeDocument/2006/relationships/hyperlink" Target="https://pld.live/RapDetail.aspx?STONELIST=941170332&amp;ISCONFIRM=0" TargetMode="External"/><Relationship Id="rId6109" Type="http://schemas.openxmlformats.org/officeDocument/2006/relationships/hyperlink" Target="https://pld.live/RapDetail.aspx?STONELIST=926360294&amp;ISCONFIRM=0" TargetMode="External"/><Relationship Id="rId6523" Type="http://schemas.openxmlformats.org/officeDocument/2006/relationships/hyperlink" Target="https://pld.live/RapDetail.aspx?STONELIST=925851285&amp;ISCONFIRM=0" TargetMode="External"/><Relationship Id="rId1668" Type="http://schemas.openxmlformats.org/officeDocument/2006/relationships/hyperlink" Target="https://pld.live/RapDetail.aspx?STONELIST=821126741&amp;ISCONFIRM=0" TargetMode="External"/><Relationship Id="rId2719" Type="http://schemas.openxmlformats.org/officeDocument/2006/relationships/hyperlink" Target="https://pld.live/RapDetail.aspx?STONELIST=922170001&amp;ISCONFIRM=0" TargetMode="External"/><Relationship Id="rId4074" Type="http://schemas.openxmlformats.org/officeDocument/2006/relationships/hyperlink" Target="https://pld.live/RapDetail.aspx?STONELIST=925541522&amp;ISCONFIRM=0" TargetMode="External"/><Relationship Id="rId5125" Type="http://schemas.openxmlformats.org/officeDocument/2006/relationships/hyperlink" Target="https://pld.live/RapDetail.aspx?STONELIST=925721171&amp;ISCONFIRM=0" TargetMode="External"/><Relationship Id="rId3090" Type="http://schemas.openxmlformats.org/officeDocument/2006/relationships/hyperlink" Target="https://pld.live/RapDetail.aspx?STONELIST=925260296&amp;ISCONFIRM=0" TargetMode="External"/><Relationship Id="rId4141" Type="http://schemas.openxmlformats.org/officeDocument/2006/relationships/hyperlink" Target="https://pld.live/RapDetail.aspx?STONELIST=925940399&amp;ISCONFIRM=0" TargetMode="External"/><Relationship Id="rId7297" Type="http://schemas.openxmlformats.org/officeDocument/2006/relationships/hyperlink" Target="https://pld.live/RapDetail.aspx?STONELIST=927080764&amp;ISCONFIRM=0" TargetMode="External"/><Relationship Id="rId1735" Type="http://schemas.openxmlformats.org/officeDocument/2006/relationships/hyperlink" Target="https://pld.live/RapDetail.aspx?STONELIST=941190124&amp;ISCONFIRM=0" TargetMode="External"/><Relationship Id="rId7364" Type="http://schemas.openxmlformats.org/officeDocument/2006/relationships/hyperlink" Target="https://pld.live/RapDetail.aspx?STONELIST=941330627&amp;ISCONFIRM=0" TargetMode="External"/><Relationship Id="rId27" Type="http://schemas.openxmlformats.org/officeDocument/2006/relationships/hyperlink" Target="https://pld.live/RapDetail.aspx?STONELIST=941330337&amp;ISCONFIRM=0" TargetMode="External"/><Relationship Id="rId1802" Type="http://schemas.openxmlformats.org/officeDocument/2006/relationships/hyperlink" Target="https://pld.live/RapDetail.aspx?STONELIST=941260775&amp;ISCONFIRM=0" TargetMode="External"/><Relationship Id="rId4958" Type="http://schemas.openxmlformats.org/officeDocument/2006/relationships/hyperlink" Target="https://pld.live/RapDetail.aspx?STONELIST=925890313&amp;ISCONFIRM=0" TargetMode="External"/><Relationship Id="rId7017" Type="http://schemas.openxmlformats.org/officeDocument/2006/relationships/hyperlink" Target="https://pld.live/RapDetail.aspx?STONELIST=926921370&amp;ISCONFIRM=0" TargetMode="External"/><Relationship Id="rId3974" Type="http://schemas.openxmlformats.org/officeDocument/2006/relationships/hyperlink" Target="https://pld.live/RapDetail.aspx?STONELIST=926020697&amp;ISCONFIRM=0" TargetMode="External"/><Relationship Id="rId6380" Type="http://schemas.openxmlformats.org/officeDocument/2006/relationships/hyperlink" Target="https://pld.live/RapDetail.aspx?STONELIST=927040792&amp;ISCONFIRM=0" TargetMode="External"/><Relationship Id="rId7431" Type="http://schemas.openxmlformats.org/officeDocument/2006/relationships/hyperlink" Target="https://pld.live/RapDetail.aspx?STONELIST=924590279&amp;ISCONFIRM=0" TargetMode="External"/><Relationship Id="rId895" Type="http://schemas.openxmlformats.org/officeDocument/2006/relationships/hyperlink" Target="https://pld.live/RapDetail.aspx?STONELIST=925430160&amp;ISCONFIRM=0" TargetMode="External"/><Relationship Id="rId2576" Type="http://schemas.openxmlformats.org/officeDocument/2006/relationships/hyperlink" Target="https://pld.live/RapDetail.aspx?STONELIST=926440883&amp;ISCONFIRM=0" TargetMode="External"/><Relationship Id="rId2990" Type="http://schemas.openxmlformats.org/officeDocument/2006/relationships/hyperlink" Target="https://pld.live/RapDetail.aspx?STONELIST=821128379&amp;ISCONFIRM=0" TargetMode="External"/><Relationship Id="rId3627" Type="http://schemas.openxmlformats.org/officeDocument/2006/relationships/hyperlink" Target="https://pld.live/RapDetail.aspx?STONELIST=831020567&amp;ISCONFIRM=0" TargetMode="External"/><Relationship Id="rId6033" Type="http://schemas.openxmlformats.org/officeDocument/2006/relationships/hyperlink" Target="https://pld.live/RapDetail.aspx?STONELIST=924390500&amp;ISCONFIRM=0" TargetMode="External"/><Relationship Id="rId548" Type="http://schemas.openxmlformats.org/officeDocument/2006/relationships/hyperlink" Target="https://pld.live/RapDetail.aspx?STONELIST=924700057&amp;ISCONFIRM=0" TargetMode="External"/><Relationship Id="rId962" Type="http://schemas.openxmlformats.org/officeDocument/2006/relationships/hyperlink" Target="https://pld.live/RapDetail.aspx?STONELIST=926100835&amp;ISCONFIRM=0" TargetMode="External"/><Relationship Id="rId1178" Type="http://schemas.openxmlformats.org/officeDocument/2006/relationships/hyperlink" Target="https://pld.live/RapDetail.aspx?STONELIST=926831139&amp;ISCONFIRM=0" TargetMode="External"/><Relationship Id="rId1592" Type="http://schemas.openxmlformats.org/officeDocument/2006/relationships/hyperlink" Target="https://pld.live/RapDetail.aspx?STONELIST=926930775&amp;ISCONFIRM=0" TargetMode="External"/><Relationship Id="rId2229" Type="http://schemas.openxmlformats.org/officeDocument/2006/relationships/hyperlink" Target="https://pld.live/RapDetail.aspx?STONELIST=926180992&amp;ISCONFIRM=0" TargetMode="External"/><Relationship Id="rId2643" Type="http://schemas.openxmlformats.org/officeDocument/2006/relationships/hyperlink" Target="https://pld.live/RapDetail.aspx?STONELIST=926391285&amp;ISCONFIRM=0" TargetMode="External"/><Relationship Id="rId5799" Type="http://schemas.openxmlformats.org/officeDocument/2006/relationships/hyperlink" Target="https://pld.live/RapDetail.aspx?STONELIST=926820139&amp;ISCONFIRM=0" TargetMode="External"/><Relationship Id="rId6100" Type="http://schemas.openxmlformats.org/officeDocument/2006/relationships/hyperlink" Target="https://pld.live/RapDetail.aspx?STONELIST=926420431&amp;ISCONFIRM=0" TargetMode="External"/><Relationship Id="rId615" Type="http://schemas.openxmlformats.org/officeDocument/2006/relationships/hyperlink" Target="https://pld.live/RapDetail.aspx?STONELIST=925861859&amp;ISCONFIRM=0" TargetMode="External"/><Relationship Id="rId1245" Type="http://schemas.openxmlformats.org/officeDocument/2006/relationships/hyperlink" Target="https://pld.live/RapDetail.aspx?STONELIST=926211233&amp;ISCONFIRM=0" TargetMode="External"/><Relationship Id="rId1312" Type="http://schemas.openxmlformats.org/officeDocument/2006/relationships/hyperlink" Target="https://pld.live/RapDetail.aspx?STONELIST=927051767&amp;ISCONFIRM=0" TargetMode="External"/><Relationship Id="rId2710" Type="http://schemas.openxmlformats.org/officeDocument/2006/relationships/hyperlink" Target="https://pld.live/RapDetail.aspx?STONELIST=923130003&amp;ISCONFIRM=0" TargetMode="External"/><Relationship Id="rId4468" Type="http://schemas.openxmlformats.org/officeDocument/2006/relationships/hyperlink" Target="https://pld.live/RapDetail.aspx?STONELIST=924740209&amp;ISCONFIRM=0" TargetMode="External"/><Relationship Id="rId5866" Type="http://schemas.openxmlformats.org/officeDocument/2006/relationships/hyperlink" Target="https://pld.live/RapDetail.aspx?STONELIST=925801723&amp;ISCONFIRM=0" TargetMode="External"/><Relationship Id="rId6917" Type="http://schemas.openxmlformats.org/officeDocument/2006/relationships/hyperlink" Target="https://pld.live/RapDetail.aspx?STONELIST=821113227&amp;ISCONFIRM=0" TargetMode="External"/><Relationship Id="rId4882" Type="http://schemas.openxmlformats.org/officeDocument/2006/relationships/hyperlink" Target="https://pld.live/RapDetail.aspx?STONELIST=926200735&amp;ISCONFIRM=0" TargetMode="External"/><Relationship Id="rId5519" Type="http://schemas.openxmlformats.org/officeDocument/2006/relationships/hyperlink" Target="https://pld.live/RapDetail.aspx?STONELIST=926680890&amp;ISCONFIRM=0" TargetMode="External"/><Relationship Id="rId5933" Type="http://schemas.openxmlformats.org/officeDocument/2006/relationships/hyperlink" Target="https://pld.live/RapDetail.aspx?STONELIST=925951319&amp;ISCONFIRM=0" TargetMode="External"/><Relationship Id="rId2086" Type="http://schemas.openxmlformats.org/officeDocument/2006/relationships/hyperlink" Target="https://pld.live/RapDetail.aspx?STONELIST=925180144&amp;ISCONFIRM=0" TargetMode="External"/><Relationship Id="rId3484" Type="http://schemas.openxmlformats.org/officeDocument/2006/relationships/hyperlink" Target="https://pld.live/RapDetail.aspx?STONELIST=924290524&amp;ISCONFIRM=0" TargetMode="External"/><Relationship Id="rId4535" Type="http://schemas.openxmlformats.org/officeDocument/2006/relationships/hyperlink" Target="https://pld.live/RapDetail.aspx?STONELIST=925120359&amp;ISCONFIRM=0" TargetMode="External"/><Relationship Id="rId3137" Type="http://schemas.openxmlformats.org/officeDocument/2006/relationships/hyperlink" Target="https://pld.live/RapDetail.aspx?STONELIST=926210608&amp;ISCONFIRM=0" TargetMode="External"/><Relationship Id="rId3551" Type="http://schemas.openxmlformats.org/officeDocument/2006/relationships/hyperlink" Target="https://pld.live/RapDetail.aspx?STONELIST=924120050&amp;ISCONFIRM=0" TargetMode="External"/><Relationship Id="rId4602" Type="http://schemas.openxmlformats.org/officeDocument/2006/relationships/hyperlink" Target="https://pld.live/RapDetail.aspx?STONELIST=927101427&amp;ISCONFIRM=0" TargetMode="External"/><Relationship Id="rId7758" Type="http://schemas.openxmlformats.org/officeDocument/2006/relationships/hyperlink" Target="https://pld.live/RapDetail.aspx?STONELIST=926470417&amp;ISCONFIRM=0" TargetMode="External"/><Relationship Id="rId472" Type="http://schemas.openxmlformats.org/officeDocument/2006/relationships/hyperlink" Target="https://pld.live/RapDetail.aspx?STONELIST=925270283&amp;ISCONFIRM=0" TargetMode="External"/><Relationship Id="rId2153" Type="http://schemas.openxmlformats.org/officeDocument/2006/relationships/hyperlink" Target="https://pld.live/RapDetail.aspx?STONELIST=924560160&amp;ISCONFIRM=0" TargetMode="External"/><Relationship Id="rId3204" Type="http://schemas.openxmlformats.org/officeDocument/2006/relationships/hyperlink" Target="https://pld.live/RapDetail.aspx?STONELIST=926220691&amp;ISCONFIRM=0" TargetMode="External"/><Relationship Id="rId6774" Type="http://schemas.openxmlformats.org/officeDocument/2006/relationships/hyperlink" Target="https://pld.live/RapDetail.aspx?STONELIST=922420045&amp;ISCONFIRM=0" TargetMode="External"/><Relationship Id="rId7825" Type="http://schemas.openxmlformats.org/officeDocument/2006/relationships/hyperlink" Target="https://pld.live/RapDetail.aspx?STONELIST=927131198&amp;ISCONFIRM=0" TargetMode="External"/><Relationship Id="rId125" Type="http://schemas.openxmlformats.org/officeDocument/2006/relationships/hyperlink" Target="https://pld.live/RapDetail.aspx?STONELIST=941100466&amp;ISCONFIRM=0" TargetMode="External"/><Relationship Id="rId2220" Type="http://schemas.openxmlformats.org/officeDocument/2006/relationships/hyperlink" Target="https://pld.live/RapDetail.aspx?STONELIST=920661272&amp;ISCONFIRM=0" TargetMode="External"/><Relationship Id="rId5376" Type="http://schemas.openxmlformats.org/officeDocument/2006/relationships/hyperlink" Target="https://pld.live/RapDetail.aspx?STONELIST=926631367&amp;ISCONFIRM=0" TargetMode="External"/><Relationship Id="rId5790" Type="http://schemas.openxmlformats.org/officeDocument/2006/relationships/hyperlink" Target="https://pld.live/RapDetail.aspx?STONELIST=927151130&amp;ISCONFIRM=0" TargetMode="External"/><Relationship Id="rId6427" Type="http://schemas.openxmlformats.org/officeDocument/2006/relationships/hyperlink" Target="https://pld.live/RapDetail.aspx?STONELIST=926700896&amp;ISCONFIRM=0" TargetMode="External"/><Relationship Id="rId4392" Type="http://schemas.openxmlformats.org/officeDocument/2006/relationships/hyperlink" Target="https://pld.live/RapDetail.aspx?STONELIST=926270115&amp;ISCONFIRM=0" TargetMode="External"/><Relationship Id="rId5029" Type="http://schemas.openxmlformats.org/officeDocument/2006/relationships/hyperlink" Target="https://pld.live/RapDetail.aspx?STONELIST=926200873&amp;ISCONFIRM=0" TargetMode="External"/><Relationship Id="rId5443" Type="http://schemas.openxmlformats.org/officeDocument/2006/relationships/hyperlink" Target="https://pld.live/RapDetail.aspx?STONELIST=831010553&amp;ISCONFIRM=0" TargetMode="External"/><Relationship Id="rId6841" Type="http://schemas.openxmlformats.org/officeDocument/2006/relationships/hyperlink" Target="https://pld.live/RapDetail.aspx?STONELIST=926560320&amp;ISCONFIRM=0" TargetMode="External"/><Relationship Id="rId1986" Type="http://schemas.openxmlformats.org/officeDocument/2006/relationships/hyperlink" Target="https://pld.live/RapDetail.aspx?STONELIST=924540061&amp;ISCONFIRM=0" TargetMode="External"/><Relationship Id="rId4045" Type="http://schemas.openxmlformats.org/officeDocument/2006/relationships/hyperlink" Target="https://pld.live/RapDetail.aspx?STONELIST=925731979&amp;ISCONFIRM=0" TargetMode="External"/><Relationship Id="rId1639" Type="http://schemas.openxmlformats.org/officeDocument/2006/relationships/hyperlink" Target="https://pld.live/RapDetail.aspx?STONELIST=924960159&amp;ISCONFIRM=0" TargetMode="External"/><Relationship Id="rId3061" Type="http://schemas.openxmlformats.org/officeDocument/2006/relationships/hyperlink" Target="https://pld.live/RapDetail.aspx?STONELIST=925900594&amp;ISCONFIRM=0" TargetMode="External"/><Relationship Id="rId5510" Type="http://schemas.openxmlformats.org/officeDocument/2006/relationships/hyperlink" Target="https://pld.live/RapDetail.aspx?STONELIST=925360395&amp;ISCONFIRM=0" TargetMode="External"/><Relationship Id="rId1706" Type="http://schemas.openxmlformats.org/officeDocument/2006/relationships/hyperlink" Target="https://pld.live/RapDetail.aspx?STONELIST=926690816&amp;ISCONFIRM=0" TargetMode="External"/><Relationship Id="rId4112" Type="http://schemas.openxmlformats.org/officeDocument/2006/relationships/hyperlink" Target="https://pld.live/RapDetail.aspx?STONELIST=925110378&amp;ISCONFIRM=0" TargetMode="External"/><Relationship Id="rId7268" Type="http://schemas.openxmlformats.org/officeDocument/2006/relationships/hyperlink" Target="https://pld.live/RapDetail.aspx?STONELIST=927030804&amp;ISCONFIRM=0" TargetMode="External"/><Relationship Id="rId7682" Type="http://schemas.openxmlformats.org/officeDocument/2006/relationships/hyperlink" Target="https://pld.live/RapDetail.aspx?STONELIST=941270802&amp;ISCONFIRM=0" TargetMode="External"/><Relationship Id="rId3878" Type="http://schemas.openxmlformats.org/officeDocument/2006/relationships/hyperlink" Target="https://pld.live/RapDetail.aspx?STONELIST=925540078&amp;ISCONFIRM=0" TargetMode="External"/><Relationship Id="rId4929" Type="http://schemas.openxmlformats.org/officeDocument/2006/relationships/hyperlink" Target="https://pld.live/RapDetail.aspx?STONELIST=926200086&amp;ISCONFIRM=0" TargetMode="External"/><Relationship Id="rId6284" Type="http://schemas.openxmlformats.org/officeDocument/2006/relationships/hyperlink" Target="https://pld.live/RapDetail.aspx?STONELIST=924940245&amp;ISCONFIRM=0" TargetMode="External"/><Relationship Id="rId7335" Type="http://schemas.openxmlformats.org/officeDocument/2006/relationships/hyperlink" Target="https://pld.live/RapDetail.aspx?STONELIST=925630391&amp;ISCONFIRM=0" TargetMode="External"/><Relationship Id="rId799" Type="http://schemas.openxmlformats.org/officeDocument/2006/relationships/hyperlink" Target="https://pld.live/RapDetail.aspx?STONELIST=821127604&amp;ISCONFIRM=0" TargetMode="External"/><Relationship Id="rId2894" Type="http://schemas.openxmlformats.org/officeDocument/2006/relationships/hyperlink" Target="https://pld.live/RapDetail.aspx?STONELIST=925862032&amp;ISCONFIRM=0" TargetMode="External"/><Relationship Id="rId6351" Type="http://schemas.openxmlformats.org/officeDocument/2006/relationships/hyperlink" Target="https://pld.live/RapDetail.aspx?STONELIST=924610097&amp;ISCONFIRM=0" TargetMode="External"/><Relationship Id="rId7402" Type="http://schemas.openxmlformats.org/officeDocument/2006/relationships/hyperlink" Target="https://pld.live/RapDetail.aspx?STONELIST=925060385&amp;ISCONFIRM=0" TargetMode="External"/><Relationship Id="rId866" Type="http://schemas.openxmlformats.org/officeDocument/2006/relationships/hyperlink" Target="https://pld.live/RapDetail.aspx?STONELIST=821127460&amp;ISCONFIRM=0" TargetMode="External"/><Relationship Id="rId1496" Type="http://schemas.openxmlformats.org/officeDocument/2006/relationships/hyperlink" Target="https://pld.live/RapDetail.aspx?STONELIST=925750181&amp;ISCONFIRM=0" TargetMode="External"/><Relationship Id="rId2547" Type="http://schemas.openxmlformats.org/officeDocument/2006/relationships/hyperlink" Target="https://pld.live/RapDetail.aspx?STONELIST=926341361&amp;ISCONFIRM=0" TargetMode="External"/><Relationship Id="rId3945" Type="http://schemas.openxmlformats.org/officeDocument/2006/relationships/hyperlink" Target="https://pld.live/RapDetail.aspx?STONELIST=925960789&amp;ISCONFIRM=0" TargetMode="External"/><Relationship Id="rId6004" Type="http://schemas.openxmlformats.org/officeDocument/2006/relationships/hyperlink" Target="https://pld.live/RapDetail.aspx?STONELIST=924410827&amp;ISCONFIRM=0" TargetMode="External"/><Relationship Id="rId519" Type="http://schemas.openxmlformats.org/officeDocument/2006/relationships/hyperlink" Target="https://pld.live/RapDetail.aspx?STONELIST=925520055&amp;ISCONFIRM=0" TargetMode="External"/><Relationship Id="rId1149" Type="http://schemas.openxmlformats.org/officeDocument/2006/relationships/hyperlink" Target="https://pld.live/RapDetail.aspx?STONELIST=926831093&amp;ISCONFIRM=0" TargetMode="External"/><Relationship Id="rId2961" Type="http://schemas.openxmlformats.org/officeDocument/2006/relationships/hyperlink" Target="https://pld.live/RapDetail.aspx?STONELIST=925900589&amp;ISCONFIRM=0" TargetMode="External"/><Relationship Id="rId5020" Type="http://schemas.openxmlformats.org/officeDocument/2006/relationships/hyperlink" Target="https://pld.live/RapDetail.aspx?STONELIST=925060415&amp;ISCONFIRM=0" TargetMode="External"/><Relationship Id="rId8176" Type="http://schemas.openxmlformats.org/officeDocument/2006/relationships/hyperlink" Target="https://pld.live/RapDetail.aspx?STONELIST=924410822&amp;ISCONFIRM=0" TargetMode="External"/><Relationship Id="rId933" Type="http://schemas.openxmlformats.org/officeDocument/2006/relationships/hyperlink" Target="https://pld.live/RapDetail.aspx?STONELIST=821127447&amp;ISCONFIRM=0" TargetMode="External"/><Relationship Id="rId1563" Type="http://schemas.openxmlformats.org/officeDocument/2006/relationships/hyperlink" Target="https://pld.live/RapDetail.aspx?STONELIST=821125871&amp;ISCONFIRM=0" TargetMode="External"/><Relationship Id="rId2614" Type="http://schemas.openxmlformats.org/officeDocument/2006/relationships/hyperlink" Target="https://pld.live/RapDetail.aspx?STONELIST=926171545&amp;ISCONFIRM=0" TargetMode="External"/><Relationship Id="rId7192" Type="http://schemas.openxmlformats.org/officeDocument/2006/relationships/hyperlink" Target="https://pld.live/RapDetail.aspx?STONELIST=941110556&amp;ISCONFIRM=0" TargetMode="External"/><Relationship Id="rId1216" Type="http://schemas.openxmlformats.org/officeDocument/2006/relationships/hyperlink" Target="https://pld.live/RapDetail.aspx?STONELIST=925900336&amp;ISCONFIRM=0" TargetMode="External"/><Relationship Id="rId1630" Type="http://schemas.openxmlformats.org/officeDocument/2006/relationships/hyperlink" Target="https://pld.live/RapDetail.aspx?STONELIST=925030056&amp;ISCONFIRM=0" TargetMode="External"/><Relationship Id="rId4786" Type="http://schemas.openxmlformats.org/officeDocument/2006/relationships/hyperlink" Target="https://pld.live/RapDetail.aspx?STONELIST=925060273&amp;ISCONFIRM=0" TargetMode="External"/><Relationship Id="rId5837" Type="http://schemas.openxmlformats.org/officeDocument/2006/relationships/hyperlink" Target="https://pld.live/RapDetail.aspx?STONELIST=923980395&amp;ISCONFIRM=0" TargetMode="External"/><Relationship Id="rId8243" Type="http://schemas.openxmlformats.org/officeDocument/2006/relationships/hyperlink" Target="https://pld.live/RapDetail.aspx?STONELIST=925160028&amp;ISCONFIRM=0" TargetMode="External"/><Relationship Id="rId3388" Type="http://schemas.openxmlformats.org/officeDocument/2006/relationships/hyperlink" Target="https://pld.live/RapDetail.aspx?STONELIST=926071887&amp;ISCONFIRM=0" TargetMode="External"/><Relationship Id="rId4439" Type="http://schemas.openxmlformats.org/officeDocument/2006/relationships/hyperlink" Target="https://pld.live/RapDetail.aspx?STONELIST=920470396&amp;ISCONFIRM=0" TargetMode="External"/><Relationship Id="rId4853" Type="http://schemas.openxmlformats.org/officeDocument/2006/relationships/hyperlink" Target="https://pld.live/RapDetail.aspx?STONELIST=926020596&amp;ISCONFIRM=0" TargetMode="External"/><Relationship Id="rId5904" Type="http://schemas.openxmlformats.org/officeDocument/2006/relationships/hyperlink" Target="https://pld.live/RapDetail.aspx?STONELIST=925801672&amp;ISCONFIRM=0" TargetMode="External"/><Relationship Id="rId3455" Type="http://schemas.openxmlformats.org/officeDocument/2006/relationships/hyperlink" Target="https://pld.live/RapDetail.aspx?STONELIST=925542696&amp;ISCONFIRM=0" TargetMode="External"/><Relationship Id="rId4506" Type="http://schemas.openxmlformats.org/officeDocument/2006/relationships/hyperlink" Target="https://pld.live/RapDetail.aspx?STONELIST=926220562&amp;ISCONFIRM=0" TargetMode="External"/><Relationship Id="rId376" Type="http://schemas.openxmlformats.org/officeDocument/2006/relationships/hyperlink" Target="https://pld.live/RapDetail.aspx?STONELIST=941400463&amp;ISCONFIRM=0" TargetMode="External"/><Relationship Id="rId790" Type="http://schemas.openxmlformats.org/officeDocument/2006/relationships/hyperlink" Target="https://pld.live/RapDetail.aspx?STONELIST=925801850&amp;ISCONFIRM=0" TargetMode="External"/><Relationship Id="rId2057" Type="http://schemas.openxmlformats.org/officeDocument/2006/relationships/hyperlink" Target="https://pld.live/RapDetail.aspx?STONELIST=924570501&amp;ISCONFIRM=0" TargetMode="External"/><Relationship Id="rId2471" Type="http://schemas.openxmlformats.org/officeDocument/2006/relationships/hyperlink" Target="https://pld.live/RapDetail.aspx?STONELIST=941360538&amp;ISCONFIRM=0" TargetMode="External"/><Relationship Id="rId3108" Type="http://schemas.openxmlformats.org/officeDocument/2006/relationships/hyperlink" Target="https://pld.live/RapDetail.aspx?STONELIST=923990376&amp;ISCONFIRM=0" TargetMode="External"/><Relationship Id="rId3522" Type="http://schemas.openxmlformats.org/officeDocument/2006/relationships/hyperlink" Target="https://pld.live/RapDetail.aspx?STONELIST=926210579&amp;ISCONFIRM=0" TargetMode="External"/><Relationship Id="rId4920" Type="http://schemas.openxmlformats.org/officeDocument/2006/relationships/hyperlink" Target="https://pld.live/RapDetail.aspx?STONELIST=926101425&amp;ISCONFIRM=0" TargetMode="External"/><Relationship Id="rId6678" Type="http://schemas.openxmlformats.org/officeDocument/2006/relationships/hyperlink" Target="https://pld.live/RapDetail.aspx?STONELIST=927140435&amp;ISCONFIRM=0" TargetMode="External"/><Relationship Id="rId7729" Type="http://schemas.openxmlformats.org/officeDocument/2006/relationships/hyperlink" Target="https://pld.live/RapDetail.aspx?STONELIST=927170009&amp;ISCONFIRM=0" TargetMode="External"/><Relationship Id="rId443" Type="http://schemas.openxmlformats.org/officeDocument/2006/relationships/hyperlink" Target="https://pld.live/RapDetail.aspx?STONELIST=831010007&amp;ISCONFIRM=0" TargetMode="External"/><Relationship Id="rId1073" Type="http://schemas.openxmlformats.org/officeDocument/2006/relationships/hyperlink" Target="https://pld.live/RapDetail.aspx?STONELIST=927101085&amp;ISCONFIRM=0" TargetMode="External"/><Relationship Id="rId2124" Type="http://schemas.openxmlformats.org/officeDocument/2006/relationships/hyperlink" Target="https://pld.live/RapDetail.aspx?STONELIST=920661311&amp;ISCONFIRM=0" TargetMode="External"/><Relationship Id="rId1140" Type="http://schemas.openxmlformats.org/officeDocument/2006/relationships/hyperlink" Target="https://pld.live/RapDetail.aspx?STONELIST=926831011&amp;ISCONFIRM=0" TargetMode="External"/><Relationship Id="rId4296" Type="http://schemas.openxmlformats.org/officeDocument/2006/relationships/hyperlink" Target="https://pld.live/RapDetail.aspx?STONELIST=927092190&amp;ISCONFIRM=0" TargetMode="External"/><Relationship Id="rId5694" Type="http://schemas.openxmlformats.org/officeDocument/2006/relationships/hyperlink" Target="https://pld.live/RapDetail.aspx?STONELIST=923480542&amp;ISCONFIRM=0" TargetMode="External"/><Relationship Id="rId6745" Type="http://schemas.openxmlformats.org/officeDocument/2006/relationships/hyperlink" Target="https://pld.live/RapDetail.aspx?STONELIST=927132470&amp;ISCONFIRM=0" TargetMode="External"/><Relationship Id="rId510" Type="http://schemas.openxmlformats.org/officeDocument/2006/relationships/hyperlink" Target="https://pld.live/RapDetail.aspx?STONELIST=925190060&amp;ISCONFIRM=0" TargetMode="External"/><Relationship Id="rId5347" Type="http://schemas.openxmlformats.org/officeDocument/2006/relationships/hyperlink" Target="https://pld.live/RapDetail.aspx?STONELIST=831010522&amp;ISCONFIRM=0" TargetMode="External"/><Relationship Id="rId5761" Type="http://schemas.openxmlformats.org/officeDocument/2006/relationships/hyperlink" Target="https://pld.live/RapDetail.aspx?STONELIST=926180822&amp;ISCONFIRM=0" TargetMode="External"/><Relationship Id="rId6812" Type="http://schemas.openxmlformats.org/officeDocument/2006/relationships/hyperlink" Target="https://pld.live/RapDetail.aspx?STONELIST=924250768&amp;ISCONFIRM=0" TargetMode="External"/><Relationship Id="rId1957" Type="http://schemas.openxmlformats.org/officeDocument/2006/relationships/hyperlink" Target="https://pld.live/RapDetail.aspx?STONELIST=941380438&amp;ISCONFIRM=0" TargetMode="External"/><Relationship Id="rId4363" Type="http://schemas.openxmlformats.org/officeDocument/2006/relationships/hyperlink" Target="https://pld.live/RapDetail.aspx?STONELIST=926210539&amp;ISCONFIRM=0" TargetMode="External"/><Relationship Id="rId5414" Type="http://schemas.openxmlformats.org/officeDocument/2006/relationships/hyperlink" Target="https://pld.live/RapDetail.aspx?STONELIST=941050422&amp;ISCONFIRM=0" TargetMode="External"/><Relationship Id="rId4016" Type="http://schemas.openxmlformats.org/officeDocument/2006/relationships/hyperlink" Target="https://pld.live/RapDetail.aspx?STONELIST=821125139&amp;ISCONFIRM=0" TargetMode="External"/><Relationship Id="rId4430" Type="http://schemas.openxmlformats.org/officeDocument/2006/relationships/hyperlink" Target="https://pld.live/RapDetail.aspx?STONELIST=925280378&amp;ISCONFIRM=0" TargetMode="External"/><Relationship Id="rId7586" Type="http://schemas.openxmlformats.org/officeDocument/2006/relationships/hyperlink" Target="https://pld.live/RapDetail.aspx?STONELIST=925731522&amp;ISCONFIRM=0" TargetMode="External"/><Relationship Id="rId3032" Type="http://schemas.openxmlformats.org/officeDocument/2006/relationships/hyperlink" Target="https://pld.live/RapDetail.aspx?STONELIST=925900574&amp;ISCONFIRM=0" TargetMode="External"/><Relationship Id="rId6188" Type="http://schemas.openxmlformats.org/officeDocument/2006/relationships/hyperlink" Target="https://pld.live/RapDetail.aspx?STONELIST=941060553&amp;ISCONFIRM=0" TargetMode="External"/><Relationship Id="rId7239" Type="http://schemas.openxmlformats.org/officeDocument/2006/relationships/hyperlink" Target="https://pld.live/RapDetail.aspx?STONELIST=925700264&amp;ISCONFIRM=0" TargetMode="External"/><Relationship Id="rId7653" Type="http://schemas.openxmlformats.org/officeDocument/2006/relationships/hyperlink" Target="https://pld.live/RapDetail.aspx?STONELIST=941260978&amp;ISCONFIRM=0" TargetMode="External"/><Relationship Id="rId6255" Type="http://schemas.openxmlformats.org/officeDocument/2006/relationships/hyperlink" Target="https://pld.live/RapDetail.aspx?STONELIST=821133312&amp;ISCONFIRM=0" TargetMode="External"/><Relationship Id="rId7306" Type="http://schemas.openxmlformats.org/officeDocument/2006/relationships/hyperlink" Target="https://pld.live/RapDetail.aspx?STONELIST=924260814&amp;ISCONFIRM=0" TargetMode="External"/><Relationship Id="rId2798" Type="http://schemas.openxmlformats.org/officeDocument/2006/relationships/hyperlink" Target="https://pld.live/RapDetail.aspx?STONELIST=926201151&amp;ISCONFIRM=0" TargetMode="External"/><Relationship Id="rId3849" Type="http://schemas.openxmlformats.org/officeDocument/2006/relationships/hyperlink" Target="https://pld.live/RapDetail.aspx?STONELIST=926200300&amp;ISCONFIRM=0" TargetMode="External"/><Relationship Id="rId5271" Type="http://schemas.openxmlformats.org/officeDocument/2006/relationships/hyperlink" Target="https://pld.live/RapDetail.aspx?STONELIST=926291349&amp;ISCONFIRM=0" TargetMode="External"/><Relationship Id="rId7720" Type="http://schemas.openxmlformats.org/officeDocument/2006/relationships/hyperlink" Target="https://pld.live/RapDetail.aspx?STONELIST=926470426&amp;ISCONFIRM=0" TargetMode="External"/><Relationship Id="rId2865" Type="http://schemas.openxmlformats.org/officeDocument/2006/relationships/hyperlink" Target="https://pld.live/RapDetail.aspx?STONELIST=926200719&amp;ISCONFIRM=0" TargetMode="External"/><Relationship Id="rId3916" Type="http://schemas.openxmlformats.org/officeDocument/2006/relationships/hyperlink" Target="https://pld.live/RapDetail.aspx?STONELIST=821124248&amp;ISCONFIRM=0" TargetMode="External"/><Relationship Id="rId6322" Type="http://schemas.openxmlformats.org/officeDocument/2006/relationships/hyperlink" Target="https://pld.live/RapDetail.aspx?STONELIST=927040802&amp;ISCONFIRM=0" TargetMode="External"/><Relationship Id="rId837" Type="http://schemas.openxmlformats.org/officeDocument/2006/relationships/hyperlink" Target="https://pld.live/RapDetail.aspx?STONELIST=925890316&amp;ISCONFIRM=0" TargetMode="External"/><Relationship Id="rId1467" Type="http://schemas.openxmlformats.org/officeDocument/2006/relationships/hyperlink" Target="https://pld.live/RapDetail.aspx?STONELIST=925900547&amp;ISCONFIRM=0" TargetMode="External"/><Relationship Id="rId1881" Type="http://schemas.openxmlformats.org/officeDocument/2006/relationships/hyperlink" Target="https://pld.live/RapDetail.aspx?STONELIST=926801293&amp;ISCONFIRM=0" TargetMode="External"/><Relationship Id="rId2518" Type="http://schemas.openxmlformats.org/officeDocument/2006/relationships/hyperlink" Target="https://pld.live/RapDetail.aspx?STONELIST=926191044&amp;ISCONFIRM=0" TargetMode="External"/><Relationship Id="rId2932" Type="http://schemas.openxmlformats.org/officeDocument/2006/relationships/hyperlink" Target="https://pld.live/RapDetail.aspx?STONELIST=925900597&amp;ISCONFIRM=0" TargetMode="External"/><Relationship Id="rId904" Type="http://schemas.openxmlformats.org/officeDocument/2006/relationships/hyperlink" Target="https://pld.live/RapDetail.aspx?STONELIST=925961083&amp;ISCONFIRM=0" TargetMode="External"/><Relationship Id="rId1534" Type="http://schemas.openxmlformats.org/officeDocument/2006/relationships/hyperlink" Target="https://pld.live/RapDetail.aspx?STONELIST=925791074&amp;ISCONFIRM=0" TargetMode="External"/><Relationship Id="rId7096" Type="http://schemas.openxmlformats.org/officeDocument/2006/relationships/hyperlink" Target="https://pld.live/RapDetail.aspx?STONELIST=927092595&amp;ISCONFIRM=0" TargetMode="External"/><Relationship Id="rId8147" Type="http://schemas.openxmlformats.org/officeDocument/2006/relationships/hyperlink" Target="https://pld.live/RapDetail.aspx?STONELIST=941160540&amp;ISCONFIRM=0" TargetMode="External"/><Relationship Id="rId1601" Type="http://schemas.openxmlformats.org/officeDocument/2006/relationships/hyperlink" Target="https://pld.live/RapDetail.aspx?STONELIST=927130715&amp;ISCONFIRM=0" TargetMode="External"/><Relationship Id="rId4757" Type="http://schemas.openxmlformats.org/officeDocument/2006/relationships/hyperlink" Target="https://pld.live/RapDetail.aspx?STONELIST=926420173&amp;ISCONFIRM=0" TargetMode="External"/><Relationship Id="rId7163" Type="http://schemas.openxmlformats.org/officeDocument/2006/relationships/hyperlink" Target="https://pld.live/RapDetail.aspx?STONELIST=821133310&amp;ISCONFIRM=0" TargetMode="External"/><Relationship Id="rId8214" Type="http://schemas.openxmlformats.org/officeDocument/2006/relationships/hyperlink" Target="https://pld.live/RapDetail.aspx?STONELIST=925961361&amp;ISCONFIRM=0" TargetMode="External"/><Relationship Id="rId3359" Type="http://schemas.openxmlformats.org/officeDocument/2006/relationships/hyperlink" Target="https://pld.live/RapDetail.aspx?STONELIST=831020669&amp;ISCONFIRM=0" TargetMode="External"/><Relationship Id="rId5808" Type="http://schemas.openxmlformats.org/officeDocument/2006/relationships/hyperlink" Target="https://pld.live/RapDetail.aspx?STONELIST=926860102&amp;ISCONFIRM=0" TargetMode="External"/><Relationship Id="rId7230" Type="http://schemas.openxmlformats.org/officeDocument/2006/relationships/hyperlink" Target="https://pld.live/RapDetail.aspx?STONELIST=821117988&amp;ISCONFIRM=0" TargetMode="External"/><Relationship Id="rId694" Type="http://schemas.openxmlformats.org/officeDocument/2006/relationships/hyperlink" Target="https://pld.live/RapDetail.aspx?STONELIST=925801580&amp;ISCONFIRM=0" TargetMode="External"/><Relationship Id="rId2375" Type="http://schemas.openxmlformats.org/officeDocument/2006/relationships/hyperlink" Target="https://pld.live/RapDetail.aspx?STONELIST=926321072&amp;ISCONFIRM=0" TargetMode="External"/><Relationship Id="rId3773" Type="http://schemas.openxmlformats.org/officeDocument/2006/relationships/hyperlink" Target="https://pld.live/RapDetail.aspx?STONELIST=941421242&amp;ISCONFIRM=0" TargetMode="External"/><Relationship Id="rId4824" Type="http://schemas.openxmlformats.org/officeDocument/2006/relationships/hyperlink" Target="https://pld.live/RapDetail.aspx?STONELIST=821115777&amp;ISCONFIRM=0" TargetMode="External"/><Relationship Id="rId347" Type="http://schemas.openxmlformats.org/officeDocument/2006/relationships/hyperlink" Target="https://pld.live/RapDetail.aspx?STONELIST=941110115&amp;ISCONFIRM=0" TargetMode="External"/><Relationship Id="rId2028" Type="http://schemas.openxmlformats.org/officeDocument/2006/relationships/hyperlink" Target="https://pld.live/RapDetail.aspx?STONELIST=924560117&amp;ISCONFIRM=0" TargetMode="External"/><Relationship Id="rId3426" Type="http://schemas.openxmlformats.org/officeDocument/2006/relationships/hyperlink" Target="https://pld.live/RapDetail.aspx?STONELIST=925521962&amp;ISCONFIRM=0" TargetMode="External"/><Relationship Id="rId3840" Type="http://schemas.openxmlformats.org/officeDocument/2006/relationships/hyperlink" Target="https://pld.live/RapDetail.aspx?STONELIST=927070623&amp;ISCONFIRM=0" TargetMode="External"/><Relationship Id="rId6996" Type="http://schemas.openxmlformats.org/officeDocument/2006/relationships/hyperlink" Target="https://pld.live/RapDetail.aspx?STONELIST=925551883&amp;ISCONFIRM=0" TargetMode="External"/><Relationship Id="rId761" Type="http://schemas.openxmlformats.org/officeDocument/2006/relationships/hyperlink" Target="https://pld.live/RapDetail.aspx?STONELIST=821127755&amp;ISCONFIRM=0" TargetMode="External"/><Relationship Id="rId1391" Type="http://schemas.openxmlformats.org/officeDocument/2006/relationships/hyperlink" Target="https://pld.live/RapDetail.aspx?STONELIST=926250612&amp;ISCONFIRM=0" TargetMode="External"/><Relationship Id="rId2442" Type="http://schemas.openxmlformats.org/officeDocument/2006/relationships/hyperlink" Target="https://pld.live/RapDetail.aspx?STONELIST=941190214&amp;ISCONFIRM=0" TargetMode="External"/><Relationship Id="rId5598" Type="http://schemas.openxmlformats.org/officeDocument/2006/relationships/hyperlink" Target="https://pld.live/RapDetail.aspx?STONELIST=924920421&amp;ISCONFIRM=0" TargetMode="External"/><Relationship Id="rId6649" Type="http://schemas.openxmlformats.org/officeDocument/2006/relationships/hyperlink" Target="https://pld.live/RapDetail.aspx?STONELIST=925851056&amp;ISCONFIRM=0" TargetMode="External"/><Relationship Id="rId414" Type="http://schemas.openxmlformats.org/officeDocument/2006/relationships/hyperlink" Target="https://pld.live/RapDetail.aspx?STONELIST=925800965&amp;ISCONFIRM=0" TargetMode="External"/><Relationship Id="rId1044" Type="http://schemas.openxmlformats.org/officeDocument/2006/relationships/hyperlink" Target="https://pld.live/RapDetail.aspx?STONELIST=941070972&amp;ISCONFIRM=0" TargetMode="External"/><Relationship Id="rId5665" Type="http://schemas.openxmlformats.org/officeDocument/2006/relationships/hyperlink" Target="https://pld.live/RapDetail.aspx?STONELIST=925620073&amp;ISCONFIRM=0" TargetMode="External"/><Relationship Id="rId6716" Type="http://schemas.openxmlformats.org/officeDocument/2006/relationships/hyperlink" Target="https://pld.live/RapDetail.aspx?STONELIST=927132517&amp;ISCONFIRM=0" TargetMode="External"/><Relationship Id="rId8071" Type="http://schemas.openxmlformats.org/officeDocument/2006/relationships/hyperlink" Target="https://pld.live/RapDetail.aspx?STONELIST=926400514&amp;ISCONFIRM=0" TargetMode="External"/><Relationship Id="rId1111" Type="http://schemas.openxmlformats.org/officeDocument/2006/relationships/hyperlink" Target="https://pld.live/RapDetail.aspx?STONELIST=927091874&amp;ISCONFIRM=0" TargetMode="External"/><Relationship Id="rId4267" Type="http://schemas.openxmlformats.org/officeDocument/2006/relationships/hyperlink" Target="https://pld.live/RapDetail.aspx?STONELIST=926311035&amp;ISCONFIRM=0" TargetMode="External"/><Relationship Id="rId4681" Type="http://schemas.openxmlformats.org/officeDocument/2006/relationships/hyperlink" Target="https://pld.live/RapDetail.aspx?STONELIST=925930173&amp;ISCONFIRM=0" TargetMode="External"/><Relationship Id="rId5318" Type="http://schemas.openxmlformats.org/officeDocument/2006/relationships/hyperlink" Target="https://pld.live/RapDetail.aspx?STONELIST=924290534&amp;ISCONFIRM=0" TargetMode="External"/><Relationship Id="rId5732" Type="http://schemas.openxmlformats.org/officeDocument/2006/relationships/hyperlink" Target="https://pld.live/RapDetail.aspx?STONELIST=925740794&amp;ISCONFIRM=0" TargetMode="External"/><Relationship Id="rId3283" Type="http://schemas.openxmlformats.org/officeDocument/2006/relationships/hyperlink" Target="https://pld.live/RapDetail.aspx?STONELIST=926120545&amp;ISCONFIRM=0" TargetMode="External"/><Relationship Id="rId4334" Type="http://schemas.openxmlformats.org/officeDocument/2006/relationships/hyperlink" Target="https://pld.live/RapDetail.aspx?STONELIST=941160605&amp;ISCONFIRM=0" TargetMode="External"/><Relationship Id="rId1928" Type="http://schemas.openxmlformats.org/officeDocument/2006/relationships/hyperlink" Target="https://pld.live/RapDetail.aspx?STONELIST=926321243&amp;ISCONFIRM=0" TargetMode="External"/><Relationship Id="rId3350" Type="http://schemas.openxmlformats.org/officeDocument/2006/relationships/hyperlink" Target="https://pld.live/RapDetail.aspx?STONELIST=925981264&amp;ISCONFIRM=0" TargetMode="External"/><Relationship Id="rId271" Type="http://schemas.openxmlformats.org/officeDocument/2006/relationships/hyperlink" Target="https://pld.live/RapDetail.aspx?STONELIST=831010787&amp;ISCONFIRM=0" TargetMode="External"/><Relationship Id="rId3003" Type="http://schemas.openxmlformats.org/officeDocument/2006/relationships/hyperlink" Target="https://pld.live/RapDetail.aspx?STONELIST=821128393&amp;ISCONFIRM=0" TargetMode="External"/><Relationship Id="rId4401" Type="http://schemas.openxmlformats.org/officeDocument/2006/relationships/hyperlink" Target="https://pld.live/RapDetail.aspx?STONELIST=821114108&amp;ISCONFIRM=0" TargetMode="External"/><Relationship Id="rId6159" Type="http://schemas.openxmlformats.org/officeDocument/2006/relationships/hyperlink" Target="https://pld.live/RapDetail.aspx?STONELIST=924380509&amp;ISCONFIRM=0" TargetMode="External"/><Relationship Id="rId7557" Type="http://schemas.openxmlformats.org/officeDocument/2006/relationships/hyperlink" Target="https://pld.live/RapDetail.aspx?STONELIST=925732241&amp;ISCONFIRM=0" TargetMode="External"/><Relationship Id="rId7971" Type="http://schemas.openxmlformats.org/officeDocument/2006/relationships/hyperlink" Target="https://pld.live/RapDetail.aspx?STONELIST=927092137&amp;ISCONFIRM=0" TargetMode="External"/><Relationship Id="rId6573" Type="http://schemas.openxmlformats.org/officeDocument/2006/relationships/hyperlink" Target="https://pld.live/RapDetail.aspx?STONELIST=927040800&amp;ISCONFIRM=0" TargetMode="External"/><Relationship Id="rId7624" Type="http://schemas.openxmlformats.org/officeDocument/2006/relationships/hyperlink" Target="https://pld.live/RapDetail.aspx?STONELIST=926311032&amp;ISCONFIRM=0" TargetMode="External"/><Relationship Id="rId2769" Type="http://schemas.openxmlformats.org/officeDocument/2006/relationships/hyperlink" Target="https://pld.live/RapDetail.aspx?STONELIST=925530117&amp;ISCONFIRM=0" TargetMode="External"/><Relationship Id="rId5175" Type="http://schemas.openxmlformats.org/officeDocument/2006/relationships/hyperlink" Target="https://pld.live/RapDetail.aspx?STONELIST=925860974&amp;ISCONFIRM=0" TargetMode="External"/><Relationship Id="rId6226" Type="http://schemas.openxmlformats.org/officeDocument/2006/relationships/hyperlink" Target="https://pld.live/RapDetail.aspx?STONELIST=941100677&amp;ISCONFIRM=0" TargetMode="External"/><Relationship Id="rId6640" Type="http://schemas.openxmlformats.org/officeDocument/2006/relationships/hyperlink" Target="https://pld.live/RapDetail.aspx?STONELIST=927092609&amp;ISCONFIRM=0" TargetMode="External"/><Relationship Id="rId1785" Type="http://schemas.openxmlformats.org/officeDocument/2006/relationships/hyperlink" Target="https://pld.live/RapDetail.aspx?STONELIST=941330282&amp;ISCONFIRM=0" TargetMode="External"/><Relationship Id="rId2836" Type="http://schemas.openxmlformats.org/officeDocument/2006/relationships/hyperlink" Target="https://pld.live/RapDetail.aspx?STONELIST=926171124&amp;ISCONFIRM=0" TargetMode="External"/><Relationship Id="rId4191" Type="http://schemas.openxmlformats.org/officeDocument/2006/relationships/hyperlink" Target="https://pld.live/RapDetail.aspx?STONELIST=925621807&amp;ISCONFIRM=0" TargetMode="External"/><Relationship Id="rId5242" Type="http://schemas.openxmlformats.org/officeDocument/2006/relationships/hyperlink" Target="https://pld.live/RapDetail.aspx?STONELIST=925940236&amp;ISCONFIRM=0" TargetMode="External"/><Relationship Id="rId77" Type="http://schemas.openxmlformats.org/officeDocument/2006/relationships/hyperlink" Target="https://pld.live/RapDetail.aspx?STONELIST=831020730&amp;ISCONFIRM=0" TargetMode="External"/><Relationship Id="rId808" Type="http://schemas.openxmlformats.org/officeDocument/2006/relationships/hyperlink" Target="https://pld.live/RapDetail.aspx?STONELIST=831010796&amp;ISCONFIRM=0" TargetMode="External"/><Relationship Id="rId1438" Type="http://schemas.openxmlformats.org/officeDocument/2006/relationships/hyperlink" Target="https://pld.live/RapDetail.aspx?STONELIST=925850861&amp;ISCONFIRM=0" TargetMode="External"/><Relationship Id="rId1852" Type="http://schemas.openxmlformats.org/officeDocument/2006/relationships/hyperlink" Target="https://pld.live/RapDetail.aspx?STONELIST=925330009&amp;ISCONFIRM=0" TargetMode="External"/><Relationship Id="rId2903" Type="http://schemas.openxmlformats.org/officeDocument/2006/relationships/hyperlink" Target="https://pld.live/RapDetail.aspx?STONELIST=925890645&amp;ISCONFIRM=0" TargetMode="External"/><Relationship Id="rId7067" Type="http://schemas.openxmlformats.org/officeDocument/2006/relationships/hyperlink" Target="https://pld.live/RapDetail.aspx?STONELIST=927101172&amp;ISCONFIRM=0" TargetMode="External"/><Relationship Id="rId7481" Type="http://schemas.openxmlformats.org/officeDocument/2006/relationships/hyperlink" Target="https://pld.live/RapDetail.aspx?STONELIST=925771189&amp;ISCONFIRM=0" TargetMode="External"/><Relationship Id="rId8118" Type="http://schemas.openxmlformats.org/officeDocument/2006/relationships/hyperlink" Target="https://pld.live/RapDetail.aspx?STONELIST=923580455&amp;ISCONFIRM=0" TargetMode="External"/><Relationship Id="rId1505" Type="http://schemas.openxmlformats.org/officeDocument/2006/relationships/hyperlink" Target="https://pld.live/RapDetail.aspx?STONELIST=927132412&amp;ISCONFIRM=0" TargetMode="External"/><Relationship Id="rId6083" Type="http://schemas.openxmlformats.org/officeDocument/2006/relationships/hyperlink" Target="https://pld.live/RapDetail.aspx?STONELIST=941180069&amp;ISCONFIRM=0" TargetMode="External"/><Relationship Id="rId7134" Type="http://schemas.openxmlformats.org/officeDocument/2006/relationships/hyperlink" Target="https://pld.live/RapDetail.aspx?STONELIST=941161014&amp;ISCONFIRM=0" TargetMode="External"/><Relationship Id="rId3677" Type="http://schemas.openxmlformats.org/officeDocument/2006/relationships/hyperlink" Target="https://pld.live/RapDetail.aspx?STONELIST=925680168&amp;ISCONFIRM=0" TargetMode="External"/><Relationship Id="rId4728" Type="http://schemas.openxmlformats.org/officeDocument/2006/relationships/hyperlink" Target="https://pld.live/RapDetail.aspx?STONELIST=925510214&amp;ISCONFIRM=0" TargetMode="External"/><Relationship Id="rId598" Type="http://schemas.openxmlformats.org/officeDocument/2006/relationships/hyperlink" Target="https://pld.live/RapDetail.aspx?STONELIST=925550089&amp;ISCONFIRM=0" TargetMode="External"/><Relationship Id="rId2279" Type="http://schemas.openxmlformats.org/officeDocument/2006/relationships/hyperlink" Target="https://pld.live/RapDetail.aspx?STONELIST=926240815&amp;ISCONFIRM=0" TargetMode="External"/><Relationship Id="rId2693" Type="http://schemas.openxmlformats.org/officeDocument/2006/relationships/hyperlink" Target="https://pld.live/RapDetail.aspx?STONELIST=920661415&amp;ISCONFIRM=0" TargetMode="External"/><Relationship Id="rId3744" Type="http://schemas.openxmlformats.org/officeDocument/2006/relationships/hyperlink" Target="https://pld.live/RapDetail.aspx?STONELIST=925560050&amp;ISCONFIRM=0" TargetMode="External"/><Relationship Id="rId6150" Type="http://schemas.openxmlformats.org/officeDocument/2006/relationships/hyperlink" Target="https://pld.live/RapDetail.aspx?STONELIST=926360038&amp;ISCONFIRM=0" TargetMode="External"/><Relationship Id="rId7201" Type="http://schemas.openxmlformats.org/officeDocument/2006/relationships/hyperlink" Target="https://pld.live/RapDetail.aspx?STONELIST=927070928&amp;ISCONFIRM=0" TargetMode="External"/><Relationship Id="rId665" Type="http://schemas.openxmlformats.org/officeDocument/2006/relationships/hyperlink" Target="https://pld.live/RapDetail.aspx?STONELIST=925430084&amp;ISCONFIRM=0" TargetMode="External"/><Relationship Id="rId1295" Type="http://schemas.openxmlformats.org/officeDocument/2006/relationships/hyperlink" Target="https://pld.live/RapDetail.aspx?STONELIST=941320734&amp;ISCONFIRM=0" TargetMode="External"/><Relationship Id="rId2346" Type="http://schemas.openxmlformats.org/officeDocument/2006/relationships/hyperlink" Target="https://pld.live/RapDetail.aspx?STONELIST=926301288&amp;ISCONFIRM=0" TargetMode="External"/><Relationship Id="rId2760" Type="http://schemas.openxmlformats.org/officeDocument/2006/relationships/hyperlink" Target="https://pld.live/RapDetail.aspx?STONELIST=927020674&amp;ISCONFIRM=0" TargetMode="External"/><Relationship Id="rId3811" Type="http://schemas.openxmlformats.org/officeDocument/2006/relationships/hyperlink" Target="https://pld.live/RapDetail.aspx?STONELIST=941100177&amp;ISCONFIRM=0" TargetMode="External"/><Relationship Id="rId6967" Type="http://schemas.openxmlformats.org/officeDocument/2006/relationships/hyperlink" Target="https://pld.live/RapDetail.aspx?STONELIST=925730800&amp;ISCONFIRM=0" TargetMode="External"/><Relationship Id="rId318" Type="http://schemas.openxmlformats.org/officeDocument/2006/relationships/hyperlink" Target="https://pld.live/RapDetail.aspx?STONELIST=941420955&amp;ISCONFIRM=0" TargetMode="External"/><Relationship Id="rId732" Type="http://schemas.openxmlformats.org/officeDocument/2006/relationships/hyperlink" Target="https://pld.live/RapDetail.aspx?STONELIST=821127663&amp;ISCONFIRM=0" TargetMode="External"/><Relationship Id="rId1362" Type="http://schemas.openxmlformats.org/officeDocument/2006/relationships/hyperlink" Target="https://pld.live/RapDetail.aspx?STONELIST=926250569&amp;ISCONFIRM=0" TargetMode="External"/><Relationship Id="rId2413" Type="http://schemas.openxmlformats.org/officeDocument/2006/relationships/hyperlink" Target="https://pld.live/RapDetail.aspx?STONELIST=926190923&amp;ISCONFIRM=0" TargetMode="External"/><Relationship Id="rId5569" Type="http://schemas.openxmlformats.org/officeDocument/2006/relationships/hyperlink" Target="https://pld.live/RapDetail.aspx?STONELIST=831010674&amp;ISCONFIRM=0" TargetMode="External"/><Relationship Id="rId1015" Type="http://schemas.openxmlformats.org/officeDocument/2006/relationships/hyperlink" Target="https://pld.live/RapDetail.aspx?STONELIST=927101020&amp;ISCONFIRM=0" TargetMode="External"/><Relationship Id="rId4585" Type="http://schemas.openxmlformats.org/officeDocument/2006/relationships/hyperlink" Target="https://pld.live/RapDetail.aspx?STONELIST=927152830&amp;ISCONFIRM=0" TargetMode="External"/><Relationship Id="rId5983" Type="http://schemas.openxmlformats.org/officeDocument/2006/relationships/hyperlink" Target="https://pld.live/RapDetail.aspx?STONELIST=926921489&amp;ISCONFIRM=0" TargetMode="External"/><Relationship Id="rId8042" Type="http://schemas.openxmlformats.org/officeDocument/2006/relationships/hyperlink" Target="https://pld.live/RapDetail.aspx?STONELIST=923520471&amp;ISCONFIRM=0" TargetMode="External"/><Relationship Id="rId3187" Type="http://schemas.openxmlformats.org/officeDocument/2006/relationships/hyperlink" Target="https://pld.live/RapDetail.aspx?STONELIST=926210964&amp;ISCONFIRM=0" TargetMode="External"/><Relationship Id="rId4238" Type="http://schemas.openxmlformats.org/officeDocument/2006/relationships/hyperlink" Target="https://pld.live/RapDetail.aspx?STONELIST=925521051&amp;ISCONFIRM=0" TargetMode="External"/><Relationship Id="rId5636" Type="http://schemas.openxmlformats.org/officeDocument/2006/relationships/hyperlink" Target="https://pld.live/RapDetail.aspx?STONELIST=924780467&amp;ISCONFIRM=0" TargetMode="External"/><Relationship Id="rId4652" Type="http://schemas.openxmlformats.org/officeDocument/2006/relationships/hyperlink" Target="https://pld.live/RapDetail.aspx?STONELIST=941190394&amp;ISCONFIRM=0" TargetMode="External"/><Relationship Id="rId5703" Type="http://schemas.openxmlformats.org/officeDocument/2006/relationships/hyperlink" Target="https://pld.live/RapDetail.aspx?STONELIST=925040313&amp;ISCONFIRM=0" TargetMode="External"/><Relationship Id="rId175" Type="http://schemas.openxmlformats.org/officeDocument/2006/relationships/hyperlink" Target="https://pld.live/RapDetail.aspx?STONELIST=941120435&amp;ISCONFIRM=0" TargetMode="External"/><Relationship Id="rId3254" Type="http://schemas.openxmlformats.org/officeDocument/2006/relationships/hyperlink" Target="https://pld.live/RapDetail.aspx?STONELIST=941270811&amp;ISCONFIRM=0" TargetMode="External"/><Relationship Id="rId4305" Type="http://schemas.openxmlformats.org/officeDocument/2006/relationships/hyperlink" Target="https://pld.live/RapDetail.aspx?STONELIST=927132406&amp;ISCONFIRM=0" TargetMode="External"/><Relationship Id="rId7875" Type="http://schemas.openxmlformats.org/officeDocument/2006/relationships/hyperlink" Target="https://pld.live/RapDetail.aspx?STONELIST=926900932&amp;ISCONFIRM=0" TargetMode="External"/><Relationship Id="rId2270" Type="http://schemas.openxmlformats.org/officeDocument/2006/relationships/hyperlink" Target="https://pld.live/RapDetail.aspx?STONELIST=926391190&amp;ISCONFIRM=0" TargetMode="External"/><Relationship Id="rId3321" Type="http://schemas.openxmlformats.org/officeDocument/2006/relationships/hyperlink" Target="https://pld.live/RapDetail.aspx?STONELIST=831020706&amp;ISCONFIRM=0" TargetMode="External"/><Relationship Id="rId6477" Type="http://schemas.openxmlformats.org/officeDocument/2006/relationships/hyperlink" Target="https://pld.live/RapDetail.aspx?STONELIST=941090384&amp;ISCONFIRM=0" TargetMode="External"/><Relationship Id="rId6891" Type="http://schemas.openxmlformats.org/officeDocument/2006/relationships/hyperlink" Target="https://pld.live/RapDetail.aspx?STONELIST=925501429&amp;ISCONFIRM=0" TargetMode="External"/><Relationship Id="rId7528" Type="http://schemas.openxmlformats.org/officeDocument/2006/relationships/hyperlink" Target="https://pld.live/RapDetail.aspx?STONELIST=925801849&amp;ISCONFIRM=0" TargetMode="External"/><Relationship Id="rId7942" Type="http://schemas.openxmlformats.org/officeDocument/2006/relationships/hyperlink" Target="https://pld.live/RapDetail.aspx?STONELIST=927130427&amp;ISCONFIRM=0" TargetMode="External"/><Relationship Id="rId242" Type="http://schemas.openxmlformats.org/officeDocument/2006/relationships/hyperlink" Target="https://pld.live/RapDetail.aspx?STONELIST=924730132&amp;ISCONFIRM=0" TargetMode="External"/><Relationship Id="rId5079" Type="http://schemas.openxmlformats.org/officeDocument/2006/relationships/hyperlink" Target="https://pld.live/RapDetail.aspx?STONELIST=926170791&amp;ISCONFIRM=0" TargetMode="External"/><Relationship Id="rId5493" Type="http://schemas.openxmlformats.org/officeDocument/2006/relationships/hyperlink" Target="https://pld.live/RapDetail.aspx?STONELIST=924350690&amp;ISCONFIRM=0" TargetMode="External"/><Relationship Id="rId6544" Type="http://schemas.openxmlformats.org/officeDocument/2006/relationships/hyperlink" Target="https://pld.live/RapDetail.aspx?STONELIST=926780023&amp;ISCONFIRM=0" TargetMode="External"/><Relationship Id="rId1689" Type="http://schemas.openxmlformats.org/officeDocument/2006/relationships/hyperlink" Target="https://pld.live/RapDetail.aspx?STONELIST=821125950&amp;ISCONFIRM=0" TargetMode="External"/><Relationship Id="rId4095" Type="http://schemas.openxmlformats.org/officeDocument/2006/relationships/hyperlink" Target="https://pld.live/RapDetail.aspx?STONELIST=927030759&amp;ISCONFIRM=0" TargetMode="External"/><Relationship Id="rId5146" Type="http://schemas.openxmlformats.org/officeDocument/2006/relationships/hyperlink" Target="https://pld.live/RapDetail.aspx?STONELIST=925721183&amp;ISCONFIRM=0" TargetMode="External"/><Relationship Id="rId5560" Type="http://schemas.openxmlformats.org/officeDocument/2006/relationships/hyperlink" Target="https://pld.live/RapDetail.aspx?STONELIST=924780344&amp;ISCONFIRM=0" TargetMode="External"/><Relationship Id="rId4162" Type="http://schemas.openxmlformats.org/officeDocument/2006/relationships/hyperlink" Target="https://pld.live/RapDetail.aspx?STONELIST=926110868&amp;ISCONFIRM=0" TargetMode="External"/><Relationship Id="rId5213" Type="http://schemas.openxmlformats.org/officeDocument/2006/relationships/hyperlink" Target="https://pld.live/RapDetail.aspx?STONELIST=925801779&amp;ISCONFIRM=0" TargetMode="External"/><Relationship Id="rId6611" Type="http://schemas.openxmlformats.org/officeDocument/2006/relationships/hyperlink" Target="https://pld.live/RapDetail.aspx?STONELIST=941431294&amp;ISCONFIRM=0" TargetMode="External"/><Relationship Id="rId1756" Type="http://schemas.openxmlformats.org/officeDocument/2006/relationships/hyperlink" Target="https://pld.live/RapDetail.aspx?STONELIST=926661728&amp;ISCONFIRM=0" TargetMode="External"/><Relationship Id="rId2807" Type="http://schemas.openxmlformats.org/officeDocument/2006/relationships/hyperlink" Target="https://pld.live/RapDetail.aspx?STONELIST=926170153&amp;ISCONFIRM=0" TargetMode="External"/><Relationship Id="rId48" Type="http://schemas.openxmlformats.org/officeDocument/2006/relationships/hyperlink" Target="https://pld.live/RapDetail.aspx?STONELIST=831020574&amp;ISCONFIRM=0" TargetMode="External"/><Relationship Id="rId1409" Type="http://schemas.openxmlformats.org/officeDocument/2006/relationships/hyperlink" Target="https://pld.live/RapDetail.aspx?STONELIST=926331691&amp;ISCONFIRM=0" TargetMode="External"/><Relationship Id="rId1823" Type="http://schemas.openxmlformats.org/officeDocument/2006/relationships/hyperlink" Target="https://pld.live/RapDetail.aspx?STONELIST=926300915&amp;ISCONFIRM=0" TargetMode="External"/><Relationship Id="rId4979" Type="http://schemas.openxmlformats.org/officeDocument/2006/relationships/hyperlink" Target="https://pld.live/RapDetail.aspx?STONELIST=926171042&amp;ISCONFIRM=0" TargetMode="External"/><Relationship Id="rId7385" Type="http://schemas.openxmlformats.org/officeDocument/2006/relationships/hyperlink" Target="https://pld.live/RapDetail.aspx?STONELIST=926780098&amp;ISCONFIRM=0" TargetMode="External"/><Relationship Id="rId3995" Type="http://schemas.openxmlformats.org/officeDocument/2006/relationships/hyperlink" Target="https://pld.live/RapDetail.aspx?STONELIST=925971262&amp;ISCONFIRM=0" TargetMode="External"/><Relationship Id="rId7038" Type="http://schemas.openxmlformats.org/officeDocument/2006/relationships/hyperlink" Target="https://pld.live/RapDetail.aspx?STONELIST=821113329&amp;ISCONFIRM=0" TargetMode="External"/><Relationship Id="rId7452" Type="http://schemas.openxmlformats.org/officeDocument/2006/relationships/hyperlink" Target="https://pld.live/RapDetail.aspx?STONELIST=924830251&amp;ISCONFIRM=0" TargetMode="External"/><Relationship Id="rId2597" Type="http://schemas.openxmlformats.org/officeDocument/2006/relationships/hyperlink" Target="https://pld.live/RapDetail.aspx?STONELIST=821127942&amp;ISCONFIRM=0" TargetMode="External"/><Relationship Id="rId3648" Type="http://schemas.openxmlformats.org/officeDocument/2006/relationships/hyperlink" Target="https://pld.live/RapDetail.aspx?STONELIST=925700282&amp;ISCONFIRM=0" TargetMode="External"/><Relationship Id="rId6054" Type="http://schemas.openxmlformats.org/officeDocument/2006/relationships/hyperlink" Target="https://pld.live/RapDetail.aspx?STONELIST=941360298&amp;ISCONFIRM=0" TargetMode="External"/><Relationship Id="rId7105" Type="http://schemas.openxmlformats.org/officeDocument/2006/relationships/hyperlink" Target="https://pld.live/RapDetail.aspx?STONELIST=831010772&amp;ISCONFIRM=0" TargetMode="External"/><Relationship Id="rId569" Type="http://schemas.openxmlformats.org/officeDocument/2006/relationships/hyperlink" Target="https://pld.live/RapDetail.aspx?STONELIST=926201184&amp;ISCONFIRM=0" TargetMode="External"/><Relationship Id="rId983" Type="http://schemas.openxmlformats.org/officeDocument/2006/relationships/hyperlink" Target="https://pld.live/RapDetail.aspx?STONELIST=926960853&amp;ISCONFIRM=0" TargetMode="External"/><Relationship Id="rId1199" Type="http://schemas.openxmlformats.org/officeDocument/2006/relationships/hyperlink" Target="https://pld.live/RapDetail.aspx?STONELIST=926810882&amp;ISCONFIRM=0" TargetMode="External"/><Relationship Id="rId2664" Type="http://schemas.openxmlformats.org/officeDocument/2006/relationships/hyperlink" Target="https://pld.live/RapDetail.aspx?STONELIST=926120892&amp;ISCONFIRM=0" TargetMode="External"/><Relationship Id="rId5070" Type="http://schemas.openxmlformats.org/officeDocument/2006/relationships/hyperlink" Target="https://pld.live/RapDetail.aspx?STONELIST=926990465&amp;ISCONFIRM=0" TargetMode="External"/><Relationship Id="rId6121" Type="http://schemas.openxmlformats.org/officeDocument/2006/relationships/hyperlink" Target="https://pld.live/RapDetail.aspx?STONELIST=925690218&amp;ISCONFIRM=0" TargetMode="External"/><Relationship Id="rId636" Type="http://schemas.openxmlformats.org/officeDocument/2006/relationships/hyperlink" Target="https://pld.live/RapDetail.aspx?STONELIST=926201056&amp;ISCONFIRM=0" TargetMode="External"/><Relationship Id="rId1266" Type="http://schemas.openxmlformats.org/officeDocument/2006/relationships/hyperlink" Target="https://pld.live/RapDetail.aspx?STONELIST=941190073&amp;ISCONFIRM=0" TargetMode="External"/><Relationship Id="rId2317" Type="http://schemas.openxmlformats.org/officeDocument/2006/relationships/hyperlink" Target="https://pld.live/RapDetail.aspx?STONELIST=941380357&amp;ISCONFIRM=0" TargetMode="External"/><Relationship Id="rId3715" Type="http://schemas.openxmlformats.org/officeDocument/2006/relationships/hyperlink" Target="https://pld.live/RapDetail.aspx?STONELIST=925700168&amp;ISCONFIRM=0" TargetMode="External"/><Relationship Id="rId1680" Type="http://schemas.openxmlformats.org/officeDocument/2006/relationships/hyperlink" Target="https://pld.live/RapDetail.aspx?STONELIST=926221106&amp;ISCONFIRM=0" TargetMode="External"/><Relationship Id="rId2731" Type="http://schemas.openxmlformats.org/officeDocument/2006/relationships/hyperlink" Target="https://pld.live/RapDetail.aspx?STONELIST=831020075&amp;ISCONFIRM=0" TargetMode="External"/><Relationship Id="rId5887" Type="http://schemas.openxmlformats.org/officeDocument/2006/relationships/hyperlink" Target="https://pld.live/RapDetail.aspx?STONELIST=926841247&amp;ISCONFIRM=0" TargetMode="External"/><Relationship Id="rId6938" Type="http://schemas.openxmlformats.org/officeDocument/2006/relationships/hyperlink" Target="https://pld.live/RapDetail.aspx?STONELIST=926101276&amp;ISCONFIRM=0" TargetMode="External"/><Relationship Id="rId703" Type="http://schemas.openxmlformats.org/officeDocument/2006/relationships/hyperlink" Target="https://pld.live/RapDetail.aspx?STONELIST=821127653&amp;ISCONFIRM=0" TargetMode="External"/><Relationship Id="rId1333" Type="http://schemas.openxmlformats.org/officeDocument/2006/relationships/hyperlink" Target="https://pld.live/RapDetail.aspx?STONELIST=941260869&amp;ISCONFIRM=0" TargetMode="External"/><Relationship Id="rId4489" Type="http://schemas.openxmlformats.org/officeDocument/2006/relationships/hyperlink" Target="https://pld.live/RapDetail.aspx?STONELIST=927092587&amp;ISCONFIRM=0" TargetMode="External"/><Relationship Id="rId5954" Type="http://schemas.openxmlformats.org/officeDocument/2006/relationships/hyperlink" Target="https://pld.live/RapDetail.aspx?STONELIST=941071387&amp;ISCONFIRM=0" TargetMode="External"/><Relationship Id="rId1400" Type="http://schemas.openxmlformats.org/officeDocument/2006/relationships/hyperlink" Target="https://pld.live/RapDetail.aspx?STONELIST=926250606&amp;ISCONFIRM=0" TargetMode="External"/><Relationship Id="rId4556" Type="http://schemas.openxmlformats.org/officeDocument/2006/relationships/hyperlink" Target="https://pld.live/RapDetail.aspx?STONELIST=924390518&amp;ISCONFIRM=0" TargetMode="External"/><Relationship Id="rId4970" Type="http://schemas.openxmlformats.org/officeDocument/2006/relationships/hyperlink" Target="https://pld.live/RapDetail.aspx?STONELIST=925500650&amp;ISCONFIRM=0" TargetMode="External"/><Relationship Id="rId5607" Type="http://schemas.openxmlformats.org/officeDocument/2006/relationships/hyperlink" Target="https://pld.live/RapDetail.aspx?STONELIST=924410849&amp;ISCONFIRM=0" TargetMode="External"/><Relationship Id="rId8013" Type="http://schemas.openxmlformats.org/officeDocument/2006/relationships/hyperlink" Target="https://pld.live/RapDetail.aspx?STONELIST=925900271&amp;ISCONFIRM=0" TargetMode="External"/><Relationship Id="rId3158" Type="http://schemas.openxmlformats.org/officeDocument/2006/relationships/hyperlink" Target="https://pld.live/RapDetail.aspx?STONELIST=925040441&amp;ISCONFIRM=0" TargetMode="External"/><Relationship Id="rId3572" Type="http://schemas.openxmlformats.org/officeDocument/2006/relationships/hyperlink" Target="https://pld.live/RapDetail.aspx?STONELIST=941230316&amp;ISCONFIRM=0" TargetMode="External"/><Relationship Id="rId4209" Type="http://schemas.openxmlformats.org/officeDocument/2006/relationships/hyperlink" Target="https://pld.live/RapDetail.aspx?STONELIST=821126919&amp;ISCONFIRM=0" TargetMode="External"/><Relationship Id="rId4623" Type="http://schemas.openxmlformats.org/officeDocument/2006/relationships/hyperlink" Target="https://pld.live/RapDetail.aspx?STONELIST=927101984&amp;ISCONFIRM=0" TargetMode="External"/><Relationship Id="rId7779" Type="http://schemas.openxmlformats.org/officeDocument/2006/relationships/hyperlink" Target="https://pld.live/RapDetail.aspx?STONELIST=941080551&amp;ISCONFIRM=0" TargetMode="External"/><Relationship Id="rId493" Type="http://schemas.openxmlformats.org/officeDocument/2006/relationships/hyperlink" Target="https://pld.live/RapDetail.aspx?STONELIST=925801083&amp;ISCONFIRM=0" TargetMode="External"/><Relationship Id="rId2174" Type="http://schemas.openxmlformats.org/officeDocument/2006/relationships/hyperlink" Target="https://pld.live/RapDetail.aspx?STONELIST=925910544&amp;ISCONFIRM=0" TargetMode="External"/><Relationship Id="rId3225" Type="http://schemas.openxmlformats.org/officeDocument/2006/relationships/hyperlink" Target="https://pld.live/RapDetail.aspx?STONELIST=925091138&amp;ISCONFIRM=0" TargetMode="External"/><Relationship Id="rId6795" Type="http://schemas.openxmlformats.org/officeDocument/2006/relationships/hyperlink" Target="https://pld.live/RapDetail.aspx?STONELIST=924190748&amp;ISCONFIRM=0" TargetMode="External"/><Relationship Id="rId146" Type="http://schemas.openxmlformats.org/officeDocument/2006/relationships/hyperlink" Target="https://pld.live/RapDetail.aspx?STONELIST=927070615&amp;ISCONFIRM=0" TargetMode="External"/><Relationship Id="rId560" Type="http://schemas.openxmlformats.org/officeDocument/2006/relationships/hyperlink" Target="https://pld.live/RapDetail.aspx?STONELIST=925300048&amp;ISCONFIRM=0" TargetMode="External"/><Relationship Id="rId1190" Type="http://schemas.openxmlformats.org/officeDocument/2006/relationships/hyperlink" Target="https://pld.live/RapDetail.aspx?STONELIST=941070955&amp;ISCONFIRM=0" TargetMode="External"/><Relationship Id="rId2241" Type="http://schemas.openxmlformats.org/officeDocument/2006/relationships/hyperlink" Target="https://pld.live/RapDetail.aspx?STONELIST=926391234&amp;ISCONFIRM=0" TargetMode="External"/><Relationship Id="rId5397" Type="http://schemas.openxmlformats.org/officeDocument/2006/relationships/hyperlink" Target="https://pld.live/RapDetail.aspx?STONELIST=926910598&amp;ISCONFIRM=0" TargetMode="External"/><Relationship Id="rId6448" Type="http://schemas.openxmlformats.org/officeDocument/2006/relationships/hyperlink" Target="https://pld.live/RapDetail.aspx?STONELIST=941100512&amp;ISCONFIRM=0" TargetMode="External"/><Relationship Id="rId7846" Type="http://schemas.openxmlformats.org/officeDocument/2006/relationships/hyperlink" Target="https://pld.live/RapDetail.aspx?STONELIST=924150692&amp;ISCONFIRM=0" TargetMode="External"/><Relationship Id="rId213" Type="http://schemas.openxmlformats.org/officeDocument/2006/relationships/hyperlink" Target="https://pld.live/RapDetail.aspx?STONELIST=831020681&amp;ISCONFIRM=0" TargetMode="External"/><Relationship Id="rId6862" Type="http://schemas.openxmlformats.org/officeDocument/2006/relationships/hyperlink" Target="https://pld.live/RapDetail.aspx?STONELIST=926910494&amp;ISCONFIRM=0" TargetMode="External"/><Relationship Id="rId7913" Type="http://schemas.openxmlformats.org/officeDocument/2006/relationships/hyperlink" Target="https://pld.live/RapDetail.aspx?STONELIST=927092356&amp;ISCONFIRM=0" TargetMode="External"/><Relationship Id="rId4066" Type="http://schemas.openxmlformats.org/officeDocument/2006/relationships/hyperlink" Target="https://pld.live/RapDetail.aspx?STONELIST=925521955&amp;ISCONFIRM=0" TargetMode="External"/><Relationship Id="rId5464" Type="http://schemas.openxmlformats.org/officeDocument/2006/relationships/hyperlink" Target="https://pld.live/RapDetail.aspx?STONELIST=923630398&amp;ISCONFIRM=0" TargetMode="External"/><Relationship Id="rId6515" Type="http://schemas.openxmlformats.org/officeDocument/2006/relationships/hyperlink" Target="https://pld.live/RapDetail.aspx?STONELIST=941100650&amp;ISCONFIRM=0" TargetMode="External"/><Relationship Id="rId4480" Type="http://schemas.openxmlformats.org/officeDocument/2006/relationships/hyperlink" Target="https://pld.live/RapDetail.aspx?STONELIST=927092258&amp;ISCONFIRM=0" TargetMode="External"/><Relationship Id="rId5117" Type="http://schemas.openxmlformats.org/officeDocument/2006/relationships/hyperlink" Target="https://pld.live/RapDetail.aspx?STONELIST=925801699&amp;ISCONFIRM=0" TargetMode="External"/><Relationship Id="rId5531" Type="http://schemas.openxmlformats.org/officeDocument/2006/relationships/hyperlink" Target="https://pld.live/RapDetail.aspx?STONELIST=925040318&amp;ISCONFIRM=0" TargetMode="External"/><Relationship Id="rId1727" Type="http://schemas.openxmlformats.org/officeDocument/2006/relationships/hyperlink" Target="https://pld.live/RapDetail.aspx?STONELIST=941190431&amp;ISCONFIRM=0" TargetMode="External"/><Relationship Id="rId3082" Type="http://schemas.openxmlformats.org/officeDocument/2006/relationships/hyperlink" Target="https://pld.live/RapDetail.aspx?STONELIST=926110298&amp;ISCONFIRM=0" TargetMode="External"/><Relationship Id="rId4133" Type="http://schemas.openxmlformats.org/officeDocument/2006/relationships/hyperlink" Target="https://pld.live/RapDetail.aspx?STONELIST=831010689&amp;ISCONFIRM=0" TargetMode="External"/><Relationship Id="rId7289" Type="http://schemas.openxmlformats.org/officeDocument/2006/relationships/hyperlink" Target="https://pld.live/RapDetail.aspx?STONELIST=927070900&amp;ISCONFIRM=0" TargetMode="External"/><Relationship Id="rId19" Type="http://schemas.openxmlformats.org/officeDocument/2006/relationships/hyperlink" Target="https://pld.live/RapDetail.aspx?STONELIST=941330349&amp;ISCONFIRM=0" TargetMode="External"/><Relationship Id="rId3899" Type="http://schemas.openxmlformats.org/officeDocument/2006/relationships/hyperlink" Target="https://pld.live/RapDetail.aspx?STONELIST=925621685&amp;ISCONFIRM=0" TargetMode="External"/><Relationship Id="rId4200" Type="http://schemas.openxmlformats.org/officeDocument/2006/relationships/hyperlink" Target="https://pld.live/RapDetail.aspx?STONELIST=925621586&amp;ISCONFIRM=0" TargetMode="External"/><Relationship Id="rId7356" Type="http://schemas.openxmlformats.org/officeDocument/2006/relationships/hyperlink" Target="https://pld.live/RapDetail.aspx?STONELIST=926470100&amp;ISCONFIRM=0" TargetMode="External"/><Relationship Id="rId7770" Type="http://schemas.openxmlformats.org/officeDocument/2006/relationships/hyperlink" Target="https://pld.live/RapDetail.aspx?STONELIST=941390595&amp;ISCONFIRM=0" TargetMode="External"/><Relationship Id="rId6372" Type="http://schemas.openxmlformats.org/officeDocument/2006/relationships/hyperlink" Target="https://pld.live/RapDetail.aspx?STONELIST=927010779&amp;ISCONFIRM=0" TargetMode="External"/><Relationship Id="rId7009" Type="http://schemas.openxmlformats.org/officeDocument/2006/relationships/hyperlink" Target="https://pld.live/RapDetail.aspx?STONELIST=926101486&amp;ISCONFIRM=0" TargetMode="External"/><Relationship Id="rId7423" Type="http://schemas.openxmlformats.org/officeDocument/2006/relationships/hyperlink" Target="https://pld.live/RapDetail.aspx?STONELIST=924300669&amp;ISCONFIRM=0" TargetMode="External"/><Relationship Id="rId3966" Type="http://schemas.openxmlformats.org/officeDocument/2006/relationships/hyperlink" Target="https://pld.live/RapDetail.aspx?STONELIST=926200294&amp;ISCONFIRM=0" TargetMode="External"/><Relationship Id="rId6025" Type="http://schemas.openxmlformats.org/officeDocument/2006/relationships/hyperlink" Target="https://pld.live/RapDetail.aspx?STONELIST=941190885&amp;ISCONFIRM=0" TargetMode="External"/><Relationship Id="rId3" Type="http://schemas.openxmlformats.org/officeDocument/2006/relationships/hyperlink" Target="https://pld.live/RapDetail.aspx?STONELIST=923910006&amp;ISCONFIRM=0" TargetMode="External"/><Relationship Id="rId887" Type="http://schemas.openxmlformats.org/officeDocument/2006/relationships/hyperlink" Target="https://pld.live/RapDetail.aspx?STONELIST=926071769&amp;ISCONFIRM=0" TargetMode="External"/><Relationship Id="rId2568" Type="http://schemas.openxmlformats.org/officeDocument/2006/relationships/hyperlink" Target="https://pld.live/RapDetail.aspx?STONELIST=926141238&amp;ISCONFIRM=0" TargetMode="External"/><Relationship Id="rId2982" Type="http://schemas.openxmlformats.org/officeDocument/2006/relationships/hyperlink" Target="https://pld.live/RapDetail.aspx?STONELIST=925940612&amp;ISCONFIRM=0" TargetMode="External"/><Relationship Id="rId3619" Type="http://schemas.openxmlformats.org/officeDocument/2006/relationships/hyperlink" Target="https://pld.live/RapDetail.aspx?STONELIST=924930204&amp;ISCONFIRM=0" TargetMode="External"/><Relationship Id="rId5041" Type="http://schemas.openxmlformats.org/officeDocument/2006/relationships/hyperlink" Target="https://pld.live/RapDetail.aspx?STONELIST=925520079&amp;ISCONFIRM=0" TargetMode="External"/><Relationship Id="rId8197" Type="http://schemas.openxmlformats.org/officeDocument/2006/relationships/hyperlink" Target="https://pld.live/RapDetail.aspx?STONELIST=924870007&amp;ISCONFIRM=0" TargetMode="External"/><Relationship Id="rId954" Type="http://schemas.openxmlformats.org/officeDocument/2006/relationships/hyperlink" Target="https://pld.live/RapDetail.aspx?STONELIST=926640349&amp;ISCONFIRM=0" TargetMode="External"/><Relationship Id="rId1584" Type="http://schemas.openxmlformats.org/officeDocument/2006/relationships/hyperlink" Target="https://pld.live/RapDetail.aspx?STONELIST=926240818&amp;ISCONFIRM=0" TargetMode="External"/><Relationship Id="rId2635" Type="http://schemas.openxmlformats.org/officeDocument/2006/relationships/hyperlink" Target="https://pld.live/RapDetail.aspx?STONELIST=926261475&amp;ISCONFIRM=0" TargetMode="External"/><Relationship Id="rId607" Type="http://schemas.openxmlformats.org/officeDocument/2006/relationships/hyperlink" Target="https://pld.live/RapDetail.aspx?STONELIST=925620421&amp;ISCONFIRM=0" TargetMode="External"/><Relationship Id="rId1237" Type="http://schemas.openxmlformats.org/officeDocument/2006/relationships/hyperlink" Target="https://pld.live/RapDetail.aspx?STONELIST=926211181&amp;ISCONFIRM=0" TargetMode="External"/><Relationship Id="rId1651" Type="http://schemas.openxmlformats.org/officeDocument/2006/relationships/hyperlink" Target="https://pld.live/RapDetail.aspx?STONELIST=925040215&amp;ISCONFIRM=0" TargetMode="External"/><Relationship Id="rId2702" Type="http://schemas.openxmlformats.org/officeDocument/2006/relationships/hyperlink" Target="https://pld.live/RapDetail.aspx?STONELIST=926710897&amp;ISCONFIRM=0" TargetMode="External"/><Relationship Id="rId5858" Type="http://schemas.openxmlformats.org/officeDocument/2006/relationships/hyperlink" Target="https://pld.live/RapDetail.aspx?STONELIST=925732173&amp;ISCONFIRM=0" TargetMode="External"/><Relationship Id="rId6909" Type="http://schemas.openxmlformats.org/officeDocument/2006/relationships/hyperlink" Target="https://pld.live/RapDetail.aspx?STONELIST=925520595&amp;ISCONFIRM=0" TargetMode="External"/><Relationship Id="rId1304" Type="http://schemas.openxmlformats.org/officeDocument/2006/relationships/hyperlink" Target="https://pld.live/RapDetail.aspx?STONELIST=925290299&amp;ISCONFIRM=0" TargetMode="External"/><Relationship Id="rId4874" Type="http://schemas.openxmlformats.org/officeDocument/2006/relationships/hyperlink" Target="https://pld.live/RapDetail.aspx?STONELIST=926540090&amp;ISCONFIRM=0" TargetMode="External"/><Relationship Id="rId7280" Type="http://schemas.openxmlformats.org/officeDocument/2006/relationships/hyperlink" Target="https://pld.live/RapDetail.aspx?STONELIST=927152403&amp;ISCONFIRM=0" TargetMode="External"/><Relationship Id="rId3476" Type="http://schemas.openxmlformats.org/officeDocument/2006/relationships/hyperlink" Target="https://pld.live/RapDetail.aspx?STONELIST=925521920&amp;ISCONFIRM=0" TargetMode="External"/><Relationship Id="rId4527" Type="http://schemas.openxmlformats.org/officeDocument/2006/relationships/hyperlink" Target="https://pld.live/RapDetail.aspx?STONELIST=927052720&amp;ISCONFIRM=0" TargetMode="External"/><Relationship Id="rId5925" Type="http://schemas.openxmlformats.org/officeDocument/2006/relationships/hyperlink" Target="https://pld.live/RapDetail.aspx?STONELIST=925801155&amp;ISCONFIRM=0" TargetMode="External"/><Relationship Id="rId10" Type="http://schemas.openxmlformats.org/officeDocument/2006/relationships/hyperlink" Target="https://pld.live/RapDetail.aspx?STONELIST=831020425&amp;ISCONFIRM=0" TargetMode="External"/><Relationship Id="rId397" Type="http://schemas.openxmlformats.org/officeDocument/2006/relationships/hyperlink" Target="https://pld.live/RapDetail.aspx?STONELIST=925000176&amp;ISCONFIRM=0" TargetMode="External"/><Relationship Id="rId2078" Type="http://schemas.openxmlformats.org/officeDocument/2006/relationships/hyperlink" Target="https://pld.live/RapDetail.aspx?STONELIST=821127836&amp;ISCONFIRM=0" TargetMode="External"/><Relationship Id="rId2492" Type="http://schemas.openxmlformats.org/officeDocument/2006/relationships/hyperlink" Target="https://pld.live/RapDetail.aspx?STONELIST=941390519&amp;ISCONFIRM=0" TargetMode="External"/><Relationship Id="rId3129" Type="http://schemas.openxmlformats.org/officeDocument/2006/relationships/hyperlink" Target="https://pld.live/RapDetail.aspx?STONELIST=926280601&amp;ISCONFIRM=0" TargetMode="External"/><Relationship Id="rId3890" Type="http://schemas.openxmlformats.org/officeDocument/2006/relationships/hyperlink" Target="https://pld.live/RapDetail.aspx?STONELIST=925951261&amp;ISCONFIRM=0" TargetMode="External"/><Relationship Id="rId4941" Type="http://schemas.openxmlformats.org/officeDocument/2006/relationships/hyperlink" Target="https://pld.live/RapDetail.aspx?STONELIST=925862010&amp;ISCONFIRM=0" TargetMode="External"/><Relationship Id="rId7000" Type="http://schemas.openxmlformats.org/officeDocument/2006/relationships/hyperlink" Target="https://pld.live/RapDetail.aspx?STONELIST=926101052&amp;ISCONFIRM=0" TargetMode="External"/><Relationship Id="rId464" Type="http://schemas.openxmlformats.org/officeDocument/2006/relationships/hyperlink" Target="https://pld.live/RapDetail.aspx?STONELIST=925920858&amp;ISCONFIRM=0" TargetMode="External"/><Relationship Id="rId1094" Type="http://schemas.openxmlformats.org/officeDocument/2006/relationships/hyperlink" Target="https://pld.live/RapDetail.aspx?STONELIST=941160024&amp;ISCONFIRM=0" TargetMode="External"/><Relationship Id="rId2145" Type="http://schemas.openxmlformats.org/officeDocument/2006/relationships/hyperlink" Target="https://pld.live/RapDetail.aspx?STONELIST=926080794&amp;ISCONFIRM=0" TargetMode="External"/><Relationship Id="rId3543" Type="http://schemas.openxmlformats.org/officeDocument/2006/relationships/hyperlink" Target="https://pld.live/RapDetail.aspx?STONELIST=922800540&amp;ISCONFIRM=0" TargetMode="External"/><Relationship Id="rId6699" Type="http://schemas.openxmlformats.org/officeDocument/2006/relationships/hyperlink" Target="https://pld.live/RapDetail.aspx?STONELIST=927092612&amp;ISCONFIRM=0" TargetMode="External"/><Relationship Id="rId117" Type="http://schemas.openxmlformats.org/officeDocument/2006/relationships/hyperlink" Target="https://pld.live/RapDetail.aspx?STONELIST=926540121&amp;ISCONFIRM=0" TargetMode="External"/><Relationship Id="rId3610" Type="http://schemas.openxmlformats.org/officeDocument/2006/relationships/hyperlink" Target="https://pld.live/RapDetail.aspx?STONELIST=925630478&amp;ISCONFIRM=0" TargetMode="External"/><Relationship Id="rId6766" Type="http://schemas.openxmlformats.org/officeDocument/2006/relationships/hyperlink" Target="https://pld.live/RapDetail.aspx?STONELIST=927152978&amp;ISCONFIRM=0" TargetMode="External"/><Relationship Id="rId7817" Type="http://schemas.openxmlformats.org/officeDocument/2006/relationships/hyperlink" Target="https://pld.live/RapDetail.aspx?STONELIST=831010819&amp;ISCONFIRM=0" TargetMode="External"/><Relationship Id="rId531" Type="http://schemas.openxmlformats.org/officeDocument/2006/relationships/hyperlink" Target="https://pld.live/RapDetail.aspx?STONELIST=941400343&amp;ISCONFIRM=0" TargetMode="External"/><Relationship Id="rId1161" Type="http://schemas.openxmlformats.org/officeDocument/2006/relationships/hyperlink" Target="https://pld.live/RapDetail.aspx?STONELIST=941020709&amp;ISCONFIRM=0" TargetMode="External"/><Relationship Id="rId2212" Type="http://schemas.openxmlformats.org/officeDocument/2006/relationships/hyperlink" Target="https://pld.live/RapDetail.aspx?STONELIST=924540227&amp;ISCONFIRM=0" TargetMode="External"/><Relationship Id="rId5368" Type="http://schemas.openxmlformats.org/officeDocument/2006/relationships/hyperlink" Target="https://pld.live/RapDetail.aspx?STONELIST=941351064&amp;ISCONFIRM=0" TargetMode="External"/><Relationship Id="rId5782" Type="http://schemas.openxmlformats.org/officeDocument/2006/relationships/hyperlink" Target="https://pld.live/RapDetail.aspx?STONELIST=941190075&amp;ISCONFIRM=0" TargetMode="External"/><Relationship Id="rId6419" Type="http://schemas.openxmlformats.org/officeDocument/2006/relationships/hyperlink" Target="https://pld.live/RapDetail.aspx?STONELIST=941071295&amp;ISCONFIRM=0" TargetMode="External"/><Relationship Id="rId6833" Type="http://schemas.openxmlformats.org/officeDocument/2006/relationships/hyperlink" Target="https://pld.live/RapDetail.aspx?STONELIST=926410348&amp;ISCONFIRM=0" TargetMode="External"/><Relationship Id="rId1978" Type="http://schemas.openxmlformats.org/officeDocument/2006/relationships/hyperlink" Target="https://pld.live/RapDetail.aspx?STONELIST=821127844&amp;ISCONFIRM=0" TargetMode="External"/><Relationship Id="rId4384" Type="http://schemas.openxmlformats.org/officeDocument/2006/relationships/hyperlink" Target="https://pld.live/RapDetail.aspx?STONELIST=941190443&amp;ISCONFIRM=0" TargetMode="External"/><Relationship Id="rId5435" Type="http://schemas.openxmlformats.org/officeDocument/2006/relationships/hyperlink" Target="https://pld.live/RapDetail.aspx?STONELIST=926630894&amp;ISCONFIRM=0" TargetMode="External"/><Relationship Id="rId4037" Type="http://schemas.openxmlformats.org/officeDocument/2006/relationships/hyperlink" Target="https://pld.live/RapDetail.aspx?STONELIST=925981233&amp;ISCONFIRM=0" TargetMode="External"/><Relationship Id="rId4451" Type="http://schemas.openxmlformats.org/officeDocument/2006/relationships/hyperlink" Target="https://pld.live/RapDetail.aspx?STONELIST=924410677&amp;ISCONFIRM=0" TargetMode="External"/><Relationship Id="rId5502" Type="http://schemas.openxmlformats.org/officeDocument/2006/relationships/hyperlink" Target="https://pld.live/RapDetail.aspx?STONELIST=821113513&amp;ISCONFIRM=0" TargetMode="External"/><Relationship Id="rId6900" Type="http://schemas.openxmlformats.org/officeDocument/2006/relationships/hyperlink" Target="https://pld.live/RapDetail.aspx?STONELIST=821113843&amp;ISCONFIRM=0" TargetMode="External"/><Relationship Id="rId3053" Type="http://schemas.openxmlformats.org/officeDocument/2006/relationships/hyperlink" Target="https://pld.live/RapDetail.aspx?STONELIST=926110844&amp;ISCONFIRM=0" TargetMode="External"/><Relationship Id="rId4104" Type="http://schemas.openxmlformats.org/officeDocument/2006/relationships/hyperlink" Target="https://pld.live/RapDetail.aspx?STONELIST=926071832&amp;ISCONFIRM=0" TargetMode="External"/><Relationship Id="rId3120" Type="http://schemas.openxmlformats.org/officeDocument/2006/relationships/hyperlink" Target="https://pld.live/RapDetail.aspx?STONELIST=923920434&amp;ISCONFIRM=0" TargetMode="External"/><Relationship Id="rId6276" Type="http://schemas.openxmlformats.org/officeDocument/2006/relationships/hyperlink" Target="https://pld.live/RapDetail.aspx?STONELIST=922990429&amp;ISCONFIRM=0" TargetMode="External"/><Relationship Id="rId7674" Type="http://schemas.openxmlformats.org/officeDocument/2006/relationships/hyperlink" Target="https://pld.live/RapDetail.aspx?STONELIST=941261081&amp;ISCONFIRM=0" TargetMode="External"/><Relationship Id="rId6690" Type="http://schemas.openxmlformats.org/officeDocument/2006/relationships/hyperlink" Target="https://pld.live/RapDetail.aspx?STONELIST=941140781&amp;ISCONFIRM=0" TargetMode="External"/><Relationship Id="rId7327" Type="http://schemas.openxmlformats.org/officeDocument/2006/relationships/hyperlink" Target="https://pld.live/RapDetail.aspx?STONELIST=926960877&amp;ISCONFIRM=0" TargetMode="External"/><Relationship Id="rId7741" Type="http://schemas.openxmlformats.org/officeDocument/2006/relationships/hyperlink" Target="https://pld.live/RapDetail.aspx?STONELIST=831020740&amp;ISCONFIRM=0" TargetMode="External"/><Relationship Id="rId2886" Type="http://schemas.openxmlformats.org/officeDocument/2006/relationships/hyperlink" Target="https://pld.live/RapDetail.aspx?STONELIST=925951227&amp;ISCONFIRM=0" TargetMode="External"/><Relationship Id="rId3937" Type="http://schemas.openxmlformats.org/officeDocument/2006/relationships/hyperlink" Target="https://pld.live/RapDetail.aspx?STONELIST=925850809&amp;ISCONFIRM=0" TargetMode="External"/><Relationship Id="rId5292" Type="http://schemas.openxmlformats.org/officeDocument/2006/relationships/hyperlink" Target="https://pld.live/RapDetail.aspx?STONELIST=821113496&amp;ISCONFIRM=0" TargetMode="External"/><Relationship Id="rId6343" Type="http://schemas.openxmlformats.org/officeDocument/2006/relationships/hyperlink" Target="https://pld.live/RapDetail.aspx?STONELIST=941330475&amp;ISCONFIRM=0" TargetMode="External"/><Relationship Id="rId858" Type="http://schemas.openxmlformats.org/officeDocument/2006/relationships/hyperlink" Target="https://pld.live/RapDetail.aspx?STONELIST=925951294&amp;ISCONFIRM=0" TargetMode="External"/><Relationship Id="rId1488" Type="http://schemas.openxmlformats.org/officeDocument/2006/relationships/hyperlink" Target="https://pld.live/RapDetail.aspx?STONELIST=926211076&amp;ISCONFIRM=0" TargetMode="External"/><Relationship Id="rId2539" Type="http://schemas.openxmlformats.org/officeDocument/2006/relationships/hyperlink" Target="https://pld.live/RapDetail.aspx?STONELIST=926171576&amp;ISCONFIRM=0" TargetMode="External"/><Relationship Id="rId2953" Type="http://schemas.openxmlformats.org/officeDocument/2006/relationships/hyperlink" Target="https://pld.live/RapDetail.aspx?STONELIST=925830730&amp;ISCONFIRM=0" TargetMode="External"/><Relationship Id="rId6410" Type="http://schemas.openxmlformats.org/officeDocument/2006/relationships/hyperlink" Target="https://pld.live/RapDetail.aspx?STONELIST=925110064&amp;ISCONFIRM=0" TargetMode="External"/><Relationship Id="rId925" Type="http://schemas.openxmlformats.org/officeDocument/2006/relationships/hyperlink" Target="https://pld.live/RapDetail.aspx?STONELIST=831010549&amp;ISCONFIRM=0" TargetMode="External"/><Relationship Id="rId1555" Type="http://schemas.openxmlformats.org/officeDocument/2006/relationships/hyperlink" Target="https://pld.live/RapDetail.aspx?STONELIST=926120997&amp;ISCONFIRM=0" TargetMode="External"/><Relationship Id="rId2606" Type="http://schemas.openxmlformats.org/officeDocument/2006/relationships/hyperlink" Target="https://pld.live/RapDetail.aspx?STONELIST=926261569&amp;ISCONFIRM=0" TargetMode="External"/><Relationship Id="rId5012" Type="http://schemas.openxmlformats.org/officeDocument/2006/relationships/hyperlink" Target="https://pld.live/RapDetail.aspx?STONELIST=925920367&amp;ISCONFIRM=0" TargetMode="External"/><Relationship Id="rId8168" Type="http://schemas.openxmlformats.org/officeDocument/2006/relationships/hyperlink" Target="https://pld.live/RapDetail.aspx?STONELIST=924430185&amp;ISCONFIRM=0" TargetMode="External"/><Relationship Id="rId1208" Type="http://schemas.openxmlformats.org/officeDocument/2006/relationships/hyperlink" Target="https://pld.live/RapDetail.aspx?STONELIST=941070886&amp;ISCONFIRM=0" TargetMode="External"/><Relationship Id="rId7184" Type="http://schemas.openxmlformats.org/officeDocument/2006/relationships/hyperlink" Target="https://pld.live/RapDetail.aspx?STONELIST=941390555&amp;ISCONFIRM=0" TargetMode="External"/><Relationship Id="rId8235" Type="http://schemas.openxmlformats.org/officeDocument/2006/relationships/hyperlink" Target="https://pld.live/RapDetail.aspx?STONELIST=925180253&amp;ISCONFIRM=0" TargetMode="External"/><Relationship Id="rId1622" Type="http://schemas.openxmlformats.org/officeDocument/2006/relationships/hyperlink" Target="https://pld.live/RapDetail.aspx?STONELIST=926941182&amp;ISCONFIRM=0" TargetMode="External"/><Relationship Id="rId4778" Type="http://schemas.openxmlformats.org/officeDocument/2006/relationships/hyperlink" Target="https://pld.live/RapDetail.aspx?STONELIST=924250635&amp;ISCONFIRM=0" TargetMode="External"/><Relationship Id="rId5829" Type="http://schemas.openxmlformats.org/officeDocument/2006/relationships/hyperlink" Target="https://pld.live/RapDetail.aspx?STONELIST=924250741&amp;ISCONFIRM=0" TargetMode="External"/><Relationship Id="rId7251" Type="http://schemas.openxmlformats.org/officeDocument/2006/relationships/hyperlink" Target="https://pld.live/RapDetail.aspx?STONELIST=926560179&amp;ISCONFIRM=0" TargetMode="External"/><Relationship Id="rId3794" Type="http://schemas.openxmlformats.org/officeDocument/2006/relationships/hyperlink" Target="https://pld.live/RapDetail.aspx?STONELIST=941110521&amp;ISCONFIRM=0" TargetMode="External"/><Relationship Id="rId4845" Type="http://schemas.openxmlformats.org/officeDocument/2006/relationships/hyperlink" Target="https://pld.live/RapDetail.aspx?STONELIST=926040923&amp;ISCONFIRM=0" TargetMode="External"/><Relationship Id="rId2396" Type="http://schemas.openxmlformats.org/officeDocument/2006/relationships/hyperlink" Target="https://pld.live/RapDetail.aspx?STONELIST=926261270&amp;ISCONFIRM=0" TargetMode="External"/><Relationship Id="rId3447" Type="http://schemas.openxmlformats.org/officeDocument/2006/relationships/hyperlink" Target="https://pld.live/RapDetail.aspx?STONELIST=923600507&amp;ISCONFIRM=0" TargetMode="External"/><Relationship Id="rId3861" Type="http://schemas.openxmlformats.org/officeDocument/2006/relationships/hyperlink" Target="https://pld.live/RapDetail.aspx?STONELIST=925801938&amp;ISCONFIRM=0" TargetMode="External"/><Relationship Id="rId4912" Type="http://schemas.openxmlformats.org/officeDocument/2006/relationships/hyperlink" Target="https://pld.live/RapDetail.aspx?STONELIST=926910072&amp;ISCONFIRM=0" TargetMode="External"/><Relationship Id="rId368" Type="http://schemas.openxmlformats.org/officeDocument/2006/relationships/hyperlink" Target="https://pld.live/RapDetail.aspx?STONELIST=831010812&amp;ISCONFIRM=0" TargetMode="External"/><Relationship Id="rId782" Type="http://schemas.openxmlformats.org/officeDocument/2006/relationships/hyperlink" Target="https://pld.live/RapDetail.aspx?STONELIST=925960784&amp;ISCONFIRM=0" TargetMode="External"/><Relationship Id="rId2049" Type="http://schemas.openxmlformats.org/officeDocument/2006/relationships/hyperlink" Target="https://pld.live/RapDetail.aspx?STONELIST=924010538&amp;ISCONFIRM=0" TargetMode="External"/><Relationship Id="rId2463" Type="http://schemas.openxmlformats.org/officeDocument/2006/relationships/hyperlink" Target="https://pld.live/RapDetail.aspx?STONELIST=926191041&amp;ISCONFIRM=0" TargetMode="External"/><Relationship Id="rId3514" Type="http://schemas.openxmlformats.org/officeDocument/2006/relationships/hyperlink" Target="https://pld.live/RapDetail.aspx?STONELIST=926210854&amp;ISCONFIRM=0" TargetMode="External"/><Relationship Id="rId435" Type="http://schemas.openxmlformats.org/officeDocument/2006/relationships/hyperlink" Target="https://pld.live/RapDetail.aspx?STONELIST=926201169&amp;ISCONFIRM=0" TargetMode="External"/><Relationship Id="rId1065" Type="http://schemas.openxmlformats.org/officeDocument/2006/relationships/hyperlink" Target="https://pld.live/RapDetail.aspx?STONELIST=941071081&amp;ISCONFIRM=0" TargetMode="External"/><Relationship Id="rId2116" Type="http://schemas.openxmlformats.org/officeDocument/2006/relationships/hyperlink" Target="https://pld.live/RapDetail.aspx?STONELIST=926171300&amp;ISCONFIRM=0" TargetMode="External"/><Relationship Id="rId2530" Type="http://schemas.openxmlformats.org/officeDocument/2006/relationships/hyperlink" Target="https://pld.live/RapDetail.aspx?STONELIST=920661330&amp;ISCONFIRM=0" TargetMode="External"/><Relationship Id="rId5686" Type="http://schemas.openxmlformats.org/officeDocument/2006/relationships/hyperlink" Target="https://pld.live/RapDetail.aspx?STONELIST=924290360&amp;ISCONFIRM=0" TargetMode="External"/><Relationship Id="rId6737" Type="http://schemas.openxmlformats.org/officeDocument/2006/relationships/hyperlink" Target="https://pld.live/RapDetail.aspx?STONELIST=941280520&amp;ISCONFIRM=0" TargetMode="External"/><Relationship Id="rId8092" Type="http://schemas.openxmlformats.org/officeDocument/2006/relationships/hyperlink" Target="https://pld.live/RapDetail.aspx?STONELIST=927132323&amp;ISCONFIRM=0" TargetMode="External"/><Relationship Id="rId502" Type="http://schemas.openxmlformats.org/officeDocument/2006/relationships/hyperlink" Target="https://pld.live/RapDetail.aspx?STONELIST=925861272&amp;ISCONFIRM=0" TargetMode="External"/><Relationship Id="rId1132" Type="http://schemas.openxmlformats.org/officeDocument/2006/relationships/hyperlink" Target="https://pld.live/RapDetail.aspx?STONELIST=941350730&amp;ISCONFIRM=0" TargetMode="External"/><Relationship Id="rId4288" Type="http://schemas.openxmlformats.org/officeDocument/2006/relationships/hyperlink" Target="https://pld.live/RapDetail.aspx?STONELIST=927152518&amp;ISCONFIRM=0" TargetMode="External"/><Relationship Id="rId5339" Type="http://schemas.openxmlformats.org/officeDocument/2006/relationships/hyperlink" Target="https://pld.live/RapDetail.aspx?STONELIST=941351042&amp;ISCONFIRM=0" TargetMode="External"/><Relationship Id="rId4355" Type="http://schemas.openxmlformats.org/officeDocument/2006/relationships/hyperlink" Target="https://pld.live/RapDetail.aspx?STONELIST=941190288&amp;ISCONFIRM=0" TargetMode="External"/><Relationship Id="rId5753" Type="http://schemas.openxmlformats.org/officeDocument/2006/relationships/hyperlink" Target="https://pld.live/RapDetail.aspx?STONELIST=927092039&amp;ISCONFIRM=0" TargetMode="External"/><Relationship Id="rId6804" Type="http://schemas.openxmlformats.org/officeDocument/2006/relationships/hyperlink" Target="https://pld.live/RapDetail.aspx?STONELIST=925930301&amp;ISCONFIRM=0" TargetMode="External"/><Relationship Id="rId1949" Type="http://schemas.openxmlformats.org/officeDocument/2006/relationships/hyperlink" Target="https://pld.live/RapDetail.aspx?STONELIST=941310025&amp;ISCONFIRM=0" TargetMode="External"/><Relationship Id="rId4008" Type="http://schemas.openxmlformats.org/officeDocument/2006/relationships/hyperlink" Target="https://pld.live/RapDetail.aspx?STONELIST=926071066&amp;ISCONFIRM=0" TargetMode="External"/><Relationship Id="rId5406" Type="http://schemas.openxmlformats.org/officeDocument/2006/relationships/hyperlink" Target="https://pld.live/RapDetail.aspx?STONELIST=926630623&amp;ISCONFIRM=0" TargetMode="External"/><Relationship Id="rId5820" Type="http://schemas.openxmlformats.org/officeDocument/2006/relationships/hyperlink" Target="https://pld.live/RapDetail.aspx?STONELIST=926010294&amp;ISCONFIRM=0" TargetMode="External"/><Relationship Id="rId292" Type="http://schemas.openxmlformats.org/officeDocument/2006/relationships/hyperlink" Target="https://pld.live/RapDetail.aspx?STONELIST=925981138&amp;ISCONFIRM=0" TargetMode="External"/><Relationship Id="rId3371" Type="http://schemas.openxmlformats.org/officeDocument/2006/relationships/hyperlink" Target="https://pld.live/RapDetail.aspx?STONELIST=926171467&amp;ISCONFIRM=0" TargetMode="External"/><Relationship Id="rId4422" Type="http://schemas.openxmlformats.org/officeDocument/2006/relationships/hyperlink" Target="https://pld.live/RapDetail.aspx?STONELIST=821114090&amp;ISCONFIRM=0" TargetMode="External"/><Relationship Id="rId7578" Type="http://schemas.openxmlformats.org/officeDocument/2006/relationships/hyperlink" Target="https://pld.live/RapDetail.aspx?STONELIST=924690172&amp;ISCONFIRM=0" TargetMode="External"/><Relationship Id="rId7992" Type="http://schemas.openxmlformats.org/officeDocument/2006/relationships/hyperlink" Target="https://pld.live/RapDetail.aspx?STONELIST=926110364&amp;ISCONFIRM=0" TargetMode="External"/><Relationship Id="rId3024" Type="http://schemas.openxmlformats.org/officeDocument/2006/relationships/hyperlink" Target="https://pld.live/RapDetail.aspx?STONELIST=821128373&amp;ISCONFIRM=0" TargetMode="External"/><Relationship Id="rId6594" Type="http://schemas.openxmlformats.org/officeDocument/2006/relationships/hyperlink" Target="https://pld.live/RapDetail.aspx?STONELIST=941351032&amp;ISCONFIRM=0" TargetMode="External"/><Relationship Id="rId7645" Type="http://schemas.openxmlformats.org/officeDocument/2006/relationships/hyperlink" Target="https://pld.live/RapDetail.aspx?STONELIST=926870855&amp;ISCONFIRM=0" TargetMode="External"/><Relationship Id="rId2040" Type="http://schemas.openxmlformats.org/officeDocument/2006/relationships/hyperlink" Target="https://pld.live/RapDetail.aspx?STONELIST=924040586&amp;ISCONFIRM=0" TargetMode="External"/><Relationship Id="rId5196" Type="http://schemas.openxmlformats.org/officeDocument/2006/relationships/hyperlink" Target="https://pld.live/RapDetail.aspx?STONELIST=831010808&amp;ISCONFIRM=0" TargetMode="External"/><Relationship Id="rId6247" Type="http://schemas.openxmlformats.org/officeDocument/2006/relationships/hyperlink" Target="https://pld.live/RapDetail.aspx?STONELIST=941090684&amp;ISCONFIRM=0" TargetMode="External"/><Relationship Id="rId6661" Type="http://schemas.openxmlformats.org/officeDocument/2006/relationships/hyperlink" Target="https://pld.live/RapDetail.aspx?STONELIST=941170395&amp;ISCONFIRM=0" TargetMode="External"/><Relationship Id="rId7712" Type="http://schemas.openxmlformats.org/officeDocument/2006/relationships/hyperlink" Target="https://pld.live/RapDetail.aspx?STONELIST=926820093&amp;ISCONFIRM=0" TargetMode="External"/><Relationship Id="rId5263" Type="http://schemas.openxmlformats.org/officeDocument/2006/relationships/hyperlink" Target="https://pld.live/RapDetail.aspx?STONELIST=926291311&amp;ISCONFIRM=0" TargetMode="External"/><Relationship Id="rId6314" Type="http://schemas.openxmlformats.org/officeDocument/2006/relationships/hyperlink" Target="https://pld.live/RapDetail.aspx?STONELIST=941120571&amp;ISCONFIRM=0" TargetMode="External"/><Relationship Id="rId1459" Type="http://schemas.openxmlformats.org/officeDocument/2006/relationships/hyperlink" Target="https://pld.live/RapDetail.aspx?STONELIST=926211196&amp;ISCONFIRM=0" TargetMode="External"/><Relationship Id="rId2857" Type="http://schemas.openxmlformats.org/officeDocument/2006/relationships/hyperlink" Target="https://pld.live/RapDetail.aspx?STONELIST=925860266&amp;ISCONFIRM=0" TargetMode="External"/><Relationship Id="rId3908" Type="http://schemas.openxmlformats.org/officeDocument/2006/relationships/hyperlink" Target="https://pld.live/RapDetail.aspx?STONELIST=925621413&amp;ISCONFIRM=0" TargetMode="External"/><Relationship Id="rId5330" Type="http://schemas.openxmlformats.org/officeDocument/2006/relationships/hyperlink" Target="https://pld.live/RapDetail.aspx?STONELIST=926220745&amp;ISCONFIRM=0" TargetMode="External"/><Relationship Id="rId98" Type="http://schemas.openxmlformats.org/officeDocument/2006/relationships/hyperlink" Target="https://pld.live/RapDetail.aspx?STONELIST=926410229&amp;ISCONFIRM=0" TargetMode="External"/><Relationship Id="rId829" Type="http://schemas.openxmlformats.org/officeDocument/2006/relationships/hyperlink" Target="https://pld.live/RapDetail.aspx?STONELIST=925981211&amp;ISCONFIRM=0" TargetMode="External"/><Relationship Id="rId1873" Type="http://schemas.openxmlformats.org/officeDocument/2006/relationships/hyperlink" Target="https://pld.live/RapDetail.aspx?STONELIST=925840333&amp;ISCONFIRM=0" TargetMode="External"/><Relationship Id="rId2924" Type="http://schemas.openxmlformats.org/officeDocument/2006/relationships/hyperlink" Target="https://pld.live/RapDetail.aspx?STONELIST=925900600&amp;ISCONFIRM=0" TargetMode="External"/><Relationship Id="rId7088" Type="http://schemas.openxmlformats.org/officeDocument/2006/relationships/hyperlink" Target="https://pld.live/RapDetail.aspx?STONELIST=927052683&amp;ISCONFIRM=0" TargetMode="External"/><Relationship Id="rId8139" Type="http://schemas.openxmlformats.org/officeDocument/2006/relationships/hyperlink" Target="https://pld.live/RapDetail.aspx?STONELIST=925621962&amp;ISCONFIRM=0" TargetMode="External"/><Relationship Id="rId1526" Type="http://schemas.openxmlformats.org/officeDocument/2006/relationships/hyperlink" Target="https://pld.live/RapDetail.aspx?STONELIST=926221426&amp;ISCONFIRM=0" TargetMode="External"/><Relationship Id="rId1940" Type="http://schemas.openxmlformats.org/officeDocument/2006/relationships/hyperlink" Target="https://pld.live/RapDetail.aspx?STONELIST=926761085&amp;ISCONFIRM=0" TargetMode="External"/><Relationship Id="rId3698" Type="http://schemas.openxmlformats.org/officeDocument/2006/relationships/hyperlink" Target="https://pld.live/RapDetail.aspx?STONELIST=925710092&amp;ISCONFIRM=0" TargetMode="External"/><Relationship Id="rId4749" Type="http://schemas.openxmlformats.org/officeDocument/2006/relationships/hyperlink" Target="https://pld.live/RapDetail.aspx?STONELIST=925690174&amp;ISCONFIRM=0" TargetMode="External"/><Relationship Id="rId7155" Type="http://schemas.openxmlformats.org/officeDocument/2006/relationships/hyperlink" Target="https://pld.live/RapDetail.aspx?STONELIST=926420452&amp;ISCONFIRM=0" TargetMode="External"/><Relationship Id="rId8206" Type="http://schemas.openxmlformats.org/officeDocument/2006/relationships/hyperlink" Target="https://pld.live/RapDetail.aspx?STONELIST=924590273&amp;ISCONFIRM=0" TargetMode="External"/><Relationship Id="rId3765" Type="http://schemas.openxmlformats.org/officeDocument/2006/relationships/hyperlink" Target="https://pld.live/RapDetail.aspx?STONELIST=941380422&amp;ISCONFIRM=0" TargetMode="External"/><Relationship Id="rId4816" Type="http://schemas.openxmlformats.org/officeDocument/2006/relationships/hyperlink" Target="https://pld.live/RapDetail.aspx?STONELIST=925500678&amp;ISCONFIRM=0" TargetMode="External"/><Relationship Id="rId6171" Type="http://schemas.openxmlformats.org/officeDocument/2006/relationships/hyperlink" Target="https://pld.live/RapDetail.aspx?STONELIST=924250737&amp;ISCONFIRM=0" TargetMode="External"/><Relationship Id="rId7222" Type="http://schemas.openxmlformats.org/officeDocument/2006/relationships/hyperlink" Target="https://pld.live/RapDetail.aspx?STONELIST=821117996&amp;ISCONFIRM=0" TargetMode="External"/><Relationship Id="rId686" Type="http://schemas.openxmlformats.org/officeDocument/2006/relationships/hyperlink" Target="https://pld.live/RapDetail.aspx?STONELIST=926101270&amp;ISCONFIRM=0" TargetMode="External"/><Relationship Id="rId2367" Type="http://schemas.openxmlformats.org/officeDocument/2006/relationships/hyperlink" Target="https://pld.live/RapDetail.aspx?STONELIST=941090552&amp;ISCONFIRM=0" TargetMode="External"/><Relationship Id="rId2781" Type="http://schemas.openxmlformats.org/officeDocument/2006/relationships/hyperlink" Target="https://pld.live/RapDetail.aspx?STONELIST=923510635&amp;ISCONFIRM=0" TargetMode="External"/><Relationship Id="rId3418" Type="http://schemas.openxmlformats.org/officeDocument/2006/relationships/hyperlink" Target="https://pld.live/RapDetail.aspx?STONELIST=925981280&amp;ISCONFIRM=0" TargetMode="External"/><Relationship Id="rId339" Type="http://schemas.openxmlformats.org/officeDocument/2006/relationships/hyperlink" Target="https://pld.live/RapDetail.aspx?STONELIST=941120547&amp;ISCONFIRM=0" TargetMode="External"/><Relationship Id="rId753" Type="http://schemas.openxmlformats.org/officeDocument/2006/relationships/hyperlink" Target="https://pld.live/RapDetail.aspx?STONELIST=925370034&amp;ISCONFIRM=0" TargetMode="External"/><Relationship Id="rId1383" Type="http://schemas.openxmlformats.org/officeDocument/2006/relationships/hyperlink" Target="https://pld.live/RapDetail.aspx?STONELIST=926690928&amp;ISCONFIRM=0" TargetMode="External"/><Relationship Id="rId2434" Type="http://schemas.openxmlformats.org/officeDocument/2006/relationships/hyperlink" Target="https://pld.live/RapDetail.aspx?STONELIST=926191045&amp;ISCONFIRM=0" TargetMode="External"/><Relationship Id="rId3832" Type="http://schemas.openxmlformats.org/officeDocument/2006/relationships/hyperlink" Target="https://pld.live/RapDetail.aspx?STONELIST=927140409&amp;ISCONFIRM=0" TargetMode="External"/><Relationship Id="rId6988" Type="http://schemas.openxmlformats.org/officeDocument/2006/relationships/hyperlink" Target="https://pld.live/RapDetail.aspx?STONELIST=925731375&amp;ISCONFIRM=0" TargetMode="External"/><Relationship Id="rId406" Type="http://schemas.openxmlformats.org/officeDocument/2006/relationships/hyperlink" Target="https://pld.live/RapDetail.aspx?STONELIST=925861526&amp;ISCONFIRM=0" TargetMode="External"/><Relationship Id="rId1036" Type="http://schemas.openxmlformats.org/officeDocument/2006/relationships/hyperlink" Target="https://pld.live/RapDetail.aspx?STONELIST=9414500375&amp;ISCONFIRM=0" TargetMode="External"/><Relationship Id="rId8063" Type="http://schemas.openxmlformats.org/officeDocument/2006/relationships/hyperlink" Target="https://pld.live/RapDetail.aspx?STONELIST=923540511&amp;ISCONFIRM=0" TargetMode="External"/><Relationship Id="rId820" Type="http://schemas.openxmlformats.org/officeDocument/2006/relationships/hyperlink" Target="https://pld.live/RapDetail.aspx?STONELIST=926020771&amp;ISCONFIRM=0" TargetMode="External"/><Relationship Id="rId1450" Type="http://schemas.openxmlformats.org/officeDocument/2006/relationships/hyperlink" Target="https://pld.live/RapDetail.aspx?STONELIST=926211072&amp;ISCONFIRM=0" TargetMode="External"/><Relationship Id="rId2501" Type="http://schemas.openxmlformats.org/officeDocument/2006/relationships/hyperlink" Target="https://pld.live/RapDetail.aspx?STONELIST=926430940&amp;ISCONFIRM=0" TargetMode="External"/><Relationship Id="rId5657" Type="http://schemas.openxmlformats.org/officeDocument/2006/relationships/hyperlink" Target="https://pld.live/RapDetail.aspx?STONELIST=941261075&amp;ISCONFIRM=0" TargetMode="External"/><Relationship Id="rId6708" Type="http://schemas.openxmlformats.org/officeDocument/2006/relationships/hyperlink" Target="https://pld.live/RapDetail.aspx?STONELIST=927102459&amp;ISCONFIRM=0" TargetMode="External"/><Relationship Id="rId1103" Type="http://schemas.openxmlformats.org/officeDocument/2006/relationships/hyperlink" Target="https://pld.live/RapDetail.aspx?STONELIST=941071075&amp;ISCONFIRM=0" TargetMode="External"/><Relationship Id="rId4259" Type="http://schemas.openxmlformats.org/officeDocument/2006/relationships/hyperlink" Target="https://pld.live/RapDetail.aspx?STONELIST=925940419&amp;ISCONFIRM=0" TargetMode="External"/><Relationship Id="rId4673" Type="http://schemas.openxmlformats.org/officeDocument/2006/relationships/hyperlink" Target="https://pld.live/RapDetail.aspx?STONELIST=926560422&amp;ISCONFIRM=0" TargetMode="External"/><Relationship Id="rId5724" Type="http://schemas.openxmlformats.org/officeDocument/2006/relationships/hyperlink" Target="https://pld.live/RapDetail.aspx?STONELIST=941270357&amp;ISCONFIRM=0" TargetMode="External"/><Relationship Id="rId8130" Type="http://schemas.openxmlformats.org/officeDocument/2006/relationships/hyperlink" Target="https://pld.live/RapDetail.aspx?STONELIST=927132189&amp;ISCONFIRM=0" TargetMode="External"/><Relationship Id="rId3275" Type="http://schemas.openxmlformats.org/officeDocument/2006/relationships/hyperlink" Target="https://pld.live/RapDetail.aspx?STONELIST=941190631&amp;ISCONFIRM=0" TargetMode="External"/><Relationship Id="rId4326" Type="http://schemas.openxmlformats.org/officeDocument/2006/relationships/hyperlink" Target="https://pld.live/RapDetail.aspx?STONELIST=927052558&amp;ISCONFIRM=0" TargetMode="External"/><Relationship Id="rId4740" Type="http://schemas.openxmlformats.org/officeDocument/2006/relationships/hyperlink" Target="https://pld.live/RapDetail.aspx?STONELIST=924430176&amp;ISCONFIRM=0" TargetMode="External"/><Relationship Id="rId7896" Type="http://schemas.openxmlformats.org/officeDocument/2006/relationships/hyperlink" Target="https://pld.live/RapDetail.aspx?STONELIST=927092357&amp;ISCONFIRM=0" TargetMode="External"/><Relationship Id="rId196" Type="http://schemas.openxmlformats.org/officeDocument/2006/relationships/hyperlink" Target="https://pld.live/RapDetail.aspx?STONELIST=926380305&amp;ISCONFIRM=0" TargetMode="External"/><Relationship Id="rId2291" Type="http://schemas.openxmlformats.org/officeDocument/2006/relationships/hyperlink" Target="https://pld.live/RapDetail.aspx?STONELIST=941080759&amp;ISCONFIRM=0" TargetMode="External"/><Relationship Id="rId3342" Type="http://schemas.openxmlformats.org/officeDocument/2006/relationships/hyperlink" Target="https://pld.live/RapDetail.aspx?STONELIST=926020776&amp;ISCONFIRM=0" TargetMode="External"/><Relationship Id="rId6498" Type="http://schemas.openxmlformats.org/officeDocument/2006/relationships/hyperlink" Target="https://pld.live/RapDetail.aspx?STONELIST=926130008&amp;ISCONFIRM=0" TargetMode="External"/><Relationship Id="rId7549" Type="http://schemas.openxmlformats.org/officeDocument/2006/relationships/hyperlink" Target="https://pld.live/RapDetail.aspx?STONELIST=925721906&amp;ISCONFIRM=0" TargetMode="External"/><Relationship Id="rId263" Type="http://schemas.openxmlformats.org/officeDocument/2006/relationships/hyperlink" Target="https://pld.live/RapDetail.aspx?STONELIST=831010643&amp;ISCONFIRM=0" TargetMode="External"/><Relationship Id="rId6565" Type="http://schemas.openxmlformats.org/officeDocument/2006/relationships/hyperlink" Target="https://pld.live/RapDetail.aspx?STONELIST=927030816&amp;ISCONFIRM=0" TargetMode="External"/><Relationship Id="rId7963" Type="http://schemas.openxmlformats.org/officeDocument/2006/relationships/hyperlink" Target="https://pld.live/RapDetail.aspx?STONELIST=941070055&amp;ISCONFIRM=0" TargetMode="External"/><Relationship Id="rId330" Type="http://schemas.openxmlformats.org/officeDocument/2006/relationships/hyperlink" Target="https://pld.live/RapDetail.aspx?STONELIST=941400423&amp;ISCONFIRM=0" TargetMode="External"/><Relationship Id="rId2011" Type="http://schemas.openxmlformats.org/officeDocument/2006/relationships/hyperlink" Target="https://pld.live/RapDetail.aspx?STONELIST=941250011&amp;ISCONFIRM=0" TargetMode="External"/><Relationship Id="rId5167" Type="http://schemas.openxmlformats.org/officeDocument/2006/relationships/hyperlink" Target="https://pld.live/RapDetail.aspx?STONELIST=924410605&amp;ISCONFIRM=0" TargetMode="External"/><Relationship Id="rId6218" Type="http://schemas.openxmlformats.org/officeDocument/2006/relationships/hyperlink" Target="https://pld.live/RapDetail.aspx?STONELIST=941120568&amp;ISCONFIRM=0" TargetMode="External"/><Relationship Id="rId7616" Type="http://schemas.openxmlformats.org/officeDocument/2006/relationships/hyperlink" Target="https://pld.live/RapDetail.aspx?STONELIST=926790890&amp;ISCONFIRM=0" TargetMode="External"/><Relationship Id="rId4183" Type="http://schemas.openxmlformats.org/officeDocument/2006/relationships/hyperlink" Target="https://pld.live/RapDetail.aspx?STONELIST=926270799&amp;ISCONFIRM=0" TargetMode="External"/><Relationship Id="rId5581" Type="http://schemas.openxmlformats.org/officeDocument/2006/relationships/hyperlink" Target="https://pld.live/RapDetail.aspx?STONELIST=924960367&amp;ISCONFIRM=0" TargetMode="External"/><Relationship Id="rId6632" Type="http://schemas.openxmlformats.org/officeDocument/2006/relationships/hyperlink" Target="https://pld.live/RapDetail.aspx?STONELIST=9414201282&amp;ISCONFIRM=0" TargetMode="External"/><Relationship Id="rId1777" Type="http://schemas.openxmlformats.org/officeDocument/2006/relationships/hyperlink" Target="https://pld.live/RapDetail.aspx?STONELIST=941270608&amp;ISCONFIRM=0" TargetMode="External"/><Relationship Id="rId2828" Type="http://schemas.openxmlformats.org/officeDocument/2006/relationships/hyperlink" Target="https://pld.live/RapDetail.aspx?STONELIST=926171459&amp;ISCONFIRM=0" TargetMode="External"/><Relationship Id="rId5234" Type="http://schemas.openxmlformats.org/officeDocument/2006/relationships/hyperlink" Target="https://pld.live/RapDetail.aspx?STONELIST=924410793&amp;ISCONFIRM=0" TargetMode="External"/><Relationship Id="rId69" Type="http://schemas.openxmlformats.org/officeDocument/2006/relationships/hyperlink" Target="https://pld.live/RapDetail.aspx?STONELIST=925570082&amp;ISCONFIRM=0" TargetMode="External"/><Relationship Id="rId1844" Type="http://schemas.openxmlformats.org/officeDocument/2006/relationships/hyperlink" Target="https://pld.live/RapDetail.aspx?STONELIST=926101594&amp;ISCONFIRM=0" TargetMode="External"/><Relationship Id="rId4250" Type="http://schemas.openxmlformats.org/officeDocument/2006/relationships/hyperlink" Target="https://pld.live/RapDetail.aspx?STONELIST=925521581&amp;ISCONFIRM=0" TargetMode="External"/><Relationship Id="rId5301" Type="http://schemas.openxmlformats.org/officeDocument/2006/relationships/hyperlink" Target="https://pld.live/RapDetail.aspx?STONELIST=926741046&amp;ISCONFIRM=0" TargetMode="External"/><Relationship Id="rId7059" Type="http://schemas.openxmlformats.org/officeDocument/2006/relationships/hyperlink" Target="https://pld.live/RapDetail.aspx?STONELIST=831010779&amp;ISCONFIRM=0" TargetMode="External"/><Relationship Id="rId7473" Type="http://schemas.openxmlformats.org/officeDocument/2006/relationships/hyperlink" Target="https://pld.live/RapDetail.aspx?STONELIST=925950629&amp;ISCONFIRM=0" TargetMode="External"/><Relationship Id="rId1911" Type="http://schemas.openxmlformats.org/officeDocument/2006/relationships/hyperlink" Target="https://pld.live/RapDetail.aspx?STONELIST=941230096&amp;ISCONFIRM=0" TargetMode="External"/><Relationship Id="rId3669" Type="http://schemas.openxmlformats.org/officeDocument/2006/relationships/hyperlink" Target="https://pld.live/RapDetail.aspx?STONELIST=831020287&amp;ISCONFIRM=0" TargetMode="External"/><Relationship Id="rId6075" Type="http://schemas.openxmlformats.org/officeDocument/2006/relationships/hyperlink" Target="https://pld.live/RapDetail.aspx?STONELIST=821133223&amp;ISCONFIRM=0" TargetMode="External"/><Relationship Id="rId7126" Type="http://schemas.openxmlformats.org/officeDocument/2006/relationships/hyperlink" Target="https://pld.live/RapDetail.aspx?STONELIST=941161037&amp;ISCONFIRM=0" TargetMode="External"/><Relationship Id="rId7540" Type="http://schemas.openxmlformats.org/officeDocument/2006/relationships/hyperlink" Target="https://pld.live/RapDetail.aspx?STONELIST=925731741&amp;ISCONFIRM=0" TargetMode="External"/><Relationship Id="rId5091" Type="http://schemas.openxmlformats.org/officeDocument/2006/relationships/hyperlink" Target="https://pld.live/RapDetail.aspx?STONELIST=925521265&amp;ISCONFIRM=0" TargetMode="External"/><Relationship Id="rId6142" Type="http://schemas.openxmlformats.org/officeDocument/2006/relationships/hyperlink" Target="https://pld.live/RapDetail.aspx?STONELIST=925670187&amp;ISCONFIRM=0" TargetMode="External"/><Relationship Id="rId1287" Type="http://schemas.openxmlformats.org/officeDocument/2006/relationships/hyperlink" Target="https://pld.live/RapDetail.aspx?STONELIST=926311367&amp;ISCONFIRM=0" TargetMode="External"/><Relationship Id="rId2685" Type="http://schemas.openxmlformats.org/officeDocument/2006/relationships/hyperlink" Target="https://pld.live/RapDetail.aspx?STONELIST=926240813&amp;ISCONFIRM=0" TargetMode="External"/><Relationship Id="rId3736" Type="http://schemas.openxmlformats.org/officeDocument/2006/relationships/hyperlink" Target="https://pld.live/RapDetail.aspx?STONELIST=821116109&amp;ISCONFIRM=0" TargetMode="External"/><Relationship Id="rId657" Type="http://schemas.openxmlformats.org/officeDocument/2006/relationships/hyperlink" Target="https://pld.live/RapDetail.aspx?STONELIST=925520414&amp;ISCONFIRM=0" TargetMode="External"/><Relationship Id="rId2338" Type="http://schemas.openxmlformats.org/officeDocument/2006/relationships/hyperlink" Target="https://pld.live/RapDetail.aspx?STONELIST=926091307&amp;ISCONFIRM=0" TargetMode="External"/><Relationship Id="rId2752" Type="http://schemas.openxmlformats.org/officeDocument/2006/relationships/hyperlink" Target="https://pld.live/RapDetail.aspx?STONELIST=925610462&amp;ISCONFIRM=0" TargetMode="External"/><Relationship Id="rId3803" Type="http://schemas.openxmlformats.org/officeDocument/2006/relationships/hyperlink" Target="https://pld.live/RapDetail.aspx?STONELIST=941080484&amp;ISCONFIRM=0" TargetMode="External"/><Relationship Id="rId6959" Type="http://schemas.openxmlformats.org/officeDocument/2006/relationships/hyperlink" Target="https://pld.live/RapDetail.aspx?STONELIST=926200897&amp;ISCONFIRM=0" TargetMode="External"/><Relationship Id="rId724" Type="http://schemas.openxmlformats.org/officeDocument/2006/relationships/hyperlink" Target="https://pld.live/RapDetail.aspx?STONELIST=925551748&amp;ISCONFIRM=0" TargetMode="External"/><Relationship Id="rId1354" Type="http://schemas.openxmlformats.org/officeDocument/2006/relationships/hyperlink" Target="https://pld.live/RapDetail.aspx?STONELIST=926270895&amp;ISCONFIRM=0" TargetMode="External"/><Relationship Id="rId2405" Type="http://schemas.openxmlformats.org/officeDocument/2006/relationships/hyperlink" Target="https://pld.live/RapDetail.aspx?STONELIST=926301282&amp;ISCONFIRM=0" TargetMode="External"/><Relationship Id="rId5975" Type="http://schemas.openxmlformats.org/officeDocument/2006/relationships/hyperlink" Target="https://pld.live/RapDetail.aspx?STONELIST=941071380&amp;ISCONFIRM=0" TargetMode="External"/><Relationship Id="rId60" Type="http://schemas.openxmlformats.org/officeDocument/2006/relationships/hyperlink" Target="https://pld.live/RapDetail.aspx?STONELIST=941390374&amp;ISCONFIRM=0" TargetMode="External"/><Relationship Id="rId1007" Type="http://schemas.openxmlformats.org/officeDocument/2006/relationships/hyperlink" Target="https://pld.live/RapDetail.aspx?STONELIST=941370596&amp;ISCONFIRM=0" TargetMode="External"/><Relationship Id="rId1421" Type="http://schemas.openxmlformats.org/officeDocument/2006/relationships/hyperlink" Target="https://pld.live/RapDetail.aspx?STONELIST=926211238&amp;ISCONFIRM=0" TargetMode="External"/><Relationship Id="rId4577" Type="http://schemas.openxmlformats.org/officeDocument/2006/relationships/hyperlink" Target="https://pld.live/RapDetail.aspx?STONELIST=927101496&amp;ISCONFIRM=0" TargetMode="External"/><Relationship Id="rId4991" Type="http://schemas.openxmlformats.org/officeDocument/2006/relationships/hyperlink" Target="https://pld.live/RapDetail.aspx?STONELIST=925950235&amp;ISCONFIRM=0" TargetMode="External"/><Relationship Id="rId5628" Type="http://schemas.openxmlformats.org/officeDocument/2006/relationships/hyperlink" Target="https://pld.live/RapDetail.aspx?STONELIST=926730817&amp;ISCONFIRM=0" TargetMode="External"/><Relationship Id="rId8034" Type="http://schemas.openxmlformats.org/officeDocument/2006/relationships/hyperlink" Target="https://pld.live/RapDetail.aspx?STONELIST=925780810&amp;ISCONFIRM=0" TargetMode="External"/><Relationship Id="rId3179" Type="http://schemas.openxmlformats.org/officeDocument/2006/relationships/hyperlink" Target="https://pld.live/RapDetail.aspx?STONELIST=831010681&amp;ISCONFIRM=0" TargetMode="External"/><Relationship Id="rId3593" Type="http://schemas.openxmlformats.org/officeDocument/2006/relationships/hyperlink" Target="https://pld.live/RapDetail.aspx?STONELIST=927110095&amp;ISCONFIRM=0" TargetMode="External"/><Relationship Id="rId4644" Type="http://schemas.openxmlformats.org/officeDocument/2006/relationships/hyperlink" Target="https://pld.live/RapDetail.aspx?STONELIST=926110103&amp;ISCONFIRM=0" TargetMode="External"/><Relationship Id="rId7050" Type="http://schemas.openxmlformats.org/officeDocument/2006/relationships/hyperlink" Target="https://pld.live/RapDetail.aspx?STONELIST=925420330&amp;ISCONFIRM=0" TargetMode="External"/><Relationship Id="rId8101" Type="http://schemas.openxmlformats.org/officeDocument/2006/relationships/hyperlink" Target="https://pld.live/RapDetail.aspx?STONELIST=925721727&amp;ISCONFIRM=0" TargetMode="External"/><Relationship Id="rId2195" Type="http://schemas.openxmlformats.org/officeDocument/2006/relationships/hyperlink" Target="https://pld.live/RapDetail.aspx?STONELIST=920661241&amp;ISCONFIRM=0" TargetMode="External"/><Relationship Id="rId3246" Type="http://schemas.openxmlformats.org/officeDocument/2006/relationships/hyperlink" Target="https://pld.live/RapDetail.aspx?STONELIST=9414000600&amp;ISCONFIRM=0" TargetMode="External"/><Relationship Id="rId167" Type="http://schemas.openxmlformats.org/officeDocument/2006/relationships/hyperlink" Target="https://pld.live/RapDetail.aspx?STONELIST=941200240&amp;ISCONFIRM=0" TargetMode="External"/><Relationship Id="rId581" Type="http://schemas.openxmlformats.org/officeDocument/2006/relationships/hyperlink" Target="https://pld.live/RapDetail.aspx?STONELIST=925862020&amp;ISCONFIRM=0" TargetMode="External"/><Relationship Id="rId2262" Type="http://schemas.openxmlformats.org/officeDocument/2006/relationships/hyperlink" Target="https://pld.live/RapDetail.aspx?STONELIST=926391207&amp;ISCONFIRM=0" TargetMode="External"/><Relationship Id="rId3660" Type="http://schemas.openxmlformats.org/officeDocument/2006/relationships/hyperlink" Target="https://pld.live/RapDetail.aspx?STONELIST=926010227&amp;ISCONFIRM=0" TargetMode="External"/><Relationship Id="rId4711" Type="http://schemas.openxmlformats.org/officeDocument/2006/relationships/hyperlink" Target="https://pld.live/RapDetail.aspx?STONELIST=924450168&amp;ISCONFIRM=0" TargetMode="External"/><Relationship Id="rId7867" Type="http://schemas.openxmlformats.org/officeDocument/2006/relationships/hyperlink" Target="https://pld.live/RapDetail.aspx?STONELIST=926830911&amp;ISCONFIRM=0" TargetMode="External"/><Relationship Id="rId234" Type="http://schemas.openxmlformats.org/officeDocument/2006/relationships/hyperlink" Target="https://pld.live/RapDetail.aspx?STONELIST=926010182&amp;ISCONFIRM=0" TargetMode="External"/><Relationship Id="rId3313" Type="http://schemas.openxmlformats.org/officeDocument/2006/relationships/hyperlink" Target="https://pld.live/RapDetail.aspx?STONELIST=921800095&amp;ISCONFIRM=0" TargetMode="External"/><Relationship Id="rId6469" Type="http://schemas.openxmlformats.org/officeDocument/2006/relationships/hyperlink" Target="https://pld.live/RapDetail.aspx?STONELIST=941021725&amp;ISCONFIRM=0" TargetMode="External"/><Relationship Id="rId6883" Type="http://schemas.openxmlformats.org/officeDocument/2006/relationships/hyperlink" Target="https://pld.live/RapDetail.aspx?STONELIST=926680725&amp;ISCONFIRM=0" TargetMode="External"/><Relationship Id="rId7934" Type="http://schemas.openxmlformats.org/officeDocument/2006/relationships/hyperlink" Target="https://pld.live/RapDetail.aspx?STONELIST=926250085&amp;ISCONFIRM=0" TargetMode="External"/><Relationship Id="rId5485" Type="http://schemas.openxmlformats.org/officeDocument/2006/relationships/hyperlink" Target="https://pld.live/RapDetail.aspx?STONELIST=941140837&amp;ISCONFIRM=0" TargetMode="External"/><Relationship Id="rId6536" Type="http://schemas.openxmlformats.org/officeDocument/2006/relationships/hyperlink" Target="https://pld.live/RapDetail.aspx?STONELIST=821113425&amp;ISCONFIRM=0" TargetMode="External"/><Relationship Id="rId6950" Type="http://schemas.openxmlformats.org/officeDocument/2006/relationships/hyperlink" Target="https://pld.live/RapDetail.aspx?STONELIST=925621965&amp;ISCONFIRM=0" TargetMode="External"/><Relationship Id="rId301" Type="http://schemas.openxmlformats.org/officeDocument/2006/relationships/hyperlink" Target="https://pld.live/RapDetail.aspx?STONELIST=821115888&amp;ISCONFIRM=0" TargetMode="External"/><Relationship Id="rId4087" Type="http://schemas.openxmlformats.org/officeDocument/2006/relationships/hyperlink" Target="https://pld.live/RapDetail.aspx?STONELIST=831010768&amp;ISCONFIRM=0" TargetMode="External"/><Relationship Id="rId5138" Type="http://schemas.openxmlformats.org/officeDocument/2006/relationships/hyperlink" Target="https://pld.live/RapDetail.aspx?STONELIST=925730812&amp;ISCONFIRM=0" TargetMode="External"/><Relationship Id="rId5552" Type="http://schemas.openxmlformats.org/officeDocument/2006/relationships/hyperlink" Target="https://pld.live/RapDetail.aspx?STONELIST=925760637&amp;ISCONFIRM=0" TargetMode="External"/><Relationship Id="rId6603" Type="http://schemas.openxmlformats.org/officeDocument/2006/relationships/hyperlink" Target="https://pld.live/RapDetail.aspx?STONELIST=927000668&amp;ISCONFIRM=0" TargetMode="External"/><Relationship Id="rId1748" Type="http://schemas.openxmlformats.org/officeDocument/2006/relationships/hyperlink" Target="https://pld.live/RapDetail.aspx?STONELIST=941190405&amp;ISCONFIRM=0" TargetMode="External"/><Relationship Id="rId4154" Type="http://schemas.openxmlformats.org/officeDocument/2006/relationships/hyperlink" Target="https://pld.live/RapDetail.aspx?STONELIST=926041149&amp;ISCONFIRM=0" TargetMode="External"/><Relationship Id="rId5205" Type="http://schemas.openxmlformats.org/officeDocument/2006/relationships/hyperlink" Target="https://pld.live/RapDetail.aspx?STONELIST=831020700&amp;ISCONFIRM=0" TargetMode="External"/><Relationship Id="rId3170" Type="http://schemas.openxmlformats.org/officeDocument/2006/relationships/hyperlink" Target="https://pld.live/RapDetail.aspx?STONELIST=924880266&amp;ISCONFIRM=0" TargetMode="External"/><Relationship Id="rId4221" Type="http://schemas.openxmlformats.org/officeDocument/2006/relationships/hyperlink" Target="https://pld.live/RapDetail.aspx?STONELIST=925360384&amp;ISCONFIRM=0" TargetMode="External"/><Relationship Id="rId7377" Type="http://schemas.openxmlformats.org/officeDocument/2006/relationships/hyperlink" Target="https://pld.live/RapDetail.aspx?STONELIST=927152955&amp;ISCONFIRM=0" TargetMode="External"/><Relationship Id="rId1815" Type="http://schemas.openxmlformats.org/officeDocument/2006/relationships/hyperlink" Target="https://pld.live/RapDetail.aspx?STONELIST=926280772&amp;ISCONFIRM=0" TargetMode="External"/><Relationship Id="rId6393" Type="http://schemas.openxmlformats.org/officeDocument/2006/relationships/hyperlink" Target="https://pld.live/RapDetail.aspx?STONELIST=925690210&amp;ISCONFIRM=0" TargetMode="External"/><Relationship Id="rId7791" Type="http://schemas.openxmlformats.org/officeDocument/2006/relationships/hyperlink" Target="https://pld.live/RapDetail.aspx?STONELIST=926101506&amp;ISCONFIRM=0" TargetMode="External"/><Relationship Id="rId3987" Type="http://schemas.openxmlformats.org/officeDocument/2006/relationships/hyperlink" Target="https://pld.live/RapDetail.aspx?STONELIST=925801806&amp;ISCONFIRM=0" TargetMode="External"/><Relationship Id="rId6046" Type="http://schemas.openxmlformats.org/officeDocument/2006/relationships/hyperlink" Target="https://pld.live/RapDetail.aspx?STONELIST=941170499&amp;ISCONFIRM=0" TargetMode="External"/><Relationship Id="rId7444" Type="http://schemas.openxmlformats.org/officeDocument/2006/relationships/hyperlink" Target="https://pld.live/RapDetail.aspx?STONELIST=925801498&amp;ISCONFIRM=0" TargetMode="External"/><Relationship Id="rId2589" Type="http://schemas.openxmlformats.org/officeDocument/2006/relationships/hyperlink" Target="https://pld.live/RapDetail.aspx?STONELIST=926141410&amp;ISCONFIRM=0" TargetMode="External"/><Relationship Id="rId6460" Type="http://schemas.openxmlformats.org/officeDocument/2006/relationships/hyperlink" Target="https://pld.live/RapDetail.aspx?STONELIST=926750841&amp;ISCONFIRM=0" TargetMode="External"/><Relationship Id="rId7511" Type="http://schemas.openxmlformats.org/officeDocument/2006/relationships/hyperlink" Target="https://pld.live/RapDetail.aspx?STONELIST=925801573&amp;ISCONFIRM=0" TargetMode="External"/><Relationship Id="rId975" Type="http://schemas.openxmlformats.org/officeDocument/2006/relationships/hyperlink" Target="https://pld.live/RapDetail.aspx?STONELIST=925080106&amp;ISCONFIRM=0" TargetMode="External"/><Relationship Id="rId2656" Type="http://schemas.openxmlformats.org/officeDocument/2006/relationships/hyperlink" Target="https://pld.live/RapDetail.aspx?STONELIST=926191357&amp;ISCONFIRM=0" TargetMode="External"/><Relationship Id="rId3707" Type="http://schemas.openxmlformats.org/officeDocument/2006/relationships/hyperlink" Target="https://pld.live/RapDetail.aspx?STONELIST=925820260&amp;ISCONFIRM=0" TargetMode="External"/><Relationship Id="rId5062" Type="http://schemas.openxmlformats.org/officeDocument/2006/relationships/hyperlink" Target="https://pld.live/RapDetail.aspx?STONELIST=925630383&amp;ISCONFIRM=0" TargetMode="External"/><Relationship Id="rId6113" Type="http://schemas.openxmlformats.org/officeDocument/2006/relationships/hyperlink" Target="https://pld.live/RapDetail.aspx?STONELIST=831020593&amp;ISCONFIRM=0" TargetMode="External"/><Relationship Id="rId628" Type="http://schemas.openxmlformats.org/officeDocument/2006/relationships/hyperlink" Target="https://pld.live/RapDetail.aspx?STONELIST=924740103&amp;ISCONFIRM=0" TargetMode="External"/><Relationship Id="rId1258" Type="http://schemas.openxmlformats.org/officeDocument/2006/relationships/hyperlink" Target="https://pld.live/RapDetail.aspx?STONELIST=941190113&amp;ISCONFIRM=0" TargetMode="External"/><Relationship Id="rId1672" Type="http://schemas.openxmlformats.org/officeDocument/2006/relationships/hyperlink" Target="https://pld.live/RapDetail.aspx?STONELIST=926220697&amp;ISCONFIRM=0" TargetMode="External"/><Relationship Id="rId2309" Type="http://schemas.openxmlformats.org/officeDocument/2006/relationships/hyperlink" Target="https://pld.live/RapDetail.aspx?STONELIST=926430894&amp;ISCONFIRM=0" TargetMode="External"/><Relationship Id="rId2723" Type="http://schemas.openxmlformats.org/officeDocument/2006/relationships/hyperlink" Target="https://pld.live/RapDetail.aspx?STONELIST=831020071&amp;ISCONFIRM=0" TargetMode="External"/><Relationship Id="rId5879" Type="http://schemas.openxmlformats.org/officeDocument/2006/relationships/hyperlink" Target="https://pld.live/RapDetail.aspx?STONELIST=925961312&amp;ISCONFIRM=0" TargetMode="External"/><Relationship Id="rId1325" Type="http://schemas.openxmlformats.org/officeDocument/2006/relationships/hyperlink" Target="https://pld.live/RapDetail.aspx?STONELIST=925870454&amp;ISCONFIRM=0" TargetMode="External"/><Relationship Id="rId3497" Type="http://schemas.openxmlformats.org/officeDocument/2006/relationships/hyperlink" Target="https://pld.live/RapDetail.aspx?STONELIST=926270804&amp;ISCONFIRM=0" TargetMode="External"/><Relationship Id="rId4895" Type="http://schemas.openxmlformats.org/officeDocument/2006/relationships/hyperlink" Target="https://pld.live/RapDetail.aspx?STONELIST=821113635&amp;ISCONFIRM=0" TargetMode="External"/><Relationship Id="rId5946" Type="http://schemas.openxmlformats.org/officeDocument/2006/relationships/hyperlink" Target="https://pld.live/RapDetail.aspx?STONELIST=926681138&amp;ISCONFIRM=0" TargetMode="External"/><Relationship Id="rId8005" Type="http://schemas.openxmlformats.org/officeDocument/2006/relationships/hyperlink" Target="https://pld.live/RapDetail.aspx?STONELIST=925900410&amp;ISCONFIRM=0" TargetMode="External"/><Relationship Id="rId31" Type="http://schemas.openxmlformats.org/officeDocument/2006/relationships/hyperlink" Target="https://pld.live/RapDetail.aspx?STONELIST=941330607&amp;ISCONFIRM=0" TargetMode="External"/><Relationship Id="rId2099" Type="http://schemas.openxmlformats.org/officeDocument/2006/relationships/hyperlink" Target="https://pld.live/RapDetail.aspx?STONELIST=926261384&amp;ISCONFIRM=0" TargetMode="External"/><Relationship Id="rId4548" Type="http://schemas.openxmlformats.org/officeDocument/2006/relationships/hyperlink" Target="https://pld.live/RapDetail.aspx?STONELIST=941320797&amp;ISCONFIRM=0" TargetMode="External"/><Relationship Id="rId4962" Type="http://schemas.openxmlformats.org/officeDocument/2006/relationships/hyperlink" Target="https://pld.live/RapDetail.aspx?STONELIST=925980582&amp;ISCONFIRM=0" TargetMode="External"/><Relationship Id="rId7021" Type="http://schemas.openxmlformats.org/officeDocument/2006/relationships/hyperlink" Target="https://pld.live/RapDetail.aspx?STONELIST=926700835&amp;ISCONFIRM=0" TargetMode="External"/><Relationship Id="rId3564" Type="http://schemas.openxmlformats.org/officeDocument/2006/relationships/hyperlink" Target="https://pld.live/RapDetail.aspx?STONELIST=926560414&amp;ISCONFIRM=0" TargetMode="External"/><Relationship Id="rId4615" Type="http://schemas.openxmlformats.org/officeDocument/2006/relationships/hyperlink" Target="https://pld.live/RapDetail.aspx?STONELIST=831010854&amp;ISCONFIRM=0" TargetMode="External"/><Relationship Id="rId485" Type="http://schemas.openxmlformats.org/officeDocument/2006/relationships/hyperlink" Target="https://pld.live/RapDetail.aspx?STONELIST=831020733&amp;ISCONFIRM=0" TargetMode="External"/><Relationship Id="rId2166" Type="http://schemas.openxmlformats.org/officeDocument/2006/relationships/hyperlink" Target="https://pld.live/RapDetail.aspx?STONELIST=926191097&amp;ISCONFIRM=0" TargetMode="External"/><Relationship Id="rId2580" Type="http://schemas.openxmlformats.org/officeDocument/2006/relationships/hyperlink" Target="https://pld.live/RapDetail.aspx?STONELIST=926201074&amp;ISCONFIRM=0" TargetMode="External"/><Relationship Id="rId3217" Type="http://schemas.openxmlformats.org/officeDocument/2006/relationships/hyperlink" Target="https://pld.live/RapDetail.aspx?STONELIST=925040470&amp;ISCONFIRM=0" TargetMode="External"/><Relationship Id="rId3631" Type="http://schemas.openxmlformats.org/officeDocument/2006/relationships/hyperlink" Target="https://pld.live/RapDetail.aspx?STONELIST=925630398&amp;ISCONFIRM=0" TargetMode="External"/><Relationship Id="rId6787" Type="http://schemas.openxmlformats.org/officeDocument/2006/relationships/hyperlink" Target="https://pld.live/RapDetail.aspx?STONELIST=821115814&amp;ISCONFIRM=0" TargetMode="External"/><Relationship Id="rId7838" Type="http://schemas.openxmlformats.org/officeDocument/2006/relationships/hyperlink" Target="https://pld.live/RapDetail.aspx?STONELIST=924920263&amp;ISCONFIRM=0" TargetMode="External"/><Relationship Id="rId138" Type="http://schemas.openxmlformats.org/officeDocument/2006/relationships/hyperlink" Target="https://pld.live/RapDetail.aspx?STONELIST=941150039&amp;ISCONFIRM=0" TargetMode="External"/><Relationship Id="rId552" Type="http://schemas.openxmlformats.org/officeDocument/2006/relationships/hyperlink" Target="https://pld.live/RapDetail.aspx?STONELIST=927130204&amp;ISCONFIRM=0" TargetMode="External"/><Relationship Id="rId1182" Type="http://schemas.openxmlformats.org/officeDocument/2006/relationships/hyperlink" Target="https://pld.live/RapDetail.aspx?STONELIST=926831105&amp;ISCONFIRM=0" TargetMode="External"/><Relationship Id="rId2233" Type="http://schemas.openxmlformats.org/officeDocument/2006/relationships/hyperlink" Target="https://pld.live/RapDetail.aspx?STONELIST=926091164&amp;ISCONFIRM=0" TargetMode="External"/><Relationship Id="rId5389" Type="http://schemas.openxmlformats.org/officeDocument/2006/relationships/hyperlink" Target="https://pld.live/RapDetail.aspx?STONELIST=926640738&amp;ISCONFIRM=0" TargetMode="External"/><Relationship Id="rId6854" Type="http://schemas.openxmlformats.org/officeDocument/2006/relationships/hyperlink" Target="https://pld.live/RapDetail.aspx?STONELIST=941330560&amp;ISCONFIRM=0" TargetMode="External"/><Relationship Id="rId205" Type="http://schemas.openxmlformats.org/officeDocument/2006/relationships/hyperlink" Target="https://pld.live/RapDetail.aspx?STONELIST=925560017&amp;ISCONFIRM=0" TargetMode="External"/><Relationship Id="rId2300" Type="http://schemas.openxmlformats.org/officeDocument/2006/relationships/hyperlink" Target="https://pld.live/RapDetail.aspx?STONELIST=926081149&amp;ISCONFIRM=0" TargetMode="External"/><Relationship Id="rId5456" Type="http://schemas.openxmlformats.org/officeDocument/2006/relationships/hyperlink" Target="https://pld.live/RapDetail.aspx?STONELIST=926921354&amp;ISCONFIRM=0" TargetMode="External"/><Relationship Id="rId6507" Type="http://schemas.openxmlformats.org/officeDocument/2006/relationships/hyperlink" Target="https://pld.live/RapDetail.aspx?STONELIST=926740757&amp;ISCONFIRM=0" TargetMode="External"/><Relationship Id="rId7905" Type="http://schemas.openxmlformats.org/officeDocument/2006/relationships/hyperlink" Target="https://pld.live/RapDetail.aspx?STONELIST=927130796&amp;ISCONFIRM=0" TargetMode="External"/><Relationship Id="rId1999" Type="http://schemas.openxmlformats.org/officeDocument/2006/relationships/hyperlink" Target="https://pld.live/RapDetail.aspx?STONELIST=941270620&amp;ISCONFIRM=0" TargetMode="External"/><Relationship Id="rId4058" Type="http://schemas.openxmlformats.org/officeDocument/2006/relationships/hyperlink" Target="https://pld.live/RapDetail.aspx?STONELIST=925971166&amp;ISCONFIRM=0" TargetMode="External"/><Relationship Id="rId4472" Type="http://schemas.openxmlformats.org/officeDocument/2006/relationships/hyperlink" Target="https://pld.live/RapDetail.aspx?STONELIST=926971969&amp;ISCONFIRM=0" TargetMode="External"/><Relationship Id="rId5109" Type="http://schemas.openxmlformats.org/officeDocument/2006/relationships/hyperlink" Target="https://pld.live/RapDetail.aspx?STONELIST=924510199&amp;ISCONFIRM=0" TargetMode="External"/><Relationship Id="rId5870" Type="http://schemas.openxmlformats.org/officeDocument/2006/relationships/hyperlink" Target="https://pld.live/RapDetail.aspx?STONELIST=926020793&amp;ISCONFIRM=0" TargetMode="External"/><Relationship Id="rId6921" Type="http://schemas.openxmlformats.org/officeDocument/2006/relationships/hyperlink" Target="https://pld.live/RapDetail.aspx?STONELIST=821124320&amp;ISCONFIRM=0" TargetMode="External"/><Relationship Id="rId3074" Type="http://schemas.openxmlformats.org/officeDocument/2006/relationships/hyperlink" Target="https://pld.live/RapDetail.aspx?STONELIST=925940634&amp;ISCONFIRM=0" TargetMode="External"/><Relationship Id="rId4125" Type="http://schemas.openxmlformats.org/officeDocument/2006/relationships/hyperlink" Target="https://pld.live/RapDetail.aspx?STONELIST=926071827&amp;ISCONFIRM=0" TargetMode="External"/><Relationship Id="rId5523" Type="http://schemas.openxmlformats.org/officeDocument/2006/relationships/hyperlink" Target="https://pld.live/RapDetail.aspx?STONELIST=924410707&amp;ISCONFIRM=0" TargetMode="External"/><Relationship Id="rId1719" Type="http://schemas.openxmlformats.org/officeDocument/2006/relationships/hyperlink" Target="https://pld.live/RapDetail.aspx?STONELIST=941280091&amp;ISCONFIRM=0" TargetMode="External"/><Relationship Id="rId7695" Type="http://schemas.openxmlformats.org/officeDocument/2006/relationships/hyperlink" Target="https://pld.live/RapDetail.aspx?STONELIST=941270784&amp;ISCONFIRM=0" TargetMode="External"/><Relationship Id="rId2090" Type="http://schemas.openxmlformats.org/officeDocument/2006/relationships/hyperlink" Target="https://pld.live/RapDetail.aspx?STONELIST=821127963&amp;ISCONFIRM=0" TargetMode="External"/><Relationship Id="rId3141" Type="http://schemas.openxmlformats.org/officeDocument/2006/relationships/hyperlink" Target="https://pld.live/RapDetail.aspx?STONELIST=831010230&amp;ISCONFIRM=0" TargetMode="External"/><Relationship Id="rId6297" Type="http://schemas.openxmlformats.org/officeDocument/2006/relationships/hyperlink" Target="https://pld.live/RapDetail.aspx?STONELIST=924720004&amp;ISCONFIRM=0" TargetMode="External"/><Relationship Id="rId7348" Type="http://schemas.openxmlformats.org/officeDocument/2006/relationships/hyperlink" Target="https://pld.live/RapDetail.aspx?STONELIST=941370627&amp;ISCONFIRM=0" TargetMode="External"/><Relationship Id="rId7762" Type="http://schemas.openxmlformats.org/officeDocument/2006/relationships/hyperlink" Target="https://pld.live/RapDetail.aspx?STONELIST=925700166&amp;ISCONFIRM=0" TargetMode="External"/><Relationship Id="rId3958" Type="http://schemas.openxmlformats.org/officeDocument/2006/relationships/hyperlink" Target="https://pld.live/RapDetail.aspx?STONELIST=925621744&amp;ISCONFIRM=0" TargetMode="External"/><Relationship Id="rId6364" Type="http://schemas.openxmlformats.org/officeDocument/2006/relationships/hyperlink" Target="https://pld.live/RapDetail.aspx?STONELIST=821113115&amp;ISCONFIRM=0" TargetMode="External"/><Relationship Id="rId7415" Type="http://schemas.openxmlformats.org/officeDocument/2006/relationships/hyperlink" Target="https://pld.live/RapDetail.aspx?STONELIST=926930921&amp;ISCONFIRM=0" TargetMode="External"/><Relationship Id="rId879" Type="http://schemas.openxmlformats.org/officeDocument/2006/relationships/hyperlink" Target="https://pld.live/RapDetail.aspx?STONELIST=926041017&amp;ISCONFIRM=0" TargetMode="External"/><Relationship Id="rId5380" Type="http://schemas.openxmlformats.org/officeDocument/2006/relationships/hyperlink" Target="https://pld.live/RapDetail.aspx?STONELIST=941200090&amp;ISCONFIRM=0" TargetMode="External"/><Relationship Id="rId6017" Type="http://schemas.openxmlformats.org/officeDocument/2006/relationships/hyperlink" Target="https://pld.live/RapDetail.aspx?STONELIST=941170223&amp;ISCONFIRM=0" TargetMode="External"/><Relationship Id="rId6431" Type="http://schemas.openxmlformats.org/officeDocument/2006/relationships/hyperlink" Target="https://pld.live/RapDetail.aspx?STONELIST=941110526&amp;ISCONFIRM=0" TargetMode="External"/><Relationship Id="rId1576" Type="http://schemas.openxmlformats.org/officeDocument/2006/relationships/hyperlink" Target="https://pld.live/RapDetail.aspx?STONELIST=926311258&amp;ISCONFIRM=0" TargetMode="External"/><Relationship Id="rId2974" Type="http://schemas.openxmlformats.org/officeDocument/2006/relationships/hyperlink" Target="https://pld.live/RapDetail.aspx?STONELIST=925760703&amp;ISCONFIRM=0" TargetMode="External"/><Relationship Id="rId5033" Type="http://schemas.openxmlformats.org/officeDocument/2006/relationships/hyperlink" Target="https://pld.live/RapDetail.aspx?STONELIST=925970726&amp;ISCONFIRM=0" TargetMode="External"/><Relationship Id="rId8189" Type="http://schemas.openxmlformats.org/officeDocument/2006/relationships/hyperlink" Target="https://pld.live/RapDetail.aspx?STONELIST=925660238&amp;ISCONFIRM=0" TargetMode="External"/><Relationship Id="rId946" Type="http://schemas.openxmlformats.org/officeDocument/2006/relationships/hyperlink" Target="https://pld.live/RapDetail.aspx?STONELIST=821114800&amp;ISCONFIRM=0" TargetMode="External"/><Relationship Id="rId1229" Type="http://schemas.openxmlformats.org/officeDocument/2006/relationships/hyperlink" Target="https://pld.live/RapDetail.aspx?STONELIST=927101203&amp;ISCONFIRM=0" TargetMode="External"/><Relationship Id="rId1990" Type="http://schemas.openxmlformats.org/officeDocument/2006/relationships/hyperlink" Target="https://pld.live/RapDetail.aspx?STONELIST=926321198&amp;ISCONFIRM=0" TargetMode="External"/><Relationship Id="rId2627" Type="http://schemas.openxmlformats.org/officeDocument/2006/relationships/hyperlink" Target="https://pld.live/RapDetail.aspx?STONELIST=926240736&amp;ISCONFIRM=0" TargetMode="External"/><Relationship Id="rId5100" Type="http://schemas.openxmlformats.org/officeDocument/2006/relationships/hyperlink" Target="https://pld.live/RapDetail.aspx?STONELIST=926740890&amp;ISCONFIRM=0" TargetMode="External"/><Relationship Id="rId8256" Type="http://schemas.openxmlformats.org/officeDocument/2006/relationships/hyperlink" Target="https://pld.live/RapDetail.aspx?STONELIST=925080630&amp;ISCONFIRM=0" TargetMode="External"/><Relationship Id="rId1643" Type="http://schemas.openxmlformats.org/officeDocument/2006/relationships/hyperlink" Target="https://pld.live/RapDetail.aspx?STONELIST=925900268&amp;ISCONFIRM=0" TargetMode="External"/><Relationship Id="rId4799" Type="http://schemas.openxmlformats.org/officeDocument/2006/relationships/hyperlink" Target="https://pld.live/RapDetail.aspx?STONELIST=926010030&amp;ISCONFIRM=0" TargetMode="External"/><Relationship Id="rId1710" Type="http://schemas.openxmlformats.org/officeDocument/2006/relationships/hyperlink" Target="https://pld.live/RapDetail.aspx?STONELIST=926731248&amp;ISCONFIRM=0" TargetMode="External"/><Relationship Id="rId4866" Type="http://schemas.openxmlformats.org/officeDocument/2006/relationships/hyperlink" Target="https://pld.live/RapDetail.aspx?STONELIST=927070588&amp;ISCONFIRM=0" TargetMode="External"/><Relationship Id="rId5917" Type="http://schemas.openxmlformats.org/officeDocument/2006/relationships/hyperlink" Target="https://pld.live/RapDetail.aspx?STONELIST=925802075&amp;ISCONFIRM=0" TargetMode="External"/><Relationship Id="rId7272" Type="http://schemas.openxmlformats.org/officeDocument/2006/relationships/hyperlink" Target="https://pld.live/RapDetail.aspx?STONELIST=924260766&amp;ISCONFIRM=0" TargetMode="External"/><Relationship Id="rId3468" Type="http://schemas.openxmlformats.org/officeDocument/2006/relationships/hyperlink" Target="https://pld.live/RapDetail.aspx?STONELIST=926101155&amp;ISCONFIRM=0" TargetMode="External"/><Relationship Id="rId3882" Type="http://schemas.openxmlformats.org/officeDocument/2006/relationships/hyperlink" Target="https://pld.live/RapDetail.aspx?STONELIST=925501956&amp;ISCONFIRM=0" TargetMode="External"/><Relationship Id="rId4519" Type="http://schemas.openxmlformats.org/officeDocument/2006/relationships/hyperlink" Target="https://pld.live/RapDetail.aspx?STONELIST=927092654&amp;ISCONFIRM=0" TargetMode="External"/><Relationship Id="rId4933" Type="http://schemas.openxmlformats.org/officeDocument/2006/relationships/hyperlink" Target="https://pld.live/RapDetail.aspx?STONELIST=925862001&amp;ISCONFIRM=0" TargetMode="External"/><Relationship Id="rId389" Type="http://schemas.openxmlformats.org/officeDocument/2006/relationships/hyperlink" Target="https://pld.live/RapDetail.aspx?STONELIST=831020508&amp;ISCONFIRM=0" TargetMode="External"/><Relationship Id="rId2484" Type="http://schemas.openxmlformats.org/officeDocument/2006/relationships/hyperlink" Target="https://pld.live/RapDetail.aspx?STONELIST=925910753&amp;ISCONFIRM=0" TargetMode="External"/><Relationship Id="rId3535" Type="http://schemas.openxmlformats.org/officeDocument/2006/relationships/hyperlink" Target="https://pld.live/RapDetail.aspx?STONELIST=924390448&amp;ISCONFIRM=0" TargetMode="External"/><Relationship Id="rId456" Type="http://schemas.openxmlformats.org/officeDocument/2006/relationships/hyperlink" Target="https://pld.live/RapDetail.aspx?STONELIST=925300027&amp;ISCONFIRM=0" TargetMode="External"/><Relationship Id="rId870" Type="http://schemas.openxmlformats.org/officeDocument/2006/relationships/hyperlink" Target="https://pld.live/RapDetail.aspx?STONELIST=821127748&amp;ISCONFIRM=0" TargetMode="External"/><Relationship Id="rId1086" Type="http://schemas.openxmlformats.org/officeDocument/2006/relationships/hyperlink" Target="https://pld.live/RapDetail.aspx?STONELIST=926900920&amp;ISCONFIRM=0" TargetMode="External"/><Relationship Id="rId2137" Type="http://schemas.openxmlformats.org/officeDocument/2006/relationships/hyperlink" Target="https://pld.live/RapDetail.aspx?STONELIST=926181057&amp;ISCONFIRM=0" TargetMode="External"/><Relationship Id="rId2551" Type="http://schemas.openxmlformats.org/officeDocument/2006/relationships/hyperlink" Target="https://pld.live/RapDetail.aspx?STONELIST=925270269&amp;ISCONFIRM=0" TargetMode="External"/><Relationship Id="rId109" Type="http://schemas.openxmlformats.org/officeDocument/2006/relationships/hyperlink" Target="https://pld.live/RapDetail.aspx?STONELIST=925700153&amp;ISCONFIRM=0" TargetMode="External"/><Relationship Id="rId523" Type="http://schemas.openxmlformats.org/officeDocument/2006/relationships/hyperlink" Target="https://pld.live/RapDetail.aspx?STONELIST=941400414&amp;ISCONFIRM=0" TargetMode="External"/><Relationship Id="rId1153" Type="http://schemas.openxmlformats.org/officeDocument/2006/relationships/hyperlink" Target="https://pld.live/RapDetail.aspx?STONELIST=927130142&amp;ISCONFIRM=0" TargetMode="External"/><Relationship Id="rId2204" Type="http://schemas.openxmlformats.org/officeDocument/2006/relationships/hyperlink" Target="https://pld.live/RapDetail.aspx?STONELIST=926120500&amp;ISCONFIRM=0" TargetMode="External"/><Relationship Id="rId3602" Type="http://schemas.openxmlformats.org/officeDocument/2006/relationships/hyperlink" Target="https://pld.live/RapDetail.aspx?STONELIST=924380466&amp;ISCONFIRM=0" TargetMode="External"/><Relationship Id="rId6758" Type="http://schemas.openxmlformats.org/officeDocument/2006/relationships/hyperlink" Target="https://pld.live/RapDetail.aspx?STONELIST=941160534&amp;ISCONFIRM=0" TargetMode="External"/><Relationship Id="rId7809" Type="http://schemas.openxmlformats.org/officeDocument/2006/relationships/hyperlink" Target="https://pld.live/RapDetail.aspx?STONELIST=925730829&amp;ISCONFIRM=0" TargetMode="External"/><Relationship Id="rId8180" Type="http://schemas.openxmlformats.org/officeDocument/2006/relationships/hyperlink" Target="https://pld.live/RapDetail.aspx?STONELIST=924900114&amp;ISCONFIRM=0" TargetMode="External"/><Relationship Id="rId5774" Type="http://schemas.openxmlformats.org/officeDocument/2006/relationships/hyperlink" Target="https://pld.live/RapDetail.aspx?STONELIST=927100209&amp;ISCONFIRM=0" TargetMode="External"/><Relationship Id="rId6825" Type="http://schemas.openxmlformats.org/officeDocument/2006/relationships/hyperlink" Target="https://pld.live/RapDetail.aspx?STONELIST=926910471&amp;ISCONFIRM=0" TargetMode="External"/><Relationship Id="rId1220" Type="http://schemas.openxmlformats.org/officeDocument/2006/relationships/hyperlink" Target="https://pld.live/RapDetail.aspx?STONELIST=924880186&amp;ISCONFIRM=0" TargetMode="External"/><Relationship Id="rId4376" Type="http://schemas.openxmlformats.org/officeDocument/2006/relationships/hyperlink" Target="https://pld.live/RapDetail.aspx?STONELIST=941071348&amp;ISCONFIRM=0" TargetMode="External"/><Relationship Id="rId4790" Type="http://schemas.openxmlformats.org/officeDocument/2006/relationships/hyperlink" Target="https://pld.live/RapDetail.aspx?STONELIST=926910118&amp;ISCONFIRM=0" TargetMode="External"/><Relationship Id="rId5427" Type="http://schemas.openxmlformats.org/officeDocument/2006/relationships/hyperlink" Target="https://pld.live/RapDetail.aspx?STONELIST=925080511&amp;ISCONFIRM=0" TargetMode="External"/><Relationship Id="rId5841" Type="http://schemas.openxmlformats.org/officeDocument/2006/relationships/hyperlink" Target="https://pld.live/RapDetail.aspx?STONELIST=926890576&amp;ISCONFIRM=0" TargetMode="External"/><Relationship Id="rId3392" Type="http://schemas.openxmlformats.org/officeDocument/2006/relationships/hyperlink" Target="https://pld.live/RapDetail.aspx?STONELIST=925542650&amp;ISCONFIRM=0" TargetMode="External"/><Relationship Id="rId4029" Type="http://schemas.openxmlformats.org/officeDocument/2006/relationships/hyperlink" Target="https://pld.live/RapDetail.aspx?STONELIST=926041141&amp;ISCONFIRM=0" TargetMode="External"/><Relationship Id="rId4443" Type="http://schemas.openxmlformats.org/officeDocument/2006/relationships/hyperlink" Target="https://pld.live/RapDetail.aspx?STONELIST=925830760&amp;ISCONFIRM=0" TargetMode="External"/><Relationship Id="rId7599" Type="http://schemas.openxmlformats.org/officeDocument/2006/relationships/hyperlink" Target="https://pld.live/RapDetail.aspx?STONELIST=925731644&amp;ISCONFIRM=0" TargetMode="External"/><Relationship Id="rId3045" Type="http://schemas.openxmlformats.org/officeDocument/2006/relationships/hyperlink" Target="https://pld.live/RapDetail.aspx?STONELIST=925830757&amp;ISCONFIRM=0" TargetMode="External"/><Relationship Id="rId4510" Type="http://schemas.openxmlformats.org/officeDocument/2006/relationships/hyperlink" Target="https://pld.live/RapDetail.aspx?STONELIST=927052740&amp;ISCONFIRM=0" TargetMode="External"/><Relationship Id="rId7666" Type="http://schemas.openxmlformats.org/officeDocument/2006/relationships/hyperlink" Target="https://pld.live/RapDetail.aspx?STONELIST=941261077&amp;ISCONFIRM=0" TargetMode="External"/><Relationship Id="rId380" Type="http://schemas.openxmlformats.org/officeDocument/2006/relationships/hyperlink" Target="https://pld.live/RapDetail.aspx?STONELIST=926020668&amp;ISCONFIRM=0" TargetMode="External"/><Relationship Id="rId2061" Type="http://schemas.openxmlformats.org/officeDocument/2006/relationships/hyperlink" Target="https://pld.live/RapDetail.aspx?STONELIST=924220451&amp;ISCONFIRM=0" TargetMode="External"/><Relationship Id="rId3112" Type="http://schemas.openxmlformats.org/officeDocument/2006/relationships/hyperlink" Target="https://pld.live/RapDetail.aspx?STONELIST=925791415&amp;ISCONFIRM=0" TargetMode="External"/><Relationship Id="rId6268" Type="http://schemas.openxmlformats.org/officeDocument/2006/relationships/hyperlink" Target="https://pld.live/RapDetail.aspx?STONELIST=821113444&amp;ISCONFIRM=0" TargetMode="External"/><Relationship Id="rId6682" Type="http://schemas.openxmlformats.org/officeDocument/2006/relationships/hyperlink" Target="https://pld.live/RapDetail.aspx?STONELIST=927132550&amp;ISCONFIRM=0" TargetMode="External"/><Relationship Id="rId7319" Type="http://schemas.openxmlformats.org/officeDocument/2006/relationships/hyperlink" Target="https://pld.live/RapDetail.aspx?STONELIST=920470186&amp;ISCONFIRM=0" TargetMode="External"/><Relationship Id="rId5284" Type="http://schemas.openxmlformats.org/officeDocument/2006/relationships/hyperlink" Target="https://pld.live/RapDetail.aspx?STONELIST=926310391&amp;ISCONFIRM=0" TargetMode="External"/><Relationship Id="rId6335" Type="http://schemas.openxmlformats.org/officeDocument/2006/relationships/hyperlink" Target="https://pld.live/RapDetail.aspx?STONELIST=925490022&amp;ISCONFIRM=0" TargetMode="External"/><Relationship Id="rId7733" Type="http://schemas.openxmlformats.org/officeDocument/2006/relationships/hyperlink" Target="https://pld.live/RapDetail.aspx?STONELIST=926560183&amp;ISCONFIRM=0" TargetMode="External"/><Relationship Id="rId100" Type="http://schemas.openxmlformats.org/officeDocument/2006/relationships/hyperlink" Target="https://pld.live/RapDetail.aspx?STONELIST=925660141&amp;ISCONFIRM=0" TargetMode="External"/><Relationship Id="rId2878" Type="http://schemas.openxmlformats.org/officeDocument/2006/relationships/hyperlink" Target="https://pld.live/RapDetail.aspx?STONELIST=831010846&amp;ISCONFIRM=0" TargetMode="External"/><Relationship Id="rId3929" Type="http://schemas.openxmlformats.org/officeDocument/2006/relationships/hyperlink" Target="https://pld.live/RapDetail.aspx?STONELIST=925551897&amp;ISCONFIRM=0" TargetMode="External"/><Relationship Id="rId7800" Type="http://schemas.openxmlformats.org/officeDocument/2006/relationships/hyperlink" Target="https://pld.live/RapDetail.aspx?STONELIST=831020671&amp;ISCONFIRM=0" TargetMode="External"/><Relationship Id="rId1894" Type="http://schemas.openxmlformats.org/officeDocument/2006/relationships/hyperlink" Target="https://pld.live/RapDetail.aspx?STONELIST=941230062&amp;ISCONFIRM=0" TargetMode="External"/><Relationship Id="rId2945" Type="http://schemas.openxmlformats.org/officeDocument/2006/relationships/hyperlink" Target="https://pld.live/RapDetail.aspx?STONELIST=925521924&amp;ISCONFIRM=0" TargetMode="External"/><Relationship Id="rId5351" Type="http://schemas.openxmlformats.org/officeDocument/2006/relationships/hyperlink" Target="https://pld.live/RapDetail.aspx?STONELIST=926640649&amp;ISCONFIRM=0" TargetMode="External"/><Relationship Id="rId6402" Type="http://schemas.openxmlformats.org/officeDocument/2006/relationships/hyperlink" Target="https://pld.live/RapDetail.aspx?STONELIST=926740267&amp;ISCONFIRM=0" TargetMode="External"/><Relationship Id="rId917" Type="http://schemas.openxmlformats.org/officeDocument/2006/relationships/hyperlink" Target="https://pld.live/RapDetail.aspx?STONELIST=821127401&amp;ISCONFIRM=0" TargetMode="External"/><Relationship Id="rId1547" Type="http://schemas.openxmlformats.org/officeDocument/2006/relationships/hyperlink" Target="https://pld.live/RapDetail.aspx?STONELIST=926550590&amp;ISCONFIRM=0" TargetMode="External"/><Relationship Id="rId1961" Type="http://schemas.openxmlformats.org/officeDocument/2006/relationships/hyperlink" Target="https://pld.live/RapDetail.aspx?STONELIST=926301120&amp;ISCONFIRM=0" TargetMode="External"/><Relationship Id="rId5004" Type="http://schemas.openxmlformats.org/officeDocument/2006/relationships/hyperlink" Target="https://pld.live/RapDetail.aspx?STONELIST=926100768&amp;ISCONFIRM=0" TargetMode="External"/><Relationship Id="rId1614" Type="http://schemas.openxmlformats.org/officeDocument/2006/relationships/hyperlink" Target="https://pld.live/RapDetail.aspx?STONELIST=941280413&amp;ISCONFIRM=0" TargetMode="External"/><Relationship Id="rId4020" Type="http://schemas.openxmlformats.org/officeDocument/2006/relationships/hyperlink" Target="https://pld.live/RapDetail.aspx?STONELIST=941120579&amp;ISCONFIRM=0" TargetMode="External"/><Relationship Id="rId7176" Type="http://schemas.openxmlformats.org/officeDocument/2006/relationships/hyperlink" Target="https://pld.live/RapDetail.aspx?STONELIST=927070901&amp;ISCONFIRM=0" TargetMode="External"/><Relationship Id="rId7590" Type="http://schemas.openxmlformats.org/officeDocument/2006/relationships/hyperlink" Target="https://pld.live/RapDetail.aspx?STONELIST=925801474&amp;ISCONFIRM=0" TargetMode="External"/><Relationship Id="rId8227" Type="http://schemas.openxmlformats.org/officeDocument/2006/relationships/hyperlink" Target="https://pld.live/RapDetail.aspx?STONELIST=926100951&amp;ISCONFIRM=0" TargetMode="External"/><Relationship Id="rId3786" Type="http://schemas.openxmlformats.org/officeDocument/2006/relationships/hyperlink" Target="https://pld.live/RapDetail.aspx?STONELIST=941110476&amp;ISCONFIRM=0" TargetMode="External"/><Relationship Id="rId6192" Type="http://schemas.openxmlformats.org/officeDocument/2006/relationships/hyperlink" Target="https://pld.live/RapDetail.aspx?STONELIST=927070910&amp;ISCONFIRM=0" TargetMode="External"/><Relationship Id="rId7243" Type="http://schemas.openxmlformats.org/officeDocument/2006/relationships/hyperlink" Target="https://pld.live/RapDetail.aspx?STONELIST=821118011&amp;ISCONFIRM=0" TargetMode="External"/><Relationship Id="rId2388" Type="http://schemas.openxmlformats.org/officeDocument/2006/relationships/hyperlink" Target="https://pld.live/RapDetail.aspx?STONELIST=927152063&amp;ISCONFIRM=0" TargetMode="External"/><Relationship Id="rId3439" Type="http://schemas.openxmlformats.org/officeDocument/2006/relationships/hyperlink" Target="https://pld.live/RapDetail.aspx?STONELIST=925981253&amp;ISCONFIRM=0" TargetMode="External"/><Relationship Id="rId4837" Type="http://schemas.openxmlformats.org/officeDocument/2006/relationships/hyperlink" Target="https://pld.live/RapDetail.aspx?STONELIST=831020526&amp;ISCONFIRM=0" TargetMode="External"/><Relationship Id="rId7310" Type="http://schemas.openxmlformats.org/officeDocument/2006/relationships/hyperlink" Target="https://pld.live/RapDetail.aspx?STONELIST=941150072&amp;ISCONFIRM=0" TargetMode="External"/><Relationship Id="rId3853" Type="http://schemas.openxmlformats.org/officeDocument/2006/relationships/hyperlink" Target="https://pld.live/RapDetail.aspx?STONELIST=926071721&amp;ISCONFIRM=0" TargetMode="External"/><Relationship Id="rId4904" Type="http://schemas.openxmlformats.org/officeDocument/2006/relationships/hyperlink" Target="https://pld.live/RapDetail.aspx?STONELIST=821113275&amp;ISCONFIRM=0" TargetMode="External"/><Relationship Id="rId774" Type="http://schemas.openxmlformats.org/officeDocument/2006/relationships/hyperlink" Target="https://pld.live/RapDetail.aspx?STONELIST=926020770&amp;ISCONFIRM=0" TargetMode="External"/><Relationship Id="rId1057" Type="http://schemas.openxmlformats.org/officeDocument/2006/relationships/hyperlink" Target="https://pld.live/RapDetail.aspx?STONELIST=926700794&amp;ISCONFIRM=0" TargetMode="External"/><Relationship Id="rId2455" Type="http://schemas.openxmlformats.org/officeDocument/2006/relationships/hyperlink" Target="https://pld.live/RapDetail.aspx?STONELIST=925910699&amp;ISCONFIRM=0" TargetMode="External"/><Relationship Id="rId3506" Type="http://schemas.openxmlformats.org/officeDocument/2006/relationships/hyperlink" Target="https://pld.live/RapDetail.aspx?STONELIST=926210843&amp;ISCONFIRM=0" TargetMode="External"/><Relationship Id="rId3920" Type="http://schemas.openxmlformats.org/officeDocument/2006/relationships/hyperlink" Target="https://pld.live/RapDetail.aspx?STONELIST=925551783&amp;ISCONFIRM=0" TargetMode="External"/><Relationship Id="rId8084" Type="http://schemas.openxmlformats.org/officeDocument/2006/relationships/hyperlink" Target="https://pld.live/RapDetail.aspx?STONELIST=923490358&amp;ISCONFIRM=0" TargetMode="External"/><Relationship Id="rId427" Type="http://schemas.openxmlformats.org/officeDocument/2006/relationships/hyperlink" Target="https://pld.live/RapDetail.aspx?STONELIST=831010824&amp;ISCONFIRM=0" TargetMode="External"/><Relationship Id="rId841" Type="http://schemas.openxmlformats.org/officeDocument/2006/relationships/hyperlink" Target="https://pld.live/RapDetail.aspx?STONELIST=821127523&amp;ISCONFIRM=0" TargetMode="External"/><Relationship Id="rId1471" Type="http://schemas.openxmlformats.org/officeDocument/2006/relationships/hyperlink" Target="https://pld.live/RapDetail.aspx?STONELIST=926221436&amp;ISCONFIRM=0" TargetMode="External"/><Relationship Id="rId2108" Type="http://schemas.openxmlformats.org/officeDocument/2006/relationships/hyperlink" Target="https://pld.live/RapDetail.aspx?STONELIST=926140419&amp;ISCONFIRM=0" TargetMode="External"/><Relationship Id="rId2522" Type="http://schemas.openxmlformats.org/officeDocument/2006/relationships/hyperlink" Target="https://pld.live/RapDetail.aspx?STONELIST=926491244&amp;ISCONFIRM=0" TargetMode="External"/><Relationship Id="rId5678" Type="http://schemas.openxmlformats.org/officeDocument/2006/relationships/hyperlink" Target="https://pld.live/RapDetail.aspx?STONELIST=924410860&amp;ISCONFIRM=0" TargetMode="External"/><Relationship Id="rId6729" Type="http://schemas.openxmlformats.org/officeDocument/2006/relationships/hyperlink" Target="https://pld.live/RapDetail.aspx?STONELIST=927132535&amp;ISCONFIRM=0" TargetMode="External"/><Relationship Id="rId1124" Type="http://schemas.openxmlformats.org/officeDocument/2006/relationships/hyperlink" Target="https://pld.live/RapDetail.aspx?STONELIST=926830963&amp;ISCONFIRM=0" TargetMode="External"/><Relationship Id="rId4694" Type="http://schemas.openxmlformats.org/officeDocument/2006/relationships/hyperlink" Target="https://pld.live/RapDetail.aspx?STONELIST=925710141&amp;ISCONFIRM=0" TargetMode="External"/><Relationship Id="rId5745" Type="http://schemas.openxmlformats.org/officeDocument/2006/relationships/hyperlink" Target="https://pld.live/RapDetail.aspx?STONELIST=924290620&amp;ISCONFIRM=0" TargetMode="External"/><Relationship Id="rId8151" Type="http://schemas.openxmlformats.org/officeDocument/2006/relationships/hyperlink" Target="https://pld.live/RapDetail.aspx?STONELIST=927140440&amp;ISCONFIRM=0" TargetMode="External"/><Relationship Id="rId3089" Type="http://schemas.openxmlformats.org/officeDocument/2006/relationships/hyperlink" Target="https://pld.live/RapDetail.aspx?STONELIST=821128374&amp;ISCONFIRM=0" TargetMode="External"/><Relationship Id="rId3296" Type="http://schemas.openxmlformats.org/officeDocument/2006/relationships/hyperlink" Target="https://pld.live/RapDetail.aspx?STONELIST=831020676&amp;ISCONFIRM=0" TargetMode="External"/><Relationship Id="rId4347" Type="http://schemas.openxmlformats.org/officeDocument/2006/relationships/hyperlink" Target="https://pld.live/RapDetail.aspx?STONELIST=926110877&amp;ISCONFIRM=0" TargetMode="External"/><Relationship Id="rId4554" Type="http://schemas.openxmlformats.org/officeDocument/2006/relationships/hyperlink" Target="https://pld.live/RapDetail.aspx?STONELIST=924571015&amp;ISCONFIRM=0" TargetMode="External"/><Relationship Id="rId4761" Type="http://schemas.openxmlformats.org/officeDocument/2006/relationships/hyperlink" Target="https://pld.live/RapDetail.aspx?STONELIST=926010083&amp;ISCONFIRM=0" TargetMode="External"/><Relationship Id="rId5605" Type="http://schemas.openxmlformats.org/officeDocument/2006/relationships/hyperlink" Target="https://pld.live/RapDetail.aspx?STONELIST=924390541&amp;ISCONFIRM=0" TargetMode="External"/><Relationship Id="rId8011" Type="http://schemas.openxmlformats.org/officeDocument/2006/relationships/hyperlink" Target="https://pld.live/RapDetail.aspx?STONELIST=925670217&amp;ISCONFIRM=0" TargetMode="External"/><Relationship Id="rId3156" Type="http://schemas.openxmlformats.org/officeDocument/2006/relationships/hyperlink" Target="https://pld.live/RapDetail.aspx?STONELIST=926210562&amp;ISCONFIRM=0" TargetMode="External"/><Relationship Id="rId3363" Type="http://schemas.openxmlformats.org/officeDocument/2006/relationships/hyperlink" Target="https://pld.live/RapDetail.aspx?STONELIST=926170735&amp;ISCONFIRM=0" TargetMode="External"/><Relationship Id="rId4207" Type="http://schemas.openxmlformats.org/officeDocument/2006/relationships/hyperlink" Target="https://pld.live/RapDetail.aspx?STONELIST=925721730&amp;ISCONFIRM=0" TargetMode="External"/><Relationship Id="rId4414" Type="http://schemas.openxmlformats.org/officeDocument/2006/relationships/hyperlink" Target="https://pld.live/RapDetail.aspx?STONELIST=925940662&amp;ISCONFIRM=0" TargetMode="External"/><Relationship Id="rId5812" Type="http://schemas.openxmlformats.org/officeDocument/2006/relationships/hyperlink" Target="https://pld.live/RapDetail.aspx?STONELIST=926050408&amp;ISCONFIRM=0" TargetMode="External"/><Relationship Id="rId284" Type="http://schemas.openxmlformats.org/officeDocument/2006/relationships/hyperlink" Target="https://pld.live/RapDetail.aspx?STONELIST=831020698&amp;ISCONFIRM=0" TargetMode="External"/><Relationship Id="rId491" Type="http://schemas.openxmlformats.org/officeDocument/2006/relationships/hyperlink" Target="https://pld.live/RapDetail.aspx?STONELIST=941280036&amp;ISCONFIRM=0" TargetMode="External"/><Relationship Id="rId2172" Type="http://schemas.openxmlformats.org/officeDocument/2006/relationships/hyperlink" Target="https://pld.live/RapDetail.aspx?STONELIST=926240765&amp;ISCONFIRM=0" TargetMode="External"/><Relationship Id="rId3016" Type="http://schemas.openxmlformats.org/officeDocument/2006/relationships/hyperlink" Target="https://pld.live/RapDetail.aspx?STONELIST=926111372&amp;ISCONFIRM=0" TargetMode="External"/><Relationship Id="rId3223" Type="http://schemas.openxmlformats.org/officeDocument/2006/relationships/hyperlink" Target="https://pld.live/RapDetail.aspx?STONELIST=924960328&amp;ISCONFIRM=0" TargetMode="External"/><Relationship Id="rId3570" Type="http://schemas.openxmlformats.org/officeDocument/2006/relationships/hyperlink" Target="https://pld.live/RapDetail.aspx?STONELIST=925410046&amp;ISCONFIRM=0" TargetMode="External"/><Relationship Id="rId4621" Type="http://schemas.openxmlformats.org/officeDocument/2006/relationships/hyperlink" Target="https://pld.live/RapDetail.aspx?STONELIST=927152826&amp;ISCONFIRM=0" TargetMode="External"/><Relationship Id="rId6379" Type="http://schemas.openxmlformats.org/officeDocument/2006/relationships/hyperlink" Target="https://pld.live/RapDetail.aspx?STONELIST=927030799&amp;ISCONFIRM=0" TargetMode="External"/><Relationship Id="rId7777" Type="http://schemas.openxmlformats.org/officeDocument/2006/relationships/hyperlink" Target="https://pld.live/RapDetail.aspx?STONELIST=924590319&amp;ISCONFIRM=0" TargetMode="External"/><Relationship Id="rId7984" Type="http://schemas.openxmlformats.org/officeDocument/2006/relationships/hyperlink" Target="https://pld.live/RapDetail.aspx?STONELIST=941070526&amp;ISCONFIRM=0" TargetMode="External"/><Relationship Id="rId144" Type="http://schemas.openxmlformats.org/officeDocument/2006/relationships/hyperlink" Target="https://pld.live/RapDetail.aspx?STONELIST=941050563&amp;ISCONFIRM=0" TargetMode="External"/><Relationship Id="rId3430" Type="http://schemas.openxmlformats.org/officeDocument/2006/relationships/hyperlink" Target="https://pld.live/RapDetail.aspx?STONELIST=926171082&amp;ISCONFIRM=0" TargetMode="External"/><Relationship Id="rId5188" Type="http://schemas.openxmlformats.org/officeDocument/2006/relationships/hyperlink" Target="https://pld.live/RapDetail.aspx?STONELIST=925951050&amp;ISCONFIRM=0" TargetMode="External"/><Relationship Id="rId6586" Type="http://schemas.openxmlformats.org/officeDocument/2006/relationships/hyperlink" Target="https://pld.live/RapDetail.aspx?STONELIST=926170586&amp;ISCONFIRM=0" TargetMode="External"/><Relationship Id="rId6793" Type="http://schemas.openxmlformats.org/officeDocument/2006/relationships/hyperlink" Target="https://pld.live/RapDetail.aspx?STONELIST=821115811&amp;ISCONFIRM=0" TargetMode="External"/><Relationship Id="rId7637" Type="http://schemas.openxmlformats.org/officeDocument/2006/relationships/hyperlink" Target="https://pld.live/RapDetail.aspx?STONELIST=926690912&amp;ISCONFIRM=0" TargetMode="External"/><Relationship Id="rId7844" Type="http://schemas.openxmlformats.org/officeDocument/2006/relationships/hyperlink" Target="https://pld.live/RapDetail.aspx?STONELIST=924290002&amp;ISCONFIRM=0" TargetMode="External"/><Relationship Id="rId351" Type="http://schemas.openxmlformats.org/officeDocument/2006/relationships/hyperlink" Target="https://pld.live/RapDetail.aspx?STONELIST=831020709&amp;ISCONFIRM=0" TargetMode="External"/><Relationship Id="rId2032" Type="http://schemas.openxmlformats.org/officeDocument/2006/relationships/hyperlink" Target="https://pld.live/RapDetail.aspx?STONELIST=941380292&amp;ISCONFIRM=0" TargetMode="External"/><Relationship Id="rId2989" Type="http://schemas.openxmlformats.org/officeDocument/2006/relationships/hyperlink" Target="https://pld.live/RapDetail.aspx?STONELIST=821128378&amp;ISCONFIRM=0" TargetMode="External"/><Relationship Id="rId5395" Type="http://schemas.openxmlformats.org/officeDocument/2006/relationships/hyperlink" Target="https://pld.live/RapDetail.aspx?STONELIST=941180075&amp;ISCONFIRM=0" TargetMode="External"/><Relationship Id="rId6239" Type="http://schemas.openxmlformats.org/officeDocument/2006/relationships/hyperlink" Target="https://pld.live/RapDetail.aspx?STONELIST=941110566&amp;ISCONFIRM=0" TargetMode="External"/><Relationship Id="rId6446" Type="http://schemas.openxmlformats.org/officeDocument/2006/relationships/hyperlink" Target="https://pld.live/RapDetail.aspx?STONELIST=821130973&amp;ISCONFIRM=0" TargetMode="External"/><Relationship Id="rId6653" Type="http://schemas.openxmlformats.org/officeDocument/2006/relationships/hyperlink" Target="https://pld.live/RapDetail.aspx?STONELIST=927052734&amp;ISCONFIRM=0" TargetMode="External"/><Relationship Id="rId6860" Type="http://schemas.openxmlformats.org/officeDocument/2006/relationships/hyperlink" Target="https://pld.live/RapDetail.aspx?STONELIST=941330558&amp;ISCONFIRM=0" TargetMode="External"/><Relationship Id="rId7704" Type="http://schemas.openxmlformats.org/officeDocument/2006/relationships/hyperlink" Target="https://pld.live/RapDetail.aspx?STONELIST=941270806&amp;ISCONFIRM=0" TargetMode="External"/><Relationship Id="rId7911" Type="http://schemas.openxmlformats.org/officeDocument/2006/relationships/hyperlink" Target="https://pld.live/RapDetail.aspx?STONELIST=941020790&amp;ISCONFIRM=0" TargetMode="External"/><Relationship Id="rId211" Type="http://schemas.openxmlformats.org/officeDocument/2006/relationships/hyperlink" Target="https://pld.live/RapDetail.aspx?STONELIST=926380299&amp;ISCONFIRM=0" TargetMode="External"/><Relationship Id="rId1798" Type="http://schemas.openxmlformats.org/officeDocument/2006/relationships/hyperlink" Target="https://pld.live/RapDetail.aspx?STONELIST=941270652&amp;ISCONFIRM=0" TargetMode="External"/><Relationship Id="rId2849" Type="http://schemas.openxmlformats.org/officeDocument/2006/relationships/hyperlink" Target="https://pld.live/RapDetail.aspx?STONELIST=925552021&amp;ISCONFIRM=0" TargetMode="External"/><Relationship Id="rId5048" Type="http://schemas.openxmlformats.org/officeDocument/2006/relationships/hyperlink" Target="https://pld.live/RapDetail.aspx?STONELIST=925501267&amp;ISCONFIRM=0" TargetMode="External"/><Relationship Id="rId5255" Type="http://schemas.openxmlformats.org/officeDocument/2006/relationships/hyperlink" Target="https://pld.live/RapDetail.aspx?STONELIST=831010161&amp;ISCONFIRM=0" TargetMode="External"/><Relationship Id="rId5462" Type="http://schemas.openxmlformats.org/officeDocument/2006/relationships/hyperlink" Target="https://pld.live/RapDetail.aspx?STONELIST=923570780&amp;ISCONFIRM=0" TargetMode="External"/><Relationship Id="rId6306" Type="http://schemas.openxmlformats.org/officeDocument/2006/relationships/hyperlink" Target="https://pld.live/RapDetail.aspx?STONELIST=821126154&amp;ISCONFIRM=0" TargetMode="External"/><Relationship Id="rId6513" Type="http://schemas.openxmlformats.org/officeDocument/2006/relationships/hyperlink" Target="https://pld.live/RapDetail.aspx?STONELIST=927060749&amp;ISCONFIRM=0" TargetMode="External"/><Relationship Id="rId6720" Type="http://schemas.openxmlformats.org/officeDocument/2006/relationships/hyperlink" Target="https://pld.live/RapDetail.aspx?STONELIST=927102495&amp;ISCONFIRM=0" TargetMode="External"/><Relationship Id="rId1658" Type="http://schemas.openxmlformats.org/officeDocument/2006/relationships/hyperlink" Target="https://pld.live/RapDetail.aspx?STONELIST=926220785&amp;ISCONFIRM=0" TargetMode="External"/><Relationship Id="rId1865" Type="http://schemas.openxmlformats.org/officeDocument/2006/relationships/hyperlink" Target="https://pld.live/RapDetail.aspx?STONELIST=831010486&amp;ISCONFIRM=0" TargetMode="External"/><Relationship Id="rId2709" Type="http://schemas.openxmlformats.org/officeDocument/2006/relationships/hyperlink" Target="https://pld.live/RapDetail.aspx?STONELIST=831020191&amp;ISCONFIRM=0" TargetMode="External"/><Relationship Id="rId4064" Type="http://schemas.openxmlformats.org/officeDocument/2006/relationships/hyperlink" Target="https://pld.live/RapDetail.aspx?STONELIST=926200741&amp;ISCONFIRM=0" TargetMode="External"/><Relationship Id="rId4271" Type="http://schemas.openxmlformats.org/officeDocument/2006/relationships/hyperlink" Target="https://pld.live/RapDetail.aspx?STONELIST=925830516&amp;ISCONFIRM=0" TargetMode="External"/><Relationship Id="rId5115" Type="http://schemas.openxmlformats.org/officeDocument/2006/relationships/hyperlink" Target="https://pld.live/RapDetail.aspx?STONELIST=925850482&amp;ISCONFIRM=0" TargetMode="External"/><Relationship Id="rId5322" Type="http://schemas.openxmlformats.org/officeDocument/2006/relationships/hyperlink" Target="https://pld.live/RapDetail.aspx?STONELIST=926210584&amp;ISCONFIRM=0" TargetMode="External"/><Relationship Id="rId1518" Type="http://schemas.openxmlformats.org/officeDocument/2006/relationships/hyperlink" Target="https://pld.live/RapDetail.aspx?STONELIST=926280676&amp;ISCONFIRM=0" TargetMode="External"/><Relationship Id="rId2916" Type="http://schemas.openxmlformats.org/officeDocument/2006/relationships/hyperlink" Target="https://pld.live/RapDetail.aspx?STONELIST=925940667&amp;ISCONFIRM=0" TargetMode="External"/><Relationship Id="rId3080" Type="http://schemas.openxmlformats.org/officeDocument/2006/relationships/hyperlink" Target="https://pld.live/RapDetail.aspx?STONELIST=926111135&amp;ISCONFIRM=0" TargetMode="External"/><Relationship Id="rId4131" Type="http://schemas.openxmlformats.org/officeDocument/2006/relationships/hyperlink" Target="https://pld.live/RapDetail.aspx?STONELIST=926170786&amp;ISCONFIRM=0" TargetMode="External"/><Relationship Id="rId7287" Type="http://schemas.openxmlformats.org/officeDocument/2006/relationships/hyperlink" Target="https://pld.live/RapDetail.aspx?STONELIST=927060789&amp;ISCONFIRM=0" TargetMode="External"/><Relationship Id="rId7494" Type="http://schemas.openxmlformats.org/officeDocument/2006/relationships/hyperlink" Target="https://pld.live/RapDetail.aspx?STONELIST=926071823&amp;ISCONFIRM=0" TargetMode="External"/><Relationship Id="rId1725" Type="http://schemas.openxmlformats.org/officeDocument/2006/relationships/hyperlink" Target="https://pld.live/RapDetail.aspx?STONELIST=926941065&amp;ISCONFIRM=0" TargetMode="External"/><Relationship Id="rId1932" Type="http://schemas.openxmlformats.org/officeDocument/2006/relationships/hyperlink" Target="https://pld.live/RapDetail.aspx?STONELIST=926801383&amp;ISCONFIRM=0" TargetMode="External"/><Relationship Id="rId6096" Type="http://schemas.openxmlformats.org/officeDocument/2006/relationships/hyperlink" Target="https://pld.live/RapDetail.aspx?STONELIST=926560394&amp;ISCONFIRM=0" TargetMode="External"/><Relationship Id="rId7147" Type="http://schemas.openxmlformats.org/officeDocument/2006/relationships/hyperlink" Target="https://pld.live/RapDetail.aspx?STONELIST=941220659&amp;ISCONFIRM=0" TargetMode="External"/><Relationship Id="rId7354" Type="http://schemas.openxmlformats.org/officeDocument/2006/relationships/hyperlink" Target="https://pld.live/RapDetail.aspx?STONELIST=920470421&amp;ISCONFIRM=0" TargetMode="External"/><Relationship Id="rId17" Type="http://schemas.openxmlformats.org/officeDocument/2006/relationships/hyperlink" Target="https://pld.live/RapDetail.aspx?STONELIST=941330479&amp;ISCONFIRM=0" TargetMode="External"/><Relationship Id="rId3897" Type="http://schemas.openxmlformats.org/officeDocument/2006/relationships/hyperlink" Target="https://pld.live/RapDetail.aspx?STONELIST=925721917&amp;ISCONFIRM=0" TargetMode="External"/><Relationship Id="rId4948" Type="http://schemas.openxmlformats.org/officeDocument/2006/relationships/hyperlink" Target="https://pld.live/RapDetail.aspx?STONELIST=926170428&amp;ISCONFIRM=0" TargetMode="External"/><Relationship Id="rId6163" Type="http://schemas.openxmlformats.org/officeDocument/2006/relationships/hyperlink" Target="https://pld.live/RapDetail.aspx?STONELIST=941230273&amp;ISCONFIRM=0" TargetMode="External"/><Relationship Id="rId7007" Type="http://schemas.openxmlformats.org/officeDocument/2006/relationships/hyperlink" Target="https://pld.live/RapDetail.aspx?STONELIST=821113325&amp;ISCONFIRM=0" TargetMode="External"/><Relationship Id="rId7561" Type="http://schemas.openxmlformats.org/officeDocument/2006/relationships/hyperlink" Target="https://pld.live/RapDetail.aspx?STONELIST=925731416&amp;ISCONFIRM=0" TargetMode="External"/><Relationship Id="rId2499" Type="http://schemas.openxmlformats.org/officeDocument/2006/relationships/hyperlink" Target="https://pld.live/RapDetail.aspx?STONELIST=920661212&amp;ISCONFIRM=0" TargetMode="External"/><Relationship Id="rId3757" Type="http://schemas.openxmlformats.org/officeDocument/2006/relationships/hyperlink" Target="https://pld.live/RapDetail.aspx?STONELIST=925060320&amp;ISCONFIRM=0" TargetMode="External"/><Relationship Id="rId3964" Type="http://schemas.openxmlformats.org/officeDocument/2006/relationships/hyperlink" Target="https://pld.live/RapDetail.aspx?STONELIST=925971247&amp;ISCONFIRM=0" TargetMode="External"/><Relationship Id="rId4808" Type="http://schemas.openxmlformats.org/officeDocument/2006/relationships/hyperlink" Target="https://pld.live/RapDetail.aspx?STONELIST=821115776&amp;ISCONFIRM=0" TargetMode="External"/><Relationship Id="rId6370" Type="http://schemas.openxmlformats.org/officeDocument/2006/relationships/hyperlink" Target="https://pld.live/RapDetail.aspx?STONELIST=821114736&amp;ISCONFIRM=0" TargetMode="External"/><Relationship Id="rId7214" Type="http://schemas.openxmlformats.org/officeDocument/2006/relationships/hyperlink" Target="https://pld.live/RapDetail.aspx?STONELIST=821111862&amp;ISCONFIRM=0" TargetMode="External"/><Relationship Id="rId7421" Type="http://schemas.openxmlformats.org/officeDocument/2006/relationships/hyperlink" Target="https://pld.live/RapDetail.aspx?STONELIST=923750341&amp;ISCONFIRM=0" TargetMode="External"/><Relationship Id="rId1" Type="http://schemas.openxmlformats.org/officeDocument/2006/relationships/hyperlink" Target="https://pld.live/RapDetail.aspx?STONELIST=926780058&amp;ISCONFIRM=0" TargetMode="External"/><Relationship Id="rId678" Type="http://schemas.openxmlformats.org/officeDocument/2006/relationships/hyperlink" Target="https://pld.live/RapDetail.aspx?STONELIST=926101378&amp;ISCONFIRM=0" TargetMode="External"/><Relationship Id="rId885" Type="http://schemas.openxmlformats.org/officeDocument/2006/relationships/hyperlink" Target="https://pld.live/RapDetail.aspx?STONELIST=821127485&amp;ISCONFIRM=0" TargetMode="External"/><Relationship Id="rId2359" Type="http://schemas.openxmlformats.org/officeDocument/2006/relationships/hyperlink" Target="https://pld.live/RapDetail.aspx?STONELIST=926261503&amp;ISCONFIRM=0" TargetMode="External"/><Relationship Id="rId2566" Type="http://schemas.openxmlformats.org/officeDocument/2006/relationships/hyperlink" Target="https://pld.live/RapDetail.aspx?STONELIST=926141428&amp;ISCONFIRM=0" TargetMode="External"/><Relationship Id="rId2773" Type="http://schemas.openxmlformats.org/officeDocument/2006/relationships/hyperlink" Target="https://pld.live/RapDetail.aspx?STONELIST=927080699&amp;ISCONFIRM=0" TargetMode="External"/><Relationship Id="rId2980" Type="http://schemas.openxmlformats.org/officeDocument/2006/relationships/hyperlink" Target="https://pld.live/RapDetail.aspx?STONELIST=925900584&amp;ISCONFIRM=0" TargetMode="External"/><Relationship Id="rId3617" Type="http://schemas.openxmlformats.org/officeDocument/2006/relationships/hyperlink" Target="https://pld.live/RapDetail.aspx?STONELIST=925630445&amp;ISCONFIRM=0" TargetMode="External"/><Relationship Id="rId3824" Type="http://schemas.openxmlformats.org/officeDocument/2006/relationships/hyperlink" Target="https://pld.live/RapDetail.aspx?STONELIST=941100581&amp;ISCONFIRM=0" TargetMode="External"/><Relationship Id="rId6023" Type="http://schemas.openxmlformats.org/officeDocument/2006/relationships/hyperlink" Target="https://pld.live/RapDetail.aspx?STONELIST=925750680&amp;ISCONFIRM=0" TargetMode="External"/><Relationship Id="rId6230" Type="http://schemas.openxmlformats.org/officeDocument/2006/relationships/hyperlink" Target="https://pld.live/RapDetail.aspx?STONELIST=927070932&amp;ISCONFIRM=0" TargetMode="External"/><Relationship Id="rId538" Type="http://schemas.openxmlformats.org/officeDocument/2006/relationships/hyperlink" Target="https://pld.live/RapDetail.aspx?STONELIST=925620566&amp;ISCONFIRM=0" TargetMode="External"/><Relationship Id="rId745" Type="http://schemas.openxmlformats.org/officeDocument/2006/relationships/hyperlink" Target="https://pld.live/RapDetail.aspx?STONELIST=821127522&amp;ISCONFIRM=0" TargetMode="External"/><Relationship Id="rId952" Type="http://schemas.openxmlformats.org/officeDocument/2006/relationships/hyperlink" Target="https://pld.live/RapDetail.aspx?STONELIST=925140205&amp;ISCONFIRM=0" TargetMode="External"/><Relationship Id="rId1168" Type="http://schemas.openxmlformats.org/officeDocument/2006/relationships/hyperlink" Target="https://pld.live/RapDetail.aspx?STONELIST=941021284&amp;ISCONFIRM=0" TargetMode="External"/><Relationship Id="rId1375" Type="http://schemas.openxmlformats.org/officeDocument/2006/relationships/hyperlink" Target="https://pld.live/RapDetail.aspx?STONELIST=926311295&amp;ISCONFIRM=0" TargetMode="External"/><Relationship Id="rId1582" Type="http://schemas.openxmlformats.org/officeDocument/2006/relationships/hyperlink" Target="https://pld.live/RapDetail.aspx?STONELIST=926221215&amp;ISCONFIRM=0" TargetMode="External"/><Relationship Id="rId2219" Type="http://schemas.openxmlformats.org/officeDocument/2006/relationships/hyperlink" Target="https://pld.live/RapDetail.aspx?STONELIST=821127871&amp;ISCONFIRM=0" TargetMode="External"/><Relationship Id="rId2426" Type="http://schemas.openxmlformats.org/officeDocument/2006/relationships/hyperlink" Target="https://pld.live/RapDetail.aspx?STONELIST=926240698&amp;ISCONFIRM=0" TargetMode="External"/><Relationship Id="rId2633" Type="http://schemas.openxmlformats.org/officeDocument/2006/relationships/hyperlink" Target="https://pld.live/RapDetail.aspx?STONELIST=926240687&amp;ISCONFIRM=0" TargetMode="External"/><Relationship Id="rId5789" Type="http://schemas.openxmlformats.org/officeDocument/2006/relationships/hyperlink" Target="https://pld.live/RapDetail.aspx?STONELIST=941160493&amp;ISCONFIRM=0" TargetMode="External"/><Relationship Id="rId5996" Type="http://schemas.openxmlformats.org/officeDocument/2006/relationships/hyperlink" Target="https://pld.live/RapDetail.aspx?STONELIST=941071396&amp;ISCONFIRM=0" TargetMode="External"/><Relationship Id="rId8195" Type="http://schemas.openxmlformats.org/officeDocument/2006/relationships/hyperlink" Target="https://pld.live/RapDetail.aspx?STONELIST=926820141&amp;ISCONFIRM=0" TargetMode="External"/><Relationship Id="rId81" Type="http://schemas.openxmlformats.org/officeDocument/2006/relationships/hyperlink" Target="https://pld.live/RapDetail.aspx?STONELIST=926560232&amp;ISCONFIRM=0" TargetMode="External"/><Relationship Id="rId605" Type="http://schemas.openxmlformats.org/officeDocument/2006/relationships/hyperlink" Target="https://pld.live/RapDetail.aspx?STONELIST=926201007&amp;ISCONFIRM=0" TargetMode="External"/><Relationship Id="rId812" Type="http://schemas.openxmlformats.org/officeDocument/2006/relationships/hyperlink" Target="https://pld.live/RapDetail.aspx?STONELIST=926071067&amp;ISCONFIRM=0" TargetMode="External"/><Relationship Id="rId1028" Type="http://schemas.openxmlformats.org/officeDocument/2006/relationships/hyperlink" Target="https://pld.live/RapDetail.aspx?STONELIST=926831145&amp;ISCONFIRM=0" TargetMode="External"/><Relationship Id="rId1235" Type="http://schemas.openxmlformats.org/officeDocument/2006/relationships/hyperlink" Target="https://pld.live/RapDetail.aspx?STONELIST=925940575&amp;ISCONFIRM=0" TargetMode="External"/><Relationship Id="rId1442" Type="http://schemas.openxmlformats.org/officeDocument/2006/relationships/hyperlink" Target="https://pld.live/RapDetail.aspx?STONELIST=926671084&amp;ISCONFIRM=0" TargetMode="External"/><Relationship Id="rId2840" Type="http://schemas.openxmlformats.org/officeDocument/2006/relationships/hyperlink" Target="https://pld.live/RapDetail.aspx?STONELIST=924750401&amp;ISCONFIRM=0" TargetMode="External"/><Relationship Id="rId4598" Type="http://schemas.openxmlformats.org/officeDocument/2006/relationships/hyperlink" Target="https://pld.live/RapDetail.aspx?STONELIST=927152738&amp;ISCONFIRM=0" TargetMode="External"/><Relationship Id="rId5649" Type="http://schemas.openxmlformats.org/officeDocument/2006/relationships/hyperlink" Target="https://pld.live/RapDetail.aspx?STONELIST=941261051&amp;ISCONFIRM=0" TargetMode="External"/><Relationship Id="rId8055" Type="http://schemas.openxmlformats.org/officeDocument/2006/relationships/hyperlink" Target="https://pld.live/RapDetail.aspx?STONELIST=925961078&amp;ISCONFIRM=0" TargetMode="External"/><Relationship Id="rId8262" Type="http://schemas.openxmlformats.org/officeDocument/2006/relationships/drawing" Target="../drawings/drawing1.xml"/><Relationship Id="rId1302" Type="http://schemas.openxmlformats.org/officeDocument/2006/relationships/hyperlink" Target="https://pld.live/RapDetail.aspx?STONELIST=926250497&amp;ISCONFIRM=0" TargetMode="External"/><Relationship Id="rId2700" Type="http://schemas.openxmlformats.org/officeDocument/2006/relationships/hyperlink" Target="https://pld.live/RapDetail.aspx?STONELIST=926721279&amp;ISCONFIRM=0" TargetMode="External"/><Relationship Id="rId4458" Type="http://schemas.openxmlformats.org/officeDocument/2006/relationships/hyperlink" Target="https://pld.live/RapDetail.aspx?STONELIST=925280508&amp;ISCONFIRM=0" TargetMode="External"/><Relationship Id="rId5856" Type="http://schemas.openxmlformats.org/officeDocument/2006/relationships/hyperlink" Target="https://pld.live/RapDetail.aspx?STONELIST=926101212&amp;ISCONFIRM=0" TargetMode="External"/><Relationship Id="rId6907" Type="http://schemas.openxmlformats.org/officeDocument/2006/relationships/hyperlink" Target="https://pld.live/RapDetail.aspx?STONELIST=926171153&amp;ISCONFIRM=0" TargetMode="External"/><Relationship Id="rId7071" Type="http://schemas.openxmlformats.org/officeDocument/2006/relationships/hyperlink" Target="https://pld.live/RapDetail.aspx?STONELIST=927092571&amp;ISCONFIRM=0" TargetMode="External"/><Relationship Id="rId8122" Type="http://schemas.openxmlformats.org/officeDocument/2006/relationships/hyperlink" Target="https://pld.live/RapDetail.aspx?STONELIST=924580387&amp;ISCONFIRM=0" TargetMode="External"/><Relationship Id="rId3267" Type="http://schemas.openxmlformats.org/officeDocument/2006/relationships/hyperlink" Target="https://pld.live/RapDetail.aspx?STONELIST=941270785&amp;ISCONFIRM=0" TargetMode="External"/><Relationship Id="rId4665" Type="http://schemas.openxmlformats.org/officeDocument/2006/relationships/hyperlink" Target="https://pld.live/RapDetail.aspx?STONELIST=831010367&amp;ISCONFIRM=0" TargetMode="External"/><Relationship Id="rId4872" Type="http://schemas.openxmlformats.org/officeDocument/2006/relationships/hyperlink" Target="https://pld.live/RapDetail.aspx?STONELIST=831020615&amp;ISCONFIRM=0" TargetMode="External"/><Relationship Id="rId5509" Type="http://schemas.openxmlformats.org/officeDocument/2006/relationships/hyperlink" Target="https://pld.live/RapDetail.aspx?STONELIST=821113534&amp;ISCONFIRM=0" TargetMode="External"/><Relationship Id="rId5716" Type="http://schemas.openxmlformats.org/officeDocument/2006/relationships/hyperlink" Target="https://pld.live/RapDetail.aspx?STONELIST=924730260&amp;ISCONFIRM=0" TargetMode="External"/><Relationship Id="rId5923" Type="http://schemas.openxmlformats.org/officeDocument/2006/relationships/hyperlink" Target="https://pld.live/RapDetail.aspx?STONELIST=926071950&amp;ISCONFIRM=0" TargetMode="External"/><Relationship Id="rId188" Type="http://schemas.openxmlformats.org/officeDocument/2006/relationships/hyperlink" Target="https://pld.live/RapDetail.aspx?STONELIST=831020682&amp;ISCONFIRM=0" TargetMode="External"/><Relationship Id="rId395" Type="http://schemas.openxmlformats.org/officeDocument/2006/relationships/hyperlink" Target="https://pld.live/RapDetail.aspx?STONELIST=925981087&amp;ISCONFIRM=0" TargetMode="External"/><Relationship Id="rId2076" Type="http://schemas.openxmlformats.org/officeDocument/2006/relationships/hyperlink" Target="https://pld.live/RapDetail.aspx?STONELIST=821127920&amp;ISCONFIRM=0" TargetMode="External"/><Relationship Id="rId3474" Type="http://schemas.openxmlformats.org/officeDocument/2006/relationships/hyperlink" Target="https://pld.live/RapDetail.aspx?STONELIST=926171664&amp;ISCONFIRM=0" TargetMode="External"/><Relationship Id="rId3681" Type="http://schemas.openxmlformats.org/officeDocument/2006/relationships/hyperlink" Target="https://pld.live/RapDetail.aspx?STONELIST=925570091&amp;ISCONFIRM=0" TargetMode="External"/><Relationship Id="rId4318" Type="http://schemas.openxmlformats.org/officeDocument/2006/relationships/hyperlink" Target="https://pld.live/RapDetail.aspx?STONELIST=927052593&amp;ISCONFIRM=0" TargetMode="External"/><Relationship Id="rId4525" Type="http://schemas.openxmlformats.org/officeDocument/2006/relationships/hyperlink" Target="https://pld.live/RapDetail.aspx?STONELIST=941190386&amp;ISCONFIRM=0" TargetMode="External"/><Relationship Id="rId4732" Type="http://schemas.openxmlformats.org/officeDocument/2006/relationships/hyperlink" Target="https://pld.live/RapDetail.aspx?STONELIST=924590283&amp;ISCONFIRM=0" TargetMode="External"/><Relationship Id="rId7888" Type="http://schemas.openxmlformats.org/officeDocument/2006/relationships/hyperlink" Target="https://pld.live/RapDetail.aspx?STONELIST=941070525&amp;ISCONFIRM=0" TargetMode="External"/><Relationship Id="rId2283" Type="http://schemas.openxmlformats.org/officeDocument/2006/relationships/hyperlink" Target="https://pld.live/RapDetail.aspx?STONELIST=926181028&amp;ISCONFIRM=0" TargetMode="External"/><Relationship Id="rId2490" Type="http://schemas.openxmlformats.org/officeDocument/2006/relationships/hyperlink" Target="https://pld.live/RapDetail.aspx?STONELIST=926190941&amp;ISCONFIRM=0" TargetMode="External"/><Relationship Id="rId3127" Type="http://schemas.openxmlformats.org/officeDocument/2006/relationships/hyperlink" Target="https://pld.live/RapDetail.aspx?STONELIST=925260306&amp;ISCONFIRM=0" TargetMode="External"/><Relationship Id="rId3334" Type="http://schemas.openxmlformats.org/officeDocument/2006/relationships/hyperlink" Target="https://pld.live/RapDetail.aspx?STONELIST=831020084&amp;ISCONFIRM=0" TargetMode="External"/><Relationship Id="rId3541" Type="http://schemas.openxmlformats.org/officeDocument/2006/relationships/hyperlink" Target="https://pld.live/RapDetail.aspx?STONELIST=831010220&amp;ISCONFIRM=0" TargetMode="External"/><Relationship Id="rId6697" Type="http://schemas.openxmlformats.org/officeDocument/2006/relationships/hyperlink" Target="https://pld.live/RapDetail.aspx?STONELIST=927132522&amp;ISCONFIRM=0" TargetMode="External"/><Relationship Id="rId7748" Type="http://schemas.openxmlformats.org/officeDocument/2006/relationships/hyperlink" Target="https://pld.live/RapDetail.aspx?STONELIST=926360231&amp;ISCONFIRM=0" TargetMode="External"/><Relationship Id="rId7955" Type="http://schemas.openxmlformats.org/officeDocument/2006/relationships/hyperlink" Target="https://pld.live/RapDetail.aspx?STONELIST=927092320&amp;ISCONFIRM=0" TargetMode="External"/><Relationship Id="rId255" Type="http://schemas.openxmlformats.org/officeDocument/2006/relationships/hyperlink" Target="https://pld.live/RapDetail.aspx?STONELIST=924300566&amp;ISCONFIRM=0" TargetMode="External"/><Relationship Id="rId462" Type="http://schemas.openxmlformats.org/officeDocument/2006/relationships/hyperlink" Target="https://pld.live/RapDetail.aspx?STONELIST=924760113&amp;ISCONFIRM=0" TargetMode="External"/><Relationship Id="rId1092" Type="http://schemas.openxmlformats.org/officeDocument/2006/relationships/hyperlink" Target="https://pld.live/RapDetail.aspx?STONELIST=926700960&amp;ISCONFIRM=0" TargetMode="External"/><Relationship Id="rId2143" Type="http://schemas.openxmlformats.org/officeDocument/2006/relationships/hyperlink" Target="https://pld.live/RapDetail.aspx?STONELIST=926171232&amp;ISCONFIRM=0" TargetMode="External"/><Relationship Id="rId2350" Type="http://schemas.openxmlformats.org/officeDocument/2006/relationships/hyperlink" Target="https://pld.live/RapDetail.aspx?STONELIST=926181042&amp;ISCONFIRM=0" TargetMode="External"/><Relationship Id="rId3401" Type="http://schemas.openxmlformats.org/officeDocument/2006/relationships/hyperlink" Target="https://pld.live/RapDetail.aspx?STONELIST=924410797&amp;ISCONFIRM=0" TargetMode="External"/><Relationship Id="rId5299" Type="http://schemas.openxmlformats.org/officeDocument/2006/relationships/hyperlink" Target="https://pld.live/RapDetail.aspx?STONELIST=926620211&amp;ISCONFIRM=0" TargetMode="External"/><Relationship Id="rId6557" Type="http://schemas.openxmlformats.org/officeDocument/2006/relationships/hyperlink" Target="https://pld.live/RapDetail.aspx?STONELIST=927052693&amp;ISCONFIRM=0" TargetMode="External"/><Relationship Id="rId6764" Type="http://schemas.openxmlformats.org/officeDocument/2006/relationships/hyperlink" Target="https://pld.live/RapDetail.aspx?STONELIST=941140850&amp;ISCONFIRM=0" TargetMode="External"/><Relationship Id="rId6971" Type="http://schemas.openxmlformats.org/officeDocument/2006/relationships/hyperlink" Target="https://pld.live/RapDetail.aspx?STONELIST=821126939&amp;ISCONFIRM=0" TargetMode="External"/><Relationship Id="rId7608" Type="http://schemas.openxmlformats.org/officeDocument/2006/relationships/hyperlink" Target="https://pld.live/RapDetail.aspx?STONELIST=923780385&amp;ISCONFIRM=0" TargetMode="External"/><Relationship Id="rId7815" Type="http://schemas.openxmlformats.org/officeDocument/2006/relationships/hyperlink" Target="https://pld.live/RapDetail.aspx?STONELIST=926972039&amp;ISCONFIRM=0" TargetMode="External"/><Relationship Id="rId115" Type="http://schemas.openxmlformats.org/officeDocument/2006/relationships/hyperlink" Target="https://pld.live/RapDetail.aspx?STONELIST=926540221&amp;ISCONFIRM=0" TargetMode="External"/><Relationship Id="rId322" Type="http://schemas.openxmlformats.org/officeDocument/2006/relationships/hyperlink" Target="https://pld.live/RapDetail.aspx?STONELIST=941430462&amp;ISCONFIRM=0" TargetMode="External"/><Relationship Id="rId2003" Type="http://schemas.openxmlformats.org/officeDocument/2006/relationships/hyperlink" Target="https://pld.live/RapDetail.aspx?STONELIST=941190098&amp;ISCONFIRM=0" TargetMode="External"/><Relationship Id="rId2210" Type="http://schemas.openxmlformats.org/officeDocument/2006/relationships/hyperlink" Target="https://pld.live/RapDetail.aspx?STONELIST=925290301&amp;ISCONFIRM=0" TargetMode="External"/><Relationship Id="rId5159" Type="http://schemas.openxmlformats.org/officeDocument/2006/relationships/hyperlink" Target="https://pld.live/RapDetail.aspx?STONELIST=925961386&amp;ISCONFIRM=0" TargetMode="External"/><Relationship Id="rId5366" Type="http://schemas.openxmlformats.org/officeDocument/2006/relationships/hyperlink" Target="https://pld.live/RapDetail.aspx?STONELIST=941170214&amp;ISCONFIRM=0" TargetMode="External"/><Relationship Id="rId5573" Type="http://schemas.openxmlformats.org/officeDocument/2006/relationships/hyperlink" Target="https://pld.live/RapDetail.aspx?STONELIST=926250017&amp;ISCONFIRM=0" TargetMode="External"/><Relationship Id="rId6417" Type="http://schemas.openxmlformats.org/officeDocument/2006/relationships/hyperlink" Target="https://pld.live/RapDetail.aspx?STONELIST=926750846&amp;ISCONFIRM=0" TargetMode="External"/><Relationship Id="rId6624" Type="http://schemas.openxmlformats.org/officeDocument/2006/relationships/hyperlink" Target="https://pld.live/RapDetail.aspx?STONELIST=927052728&amp;ISCONFIRM=0" TargetMode="External"/><Relationship Id="rId4175" Type="http://schemas.openxmlformats.org/officeDocument/2006/relationships/hyperlink" Target="https://pld.live/RapDetail.aspx?STONELIST=925722045&amp;ISCONFIRM=0" TargetMode="External"/><Relationship Id="rId4382" Type="http://schemas.openxmlformats.org/officeDocument/2006/relationships/hyperlink" Target="https://pld.live/RapDetail.aspx?STONELIST=926310637&amp;ISCONFIRM=0" TargetMode="External"/><Relationship Id="rId5019" Type="http://schemas.openxmlformats.org/officeDocument/2006/relationships/hyperlink" Target="https://pld.live/RapDetail.aspx?STONELIST=925801493&amp;ISCONFIRM=0" TargetMode="External"/><Relationship Id="rId5226" Type="http://schemas.openxmlformats.org/officeDocument/2006/relationships/hyperlink" Target="https://pld.live/RapDetail.aspx?STONELIST=926831148&amp;ISCONFIRM=0" TargetMode="External"/><Relationship Id="rId5433" Type="http://schemas.openxmlformats.org/officeDocument/2006/relationships/hyperlink" Target="https://pld.live/RapDetail.aspx?STONELIST=927100975&amp;ISCONFIRM=0" TargetMode="External"/><Relationship Id="rId5780" Type="http://schemas.openxmlformats.org/officeDocument/2006/relationships/hyperlink" Target="https://pld.live/RapDetail.aspx?STONELIST=941400567&amp;ISCONFIRM=0" TargetMode="External"/><Relationship Id="rId6831" Type="http://schemas.openxmlformats.org/officeDocument/2006/relationships/hyperlink" Target="https://pld.live/RapDetail.aspx?STONELIST=926930926&amp;ISCONFIRM=0" TargetMode="External"/><Relationship Id="rId1769" Type="http://schemas.openxmlformats.org/officeDocument/2006/relationships/hyperlink" Target="https://pld.live/RapDetail.aspx?STONELIST=926330699&amp;ISCONFIRM=0" TargetMode="External"/><Relationship Id="rId1976" Type="http://schemas.openxmlformats.org/officeDocument/2006/relationships/hyperlink" Target="https://pld.live/RapDetail.aspx?STONELIST=941230176&amp;ISCONFIRM=0" TargetMode="External"/><Relationship Id="rId3191" Type="http://schemas.openxmlformats.org/officeDocument/2006/relationships/hyperlink" Target="https://pld.live/RapDetail.aspx?STONELIST=925040392&amp;ISCONFIRM=0" TargetMode="External"/><Relationship Id="rId4035" Type="http://schemas.openxmlformats.org/officeDocument/2006/relationships/hyperlink" Target="https://pld.live/RapDetail.aspx?STONELIST=925551847&amp;ISCONFIRM=0" TargetMode="External"/><Relationship Id="rId4242" Type="http://schemas.openxmlformats.org/officeDocument/2006/relationships/hyperlink" Target="https://pld.live/RapDetail.aspx?STONELIST=821125444&amp;ISCONFIRM=0" TargetMode="External"/><Relationship Id="rId5640" Type="http://schemas.openxmlformats.org/officeDocument/2006/relationships/hyperlink" Target="https://pld.live/RapDetail.aspx?STONELIST=941261070&amp;ISCONFIRM=0" TargetMode="External"/><Relationship Id="rId7398" Type="http://schemas.openxmlformats.org/officeDocument/2006/relationships/hyperlink" Target="https://pld.live/RapDetail.aspx?STONELIST=925880040&amp;ISCONFIRM=0" TargetMode="External"/><Relationship Id="rId1629" Type="http://schemas.openxmlformats.org/officeDocument/2006/relationships/hyperlink" Target="https://pld.live/RapDetail.aspx?STONELIST=926301038&amp;ISCONFIRM=0" TargetMode="External"/><Relationship Id="rId1836" Type="http://schemas.openxmlformats.org/officeDocument/2006/relationships/hyperlink" Target="https://pld.live/RapDetail.aspx?STONELIST=925840786&amp;ISCONFIRM=0" TargetMode="External"/><Relationship Id="rId5500" Type="http://schemas.openxmlformats.org/officeDocument/2006/relationships/hyperlink" Target="https://pld.live/RapDetail.aspx?STONELIST=925621970&amp;ISCONFIRM=0" TargetMode="External"/><Relationship Id="rId1903" Type="http://schemas.openxmlformats.org/officeDocument/2006/relationships/hyperlink" Target="https://pld.live/RapDetail.aspx?STONELIST=926801389&amp;ISCONFIRM=0" TargetMode="External"/><Relationship Id="rId3051" Type="http://schemas.openxmlformats.org/officeDocument/2006/relationships/hyperlink" Target="https://pld.live/RapDetail.aspx?STONELIST=926311148&amp;ISCONFIRM=0" TargetMode="External"/><Relationship Id="rId4102" Type="http://schemas.openxmlformats.org/officeDocument/2006/relationships/hyperlink" Target="https://pld.live/RapDetail.aspx?STONELIST=925621571&amp;ISCONFIRM=0" TargetMode="External"/><Relationship Id="rId7258" Type="http://schemas.openxmlformats.org/officeDocument/2006/relationships/hyperlink" Target="https://pld.live/RapDetail.aspx?STONELIST=927052650&amp;ISCONFIRM=0" TargetMode="External"/><Relationship Id="rId7465" Type="http://schemas.openxmlformats.org/officeDocument/2006/relationships/hyperlink" Target="https://pld.live/RapDetail.aspx?STONELIST=925731567&amp;ISCONFIRM=0" TargetMode="External"/><Relationship Id="rId7672" Type="http://schemas.openxmlformats.org/officeDocument/2006/relationships/hyperlink" Target="https://pld.live/RapDetail.aspx?STONELIST=941261116&amp;ISCONFIRM=0" TargetMode="External"/><Relationship Id="rId3868" Type="http://schemas.openxmlformats.org/officeDocument/2006/relationships/hyperlink" Target="https://pld.live/RapDetail.aspx?STONELIST=925771334&amp;ISCONFIRM=0" TargetMode="External"/><Relationship Id="rId4919" Type="http://schemas.openxmlformats.org/officeDocument/2006/relationships/hyperlink" Target="https://pld.live/RapDetail.aspx?STONELIST=926910557&amp;ISCONFIRM=0" TargetMode="External"/><Relationship Id="rId6067" Type="http://schemas.openxmlformats.org/officeDocument/2006/relationships/hyperlink" Target="https://pld.live/RapDetail.aspx?STONELIST=927102506&amp;ISCONFIRM=0" TargetMode="External"/><Relationship Id="rId6274" Type="http://schemas.openxmlformats.org/officeDocument/2006/relationships/hyperlink" Target="https://pld.live/RapDetail.aspx?STONELIST=941090652&amp;ISCONFIRM=0" TargetMode="External"/><Relationship Id="rId6481" Type="http://schemas.openxmlformats.org/officeDocument/2006/relationships/hyperlink" Target="https://pld.live/RapDetail.aspx?STONELIST=831020467&amp;ISCONFIRM=0" TargetMode="External"/><Relationship Id="rId7118" Type="http://schemas.openxmlformats.org/officeDocument/2006/relationships/hyperlink" Target="https://pld.live/RapDetail.aspx?STONELIST=941170655&amp;ISCONFIRM=0" TargetMode="External"/><Relationship Id="rId7325" Type="http://schemas.openxmlformats.org/officeDocument/2006/relationships/hyperlink" Target="https://pld.live/RapDetail.aspx?STONELIST=926790843&amp;ISCONFIRM=0" TargetMode="External"/><Relationship Id="rId7532" Type="http://schemas.openxmlformats.org/officeDocument/2006/relationships/hyperlink" Target="https://pld.live/RapDetail.aspx?STONELIST=925732111&amp;ISCONFIRM=0" TargetMode="External"/><Relationship Id="rId789" Type="http://schemas.openxmlformats.org/officeDocument/2006/relationships/hyperlink" Target="https://pld.live/RapDetail.aspx?STONELIST=925961288&amp;ISCONFIRM=0" TargetMode="External"/><Relationship Id="rId996" Type="http://schemas.openxmlformats.org/officeDocument/2006/relationships/hyperlink" Target="https://pld.live/RapDetail.aspx?STONELIST=927051972&amp;ISCONFIRM=0" TargetMode="External"/><Relationship Id="rId2677" Type="http://schemas.openxmlformats.org/officeDocument/2006/relationships/hyperlink" Target="https://pld.live/RapDetail.aspx?STONELIST=926191240&amp;ISCONFIRM=0" TargetMode="External"/><Relationship Id="rId2884" Type="http://schemas.openxmlformats.org/officeDocument/2006/relationships/hyperlink" Target="https://pld.live/RapDetail.aspx?STONELIST=923490333&amp;ISCONFIRM=0" TargetMode="External"/><Relationship Id="rId3728" Type="http://schemas.openxmlformats.org/officeDocument/2006/relationships/hyperlink" Target="https://pld.live/RapDetail.aspx?STONELIST=831020647&amp;ISCONFIRM=0" TargetMode="External"/><Relationship Id="rId5083" Type="http://schemas.openxmlformats.org/officeDocument/2006/relationships/hyperlink" Target="https://pld.live/RapDetail.aspx?STONELIST=925861556&amp;ISCONFIRM=0" TargetMode="External"/><Relationship Id="rId5290" Type="http://schemas.openxmlformats.org/officeDocument/2006/relationships/hyperlink" Target="https://pld.live/RapDetail.aspx?STONELIST=926291226&amp;ISCONFIRM=0" TargetMode="External"/><Relationship Id="rId6134" Type="http://schemas.openxmlformats.org/officeDocument/2006/relationships/hyperlink" Target="https://pld.live/RapDetail.aspx?STONELIST=926150079&amp;ISCONFIRM=0" TargetMode="External"/><Relationship Id="rId6341" Type="http://schemas.openxmlformats.org/officeDocument/2006/relationships/hyperlink" Target="https://pld.live/RapDetail.aspx?STONELIST=831010609&amp;ISCONFIRM=0" TargetMode="External"/><Relationship Id="rId649" Type="http://schemas.openxmlformats.org/officeDocument/2006/relationships/hyperlink" Target="https://pld.live/RapDetail.aspx?STONELIST=926071525&amp;ISCONFIRM=0" TargetMode="External"/><Relationship Id="rId856" Type="http://schemas.openxmlformats.org/officeDocument/2006/relationships/hyperlink" Target="https://pld.live/RapDetail.aspx?STONELIST=926110863&amp;ISCONFIRM=0" TargetMode="External"/><Relationship Id="rId1279" Type="http://schemas.openxmlformats.org/officeDocument/2006/relationships/hyperlink" Target="https://pld.live/RapDetail.aspx?STONELIST=926250619&amp;ISCONFIRM=0" TargetMode="External"/><Relationship Id="rId1486" Type="http://schemas.openxmlformats.org/officeDocument/2006/relationships/hyperlink" Target="https://pld.live/RapDetail.aspx?STONELIST=926311325&amp;ISCONFIRM=0" TargetMode="External"/><Relationship Id="rId2537" Type="http://schemas.openxmlformats.org/officeDocument/2006/relationships/hyperlink" Target="https://pld.live/RapDetail.aspx?STONELIST=926261440&amp;ISCONFIRM=0" TargetMode="External"/><Relationship Id="rId3935" Type="http://schemas.openxmlformats.org/officeDocument/2006/relationships/hyperlink" Target="https://pld.live/RapDetail.aspx?STONELIST=821121400&amp;ISCONFIRM=0" TargetMode="External"/><Relationship Id="rId5150" Type="http://schemas.openxmlformats.org/officeDocument/2006/relationships/hyperlink" Target="https://pld.live/RapDetail.aspx?STONELIST=926830883&amp;ISCONFIRM=0" TargetMode="External"/><Relationship Id="rId6201" Type="http://schemas.openxmlformats.org/officeDocument/2006/relationships/hyperlink" Target="https://pld.live/RapDetail.aspx?STONELIST=831020260&amp;ISCONFIRM=0" TargetMode="External"/><Relationship Id="rId8099" Type="http://schemas.openxmlformats.org/officeDocument/2006/relationships/hyperlink" Target="https://pld.live/RapDetail.aspx?STONELIST=926020774&amp;ISCONFIRM=0" TargetMode="External"/><Relationship Id="rId509" Type="http://schemas.openxmlformats.org/officeDocument/2006/relationships/hyperlink" Target="https://pld.live/RapDetail.aspx?STONELIST=926171629&amp;ISCONFIRM=0" TargetMode="External"/><Relationship Id="rId1139" Type="http://schemas.openxmlformats.org/officeDocument/2006/relationships/hyperlink" Target="https://pld.live/RapDetail.aspx?STONELIST=927150773&amp;ISCONFIRM=0" TargetMode="External"/><Relationship Id="rId1346" Type="http://schemas.openxmlformats.org/officeDocument/2006/relationships/hyperlink" Target="https://pld.live/RapDetail.aspx?STONELIST=926311380&amp;ISCONFIRM=0" TargetMode="External"/><Relationship Id="rId1693" Type="http://schemas.openxmlformats.org/officeDocument/2006/relationships/hyperlink" Target="https://pld.live/RapDetail.aspx?STONELIST=925910750&amp;ISCONFIRM=0" TargetMode="External"/><Relationship Id="rId2744" Type="http://schemas.openxmlformats.org/officeDocument/2006/relationships/hyperlink" Target="https://pld.live/RapDetail.aspx?STONELIST=831020562&amp;ISCONFIRM=0" TargetMode="External"/><Relationship Id="rId2951" Type="http://schemas.openxmlformats.org/officeDocument/2006/relationships/hyperlink" Target="https://pld.live/RapDetail.aspx?STONELIST=925940637&amp;ISCONFIRM=0" TargetMode="External"/><Relationship Id="rId5010" Type="http://schemas.openxmlformats.org/officeDocument/2006/relationships/hyperlink" Target="https://pld.live/RapDetail.aspx?STONELIST=926020524&amp;ISCONFIRM=0" TargetMode="External"/><Relationship Id="rId8166" Type="http://schemas.openxmlformats.org/officeDocument/2006/relationships/hyperlink" Target="https://pld.live/RapDetail.aspx?STONELIST=924450031&amp;ISCONFIRM=0" TargetMode="External"/><Relationship Id="rId716" Type="http://schemas.openxmlformats.org/officeDocument/2006/relationships/hyperlink" Target="https://pld.live/RapDetail.aspx?STONELIST=821127579&amp;ISCONFIRM=0" TargetMode="External"/><Relationship Id="rId923" Type="http://schemas.openxmlformats.org/officeDocument/2006/relationships/hyperlink" Target="https://pld.live/RapDetail.aspx?STONELIST=821127541&amp;ISCONFIRM=0" TargetMode="External"/><Relationship Id="rId1553" Type="http://schemas.openxmlformats.org/officeDocument/2006/relationships/hyperlink" Target="https://pld.live/RapDetail.aspx?STONELIST=925791050&amp;ISCONFIRM=0" TargetMode="External"/><Relationship Id="rId1760" Type="http://schemas.openxmlformats.org/officeDocument/2006/relationships/hyperlink" Target="https://pld.live/RapDetail.aspx?STONELIST=941080554&amp;ISCONFIRM=0" TargetMode="External"/><Relationship Id="rId2604" Type="http://schemas.openxmlformats.org/officeDocument/2006/relationships/hyperlink" Target="https://pld.live/RapDetail.aspx?STONELIST=941230205&amp;ISCONFIRM=0" TargetMode="External"/><Relationship Id="rId2811" Type="http://schemas.openxmlformats.org/officeDocument/2006/relationships/hyperlink" Target="https://pld.live/RapDetail.aspx?STONELIST=925961157&amp;ISCONFIRM=0" TargetMode="External"/><Relationship Id="rId5967" Type="http://schemas.openxmlformats.org/officeDocument/2006/relationships/hyperlink" Target="https://pld.live/RapDetail.aspx?STONELIST=941071350&amp;ISCONFIRM=0" TargetMode="External"/><Relationship Id="rId8026" Type="http://schemas.openxmlformats.org/officeDocument/2006/relationships/hyperlink" Target="https://pld.live/RapDetail.aspx?STONELIST=925750501&amp;ISCONFIRM=0" TargetMode="External"/><Relationship Id="rId52" Type="http://schemas.openxmlformats.org/officeDocument/2006/relationships/hyperlink" Target="https://pld.live/RapDetail.aspx?STONELIST=831020741&amp;ISCONFIRM=0" TargetMode="External"/><Relationship Id="rId1206" Type="http://schemas.openxmlformats.org/officeDocument/2006/relationships/hyperlink" Target="https://pld.live/RapDetail.aspx?STONELIST=927052455&amp;ISCONFIRM=0" TargetMode="External"/><Relationship Id="rId1413" Type="http://schemas.openxmlformats.org/officeDocument/2006/relationships/hyperlink" Target="https://pld.live/RapDetail.aspx?STONELIST=926250507&amp;ISCONFIRM=0" TargetMode="External"/><Relationship Id="rId1620" Type="http://schemas.openxmlformats.org/officeDocument/2006/relationships/hyperlink" Target="https://pld.live/RapDetail.aspx?STONELIST=926211096&amp;ISCONFIRM=0" TargetMode="External"/><Relationship Id="rId4569" Type="http://schemas.openxmlformats.org/officeDocument/2006/relationships/hyperlink" Target="https://pld.live/RapDetail.aspx?STONELIST=941190337&amp;ISCONFIRM=0" TargetMode="External"/><Relationship Id="rId4776" Type="http://schemas.openxmlformats.org/officeDocument/2006/relationships/hyperlink" Target="https://pld.live/RapDetail.aspx?STONELIST=925700060&amp;ISCONFIRM=0" TargetMode="External"/><Relationship Id="rId4983" Type="http://schemas.openxmlformats.org/officeDocument/2006/relationships/hyperlink" Target="https://pld.live/RapDetail.aspx?STONELIST=926171282&amp;ISCONFIRM=0" TargetMode="External"/><Relationship Id="rId5827" Type="http://schemas.openxmlformats.org/officeDocument/2006/relationships/hyperlink" Target="https://pld.live/RapDetail.aspx?STONELIST=926540194&amp;ISCONFIRM=0" TargetMode="External"/><Relationship Id="rId7182" Type="http://schemas.openxmlformats.org/officeDocument/2006/relationships/hyperlink" Target="https://pld.live/RapDetail.aspx?STONELIST=927020687&amp;ISCONFIRM=0" TargetMode="External"/><Relationship Id="rId8233" Type="http://schemas.openxmlformats.org/officeDocument/2006/relationships/hyperlink" Target="https://pld.live/RapDetail.aspx?STONELIST=924610413&amp;ISCONFIRM=0" TargetMode="External"/><Relationship Id="rId3378" Type="http://schemas.openxmlformats.org/officeDocument/2006/relationships/hyperlink" Target="https://pld.live/RapDetail.aspx?STONELIST=925360415&amp;ISCONFIRM=0" TargetMode="External"/><Relationship Id="rId3585" Type="http://schemas.openxmlformats.org/officeDocument/2006/relationships/hyperlink" Target="https://pld.live/RapDetail.aspx?STONELIST=926410439&amp;ISCONFIRM=0" TargetMode="External"/><Relationship Id="rId3792" Type="http://schemas.openxmlformats.org/officeDocument/2006/relationships/hyperlink" Target="https://pld.live/RapDetail.aspx?STONELIST=941421278&amp;ISCONFIRM=0" TargetMode="External"/><Relationship Id="rId4429" Type="http://schemas.openxmlformats.org/officeDocument/2006/relationships/hyperlink" Target="https://pld.live/RapDetail.aspx?STONELIST=925851199&amp;ISCONFIRM=0" TargetMode="External"/><Relationship Id="rId4636" Type="http://schemas.openxmlformats.org/officeDocument/2006/relationships/hyperlink" Target="https://pld.live/RapDetail.aspx?STONELIST=927052635&amp;ISCONFIRM=0" TargetMode="External"/><Relationship Id="rId4843" Type="http://schemas.openxmlformats.org/officeDocument/2006/relationships/hyperlink" Target="https://pld.live/RapDetail.aspx?STONELIST=925971093&amp;ISCONFIRM=0" TargetMode="External"/><Relationship Id="rId7042" Type="http://schemas.openxmlformats.org/officeDocument/2006/relationships/hyperlink" Target="https://pld.live/RapDetail.aspx?STONELIST=821113206&amp;ISCONFIRM=0" TargetMode="External"/><Relationship Id="rId7999" Type="http://schemas.openxmlformats.org/officeDocument/2006/relationships/hyperlink" Target="https://pld.live/RapDetail.aspx?STONELIST=926690747&amp;ISCONFIRM=0" TargetMode="External"/><Relationship Id="rId299" Type="http://schemas.openxmlformats.org/officeDocument/2006/relationships/hyperlink" Target="https://pld.live/RapDetail.aspx?STONELIST=925850519&amp;ISCONFIRM=0" TargetMode="External"/><Relationship Id="rId2187" Type="http://schemas.openxmlformats.org/officeDocument/2006/relationships/hyperlink" Target="https://pld.live/RapDetail.aspx?STONELIST=821127940&amp;ISCONFIRM=0" TargetMode="External"/><Relationship Id="rId2394" Type="http://schemas.openxmlformats.org/officeDocument/2006/relationships/hyperlink" Target="https://pld.live/RapDetail.aspx?STONELIST=926430866&amp;ISCONFIRM=0" TargetMode="External"/><Relationship Id="rId3238" Type="http://schemas.openxmlformats.org/officeDocument/2006/relationships/hyperlink" Target="https://pld.live/RapDetail.aspx?STONELIST=926180899&amp;ISCONFIRM=0" TargetMode="External"/><Relationship Id="rId3445" Type="http://schemas.openxmlformats.org/officeDocument/2006/relationships/hyperlink" Target="https://pld.live/RapDetail.aspx?STONELIST=926170919&amp;ISCONFIRM=0" TargetMode="External"/><Relationship Id="rId3652" Type="http://schemas.openxmlformats.org/officeDocument/2006/relationships/hyperlink" Target="https://pld.live/RapDetail.aspx?STONELIST=925630407&amp;ISCONFIRM=0" TargetMode="External"/><Relationship Id="rId4703" Type="http://schemas.openxmlformats.org/officeDocument/2006/relationships/hyperlink" Target="https://pld.live/RapDetail.aspx?STONELIST=941220727&amp;ISCONFIRM=0" TargetMode="External"/><Relationship Id="rId7859" Type="http://schemas.openxmlformats.org/officeDocument/2006/relationships/hyperlink" Target="https://pld.live/RapDetail.aspx?STONELIST=926870878&amp;ISCONFIRM=0" TargetMode="External"/><Relationship Id="rId159" Type="http://schemas.openxmlformats.org/officeDocument/2006/relationships/hyperlink" Target="https://pld.live/RapDetail.aspx?STONELIST=941110196&amp;ISCONFIRM=0" TargetMode="External"/><Relationship Id="rId366" Type="http://schemas.openxmlformats.org/officeDocument/2006/relationships/hyperlink" Target="https://pld.live/RapDetail.aspx?STONELIST=821130290&amp;ISCONFIRM=0" TargetMode="External"/><Relationship Id="rId573" Type="http://schemas.openxmlformats.org/officeDocument/2006/relationships/hyperlink" Target="https://pld.live/RapDetail.aspx?STONELIST=9415100070&amp;ISCONFIRM=0" TargetMode="External"/><Relationship Id="rId780" Type="http://schemas.openxmlformats.org/officeDocument/2006/relationships/hyperlink" Target="https://pld.live/RapDetail.aspx?STONELIST=925960786&amp;ISCONFIRM=0" TargetMode="External"/><Relationship Id="rId2047" Type="http://schemas.openxmlformats.org/officeDocument/2006/relationships/hyperlink" Target="https://pld.live/RapDetail.aspx?STONELIST=924010289&amp;ISCONFIRM=0" TargetMode="External"/><Relationship Id="rId2254" Type="http://schemas.openxmlformats.org/officeDocument/2006/relationships/hyperlink" Target="https://pld.live/RapDetail.aspx?STONELIST=926801338&amp;ISCONFIRM=0" TargetMode="External"/><Relationship Id="rId2461" Type="http://schemas.openxmlformats.org/officeDocument/2006/relationships/hyperlink" Target="https://pld.live/RapDetail.aspx?STONELIST=926430972&amp;ISCONFIRM=0" TargetMode="External"/><Relationship Id="rId3305" Type="http://schemas.openxmlformats.org/officeDocument/2006/relationships/hyperlink" Target="https://pld.live/RapDetail.aspx?STONELIST=831020723&amp;ISCONFIRM=0" TargetMode="External"/><Relationship Id="rId3512" Type="http://schemas.openxmlformats.org/officeDocument/2006/relationships/hyperlink" Target="https://pld.live/RapDetail.aspx?STONELIST=831010137&amp;ISCONFIRM=0" TargetMode="External"/><Relationship Id="rId4910" Type="http://schemas.openxmlformats.org/officeDocument/2006/relationships/hyperlink" Target="https://pld.live/RapDetail.aspx?STONELIST=923570760&amp;ISCONFIRM=0" TargetMode="External"/><Relationship Id="rId6668" Type="http://schemas.openxmlformats.org/officeDocument/2006/relationships/hyperlink" Target="https://pld.live/RapDetail.aspx?STONELIST=925980434&amp;ISCONFIRM=0" TargetMode="External"/><Relationship Id="rId226" Type="http://schemas.openxmlformats.org/officeDocument/2006/relationships/hyperlink" Target="https://pld.live/RapDetail.aspx?STONELIST=941431250&amp;ISCONFIRM=0" TargetMode="External"/><Relationship Id="rId433" Type="http://schemas.openxmlformats.org/officeDocument/2006/relationships/hyperlink" Target="https://pld.live/RapDetail.aspx?STONELIST=926071779&amp;ISCONFIRM=0" TargetMode="External"/><Relationship Id="rId1063" Type="http://schemas.openxmlformats.org/officeDocument/2006/relationships/hyperlink" Target="https://pld.live/RapDetail.aspx?STONELIST=926101635&amp;ISCONFIRM=0" TargetMode="External"/><Relationship Id="rId1270" Type="http://schemas.openxmlformats.org/officeDocument/2006/relationships/hyperlink" Target="https://pld.live/RapDetail.aspx?STONELIST=941320519&amp;ISCONFIRM=0" TargetMode="External"/><Relationship Id="rId2114" Type="http://schemas.openxmlformats.org/officeDocument/2006/relationships/hyperlink" Target="https://pld.live/RapDetail.aspx?STONELIST=926091149&amp;ISCONFIRM=0" TargetMode="External"/><Relationship Id="rId5477" Type="http://schemas.openxmlformats.org/officeDocument/2006/relationships/hyperlink" Target="https://pld.live/RapDetail.aspx?STONELIST=941191132&amp;ISCONFIRM=0" TargetMode="External"/><Relationship Id="rId6875" Type="http://schemas.openxmlformats.org/officeDocument/2006/relationships/hyperlink" Target="https://pld.live/RapDetail.aspx?STONELIST=927010707&amp;ISCONFIRM=0" TargetMode="External"/><Relationship Id="rId7719" Type="http://schemas.openxmlformats.org/officeDocument/2006/relationships/hyperlink" Target="https://pld.live/RapDetail.aspx?STONELIST=925930288&amp;ISCONFIRM=0" TargetMode="External"/><Relationship Id="rId7926" Type="http://schemas.openxmlformats.org/officeDocument/2006/relationships/hyperlink" Target="https://pld.live/RapDetail.aspx?STONELIST=927152562&amp;ISCONFIRM=0" TargetMode="External"/><Relationship Id="rId8090" Type="http://schemas.openxmlformats.org/officeDocument/2006/relationships/hyperlink" Target="https://pld.live/RapDetail.aspx?STONELIST=927152828&amp;ISCONFIRM=0" TargetMode="External"/><Relationship Id="rId640" Type="http://schemas.openxmlformats.org/officeDocument/2006/relationships/hyperlink" Target="https://pld.live/RapDetail.aspx?STONELIST=924600158&amp;ISCONFIRM=0" TargetMode="External"/><Relationship Id="rId2321" Type="http://schemas.openxmlformats.org/officeDocument/2006/relationships/hyperlink" Target="https://pld.live/RapDetail.aspx?STONELIST=926261428&amp;ISCONFIRM=0" TargetMode="External"/><Relationship Id="rId4079" Type="http://schemas.openxmlformats.org/officeDocument/2006/relationships/hyperlink" Target="https://pld.live/RapDetail.aspx?STONELIST=831010607&amp;ISCONFIRM=0" TargetMode="External"/><Relationship Id="rId4286" Type="http://schemas.openxmlformats.org/officeDocument/2006/relationships/hyperlink" Target="https://pld.live/RapDetail.aspx?STONELIST=927092230&amp;ISCONFIRM=0" TargetMode="External"/><Relationship Id="rId5684" Type="http://schemas.openxmlformats.org/officeDocument/2006/relationships/hyperlink" Target="https://pld.live/RapDetail.aspx?STONELIST=924780468&amp;ISCONFIRM=0" TargetMode="External"/><Relationship Id="rId5891" Type="http://schemas.openxmlformats.org/officeDocument/2006/relationships/hyperlink" Target="https://pld.live/RapDetail.aspx?STONELIST=926841219&amp;ISCONFIRM=0" TargetMode="External"/><Relationship Id="rId6528" Type="http://schemas.openxmlformats.org/officeDocument/2006/relationships/hyperlink" Target="https://pld.live/RapDetail.aspx?STONELIST=821113383&amp;ISCONFIRM=0" TargetMode="External"/><Relationship Id="rId6735" Type="http://schemas.openxmlformats.org/officeDocument/2006/relationships/hyperlink" Target="https://pld.live/RapDetail.aspx?STONELIST=927132529&amp;ISCONFIRM=0" TargetMode="External"/><Relationship Id="rId6942" Type="http://schemas.openxmlformats.org/officeDocument/2006/relationships/hyperlink" Target="https://pld.live/RapDetail.aspx?STONELIST=925541272&amp;ISCONFIRM=0" TargetMode="External"/><Relationship Id="rId500" Type="http://schemas.openxmlformats.org/officeDocument/2006/relationships/hyperlink" Target="https://pld.live/RapDetail.aspx?STONELIST=926020657&amp;ISCONFIRM=0" TargetMode="External"/><Relationship Id="rId1130" Type="http://schemas.openxmlformats.org/officeDocument/2006/relationships/hyperlink" Target="https://pld.live/RapDetail.aspx?STONELIST=927101096&amp;ISCONFIRM=0" TargetMode="External"/><Relationship Id="rId4493" Type="http://schemas.openxmlformats.org/officeDocument/2006/relationships/hyperlink" Target="https://pld.live/RapDetail.aspx?STONELIST=927092618&amp;ISCONFIRM=0" TargetMode="External"/><Relationship Id="rId5337" Type="http://schemas.openxmlformats.org/officeDocument/2006/relationships/hyperlink" Target="https://pld.live/RapDetail.aspx?STONELIST=925940259&amp;ISCONFIRM=0" TargetMode="External"/><Relationship Id="rId5544" Type="http://schemas.openxmlformats.org/officeDocument/2006/relationships/hyperlink" Target="https://pld.live/RapDetail.aspx?STONELIST=924780422&amp;ISCONFIRM=0" TargetMode="External"/><Relationship Id="rId5751" Type="http://schemas.openxmlformats.org/officeDocument/2006/relationships/hyperlink" Target="https://pld.live/RapDetail.aspx?STONELIST=926940967&amp;ISCONFIRM=0" TargetMode="External"/><Relationship Id="rId6802" Type="http://schemas.openxmlformats.org/officeDocument/2006/relationships/hyperlink" Target="https://pld.live/RapDetail.aspx?STONELIST=923750305&amp;ISCONFIRM=0" TargetMode="External"/><Relationship Id="rId1947" Type="http://schemas.openxmlformats.org/officeDocument/2006/relationships/hyperlink" Target="https://pld.live/RapDetail.aspx?STONELIST=924540012&amp;ISCONFIRM=0" TargetMode="External"/><Relationship Id="rId3095" Type="http://schemas.openxmlformats.org/officeDocument/2006/relationships/hyperlink" Target="https://pld.live/RapDetail.aspx?STONELIST=821128388&amp;ISCONFIRM=0" TargetMode="External"/><Relationship Id="rId4146" Type="http://schemas.openxmlformats.org/officeDocument/2006/relationships/hyperlink" Target="https://pld.live/RapDetail.aspx?STONELIST=925722060&amp;ISCONFIRM=0" TargetMode="External"/><Relationship Id="rId4353" Type="http://schemas.openxmlformats.org/officeDocument/2006/relationships/hyperlink" Target="https://pld.live/RapDetail.aspx?STONELIST=941140846&amp;ISCONFIRM=0" TargetMode="External"/><Relationship Id="rId4560" Type="http://schemas.openxmlformats.org/officeDocument/2006/relationships/hyperlink" Target="https://pld.live/RapDetail.aspx?STONELIST=924960475&amp;ISCONFIRM=0" TargetMode="External"/><Relationship Id="rId5404" Type="http://schemas.openxmlformats.org/officeDocument/2006/relationships/hyperlink" Target="https://pld.live/RapDetail.aspx?STONELIST=926250025&amp;ISCONFIRM=0" TargetMode="External"/><Relationship Id="rId5611" Type="http://schemas.openxmlformats.org/officeDocument/2006/relationships/hyperlink" Target="https://pld.live/RapDetail.aspx?STONELIST=924920455&amp;ISCONFIRM=0" TargetMode="External"/><Relationship Id="rId1807" Type="http://schemas.openxmlformats.org/officeDocument/2006/relationships/hyperlink" Target="https://pld.live/RapDetail.aspx?STONELIST=941260892&amp;ISCONFIRM=0" TargetMode="External"/><Relationship Id="rId3162" Type="http://schemas.openxmlformats.org/officeDocument/2006/relationships/hyperlink" Target="https://pld.live/RapDetail.aspx?STONELIST=926210634&amp;ISCONFIRM=0" TargetMode="External"/><Relationship Id="rId4006" Type="http://schemas.openxmlformats.org/officeDocument/2006/relationships/hyperlink" Target="https://pld.live/RapDetail.aspx?STONELIST=925521317&amp;ISCONFIRM=0" TargetMode="External"/><Relationship Id="rId4213" Type="http://schemas.openxmlformats.org/officeDocument/2006/relationships/hyperlink" Target="https://pld.live/RapDetail.aspx?STONELIST=925721314&amp;ISCONFIRM=0" TargetMode="External"/><Relationship Id="rId4420" Type="http://schemas.openxmlformats.org/officeDocument/2006/relationships/hyperlink" Target="https://pld.live/RapDetail.aspx?STONELIST=925080436&amp;ISCONFIRM=0" TargetMode="External"/><Relationship Id="rId7369" Type="http://schemas.openxmlformats.org/officeDocument/2006/relationships/hyperlink" Target="https://pld.live/RapDetail.aspx?STONELIST=927132566&amp;ISCONFIRM=0" TargetMode="External"/><Relationship Id="rId7576" Type="http://schemas.openxmlformats.org/officeDocument/2006/relationships/hyperlink" Target="https://pld.live/RapDetail.aspx?STONELIST=925730875&amp;ISCONFIRM=0" TargetMode="External"/><Relationship Id="rId7783" Type="http://schemas.openxmlformats.org/officeDocument/2006/relationships/hyperlink" Target="https://pld.live/RapDetail.aspx?STONELIST=941370632&amp;ISCONFIRM=0" TargetMode="External"/><Relationship Id="rId7990" Type="http://schemas.openxmlformats.org/officeDocument/2006/relationships/hyperlink" Target="https://pld.live/RapDetail.aspx?STONELIST=923690449&amp;ISCONFIRM=0" TargetMode="External"/><Relationship Id="rId290" Type="http://schemas.openxmlformats.org/officeDocument/2006/relationships/hyperlink" Target="https://pld.live/RapDetail.aspx?STONELIST=831010701&amp;ISCONFIRM=0" TargetMode="External"/><Relationship Id="rId3022" Type="http://schemas.openxmlformats.org/officeDocument/2006/relationships/hyperlink" Target="https://pld.live/RapDetail.aspx?STONELIST=821128387&amp;ISCONFIRM=0" TargetMode="External"/><Relationship Id="rId6178" Type="http://schemas.openxmlformats.org/officeDocument/2006/relationships/hyperlink" Target="https://pld.live/RapDetail.aspx?STONELIST=924250673&amp;ISCONFIRM=0" TargetMode="External"/><Relationship Id="rId6385" Type="http://schemas.openxmlformats.org/officeDocument/2006/relationships/hyperlink" Target="https://pld.live/RapDetail.aspx?STONELIST=941080770&amp;ISCONFIRM=0" TargetMode="External"/><Relationship Id="rId6592" Type="http://schemas.openxmlformats.org/officeDocument/2006/relationships/hyperlink" Target="https://pld.live/RapDetail.aspx?STONELIST=941021799&amp;ISCONFIRM=0" TargetMode="External"/><Relationship Id="rId7229" Type="http://schemas.openxmlformats.org/officeDocument/2006/relationships/hyperlink" Target="https://pld.live/RapDetail.aspx?STONELIST=821117998&amp;ISCONFIRM=0" TargetMode="External"/><Relationship Id="rId7436" Type="http://schemas.openxmlformats.org/officeDocument/2006/relationships/hyperlink" Target="https://pld.live/RapDetail.aspx?STONELIST=924940197&amp;ISCONFIRM=0" TargetMode="External"/><Relationship Id="rId7643" Type="http://schemas.openxmlformats.org/officeDocument/2006/relationships/hyperlink" Target="https://pld.live/RapDetail.aspx?STONELIST=926810380&amp;ISCONFIRM=0" TargetMode="External"/><Relationship Id="rId150" Type="http://schemas.openxmlformats.org/officeDocument/2006/relationships/hyperlink" Target="https://pld.live/RapDetail.aspx?STONELIST=941050416&amp;ISCONFIRM=0" TargetMode="External"/><Relationship Id="rId3979" Type="http://schemas.openxmlformats.org/officeDocument/2006/relationships/hyperlink" Target="https://pld.live/RapDetail.aspx?STONELIST=925862085&amp;ISCONFIRM=0" TargetMode="External"/><Relationship Id="rId5194" Type="http://schemas.openxmlformats.org/officeDocument/2006/relationships/hyperlink" Target="https://pld.live/RapDetail.aspx?STONELIST=925861667&amp;ISCONFIRM=0" TargetMode="External"/><Relationship Id="rId6038" Type="http://schemas.openxmlformats.org/officeDocument/2006/relationships/hyperlink" Target="https://pld.live/RapDetail.aspx?STONELIST=941260955&amp;ISCONFIRM=0" TargetMode="External"/><Relationship Id="rId6245" Type="http://schemas.openxmlformats.org/officeDocument/2006/relationships/hyperlink" Target="https://pld.live/RapDetail.aspx?STONELIST=941060559&amp;ISCONFIRM=0" TargetMode="External"/><Relationship Id="rId6452" Type="http://schemas.openxmlformats.org/officeDocument/2006/relationships/hyperlink" Target="https://pld.live/RapDetail.aspx?STONELIST=927052612&amp;ISCONFIRM=0" TargetMode="External"/><Relationship Id="rId7850" Type="http://schemas.openxmlformats.org/officeDocument/2006/relationships/hyperlink" Target="https://pld.live/RapDetail.aspx?STONELIST=926470257&amp;ISCONFIRM=0" TargetMode="External"/><Relationship Id="rId2788" Type="http://schemas.openxmlformats.org/officeDocument/2006/relationships/hyperlink" Target="https://pld.live/RapDetail.aspx?STONELIST=831020649&amp;ISCONFIRM=0" TargetMode="External"/><Relationship Id="rId2995" Type="http://schemas.openxmlformats.org/officeDocument/2006/relationships/hyperlink" Target="https://pld.live/RapDetail.aspx?STONELIST=821128401&amp;ISCONFIRM=0" TargetMode="External"/><Relationship Id="rId3839" Type="http://schemas.openxmlformats.org/officeDocument/2006/relationships/hyperlink" Target="https://pld.live/RapDetail.aspx?STONELIST=941090245&amp;ISCONFIRM=0" TargetMode="External"/><Relationship Id="rId5054" Type="http://schemas.openxmlformats.org/officeDocument/2006/relationships/hyperlink" Target="https://pld.live/RapDetail.aspx?STONELIST=941200073&amp;ISCONFIRM=0" TargetMode="External"/><Relationship Id="rId6105" Type="http://schemas.openxmlformats.org/officeDocument/2006/relationships/hyperlink" Target="https://pld.live/RapDetail.aspx?STONELIST=941230225&amp;ISCONFIRM=0" TargetMode="External"/><Relationship Id="rId7503" Type="http://schemas.openxmlformats.org/officeDocument/2006/relationships/hyperlink" Target="https://pld.live/RapDetail.aspx?STONELIST=925731958&amp;ISCONFIRM=0" TargetMode="External"/><Relationship Id="rId7710" Type="http://schemas.openxmlformats.org/officeDocument/2006/relationships/hyperlink" Target="https://pld.live/RapDetail.aspx?STONELIST=941270815&amp;ISCONFIRM=0" TargetMode="External"/><Relationship Id="rId967" Type="http://schemas.openxmlformats.org/officeDocument/2006/relationships/hyperlink" Target="https://pld.live/RapDetail.aspx?STONELIST=925940516&amp;ISCONFIRM=0" TargetMode="External"/><Relationship Id="rId1597" Type="http://schemas.openxmlformats.org/officeDocument/2006/relationships/hyperlink" Target="https://pld.live/RapDetail.aspx?STONELIST=926941158&amp;ISCONFIRM=0" TargetMode="External"/><Relationship Id="rId2648" Type="http://schemas.openxmlformats.org/officeDocument/2006/relationships/hyperlink" Target="https://pld.live/RapDetail.aspx?STONELIST=926391479&amp;ISCONFIRM=0" TargetMode="External"/><Relationship Id="rId2855" Type="http://schemas.openxmlformats.org/officeDocument/2006/relationships/hyperlink" Target="https://pld.live/RapDetail.aspx?STONELIST=925890662&amp;ISCONFIRM=0" TargetMode="External"/><Relationship Id="rId3906" Type="http://schemas.openxmlformats.org/officeDocument/2006/relationships/hyperlink" Target="https://pld.live/RapDetail.aspx?STONELIST=925961194&amp;ISCONFIRM=0" TargetMode="External"/><Relationship Id="rId5261" Type="http://schemas.openxmlformats.org/officeDocument/2006/relationships/hyperlink" Target="https://pld.live/RapDetail.aspx?STONELIST=925170186&amp;ISCONFIRM=0" TargetMode="External"/><Relationship Id="rId6312" Type="http://schemas.openxmlformats.org/officeDocument/2006/relationships/hyperlink" Target="https://pld.live/RapDetail.aspx?STONELIST=821123348&amp;ISCONFIRM=0" TargetMode="External"/><Relationship Id="rId96" Type="http://schemas.openxmlformats.org/officeDocument/2006/relationships/hyperlink" Target="https://pld.live/RapDetail.aspx?STONELIST=926410185&amp;ISCONFIRM=0" TargetMode="External"/><Relationship Id="rId827" Type="http://schemas.openxmlformats.org/officeDocument/2006/relationships/hyperlink" Target="https://pld.live/RapDetail.aspx?STONELIST=925981232&amp;ISCONFIRM=0" TargetMode="External"/><Relationship Id="rId1457" Type="http://schemas.openxmlformats.org/officeDocument/2006/relationships/hyperlink" Target="https://pld.live/RapDetail.aspx?STONELIST=925720738&amp;ISCONFIRM=0" TargetMode="External"/><Relationship Id="rId1664" Type="http://schemas.openxmlformats.org/officeDocument/2006/relationships/hyperlink" Target="https://pld.live/RapDetail.aspx?STONELIST=926121010&amp;ISCONFIRM=0" TargetMode="External"/><Relationship Id="rId1871" Type="http://schemas.openxmlformats.org/officeDocument/2006/relationships/hyperlink" Target="https://pld.live/RapDetail.aspx?STONELIST=924460086&amp;ISCONFIRM=0" TargetMode="External"/><Relationship Id="rId2508" Type="http://schemas.openxmlformats.org/officeDocument/2006/relationships/hyperlink" Target="https://pld.live/RapDetail.aspx?STONELIST=941280320&amp;ISCONFIRM=0" TargetMode="External"/><Relationship Id="rId2715" Type="http://schemas.openxmlformats.org/officeDocument/2006/relationships/hyperlink" Target="https://pld.live/RapDetail.aspx?STONELIST=926420447&amp;ISCONFIRM=0" TargetMode="External"/><Relationship Id="rId2922" Type="http://schemas.openxmlformats.org/officeDocument/2006/relationships/hyperlink" Target="https://pld.live/RapDetail.aspx?STONELIST=925900593&amp;ISCONFIRM=0" TargetMode="External"/><Relationship Id="rId4070" Type="http://schemas.openxmlformats.org/officeDocument/2006/relationships/hyperlink" Target="https://pld.live/RapDetail.aspx?STONELIST=926171079&amp;ISCONFIRM=0" TargetMode="External"/><Relationship Id="rId5121" Type="http://schemas.openxmlformats.org/officeDocument/2006/relationships/hyperlink" Target="https://pld.live/RapDetail.aspx?STONELIST=831010694&amp;ISCONFIRM=0" TargetMode="External"/><Relationship Id="rId1317" Type="http://schemas.openxmlformats.org/officeDocument/2006/relationships/hyperlink" Target="https://pld.live/RapDetail.aspx?STONELIST=941350948&amp;ISCONFIRM=0" TargetMode="External"/><Relationship Id="rId1524" Type="http://schemas.openxmlformats.org/officeDocument/2006/relationships/hyperlink" Target="https://pld.live/RapDetail.aspx?STONELIST=926331659&amp;ISCONFIRM=0" TargetMode="External"/><Relationship Id="rId1731" Type="http://schemas.openxmlformats.org/officeDocument/2006/relationships/hyperlink" Target="https://pld.live/RapDetail.aspx?STONELIST=926671116&amp;ISCONFIRM=0" TargetMode="External"/><Relationship Id="rId4887" Type="http://schemas.openxmlformats.org/officeDocument/2006/relationships/hyperlink" Target="https://pld.live/RapDetail.aspx?STONELIST=925850942&amp;ISCONFIRM=0" TargetMode="External"/><Relationship Id="rId5938" Type="http://schemas.openxmlformats.org/officeDocument/2006/relationships/hyperlink" Target="https://pld.live/RapDetail.aspx?STONELIST=926831016&amp;ISCONFIRM=0" TargetMode="External"/><Relationship Id="rId7086" Type="http://schemas.openxmlformats.org/officeDocument/2006/relationships/hyperlink" Target="https://pld.live/RapDetail.aspx?STONELIST=927052501&amp;ISCONFIRM=0" TargetMode="External"/><Relationship Id="rId7293" Type="http://schemas.openxmlformats.org/officeDocument/2006/relationships/hyperlink" Target="https://pld.live/RapDetail.aspx?STONELIST=941100440&amp;ISCONFIRM=0" TargetMode="External"/><Relationship Id="rId8137" Type="http://schemas.openxmlformats.org/officeDocument/2006/relationships/hyperlink" Target="https://pld.live/RapDetail.aspx?STONELIST=926101505&amp;ISCONFIRM=0" TargetMode="External"/><Relationship Id="rId23" Type="http://schemas.openxmlformats.org/officeDocument/2006/relationships/hyperlink" Target="https://pld.live/RapDetail.aspx?STONELIST=941330542&amp;ISCONFIRM=0" TargetMode="External"/><Relationship Id="rId3489" Type="http://schemas.openxmlformats.org/officeDocument/2006/relationships/hyperlink" Target="https://pld.live/RapDetail.aspx?STONELIST=926270798&amp;ISCONFIRM=0" TargetMode="External"/><Relationship Id="rId3696" Type="http://schemas.openxmlformats.org/officeDocument/2006/relationships/hyperlink" Target="https://pld.live/RapDetail.aspx?STONELIST=941050588&amp;ISCONFIRM=0" TargetMode="External"/><Relationship Id="rId4747" Type="http://schemas.openxmlformats.org/officeDocument/2006/relationships/hyperlink" Target="https://pld.live/RapDetail.aspx?STONELIST=924380492&amp;ISCONFIRM=0" TargetMode="External"/><Relationship Id="rId7153" Type="http://schemas.openxmlformats.org/officeDocument/2006/relationships/hyperlink" Target="https://pld.live/RapDetail.aspx?STONELIST=926420442&amp;ISCONFIRM=0" TargetMode="External"/><Relationship Id="rId7360" Type="http://schemas.openxmlformats.org/officeDocument/2006/relationships/hyperlink" Target="https://pld.live/RapDetail.aspx?STONELIST=926980724&amp;ISCONFIRM=0" TargetMode="External"/><Relationship Id="rId8204" Type="http://schemas.openxmlformats.org/officeDocument/2006/relationships/hyperlink" Target="https://pld.live/RapDetail.aspx?STONELIST=925010207&amp;ISCONFIRM=0" TargetMode="External"/><Relationship Id="rId2298" Type="http://schemas.openxmlformats.org/officeDocument/2006/relationships/hyperlink" Target="https://pld.live/RapDetail.aspx?STONELIST=926240695&amp;ISCONFIRM=0" TargetMode="External"/><Relationship Id="rId3349" Type="http://schemas.openxmlformats.org/officeDocument/2006/relationships/hyperlink" Target="https://pld.live/RapDetail.aspx?STONELIST=925981142&amp;ISCONFIRM=0" TargetMode="External"/><Relationship Id="rId3556" Type="http://schemas.openxmlformats.org/officeDocument/2006/relationships/hyperlink" Target="https://pld.live/RapDetail.aspx?STONELIST=831020652&amp;ISCONFIRM=0" TargetMode="External"/><Relationship Id="rId4954" Type="http://schemas.openxmlformats.org/officeDocument/2006/relationships/hyperlink" Target="https://pld.live/RapDetail.aspx?STONELIST=925980661&amp;ISCONFIRM=0" TargetMode="External"/><Relationship Id="rId7013" Type="http://schemas.openxmlformats.org/officeDocument/2006/relationships/hyperlink" Target="https://pld.live/RapDetail.aspx?STONELIST=925950003&amp;ISCONFIRM=0" TargetMode="External"/><Relationship Id="rId7220" Type="http://schemas.openxmlformats.org/officeDocument/2006/relationships/hyperlink" Target="https://pld.live/RapDetail.aspx?STONELIST=821111968&amp;ISCONFIRM=0" TargetMode="External"/><Relationship Id="rId477" Type="http://schemas.openxmlformats.org/officeDocument/2006/relationships/hyperlink" Target="https://pld.live/RapDetail.aspx?STONELIST=926020675&amp;ISCONFIRM=0" TargetMode="External"/><Relationship Id="rId684" Type="http://schemas.openxmlformats.org/officeDocument/2006/relationships/hyperlink" Target="https://pld.live/RapDetail.aspx?STONELIST=926100961&amp;ISCONFIRM=0" TargetMode="External"/><Relationship Id="rId2158" Type="http://schemas.openxmlformats.org/officeDocument/2006/relationships/hyperlink" Target="https://pld.live/RapDetail.aspx?STONELIST=926191059&amp;ISCONFIRM=0" TargetMode="External"/><Relationship Id="rId2365" Type="http://schemas.openxmlformats.org/officeDocument/2006/relationships/hyperlink" Target="https://pld.live/RapDetail.aspx?STONELIST=926301197&amp;ISCONFIRM=0" TargetMode="External"/><Relationship Id="rId3209" Type="http://schemas.openxmlformats.org/officeDocument/2006/relationships/hyperlink" Target="https://pld.live/RapDetail.aspx?STONELIST=923870353&amp;ISCONFIRM=0" TargetMode="External"/><Relationship Id="rId3763" Type="http://schemas.openxmlformats.org/officeDocument/2006/relationships/hyperlink" Target="https://pld.live/RapDetail.aspx?STONELIST=941421264&amp;ISCONFIRM=0" TargetMode="External"/><Relationship Id="rId3970" Type="http://schemas.openxmlformats.org/officeDocument/2006/relationships/hyperlink" Target="https://pld.live/RapDetail.aspx?STONELIST=821124289&amp;ISCONFIRM=0" TargetMode="External"/><Relationship Id="rId4607" Type="http://schemas.openxmlformats.org/officeDocument/2006/relationships/hyperlink" Target="https://pld.live/RapDetail.aspx?STONELIST=927152844&amp;ISCONFIRM=0" TargetMode="External"/><Relationship Id="rId4814" Type="http://schemas.openxmlformats.org/officeDocument/2006/relationships/hyperlink" Target="https://pld.live/RapDetail.aspx?STONELIST=831020725&amp;ISCONFIRM=0" TargetMode="External"/><Relationship Id="rId337" Type="http://schemas.openxmlformats.org/officeDocument/2006/relationships/hyperlink" Target="https://pld.live/RapDetail.aspx?STONELIST=941360358&amp;ISCONFIRM=0" TargetMode="External"/><Relationship Id="rId891" Type="http://schemas.openxmlformats.org/officeDocument/2006/relationships/hyperlink" Target="https://pld.live/RapDetail.aspx?STONELIST=926101666&amp;ISCONFIRM=0" TargetMode="External"/><Relationship Id="rId2018" Type="http://schemas.openxmlformats.org/officeDocument/2006/relationships/hyperlink" Target="https://pld.live/RapDetail.aspx?STONELIST=941230117&amp;ISCONFIRM=0" TargetMode="External"/><Relationship Id="rId2572" Type="http://schemas.openxmlformats.org/officeDocument/2006/relationships/hyperlink" Target="https://pld.live/RapDetail.aspx?STONELIST=926710935&amp;ISCONFIRM=0" TargetMode="External"/><Relationship Id="rId3416" Type="http://schemas.openxmlformats.org/officeDocument/2006/relationships/hyperlink" Target="https://pld.live/RapDetail.aspx?STONELIST=924610399&amp;ISCONFIRM=0" TargetMode="External"/><Relationship Id="rId3623" Type="http://schemas.openxmlformats.org/officeDocument/2006/relationships/hyperlink" Target="https://pld.live/RapDetail.aspx?STONELIST=924930253&amp;ISCONFIRM=0" TargetMode="External"/><Relationship Id="rId3830" Type="http://schemas.openxmlformats.org/officeDocument/2006/relationships/hyperlink" Target="https://pld.live/RapDetail.aspx?STONELIST=941130429&amp;ISCONFIRM=0" TargetMode="External"/><Relationship Id="rId6779" Type="http://schemas.openxmlformats.org/officeDocument/2006/relationships/hyperlink" Target="https://pld.live/RapDetail.aspx?STONELIST=925410048&amp;ISCONFIRM=0" TargetMode="External"/><Relationship Id="rId6986" Type="http://schemas.openxmlformats.org/officeDocument/2006/relationships/hyperlink" Target="https://pld.live/RapDetail.aspx?STONELIST=925621432&amp;ISCONFIRM=0" TargetMode="External"/><Relationship Id="rId544" Type="http://schemas.openxmlformats.org/officeDocument/2006/relationships/hyperlink" Target="https://pld.live/RapDetail.aspx?STONELIST=941400264&amp;ISCONFIRM=0" TargetMode="External"/><Relationship Id="rId751" Type="http://schemas.openxmlformats.org/officeDocument/2006/relationships/hyperlink" Target="https://pld.live/RapDetail.aspx?STONELIST=821127756&amp;ISCONFIRM=0" TargetMode="External"/><Relationship Id="rId1174" Type="http://schemas.openxmlformats.org/officeDocument/2006/relationships/hyperlink" Target="https://pld.live/RapDetail.aspx?STONELIST=927150770&amp;ISCONFIRM=0" TargetMode="External"/><Relationship Id="rId1381" Type="http://schemas.openxmlformats.org/officeDocument/2006/relationships/hyperlink" Target="https://pld.live/RapDetail.aspx?STONELIST=926460677&amp;ISCONFIRM=0" TargetMode="External"/><Relationship Id="rId2225" Type="http://schemas.openxmlformats.org/officeDocument/2006/relationships/hyperlink" Target="https://pld.live/RapDetail.aspx?STONELIST=926080663&amp;ISCONFIRM=0" TargetMode="External"/><Relationship Id="rId2432" Type="http://schemas.openxmlformats.org/officeDocument/2006/relationships/hyperlink" Target="https://pld.live/RapDetail.aspx?STONELIST=926300257&amp;ISCONFIRM=0" TargetMode="External"/><Relationship Id="rId5588" Type="http://schemas.openxmlformats.org/officeDocument/2006/relationships/hyperlink" Target="https://pld.live/RapDetail.aspx?STONELIST=831010237&amp;ISCONFIRM=0" TargetMode="External"/><Relationship Id="rId5795" Type="http://schemas.openxmlformats.org/officeDocument/2006/relationships/hyperlink" Target="https://pld.live/RapDetail.aspx?STONELIST=927130381&amp;ISCONFIRM=0" TargetMode="External"/><Relationship Id="rId6639" Type="http://schemas.openxmlformats.org/officeDocument/2006/relationships/hyperlink" Target="https://pld.live/RapDetail.aspx?STONELIST=927092645&amp;ISCONFIRM=0" TargetMode="External"/><Relationship Id="rId6846" Type="http://schemas.openxmlformats.org/officeDocument/2006/relationships/hyperlink" Target="https://pld.live/RapDetail.aspx?STONELIST=926410356&amp;ISCONFIRM=0" TargetMode="External"/><Relationship Id="rId404" Type="http://schemas.openxmlformats.org/officeDocument/2006/relationships/hyperlink" Target="https://pld.live/RapDetail.aspx?STONELIST=925730747&amp;ISCONFIRM=0" TargetMode="External"/><Relationship Id="rId611" Type="http://schemas.openxmlformats.org/officeDocument/2006/relationships/hyperlink" Target="https://pld.live/RapDetail.aspx?STONELIST=925860797&amp;ISCONFIRM=0" TargetMode="External"/><Relationship Id="rId1034" Type="http://schemas.openxmlformats.org/officeDocument/2006/relationships/hyperlink" Target="https://pld.live/RapDetail.aspx?STONELIST=941350242&amp;ISCONFIRM=0" TargetMode="External"/><Relationship Id="rId1241" Type="http://schemas.openxmlformats.org/officeDocument/2006/relationships/hyperlink" Target="https://pld.live/RapDetail.aspx?STONELIST=941190063&amp;ISCONFIRM=0" TargetMode="External"/><Relationship Id="rId4397" Type="http://schemas.openxmlformats.org/officeDocument/2006/relationships/hyperlink" Target="https://pld.live/RapDetail.aspx?STONELIST=821125563&amp;ISCONFIRM=0" TargetMode="External"/><Relationship Id="rId5448" Type="http://schemas.openxmlformats.org/officeDocument/2006/relationships/hyperlink" Target="https://pld.live/RapDetail.aspx?STONELIST=926270056&amp;ISCONFIRM=0" TargetMode="External"/><Relationship Id="rId5655" Type="http://schemas.openxmlformats.org/officeDocument/2006/relationships/hyperlink" Target="https://pld.live/RapDetail.aspx?STONELIST=941261048&amp;ISCONFIRM=0" TargetMode="External"/><Relationship Id="rId5862" Type="http://schemas.openxmlformats.org/officeDocument/2006/relationships/hyperlink" Target="https://pld.live/RapDetail.aspx?STONELIST=925981283&amp;ISCONFIRM=0" TargetMode="External"/><Relationship Id="rId6706" Type="http://schemas.openxmlformats.org/officeDocument/2006/relationships/hyperlink" Target="https://pld.live/RapDetail.aspx?STONELIST=941140836&amp;ISCONFIRM=0" TargetMode="External"/><Relationship Id="rId6913" Type="http://schemas.openxmlformats.org/officeDocument/2006/relationships/hyperlink" Target="https://pld.live/RapDetail.aspx?STONELIST=831010795&amp;ISCONFIRM=0" TargetMode="External"/><Relationship Id="rId8061" Type="http://schemas.openxmlformats.org/officeDocument/2006/relationships/hyperlink" Target="https://pld.live/RapDetail.aspx?STONELIST=926100891&amp;ISCONFIRM=0" TargetMode="External"/><Relationship Id="rId1101" Type="http://schemas.openxmlformats.org/officeDocument/2006/relationships/hyperlink" Target="https://pld.live/RapDetail.aspx?STONELIST=927130119&amp;ISCONFIRM=0" TargetMode="External"/><Relationship Id="rId4257" Type="http://schemas.openxmlformats.org/officeDocument/2006/relationships/hyperlink" Target="https://pld.live/RapDetail.aspx?STONELIST=926740922&amp;ISCONFIRM=0" TargetMode="External"/><Relationship Id="rId4464" Type="http://schemas.openxmlformats.org/officeDocument/2006/relationships/hyperlink" Target="https://pld.live/RapDetail.aspx?STONELIST=925280519&amp;ISCONFIRM=0" TargetMode="External"/><Relationship Id="rId4671" Type="http://schemas.openxmlformats.org/officeDocument/2006/relationships/hyperlink" Target="https://pld.live/RapDetail.aspx?STONELIST=926560416&amp;ISCONFIRM=0" TargetMode="External"/><Relationship Id="rId5308" Type="http://schemas.openxmlformats.org/officeDocument/2006/relationships/hyperlink" Target="https://pld.live/RapDetail.aspx?STONELIST=926291363&amp;ISCONFIRM=0" TargetMode="External"/><Relationship Id="rId5515" Type="http://schemas.openxmlformats.org/officeDocument/2006/relationships/hyperlink" Target="https://pld.live/RapDetail.aspx?STONELIST=926460849&amp;ISCONFIRM=0" TargetMode="External"/><Relationship Id="rId5722" Type="http://schemas.openxmlformats.org/officeDocument/2006/relationships/hyperlink" Target="https://pld.live/RapDetail.aspx?STONELIST=924460703&amp;ISCONFIRM=0" TargetMode="External"/><Relationship Id="rId3066" Type="http://schemas.openxmlformats.org/officeDocument/2006/relationships/hyperlink" Target="https://pld.live/RapDetail.aspx?STONELIST=925830769&amp;ISCONFIRM=0" TargetMode="External"/><Relationship Id="rId3273" Type="http://schemas.openxmlformats.org/officeDocument/2006/relationships/hyperlink" Target="https://pld.live/RapDetail.aspx?STONELIST=9412700825&amp;ISCONFIRM=0" TargetMode="External"/><Relationship Id="rId3480" Type="http://schemas.openxmlformats.org/officeDocument/2006/relationships/hyperlink" Target="https://pld.live/RapDetail.aspx?STONELIST=831010691&amp;ISCONFIRM=0" TargetMode="External"/><Relationship Id="rId4117" Type="http://schemas.openxmlformats.org/officeDocument/2006/relationships/hyperlink" Target="https://pld.live/RapDetail.aspx?STONELIST=925140296&amp;ISCONFIRM=0" TargetMode="External"/><Relationship Id="rId4324" Type="http://schemas.openxmlformats.org/officeDocument/2006/relationships/hyperlink" Target="https://pld.live/RapDetail.aspx?STONELIST=927052510&amp;ISCONFIRM=0" TargetMode="External"/><Relationship Id="rId4531" Type="http://schemas.openxmlformats.org/officeDocument/2006/relationships/hyperlink" Target="https://pld.live/RapDetail.aspx?STONELIST=927092621&amp;ISCONFIRM=0" TargetMode="External"/><Relationship Id="rId7687" Type="http://schemas.openxmlformats.org/officeDocument/2006/relationships/hyperlink" Target="https://pld.live/RapDetail.aspx?STONELIST=941270816&amp;ISCONFIRM=0" TargetMode="External"/><Relationship Id="rId194" Type="http://schemas.openxmlformats.org/officeDocument/2006/relationships/hyperlink" Target="https://pld.live/RapDetail.aspx?STONELIST=9414500342&amp;ISCONFIRM=0" TargetMode="External"/><Relationship Id="rId1918" Type="http://schemas.openxmlformats.org/officeDocument/2006/relationships/hyperlink" Target="https://pld.live/RapDetail.aspx?STONELIST=926571311&amp;ISCONFIRM=0" TargetMode="External"/><Relationship Id="rId2082" Type="http://schemas.openxmlformats.org/officeDocument/2006/relationships/hyperlink" Target="https://pld.live/RapDetail.aspx?STONELIST=924040108&amp;ISCONFIRM=0" TargetMode="External"/><Relationship Id="rId3133" Type="http://schemas.openxmlformats.org/officeDocument/2006/relationships/hyperlink" Target="https://pld.live/RapDetail.aspx?STONELIST=925030158&amp;ISCONFIRM=0" TargetMode="External"/><Relationship Id="rId6289" Type="http://schemas.openxmlformats.org/officeDocument/2006/relationships/hyperlink" Target="https://pld.live/RapDetail.aspx?STONELIST=925950949&amp;ISCONFIRM=0" TargetMode="External"/><Relationship Id="rId6496" Type="http://schemas.openxmlformats.org/officeDocument/2006/relationships/hyperlink" Target="https://pld.live/RapDetail.aspx?STONELIST=941190341&amp;ISCONFIRM=0" TargetMode="External"/><Relationship Id="rId7894" Type="http://schemas.openxmlformats.org/officeDocument/2006/relationships/hyperlink" Target="https://pld.live/RapDetail.aspx?STONELIST=941070922&amp;ISCONFIRM=0" TargetMode="External"/><Relationship Id="rId261" Type="http://schemas.openxmlformats.org/officeDocument/2006/relationships/hyperlink" Target="https://pld.live/RapDetail.aspx?STONELIST=925770420&amp;ISCONFIRM=0" TargetMode="External"/><Relationship Id="rId3340" Type="http://schemas.openxmlformats.org/officeDocument/2006/relationships/hyperlink" Target="https://pld.live/RapDetail.aspx?STONELIST=926150111&amp;ISCONFIRM=0" TargetMode="External"/><Relationship Id="rId5098" Type="http://schemas.openxmlformats.org/officeDocument/2006/relationships/hyperlink" Target="https://pld.live/RapDetail.aspx?STONELIST=925861277&amp;ISCONFIRM=0" TargetMode="External"/><Relationship Id="rId6149" Type="http://schemas.openxmlformats.org/officeDocument/2006/relationships/hyperlink" Target="https://pld.live/RapDetail.aspx?STONELIST=926130065&amp;ISCONFIRM=0" TargetMode="External"/><Relationship Id="rId7547" Type="http://schemas.openxmlformats.org/officeDocument/2006/relationships/hyperlink" Target="https://pld.live/RapDetail.aspx?STONELIST=925770994&amp;ISCONFIRM=0" TargetMode="External"/><Relationship Id="rId7754" Type="http://schemas.openxmlformats.org/officeDocument/2006/relationships/hyperlink" Target="https://pld.live/RapDetail.aspx?STONELIST=941390602&amp;ISCONFIRM=0" TargetMode="External"/><Relationship Id="rId7961" Type="http://schemas.openxmlformats.org/officeDocument/2006/relationships/hyperlink" Target="https://pld.live/RapDetail.aspx?STONELIST=926871021&amp;ISCONFIRM=0" TargetMode="External"/><Relationship Id="rId2899" Type="http://schemas.openxmlformats.org/officeDocument/2006/relationships/hyperlink" Target="https://pld.live/RapDetail.aspx?STONELIST=926831049&amp;ISCONFIRM=0" TargetMode="External"/><Relationship Id="rId3200" Type="http://schemas.openxmlformats.org/officeDocument/2006/relationships/hyperlink" Target="https://pld.live/RapDetail.aspx?STONELIST=924960379&amp;ISCONFIRM=0" TargetMode="External"/><Relationship Id="rId6356" Type="http://schemas.openxmlformats.org/officeDocument/2006/relationships/hyperlink" Target="https://pld.live/RapDetail.aspx?STONELIST=821121922&amp;ISCONFIRM=0" TargetMode="External"/><Relationship Id="rId6563" Type="http://schemas.openxmlformats.org/officeDocument/2006/relationships/hyperlink" Target="https://pld.live/RapDetail.aspx?STONELIST=926130063&amp;ISCONFIRM=0" TargetMode="External"/><Relationship Id="rId6770" Type="http://schemas.openxmlformats.org/officeDocument/2006/relationships/hyperlink" Target="https://pld.live/RapDetail.aspx?STONELIST=831020582&amp;ISCONFIRM=0" TargetMode="External"/><Relationship Id="rId7407" Type="http://schemas.openxmlformats.org/officeDocument/2006/relationships/hyperlink" Target="https://pld.live/RapDetail.aspx?STONELIST=831020423&amp;ISCONFIRM=0" TargetMode="External"/><Relationship Id="rId7614" Type="http://schemas.openxmlformats.org/officeDocument/2006/relationships/hyperlink" Target="https://pld.live/RapDetail.aspx?STONELIST=926750731&amp;ISCONFIRM=0" TargetMode="External"/><Relationship Id="rId7821" Type="http://schemas.openxmlformats.org/officeDocument/2006/relationships/hyperlink" Target="https://pld.live/RapDetail.aspx?STONELIST=926200414&amp;ISCONFIRM=0" TargetMode="External"/><Relationship Id="rId121" Type="http://schemas.openxmlformats.org/officeDocument/2006/relationships/hyperlink" Target="https://pld.live/RapDetail.aspx?STONELIST=941050455&amp;ISCONFIRM=0" TargetMode="External"/><Relationship Id="rId2759" Type="http://schemas.openxmlformats.org/officeDocument/2006/relationships/hyperlink" Target="https://pld.live/RapDetail.aspx?STONELIST=925510131&amp;ISCONFIRM=0" TargetMode="External"/><Relationship Id="rId2966" Type="http://schemas.openxmlformats.org/officeDocument/2006/relationships/hyperlink" Target="https://pld.live/RapDetail.aspx?STONELIST=925900592&amp;ISCONFIRM=0" TargetMode="External"/><Relationship Id="rId5165" Type="http://schemas.openxmlformats.org/officeDocument/2006/relationships/hyperlink" Target="https://pld.live/RapDetail.aspx?STONELIST=831010482&amp;ISCONFIRM=0" TargetMode="External"/><Relationship Id="rId5372" Type="http://schemas.openxmlformats.org/officeDocument/2006/relationships/hyperlink" Target="https://pld.live/RapDetail.aspx?STONELIST=926110151&amp;ISCONFIRM=0" TargetMode="External"/><Relationship Id="rId6009" Type="http://schemas.openxmlformats.org/officeDocument/2006/relationships/hyperlink" Target="https://pld.live/RapDetail.aspx?STONELIST=925940614&amp;ISCONFIRM=0" TargetMode="External"/><Relationship Id="rId6216" Type="http://schemas.openxmlformats.org/officeDocument/2006/relationships/hyperlink" Target="https://pld.live/RapDetail.aspx?STONELIST=923230145&amp;ISCONFIRM=0" TargetMode="External"/><Relationship Id="rId6423" Type="http://schemas.openxmlformats.org/officeDocument/2006/relationships/hyperlink" Target="https://pld.live/RapDetail.aspx?STONELIST=926740826&amp;ISCONFIRM=0" TargetMode="External"/><Relationship Id="rId6630" Type="http://schemas.openxmlformats.org/officeDocument/2006/relationships/hyperlink" Target="https://pld.live/RapDetail.aspx?STONELIST=926930936&amp;ISCONFIRM=0" TargetMode="External"/><Relationship Id="rId938" Type="http://schemas.openxmlformats.org/officeDocument/2006/relationships/hyperlink" Target="https://pld.live/RapDetail.aspx?STONELIST=925862029&amp;ISCONFIRM=0" TargetMode="External"/><Relationship Id="rId1568" Type="http://schemas.openxmlformats.org/officeDocument/2006/relationships/hyperlink" Target="https://pld.live/RapDetail.aspx?STONELIST=926280845&amp;ISCONFIRM=0" TargetMode="External"/><Relationship Id="rId1775" Type="http://schemas.openxmlformats.org/officeDocument/2006/relationships/hyperlink" Target="https://pld.live/RapDetail.aspx?STONELIST=941270688&amp;ISCONFIRM=0" TargetMode="External"/><Relationship Id="rId2619" Type="http://schemas.openxmlformats.org/officeDocument/2006/relationships/hyperlink" Target="https://pld.live/RapDetail.aspx?STONELIST=920661583&amp;ISCONFIRM=0" TargetMode="External"/><Relationship Id="rId2826" Type="http://schemas.openxmlformats.org/officeDocument/2006/relationships/hyperlink" Target="https://pld.live/RapDetail.aspx?STONELIST=925861769&amp;ISCONFIRM=0" TargetMode="External"/><Relationship Id="rId4181" Type="http://schemas.openxmlformats.org/officeDocument/2006/relationships/hyperlink" Target="https://pld.live/RapDetail.aspx?STONELIST=925721752&amp;ISCONFIRM=0" TargetMode="External"/><Relationship Id="rId5025" Type="http://schemas.openxmlformats.org/officeDocument/2006/relationships/hyperlink" Target="https://pld.live/RapDetail.aspx?STONELIST=925801771&amp;ISCONFIRM=0" TargetMode="External"/><Relationship Id="rId5232" Type="http://schemas.openxmlformats.org/officeDocument/2006/relationships/hyperlink" Target="https://pld.live/RapDetail.aspx?STONELIST=925971159&amp;ISCONFIRM=0" TargetMode="External"/><Relationship Id="rId67" Type="http://schemas.openxmlformats.org/officeDocument/2006/relationships/hyperlink" Target="https://pld.live/RapDetail.aspx?STONELIST=926860063&amp;ISCONFIRM=0" TargetMode="External"/><Relationship Id="rId1428" Type="http://schemas.openxmlformats.org/officeDocument/2006/relationships/hyperlink" Target="https://pld.live/RapDetail.aspx?STONELIST=926311255&amp;ISCONFIRM=0" TargetMode="External"/><Relationship Id="rId1635" Type="http://schemas.openxmlformats.org/officeDocument/2006/relationships/hyperlink" Target="https://pld.live/RapDetail.aspx?STONELIST=941310014&amp;ISCONFIRM=0" TargetMode="External"/><Relationship Id="rId1982" Type="http://schemas.openxmlformats.org/officeDocument/2006/relationships/hyperlink" Target="https://pld.live/RapDetail.aspx?STONELIST=925910777&amp;ISCONFIRM=0" TargetMode="External"/><Relationship Id="rId4041" Type="http://schemas.openxmlformats.org/officeDocument/2006/relationships/hyperlink" Target="https://pld.live/RapDetail.aspx?STONELIST=925732293&amp;ISCONFIRM=0" TargetMode="External"/><Relationship Id="rId7197" Type="http://schemas.openxmlformats.org/officeDocument/2006/relationships/hyperlink" Target="https://pld.live/RapDetail.aspx?STONELIST=941110547&amp;ISCONFIRM=0" TargetMode="External"/><Relationship Id="rId8248" Type="http://schemas.openxmlformats.org/officeDocument/2006/relationships/hyperlink" Target="https://pld.live/RapDetail.aspx?STONELIST=925731635&amp;ISCONFIRM=0" TargetMode="External"/><Relationship Id="rId1842" Type="http://schemas.openxmlformats.org/officeDocument/2006/relationships/hyperlink" Target="https://pld.live/RapDetail.aspx?STONELIST=924340252&amp;ISCONFIRM=0" TargetMode="External"/><Relationship Id="rId4998" Type="http://schemas.openxmlformats.org/officeDocument/2006/relationships/hyperlink" Target="https://pld.live/RapDetail.aspx?STONELIST=925850223&amp;ISCONFIRM=0" TargetMode="External"/><Relationship Id="rId7057" Type="http://schemas.openxmlformats.org/officeDocument/2006/relationships/hyperlink" Target="https://pld.live/RapDetail.aspx?STONELIST=927092565&amp;ISCONFIRM=0" TargetMode="External"/><Relationship Id="rId7264" Type="http://schemas.openxmlformats.org/officeDocument/2006/relationships/hyperlink" Target="https://pld.live/RapDetail.aspx?STONELIST=941110565&amp;ISCONFIRM=0" TargetMode="External"/><Relationship Id="rId8108" Type="http://schemas.openxmlformats.org/officeDocument/2006/relationships/hyperlink" Target="https://pld.live/RapDetail.aspx?STONELIST=926110328&amp;ISCONFIRM=0" TargetMode="External"/><Relationship Id="rId1702" Type="http://schemas.openxmlformats.org/officeDocument/2006/relationships/hyperlink" Target="https://pld.live/RapDetail.aspx?STONELIST=926661468&amp;ISCONFIRM=0" TargetMode="External"/><Relationship Id="rId4858" Type="http://schemas.openxmlformats.org/officeDocument/2006/relationships/hyperlink" Target="https://pld.live/RapDetail.aspx?STONELIST=926910284&amp;ISCONFIRM=0" TargetMode="External"/><Relationship Id="rId5909" Type="http://schemas.openxmlformats.org/officeDocument/2006/relationships/hyperlink" Target="https://pld.live/RapDetail.aspx?STONELIST=925802055&amp;ISCONFIRM=0" TargetMode="External"/><Relationship Id="rId6073" Type="http://schemas.openxmlformats.org/officeDocument/2006/relationships/hyperlink" Target="https://pld.live/RapDetail.aspx?STONELIST=941220462&amp;ISCONFIRM=0" TargetMode="External"/><Relationship Id="rId7124" Type="http://schemas.openxmlformats.org/officeDocument/2006/relationships/hyperlink" Target="https://pld.live/RapDetail.aspx?STONELIST=941161004&amp;ISCONFIRM=0" TargetMode="External"/><Relationship Id="rId7471" Type="http://schemas.openxmlformats.org/officeDocument/2006/relationships/hyperlink" Target="https://pld.live/RapDetail.aspx?STONELIST=926071384&amp;ISCONFIRM=0" TargetMode="External"/><Relationship Id="rId3667" Type="http://schemas.openxmlformats.org/officeDocument/2006/relationships/hyperlink" Target="https://pld.live/RapDetail.aspx?STONELIST=925670203&amp;ISCONFIRM=0" TargetMode="External"/><Relationship Id="rId3874" Type="http://schemas.openxmlformats.org/officeDocument/2006/relationships/hyperlink" Target="https://pld.live/RapDetail.aspx?STONELIST=821124312&amp;ISCONFIRM=0" TargetMode="External"/><Relationship Id="rId4718" Type="http://schemas.openxmlformats.org/officeDocument/2006/relationships/hyperlink" Target="https://pld.live/RapDetail.aspx?STONELIST=924450169&amp;ISCONFIRM=0" TargetMode="External"/><Relationship Id="rId4925" Type="http://schemas.openxmlformats.org/officeDocument/2006/relationships/hyperlink" Target="https://pld.live/RapDetail.aspx?STONELIST=924720186&amp;ISCONFIRM=0" TargetMode="External"/><Relationship Id="rId6280" Type="http://schemas.openxmlformats.org/officeDocument/2006/relationships/hyperlink" Target="https://pld.live/RapDetail.aspx?STONELIST=925490037&amp;ISCONFIRM=0" TargetMode="External"/><Relationship Id="rId7331" Type="http://schemas.openxmlformats.org/officeDocument/2006/relationships/hyperlink" Target="https://pld.live/RapDetail.aspx?STONELIST=926980712&amp;ISCONFIRM=0" TargetMode="External"/><Relationship Id="rId588" Type="http://schemas.openxmlformats.org/officeDocument/2006/relationships/hyperlink" Target="https://pld.live/RapDetail.aspx?STONELIST=925621481&amp;ISCONFIRM=0" TargetMode="External"/><Relationship Id="rId795" Type="http://schemas.openxmlformats.org/officeDocument/2006/relationships/hyperlink" Target="https://pld.live/RapDetail.aspx?STONELIST=821127581&amp;ISCONFIRM=0" TargetMode="External"/><Relationship Id="rId2269" Type="http://schemas.openxmlformats.org/officeDocument/2006/relationships/hyperlink" Target="https://pld.live/RapDetail.aspx?STONELIST=926230958&amp;ISCONFIRM=0" TargetMode="External"/><Relationship Id="rId2476" Type="http://schemas.openxmlformats.org/officeDocument/2006/relationships/hyperlink" Target="https://pld.live/RapDetail.aspx?STONELIST=926261175&amp;ISCONFIRM=0" TargetMode="External"/><Relationship Id="rId2683" Type="http://schemas.openxmlformats.org/officeDocument/2006/relationships/hyperlink" Target="https://pld.live/RapDetail.aspx?STONELIST=926090460&amp;ISCONFIRM=0" TargetMode="External"/><Relationship Id="rId2890" Type="http://schemas.openxmlformats.org/officeDocument/2006/relationships/hyperlink" Target="https://pld.live/RapDetail.aspx?STONELIST=925951032&amp;ISCONFIRM=0" TargetMode="External"/><Relationship Id="rId3527" Type="http://schemas.openxmlformats.org/officeDocument/2006/relationships/hyperlink" Target="https://pld.live/RapDetail.aspx?STONELIST=923570810&amp;ISCONFIRM=0" TargetMode="External"/><Relationship Id="rId3734" Type="http://schemas.openxmlformats.org/officeDocument/2006/relationships/hyperlink" Target="https://pld.live/RapDetail.aspx?STONELIST=941421123&amp;ISCONFIRM=0" TargetMode="External"/><Relationship Id="rId3941" Type="http://schemas.openxmlformats.org/officeDocument/2006/relationships/hyperlink" Target="https://pld.live/RapDetail.aspx?STONELIST=925721808&amp;ISCONFIRM=0" TargetMode="External"/><Relationship Id="rId6140" Type="http://schemas.openxmlformats.org/officeDocument/2006/relationships/hyperlink" Target="https://pld.live/RapDetail.aspx?STONELIST=926450416&amp;ISCONFIRM=0" TargetMode="External"/><Relationship Id="rId448" Type="http://schemas.openxmlformats.org/officeDocument/2006/relationships/hyperlink" Target="https://pld.live/RapDetail.aspx?STONELIST=926100925&amp;ISCONFIRM=0" TargetMode="External"/><Relationship Id="rId655" Type="http://schemas.openxmlformats.org/officeDocument/2006/relationships/hyperlink" Target="https://pld.live/RapDetail.aspx?STONELIST=925940522&amp;ISCONFIRM=0" TargetMode="External"/><Relationship Id="rId862" Type="http://schemas.openxmlformats.org/officeDocument/2006/relationships/hyperlink" Target="https://pld.live/RapDetail.aspx?STONELIST=821127498&amp;ISCONFIRM=0" TargetMode="External"/><Relationship Id="rId1078" Type="http://schemas.openxmlformats.org/officeDocument/2006/relationships/hyperlink" Target="https://pld.live/RapDetail.aspx?STONELIST=926831083&amp;ISCONFIRM=0" TargetMode="External"/><Relationship Id="rId1285" Type="http://schemas.openxmlformats.org/officeDocument/2006/relationships/hyperlink" Target="https://pld.live/RapDetail.aspx?STONELIST=941320496&amp;ISCONFIRM=0" TargetMode="External"/><Relationship Id="rId1492" Type="http://schemas.openxmlformats.org/officeDocument/2006/relationships/hyperlink" Target="https://pld.live/RapDetail.aspx?STONELIST=925790399&amp;ISCONFIRM=0" TargetMode="External"/><Relationship Id="rId2129" Type="http://schemas.openxmlformats.org/officeDocument/2006/relationships/hyperlink" Target="https://pld.live/RapDetail.aspx?STONELIST=926320962&amp;ISCONFIRM=0" TargetMode="External"/><Relationship Id="rId2336" Type="http://schemas.openxmlformats.org/officeDocument/2006/relationships/hyperlink" Target="https://pld.live/RapDetail.aspx?STONELIST=926301081&amp;ISCONFIRM=0" TargetMode="External"/><Relationship Id="rId2543" Type="http://schemas.openxmlformats.org/officeDocument/2006/relationships/hyperlink" Target="https://pld.live/RapDetail.aspx?STONELIST=926291578&amp;ISCONFIRM=0" TargetMode="External"/><Relationship Id="rId2750" Type="http://schemas.openxmlformats.org/officeDocument/2006/relationships/hyperlink" Target="https://pld.live/RapDetail.aspx?STONELIST=922480074&amp;ISCONFIRM=0" TargetMode="External"/><Relationship Id="rId3801" Type="http://schemas.openxmlformats.org/officeDocument/2006/relationships/hyperlink" Target="https://pld.live/RapDetail.aspx?STONELIST=941120570&amp;ISCONFIRM=0" TargetMode="External"/><Relationship Id="rId5699" Type="http://schemas.openxmlformats.org/officeDocument/2006/relationships/hyperlink" Target="https://pld.live/RapDetail.aspx?STONELIST=831020344&amp;ISCONFIRM=0" TargetMode="External"/><Relationship Id="rId6000" Type="http://schemas.openxmlformats.org/officeDocument/2006/relationships/hyperlink" Target="https://pld.live/RapDetail.aspx?STONELIST=926581271&amp;ISCONFIRM=0" TargetMode="External"/><Relationship Id="rId6957" Type="http://schemas.openxmlformats.org/officeDocument/2006/relationships/hyperlink" Target="https://pld.live/RapDetail.aspx?STONELIST=925721877&amp;ISCONFIRM=0" TargetMode="External"/><Relationship Id="rId308" Type="http://schemas.openxmlformats.org/officeDocument/2006/relationships/hyperlink" Target="https://pld.live/RapDetail.aspx?STONELIST=941400469&amp;ISCONFIRM=0" TargetMode="External"/><Relationship Id="rId515" Type="http://schemas.openxmlformats.org/officeDocument/2006/relationships/hyperlink" Target="https://pld.live/RapDetail.aspx?STONELIST=926171649&amp;ISCONFIRM=0" TargetMode="External"/><Relationship Id="rId722" Type="http://schemas.openxmlformats.org/officeDocument/2006/relationships/hyperlink" Target="https://pld.live/RapDetail.aspx?STONELIST=831010547&amp;ISCONFIRM=0" TargetMode="External"/><Relationship Id="rId1145" Type="http://schemas.openxmlformats.org/officeDocument/2006/relationships/hyperlink" Target="https://pld.live/RapDetail.aspx?STONELIST=926831124&amp;ISCONFIRM=0" TargetMode="External"/><Relationship Id="rId1352" Type="http://schemas.openxmlformats.org/officeDocument/2006/relationships/hyperlink" Target="https://pld.live/RapDetail.aspx?STONELIST=926211186&amp;ISCONFIRM=0" TargetMode="External"/><Relationship Id="rId2403" Type="http://schemas.openxmlformats.org/officeDocument/2006/relationships/hyperlink" Target="https://pld.live/RapDetail.aspx?STONELIST=926231314&amp;ISCONFIRM=0" TargetMode="External"/><Relationship Id="rId5559" Type="http://schemas.openxmlformats.org/officeDocument/2006/relationships/hyperlink" Target="https://pld.live/RapDetail.aspx?STONELIST=924920413&amp;ISCONFIRM=0" TargetMode="External"/><Relationship Id="rId5766" Type="http://schemas.openxmlformats.org/officeDocument/2006/relationships/hyperlink" Target="https://pld.live/RapDetail.aspx?STONELIST=941400117&amp;ISCONFIRM=0" TargetMode="External"/><Relationship Id="rId8172" Type="http://schemas.openxmlformats.org/officeDocument/2006/relationships/hyperlink" Target="https://pld.live/RapDetail.aspx?STONELIST=925290566&amp;ISCONFIRM=0" TargetMode="External"/><Relationship Id="rId1005" Type="http://schemas.openxmlformats.org/officeDocument/2006/relationships/hyperlink" Target="https://pld.live/RapDetail.aspx?STONELIST=941350976&amp;ISCONFIRM=0" TargetMode="External"/><Relationship Id="rId1212" Type="http://schemas.openxmlformats.org/officeDocument/2006/relationships/hyperlink" Target="https://pld.live/RapDetail.aspx?STONELIST=926111313&amp;ISCONFIRM=0" TargetMode="External"/><Relationship Id="rId2610" Type="http://schemas.openxmlformats.org/officeDocument/2006/relationships/hyperlink" Target="https://pld.live/RapDetail.aspx?STONELIST=926301137&amp;ISCONFIRM=0" TargetMode="External"/><Relationship Id="rId4368" Type="http://schemas.openxmlformats.org/officeDocument/2006/relationships/hyperlink" Target="https://pld.live/RapDetail.aspx?STONELIST=927152815&amp;ISCONFIRM=0" TargetMode="External"/><Relationship Id="rId4575" Type="http://schemas.openxmlformats.org/officeDocument/2006/relationships/hyperlink" Target="https://pld.live/RapDetail.aspx?STONELIST=927152827&amp;ISCONFIRM=0" TargetMode="External"/><Relationship Id="rId5419" Type="http://schemas.openxmlformats.org/officeDocument/2006/relationships/hyperlink" Target="https://pld.live/RapDetail.aspx?STONELIST=831010218&amp;ISCONFIRM=0" TargetMode="External"/><Relationship Id="rId5973" Type="http://schemas.openxmlformats.org/officeDocument/2006/relationships/hyperlink" Target="https://pld.live/RapDetail.aspx?STONELIST=925961377&amp;ISCONFIRM=0" TargetMode="External"/><Relationship Id="rId6817" Type="http://schemas.openxmlformats.org/officeDocument/2006/relationships/hyperlink" Target="https://pld.live/RapDetail.aspx?STONELIST=925930312&amp;ISCONFIRM=0" TargetMode="External"/><Relationship Id="rId8032" Type="http://schemas.openxmlformats.org/officeDocument/2006/relationships/hyperlink" Target="https://pld.live/RapDetail.aspx?STONELIST=925870561&amp;ISCONFIRM=0" TargetMode="External"/><Relationship Id="rId3177" Type="http://schemas.openxmlformats.org/officeDocument/2006/relationships/hyperlink" Target="https://pld.live/RapDetail.aspx?STONELIST=923920373&amp;ISCONFIRM=0" TargetMode="External"/><Relationship Id="rId4228" Type="http://schemas.openxmlformats.org/officeDocument/2006/relationships/hyperlink" Target="https://pld.live/RapDetail.aspx?STONELIST=925721756&amp;ISCONFIRM=0" TargetMode="External"/><Relationship Id="rId4782" Type="http://schemas.openxmlformats.org/officeDocument/2006/relationships/hyperlink" Target="https://pld.live/RapDetail.aspx?STONELIST=926010284&amp;ISCONFIRM=0" TargetMode="External"/><Relationship Id="rId5626" Type="http://schemas.openxmlformats.org/officeDocument/2006/relationships/hyperlink" Target="https://pld.live/RapDetail.aspx?STONELIST=924960447&amp;ISCONFIRM=0" TargetMode="External"/><Relationship Id="rId5833" Type="http://schemas.openxmlformats.org/officeDocument/2006/relationships/hyperlink" Target="https://pld.live/RapDetail.aspx?STONELIST=926010292&amp;ISCONFIRM=0" TargetMode="External"/><Relationship Id="rId3037" Type="http://schemas.openxmlformats.org/officeDocument/2006/relationships/hyperlink" Target="https://pld.live/RapDetail.aspx?STONELIST=925791412&amp;ISCONFIRM=0" TargetMode="External"/><Relationship Id="rId3384" Type="http://schemas.openxmlformats.org/officeDocument/2006/relationships/hyperlink" Target="https://pld.live/RapDetail.aspx?STONELIST=924410244&amp;ISCONFIRM=0" TargetMode="External"/><Relationship Id="rId3591" Type="http://schemas.openxmlformats.org/officeDocument/2006/relationships/hyperlink" Target="https://pld.live/RapDetail.aspx?STONELIST=927120106&amp;ISCONFIRM=0" TargetMode="External"/><Relationship Id="rId4435" Type="http://schemas.openxmlformats.org/officeDocument/2006/relationships/hyperlink" Target="https://pld.live/RapDetail.aspx?STONELIST=927092348&amp;ISCONFIRM=0" TargetMode="External"/><Relationship Id="rId4642" Type="http://schemas.openxmlformats.org/officeDocument/2006/relationships/hyperlink" Target="https://pld.live/RapDetail.aspx?STONELIST=927052559&amp;ISCONFIRM=0" TargetMode="External"/><Relationship Id="rId5900" Type="http://schemas.openxmlformats.org/officeDocument/2006/relationships/hyperlink" Target="https://pld.live/RapDetail.aspx?STONELIST=925961381&amp;ISCONFIRM=0" TargetMode="External"/><Relationship Id="rId7798" Type="http://schemas.openxmlformats.org/officeDocument/2006/relationships/hyperlink" Target="https://pld.live/RapDetail.aspx?STONELIST=925860728&amp;ISCONFIRM=0" TargetMode="External"/><Relationship Id="rId2193" Type="http://schemas.openxmlformats.org/officeDocument/2006/relationships/hyperlink" Target="https://pld.live/RapDetail.aspx?STONELIST=941190426&amp;ISCONFIRM=0" TargetMode="External"/><Relationship Id="rId3244" Type="http://schemas.openxmlformats.org/officeDocument/2006/relationships/hyperlink" Target="https://pld.live/RapDetail.aspx?STONELIST=941270814&amp;ISCONFIRM=0" TargetMode="External"/><Relationship Id="rId3451" Type="http://schemas.openxmlformats.org/officeDocument/2006/relationships/hyperlink" Target="https://pld.live/RapDetail.aspx?STONELIST=922190084&amp;ISCONFIRM=0" TargetMode="External"/><Relationship Id="rId4502" Type="http://schemas.openxmlformats.org/officeDocument/2006/relationships/hyperlink" Target="https://pld.live/RapDetail.aspx?STONELIST=926250461&amp;ISCONFIRM=0" TargetMode="External"/><Relationship Id="rId7658" Type="http://schemas.openxmlformats.org/officeDocument/2006/relationships/hyperlink" Target="https://pld.live/RapDetail.aspx?STONELIST=941260509&amp;ISCONFIRM=0" TargetMode="External"/><Relationship Id="rId7865" Type="http://schemas.openxmlformats.org/officeDocument/2006/relationships/hyperlink" Target="https://pld.live/RapDetail.aspx?STONELIST=926840619&amp;ISCONFIRM=0" TargetMode="External"/><Relationship Id="rId165" Type="http://schemas.openxmlformats.org/officeDocument/2006/relationships/hyperlink" Target="https://pld.live/RapDetail.aspx?STONELIST=926930930&amp;ISCONFIRM=0" TargetMode="External"/><Relationship Id="rId372" Type="http://schemas.openxmlformats.org/officeDocument/2006/relationships/hyperlink" Target="https://pld.live/RapDetail.aspx?STONELIST=941390370&amp;ISCONFIRM=0" TargetMode="External"/><Relationship Id="rId2053" Type="http://schemas.openxmlformats.org/officeDocument/2006/relationships/hyperlink" Target="https://pld.live/RapDetail.aspx?STONELIST=927010452&amp;ISCONFIRM=0" TargetMode="External"/><Relationship Id="rId2260" Type="http://schemas.openxmlformats.org/officeDocument/2006/relationships/hyperlink" Target="https://pld.live/RapDetail.aspx?STONELIST=926391225&amp;ISCONFIRM=0" TargetMode="External"/><Relationship Id="rId3104" Type="http://schemas.openxmlformats.org/officeDocument/2006/relationships/hyperlink" Target="https://pld.live/RapDetail.aspx?STONELIST=821123104&amp;ISCONFIRM=0" TargetMode="External"/><Relationship Id="rId3311" Type="http://schemas.openxmlformats.org/officeDocument/2006/relationships/hyperlink" Target="https://pld.live/RapDetail.aspx?STONELIST=926540193&amp;ISCONFIRM=0" TargetMode="External"/><Relationship Id="rId6467" Type="http://schemas.openxmlformats.org/officeDocument/2006/relationships/hyperlink" Target="https://pld.live/RapDetail.aspx?STONELIST=941090621&amp;ISCONFIRM=0" TargetMode="External"/><Relationship Id="rId6674" Type="http://schemas.openxmlformats.org/officeDocument/2006/relationships/hyperlink" Target="https://pld.live/RapDetail.aspx?STONELIST=927092638&amp;ISCONFIRM=0" TargetMode="External"/><Relationship Id="rId6881" Type="http://schemas.openxmlformats.org/officeDocument/2006/relationships/hyperlink" Target="https://pld.live/RapDetail.aspx?STONELIST=926030184&amp;ISCONFIRM=0" TargetMode="External"/><Relationship Id="rId7518" Type="http://schemas.openxmlformats.org/officeDocument/2006/relationships/hyperlink" Target="https://pld.live/RapDetail.aspx?STONELIST=925731928&amp;ISCONFIRM=0" TargetMode="External"/><Relationship Id="rId7725" Type="http://schemas.openxmlformats.org/officeDocument/2006/relationships/hyperlink" Target="https://pld.live/RapDetail.aspx?STONELIST=831020586&amp;ISCONFIRM=0" TargetMode="External"/><Relationship Id="rId7932" Type="http://schemas.openxmlformats.org/officeDocument/2006/relationships/hyperlink" Target="https://pld.live/RapDetail.aspx?STONELIST=926921384&amp;ISCONFIRM=0" TargetMode="External"/><Relationship Id="rId232" Type="http://schemas.openxmlformats.org/officeDocument/2006/relationships/hyperlink" Target="https://pld.live/RapDetail.aspx?STONELIST=941400397&amp;ISCONFIRM=0" TargetMode="External"/><Relationship Id="rId2120" Type="http://schemas.openxmlformats.org/officeDocument/2006/relationships/hyperlink" Target="https://pld.live/RapDetail.aspx?STONELIST=926231306&amp;ISCONFIRM=0" TargetMode="External"/><Relationship Id="rId5069" Type="http://schemas.openxmlformats.org/officeDocument/2006/relationships/hyperlink" Target="https://pld.live/RapDetail.aspx?STONELIST=926200791&amp;ISCONFIRM=0" TargetMode="External"/><Relationship Id="rId5276" Type="http://schemas.openxmlformats.org/officeDocument/2006/relationships/hyperlink" Target="https://pld.live/RapDetail.aspx?STONELIST=926250077&amp;ISCONFIRM=0" TargetMode="External"/><Relationship Id="rId5483" Type="http://schemas.openxmlformats.org/officeDocument/2006/relationships/hyperlink" Target="https://pld.live/RapDetail.aspx?STONELIST=941140858&amp;ISCONFIRM=0" TargetMode="External"/><Relationship Id="rId5690" Type="http://schemas.openxmlformats.org/officeDocument/2006/relationships/hyperlink" Target="https://pld.live/RapDetail.aspx?STONELIST=923610270&amp;ISCONFIRM=0" TargetMode="External"/><Relationship Id="rId6327" Type="http://schemas.openxmlformats.org/officeDocument/2006/relationships/hyperlink" Target="https://pld.live/RapDetail.aspx?STONELIST=927140426&amp;ISCONFIRM=0" TargetMode="External"/><Relationship Id="rId6534" Type="http://schemas.openxmlformats.org/officeDocument/2006/relationships/hyperlink" Target="https://pld.live/RapDetail.aspx?STONELIST=927092418&amp;ISCONFIRM=0" TargetMode="External"/><Relationship Id="rId6741" Type="http://schemas.openxmlformats.org/officeDocument/2006/relationships/hyperlink" Target="https://pld.live/RapDetail.aspx?STONELIST=941040710&amp;ISCONFIRM=0" TargetMode="External"/><Relationship Id="rId1679" Type="http://schemas.openxmlformats.org/officeDocument/2006/relationships/hyperlink" Target="https://pld.live/RapDetail.aspx?STONELIST=925840327&amp;ISCONFIRM=0" TargetMode="External"/><Relationship Id="rId4085" Type="http://schemas.openxmlformats.org/officeDocument/2006/relationships/hyperlink" Target="https://pld.live/RapDetail.aspx?STONELIST=926200754&amp;ISCONFIRM=0" TargetMode="External"/><Relationship Id="rId4292" Type="http://schemas.openxmlformats.org/officeDocument/2006/relationships/hyperlink" Target="https://pld.live/RapDetail.aspx?STONELIST=927101196&amp;ISCONFIRM=0" TargetMode="External"/><Relationship Id="rId5136" Type="http://schemas.openxmlformats.org/officeDocument/2006/relationships/hyperlink" Target="https://pld.live/RapDetail.aspx?STONELIST=926200801&amp;ISCONFIRM=0" TargetMode="External"/><Relationship Id="rId5343" Type="http://schemas.openxmlformats.org/officeDocument/2006/relationships/hyperlink" Target="https://pld.live/RapDetail.aspx?STONELIST=926270792&amp;ISCONFIRM=0" TargetMode="External"/><Relationship Id="rId1886" Type="http://schemas.openxmlformats.org/officeDocument/2006/relationships/hyperlink" Target="https://pld.live/RapDetail.aspx?STONELIST=926440944&amp;ISCONFIRM=0" TargetMode="External"/><Relationship Id="rId2937" Type="http://schemas.openxmlformats.org/officeDocument/2006/relationships/hyperlink" Target="https://pld.live/RapDetail.aspx?STONELIST=925830758&amp;ISCONFIRM=0" TargetMode="External"/><Relationship Id="rId4152" Type="http://schemas.openxmlformats.org/officeDocument/2006/relationships/hyperlink" Target="https://pld.live/RapDetail.aspx?STONELIST=926041276&amp;ISCONFIRM=0" TargetMode="External"/><Relationship Id="rId5203" Type="http://schemas.openxmlformats.org/officeDocument/2006/relationships/hyperlink" Target="https://pld.live/RapDetail.aspx?STONELIST=925861062&amp;ISCONFIRM=0" TargetMode="External"/><Relationship Id="rId5550" Type="http://schemas.openxmlformats.org/officeDocument/2006/relationships/hyperlink" Target="https://pld.live/RapDetail.aspx?STONELIST=926250462&amp;ISCONFIRM=0" TargetMode="External"/><Relationship Id="rId6601" Type="http://schemas.openxmlformats.org/officeDocument/2006/relationships/hyperlink" Target="https://pld.live/RapDetail.aspx?STONELIST=927092218&amp;ISCONFIRM=0" TargetMode="External"/><Relationship Id="rId909" Type="http://schemas.openxmlformats.org/officeDocument/2006/relationships/hyperlink" Target="https://pld.live/RapDetail.aspx?STONELIST=821127416&amp;ISCONFIRM=0" TargetMode="External"/><Relationship Id="rId1539" Type="http://schemas.openxmlformats.org/officeDocument/2006/relationships/hyperlink" Target="https://pld.live/RapDetail.aspx?STONELIST=926311372&amp;ISCONFIRM=0" TargetMode="External"/><Relationship Id="rId1746" Type="http://schemas.openxmlformats.org/officeDocument/2006/relationships/hyperlink" Target="https://pld.live/RapDetail.aspx?STONELIST=941360535&amp;ISCONFIRM=0" TargetMode="External"/><Relationship Id="rId1953" Type="http://schemas.openxmlformats.org/officeDocument/2006/relationships/hyperlink" Target="https://pld.live/RapDetail.aspx?STONELIST=924340385&amp;ISCONFIRM=0" TargetMode="External"/><Relationship Id="rId5410" Type="http://schemas.openxmlformats.org/officeDocument/2006/relationships/hyperlink" Target="https://pld.live/RapDetail.aspx?STONELIST=926791044&amp;ISCONFIRM=0" TargetMode="External"/><Relationship Id="rId7168" Type="http://schemas.openxmlformats.org/officeDocument/2006/relationships/hyperlink" Target="https://pld.live/RapDetail.aspx?STONELIST=926560342&amp;ISCONFIRM=0" TargetMode="External"/><Relationship Id="rId38" Type="http://schemas.openxmlformats.org/officeDocument/2006/relationships/hyperlink" Target="https://pld.live/RapDetail.aspx?STONELIST=924890011&amp;ISCONFIRM=0" TargetMode="External"/><Relationship Id="rId1606" Type="http://schemas.openxmlformats.org/officeDocument/2006/relationships/hyperlink" Target="https://pld.live/RapDetail.aspx?STONELIST=941330310&amp;ISCONFIRM=0" TargetMode="External"/><Relationship Id="rId1813" Type="http://schemas.openxmlformats.org/officeDocument/2006/relationships/hyperlink" Target="https://pld.live/RapDetail.aspx?STONELIST=926331674&amp;ISCONFIRM=0" TargetMode="External"/><Relationship Id="rId4012" Type="http://schemas.openxmlformats.org/officeDocument/2006/relationships/hyperlink" Target="https://pld.live/RapDetail.aspx?STONELIST=926071731&amp;ISCONFIRM=0" TargetMode="External"/><Relationship Id="rId4969" Type="http://schemas.openxmlformats.org/officeDocument/2006/relationships/hyperlink" Target="https://pld.live/RapDetail.aspx?STONELIST=925551850&amp;ISCONFIRM=0" TargetMode="External"/><Relationship Id="rId7375" Type="http://schemas.openxmlformats.org/officeDocument/2006/relationships/hyperlink" Target="https://pld.live/RapDetail.aspx?STONELIST=941400590&amp;ISCONFIRM=0" TargetMode="External"/><Relationship Id="rId7582" Type="http://schemas.openxmlformats.org/officeDocument/2006/relationships/hyperlink" Target="https://pld.live/RapDetail.aspx?STONELIST=925731623&amp;ISCONFIRM=0" TargetMode="External"/><Relationship Id="rId8219" Type="http://schemas.openxmlformats.org/officeDocument/2006/relationships/hyperlink" Target="https://pld.live/RapDetail.aspx?STONELIST=924590297&amp;ISCONFIRM=0" TargetMode="External"/><Relationship Id="rId3778" Type="http://schemas.openxmlformats.org/officeDocument/2006/relationships/hyperlink" Target="https://pld.live/RapDetail.aspx?STONELIST=927070167&amp;ISCONFIRM=0" TargetMode="External"/><Relationship Id="rId3985" Type="http://schemas.openxmlformats.org/officeDocument/2006/relationships/hyperlink" Target="https://pld.live/RapDetail.aspx?STONELIST=925981115&amp;ISCONFIRM=0" TargetMode="External"/><Relationship Id="rId4829" Type="http://schemas.openxmlformats.org/officeDocument/2006/relationships/hyperlink" Target="https://pld.live/RapDetail.aspx?STONELIST=821113210&amp;ISCONFIRM=0" TargetMode="External"/><Relationship Id="rId6184" Type="http://schemas.openxmlformats.org/officeDocument/2006/relationships/hyperlink" Target="https://pld.live/RapDetail.aspx?STONELIST=821113441&amp;ISCONFIRM=0" TargetMode="External"/><Relationship Id="rId6391" Type="http://schemas.openxmlformats.org/officeDocument/2006/relationships/hyperlink" Target="https://pld.live/RapDetail.aspx?STONELIST=925520962&amp;ISCONFIRM=0" TargetMode="External"/><Relationship Id="rId7028" Type="http://schemas.openxmlformats.org/officeDocument/2006/relationships/hyperlink" Target="https://pld.live/RapDetail.aspx?STONELIST=927140482&amp;ISCONFIRM=0" TargetMode="External"/><Relationship Id="rId7235" Type="http://schemas.openxmlformats.org/officeDocument/2006/relationships/hyperlink" Target="https://pld.live/RapDetail.aspx?STONELIST=926130186&amp;ISCONFIRM=0" TargetMode="External"/><Relationship Id="rId7442" Type="http://schemas.openxmlformats.org/officeDocument/2006/relationships/hyperlink" Target="https://pld.live/RapDetail.aspx?STONELIST=925722037&amp;ISCONFIRM=0" TargetMode="External"/><Relationship Id="rId699" Type="http://schemas.openxmlformats.org/officeDocument/2006/relationships/hyperlink" Target="https://pld.live/RapDetail.aspx?STONELIST=925732149&amp;ISCONFIRM=0" TargetMode="External"/><Relationship Id="rId2587" Type="http://schemas.openxmlformats.org/officeDocument/2006/relationships/hyperlink" Target="https://pld.live/RapDetail.aspx?STONELIST=926430814&amp;ISCONFIRM=0" TargetMode="External"/><Relationship Id="rId2794" Type="http://schemas.openxmlformats.org/officeDocument/2006/relationships/hyperlink" Target="https://pld.live/RapDetail.aspx?STONELIST=925801148&amp;ISCONFIRM=0" TargetMode="External"/><Relationship Id="rId3638" Type="http://schemas.openxmlformats.org/officeDocument/2006/relationships/hyperlink" Target="https://pld.live/RapDetail.aspx?STONELIST=926420421&amp;ISCONFIRM=0" TargetMode="External"/><Relationship Id="rId3845" Type="http://schemas.openxmlformats.org/officeDocument/2006/relationships/hyperlink" Target="https://pld.live/RapDetail.aspx?STONELIST=925850738&amp;ISCONFIRM=0" TargetMode="External"/><Relationship Id="rId6044" Type="http://schemas.openxmlformats.org/officeDocument/2006/relationships/hyperlink" Target="https://pld.live/RapDetail.aspx?STONELIST=941261128&amp;ISCONFIRM=0" TargetMode="External"/><Relationship Id="rId6251" Type="http://schemas.openxmlformats.org/officeDocument/2006/relationships/hyperlink" Target="https://pld.live/RapDetail.aspx?STONELIST=941100624&amp;ISCONFIRM=0" TargetMode="External"/><Relationship Id="rId7302" Type="http://schemas.openxmlformats.org/officeDocument/2006/relationships/hyperlink" Target="https://pld.live/RapDetail.aspx?STONELIST=927132478&amp;ISCONFIRM=0" TargetMode="External"/><Relationship Id="rId559" Type="http://schemas.openxmlformats.org/officeDocument/2006/relationships/hyperlink" Target="https://pld.live/RapDetail.aspx?STONELIST=926400541&amp;ISCONFIRM=0" TargetMode="External"/><Relationship Id="rId766" Type="http://schemas.openxmlformats.org/officeDocument/2006/relationships/hyperlink" Target="https://pld.live/RapDetail.aspx?STONELIST=925960969&amp;ISCONFIRM=0" TargetMode="External"/><Relationship Id="rId1189" Type="http://schemas.openxmlformats.org/officeDocument/2006/relationships/hyperlink" Target="https://pld.live/RapDetail.aspx?STONELIST=941071111&amp;ISCONFIRM=0" TargetMode="External"/><Relationship Id="rId1396" Type="http://schemas.openxmlformats.org/officeDocument/2006/relationships/hyperlink" Target="https://pld.live/RapDetail.aspx?STONELIST=926221206&amp;ISCONFIRM=0" TargetMode="External"/><Relationship Id="rId2447" Type="http://schemas.openxmlformats.org/officeDocument/2006/relationships/hyperlink" Target="https://pld.live/RapDetail.aspx?STONELIST=926801388&amp;ISCONFIRM=0" TargetMode="External"/><Relationship Id="rId5060" Type="http://schemas.openxmlformats.org/officeDocument/2006/relationships/hyperlink" Target="https://pld.live/RapDetail.aspx?STONELIST=925660152&amp;ISCONFIRM=0" TargetMode="External"/><Relationship Id="rId6111" Type="http://schemas.openxmlformats.org/officeDocument/2006/relationships/hyperlink" Target="https://pld.live/RapDetail.aspx?STONELIST=925410049&amp;ISCONFIRM=0" TargetMode="External"/><Relationship Id="rId419" Type="http://schemas.openxmlformats.org/officeDocument/2006/relationships/hyperlink" Target="https://pld.live/RapDetail.aspx?STONELIST=925120323&amp;ISCONFIRM=0" TargetMode="External"/><Relationship Id="rId626" Type="http://schemas.openxmlformats.org/officeDocument/2006/relationships/hyperlink" Target="https://pld.live/RapDetail.aspx?STONELIST=925981113&amp;ISCONFIRM=0" TargetMode="External"/><Relationship Id="rId973" Type="http://schemas.openxmlformats.org/officeDocument/2006/relationships/hyperlink" Target="https://pld.live/RapDetail.aspx?STONELIST=941071224&amp;ISCONFIRM=0" TargetMode="External"/><Relationship Id="rId1049" Type="http://schemas.openxmlformats.org/officeDocument/2006/relationships/hyperlink" Target="https://pld.live/RapDetail.aspx?STONELIST=926810864&amp;ISCONFIRM=0" TargetMode="External"/><Relationship Id="rId1256" Type="http://schemas.openxmlformats.org/officeDocument/2006/relationships/hyperlink" Target="https://pld.live/RapDetail.aspx?STONELIST=941170238&amp;ISCONFIRM=0" TargetMode="External"/><Relationship Id="rId2307" Type="http://schemas.openxmlformats.org/officeDocument/2006/relationships/hyperlink" Target="https://pld.live/RapDetail.aspx?STONELIST=926141013&amp;ISCONFIRM=0" TargetMode="External"/><Relationship Id="rId2654" Type="http://schemas.openxmlformats.org/officeDocument/2006/relationships/hyperlink" Target="https://pld.live/RapDetail.aspx?STONELIST=920661543&amp;ISCONFIRM=0" TargetMode="External"/><Relationship Id="rId2861" Type="http://schemas.openxmlformats.org/officeDocument/2006/relationships/hyperlink" Target="https://pld.live/RapDetail.aspx?STONELIST=925861905&amp;ISCONFIRM=0" TargetMode="External"/><Relationship Id="rId3705" Type="http://schemas.openxmlformats.org/officeDocument/2006/relationships/hyperlink" Target="https://pld.live/RapDetail.aspx?STONELIST=925700299&amp;ISCONFIRM=0" TargetMode="External"/><Relationship Id="rId3912" Type="http://schemas.openxmlformats.org/officeDocument/2006/relationships/hyperlink" Target="https://pld.live/RapDetail.aspx?STONELIST=925540944&amp;ISCONFIRM=0" TargetMode="External"/><Relationship Id="rId8076" Type="http://schemas.openxmlformats.org/officeDocument/2006/relationships/hyperlink" Target="https://pld.live/RapDetail.aspx?STONELIST=925980774&amp;ISCONFIRM=0" TargetMode="External"/><Relationship Id="rId833" Type="http://schemas.openxmlformats.org/officeDocument/2006/relationships/hyperlink" Target="https://pld.live/RapDetail.aspx?STONELIST=925951055&amp;ISCONFIRM=0" TargetMode="External"/><Relationship Id="rId1116" Type="http://schemas.openxmlformats.org/officeDocument/2006/relationships/hyperlink" Target="https://pld.live/RapDetail.aspx?STONELIST=926831128&amp;ISCONFIRM=0" TargetMode="External"/><Relationship Id="rId1463" Type="http://schemas.openxmlformats.org/officeDocument/2006/relationships/hyperlink" Target="https://pld.live/RapDetail.aspx?STONELIST=926221347&amp;ISCONFIRM=0" TargetMode="External"/><Relationship Id="rId1670" Type="http://schemas.openxmlformats.org/officeDocument/2006/relationships/hyperlink" Target="https://pld.live/RapDetail.aspx?STONELIST=821126258&amp;ISCONFIRM=0" TargetMode="External"/><Relationship Id="rId2514" Type="http://schemas.openxmlformats.org/officeDocument/2006/relationships/hyperlink" Target="https://pld.live/RapDetail.aspx?STONELIST=926231270&amp;ISCONFIRM=0" TargetMode="External"/><Relationship Id="rId2721" Type="http://schemas.openxmlformats.org/officeDocument/2006/relationships/hyperlink" Target="https://pld.live/RapDetail.aspx?STONELIST=925060441&amp;ISCONFIRM=0" TargetMode="External"/><Relationship Id="rId5877" Type="http://schemas.openxmlformats.org/officeDocument/2006/relationships/hyperlink" Target="https://pld.live/RapDetail.aspx?STONELIST=925961365&amp;ISCONFIRM=0" TargetMode="External"/><Relationship Id="rId6928" Type="http://schemas.openxmlformats.org/officeDocument/2006/relationships/hyperlink" Target="https://pld.live/RapDetail.aspx?STONELIST=821113874&amp;ISCONFIRM=0" TargetMode="External"/><Relationship Id="rId7092" Type="http://schemas.openxmlformats.org/officeDocument/2006/relationships/hyperlink" Target="https://pld.live/RapDetail.aspx?STONELIST=927140497&amp;ISCONFIRM=0" TargetMode="External"/><Relationship Id="rId8143" Type="http://schemas.openxmlformats.org/officeDocument/2006/relationships/hyperlink" Target="https://pld.live/RapDetail.aspx?STONELIST=927140428&amp;ISCONFIRM=0" TargetMode="External"/><Relationship Id="rId900" Type="http://schemas.openxmlformats.org/officeDocument/2006/relationships/hyperlink" Target="https://pld.live/RapDetail.aspx?STONELIST=925940569&amp;ISCONFIRM=0" TargetMode="External"/><Relationship Id="rId1323" Type="http://schemas.openxmlformats.org/officeDocument/2006/relationships/hyperlink" Target="https://pld.live/RapDetail.aspx?STONELIST=821125818&amp;ISCONFIRM=0" TargetMode="External"/><Relationship Id="rId1530" Type="http://schemas.openxmlformats.org/officeDocument/2006/relationships/hyperlink" Target="https://pld.live/RapDetail.aspx?STONELIST=926331718&amp;ISCONFIRM=0" TargetMode="External"/><Relationship Id="rId4479" Type="http://schemas.openxmlformats.org/officeDocument/2006/relationships/hyperlink" Target="https://pld.live/RapDetail.aspx?STONELIST=927092575&amp;ISCONFIRM=0" TargetMode="External"/><Relationship Id="rId4686" Type="http://schemas.openxmlformats.org/officeDocument/2006/relationships/hyperlink" Target="https://pld.live/RapDetail.aspx?STONELIST=941220355&amp;ISCONFIRM=0" TargetMode="External"/><Relationship Id="rId4893" Type="http://schemas.openxmlformats.org/officeDocument/2006/relationships/hyperlink" Target="https://pld.live/RapDetail.aspx?STONELIST=926041154&amp;ISCONFIRM=0" TargetMode="External"/><Relationship Id="rId5737" Type="http://schemas.openxmlformats.org/officeDocument/2006/relationships/hyperlink" Target="https://pld.live/RapDetail.aspx?STONELIST=941160445&amp;ISCONFIRM=0" TargetMode="External"/><Relationship Id="rId5944" Type="http://schemas.openxmlformats.org/officeDocument/2006/relationships/hyperlink" Target="https://pld.live/RapDetail.aspx?STONELIST=926621123&amp;ISCONFIRM=0" TargetMode="External"/><Relationship Id="rId3288" Type="http://schemas.openxmlformats.org/officeDocument/2006/relationships/hyperlink" Target="https://pld.live/RapDetail.aspx?STONELIST=926780073&amp;ISCONFIRM=0" TargetMode="External"/><Relationship Id="rId3495" Type="http://schemas.openxmlformats.org/officeDocument/2006/relationships/hyperlink" Target="https://pld.live/RapDetail.aspx?STONELIST=926270809&amp;ISCONFIRM=0" TargetMode="External"/><Relationship Id="rId4339" Type="http://schemas.openxmlformats.org/officeDocument/2006/relationships/hyperlink" Target="https://pld.live/RapDetail.aspx?STONELIST=927052675&amp;ISCONFIRM=0" TargetMode="External"/><Relationship Id="rId4546" Type="http://schemas.openxmlformats.org/officeDocument/2006/relationships/hyperlink" Target="https://pld.live/RapDetail.aspx?STONELIST=924960473&amp;ISCONFIRM=0" TargetMode="External"/><Relationship Id="rId4753" Type="http://schemas.openxmlformats.org/officeDocument/2006/relationships/hyperlink" Target="https://pld.live/RapDetail.aspx?STONELIST=925060303&amp;ISCONFIRM=0" TargetMode="External"/><Relationship Id="rId4960" Type="http://schemas.openxmlformats.org/officeDocument/2006/relationships/hyperlink" Target="https://pld.live/RapDetail.aspx?STONELIST=926101469&amp;ISCONFIRM=0" TargetMode="External"/><Relationship Id="rId5804" Type="http://schemas.openxmlformats.org/officeDocument/2006/relationships/hyperlink" Target="https://pld.live/RapDetail.aspx?STONELIST=926780077&amp;ISCONFIRM=0" TargetMode="External"/><Relationship Id="rId8003" Type="http://schemas.openxmlformats.org/officeDocument/2006/relationships/hyperlink" Target="https://pld.live/RapDetail.aspx?STONELIST=925900447&amp;ISCONFIRM=0" TargetMode="External"/><Relationship Id="rId8210" Type="http://schemas.openxmlformats.org/officeDocument/2006/relationships/hyperlink" Target="https://pld.live/RapDetail.aspx?STONELIST=925670202&amp;ISCONFIRM=0" TargetMode="External"/><Relationship Id="rId2097" Type="http://schemas.openxmlformats.org/officeDocument/2006/relationships/hyperlink" Target="https://pld.live/RapDetail.aspx?STONELIST=923970239&amp;ISCONFIRM=0" TargetMode="External"/><Relationship Id="rId3148" Type="http://schemas.openxmlformats.org/officeDocument/2006/relationships/hyperlink" Target="https://pld.live/RapDetail.aspx?STONELIST=925040452&amp;ISCONFIRM=0" TargetMode="External"/><Relationship Id="rId3355" Type="http://schemas.openxmlformats.org/officeDocument/2006/relationships/hyperlink" Target="https://pld.live/RapDetail.aspx?STONELIST=926171029&amp;ISCONFIRM=0" TargetMode="External"/><Relationship Id="rId3562" Type="http://schemas.openxmlformats.org/officeDocument/2006/relationships/hyperlink" Target="https://pld.live/RapDetail.aspx?STONELIST=927120108&amp;ISCONFIRM=0" TargetMode="External"/><Relationship Id="rId4406" Type="http://schemas.openxmlformats.org/officeDocument/2006/relationships/hyperlink" Target="https://pld.live/RapDetail.aspx?STONELIST=821113744&amp;ISCONFIRM=0" TargetMode="External"/><Relationship Id="rId4613" Type="http://schemas.openxmlformats.org/officeDocument/2006/relationships/hyperlink" Target="https://pld.live/RapDetail.aspx?STONELIST=927102269&amp;ISCONFIRM=0" TargetMode="External"/><Relationship Id="rId7769" Type="http://schemas.openxmlformats.org/officeDocument/2006/relationships/hyperlink" Target="https://pld.live/RapDetail.aspx?STONELIST=926010238&amp;ISCONFIRM=0" TargetMode="External"/><Relationship Id="rId7976" Type="http://schemas.openxmlformats.org/officeDocument/2006/relationships/hyperlink" Target="https://pld.live/RapDetail.aspx?STONELIST=927140061&amp;ISCONFIRM=0" TargetMode="External"/><Relationship Id="rId276" Type="http://schemas.openxmlformats.org/officeDocument/2006/relationships/hyperlink" Target="https://pld.live/RapDetail.aspx?STONELIST=925560046&amp;ISCONFIRM=0" TargetMode="External"/><Relationship Id="rId483" Type="http://schemas.openxmlformats.org/officeDocument/2006/relationships/hyperlink" Target="https://pld.live/RapDetail.aspx?STONELIST=925180117&amp;ISCONFIRM=0" TargetMode="External"/><Relationship Id="rId690" Type="http://schemas.openxmlformats.org/officeDocument/2006/relationships/hyperlink" Target="https://pld.live/RapDetail.aspx?STONELIST=925430196&amp;ISCONFIRM=0" TargetMode="External"/><Relationship Id="rId2164" Type="http://schemas.openxmlformats.org/officeDocument/2006/relationships/hyperlink" Target="https://pld.live/RapDetail.aspx?STONELIST=925380012&amp;ISCONFIRM=0" TargetMode="External"/><Relationship Id="rId2371" Type="http://schemas.openxmlformats.org/officeDocument/2006/relationships/hyperlink" Target="https://pld.live/RapDetail.aspx?STONELIST=926261198&amp;ISCONFIRM=0" TargetMode="External"/><Relationship Id="rId3008" Type="http://schemas.openxmlformats.org/officeDocument/2006/relationships/hyperlink" Target="https://pld.live/RapDetail.aspx?STONELIST=926110977&amp;ISCONFIRM=0" TargetMode="External"/><Relationship Id="rId3215" Type="http://schemas.openxmlformats.org/officeDocument/2006/relationships/hyperlink" Target="https://pld.live/RapDetail.aspx?STONELIST=926220573&amp;ISCONFIRM=0" TargetMode="External"/><Relationship Id="rId3422" Type="http://schemas.openxmlformats.org/officeDocument/2006/relationships/hyperlink" Target="https://pld.live/RapDetail.aspx?STONELIST=926071718&amp;ISCONFIRM=0" TargetMode="External"/><Relationship Id="rId4820" Type="http://schemas.openxmlformats.org/officeDocument/2006/relationships/hyperlink" Target="https://pld.live/RapDetail.aspx?STONELIST=925980917&amp;ISCONFIRM=0" TargetMode="External"/><Relationship Id="rId6578" Type="http://schemas.openxmlformats.org/officeDocument/2006/relationships/hyperlink" Target="https://pld.live/RapDetail.aspx?STONELIST=926470380&amp;ISCONFIRM=0" TargetMode="External"/><Relationship Id="rId6785" Type="http://schemas.openxmlformats.org/officeDocument/2006/relationships/hyperlink" Target="https://pld.live/RapDetail.aspx?STONELIST=925880138&amp;ISCONFIRM=0" TargetMode="External"/><Relationship Id="rId7629" Type="http://schemas.openxmlformats.org/officeDocument/2006/relationships/hyperlink" Target="https://pld.live/RapDetail.aspx?STONELIST=926690850&amp;ISCONFIRM=0" TargetMode="External"/><Relationship Id="rId136" Type="http://schemas.openxmlformats.org/officeDocument/2006/relationships/hyperlink" Target="https://pld.live/RapDetail.aspx?STONELIST=941050129&amp;ISCONFIRM=0" TargetMode="External"/><Relationship Id="rId343" Type="http://schemas.openxmlformats.org/officeDocument/2006/relationships/hyperlink" Target="https://pld.live/RapDetail.aspx?STONELIST=831010832&amp;ISCONFIRM=0" TargetMode="External"/><Relationship Id="rId550" Type="http://schemas.openxmlformats.org/officeDocument/2006/relationships/hyperlink" Target="https://pld.live/RapDetail.aspx?STONELIST=9414301333&amp;ISCONFIRM=0" TargetMode="External"/><Relationship Id="rId1180" Type="http://schemas.openxmlformats.org/officeDocument/2006/relationships/hyperlink" Target="https://pld.live/RapDetail.aspx?STONELIST=941070876&amp;ISCONFIRM=0" TargetMode="External"/><Relationship Id="rId2024" Type="http://schemas.openxmlformats.org/officeDocument/2006/relationships/hyperlink" Target="https://pld.live/RapDetail.aspx?STONELIST=926321113&amp;ISCONFIRM=0" TargetMode="External"/><Relationship Id="rId2231" Type="http://schemas.openxmlformats.org/officeDocument/2006/relationships/hyperlink" Target="https://pld.live/RapDetail.aspx?STONELIST=926321056&amp;ISCONFIRM=0" TargetMode="External"/><Relationship Id="rId5387" Type="http://schemas.openxmlformats.org/officeDocument/2006/relationships/hyperlink" Target="https://pld.live/RapDetail.aspx?STONELIST=941190223&amp;ISCONFIRM=0" TargetMode="External"/><Relationship Id="rId6438" Type="http://schemas.openxmlformats.org/officeDocument/2006/relationships/hyperlink" Target="https://pld.live/RapDetail.aspx?STONELIST=927052232&amp;ISCONFIRM=0" TargetMode="External"/><Relationship Id="rId6992" Type="http://schemas.openxmlformats.org/officeDocument/2006/relationships/hyperlink" Target="https://pld.live/RapDetail.aspx?STONELIST=925621903&amp;ISCONFIRM=0" TargetMode="External"/><Relationship Id="rId7836" Type="http://schemas.openxmlformats.org/officeDocument/2006/relationships/hyperlink" Target="https://pld.live/RapDetail.aspx?STONELIST=924290101&amp;ISCONFIRM=0" TargetMode="External"/><Relationship Id="rId203" Type="http://schemas.openxmlformats.org/officeDocument/2006/relationships/hyperlink" Target="https://pld.live/RapDetail.aspx?STONELIST=924250455&amp;ISCONFIRM=0" TargetMode="External"/><Relationship Id="rId1040" Type="http://schemas.openxmlformats.org/officeDocument/2006/relationships/hyperlink" Target="https://pld.live/RapDetail.aspx?STONELIST=941070767&amp;ISCONFIRM=0" TargetMode="External"/><Relationship Id="rId4196" Type="http://schemas.openxmlformats.org/officeDocument/2006/relationships/hyperlink" Target="https://pld.live/RapDetail.aspx?STONELIST=925732252&amp;ISCONFIRM=0" TargetMode="External"/><Relationship Id="rId5247" Type="http://schemas.openxmlformats.org/officeDocument/2006/relationships/hyperlink" Target="https://pld.live/RapDetail.aspx?STONELIST=924260566&amp;ISCONFIRM=0" TargetMode="External"/><Relationship Id="rId5594" Type="http://schemas.openxmlformats.org/officeDocument/2006/relationships/hyperlink" Target="https://pld.live/RapDetail.aspx?STONELIST=924780306&amp;ISCONFIRM=0" TargetMode="External"/><Relationship Id="rId6645" Type="http://schemas.openxmlformats.org/officeDocument/2006/relationships/hyperlink" Target="https://pld.live/RapDetail.aspx?STONELIST=925920472&amp;ISCONFIRM=0" TargetMode="External"/><Relationship Id="rId6852" Type="http://schemas.openxmlformats.org/officeDocument/2006/relationships/hyperlink" Target="https://pld.live/RapDetail.aspx?STONELIST=926410458&amp;ISCONFIRM=0" TargetMode="External"/><Relationship Id="rId7903" Type="http://schemas.openxmlformats.org/officeDocument/2006/relationships/hyperlink" Target="https://pld.live/RapDetail.aspx?STONELIST=926921433&amp;ISCONFIRM=0" TargetMode="External"/><Relationship Id="rId410" Type="http://schemas.openxmlformats.org/officeDocument/2006/relationships/hyperlink" Target="https://pld.live/RapDetail.aspx?STONELIST=925180071&amp;ISCONFIRM=0" TargetMode="External"/><Relationship Id="rId1997" Type="http://schemas.openxmlformats.org/officeDocument/2006/relationships/hyperlink" Target="https://pld.live/RapDetail.aspx?STONELIST=926301167&amp;ISCONFIRM=0" TargetMode="External"/><Relationship Id="rId4056" Type="http://schemas.openxmlformats.org/officeDocument/2006/relationships/hyperlink" Target="https://pld.live/RapDetail.aspx?STONELIST=925721175&amp;ISCONFIRM=0" TargetMode="External"/><Relationship Id="rId5454" Type="http://schemas.openxmlformats.org/officeDocument/2006/relationships/hyperlink" Target="https://pld.live/RapDetail.aspx?STONELIST=926901034&amp;ISCONFIRM=0" TargetMode="External"/><Relationship Id="rId5661" Type="http://schemas.openxmlformats.org/officeDocument/2006/relationships/hyperlink" Target="https://pld.live/RapDetail.aspx?STONELIST=925510154&amp;ISCONFIRM=0" TargetMode="External"/><Relationship Id="rId6505" Type="http://schemas.openxmlformats.org/officeDocument/2006/relationships/hyperlink" Target="https://pld.live/RapDetail.aspx?STONELIST=941071315&amp;ISCONFIRM=0" TargetMode="External"/><Relationship Id="rId6712" Type="http://schemas.openxmlformats.org/officeDocument/2006/relationships/hyperlink" Target="https://pld.live/RapDetail.aspx?STONELIST=831020637&amp;ISCONFIRM=0" TargetMode="External"/><Relationship Id="rId1857" Type="http://schemas.openxmlformats.org/officeDocument/2006/relationships/hyperlink" Target="https://pld.live/RapDetail.aspx?STONELIST=925910661&amp;ISCONFIRM=0" TargetMode="External"/><Relationship Id="rId2908" Type="http://schemas.openxmlformats.org/officeDocument/2006/relationships/hyperlink" Target="https://pld.live/RapDetail.aspx?STONELIST=925732213&amp;ISCONFIRM=0" TargetMode="External"/><Relationship Id="rId4263" Type="http://schemas.openxmlformats.org/officeDocument/2006/relationships/hyperlink" Target="https://pld.live/RapDetail.aspx?STONELIST=926291275&amp;ISCONFIRM=0" TargetMode="External"/><Relationship Id="rId4470" Type="http://schemas.openxmlformats.org/officeDocument/2006/relationships/hyperlink" Target="https://pld.live/RapDetail.aspx?STONELIST=924230766&amp;ISCONFIRM=0" TargetMode="External"/><Relationship Id="rId5107" Type="http://schemas.openxmlformats.org/officeDocument/2006/relationships/hyperlink" Target="https://pld.live/RapDetail.aspx?STONELIST=831010615&amp;ISCONFIRM=0" TargetMode="External"/><Relationship Id="rId5314" Type="http://schemas.openxmlformats.org/officeDocument/2006/relationships/hyperlink" Target="https://pld.live/RapDetail.aspx?STONELIST=926291266&amp;ISCONFIRM=0" TargetMode="External"/><Relationship Id="rId5521" Type="http://schemas.openxmlformats.org/officeDocument/2006/relationships/hyperlink" Target="https://pld.live/RapDetail.aspx?STONELIST=926160064&amp;ISCONFIRM=0" TargetMode="External"/><Relationship Id="rId1717" Type="http://schemas.openxmlformats.org/officeDocument/2006/relationships/hyperlink" Target="https://pld.live/RapDetail.aspx?STONELIST=941400389&amp;ISCONFIRM=0" TargetMode="External"/><Relationship Id="rId1924" Type="http://schemas.openxmlformats.org/officeDocument/2006/relationships/hyperlink" Target="https://pld.live/RapDetail.aspx?STONELIST=926771104&amp;ISCONFIRM=0" TargetMode="External"/><Relationship Id="rId3072" Type="http://schemas.openxmlformats.org/officeDocument/2006/relationships/hyperlink" Target="https://pld.live/RapDetail.aspx?STONELIST=926111266&amp;ISCONFIRM=0" TargetMode="External"/><Relationship Id="rId4123" Type="http://schemas.openxmlformats.org/officeDocument/2006/relationships/hyperlink" Target="https://pld.live/RapDetail.aspx?STONELIST=925450203&amp;ISCONFIRM=0" TargetMode="External"/><Relationship Id="rId4330" Type="http://schemas.openxmlformats.org/officeDocument/2006/relationships/hyperlink" Target="https://pld.live/RapDetail.aspx?STONELIST=927101197&amp;ISCONFIRM=0" TargetMode="External"/><Relationship Id="rId7279" Type="http://schemas.openxmlformats.org/officeDocument/2006/relationships/hyperlink" Target="https://pld.live/RapDetail.aspx?STONELIST=821113077&amp;ISCONFIRM=0" TargetMode="External"/><Relationship Id="rId7486" Type="http://schemas.openxmlformats.org/officeDocument/2006/relationships/hyperlink" Target="https://pld.live/RapDetail.aspx?STONELIST=924830257&amp;ISCONFIRM=0" TargetMode="External"/><Relationship Id="rId7693" Type="http://schemas.openxmlformats.org/officeDocument/2006/relationships/hyperlink" Target="https://pld.live/RapDetail.aspx?STONELIST=941270782&amp;ISCONFIRM=0" TargetMode="External"/><Relationship Id="rId3889" Type="http://schemas.openxmlformats.org/officeDocument/2006/relationships/hyperlink" Target="https://pld.live/RapDetail.aspx?STONELIST=925542166&amp;ISCONFIRM=0" TargetMode="External"/><Relationship Id="rId6088" Type="http://schemas.openxmlformats.org/officeDocument/2006/relationships/hyperlink" Target="https://pld.live/RapDetail.aspx?STONELIST=926470412&amp;ISCONFIRM=0" TargetMode="External"/><Relationship Id="rId6295" Type="http://schemas.openxmlformats.org/officeDocument/2006/relationships/hyperlink" Target="https://pld.live/RapDetail.aspx?STONELIST=941130229&amp;ISCONFIRM=0" TargetMode="External"/><Relationship Id="rId7139" Type="http://schemas.openxmlformats.org/officeDocument/2006/relationships/hyperlink" Target="https://pld.live/RapDetail.aspx?STONELIST=926360304&amp;ISCONFIRM=0" TargetMode="External"/><Relationship Id="rId7346" Type="http://schemas.openxmlformats.org/officeDocument/2006/relationships/hyperlink" Target="https://pld.live/RapDetail.aspx?STONELIST=925610139&amp;ISCONFIRM=0" TargetMode="External"/><Relationship Id="rId7553" Type="http://schemas.openxmlformats.org/officeDocument/2006/relationships/hyperlink" Target="https://pld.live/RapDetail.aspx?STONELIST=925801520&amp;ISCONFIRM=0" TargetMode="External"/><Relationship Id="rId2698" Type="http://schemas.openxmlformats.org/officeDocument/2006/relationships/hyperlink" Target="https://pld.live/RapDetail.aspx?STONELIST=926341064&amp;ISCONFIRM=0" TargetMode="External"/><Relationship Id="rId6155" Type="http://schemas.openxmlformats.org/officeDocument/2006/relationships/hyperlink" Target="https://pld.live/RapDetail.aspx?STONELIST=925670207&amp;ISCONFIRM=0" TargetMode="External"/><Relationship Id="rId6362" Type="http://schemas.openxmlformats.org/officeDocument/2006/relationships/hyperlink" Target="https://pld.live/RapDetail.aspx?STONELIST=927040793&amp;ISCONFIRM=0" TargetMode="External"/><Relationship Id="rId7206" Type="http://schemas.openxmlformats.org/officeDocument/2006/relationships/hyperlink" Target="https://pld.live/RapDetail.aspx?STONELIST=926030169&amp;ISCONFIRM=0" TargetMode="External"/><Relationship Id="rId7413" Type="http://schemas.openxmlformats.org/officeDocument/2006/relationships/hyperlink" Target="https://pld.live/RapDetail.aspx?STONELIST=924590268&amp;ISCONFIRM=0" TargetMode="External"/><Relationship Id="rId7760" Type="http://schemas.openxmlformats.org/officeDocument/2006/relationships/hyperlink" Target="https://pld.live/RapDetail.aspx?STONELIST=926470222&amp;ISCONFIRM=0" TargetMode="External"/><Relationship Id="rId3749" Type="http://schemas.openxmlformats.org/officeDocument/2006/relationships/hyperlink" Target="https://pld.live/RapDetail.aspx?STONELIST=925560076&amp;ISCONFIRM=0" TargetMode="External"/><Relationship Id="rId3956" Type="http://schemas.openxmlformats.org/officeDocument/2006/relationships/hyperlink" Target="https://pld.live/RapDetail.aspx?STONELIST=924740033&amp;ISCONFIRM=0" TargetMode="External"/><Relationship Id="rId5171" Type="http://schemas.openxmlformats.org/officeDocument/2006/relationships/hyperlink" Target="https://pld.live/RapDetail.aspx?STONELIST=925861873&amp;ISCONFIRM=0" TargetMode="External"/><Relationship Id="rId6015" Type="http://schemas.openxmlformats.org/officeDocument/2006/relationships/hyperlink" Target="https://pld.live/RapDetail.aspx?STONELIST=924980188&amp;ISCONFIRM=0" TargetMode="External"/><Relationship Id="rId6222" Type="http://schemas.openxmlformats.org/officeDocument/2006/relationships/hyperlink" Target="https://pld.live/RapDetail.aspx?STONELIST=941220094&amp;ISCONFIRM=0" TargetMode="External"/><Relationship Id="rId7620" Type="http://schemas.openxmlformats.org/officeDocument/2006/relationships/hyperlink" Target="https://pld.live/RapDetail.aspx?STONELIST=926311153&amp;ISCONFIRM=0" TargetMode="External"/><Relationship Id="rId877" Type="http://schemas.openxmlformats.org/officeDocument/2006/relationships/hyperlink" Target="https://pld.live/RapDetail.aspx?STONELIST=924550164&amp;ISCONFIRM=0" TargetMode="External"/><Relationship Id="rId2558" Type="http://schemas.openxmlformats.org/officeDocument/2006/relationships/hyperlink" Target="https://pld.live/RapDetail.aspx?STONELIST=925721419&amp;ISCONFIRM=0" TargetMode="External"/><Relationship Id="rId2765" Type="http://schemas.openxmlformats.org/officeDocument/2006/relationships/hyperlink" Target="https://pld.live/RapDetail.aspx?STONELIST=924950416&amp;ISCONFIRM=0" TargetMode="External"/><Relationship Id="rId2972" Type="http://schemas.openxmlformats.org/officeDocument/2006/relationships/hyperlink" Target="https://pld.live/RapDetail.aspx?STONELIST=926110973&amp;ISCONFIRM=0" TargetMode="External"/><Relationship Id="rId3609" Type="http://schemas.openxmlformats.org/officeDocument/2006/relationships/hyperlink" Target="https://pld.live/RapDetail.aspx?STONELIST=925630431&amp;ISCONFIRM=0" TargetMode="External"/><Relationship Id="rId3816" Type="http://schemas.openxmlformats.org/officeDocument/2006/relationships/hyperlink" Target="https://pld.live/RapDetail.aspx?STONELIST=941110522&amp;ISCONFIRM=0" TargetMode="External"/><Relationship Id="rId8187" Type="http://schemas.openxmlformats.org/officeDocument/2006/relationships/hyperlink" Target="https://pld.live/RapDetail.aspx?STONELIST=924560436&amp;ISCONFIRM=0" TargetMode="External"/><Relationship Id="rId737" Type="http://schemas.openxmlformats.org/officeDocument/2006/relationships/hyperlink" Target="https://pld.live/RapDetail.aspx?STONELIST=926101515&amp;ISCONFIRM=0" TargetMode="External"/><Relationship Id="rId944" Type="http://schemas.openxmlformats.org/officeDocument/2006/relationships/hyperlink" Target="https://pld.live/RapDetail.aspx?STONELIST=926100963&amp;ISCONFIRM=0" TargetMode="External"/><Relationship Id="rId1367" Type="http://schemas.openxmlformats.org/officeDocument/2006/relationships/hyperlink" Target="https://pld.live/RapDetail.aspx?STONELIST=926221357&amp;ISCONFIRM=0" TargetMode="External"/><Relationship Id="rId1574" Type="http://schemas.openxmlformats.org/officeDocument/2006/relationships/hyperlink" Target="https://pld.live/RapDetail.aspx?STONELIST=926301029&amp;ISCONFIRM=0" TargetMode="External"/><Relationship Id="rId1781" Type="http://schemas.openxmlformats.org/officeDocument/2006/relationships/hyperlink" Target="https://pld.live/RapDetail.aspx?STONELIST=941220020&amp;ISCONFIRM=0" TargetMode="External"/><Relationship Id="rId2418" Type="http://schemas.openxmlformats.org/officeDocument/2006/relationships/hyperlink" Target="https://pld.live/RapDetail.aspx?STONELIST=926341353&amp;ISCONFIRM=0" TargetMode="External"/><Relationship Id="rId2625" Type="http://schemas.openxmlformats.org/officeDocument/2006/relationships/hyperlink" Target="https://pld.live/RapDetail.aspx?STONELIST=920661318&amp;ISCONFIRM=0" TargetMode="External"/><Relationship Id="rId2832" Type="http://schemas.openxmlformats.org/officeDocument/2006/relationships/hyperlink" Target="https://pld.live/RapDetail.aspx?STONELIST=926071711&amp;ISCONFIRM=0" TargetMode="External"/><Relationship Id="rId5031" Type="http://schemas.openxmlformats.org/officeDocument/2006/relationships/hyperlink" Target="https://pld.live/RapDetail.aspx?STONELIST=926831150&amp;ISCONFIRM=0" TargetMode="External"/><Relationship Id="rId5988" Type="http://schemas.openxmlformats.org/officeDocument/2006/relationships/hyperlink" Target="https://pld.live/RapDetail.aspx?STONELIST=927152985&amp;ISCONFIRM=0" TargetMode="External"/><Relationship Id="rId73" Type="http://schemas.openxmlformats.org/officeDocument/2006/relationships/hyperlink" Target="https://pld.live/RapDetail.aspx?STONELIST=9414500275&amp;ISCONFIRM=0" TargetMode="External"/><Relationship Id="rId804" Type="http://schemas.openxmlformats.org/officeDocument/2006/relationships/hyperlink" Target="https://pld.live/RapDetail.aspx?STONELIST=821127682&amp;ISCONFIRM=0" TargetMode="External"/><Relationship Id="rId1227" Type="http://schemas.openxmlformats.org/officeDocument/2006/relationships/hyperlink" Target="https://pld.live/RapDetail.aspx?STONELIST=926211199&amp;ISCONFIRM=0" TargetMode="External"/><Relationship Id="rId1434" Type="http://schemas.openxmlformats.org/officeDocument/2006/relationships/hyperlink" Target="https://pld.live/RapDetail.aspx?STONELIST=926250593&amp;ISCONFIRM=0" TargetMode="External"/><Relationship Id="rId1641" Type="http://schemas.openxmlformats.org/officeDocument/2006/relationships/hyperlink" Target="https://pld.live/RapDetail.aspx?STONELIST=926220355&amp;ISCONFIRM=0" TargetMode="External"/><Relationship Id="rId4797" Type="http://schemas.openxmlformats.org/officeDocument/2006/relationships/hyperlink" Target="https://pld.live/RapDetail.aspx?STONELIST=926980676&amp;ISCONFIRM=0" TargetMode="External"/><Relationship Id="rId5848" Type="http://schemas.openxmlformats.org/officeDocument/2006/relationships/hyperlink" Target="https://pld.live/RapDetail.aspx?STONELIST=925961390&amp;ISCONFIRM=0" TargetMode="External"/><Relationship Id="rId8047" Type="http://schemas.openxmlformats.org/officeDocument/2006/relationships/hyperlink" Target="https://pld.live/RapDetail.aspx?STONELIST=926100620&amp;ISCONFIRM=0" TargetMode="External"/><Relationship Id="rId8254" Type="http://schemas.openxmlformats.org/officeDocument/2006/relationships/hyperlink" Target="https://pld.live/RapDetail.aspx?STONELIST=925140346&amp;ISCONFIRM=0" TargetMode="External"/><Relationship Id="rId1501" Type="http://schemas.openxmlformats.org/officeDocument/2006/relationships/hyperlink" Target="https://pld.live/RapDetail.aspx?STONELIST=926221427&amp;ISCONFIRM=0" TargetMode="External"/><Relationship Id="rId3399" Type="http://schemas.openxmlformats.org/officeDocument/2006/relationships/hyperlink" Target="https://pld.live/RapDetail.aspx?STONELIST=925551905&amp;ISCONFIRM=0" TargetMode="External"/><Relationship Id="rId4657" Type="http://schemas.openxmlformats.org/officeDocument/2006/relationships/hyperlink" Target="https://pld.live/RapDetail.aspx?STONELIST=941190461&amp;ISCONFIRM=0" TargetMode="External"/><Relationship Id="rId4864" Type="http://schemas.openxmlformats.org/officeDocument/2006/relationships/hyperlink" Target="https://pld.live/RapDetail.aspx?STONELIST=925971248&amp;ISCONFIRM=0" TargetMode="External"/><Relationship Id="rId5708" Type="http://schemas.openxmlformats.org/officeDocument/2006/relationships/hyperlink" Target="https://pld.live/RapDetail.aspx?STONELIST=925740574&amp;ISCONFIRM=0" TargetMode="External"/><Relationship Id="rId7063" Type="http://schemas.openxmlformats.org/officeDocument/2006/relationships/hyperlink" Target="https://pld.live/RapDetail.aspx?STONELIST=927132630&amp;ISCONFIRM=0" TargetMode="External"/><Relationship Id="rId7270" Type="http://schemas.openxmlformats.org/officeDocument/2006/relationships/hyperlink" Target="https://pld.live/RapDetail.aspx?STONELIST=821112811&amp;ISCONFIRM=0" TargetMode="External"/><Relationship Id="rId8114" Type="http://schemas.openxmlformats.org/officeDocument/2006/relationships/hyperlink" Target="https://pld.live/RapDetail.aspx?STONELIST=926620946&amp;ISCONFIRM=0" TargetMode="External"/><Relationship Id="rId3259" Type="http://schemas.openxmlformats.org/officeDocument/2006/relationships/hyperlink" Target="https://pld.live/RapDetail.aspx?STONELIST=941270819&amp;ISCONFIRM=0" TargetMode="External"/><Relationship Id="rId3466" Type="http://schemas.openxmlformats.org/officeDocument/2006/relationships/hyperlink" Target="https://pld.live/RapDetail.aspx?STONELIST=831010682&amp;ISCONFIRM=0" TargetMode="External"/><Relationship Id="rId4517" Type="http://schemas.openxmlformats.org/officeDocument/2006/relationships/hyperlink" Target="https://pld.live/RapDetail.aspx?STONELIST=924230723&amp;ISCONFIRM=0" TargetMode="External"/><Relationship Id="rId5915" Type="http://schemas.openxmlformats.org/officeDocument/2006/relationships/hyperlink" Target="https://pld.live/RapDetail.aspx?STONELIST=926101727&amp;ISCONFIRM=0" TargetMode="External"/><Relationship Id="rId7130" Type="http://schemas.openxmlformats.org/officeDocument/2006/relationships/hyperlink" Target="https://pld.live/RapDetail.aspx?STONELIST=941170469&amp;ISCONFIRM=0" TargetMode="External"/><Relationship Id="rId387" Type="http://schemas.openxmlformats.org/officeDocument/2006/relationships/hyperlink" Target="https://pld.live/RapDetail.aspx?STONELIST=925110183&amp;ISCONFIRM=0" TargetMode="External"/><Relationship Id="rId594" Type="http://schemas.openxmlformats.org/officeDocument/2006/relationships/hyperlink" Target="https://pld.live/RapDetail.aspx?STONELIST=925720101&amp;ISCONFIRM=0" TargetMode="External"/><Relationship Id="rId2068" Type="http://schemas.openxmlformats.org/officeDocument/2006/relationships/hyperlink" Target="https://pld.live/RapDetail.aspx?STONELIST=924110268&amp;ISCONFIRM=0" TargetMode="External"/><Relationship Id="rId2275" Type="http://schemas.openxmlformats.org/officeDocument/2006/relationships/hyperlink" Target="https://pld.live/RapDetail.aspx?STONELIST=926171546&amp;ISCONFIRM=0" TargetMode="External"/><Relationship Id="rId3119" Type="http://schemas.openxmlformats.org/officeDocument/2006/relationships/hyperlink" Target="https://pld.live/RapDetail.aspx?STONELIST=926210611&amp;ISCONFIRM=0" TargetMode="External"/><Relationship Id="rId3326" Type="http://schemas.openxmlformats.org/officeDocument/2006/relationships/hyperlink" Target="https://pld.live/RapDetail.aspx?STONELIST=831020674&amp;ISCONFIRM=0" TargetMode="External"/><Relationship Id="rId3673" Type="http://schemas.openxmlformats.org/officeDocument/2006/relationships/hyperlink" Target="https://pld.live/RapDetail.aspx?STONELIST=925670190&amp;ISCONFIRM=0" TargetMode="External"/><Relationship Id="rId3880" Type="http://schemas.openxmlformats.org/officeDocument/2006/relationships/hyperlink" Target="https://pld.live/RapDetail.aspx?STONELIST=925551958&amp;ISCONFIRM=0" TargetMode="External"/><Relationship Id="rId4724" Type="http://schemas.openxmlformats.org/officeDocument/2006/relationships/hyperlink" Target="https://pld.live/RapDetail.aspx?STONELIST=925820123&amp;ISCONFIRM=0" TargetMode="External"/><Relationship Id="rId4931" Type="http://schemas.openxmlformats.org/officeDocument/2006/relationships/hyperlink" Target="https://pld.live/RapDetail.aspx?STONELIST=926200299&amp;ISCONFIRM=0" TargetMode="External"/><Relationship Id="rId247" Type="http://schemas.openxmlformats.org/officeDocument/2006/relationships/hyperlink" Target="https://pld.live/RapDetail.aspx?STONELIST=924190665&amp;ISCONFIRM=0" TargetMode="External"/><Relationship Id="rId1084" Type="http://schemas.openxmlformats.org/officeDocument/2006/relationships/hyperlink" Target="https://pld.live/RapDetail.aspx?STONELIST=926900776&amp;ISCONFIRM=0" TargetMode="External"/><Relationship Id="rId2482" Type="http://schemas.openxmlformats.org/officeDocument/2006/relationships/hyperlink" Target="https://pld.live/RapDetail.aspx?STONELIST=926141042&amp;ISCONFIRM=0" TargetMode="External"/><Relationship Id="rId3533" Type="http://schemas.openxmlformats.org/officeDocument/2006/relationships/hyperlink" Target="https://pld.live/RapDetail.aspx?STONELIST=926280604&amp;ISCONFIRM=0" TargetMode="External"/><Relationship Id="rId3740" Type="http://schemas.openxmlformats.org/officeDocument/2006/relationships/hyperlink" Target="https://pld.live/RapDetail.aspx?STONELIST=941421269&amp;ISCONFIRM=0" TargetMode="External"/><Relationship Id="rId6689" Type="http://schemas.openxmlformats.org/officeDocument/2006/relationships/hyperlink" Target="https://pld.live/RapDetail.aspx?STONELIST=927010829&amp;ISCONFIRM=0" TargetMode="External"/><Relationship Id="rId6896" Type="http://schemas.openxmlformats.org/officeDocument/2006/relationships/hyperlink" Target="https://pld.live/RapDetail.aspx?STONELIST=926101146&amp;ISCONFIRM=0" TargetMode="External"/><Relationship Id="rId7947" Type="http://schemas.openxmlformats.org/officeDocument/2006/relationships/hyperlink" Target="https://pld.live/RapDetail.aspx?STONELIST=926921395&amp;ISCONFIRM=0" TargetMode="External"/><Relationship Id="rId107" Type="http://schemas.openxmlformats.org/officeDocument/2006/relationships/hyperlink" Target="https://pld.live/RapDetail.aspx?STONELIST=926930880&amp;ISCONFIRM=0" TargetMode="External"/><Relationship Id="rId454" Type="http://schemas.openxmlformats.org/officeDocument/2006/relationships/hyperlink" Target="https://pld.live/RapDetail.aspx?STONELIST=925950896&amp;ISCONFIRM=0" TargetMode="External"/><Relationship Id="rId661" Type="http://schemas.openxmlformats.org/officeDocument/2006/relationships/hyperlink" Target="https://pld.live/RapDetail.aspx?STONELIST=925970654&amp;ISCONFIRM=0" TargetMode="External"/><Relationship Id="rId1291" Type="http://schemas.openxmlformats.org/officeDocument/2006/relationships/hyperlink" Target="https://pld.live/RapDetail.aspx?STONELIST=941190233&amp;ISCONFIRM=0" TargetMode="External"/><Relationship Id="rId2135" Type="http://schemas.openxmlformats.org/officeDocument/2006/relationships/hyperlink" Target="https://pld.live/RapDetail.aspx?STONELIST=821127921&amp;ISCONFIRM=0" TargetMode="External"/><Relationship Id="rId2342" Type="http://schemas.openxmlformats.org/officeDocument/2006/relationships/hyperlink" Target="https://pld.live/RapDetail.aspx?STONELIST=821127905&amp;ISCONFIRM=0" TargetMode="External"/><Relationship Id="rId3600" Type="http://schemas.openxmlformats.org/officeDocument/2006/relationships/hyperlink" Target="https://pld.live/RapDetail.aspx?STONELIST=922530032&amp;ISCONFIRM=0" TargetMode="External"/><Relationship Id="rId5498" Type="http://schemas.openxmlformats.org/officeDocument/2006/relationships/hyperlink" Target="https://pld.live/RapDetail.aspx?STONELIST=821113625&amp;ISCONFIRM=0" TargetMode="External"/><Relationship Id="rId6549" Type="http://schemas.openxmlformats.org/officeDocument/2006/relationships/hyperlink" Target="https://pld.live/RapDetail.aspx?STONELIST=925930219&amp;ISCONFIRM=0" TargetMode="External"/><Relationship Id="rId6756" Type="http://schemas.openxmlformats.org/officeDocument/2006/relationships/hyperlink" Target="https://pld.live/RapDetail.aspx?STONELIST=941140830&amp;ISCONFIRM=0" TargetMode="External"/><Relationship Id="rId6963" Type="http://schemas.openxmlformats.org/officeDocument/2006/relationships/hyperlink" Target="https://pld.live/RapDetail.aspx?STONELIST=926071936&amp;ISCONFIRM=0" TargetMode="External"/><Relationship Id="rId7807" Type="http://schemas.openxmlformats.org/officeDocument/2006/relationships/hyperlink" Target="https://pld.live/RapDetail.aspx?STONELIST=941400462&amp;ISCONFIRM=0" TargetMode="External"/><Relationship Id="rId314" Type="http://schemas.openxmlformats.org/officeDocument/2006/relationships/hyperlink" Target="https://pld.live/RapDetail.aspx?STONELIST=927000557&amp;ISCONFIRM=0" TargetMode="External"/><Relationship Id="rId521" Type="http://schemas.openxmlformats.org/officeDocument/2006/relationships/hyperlink" Target="https://pld.live/RapDetail.aspx?STONELIST=925621378&amp;ISCONFIRM=0" TargetMode="External"/><Relationship Id="rId1151" Type="http://schemas.openxmlformats.org/officeDocument/2006/relationships/hyperlink" Target="https://pld.live/RapDetail.aspx?STONELIST=941050442&amp;ISCONFIRM=0" TargetMode="External"/><Relationship Id="rId2202" Type="http://schemas.openxmlformats.org/officeDocument/2006/relationships/hyperlink" Target="https://pld.live/RapDetail.aspx?STONELIST=920661240&amp;ISCONFIRM=0" TargetMode="External"/><Relationship Id="rId5358" Type="http://schemas.openxmlformats.org/officeDocument/2006/relationships/hyperlink" Target="https://pld.live/RapDetail.aspx?STONELIST=926750668&amp;ISCONFIRM=0" TargetMode="External"/><Relationship Id="rId5565" Type="http://schemas.openxmlformats.org/officeDocument/2006/relationships/hyperlink" Target="https://pld.live/RapDetail.aspx?STONELIST=926210563&amp;ISCONFIRM=0" TargetMode="External"/><Relationship Id="rId5772" Type="http://schemas.openxmlformats.org/officeDocument/2006/relationships/hyperlink" Target="https://pld.live/RapDetail.aspx?STONELIST=941190165&amp;ISCONFIRM=0" TargetMode="External"/><Relationship Id="rId6409" Type="http://schemas.openxmlformats.org/officeDocument/2006/relationships/hyperlink" Target="https://pld.live/RapDetail.aspx?STONELIST=941140498&amp;ISCONFIRM=0" TargetMode="External"/><Relationship Id="rId6616" Type="http://schemas.openxmlformats.org/officeDocument/2006/relationships/hyperlink" Target="https://pld.live/RapDetail.aspx?STONELIST=926972257&amp;ISCONFIRM=0" TargetMode="External"/><Relationship Id="rId6823" Type="http://schemas.openxmlformats.org/officeDocument/2006/relationships/hyperlink" Target="https://pld.live/RapDetail.aspx?STONELIST=925050105&amp;ISCONFIRM=0" TargetMode="External"/><Relationship Id="rId1011" Type="http://schemas.openxmlformats.org/officeDocument/2006/relationships/hyperlink" Target="https://pld.live/RapDetail.aspx?STONELIST=941071246&amp;ISCONFIRM=0" TargetMode="External"/><Relationship Id="rId1968" Type="http://schemas.openxmlformats.org/officeDocument/2006/relationships/hyperlink" Target="https://pld.live/RapDetail.aspx?STONELIST=941230266&amp;ISCONFIRM=0" TargetMode="External"/><Relationship Id="rId4167" Type="http://schemas.openxmlformats.org/officeDocument/2006/relationships/hyperlink" Target="https://pld.live/RapDetail.aspx?STONELIST=923660325&amp;ISCONFIRM=0" TargetMode="External"/><Relationship Id="rId4374" Type="http://schemas.openxmlformats.org/officeDocument/2006/relationships/hyperlink" Target="https://pld.live/RapDetail.aspx?STONELIST=926250447&amp;ISCONFIRM=0" TargetMode="External"/><Relationship Id="rId4581" Type="http://schemas.openxmlformats.org/officeDocument/2006/relationships/hyperlink" Target="https://pld.live/RapDetail.aspx?STONELIST=927152765&amp;ISCONFIRM=0" TargetMode="External"/><Relationship Id="rId5218" Type="http://schemas.openxmlformats.org/officeDocument/2006/relationships/hyperlink" Target="https://pld.live/RapDetail.aspx?STONELIST=925521003&amp;ISCONFIRM=0" TargetMode="External"/><Relationship Id="rId5425" Type="http://schemas.openxmlformats.org/officeDocument/2006/relationships/hyperlink" Target="https://pld.live/RapDetail.aspx?STONELIST=941351057&amp;ISCONFIRM=0" TargetMode="External"/><Relationship Id="rId5632" Type="http://schemas.openxmlformats.org/officeDocument/2006/relationships/hyperlink" Target="https://pld.live/RapDetail.aspx?STONELIST=924590352&amp;ISCONFIRM=0" TargetMode="External"/><Relationship Id="rId3183" Type="http://schemas.openxmlformats.org/officeDocument/2006/relationships/hyperlink" Target="https://pld.live/RapDetail.aspx?STONELIST=926210968&amp;ISCONFIRM=0" TargetMode="External"/><Relationship Id="rId3390" Type="http://schemas.openxmlformats.org/officeDocument/2006/relationships/hyperlink" Target="https://pld.live/RapDetail.aspx?STONELIST=831010850&amp;ISCONFIRM=0" TargetMode="External"/><Relationship Id="rId4027" Type="http://schemas.openxmlformats.org/officeDocument/2006/relationships/hyperlink" Target="https://pld.live/RapDetail.aspx?STONELIST=925551887&amp;ISCONFIRM=0" TargetMode="External"/><Relationship Id="rId4234" Type="http://schemas.openxmlformats.org/officeDocument/2006/relationships/hyperlink" Target="https://pld.live/RapDetail.aspx?STONELIST=926270086&amp;ISCONFIRM=0" TargetMode="External"/><Relationship Id="rId4441" Type="http://schemas.openxmlformats.org/officeDocument/2006/relationships/hyperlink" Target="https://pld.live/RapDetail.aspx?STONELIST=925080490&amp;ISCONFIRM=0" TargetMode="External"/><Relationship Id="rId7597" Type="http://schemas.openxmlformats.org/officeDocument/2006/relationships/hyperlink" Target="https://pld.live/RapDetail.aspx?STONELIST=925300331&amp;ISCONFIRM=0" TargetMode="External"/><Relationship Id="rId1828" Type="http://schemas.openxmlformats.org/officeDocument/2006/relationships/hyperlink" Target="https://pld.live/RapDetail.aspx?STONELIST=925910249&amp;ISCONFIRM=0" TargetMode="External"/><Relationship Id="rId3043" Type="http://schemas.openxmlformats.org/officeDocument/2006/relationships/hyperlink" Target="https://pld.live/RapDetail.aspx?STONELIST=926111214&amp;ISCONFIRM=0" TargetMode="External"/><Relationship Id="rId3250" Type="http://schemas.openxmlformats.org/officeDocument/2006/relationships/hyperlink" Target="https://pld.live/RapDetail.aspx?STONELIST=941270781&amp;ISCONFIRM=0" TargetMode="External"/><Relationship Id="rId6199" Type="http://schemas.openxmlformats.org/officeDocument/2006/relationships/hyperlink" Target="https://pld.live/RapDetail.aspx?STONELIST=923260235&amp;ISCONFIRM=0" TargetMode="External"/><Relationship Id="rId7457" Type="http://schemas.openxmlformats.org/officeDocument/2006/relationships/hyperlink" Target="https://pld.live/RapDetail.aspx?STONELIST=925720791&amp;ISCONFIRM=0" TargetMode="External"/><Relationship Id="rId171" Type="http://schemas.openxmlformats.org/officeDocument/2006/relationships/hyperlink" Target="https://pld.live/RapDetail.aspx?STONELIST=941050445&amp;ISCONFIRM=0" TargetMode="External"/><Relationship Id="rId4301" Type="http://schemas.openxmlformats.org/officeDocument/2006/relationships/hyperlink" Target="https://pld.live/RapDetail.aspx?STONELIST=927030783&amp;ISCONFIRM=0" TargetMode="External"/><Relationship Id="rId6059" Type="http://schemas.openxmlformats.org/officeDocument/2006/relationships/hyperlink" Target="https://pld.live/RapDetail.aspx?STONELIST=941350982&amp;ISCONFIRM=0" TargetMode="External"/><Relationship Id="rId6266" Type="http://schemas.openxmlformats.org/officeDocument/2006/relationships/hyperlink" Target="https://pld.live/RapDetail.aspx?STONELIST=821113343&amp;ISCONFIRM=0" TargetMode="External"/><Relationship Id="rId7664" Type="http://schemas.openxmlformats.org/officeDocument/2006/relationships/hyperlink" Target="https://pld.live/RapDetail.aspx?STONELIST=941261094&amp;ISCONFIRM=0" TargetMode="External"/><Relationship Id="rId7871" Type="http://schemas.openxmlformats.org/officeDocument/2006/relationships/hyperlink" Target="https://pld.live/RapDetail.aspx?STONELIST=821126903&amp;ISCONFIRM=0" TargetMode="External"/><Relationship Id="rId3110" Type="http://schemas.openxmlformats.org/officeDocument/2006/relationships/hyperlink" Target="https://pld.live/RapDetail.aspx?STONELIST=926210894&amp;ISCONFIRM=0" TargetMode="External"/><Relationship Id="rId6473" Type="http://schemas.openxmlformats.org/officeDocument/2006/relationships/hyperlink" Target="https://pld.live/RapDetail.aspx?STONELIST=941100490&amp;ISCONFIRM=0" TargetMode="External"/><Relationship Id="rId6680" Type="http://schemas.openxmlformats.org/officeDocument/2006/relationships/hyperlink" Target="https://pld.live/RapDetail.aspx?STONELIST=927132506&amp;ISCONFIRM=0" TargetMode="External"/><Relationship Id="rId7317" Type="http://schemas.openxmlformats.org/officeDocument/2006/relationships/hyperlink" Target="https://pld.live/RapDetail.aspx?STONELIST=927152986&amp;ISCONFIRM=0" TargetMode="External"/><Relationship Id="rId7524" Type="http://schemas.openxmlformats.org/officeDocument/2006/relationships/hyperlink" Target="https://pld.live/RapDetail.aspx?STONELIST=925140303&amp;ISCONFIRM=0" TargetMode="External"/><Relationship Id="rId7731" Type="http://schemas.openxmlformats.org/officeDocument/2006/relationships/hyperlink" Target="https://pld.live/RapDetail.aspx?STONELIST=926560206&amp;ISCONFIRM=0" TargetMode="External"/><Relationship Id="rId988" Type="http://schemas.openxmlformats.org/officeDocument/2006/relationships/hyperlink" Target="https://pld.live/RapDetail.aspx?STONELIST=941350659&amp;ISCONFIRM=0" TargetMode="External"/><Relationship Id="rId2669" Type="http://schemas.openxmlformats.org/officeDocument/2006/relationships/hyperlink" Target="https://pld.live/RapDetail.aspx?STONELIST=926341184&amp;ISCONFIRM=0" TargetMode="External"/><Relationship Id="rId2876" Type="http://schemas.openxmlformats.org/officeDocument/2006/relationships/hyperlink" Target="https://pld.live/RapDetail.aspx?STONELIST=923800327&amp;ISCONFIRM=0" TargetMode="External"/><Relationship Id="rId3927" Type="http://schemas.openxmlformats.org/officeDocument/2006/relationships/hyperlink" Target="https://pld.live/RapDetail.aspx?STONELIST=926071543&amp;ISCONFIRM=0" TargetMode="External"/><Relationship Id="rId5075" Type="http://schemas.openxmlformats.org/officeDocument/2006/relationships/hyperlink" Target="https://pld.live/RapDetail.aspx?STONELIST=925520408&amp;ISCONFIRM=0" TargetMode="External"/><Relationship Id="rId5282" Type="http://schemas.openxmlformats.org/officeDocument/2006/relationships/hyperlink" Target="https://pld.live/RapDetail.aspx?STONELIST=923610241&amp;ISCONFIRM=0" TargetMode="External"/><Relationship Id="rId6126" Type="http://schemas.openxmlformats.org/officeDocument/2006/relationships/hyperlink" Target="https://pld.live/RapDetail.aspx?STONELIST=925710201&amp;ISCONFIRM=0" TargetMode="External"/><Relationship Id="rId6333" Type="http://schemas.openxmlformats.org/officeDocument/2006/relationships/hyperlink" Target="https://pld.live/RapDetail.aspx?STONELIST=927010444&amp;ISCONFIRM=0" TargetMode="External"/><Relationship Id="rId6540" Type="http://schemas.openxmlformats.org/officeDocument/2006/relationships/hyperlink" Target="https://pld.live/RapDetail.aspx?STONELIST=821115920&amp;ISCONFIRM=0" TargetMode="External"/><Relationship Id="rId848" Type="http://schemas.openxmlformats.org/officeDocument/2006/relationships/hyperlink" Target="https://pld.live/RapDetail.aspx?STONELIST=821127405&amp;ISCONFIRM=0" TargetMode="External"/><Relationship Id="rId1478" Type="http://schemas.openxmlformats.org/officeDocument/2006/relationships/hyperlink" Target="https://pld.live/RapDetail.aspx?STONELIST=821124700&amp;ISCONFIRM=0" TargetMode="External"/><Relationship Id="rId1685" Type="http://schemas.openxmlformats.org/officeDocument/2006/relationships/hyperlink" Target="https://pld.live/RapDetail.aspx?STONELIST=926120715&amp;ISCONFIRM=0" TargetMode="External"/><Relationship Id="rId1892" Type="http://schemas.openxmlformats.org/officeDocument/2006/relationships/hyperlink" Target="https://pld.live/RapDetail.aspx?STONELIST=926771034&amp;ISCONFIRM=0" TargetMode="External"/><Relationship Id="rId2529" Type="http://schemas.openxmlformats.org/officeDocument/2006/relationships/hyperlink" Target="https://pld.live/RapDetail.aspx?STONELIST=926231125&amp;ISCONFIRM=0" TargetMode="External"/><Relationship Id="rId2736" Type="http://schemas.openxmlformats.org/officeDocument/2006/relationships/hyperlink" Target="https://pld.live/RapDetail.aspx?STONELIST=922420088&amp;ISCONFIRM=0" TargetMode="External"/><Relationship Id="rId4091" Type="http://schemas.openxmlformats.org/officeDocument/2006/relationships/hyperlink" Target="https://pld.live/RapDetail.aspx?STONELIST=926171531&amp;ISCONFIRM=0" TargetMode="External"/><Relationship Id="rId5142" Type="http://schemas.openxmlformats.org/officeDocument/2006/relationships/hyperlink" Target="https://pld.live/RapDetail.aspx?STONELIST=926171509&amp;ISCONFIRM=0" TargetMode="External"/><Relationship Id="rId6400" Type="http://schemas.openxmlformats.org/officeDocument/2006/relationships/hyperlink" Target="https://pld.live/RapDetail.aspx?STONELIST=926010299&amp;ISCONFIRM=0" TargetMode="External"/><Relationship Id="rId708" Type="http://schemas.openxmlformats.org/officeDocument/2006/relationships/hyperlink" Target="https://pld.live/RapDetail.aspx?STONELIST=821127659&amp;ISCONFIRM=0" TargetMode="External"/><Relationship Id="rId915" Type="http://schemas.openxmlformats.org/officeDocument/2006/relationships/hyperlink" Target="https://pld.live/RapDetail.aspx?STONELIST=821127457&amp;ISCONFIRM=0" TargetMode="External"/><Relationship Id="rId1338" Type="http://schemas.openxmlformats.org/officeDocument/2006/relationships/hyperlink" Target="https://pld.live/RapDetail.aspx?STONELIST=941360462&amp;ISCONFIRM=0" TargetMode="External"/><Relationship Id="rId1545" Type="http://schemas.openxmlformats.org/officeDocument/2006/relationships/hyperlink" Target="https://pld.live/RapDetail.aspx?STONELIST=926250688&amp;ISCONFIRM=0" TargetMode="External"/><Relationship Id="rId2943" Type="http://schemas.openxmlformats.org/officeDocument/2006/relationships/hyperlink" Target="https://pld.live/RapDetail.aspx?STONELIST=926250348&amp;ISCONFIRM=0" TargetMode="External"/><Relationship Id="rId5002" Type="http://schemas.openxmlformats.org/officeDocument/2006/relationships/hyperlink" Target="https://pld.live/RapDetail.aspx?STONELIST=926071665&amp;ISCONFIRM=0" TargetMode="External"/><Relationship Id="rId8158" Type="http://schemas.openxmlformats.org/officeDocument/2006/relationships/hyperlink" Target="https://pld.live/RapDetail.aspx?STONELIST=924210107&amp;ISCONFIRM=0" TargetMode="External"/><Relationship Id="rId1405" Type="http://schemas.openxmlformats.org/officeDocument/2006/relationships/hyperlink" Target="https://pld.live/RapDetail.aspx?STONELIST=926221218&amp;ISCONFIRM=0" TargetMode="External"/><Relationship Id="rId1752" Type="http://schemas.openxmlformats.org/officeDocument/2006/relationships/hyperlink" Target="https://pld.live/RapDetail.aspx?STONELIST=941190379&amp;ISCONFIRM=0" TargetMode="External"/><Relationship Id="rId2803" Type="http://schemas.openxmlformats.org/officeDocument/2006/relationships/hyperlink" Target="https://pld.live/RapDetail.aspx?STONELIST=925890673&amp;ISCONFIRM=0" TargetMode="External"/><Relationship Id="rId5959" Type="http://schemas.openxmlformats.org/officeDocument/2006/relationships/hyperlink" Target="https://pld.live/RapDetail.aspx?STONELIST=941071366&amp;ISCONFIRM=0" TargetMode="External"/><Relationship Id="rId7174" Type="http://schemas.openxmlformats.org/officeDocument/2006/relationships/hyperlink" Target="https://pld.live/RapDetail.aspx?STONELIST=926410444&amp;ISCONFIRM=0" TargetMode="External"/><Relationship Id="rId7381" Type="http://schemas.openxmlformats.org/officeDocument/2006/relationships/hyperlink" Target="https://pld.live/RapDetail.aspx?STONELIST=941330625&amp;ISCONFIRM=0" TargetMode="External"/><Relationship Id="rId8018" Type="http://schemas.openxmlformats.org/officeDocument/2006/relationships/hyperlink" Target="https://pld.live/RapDetail.aspx?STONELIST=926460662&amp;ISCONFIRM=0" TargetMode="External"/><Relationship Id="rId8225" Type="http://schemas.openxmlformats.org/officeDocument/2006/relationships/hyperlink" Target="https://pld.live/RapDetail.aspx?STONELIST=925771340&amp;ISCONFIRM=0" TargetMode="External"/><Relationship Id="rId44" Type="http://schemas.openxmlformats.org/officeDocument/2006/relationships/hyperlink" Target="https://pld.live/RapDetail.aspx?STONELIST=831020702&amp;ISCONFIRM=0" TargetMode="External"/><Relationship Id="rId1612" Type="http://schemas.openxmlformats.org/officeDocument/2006/relationships/hyperlink" Target="https://pld.live/RapDetail.aspx?STONELIST=926941174&amp;ISCONFIRM=0" TargetMode="External"/><Relationship Id="rId4768" Type="http://schemas.openxmlformats.org/officeDocument/2006/relationships/hyperlink" Target="https://pld.live/RapDetail.aspx?STONELIST=831020100&amp;ISCONFIRM=0" TargetMode="External"/><Relationship Id="rId4975" Type="http://schemas.openxmlformats.org/officeDocument/2006/relationships/hyperlink" Target="https://pld.live/RapDetail.aspx?STONELIST=925501684&amp;ISCONFIRM=0" TargetMode="External"/><Relationship Id="rId5819" Type="http://schemas.openxmlformats.org/officeDocument/2006/relationships/hyperlink" Target="https://pld.live/RapDetail.aspx?STONELIST=926050336&amp;ISCONFIRM=0" TargetMode="External"/><Relationship Id="rId6190" Type="http://schemas.openxmlformats.org/officeDocument/2006/relationships/hyperlink" Target="https://pld.live/RapDetail.aspx?STONELIST=927080766&amp;ISCONFIRM=0" TargetMode="External"/><Relationship Id="rId7034" Type="http://schemas.openxmlformats.org/officeDocument/2006/relationships/hyperlink" Target="https://pld.live/RapDetail.aspx?STONELIST=821113828&amp;ISCONFIRM=0" TargetMode="External"/><Relationship Id="rId498" Type="http://schemas.openxmlformats.org/officeDocument/2006/relationships/hyperlink" Target="https://pld.live/RapDetail.aspx?STONELIST=925270184&amp;ISCONFIRM=0" TargetMode="External"/><Relationship Id="rId2179" Type="http://schemas.openxmlformats.org/officeDocument/2006/relationships/hyperlink" Target="https://pld.live/RapDetail.aspx?STONELIST=821127869&amp;ISCONFIRM=0" TargetMode="External"/><Relationship Id="rId3577" Type="http://schemas.openxmlformats.org/officeDocument/2006/relationships/hyperlink" Target="https://pld.live/RapDetail.aspx?STONELIST=926360357&amp;ISCONFIRM=0" TargetMode="External"/><Relationship Id="rId3784" Type="http://schemas.openxmlformats.org/officeDocument/2006/relationships/hyperlink" Target="https://pld.live/RapDetail.aspx?STONELIST=925610485&amp;ISCONFIRM=0" TargetMode="External"/><Relationship Id="rId3991" Type="http://schemas.openxmlformats.org/officeDocument/2006/relationships/hyperlink" Target="https://pld.live/RapDetail.aspx?STONELIST=821124361&amp;ISCONFIRM=0" TargetMode="External"/><Relationship Id="rId4628" Type="http://schemas.openxmlformats.org/officeDocument/2006/relationships/hyperlink" Target="https://pld.live/RapDetail.aspx?STONELIST=925502727&amp;ISCONFIRM=0" TargetMode="External"/><Relationship Id="rId4835" Type="http://schemas.openxmlformats.org/officeDocument/2006/relationships/hyperlink" Target="https://pld.live/RapDetail.aspx?STONELIST=926040895&amp;ISCONFIRM=0" TargetMode="External"/><Relationship Id="rId7241" Type="http://schemas.openxmlformats.org/officeDocument/2006/relationships/hyperlink" Target="https://pld.live/RapDetail.aspx?STONELIST=831020492&amp;ISCONFIRM=0" TargetMode="External"/><Relationship Id="rId2386" Type="http://schemas.openxmlformats.org/officeDocument/2006/relationships/hyperlink" Target="https://pld.live/RapDetail.aspx?STONELIST=831010728&amp;ISCONFIRM=0" TargetMode="External"/><Relationship Id="rId2593" Type="http://schemas.openxmlformats.org/officeDocument/2006/relationships/hyperlink" Target="https://pld.live/RapDetail.aspx?STONELIST=821127890&amp;ISCONFIRM=0" TargetMode="External"/><Relationship Id="rId3437" Type="http://schemas.openxmlformats.org/officeDocument/2006/relationships/hyperlink" Target="https://pld.live/RapDetail.aspx?STONELIST=926071844&amp;ISCONFIRM=0" TargetMode="External"/><Relationship Id="rId3644" Type="http://schemas.openxmlformats.org/officeDocument/2006/relationships/hyperlink" Target="https://pld.live/RapDetail.aspx?STONELIST=922640075&amp;ISCONFIRM=0" TargetMode="External"/><Relationship Id="rId3851" Type="http://schemas.openxmlformats.org/officeDocument/2006/relationships/hyperlink" Target="https://pld.live/RapDetail.aspx?STONELIST=926200154&amp;ISCONFIRM=0" TargetMode="External"/><Relationship Id="rId4902" Type="http://schemas.openxmlformats.org/officeDocument/2006/relationships/hyperlink" Target="https://pld.live/RapDetail.aspx?STONELIST=925501604&amp;ISCONFIRM=0" TargetMode="External"/><Relationship Id="rId6050" Type="http://schemas.openxmlformats.org/officeDocument/2006/relationships/hyperlink" Target="https://pld.live/RapDetail.aspx?STONELIST=941160549&amp;ISCONFIRM=0" TargetMode="External"/><Relationship Id="rId7101" Type="http://schemas.openxmlformats.org/officeDocument/2006/relationships/hyperlink" Target="https://pld.live/RapDetail.aspx?STONELIST=941100692&amp;ISCONFIRM=0" TargetMode="External"/><Relationship Id="rId358" Type="http://schemas.openxmlformats.org/officeDocument/2006/relationships/hyperlink" Target="https://pld.live/RapDetail.aspx?STONELIST=941400328&amp;ISCONFIRM=0" TargetMode="External"/><Relationship Id="rId565" Type="http://schemas.openxmlformats.org/officeDocument/2006/relationships/hyperlink" Target="https://pld.live/RapDetail.aspx?STONELIST=926071491&amp;ISCONFIRM=0" TargetMode="External"/><Relationship Id="rId772" Type="http://schemas.openxmlformats.org/officeDocument/2006/relationships/hyperlink" Target="https://pld.live/RapDetail.aspx?STONELIST=925940531&amp;ISCONFIRM=0" TargetMode="External"/><Relationship Id="rId1195" Type="http://schemas.openxmlformats.org/officeDocument/2006/relationships/hyperlink" Target="https://pld.live/RapDetail.aspx?STONELIST=941070954&amp;ISCONFIRM=0" TargetMode="External"/><Relationship Id="rId2039" Type="http://schemas.openxmlformats.org/officeDocument/2006/relationships/hyperlink" Target="https://pld.live/RapDetail.aspx?STONELIST=924040489&amp;ISCONFIRM=0" TargetMode="External"/><Relationship Id="rId2246" Type="http://schemas.openxmlformats.org/officeDocument/2006/relationships/hyperlink" Target="https://pld.live/RapDetail.aspx?STONELIST=926261254&amp;ISCONFIRM=0" TargetMode="External"/><Relationship Id="rId2453" Type="http://schemas.openxmlformats.org/officeDocument/2006/relationships/hyperlink" Target="https://pld.live/RapDetail.aspx?STONELIST=941330095&amp;ISCONFIRM=0" TargetMode="External"/><Relationship Id="rId2660" Type="http://schemas.openxmlformats.org/officeDocument/2006/relationships/hyperlink" Target="https://pld.live/RapDetail.aspx?STONELIST=926301088&amp;ISCONFIRM=0" TargetMode="External"/><Relationship Id="rId3504" Type="http://schemas.openxmlformats.org/officeDocument/2006/relationships/hyperlink" Target="https://pld.live/RapDetail.aspx?STONELIST=926250107&amp;ISCONFIRM=0" TargetMode="External"/><Relationship Id="rId3711" Type="http://schemas.openxmlformats.org/officeDocument/2006/relationships/hyperlink" Target="https://pld.live/RapDetail.aspx?STONELIST=941060543&amp;ISCONFIRM=0" TargetMode="External"/><Relationship Id="rId6867" Type="http://schemas.openxmlformats.org/officeDocument/2006/relationships/hyperlink" Target="https://pld.live/RapDetail.aspx?STONELIST=926910015&amp;ISCONFIRM=0" TargetMode="External"/><Relationship Id="rId7918" Type="http://schemas.openxmlformats.org/officeDocument/2006/relationships/hyperlink" Target="https://pld.live/RapDetail.aspx?STONELIST=927140270&amp;ISCONFIRM=0" TargetMode="External"/><Relationship Id="rId218" Type="http://schemas.openxmlformats.org/officeDocument/2006/relationships/hyperlink" Target="https://pld.live/RapDetail.aspx?STONELIST=924190344&amp;ISCONFIRM=0" TargetMode="External"/><Relationship Id="rId425" Type="http://schemas.openxmlformats.org/officeDocument/2006/relationships/hyperlink" Target="https://pld.live/RapDetail.aspx?STONELIST=925951127&amp;ISCONFIRM=0" TargetMode="External"/><Relationship Id="rId632" Type="http://schemas.openxmlformats.org/officeDocument/2006/relationships/hyperlink" Target="https://pld.live/RapDetail.aspx?STONELIST=941350719&amp;ISCONFIRM=0" TargetMode="External"/><Relationship Id="rId1055" Type="http://schemas.openxmlformats.org/officeDocument/2006/relationships/hyperlink" Target="https://pld.live/RapDetail.aspx?STONELIST=941140732&amp;ISCONFIRM=0" TargetMode="External"/><Relationship Id="rId1262" Type="http://schemas.openxmlformats.org/officeDocument/2006/relationships/hyperlink" Target="https://pld.live/RapDetail.aspx?STONELIST=926221340&amp;ISCONFIRM=0" TargetMode="External"/><Relationship Id="rId2106" Type="http://schemas.openxmlformats.org/officeDocument/2006/relationships/hyperlink" Target="https://pld.live/RapDetail.aspx?STONELIST=821127823&amp;ISCONFIRM=0" TargetMode="External"/><Relationship Id="rId2313" Type="http://schemas.openxmlformats.org/officeDocument/2006/relationships/hyperlink" Target="https://pld.live/RapDetail.aspx?STONELIST=926391219&amp;ISCONFIRM=0" TargetMode="External"/><Relationship Id="rId2520" Type="http://schemas.openxmlformats.org/officeDocument/2006/relationships/hyperlink" Target="https://pld.live/RapDetail.aspx?STONELIST=941050002&amp;ISCONFIRM=0" TargetMode="External"/><Relationship Id="rId5469" Type="http://schemas.openxmlformats.org/officeDocument/2006/relationships/hyperlink" Target="https://pld.live/RapDetail.aspx?STONELIST=941160546&amp;ISCONFIRM=0" TargetMode="External"/><Relationship Id="rId5676" Type="http://schemas.openxmlformats.org/officeDocument/2006/relationships/hyperlink" Target="https://pld.live/RapDetail.aspx?STONELIST=924920411&amp;ISCONFIRM=0" TargetMode="External"/><Relationship Id="rId6727" Type="http://schemas.openxmlformats.org/officeDocument/2006/relationships/hyperlink" Target="https://pld.live/RapDetail.aspx?STONELIST=926890575&amp;ISCONFIRM=0" TargetMode="External"/><Relationship Id="rId8082" Type="http://schemas.openxmlformats.org/officeDocument/2006/relationships/hyperlink" Target="https://pld.live/RapDetail.aspx?STONELIST=923540520&amp;ISCONFIRM=0" TargetMode="External"/><Relationship Id="rId1122" Type="http://schemas.openxmlformats.org/officeDocument/2006/relationships/hyperlink" Target="https://pld.live/RapDetail.aspx?STONELIST=926831089&amp;ISCONFIRM=0" TargetMode="External"/><Relationship Id="rId4278" Type="http://schemas.openxmlformats.org/officeDocument/2006/relationships/hyperlink" Target="https://pld.live/RapDetail.aspx?STONELIST=927092591&amp;ISCONFIRM=0" TargetMode="External"/><Relationship Id="rId4485" Type="http://schemas.openxmlformats.org/officeDocument/2006/relationships/hyperlink" Target="https://pld.live/RapDetail.aspx?STONELIST=941140730&amp;ISCONFIRM=0" TargetMode="External"/><Relationship Id="rId5329" Type="http://schemas.openxmlformats.org/officeDocument/2006/relationships/hyperlink" Target="https://pld.live/RapDetail.aspx?STONELIST=926250041&amp;ISCONFIRM=0" TargetMode="External"/><Relationship Id="rId5536" Type="http://schemas.openxmlformats.org/officeDocument/2006/relationships/hyperlink" Target="https://pld.live/RapDetail.aspx?STONELIST=926210750&amp;ISCONFIRM=0" TargetMode="External"/><Relationship Id="rId5883" Type="http://schemas.openxmlformats.org/officeDocument/2006/relationships/hyperlink" Target="https://pld.live/RapDetail.aspx?STONELIST=925950899&amp;ISCONFIRM=0" TargetMode="External"/><Relationship Id="rId6934" Type="http://schemas.openxmlformats.org/officeDocument/2006/relationships/hyperlink" Target="https://pld.live/RapDetail.aspx?STONELIST=926921417&amp;ISCONFIRM=0" TargetMode="External"/><Relationship Id="rId3087" Type="http://schemas.openxmlformats.org/officeDocument/2006/relationships/hyperlink" Target="https://pld.live/RapDetail.aspx?STONELIST=821128382&amp;ISCONFIRM=0" TargetMode="External"/><Relationship Id="rId3294" Type="http://schemas.openxmlformats.org/officeDocument/2006/relationships/hyperlink" Target="https://pld.live/RapDetail.aspx?STONELIST=926010269&amp;ISCONFIRM=0" TargetMode="External"/><Relationship Id="rId4138" Type="http://schemas.openxmlformats.org/officeDocument/2006/relationships/hyperlink" Target="https://pld.live/RapDetail.aspx?STONELIST=925950513&amp;ISCONFIRM=0" TargetMode="External"/><Relationship Id="rId4345" Type="http://schemas.openxmlformats.org/officeDocument/2006/relationships/hyperlink" Target="https://pld.live/RapDetail.aspx?STONELIST=926110405&amp;ISCONFIRM=0" TargetMode="External"/><Relationship Id="rId4692" Type="http://schemas.openxmlformats.org/officeDocument/2006/relationships/hyperlink" Target="https://pld.live/RapDetail.aspx?STONELIST=926470465&amp;ISCONFIRM=0" TargetMode="External"/><Relationship Id="rId5743" Type="http://schemas.openxmlformats.org/officeDocument/2006/relationships/hyperlink" Target="https://pld.live/RapDetail.aspx?STONELIST=926790169&amp;ISCONFIRM=0" TargetMode="External"/><Relationship Id="rId5950" Type="http://schemas.openxmlformats.org/officeDocument/2006/relationships/hyperlink" Target="https://pld.live/RapDetail.aspx?STONELIST=941071374&amp;ISCONFIRM=0" TargetMode="External"/><Relationship Id="rId1939" Type="http://schemas.openxmlformats.org/officeDocument/2006/relationships/hyperlink" Target="https://pld.live/RapDetail.aspx?STONELIST=926801328&amp;ISCONFIRM=0" TargetMode="External"/><Relationship Id="rId4552" Type="http://schemas.openxmlformats.org/officeDocument/2006/relationships/hyperlink" Target="https://pld.live/RapDetail.aspx?STONELIST=924280352&amp;ISCONFIRM=0" TargetMode="External"/><Relationship Id="rId5603" Type="http://schemas.openxmlformats.org/officeDocument/2006/relationships/hyperlink" Target="https://pld.live/RapDetail.aspx?STONELIST=924960441&amp;ISCONFIRM=0" TargetMode="External"/><Relationship Id="rId5810" Type="http://schemas.openxmlformats.org/officeDocument/2006/relationships/hyperlink" Target="https://pld.live/RapDetail.aspx?STONELIST=926860101&amp;ISCONFIRM=0" TargetMode="External"/><Relationship Id="rId3154" Type="http://schemas.openxmlformats.org/officeDocument/2006/relationships/hyperlink" Target="https://pld.live/RapDetail.aspx?STONELIST=925030316&amp;ISCONFIRM=0" TargetMode="External"/><Relationship Id="rId3361" Type="http://schemas.openxmlformats.org/officeDocument/2006/relationships/hyperlink" Target="https://pld.live/RapDetail.aspx?STONELIST=831010835&amp;ISCONFIRM=0" TargetMode="External"/><Relationship Id="rId4205" Type="http://schemas.openxmlformats.org/officeDocument/2006/relationships/hyperlink" Target="https://pld.live/RapDetail.aspx?STONELIST=925721683&amp;ISCONFIRM=0" TargetMode="External"/><Relationship Id="rId4412" Type="http://schemas.openxmlformats.org/officeDocument/2006/relationships/hyperlink" Target="https://pld.live/RapDetail.aspx?STONELIST=926110930&amp;ISCONFIRM=0" TargetMode="External"/><Relationship Id="rId7568" Type="http://schemas.openxmlformats.org/officeDocument/2006/relationships/hyperlink" Target="https://pld.live/RapDetail.aspx?STONELIST=925731752&amp;ISCONFIRM=0" TargetMode="External"/><Relationship Id="rId7775" Type="http://schemas.openxmlformats.org/officeDocument/2006/relationships/hyperlink" Target="https://pld.live/RapDetail.aspx?STONELIST=924940289&amp;ISCONFIRM=0" TargetMode="External"/><Relationship Id="rId7982" Type="http://schemas.openxmlformats.org/officeDocument/2006/relationships/hyperlink" Target="https://pld.live/RapDetail.aspx?STONELIST=926921398&amp;ISCONFIRM=0" TargetMode="External"/><Relationship Id="rId282" Type="http://schemas.openxmlformats.org/officeDocument/2006/relationships/hyperlink" Target="https://pld.live/RapDetail.aspx?STONELIST=924800081&amp;ISCONFIRM=0" TargetMode="External"/><Relationship Id="rId2170" Type="http://schemas.openxmlformats.org/officeDocument/2006/relationships/hyperlink" Target="https://pld.live/RapDetail.aspx?STONELIST=925420023&amp;ISCONFIRM=0" TargetMode="External"/><Relationship Id="rId3014" Type="http://schemas.openxmlformats.org/officeDocument/2006/relationships/hyperlink" Target="https://pld.live/RapDetail.aspx?STONELIST=925900598&amp;ISCONFIRM=0" TargetMode="External"/><Relationship Id="rId3221" Type="http://schemas.openxmlformats.org/officeDocument/2006/relationships/hyperlink" Target="https://pld.live/RapDetail.aspx?STONELIST=925040407&amp;ISCONFIRM=0" TargetMode="External"/><Relationship Id="rId6377" Type="http://schemas.openxmlformats.org/officeDocument/2006/relationships/hyperlink" Target="https://pld.live/RapDetail.aspx?STONELIST=926200088&amp;ISCONFIRM=0" TargetMode="External"/><Relationship Id="rId6584" Type="http://schemas.openxmlformats.org/officeDocument/2006/relationships/hyperlink" Target="https://pld.live/RapDetail.aspx?STONELIST=926890530&amp;ISCONFIRM=0" TargetMode="External"/><Relationship Id="rId6791" Type="http://schemas.openxmlformats.org/officeDocument/2006/relationships/hyperlink" Target="https://pld.live/RapDetail.aspx?STONELIST=821115808&amp;ISCONFIRM=0" TargetMode="External"/><Relationship Id="rId7428" Type="http://schemas.openxmlformats.org/officeDocument/2006/relationships/hyperlink" Target="https://pld.live/RapDetail.aspx?STONELIST=924450176&amp;ISCONFIRM=0" TargetMode="External"/><Relationship Id="rId7635" Type="http://schemas.openxmlformats.org/officeDocument/2006/relationships/hyperlink" Target="https://pld.live/RapDetail.aspx?STONELIST=926810596&amp;ISCONFIRM=0" TargetMode="External"/><Relationship Id="rId7842" Type="http://schemas.openxmlformats.org/officeDocument/2006/relationships/hyperlink" Target="https://pld.live/RapDetail.aspx?STONELIST=924690187&amp;ISCONFIRM=0" TargetMode="External"/><Relationship Id="rId8" Type="http://schemas.openxmlformats.org/officeDocument/2006/relationships/hyperlink" Target="https://pld.live/RapDetail.aspx?STONELIST=924530001&amp;ISCONFIRM=0" TargetMode="External"/><Relationship Id="rId142" Type="http://schemas.openxmlformats.org/officeDocument/2006/relationships/hyperlink" Target="https://pld.live/RapDetail.aspx?STONELIST=941120557&amp;ISCONFIRM=0" TargetMode="External"/><Relationship Id="rId2030" Type="http://schemas.openxmlformats.org/officeDocument/2006/relationships/hyperlink" Target="https://pld.live/RapDetail.aspx?STONELIST=926300264&amp;ISCONFIRM=0" TargetMode="External"/><Relationship Id="rId2987" Type="http://schemas.openxmlformats.org/officeDocument/2006/relationships/hyperlink" Target="https://pld.live/RapDetail.aspx?STONELIST=925760693&amp;ISCONFIRM=0" TargetMode="External"/><Relationship Id="rId5186" Type="http://schemas.openxmlformats.org/officeDocument/2006/relationships/hyperlink" Target="https://pld.live/RapDetail.aspx?STONELIST=923450153&amp;ISCONFIRM=0" TargetMode="External"/><Relationship Id="rId5393" Type="http://schemas.openxmlformats.org/officeDocument/2006/relationships/hyperlink" Target="https://pld.live/RapDetail.aspx?STONELIST=926250053&amp;ISCONFIRM=0" TargetMode="External"/><Relationship Id="rId6237" Type="http://schemas.openxmlformats.org/officeDocument/2006/relationships/hyperlink" Target="https://pld.live/RapDetail.aspx?STONELIST=941100582&amp;ISCONFIRM=0" TargetMode="External"/><Relationship Id="rId6444" Type="http://schemas.openxmlformats.org/officeDocument/2006/relationships/hyperlink" Target="https://pld.live/RapDetail.aspx?STONELIST=941100654&amp;ISCONFIRM=0" TargetMode="External"/><Relationship Id="rId6651" Type="http://schemas.openxmlformats.org/officeDocument/2006/relationships/hyperlink" Target="https://pld.live/RapDetail.aspx?STONELIST=941320806&amp;ISCONFIRM=0" TargetMode="External"/><Relationship Id="rId7702" Type="http://schemas.openxmlformats.org/officeDocument/2006/relationships/hyperlink" Target="https://pld.live/RapDetail.aspx?STONELIST=941261125&amp;ISCONFIRM=0" TargetMode="External"/><Relationship Id="rId959" Type="http://schemas.openxmlformats.org/officeDocument/2006/relationships/hyperlink" Target="https://pld.live/RapDetail.aspx?STONELIST=926741041&amp;ISCONFIRM=0" TargetMode="External"/><Relationship Id="rId1589" Type="http://schemas.openxmlformats.org/officeDocument/2006/relationships/hyperlink" Target="https://pld.live/RapDetail.aspx?STONELIST=941400306&amp;ISCONFIRM=0" TargetMode="External"/><Relationship Id="rId5046" Type="http://schemas.openxmlformats.org/officeDocument/2006/relationships/hyperlink" Target="https://pld.live/RapDetail.aspx?STONELIST=831010604&amp;ISCONFIRM=0" TargetMode="External"/><Relationship Id="rId5253" Type="http://schemas.openxmlformats.org/officeDocument/2006/relationships/hyperlink" Target="https://pld.live/RapDetail.aspx?STONELIST=926110692&amp;ISCONFIRM=0" TargetMode="External"/><Relationship Id="rId5460" Type="http://schemas.openxmlformats.org/officeDocument/2006/relationships/hyperlink" Target="https://pld.live/RapDetail.aspx?STONELIST=926680943&amp;ISCONFIRM=0" TargetMode="External"/><Relationship Id="rId6304" Type="http://schemas.openxmlformats.org/officeDocument/2006/relationships/hyperlink" Target="https://pld.live/RapDetail.aspx?STONELIST=925630310&amp;ISCONFIRM=0" TargetMode="External"/><Relationship Id="rId6511" Type="http://schemas.openxmlformats.org/officeDocument/2006/relationships/hyperlink" Target="https://pld.live/RapDetail.aspx?STONELIST=941070137&amp;ISCONFIRM=0" TargetMode="External"/><Relationship Id="rId1449" Type="http://schemas.openxmlformats.org/officeDocument/2006/relationships/hyperlink" Target="https://pld.live/RapDetail.aspx?STONELIST=926250551&amp;ISCONFIRM=0" TargetMode="External"/><Relationship Id="rId1796" Type="http://schemas.openxmlformats.org/officeDocument/2006/relationships/hyperlink" Target="https://pld.live/RapDetail.aspx?STONELIST=941320503&amp;ISCONFIRM=0" TargetMode="External"/><Relationship Id="rId2847" Type="http://schemas.openxmlformats.org/officeDocument/2006/relationships/hyperlink" Target="https://pld.live/RapDetail.aspx?STONELIST=925921050&amp;ISCONFIRM=0" TargetMode="External"/><Relationship Id="rId4062" Type="http://schemas.openxmlformats.org/officeDocument/2006/relationships/hyperlink" Target="https://pld.live/RapDetail.aspx?STONELIST=925961160&amp;ISCONFIRM=0" TargetMode="External"/><Relationship Id="rId5113" Type="http://schemas.openxmlformats.org/officeDocument/2006/relationships/hyperlink" Target="https://pld.live/RapDetail.aspx?STONELIST=925520305&amp;ISCONFIRM=0" TargetMode="External"/><Relationship Id="rId88" Type="http://schemas.openxmlformats.org/officeDocument/2006/relationships/hyperlink" Target="https://pld.live/RapDetail.aspx?STONELIST=941180046&amp;ISCONFIRM=0" TargetMode="External"/><Relationship Id="rId819" Type="http://schemas.openxmlformats.org/officeDocument/2006/relationships/hyperlink" Target="https://pld.live/RapDetail.aspx?STONELIST=926041020&amp;ISCONFIRM=0" TargetMode="External"/><Relationship Id="rId1656" Type="http://schemas.openxmlformats.org/officeDocument/2006/relationships/hyperlink" Target="https://pld.live/RapDetail.aspx?STONELIST=926460829&amp;ISCONFIRM=0" TargetMode="External"/><Relationship Id="rId1863" Type="http://schemas.openxmlformats.org/officeDocument/2006/relationships/hyperlink" Target="https://pld.live/RapDetail.aspx?STONELIST=925910783&amp;ISCONFIRM=0" TargetMode="External"/><Relationship Id="rId2707" Type="http://schemas.openxmlformats.org/officeDocument/2006/relationships/hyperlink" Target="https://pld.live/RapDetail.aspx?STONELIST=926820118&amp;ISCONFIRM=0" TargetMode="External"/><Relationship Id="rId2914" Type="http://schemas.openxmlformats.org/officeDocument/2006/relationships/hyperlink" Target="https://pld.live/RapDetail.aspx?STONELIST=831010799&amp;ISCONFIRM=0" TargetMode="External"/><Relationship Id="rId5320" Type="http://schemas.openxmlformats.org/officeDocument/2006/relationships/hyperlink" Target="https://pld.live/RapDetail.aspx?STONELIST=922310143&amp;ISCONFIRM=0" TargetMode="External"/><Relationship Id="rId7078" Type="http://schemas.openxmlformats.org/officeDocument/2006/relationships/hyperlink" Target="https://pld.live/RapDetail.aspx?STONELIST=927101162&amp;ISCONFIRM=0" TargetMode="External"/><Relationship Id="rId8129" Type="http://schemas.openxmlformats.org/officeDocument/2006/relationships/hyperlink" Target="https://pld.live/RapDetail.aspx?STONELIST=927132336&amp;ISCONFIRM=0" TargetMode="External"/><Relationship Id="rId1309" Type="http://schemas.openxmlformats.org/officeDocument/2006/relationships/hyperlink" Target="https://pld.live/RapDetail.aspx?STONELIST=927051496&amp;ISCONFIRM=0" TargetMode="External"/><Relationship Id="rId1516" Type="http://schemas.openxmlformats.org/officeDocument/2006/relationships/hyperlink" Target="https://pld.live/RapDetail.aspx?STONELIST=926221198&amp;ISCONFIRM=0" TargetMode="External"/><Relationship Id="rId1723" Type="http://schemas.openxmlformats.org/officeDocument/2006/relationships/hyperlink" Target="https://pld.live/RapDetail.aspx?STONELIST=941380226&amp;ISCONFIRM=0" TargetMode="External"/><Relationship Id="rId1930" Type="http://schemas.openxmlformats.org/officeDocument/2006/relationships/hyperlink" Target="https://pld.live/RapDetail.aspx?STONELIST=926801361&amp;ISCONFIRM=0" TargetMode="External"/><Relationship Id="rId4879" Type="http://schemas.openxmlformats.org/officeDocument/2006/relationships/hyperlink" Target="https://pld.live/RapDetail.aspx?STONELIST=925961132&amp;ISCONFIRM=0" TargetMode="External"/><Relationship Id="rId7285" Type="http://schemas.openxmlformats.org/officeDocument/2006/relationships/hyperlink" Target="https://pld.live/RapDetail.aspx?STONELIST=941110203&amp;ISCONFIRM=0" TargetMode="External"/><Relationship Id="rId7492" Type="http://schemas.openxmlformats.org/officeDocument/2006/relationships/hyperlink" Target="https://pld.live/RapDetail.aspx?STONELIST=926071719&amp;ISCONFIRM=0" TargetMode="External"/><Relationship Id="rId15" Type="http://schemas.openxmlformats.org/officeDocument/2006/relationships/hyperlink" Target="https://pld.live/RapDetail.aspx?STONELIST=831020673&amp;ISCONFIRM=0" TargetMode="External"/><Relationship Id="rId3688" Type="http://schemas.openxmlformats.org/officeDocument/2006/relationships/hyperlink" Target="https://pld.live/RapDetail.aspx?STONELIST=925560024&amp;ISCONFIRM=0" TargetMode="External"/><Relationship Id="rId3895" Type="http://schemas.openxmlformats.org/officeDocument/2006/relationships/hyperlink" Target="https://pld.live/RapDetail.aspx?STONELIST=925732222&amp;ISCONFIRM=0" TargetMode="External"/><Relationship Id="rId4739" Type="http://schemas.openxmlformats.org/officeDocument/2006/relationships/hyperlink" Target="https://pld.live/RapDetail.aspx?STONELIST=925510188&amp;ISCONFIRM=0" TargetMode="External"/><Relationship Id="rId4946" Type="http://schemas.openxmlformats.org/officeDocument/2006/relationships/hyperlink" Target="https://pld.live/RapDetail.aspx?STONELIST=924500122&amp;ISCONFIRM=0" TargetMode="External"/><Relationship Id="rId6094" Type="http://schemas.openxmlformats.org/officeDocument/2006/relationships/hyperlink" Target="https://pld.live/RapDetail.aspx?STONELIST=926420443&amp;ISCONFIRM=0" TargetMode="External"/><Relationship Id="rId7145" Type="http://schemas.openxmlformats.org/officeDocument/2006/relationships/hyperlink" Target="https://pld.live/RapDetail.aspx?STONELIST=926360359&amp;ISCONFIRM=0" TargetMode="External"/><Relationship Id="rId7352" Type="http://schemas.openxmlformats.org/officeDocument/2006/relationships/hyperlink" Target="https://pld.live/RapDetail.aspx?STONELIST=941340750&amp;ISCONFIRM=0" TargetMode="External"/><Relationship Id="rId2497" Type="http://schemas.openxmlformats.org/officeDocument/2006/relationships/hyperlink" Target="https://pld.live/RapDetail.aspx?STONELIST=925910594&amp;ISCONFIRM=0" TargetMode="External"/><Relationship Id="rId3548" Type="http://schemas.openxmlformats.org/officeDocument/2006/relationships/hyperlink" Target="https://pld.live/RapDetail.aspx?STONELIST=831020197&amp;ISCONFIRM=0" TargetMode="External"/><Relationship Id="rId3755" Type="http://schemas.openxmlformats.org/officeDocument/2006/relationships/hyperlink" Target="https://pld.live/RapDetail.aspx?STONELIST=927070627&amp;ISCONFIRM=0" TargetMode="External"/><Relationship Id="rId4806" Type="http://schemas.openxmlformats.org/officeDocument/2006/relationships/hyperlink" Target="https://pld.live/RapDetail.aspx?STONELIST=925060372&amp;ISCONFIRM=0" TargetMode="External"/><Relationship Id="rId6161" Type="http://schemas.openxmlformats.org/officeDocument/2006/relationships/hyperlink" Target="https://pld.live/RapDetail.aspx?STONELIST=941220231&amp;ISCONFIRM=0" TargetMode="External"/><Relationship Id="rId7005" Type="http://schemas.openxmlformats.org/officeDocument/2006/relationships/hyperlink" Target="https://pld.live/RapDetail.aspx?STONELIST=926200742&amp;ISCONFIRM=0" TargetMode="External"/><Relationship Id="rId7212" Type="http://schemas.openxmlformats.org/officeDocument/2006/relationships/hyperlink" Target="https://pld.live/RapDetail.aspx?STONELIST=821112002&amp;ISCONFIRM=0" TargetMode="External"/><Relationship Id="rId469" Type="http://schemas.openxmlformats.org/officeDocument/2006/relationships/hyperlink" Target="https://pld.live/RapDetail.aspx?STONELIST=925520660&amp;ISCONFIRM=0" TargetMode="External"/><Relationship Id="rId676" Type="http://schemas.openxmlformats.org/officeDocument/2006/relationships/hyperlink" Target="https://pld.live/RapDetail.aspx?STONELIST=831010797&amp;ISCONFIRM=0" TargetMode="External"/><Relationship Id="rId883" Type="http://schemas.openxmlformats.org/officeDocument/2006/relationships/hyperlink" Target="https://pld.live/RapDetail.aspx?STONELIST=821127454&amp;ISCONFIRM=0" TargetMode="External"/><Relationship Id="rId1099" Type="http://schemas.openxmlformats.org/officeDocument/2006/relationships/hyperlink" Target="https://pld.live/RapDetail.aspx?STONELIST=927052034&amp;ISCONFIRM=0" TargetMode="External"/><Relationship Id="rId2357" Type="http://schemas.openxmlformats.org/officeDocument/2006/relationships/hyperlink" Target="https://pld.live/RapDetail.aspx?STONELIST=926571119&amp;ISCONFIRM=0" TargetMode="External"/><Relationship Id="rId2564" Type="http://schemas.openxmlformats.org/officeDocument/2006/relationships/hyperlink" Target="https://pld.live/RapDetail.aspx?STONELIST=926261162&amp;ISCONFIRM=0" TargetMode="External"/><Relationship Id="rId3408" Type="http://schemas.openxmlformats.org/officeDocument/2006/relationships/hyperlink" Target="https://pld.live/RapDetail.aspx?STONELIST=831010790&amp;ISCONFIRM=0" TargetMode="External"/><Relationship Id="rId3615" Type="http://schemas.openxmlformats.org/officeDocument/2006/relationships/hyperlink" Target="https://pld.live/RapDetail.aspx?STONELIST=924380353&amp;ISCONFIRM=0" TargetMode="External"/><Relationship Id="rId3962" Type="http://schemas.openxmlformats.org/officeDocument/2006/relationships/hyperlink" Target="https://pld.live/RapDetail.aspx?STONELIST=821124316&amp;ISCONFIRM=0" TargetMode="External"/><Relationship Id="rId6021" Type="http://schemas.openxmlformats.org/officeDocument/2006/relationships/hyperlink" Target="https://pld.live/RapDetail.aspx?STONELIST=941260977&amp;ISCONFIRM=0" TargetMode="External"/><Relationship Id="rId329" Type="http://schemas.openxmlformats.org/officeDocument/2006/relationships/hyperlink" Target="https://pld.live/RapDetail.aspx?STONELIST=941390201&amp;ISCONFIRM=0" TargetMode="External"/><Relationship Id="rId536" Type="http://schemas.openxmlformats.org/officeDocument/2006/relationships/hyperlink" Target="https://pld.live/RapDetail.aspx?STONELIST=941400480&amp;ISCONFIRM=0" TargetMode="External"/><Relationship Id="rId1166" Type="http://schemas.openxmlformats.org/officeDocument/2006/relationships/hyperlink" Target="https://pld.live/RapDetail.aspx?STONELIST=941160388&amp;ISCONFIRM=0" TargetMode="External"/><Relationship Id="rId1373" Type="http://schemas.openxmlformats.org/officeDocument/2006/relationships/hyperlink" Target="https://pld.live/RapDetail.aspx?STONELIST=926221374&amp;ISCONFIRM=0" TargetMode="External"/><Relationship Id="rId2217" Type="http://schemas.openxmlformats.org/officeDocument/2006/relationships/hyperlink" Target="https://pld.live/RapDetail.aspx?STONELIST=925380030&amp;ISCONFIRM=0" TargetMode="External"/><Relationship Id="rId2771" Type="http://schemas.openxmlformats.org/officeDocument/2006/relationships/hyperlink" Target="https://pld.live/RapDetail.aspx?STONELIST=927070574&amp;ISCONFIRM=0" TargetMode="External"/><Relationship Id="rId3822" Type="http://schemas.openxmlformats.org/officeDocument/2006/relationships/hyperlink" Target="https://pld.live/RapDetail.aspx?STONELIST=924950458&amp;ISCONFIRM=0" TargetMode="External"/><Relationship Id="rId6978" Type="http://schemas.openxmlformats.org/officeDocument/2006/relationships/hyperlink" Target="https://pld.live/RapDetail.aspx?STONELIST=926680678&amp;ISCONFIRM=0" TargetMode="External"/><Relationship Id="rId8193" Type="http://schemas.openxmlformats.org/officeDocument/2006/relationships/hyperlink" Target="https://pld.live/RapDetail.aspx?STONELIST=925722133&amp;ISCONFIRM=0" TargetMode="External"/><Relationship Id="rId743" Type="http://schemas.openxmlformats.org/officeDocument/2006/relationships/hyperlink" Target="https://pld.live/RapDetail.aspx?STONELIST=821127672&amp;ISCONFIRM=0" TargetMode="External"/><Relationship Id="rId950" Type="http://schemas.openxmlformats.org/officeDocument/2006/relationships/hyperlink" Target="https://pld.live/RapDetail.aspx?STONELIST=926640345&amp;ISCONFIRM=0" TargetMode="External"/><Relationship Id="rId1026" Type="http://schemas.openxmlformats.org/officeDocument/2006/relationships/hyperlink" Target="https://pld.live/RapDetail.aspx?STONELIST=926741017&amp;ISCONFIRM=0" TargetMode="External"/><Relationship Id="rId1580" Type="http://schemas.openxmlformats.org/officeDocument/2006/relationships/hyperlink" Target="https://pld.live/RapDetail.aspx?STONELIST=925870390&amp;ISCONFIRM=0" TargetMode="External"/><Relationship Id="rId2424" Type="http://schemas.openxmlformats.org/officeDocument/2006/relationships/hyperlink" Target="https://pld.live/RapDetail.aspx?STONELIST=926181030&amp;ISCONFIRM=0" TargetMode="External"/><Relationship Id="rId2631" Type="http://schemas.openxmlformats.org/officeDocument/2006/relationships/hyperlink" Target="https://pld.live/RapDetail.aspx?STONELIST=926721347&amp;ISCONFIRM=0" TargetMode="External"/><Relationship Id="rId4389" Type="http://schemas.openxmlformats.org/officeDocument/2006/relationships/hyperlink" Target="https://pld.live/RapDetail.aspx?STONELIST=941190391&amp;ISCONFIRM=0" TargetMode="External"/><Relationship Id="rId5787" Type="http://schemas.openxmlformats.org/officeDocument/2006/relationships/hyperlink" Target="https://pld.live/RapDetail.aspx?STONELIST=941160422&amp;ISCONFIRM=0" TargetMode="External"/><Relationship Id="rId5994" Type="http://schemas.openxmlformats.org/officeDocument/2006/relationships/hyperlink" Target="https://pld.live/RapDetail.aspx?STONELIST=941040798&amp;ISCONFIRM=0" TargetMode="External"/><Relationship Id="rId6838" Type="http://schemas.openxmlformats.org/officeDocument/2006/relationships/hyperlink" Target="https://pld.live/RapDetail.aspx?STONELIST=926160046&amp;ISCONFIRM=0" TargetMode="External"/><Relationship Id="rId8053" Type="http://schemas.openxmlformats.org/officeDocument/2006/relationships/hyperlink" Target="https://pld.live/RapDetail.aspx?STONELIST=926040712&amp;ISCONFIRM=0" TargetMode="External"/><Relationship Id="rId603" Type="http://schemas.openxmlformats.org/officeDocument/2006/relationships/hyperlink" Target="https://pld.live/RapDetail.aspx?STONELIST=924770011&amp;ISCONFIRM=0" TargetMode="External"/><Relationship Id="rId810" Type="http://schemas.openxmlformats.org/officeDocument/2006/relationships/hyperlink" Target="https://pld.live/RapDetail.aspx?STONELIST=821127707&amp;ISCONFIRM=0" TargetMode="External"/><Relationship Id="rId1233" Type="http://schemas.openxmlformats.org/officeDocument/2006/relationships/hyperlink" Target="https://pld.live/RapDetail.aspx?STONELIST=926211264&amp;ISCONFIRM=0" TargetMode="External"/><Relationship Id="rId1440" Type="http://schemas.openxmlformats.org/officeDocument/2006/relationships/hyperlink" Target="https://pld.live/RapDetail.aspx?STONELIST=925900367&amp;ISCONFIRM=0" TargetMode="External"/><Relationship Id="rId4596" Type="http://schemas.openxmlformats.org/officeDocument/2006/relationships/hyperlink" Target="https://pld.live/RapDetail.aspx?STONELIST=926960848&amp;ISCONFIRM=0" TargetMode="External"/><Relationship Id="rId5647" Type="http://schemas.openxmlformats.org/officeDocument/2006/relationships/hyperlink" Target="https://pld.live/RapDetail.aspx?STONELIST=941190104&amp;ISCONFIRM=0" TargetMode="External"/><Relationship Id="rId5854" Type="http://schemas.openxmlformats.org/officeDocument/2006/relationships/hyperlink" Target="https://pld.live/RapDetail.aspx?STONELIST=925971326&amp;ISCONFIRM=0" TargetMode="External"/><Relationship Id="rId6905" Type="http://schemas.openxmlformats.org/officeDocument/2006/relationships/hyperlink" Target="https://pld.live/RapDetail.aspx?STONELIST=821113827&amp;ISCONFIRM=0" TargetMode="External"/><Relationship Id="rId8260" Type="http://schemas.openxmlformats.org/officeDocument/2006/relationships/hyperlink" Target="https://pld.live/RapDetail.aspx?STONELIST=925030454&amp;ISCONFIRM=0" TargetMode="External"/><Relationship Id="rId1300" Type="http://schemas.openxmlformats.org/officeDocument/2006/relationships/hyperlink" Target="https://pld.live/RapDetail.aspx?STONELIST=941320774&amp;ISCONFIRM=0" TargetMode="External"/><Relationship Id="rId3198" Type="http://schemas.openxmlformats.org/officeDocument/2006/relationships/hyperlink" Target="https://pld.live/RapDetail.aspx?STONELIST=925040399&amp;ISCONFIRM=0" TargetMode="External"/><Relationship Id="rId4249" Type="http://schemas.openxmlformats.org/officeDocument/2006/relationships/hyperlink" Target="https://pld.live/RapDetail.aspx?STONELIST=926200995&amp;ISCONFIRM=0" TargetMode="External"/><Relationship Id="rId4456" Type="http://schemas.openxmlformats.org/officeDocument/2006/relationships/hyperlink" Target="https://pld.live/RapDetail.aspx?STONELIST=926210747&amp;ISCONFIRM=0" TargetMode="External"/><Relationship Id="rId4663" Type="http://schemas.openxmlformats.org/officeDocument/2006/relationships/hyperlink" Target="https://pld.live/RapDetail.aspx?STONELIST=924341592&amp;ISCONFIRM=0" TargetMode="External"/><Relationship Id="rId4870" Type="http://schemas.openxmlformats.org/officeDocument/2006/relationships/hyperlink" Target="https://pld.live/RapDetail.aspx?STONELIST=925551814&amp;ISCONFIRM=0" TargetMode="External"/><Relationship Id="rId5507" Type="http://schemas.openxmlformats.org/officeDocument/2006/relationships/hyperlink" Target="https://pld.live/RapDetail.aspx?STONELIST=821113469&amp;ISCONFIRM=0" TargetMode="External"/><Relationship Id="rId5714" Type="http://schemas.openxmlformats.org/officeDocument/2006/relationships/hyperlink" Target="https://pld.live/RapDetail.aspx?STONELIST=925040384&amp;ISCONFIRM=0" TargetMode="External"/><Relationship Id="rId5921" Type="http://schemas.openxmlformats.org/officeDocument/2006/relationships/hyperlink" Target="https://pld.live/RapDetail.aspx?STONELIST=925300377&amp;ISCONFIRM=0" TargetMode="External"/><Relationship Id="rId8120" Type="http://schemas.openxmlformats.org/officeDocument/2006/relationships/hyperlink" Target="https://pld.live/RapDetail.aspx?STONELIST=926110471&amp;ISCONFIRM=0" TargetMode="External"/><Relationship Id="rId3058" Type="http://schemas.openxmlformats.org/officeDocument/2006/relationships/hyperlink" Target="https://pld.live/RapDetail.aspx?STONELIST=925791386&amp;ISCONFIRM=0" TargetMode="External"/><Relationship Id="rId3265" Type="http://schemas.openxmlformats.org/officeDocument/2006/relationships/hyperlink" Target="https://pld.live/RapDetail.aspx?STONELIST=941270754&amp;ISCONFIRM=0" TargetMode="External"/><Relationship Id="rId3472" Type="http://schemas.openxmlformats.org/officeDocument/2006/relationships/hyperlink" Target="https://pld.live/RapDetail.aspx?STONELIST=926101259&amp;ISCONFIRM=0" TargetMode="External"/><Relationship Id="rId4109" Type="http://schemas.openxmlformats.org/officeDocument/2006/relationships/hyperlink" Target="https://pld.live/RapDetail.aspx?STONELIST=925110281&amp;ISCONFIRM=0" TargetMode="External"/><Relationship Id="rId4316" Type="http://schemas.openxmlformats.org/officeDocument/2006/relationships/hyperlink" Target="https://pld.live/RapDetail.aspx?STONELIST=925722108&amp;ISCONFIRM=0" TargetMode="External"/><Relationship Id="rId4523" Type="http://schemas.openxmlformats.org/officeDocument/2006/relationships/hyperlink" Target="https://pld.live/RapDetail.aspx?STONELIST=927092583&amp;ISCONFIRM=0" TargetMode="External"/><Relationship Id="rId4730" Type="http://schemas.openxmlformats.org/officeDocument/2006/relationships/hyperlink" Target="https://pld.live/RapDetail.aspx?STONELIST=923330023&amp;ISCONFIRM=0" TargetMode="External"/><Relationship Id="rId7679" Type="http://schemas.openxmlformats.org/officeDocument/2006/relationships/hyperlink" Target="https://pld.live/RapDetail.aspx?STONELIST=941190345&amp;ISCONFIRM=0" TargetMode="External"/><Relationship Id="rId7886" Type="http://schemas.openxmlformats.org/officeDocument/2006/relationships/hyperlink" Target="https://pld.live/RapDetail.aspx?STONELIST=927131201&amp;ISCONFIRM=0" TargetMode="External"/><Relationship Id="rId186" Type="http://schemas.openxmlformats.org/officeDocument/2006/relationships/hyperlink" Target="https://pld.live/RapDetail.aspx?STONELIST=941130400&amp;ISCONFIRM=0" TargetMode="External"/><Relationship Id="rId393" Type="http://schemas.openxmlformats.org/officeDocument/2006/relationships/hyperlink" Target="https://pld.live/RapDetail.aspx?STONELIST=925851270&amp;ISCONFIRM=0" TargetMode="External"/><Relationship Id="rId2074" Type="http://schemas.openxmlformats.org/officeDocument/2006/relationships/hyperlink" Target="https://pld.live/RapDetail.aspx?STONELIST=926091153&amp;ISCONFIRM=0" TargetMode="External"/><Relationship Id="rId2281" Type="http://schemas.openxmlformats.org/officeDocument/2006/relationships/hyperlink" Target="https://pld.live/RapDetail.aspx?STONELIST=926141508&amp;ISCONFIRM=0" TargetMode="External"/><Relationship Id="rId3125" Type="http://schemas.openxmlformats.org/officeDocument/2006/relationships/hyperlink" Target="https://pld.live/RapDetail.aspx?STONELIST=925030397&amp;ISCONFIRM=0" TargetMode="External"/><Relationship Id="rId3332" Type="http://schemas.openxmlformats.org/officeDocument/2006/relationships/hyperlink" Target="https://pld.live/RapDetail.aspx?STONELIST=926540149&amp;ISCONFIRM=0" TargetMode="External"/><Relationship Id="rId6488" Type="http://schemas.openxmlformats.org/officeDocument/2006/relationships/hyperlink" Target="https://pld.live/RapDetail.aspx?STONELIST=941071310&amp;ISCONFIRM=0" TargetMode="External"/><Relationship Id="rId6695" Type="http://schemas.openxmlformats.org/officeDocument/2006/relationships/hyperlink" Target="https://pld.live/RapDetail.aspx?STONELIST=927101000&amp;ISCONFIRM=0" TargetMode="External"/><Relationship Id="rId7539" Type="http://schemas.openxmlformats.org/officeDocument/2006/relationships/hyperlink" Target="https://pld.live/RapDetail.aspx?STONELIST=831010244&amp;ISCONFIRM=0" TargetMode="External"/><Relationship Id="rId7746" Type="http://schemas.openxmlformats.org/officeDocument/2006/relationships/hyperlink" Target="https://pld.live/RapDetail.aspx?STONELIST=831020628&amp;ISCONFIRM=0" TargetMode="External"/><Relationship Id="rId253" Type="http://schemas.openxmlformats.org/officeDocument/2006/relationships/hyperlink" Target="https://pld.live/RapDetail.aspx?STONELIST=923750214&amp;ISCONFIRM=0" TargetMode="External"/><Relationship Id="rId460" Type="http://schemas.openxmlformats.org/officeDocument/2006/relationships/hyperlink" Target="https://pld.live/RapDetail.aspx?STONELIST=925270081&amp;ISCONFIRM=0" TargetMode="External"/><Relationship Id="rId1090" Type="http://schemas.openxmlformats.org/officeDocument/2006/relationships/hyperlink" Target="https://pld.live/RapDetail.aspx?STONELIST=926921055&amp;ISCONFIRM=0" TargetMode="External"/><Relationship Id="rId2141" Type="http://schemas.openxmlformats.org/officeDocument/2006/relationships/hyperlink" Target="https://pld.live/RapDetail.aspx?STONELIST=821127923&amp;ISCONFIRM=0" TargetMode="External"/><Relationship Id="rId5297" Type="http://schemas.openxmlformats.org/officeDocument/2006/relationships/hyperlink" Target="https://pld.live/RapDetail.aspx?STONELIST=926631252&amp;ISCONFIRM=0" TargetMode="External"/><Relationship Id="rId6348" Type="http://schemas.openxmlformats.org/officeDocument/2006/relationships/hyperlink" Target="https://pld.live/RapDetail.aspx?STONELIST=926980644&amp;ISCONFIRM=0" TargetMode="External"/><Relationship Id="rId6555" Type="http://schemas.openxmlformats.org/officeDocument/2006/relationships/hyperlink" Target="https://pld.live/RapDetail.aspx?STONELIST=927102453&amp;ISCONFIRM=0" TargetMode="External"/><Relationship Id="rId7953" Type="http://schemas.openxmlformats.org/officeDocument/2006/relationships/hyperlink" Target="https://pld.live/RapDetail.aspx?STONELIST=927130754&amp;ISCONFIRM=0" TargetMode="External"/><Relationship Id="rId113" Type="http://schemas.openxmlformats.org/officeDocument/2006/relationships/hyperlink" Target="https://pld.live/RapDetail.aspx?STONELIST=926860003&amp;ISCONFIRM=0" TargetMode="External"/><Relationship Id="rId320" Type="http://schemas.openxmlformats.org/officeDocument/2006/relationships/hyperlink" Target="https://pld.live/RapDetail.aspx?STONELIST=941390250&amp;ISCONFIRM=0" TargetMode="External"/><Relationship Id="rId2001" Type="http://schemas.openxmlformats.org/officeDocument/2006/relationships/hyperlink" Target="https://pld.live/RapDetail.aspx?STONELIST=926300269&amp;ISCONFIRM=0" TargetMode="External"/><Relationship Id="rId5157" Type="http://schemas.openxmlformats.org/officeDocument/2006/relationships/hyperlink" Target="https://pld.live/RapDetail.aspx?STONELIST=925621849&amp;ISCONFIRM=0" TargetMode="External"/><Relationship Id="rId6208" Type="http://schemas.openxmlformats.org/officeDocument/2006/relationships/hyperlink" Target="https://pld.live/RapDetail.aspx?STONELIST=925690220&amp;ISCONFIRM=0" TargetMode="External"/><Relationship Id="rId6762" Type="http://schemas.openxmlformats.org/officeDocument/2006/relationships/hyperlink" Target="https://pld.live/RapDetail.aspx?STONELIST=927152983&amp;ISCONFIRM=0" TargetMode="External"/><Relationship Id="rId7606" Type="http://schemas.openxmlformats.org/officeDocument/2006/relationships/hyperlink" Target="https://pld.live/RapDetail.aspx?STONELIST=925732298&amp;ISCONFIRM=0" TargetMode="External"/><Relationship Id="rId7813" Type="http://schemas.openxmlformats.org/officeDocument/2006/relationships/hyperlink" Target="https://pld.live/RapDetail.aspx?STONELIST=927152809&amp;ISCONFIRM=0" TargetMode="External"/><Relationship Id="rId2958" Type="http://schemas.openxmlformats.org/officeDocument/2006/relationships/hyperlink" Target="https://pld.live/RapDetail.aspx?STONELIST=926111047&amp;ISCONFIRM=0" TargetMode="External"/><Relationship Id="rId5017" Type="http://schemas.openxmlformats.org/officeDocument/2006/relationships/hyperlink" Target="https://pld.live/RapDetail.aspx?STONELIST=925731334&amp;ISCONFIRM=0" TargetMode="External"/><Relationship Id="rId5364" Type="http://schemas.openxmlformats.org/officeDocument/2006/relationships/hyperlink" Target="https://pld.live/RapDetail.aspx?STONELIST=941351044&amp;ISCONFIRM=0" TargetMode="External"/><Relationship Id="rId5571" Type="http://schemas.openxmlformats.org/officeDocument/2006/relationships/hyperlink" Target="https://pld.live/RapDetail.aspx?STONELIST=924780321&amp;ISCONFIRM=0" TargetMode="External"/><Relationship Id="rId6415" Type="http://schemas.openxmlformats.org/officeDocument/2006/relationships/hyperlink" Target="https://pld.live/RapDetail.aspx?STONELIST=927030560&amp;ISCONFIRM=0" TargetMode="External"/><Relationship Id="rId6622" Type="http://schemas.openxmlformats.org/officeDocument/2006/relationships/hyperlink" Target="https://pld.live/RapDetail.aspx?STONELIST=941140794&amp;ISCONFIRM=0" TargetMode="External"/><Relationship Id="rId1767" Type="http://schemas.openxmlformats.org/officeDocument/2006/relationships/hyperlink" Target="https://pld.live/RapDetail.aspx?STONELIST=941190760&amp;ISCONFIRM=0" TargetMode="External"/><Relationship Id="rId1974" Type="http://schemas.openxmlformats.org/officeDocument/2006/relationships/hyperlink" Target="https://pld.live/RapDetail.aspx?STONELIST=926320835&amp;ISCONFIRM=0" TargetMode="External"/><Relationship Id="rId2818" Type="http://schemas.openxmlformats.org/officeDocument/2006/relationships/hyperlink" Target="https://pld.live/RapDetail.aspx?STONELIST=925890663&amp;ISCONFIRM=0" TargetMode="External"/><Relationship Id="rId4173" Type="http://schemas.openxmlformats.org/officeDocument/2006/relationships/hyperlink" Target="https://pld.live/RapDetail.aspx?STONELIST=925510049&amp;ISCONFIRM=0" TargetMode="External"/><Relationship Id="rId4380" Type="http://schemas.openxmlformats.org/officeDocument/2006/relationships/hyperlink" Target="https://pld.live/RapDetail.aspx?STONELIST=926291464&amp;ISCONFIRM=0" TargetMode="External"/><Relationship Id="rId5224" Type="http://schemas.openxmlformats.org/officeDocument/2006/relationships/hyperlink" Target="https://pld.live/RapDetail.aspx?STONELIST=925370481&amp;ISCONFIRM=0" TargetMode="External"/><Relationship Id="rId5431" Type="http://schemas.openxmlformats.org/officeDocument/2006/relationships/hyperlink" Target="https://pld.live/RapDetail.aspx?STONELIST=941320822&amp;ISCONFIRM=0" TargetMode="External"/><Relationship Id="rId59" Type="http://schemas.openxmlformats.org/officeDocument/2006/relationships/hyperlink" Target="https://pld.live/RapDetail.aspx?STONELIST=926860081&amp;ISCONFIRM=0" TargetMode="External"/><Relationship Id="rId1627" Type="http://schemas.openxmlformats.org/officeDocument/2006/relationships/hyperlink" Target="https://pld.live/RapDetail.aspx?STONELIST=926221271&amp;ISCONFIRM=0" TargetMode="External"/><Relationship Id="rId1834" Type="http://schemas.openxmlformats.org/officeDocument/2006/relationships/hyperlink" Target="https://pld.live/RapDetail.aspx?STONELIST=926101532&amp;ISCONFIRM=0" TargetMode="External"/><Relationship Id="rId4033" Type="http://schemas.openxmlformats.org/officeDocument/2006/relationships/hyperlink" Target="https://pld.live/RapDetail.aspx?STONELIST=925732086&amp;ISCONFIRM=0" TargetMode="External"/><Relationship Id="rId4240" Type="http://schemas.openxmlformats.org/officeDocument/2006/relationships/hyperlink" Target="https://pld.live/RapDetail.aspx?STONELIST=925720517&amp;ISCONFIRM=0" TargetMode="External"/><Relationship Id="rId7189" Type="http://schemas.openxmlformats.org/officeDocument/2006/relationships/hyperlink" Target="https://pld.live/RapDetail.aspx?STONELIST=926030047&amp;ISCONFIRM=0" TargetMode="External"/><Relationship Id="rId7396" Type="http://schemas.openxmlformats.org/officeDocument/2006/relationships/hyperlink" Target="https://pld.live/RapDetail.aspx?STONELIST=924300710&amp;ISCONFIRM=0" TargetMode="External"/><Relationship Id="rId3799" Type="http://schemas.openxmlformats.org/officeDocument/2006/relationships/hyperlink" Target="https://pld.live/RapDetail.aspx?STONELIST=941100146&amp;ISCONFIRM=0" TargetMode="External"/><Relationship Id="rId4100" Type="http://schemas.openxmlformats.org/officeDocument/2006/relationships/hyperlink" Target="https://pld.live/RapDetail.aspx?STONELIST=925542738&amp;ISCONFIRM=0" TargetMode="External"/><Relationship Id="rId7049" Type="http://schemas.openxmlformats.org/officeDocument/2006/relationships/hyperlink" Target="https://pld.live/RapDetail.aspx?STONELIST=926420307&amp;ISCONFIRM=0" TargetMode="External"/><Relationship Id="rId7256" Type="http://schemas.openxmlformats.org/officeDocument/2006/relationships/hyperlink" Target="https://pld.live/RapDetail.aspx?STONELIST=941180120&amp;ISCONFIRM=0" TargetMode="External"/><Relationship Id="rId7463" Type="http://schemas.openxmlformats.org/officeDocument/2006/relationships/hyperlink" Target="https://pld.live/RapDetail.aspx?STONELIST=925771243&amp;ISCONFIRM=0" TargetMode="External"/><Relationship Id="rId7670" Type="http://schemas.openxmlformats.org/officeDocument/2006/relationships/hyperlink" Target="https://pld.live/RapDetail.aspx?STONELIST=941170054&amp;ISCONFIRM=0" TargetMode="External"/><Relationship Id="rId1901" Type="http://schemas.openxmlformats.org/officeDocument/2006/relationships/hyperlink" Target="https://pld.live/RapDetail.aspx?STONELIST=926321164&amp;ISCONFIRM=0" TargetMode="External"/><Relationship Id="rId3659" Type="http://schemas.openxmlformats.org/officeDocument/2006/relationships/hyperlink" Target="https://pld.live/RapDetail.aspx?STONELIST=925660226&amp;ISCONFIRM=0" TargetMode="External"/><Relationship Id="rId6065" Type="http://schemas.openxmlformats.org/officeDocument/2006/relationships/hyperlink" Target="https://pld.live/RapDetail.aspx?STONELIST=925260334&amp;ISCONFIRM=0" TargetMode="External"/><Relationship Id="rId6272" Type="http://schemas.openxmlformats.org/officeDocument/2006/relationships/hyperlink" Target="https://pld.live/RapDetail.aspx?STONELIST=924950042&amp;ISCONFIRM=0" TargetMode="External"/><Relationship Id="rId7116" Type="http://schemas.openxmlformats.org/officeDocument/2006/relationships/hyperlink" Target="https://pld.live/RapDetail.aspx?STONELIST=941110588&amp;ISCONFIRM=0" TargetMode="External"/><Relationship Id="rId7323" Type="http://schemas.openxmlformats.org/officeDocument/2006/relationships/hyperlink" Target="https://pld.live/RapDetail.aspx?STONELIST=927132496&amp;ISCONFIRM=0" TargetMode="External"/><Relationship Id="rId3866" Type="http://schemas.openxmlformats.org/officeDocument/2006/relationships/hyperlink" Target="https://pld.live/RapDetail.aspx?STONELIST=925861863&amp;ISCONFIRM=0" TargetMode="External"/><Relationship Id="rId4917" Type="http://schemas.openxmlformats.org/officeDocument/2006/relationships/hyperlink" Target="https://pld.live/RapDetail.aspx?STONELIST=926020420&amp;ISCONFIRM=0" TargetMode="External"/><Relationship Id="rId5081" Type="http://schemas.openxmlformats.org/officeDocument/2006/relationships/hyperlink" Target="https://pld.live/RapDetail.aspx?STONELIST=926100880&amp;ISCONFIRM=0" TargetMode="External"/><Relationship Id="rId6132" Type="http://schemas.openxmlformats.org/officeDocument/2006/relationships/hyperlink" Target="https://pld.live/RapDetail.aspx?STONELIST=941220301&amp;ISCONFIRM=0" TargetMode="External"/><Relationship Id="rId7530" Type="http://schemas.openxmlformats.org/officeDocument/2006/relationships/hyperlink" Target="https://pld.live/RapDetail.aspx?STONELIST=925732115&amp;ISCONFIRM=0" TargetMode="External"/><Relationship Id="rId787" Type="http://schemas.openxmlformats.org/officeDocument/2006/relationships/hyperlink" Target="https://pld.live/RapDetail.aspx?STONELIST=925951086&amp;ISCONFIRM=0" TargetMode="External"/><Relationship Id="rId994" Type="http://schemas.openxmlformats.org/officeDocument/2006/relationships/hyperlink" Target="https://pld.live/RapDetail.aspx?STONELIST=927100571&amp;ISCONFIRM=0" TargetMode="External"/><Relationship Id="rId2468" Type="http://schemas.openxmlformats.org/officeDocument/2006/relationships/hyperlink" Target="https://pld.live/RapDetail.aspx?STONELIST=926301173&amp;ISCONFIRM=0" TargetMode="External"/><Relationship Id="rId2675" Type="http://schemas.openxmlformats.org/officeDocument/2006/relationships/hyperlink" Target="https://pld.live/RapDetail.aspx?STONELIST=926261622&amp;ISCONFIRM=0" TargetMode="External"/><Relationship Id="rId2882" Type="http://schemas.openxmlformats.org/officeDocument/2006/relationships/hyperlink" Target="https://pld.live/RapDetail.aspx?STONELIST=925862082&amp;ISCONFIRM=0" TargetMode="External"/><Relationship Id="rId3519" Type="http://schemas.openxmlformats.org/officeDocument/2006/relationships/hyperlink" Target="https://pld.live/RapDetail.aspx?STONELIST=924230619&amp;ISCONFIRM=0" TargetMode="External"/><Relationship Id="rId3726" Type="http://schemas.openxmlformats.org/officeDocument/2006/relationships/hyperlink" Target="https://pld.live/RapDetail.aspx?STONELIST=925060180&amp;ISCONFIRM=0" TargetMode="External"/><Relationship Id="rId3933" Type="http://schemas.openxmlformats.org/officeDocument/2006/relationships/hyperlink" Target="https://pld.live/RapDetail.aspx?STONELIST=925501710&amp;ISCONFIRM=0" TargetMode="External"/><Relationship Id="rId8097" Type="http://schemas.openxmlformats.org/officeDocument/2006/relationships/hyperlink" Target="https://pld.live/RapDetail.aspx?STONELIST=925621925&amp;ISCONFIRM=0" TargetMode="External"/><Relationship Id="rId647" Type="http://schemas.openxmlformats.org/officeDocument/2006/relationships/hyperlink" Target="https://pld.live/RapDetail.aspx?STONELIST=926071819&amp;ISCONFIRM=0" TargetMode="External"/><Relationship Id="rId854" Type="http://schemas.openxmlformats.org/officeDocument/2006/relationships/hyperlink" Target="https://pld.live/RapDetail.aspx?STONELIST=925961183&amp;ISCONFIRM=0" TargetMode="External"/><Relationship Id="rId1277" Type="http://schemas.openxmlformats.org/officeDocument/2006/relationships/hyperlink" Target="https://pld.live/RapDetail.aspx?STONELIST=927100682&amp;ISCONFIRM=0" TargetMode="External"/><Relationship Id="rId1484" Type="http://schemas.openxmlformats.org/officeDocument/2006/relationships/hyperlink" Target="https://pld.live/RapDetail.aspx?STONELIST=941140204&amp;ISCONFIRM=0" TargetMode="External"/><Relationship Id="rId1691" Type="http://schemas.openxmlformats.org/officeDocument/2006/relationships/hyperlink" Target="https://pld.live/RapDetail.aspx?STONELIST=926220696&amp;ISCONFIRM=0" TargetMode="External"/><Relationship Id="rId2328" Type="http://schemas.openxmlformats.org/officeDocument/2006/relationships/hyperlink" Target="https://pld.live/RapDetail.aspx?STONELIST=926301249&amp;ISCONFIRM=0" TargetMode="External"/><Relationship Id="rId2535" Type="http://schemas.openxmlformats.org/officeDocument/2006/relationships/hyperlink" Target="https://pld.live/RapDetail.aspx?STONELIST=926081560&amp;ISCONFIRM=0" TargetMode="External"/><Relationship Id="rId2742" Type="http://schemas.openxmlformats.org/officeDocument/2006/relationships/hyperlink" Target="https://pld.live/RapDetail.aspx?STONELIST=924950433&amp;ISCONFIRM=0" TargetMode="External"/><Relationship Id="rId5898" Type="http://schemas.openxmlformats.org/officeDocument/2006/relationships/hyperlink" Target="https://pld.live/RapDetail.aspx?STONELIST=925290602&amp;ISCONFIRM=0" TargetMode="External"/><Relationship Id="rId6949" Type="http://schemas.openxmlformats.org/officeDocument/2006/relationships/hyperlink" Target="https://pld.live/RapDetail.aspx?STONELIST=926170738&amp;ISCONFIRM=0" TargetMode="External"/><Relationship Id="rId507" Type="http://schemas.openxmlformats.org/officeDocument/2006/relationships/hyperlink" Target="https://pld.live/RapDetail.aspx?STONELIST=926020652&amp;ISCONFIRM=0" TargetMode="External"/><Relationship Id="rId714" Type="http://schemas.openxmlformats.org/officeDocument/2006/relationships/hyperlink" Target="https://pld.live/RapDetail.aspx?STONELIST=821127584&amp;ISCONFIRM=0" TargetMode="External"/><Relationship Id="rId921" Type="http://schemas.openxmlformats.org/officeDocument/2006/relationships/hyperlink" Target="https://pld.live/RapDetail.aspx?STONELIST=925861668&amp;ISCONFIRM=0" TargetMode="External"/><Relationship Id="rId1137" Type="http://schemas.openxmlformats.org/officeDocument/2006/relationships/hyperlink" Target="https://pld.live/RapDetail.aspx?STONELIST=941070628&amp;ISCONFIRM=0" TargetMode="External"/><Relationship Id="rId1344" Type="http://schemas.openxmlformats.org/officeDocument/2006/relationships/hyperlink" Target="https://pld.live/RapDetail.aspx?STONELIST=926111364&amp;ISCONFIRM=0" TargetMode="External"/><Relationship Id="rId1551" Type="http://schemas.openxmlformats.org/officeDocument/2006/relationships/hyperlink" Target="https://pld.live/RapDetail.aspx?STONELIST=821125869&amp;ISCONFIRM=0" TargetMode="External"/><Relationship Id="rId2602" Type="http://schemas.openxmlformats.org/officeDocument/2006/relationships/hyperlink" Target="https://pld.live/RapDetail.aspx?STONELIST=941230135&amp;ISCONFIRM=0" TargetMode="External"/><Relationship Id="rId5758" Type="http://schemas.openxmlformats.org/officeDocument/2006/relationships/hyperlink" Target="https://pld.live/RapDetail.aspx?STONELIST=941160567&amp;ISCONFIRM=0" TargetMode="External"/><Relationship Id="rId5965" Type="http://schemas.openxmlformats.org/officeDocument/2006/relationships/hyperlink" Target="https://pld.live/RapDetail.aspx?STONELIST=9413501278&amp;ISCONFIRM=0" TargetMode="External"/><Relationship Id="rId6809" Type="http://schemas.openxmlformats.org/officeDocument/2006/relationships/hyperlink" Target="https://pld.live/RapDetail.aspx?STONELIST=926050366&amp;ISCONFIRM=0" TargetMode="External"/><Relationship Id="rId8164" Type="http://schemas.openxmlformats.org/officeDocument/2006/relationships/hyperlink" Target="https://pld.live/RapDetail.aspx?STONELIST=924510226&amp;ISCONFIRM=0" TargetMode="External"/><Relationship Id="rId50" Type="http://schemas.openxmlformats.org/officeDocument/2006/relationships/hyperlink" Target="https://pld.live/RapDetail.aspx?STONELIST=925710129&amp;ISCONFIRM=0" TargetMode="External"/><Relationship Id="rId1204" Type="http://schemas.openxmlformats.org/officeDocument/2006/relationships/hyperlink" Target="https://pld.live/RapDetail.aspx?STONELIST=941190196&amp;ISCONFIRM=0" TargetMode="External"/><Relationship Id="rId1411" Type="http://schemas.openxmlformats.org/officeDocument/2006/relationships/hyperlink" Target="https://pld.live/RapDetail.aspx?STONELIST=927130727&amp;ISCONFIRM=0" TargetMode="External"/><Relationship Id="rId4567" Type="http://schemas.openxmlformats.org/officeDocument/2006/relationships/hyperlink" Target="https://pld.live/RapDetail.aspx?STONELIST=927052566&amp;ISCONFIRM=0" TargetMode="External"/><Relationship Id="rId4774" Type="http://schemas.openxmlformats.org/officeDocument/2006/relationships/hyperlink" Target="https://pld.live/RapDetail.aspx?STONELIST=941120108&amp;ISCONFIRM=0" TargetMode="External"/><Relationship Id="rId5618" Type="http://schemas.openxmlformats.org/officeDocument/2006/relationships/hyperlink" Target="https://pld.live/RapDetail.aspx?STONELIST=926690879&amp;ISCONFIRM=0" TargetMode="External"/><Relationship Id="rId5825" Type="http://schemas.openxmlformats.org/officeDocument/2006/relationships/hyperlink" Target="https://pld.live/RapDetail.aspx?STONELIST=926590054&amp;ISCONFIRM=0" TargetMode="External"/><Relationship Id="rId7180" Type="http://schemas.openxmlformats.org/officeDocument/2006/relationships/hyperlink" Target="https://pld.live/RapDetail.aspx?STONELIST=831020618&amp;ISCONFIRM=0" TargetMode="External"/><Relationship Id="rId8024" Type="http://schemas.openxmlformats.org/officeDocument/2006/relationships/hyperlink" Target="https://pld.live/RapDetail.aspx?STONELIST=925510210&amp;ISCONFIRM=0" TargetMode="External"/><Relationship Id="rId8231" Type="http://schemas.openxmlformats.org/officeDocument/2006/relationships/hyperlink" Target="https://pld.live/RapDetail.aspx?STONELIST=925180256&amp;ISCONFIRM=0" TargetMode="External"/><Relationship Id="rId3169" Type="http://schemas.openxmlformats.org/officeDocument/2006/relationships/hyperlink" Target="https://pld.live/RapDetail.aspx?STONELIST=925030401&amp;ISCONFIRM=0" TargetMode="External"/><Relationship Id="rId3376" Type="http://schemas.openxmlformats.org/officeDocument/2006/relationships/hyperlink" Target="https://pld.live/RapDetail.aspx?STONELIST=926041304&amp;ISCONFIRM=0" TargetMode="External"/><Relationship Id="rId3583" Type="http://schemas.openxmlformats.org/officeDocument/2006/relationships/hyperlink" Target="https://pld.live/RapDetail.aspx?STONELIST=927120126&amp;ISCONFIRM=0" TargetMode="External"/><Relationship Id="rId4427" Type="http://schemas.openxmlformats.org/officeDocument/2006/relationships/hyperlink" Target="https://pld.live/RapDetail.aspx?STONELIST=925080446&amp;ISCONFIRM=0" TargetMode="External"/><Relationship Id="rId4981" Type="http://schemas.openxmlformats.org/officeDocument/2006/relationships/hyperlink" Target="https://pld.live/RapDetail.aspx?STONELIST=925960018&amp;ISCONFIRM=0" TargetMode="External"/><Relationship Id="rId7040" Type="http://schemas.openxmlformats.org/officeDocument/2006/relationships/hyperlink" Target="https://pld.live/RapDetail.aspx?STONELIST=821113271&amp;ISCONFIRM=0" TargetMode="External"/><Relationship Id="rId297" Type="http://schemas.openxmlformats.org/officeDocument/2006/relationships/hyperlink" Target="https://pld.live/RapDetail.aspx?STONELIST=927010713&amp;ISCONFIRM=0" TargetMode="External"/><Relationship Id="rId2185" Type="http://schemas.openxmlformats.org/officeDocument/2006/relationships/hyperlink" Target="https://pld.live/RapDetail.aspx?STONELIST=926231021&amp;ISCONFIRM=0" TargetMode="External"/><Relationship Id="rId2392" Type="http://schemas.openxmlformats.org/officeDocument/2006/relationships/hyperlink" Target="https://pld.live/RapDetail.aspx?STONELIST=926391121&amp;ISCONFIRM=0" TargetMode="External"/><Relationship Id="rId3029" Type="http://schemas.openxmlformats.org/officeDocument/2006/relationships/hyperlink" Target="https://pld.live/RapDetail.aspx?STONELIST=925830728&amp;ISCONFIRM=0" TargetMode="External"/><Relationship Id="rId3236" Type="http://schemas.openxmlformats.org/officeDocument/2006/relationships/hyperlink" Target="https://pld.live/RapDetail.aspx?STONELIST=9414000602&amp;ISCONFIRM=0" TargetMode="External"/><Relationship Id="rId3790" Type="http://schemas.openxmlformats.org/officeDocument/2006/relationships/hyperlink" Target="https://pld.live/RapDetail.aspx?STONELIST=927080328&amp;ISCONFIRM=0" TargetMode="External"/><Relationship Id="rId4634" Type="http://schemas.openxmlformats.org/officeDocument/2006/relationships/hyperlink" Target="https://pld.live/RapDetail.aspx?STONELIST=941261073&amp;ISCONFIRM=0" TargetMode="External"/><Relationship Id="rId4841" Type="http://schemas.openxmlformats.org/officeDocument/2006/relationships/hyperlink" Target="https://pld.live/RapDetail.aspx?STONELIST=925540673&amp;ISCONFIRM=0" TargetMode="External"/><Relationship Id="rId6599" Type="http://schemas.openxmlformats.org/officeDocument/2006/relationships/hyperlink" Target="https://pld.live/RapDetail.aspx?STONELIST=925980012&amp;ISCONFIRM=0" TargetMode="External"/><Relationship Id="rId7997" Type="http://schemas.openxmlformats.org/officeDocument/2006/relationships/hyperlink" Target="https://pld.live/RapDetail.aspx?STONELIST=941380303&amp;ISCONFIRM=0" TargetMode="External"/><Relationship Id="rId157" Type="http://schemas.openxmlformats.org/officeDocument/2006/relationships/hyperlink" Target="https://pld.live/RapDetail.aspx?STONELIST=941130291&amp;ISCONFIRM=0" TargetMode="External"/><Relationship Id="rId364" Type="http://schemas.openxmlformats.org/officeDocument/2006/relationships/hyperlink" Target="https://pld.live/RapDetail.aspx?STONELIST=941421238&amp;ISCONFIRM=0" TargetMode="External"/><Relationship Id="rId2045" Type="http://schemas.openxmlformats.org/officeDocument/2006/relationships/hyperlink" Target="https://pld.live/RapDetail.aspx?STONELIST=926300408&amp;ISCONFIRM=0" TargetMode="External"/><Relationship Id="rId3443" Type="http://schemas.openxmlformats.org/officeDocument/2006/relationships/hyperlink" Target="https://pld.live/RapDetail.aspx?STONELIST=831010475&amp;ISCONFIRM=0" TargetMode="External"/><Relationship Id="rId3650" Type="http://schemas.openxmlformats.org/officeDocument/2006/relationships/hyperlink" Target="https://pld.live/RapDetail.aspx?STONELIST=925650064&amp;ISCONFIRM=0" TargetMode="External"/><Relationship Id="rId4701" Type="http://schemas.openxmlformats.org/officeDocument/2006/relationships/hyperlink" Target="https://pld.live/RapDetail.aspx?STONELIST=926450621&amp;ISCONFIRM=0" TargetMode="External"/><Relationship Id="rId7857" Type="http://schemas.openxmlformats.org/officeDocument/2006/relationships/hyperlink" Target="https://pld.live/RapDetail.aspx?STONELIST=926270771&amp;ISCONFIRM=0" TargetMode="External"/><Relationship Id="rId571" Type="http://schemas.openxmlformats.org/officeDocument/2006/relationships/hyperlink" Target="https://pld.live/RapDetail.aspx?STONELIST=941140499&amp;ISCONFIRM=0" TargetMode="External"/><Relationship Id="rId2252" Type="http://schemas.openxmlformats.org/officeDocument/2006/relationships/hyperlink" Target="https://pld.live/RapDetail.aspx?STONELIST=927110001&amp;ISCONFIRM=0" TargetMode="External"/><Relationship Id="rId3303" Type="http://schemas.openxmlformats.org/officeDocument/2006/relationships/hyperlink" Target="https://pld.live/RapDetail.aspx?STONELIST=924350222&amp;ISCONFIRM=0" TargetMode="External"/><Relationship Id="rId3510" Type="http://schemas.openxmlformats.org/officeDocument/2006/relationships/hyperlink" Target="https://pld.live/RapDetail.aspx?STONELIST=926211026&amp;ISCONFIRM=0" TargetMode="External"/><Relationship Id="rId6459" Type="http://schemas.openxmlformats.org/officeDocument/2006/relationships/hyperlink" Target="https://pld.live/RapDetail.aspx?STONELIST=927132501&amp;ISCONFIRM=0" TargetMode="External"/><Relationship Id="rId6666" Type="http://schemas.openxmlformats.org/officeDocument/2006/relationships/hyperlink" Target="https://pld.live/RapDetail.aspx?STONELIST=926780049&amp;ISCONFIRM=0" TargetMode="External"/><Relationship Id="rId6873" Type="http://schemas.openxmlformats.org/officeDocument/2006/relationships/hyperlink" Target="https://pld.live/RapDetail.aspx?STONELIST=926930781&amp;ISCONFIRM=0" TargetMode="External"/><Relationship Id="rId7717" Type="http://schemas.openxmlformats.org/officeDocument/2006/relationships/hyperlink" Target="https://pld.live/RapDetail.aspx?STONELIST=926820124&amp;ISCONFIRM=0" TargetMode="External"/><Relationship Id="rId7924" Type="http://schemas.openxmlformats.org/officeDocument/2006/relationships/hyperlink" Target="https://pld.live/RapDetail.aspx?STONELIST=941040511&amp;ISCONFIRM=0" TargetMode="External"/><Relationship Id="rId224" Type="http://schemas.openxmlformats.org/officeDocument/2006/relationships/hyperlink" Target="https://pld.live/RapDetail.aspx?STONELIST=941400482&amp;ISCONFIRM=0" TargetMode="External"/><Relationship Id="rId431" Type="http://schemas.openxmlformats.org/officeDocument/2006/relationships/hyperlink" Target="https://pld.live/RapDetail.aspx?STONELIST=925520903&amp;ISCONFIRM=0" TargetMode="External"/><Relationship Id="rId1061" Type="http://schemas.openxmlformats.org/officeDocument/2006/relationships/hyperlink" Target="https://pld.live/RapDetail.aspx?STONELIST=927092135&amp;ISCONFIRM=0" TargetMode="External"/><Relationship Id="rId2112" Type="http://schemas.openxmlformats.org/officeDocument/2006/relationships/hyperlink" Target="https://pld.live/RapDetail.aspx?STONELIST=926231219&amp;ISCONFIRM=0" TargetMode="External"/><Relationship Id="rId5268" Type="http://schemas.openxmlformats.org/officeDocument/2006/relationships/hyperlink" Target="https://pld.live/RapDetail.aspx?STONELIST=831020479&amp;ISCONFIRM=0" TargetMode="External"/><Relationship Id="rId5475" Type="http://schemas.openxmlformats.org/officeDocument/2006/relationships/hyperlink" Target="https://pld.live/RapDetail.aspx?STONELIST=831010172&amp;ISCONFIRM=0" TargetMode="External"/><Relationship Id="rId5682" Type="http://schemas.openxmlformats.org/officeDocument/2006/relationships/hyperlink" Target="https://pld.live/RapDetail.aspx?STONELIST=926280622&amp;ISCONFIRM=0" TargetMode="External"/><Relationship Id="rId6319" Type="http://schemas.openxmlformats.org/officeDocument/2006/relationships/hyperlink" Target="https://pld.live/RapDetail.aspx?STONELIST=927010722&amp;ISCONFIRM=0" TargetMode="External"/><Relationship Id="rId6526" Type="http://schemas.openxmlformats.org/officeDocument/2006/relationships/hyperlink" Target="https://pld.live/RapDetail.aspx?STONELIST=925370459&amp;ISCONFIRM=0" TargetMode="External"/><Relationship Id="rId6733" Type="http://schemas.openxmlformats.org/officeDocument/2006/relationships/hyperlink" Target="https://pld.live/RapDetail.aspx?STONELIST=927152895&amp;ISCONFIRM=0" TargetMode="External"/><Relationship Id="rId6940" Type="http://schemas.openxmlformats.org/officeDocument/2006/relationships/hyperlink" Target="https://pld.live/RapDetail.aspx?STONELIST=831010794&amp;ISCONFIRM=0" TargetMode="External"/><Relationship Id="rId1878" Type="http://schemas.openxmlformats.org/officeDocument/2006/relationships/hyperlink" Target="https://pld.live/RapDetail.aspx?STONELIST=925370223&amp;ISCONFIRM=0" TargetMode="External"/><Relationship Id="rId2929" Type="http://schemas.openxmlformats.org/officeDocument/2006/relationships/hyperlink" Target="https://pld.live/RapDetail.aspx?STONELIST=926110870&amp;ISCONFIRM=0" TargetMode="External"/><Relationship Id="rId4077" Type="http://schemas.openxmlformats.org/officeDocument/2006/relationships/hyperlink" Target="https://pld.live/RapDetail.aspx?STONELIST=926171092&amp;ISCONFIRM=0" TargetMode="External"/><Relationship Id="rId4284" Type="http://schemas.openxmlformats.org/officeDocument/2006/relationships/hyperlink" Target="https://pld.live/RapDetail.aspx?STONELIST=941220083&amp;ISCONFIRM=0" TargetMode="External"/><Relationship Id="rId4491" Type="http://schemas.openxmlformats.org/officeDocument/2006/relationships/hyperlink" Target="https://pld.live/RapDetail.aspx?STONELIST=927092608&amp;ISCONFIRM=0" TargetMode="External"/><Relationship Id="rId5128" Type="http://schemas.openxmlformats.org/officeDocument/2006/relationships/hyperlink" Target="https://pld.live/RapDetail.aspx?STONELIST=925731932&amp;ISCONFIRM=0" TargetMode="External"/><Relationship Id="rId5335" Type="http://schemas.openxmlformats.org/officeDocument/2006/relationships/hyperlink" Target="https://pld.live/RapDetail.aspx?STONELIST=831020365&amp;ISCONFIRM=0" TargetMode="External"/><Relationship Id="rId5542" Type="http://schemas.openxmlformats.org/officeDocument/2006/relationships/hyperlink" Target="https://pld.live/RapDetail.aspx?STONELIST=925040337&amp;ISCONFIRM=0" TargetMode="External"/><Relationship Id="rId1738" Type="http://schemas.openxmlformats.org/officeDocument/2006/relationships/hyperlink" Target="https://pld.live/RapDetail.aspx?STONELIST=941190255&amp;ISCONFIRM=0" TargetMode="External"/><Relationship Id="rId3093" Type="http://schemas.openxmlformats.org/officeDocument/2006/relationships/hyperlink" Target="https://pld.live/RapDetail.aspx?STONELIST=925830727&amp;ISCONFIRM=0" TargetMode="External"/><Relationship Id="rId4144" Type="http://schemas.openxmlformats.org/officeDocument/2006/relationships/hyperlink" Target="https://pld.live/RapDetail.aspx?STONELIST=925450148&amp;ISCONFIRM=0" TargetMode="External"/><Relationship Id="rId4351" Type="http://schemas.openxmlformats.org/officeDocument/2006/relationships/hyperlink" Target="https://pld.live/RapDetail.aspx?STONELIST=941160591&amp;ISCONFIRM=0" TargetMode="External"/><Relationship Id="rId5402" Type="http://schemas.openxmlformats.org/officeDocument/2006/relationships/hyperlink" Target="https://pld.live/RapDetail.aspx?STONELIST=926840757&amp;ISCONFIRM=0" TargetMode="External"/><Relationship Id="rId6800" Type="http://schemas.openxmlformats.org/officeDocument/2006/relationships/hyperlink" Target="https://pld.live/RapDetail.aspx?STONELIST=925880153&amp;ISCONFIRM=0" TargetMode="External"/><Relationship Id="rId1945" Type="http://schemas.openxmlformats.org/officeDocument/2006/relationships/hyperlink" Target="https://pld.live/RapDetail.aspx?STONELIST=926321137&amp;ISCONFIRM=0" TargetMode="External"/><Relationship Id="rId3160" Type="http://schemas.openxmlformats.org/officeDocument/2006/relationships/hyperlink" Target="https://pld.live/RapDetail.aspx?STONELIST=925830770&amp;ISCONFIRM=0" TargetMode="External"/><Relationship Id="rId4004" Type="http://schemas.openxmlformats.org/officeDocument/2006/relationships/hyperlink" Target="https://pld.live/RapDetail.aspx?STONELIST=925980942&amp;ISCONFIRM=0" TargetMode="External"/><Relationship Id="rId4211" Type="http://schemas.openxmlformats.org/officeDocument/2006/relationships/hyperlink" Target="https://pld.live/RapDetail.aspx?STONELIST=925621373&amp;ISCONFIRM=0" TargetMode="External"/><Relationship Id="rId7367" Type="http://schemas.openxmlformats.org/officeDocument/2006/relationships/hyperlink" Target="https://pld.live/RapDetail.aspx?STONELIST=941080855&amp;ISCONFIRM=0" TargetMode="External"/><Relationship Id="rId1805" Type="http://schemas.openxmlformats.org/officeDocument/2006/relationships/hyperlink" Target="https://pld.live/RapDetail.aspx?STONELIST=941400471&amp;ISCONFIRM=0" TargetMode="External"/><Relationship Id="rId3020" Type="http://schemas.openxmlformats.org/officeDocument/2006/relationships/hyperlink" Target="https://pld.live/RapDetail.aspx?STONELIST=925732192&amp;ISCONFIRM=0" TargetMode="External"/><Relationship Id="rId6176" Type="http://schemas.openxmlformats.org/officeDocument/2006/relationships/hyperlink" Target="https://pld.live/RapDetail.aspx?STONELIST=941200273&amp;ISCONFIRM=0" TargetMode="External"/><Relationship Id="rId7227" Type="http://schemas.openxmlformats.org/officeDocument/2006/relationships/hyperlink" Target="https://pld.live/RapDetail.aspx?STONELIST=821118012&amp;ISCONFIRM=0" TargetMode="External"/><Relationship Id="rId7574" Type="http://schemas.openxmlformats.org/officeDocument/2006/relationships/hyperlink" Target="https://pld.live/RapDetail.aspx?STONELIST=925732177&amp;ISCONFIRM=0" TargetMode="External"/><Relationship Id="rId7781" Type="http://schemas.openxmlformats.org/officeDocument/2006/relationships/hyperlink" Target="https://pld.live/RapDetail.aspx?STONELIST=941050464&amp;ISCONFIRM=0" TargetMode="External"/><Relationship Id="rId3977" Type="http://schemas.openxmlformats.org/officeDocument/2006/relationships/hyperlink" Target="https://pld.live/RapDetail.aspx?STONELIST=925540327&amp;ISCONFIRM=0" TargetMode="External"/><Relationship Id="rId6036" Type="http://schemas.openxmlformats.org/officeDocument/2006/relationships/hyperlink" Target="https://pld.live/RapDetail.aspx?STONELIST=941261131&amp;ISCONFIRM=0" TargetMode="External"/><Relationship Id="rId6383" Type="http://schemas.openxmlformats.org/officeDocument/2006/relationships/hyperlink" Target="https://pld.live/RapDetail.aspx?STONELIST=941060530&amp;ISCONFIRM=0" TargetMode="External"/><Relationship Id="rId6590" Type="http://schemas.openxmlformats.org/officeDocument/2006/relationships/hyperlink" Target="https://pld.live/RapDetail.aspx?STONELIST=926210972&amp;ISCONFIRM=0" TargetMode="External"/><Relationship Id="rId7434" Type="http://schemas.openxmlformats.org/officeDocument/2006/relationships/hyperlink" Target="https://pld.live/RapDetail.aspx?STONELIST=923720330&amp;ISCONFIRM=0" TargetMode="External"/><Relationship Id="rId7641" Type="http://schemas.openxmlformats.org/officeDocument/2006/relationships/hyperlink" Target="https://pld.live/RapDetail.aspx?STONELIST=926250479&amp;ISCONFIRM=0" TargetMode="External"/><Relationship Id="rId898" Type="http://schemas.openxmlformats.org/officeDocument/2006/relationships/hyperlink" Target="https://pld.live/RapDetail.aspx?STONELIST=926071894&amp;ISCONFIRM=0" TargetMode="External"/><Relationship Id="rId2579" Type="http://schemas.openxmlformats.org/officeDocument/2006/relationships/hyperlink" Target="https://pld.live/RapDetail.aspx?STONELIST=926231358&amp;ISCONFIRM=0" TargetMode="External"/><Relationship Id="rId2786" Type="http://schemas.openxmlformats.org/officeDocument/2006/relationships/hyperlink" Target="https://pld.live/RapDetail.aspx?STONELIST=925920085&amp;ISCONFIRM=0" TargetMode="External"/><Relationship Id="rId2993" Type="http://schemas.openxmlformats.org/officeDocument/2006/relationships/hyperlink" Target="https://pld.live/RapDetail.aspx?STONELIST=821128405&amp;ISCONFIRM=0" TargetMode="External"/><Relationship Id="rId3837" Type="http://schemas.openxmlformats.org/officeDocument/2006/relationships/hyperlink" Target="https://pld.live/RapDetail.aspx?STONELIST=927080714&amp;ISCONFIRM=0" TargetMode="External"/><Relationship Id="rId5192" Type="http://schemas.openxmlformats.org/officeDocument/2006/relationships/hyperlink" Target="https://pld.live/RapDetail.aspx?STONELIST=925621654&amp;ISCONFIRM=0" TargetMode="External"/><Relationship Id="rId6243" Type="http://schemas.openxmlformats.org/officeDocument/2006/relationships/hyperlink" Target="https://pld.live/RapDetail.aspx?STONELIST=821133306&amp;ISCONFIRM=0" TargetMode="External"/><Relationship Id="rId6450" Type="http://schemas.openxmlformats.org/officeDocument/2006/relationships/hyperlink" Target="https://pld.live/RapDetail.aspx?STONELIST=941090692&amp;ISCONFIRM=0" TargetMode="External"/><Relationship Id="rId7501" Type="http://schemas.openxmlformats.org/officeDocument/2006/relationships/hyperlink" Target="https://pld.live/RapDetail.aspx?STONELIST=925801738&amp;ISCONFIRM=0" TargetMode="External"/><Relationship Id="rId758" Type="http://schemas.openxmlformats.org/officeDocument/2006/relationships/hyperlink" Target="https://pld.live/RapDetail.aspx?STONELIST=925830694&amp;ISCONFIRM=0" TargetMode="External"/><Relationship Id="rId965" Type="http://schemas.openxmlformats.org/officeDocument/2006/relationships/hyperlink" Target="https://pld.live/RapDetail.aspx?STONELIST=941450146&amp;ISCONFIRM=0" TargetMode="External"/><Relationship Id="rId1388" Type="http://schemas.openxmlformats.org/officeDocument/2006/relationships/hyperlink" Target="https://pld.live/RapDetail.aspx?STONELIST=926250544&amp;ISCONFIRM=0" TargetMode="External"/><Relationship Id="rId1595" Type="http://schemas.openxmlformats.org/officeDocument/2006/relationships/hyperlink" Target="https://pld.live/RapDetail.aspx?STONELIST=926941099&amp;ISCONFIRM=0" TargetMode="External"/><Relationship Id="rId2439" Type="http://schemas.openxmlformats.org/officeDocument/2006/relationships/hyperlink" Target="https://pld.live/RapDetail.aspx?STONELIST=941250170&amp;ISCONFIRM=0" TargetMode="External"/><Relationship Id="rId2646" Type="http://schemas.openxmlformats.org/officeDocument/2006/relationships/hyperlink" Target="https://pld.live/RapDetail.aspx?STONELIST=925210038&amp;ISCONFIRM=0" TargetMode="External"/><Relationship Id="rId2853" Type="http://schemas.openxmlformats.org/officeDocument/2006/relationships/hyperlink" Target="https://pld.live/RapDetail.aspx?STONELIST=925860792&amp;ISCONFIRM=0" TargetMode="External"/><Relationship Id="rId3904" Type="http://schemas.openxmlformats.org/officeDocument/2006/relationships/hyperlink" Target="https://pld.live/RapDetail.aspx?STONELIST=925552023&amp;ISCONFIRM=0" TargetMode="External"/><Relationship Id="rId5052" Type="http://schemas.openxmlformats.org/officeDocument/2006/relationships/hyperlink" Target="https://pld.live/RapDetail.aspx?STONELIST=925520508&amp;ISCONFIRM=0" TargetMode="External"/><Relationship Id="rId6103" Type="http://schemas.openxmlformats.org/officeDocument/2006/relationships/hyperlink" Target="https://pld.live/RapDetail.aspx?STONELIST=941220282&amp;ISCONFIRM=0" TargetMode="External"/><Relationship Id="rId6310" Type="http://schemas.openxmlformats.org/officeDocument/2006/relationships/hyperlink" Target="https://pld.live/RapDetail.aspx?STONELIST=924830129&amp;ISCONFIRM=0" TargetMode="External"/><Relationship Id="rId94" Type="http://schemas.openxmlformats.org/officeDocument/2006/relationships/hyperlink" Target="https://pld.live/RapDetail.aspx?STONELIST=926010167&amp;ISCONFIRM=0" TargetMode="External"/><Relationship Id="rId618" Type="http://schemas.openxmlformats.org/officeDocument/2006/relationships/hyperlink" Target="https://pld.live/RapDetail.aspx?STONELIST=924600164&amp;ISCONFIRM=0" TargetMode="External"/><Relationship Id="rId825" Type="http://schemas.openxmlformats.org/officeDocument/2006/relationships/hyperlink" Target="https://pld.live/RapDetail.aspx?STONELIST=925981156&amp;ISCONFIRM=0" TargetMode="External"/><Relationship Id="rId1248" Type="http://schemas.openxmlformats.org/officeDocument/2006/relationships/hyperlink" Target="https://pld.live/RapDetail.aspx?STONELIST=831010760&amp;ISCONFIRM=0" TargetMode="External"/><Relationship Id="rId1455" Type="http://schemas.openxmlformats.org/officeDocument/2006/relationships/hyperlink" Target="https://pld.live/RapDetail.aspx?STONELIST=926250595&amp;ISCONFIRM=0" TargetMode="External"/><Relationship Id="rId1662" Type="http://schemas.openxmlformats.org/officeDocument/2006/relationships/hyperlink" Target="https://pld.live/RapDetail.aspx?STONELIST=925870424&amp;ISCONFIRM=0" TargetMode="External"/><Relationship Id="rId2506" Type="http://schemas.openxmlformats.org/officeDocument/2006/relationships/hyperlink" Target="https://pld.live/RapDetail.aspx?STONELIST=941330222&amp;ISCONFIRM=0" TargetMode="External"/><Relationship Id="rId5869" Type="http://schemas.openxmlformats.org/officeDocument/2006/relationships/hyperlink" Target="https://pld.live/RapDetail.aspx?STONELIST=925801986&amp;ISCONFIRM=0" TargetMode="External"/><Relationship Id="rId8068" Type="http://schemas.openxmlformats.org/officeDocument/2006/relationships/hyperlink" Target="https://pld.live/RapDetail.aspx?STONELIST=926170630&amp;ISCONFIRM=0" TargetMode="External"/><Relationship Id="rId1108" Type="http://schemas.openxmlformats.org/officeDocument/2006/relationships/hyperlink" Target="https://pld.live/RapDetail.aspx?STONELIST=941070949&amp;ISCONFIRM=0" TargetMode="External"/><Relationship Id="rId1315" Type="http://schemas.openxmlformats.org/officeDocument/2006/relationships/hyperlink" Target="https://pld.live/RapDetail.aspx?STONELIST=941020685&amp;ISCONFIRM=0" TargetMode="External"/><Relationship Id="rId2713" Type="http://schemas.openxmlformats.org/officeDocument/2006/relationships/hyperlink" Target="https://pld.live/RapDetail.aspx?STONELIST=926450622&amp;ISCONFIRM=0" TargetMode="External"/><Relationship Id="rId2920" Type="http://schemas.openxmlformats.org/officeDocument/2006/relationships/hyperlink" Target="https://pld.live/RapDetail.aspx?STONELIST=925830751&amp;ISCONFIRM=0" TargetMode="External"/><Relationship Id="rId4678" Type="http://schemas.openxmlformats.org/officeDocument/2006/relationships/hyperlink" Target="https://pld.live/RapDetail.aspx?STONELIST=924500072&amp;ISCONFIRM=0" TargetMode="External"/><Relationship Id="rId7084" Type="http://schemas.openxmlformats.org/officeDocument/2006/relationships/hyperlink" Target="https://pld.live/RapDetail.aspx?STONELIST=927052341&amp;ISCONFIRM=0" TargetMode="External"/><Relationship Id="rId7291" Type="http://schemas.openxmlformats.org/officeDocument/2006/relationships/hyperlink" Target="https://pld.live/RapDetail.aspx?STONELIST=924410801&amp;ISCONFIRM=0" TargetMode="External"/><Relationship Id="rId8135" Type="http://schemas.openxmlformats.org/officeDocument/2006/relationships/hyperlink" Target="https://pld.live/RapDetail.aspx?STONELIST=926110394&amp;ISCONFIRM=0" TargetMode="External"/><Relationship Id="rId1522" Type="http://schemas.openxmlformats.org/officeDocument/2006/relationships/hyperlink" Target="https://pld.live/RapDetail.aspx?STONELIST=926331602&amp;ISCONFIRM=0" TargetMode="External"/><Relationship Id="rId4885" Type="http://schemas.openxmlformats.org/officeDocument/2006/relationships/hyperlink" Target="https://pld.live/RapDetail.aspx?STONELIST=926020701&amp;ISCONFIRM=0" TargetMode="External"/><Relationship Id="rId5729" Type="http://schemas.openxmlformats.org/officeDocument/2006/relationships/hyperlink" Target="https://pld.live/RapDetail.aspx?STONELIST=941261045&amp;ISCONFIRM=0" TargetMode="External"/><Relationship Id="rId5936" Type="http://schemas.openxmlformats.org/officeDocument/2006/relationships/hyperlink" Target="https://pld.live/RapDetail.aspx?STONELIST=926101701&amp;ISCONFIRM=0" TargetMode="External"/><Relationship Id="rId7151" Type="http://schemas.openxmlformats.org/officeDocument/2006/relationships/hyperlink" Target="https://pld.live/RapDetail.aspx?STONELIST=926410443&amp;ISCONFIRM=0" TargetMode="External"/><Relationship Id="rId8202" Type="http://schemas.openxmlformats.org/officeDocument/2006/relationships/hyperlink" Target="https://pld.live/RapDetail.aspx?STONELIST=924590291&amp;ISCONFIRM=0" TargetMode="External"/><Relationship Id="rId21" Type="http://schemas.openxmlformats.org/officeDocument/2006/relationships/hyperlink" Target="https://pld.live/RapDetail.aspx?STONELIST=926410456&amp;ISCONFIRM=0" TargetMode="External"/><Relationship Id="rId2089" Type="http://schemas.openxmlformats.org/officeDocument/2006/relationships/hyperlink" Target="https://pld.live/RapDetail.aspx?STONELIST=941080563&amp;ISCONFIRM=0" TargetMode="External"/><Relationship Id="rId3487" Type="http://schemas.openxmlformats.org/officeDocument/2006/relationships/hyperlink" Target="https://pld.live/RapDetail.aspx?STONELIST=924390414&amp;ISCONFIRM=0" TargetMode="External"/><Relationship Id="rId3694" Type="http://schemas.openxmlformats.org/officeDocument/2006/relationships/hyperlink" Target="https://pld.live/RapDetail.aspx?STONELIST=941060528&amp;ISCONFIRM=0" TargetMode="External"/><Relationship Id="rId4538" Type="http://schemas.openxmlformats.org/officeDocument/2006/relationships/hyperlink" Target="https://pld.live/RapDetail.aspx?STONELIST=941250669&amp;ISCONFIRM=0" TargetMode="External"/><Relationship Id="rId4745" Type="http://schemas.openxmlformats.org/officeDocument/2006/relationships/hyperlink" Target="https://pld.live/RapDetail.aspx?STONELIST=924210078&amp;ISCONFIRM=0" TargetMode="External"/><Relationship Id="rId4952" Type="http://schemas.openxmlformats.org/officeDocument/2006/relationships/hyperlink" Target="https://pld.live/RapDetail.aspx?STONELIST=831010158&amp;ISCONFIRM=0" TargetMode="External"/><Relationship Id="rId2296" Type="http://schemas.openxmlformats.org/officeDocument/2006/relationships/hyperlink" Target="https://pld.live/RapDetail.aspx?STONELIST=926240810&amp;ISCONFIRM=0" TargetMode="External"/><Relationship Id="rId3347" Type="http://schemas.openxmlformats.org/officeDocument/2006/relationships/hyperlink" Target="https://pld.live/RapDetail.aspx?STONELIST=925981260&amp;ISCONFIRM=0" TargetMode="External"/><Relationship Id="rId3554" Type="http://schemas.openxmlformats.org/officeDocument/2006/relationships/hyperlink" Target="https://pld.live/RapDetail.aspx?STONELIST=925330019&amp;ISCONFIRM=0" TargetMode="External"/><Relationship Id="rId3761" Type="http://schemas.openxmlformats.org/officeDocument/2006/relationships/hyperlink" Target="https://pld.live/RapDetail.aspx?STONELIST=831020661&amp;ISCONFIRM=0" TargetMode="External"/><Relationship Id="rId4605" Type="http://schemas.openxmlformats.org/officeDocument/2006/relationships/hyperlink" Target="https://pld.live/RapDetail.aspx?STONELIST=927092492&amp;ISCONFIRM=0" TargetMode="External"/><Relationship Id="rId4812" Type="http://schemas.openxmlformats.org/officeDocument/2006/relationships/hyperlink" Target="https://pld.live/RapDetail.aspx?STONELIST=925721002&amp;ISCONFIRM=0" TargetMode="External"/><Relationship Id="rId7011" Type="http://schemas.openxmlformats.org/officeDocument/2006/relationships/hyperlink" Target="https://pld.live/RapDetail.aspx?STONELIST=821113826&amp;ISCONFIRM=0" TargetMode="External"/><Relationship Id="rId7968" Type="http://schemas.openxmlformats.org/officeDocument/2006/relationships/hyperlink" Target="https://pld.live/RapDetail.aspx?STONELIST=926870881&amp;ISCONFIRM=0" TargetMode="External"/><Relationship Id="rId268" Type="http://schemas.openxmlformats.org/officeDocument/2006/relationships/hyperlink" Target="https://pld.live/RapDetail.aspx?STONELIST=925070046&amp;ISCONFIRM=0" TargetMode="External"/><Relationship Id="rId475" Type="http://schemas.openxmlformats.org/officeDocument/2006/relationships/hyperlink" Target="https://pld.live/RapDetail.aspx?STONELIST=926201101&amp;ISCONFIRM=0" TargetMode="External"/><Relationship Id="rId682" Type="http://schemas.openxmlformats.org/officeDocument/2006/relationships/hyperlink" Target="https://pld.live/RapDetail.aspx?STONELIST=926101533&amp;ISCONFIRM=0" TargetMode="External"/><Relationship Id="rId2156" Type="http://schemas.openxmlformats.org/officeDocument/2006/relationships/hyperlink" Target="https://pld.live/RapDetail.aspx?STONELIST=925360010&amp;ISCONFIRM=0" TargetMode="External"/><Relationship Id="rId2363" Type="http://schemas.openxmlformats.org/officeDocument/2006/relationships/hyperlink" Target="https://pld.live/RapDetail.aspx?STONELIST=926320948&amp;ISCONFIRM=0" TargetMode="External"/><Relationship Id="rId2570" Type="http://schemas.openxmlformats.org/officeDocument/2006/relationships/hyperlink" Target="https://pld.live/RapDetail.aspx?STONELIST=926081447&amp;ISCONFIRM=0" TargetMode="External"/><Relationship Id="rId3207" Type="http://schemas.openxmlformats.org/officeDocument/2006/relationships/hyperlink" Target="https://pld.live/RapDetail.aspx?STONELIST=926220564&amp;ISCONFIRM=0" TargetMode="External"/><Relationship Id="rId3414" Type="http://schemas.openxmlformats.org/officeDocument/2006/relationships/hyperlink" Target="https://pld.live/RapDetail.aspx?STONELIST=926171504&amp;ISCONFIRM=0" TargetMode="External"/><Relationship Id="rId3621" Type="http://schemas.openxmlformats.org/officeDocument/2006/relationships/hyperlink" Target="https://pld.live/RapDetail.aspx?STONELIST=924930242&amp;ISCONFIRM=0" TargetMode="External"/><Relationship Id="rId6777" Type="http://schemas.openxmlformats.org/officeDocument/2006/relationships/hyperlink" Target="https://pld.live/RapDetail.aspx?STONELIST=831020216&amp;ISCONFIRM=0" TargetMode="External"/><Relationship Id="rId6984" Type="http://schemas.openxmlformats.org/officeDocument/2006/relationships/hyperlink" Target="https://pld.live/RapDetail.aspx?STONELIST=925621963&amp;ISCONFIRM=0" TargetMode="External"/><Relationship Id="rId7828" Type="http://schemas.openxmlformats.org/officeDocument/2006/relationships/hyperlink" Target="https://pld.live/RapDetail.aspx?STONELIST=926972136&amp;ISCONFIRM=0" TargetMode="External"/><Relationship Id="rId128" Type="http://schemas.openxmlformats.org/officeDocument/2006/relationships/hyperlink" Target="https://pld.live/RapDetail.aspx?STONELIST=923720170&amp;ISCONFIRM=0" TargetMode="External"/><Relationship Id="rId335" Type="http://schemas.openxmlformats.org/officeDocument/2006/relationships/hyperlink" Target="https://pld.live/RapDetail.aspx?STONELIST=941380307&amp;ISCONFIRM=0" TargetMode="External"/><Relationship Id="rId542" Type="http://schemas.openxmlformats.org/officeDocument/2006/relationships/hyperlink" Target="https://pld.live/RapDetail.aspx?STONELIST=926201173&amp;ISCONFIRM=0" TargetMode="External"/><Relationship Id="rId1172" Type="http://schemas.openxmlformats.org/officeDocument/2006/relationships/hyperlink" Target="https://pld.live/RapDetail.aspx?STONELIST=941190268&amp;ISCONFIRM=0" TargetMode="External"/><Relationship Id="rId2016" Type="http://schemas.openxmlformats.org/officeDocument/2006/relationships/hyperlink" Target="https://pld.live/RapDetail.aspx?STONELIST=941270656&amp;ISCONFIRM=0" TargetMode="External"/><Relationship Id="rId2223" Type="http://schemas.openxmlformats.org/officeDocument/2006/relationships/hyperlink" Target="https://pld.live/RapDetail.aspx?STONELIST=926231032&amp;ISCONFIRM=0" TargetMode="External"/><Relationship Id="rId2430" Type="http://schemas.openxmlformats.org/officeDocument/2006/relationships/hyperlink" Target="https://pld.live/RapDetail.aspx?STONELIST=926080482&amp;ISCONFIRM=0" TargetMode="External"/><Relationship Id="rId5379" Type="http://schemas.openxmlformats.org/officeDocument/2006/relationships/hyperlink" Target="https://pld.live/RapDetail.aspx?STONELIST=941190072&amp;ISCONFIRM=0" TargetMode="External"/><Relationship Id="rId5586" Type="http://schemas.openxmlformats.org/officeDocument/2006/relationships/hyperlink" Target="https://pld.live/RapDetail.aspx?STONELIST=924780327&amp;ISCONFIRM=0" TargetMode="External"/><Relationship Id="rId5793" Type="http://schemas.openxmlformats.org/officeDocument/2006/relationships/hyperlink" Target="https://pld.live/RapDetail.aspx?STONELIST=924460736&amp;ISCONFIRM=0" TargetMode="External"/><Relationship Id="rId6637" Type="http://schemas.openxmlformats.org/officeDocument/2006/relationships/hyperlink" Target="https://pld.live/RapDetail.aspx?STONELIST=941140789&amp;ISCONFIRM=0" TargetMode="External"/><Relationship Id="rId6844" Type="http://schemas.openxmlformats.org/officeDocument/2006/relationships/hyperlink" Target="https://pld.live/RapDetail.aspx?STONELIST=926160065&amp;ISCONFIRM=0" TargetMode="External"/><Relationship Id="rId402" Type="http://schemas.openxmlformats.org/officeDocument/2006/relationships/hyperlink" Target="https://pld.live/RapDetail.aspx?STONELIST=941340073&amp;ISCONFIRM=0" TargetMode="External"/><Relationship Id="rId1032" Type="http://schemas.openxmlformats.org/officeDocument/2006/relationships/hyperlink" Target="https://pld.live/RapDetail.aspx?STONELIST=941350414&amp;ISCONFIRM=0" TargetMode="External"/><Relationship Id="rId4188" Type="http://schemas.openxmlformats.org/officeDocument/2006/relationships/hyperlink" Target="https://pld.live/RapDetail.aspx?STONELIST=925862072&amp;ISCONFIRM=0" TargetMode="External"/><Relationship Id="rId4395" Type="http://schemas.openxmlformats.org/officeDocument/2006/relationships/hyperlink" Target="https://pld.live/RapDetail.aspx?STONELIST=927092212&amp;ISCONFIRM=0" TargetMode="External"/><Relationship Id="rId5239" Type="http://schemas.openxmlformats.org/officeDocument/2006/relationships/hyperlink" Target="https://pld.live/RapDetail.aspx?STONELIST=925890668&amp;ISCONFIRM=0" TargetMode="External"/><Relationship Id="rId5446" Type="http://schemas.openxmlformats.org/officeDocument/2006/relationships/hyperlink" Target="https://pld.live/RapDetail.aspx?STONELIST=927101083&amp;ISCONFIRM=0" TargetMode="External"/><Relationship Id="rId1989" Type="http://schemas.openxmlformats.org/officeDocument/2006/relationships/hyperlink" Target="https://pld.live/RapDetail.aspx?STONELIST=925780699&amp;ISCONFIRM=0" TargetMode="External"/><Relationship Id="rId4048" Type="http://schemas.openxmlformats.org/officeDocument/2006/relationships/hyperlink" Target="https://pld.live/RapDetail.aspx?STONELIST=925802072&amp;ISCONFIRM=0" TargetMode="External"/><Relationship Id="rId4255" Type="http://schemas.openxmlformats.org/officeDocument/2006/relationships/hyperlink" Target="https://pld.live/RapDetail.aspx?STONELIST=821126869&amp;ISCONFIRM=0" TargetMode="External"/><Relationship Id="rId5306" Type="http://schemas.openxmlformats.org/officeDocument/2006/relationships/hyperlink" Target="https://pld.live/RapDetail.aspx?STONELIST=926750729&amp;ISCONFIRM=0" TargetMode="External"/><Relationship Id="rId5653" Type="http://schemas.openxmlformats.org/officeDocument/2006/relationships/hyperlink" Target="https://pld.live/RapDetail.aspx?STONELIST=941261074&amp;ISCONFIRM=0" TargetMode="External"/><Relationship Id="rId5860" Type="http://schemas.openxmlformats.org/officeDocument/2006/relationships/hyperlink" Target="https://pld.live/RapDetail.aspx?STONELIST=924610452&amp;ISCONFIRM=0" TargetMode="External"/><Relationship Id="rId6704" Type="http://schemas.openxmlformats.org/officeDocument/2006/relationships/hyperlink" Target="https://pld.live/RapDetail.aspx?STONELIST=941160576&amp;ISCONFIRM=0" TargetMode="External"/><Relationship Id="rId6911" Type="http://schemas.openxmlformats.org/officeDocument/2006/relationships/hyperlink" Target="https://pld.live/RapDetail.aspx?STONELIST=831010827&amp;ISCONFIRM=0" TargetMode="External"/><Relationship Id="rId1849" Type="http://schemas.openxmlformats.org/officeDocument/2006/relationships/hyperlink" Target="https://pld.live/RapDetail.aspx?STONELIST=924400447&amp;ISCONFIRM=0" TargetMode="External"/><Relationship Id="rId3064" Type="http://schemas.openxmlformats.org/officeDocument/2006/relationships/hyperlink" Target="https://pld.live/RapDetail.aspx?STONELIST=925900588&amp;ISCONFIRM=0" TargetMode="External"/><Relationship Id="rId4462" Type="http://schemas.openxmlformats.org/officeDocument/2006/relationships/hyperlink" Target="https://pld.live/RapDetail.aspx?STONELIST=925280515&amp;ISCONFIRM=0" TargetMode="External"/><Relationship Id="rId5513" Type="http://schemas.openxmlformats.org/officeDocument/2006/relationships/hyperlink" Target="https://pld.live/RapDetail.aspx?STONELIST=926311101&amp;ISCONFIRM=0" TargetMode="External"/><Relationship Id="rId5720" Type="http://schemas.openxmlformats.org/officeDocument/2006/relationships/hyperlink" Target="https://pld.live/RapDetail.aspx?STONELIST=926220269&amp;ISCONFIRM=0" TargetMode="External"/><Relationship Id="rId192" Type="http://schemas.openxmlformats.org/officeDocument/2006/relationships/hyperlink" Target="https://pld.live/RapDetail.aspx?STONELIST=831020622&amp;ISCONFIRM=0" TargetMode="External"/><Relationship Id="rId1709" Type="http://schemas.openxmlformats.org/officeDocument/2006/relationships/hyperlink" Target="https://pld.live/RapDetail.aspx?STONELIST=941190773&amp;ISCONFIRM=0" TargetMode="External"/><Relationship Id="rId1916" Type="http://schemas.openxmlformats.org/officeDocument/2006/relationships/hyperlink" Target="https://pld.live/RapDetail.aspx?STONELIST=924560372&amp;ISCONFIRM=0" TargetMode="External"/><Relationship Id="rId3271" Type="http://schemas.openxmlformats.org/officeDocument/2006/relationships/hyperlink" Target="https://pld.live/RapDetail.aspx?STONELIST=941270817&amp;ISCONFIRM=0" TargetMode="External"/><Relationship Id="rId4115" Type="http://schemas.openxmlformats.org/officeDocument/2006/relationships/hyperlink" Target="https://pld.live/RapDetail.aspx?STONELIST=925521961&amp;ISCONFIRM=0" TargetMode="External"/><Relationship Id="rId4322" Type="http://schemas.openxmlformats.org/officeDocument/2006/relationships/hyperlink" Target="https://pld.live/RapDetail.aspx?STONELIST=925110310&amp;ISCONFIRM=0" TargetMode="External"/><Relationship Id="rId7478" Type="http://schemas.openxmlformats.org/officeDocument/2006/relationships/hyperlink" Target="https://pld.live/RapDetail.aspx?STONELIST=925771283&amp;ISCONFIRM=0" TargetMode="External"/><Relationship Id="rId7685" Type="http://schemas.openxmlformats.org/officeDocument/2006/relationships/hyperlink" Target="https://pld.live/RapDetail.aspx?STONELIST=941270805&amp;ISCONFIRM=0" TargetMode="External"/><Relationship Id="rId7892" Type="http://schemas.openxmlformats.org/officeDocument/2006/relationships/hyperlink" Target="https://pld.live/RapDetail.aspx?STONELIST=926900777&amp;ISCONFIRM=0" TargetMode="External"/><Relationship Id="rId2080" Type="http://schemas.openxmlformats.org/officeDocument/2006/relationships/hyperlink" Target="https://pld.live/RapDetail.aspx?STONELIST=821127850&amp;ISCONFIRM=0" TargetMode="External"/><Relationship Id="rId3131" Type="http://schemas.openxmlformats.org/officeDocument/2006/relationships/hyperlink" Target="https://pld.live/RapDetail.aspx?STONELIST=926210857&amp;ISCONFIRM=0" TargetMode="External"/><Relationship Id="rId6287" Type="http://schemas.openxmlformats.org/officeDocument/2006/relationships/hyperlink" Target="https://pld.live/RapDetail.aspx?STONELIST=925850924&amp;ISCONFIRM=0" TargetMode="External"/><Relationship Id="rId6494" Type="http://schemas.openxmlformats.org/officeDocument/2006/relationships/hyperlink" Target="https://pld.live/RapDetail.aspx?STONELIST=941071334&amp;ISCONFIRM=0" TargetMode="External"/><Relationship Id="rId7338" Type="http://schemas.openxmlformats.org/officeDocument/2006/relationships/hyperlink" Target="https://pld.live/RapDetail.aspx?STONELIST=927020724&amp;ISCONFIRM=0" TargetMode="External"/><Relationship Id="rId7545" Type="http://schemas.openxmlformats.org/officeDocument/2006/relationships/hyperlink" Target="https://pld.live/RapDetail.aspx?STONELIST=831010479&amp;ISCONFIRM=0" TargetMode="External"/><Relationship Id="rId7752" Type="http://schemas.openxmlformats.org/officeDocument/2006/relationships/hyperlink" Target="https://pld.live/RapDetail.aspx?STONELIST=926470188&amp;ISCONFIRM=0" TargetMode="External"/><Relationship Id="rId2897" Type="http://schemas.openxmlformats.org/officeDocument/2006/relationships/hyperlink" Target="https://pld.live/RapDetail.aspx?STONELIST=831010785&amp;ISCONFIRM=0" TargetMode="External"/><Relationship Id="rId3948" Type="http://schemas.openxmlformats.org/officeDocument/2006/relationships/hyperlink" Target="https://pld.live/RapDetail.aspx?STONELIST=821124317&amp;ISCONFIRM=0" TargetMode="External"/><Relationship Id="rId5096" Type="http://schemas.openxmlformats.org/officeDocument/2006/relationships/hyperlink" Target="https://pld.live/RapDetail.aspx?STONELIST=926740380&amp;ISCONFIRM=0" TargetMode="External"/><Relationship Id="rId6147" Type="http://schemas.openxmlformats.org/officeDocument/2006/relationships/hyperlink" Target="https://pld.live/RapDetail.aspx?STONELIST=925570105&amp;ISCONFIRM=0" TargetMode="External"/><Relationship Id="rId6354" Type="http://schemas.openxmlformats.org/officeDocument/2006/relationships/hyperlink" Target="https://pld.live/RapDetail.aspx?STONELIST=927020717&amp;ISCONFIRM=0" TargetMode="External"/><Relationship Id="rId6561" Type="http://schemas.openxmlformats.org/officeDocument/2006/relationships/hyperlink" Target="https://pld.live/RapDetail.aspx?STONELIST=927052467&amp;ISCONFIRM=0" TargetMode="External"/><Relationship Id="rId7405" Type="http://schemas.openxmlformats.org/officeDocument/2006/relationships/hyperlink" Target="https://pld.live/RapDetail.aspx?STONELIST=831020313&amp;ISCONFIRM=0" TargetMode="External"/><Relationship Id="rId7612" Type="http://schemas.openxmlformats.org/officeDocument/2006/relationships/hyperlink" Target="https://pld.live/RapDetail.aspx?STONELIST=924880298&amp;ISCONFIRM=0" TargetMode="External"/><Relationship Id="rId869" Type="http://schemas.openxmlformats.org/officeDocument/2006/relationships/hyperlink" Target="https://pld.live/RapDetail.aspx?STONELIST=925981203&amp;ISCONFIRM=0" TargetMode="External"/><Relationship Id="rId1499" Type="http://schemas.openxmlformats.org/officeDocument/2006/relationships/hyperlink" Target="https://pld.live/RapDetail.aspx?STONELIST=926280740&amp;ISCONFIRM=0" TargetMode="External"/><Relationship Id="rId5163" Type="http://schemas.openxmlformats.org/officeDocument/2006/relationships/hyperlink" Target="https://pld.live/RapDetail.aspx?STONELIST=925730637&amp;ISCONFIRM=0" TargetMode="External"/><Relationship Id="rId5370" Type="http://schemas.openxmlformats.org/officeDocument/2006/relationships/hyperlink" Target="https://pld.live/RapDetail.aspx?STONELIST=926110694&amp;ISCONFIRM=0" TargetMode="External"/><Relationship Id="rId6007" Type="http://schemas.openxmlformats.org/officeDocument/2006/relationships/hyperlink" Target="https://pld.live/RapDetail.aspx?STONELIST=926111158&amp;ISCONFIRM=0" TargetMode="External"/><Relationship Id="rId6214" Type="http://schemas.openxmlformats.org/officeDocument/2006/relationships/hyperlink" Target="https://pld.live/RapDetail.aspx?STONELIST=926010234&amp;ISCONFIRM=0" TargetMode="External"/><Relationship Id="rId6421" Type="http://schemas.openxmlformats.org/officeDocument/2006/relationships/hyperlink" Target="https://pld.live/RapDetail.aspx?STONELIST=941090682&amp;ISCONFIRM=0" TargetMode="External"/><Relationship Id="rId729" Type="http://schemas.openxmlformats.org/officeDocument/2006/relationships/hyperlink" Target="https://pld.live/RapDetail.aspx?STONELIST=926101066&amp;ISCONFIRM=0" TargetMode="External"/><Relationship Id="rId1359" Type="http://schemas.openxmlformats.org/officeDocument/2006/relationships/hyperlink" Target="https://pld.live/RapDetail.aspx?STONELIST=926221327&amp;ISCONFIRM=0" TargetMode="External"/><Relationship Id="rId2757" Type="http://schemas.openxmlformats.org/officeDocument/2006/relationships/hyperlink" Target="https://pld.live/RapDetail.aspx?STONELIST=925610472&amp;ISCONFIRM=0" TargetMode="External"/><Relationship Id="rId2964" Type="http://schemas.openxmlformats.org/officeDocument/2006/relationships/hyperlink" Target="https://pld.live/RapDetail.aspx?STONELIST=925760708&amp;ISCONFIRM=0" TargetMode="External"/><Relationship Id="rId3808" Type="http://schemas.openxmlformats.org/officeDocument/2006/relationships/hyperlink" Target="https://pld.live/RapDetail.aspx?STONELIST=941421260&amp;ISCONFIRM=0" TargetMode="External"/><Relationship Id="rId5023" Type="http://schemas.openxmlformats.org/officeDocument/2006/relationships/hyperlink" Target="https://pld.live/RapDetail.aspx?STONELIST=924830168&amp;ISCONFIRM=0" TargetMode="External"/><Relationship Id="rId5230" Type="http://schemas.openxmlformats.org/officeDocument/2006/relationships/hyperlink" Target="https://pld.live/RapDetail.aspx?STONELIST=926200762&amp;ISCONFIRM=0" TargetMode="External"/><Relationship Id="rId8179" Type="http://schemas.openxmlformats.org/officeDocument/2006/relationships/hyperlink" Target="https://pld.live/RapDetail.aspx?STONELIST=924420067&amp;ISCONFIRM=0" TargetMode="External"/><Relationship Id="rId936" Type="http://schemas.openxmlformats.org/officeDocument/2006/relationships/hyperlink" Target="https://pld.live/RapDetail.aspx?STONELIST=821127543&amp;ISCONFIRM=0" TargetMode="External"/><Relationship Id="rId1219" Type="http://schemas.openxmlformats.org/officeDocument/2006/relationships/hyperlink" Target="https://pld.live/RapDetail.aspx?STONELIST=926111363&amp;ISCONFIRM=0" TargetMode="External"/><Relationship Id="rId1566" Type="http://schemas.openxmlformats.org/officeDocument/2006/relationships/hyperlink" Target="https://pld.live/RapDetail.aspx?STONELIST=926670562&amp;ISCONFIRM=0" TargetMode="External"/><Relationship Id="rId1773" Type="http://schemas.openxmlformats.org/officeDocument/2006/relationships/hyperlink" Target="https://pld.live/RapDetail.aspx?STONELIST=926320631&amp;ISCONFIRM=0" TargetMode="External"/><Relationship Id="rId1980" Type="http://schemas.openxmlformats.org/officeDocument/2006/relationships/hyperlink" Target="https://pld.live/RapDetail.aspx?STONELIST=941180052&amp;ISCONFIRM=0" TargetMode="External"/><Relationship Id="rId2617" Type="http://schemas.openxmlformats.org/officeDocument/2006/relationships/hyperlink" Target="https://pld.live/RapDetail.aspx?STONELIST=926240773&amp;ISCONFIRM=0" TargetMode="External"/><Relationship Id="rId2824" Type="http://schemas.openxmlformats.org/officeDocument/2006/relationships/hyperlink" Target="https://pld.live/RapDetail.aspx?STONELIST=925552046&amp;ISCONFIRM=0" TargetMode="External"/><Relationship Id="rId7195" Type="http://schemas.openxmlformats.org/officeDocument/2006/relationships/hyperlink" Target="https://pld.live/RapDetail.aspx?STONELIST=9413900606&amp;ISCONFIRM=0" TargetMode="External"/><Relationship Id="rId8039" Type="http://schemas.openxmlformats.org/officeDocument/2006/relationships/hyperlink" Target="https://pld.live/RapDetail.aspx?STONELIST=923520463&amp;ISCONFIRM=0" TargetMode="External"/><Relationship Id="rId8246" Type="http://schemas.openxmlformats.org/officeDocument/2006/relationships/hyperlink" Target="https://pld.live/RapDetail.aspx?STONELIST=925961356&amp;ISCONFIRM=0" TargetMode="External"/><Relationship Id="rId65" Type="http://schemas.openxmlformats.org/officeDocument/2006/relationships/hyperlink" Target="https://pld.live/RapDetail.aspx?STONELIST=941390446&amp;ISCONFIRM=0" TargetMode="External"/><Relationship Id="rId1426" Type="http://schemas.openxmlformats.org/officeDocument/2006/relationships/hyperlink" Target="https://pld.live/RapDetail.aspx?STONELIST=926221397&amp;ISCONFIRM=0" TargetMode="External"/><Relationship Id="rId1633" Type="http://schemas.openxmlformats.org/officeDocument/2006/relationships/hyperlink" Target="https://pld.live/RapDetail.aspx?STONELIST=821125912&amp;ISCONFIRM=0" TargetMode="External"/><Relationship Id="rId1840" Type="http://schemas.openxmlformats.org/officeDocument/2006/relationships/hyperlink" Target="https://pld.live/RapDetail.aspx?STONELIST=925220049&amp;ISCONFIRM=0" TargetMode="External"/><Relationship Id="rId4789" Type="http://schemas.openxmlformats.org/officeDocument/2006/relationships/hyperlink" Target="https://pld.live/RapDetail.aspx?STONELIST=821115767&amp;ISCONFIRM=0" TargetMode="External"/><Relationship Id="rId4996" Type="http://schemas.openxmlformats.org/officeDocument/2006/relationships/hyperlink" Target="https://pld.live/RapDetail.aspx?STONELIST=925621763&amp;ISCONFIRM=0" TargetMode="External"/><Relationship Id="rId1700" Type="http://schemas.openxmlformats.org/officeDocument/2006/relationships/hyperlink" Target="https://pld.live/RapDetail.aspx?STONELIST=925910332&amp;ISCONFIRM=0" TargetMode="External"/><Relationship Id="rId3598" Type="http://schemas.openxmlformats.org/officeDocument/2006/relationships/hyperlink" Target="https://pld.live/RapDetail.aspx?STONELIST=925710145&amp;ISCONFIRM=0" TargetMode="External"/><Relationship Id="rId4649" Type="http://schemas.openxmlformats.org/officeDocument/2006/relationships/hyperlink" Target="https://pld.live/RapDetail.aspx?STONELIST=926630727&amp;ISCONFIRM=0" TargetMode="External"/><Relationship Id="rId4856" Type="http://schemas.openxmlformats.org/officeDocument/2006/relationships/hyperlink" Target="https://pld.live/RapDetail.aspx?STONELIST=927070605&amp;ISCONFIRM=0" TargetMode="External"/><Relationship Id="rId5907" Type="http://schemas.openxmlformats.org/officeDocument/2006/relationships/hyperlink" Target="https://pld.live/RapDetail.aspx?STONELIST=925981198&amp;ISCONFIRM=0" TargetMode="External"/><Relationship Id="rId7055" Type="http://schemas.openxmlformats.org/officeDocument/2006/relationships/hyperlink" Target="https://pld.live/RapDetail.aspx?STONELIST=927130899&amp;ISCONFIRM=0" TargetMode="External"/><Relationship Id="rId7262" Type="http://schemas.openxmlformats.org/officeDocument/2006/relationships/hyperlink" Target="https://pld.live/RapDetail.aspx?STONELIST=927030744&amp;ISCONFIRM=0" TargetMode="External"/><Relationship Id="rId8106" Type="http://schemas.openxmlformats.org/officeDocument/2006/relationships/hyperlink" Target="https://pld.live/RapDetail.aspx?STONELIST=925721754&amp;ISCONFIRM=0" TargetMode="External"/><Relationship Id="rId3458" Type="http://schemas.openxmlformats.org/officeDocument/2006/relationships/hyperlink" Target="https://pld.live/RapDetail.aspx?STONELIST=925160030&amp;ISCONFIRM=0" TargetMode="External"/><Relationship Id="rId3665" Type="http://schemas.openxmlformats.org/officeDocument/2006/relationships/hyperlink" Target="https://pld.live/RapDetail.aspx?STONELIST=925630364&amp;ISCONFIRM=0" TargetMode="External"/><Relationship Id="rId3872" Type="http://schemas.openxmlformats.org/officeDocument/2006/relationships/hyperlink" Target="https://pld.live/RapDetail.aspx?STONELIST=821124331&amp;ISCONFIRM=0" TargetMode="External"/><Relationship Id="rId4509" Type="http://schemas.openxmlformats.org/officeDocument/2006/relationships/hyperlink" Target="https://pld.live/RapDetail.aspx?STONELIST=927052671&amp;ISCONFIRM=0" TargetMode="External"/><Relationship Id="rId4716" Type="http://schemas.openxmlformats.org/officeDocument/2006/relationships/hyperlink" Target="https://pld.live/RapDetail.aspx?STONELIST=831020716&amp;ISCONFIRM=0" TargetMode="External"/><Relationship Id="rId6071" Type="http://schemas.openxmlformats.org/officeDocument/2006/relationships/hyperlink" Target="https://pld.live/RapDetail.aspx?STONELIST=926820146&amp;ISCONFIRM=0" TargetMode="External"/><Relationship Id="rId7122" Type="http://schemas.openxmlformats.org/officeDocument/2006/relationships/hyperlink" Target="https://pld.live/RapDetail.aspx?STONELIST=941170662&amp;ISCONFIRM=0" TargetMode="External"/><Relationship Id="rId379" Type="http://schemas.openxmlformats.org/officeDocument/2006/relationships/hyperlink" Target="https://pld.live/RapDetail.aspx?STONELIST=941150099&amp;ISCONFIRM=0" TargetMode="External"/><Relationship Id="rId586" Type="http://schemas.openxmlformats.org/officeDocument/2006/relationships/hyperlink" Target="https://pld.live/RapDetail.aspx?STONELIST=925721649&amp;ISCONFIRM=0" TargetMode="External"/><Relationship Id="rId793" Type="http://schemas.openxmlformats.org/officeDocument/2006/relationships/hyperlink" Target="https://pld.live/RapDetail.aspx?STONELIST=821127573&amp;ISCONFIRM=0" TargetMode="External"/><Relationship Id="rId2267" Type="http://schemas.openxmlformats.org/officeDocument/2006/relationships/hyperlink" Target="https://pld.live/RapDetail.aspx?STONELIST=926240741&amp;ISCONFIRM=0" TargetMode="External"/><Relationship Id="rId2474" Type="http://schemas.openxmlformats.org/officeDocument/2006/relationships/hyperlink" Target="https://pld.live/RapDetail.aspx?STONELIST=926240712&amp;ISCONFIRM=0" TargetMode="External"/><Relationship Id="rId2681" Type="http://schemas.openxmlformats.org/officeDocument/2006/relationships/hyperlink" Target="https://pld.live/RapDetail.aspx?STONELIST=926341172&amp;ISCONFIRM=0" TargetMode="External"/><Relationship Id="rId3318" Type="http://schemas.openxmlformats.org/officeDocument/2006/relationships/hyperlink" Target="https://pld.live/RapDetail.aspx?STONELIST=831020659&amp;ISCONFIRM=0" TargetMode="External"/><Relationship Id="rId3525" Type="http://schemas.openxmlformats.org/officeDocument/2006/relationships/hyperlink" Target="https://pld.live/RapDetail.aspx?STONELIST=926210772&amp;ISCONFIRM=0" TargetMode="External"/><Relationship Id="rId4923" Type="http://schemas.openxmlformats.org/officeDocument/2006/relationships/hyperlink" Target="https://pld.live/RapDetail.aspx?STONELIST=925920979&amp;ISCONFIRM=0" TargetMode="External"/><Relationship Id="rId6888" Type="http://schemas.openxmlformats.org/officeDocument/2006/relationships/hyperlink" Target="https://pld.live/RapDetail.aspx?STONELIST=925722021&amp;ISCONFIRM=0" TargetMode="External"/><Relationship Id="rId239" Type="http://schemas.openxmlformats.org/officeDocument/2006/relationships/hyperlink" Target="https://pld.live/RapDetail.aspx?STONELIST=924350018&amp;ISCONFIRM=0" TargetMode="External"/><Relationship Id="rId446" Type="http://schemas.openxmlformats.org/officeDocument/2006/relationships/hyperlink" Target="https://pld.live/RapDetail.aspx?STONELIST=925560077&amp;ISCONFIRM=0" TargetMode="External"/><Relationship Id="rId653" Type="http://schemas.openxmlformats.org/officeDocument/2006/relationships/hyperlink" Target="https://pld.live/RapDetail.aspx?STONELIST=926101379&amp;ISCONFIRM=0" TargetMode="External"/><Relationship Id="rId1076" Type="http://schemas.openxmlformats.org/officeDocument/2006/relationships/hyperlink" Target="https://pld.live/RapDetail.aspx?STONELIST=926741071&amp;ISCONFIRM=0" TargetMode="External"/><Relationship Id="rId1283" Type="http://schemas.openxmlformats.org/officeDocument/2006/relationships/hyperlink" Target="https://pld.live/RapDetail.aspx?STONELIST=926211175&amp;ISCONFIRM=0" TargetMode="External"/><Relationship Id="rId1490" Type="http://schemas.openxmlformats.org/officeDocument/2006/relationships/hyperlink" Target="https://pld.live/RapDetail.aspx?STONELIST=926221214&amp;ISCONFIRM=0" TargetMode="External"/><Relationship Id="rId2127" Type="http://schemas.openxmlformats.org/officeDocument/2006/relationships/hyperlink" Target="https://pld.live/RapDetail.aspx?STONELIST=821127848&amp;ISCONFIRM=0" TargetMode="External"/><Relationship Id="rId2334" Type="http://schemas.openxmlformats.org/officeDocument/2006/relationships/hyperlink" Target="https://pld.live/RapDetail.aspx?STONELIST=941300106&amp;ISCONFIRM=0" TargetMode="External"/><Relationship Id="rId3732" Type="http://schemas.openxmlformats.org/officeDocument/2006/relationships/hyperlink" Target="https://pld.live/RapDetail.aspx?STONELIST=941430756&amp;ISCONFIRM=0" TargetMode="External"/><Relationship Id="rId7939" Type="http://schemas.openxmlformats.org/officeDocument/2006/relationships/hyperlink" Target="https://pld.live/RapDetail.aspx?STONELIST=941040129&amp;ISCONFIRM=0" TargetMode="External"/><Relationship Id="rId306" Type="http://schemas.openxmlformats.org/officeDocument/2006/relationships/hyperlink" Target="https://pld.live/RapDetail.aspx?STONELIST=941400429&amp;ISCONFIRM=0" TargetMode="External"/><Relationship Id="rId860" Type="http://schemas.openxmlformats.org/officeDocument/2006/relationships/hyperlink" Target="https://pld.live/RapDetail.aspx?STONELIST=925851240&amp;ISCONFIRM=0" TargetMode="External"/><Relationship Id="rId1143" Type="http://schemas.openxmlformats.org/officeDocument/2006/relationships/hyperlink" Target="https://pld.live/RapDetail.aspx?STONELIST=926831130&amp;ISCONFIRM=0" TargetMode="External"/><Relationship Id="rId2541" Type="http://schemas.openxmlformats.org/officeDocument/2006/relationships/hyperlink" Target="https://pld.live/RapDetail.aspx?STONELIST=925910370&amp;ISCONFIRM=0" TargetMode="External"/><Relationship Id="rId4299" Type="http://schemas.openxmlformats.org/officeDocument/2006/relationships/hyperlink" Target="https://pld.live/RapDetail.aspx?STONELIST=926291268&amp;ISCONFIRM=0" TargetMode="External"/><Relationship Id="rId5697" Type="http://schemas.openxmlformats.org/officeDocument/2006/relationships/hyperlink" Target="https://pld.live/RapDetail.aspx?STONELIST=924900214&amp;ISCONFIRM=0" TargetMode="External"/><Relationship Id="rId6748" Type="http://schemas.openxmlformats.org/officeDocument/2006/relationships/hyperlink" Target="https://pld.live/RapDetail.aspx?STONELIST=926820108&amp;ISCONFIRM=0" TargetMode="External"/><Relationship Id="rId6955" Type="http://schemas.openxmlformats.org/officeDocument/2006/relationships/hyperlink" Target="https://pld.live/RapDetail.aspx?STONELIST=925521184&amp;ISCONFIRM=0" TargetMode="External"/><Relationship Id="rId8170" Type="http://schemas.openxmlformats.org/officeDocument/2006/relationships/hyperlink" Target="https://pld.live/RapDetail.aspx?STONELIST=924410816&amp;ISCONFIRM=0" TargetMode="External"/><Relationship Id="rId513" Type="http://schemas.openxmlformats.org/officeDocument/2006/relationships/hyperlink" Target="https://pld.live/RapDetail.aspx?STONELIST=926071923&amp;ISCONFIRM=0" TargetMode="External"/><Relationship Id="rId720" Type="http://schemas.openxmlformats.org/officeDocument/2006/relationships/hyperlink" Target="https://pld.live/RapDetail.aspx?STONELIST=821127561&amp;ISCONFIRM=0" TargetMode="External"/><Relationship Id="rId1350" Type="http://schemas.openxmlformats.org/officeDocument/2006/relationships/hyperlink" Target="https://pld.live/RapDetail.aspx?STONELIST=926221294&amp;ISCONFIRM=0" TargetMode="External"/><Relationship Id="rId2401" Type="http://schemas.openxmlformats.org/officeDocument/2006/relationships/hyperlink" Target="https://pld.live/RapDetail.aspx?STONELIST=926661091&amp;ISCONFIRM=0" TargetMode="External"/><Relationship Id="rId4159" Type="http://schemas.openxmlformats.org/officeDocument/2006/relationships/hyperlink" Target="https://pld.live/RapDetail.aspx?STONELIST=925861904&amp;ISCONFIRM=0" TargetMode="External"/><Relationship Id="rId5557" Type="http://schemas.openxmlformats.org/officeDocument/2006/relationships/hyperlink" Target="https://pld.live/RapDetail.aspx?STONELIST=924410843&amp;ISCONFIRM=0" TargetMode="External"/><Relationship Id="rId5764" Type="http://schemas.openxmlformats.org/officeDocument/2006/relationships/hyperlink" Target="https://pld.live/RapDetail.aspx?STONELIST=927130897&amp;ISCONFIRM=0" TargetMode="External"/><Relationship Id="rId5971" Type="http://schemas.openxmlformats.org/officeDocument/2006/relationships/hyperlink" Target="https://pld.live/RapDetail.aspx?STONELIST=927152965&amp;ISCONFIRM=0" TargetMode="External"/><Relationship Id="rId6608" Type="http://schemas.openxmlformats.org/officeDocument/2006/relationships/hyperlink" Target="https://pld.live/RapDetail.aspx?STONELIST=941130353&amp;ISCONFIRM=0" TargetMode="External"/><Relationship Id="rId6815" Type="http://schemas.openxmlformats.org/officeDocument/2006/relationships/hyperlink" Target="https://pld.live/RapDetail.aspx?STONELIST=926050401&amp;ISCONFIRM=0" TargetMode="External"/><Relationship Id="rId1003" Type="http://schemas.openxmlformats.org/officeDocument/2006/relationships/hyperlink" Target="https://pld.live/RapDetail.aspx?STONELIST=941071099&amp;ISCONFIRM=0" TargetMode="External"/><Relationship Id="rId1210" Type="http://schemas.openxmlformats.org/officeDocument/2006/relationships/hyperlink" Target="https://pld.live/RapDetail.aspx?STONELIST=941071094&amp;ISCONFIRM=0" TargetMode="External"/><Relationship Id="rId4366" Type="http://schemas.openxmlformats.org/officeDocument/2006/relationships/hyperlink" Target="https://pld.live/RapDetail.aspx?STONELIST=927092239&amp;ISCONFIRM=0" TargetMode="External"/><Relationship Id="rId4573" Type="http://schemas.openxmlformats.org/officeDocument/2006/relationships/hyperlink" Target="https://pld.live/RapDetail.aspx?STONELIST=941060526&amp;ISCONFIRM=0" TargetMode="External"/><Relationship Id="rId4780" Type="http://schemas.openxmlformats.org/officeDocument/2006/relationships/hyperlink" Target="https://pld.live/RapDetail.aspx?STONELIST=925700202&amp;ISCONFIRM=0" TargetMode="External"/><Relationship Id="rId5417" Type="http://schemas.openxmlformats.org/officeDocument/2006/relationships/hyperlink" Target="https://pld.live/RapDetail.aspx?STONELIST=924410792&amp;ISCONFIRM=0" TargetMode="External"/><Relationship Id="rId5624" Type="http://schemas.openxmlformats.org/officeDocument/2006/relationships/hyperlink" Target="https://pld.live/RapDetail.aspx?STONELIST=925030402&amp;ISCONFIRM=0" TargetMode="External"/><Relationship Id="rId5831" Type="http://schemas.openxmlformats.org/officeDocument/2006/relationships/hyperlink" Target="https://pld.live/RapDetail.aspx?STONELIST=926010283&amp;ISCONFIRM=0" TargetMode="External"/><Relationship Id="rId8030" Type="http://schemas.openxmlformats.org/officeDocument/2006/relationships/hyperlink" Target="https://pld.live/RapDetail.aspx?STONELIST=925750618&amp;ISCONFIRM=0" TargetMode="External"/><Relationship Id="rId3175" Type="http://schemas.openxmlformats.org/officeDocument/2006/relationships/hyperlink" Target="https://pld.live/RapDetail.aspx?STONELIST=925030207&amp;ISCONFIRM=0" TargetMode="External"/><Relationship Id="rId3382" Type="http://schemas.openxmlformats.org/officeDocument/2006/relationships/hyperlink" Target="https://pld.live/RapDetail.aspx?STONELIST=831020703&amp;ISCONFIRM=0" TargetMode="External"/><Relationship Id="rId4019" Type="http://schemas.openxmlformats.org/officeDocument/2006/relationships/hyperlink" Target="https://pld.live/RapDetail.aspx?STONELIST=926171298&amp;ISCONFIRM=0" TargetMode="External"/><Relationship Id="rId4226" Type="http://schemas.openxmlformats.org/officeDocument/2006/relationships/hyperlink" Target="https://pld.live/RapDetail.aspx?STONELIST=926291301&amp;ISCONFIRM=0" TargetMode="External"/><Relationship Id="rId4433" Type="http://schemas.openxmlformats.org/officeDocument/2006/relationships/hyperlink" Target="https://pld.live/RapDetail.aspx?STONELIST=924130112&amp;ISCONFIRM=0" TargetMode="External"/><Relationship Id="rId4640" Type="http://schemas.openxmlformats.org/officeDocument/2006/relationships/hyperlink" Target="https://pld.live/RapDetail.aspx?STONELIST=924960428&amp;ISCONFIRM=0" TargetMode="External"/><Relationship Id="rId7589" Type="http://schemas.openxmlformats.org/officeDocument/2006/relationships/hyperlink" Target="https://pld.live/RapDetail.aspx?STONELIST=925731412&amp;ISCONFIRM=0" TargetMode="External"/><Relationship Id="rId7796" Type="http://schemas.openxmlformats.org/officeDocument/2006/relationships/hyperlink" Target="https://pld.live/RapDetail.aspx?STONELIST=925551957&amp;ISCONFIRM=0" TargetMode="External"/><Relationship Id="rId2191" Type="http://schemas.openxmlformats.org/officeDocument/2006/relationships/hyperlink" Target="https://pld.live/RapDetail.aspx?STONELIST=926191156&amp;ISCONFIRM=0" TargetMode="External"/><Relationship Id="rId3035" Type="http://schemas.openxmlformats.org/officeDocument/2006/relationships/hyperlink" Target="https://pld.live/RapDetail.aspx?STONELIST=925760701&amp;ISCONFIRM=0" TargetMode="External"/><Relationship Id="rId3242" Type="http://schemas.openxmlformats.org/officeDocument/2006/relationships/hyperlink" Target="https://pld.live/RapDetail.aspx?STONELIST=941400591&amp;ISCONFIRM=0" TargetMode="External"/><Relationship Id="rId4500" Type="http://schemas.openxmlformats.org/officeDocument/2006/relationships/hyperlink" Target="https://pld.live/RapDetail.aspx?STONELIST=927092582&amp;ISCONFIRM=0" TargetMode="External"/><Relationship Id="rId6398" Type="http://schemas.openxmlformats.org/officeDocument/2006/relationships/hyperlink" Target="https://pld.live/RapDetail.aspx?STONELIST=925732067&amp;ISCONFIRM=0" TargetMode="External"/><Relationship Id="rId7449" Type="http://schemas.openxmlformats.org/officeDocument/2006/relationships/hyperlink" Target="https://pld.live/RapDetail.aspx?STONELIST=925801149&amp;ISCONFIRM=0" TargetMode="External"/><Relationship Id="rId7656" Type="http://schemas.openxmlformats.org/officeDocument/2006/relationships/hyperlink" Target="https://pld.live/RapDetail.aspx?STONELIST=941170342&amp;ISCONFIRM=0" TargetMode="External"/><Relationship Id="rId163" Type="http://schemas.openxmlformats.org/officeDocument/2006/relationships/hyperlink" Target="https://pld.live/RapDetail.aspx?STONELIST=925690171&amp;ISCONFIRM=0" TargetMode="External"/><Relationship Id="rId370" Type="http://schemas.openxmlformats.org/officeDocument/2006/relationships/hyperlink" Target="https://pld.live/RapDetail.aspx?STONELIST=926470161&amp;ISCONFIRM=0" TargetMode="External"/><Relationship Id="rId2051" Type="http://schemas.openxmlformats.org/officeDocument/2006/relationships/hyperlink" Target="https://pld.live/RapDetail.aspx?STONELIST=924040388&amp;ISCONFIRM=0" TargetMode="External"/><Relationship Id="rId3102" Type="http://schemas.openxmlformats.org/officeDocument/2006/relationships/hyperlink" Target="https://pld.live/RapDetail.aspx?STONELIST=821128392&amp;ISCONFIRM=0" TargetMode="External"/><Relationship Id="rId6258" Type="http://schemas.openxmlformats.org/officeDocument/2006/relationships/hyperlink" Target="https://pld.live/RapDetail.aspx?STONELIST=821133303&amp;ISCONFIRM=0" TargetMode="External"/><Relationship Id="rId6465" Type="http://schemas.openxmlformats.org/officeDocument/2006/relationships/hyperlink" Target="https://pld.live/RapDetail.aspx?STONELIST=926980648&amp;ISCONFIRM=0" TargetMode="External"/><Relationship Id="rId7309" Type="http://schemas.openxmlformats.org/officeDocument/2006/relationships/hyperlink" Target="https://pld.live/RapDetail.aspx?STONELIST=927140425&amp;ISCONFIRM=0" TargetMode="External"/><Relationship Id="rId7516" Type="http://schemas.openxmlformats.org/officeDocument/2006/relationships/hyperlink" Target="https://pld.live/RapDetail.aspx?STONELIST=925731809&amp;ISCONFIRM=0" TargetMode="External"/><Relationship Id="rId7863" Type="http://schemas.openxmlformats.org/officeDocument/2006/relationships/hyperlink" Target="https://pld.live/RapDetail.aspx?STONELIST=821126886&amp;ISCONFIRM=0" TargetMode="External"/><Relationship Id="rId230" Type="http://schemas.openxmlformats.org/officeDocument/2006/relationships/hyperlink" Target="https://pld.live/RapDetail.aspx?STONELIST=941400261&amp;ISCONFIRM=0" TargetMode="External"/><Relationship Id="rId5067" Type="http://schemas.openxmlformats.org/officeDocument/2006/relationships/hyperlink" Target="https://pld.live/RapDetail.aspx?STONELIST=922240070&amp;ISCONFIRM=0" TargetMode="External"/><Relationship Id="rId5274" Type="http://schemas.openxmlformats.org/officeDocument/2006/relationships/hyperlink" Target="https://pld.live/RapDetail.aspx?STONELIST=924290560&amp;ISCONFIRM=0" TargetMode="External"/><Relationship Id="rId6118" Type="http://schemas.openxmlformats.org/officeDocument/2006/relationships/hyperlink" Target="https://pld.live/RapDetail.aspx?STONELIST=926010080&amp;ISCONFIRM=0" TargetMode="External"/><Relationship Id="rId6325" Type="http://schemas.openxmlformats.org/officeDocument/2006/relationships/hyperlink" Target="https://pld.live/RapDetail.aspx?STONELIST=927040785&amp;ISCONFIRM=0" TargetMode="External"/><Relationship Id="rId6672" Type="http://schemas.openxmlformats.org/officeDocument/2006/relationships/hyperlink" Target="https://pld.live/RapDetail.aspx?STONELIST=926960862&amp;ISCONFIRM=0" TargetMode="External"/><Relationship Id="rId7723" Type="http://schemas.openxmlformats.org/officeDocument/2006/relationships/hyperlink" Target="https://pld.live/RapDetail.aspx?STONELIST=926470439&amp;ISCONFIRM=0" TargetMode="External"/><Relationship Id="rId7930" Type="http://schemas.openxmlformats.org/officeDocument/2006/relationships/hyperlink" Target="https://pld.live/RapDetail.aspx?STONELIST=926830884&amp;ISCONFIRM=0" TargetMode="External"/><Relationship Id="rId2868" Type="http://schemas.openxmlformats.org/officeDocument/2006/relationships/hyperlink" Target="https://pld.live/RapDetail.aspx?STONELIST=925861636&amp;ISCONFIRM=0" TargetMode="External"/><Relationship Id="rId3919" Type="http://schemas.openxmlformats.org/officeDocument/2006/relationships/hyperlink" Target="https://pld.live/RapDetail.aspx?STONELIST=925120034&amp;ISCONFIRM=0" TargetMode="External"/><Relationship Id="rId4083" Type="http://schemas.openxmlformats.org/officeDocument/2006/relationships/hyperlink" Target="https://pld.live/RapDetail.aspx?STONELIST=924610427&amp;ISCONFIRM=0" TargetMode="External"/><Relationship Id="rId5481" Type="http://schemas.openxmlformats.org/officeDocument/2006/relationships/hyperlink" Target="https://pld.live/RapDetail.aspx?STONELIST=831010552&amp;ISCONFIRM=0" TargetMode="External"/><Relationship Id="rId6532" Type="http://schemas.openxmlformats.org/officeDocument/2006/relationships/hyperlink" Target="https://pld.live/RapDetail.aspx?STONELIST=821113437&amp;ISCONFIRM=0" TargetMode="External"/><Relationship Id="rId1677" Type="http://schemas.openxmlformats.org/officeDocument/2006/relationships/hyperlink" Target="https://pld.live/RapDetail.aspx?STONELIST=926120661&amp;ISCONFIRM=0" TargetMode="External"/><Relationship Id="rId1884" Type="http://schemas.openxmlformats.org/officeDocument/2006/relationships/hyperlink" Target="https://pld.live/RapDetail.aspx?STONELIST=926101039&amp;ISCONFIRM=0" TargetMode="External"/><Relationship Id="rId2728" Type="http://schemas.openxmlformats.org/officeDocument/2006/relationships/hyperlink" Target="https://pld.live/RapDetail.aspx?STONELIST=831020073&amp;ISCONFIRM=0" TargetMode="External"/><Relationship Id="rId2935" Type="http://schemas.openxmlformats.org/officeDocument/2006/relationships/hyperlink" Target="https://pld.live/RapDetail.aspx?STONELIST=925900548&amp;ISCONFIRM=0" TargetMode="External"/><Relationship Id="rId4290" Type="http://schemas.openxmlformats.org/officeDocument/2006/relationships/hyperlink" Target="https://pld.live/RapDetail.aspx?STONELIST=926110140&amp;ISCONFIRM=0" TargetMode="External"/><Relationship Id="rId5134" Type="http://schemas.openxmlformats.org/officeDocument/2006/relationships/hyperlink" Target="https://pld.live/RapDetail.aspx?STONELIST=925801671&amp;ISCONFIRM=0" TargetMode="External"/><Relationship Id="rId5341" Type="http://schemas.openxmlformats.org/officeDocument/2006/relationships/hyperlink" Target="https://pld.live/RapDetail.aspx?STONELIST=926750608&amp;ISCONFIRM=0" TargetMode="External"/><Relationship Id="rId907" Type="http://schemas.openxmlformats.org/officeDocument/2006/relationships/hyperlink" Target="https://pld.live/RapDetail.aspx?STONELIST=925861648&amp;ISCONFIRM=0" TargetMode="External"/><Relationship Id="rId1537" Type="http://schemas.openxmlformats.org/officeDocument/2006/relationships/hyperlink" Target="https://pld.live/RapDetail.aspx?STONELIST=926460770&amp;ISCONFIRM=0" TargetMode="External"/><Relationship Id="rId1744" Type="http://schemas.openxmlformats.org/officeDocument/2006/relationships/hyperlink" Target="https://pld.live/RapDetail.aspx?STONELIST=941190436&amp;ISCONFIRM=0" TargetMode="External"/><Relationship Id="rId1951" Type="http://schemas.openxmlformats.org/officeDocument/2006/relationships/hyperlink" Target="https://pld.live/RapDetail.aspx?STONELIST=926321015&amp;ISCONFIRM=0" TargetMode="External"/><Relationship Id="rId4150" Type="http://schemas.openxmlformats.org/officeDocument/2006/relationships/hyperlink" Target="https://pld.live/RapDetail.aspx?STONELIST=926110942&amp;ISCONFIRM=0" TargetMode="External"/><Relationship Id="rId5201" Type="http://schemas.openxmlformats.org/officeDocument/2006/relationships/hyperlink" Target="https://pld.live/RapDetail.aspx?STONELIST=941200284&amp;ISCONFIRM=0" TargetMode="External"/><Relationship Id="rId7099" Type="http://schemas.openxmlformats.org/officeDocument/2006/relationships/hyperlink" Target="https://pld.live/RapDetail.aspx?STONELIST=924190750&amp;ISCONFIRM=0" TargetMode="External"/><Relationship Id="rId36" Type="http://schemas.openxmlformats.org/officeDocument/2006/relationships/hyperlink" Target="https://pld.live/RapDetail.aspx?STONELIST=941330543&amp;ISCONFIRM=0" TargetMode="External"/><Relationship Id="rId1604" Type="http://schemas.openxmlformats.org/officeDocument/2006/relationships/hyperlink" Target="https://pld.live/RapDetail.aspx?STONELIST=926941129&amp;ISCONFIRM=0" TargetMode="External"/><Relationship Id="rId4010" Type="http://schemas.openxmlformats.org/officeDocument/2006/relationships/hyperlink" Target="https://pld.live/RapDetail.aspx?STONELIST=925801452&amp;ISCONFIRM=0" TargetMode="External"/><Relationship Id="rId4967" Type="http://schemas.openxmlformats.org/officeDocument/2006/relationships/hyperlink" Target="https://pld.live/RapDetail.aspx?STONELIST=925732045&amp;ISCONFIRM=0" TargetMode="External"/><Relationship Id="rId7166" Type="http://schemas.openxmlformats.org/officeDocument/2006/relationships/hyperlink" Target="https://pld.live/RapDetail.aspx?STONELIST=926360386&amp;ISCONFIRM=0" TargetMode="External"/><Relationship Id="rId7373" Type="http://schemas.openxmlformats.org/officeDocument/2006/relationships/hyperlink" Target="https://pld.live/RapDetail.aspx?STONELIST=941340769&amp;ISCONFIRM=0" TargetMode="External"/><Relationship Id="rId7580" Type="http://schemas.openxmlformats.org/officeDocument/2006/relationships/hyperlink" Target="https://pld.live/RapDetail.aspx?STONELIST=925801803&amp;ISCONFIRM=0" TargetMode="External"/><Relationship Id="rId8217" Type="http://schemas.openxmlformats.org/officeDocument/2006/relationships/hyperlink" Target="https://pld.live/RapDetail.aspx?STONELIST=925771143&amp;ISCONFIRM=0" TargetMode="External"/><Relationship Id="rId1811" Type="http://schemas.openxmlformats.org/officeDocument/2006/relationships/hyperlink" Target="https://pld.live/RapDetail.aspx?STONELIST=925910235&amp;ISCONFIRM=0" TargetMode="External"/><Relationship Id="rId3569" Type="http://schemas.openxmlformats.org/officeDocument/2006/relationships/hyperlink" Target="https://pld.live/RapDetail.aspx?STONELIST=925690132&amp;ISCONFIRM=0" TargetMode="External"/><Relationship Id="rId6182" Type="http://schemas.openxmlformats.org/officeDocument/2006/relationships/hyperlink" Target="https://pld.live/RapDetail.aspx?STONELIST=941100647&amp;ISCONFIRM=0" TargetMode="External"/><Relationship Id="rId7026" Type="http://schemas.openxmlformats.org/officeDocument/2006/relationships/hyperlink" Target="https://pld.live/RapDetail.aspx?STONELIST=926921425&amp;ISCONFIRM=0" TargetMode="External"/><Relationship Id="rId7233" Type="http://schemas.openxmlformats.org/officeDocument/2006/relationships/hyperlink" Target="https://pld.live/RapDetail.aspx?STONELIST=821132360&amp;ISCONFIRM=0" TargetMode="External"/><Relationship Id="rId7440" Type="http://schemas.openxmlformats.org/officeDocument/2006/relationships/hyperlink" Target="https://pld.live/RapDetail.aspx?STONELIST=924830258&amp;ISCONFIRM=0" TargetMode="External"/><Relationship Id="rId697" Type="http://schemas.openxmlformats.org/officeDocument/2006/relationships/hyperlink" Target="https://pld.live/RapDetail.aspx?STONELIST=925800894&amp;ISCONFIRM=0" TargetMode="External"/><Relationship Id="rId2378" Type="http://schemas.openxmlformats.org/officeDocument/2006/relationships/hyperlink" Target="https://pld.live/RapDetail.aspx?STONELIST=926081492&amp;ISCONFIRM=0" TargetMode="External"/><Relationship Id="rId3429" Type="http://schemas.openxmlformats.org/officeDocument/2006/relationships/hyperlink" Target="https://pld.live/RapDetail.aspx?STONELIST=926071933&amp;ISCONFIRM=0" TargetMode="External"/><Relationship Id="rId3776" Type="http://schemas.openxmlformats.org/officeDocument/2006/relationships/hyperlink" Target="https://pld.live/RapDetail.aspx?STONELIST=9414201312&amp;ISCONFIRM=0" TargetMode="External"/><Relationship Id="rId3983" Type="http://schemas.openxmlformats.org/officeDocument/2006/relationships/hyperlink" Target="https://pld.live/RapDetail.aspx?STONELIST=925980347&amp;ISCONFIRM=0" TargetMode="External"/><Relationship Id="rId4827" Type="http://schemas.openxmlformats.org/officeDocument/2006/relationships/hyperlink" Target="https://pld.live/RapDetail.aspx?STONELIST=925851209&amp;ISCONFIRM=0" TargetMode="External"/><Relationship Id="rId6042" Type="http://schemas.openxmlformats.org/officeDocument/2006/relationships/hyperlink" Target="https://pld.live/RapDetail.aspx?STONELIST=941261105&amp;ISCONFIRM=0" TargetMode="External"/><Relationship Id="rId1187" Type="http://schemas.openxmlformats.org/officeDocument/2006/relationships/hyperlink" Target="https://pld.live/RapDetail.aspx?STONELIST=941170172&amp;ISCONFIRM=0" TargetMode="External"/><Relationship Id="rId2585" Type="http://schemas.openxmlformats.org/officeDocument/2006/relationships/hyperlink" Target="https://pld.live/RapDetail.aspx?STONELIST=926301059&amp;ISCONFIRM=0" TargetMode="External"/><Relationship Id="rId2792" Type="http://schemas.openxmlformats.org/officeDocument/2006/relationships/hyperlink" Target="https://pld.live/RapDetail.aspx?STONELIST=925920719&amp;ISCONFIRM=0" TargetMode="External"/><Relationship Id="rId3636" Type="http://schemas.openxmlformats.org/officeDocument/2006/relationships/hyperlink" Target="https://pld.live/RapDetail.aspx?STONELIST=924930131&amp;ISCONFIRM=0" TargetMode="External"/><Relationship Id="rId3843" Type="http://schemas.openxmlformats.org/officeDocument/2006/relationships/hyperlink" Target="https://pld.live/RapDetail.aspx?STONELIST=927070633&amp;ISCONFIRM=0" TargetMode="External"/><Relationship Id="rId6999" Type="http://schemas.openxmlformats.org/officeDocument/2006/relationships/hyperlink" Target="https://pld.live/RapDetail.aspx?STONELIST=925722024&amp;ISCONFIRM=0" TargetMode="External"/><Relationship Id="rId7300" Type="http://schemas.openxmlformats.org/officeDocument/2006/relationships/hyperlink" Target="https://pld.live/RapDetail.aspx?STONELIST=927140437&amp;ISCONFIRM=0" TargetMode="External"/><Relationship Id="rId557" Type="http://schemas.openxmlformats.org/officeDocument/2006/relationships/hyperlink" Target="https://pld.live/RapDetail.aspx?STONELIST=926101603&amp;ISCONFIRM=0" TargetMode="External"/><Relationship Id="rId764" Type="http://schemas.openxmlformats.org/officeDocument/2006/relationships/hyperlink" Target="https://pld.live/RapDetail.aspx?STONELIST=925430141&amp;ISCONFIRM=0" TargetMode="External"/><Relationship Id="rId971" Type="http://schemas.openxmlformats.org/officeDocument/2006/relationships/hyperlink" Target="https://pld.live/RapDetail.aspx?STONELIST=926640755&amp;ISCONFIRM=0" TargetMode="External"/><Relationship Id="rId1394" Type="http://schemas.openxmlformats.org/officeDocument/2006/relationships/hyperlink" Target="https://pld.live/RapDetail.aspx?STONELIST=941071220&amp;ISCONFIRM=0" TargetMode="External"/><Relationship Id="rId2238" Type="http://schemas.openxmlformats.org/officeDocument/2006/relationships/hyperlink" Target="https://pld.live/RapDetail.aspx?STONELIST=926091373&amp;ISCONFIRM=0" TargetMode="External"/><Relationship Id="rId2445" Type="http://schemas.openxmlformats.org/officeDocument/2006/relationships/hyperlink" Target="https://pld.live/RapDetail.aspx?STONELIST=926930439&amp;ISCONFIRM=0" TargetMode="External"/><Relationship Id="rId2652" Type="http://schemas.openxmlformats.org/officeDocument/2006/relationships/hyperlink" Target="https://pld.live/RapDetail.aspx?STONELIST=926171558&amp;ISCONFIRM=0" TargetMode="External"/><Relationship Id="rId3703" Type="http://schemas.openxmlformats.org/officeDocument/2006/relationships/hyperlink" Target="https://pld.live/RapDetail.aspx?STONELIST=924950405&amp;ISCONFIRM=0" TargetMode="External"/><Relationship Id="rId3910" Type="http://schemas.openxmlformats.org/officeDocument/2006/relationships/hyperlink" Target="https://pld.live/RapDetail.aspx?STONELIST=925460021&amp;ISCONFIRM=0" TargetMode="External"/><Relationship Id="rId6859" Type="http://schemas.openxmlformats.org/officeDocument/2006/relationships/hyperlink" Target="https://pld.live/RapDetail.aspx?STONELIST=926910197&amp;ISCONFIRM=0" TargetMode="External"/><Relationship Id="rId417" Type="http://schemas.openxmlformats.org/officeDocument/2006/relationships/hyperlink" Target="https://pld.live/RapDetail.aspx?STONELIST=831020734&amp;ISCONFIRM=0" TargetMode="External"/><Relationship Id="rId624" Type="http://schemas.openxmlformats.org/officeDocument/2006/relationships/hyperlink" Target="https://pld.live/RapDetail.aspx?STONELIST=925971244&amp;ISCONFIRM=0" TargetMode="External"/><Relationship Id="rId831" Type="http://schemas.openxmlformats.org/officeDocument/2006/relationships/hyperlink" Target="https://pld.live/RapDetail.aspx?STONELIST=926020760&amp;ISCONFIRM=0" TargetMode="External"/><Relationship Id="rId1047" Type="http://schemas.openxmlformats.org/officeDocument/2006/relationships/hyperlink" Target="https://pld.live/RapDetail.aspx?STONELIST=821127768&amp;ISCONFIRM=0" TargetMode="External"/><Relationship Id="rId1254" Type="http://schemas.openxmlformats.org/officeDocument/2006/relationships/hyperlink" Target="https://pld.live/RapDetail.aspx?STONELIST=927130092&amp;ISCONFIRM=0" TargetMode="External"/><Relationship Id="rId1461" Type="http://schemas.openxmlformats.org/officeDocument/2006/relationships/hyperlink" Target="https://pld.live/RapDetail.aspx?STONELIST=926311328&amp;ISCONFIRM=0" TargetMode="External"/><Relationship Id="rId2305" Type="http://schemas.openxmlformats.org/officeDocument/2006/relationships/hyperlink" Target="https://pld.live/RapDetail.aspx?STONELIST=926320957&amp;ISCONFIRM=0" TargetMode="External"/><Relationship Id="rId2512" Type="http://schemas.openxmlformats.org/officeDocument/2006/relationships/hyperlink" Target="https://pld.live/RapDetail.aspx?STONELIST=821127955&amp;ISCONFIRM=0" TargetMode="External"/><Relationship Id="rId5668" Type="http://schemas.openxmlformats.org/officeDocument/2006/relationships/hyperlink" Target="https://pld.live/RapDetail.aspx?STONELIST=923690441&amp;ISCONFIRM=0" TargetMode="External"/><Relationship Id="rId5875" Type="http://schemas.openxmlformats.org/officeDocument/2006/relationships/hyperlink" Target="https://pld.live/RapDetail.aspx?STONELIST=926041310&amp;ISCONFIRM=0" TargetMode="External"/><Relationship Id="rId6719" Type="http://schemas.openxmlformats.org/officeDocument/2006/relationships/hyperlink" Target="https://pld.live/RapDetail.aspx?STONELIST=941040709&amp;ISCONFIRM=0" TargetMode="External"/><Relationship Id="rId6926" Type="http://schemas.openxmlformats.org/officeDocument/2006/relationships/hyperlink" Target="https://pld.live/RapDetail.aspx?STONELIST=925722018&amp;ISCONFIRM=0" TargetMode="External"/><Relationship Id="rId8074" Type="http://schemas.openxmlformats.org/officeDocument/2006/relationships/hyperlink" Target="https://pld.live/RapDetail.aspx?STONELIST=922770003&amp;ISCONFIRM=0" TargetMode="External"/><Relationship Id="rId1114" Type="http://schemas.openxmlformats.org/officeDocument/2006/relationships/hyperlink" Target="https://pld.live/RapDetail.aspx?STONELIST=926831094&amp;ISCONFIRM=0" TargetMode="External"/><Relationship Id="rId1321" Type="http://schemas.openxmlformats.org/officeDocument/2006/relationships/hyperlink" Target="https://pld.live/RapDetail.aspx?STONELIST=941400294&amp;ISCONFIRM=0" TargetMode="External"/><Relationship Id="rId4477" Type="http://schemas.openxmlformats.org/officeDocument/2006/relationships/hyperlink" Target="https://pld.live/RapDetail.aspx?STONELIST=927052725&amp;ISCONFIRM=0" TargetMode="External"/><Relationship Id="rId4684" Type="http://schemas.openxmlformats.org/officeDocument/2006/relationships/hyperlink" Target="https://pld.live/RapDetail.aspx?STONELIST=941180098&amp;ISCONFIRM=0" TargetMode="External"/><Relationship Id="rId4891" Type="http://schemas.openxmlformats.org/officeDocument/2006/relationships/hyperlink" Target="https://pld.live/RapDetail.aspx?STONELIST=926380252&amp;ISCONFIRM=0" TargetMode="External"/><Relationship Id="rId5528" Type="http://schemas.openxmlformats.org/officeDocument/2006/relationships/hyperlink" Target="https://pld.live/RapDetail.aspx?STONELIST=925900291&amp;ISCONFIRM=0" TargetMode="External"/><Relationship Id="rId5735" Type="http://schemas.openxmlformats.org/officeDocument/2006/relationships/hyperlink" Target="https://pld.live/RapDetail.aspx?STONELIST=941270752&amp;ISCONFIRM=0" TargetMode="External"/><Relationship Id="rId7090" Type="http://schemas.openxmlformats.org/officeDocument/2006/relationships/hyperlink" Target="https://pld.live/RapDetail.aspx?STONELIST=831010249&amp;ISCONFIRM=0" TargetMode="External"/><Relationship Id="rId8141" Type="http://schemas.openxmlformats.org/officeDocument/2006/relationships/hyperlink" Target="https://pld.live/RapDetail.aspx?STONELIST=941160520&amp;ISCONFIRM=0" TargetMode="External"/><Relationship Id="rId3079" Type="http://schemas.openxmlformats.org/officeDocument/2006/relationships/hyperlink" Target="https://pld.live/RapDetail.aspx?STONELIST=926111136&amp;ISCONFIRM=0" TargetMode="External"/><Relationship Id="rId3286" Type="http://schemas.openxmlformats.org/officeDocument/2006/relationships/hyperlink" Target="https://pld.live/RapDetail.aspx?STONELIST=926820119&amp;ISCONFIRM=0" TargetMode="External"/><Relationship Id="rId3493" Type="http://schemas.openxmlformats.org/officeDocument/2006/relationships/hyperlink" Target="https://pld.live/RapDetail.aspx?STONELIST=926270789&amp;ISCONFIRM=0" TargetMode="External"/><Relationship Id="rId4337" Type="http://schemas.openxmlformats.org/officeDocument/2006/relationships/hyperlink" Target="https://pld.live/RapDetail.aspx?STONELIST=927030778&amp;ISCONFIRM=0" TargetMode="External"/><Relationship Id="rId4544" Type="http://schemas.openxmlformats.org/officeDocument/2006/relationships/hyperlink" Target="https://pld.live/RapDetail.aspx?STONELIST=924290361&amp;ISCONFIRM=0" TargetMode="External"/><Relationship Id="rId5942" Type="http://schemas.openxmlformats.org/officeDocument/2006/relationships/hyperlink" Target="https://pld.live/RapDetail.aspx?STONELIST=926831038&amp;ISCONFIRM=0" TargetMode="External"/><Relationship Id="rId8001" Type="http://schemas.openxmlformats.org/officeDocument/2006/relationships/hyperlink" Target="https://pld.live/RapDetail.aspx?STONELIST=923660306&amp;ISCONFIRM=0" TargetMode="External"/><Relationship Id="rId2095" Type="http://schemas.openxmlformats.org/officeDocument/2006/relationships/hyperlink" Target="https://pld.live/RapDetail.aspx?STONELIST=821127887&amp;ISCONFIRM=0" TargetMode="External"/><Relationship Id="rId3146" Type="http://schemas.openxmlformats.org/officeDocument/2006/relationships/hyperlink" Target="https://pld.live/RapDetail.aspx?STONELIST=925040459&amp;ISCONFIRM=0" TargetMode="External"/><Relationship Id="rId3353" Type="http://schemas.openxmlformats.org/officeDocument/2006/relationships/hyperlink" Target="https://pld.live/RapDetail.aspx?STONELIST=926101053&amp;ISCONFIRM=0" TargetMode="External"/><Relationship Id="rId4751" Type="http://schemas.openxmlformats.org/officeDocument/2006/relationships/hyperlink" Target="https://pld.live/RapDetail.aspx?STONELIST=831020284&amp;ISCONFIRM=0" TargetMode="External"/><Relationship Id="rId5802" Type="http://schemas.openxmlformats.org/officeDocument/2006/relationships/hyperlink" Target="https://pld.live/RapDetail.aspx?STONELIST=926780094&amp;ISCONFIRM=0" TargetMode="External"/><Relationship Id="rId274" Type="http://schemas.openxmlformats.org/officeDocument/2006/relationships/hyperlink" Target="https://pld.live/RapDetail.aspx?STONELIST=831020616&amp;ISCONFIRM=0" TargetMode="External"/><Relationship Id="rId481" Type="http://schemas.openxmlformats.org/officeDocument/2006/relationships/hyperlink" Target="https://pld.live/RapDetail.aspx?STONELIST=925920996&amp;ISCONFIRM=0" TargetMode="External"/><Relationship Id="rId2162" Type="http://schemas.openxmlformats.org/officeDocument/2006/relationships/hyperlink" Target="https://pld.live/RapDetail.aspx?STONELIST=920661486&amp;ISCONFIRM=0" TargetMode="External"/><Relationship Id="rId3006" Type="http://schemas.openxmlformats.org/officeDocument/2006/relationships/hyperlink" Target="https://pld.live/RapDetail.aspx?STONELIST=926210975&amp;ISCONFIRM=0" TargetMode="External"/><Relationship Id="rId3560" Type="http://schemas.openxmlformats.org/officeDocument/2006/relationships/hyperlink" Target="https://pld.live/RapDetail.aspx?STONELIST=924510187&amp;ISCONFIRM=0" TargetMode="External"/><Relationship Id="rId4404" Type="http://schemas.openxmlformats.org/officeDocument/2006/relationships/hyperlink" Target="https://pld.live/RapDetail.aspx?STONELIST=926250449&amp;ISCONFIRM=0" TargetMode="External"/><Relationship Id="rId4611" Type="http://schemas.openxmlformats.org/officeDocument/2006/relationships/hyperlink" Target="https://pld.live/RapDetail.aspx?STONELIST=927101973&amp;ISCONFIRM=0" TargetMode="External"/><Relationship Id="rId6369" Type="http://schemas.openxmlformats.org/officeDocument/2006/relationships/hyperlink" Target="https://pld.live/RapDetail.aspx?STONELIST=941250693&amp;ISCONFIRM=0" TargetMode="External"/><Relationship Id="rId7767" Type="http://schemas.openxmlformats.org/officeDocument/2006/relationships/hyperlink" Target="https://pld.live/RapDetail.aspx?STONELIST=926980682&amp;ISCONFIRM=0" TargetMode="External"/><Relationship Id="rId7974" Type="http://schemas.openxmlformats.org/officeDocument/2006/relationships/hyperlink" Target="https://pld.live/RapDetail.aspx?STONELIST=924780165&amp;ISCONFIRM=0" TargetMode="External"/><Relationship Id="rId134" Type="http://schemas.openxmlformats.org/officeDocument/2006/relationships/hyperlink" Target="https://pld.live/RapDetail.aspx?STONELIST=941460041&amp;ISCONFIRM=0" TargetMode="External"/><Relationship Id="rId3213" Type="http://schemas.openxmlformats.org/officeDocument/2006/relationships/hyperlink" Target="https://pld.live/RapDetail.aspx?STONELIST=925040438&amp;ISCONFIRM=0" TargetMode="External"/><Relationship Id="rId3420" Type="http://schemas.openxmlformats.org/officeDocument/2006/relationships/hyperlink" Target="https://pld.live/RapDetail.aspx?STONELIST=831010481&amp;ISCONFIRM=0" TargetMode="External"/><Relationship Id="rId6576" Type="http://schemas.openxmlformats.org/officeDocument/2006/relationships/hyperlink" Target="https://pld.live/RapDetail.aspx?STONELIST=925710115&amp;ISCONFIRM=0" TargetMode="External"/><Relationship Id="rId6783" Type="http://schemas.openxmlformats.org/officeDocument/2006/relationships/hyperlink" Target="https://pld.live/RapDetail.aspx?STONELIST=924300714&amp;ISCONFIRM=0" TargetMode="External"/><Relationship Id="rId6990" Type="http://schemas.openxmlformats.org/officeDocument/2006/relationships/hyperlink" Target="https://pld.live/RapDetail.aspx?STONELIST=926170789&amp;ISCONFIRM=0" TargetMode="External"/><Relationship Id="rId7627" Type="http://schemas.openxmlformats.org/officeDocument/2006/relationships/hyperlink" Target="https://pld.live/RapDetail.aspx?STONELIST=926810580&amp;ISCONFIRM=0" TargetMode="External"/><Relationship Id="rId7834" Type="http://schemas.openxmlformats.org/officeDocument/2006/relationships/hyperlink" Target="https://pld.live/RapDetail.aspx?STONELIST=926581241&amp;ISCONFIRM=0" TargetMode="External"/><Relationship Id="rId341" Type="http://schemas.openxmlformats.org/officeDocument/2006/relationships/hyperlink" Target="https://pld.live/RapDetail.aspx?STONELIST=821130343&amp;ISCONFIRM=0" TargetMode="External"/><Relationship Id="rId2022" Type="http://schemas.openxmlformats.org/officeDocument/2006/relationships/hyperlink" Target="https://pld.live/RapDetail.aspx?STONELIST=926391254&amp;ISCONFIRM=0" TargetMode="External"/><Relationship Id="rId2979" Type="http://schemas.openxmlformats.org/officeDocument/2006/relationships/hyperlink" Target="https://pld.live/RapDetail.aspx?STONELIST=926110935&amp;ISCONFIRM=0" TargetMode="External"/><Relationship Id="rId5178" Type="http://schemas.openxmlformats.org/officeDocument/2006/relationships/hyperlink" Target="https://pld.live/RapDetail.aspx?STONELIST=926901010&amp;ISCONFIRM=0" TargetMode="External"/><Relationship Id="rId5385" Type="http://schemas.openxmlformats.org/officeDocument/2006/relationships/hyperlink" Target="https://pld.live/RapDetail.aspx?STONELIST=926640505&amp;ISCONFIRM=0" TargetMode="External"/><Relationship Id="rId5592" Type="http://schemas.openxmlformats.org/officeDocument/2006/relationships/hyperlink" Target="https://pld.live/RapDetail.aspx?STONELIST=925030368&amp;ISCONFIRM=0" TargetMode="External"/><Relationship Id="rId6229" Type="http://schemas.openxmlformats.org/officeDocument/2006/relationships/hyperlink" Target="https://pld.live/RapDetail.aspx?STONELIST=941060531&amp;ISCONFIRM=0" TargetMode="External"/><Relationship Id="rId6436" Type="http://schemas.openxmlformats.org/officeDocument/2006/relationships/hyperlink" Target="https://pld.live/RapDetail.aspx?STONELIST=941050586&amp;ISCONFIRM=0" TargetMode="External"/><Relationship Id="rId6643" Type="http://schemas.openxmlformats.org/officeDocument/2006/relationships/hyperlink" Target="https://pld.live/RapDetail.aspx?STONELIST=927052701&amp;ISCONFIRM=0" TargetMode="External"/><Relationship Id="rId6850" Type="http://schemas.openxmlformats.org/officeDocument/2006/relationships/hyperlink" Target="https://pld.live/RapDetail.aspx?STONELIST=926910584&amp;ISCONFIRM=0" TargetMode="External"/><Relationship Id="rId7901" Type="http://schemas.openxmlformats.org/officeDocument/2006/relationships/hyperlink" Target="https://pld.live/RapDetail.aspx?STONELIST=926841195&amp;ISCONFIRM=0" TargetMode="External"/><Relationship Id="rId201" Type="http://schemas.openxmlformats.org/officeDocument/2006/relationships/hyperlink" Target="https://pld.live/RapDetail.aspx?STONELIST=925010022&amp;ISCONFIRM=0" TargetMode="External"/><Relationship Id="rId1788" Type="http://schemas.openxmlformats.org/officeDocument/2006/relationships/hyperlink" Target="https://pld.live/RapDetail.aspx?STONELIST=941190891&amp;ISCONFIRM=0" TargetMode="External"/><Relationship Id="rId1995" Type="http://schemas.openxmlformats.org/officeDocument/2006/relationships/hyperlink" Target="https://pld.live/RapDetail.aspx?STONELIST=941320726&amp;ISCONFIRM=0" TargetMode="External"/><Relationship Id="rId2839" Type="http://schemas.openxmlformats.org/officeDocument/2006/relationships/hyperlink" Target="https://pld.live/RapDetail.aspx?STONELIST=924720162&amp;ISCONFIRM=0" TargetMode="External"/><Relationship Id="rId4194" Type="http://schemas.openxmlformats.org/officeDocument/2006/relationships/hyperlink" Target="https://pld.live/RapDetail.aspx?STONELIST=925521695&amp;ISCONFIRM=0" TargetMode="External"/><Relationship Id="rId5038" Type="http://schemas.openxmlformats.org/officeDocument/2006/relationships/hyperlink" Target="https://pld.live/RapDetail.aspx?STONELIST=926171450&amp;ISCONFIRM=0" TargetMode="External"/><Relationship Id="rId5245" Type="http://schemas.openxmlformats.org/officeDocument/2006/relationships/hyperlink" Target="https://pld.live/RapDetail.aspx?STONELIST=924260271&amp;ISCONFIRM=0" TargetMode="External"/><Relationship Id="rId5452" Type="http://schemas.openxmlformats.org/officeDocument/2006/relationships/hyperlink" Target="https://pld.live/RapDetail.aspx?STONELIST=926310841&amp;ISCONFIRM=0" TargetMode="External"/><Relationship Id="rId6503" Type="http://schemas.openxmlformats.org/officeDocument/2006/relationships/hyperlink" Target="https://pld.live/RapDetail.aspx?STONELIST=941040618&amp;ISCONFIRM=0" TargetMode="External"/><Relationship Id="rId6710" Type="http://schemas.openxmlformats.org/officeDocument/2006/relationships/hyperlink" Target="https://pld.live/RapDetail.aspx?STONELIST=926972239&amp;ISCONFIRM=0" TargetMode="External"/><Relationship Id="rId1648" Type="http://schemas.openxmlformats.org/officeDocument/2006/relationships/hyperlink" Target="https://pld.live/RapDetail.aspx?STONELIST=926380091&amp;ISCONFIRM=0" TargetMode="External"/><Relationship Id="rId4054" Type="http://schemas.openxmlformats.org/officeDocument/2006/relationships/hyperlink" Target="https://pld.live/RapDetail.aspx?STONELIST=925721963&amp;ISCONFIRM=0" TargetMode="External"/><Relationship Id="rId4261" Type="http://schemas.openxmlformats.org/officeDocument/2006/relationships/hyperlink" Target="https://pld.live/RapDetail.aspx?STONELIST=925140256&amp;ISCONFIRM=0" TargetMode="External"/><Relationship Id="rId5105" Type="http://schemas.openxmlformats.org/officeDocument/2006/relationships/hyperlink" Target="https://pld.live/RapDetail.aspx?STONELIST=925521944&amp;ISCONFIRM=0" TargetMode="External"/><Relationship Id="rId5312" Type="http://schemas.openxmlformats.org/officeDocument/2006/relationships/hyperlink" Target="https://pld.live/RapDetail.aspx?STONELIST=926740264&amp;ISCONFIRM=0" TargetMode="External"/><Relationship Id="rId1508" Type="http://schemas.openxmlformats.org/officeDocument/2006/relationships/hyperlink" Target="https://pld.live/RapDetail.aspx?STONELIST=926331734&amp;ISCONFIRM=0" TargetMode="External"/><Relationship Id="rId1855" Type="http://schemas.openxmlformats.org/officeDocument/2006/relationships/hyperlink" Target="https://pld.live/RapDetail.aspx?STONELIST=923730423&amp;ISCONFIRM=0" TargetMode="External"/><Relationship Id="rId2906" Type="http://schemas.openxmlformats.org/officeDocument/2006/relationships/hyperlink" Target="https://pld.live/RapDetail.aspx?STONELIST=925160027&amp;ISCONFIRM=0" TargetMode="External"/><Relationship Id="rId3070" Type="http://schemas.openxmlformats.org/officeDocument/2006/relationships/hyperlink" Target="https://pld.live/RapDetail.aspx?STONELIST=925220259&amp;ISCONFIRM=0" TargetMode="External"/><Relationship Id="rId4121" Type="http://schemas.openxmlformats.org/officeDocument/2006/relationships/hyperlink" Target="https://pld.live/RapDetail.aspx?STONELIST=925851187&amp;ISCONFIRM=0" TargetMode="External"/><Relationship Id="rId7277" Type="http://schemas.openxmlformats.org/officeDocument/2006/relationships/hyperlink" Target="https://pld.live/RapDetail.aspx?STONELIST=941110573&amp;ISCONFIRM=0" TargetMode="External"/><Relationship Id="rId7484" Type="http://schemas.openxmlformats.org/officeDocument/2006/relationships/hyperlink" Target="https://pld.live/RapDetail.aspx?STONELIST=925300330&amp;ISCONFIRM=0" TargetMode="External"/><Relationship Id="rId1715" Type="http://schemas.openxmlformats.org/officeDocument/2006/relationships/hyperlink" Target="https://pld.live/RapDetail.aspx?STONELIST=821128468&amp;ISCONFIRM=0" TargetMode="External"/><Relationship Id="rId1922" Type="http://schemas.openxmlformats.org/officeDocument/2006/relationships/hyperlink" Target="https://pld.live/RapDetail.aspx?STONELIST=920470456&amp;ISCONFIRM=0" TargetMode="External"/><Relationship Id="rId6086" Type="http://schemas.openxmlformats.org/officeDocument/2006/relationships/hyperlink" Target="https://pld.live/RapDetail.aspx?STONELIST=926560418&amp;ISCONFIRM=0" TargetMode="External"/><Relationship Id="rId6293" Type="http://schemas.openxmlformats.org/officeDocument/2006/relationships/hyperlink" Target="https://pld.live/RapDetail.aspx?STONELIST=927040783&amp;ISCONFIRM=0" TargetMode="External"/><Relationship Id="rId7137" Type="http://schemas.openxmlformats.org/officeDocument/2006/relationships/hyperlink" Target="https://pld.live/RapDetail.aspx?STONELIST=941140981&amp;ISCONFIRM=0" TargetMode="External"/><Relationship Id="rId7691" Type="http://schemas.openxmlformats.org/officeDocument/2006/relationships/hyperlink" Target="https://pld.live/RapDetail.aspx?STONELIST=941270772&amp;ISCONFIRM=0" TargetMode="External"/><Relationship Id="rId3887" Type="http://schemas.openxmlformats.org/officeDocument/2006/relationships/hyperlink" Target="https://pld.live/RapDetail.aspx?STONELIST=925722017&amp;ISCONFIRM=0" TargetMode="External"/><Relationship Id="rId4938" Type="http://schemas.openxmlformats.org/officeDocument/2006/relationships/hyperlink" Target="https://pld.live/RapDetail.aspx?STONELIST=925970910&amp;ISCONFIRM=0" TargetMode="External"/><Relationship Id="rId7344" Type="http://schemas.openxmlformats.org/officeDocument/2006/relationships/hyperlink" Target="https://pld.live/RapDetail.aspx?STONELIST=924510192&amp;ISCONFIRM=0" TargetMode="External"/><Relationship Id="rId7551" Type="http://schemas.openxmlformats.org/officeDocument/2006/relationships/hyperlink" Target="https://pld.live/RapDetail.aspx?STONELIST=924780210&amp;ISCONFIRM=0" TargetMode="External"/><Relationship Id="rId2489" Type="http://schemas.openxmlformats.org/officeDocument/2006/relationships/hyperlink" Target="https://pld.live/RapDetail.aspx?STONELIST=941260466&amp;ISCONFIRM=0" TargetMode="External"/><Relationship Id="rId2696" Type="http://schemas.openxmlformats.org/officeDocument/2006/relationships/hyperlink" Target="https://pld.live/RapDetail.aspx?STONELIST=941290179&amp;ISCONFIRM=0" TargetMode="External"/><Relationship Id="rId3747" Type="http://schemas.openxmlformats.org/officeDocument/2006/relationships/hyperlink" Target="https://pld.live/RapDetail.aspx?STONELIST=926010135&amp;ISCONFIRM=0" TargetMode="External"/><Relationship Id="rId3954" Type="http://schemas.openxmlformats.org/officeDocument/2006/relationships/hyperlink" Target="https://pld.live/RapDetail.aspx?STONELIST=926040963&amp;ISCONFIRM=0" TargetMode="External"/><Relationship Id="rId6153" Type="http://schemas.openxmlformats.org/officeDocument/2006/relationships/hyperlink" Target="https://pld.live/RapDetail.aspx?STONELIST=926450391&amp;ISCONFIRM=0" TargetMode="External"/><Relationship Id="rId6360" Type="http://schemas.openxmlformats.org/officeDocument/2006/relationships/hyperlink" Target="https://pld.live/RapDetail.aspx?STONELIST=927040781&amp;ISCONFIRM=0" TargetMode="External"/><Relationship Id="rId7204" Type="http://schemas.openxmlformats.org/officeDocument/2006/relationships/hyperlink" Target="https://pld.live/RapDetail.aspx?STONELIST=941340743&amp;ISCONFIRM=0" TargetMode="External"/><Relationship Id="rId7411" Type="http://schemas.openxmlformats.org/officeDocument/2006/relationships/hyperlink" Target="https://pld.live/RapDetail.aspx?STONELIST=831020224&amp;ISCONFIRM=0" TargetMode="External"/><Relationship Id="rId668" Type="http://schemas.openxmlformats.org/officeDocument/2006/relationships/hyperlink" Target="https://pld.live/RapDetail.aspx?STONELIST=926071768&amp;ISCONFIRM=0" TargetMode="External"/><Relationship Id="rId875" Type="http://schemas.openxmlformats.org/officeDocument/2006/relationships/hyperlink" Target="https://pld.live/RapDetail.aspx?STONELIST=924610351&amp;ISCONFIRM=0" TargetMode="External"/><Relationship Id="rId1298" Type="http://schemas.openxmlformats.org/officeDocument/2006/relationships/hyperlink" Target="https://pld.live/RapDetail.aspx?STONELIST=926311252&amp;ISCONFIRM=0" TargetMode="External"/><Relationship Id="rId2349" Type="http://schemas.openxmlformats.org/officeDocument/2006/relationships/hyperlink" Target="https://pld.live/RapDetail.aspx?STONELIST=926190989&amp;ISCONFIRM=0" TargetMode="External"/><Relationship Id="rId2556" Type="http://schemas.openxmlformats.org/officeDocument/2006/relationships/hyperlink" Target="https://pld.live/RapDetail.aspx?STONELIST=926391075&amp;ISCONFIRM=0" TargetMode="External"/><Relationship Id="rId2763" Type="http://schemas.openxmlformats.org/officeDocument/2006/relationships/hyperlink" Target="https://pld.live/RapDetail.aspx?STONELIST=924730029&amp;ISCONFIRM=0" TargetMode="External"/><Relationship Id="rId2970" Type="http://schemas.openxmlformats.org/officeDocument/2006/relationships/hyperlink" Target="https://pld.live/RapDetail.aspx?STONELIST=925940668&amp;ISCONFIRM=0" TargetMode="External"/><Relationship Id="rId3607" Type="http://schemas.openxmlformats.org/officeDocument/2006/relationships/hyperlink" Target="https://pld.live/RapDetail.aspx?STONELIST=925930213&amp;ISCONFIRM=0" TargetMode="External"/><Relationship Id="rId3814" Type="http://schemas.openxmlformats.org/officeDocument/2006/relationships/hyperlink" Target="https://pld.live/RapDetail.aspx?STONELIST=941100620&amp;ISCONFIRM=0" TargetMode="External"/><Relationship Id="rId6013" Type="http://schemas.openxmlformats.org/officeDocument/2006/relationships/hyperlink" Target="https://pld.live/RapDetail.aspx?STONELIST=926550584&amp;ISCONFIRM=0" TargetMode="External"/><Relationship Id="rId6220" Type="http://schemas.openxmlformats.org/officeDocument/2006/relationships/hyperlink" Target="https://pld.live/RapDetail.aspx?STONELIST=926860072&amp;ISCONFIRM=0" TargetMode="External"/><Relationship Id="rId528" Type="http://schemas.openxmlformats.org/officeDocument/2006/relationships/hyperlink" Target="https://pld.live/RapDetail.aspx?STONELIST=941400164&amp;ISCONFIRM=0" TargetMode="External"/><Relationship Id="rId735" Type="http://schemas.openxmlformats.org/officeDocument/2006/relationships/hyperlink" Target="https://pld.live/RapDetail.aspx?STONELIST=925520750&amp;ISCONFIRM=0" TargetMode="External"/><Relationship Id="rId942" Type="http://schemas.openxmlformats.org/officeDocument/2006/relationships/hyperlink" Target="https://pld.live/RapDetail.aspx?STONELIST=926741011&amp;ISCONFIRM=0" TargetMode="External"/><Relationship Id="rId1158" Type="http://schemas.openxmlformats.org/officeDocument/2006/relationships/hyperlink" Target="https://pld.live/RapDetail.aspx?STONELIST=926831106&amp;ISCONFIRM=0" TargetMode="External"/><Relationship Id="rId1365" Type="http://schemas.openxmlformats.org/officeDocument/2006/relationships/hyperlink" Target="https://pld.live/RapDetail.aspx?STONELIST=926311228&amp;ISCONFIRM=0" TargetMode="External"/><Relationship Id="rId1572" Type="http://schemas.openxmlformats.org/officeDocument/2006/relationships/hyperlink" Target="https://pld.live/RapDetail.aspx?STONELIST=925110293&amp;ISCONFIRM=0" TargetMode="External"/><Relationship Id="rId2209" Type="http://schemas.openxmlformats.org/officeDocument/2006/relationships/hyperlink" Target="https://pld.live/RapDetail.aspx?STONELIST=926301155&amp;ISCONFIRM=0" TargetMode="External"/><Relationship Id="rId2416" Type="http://schemas.openxmlformats.org/officeDocument/2006/relationships/hyperlink" Target="https://pld.live/RapDetail.aspx?STONELIST=926231340&amp;ISCONFIRM=0" TargetMode="External"/><Relationship Id="rId2623" Type="http://schemas.openxmlformats.org/officeDocument/2006/relationships/hyperlink" Target="https://pld.live/RapDetail.aspx?STONELIST=926661596&amp;ISCONFIRM=0" TargetMode="External"/><Relationship Id="rId5779" Type="http://schemas.openxmlformats.org/officeDocument/2006/relationships/hyperlink" Target="https://pld.live/RapDetail.aspx?STONELIST=941270746&amp;ISCONFIRM=0" TargetMode="External"/><Relationship Id="rId8185" Type="http://schemas.openxmlformats.org/officeDocument/2006/relationships/hyperlink" Target="https://pld.live/RapDetail.aspx?STONELIST=924410817&amp;ISCONFIRM=0" TargetMode="External"/><Relationship Id="rId1018" Type="http://schemas.openxmlformats.org/officeDocument/2006/relationships/hyperlink" Target="https://pld.live/RapDetail.aspx?STONELIST=925801918&amp;ISCONFIRM=0" TargetMode="External"/><Relationship Id="rId1225" Type="http://schemas.openxmlformats.org/officeDocument/2006/relationships/hyperlink" Target="https://pld.live/RapDetail.aspx?STONELIST=924690017&amp;ISCONFIRM=0" TargetMode="External"/><Relationship Id="rId1432" Type="http://schemas.openxmlformats.org/officeDocument/2006/relationships/hyperlink" Target="https://pld.live/RapDetail.aspx?STONELIST=926311305&amp;ISCONFIRM=0" TargetMode="External"/><Relationship Id="rId2830" Type="http://schemas.openxmlformats.org/officeDocument/2006/relationships/hyperlink" Target="https://pld.live/RapDetail.aspx?STONELIST=926170660&amp;ISCONFIRM=0" TargetMode="External"/><Relationship Id="rId4588" Type="http://schemas.openxmlformats.org/officeDocument/2006/relationships/hyperlink" Target="https://pld.live/RapDetail.aspx?STONELIST=941040665&amp;ISCONFIRM=0" TargetMode="External"/><Relationship Id="rId5639" Type="http://schemas.openxmlformats.org/officeDocument/2006/relationships/hyperlink" Target="https://pld.live/RapDetail.aspx?STONELIST=924520181&amp;ISCONFIRM=0" TargetMode="External"/><Relationship Id="rId5986" Type="http://schemas.openxmlformats.org/officeDocument/2006/relationships/hyperlink" Target="https://pld.live/RapDetail.aspx?STONELIST=941021793&amp;ISCONFIRM=0" TargetMode="External"/><Relationship Id="rId8045" Type="http://schemas.openxmlformats.org/officeDocument/2006/relationships/hyperlink" Target="https://pld.live/RapDetail.aspx?STONELIST=926040884&amp;ISCONFIRM=0" TargetMode="External"/><Relationship Id="rId8252" Type="http://schemas.openxmlformats.org/officeDocument/2006/relationships/hyperlink" Target="https://pld.live/RapDetail.aspx?STONELIST=924900118&amp;ISCONFIRM=0" TargetMode="External"/><Relationship Id="rId71" Type="http://schemas.openxmlformats.org/officeDocument/2006/relationships/hyperlink" Target="https://pld.live/RapDetail.aspx?STONELIST=926410152&amp;ISCONFIRM=0" TargetMode="External"/><Relationship Id="rId802" Type="http://schemas.openxmlformats.org/officeDocument/2006/relationships/hyperlink" Target="https://pld.live/RapDetail.aspx?STONELIST=821127551&amp;ISCONFIRM=0" TargetMode="External"/><Relationship Id="rId3397" Type="http://schemas.openxmlformats.org/officeDocument/2006/relationships/hyperlink" Target="https://pld.live/RapDetail.aspx?STONELIST=926071609&amp;ISCONFIRM=0" TargetMode="External"/><Relationship Id="rId4795" Type="http://schemas.openxmlformats.org/officeDocument/2006/relationships/hyperlink" Target="https://pld.live/RapDetail.aspx?STONELIST=821115768&amp;ISCONFIRM=0" TargetMode="External"/><Relationship Id="rId5846" Type="http://schemas.openxmlformats.org/officeDocument/2006/relationships/hyperlink" Target="https://pld.live/RapDetail.aspx?STONELIST=925981287&amp;ISCONFIRM=0" TargetMode="External"/><Relationship Id="rId7061" Type="http://schemas.openxmlformats.org/officeDocument/2006/relationships/hyperlink" Target="https://pld.live/RapDetail.aspx?STONELIST=927092556&amp;ISCONFIRM=0" TargetMode="External"/><Relationship Id="rId8112" Type="http://schemas.openxmlformats.org/officeDocument/2006/relationships/hyperlink" Target="https://pld.live/RapDetail.aspx?STONELIST=926110290&amp;ISCONFIRM=0" TargetMode="External"/><Relationship Id="rId4448" Type="http://schemas.openxmlformats.org/officeDocument/2006/relationships/hyperlink" Target="https://pld.live/RapDetail.aspx?STONELIST=924580389&amp;ISCONFIRM=0" TargetMode="External"/><Relationship Id="rId4655" Type="http://schemas.openxmlformats.org/officeDocument/2006/relationships/hyperlink" Target="https://pld.live/RapDetail.aspx?STONELIST=941351112&amp;ISCONFIRM=0" TargetMode="External"/><Relationship Id="rId4862" Type="http://schemas.openxmlformats.org/officeDocument/2006/relationships/hyperlink" Target="https://pld.live/RapDetail.aspx?STONELIST=925920772&amp;ISCONFIRM=0" TargetMode="External"/><Relationship Id="rId5706" Type="http://schemas.openxmlformats.org/officeDocument/2006/relationships/hyperlink" Target="https://pld.live/RapDetail.aspx?STONELIST=925090918&amp;ISCONFIRM=0" TargetMode="External"/><Relationship Id="rId5913" Type="http://schemas.openxmlformats.org/officeDocument/2006/relationships/hyperlink" Target="https://pld.live/RapDetail.aspx?STONELIST=925802052&amp;ISCONFIRM=0" TargetMode="External"/><Relationship Id="rId178" Type="http://schemas.openxmlformats.org/officeDocument/2006/relationships/hyperlink" Target="https://pld.live/RapDetail.aspx?STONELIST=941130292&amp;ISCONFIRM=0" TargetMode="External"/><Relationship Id="rId3257" Type="http://schemas.openxmlformats.org/officeDocument/2006/relationships/hyperlink" Target="https://pld.live/RapDetail.aspx?STONELIST=941261089&amp;ISCONFIRM=0" TargetMode="External"/><Relationship Id="rId3464" Type="http://schemas.openxmlformats.org/officeDocument/2006/relationships/hyperlink" Target="https://pld.live/RapDetail.aspx?STONELIST=926100895&amp;ISCONFIRM=0" TargetMode="External"/><Relationship Id="rId3671" Type="http://schemas.openxmlformats.org/officeDocument/2006/relationships/hyperlink" Target="https://pld.live/RapDetail.aspx?STONELIST=925690195&amp;ISCONFIRM=0" TargetMode="External"/><Relationship Id="rId4308" Type="http://schemas.openxmlformats.org/officeDocument/2006/relationships/hyperlink" Target="https://pld.live/RapDetail.aspx?STONELIST=927070572&amp;ISCONFIRM=0" TargetMode="External"/><Relationship Id="rId4515" Type="http://schemas.openxmlformats.org/officeDocument/2006/relationships/hyperlink" Target="https://pld.live/RapDetail.aspx?STONELIST=927092685&amp;ISCONFIRM=0" TargetMode="External"/><Relationship Id="rId4722" Type="http://schemas.openxmlformats.org/officeDocument/2006/relationships/hyperlink" Target="https://pld.live/RapDetail.aspx?STONELIST=924090152&amp;ISCONFIRM=0" TargetMode="External"/><Relationship Id="rId7878" Type="http://schemas.openxmlformats.org/officeDocument/2006/relationships/hyperlink" Target="https://pld.live/RapDetail.aspx?STONELIST=821113609&amp;ISCONFIRM=0" TargetMode="External"/><Relationship Id="rId385" Type="http://schemas.openxmlformats.org/officeDocument/2006/relationships/hyperlink" Target="https://pld.live/RapDetail.aspx?STONELIST=925951091&amp;ISCONFIRM=0" TargetMode="External"/><Relationship Id="rId592" Type="http://schemas.openxmlformats.org/officeDocument/2006/relationships/hyperlink" Target="https://pld.live/RapDetail.aspx?STONELIST=831010469&amp;ISCONFIRM=0" TargetMode="External"/><Relationship Id="rId2066" Type="http://schemas.openxmlformats.org/officeDocument/2006/relationships/hyperlink" Target="https://pld.live/RapDetail.aspx?STONELIST=924170018&amp;ISCONFIRM=0" TargetMode="External"/><Relationship Id="rId2273" Type="http://schemas.openxmlformats.org/officeDocument/2006/relationships/hyperlink" Target="https://pld.live/RapDetail.aspx?STONELIST=926391099&amp;ISCONFIRM=0" TargetMode="External"/><Relationship Id="rId2480" Type="http://schemas.openxmlformats.org/officeDocument/2006/relationships/hyperlink" Target="https://pld.live/RapDetail.aspx?STONELIST=926191128&amp;ISCONFIRM=0" TargetMode="External"/><Relationship Id="rId3117" Type="http://schemas.openxmlformats.org/officeDocument/2006/relationships/hyperlink" Target="https://pld.live/RapDetail.aspx?STONELIST=925220257&amp;ISCONFIRM=0" TargetMode="External"/><Relationship Id="rId3324" Type="http://schemas.openxmlformats.org/officeDocument/2006/relationships/hyperlink" Target="https://pld.live/RapDetail.aspx?STONELIST=921810038&amp;ISCONFIRM=0" TargetMode="External"/><Relationship Id="rId3531" Type="http://schemas.openxmlformats.org/officeDocument/2006/relationships/hyperlink" Target="https://pld.live/RapDetail.aspx?STONELIST=831020356&amp;ISCONFIRM=0" TargetMode="External"/><Relationship Id="rId6687" Type="http://schemas.openxmlformats.org/officeDocument/2006/relationships/hyperlink" Target="https://pld.live/RapDetail.aspx?STONELIST=927102455&amp;ISCONFIRM=0" TargetMode="External"/><Relationship Id="rId6894" Type="http://schemas.openxmlformats.org/officeDocument/2006/relationships/hyperlink" Target="https://pld.live/RapDetail.aspx?STONELIST=925530148&amp;ISCONFIRM=0" TargetMode="External"/><Relationship Id="rId7738" Type="http://schemas.openxmlformats.org/officeDocument/2006/relationships/hyperlink" Target="https://pld.live/RapDetail.aspx?STONELIST=925660200&amp;ISCONFIRM=0" TargetMode="External"/><Relationship Id="rId7945" Type="http://schemas.openxmlformats.org/officeDocument/2006/relationships/hyperlink" Target="https://pld.live/RapDetail.aspx?STONELIST=927052480&amp;ISCONFIRM=0" TargetMode="External"/><Relationship Id="rId245" Type="http://schemas.openxmlformats.org/officeDocument/2006/relationships/hyperlink" Target="https://pld.live/RapDetail.aspx?STONELIST=924830090&amp;ISCONFIRM=0" TargetMode="External"/><Relationship Id="rId452" Type="http://schemas.openxmlformats.org/officeDocument/2006/relationships/hyperlink" Target="https://pld.live/RapDetail.aspx?STONELIST=925540674&amp;ISCONFIRM=0" TargetMode="External"/><Relationship Id="rId1082" Type="http://schemas.openxmlformats.org/officeDocument/2006/relationships/hyperlink" Target="https://pld.live/RapDetail.aspx?STONELIST=926871118&amp;ISCONFIRM=0" TargetMode="External"/><Relationship Id="rId2133" Type="http://schemas.openxmlformats.org/officeDocument/2006/relationships/hyperlink" Target="https://pld.live/RapDetail.aspx?STONELIST=926191181&amp;ISCONFIRM=0" TargetMode="External"/><Relationship Id="rId2340" Type="http://schemas.openxmlformats.org/officeDocument/2006/relationships/hyperlink" Target="https://pld.live/RapDetail.aspx?STONELIST=926240887&amp;ISCONFIRM=0" TargetMode="External"/><Relationship Id="rId5289" Type="http://schemas.openxmlformats.org/officeDocument/2006/relationships/hyperlink" Target="https://pld.live/RapDetail.aspx?STONELIST=925861659&amp;ISCONFIRM=0" TargetMode="External"/><Relationship Id="rId5496" Type="http://schemas.openxmlformats.org/officeDocument/2006/relationships/hyperlink" Target="https://pld.live/RapDetail.aspx?STONELIST=821113515&amp;ISCONFIRM=0" TargetMode="External"/><Relationship Id="rId6547" Type="http://schemas.openxmlformats.org/officeDocument/2006/relationships/hyperlink" Target="https://pld.live/RapDetail.aspx?STONELIST=941100488&amp;ISCONFIRM=0" TargetMode="External"/><Relationship Id="rId6754" Type="http://schemas.openxmlformats.org/officeDocument/2006/relationships/hyperlink" Target="https://pld.live/RapDetail.aspx?STONELIST=927052749&amp;ISCONFIRM=0" TargetMode="External"/><Relationship Id="rId7805" Type="http://schemas.openxmlformats.org/officeDocument/2006/relationships/hyperlink" Target="https://pld.live/RapDetail.aspx?STONELIST=927151845&amp;ISCONFIRM=0" TargetMode="External"/><Relationship Id="rId105" Type="http://schemas.openxmlformats.org/officeDocument/2006/relationships/hyperlink" Target="https://pld.live/RapDetail.aspx?STONELIST=831020626&amp;ISCONFIRM=0" TargetMode="External"/><Relationship Id="rId312" Type="http://schemas.openxmlformats.org/officeDocument/2006/relationships/hyperlink" Target="https://pld.live/RapDetail.aspx?STONELIST=941430411&amp;ISCONFIRM=0" TargetMode="External"/><Relationship Id="rId2200" Type="http://schemas.openxmlformats.org/officeDocument/2006/relationships/hyperlink" Target="https://pld.live/RapDetail.aspx?STONELIST=821127968&amp;ISCONFIRM=0" TargetMode="External"/><Relationship Id="rId4098" Type="http://schemas.openxmlformats.org/officeDocument/2006/relationships/hyperlink" Target="https://pld.live/RapDetail.aspx?STONELIST=821114642&amp;ISCONFIRM=0" TargetMode="External"/><Relationship Id="rId5149" Type="http://schemas.openxmlformats.org/officeDocument/2006/relationships/hyperlink" Target="https://pld.live/RapDetail.aspx?STONELIST=831010608&amp;ISCONFIRM=0" TargetMode="External"/><Relationship Id="rId5356" Type="http://schemas.openxmlformats.org/officeDocument/2006/relationships/hyperlink" Target="https://pld.live/RapDetail.aspx?STONELIST=926210601&amp;ISCONFIRM=0" TargetMode="External"/><Relationship Id="rId5563" Type="http://schemas.openxmlformats.org/officeDocument/2006/relationships/hyperlink" Target="https://pld.live/RapDetail.aspx?STONELIST=924900238&amp;ISCONFIRM=0" TargetMode="External"/><Relationship Id="rId6407" Type="http://schemas.openxmlformats.org/officeDocument/2006/relationships/hyperlink" Target="https://pld.live/RapDetail.aspx?STONELIST=926410321&amp;ISCONFIRM=0" TargetMode="External"/><Relationship Id="rId6961" Type="http://schemas.openxmlformats.org/officeDocument/2006/relationships/hyperlink" Target="https://pld.live/RapDetail.aspx?STONELIST=926921471&amp;ISCONFIRM=0" TargetMode="External"/><Relationship Id="rId1899" Type="http://schemas.openxmlformats.org/officeDocument/2006/relationships/hyperlink" Target="https://pld.live/RapDetail.aspx?STONELIST=941230021&amp;ISCONFIRM=0" TargetMode="External"/><Relationship Id="rId4165" Type="http://schemas.openxmlformats.org/officeDocument/2006/relationships/hyperlink" Target="https://pld.live/RapDetail.aspx?STONELIST=926110894&amp;ISCONFIRM=0" TargetMode="External"/><Relationship Id="rId4372" Type="http://schemas.openxmlformats.org/officeDocument/2006/relationships/hyperlink" Target="https://pld.live/RapDetail.aspx?STONELIST=926750875&amp;ISCONFIRM=0" TargetMode="External"/><Relationship Id="rId5009" Type="http://schemas.openxmlformats.org/officeDocument/2006/relationships/hyperlink" Target="https://pld.live/RapDetail.aspx?STONELIST=925520490&amp;ISCONFIRM=0" TargetMode="External"/><Relationship Id="rId5216" Type="http://schemas.openxmlformats.org/officeDocument/2006/relationships/hyperlink" Target="https://pld.live/RapDetail.aspx?STONELIST=924290001&amp;ISCONFIRM=0" TargetMode="External"/><Relationship Id="rId5770" Type="http://schemas.openxmlformats.org/officeDocument/2006/relationships/hyperlink" Target="https://pld.live/RapDetail.aspx?STONELIST=941070965&amp;ISCONFIRM=0" TargetMode="External"/><Relationship Id="rId6614" Type="http://schemas.openxmlformats.org/officeDocument/2006/relationships/hyperlink" Target="https://pld.live/RapDetail.aspx?STONELIST=941090664&amp;ISCONFIRM=0" TargetMode="External"/><Relationship Id="rId6821" Type="http://schemas.openxmlformats.org/officeDocument/2006/relationships/hyperlink" Target="https://pld.live/RapDetail.aspx?STONELIST=927070609&amp;ISCONFIRM=0" TargetMode="External"/><Relationship Id="rId1759" Type="http://schemas.openxmlformats.org/officeDocument/2006/relationships/hyperlink" Target="https://pld.live/RapDetail.aspx?STONELIST=926460758&amp;ISCONFIRM=0" TargetMode="External"/><Relationship Id="rId1966" Type="http://schemas.openxmlformats.org/officeDocument/2006/relationships/hyperlink" Target="https://pld.live/RapDetail.aspx?STONELIST=941190263&amp;ISCONFIRM=0" TargetMode="External"/><Relationship Id="rId3181" Type="http://schemas.openxmlformats.org/officeDocument/2006/relationships/hyperlink" Target="https://pld.live/RapDetail.aspx?STONELIST=924960012&amp;ISCONFIRM=0" TargetMode="External"/><Relationship Id="rId4025" Type="http://schemas.openxmlformats.org/officeDocument/2006/relationships/hyperlink" Target="https://pld.live/RapDetail.aspx?STONELIST=925981054&amp;ISCONFIRM=0" TargetMode="External"/><Relationship Id="rId5423" Type="http://schemas.openxmlformats.org/officeDocument/2006/relationships/hyperlink" Target="https://pld.live/RapDetail.aspx?STONELIST=941351039&amp;ISCONFIRM=0" TargetMode="External"/><Relationship Id="rId5630" Type="http://schemas.openxmlformats.org/officeDocument/2006/relationships/hyperlink" Target="https://pld.live/RapDetail.aspx?STONELIST=941261076&amp;ISCONFIRM=0" TargetMode="External"/><Relationship Id="rId1619" Type="http://schemas.openxmlformats.org/officeDocument/2006/relationships/hyperlink" Target="https://pld.live/RapDetail.aspx?STONELIST=941330390&amp;ISCONFIRM=0" TargetMode="External"/><Relationship Id="rId1826" Type="http://schemas.openxmlformats.org/officeDocument/2006/relationships/hyperlink" Target="https://pld.live/RapDetail.aspx?STONELIST=926181012&amp;ISCONFIRM=0" TargetMode="External"/><Relationship Id="rId4232" Type="http://schemas.openxmlformats.org/officeDocument/2006/relationships/hyperlink" Target="https://pld.live/RapDetail.aspx?STONELIST=926200803&amp;ISCONFIRM=0" TargetMode="External"/><Relationship Id="rId7388" Type="http://schemas.openxmlformats.org/officeDocument/2006/relationships/hyperlink" Target="https://pld.live/RapDetail.aspx?STONELIST=923830004&amp;ISCONFIRM=0" TargetMode="External"/><Relationship Id="rId7595" Type="http://schemas.openxmlformats.org/officeDocument/2006/relationships/hyperlink" Target="https://pld.live/RapDetail.aspx?STONELIST=924690203&amp;ISCONFIRM=0" TargetMode="External"/><Relationship Id="rId3041" Type="http://schemas.openxmlformats.org/officeDocument/2006/relationships/hyperlink" Target="https://pld.live/RapDetail.aspx?STONELIST=926110933&amp;ISCONFIRM=0" TargetMode="External"/><Relationship Id="rId3998" Type="http://schemas.openxmlformats.org/officeDocument/2006/relationships/hyperlink" Target="https://pld.live/RapDetail.aspx?STONELIST=926101035&amp;ISCONFIRM=0" TargetMode="External"/><Relationship Id="rId6197" Type="http://schemas.openxmlformats.org/officeDocument/2006/relationships/hyperlink" Target="https://pld.live/RapDetail.aspx?STONELIST=926010170&amp;ISCONFIRM=0" TargetMode="External"/><Relationship Id="rId7248" Type="http://schemas.openxmlformats.org/officeDocument/2006/relationships/hyperlink" Target="https://pld.live/RapDetail.aspx?STONELIST=926540239&amp;ISCONFIRM=0" TargetMode="External"/><Relationship Id="rId7455" Type="http://schemas.openxmlformats.org/officeDocument/2006/relationships/hyperlink" Target="https://pld.live/RapDetail.aspx?STONELIST=925961314&amp;ISCONFIRM=0" TargetMode="External"/><Relationship Id="rId7662" Type="http://schemas.openxmlformats.org/officeDocument/2006/relationships/hyperlink" Target="https://pld.live/RapDetail.aspx?STONELIST=941170036&amp;ISCONFIRM=0" TargetMode="External"/><Relationship Id="rId3858" Type="http://schemas.openxmlformats.org/officeDocument/2006/relationships/hyperlink" Target="https://pld.live/RapDetail.aspx?STONELIST=925370285&amp;ISCONFIRM=0" TargetMode="External"/><Relationship Id="rId4909" Type="http://schemas.openxmlformats.org/officeDocument/2006/relationships/hyperlink" Target="https://pld.live/RapDetail.aspx?STONELIST=925930164&amp;ISCONFIRM=0" TargetMode="External"/><Relationship Id="rId6057" Type="http://schemas.openxmlformats.org/officeDocument/2006/relationships/hyperlink" Target="https://pld.live/RapDetail.aspx?STONELIST=941350984&amp;ISCONFIRM=0" TargetMode="External"/><Relationship Id="rId6264" Type="http://schemas.openxmlformats.org/officeDocument/2006/relationships/hyperlink" Target="https://pld.live/RapDetail.aspx?STONELIST=941110563&amp;ISCONFIRM=0" TargetMode="External"/><Relationship Id="rId6471" Type="http://schemas.openxmlformats.org/officeDocument/2006/relationships/hyperlink" Target="https://pld.live/RapDetail.aspx?STONELIST=927132472&amp;ISCONFIRM=0" TargetMode="External"/><Relationship Id="rId7108" Type="http://schemas.openxmlformats.org/officeDocument/2006/relationships/hyperlink" Target="https://pld.live/RapDetail.aspx?STONELIST=941161019&amp;ISCONFIRM=0" TargetMode="External"/><Relationship Id="rId7315" Type="http://schemas.openxmlformats.org/officeDocument/2006/relationships/hyperlink" Target="https://pld.live/RapDetail.aspx?STONELIST=941080836&amp;ISCONFIRM=0" TargetMode="External"/><Relationship Id="rId7522" Type="http://schemas.openxmlformats.org/officeDocument/2006/relationships/hyperlink" Target="https://pld.live/RapDetail.aspx?STONELIST=925732029&amp;ISCONFIRM=0" TargetMode="External"/><Relationship Id="rId779" Type="http://schemas.openxmlformats.org/officeDocument/2006/relationships/hyperlink" Target="https://pld.live/RapDetail.aspx?STONELIST=821127801&amp;ISCONFIRM=0" TargetMode="External"/><Relationship Id="rId986" Type="http://schemas.openxmlformats.org/officeDocument/2006/relationships/hyperlink" Target="https://pld.live/RapDetail.aspx?STONELIST=941190146&amp;ISCONFIRM=0" TargetMode="External"/><Relationship Id="rId2667" Type="http://schemas.openxmlformats.org/officeDocument/2006/relationships/hyperlink" Target="https://pld.live/RapDetail.aspx?STONELIST=926191349&amp;ISCONFIRM=0" TargetMode="External"/><Relationship Id="rId3718" Type="http://schemas.openxmlformats.org/officeDocument/2006/relationships/hyperlink" Target="https://pld.live/RapDetail.aspx?STONELIST=925700237&amp;ISCONFIRM=0" TargetMode="External"/><Relationship Id="rId5073" Type="http://schemas.openxmlformats.org/officeDocument/2006/relationships/hyperlink" Target="https://pld.live/RapDetail.aspx?STONELIST=925621656&amp;ISCONFIRM=0" TargetMode="External"/><Relationship Id="rId5280" Type="http://schemas.openxmlformats.org/officeDocument/2006/relationships/hyperlink" Target="https://pld.live/RapDetail.aspx?STONELIST=926250084&amp;ISCONFIRM=0" TargetMode="External"/><Relationship Id="rId6124" Type="http://schemas.openxmlformats.org/officeDocument/2006/relationships/hyperlink" Target="https://pld.live/RapDetail.aspx?STONELIST=925340020&amp;ISCONFIRM=0" TargetMode="External"/><Relationship Id="rId6331" Type="http://schemas.openxmlformats.org/officeDocument/2006/relationships/hyperlink" Target="https://pld.live/RapDetail.aspx?STONELIST=927040296&amp;ISCONFIRM=0" TargetMode="External"/><Relationship Id="rId639" Type="http://schemas.openxmlformats.org/officeDocument/2006/relationships/hyperlink" Target="https://pld.live/RapDetail.aspx?STONELIST=925501705&amp;ISCONFIRM=0" TargetMode="External"/><Relationship Id="rId1269" Type="http://schemas.openxmlformats.org/officeDocument/2006/relationships/hyperlink" Target="https://pld.live/RapDetail.aspx?STONELIST=821126532&amp;ISCONFIRM=0" TargetMode="External"/><Relationship Id="rId1476" Type="http://schemas.openxmlformats.org/officeDocument/2006/relationships/hyperlink" Target="https://pld.live/RapDetail.aspx?STONELIST=926221194&amp;ISCONFIRM=0" TargetMode="External"/><Relationship Id="rId2874" Type="http://schemas.openxmlformats.org/officeDocument/2006/relationships/hyperlink" Target="https://pld.live/RapDetail.aspx?STONELIST=926171460&amp;ISCONFIRM=0" TargetMode="External"/><Relationship Id="rId3925" Type="http://schemas.openxmlformats.org/officeDocument/2006/relationships/hyperlink" Target="https://pld.live/RapDetail.aspx?STONELIST=925620718&amp;ISCONFIRM=0" TargetMode="External"/><Relationship Id="rId5140" Type="http://schemas.openxmlformats.org/officeDocument/2006/relationships/hyperlink" Target="https://pld.live/RapDetail.aspx?STONELIST=926100834&amp;ISCONFIRM=0" TargetMode="External"/><Relationship Id="rId8089" Type="http://schemas.openxmlformats.org/officeDocument/2006/relationships/hyperlink" Target="https://pld.live/RapDetail.aspx?STONELIST=926830937&amp;ISCONFIRM=0" TargetMode="External"/><Relationship Id="rId846" Type="http://schemas.openxmlformats.org/officeDocument/2006/relationships/hyperlink" Target="https://pld.live/RapDetail.aspx?STONELIST=821127409&amp;ISCONFIRM=0" TargetMode="External"/><Relationship Id="rId1129" Type="http://schemas.openxmlformats.org/officeDocument/2006/relationships/hyperlink" Target="https://pld.live/RapDetail.aspx?STONELIST=926810887&amp;ISCONFIRM=0" TargetMode="External"/><Relationship Id="rId1683" Type="http://schemas.openxmlformats.org/officeDocument/2006/relationships/hyperlink" Target="https://pld.live/RapDetail.aspx?STONELIST=925780511&amp;ISCONFIRM=0" TargetMode="External"/><Relationship Id="rId1890" Type="http://schemas.openxmlformats.org/officeDocument/2006/relationships/hyperlink" Target="https://pld.live/RapDetail.aspx?STONELIST=926440930&amp;ISCONFIRM=0" TargetMode="External"/><Relationship Id="rId2527" Type="http://schemas.openxmlformats.org/officeDocument/2006/relationships/hyperlink" Target="https://pld.live/RapDetail.aspx?STONELIST=920661258&amp;ISCONFIRM=0" TargetMode="External"/><Relationship Id="rId2734" Type="http://schemas.openxmlformats.org/officeDocument/2006/relationships/hyperlink" Target="https://pld.live/RapDetail.aspx?STONELIST=831020417&amp;ISCONFIRM=0" TargetMode="External"/><Relationship Id="rId2941" Type="http://schemas.openxmlformats.org/officeDocument/2006/relationships/hyperlink" Target="https://pld.live/RapDetail.aspx?STONELIST=925830774&amp;ISCONFIRM=0" TargetMode="External"/><Relationship Id="rId5000" Type="http://schemas.openxmlformats.org/officeDocument/2006/relationships/hyperlink" Target="https://pld.live/RapDetail.aspx?STONELIST=925801816&amp;ISCONFIRM=0" TargetMode="External"/><Relationship Id="rId8156" Type="http://schemas.openxmlformats.org/officeDocument/2006/relationships/hyperlink" Target="https://pld.live/RapDetail.aspx?STONELIST=924350183&amp;ISCONFIRM=0" TargetMode="External"/><Relationship Id="rId706" Type="http://schemas.openxmlformats.org/officeDocument/2006/relationships/hyperlink" Target="https://pld.live/RapDetail.aspx?STONELIST=821127656&amp;ISCONFIRM=0" TargetMode="External"/><Relationship Id="rId913" Type="http://schemas.openxmlformats.org/officeDocument/2006/relationships/hyperlink" Target="https://pld.live/RapDetail.aspx?STONELIST=821127413&amp;ISCONFIRM=0" TargetMode="External"/><Relationship Id="rId1336" Type="http://schemas.openxmlformats.org/officeDocument/2006/relationships/hyperlink" Target="https://pld.live/RapDetail.aspx?STONELIST=925280168&amp;ISCONFIRM=0" TargetMode="External"/><Relationship Id="rId1543" Type="http://schemas.openxmlformats.org/officeDocument/2006/relationships/hyperlink" Target="https://pld.live/RapDetail.aspx?STONELIST=926280764&amp;ISCONFIRM=0" TargetMode="External"/><Relationship Id="rId1750" Type="http://schemas.openxmlformats.org/officeDocument/2006/relationships/hyperlink" Target="https://pld.live/RapDetail.aspx?STONELIST=941390202&amp;ISCONFIRM=0" TargetMode="External"/><Relationship Id="rId2801" Type="http://schemas.openxmlformats.org/officeDocument/2006/relationships/hyperlink" Target="https://pld.live/RapDetail.aspx?STONELIST=925552037&amp;ISCONFIRM=0" TargetMode="External"/><Relationship Id="rId4699" Type="http://schemas.openxmlformats.org/officeDocument/2006/relationships/hyperlink" Target="https://pld.live/RapDetail.aspx?STONELIST=941180064&amp;ISCONFIRM=0" TargetMode="External"/><Relationship Id="rId5957" Type="http://schemas.openxmlformats.org/officeDocument/2006/relationships/hyperlink" Target="https://pld.live/RapDetail.aspx?STONELIST=926921491&amp;ISCONFIRM=0" TargetMode="External"/><Relationship Id="rId8016" Type="http://schemas.openxmlformats.org/officeDocument/2006/relationships/hyperlink" Target="https://pld.live/RapDetail.aspx?STONELIST=925502734&amp;ISCONFIRM=0" TargetMode="External"/><Relationship Id="rId42" Type="http://schemas.openxmlformats.org/officeDocument/2006/relationships/hyperlink" Target="https://pld.live/RapDetail.aspx?STONELIST=941330391&amp;ISCONFIRM=0" TargetMode="External"/><Relationship Id="rId1403" Type="http://schemas.openxmlformats.org/officeDocument/2006/relationships/hyperlink" Target="https://pld.live/RapDetail.aspx?STONELIST=821125843&amp;ISCONFIRM=0" TargetMode="External"/><Relationship Id="rId1610" Type="http://schemas.openxmlformats.org/officeDocument/2006/relationships/hyperlink" Target="https://pld.live/RapDetail.aspx?STONELIST=941340133&amp;ISCONFIRM=0" TargetMode="External"/><Relationship Id="rId4559" Type="http://schemas.openxmlformats.org/officeDocument/2006/relationships/hyperlink" Target="https://pld.live/RapDetail.aspx?STONELIST=924960433&amp;ISCONFIRM=0" TargetMode="External"/><Relationship Id="rId4766" Type="http://schemas.openxmlformats.org/officeDocument/2006/relationships/hyperlink" Target="https://pld.live/RapDetail.aspx?STONELIST=925060256&amp;ISCONFIRM=0" TargetMode="External"/><Relationship Id="rId4973" Type="http://schemas.openxmlformats.org/officeDocument/2006/relationships/hyperlink" Target="https://pld.live/RapDetail.aspx?STONELIST=821126937&amp;ISCONFIRM=0" TargetMode="External"/><Relationship Id="rId5817" Type="http://schemas.openxmlformats.org/officeDocument/2006/relationships/hyperlink" Target="https://pld.live/RapDetail.aspx?STONELIST=926050375&amp;ISCONFIRM=0" TargetMode="External"/><Relationship Id="rId7172" Type="http://schemas.openxmlformats.org/officeDocument/2006/relationships/hyperlink" Target="https://pld.live/RapDetail.aspx?STONELIST=941390588&amp;ISCONFIRM=0" TargetMode="External"/><Relationship Id="rId8223" Type="http://schemas.openxmlformats.org/officeDocument/2006/relationships/hyperlink" Target="https://pld.live/RapDetail.aspx?STONELIST=925771355&amp;ISCONFIRM=0" TargetMode="External"/><Relationship Id="rId3368" Type="http://schemas.openxmlformats.org/officeDocument/2006/relationships/hyperlink" Target="https://pld.live/RapDetail.aspx?STONELIST=925542733&amp;ISCONFIRM=0" TargetMode="External"/><Relationship Id="rId3575" Type="http://schemas.openxmlformats.org/officeDocument/2006/relationships/hyperlink" Target="https://pld.live/RapDetail.aspx?STONELIST=821133244&amp;ISCONFIRM=0" TargetMode="External"/><Relationship Id="rId3782" Type="http://schemas.openxmlformats.org/officeDocument/2006/relationships/hyperlink" Target="https://pld.live/RapDetail.aspx?STONELIST=9414201302&amp;ISCONFIRM=0" TargetMode="External"/><Relationship Id="rId4419" Type="http://schemas.openxmlformats.org/officeDocument/2006/relationships/hyperlink" Target="https://pld.live/RapDetail.aspx?STONELIST=925851250&amp;ISCONFIRM=0" TargetMode="External"/><Relationship Id="rId4626" Type="http://schemas.openxmlformats.org/officeDocument/2006/relationships/hyperlink" Target="https://pld.live/RapDetail.aspx?STONELIST=927052632&amp;ISCONFIRM=0" TargetMode="External"/><Relationship Id="rId4833" Type="http://schemas.openxmlformats.org/officeDocument/2006/relationships/hyperlink" Target="https://pld.live/RapDetail.aspx?STONELIST=925501954&amp;ISCONFIRM=0" TargetMode="External"/><Relationship Id="rId7032" Type="http://schemas.openxmlformats.org/officeDocument/2006/relationships/hyperlink" Target="https://pld.live/RapDetail.aspx?STONELIST=926681114&amp;ISCONFIRM=0" TargetMode="External"/><Relationship Id="rId7989" Type="http://schemas.openxmlformats.org/officeDocument/2006/relationships/hyperlink" Target="https://pld.live/RapDetail.aspx?STONELIST=926900988&amp;ISCONFIRM=0" TargetMode="External"/><Relationship Id="rId289" Type="http://schemas.openxmlformats.org/officeDocument/2006/relationships/hyperlink" Target="https://pld.live/RapDetail.aspx?STONELIST=941360373&amp;ISCONFIRM=0" TargetMode="External"/><Relationship Id="rId496" Type="http://schemas.openxmlformats.org/officeDocument/2006/relationships/hyperlink" Target="https://pld.live/RapDetail.aspx?STONELIST=926071759&amp;ISCONFIRM=0" TargetMode="External"/><Relationship Id="rId2177" Type="http://schemas.openxmlformats.org/officeDocument/2006/relationships/hyperlink" Target="https://pld.live/RapDetail.aspx?STONELIST=926191115&amp;ISCONFIRM=0" TargetMode="External"/><Relationship Id="rId2384" Type="http://schemas.openxmlformats.org/officeDocument/2006/relationships/hyperlink" Target="https://pld.live/RapDetail.aspx?STONELIST=924540171&amp;ISCONFIRM=0" TargetMode="External"/><Relationship Id="rId2591" Type="http://schemas.openxmlformats.org/officeDocument/2006/relationships/hyperlink" Target="https://pld.live/RapDetail.aspx?STONELIST=926191096&amp;ISCONFIRM=0" TargetMode="External"/><Relationship Id="rId3228" Type="http://schemas.openxmlformats.org/officeDocument/2006/relationships/hyperlink" Target="https://pld.live/RapDetail.aspx?STONELIST=925040478&amp;ISCONFIRM=0" TargetMode="External"/><Relationship Id="rId3435" Type="http://schemas.openxmlformats.org/officeDocument/2006/relationships/hyperlink" Target="https://pld.live/RapDetail.aspx?STONELIST=831010474&amp;ISCONFIRM=0" TargetMode="External"/><Relationship Id="rId3642" Type="http://schemas.openxmlformats.org/officeDocument/2006/relationships/hyperlink" Target="https://pld.live/RapDetail.aspx?STONELIST=925060418&amp;ISCONFIRM=0" TargetMode="External"/><Relationship Id="rId6798" Type="http://schemas.openxmlformats.org/officeDocument/2006/relationships/hyperlink" Target="https://pld.live/RapDetail.aspx?STONELIST=925930274&amp;ISCONFIRM=0" TargetMode="External"/><Relationship Id="rId7849" Type="http://schemas.openxmlformats.org/officeDocument/2006/relationships/hyperlink" Target="https://pld.live/RapDetail.aspx?STONELIST=924700207&amp;ISCONFIRM=0" TargetMode="External"/><Relationship Id="rId149" Type="http://schemas.openxmlformats.org/officeDocument/2006/relationships/hyperlink" Target="https://pld.live/RapDetail.aspx?STONELIST=927020645&amp;ISCONFIRM=0" TargetMode="External"/><Relationship Id="rId356" Type="http://schemas.openxmlformats.org/officeDocument/2006/relationships/hyperlink" Target="https://pld.live/RapDetail.aspx?STONELIST=941110084&amp;ISCONFIRM=0" TargetMode="External"/><Relationship Id="rId563" Type="http://schemas.openxmlformats.org/officeDocument/2006/relationships/hyperlink" Target="https://pld.live/RapDetail.aspx?STONELIST=927101137&amp;ISCONFIRM=0" TargetMode="External"/><Relationship Id="rId770" Type="http://schemas.openxmlformats.org/officeDocument/2006/relationships/hyperlink" Target="https://pld.live/RapDetail.aspx?STONELIST=926041109&amp;ISCONFIRM=0" TargetMode="External"/><Relationship Id="rId1193" Type="http://schemas.openxmlformats.org/officeDocument/2006/relationships/hyperlink" Target="https://pld.live/RapDetail.aspx?STONELIST=941110118&amp;ISCONFIRM=0" TargetMode="External"/><Relationship Id="rId2037" Type="http://schemas.openxmlformats.org/officeDocument/2006/relationships/hyperlink" Target="https://pld.live/RapDetail.aspx?STONELIST=924030763&amp;ISCONFIRM=0" TargetMode="External"/><Relationship Id="rId2244" Type="http://schemas.openxmlformats.org/officeDocument/2006/relationships/hyperlink" Target="https://pld.live/RapDetail.aspx?STONELIST=926240524&amp;ISCONFIRM=0" TargetMode="External"/><Relationship Id="rId2451" Type="http://schemas.openxmlformats.org/officeDocument/2006/relationships/hyperlink" Target="https://pld.live/RapDetail.aspx?STONELIST=821127929&amp;ISCONFIRM=0" TargetMode="External"/><Relationship Id="rId4900" Type="http://schemas.openxmlformats.org/officeDocument/2006/relationships/hyperlink" Target="https://pld.live/RapDetail.aspx?STONELIST=821113477&amp;ISCONFIRM=0" TargetMode="External"/><Relationship Id="rId6658" Type="http://schemas.openxmlformats.org/officeDocument/2006/relationships/hyperlink" Target="https://pld.live/RapDetail.aspx?STONELIST=927092617&amp;ISCONFIRM=0" TargetMode="External"/><Relationship Id="rId216" Type="http://schemas.openxmlformats.org/officeDocument/2006/relationships/hyperlink" Target="https://pld.live/RapDetail.aspx?STONELIST=831020714&amp;ISCONFIRM=0" TargetMode="External"/><Relationship Id="rId423" Type="http://schemas.openxmlformats.org/officeDocument/2006/relationships/hyperlink" Target="https://pld.live/RapDetail.aspx?STONELIST=831020504&amp;ISCONFIRM=0" TargetMode="External"/><Relationship Id="rId1053" Type="http://schemas.openxmlformats.org/officeDocument/2006/relationships/hyperlink" Target="https://pld.live/RapDetail.aspx?STONELIST=941070984&amp;ISCONFIRM=0" TargetMode="External"/><Relationship Id="rId1260" Type="http://schemas.openxmlformats.org/officeDocument/2006/relationships/hyperlink" Target="https://pld.live/RapDetail.aspx?STONELIST=941170258&amp;ISCONFIRM=0" TargetMode="External"/><Relationship Id="rId2104" Type="http://schemas.openxmlformats.org/officeDocument/2006/relationships/hyperlink" Target="https://pld.live/RapDetail.aspx?STONELIST=821127928&amp;ISCONFIRM=0" TargetMode="External"/><Relationship Id="rId3502" Type="http://schemas.openxmlformats.org/officeDocument/2006/relationships/hyperlink" Target="https://pld.live/RapDetail.aspx?STONELIST=926250446&amp;ISCONFIRM=0" TargetMode="External"/><Relationship Id="rId6865" Type="http://schemas.openxmlformats.org/officeDocument/2006/relationships/hyperlink" Target="https://pld.live/RapDetail.aspx?STONELIST=926910286&amp;ISCONFIRM=0" TargetMode="External"/><Relationship Id="rId7709" Type="http://schemas.openxmlformats.org/officeDocument/2006/relationships/hyperlink" Target="https://pld.live/RapDetail.aspx?STONELIST=941270768&amp;ISCONFIRM=0" TargetMode="External"/><Relationship Id="rId7916" Type="http://schemas.openxmlformats.org/officeDocument/2006/relationships/hyperlink" Target="https://pld.live/RapDetail.aspx?STONELIST=926750639&amp;ISCONFIRM=0" TargetMode="External"/><Relationship Id="rId8080" Type="http://schemas.openxmlformats.org/officeDocument/2006/relationships/hyperlink" Target="https://pld.live/RapDetail.aspx?STONELIST=925960966&amp;ISCONFIRM=0" TargetMode="External"/><Relationship Id="rId630" Type="http://schemas.openxmlformats.org/officeDocument/2006/relationships/hyperlink" Target="https://pld.live/RapDetail.aspx?STONELIST=925960877&amp;ISCONFIRM=0" TargetMode="External"/><Relationship Id="rId2311" Type="http://schemas.openxmlformats.org/officeDocument/2006/relationships/hyperlink" Target="https://pld.live/RapDetail.aspx?STONELIST=926190940&amp;ISCONFIRM=0" TargetMode="External"/><Relationship Id="rId4069" Type="http://schemas.openxmlformats.org/officeDocument/2006/relationships/hyperlink" Target="https://pld.live/RapDetail.aspx?STONELIST=926071487&amp;ISCONFIRM=0" TargetMode="External"/><Relationship Id="rId5467" Type="http://schemas.openxmlformats.org/officeDocument/2006/relationships/hyperlink" Target="https://pld.live/RapDetail.aspx?STONELIST=926750642&amp;ISCONFIRM=0" TargetMode="External"/><Relationship Id="rId5674" Type="http://schemas.openxmlformats.org/officeDocument/2006/relationships/hyperlink" Target="https://pld.live/RapDetail.aspx?STONELIST=924960421&amp;ISCONFIRM=0" TargetMode="External"/><Relationship Id="rId5881" Type="http://schemas.openxmlformats.org/officeDocument/2006/relationships/hyperlink" Target="https://pld.live/RapDetail.aspx?STONELIST=925300375&amp;ISCONFIRM=0" TargetMode="External"/><Relationship Id="rId6518" Type="http://schemas.openxmlformats.org/officeDocument/2006/relationships/hyperlink" Target="https://pld.live/RapDetail.aspx?STONELIST=927000626&amp;ISCONFIRM=0" TargetMode="External"/><Relationship Id="rId6725" Type="http://schemas.openxmlformats.org/officeDocument/2006/relationships/hyperlink" Target="https://pld.live/RapDetail.aspx?STONELIST=927102463&amp;ISCONFIRM=0" TargetMode="External"/><Relationship Id="rId6932" Type="http://schemas.openxmlformats.org/officeDocument/2006/relationships/hyperlink" Target="https://pld.live/RapDetail.aspx?STONELIST=926101549&amp;ISCONFIRM=0" TargetMode="External"/><Relationship Id="rId1120" Type="http://schemas.openxmlformats.org/officeDocument/2006/relationships/hyperlink" Target="https://pld.live/RapDetail.aspx?STONELIST=926831060&amp;ISCONFIRM=0" TargetMode="External"/><Relationship Id="rId4276" Type="http://schemas.openxmlformats.org/officeDocument/2006/relationships/hyperlink" Target="https://pld.live/RapDetail.aspx?STONELIST=926270120&amp;ISCONFIRM=0" TargetMode="External"/><Relationship Id="rId4483" Type="http://schemas.openxmlformats.org/officeDocument/2006/relationships/hyperlink" Target="https://pld.live/RapDetail.aspx?STONELIST=927052696&amp;ISCONFIRM=0" TargetMode="External"/><Relationship Id="rId4690" Type="http://schemas.openxmlformats.org/officeDocument/2006/relationships/hyperlink" Target="https://pld.live/RapDetail.aspx?STONELIST=927120044&amp;ISCONFIRM=0" TargetMode="External"/><Relationship Id="rId5327" Type="http://schemas.openxmlformats.org/officeDocument/2006/relationships/hyperlink" Target="https://pld.live/RapDetail.aspx?STONELIST=926210624&amp;ISCONFIRM=0" TargetMode="External"/><Relationship Id="rId5534" Type="http://schemas.openxmlformats.org/officeDocument/2006/relationships/hyperlink" Target="https://pld.live/RapDetail.aspx?STONELIST=925110465&amp;ISCONFIRM=0" TargetMode="External"/><Relationship Id="rId5741" Type="http://schemas.openxmlformats.org/officeDocument/2006/relationships/hyperlink" Target="https://pld.live/RapDetail.aspx?STONELIST=924520170&amp;ISCONFIRM=0" TargetMode="External"/><Relationship Id="rId1937" Type="http://schemas.openxmlformats.org/officeDocument/2006/relationships/hyperlink" Target="https://pld.live/RapDetail.aspx?STONELIST=941200234&amp;ISCONFIRM=0" TargetMode="External"/><Relationship Id="rId3085" Type="http://schemas.openxmlformats.org/officeDocument/2006/relationships/hyperlink" Target="https://pld.live/RapDetail.aspx?STONELIST=821128398&amp;ISCONFIRM=0" TargetMode="External"/><Relationship Id="rId3292" Type="http://schemas.openxmlformats.org/officeDocument/2006/relationships/hyperlink" Target="https://pld.live/RapDetail.aspx?STONELIST=926130178&amp;ISCONFIRM=0" TargetMode="External"/><Relationship Id="rId4136" Type="http://schemas.openxmlformats.org/officeDocument/2006/relationships/hyperlink" Target="https://pld.live/RapDetail.aspx?STONELIST=925980900&amp;ISCONFIRM=0" TargetMode="External"/><Relationship Id="rId4343" Type="http://schemas.openxmlformats.org/officeDocument/2006/relationships/hyperlink" Target="https://pld.live/RapDetail.aspx?STONELIST=821125464&amp;ISCONFIRM=0" TargetMode="External"/><Relationship Id="rId4550" Type="http://schemas.openxmlformats.org/officeDocument/2006/relationships/hyperlink" Target="https://pld.live/RapDetail.aspx?STONELIST=941320279&amp;ISCONFIRM=0" TargetMode="External"/><Relationship Id="rId5601" Type="http://schemas.openxmlformats.org/officeDocument/2006/relationships/hyperlink" Target="https://pld.live/RapDetail.aspx?STONELIST=920470389&amp;ISCONFIRM=0" TargetMode="External"/><Relationship Id="rId7499" Type="http://schemas.openxmlformats.org/officeDocument/2006/relationships/hyperlink" Target="https://pld.live/RapDetail.aspx?STONELIST=925731977&amp;ISCONFIRM=0" TargetMode="External"/><Relationship Id="rId3152" Type="http://schemas.openxmlformats.org/officeDocument/2006/relationships/hyperlink" Target="https://pld.live/RapDetail.aspx?STONELIST=924580364&amp;ISCONFIRM=0" TargetMode="External"/><Relationship Id="rId4203" Type="http://schemas.openxmlformats.org/officeDocument/2006/relationships/hyperlink" Target="https://pld.live/RapDetail.aspx?STONELIST=925722042&amp;ISCONFIRM=0" TargetMode="External"/><Relationship Id="rId4410" Type="http://schemas.openxmlformats.org/officeDocument/2006/relationships/hyperlink" Target="https://pld.live/RapDetail.aspx?STONELIST=925280476&amp;ISCONFIRM=0" TargetMode="External"/><Relationship Id="rId7359" Type="http://schemas.openxmlformats.org/officeDocument/2006/relationships/hyperlink" Target="https://pld.live/RapDetail.aspx?STONELIST=941280502&amp;ISCONFIRM=0" TargetMode="External"/><Relationship Id="rId7566" Type="http://schemas.openxmlformats.org/officeDocument/2006/relationships/hyperlink" Target="https://pld.live/RapDetail.aspx?STONELIST=925731625&amp;ISCONFIRM=0" TargetMode="External"/><Relationship Id="rId7773" Type="http://schemas.openxmlformats.org/officeDocument/2006/relationships/hyperlink" Target="https://pld.live/RapDetail.aspx?STONELIST=831020691&amp;ISCONFIRM=0" TargetMode="External"/><Relationship Id="rId280" Type="http://schemas.openxmlformats.org/officeDocument/2006/relationships/hyperlink" Target="https://pld.live/RapDetail.aspx?STONELIST=831020729&amp;ISCONFIRM=0" TargetMode="External"/><Relationship Id="rId3012" Type="http://schemas.openxmlformats.org/officeDocument/2006/relationships/hyperlink" Target="https://pld.live/RapDetail.aspx?STONELIST=926250024&amp;ISCONFIRM=0" TargetMode="External"/><Relationship Id="rId6168" Type="http://schemas.openxmlformats.org/officeDocument/2006/relationships/hyperlink" Target="https://pld.live/RapDetail.aspx?STONELIST=941180095&amp;ISCONFIRM=0" TargetMode="External"/><Relationship Id="rId6375" Type="http://schemas.openxmlformats.org/officeDocument/2006/relationships/hyperlink" Target="https://pld.live/RapDetail.aspx?STONELIST=821114730&amp;ISCONFIRM=0" TargetMode="External"/><Relationship Id="rId6582" Type="http://schemas.openxmlformats.org/officeDocument/2006/relationships/hyperlink" Target="https://pld.live/RapDetail.aspx?STONELIST=926050092&amp;ISCONFIRM=0" TargetMode="External"/><Relationship Id="rId7219" Type="http://schemas.openxmlformats.org/officeDocument/2006/relationships/hyperlink" Target="https://pld.live/RapDetail.aspx?STONELIST=821111889&amp;ISCONFIRM=0" TargetMode="External"/><Relationship Id="rId7426" Type="http://schemas.openxmlformats.org/officeDocument/2006/relationships/hyperlink" Target="https://pld.live/RapDetail.aspx?STONELIST=924300183&amp;ISCONFIRM=0" TargetMode="External"/><Relationship Id="rId7980" Type="http://schemas.openxmlformats.org/officeDocument/2006/relationships/hyperlink" Target="https://pld.live/RapDetail.aspx?STONELIST=927052459&amp;ISCONFIRM=0" TargetMode="External"/><Relationship Id="rId140" Type="http://schemas.openxmlformats.org/officeDocument/2006/relationships/hyperlink" Target="https://pld.live/RapDetail.aspx?STONELIST=941390336&amp;ISCONFIRM=0" TargetMode="External"/><Relationship Id="rId3969" Type="http://schemas.openxmlformats.org/officeDocument/2006/relationships/hyperlink" Target="https://pld.live/RapDetail.aspx?STONELIST=821124350&amp;ISCONFIRM=0" TargetMode="External"/><Relationship Id="rId5184" Type="http://schemas.openxmlformats.org/officeDocument/2006/relationships/hyperlink" Target="https://pld.live/RapDetail.aspx?STONELIST=925970836&amp;ISCONFIRM=0" TargetMode="External"/><Relationship Id="rId5391" Type="http://schemas.openxmlformats.org/officeDocument/2006/relationships/hyperlink" Target="https://pld.live/RapDetail.aspx?STONELIST=941320805&amp;ISCONFIRM=0" TargetMode="External"/><Relationship Id="rId6028" Type="http://schemas.openxmlformats.org/officeDocument/2006/relationships/hyperlink" Target="https://pld.live/RapDetail.aspx?STONELIST=941260563&amp;ISCONFIRM=0" TargetMode="External"/><Relationship Id="rId6235" Type="http://schemas.openxmlformats.org/officeDocument/2006/relationships/hyperlink" Target="https://pld.live/RapDetail.aspx?STONELIST=941100655&amp;ISCONFIRM=0" TargetMode="External"/><Relationship Id="rId7633" Type="http://schemas.openxmlformats.org/officeDocument/2006/relationships/hyperlink" Target="https://pld.live/RapDetail.aspx?STONELIST=926631148&amp;ISCONFIRM=0" TargetMode="External"/><Relationship Id="rId7840" Type="http://schemas.openxmlformats.org/officeDocument/2006/relationships/hyperlink" Target="https://pld.live/RapDetail.aspx?STONELIST=926901081&amp;ISCONFIRM=0" TargetMode="External"/><Relationship Id="rId6" Type="http://schemas.openxmlformats.org/officeDocument/2006/relationships/hyperlink" Target="https://pld.live/RapDetail.aspx?STONELIST=924500061&amp;ISCONFIRM=0" TargetMode="External"/><Relationship Id="rId2778" Type="http://schemas.openxmlformats.org/officeDocument/2006/relationships/hyperlink" Target="https://pld.live/RapDetail.aspx?STONELIST=925502236&amp;ISCONFIRM=0" TargetMode="External"/><Relationship Id="rId2985" Type="http://schemas.openxmlformats.org/officeDocument/2006/relationships/hyperlink" Target="https://pld.live/RapDetail.aspx?STONELIST=925900554&amp;ISCONFIRM=0" TargetMode="External"/><Relationship Id="rId3829" Type="http://schemas.openxmlformats.org/officeDocument/2006/relationships/hyperlink" Target="https://pld.live/RapDetail.aspx?STONELIST=927070258&amp;ISCONFIRM=0" TargetMode="External"/><Relationship Id="rId5044" Type="http://schemas.openxmlformats.org/officeDocument/2006/relationships/hyperlink" Target="https://pld.live/RapDetail.aspx?STONELIST=925980001&amp;ISCONFIRM=0" TargetMode="External"/><Relationship Id="rId6442" Type="http://schemas.openxmlformats.org/officeDocument/2006/relationships/hyperlink" Target="https://pld.live/RapDetail.aspx?STONELIST=927092055&amp;ISCONFIRM=0" TargetMode="External"/><Relationship Id="rId7700" Type="http://schemas.openxmlformats.org/officeDocument/2006/relationships/hyperlink" Target="https://pld.live/RapDetail.aspx?STONELIST=941261109&amp;ISCONFIRM=0" TargetMode="External"/><Relationship Id="rId957" Type="http://schemas.openxmlformats.org/officeDocument/2006/relationships/hyperlink" Target="https://pld.live/RapDetail.aspx?STONELIST=926701125&amp;ISCONFIRM=0" TargetMode="External"/><Relationship Id="rId1587" Type="http://schemas.openxmlformats.org/officeDocument/2006/relationships/hyperlink" Target="https://pld.live/RapDetail.aspx?STONELIST=941360344&amp;ISCONFIRM=0" TargetMode="External"/><Relationship Id="rId1794" Type="http://schemas.openxmlformats.org/officeDocument/2006/relationships/hyperlink" Target="https://pld.live/RapDetail.aspx?STONELIST=821128457&amp;ISCONFIRM=0" TargetMode="External"/><Relationship Id="rId2638" Type="http://schemas.openxmlformats.org/officeDocument/2006/relationships/hyperlink" Target="https://pld.live/RapDetail.aspx?STONELIST=926240683&amp;ISCONFIRM=0" TargetMode="External"/><Relationship Id="rId2845" Type="http://schemas.openxmlformats.org/officeDocument/2006/relationships/hyperlink" Target="https://pld.live/RapDetail.aspx?STONELIST=925971286&amp;ISCONFIRM=0" TargetMode="External"/><Relationship Id="rId5251" Type="http://schemas.openxmlformats.org/officeDocument/2006/relationships/hyperlink" Target="https://pld.live/RapDetail.aspx?STONELIST=924260796&amp;ISCONFIRM=0" TargetMode="External"/><Relationship Id="rId6302" Type="http://schemas.openxmlformats.org/officeDocument/2006/relationships/hyperlink" Target="https://pld.live/RapDetail.aspx?STONELIST=925771112&amp;ISCONFIRM=0" TargetMode="External"/><Relationship Id="rId86" Type="http://schemas.openxmlformats.org/officeDocument/2006/relationships/hyperlink" Target="https://pld.live/RapDetail.aspx?STONELIST=925340015&amp;ISCONFIRM=0" TargetMode="External"/><Relationship Id="rId817" Type="http://schemas.openxmlformats.org/officeDocument/2006/relationships/hyperlink" Target="https://pld.live/RapDetail.aspx?STONELIST=926071548&amp;ISCONFIRM=0" TargetMode="External"/><Relationship Id="rId1447" Type="http://schemas.openxmlformats.org/officeDocument/2006/relationships/hyperlink" Target="https://pld.live/RapDetail.aspx?STONELIST=926731250&amp;ISCONFIRM=0" TargetMode="External"/><Relationship Id="rId1654" Type="http://schemas.openxmlformats.org/officeDocument/2006/relationships/hyperlink" Target="https://pld.live/RapDetail.aspx?STONELIST=925790897&amp;ISCONFIRM=0" TargetMode="External"/><Relationship Id="rId1861" Type="http://schemas.openxmlformats.org/officeDocument/2006/relationships/hyperlink" Target="https://pld.live/RapDetail.aspx?STONELIST=925780927&amp;ISCONFIRM=0" TargetMode="External"/><Relationship Id="rId2705" Type="http://schemas.openxmlformats.org/officeDocument/2006/relationships/hyperlink" Target="https://pld.live/RapDetail.aspx?STONELIST=926311344&amp;ISCONFIRM=0" TargetMode="External"/><Relationship Id="rId2912" Type="http://schemas.openxmlformats.org/officeDocument/2006/relationships/hyperlink" Target="https://pld.live/RapDetail.aspx?STONELIST=925030363&amp;ISCONFIRM=0" TargetMode="External"/><Relationship Id="rId4060" Type="http://schemas.openxmlformats.org/officeDocument/2006/relationships/hyperlink" Target="https://pld.live/RapDetail.aspx?STONELIST=926171207&amp;ISCONFIRM=0" TargetMode="External"/><Relationship Id="rId5111" Type="http://schemas.openxmlformats.org/officeDocument/2006/relationships/hyperlink" Target="https://pld.live/RapDetail.aspx?STONELIST=926830894&amp;ISCONFIRM=0" TargetMode="External"/><Relationship Id="rId1307" Type="http://schemas.openxmlformats.org/officeDocument/2006/relationships/hyperlink" Target="https://pld.live/RapDetail.aspx?STONELIST=941320144&amp;ISCONFIRM=0" TargetMode="External"/><Relationship Id="rId1514" Type="http://schemas.openxmlformats.org/officeDocument/2006/relationships/hyperlink" Target="https://pld.live/RapDetail.aspx?STONELIST=926211164&amp;ISCONFIRM=0" TargetMode="External"/><Relationship Id="rId1721" Type="http://schemas.openxmlformats.org/officeDocument/2006/relationships/hyperlink" Target="https://pld.live/RapDetail.aspx?STONELIST=941270638&amp;ISCONFIRM=0" TargetMode="External"/><Relationship Id="rId4877" Type="http://schemas.openxmlformats.org/officeDocument/2006/relationships/hyperlink" Target="https://pld.live/RapDetail.aspx?STONELIST=925981066&amp;ISCONFIRM=0" TargetMode="External"/><Relationship Id="rId5928" Type="http://schemas.openxmlformats.org/officeDocument/2006/relationships/hyperlink" Target="https://pld.live/RapDetail.aspx?STONELIST=925981268&amp;ISCONFIRM=0" TargetMode="External"/><Relationship Id="rId7076" Type="http://schemas.openxmlformats.org/officeDocument/2006/relationships/hyperlink" Target="https://pld.live/RapDetail.aspx?STONELIST=927092580&amp;ISCONFIRM=0" TargetMode="External"/><Relationship Id="rId7283" Type="http://schemas.openxmlformats.org/officeDocument/2006/relationships/hyperlink" Target="https://pld.live/RapDetail.aspx?STONELIST=941220177&amp;ISCONFIRM=0" TargetMode="External"/><Relationship Id="rId7490" Type="http://schemas.openxmlformats.org/officeDocument/2006/relationships/hyperlink" Target="https://pld.live/RapDetail.aspx?STONELIST=925981175&amp;ISCONFIRM=0" TargetMode="External"/><Relationship Id="rId8127" Type="http://schemas.openxmlformats.org/officeDocument/2006/relationships/hyperlink" Target="https://pld.live/RapDetail.aspx?STONELIST=926110149&amp;ISCONFIRM=0" TargetMode="External"/><Relationship Id="rId13" Type="http://schemas.openxmlformats.org/officeDocument/2006/relationships/hyperlink" Target="https://pld.live/RapDetail.aspx?STONELIST=924530061&amp;ISCONFIRM=0" TargetMode="External"/><Relationship Id="rId3479" Type="http://schemas.openxmlformats.org/officeDocument/2006/relationships/hyperlink" Target="https://pld.live/RapDetail.aspx?STONELIST=925080629&amp;ISCONFIRM=0" TargetMode="External"/><Relationship Id="rId3686" Type="http://schemas.openxmlformats.org/officeDocument/2006/relationships/hyperlink" Target="https://pld.live/RapDetail.aspx?STONELIST=925680196&amp;ISCONFIRM=0" TargetMode="External"/><Relationship Id="rId6092" Type="http://schemas.openxmlformats.org/officeDocument/2006/relationships/hyperlink" Target="https://pld.live/RapDetail.aspx?STONELIST=926470451&amp;ISCONFIRM=0" TargetMode="External"/><Relationship Id="rId7143" Type="http://schemas.openxmlformats.org/officeDocument/2006/relationships/hyperlink" Target="https://pld.live/RapDetail.aspx?STONELIST=926420454&amp;ISCONFIRM=0" TargetMode="External"/><Relationship Id="rId7350" Type="http://schemas.openxmlformats.org/officeDocument/2006/relationships/hyperlink" Target="https://pld.live/RapDetail.aspx?STONELIST=9413300631&amp;ISCONFIRM=0" TargetMode="External"/><Relationship Id="rId2288" Type="http://schemas.openxmlformats.org/officeDocument/2006/relationships/hyperlink" Target="https://pld.live/RapDetail.aspx?STONELIST=926240733&amp;ISCONFIRM=0" TargetMode="External"/><Relationship Id="rId2495" Type="http://schemas.openxmlformats.org/officeDocument/2006/relationships/hyperlink" Target="https://pld.live/RapDetail.aspx?STONELIST=941300117&amp;ISCONFIRM=0" TargetMode="External"/><Relationship Id="rId3339" Type="http://schemas.openxmlformats.org/officeDocument/2006/relationships/hyperlink" Target="https://pld.live/RapDetail.aspx?STONELIST=831010126&amp;ISCONFIRM=0" TargetMode="External"/><Relationship Id="rId3893" Type="http://schemas.openxmlformats.org/officeDocument/2006/relationships/hyperlink" Target="https://pld.live/RapDetail.aspx?STONELIST=925500874&amp;ISCONFIRM=0" TargetMode="External"/><Relationship Id="rId4737" Type="http://schemas.openxmlformats.org/officeDocument/2006/relationships/hyperlink" Target="https://pld.live/RapDetail.aspx?STONELIST=926930813&amp;ISCONFIRM=0" TargetMode="External"/><Relationship Id="rId4944" Type="http://schemas.openxmlformats.org/officeDocument/2006/relationships/hyperlink" Target="https://pld.live/RapDetail.aspx?STONELIST=926200789&amp;ISCONFIRM=0" TargetMode="External"/><Relationship Id="rId7003" Type="http://schemas.openxmlformats.org/officeDocument/2006/relationships/hyperlink" Target="https://pld.live/RapDetail.aspx?STONELIST=926101485&amp;ISCONFIRM=0" TargetMode="External"/><Relationship Id="rId7210" Type="http://schemas.openxmlformats.org/officeDocument/2006/relationships/hyperlink" Target="https://pld.live/RapDetail.aspx?STONELIST=821111274&amp;ISCONFIRM=0" TargetMode="External"/><Relationship Id="rId467" Type="http://schemas.openxmlformats.org/officeDocument/2006/relationships/hyperlink" Target="https://pld.live/RapDetail.aspx?STONELIST=926400549&amp;ISCONFIRM=0" TargetMode="External"/><Relationship Id="rId1097" Type="http://schemas.openxmlformats.org/officeDocument/2006/relationships/hyperlink" Target="https://pld.live/RapDetail.aspx?STONELIST=941350898&amp;ISCONFIRM=0" TargetMode="External"/><Relationship Id="rId2148" Type="http://schemas.openxmlformats.org/officeDocument/2006/relationships/hyperlink" Target="https://pld.live/RapDetail.aspx?STONELIST=926081117&amp;ISCONFIRM=0" TargetMode="External"/><Relationship Id="rId3546" Type="http://schemas.openxmlformats.org/officeDocument/2006/relationships/hyperlink" Target="https://pld.live/RapDetail.aspx?STONELIST=923920403&amp;ISCONFIRM=0" TargetMode="External"/><Relationship Id="rId3753" Type="http://schemas.openxmlformats.org/officeDocument/2006/relationships/hyperlink" Target="https://pld.live/RapDetail.aspx?STONELIST=927110015&amp;ISCONFIRM=0" TargetMode="External"/><Relationship Id="rId3960" Type="http://schemas.openxmlformats.org/officeDocument/2006/relationships/hyperlink" Target="https://pld.live/RapDetail.aspx?STONELIST=925981010&amp;ISCONFIRM=0" TargetMode="External"/><Relationship Id="rId4804" Type="http://schemas.openxmlformats.org/officeDocument/2006/relationships/hyperlink" Target="https://pld.live/RapDetail.aspx?STONELIST=925050192&amp;ISCONFIRM=0" TargetMode="External"/><Relationship Id="rId674" Type="http://schemas.openxmlformats.org/officeDocument/2006/relationships/hyperlink" Target="https://pld.live/RapDetail.aspx?STONELIST=925862017&amp;ISCONFIRM=0" TargetMode="External"/><Relationship Id="rId881" Type="http://schemas.openxmlformats.org/officeDocument/2006/relationships/hyperlink" Target="https://pld.live/RapDetail.aspx?STONELIST=926070735&amp;ISCONFIRM=0" TargetMode="External"/><Relationship Id="rId2355" Type="http://schemas.openxmlformats.org/officeDocument/2006/relationships/hyperlink" Target="https://pld.live/RapDetail.aspx?STONELIST=926181032&amp;ISCONFIRM=0" TargetMode="External"/><Relationship Id="rId2562" Type="http://schemas.openxmlformats.org/officeDocument/2006/relationships/hyperlink" Target="https://pld.live/RapDetail.aspx?STONELIST=821127847&amp;ISCONFIRM=0" TargetMode="External"/><Relationship Id="rId3406" Type="http://schemas.openxmlformats.org/officeDocument/2006/relationships/hyperlink" Target="https://pld.live/RapDetail.aspx?STONELIST=926201146&amp;ISCONFIRM=0" TargetMode="External"/><Relationship Id="rId3613" Type="http://schemas.openxmlformats.org/officeDocument/2006/relationships/hyperlink" Target="https://pld.live/RapDetail.aspx?STONELIST=925700321&amp;ISCONFIRM=0" TargetMode="External"/><Relationship Id="rId3820" Type="http://schemas.openxmlformats.org/officeDocument/2006/relationships/hyperlink" Target="https://pld.live/RapDetail.aspx?STONELIST=941100621&amp;ISCONFIRM=0" TargetMode="External"/><Relationship Id="rId6769" Type="http://schemas.openxmlformats.org/officeDocument/2006/relationships/hyperlink" Target="https://pld.live/RapDetail.aspx?STONELIST=927132468&amp;ISCONFIRM=0" TargetMode="External"/><Relationship Id="rId6976" Type="http://schemas.openxmlformats.org/officeDocument/2006/relationships/hyperlink" Target="https://pld.live/RapDetail.aspx?STONELIST=821113854&amp;ISCONFIRM=0" TargetMode="External"/><Relationship Id="rId327" Type="http://schemas.openxmlformats.org/officeDocument/2006/relationships/hyperlink" Target="https://pld.live/RapDetail.aspx?STONELIST=941400286&amp;ISCONFIRM=0" TargetMode="External"/><Relationship Id="rId534" Type="http://schemas.openxmlformats.org/officeDocument/2006/relationships/hyperlink" Target="https://pld.live/RapDetail.aspx?STONELIST=925270083&amp;ISCONFIRM=0" TargetMode="External"/><Relationship Id="rId741" Type="http://schemas.openxmlformats.org/officeDocument/2006/relationships/hyperlink" Target="https://pld.live/RapDetail.aspx?STONELIST=925800891&amp;ISCONFIRM=0" TargetMode="External"/><Relationship Id="rId1164" Type="http://schemas.openxmlformats.org/officeDocument/2006/relationships/hyperlink" Target="https://pld.live/RapDetail.aspx?STONELIST=926810780&amp;ISCONFIRM=0" TargetMode="External"/><Relationship Id="rId1371" Type="http://schemas.openxmlformats.org/officeDocument/2006/relationships/hyperlink" Target="https://pld.live/RapDetail.aspx?STONELIST=926311270&amp;ISCONFIRM=0" TargetMode="External"/><Relationship Id="rId2008" Type="http://schemas.openxmlformats.org/officeDocument/2006/relationships/hyperlink" Target="https://pld.live/RapDetail.aspx?STONELIST=941220598&amp;ISCONFIRM=0" TargetMode="External"/><Relationship Id="rId2215" Type="http://schemas.openxmlformats.org/officeDocument/2006/relationships/hyperlink" Target="https://pld.live/RapDetail.aspx?STONELIST=926080666&amp;ISCONFIRM=0" TargetMode="External"/><Relationship Id="rId2422" Type="http://schemas.openxmlformats.org/officeDocument/2006/relationships/hyperlink" Target="https://pld.live/RapDetail.aspx?STONELIST=920661247&amp;ISCONFIRM=0" TargetMode="External"/><Relationship Id="rId5578" Type="http://schemas.openxmlformats.org/officeDocument/2006/relationships/hyperlink" Target="https://pld.live/RapDetail.aspx?STONELIST=924920410&amp;ISCONFIRM=0" TargetMode="External"/><Relationship Id="rId5785" Type="http://schemas.openxmlformats.org/officeDocument/2006/relationships/hyperlink" Target="https://pld.live/RapDetail.aspx?STONELIST=941270331&amp;ISCONFIRM=0" TargetMode="External"/><Relationship Id="rId5992" Type="http://schemas.openxmlformats.org/officeDocument/2006/relationships/hyperlink" Target="https://pld.live/RapDetail.aspx?STONELIST=925280555&amp;ISCONFIRM=0" TargetMode="External"/><Relationship Id="rId6629" Type="http://schemas.openxmlformats.org/officeDocument/2006/relationships/hyperlink" Target="https://pld.live/RapDetail.aspx?STONELIST=926980732&amp;ISCONFIRM=0" TargetMode="External"/><Relationship Id="rId6836" Type="http://schemas.openxmlformats.org/officeDocument/2006/relationships/hyperlink" Target="https://pld.live/RapDetail.aspx?STONELIST=926910563&amp;ISCONFIRM=0" TargetMode="External"/><Relationship Id="rId8191" Type="http://schemas.openxmlformats.org/officeDocument/2006/relationships/hyperlink" Target="https://pld.live/RapDetail.aspx?STONELIST=925660239&amp;ISCONFIRM=0" TargetMode="External"/><Relationship Id="rId601" Type="http://schemas.openxmlformats.org/officeDocument/2006/relationships/hyperlink" Target="https://pld.live/RapDetail.aspx?STONELIST=924880224&amp;ISCONFIRM=0" TargetMode="External"/><Relationship Id="rId1024" Type="http://schemas.openxmlformats.org/officeDocument/2006/relationships/hyperlink" Target="https://pld.live/RapDetail.aspx?STONELIST=926830996&amp;ISCONFIRM=0" TargetMode="External"/><Relationship Id="rId1231" Type="http://schemas.openxmlformats.org/officeDocument/2006/relationships/hyperlink" Target="https://pld.live/RapDetail.aspx?STONELIST=926211107&amp;ISCONFIRM=0" TargetMode="External"/><Relationship Id="rId4387" Type="http://schemas.openxmlformats.org/officeDocument/2006/relationships/hyperlink" Target="https://pld.live/RapDetail.aspx?STONELIST=927092229&amp;ISCONFIRM=0" TargetMode="External"/><Relationship Id="rId4594" Type="http://schemas.openxmlformats.org/officeDocument/2006/relationships/hyperlink" Target="https://pld.live/RapDetail.aspx?STONELIST=941261112&amp;ISCONFIRM=0" TargetMode="External"/><Relationship Id="rId5438" Type="http://schemas.openxmlformats.org/officeDocument/2006/relationships/hyperlink" Target="https://pld.live/RapDetail.aspx?STONELIST=926870868&amp;ISCONFIRM=0" TargetMode="External"/><Relationship Id="rId5645" Type="http://schemas.openxmlformats.org/officeDocument/2006/relationships/hyperlink" Target="https://pld.live/RapDetail.aspx?STONELIST=941261091&amp;ISCONFIRM=0" TargetMode="External"/><Relationship Id="rId5852" Type="http://schemas.openxmlformats.org/officeDocument/2006/relationships/hyperlink" Target="https://pld.live/RapDetail.aspx?STONELIST=924350702&amp;ISCONFIRM=0" TargetMode="External"/><Relationship Id="rId8051" Type="http://schemas.openxmlformats.org/officeDocument/2006/relationships/hyperlink" Target="https://pld.live/RapDetail.aspx?STONELIST=926170148&amp;ISCONFIRM=0" TargetMode="External"/><Relationship Id="rId3196" Type="http://schemas.openxmlformats.org/officeDocument/2006/relationships/hyperlink" Target="https://pld.live/RapDetail.aspx?STONELIST=924520115&amp;ISCONFIRM=0" TargetMode="External"/><Relationship Id="rId4247" Type="http://schemas.openxmlformats.org/officeDocument/2006/relationships/hyperlink" Target="https://pld.live/RapDetail.aspx?STONELIST=925851039&amp;ISCONFIRM=0" TargetMode="External"/><Relationship Id="rId4454" Type="http://schemas.openxmlformats.org/officeDocument/2006/relationships/hyperlink" Target="https://pld.live/RapDetail.aspx?STONELIST=926210534&amp;ISCONFIRM=0" TargetMode="External"/><Relationship Id="rId4661" Type="http://schemas.openxmlformats.org/officeDocument/2006/relationships/hyperlink" Target="https://pld.live/RapDetail.aspx?STONELIST=927132415&amp;ISCONFIRM=0" TargetMode="External"/><Relationship Id="rId5505" Type="http://schemas.openxmlformats.org/officeDocument/2006/relationships/hyperlink" Target="https://pld.live/RapDetail.aspx?STONELIST=925610381&amp;ISCONFIRM=0" TargetMode="External"/><Relationship Id="rId6903" Type="http://schemas.openxmlformats.org/officeDocument/2006/relationships/hyperlink" Target="https://pld.live/RapDetail.aspx?STONELIST=926171206&amp;ISCONFIRM=0" TargetMode="External"/><Relationship Id="rId3056" Type="http://schemas.openxmlformats.org/officeDocument/2006/relationships/hyperlink" Target="https://pld.live/RapDetail.aspx?STONELIST=925940671&amp;ISCONFIRM=0" TargetMode="External"/><Relationship Id="rId3263" Type="http://schemas.openxmlformats.org/officeDocument/2006/relationships/hyperlink" Target="https://pld.live/RapDetail.aspx?STONELIST=941400595&amp;ISCONFIRM=0" TargetMode="External"/><Relationship Id="rId3470" Type="http://schemas.openxmlformats.org/officeDocument/2006/relationships/hyperlink" Target="https://pld.live/RapDetail.aspx?STONELIST=926101288&amp;ISCONFIRM=0" TargetMode="External"/><Relationship Id="rId4107" Type="http://schemas.openxmlformats.org/officeDocument/2006/relationships/hyperlink" Target="https://pld.live/RapDetail.aspx?STONELIST=821115376&amp;ISCONFIRM=0" TargetMode="External"/><Relationship Id="rId4314" Type="http://schemas.openxmlformats.org/officeDocument/2006/relationships/hyperlink" Target="https://pld.live/RapDetail.aspx?STONELIST=927030550&amp;ISCONFIRM=0" TargetMode="External"/><Relationship Id="rId5712" Type="http://schemas.openxmlformats.org/officeDocument/2006/relationships/hyperlink" Target="https://pld.live/RapDetail.aspx?STONELIST=924460739&amp;ISCONFIRM=0" TargetMode="External"/><Relationship Id="rId184" Type="http://schemas.openxmlformats.org/officeDocument/2006/relationships/hyperlink" Target="https://pld.live/RapDetail.aspx?STONELIST=926930889&amp;ISCONFIRM=0" TargetMode="External"/><Relationship Id="rId391" Type="http://schemas.openxmlformats.org/officeDocument/2006/relationships/hyperlink" Target="https://pld.live/RapDetail.aspx?STONELIST=831010631&amp;ISCONFIRM=0" TargetMode="External"/><Relationship Id="rId1908" Type="http://schemas.openxmlformats.org/officeDocument/2006/relationships/hyperlink" Target="https://pld.live/RapDetail.aspx?STONELIST=831010719&amp;ISCONFIRM=0" TargetMode="External"/><Relationship Id="rId2072" Type="http://schemas.openxmlformats.org/officeDocument/2006/relationships/hyperlink" Target="https://pld.live/RapDetail.aspx?STONELIST=924130061&amp;ISCONFIRM=0" TargetMode="External"/><Relationship Id="rId3123" Type="http://schemas.openxmlformats.org/officeDocument/2006/relationships/hyperlink" Target="https://pld.live/RapDetail.aspx?STONELIST=924960362&amp;ISCONFIRM=0" TargetMode="External"/><Relationship Id="rId4521" Type="http://schemas.openxmlformats.org/officeDocument/2006/relationships/hyperlink" Target="https://pld.live/RapDetail.aspx?STONELIST=924850123&amp;ISCONFIRM=0" TargetMode="External"/><Relationship Id="rId6279" Type="http://schemas.openxmlformats.org/officeDocument/2006/relationships/hyperlink" Target="https://pld.live/RapDetail.aspx?STONELIST=924510178&amp;ISCONFIRM=0" TargetMode="External"/><Relationship Id="rId7677" Type="http://schemas.openxmlformats.org/officeDocument/2006/relationships/hyperlink" Target="https://pld.live/RapDetail.aspx?STONELIST=941261117&amp;ISCONFIRM=0" TargetMode="External"/><Relationship Id="rId7884" Type="http://schemas.openxmlformats.org/officeDocument/2006/relationships/hyperlink" Target="https://pld.live/RapDetail.aspx?STONELIST=926270831&amp;ISCONFIRM=0" TargetMode="External"/><Relationship Id="rId251" Type="http://schemas.openxmlformats.org/officeDocument/2006/relationships/hyperlink" Target="https://pld.live/RapDetail.aspx?STONELIST=831020679&amp;ISCONFIRM=0" TargetMode="External"/><Relationship Id="rId3330" Type="http://schemas.openxmlformats.org/officeDocument/2006/relationships/hyperlink" Target="https://pld.live/RapDetail.aspx?STONELIST=926990537&amp;ISCONFIRM=0" TargetMode="External"/><Relationship Id="rId5088" Type="http://schemas.openxmlformats.org/officeDocument/2006/relationships/hyperlink" Target="https://pld.live/RapDetail.aspx?STONELIST=925890527&amp;ISCONFIRM=0" TargetMode="External"/><Relationship Id="rId6139" Type="http://schemas.openxmlformats.org/officeDocument/2006/relationships/hyperlink" Target="https://pld.live/RapDetail.aspx?STONELIST=924930251&amp;ISCONFIRM=0" TargetMode="External"/><Relationship Id="rId6486" Type="http://schemas.openxmlformats.org/officeDocument/2006/relationships/hyperlink" Target="https://pld.live/RapDetail.aspx?STONELIST=927152892&amp;ISCONFIRM=0" TargetMode="External"/><Relationship Id="rId6693" Type="http://schemas.openxmlformats.org/officeDocument/2006/relationships/hyperlink" Target="https://pld.live/RapDetail.aspx?STONELIST=941040715&amp;ISCONFIRM=0" TargetMode="External"/><Relationship Id="rId7537" Type="http://schemas.openxmlformats.org/officeDocument/2006/relationships/hyperlink" Target="https://pld.live/RapDetail.aspx?STONELIST=925732128&amp;ISCONFIRM=0" TargetMode="External"/><Relationship Id="rId7744" Type="http://schemas.openxmlformats.org/officeDocument/2006/relationships/hyperlink" Target="https://pld.live/RapDetail.aspx?STONELIST=927000590&amp;ISCONFIRM=0" TargetMode="External"/><Relationship Id="rId7951" Type="http://schemas.openxmlformats.org/officeDocument/2006/relationships/hyperlink" Target="https://pld.live/RapDetail.aspx?STONELIST=941070097&amp;ISCONFIRM=0" TargetMode="External"/><Relationship Id="rId2889" Type="http://schemas.openxmlformats.org/officeDocument/2006/relationships/hyperlink" Target="https://pld.live/RapDetail.aspx?STONELIST=926830867&amp;ISCONFIRM=0" TargetMode="External"/><Relationship Id="rId5295" Type="http://schemas.openxmlformats.org/officeDocument/2006/relationships/hyperlink" Target="https://pld.live/RapDetail.aspx?STONELIST=924260037&amp;ISCONFIRM=0" TargetMode="External"/><Relationship Id="rId6346" Type="http://schemas.openxmlformats.org/officeDocument/2006/relationships/hyperlink" Target="https://pld.live/RapDetail.aspx?STONELIST=927030579&amp;ISCONFIRM=0" TargetMode="External"/><Relationship Id="rId6553" Type="http://schemas.openxmlformats.org/officeDocument/2006/relationships/hyperlink" Target="https://pld.live/RapDetail.aspx?STONELIST=927030730&amp;ISCONFIRM=0" TargetMode="External"/><Relationship Id="rId6760" Type="http://schemas.openxmlformats.org/officeDocument/2006/relationships/hyperlink" Target="https://pld.live/RapDetail.aspx?STONELIST=927132586&amp;ISCONFIRM=0" TargetMode="External"/><Relationship Id="rId7604" Type="http://schemas.openxmlformats.org/officeDocument/2006/relationships/hyperlink" Target="https://pld.live/RapDetail.aspx?STONELIST=925731420&amp;ISCONFIRM=0" TargetMode="External"/><Relationship Id="rId7811" Type="http://schemas.openxmlformats.org/officeDocument/2006/relationships/hyperlink" Target="https://pld.live/RapDetail.aspx?STONELIST=925370471&amp;ISCONFIRM=0" TargetMode="External"/><Relationship Id="rId111" Type="http://schemas.openxmlformats.org/officeDocument/2006/relationships/hyperlink" Target="https://pld.live/RapDetail.aspx?STONELIST=927010725&amp;ISCONFIRM=0" TargetMode="External"/><Relationship Id="rId1698" Type="http://schemas.openxmlformats.org/officeDocument/2006/relationships/hyperlink" Target="https://pld.live/RapDetail.aspx?STONELIST=925290284&amp;ISCONFIRM=0" TargetMode="External"/><Relationship Id="rId2749" Type="http://schemas.openxmlformats.org/officeDocument/2006/relationships/hyperlink" Target="https://pld.live/RapDetail.aspx?STONELIST=926160045&amp;ISCONFIRM=0" TargetMode="External"/><Relationship Id="rId2956" Type="http://schemas.openxmlformats.org/officeDocument/2006/relationships/hyperlink" Target="https://pld.live/RapDetail.aspx?STONELIST=926210973&amp;ISCONFIRM=0" TargetMode="External"/><Relationship Id="rId5155" Type="http://schemas.openxmlformats.org/officeDocument/2006/relationships/hyperlink" Target="https://pld.live/RapDetail.aspx?STONELIST=926910610&amp;ISCONFIRM=0" TargetMode="External"/><Relationship Id="rId5362" Type="http://schemas.openxmlformats.org/officeDocument/2006/relationships/hyperlink" Target="https://pld.live/RapDetail.aspx?STONELIST=926270085&amp;ISCONFIRM=0" TargetMode="External"/><Relationship Id="rId6206" Type="http://schemas.openxmlformats.org/officeDocument/2006/relationships/hyperlink" Target="https://pld.live/RapDetail.aspx?STONELIST=831020530&amp;ISCONFIRM=0" TargetMode="External"/><Relationship Id="rId6413" Type="http://schemas.openxmlformats.org/officeDocument/2006/relationships/hyperlink" Target="https://pld.live/RapDetail.aspx?STONELIST=941071313&amp;ISCONFIRM=0" TargetMode="External"/><Relationship Id="rId6620" Type="http://schemas.openxmlformats.org/officeDocument/2006/relationships/hyperlink" Target="https://pld.live/RapDetail.aspx?STONELIST=927092642&amp;ISCONFIRM=0" TargetMode="External"/><Relationship Id="rId928" Type="http://schemas.openxmlformats.org/officeDocument/2006/relationships/hyperlink" Target="https://pld.live/RapDetail.aspx?STONELIST=924770023&amp;ISCONFIRM=0" TargetMode="External"/><Relationship Id="rId1558" Type="http://schemas.openxmlformats.org/officeDocument/2006/relationships/hyperlink" Target="https://pld.live/RapDetail.aspx?STONELIST=821125870&amp;ISCONFIRM=0" TargetMode="External"/><Relationship Id="rId1765" Type="http://schemas.openxmlformats.org/officeDocument/2006/relationships/hyperlink" Target="https://pld.live/RapDetail.aspx?STONELIST=941360361&amp;ISCONFIRM=0" TargetMode="External"/><Relationship Id="rId2609" Type="http://schemas.openxmlformats.org/officeDocument/2006/relationships/hyperlink" Target="https://pld.live/RapDetail.aspx?STONELIST=941190498&amp;ISCONFIRM=0" TargetMode="External"/><Relationship Id="rId4171" Type="http://schemas.openxmlformats.org/officeDocument/2006/relationships/hyperlink" Target="https://pld.live/RapDetail.aspx?STONELIST=925620871&amp;ISCONFIRM=0" TargetMode="External"/><Relationship Id="rId5015" Type="http://schemas.openxmlformats.org/officeDocument/2006/relationships/hyperlink" Target="https://pld.live/RapDetail.aspx?STONELIST=821126902&amp;ISCONFIRM=0" TargetMode="External"/><Relationship Id="rId5222" Type="http://schemas.openxmlformats.org/officeDocument/2006/relationships/hyperlink" Target="https://pld.live/RapDetail.aspx?STONELIST=926450205&amp;ISCONFIRM=0" TargetMode="External"/><Relationship Id="rId57" Type="http://schemas.openxmlformats.org/officeDocument/2006/relationships/hyperlink" Target="https://pld.live/RapDetail.aspx?STONELIST=926150119&amp;ISCONFIRM=0" TargetMode="External"/><Relationship Id="rId1418" Type="http://schemas.openxmlformats.org/officeDocument/2006/relationships/hyperlink" Target="https://pld.live/RapDetail.aspx?STONELIST=925850820&amp;ISCONFIRM=0" TargetMode="External"/><Relationship Id="rId1972" Type="http://schemas.openxmlformats.org/officeDocument/2006/relationships/hyperlink" Target="https://pld.live/RapDetail.aspx?STONELIST=941230148&amp;ISCONFIRM=0" TargetMode="External"/><Relationship Id="rId2816" Type="http://schemas.openxmlformats.org/officeDocument/2006/relationships/hyperlink" Target="https://pld.live/RapDetail.aspx?STONELIST=925771159&amp;ISCONFIRM=0" TargetMode="External"/><Relationship Id="rId4031" Type="http://schemas.openxmlformats.org/officeDocument/2006/relationships/hyperlink" Target="https://pld.live/RapDetail.aspx?STONELIST=925861666&amp;ISCONFIRM=0" TargetMode="External"/><Relationship Id="rId7187" Type="http://schemas.openxmlformats.org/officeDocument/2006/relationships/hyperlink" Target="https://pld.live/RapDetail.aspx?STONELIST=927020705&amp;ISCONFIRM=0" TargetMode="External"/><Relationship Id="rId7394" Type="http://schemas.openxmlformats.org/officeDocument/2006/relationships/hyperlink" Target="https://pld.live/RapDetail.aspx?STONELIST=925710068&amp;ISCONFIRM=0" TargetMode="External"/><Relationship Id="rId8238" Type="http://schemas.openxmlformats.org/officeDocument/2006/relationships/hyperlink" Target="https://pld.live/RapDetail.aspx?STONELIST=925300346&amp;ISCONFIRM=0" TargetMode="External"/><Relationship Id="rId1625" Type="http://schemas.openxmlformats.org/officeDocument/2006/relationships/hyperlink" Target="https://pld.live/RapDetail.aspx?STONELIST=926221299&amp;ISCONFIRM=0" TargetMode="External"/><Relationship Id="rId1832" Type="http://schemas.openxmlformats.org/officeDocument/2006/relationships/hyperlink" Target="https://pld.live/RapDetail.aspx?STONELIST=925840680&amp;ISCONFIRM=0" TargetMode="External"/><Relationship Id="rId4988" Type="http://schemas.openxmlformats.org/officeDocument/2006/relationships/hyperlink" Target="https://pld.live/RapDetail.aspx?STONELIST=925970396&amp;ISCONFIRM=0" TargetMode="External"/><Relationship Id="rId7047" Type="http://schemas.openxmlformats.org/officeDocument/2006/relationships/hyperlink" Target="https://pld.live/RapDetail.aspx?STONELIST=925801685&amp;ISCONFIRM=0" TargetMode="External"/><Relationship Id="rId7254" Type="http://schemas.openxmlformats.org/officeDocument/2006/relationships/hyperlink" Target="https://pld.live/RapDetail.aspx?STONELIST=924920341&amp;ISCONFIRM=0" TargetMode="External"/><Relationship Id="rId3797" Type="http://schemas.openxmlformats.org/officeDocument/2006/relationships/hyperlink" Target="https://pld.live/RapDetail.aspx?STONELIST=941120572&amp;ISCONFIRM=0" TargetMode="External"/><Relationship Id="rId4848" Type="http://schemas.openxmlformats.org/officeDocument/2006/relationships/hyperlink" Target="https://pld.live/RapDetail.aspx?STONELIST=925771196&amp;ISCONFIRM=0" TargetMode="External"/><Relationship Id="rId6063" Type="http://schemas.openxmlformats.org/officeDocument/2006/relationships/hyperlink" Target="https://pld.live/RapDetail.aspx?STONELIST=927152990&amp;ISCONFIRM=0" TargetMode="External"/><Relationship Id="rId7461" Type="http://schemas.openxmlformats.org/officeDocument/2006/relationships/hyperlink" Target="https://pld.live/RapDetail.aspx?STONELIST=925861293&amp;ISCONFIRM=0" TargetMode="External"/><Relationship Id="rId2399" Type="http://schemas.openxmlformats.org/officeDocument/2006/relationships/hyperlink" Target="https://pld.live/RapDetail.aspx?STONELIST=926261392&amp;ISCONFIRM=0" TargetMode="External"/><Relationship Id="rId3657" Type="http://schemas.openxmlformats.org/officeDocument/2006/relationships/hyperlink" Target="https://pld.live/RapDetail.aspx?STONELIST=926130113&amp;ISCONFIRM=0" TargetMode="External"/><Relationship Id="rId3864" Type="http://schemas.openxmlformats.org/officeDocument/2006/relationships/hyperlink" Target="https://pld.live/RapDetail.aspx?STONELIST=925801935&amp;ISCONFIRM=0" TargetMode="External"/><Relationship Id="rId4708" Type="http://schemas.openxmlformats.org/officeDocument/2006/relationships/hyperlink" Target="https://pld.live/RapDetail.aspx?STONELIST=926540071&amp;ISCONFIRM=0" TargetMode="External"/><Relationship Id="rId4915" Type="http://schemas.openxmlformats.org/officeDocument/2006/relationships/hyperlink" Target="https://pld.live/RapDetail.aspx?STONELIST=926200587&amp;ISCONFIRM=0" TargetMode="External"/><Relationship Id="rId6270" Type="http://schemas.openxmlformats.org/officeDocument/2006/relationships/hyperlink" Target="https://pld.live/RapDetail.aspx?STONELIST=821113398&amp;ISCONFIRM=0" TargetMode="External"/><Relationship Id="rId7114" Type="http://schemas.openxmlformats.org/officeDocument/2006/relationships/hyperlink" Target="https://pld.live/RapDetail.aspx?STONELIST=941161031&amp;ISCONFIRM=0" TargetMode="External"/><Relationship Id="rId7321" Type="http://schemas.openxmlformats.org/officeDocument/2006/relationships/hyperlink" Target="https://pld.live/RapDetail.aspx?STONELIST=941021789&amp;ISCONFIRM=0" TargetMode="External"/><Relationship Id="rId578" Type="http://schemas.openxmlformats.org/officeDocument/2006/relationships/hyperlink" Target="https://pld.live/RapDetail.aspx?STONELIST=926171660&amp;ISCONFIRM=0" TargetMode="External"/><Relationship Id="rId785" Type="http://schemas.openxmlformats.org/officeDocument/2006/relationships/hyperlink" Target="https://pld.live/RapDetail.aspx?STONELIST=925951206&amp;ISCONFIRM=0" TargetMode="External"/><Relationship Id="rId992" Type="http://schemas.openxmlformats.org/officeDocument/2006/relationships/hyperlink" Target="https://pld.live/RapDetail.aspx?STONELIST=941070926&amp;ISCONFIRM=0" TargetMode="External"/><Relationship Id="rId2259" Type="http://schemas.openxmlformats.org/officeDocument/2006/relationships/hyperlink" Target="https://pld.live/RapDetail.aspx?STONELIST=926391140&amp;ISCONFIRM=0" TargetMode="External"/><Relationship Id="rId2466" Type="http://schemas.openxmlformats.org/officeDocument/2006/relationships/hyperlink" Target="https://pld.live/RapDetail.aspx?STONELIST=926440921&amp;ISCONFIRM=0" TargetMode="External"/><Relationship Id="rId2673" Type="http://schemas.openxmlformats.org/officeDocument/2006/relationships/hyperlink" Target="https://pld.live/RapDetail.aspx?STONELIST=920661489&amp;ISCONFIRM=0" TargetMode="External"/><Relationship Id="rId2880" Type="http://schemas.openxmlformats.org/officeDocument/2006/relationships/hyperlink" Target="https://pld.live/RapDetail.aspx?STONELIST=925551860&amp;ISCONFIRM=0" TargetMode="External"/><Relationship Id="rId3517" Type="http://schemas.openxmlformats.org/officeDocument/2006/relationships/hyperlink" Target="https://pld.live/RapDetail.aspx?STONELIST=926270908&amp;ISCONFIRM=0" TargetMode="External"/><Relationship Id="rId3724" Type="http://schemas.openxmlformats.org/officeDocument/2006/relationships/hyperlink" Target="https://pld.live/RapDetail.aspx?STONELIST=925630417&amp;ISCONFIRM=0" TargetMode="External"/><Relationship Id="rId3931" Type="http://schemas.openxmlformats.org/officeDocument/2006/relationships/hyperlink" Target="https://pld.live/RapDetail.aspx?STONELIST=925551641&amp;ISCONFIRM=0" TargetMode="External"/><Relationship Id="rId6130" Type="http://schemas.openxmlformats.org/officeDocument/2006/relationships/hyperlink" Target="https://pld.live/RapDetail.aspx?STONELIST=922560043&amp;ISCONFIRM=0" TargetMode="External"/><Relationship Id="rId438" Type="http://schemas.openxmlformats.org/officeDocument/2006/relationships/hyperlink" Target="https://pld.live/RapDetail.aspx?STONELIST=831010623&amp;ISCONFIRM=0" TargetMode="External"/><Relationship Id="rId645" Type="http://schemas.openxmlformats.org/officeDocument/2006/relationships/hyperlink" Target="https://pld.live/RapDetail.aspx?STONELIST=926071682&amp;ISCONFIRM=0" TargetMode="External"/><Relationship Id="rId852" Type="http://schemas.openxmlformats.org/officeDocument/2006/relationships/hyperlink" Target="https://pld.live/RapDetail.aspx?STONELIST=924820068&amp;ISCONFIRM=0" TargetMode="External"/><Relationship Id="rId1068" Type="http://schemas.openxmlformats.org/officeDocument/2006/relationships/hyperlink" Target="https://pld.live/RapDetail.aspx?STONELIST=927100950&amp;ISCONFIRM=0" TargetMode="External"/><Relationship Id="rId1275" Type="http://schemas.openxmlformats.org/officeDocument/2006/relationships/hyperlink" Target="https://pld.live/RapDetail.aspx?STONELIST=926250579&amp;ISCONFIRM=0" TargetMode="External"/><Relationship Id="rId1482" Type="http://schemas.openxmlformats.org/officeDocument/2006/relationships/hyperlink" Target="https://pld.live/RapDetail.aspx?STONELIST=926221446&amp;ISCONFIRM=0" TargetMode="External"/><Relationship Id="rId2119" Type="http://schemas.openxmlformats.org/officeDocument/2006/relationships/hyperlink" Target="https://pld.live/RapDetail.aspx?STONELIST=925650007&amp;ISCONFIRM=0" TargetMode="External"/><Relationship Id="rId2326" Type="http://schemas.openxmlformats.org/officeDocument/2006/relationships/hyperlink" Target="https://pld.live/RapDetail.aspx?STONELIST=926240706&amp;ISCONFIRM=0" TargetMode="External"/><Relationship Id="rId2533" Type="http://schemas.openxmlformats.org/officeDocument/2006/relationships/hyperlink" Target="https://pld.live/RapDetail.aspx?STONELIST=926141200&amp;ISCONFIRM=0" TargetMode="External"/><Relationship Id="rId2740" Type="http://schemas.openxmlformats.org/officeDocument/2006/relationships/hyperlink" Target="https://pld.live/RapDetail.aspx?STONELIST=924250624&amp;ISCONFIRM=0" TargetMode="External"/><Relationship Id="rId5689" Type="http://schemas.openxmlformats.org/officeDocument/2006/relationships/hyperlink" Target="https://pld.live/RapDetail.aspx?STONELIST=924260104&amp;ISCONFIRM=0" TargetMode="External"/><Relationship Id="rId5896" Type="http://schemas.openxmlformats.org/officeDocument/2006/relationships/hyperlink" Target="https://pld.live/RapDetail.aspx?STONELIST=926610097&amp;ISCONFIRM=0" TargetMode="External"/><Relationship Id="rId6947" Type="http://schemas.openxmlformats.org/officeDocument/2006/relationships/hyperlink" Target="https://pld.live/RapDetail.aspx?STONELIST=831010793&amp;ISCONFIRM=0" TargetMode="External"/><Relationship Id="rId8095" Type="http://schemas.openxmlformats.org/officeDocument/2006/relationships/hyperlink" Target="https://pld.live/RapDetail.aspx?STONELIST=925621951&amp;ISCONFIRM=0" TargetMode="External"/><Relationship Id="rId505" Type="http://schemas.openxmlformats.org/officeDocument/2006/relationships/hyperlink" Target="https://pld.live/RapDetail.aspx?STONELIST=925230041&amp;ISCONFIRM=0" TargetMode="External"/><Relationship Id="rId712" Type="http://schemas.openxmlformats.org/officeDocument/2006/relationships/hyperlink" Target="https://pld.live/RapDetail.aspx?STONELIST=821127632&amp;ISCONFIRM=0" TargetMode="External"/><Relationship Id="rId1135" Type="http://schemas.openxmlformats.org/officeDocument/2006/relationships/hyperlink" Target="https://pld.live/RapDetail.aspx?STONELIST=941070943&amp;ISCONFIRM=0" TargetMode="External"/><Relationship Id="rId1342" Type="http://schemas.openxmlformats.org/officeDocument/2006/relationships/hyperlink" Target="https://pld.live/RapDetail.aspx?STONELIST=926311366&amp;ISCONFIRM=0" TargetMode="External"/><Relationship Id="rId4498" Type="http://schemas.openxmlformats.org/officeDocument/2006/relationships/hyperlink" Target="https://pld.live/RapDetail.aspx?STONELIST=927052653&amp;ISCONFIRM=0" TargetMode="External"/><Relationship Id="rId5549" Type="http://schemas.openxmlformats.org/officeDocument/2006/relationships/hyperlink" Target="https://pld.live/RapDetail.aspx?STONELIST=926930913&amp;ISCONFIRM=0" TargetMode="External"/><Relationship Id="rId8162" Type="http://schemas.openxmlformats.org/officeDocument/2006/relationships/hyperlink" Target="https://pld.live/RapDetail.aspx?STONELIST=924330101&amp;ISCONFIRM=0" TargetMode="External"/><Relationship Id="rId1202" Type="http://schemas.openxmlformats.org/officeDocument/2006/relationships/hyperlink" Target="https://pld.live/RapDetail.aspx?STONELIST=927130214&amp;ISCONFIRM=0" TargetMode="External"/><Relationship Id="rId2600" Type="http://schemas.openxmlformats.org/officeDocument/2006/relationships/hyperlink" Target="https://pld.live/RapDetail.aspx?STONELIST=926341363&amp;ISCONFIRM=0" TargetMode="External"/><Relationship Id="rId4358" Type="http://schemas.openxmlformats.org/officeDocument/2006/relationships/hyperlink" Target="https://pld.live/RapDetail.aspx?STONELIST=926110681&amp;ISCONFIRM=0" TargetMode="External"/><Relationship Id="rId5409" Type="http://schemas.openxmlformats.org/officeDocument/2006/relationships/hyperlink" Target="https://pld.live/RapDetail.aspx?STONELIST=926210565&amp;ISCONFIRM=0" TargetMode="External"/><Relationship Id="rId5756" Type="http://schemas.openxmlformats.org/officeDocument/2006/relationships/hyperlink" Target="https://pld.live/RapDetail.aspx?STONELIST=924560553&amp;ISCONFIRM=0" TargetMode="External"/><Relationship Id="rId5963" Type="http://schemas.openxmlformats.org/officeDocument/2006/relationships/hyperlink" Target="https://pld.live/RapDetail.aspx?STONELIST=926681141&amp;ISCONFIRM=0" TargetMode="External"/><Relationship Id="rId6807" Type="http://schemas.openxmlformats.org/officeDocument/2006/relationships/hyperlink" Target="https://pld.live/RapDetail.aspx?STONELIST=925930261&amp;ISCONFIRM=0" TargetMode="External"/><Relationship Id="rId8022" Type="http://schemas.openxmlformats.org/officeDocument/2006/relationships/hyperlink" Target="https://pld.live/RapDetail.aspx?STONELIST=925510212&amp;ISCONFIRM=0" TargetMode="External"/><Relationship Id="rId3167" Type="http://schemas.openxmlformats.org/officeDocument/2006/relationships/hyperlink" Target="https://pld.live/RapDetail.aspx?STONELIST=925030303&amp;ISCONFIRM=0" TargetMode="External"/><Relationship Id="rId4565" Type="http://schemas.openxmlformats.org/officeDocument/2006/relationships/hyperlink" Target="https://pld.live/RapDetail.aspx?STONELIST=927152869&amp;ISCONFIRM=0" TargetMode="External"/><Relationship Id="rId4772" Type="http://schemas.openxmlformats.org/officeDocument/2006/relationships/hyperlink" Target="https://pld.live/RapDetail.aspx?STONELIST=821115764&amp;ISCONFIRM=0" TargetMode="External"/><Relationship Id="rId5616" Type="http://schemas.openxmlformats.org/officeDocument/2006/relationships/hyperlink" Target="https://pld.live/RapDetail.aspx?STONELIST=924370487&amp;ISCONFIRM=0" TargetMode="External"/><Relationship Id="rId5823" Type="http://schemas.openxmlformats.org/officeDocument/2006/relationships/hyperlink" Target="https://pld.live/RapDetail.aspx?STONELIST=924190687&amp;ISCONFIRM=0" TargetMode="External"/><Relationship Id="rId295" Type="http://schemas.openxmlformats.org/officeDocument/2006/relationships/hyperlink" Target="https://pld.live/RapDetail.aspx?STONELIST=927010686&amp;ISCONFIRM=0" TargetMode="External"/><Relationship Id="rId3374" Type="http://schemas.openxmlformats.org/officeDocument/2006/relationships/hyperlink" Target="https://pld.live/RapDetail.aspx?STONELIST=923600474&amp;ISCONFIRM=0" TargetMode="External"/><Relationship Id="rId3581" Type="http://schemas.openxmlformats.org/officeDocument/2006/relationships/hyperlink" Target="https://pld.live/RapDetail.aspx?STONELIST=927120163&amp;ISCONFIRM=0" TargetMode="External"/><Relationship Id="rId4218" Type="http://schemas.openxmlformats.org/officeDocument/2006/relationships/hyperlink" Target="https://pld.live/RapDetail.aspx?STONELIST=925520082&amp;ISCONFIRM=0" TargetMode="External"/><Relationship Id="rId4425" Type="http://schemas.openxmlformats.org/officeDocument/2006/relationships/hyperlink" Target="https://pld.live/RapDetail.aspx?STONELIST=821126148&amp;ISCONFIRM=0" TargetMode="External"/><Relationship Id="rId4632" Type="http://schemas.openxmlformats.org/officeDocument/2006/relationships/hyperlink" Target="https://pld.live/RapDetail.aspx?STONELIST=927102316&amp;ISCONFIRM=0" TargetMode="External"/><Relationship Id="rId7788" Type="http://schemas.openxmlformats.org/officeDocument/2006/relationships/hyperlink" Target="https://pld.live/RapDetail.aspx?STONELIST=926960798&amp;ISCONFIRM=0" TargetMode="External"/><Relationship Id="rId7995" Type="http://schemas.openxmlformats.org/officeDocument/2006/relationships/hyperlink" Target="https://pld.live/RapDetail.aspx?STONELIST=926580073&amp;ISCONFIRM=0" TargetMode="External"/><Relationship Id="rId2183" Type="http://schemas.openxmlformats.org/officeDocument/2006/relationships/hyperlink" Target="https://pld.live/RapDetail.aspx?STONELIST=920661257&amp;ISCONFIRM=0" TargetMode="External"/><Relationship Id="rId2390" Type="http://schemas.openxmlformats.org/officeDocument/2006/relationships/hyperlink" Target="https://pld.live/RapDetail.aspx?STONELIST=831010729&amp;ISCONFIRM=0" TargetMode="External"/><Relationship Id="rId3027" Type="http://schemas.openxmlformats.org/officeDocument/2006/relationships/hyperlink" Target="https://pld.live/RapDetail.aspx?STONELIST=821128367&amp;ISCONFIRM=0" TargetMode="External"/><Relationship Id="rId3234" Type="http://schemas.openxmlformats.org/officeDocument/2006/relationships/hyperlink" Target="https://pld.live/RapDetail.aspx?STONELIST=924960399&amp;ISCONFIRM=0" TargetMode="External"/><Relationship Id="rId3441" Type="http://schemas.openxmlformats.org/officeDocument/2006/relationships/hyperlink" Target="https://pld.live/RapDetail.aspx?STONELIST=926171470&amp;ISCONFIRM=0" TargetMode="External"/><Relationship Id="rId6597" Type="http://schemas.openxmlformats.org/officeDocument/2006/relationships/hyperlink" Target="https://pld.live/RapDetail.aspx?STONELIST=926820131&amp;ISCONFIRM=0" TargetMode="External"/><Relationship Id="rId7648" Type="http://schemas.openxmlformats.org/officeDocument/2006/relationships/hyperlink" Target="https://pld.live/RapDetail.aspx?STONELIST=924710168&amp;ISCONFIRM=0" TargetMode="External"/><Relationship Id="rId7855" Type="http://schemas.openxmlformats.org/officeDocument/2006/relationships/hyperlink" Target="https://pld.live/RapDetail.aspx?STONELIST=925300361&amp;ISCONFIRM=0" TargetMode="External"/><Relationship Id="rId155" Type="http://schemas.openxmlformats.org/officeDocument/2006/relationships/hyperlink" Target="https://pld.live/RapDetail.aspx?STONELIST=941080558&amp;ISCONFIRM=0" TargetMode="External"/><Relationship Id="rId362" Type="http://schemas.openxmlformats.org/officeDocument/2006/relationships/hyperlink" Target="https://pld.live/RapDetail.aspx?STONELIST=821130323&amp;ISCONFIRM=0" TargetMode="External"/><Relationship Id="rId2043" Type="http://schemas.openxmlformats.org/officeDocument/2006/relationships/hyperlink" Target="https://pld.live/RapDetail.aspx?STONELIST=923970341&amp;ISCONFIRM=0" TargetMode="External"/><Relationship Id="rId2250" Type="http://schemas.openxmlformats.org/officeDocument/2006/relationships/hyperlink" Target="https://pld.live/RapDetail.aspx?STONELIST=941290166&amp;ISCONFIRM=0" TargetMode="External"/><Relationship Id="rId3301" Type="http://schemas.openxmlformats.org/officeDocument/2006/relationships/hyperlink" Target="https://pld.live/RapDetail.aspx?STONELIST=924590276&amp;ISCONFIRM=0" TargetMode="External"/><Relationship Id="rId5199" Type="http://schemas.openxmlformats.org/officeDocument/2006/relationships/hyperlink" Target="https://pld.live/RapDetail.aspx?STONELIST=925621876&amp;ISCONFIRM=0" TargetMode="External"/><Relationship Id="rId6457" Type="http://schemas.openxmlformats.org/officeDocument/2006/relationships/hyperlink" Target="https://pld.live/RapDetail.aspx?STONELIST=925700252&amp;ISCONFIRM=0" TargetMode="External"/><Relationship Id="rId6664" Type="http://schemas.openxmlformats.org/officeDocument/2006/relationships/hyperlink" Target="https://pld.live/RapDetail.aspx?STONELIST=941280510&amp;ISCONFIRM=0" TargetMode="External"/><Relationship Id="rId6871" Type="http://schemas.openxmlformats.org/officeDocument/2006/relationships/hyperlink" Target="https://pld.live/RapDetail.aspx?STONELIST=831020738&amp;ISCONFIRM=0" TargetMode="External"/><Relationship Id="rId7508" Type="http://schemas.openxmlformats.org/officeDocument/2006/relationships/hyperlink" Target="https://pld.live/RapDetail.aspx?STONELIST=925732144&amp;ISCONFIRM=0" TargetMode="External"/><Relationship Id="rId7715" Type="http://schemas.openxmlformats.org/officeDocument/2006/relationships/hyperlink" Target="https://pld.live/RapDetail.aspx?STONELIST=926780075&amp;ISCONFIRM=0" TargetMode="External"/><Relationship Id="rId222" Type="http://schemas.openxmlformats.org/officeDocument/2006/relationships/hyperlink" Target="https://pld.live/RapDetail.aspx?STONELIST=941200221&amp;ISCONFIRM=0" TargetMode="External"/><Relationship Id="rId2110" Type="http://schemas.openxmlformats.org/officeDocument/2006/relationships/hyperlink" Target="https://pld.live/RapDetail.aspx?STONELIST=821127941&amp;ISCONFIRM=0" TargetMode="External"/><Relationship Id="rId5059" Type="http://schemas.openxmlformats.org/officeDocument/2006/relationships/hyperlink" Target="https://pld.live/RapDetail.aspx?STONELIST=831020379&amp;ISCONFIRM=0" TargetMode="External"/><Relationship Id="rId5266" Type="http://schemas.openxmlformats.org/officeDocument/2006/relationships/hyperlink" Target="https://pld.live/RapDetail.aspx?STONELIST=926210602&amp;ISCONFIRM=0" TargetMode="External"/><Relationship Id="rId5473" Type="http://schemas.openxmlformats.org/officeDocument/2006/relationships/hyperlink" Target="https://pld.live/RapDetail.aspx?STONELIST=925900435&amp;ISCONFIRM=0" TargetMode="External"/><Relationship Id="rId5680" Type="http://schemas.openxmlformats.org/officeDocument/2006/relationships/hyperlink" Target="https://pld.live/RapDetail.aspx?STONELIST=924920454&amp;ISCONFIRM=0" TargetMode="External"/><Relationship Id="rId6317" Type="http://schemas.openxmlformats.org/officeDocument/2006/relationships/hyperlink" Target="https://pld.live/RapDetail.aspx?STONELIST=927010107&amp;ISCONFIRM=0" TargetMode="External"/><Relationship Id="rId6524" Type="http://schemas.openxmlformats.org/officeDocument/2006/relationships/hyperlink" Target="https://pld.live/RapDetail.aspx?STONELIST=821113385&amp;ISCONFIRM=0" TargetMode="External"/><Relationship Id="rId7922" Type="http://schemas.openxmlformats.org/officeDocument/2006/relationships/hyperlink" Target="https://pld.live/RapDetail.aspx?STONELIST=926621089&amp;ISCONFIRM=0" TargetMode="External"/><Relationship Id="rId4075" Type="http://schemas.openxmlformats.org/officeDocument/2006/relationships/hyperlink" Target="https://pld.live/RapDetail.aspx?STONELIST=925802042&amp;ISCONFIRM=0" TargetMode="External"/><Relationship Id="rId4282" Type="http://schemas.openxmlformats.org/officeDocument/2006/relationships/hyperlink" Target="https://pld.live/RapDetail.aspx?STONELIST=926700822&amp;ISCONFIRM=0" TargetMode="External"/><Relationship Id="rId5126" Type="http://schemas.openxmlformats.org/officeDocument/2006/relationships/hyperlink" Target="https://pld.live/RapDetail.aspx?STONELIST=925721993&amp;ISCONFIRM=0" TargetMode="External"/><Relationship Id="rId5333" Type="http://schemas.openxmlformats.org/officeDocument/2006/relationships/hyperlink" Target="https://pld.live/RapDetail.aspx?STONELIST=926690759&amp;ISCONFIRM=0" TargetMode="External"/><Relationship Id="rId6731" Type="http://schemas.openxmlformats.org/officeDocument/2006/relationships/hyperlink" Target="https://pld.live/RapDetail.aspx?STONELIST=927092649&amp;ISCONFIRM=0" TargetMode="External"/><Relationship Id="rId1669" Type="http://schemas.openxmlformats.org/officeDocument/2006/relationships/hyperlink" Target="https://pld.live/RapDetail.aspx?STONELIST=821126582&amp;ISCONFIRM=0" TargetMode="External"/><Relationship Id="rId1876" Type="http://schemas.openxmlformats.org/officeDocument/2006/relationships/hyperlink" Target="https://pld.live/RapDetail.aspx?STONELIST=821127870&amp;ISCONFIRM=0" TargetMode="External"/><Relationship Id="rId2927" Type="http://schemas.openxmlformats.org/officeDocument/2006/relationships/hyperlink" Target="https://pld.live/RapDetail.aspx?STONELIST=925830739&amp;ISCONFIRM=0" TargetMode="External"/><Relationship Id="rId3091" Type="http://schemas.openxmlformats.org/officeDocument/2006/relationships/hyperlink" Target="https://pld.live/RapDetail.aspx?STONELIST=924390426&amp;ISCONFIRM=0" TargetMode="External"/><Relationship Id="rId4142" Type="http://schemas.openxmlformats.org/officeDocument/2006/relationships/hyperlink" Target="https://pld.live/RapDetail.aspx?STONELIST=925722089&amp;ISCONFIRM=0" TargetMode="External"/><Relationship Id="rId5540" Type="http://schemas.openxmlformats.org/officeDocument/2006/relationships/hyperlink" Target="https://pld.live/RapDetail.aspx?STONELIST=926310643&amp;ISCONFIRM=0" TargetMode="External"/><Relationship Id="rId7298" Type="http://schemas.openxmlformats.org/officeDocument/2006/relationships/hyperlink" Target="https://pld.live/RapDetail.aspx?STONELIST=927080760&amp;ISCONFIRM=0" TargetMode="External"/><Relationship Id="rId1529" Type="http://schemas.openxmlformats.org/officeDocument/2006/relationships/hyperlink" Target="https://pld.live/RapDetail.aspx?STONELIST=926311362&amp;ISCONFIRM=0" TargetMode="External"/><Relationship Id="rId1736" Type="http://schemas.openxmlformats.org/officeDocument/2006/relationships/hyperlink" Target="https://pld.live/RapDetail.aspx?STONELIST=941350921&amp;ISCONFIRM=0" TargetMode="External"/><Relationship Id="rId1943" Type="http://schemas.openxmlformats.org/officeDocument/2006/relationships/hyperlink" Target="https://pld.live/RapDetail.aspx?STONELIST=926321132&amp;ISCONFIRM=0" TargetMode="External"/><Relationship Id="rId5400" Type="http://schemas.openxmlformats.org/officeDocument/2006/relationships/hyperlink" Target="https://pld.live/RapDetail.aspx?STONELIST=941160616&amp;ISCONFIRM=0" TargetMode="External"/><Relationship Id="rId28" Type="http://schemas.openxmlformats.org/officeDocument/2006/relationships/hyperlink" Target="https://pld.live/RapDetail.aspx?STONELIST=941330381&amp;ISCONFIRM=0" TargetMode="External"/><Relationship Id="rId1803" Type="http://schemas.openxmlformats.org/officeDocument/2006/relationships/hyperlink" Target="https://pld.live/RapDetail.aspx?STONELIST=941270409&amp;ISCONFIRM=0" TargetMode="External"/><Relationship Id="rId4002" Type="http://schemas.openxmlformats.org/officeDocument/2006/relationships/hyperlink" Target="https://pld.live/RapDetail.aspx?STONELIST=926041278&amp;ISCONFIRM=0" TargetMode="External"/><Relationship Id="rId4959" Type="http://schemas.openxmlformats.org/officeDocument/2006/relationships/hyperlink" Target="https://pld.live/RapDetail.aspx?STONELIST=925621630&amp;ISCONFIRM=0" TargetMode="External"/><Relationship Id="rId7158" Type="http://schemas.openxmlformats.org/officeDocument/2006/relationships/hyperlink" Target="https://pld.live/RapDetail.aspx?STONELIST=926420440&amp;ISCONFIRM=0" TargetMode="External"/><Relationship Id="rId7365" Type="http://schemas.openxmlformats.org/officeDocument/2006/relationships/hyperlink" Target="https://pld.live/RapDetail.aspx?STONELIST=927052744&amp;ISCONFIRM=0" TargetMode="External"/><Relationship Id="rId7572" Type="http://schemas.openxmlformats.org/officeDocument/2006/relationships/hyperlink" Target="https://pld.live/RapDetail.aspx?STONELIST=925770918&amp;ISCONFIRM=0" TargetMode="External"/><Relationship Id="rId8209" Type="http://schemas.openxmlformats.org/officeDocument/2006/relationships/hyperlink" Target="https://pld.live/RapDetail.aspx?STONELIST=925010223&amp;ISCONFIRM=0" TargetMode="External"/><Relationship Id="rId3768" Type="http://schemas.openxmlformats.org/officeDocument/2006/relationships/hyperlink" Target="https://pld.live/RapDetail.aspx?STONELIST=9414301314&amp;ISCONFIRM=0" TargetMode="External"/><Relationship Id="rId3975" Type="http://schemas.openxmlformats.org/officeDocument/2006/relationships/hyperlink" Target="https://pld.live/RapDetail.aspx?STONELIST=926170916&amp;ISCONFIRM=0" TargetMode="External"/><Relationship Id="rId4819" Type="http://schemas.openxmlformats.org/officeDocument/2006/relationships/hyperlink" Target="https://pld.live/RapDetail.aspx?STONELIST=926200757&amp;ISCONFIRM=0" TargetMode="External"/><Relationship Id="rId6174" Type="http://schemas.openxmlformats.org/officeDocument/2006/relationships/hyperlink" Target="https://pld.live/RapDetail.aspx?STONELIST=924350400&amp;ISCONFIRM=0" TargetMode="External"/><Relationship Id="rId6381" Type="http://schemas.openxmlformats.org/officeDocument/2006/relationships/hyperlink" Target="https://pld.live/RapDetail.aspx?STONELIST=941080851&amp;ISCONFIRM=0" TargetMode="External"/><Relationship Id="rId7018" Type="http://schemas.openxmlformats.org/officeDocument/2006/relationships/hyperlink" Target="https://pld.live/RapDetail.aspx?STONELIST=926621125&amp;ISCONFIRM=0" TargetMode="External"/><Relationship Id="rId7225" Type="http://schemas.openxmlformats.org/officeDocument/2006/relationships/hyperlink" Target="https://pld.live/RapDetail.aspx?STONELIST=821118010&amp;ISCONFIRM=0" TargetMode="External"/><Relationship Id="rId7432" Type="http://schemas.openxmlformats.org/officeDocument/2006/relationships/hyperlink" Target="https://pld.live/RapDetail.aspx?STONELIST=831020565&amp;ISCONFIRM=0" TargetMode="External"/><Relationship Id="rId689" Type="http://schemas.openxmlformats.org/officeDocument/2006/relationships/hyperlink" Target="https://pld.live/RapDetail.aspx?STONELIST=925920784&amp;ISCONFIRM=0" TargetMode="External"/><Relationship Id="rId896" Type="http://schemas.openxmlformats.org/officeDocument/2006/relationships/hyperlink" Target="https://pld.live/RapDetail.aspx?STONELIST=925971283&amp;ISCONFIRM=0" TargetMode="External"/><Relationship Id="rId2577" Type="http://schemas.openxmlformats.org/officeDocument/2006/relationships/hyperlink" Target="https://pld.live/RapDetail.aspx?STONELIST=926261285&amp;ISCONFIRM=0" TargetMode="External"/><Relationship Id="rId2784" Type="http://schemas.openxmlformats.org/officeDocument/2006/relationships/hyperlink" Target="https://pld.live/RapDetail.aspx?STONELIST=925542773&amp;ISCONFIRM=0" TargetMode="External"/><Relationship Id="rId3628" Type="http://schemas.openxmlformats.org/officeDocument/2006/relationships/hyperlink" Target="https://pld.live/RapDetail.aspx?STONELIST=925060311&amp;ISCONFIRM=0" TargetMode="External"/><Relationship Id="rId5190" Type="http://schemas.openxmlformats.org/officeDocument/2006/relationships/hyperlink" Target="https://pld.live/RapDetail.aspx?STONELIST=925731755&amp;ISCONFIRM=0" TargetMode="External"/><Relationship Id="rId6034" Type="http://schemas.openxmlformats.org/officeDocument/2006/relationships/hyperlink" Target="https://pld.live/RapDetail.aspx?STONELIST=941160553&amp;ISCONFIRM=0" TargetMode="External"/><Relationship Id="rId6241" Type="http://schemas.openxmlformats.org/officeDocument/2006/relationships/hyperlink" Target="https://pld.live/RapDetail.aspx?STONELIST=925710156&amp;ISCONFIRM=0" TargetMode="External"/><Relationship Id="rId549" Type="http://schemas.openxmlformats.org/officeDocument/2006/relationships/hyperlink" Target="https://pld.live/RapDetail.aspx?STONELIST=941400289&amp;ISCONFIRM=0" TargetMode="External"/><Relationship Id="rId756" Type="http://schemas.openxmlformats.org/officeDocument/2006/relationships/hyperlink" Target="https://pld.live/RapDetail.aspx?STONELIST=925800510&amp;ISCONFIRM=0" TargetMode="External"/><Relationship Id="rId1179" Type="http://schemas.openxmlformats.org/officeDocument/2006/relationships/hyperlink" Target="https://pld.live/RapDetail.aspx?STONELIST=941350952&amp;ISCONFIRM=0" TargetMode="External"/><Relationship Id="rId1386" Type="http://schemas.openxmlformats.org/officeDocument/2006/relationships/hyperlink" Target="https://pld.live/RapDetail.aspx?STONELIST=925760391&amp;ISCONFIRM=0" TargetMode="External"/><Relationship Id="rId1593" Type="http://schemas.openxmlformats.org/officeDocument/2006/relationships/hyperlink" Target="https://pld.live/RapDetail.aspx?STONELIST=941330320&amp;ISCONFIRM=0" TargetMode="External"/><Relationship Id="rId2437" Type="http://schemas.openxmlformats.org/officeDocument/2006/relationships/hyperlink" Target="https://pld.live/RapDetail.aspx?STONELIST=926261191&amp;ISCONFIRM=0" TargetMode="External"/><Relationship Id="rId2991" Type="http://schemas.openxmlformats.org/officeDocument/2006/relationships/hyperlink" Target="https://pld.live/RapDetail.aspx?STONELIST=821128403&amp;ISCONFIRM=0" TargetMode="External"/><Relationship Id="rId3835" Type="http://schemas.openxmlformats.org/officeDocument/2006/relationships/hyperlink" Target="https://pld.live/RapDetail.aspx?STONELIST=927080668&amp;ISCONFIRM=0" TargetMode="External"/><Relationship Id="rId5050" Type="http://schemas.openxmlformats.org/officeDocument/2006/relationships/hyperlink" Target="https://pld.live/RapDetail.aspx?STONELIST=925950616&amp;ISCONFIRM=0" TargetMode="External"/><Relationship Id="rId6101" Type="http://schemas.openxmlformats.org/officeDocument/2006/relationships/hyperlink" Target="https://pld.live/RapDetail.aspx?STONELIST=926590061&amp;ISCONFIRM=0" TargetMode="External"/><Relationship Id="rId409" Type="http://schemas.openxmlformats.org/officeDocument/2006/relationships/hyperlink" Target="https://pld.live/RapDetail.aspx?STONELIST=831020665&amp;ISCONFIRM=0" TargetMode="External"/><Relationship Id="rId963" Type="http://schemas.openxmlformats.org/officeDocument/2006/relationships/hyperlink" Target="https://pld.live/RapDetail.aspx?STONELIST=925140169&amp;ISCONFIRM=0" TargetMode="External"/><Relationship Id="rId1039" Type="http://schemas.openxmlformats.org/officeDocument/2006/relationships/hyperlink" Target="https://pld.live/RapDetail.aspx?STONELIST=927150617&amp;ISCONFIRM=0" TargetMode="External"/><Relationship Id="rId1246" Type="http://schemas.openxmlformats.org/officeDocument/2006/relationships/hyperlink" Target="https://pld.live/RapDetail.aspx?STONELIST=941350658&amp;ISCONFIRM=0" TargetMode="External"/><Relationship Id="rId2644" Type="http://schemas.openxmlformats.org/officeDocument/2006/relationships/hyperlink" Target="https://pld.live/RapDetail.aspx?STONELIST=926391287&amp;ISCONFIRM=0" TargetMode="External"/><Relationship Id="rId2851" Type="http://schemas.openxmlformats.org/officeDocument/2006/relationships/hyperlink" Target="https://pld.live/RapDetail.aspx?STONELIST=925732137&amp;ISCONFIRM=0" TargetMode="External"/><Relationship Id="rId3902" Type="http://schemas.openxmlformats.org/officeDocument/2006/relationships/hyperlink" Target="https://pld.live/RapDetail.aspx?STONELIST=925981083&amp;ISCONFIRM=0" TargetMode="External"/><Relationship Id="rId8066" Type="http://schemas.openxmlformats.org/officeDocument/2006/relationships/hyperlink" Target="https://pld.live/RapDetail.aspx?STONELIST=925950930&amp;ISCONFIRM=0" TargetMode="External"/><Relationship Id="rId92" Type="http://schemas.openxmlformats.org/officeDocument/2006/relationships/hyperlink" Target="https://pld.live/RapDetail.aspx?STONELIST=923740256&amp;ISCONFIRM=0" TargetMode="External"/><Relationship Id="rId616" Type="http://schemas.openxmlformats.org/officeDocument/2006/relationships/hyperlink" Target="https://pld.live/RapDetail.aspx?STONELIST=925861434&amp;ISCONFIRM=0" TargetMode="External"/><Relationship Id="rId823" Type="http://schemas.openxmlformats.org/officeDocument/2006/relationships/hyperlink" Target="https://pld.live/RapDetail.aspx?STONELIST=926071716&amp;ISCONFIRM=0" TargetMode="External"/><Relationship Id="rId1453" Type="http://schemas.openxmlformats.org/officeDocument/2006/relationships/hyperlink" Target="https://pld.live/RapDetail.aspx?STONELIST=926250543&amp;ISCONFIRM=0" TargetMode="External"/><Relationship Id="rId1660" Type="http://schemas.openxmlformats.org/officeDocument/2006/relationships/hyperlink" Target="https://pld.live/RapDetail.aspx?STONELIST=821126668&amp;ISCONFIRM=0" TargetMode="External"/><Relationship Id="rId2504" Type="http://schemas.openxmlformats.org/officeDocument/2006/relationships/hyperlink" Target="https://pld.live/RapDetail.aspx?STONELIST=926230961&amp;ISCONFIRM=0" TargetMode="External"/><Relationship Id="rId2711" Type="http://schemas.openxmlformats.org/officeDocument/2006/relationships/hyperlink" Target="https://pld.live/RapDetail.aspx?STONELIST=922930163&amp;ISCONFIRM=0" TargetMode="External"/><Relationship Id="rId5867" Type="http://schemas.openxmlformats.org/officeDocument/2006/relationships/hyperlink" Target="https://pld.live/RapDetail.aspx?STONELIST=925722020&amp;ISCONFIRM=0" TargetMode="External"/><Relationship Id="rId6918" Type="http://schemas.openxmlformats.org/officeDocument/2006/relationships/hyperlink" Target="https://pld.live/RapDetail.aspx?STONELIST=925540945&amp;ISCONFIRM=0" TargetMode="External"/><Relationship Id="rId7082" Type="http://schemas.openxmlformats.org/officeDocument/2006/relationships/hyperlink" Target="https://pld.live/RapDetail.aspx?STONELIST=927052698&amp;ISCONFIRM=0" TargetMode="External"/><Relationship Id="rId1106" Type="http://schemas.openxmlformats.org/officeDocument/2006/relationships/hyperlink" Target="https://pld.live/RapDetail.aspx?STONELIST=927052088&amp;ISCONFIRM=0" TargetMode="External"/><Relationship Id="rId1313" Type="http://schemas.openxmlformats.org/officeDocument/2006/relationships/hyperlink" Target="https://pld.live/RapDetail.aspx?STONELIST=926291525&amp;ISCONFIRM=0" TargetMode="External"/><Relationship Id="rId1520" Type="http://schemas.openxmlformats.org/officeDocument/2006/relationships/hyperlink" Target="https://pld.live/RapDetail.aspx?STONELIST=926221379&amp;ISCONFIRM=0" TargetMode="External"/><Relationship Id="rId4469" Type="http://schemas.openxmlformats.org/officeDocument/2006/relationships/hyperlink" Target="https://pld.live/RapDetail.aspx?STONELIST=927092533&amp;ISCONFIRM=0" TargetMode="External"/><Relationship Id="rId4676" Type="http://schemas.openxmlformats.org/officeDocument/2006/relationships/hyperlink" Target="https://pld.live/RapDetail.aspx?STONELIST=831020186&amp;ISCONFIRM=0" TargetMode="External"/><Relationship Id="rId4883" Type="http://schemas.openxmlformats.org/officeDocument/2006/relationships/hyperlink" Target="https://pld.live/RapDetail.aspx?STONELIST=925502152&amp;ISCONFIRM=0" TargetMode="External"/><Relationship Id="rId5727" Type="http://schemas.openxmlformats.org/officeDocument/2006/relationships/hyperlink" Target="https://pld.live/RapDetail.aspx?STONELIST=831010320&amp;ISCONFIRM=0" TargetMode="External"/><Relationship Id="rId5934" Type="http://schemas.openxmlformats.org/officeDocument/2006/relationships/hyperlink" Target="https://pld.live/RapDetail.aspx?STONELIST=925220305&amp;ISCONFIRM=0" TargetMode="External"/><Relationship Id="rId8133" Type="http://schemas.openxmlformats.org/officeDocument/2006/relationships/hyperlink" Target="https://pld.live/RapDetail.aspx?STONELIST=926750361&amp;ISCONFIRM=0" TargetMode="External"/><Relationship Id="rId3278" Type="http://schemas.openxmlformats.org/officeDocument/2006/relationships/hyperlink" Target="https://pld.live/RapDetail.aspx?STONELIST=941400589&amp;ISCONFIRM=0" TargetMode="External"/><Relationship Id="rId3485" Type="http://schemas.openxmlformats.org/officeDocument/2006/relationships/hyperlink" Target="https://pld.live/RapDetail.aspx?STONELIST=926270765&amp;ISCONFIRM=0" TargetMode="External"/><Relationship Id="rId3692" Type="http://schemas.openxmlformats.org/officeDocument/2006/relationships/hyperlink" Target="https://pld.live/RapDetail.aspx?STONELIST=941060537&amp;ISCONFIRM=0" TargetMode="External"/><Relationship Id="rId4329" Type="http://schemas.openxmlformats.org/officeDocument/2006/relationships/hyperlink" Target="https://pld.live/RapDetail.aspx?STONELIST=927052556&amp;ISCONFIRM=0" TargetMode="External"/><Relationship Id="rId4536" Type="http://schemas.openxmlformats.org/officeDocument/2006/relationships/hyperlink" Target="https://pld.live/RapDetail.aspx?STONELIST=941140760&amp;ISCONFIRM=0" TargetMode="External"/><Relationship Id="rId4743" Type="http://schemas.openxmlformats.org/officeDocument/2006/relationships/hyperlink" Target="https://pld.live/RapDetail.aspx?STONELIST=831020098&amp;ISCONFIRM=0" TargetMode="External"/><Relationship Id="rId4950" Type="http://schemas.openxmlformats.org/officeDocument/2006/relationships/hyperlink" Target="https://pld.live/RapDetail.aspx?STONELIST=926200750&amp;ISCONFIRM=0" TargetMode="External"/><Relationship Id="rId7899" Type="http://schemas.openxmlformats.org/officeDocument/2006/relationships/hyperlink" Target="https://pld.live/RapDetail.aspx?STONELIST=926901057&amp;ISCONFIRM=0" TargetMode="External"/><Relationship Id="rId8200" Type="http://schemas.openxmlformats.org/officeDocument/2006/relationships/hyperlink" Target="https://pld.live/RapDetail.aspx?STONELIST=925880316&amp;ISCONFIRM=0" TargetMode="External"/><Relationship Id="rId199" Type="http://schemas.openxmlformats.org/officeDocument/2006/relationships/hyperlink" Target="https://pld.live/RapDetail.aspx?STONELIST=941310054&amp;ISCONFIRM=0" TargetMode="External"/><Relationship Id="rId2087" Type="http://schemas.openxmlformats.org/officeDocument/2006/relationships/hyperlink" Target="https://pld.live/RapDetail.aspx?STONELIST=941310052&amp;ISCONFIRM=0" TargetMode="External"/><Relationship Id="rId2294" Type="http://schemas.openxmlformats.org/officeDocument/2006/relationships/hyperlink" Target="https://pld.live/RapDetail.aspx?STONELIST=926261447&amp;ISCONFIRM=0" TargetMode="External"/><Relationship Id="rId3138" Type="http://schemas.openxmlformats.org/officeDocument/2006/relationships/hyperlink" Target="https://pld.live/RapDetail.aspx?STONELIST=926111028&amp;ISCONFIRM=0" TargetMode="External"/><Relationship Id="rId3345" Type="http://schemas.openxmlformats.org/officeDocument/2006/relationships/hyperlink" Target="https://pld.live/RapDetail.aspx?STONELIST=923700298&amp;ISCONFIRM=0" TargetMode="External"/><Relationship Id="rId3552" Type="http://schemas.openxmlformats.org/officeDocument/2006/relationships/hyperlink" Target="https://pld.live/RapDetail.aspx?STONELIST=925330022&amp;ISCONFIRM=0" TargetMode="External"/><Relationship Id="rId4603" Type="http://schemas.openxmlformats.org/officeDocument/2006/relationships/hyperlink" Target="https://pld.live/RapDetail.aspx?STONELIST=927152776&amp;ISCONFIRM=0" TargetMode="External"/><Relationship Id="rId7759" Type="http://schemas.openxmlformats.org/officeDocument/2006/relationships/hyperlink" Target="https://pld.live/RapDetail.aspx?STONELIST=831020686&amp;ISCONFIRM=0" TargetMode="External"/><Relationship Id="rId266" Type="http://schemas.openxmlformats.org/officeDocument/2006/relationships/hyperlink" Target="https://pld.live/RapDetail.aspx?STONELIST=925070065&amp;ISCONFIRM=0" TargetMode="External"/><Relationship Id="rId473" Type="http://schemas.openxmlformats.org/officeDocument/2006/relationships/hyperlink" Target="https://pld.live/RapDetail.aspx?STONELIST=926041291&amp;ISCONFIRM=0" TargetMode="External"/><Relationship Id="rId680" Type="http://schemas.openxmlformats.org/officeDocument/2006/relationships/hyperlink" Target="https://pld.live/RapDetail.aspx?STONELIST=926101176&amp;ISCONFIRM=0" TargetMode="External"/><Relationship Id="rId2154" Type="http://schemas.openxmlformats.org/officeDocument/2006/relationships/hyperlink" Target="https://pld.live/RapDetail.aspx?STONELIST=924180391&amp;ISCONFIRM=0" TargetMode="External"/><Relationship Id="rId2361" Type="http://schemas.openxmlformats.org/officeDocument/2006/relationships/hyperlink" Target="https://pld.live/RapDetail.aspx?STONELIST=926341426&amp;ISCONFIRM=0" TargetMode="External"/><Relationship Id="rId3205" Type="http://schemas.openxmlformats.org/officeDocument/2006/relationships/hyperlink" Target="https://pld.live/RapDetail.aspx?STONELIST=926220755&amp;ISCONFIRM=0" TargetMode="External"/><Relationship Id="rId3412" Type="http://schemas.openxmlformats.org/officeDocument/2006/relationships/hyperlink" Target="https://pld.live/RapDetail.aspx?STONELIST=831010789&amp;ISCONFIRM=0" TargetMode="External"/><Relationship Id="rId4810" Type="http://schemas.openxmlformats.org/officeDocument/2006/relationships/hyperlink" Target="https://pld.live/RapDetail.aspx?STONELIST=924090421&amp;ISCONFIRM=0" TargetMode="External"/><Relationship Id="rId6568" Type="http://schemas.openxmlformats.org/officeDocument/2006/relationships/hyperlink" Target="https://pld.live/RapDetail.aspx?STONELIST=925690216&amp;ISCONFIRM=0" TargetMode="External"/><Relationship Id="rId7619" Type="http://schemas.openxmlformats.org/officeDocument/2006/relationships/hyperlink" Target="https://pld.live/RapDetail.aspx?STONELIST=924440150&amp;ISCONFIRM=0" TargetMode="External"/><Relationship Id="rId7966" Type="http://schemas.openxmlformats.org/officeDocument/2006/relationships/hyperlink" Target="https://pld.live/RapDetail.aspx?STONELIST=926760973&amp;ISCONFIRM=0" TargetMode="External"/><Relationship Id="rId126" Type="http://schemas.openxmlformats.org/officeDocument/2006/relationships/hyperlink" Target="https://pld.live/RapDetail.aspx?STONELIST=926410264&amp;ISCONFIRM=0" TargetMode="External"/><Relationship Id="rId333" Type="http://schemas.openxmlformats.org/officeDocument/2006/relationships/hyperlink" Target="https://pld.live/RapDetail.aspx?STONELIST=941431263&amp;ISCONFIRM=0" TargetMode="External"/><Relationship Id="rId540" Type="http://schemas.openxmlformats.org/officeDocument/2006/relationships/hyperlink" Target="https://pld.live/RapDetail.aspx?STONELIST=941400280&amp;ISCONFIRM=0" TargetMode="External"/><Relationship Id="rId1170" Type="http://schemas.openxmlformats.org/officeDocument/2006/relationships/hyperlink" Target="https://pld.live/RapDetail.aspx?STONELIST=926810867&amp;ISCONFIRM=0" TargetMode="External"/><Relationship Id="rId2014" Type="http://schemas.openxmlformats.org/officeDocument/2006/relationships/hyperlink" Target="https://pld.live/RapDetail.aspx?STONELIST=941350631&amp;ISCONFIRM=0" TargetMode="External"/><Relationship Id="rId2221" Type="http://schemas.openxmlformats.org/officeDocument/2006/relationships/hyperlink" Target="https://pld.live/RapDetail.aspx?STONELIST=926191183&amp;ISCONFIRM=0" TargetMode="External"/><Relationship Id="rId5377" Type="http://schemas.openxmlformats.org/officeDocument/2006/relationships/hyperlink" Target="https://pld.live/RapDetail.aspx?STONELIST=925861428&amp;ISCONFIRM=0" TargetMode="External"/><Relationship Id="rId6428" Type="http://schemas.openxmlformats.org/officeDocument/2006/relationships/hyperlink" Target="https://pld.live/RapDetail.aspx?STONELIST=941100559&amp;ISCONFIRM=0" TargetMode="External"/><Relationship Id="rId6775" Type="http://schemas.openxmlformats.org/officeDocument/2006/relationships/hyperlink" Target="https://pld.live/RapDetail.aspx?STONELIST=924500015&amp;ISCONFIRM=0" TargetMode="External"/><Relationship Id="rId6982" Type="http://schemas.openxmlformats.org/officeDocument/2006/relationships/hyperlink" Target="https://pld.live/RapDetail.aspx?STONELIST=925520084&amp;ISCONFIRM=0" TargetMode="External"/><Relationship Id="rId7826" Type="http://schemas.openxmlformats.org/officeDocument/2006/relationships/hyperlink" Target="https://pld.live/RapDetail.aspx?STONELIST=926200153&amp;ISCONFIRM=0" TargetMode="External"/><Relationship Id="rId1030" Type="http://schemas.openxmlformats.org/officeDocument/2006/relationships/hyperlink" Target="https://pld.live/RapDetail.aspx?STONELIST=926831076&amp;ISCONFIRM=0" TargetMode="External"/><Relationship Id="rId4186" Type="http://schemas.openxmlformats.org/officeDocument/2006/relationships/hyperlink" Target="https://pld.live/RapDetail.aspx?STONELIST=926111341&amp;ISCONFIRM=0" TargetMode="External"/><Relationship Id="rId5584" Type="http://schemas.openxmlformats.org/officeDocument/2006/relationships/hyperlink" Target="https://pld.live/RapDetail.aspx?STONELIST=924780333&amp;ISCONFIRM=0" TargetMode="External"/><Relationship Id="rId5791" Type="http://schemas.openxmlformats.org/officeDocument/2006/relationships/hyperlink" Target="https://pld.live/RapDetail.aspx?STONELIST=927130299&amp;ISCONFIRM=0" TargetMode="External"/><Relationship Id="rId6635" Type="http://schemas.openxmlformats.org/officeDocument/2006/relationships/hyperlink" Target="https://pld.live/RapDetail.aspx?STONELIST=927052682&amp;ISCONFIRM=0" TargetMode="External"/><Relationship Id="rId6842" Type="http://schemas.openxmlformats.org/officeDocument/2006/relationships/hyperlink" Target="https://pld.live/RapDetail.aspx?STONELIST=821112594&amp;ISCONFIRM=0" TargetMode="External"/><Relationship Id="rId400" Type="http://schemas.openxmlformats.org/officeDocument/2006/relationships/hyperlink" Target="https://pld.live/RapDetail.aspx?STONELIST=831020611&amp;ISCONFIRM=0" TargetMode="External"/><Relationship Id="rId1987" Type="http://schemas.openxmlformats.org/officeDocument/2006/relationships/hyperlink" Target="https://pld.live/RapDetail.aspx?STONELIST=926321110&amp;ISCONFIRM=0" TargetMode="External"/><Relationship Id="rId4393" Type="http://schemas.openxmlformats.org/officeDocument/2006/relationships/hyperlink" Target="https://pld.live/RapDetail.aspx?STONELIST=927132642&amp;ISCONFIRM=0" TargetMode="External"/><Relationship Id="rId5237" Type="http://schemas.openxmlformats.org/officeDocument/2006/relationships/hyperlink" Target="https://pld.live/RapDetail.aspx?STONELIST=925801687&amp;ISCONFIRM=0" TargetMode="External"/><Relationship Id="rId5444" Type="http://schemas.openxmlformats.org/officeDocument/2006/relationships/hyperlink" Target="https://pld.live/RapDetail.aspx?STONELIST=925940476&amp;ISCONFIRM=0" TargetMode="External"/><Relationship Id="rId5651" Type="http://schemas.openxmlformats.org/officeDocument/2006/relationships/hyperlink" Target="https://pld.live/RapDetail.aspx?STONELIST=941261069&amp;ISCONFIRM=0" TargetMode="External"/><Relationship Id="rId6702" Type="http://schemas.openxmlformats.org/officeDocument/2006/relationships/hyperlink" Target="https://pld.live/RapDetail.aspx?STONELIST=941080838&amp;ISCONFIRM=0" TargetMode="External"/><Relationship Id="rId1847" Type="http://schemas.openxmlformats.org/officeDocument/2006/relationships/hyperlink" Target="https://pld.live/RapDetail.aspx?STONELIST=926081394&amp;ISCONFIRM=0" TargetMode="External"/><Relationship Id="rId4046" Type="http://schemas.openxmlformats.org/officeDocument/2006/relationships/hyperlink" Target="https://pld.live/RapDetail.aspx?STONELIST=925861660&amp;ISCONFIRM=0" TargetMode="External"/><Relationship Id="rId4253" Type="http://schemas.openxmlformats.org/officeDocument/2006/relationships/hyperlink" Target="https://pld.live/RapDetail.aspx?STONELIST=926700733&amp;ISCONFIRM=0" TargetMode="External"/><Relationship Id="rId4460" Type="http://schemas.openxmlformats.org/officeDocument/2006/relationships/hyperlink" Target="https://pld.live/RapDetail.aspx?STONELIST=925290568&amp;ISCONFIRM=0" TargetMode="External"/><Relationship Id="rId5304" Type="http://schemas.openxmlformats.org/officeDocument/2006/relationships/hyperlink" Target="https://pld.live/RapDetail.aspx?STONELIST=926630543&amp;ISCONFIRM=0" TargetMode="External"/><Relationship Id="rId5511" Type="http://schemas.openxmlformats.org/officeDocument/2006/relationships/hyperlink" Target="https://pld.live/RapDetail.aspx?STONELIST=926871136&amp;ISCONFIRM=0" TargetMode="External"/><Relationship Id="rId1707" Type="http://schemas.openxmlformats.org/officeDocument/2006/relationships/hyperlink" Target="https://pld.live/RapDetail.aspx?STONELIST=926690777&amp;ISCONFIRM=0" TargetMode="External"/><Relationship Id="rId3062" Type="http://schemas.openxmlformats.org/officeDocument/2006/relationships/hyperlink" Target="https://pld.live/RapDetail.aspx?STONELIST=926111048&amp;ISCONFIRM=0" TargetMode="External"/><Relationship Id="rId4113" Type="http://schemas.openxmlformats.org/officeDocument/2006/relationships/hyperlink" Target="https://pld.live/RapDetail.aspx?STONELIST=925621810&amp;ISCONFIRM=0" TargetMode="External"/><Relationship Id="rId4320" Type="http://schemas.openxmlformats.org/officeDocument/2006/relationships/hyperlink" Target="https://pld.live/RapDetail.aspx?STONELIST=941190646&amp;ISCONFIRM=0" TargetMode="External"/><Relationship Id="rId7269" Type="http://schemas.openxmlformats.org/officeDocument/2006/relationships/hyperlink" Target="https://pld.live/RapDetail.aspx?STONELIST=927030766&amp;ISCONFIRM=0" TargetMode="External"/><Relationship Id="rId7476" Type="http://schemas.openxmlformats.org/officeDocument/2006/relationships/hyperlink" Target="https://pld.live/RapDetail.aspx?STONELIST=924830010&amp;ISCONFIRM=0" TargetMode="External"/><Relationship Id="rId7683" Type="http://schemas.openxmlformats.org/officeDocument/2006/relationships/hyperlink" Target="https://pld.live/RapDetail.aspx?STONELIST=941270791&amp;ISCONFIRM=0" TargetMode="External"/><Relationship Id="rId7890" Type="http://schemas.openxmlformats.org/officeDocument/2006/relationships/hyperlink" Target="https://pld.live/RapDetail.aspx?STONELIST=927130837&amp;ISCONFIRM=0" TargetMode="External"/><Relationship Id="rId190" Type="http://schemas.openxmlformats.org/officeDocument/2006/relationships/hyperlink" Target="https://pld.live/RapDetail.aspx?STONELIST=926470296&amp;ISCONFIRM=0" TargetMode="External"/><Relationship Id="rId1914" Type="http://schemas.openxmlformats.org/officeDocument/2006/relationships/hyperlink" Target="https://pld.live/RapDetail.aspx?STONELIST=925840801&amp;ISCONFIRM=0" TargetMode="External"/><Relationship Id="rId6078" Type="http://schemas.openxmlformats.org/officeDocument/2006/relationships/hyperlink" Target="https://pld.live/RapDetail.aspx?STONELIST=926410375&amp;ISCONFIRM=0" TargetMode="External"/><Relationship Id="rId6285" Type="http://schemas.openxmlformats.org/officeDocument/2006/relationships/hyperlink" Target="https://pld.live/RapDetail.aspx?STONELIST=941180024&amp;ISCONFIRM=0" TargetMode="External"/><Relationship Id="rId6492" Type="http://schemas.openxmlformats.org/officeDocument/2006/relationships/hyperlink" Target="https://pld.live/RapDetail.aspx?STONELIST=941100653&amp;ISCONFIRM=0" TargetMode="External"/><Relationship Id="rId7129" Type="http://schemas.openxmlformats.org/officeDocument/2006/relationships/hyperlink" Target="https://pld.live/RapDetail.aspx?STONELIST=941161009&amp;ISCONFIRM=0" TargetMode="External"/><Relationship Id="rId7336" Type="http://schemas.openxmlformats.org/officeDocument/2006/relationships/hyperlink" Target="https://pld.live/RapDetail.aspx?STONELIST=924571036&amp;ISCONFIRM=0" TargetMode="External"/><Relationship Id="rId7543" Type="http://schemas.openxmlformats.org/officeDocument/2006/relationships/hyperlink" Target="https://pld.live/RapDetail.aspx?STONELIST=925731643&amp;ISCONFIRM=0" TargetMode="External"/><Relationship Id="rId3879" Type="http://schemas.openxmlformats.org/officeDocument/2006/relationships/hyperlink" Target="https://pld.live/RapDetail.aspx?STONELIST=925551496&amp;ISCONFIRM=0" TargetMode="External"/><Relationship Id="rId5094" Type="http://schemas.openxmlformats.org/officeDocument/2006/relationships/hyperlink" Target="https://pld.live/RapDetail.aspx?STONELIST=923800378&amp;ISCONFIRM=0" TargetMode="External"/><Relationship Id="rId6145" Type="http://schemas.openxmlformats.org/officeDocument/2006/relationships/hyperlink" Target="https://pld.live/RapDetail.aspx?STONELIST=924930201&amp;ISCONFIRM=0" TargetMode="External"/><Relationship Id="rId6352" Type="http://schemas.openxmlformats.org/officeDocument/2006/relationships/hyperlink" Target="https://pld.live/RapDetail.aspx?STONELIST=926010229&amp;ISCONFIRM=0" TargetMode="External"/><Relationship Id="rId7750" Type="http://schemas.openxmlformats.org/officeDocument/2006/relationships/hyperlink" Target="https://pld.live/RapDetail.aspx?STONELIST=926030042&amp;ISCONFIRM=0" TargetMode="External"/><Relationship Id="rId2688" Type="http://schemas.openxmlformats.org/officeDocument/2006/relationships/hyperlink" Target="https://pld.live/RapDetail.aspx?STONELIST=926430880&amp;ISCONFIRM=0" TargetMode="External"/><Relationship Id="rId2895" Type="http://schemas.openxmlformats.org/officeDocument/2006/relationships/hyperlink" Target="https://pld.live/RapDetail.aspx?STONELIST=925290567&amp;ISCONFIRM=0" TargetMode="External"/><Relationship Id="rId3739" Type="http://schemas.openxmlformats.org/officeDocument/2006/relationships/hyperlink" Target="https://pld.live/RapDetail.aspx?STONELIST=941360580&amp;ISCONFIRM=0" TargetMode="External"/><Relationship Id="rId3946" Type="http://schemas.openxmlformats.org/officeDocument/2006/relationships/hyperlink" Target="https://pld.live/RapDetail.aspx?STONELIST=821124339&amp;ISCONFIRM=0" TargetMode="External"/><Relationship Id="rId5161" Type="http://schemas.openxmlformats.org/officeDocument/2006/relationships/hyperlink" Target="https://pld.live/RapDetail.aspx?STONELIST=925420392&amp;ISCONFIRM=0" TargetMode="External"/><Relationship Id="rId6005" Type="http://schemas.openxmlformats.org/officeDocument/2006/relationships/hyperlink" Target="https://pld.live/RapDetail.aspx?STONELIST=925940581&amp;ISCONFIRM=0" TargetMode="External"/><Relationship Id="rId7403" Type="http://schemas.openxmlformats.org/officeDocument/2006/relationships/hyperlink" Target="https://pld.live/RapDetail.aspx?STONELIST=926050160&amp;ISCONFIRM=0" TargetMode="External"/><Relationship Id="rId7610" Type="http://schemas.openxmlformats.org/officeDocument/2006/relationships/hyperlink" Target="https://pld.live/RapDetail.aspx?STONELIST=926270772&amp;ISCONFIRM=0" TargetMode="External"/><Relationship Id="rId867" Type="http://schemas.openxmlformats.org/officeDocument/2006/relationships/hyperlink" Target="https://pld.live/RapDetail.aspx?STONELIST=925180142&amp;ISCONFIRM=0" TargetMode="External"/><Relationship Id="rId1497" Type="http://schemas.openxmlformats.org/officeDocument/2006/relationships/hyperlink" Target="https://pld.live/RapDetail.aspx?STONELIST=925791321&amp;ISCONFIRM=0" TargetMode="External"/><Relationship Id="rId2548" Type="http://schemas.openxmlformats.org/officeDocument/2006/relationships/hyperlink" Target="https://pld.live/RapDetail.aspx?STONELIST=926191037&amp;ISCONFIRM=0" TargetMode="External"/><Relationship Id="rId2755" Type="http://schemas.openxmlformats.org/officeDocument/2006/relationships/hyperlink" Target="https://pld.live/RapDetail.aspx?STONELIST=925610439&amp;ISCONFIRM=0" TargetMode="External"/><Relationship Id="rId2962" Type="http://schemas.openxmlformats.org/officeDocument/2006/relationships/hyperlink" Target="https://pld.live/RapDetail.aspx?STONELIST=925791418&amp;ISCONFIRM=0" TargetMode="External"/><Relationship Id="rId3806" Type="http://schemas.openxmlformats.org/officeDocument/2006/relationships/hyperlink" Target="https://pld.live/RapDetail.aspx?STONELIST=941090175&amp;ISCONFIRM=0" TargetMode="External"/><Relationship Id="rId6212" Type="http://schemas.openxmlformats.org/officeDocument/2006/relationships/hyperlink" Target="https://pld.live/RapDetail.aspx?STONELIST=925700227&amp;ISCONFIRM=0" TargetMode="External"/><Relationship Id="rId727" Type="http://schemas.openxmlformats.org/officeDocument/2006/relationships/hyperlink" Target="https://pld.live/RapDetail.aspx?STONELIST=926100906&amp;ISCONFIRM=0" TargetMode="External"/><Relationship Id="rId934" Type="http://schemas.openxmlformats.org/officeDocument/2006/relationships/hyperlink" Target="https://pld.live/RapDetail.aspx?STONELIST=926111052&amp;ISCONFIRM=0" TargetMode="External"/><Relationship Id="rId1357" Type="http://schemas.openxmlformats.org/officeDocument/2006/relationships/hyperlink" Target="https://pld.live/RapDetail.aspx?STONELIST=926250621&amp;ISCONFIRM=0" TargetMode="External"/><Relationship Id="rId1564" Type="http://schemas.openxmlformats.org/officeDocument/2006/relationships/hyperlink" Target="https://pld.live/RapDetail.aspx?STONELIST=926211187&amp;ISCONFIRM=0" TargetMode="External"/><Relationship Id="rId1771" Type="http://schemas.openxmlformats.org/officeDocument/2006/relationships/hyperlink" Target="https://pld.live/RapDetail.aspx?STONELIST=941230579&amp;ISCONFIRM=0" TargetMode="External"/><Relationship Id="rId2408" Type="http://schemas.openxmlformats.org/officeDocument/2006/relationships/hyperlink" Target="https://pld.live/RapDetail.aspx?STONELIST=821127861&amp;ISCONFIRM=0" TargetMode="External"/><Relationship Id="rId2615" Type="http://schemas.openxmlformats.org/officeDocument/2006/relationships/hyperlink" Target="https://pld.live/RapDetail.aspx?STONELIST=926800988&amp;ISCONFIRM=0" TargetMode="External"/><Relationship Id="rId2822" Type="http://schemas.openxmlformats.org/officeDocument/2006/relationships/hyperlink" Target="https://pld.live/RapDetail.aspx?STONELIST=925801813&amp;ISCONFIRM=0" TargetMode="External"/><Relationship Id="rId5021" Type="http://schemas.openxmlformats.org/officeDocument/2006/relationships/hyperlink" Target="https://pld.live/RapDetail.aspx?STONELIST=924620062&amp;ISCONFIRM=0" TargetMode="External"/><Relationship Id="rId5978" Type="http://schemas.openxmlformats.org/officeDocument/2006/relationships/hyperlink" Target="https://pld.live/RapDetail.aspx?STONELIST=926831167&amp;ISCONFIRM=0" TargetMode="External"/><Relationship Id="rId8177" Type="http://schemas.openxmlformats.org/officeDocument/2006/relationships/hyperlink" Target="https://pld.live/RapDetail.aspx?STONELIST=924410785&amp;ISCONFIRM=0" TargetMode="External"/><Relationship Id="rId63" Type="http://schemas.openxmlformats.org/officeDocument/2006/relationships/hyperlink" Target="https://pld.live/RapDetail.aspx?STONELIST=941390330&amp;ISCONFIRM=0" TargetMode="External"/><Relationship Id="rId1217" Type="http://schemas.openxmlformats.org/officeDocument/2006/relationships/hyperlink" Target="https://pld.live/RapDetail.aspx?STONELIST=926211135&amp;ISCONFIRM=0" TargetMode="External"/><Relationship Id="rId1424" Type="http://schemas.openxmlformats.org/officeDocument/2006/relationships/hyperlink" Target="https://pld.live/RapDetail.aspx?STONELIST=941060398&amp;ISCONFIRM=0" TargetMode="External"/><Relationship Id="rId1631" Type="http://schemas.openxmlformats.org/officeDocument/2006/relationships/hyperlink" Target="https://pld.live/RapDetail.aspx?STONELIST=941449164&amp;ISCONFIRM=0" TargetMode="External"/><Relationship Id="rId4787" Type="http://schemas.openxmlformats.org/officeDocument/2006/relationships/hyperlink" Target="https://pld.live/RapDetail.aspx?STONELIST=926980683&amp;ISCONFIRM=0" TargetMode="External"/><Relationship Id="rId4994" Type="http://schemas.openxmlformats.org/officeDocument/2006/relationships/hyperlink" Target="https://pld.live/RapDetail.aspx?STONELIST=924710001&amp;ISCONFIRM=0" TargetMode="External"/><Relationship Id="rId5838" Type="http://schemas.openxmlformats.org/officeDocument/2006/relationships/hyperlink" Target="https://pld.live/RapDetail.aspx?STONELIST=926890551&amp;ISCONFIRM=0" TargetMode="External"/><Relationship Id="rId7193" Type="http://schemas.openxmlformats.org/officeDocument/2006/relationships/hyperlink" Target="https://pld.live/RapDetail.aspx?STONELIST=927080765&amp;ISCONFIRM=0" TargetMode="External"/><Relationship Id="rId8037" Type="http://schemas.openxmlformats.org/officeDocument/2006/relationships/hyperlink" Target="https://pld.live/RapDetail.aspx?STONELIST=925502733&amp;ISCONFIRM=0" TargetMode="External"/><Relationship Id="rId8244" Type="http://schemas.openxmlformats.org/officeDocument/2006/relationships/hyperlink" Target="https://pld.live/RapDetail.aspx?STONELIST=925732159&amp;ISCONFIRM=0" TargetMode="External"/><Relationship Id="rId3389" Type="http://schemas.openxmlformats.org/officeDocument/2006/relationships/hyperlink" Target="https://pld.live/RapDetail.aspx?STONELIST=831010851&amp;ISCONFIRM=0" TargetMode="External"/><Relationship Id="rId3596" Type="http://schemas.openxmlformats.org/officeDocument/2006/relationships/hyperlink" Target="https://pld.live/RapDetail.aspx?STONELIST=925690168&amp;ISCONFIRM=0" TargetMode="External"/><Relationship Id="rId4647" Type="http://schemas.openxmlformats.org/officeDocument/2006/relationships/hyperlink" Target="https://pld.live/RapDetail.aspx?STONELIST=927052524&amp;ISCONFIRM=0" TargetMode="External"/><Relationship Id="rId7053" Type="http://schemas.openxmlformats.org/officeDocument/2006/relationships/hyperlink" Target="https://pld.live/RapDetail.aspx?STONELIST=927132256&amp;ISCONFIRM=0" TargetMode="External"/><Relationship Id="rId7260" Type="http://schemas.openxmlformats.org/officeDocument/2006/relationships/hyperlink" Target="https://pld.live/RapDetail.aspx?STONELIST=927140413&amp;ISCONFIRM=0" TargetMode="External"/><Relationship Id="rId8104" Type="http://schemas.openxmlformats.org/officeDocument/2006/relationships/hyperlink" Target="https://pld.live/RapDetail.aspx?STONELIST=925721789&amp;ISCONFIRM=0" TargetMode="External"/><Relationship Id="rId2198" Type="http://schemas.openxmlformats.org/officeDocument/2006/relationships/hyperlink" Target="https://pld.live/RapDetail.aspx?STONELIST=926171156&amp;ISCONFIRM=0" TargetMode="External"/><Relationship Id="rId3249" Type="http://schemas.openxmlformats.org/officeDocument/2006/relationships/hyperlink" Target="https://pld.live/RapDetail.aspx?STONELIST=941270775&amp;ISCONFIRM=0" TargetMode="External"/><Relationship Id="rId3456" Type="http://schemas.openxmlformats.org/officeDocument/2006/relationships/hyperlink" Target="https://pld.live/RapDetail.aspx?STONELIST=925621937&amp;ISCONFIRM=0" TargetMode="External"/><Relationship Id="rId4854" Type="http://schemas.openxmlformats.org/officeDocument/2006/relationships/hyperlink" Target="https://pld.live/RapDetail.aspx?STONELIST=926910587&amp;ISCONFIRM=0" TargetMode="External"/><Relationship Id="rId5905" Type="http://schemas.openxmlformats.org/officeDocument/2006/relationships/hyperlink" Target="https://pld.live/RapDetail.aspx?STONELIST=925722081&amp;ISCONFIRM=0" TargetMode="External"/><Relationship Id="rId7120" Type="http://schemas.openxmlformats.org/officeDocument/2006/relationships/hyperlink" Target="https://pld.live/RapDetail.aspx?STONELIST=941161020&amp;ISCONFIRM=0" TargetMode="External"/><Relationship Id="rId377" Type="http://schemas.openxmlformats.org/officeDocument/2006/relationships/hyperlink" Target="https://pld.live/RapDetail.aspx?STONELIST=821130345&amp;ISCONFIRM=0" TargetMode="External"/><Relationship Id="rId584" Type="http://schemas.openxmlformats.org/officeDocument/2006/relationships/hyperlink" Target="https://pld.live/RapDetail.aspx?STONELIST=831010693&amp;ISCONFIRM=0" TargetMode="External"/><Relationship Id="rId2058" Type="http://schemas.openxmlformats.org/officeDocument/2006/relationships/hyperlink" Target="https://pld.live/RapDetail.aspx?STONELIST=924600023&amp;ISCONFIRM=0" TargetMode="External"/><Relationship Id="rId2265" Type="http://schemas.openxmlformats.org/officeDocument/2006/relationships/hyperlink" Target="https://pld.live/RapDetail.aspx?STONELIST=926240788&amp;ISCONFIRM=0" TargetMode="External"/><Relationship Id="rId3109" Type="http://schemas.openxmlformats.org/officeDocument/2006/relationships/hyperlink" Target="https://pld.live/RapDetail.aspx?STONELIST=926210545&amp;ISCONFIRM=0" TargetMode="External"/><Relationship Id="rId3663" Type="http://schemas.openxmlformats.org/officeDocument/2006/relationships/hyperlink" Target="https://pld.live/RapDetail.aspx?STONELIST=925680157&amp;ISCONFIRM=0" TargetMode="External"/><Relationship Id="rId3870" Type="http://schemas.openxmlformats.org/officeDocument/2006/relationships/hyperlink" Target="https://pld.live/RapDetail.aspx?STONELIST=925802023&amp;ISCONFIRM=0" TargetMode="External"/><Relationship Id="rId4507" Type="http://schemas.openxmlformats.org/officeDocument/2006/relationships/hyperlink" Target="https://pld.live/RapDetail.aspx?STONELIST=927052714&amp;ISCONFIRM=0" TargetMode="External"/><Relationship Id="rId4714" Type="http://schemas.openxmlformats.org/officeDocument/2006/relationships/hyperlink" Target="https://pld.live/RapDetail.aspx?STONELIST=923330002&amp;ISCONFIRM=0" TargetMode="External"/><Relationship Id="rId4921" Type="http://schemas.openxmlformats.org/officeDocument/2006/relationships/hyperlink" Target="https://pld.live/RapDetail.aspx?STONELIST=925890412&amp;ISCONFIRM=0" TargetMode="External"/><Relationship Id="rId237" Type="http://schemas.openxmlformats.org/officeDocument/2006/relationships/hyperlink" Target="https://pld.live/RapDetail.aspx?STONELIST=925000070&amp;ISCONFIRM=0" TargetMode="External"/><Relationship Id="rId791" Type="http://schemas.openxmlformats.org/officeDocument/2006/relationships/hyperlink" Target="https://pld.live/RapDetail.aspx?STONELIST=925801490&amp;ISCONFIRM=0" TargetMode="External"/><Relationship Id="rId1074" Type="http://schemas.openxmlformats.org/officeDocument/2006/relationships/hyperlink" Target="https://pld.live/RapDetail.aspx?STONELIST=927052361&amp;ISCONFIRM=0" TargetMode="External"/><Relationship Id="rId2472" Type="http://schemas.openxmlformats.org/officeDocument/2006/relationships/hyperlink" Target="https://pld.live/RapDetail.aspx?STONELIST=920661255&amp;ISCONFIRM=0" TargetMode="External"/><Relationship Id="rId3316" Type="http://schemas.openxmlformats.org/officeDocument/2006/relationships/hyperlink" Target="https://pld.live/RapDetail.aspx?STONELIST=831020675&amp;ISCONFIRM=0" TargetMode="External"/><Relationship Id="rId3523" Type="http://schemas.openxmlformats.org/officeDocument/2006/relationships/hyperlink" Target="https://pld.live/RapDetail.aspx?STONELIST=926210865&amp;ISCONFIRM=0" TargetMode="External"/><Relationship Id="rId3730" Type="http://schemas.openxmlformats.org/officeDocument/2006/relationships/hyperlink" Target="https://pld.live/RapDetail.aspx?STONELIST=831020646&amp;ISCONFIRM=0" TargetMode="External"/><Relationship Id="rId6679" Type="http://schemas.openxmlformats.org/officeDocument/2006/relationships/hyperlink" Target="https://pld.live/RapDetail.aspx?STONELIST=941280511&amp;ISCONFIRM=0" TargetMode="External"/><Relationship Id="rId6886" Type="http://schemas.openxmlformats.org/officeDocument/2006/relationships/hyperlink" Target="https://pld.live/RapDetail.aspx?STONELIST=926200992&amp;ISCONFIRM=0" TargetMode="External"/><Relationship Id="rId7937" Type="http://schemas.openxmlformats.org/officeDocument/2006/relationships/hyperlink" Target="https://pld.live/RapDetail.aspx?STONELIST=926901049&amp;ISCONFIRM=0" TargetMode="External"/><Relationship Id="rId444" Type="http://schemas.openxmlformats.org/officeDocument/2006/relationships/hyperlink" Target="https://pld.live/RapDetail.aspx?STONELIST=925542398&amp;ISCONFIRM=0" TargetMode="External"/><Relationship Id="rId651" Type="http://schemas.openxmlformats.org/officeDocument/2006/relationships/hyperlink" Target="https://pld.live/RapDetail.aspx?STONELIST=925950915&amp;ISCONFIRM=0" TargetMode="External"/><Relationship Id="rId1281" Type="http://schemas.openxmlformats.org/officeDocument/2006/relationships/hyperlink" Target="https://pld.live/RapDetail.aspx?STONELIST=927091879&amp;ISCONFIRM=0" TargetMode="External"/><Relationship Id="rId2125" Type="http://schemas.openxmlformats.org/officeDocument/2006/relationships/hyperlink" Target="https://pld.live/RapDetail.aspx?STONELIST=926191196&amp;ISCONFIRM=0" TargetMode="External"/><Relationship Id="rId2332" Type="http://schemas.openxmlformats.org/officeDocument/2006/relationships/hyperlink" Target="https://pld.live/RapDetail.aspx?STONELIST=926181024&amp;ISCONFIRM=0" TargetMode="External"/><Relationship Id="rId5488" Type="http://schemas.openxmlformats.org/officeDocument/2006/relationships/hyperlink" Target="https://pld.live/RapDetail.aspx?STONELIST=927152817&amp;ISCONFIRM=0" TargetMode="External"/><Relationship Id="rId5695" Type="http://schemas.openxmlformats.org/officeDocument/2006/relationships/hyperlink" Target="https://pld.live/RapDetail.aspx?STONELIST=926400546&amp;ISCONFIRM=0" TargetMode="External"/><Relationship Id="rId6539" Type="http://schemas.openxmlformats.org/officeDocument/2006/relationships/hyperlink" Target="https://pld.live/RapDetail.aspx?STONELIST=927102326&amp;ISCONFIRM=0" TargetMode="External"/><Relationship Id="rId6746" Type="http://schemas.openxmlformats.org/officeDocument/2006/relationships/hyperlink" Target="https://pld.live/RapDetail.aspx?STONELIST=927132521&amp;ISCONFIRM=0" TargetMode="External"/><Relationship Id="rId6953" Type="http://schemas.openxmlformats.org/officeDocument/2006/relationships/hyperlink" Target="https://pld.live/RapDetail.aspx?STONELIST=925981272&amp;ISCONFIRM=0" TargetMode="External"/><Relationship Id="rId304" Type="http://schemas.openxmlformats.org/officeDocument/2006/relationships/hyperlink" Target="https://pld.live/RapDetail.aspx?STONELIST=941430230&amp;ISCONFIRM=0" TargetMode="External"/><Relationship Id="rId511" Type="http://schemas.openxmlformats.org/officeDocument/2006/relationships/hyperlink" Target="https://pld.live/RapDetail.aspx?STONELIST=925890582&amp;ISCONFIRM=0" TargetMode="External"/><Relationship Id="rId1141" Type="http://schemas.openxmlformats.org/officeDocument/2006/relationships/hyperlink" Target="https://pld.live/RapDetail.aspx?STONELIST=926740965&amp;ISCONFIRM=0" TargetMode="External"/><Relationship Id="rId4297" Type="http://schemas.openxmlformats.org/officeDocument/2006/relationships/hyperlink" Target="https://pld.live/RapDetail.aspx?STONELIST=926972052&amp;ISCONFIRM=0" TargetMode="External"/><Relationship Id="rId5348" Type="http://schemas.openxmlformats.org/officeDocument/2006/relationships/hyperlink" Target="https://pld.live/RapDetail.aspx?STONELIST=926631183&amp;ISCONFIRM=0" TargetMode="External"/><Relationship Id="rId5555" Type="http://schemas.openxmlformats.org/officeDocument/2006/relationships/hyperlink" Target="https://pld.live/RapDetail.aspx?STONELIST=925760569&amp;ISCONFIRM=0" TargetMode="External"/><Relationship Id="rId5762" Type="http://schemas.openxmlformats.org/officeDocument/2006/relationships/hyperlink" Target="https://pld.live/RapDetail.aspx?STONELIST=924460731&amp;ISCONFIRM=0" TargetMode="External"/><Relationship Id="rId6606" Type="http://schemas.openxmlformats.org/officeDocument/2006/relationships/hyperlink" Target="https://pld.live/RapDetail.aspx?STONELIST=927092637&amp;ISCONFIRM=0" TargetMode="External"/><Relationship Id="rId6813" Type="http://schemas.openxmlformats.org/officeDocument/2006/relationships/hyperlink" Target="https://pld.live/RapDetail.aspx?STONELIST=922420033&amp;ISCONFIRM=0" TargetMode="External"/><Relationship Id="rId1001" Type="http://schemas.openxmlformats.org/officeDocument/2006/relationships/hyperlink" Target="https://pld.live/RapDetail.aspx?STONELIST=926810903&amp;ISCONFIRM=0" TargetMode="External"/><Relationship Id="rId4157" Type="http://schemas.openxmlformats.org/officeDocument/2006/relationships/hyperlink" Target="https://pld.live/RapDetail.aspx?STONELIST=926110297&amp;ISCONFIRM=0" TargetMode="External"/><Relationship Id="rId4364" Type="http://schemas.openxmlformats.org/officeDocument/2006/relationships/hyperlink" Target="https://pld.live/RapDetail.aspx?STONELIST=926740595&amp;ISCONFIRM=0" TargetMode="External"/><Relationship Id="rId4571" Type="http://schemas.openxmlformats.org/officeDocument/2006/relationships/hyperlink" Target="https://pld.live/RapDetail.aspx?STONELIST=927132153&amp;ISCONFIRM=0" TargetMode="External"/><Relationship Id="rId5208" Type="http://schemas.openxmlformats.org/officeDocument/2006/relationships/hyperlink" Target="https://pld.live/RapDetail.aspx?STONELIST=831020115&amp;ISCONFIRM=0" TargetMode="External"/><Relationship Id="rId5415" Type="http://schemas.openxmlformats.org/officeDocument/2006/relationships/hyperlink" Target="https://pld.live/RapDetail.aspx?STONELIST=923510310&amp;ISCONFIRM=0" TargetMode="External"/><Relationship Id="rId5622" Type="http://schemas.openxmlformats.org/officeDocument/2006/relationships/hyperlink" Target="https://pld.live/RapDetail.aspx?STONELIST=925040304&amp;ISCONFIRM=0" TargetMode="External"/><Relationship Id="rId1958" Type="http://schemas.openxmlformats.org/officeDocument/2006/relationships/hyperlink" Target="https://pld.live/RapDetail.aspx?STONELIST=941190592&amp;ISCONFIRM=0" TargetMode="External"/><Relationship Id="rId3173" Type="http://schemas.openxmlformats.org/officeDocument/2006/relationships/hyperlink" Target="https://pld.live/RapDetail.aspx?STONELIST=831010219&amp;ISCONFIRM=0" TargetMode="External"/><Relationship Id="rId3380" Type="http://schemas.openxmlformats.org/officeDocument/2006/relationships/hyperlink" Target="https://pld.live/RapDetail.aspx?STONELIST=831020704&amp;ISCONFIRM=0" TargetMode="External"/><Relationship Id="rId4017" Type="http://schemas.openxmlformats.org/officeDocument/2006/relationships/hyperlink" Target="https://pld.live/RapDetail.aspx?STONELIST=926071699&amp;ISCONFIRM=0" TargetMode="External"/><Relationship Id="rId4224" Type="http://schemas.openxmlformats.org/officeDocument/2006/relationships/hyperlink" Target="https://pld.live/RapDetail.aspx?STONELIST=926270052&amp;ISCONFIRM=0" TargetMode="External"/><Relationship Id="rId4431" Type="http://schemas.openxmlformats.org/officeDocument/2006/relationships/hyperlink" Target="https://pld.live/RapDetail.aspx?STONELIST=925270195&amp;ISCONFIRM=0" TargetMode="External"/><Relationship Id="rId7587" Type="http://schemas.openxmlformats.org/officeDocument/2006/relationships/hyperlink" Target="https://pld.live/RapDetail.aspx?STONELIST=925732296&amp;ISCONFIRM=0" TargetMode="External"/><Relationship Id="rId1818" Type="http://schemas.openxmlformats.org/officeDocument/2006/relationships/hyperlink" Target="https://pld.live/RapDetail.aspx?STONELIST=925090400&amp;ISCONFIRM=0" TargetMode="External"/><Relationship Id="rId3033" Type="http://schemas.openxmlformats.org/officeDocument/2006/relationships/hyperlink" Target="https://pld.live/RapDetail.aspx?STONELIST=925760685&amp;ISCONFIRM=0" TargetMode="External"/><Relationship Id="rId3240" Type="http://schemas.openxmlformats.org/officeDocument/2006/relationships/hyperlink" Target="https://pld.live/RapDetail.aspx?STONELIST=941270809&amp;ISCONFIRM=0" TargetMode="External"/><Relationship Id="rId6189" Type="http://schemas.openxmlformats.org/officeDocument/2006/relationships/hyperlink" Target="https://pld.live/RapDetail.aspx?STONELIST=927020698&amp;ISCONFIRM=0" TargetMode="External"/><Relationship Id="rId6396" Type="http://schemas.openxmlformats.org/officeDocument/2006/relationships/hyperlink" Target="https://pld.live/RapDetail.aspx?STONELIST=925110052&amp;ISCONFIRM=0" TargetMode="External"/><Relationship Id="rId7794" Type="http://schemas.openxmlformats.org/officeDocument/2006/relationships/hyperlink" Target="https://pld.live/RapDetail.aspx?STONELIST=926101165&amp;ISCONFIRM=0" TargetMode="External"/><Relationship Id="rId161" Type="http://schemas.openxmlformats.org/officeDocument/2006/relationships/hyperlink" Target="https://pld.live/RapDetail.aspx?STONELIST=927120031&amp;ISCONFIRM=0" TargetMode="External"/><Relationship Id="rId6049" Type="http://schemas.openxmlformats.org/officeDocument/2006/relationships/hyperlink" Target="https://pld.live/RapDetail.aspx?STONELIST=941170248&amp;ISCONFIRM=0" TargetMode="External"/><Relationship Id="rId7447" Type="http://schemas.openxmlformats.org/officeDocument/2006/relationships/hyperlink" Target="https://pld.live/RapDetail.aspx?STONELIST=925981105&amp;ISCONFIRM=0" TargetMode="External"/><Relationship Id="rId7654" Type="http://schemas.openxmlformats.org/officeDocument/2006/relationships/hyperlink" Target="https://pld.live/RapDetail.aspx?STONELIST=941260706&amp;ISCONFIRM=0" TargetMode="External"/><Relationship Id="rId7861" Type="http://schemas.openxmlformats.org/officeDocument/2006/relationships/hyperlink" Target="https://pld.live/RapDetail.aspx?STONELIST=821126888&amp;ISCONFIRM=0" TargetMode="External"/><Relationship Id="rId2799" Type="http://schemas.openxmlformats.org/officeDocument/2006/relationships/hyperlink" Target="https://pld.live/RapDetail.aspx?STONELIST=925770858&amp;ISCONFIRM=0" TargetMode="External"/><Relationship Id="rId3100" Type="http://schemas.openxmlformats.org/officeDocument/2006/relationships/hyperlink" Target="https://pld.live/RapDetail.aspx?STONELIST=821128384&amp;ISCONFIRM=0" TargetMode="External"/><Relationship Id="rId6256" Type="http://schemas.openxmlformats.org/officeDocument/2006/relationships/hyperlink" Target="https://pld.live/RapDetail.aspx?STONELIST=941180079&amp;ISCONFIRM=0" TargetMode="External"/><Relationship Id="rId6463" Type="http://schemas.openxmlformats.org/officeDocument/2006/relationships/hyperlink" Target="https://pld.live/RapDetail.aspx?STONELIST=941110533&amp;ISCONFIRM=0" TargetMode="External"/><Relationship Id="rId6670" Type="http://schemas.openxmlformats.org/officeDocument/2006/relationships/hyperlink" Target="https://pld.live/RapDetail.aspx?STONELIST=925560086&amp;ISCONFIRM=0" TargetMode="External"/><Relationship Id="rId7307" Type="http://schemas.openxmlformats.org/officeDocument/2006/relationships/hyperlink" Target="https://pld.live/RapDetail.aspx?STONELIST=927052700&amp;ISCONFIRM=0" TargetMode="External"/><Relationship Id="rId7514" Type="http://schemas.openxmlformats.org/officeDocument/2006/relationships/hyperlink" Target="https://pld.live/RapDetail.aspx?STONELIST=925731976&amp;ISCONFIRM=0" TargetMode="External"/><Relationship Id="rId7721" Type="http://schemas.openxmlformats.org/officeDocument/2006/relationships/hyperlink" Target="https://pld.live/RapDetail.aspx?STONELIST=927120151&amp;ISCONFIRM=0" TargetMode="External"/><Relationship Id="rId978" Type="http://schemas.openxmlformats.org/officeDocument/2006/relationships/hyperlink" Target="https://pld.live/RapDetail.aspx?STONELIST=821115511&amp;ISCONFIRM=0" TargetMode="External"/><Relationship Id="rId2659" Type="http://schemas.openxmlformats.org/officeDocument/2006/relationships/hyperlink" Target="https://pld.live/RapDetail.aspx?STONELIST=926201085&amp;ISCONFIRM=0" TargetMode="External"/><Relationship Id="rId2866" Type="http://schemas.openxmlformats.org/officeDocument/2006/relationships/hyperlink" Target="https://pld.live/RapDetail.aspx?STONELIST=926200805&amp;ISCONFIRM=0" TargetMode="External"/><Relationship Id="rId3917" Type="http://schemas.openxmlformats.org/officeDocument/2006/relationships/hyperlink" Target="https://pld.live/RapDetail.aspx?STONELIST=821123366&amp;ISCONFIRM=0" TargetMode="External"/><Relationship Id="rId5065" Type="http://schemas.openxmlformats.org/officeDocument/2006/relationships/hyperlink" Target="https://pld.live/RapDetail.aspx?STONELIST=821126877&amp;ISCONFIRM=0" TargetMode="External"/><Relationship Id="rId5272" Type="http://schemas.openxmlformats.org/officeDocument/2006/relationships/hyperlink" Target="https://pld.live/RapDetail.aspx?STONELIST=926110696&amp;ISCONFIRM=0" TargetMode="External"/><Relationship Id="rId6116" Type="http://schemas.openxmlformats.org/officeDocument/2006/relationships/hyperlink" Target="https://pld.live/RapDetail.aspx?STONELIST=925320057&amp;ISCONFIRM=0" TargetMode="External"/><Relationship Id="rId6323" Type="http://schemas.openxmlformats.org/officeDocument/2006/relationships/hyperlink" Target="https://pld.live/RapDetail.aspx?STONELIST=927040791&amp;ISCONFIRM=0" TargetMode="External"/><Relationship Id="rId6530" Type="http://schemas.openxmlformats.org/officeDocument/2006/relationships/hyperlink" Target="https://pld.live/RapDetail.aspx?STONELIST=821113162&amp;ISCONFIRM=0" TargetMode="External"/><Relationship Id="rId838" Type="http://schemas.openxmlformats.org/officeDocument/2006/relationships/hyperlink" Target="https://pld.live/RapDetail.aspx?STONELIST=925940529&amp;ISCONFIRM=0" TargetMode="External"/><Relationship Id="rId1468" Type="http://schemas.openxmlformats.org/officeDocument/2006/relationships/hyperlink" Target="https://pld.live/RapDetail.aspx?STONELIST=925900540&amp;ISCONFIRM=0" TargetMode="External"/><Relationship Id="rId1675" Type="http://schemas.openxmlformats.org/officeDocument/2006/relationships/hyperlink" Target="https://pld.live/RapDetail.aspx?STONELIST=925870519&amp;ISCONFIRM=0" TargetMode="External"/><Relationship Id="rId1882" Type="http://schemas.openxmlformats.org/officeDocument/2006/relationships/hyperlink" Target="https://pld.live/RapDetail.aspx?STONELIST=926100948&amp;ISCONFIRM=0" TargetMode="External"/><Relationship Id="rId2519" Type="http://schemas.openxmlformats.org/officeDocument/2006/relationships/hyperlink" Target="https://pld.live/RapDetail.aspx?STONELIST=926190936&amp;ISCONFIRM=0" TargetMode="External"/><Relationship Id="rId2726" Type="http://schemas.openxmlformats.org/officeDocument/2006/relationships/hyperlink" Target="https://pld.live/RapDetail.aspx?STONELIST=922550010&amp;ISCONFIRM=0" TargetMode="External"/><Relationship Id="rId4081" Type="http://schemas.openxmlformats.org/officeDocument/2006/relationships/hyperlink" Target="https://pld.live/RapDetail.aspx?STONELIST=925120338&amp;ISCONFIRM=0" TargetMode="External"/><Relationship Id="rId5132" Type="http://schemas.openxmlformats.org/officeDocument/2006/relationships/hyperlink" Target="https://pld.live/RapDetail.aspx?STONELIST=925890437&amp;ISCONFIRM=0" TargetMode="External"/><Relationship Id="rId1328" Type="http://schemas.openxmlformats.org/officeDocument/2006/relationships/hyperlink" Target="https://pld.live/RapDetail.aspx?STONELIST=925090817&amp;ISCONFIRM=0" TargetMode="External"/><Relationship Id="rId1535" Type="http://schemas.openxmlformats.org/officeDocument/2006/relationships/hyperlink" Target="https://pld.live/RapDetail.aspx?STONELIST=926221451&amp;ISCONFIRM=0" TargetMode="External"/><Relationship Id="rId2933" Type="http://schemas.openxmlformats.org/officeDocument/2006/relationships/hyperlink" Target="https://pld.live/RapDetail.aspx?STONELIST=925150144&amp;ISCONFIRM=0" TargetMode="External"/><Relationship Id="rId7097" Type="http://schemas.openxmlformats.org/officeDocument/2006/relationships/hyperlink" Target="https://pld.live/RapDetail.aspx?STONELIST=926972193&amp;ISCONFIRM=0" TargetMode="External"/><Relationship Id="rId8148" Type="http://schemas.openxmlformats.org/officeDocument/2006/relationships/hyperlink" Target="https://pld.live/RapDetail.aspx?STONELIST=941190460&amp;ISCONFIRM=0" TargetMode="External"/><Relationship Id="rId905" Type="http://schemas.openxmlformats.org/officeDocument/2006/relationships/hyperlink" Target="https://pld.live/RapDetail.aspx?STONELIST=925961158&amp;ISCONFIRM=0" TargetMode="External"/><Relationship Id="rId1742" Type="http://schemas.openxmlformats.org/officeDocument/2006/relationships/hyperlink" Target="https://pld.live/RapDetail.aspx?STONELIST=941220181&amp;ISCONFIRM=0" TargetMode="External"/><Relationship Id="rId4898" Type="http://schemas.openxmlformats.org/officeDocument/2006/relationships/hyperlink" Target="https://pld.live/RapDetail.aspx?STONELIST=927060747&amp;ISCONFIRM=0" TargetMode="External"/><Relationship Id="rId5949" Type="http://schemas.openxmlformats.org/officeDocument/2006/relationships/hyperlink" Target="https://pld.live/RapDetail.aspx?STONELIST=926921495&amp;ISCONFIRM=0" TargetMode="External"/><Relationship Id="rId7164" Type="http://schemas.openxmlformats.org/officeDocument/2006/relationships/hyperlink" Target="https://pld.live/RapDetail.aspx?STONELIST=926470392&amp;ISCONFIRM=0" TargetMode="External"/><Relationship Id="rId7371" Type="http://schemas.openxmlformats.org/officeDocument/2006/relationships/hyperlink" Target="https://pld.live/RapDetail.aspx?STONELIST=927092653&amp;ISCONFIRM=0" TargetMode="External"/><Relationship Id="rId8008" Type="http://schemas.openxmlformats.org/officeDocument/2006/relationships/hyperlink" Target="https://pld.live/RapDetail.aspx?STONELIST=925900337&amp;ISCONFIRM=0" TargetMode="External"/><Relationship Id="rId8215" Type="http://schemas.openxmlformats.org/officeDocument/2006/relationships/hyperlink" Target="https://pld.live/RapDetail.aspx?STONELIST=831010499&amp;ISCONFIRM=0" TargetMode="External"/><Relationship Id="rId34" Type="http://schemas.openxmlformats.org/officeDocument/2006/relationships/hyperlink" Target="https://pld.live/RapDetail.aspx?STONELIST=941330547&amp;ISCONFIRM=0" TargetMode="External"/><Relationship Id="rId1602" Type="http://schemas.openxmlformats.org/officeDocument/2006/relationships/hyperlink" Target="https://pld.live/RapDetail.aspx?STONELIST=926980629&amp;ISCONFIRM=0" TargetMode="External"/><Relationship Id="rId4758" Type="http://schemas.openxmlformats.org/officeDocument/2006/relationships/hyperlink" Target="https://pld.live/RapDetail.aspx?STONELIST=924930202&amp;ISCONFIRM=0" TargetMode="External"/><Relationship Id="rId4965" Type="http://schemas.openxmlformats.org/officeDocument/2006/relationships/hyperlink" Target="https://pld.live/RapDetail.aspx?STONELIST=926040708&amp;ISCONFIRM=0" TargetMode="External"/><Relationship Id="rId5809" Type="http://schemas.openxmlformats.org/officeDocument/2006/relationships/hyperlink" Target="https://pld.live/RapDetail.aspx?STONELIST=926850158&amp;ISCONFIRM=0" TargetMode="External"/><Relationship Id="rId6180" Type="http://schemas.openxmlformats.org/officeDocument/2006/relationships/hyperlink" Target="https://pld.live/RapDetail.aspx?STONELIST=941120019&amp;ISCONFIRM=0" TargetMode="External"/><Relationship Id="rId7024" Type="http://schemas.openxmlformats.org/officeDocument/2006/relationships/hyperlink" Target="https://pld.live/RapDetail.aspx?STONELIST=941110607&amp;ISCONFIRM=0" TargetMode="External"/><Relationship Id="rId3567" Type="http://schemas.openxmlformats.org/officeDocument/2006/relationships/hyperlink" Target="https://pld.live/RapDetail.aspx?STONELIST=924510189&amp;ISCONFIRM=0" TargetMode="External"/><Relationship Id="rId3774" Type="http://schemas.openxmlformats.org/officeDocument/2006/relationships/hyperlink" Target="https://pld.live/RapDetail.aspx?STONELIST=9414301328&amp;ISCONFIRM=0" TargetMode="External"/><Relationship Id="rId3981" Type="http://schemas.openxmlformats.org/officeDocument/2006/relationships/hyperlink" Target="https://pld.live/RapDetail.aspx?STONELIST=821113712&amp;ISCONFIRM=0" TargetMode="External"/><Relationship Id="rId4618" Type="http://schemas.openxmlformats.org/officeDocument/2006/relationships/hyperlink" Target="https://pld.live/RapDetail.aspx?STONELIST=927092518&amp;ISCONFIRM=0" TargetMode="External"/><Relationship Id="rId4825" Type="http://schemas.openxmlformats.org/officeDocument/2006/relationships/hyperlink" Target="https://pld.live/RapDetail.aspx?STONELIST=926560043&amp;ISCONFIRM=0" TargetMode="External"/><Relationship Id="rId7231" Type="http://schemas.openxmlformats.org/officeDocument/2006/relationships/hyperlink" Target="https://pld.live/RapDetail.aspx?STONELIST=821118007&amp;ISCONFIRM=0" TargetMode="External"/><Relationship Id="rId488" Type="http://schemas.openxmlformats.org/officeDocument/2006/relationships/hyperlink" Target="https://pld.live/RapDetail.aspx?STONELIST=924760060&amp;ISCONFIRM=0" TargetMode="External"/><Relationship Id="rId695" Type="http://schemas.openxmlformats.org/officeDocument/2006/relationships/hyperlink" Target="https://pld.live/RapDetail.aspx?STONELIST=925801955&amp;ISCONFIRM=0" TargetMode="External"/><Relationship Id="rId2169" Type="http://schemas.openxmlformats.org/officeDocument/2006/relationships/hyperlink" Target="https://pld.live/RapDetail.aspx?STONELIST=924090429&amp;ISCONFIRM=0" TargetMode="External"/><Relationship Id="rId2376" Type="http://schemas.openxmlformats.org/officeDocument/2006/relationships/hyperlink" Target="https://pld.live/RapDetail.aspx?STONELIST=926380290&amp;ISCONFIRM=0" TargetMode="External"/><Relationship Id="rId2583" Type="http://schemas.openxmlformats.org/officeDocument/2006/relationships/hyperlink" Target="https://pld.live/RapDetail.aspx?STONELIST=926941075&amp;ISCONFIRM=0" TargetMode="External"/><Relationship Id="rId2790" Type="http://schemas.openxmlformats.org/officeDocument/2006/relationships/hyperlink" Target="https://pld.live/RapDetail.aspx?STONELIST=925920086&amp;ISCONFIRM=0" TargetMode="External"/><Relationship Id="rId3427" Type="http://schemas.openxmlformats.org/officeDocument/2006/relationships/hyperlink" Target="https://pld.live/RapDetail.aspx?STONELIST=923540505&amp;ISCONFIRM=0" TargetMode="External"/><Relationship Id="rId3634" Type="http://schemas.openxmlformats.org/officeDocument/2006/relationships/hyperlink" Target="https://pld.live/RapDetail.aspx?STONELIST=925690175&amp;ISCONFIRM=0" TargetMode="External"/><Relationship Id="rId3841" Type="http://schemas.openxmlformats.org/officeDocument/2006/relationships/hyperlink" Target="https://pld.live/RapDetail.aspx?STONELIST=927060770&amp;ISCONFIRM=0" TargetMode="External"/><Relationship Id="rId6040" Type="http://schemas.openxmlformats.org/officeDocument/2006/relationships/hyperlink" Target="https://pld.live/RapDetail.aspx?STONELIST=941261123&amp;ISCONFIRM=0" TargetMode="External"/><Relationship Id="rId6997" Type="http://schemas.openxmlformats.org/officeDocument/2006/relationships/hyperlink" Target="https://pld.live/RapDetail.aspx?STONELIST=925721732&amp;ISCONFIRM=0" TargetMode="External"/><Relationship Id="rId348" Type="http://schemas.openxmlformats.org/officeDocument/2006/relationships/hyperlink" Target="https://pld.live/RapDetail.aspx?STONELIST=941080478&amp;ISCONFIRM=0" TargetMode="External"/><Relationship Id="rId555" Type="http://schemas.openxmlformats.org/officeDocument/2006/relationships/hyperlink" Target="https://pld.live/RapDetail.aspx?STONELIST=926630907&amp;ISCONFIRM=0" TargetMode="External"/><Relationship Id="rId762" Type="http://schemas.openxmlformats.org/officeDocument/2006/relationships/hyperlink" Target="https://pld.live/RapDetail.aspx?STONELIST=831020278&amp;ISCONFIRM=0" TargetMode="External"/><Relationship Id="rId1185" Type="http://schemas.openxmlformats.org/officeDocument/2006/relationships/hyperlink" Target="https://pld.live/RapDetail.aspx?STONELIST=927151910&amp;ISCONFIRM=0" TargetMode="External"/><Relationship Id="rId1392" Type="http://schemas.openxmlformats.org/officeDocument/2006/relationships/hyperlink" Target="https://pld.live/RapDetail.aspx?STONELIST=926311298&amp;ISCONFIRM=0" TargetMode="External"/><Relationship Id="rId2029" Type="http://schemas.openxmlformats.org/officeDocument/2006/relationships/hyperlink" Target="https://pld.live/RapDetail.aspx?STONELIST=941230057&amp;ISCONFIRM=0" TargetMode="External"/><Relationship Id="rId2236" Type="http://schemas.openxmlformats.org/officeDocument/2006/relationships/hyperlink" Target="https://pld.live/RapDetail.aspx?STONELIST=925610057&amp;ISCONFIRM=0" TargetMode="External"/><Relationship Id="rId2443" Type="http://schemas.openxmlformats.org/officeDocument/2006/relationships/hyperlink" Target="https://pld.live/RapDetail.aspx?STONELIST=926191219&amp;ISCONFIRM=0" TargetMode="External"/><Relationship Id="rId2650" Type="http://schemas.openxmlformats.org/officeDocument/2006/relationships/hyperlink" Target="https://pld.live/RapDetail.aspx?STONELIST=926141555&amp;ISCONFIRM=0" TargetMode="External"/><Relationship Id="rId3701" Type="http://schemas.openxmlformats.org/officeDocument/2006/relationships/hyperlink" Target="https://pld.live/RapDetail.aspx?STONELIST=924250739&amp;ISCONFIRM=0" TargetMode="External"/><Relationship Id="rId5599" Type="http://schemas.openxmlformats.org/officeDocument/2006/relationships/hyperlink" Target="https://pld.live/RapDetail.aspx?STONELIST=924920407&amp;ISCONFIRM=0" TargetMode="External"/><Relationship Id="rId6857" Type="http://schemas.openxmlformats.org/officeDocument/2006/relationships/hyperlink" Target="https://pld.live/RapDetail.aspx?STONELIST=926470416&amp;ISCONFIRM=0" TargetMode="External"/><Relationship Id="rId7908" Type="http://schemas.openxmlformats.org/officeDocument/2006/relationships/hyperlink" Target="https://pld.live/RapDetail.aspx?STONELIST=927130289&amp;ISCONFIRM=0" TargetMode="External"/><Relationship Id="rId208" Type="http://schemas.openxmlformats.org/officeDocument/2006/relationships/hyperlink" Target="https://pld.live/RapDetail.aspx?STONELIST=831020621&amp;ISCONFIRM=0" TargetMode="External"/><Relationship Id="rId415" Type="http://schemas.openxmlformats.org/officeDocument/2006/relationships/hyperlink" Target="https://pld.live/RapDetail.aspx?STONELIST=925851229&amp;ISCONFIRM=0" TargetMode="External"/><Relationship Id="rId622" Type="http://schemas.openxmlformats.org/officeDocument/2006/relationships/hyperlink" Target="https://pld.live/RapDetail.aspx?STONELIST=925621363&amp;ISCONFIRM=0" TargetMode="External"/><Relationship Id="rId1045" Type="http://schemas.openxmlformats.org/officeDocument/2006/relationships/hyperlink" Target="https://pld.live/RapDetail.aspx?STONELIST=941071088&amp;ISCONFIRM=0" TargetMode="External"/><Relationship Id="rId1252" Type="http://schemas.openxmlformats.org/officeDocument/2006/relationships/hyperlink" Target="https://pld.live/RapDetail.aspx?STONELIST=941170257&amp;ISCONFIRM=0" TargetMode="External"/><Relationship Id="rId2303" Type="http://schemas.openxmlformats.org/officeDocument/2006/relationships/hyperlink" Target="https://pld.live/RapDetail.aspx?STONELIST=926661626&amp;ISCONFIRM=0" TargetMode="External"/><Relationship Id="rId2510" Type="http://schemas.openxmlformats.org/officeDocument/2006/relationships/hyperlink" Target="https://pld.live/RapDetail.aspx?STONELIST=941290165&amp;ISCONFIRM=0" TargetMode="External"/><Relationship Id="rId5459" Type="http://schemas.openxmlformats.org/officeDocument/2006/relationships/hyperlink" Target="https://pld.live/RapDetail.aspx?STONELIST=926910600&amp;ISCONFIRM=0" TargetMode="External"/><Relationship Id="rId5666" Type="http://schemas.openxmlformats.org/officeDocument/2006/relationships/hyperlink" Target="https://pld.live/RapDetail.aspx?STONELIST=923680525&amp;ISCONFIRM=0" TargetMode="External"/><Relationship Id="rId8072" Type="http://schemas.openxmlformats.org/officeDocument/2006/relationships/hyperlink" Target="https://pld.live/RapDetail.aspx?STONELIST=925980965&amp;ISCONFIRM=0" TargetMode="External"/><Relationship Id="rId1112" Type="http://schemas.openxmlformats.org/officeDocument/2006/relationships/hyperlink" Target="https://pld.live/RapDetail.aspx?STONELIST=927091877&amp;ISCONFIRM=0" TargetMode="External"/><Relationship Id="rId4268" Type="http://schemas.openxmlformats.org/officeDocument/2006/relationships/hyperlink" Target="https://pld.live/RapDetail.aspx?STONELIST=925510134&amp;ISCONFIRM=0" TargetMode="External"/><Relationship Id="rId4475" Type="http://schemas.openxmlformats.org/officeDocument/2006/relationships/hyperlink" Target="https://pld.live/RapDetail.aspx?STONELIST=831010774&amp;ISCONFIRM=0" TargetMode="External"/><Relationship Id="rId5319" Type="http://schemas.openxmlformats.org/officeDocument/2006/relationships/hyperlink" Target="https://pld.live/RapDetail.aspx?STONELIST=924410600&amp;ISCONFIRM=0" TargetMode="External"/><Relationship Id="rId5873" Type="http://schemas.openxmlformats.org/officeDocument/2006/relationships/hyperlink" Target="https://pld.live/RapDetail.aspx?STONELIST=925980898&amp;ISCONFIRM=0" TargetMode="External"/><Relationship Id="rId6717" Type="http://schemas.openxmlformats.org/officeDocument/2006/relationships/hyperlink" Target="https://pld.live/RapDetail.aspx?STONELIST=926960865&amp;ISCONFIRM=0" TargetMode="External"/><Relationship Id="rId6924" Type="http://schemas.openxmlformats.org/officeDocument/2006/relationships/hyperlink" Target="https://pld.live/RapDetail.aspx?STONELIST=925502018&amp;ISCONFIRM=0" TargetMode="External"/><Relationship Id="rId3077" Type="http://schemas.openxmlformats.org/officeDocument/2006/relationships/hyperlink" Target="https://pld.live/RapDetail.aspx?STONELIST=926250049&amp;ISCONFIRM=0" TargetMode="External"/><Relationship Id="rId3284" Type="http://schemas.openxmlformats.org/officeDocument/2006/relationships/hyperlink" Target="https://pld.live/RapDetail.aspx?STONELIST=926120894&amp;ISCONFIRM=0" TargetMode="External"/><Relationship Id="rId4128" Type="http://schemas.openxmlformats.org/officeDocument/2006/relationships/hyperlink" Target="https://pld.live/RapDetail.aspx?STONELIST=925950893&amp;ISCONFIRM=0" TargetMode="External"/><Relationship Id="rId4682" Type="http://schemas.openxmlformats.org/officeDocument/2006/relationships/hyperlink" Target="https://pld.live/RapDetail.aspx?STONELIST=925930275&amp;ISCONFIRM=0" TargetMode="External"/><Relationship Id="rId5526" Type="http://schemas.openxmlformats.org/officeDocument/2006/relationships/hyperlink" Target="https://pld.live/RapDetail.aspx?STONELIST=927100993&amp;ISCONFIRM=0" TargetMode="External"/><Relationship Id="rId5733" Type="http://schemas.openxmlformats.org/officeDocument/2006/relationships/hyperlink" Target="https://pld.live/RapDetail.aspx?STONELIST=941170085&amp;ISCONFIRM=0" TargetMode="External"/><Relationship Id="rId5940" Type="http://schemas.openxmlformats.org/officeDocument/2006/relationships/hyperlink" Target="https://pld.live/RapDetail.aspx?STONELIST=926621080&amp;ISCONFIRM=0" TargetMode="External"/><Relationship Id="rId1929" Type="http://schemas.openxmlformats.org/officeDocument/2006/relationships/hyperlink" Target="https://pld.live/RapDetail.aspx?STONELIST=926801233&amp;ISCONFIRM=0" TargetMode="External"/><Relationship Id="rId2093" Type="http://schemas.openxmlformats.org/officeDocument/2006/relationships/hyperlink" Target="https://pld.live/RapDetail.aspx?STONELIST=925780259&amp;ISCONFIRM=0" TargetMode="External"/><Relationship Id="rId3491" Type="http://schemas.openxmlformats.org/officeDocument/2006/relationships/hyperlink" Target="https://pld.live/RapDetail.aspx?STONELIST=921610138&amp;ISCONFIRM=0" TargetMode="External"/><Relationship Id="rId4335" Type="http://schemas.openxmlformats.org/officeDocument/2006/relationships/hyperlink" Target="https://pld.live/RapDetail.aspx?STONELIST=926971994&amp;ISCONFIRM=0" TargetMode="External"/><Relationship Id="rId4542" Type="http://schemas.openxmlformats.org/officeDocument/2006/relationships/hyperlink" Target="https://pld.live/RapDetail.aspx?STONELIST=941400515&amp;ISCONFIRM=0" TargetMode="External"/><Relationship Id="rId5800" Type="http://schemas.openxmlformats.org/officeDocument/2006/relationships/hyperlink" Target="https://pld.live/RapDetail.aspx?STONELIST=926820142&amp;ISCONFIRM=0" TargetMode="External"/><Relationship Id="rId7698" Type="http://schemas.openxmlformats.org/officeDocument/2006/relationships/hyperlink" Target="https://pld.live/RapDetail.aspx?STONELIST=941270801&amp;ISCONFIRM=0" TargetMode="External"/><Relationship Id="rId3144" Type="http://schemas.openxmlformats.org/officeDocument/2006/relationships/hyperlink" Target="https://pld.live/RapDetail.aspx?STONELIST=926210988&amp;ISCONFIRM=0" TargetMode="External"/><Relationship Id="rId3351" Type="http://schemas.openxmlformats.org/officeDocument/2006/relationships/hyperlink" Target="https://pld.live/RapDetail.aspx?STONELIST=831010836&amp;ISCONFIRM=0" TargetMode="External"/><Relationship Id="rId4402" Type="http://schemas.openxmlformats.org/officeDocument/2006/relationships/hyperlink" Target="https://pld.live/RapDetail.aspx?STONELIST=925190157&amp;ISCONFIRM=0" TargetMode="External"/><Relationship Id="rId7558" Type="http://schemas.openxmlformats.org/officeDocument/2006/relationships/hyperlink" Target="https://pld.live/RapDetail.aspx?STONELIST=926100898&amp;ISCONFIRM=0" TargetMode="External"/><Relationship Id="rId7765" Type="http://schemas.openxmlformats.org/officeDocument/2006/relationships/hyperlink" Target="https://pld.live/RapDetail.aspx?STONELIST=926631333&amp;ISCONFIRM=0" TargetMode="External"/><Relationship Id="rId7972" Type="http://schemas.openxmlformats.org/officeDocument/2006/relationships/hyperlink" Target="https://pld.live/RapDetail.aspx?STONELIST=941040514&amp;ISCONFIRM=0" TargetMode="External"/><Relationship Id="rId272" Type="http://schemas.openxmlformats.org/officeDocument/2006/relationships/hyperlink" Target="https://pld.live/RapDetail.aspx?STONELIST=831010700&amp;ISCONFIRM=0" TargetMode="External"/><Relationship Id="rId2160" Type="http://schemas.openxmlformats.org/officeDocument/2006/relationships/hyperlink" Target="https://pld.live/RapDetail.aspx?STONELIST=821127908&amp;ISCONFIRM=0" TargetMode="External"/><Relationship Id="rId3004" Type="http://schemas.openxmlformats.org/officeDocument/2006/relationships/hyperlink" Target="https://pld.live/RapDetail.aspx?STONELIST=926250464&amp;ISCONFIRM=0" TargetMode="External"/><Relationship Id="rId3211" Type="http://schemas.openxmlformats.org/officeDocument/2006/relationships/hyperlink" Target="https://pld.live/RapDetail.aspx?STONELIST=925040463&amp;ISCONFIRM=0" TargetMode="External"/><Relationship Id="rId6367" Type="http://schemas.openxmlformats.org/officeDocument/2006/relationships/hyperlink" Target="https://pld.live/RapDetail.aspx?STONELIST=927160145&amp;ISCONFIRM=0" TargetMode="External"/><Relationship Id="rId6574" Type="http://schemas.openxmlformats.org/officeDocument/2006/relationships/hyperlink" Target="https://pld.live/RapDetail.aspx?STONELIST=926420235&amp;ISCONFIRM=0" TargetMode="External"/><Relationship Id="rId6781" Type="http://schemas.openxmlformats.org/officeDocument/2006/relationships/hyperlink" Target="https://pld.live/RapDetail.aspx?STONELIST=926050335&amp;ISCONFIRM=0" TargetMode="External"/><Relationship Id="rId7418" Type="http://schemas.openxmlformats.org/officeDocument/2006/relationships/hyperlink" Target="https://pld.live/RapDetail.aspx?STONELIST=925050132&amp;ISCONFIRM=0" TargetMode="External"/><Relationship Id="rId7625" Type="http://schemas.openxmlformats.org/officeDocument/2006/relationships/hyperlink" Target="https://pld.live/RapDetail.aspx?STONELIST=926810601&amp;ISCONFIRM=0" TargetMode="External"/><Relationship Id="rId7832" Type="http://schemas.openxmlformats.org/officeDocument/2006/relationships/hyperlink" Target="https://pld.live/RapDetail.aspx?STONELIST=925551927&amp;ISCONFIRM=0" TargetMode="External"/><Relationship Id="rId132" Type="http://schemas.openxmlformats.org/officeDocument/2006/relationships/hyperlink" Target="https://pld.live/RapDetail.aspx?STONELIST=941220144&amp;ISCONFIRM=0" TargetMode="External"/><Relationship Id="rId2020" Type="http://schemas.openxmlformats.org/officeDocument/2006/relationships/hyperlink" Target="https://pld.live/RapDetail.aspx?STONELIST=926771182&amp;ISCONFIRM=0" TargetMode="External"/><Relationship Id="rId5176" Type="http://schemas.openxmlformats.org/officeDocument/2006/relationships/hyperlink" Target="https://pld.live/RapDetail.aspx?STONELIST=925861499&amp;ISCONFIRM=0" TargetMode="External"/><Relationship Id="rId5383" Type="http://schemas.openxmlformats.org/officeDocument/2006/relationships/hyperlink" Target="https://pld.live/RapDetail.aspx?STONELIST=941070021&amp;ISCONFIRM=0" TargetMode="External"/><Relationship Id="rId5590" Type="http://schemas.openxmlformats.org/officeDocument/2006/relationships/hyperlink" Target="https://pld.live/RapDetail.aspx?STONELIST=926410205&amp;ISCONFIRM=0" TargetMode="External"/><Relationship Id="rId6227" Type="http://schemas.openxmlformats.org/officeDocument/2006/relationships/hyperlink" Target="https://pld.live/RapDetail.aspx?STONELIST=941180081&amp;ISCONFIRM=0" TargetMode="External"/><Relationship Id="rId6434" Type="http://schemas.openxmlformats.org/officeDocument/2006/relationships/hyperlink" Target="https://pld.live/RapDetail.aspx?STONELIST=941080841&amp;ISCONFIRM=0" TargetMode="External"/><Relationship Id="rId6641" Type="http://schemas.openxmlformats.org/officeDocument/2006/relationships/hyperlink" Target="https://pld.live/RapDetail.aspx?STONELIST=926972246&amp;ISCONFIRM=0" TargetMode="External"/><Relationship Id="rId1579" Type="http://schemas.openxmlformats.org/officeDocument/2006/relationships/hyperlink" Target="https://pld.live/RapDetail.aspx?STONELIST=925990505&amp;ISCONFIRM=0" TargetMode="External"/><Relationship Id="rId2977" Type="http://schemas.openxmlformats.org/officeDocument/2006/relationships/hyperlink" Target="https://pld.live/RapDetail.aspx?STONELIST=925760705&amp;ISCONFIRM=0" TargetMode="External"/><Relationship Id="rId4192" Type="http://schemas.openxmlformats.org/officeDocument/2006/relationships/hyperlink" Target="https://pld.live/RapDetail.aspx?STONELIST=925120317&amp;ISCONFIRM=0" TargetMode="External"/><Relationship Id="rId5036" Type="http://schemas.openxmlformats.org/officeDocument/2006/relationships/hyperlink" Target="https://pld.live/RapDetail.aspx?STONELIST=925721249&amp;ISCONFIRM=0" TargetMode="External"/><Relationship Id="rId5243" Type="http://schemas.openxmlformats.org/officeDocument/2006/relationships/hyperlink" Target="https://pld.live/RapDetail.aspx?STONELIST=925861430&amp;ISCONFIRM=0" TargetMode="External"/><Relationship Id="rId5450" Type="http://schemas.openxmlformats.org/officeDocument/2006/relationships/hyperlink" Target="https://pld.live/RapDetail.aspx?STONELIST=926690760&amp;ISCONFIRM=0" TargetMode="External"/><Relationship Id="rId949" Type="http://schemas.openxmlformats.org/officeDocument/2006/relationships/hyperlink" Target="https://pld.live/RapDetail.aspx?STONELIST=926071766&amp;ISCONFIRM=0" TargetMode="External"/><Relationship Id="rId1786" Type="http://schemas.openxmlformats.org/officeDocument/2006/relationships/hyperlink" Target="https://pld.live/RapDetail.aspx?STONELIST=941270734&amp;ISCONFIRM=0" TargetMode="External"/><Relationship Id="rId1993" Type="http://schemas.openxmlformats.org/officeDocument/2006/relationships/hyperlink" Target="https://pld.live/RapDetail.aspx?STONELIST=941230305&amp;ISCONFIRM=0" TargetMode="External"/><Relationship Id="rId2837" Type="http://schemas.openxmlformats.org/officeDocument/2006/relationships/hyperlink" Target="https://pld.live/RapDetail.aspx?STONELIST=926171465&amp;ISCONFIRM=0" TargetMode="External"/><Relationship Id="rId4052" Type="http://schemas.openxmlformats.org/officeDocument/2006/relationships/hyperlink" Target="https://pld.live/RapDetail.aspx?STONELIST=925802009&amp;ISCONFIRM=0" TargetMode="External"/><Relationship Id="rId5103" Type="http://schemas.openxmlformats.org/officeDocument/2006/relationships/hyperlink" Target="https://pld.live/RapDetail.aspx?STONELIST=926901120&amp;ISCONFIRM=0" TargetMode="External"/><Relationship Id="rId6501" Type="http://schemas.openxmlformats.org/officeDocument/2006/relationships/hyperlink" Target="https://pld.live/RapDetail.aspx?STONELIST=927040799&amp;ISCONFIRM=0" TargetMode="External"/><Relationship Id="rId8259" Type="http://schemas.openxmlformats.org/officeDocument/2006/relationships/hyperlink" Target="https://pld.live/RapDetail.aspx?STONELIST=831010766&amp;ISCONFIRM=0" TargetMode="External"/><Relationship Id="rId78" Type="http://schemas.openxmlformats.org/officeDocument/2006/relationships/hyperlink" Target="https://pld.live/RapDetail.aspx?STONELIST=831020683&amp;ISCONFIRM=0" TargetMode="External"/><Relationship Id="rId809" Type="http://schemas.openxmlformats.org/officeDocument/2006/relationships/hyperlink" Target="https://pld.live/RapDetail.aspx?STONELIST=821127703&amp;ISCONFIRM=0" TargetMode="External"/><Relationship Id="rId1439" Type="http://schemas.openxmlformats.org/officeDocument/2006/relationships/hyperlink" Target="https://pld.live/RapDetail.aspx?STONELIST=925900486&amp;ISCONFIRM=0" TargetMode="External"/><Relationship Id="rId1646" Type="http://schemas.openxmlformats.org/officeDocument/2006/relationships/hyperlink" Target="https://pld.live/RapDetail.aspx?STONELIST=926280651&amp;ISCONFIRM=0" TargetMode="External"/><Relationship Id="rId1853" Type="http://schemas.openxmlformats.org/officeDocument/2006/relationships/hyperlink" Target="https://pld.live/RapDetail.aspx?STONELIST=924420002&amp;ISCONFIRM=0" TargetMode="External"/><Relationship Id="rId2904" Type="http://schemas.openxmlformats.org/officeDocument/2006/relationships/hyperlink" Target="https://pld.live/RapDetail.aspx?STONELIST=925300353&amp;ISCONFIRM=0" TargetMode="External"/><Relationship Id="rId5310" Type="http://schemas.openxmlformats.org/officeDocument/2006/relationships/hyperlink" Target="https://pld.live/RapDetail.aspx?STONELIST=926620995&amp;ISCONFIRM=0" TargetMode="External"/><Relationship Id="rId7068" Type="http://schemas.openxmlformats.org/officeDocument/2006/relationships/hyperlink" Target="https://pld.live/RapDetail.aspx?STONELIST=926921465&amp;ISCONFIRM=0" TargetMode="External"/><Relationship Id="rId8119" Type="http://schemas.openxmlformats.org/officeDocument/2006/relationships/hyperlink" Target="https://pld.live/RapDetail.aspx?STONELIST=924880262&amp;ISCONFIRM=0" TargetMode="External"/><Relationship Id="rId1506" Type="http://schemas.openxmlformats.org/officeDocument/2006/relationships/hyperlink" Target="https://pld.live/RapDetail.aspx?STONELIST=925940413&amp;ISCONFIRM=0" TargetMode="External"/><Relationship Id="rId1713" Type="http://schemas.openxmlformats.org/officeDocument/2006/relationships/hyperlink" Target="https://pld.live/RapDetail.aspx?STONELIST=821128453&amp;ISCONFIRM=0" TargetMode="External"/><Relationship Id="rId1920" Type="http://schemas.openxmlformats.org/officeDocument/2006/relationships/hyperlink" Target="https://pld.live/RapDetail.aspx?STONELIST=926661567&amp;ISCONFIRM=0" TargetMode="External"/><Relationship Id="rId4869" Type="http://schemas.openxmlformats.org/officeDocument/2006/relationships/hyperlink" Target="https://pld.live/RapDetail.aspx?STONELIST=926910164&amp;ISCONFIRM=0" TargetMode="External"/><Relationship Id="rId7275" Type="http://schemas.openxmlformats.org/officeDocument/2006/relationships/hyperlink" Target="https://pld.live/RapDetail.aspx?STONELIST=927140412&amp;ISCONFIRM=0" TargetMode="External"/><Relationship Id="rId7482" Type="http://schemas.openxmlformats.org/officeDocument/2006/relationships/hyperlink" Target="https://pld.live/RapDetail.aspx?STONELIST=925920909&amp;ISCONFIRM=0" TargetMode="External"/><Relationship Id="rId3678" Type="http://schemas.openxmlformats.org/officeDocument/2006/relationships/hyperlink" Target="https://pld.live/RapDetail.aspx?STONELIST=925680156&amp;ISCONFIRM=0" TargetMode="External"/><Relationship Id="rId3885" Type="http://schemas.openxmlformats.org/officeDocument/2006/relationships/hyperlink" Target="https://pld.live/RapDetail.aspx?STONELIST=925551759&amp;ISCONFIRM=0" TargetMode="External"/><Relationship Id="rId4729" Type="http://schemas.openxmlformats.org/officeDocument/2006/relationships/hyperlink" Target="https://pld.live/RapDetail.aspx?STONELIST=925600083&amp;ISCONFIRM=0" TargetMode="External"/><Relationship Id="rId4936" Type="http://schemas.openxmlformats.org/officeDocument/2006/relationships/hyperlink" Target="https://pld.live/RapDetail.aspx?STONELIST=925551869&amp;ISCONFIRM=0" TargetMode="External"/><Relationship Id="rId6084" Type="http://schemas.openxmlformats.org/officeDocument/2006/relationships/hyperlink" Target="https://pld.live/RapDetail.aspx?STONELIST=926470452&amp;ISCONFIRM=0" TargetMode="External"/><Relationship Id="rId6291" Type="http://schemas.openxmlformats.org/officeDocument/2006/relationships/hyperlink" Target="https://pld.live/RapDetail.aspx?STONELIST=925771302&amp;ISCONFIRM=0" TargetMode="External"/><Relationship Id="rId7135" Type="http://schemas.openxmlformats.org/officeDocument/2006/relationships/hyperlink" Target="https://pld.live/RapDetail.aspx?STONELIST=941161010&amp;ISCONFIRM=0" TargetMode="External"/><Relationship Id="rId7342" Type="http://schemas.openxmlformats.org/officeDocument/2006/relationships/hyperlink" Target="https://pld.live/RapDetail.aspx?STONELIST=925851120&amp;ISCONFIRM=0" TargetMode="External"/><Relationship Id="rId599" Type="http://schemas.openxmlformats.org/officeDocument/2006/relationships/hyperlink" Target="https://pld.live/RapDetail.aspx?STONELIST=925890644&amp;ISCONFIRM=0" TargetMode="External"/><Relationship Id="rId2487" Type="http://schemas.openxmlformats.org/officeDocument/2006/relationships/hyperlink" Target="https://pld.live/RapDetail.aspx?STONELIST=926321084&amp;ISCONFIRM=0" TargetMode="External"/><Relationship Id="rId2694" Type="http://schemas.openxmlformats.org/officeDocument/2006/relationships/hyperlink" Target="https://pld.live/RapDetail.aspx?STONELIST=926391588&amp;ISCONFIRM=0" TargetMode="External"/><Relationship Id="rId3538" Type="http://schemas.openxmlformats.org/officeDocument/2006/relationships/hyperlink" Target="https://pld.live/RapDetail.aspx?STONELIST=923920451&amp;ISCONFIRM=0" TargetMode="External"/><Relationship Id="rId3745" Type="http://schemas.openxmlformats.org/officeDocument/2006/relationships/hyperlink" Target="https://pld.live/RapDetail.aspx?STONELIST=925560098&amp;ISCONFIRM=0" TargetMode="External"/><Relationship Id="rId6151" Type="http://schemas.openxmlformats.org/officeDocument/2006/relationships/hyperlink" Target="https://pld.live/RapDetail.aspx?STONELIST=831020414&amp;ISCONFIRM=0" TargetMode="External"/><Relationship Id="rId7202" Type="http://schemas.openxmlformats.org/officeDocument/2006/relationships/hyperlink" Target="https://pld.live/RapDetail.aspx?STONELIST=922950378&amp;ISCONFIRM=0" TargetMode="External"/><Relationship Id="rId459" Type="http://schemas.openxmlformats.org/officeDocument/2006/relationships/hyperlink" Target="https://pld.live/RapDetail.aspx?STONELIST=926020666&amp;ISCONFIRM=0" TargetMode="External"/><Relationship Id="rId666" Type="http://schemas.openxmlformats.org/officeDocument/2006/relationships/hyperlink" Target="https://pld.live/RapDetail.aspx?STONELIST=926071785&amp;ISCONFIRM=0" TargetMode="External"/><Relationship Id="rId873" Type="http://schemas.openxmlformats.org/officeDocument/2006/relationships/hyperlink" Target="https://pld.live/RapDetail.aspx?STONELIST=926071663&amp;ISCONFIRM=0" TargetMode="External"/><Relationship Id="rId1089" Type="http://schemas.openxmlformats.org/officeDocument/2006/relationships/hyperlink" Target="https://pld.live/RapDetail.aspx?STONELIST=926921039&amp;ISCONFIRM=0" TargetMode="External"/><Relationship Id="rId1296" Type="http://schemas.openxmlformats.org/officeDocument/2006/relationships/hyperlink" Target="https://pld.live/RapDetail.aspx?STONELIST=927100742&amp;ISCONFIRM=0" TargetMode="External"/><Relationship Id="rId2347" Type="http://schemas.openxmlformats.org/officeDocument/2006/relationships/hyperlink" Target="https://pld.live/RapDetail.aspx?STONELIST=926190963&amp;ISCONFIRM=0" TargetMode="External"/><Relationship Id="rId2554" Type="http://schemas.openxmlformats.org/officeDocument/2006/relationships/hyperlink" Target="https://pld.live/RapDetail.aspx?STONELIST=926261437&amp;ISCONFIRM=0" TargetMode="External"/><Relationship Id="rId3952" Type="http://schemas.openxmlformats.org/officeDocument/2006/relationships/hyperlink" Target="https://pld.live/RapDetail.aspx?STONELIST=925521940&amp;ISCONFIRM=0" TargetMode="External"/><Relationship Id="rId6011" Type="http://schemas.openxmlformats.org/officeDocument/2006/relationships/hyperlink" Target="https://pld.live/RapDetail.aspx?STONELIST=924900242&amp;ISCONFIRM=0" TargetMode="External"/><Relationship Id="rId319" Type="http://schemas.openxmlformats.org/officeDocument/2006/relationships/hyperlink" Target="https://pld.live/RapDetail.aspx?STONELIST=941390263&amp;ISCONFIRM=0" TargetMode="External"/><Relationship Id="rId526" Type="http://schemas.openxmlformats.org/officeDocument/2006/relationships/hyperlink" Target="https://pld.live/RapDetail.aspx?STONELIST=941400465&amp;ISCONFIRM=0" TargetMode="External"/><Relationship Id="rId1156" Type="http://schemas.openxmlformats.org/officeDocument/2006/relationships/hyperlink" Target="https://pld.live/RapDetail.aspx?STONELIST=941160559&amp;ISCONFIRM=0" TargetMode="External"/><Relationship Id="rId1363" Type="http://schemas.openxmlformats.org/officeDocument/2006/relationships/hyperlink" Target="https://pld.live/RapDetail.aspx?STONELIST=926211105&amp;ISCONFIRM=0" TargetMode="External"/><Relationship Id="rId2207" Type="http://schemas.openxmlformats.org/officeDocument/2006/relationships/hyperlink" Target="https://pld.live/RapDetail.aspx?STONELIST=926231148&amp;ISCONFIRM=0" TargetMode="External"/><Relationship Id="rId2761" Type="http://schemas.openxmlformats.org/officeDocument/2006/relationships/hyperlink" Target="https://pld.live/RapDetail.aspx?STONELIST=925530123&amp;ISCONFIRM=0" TargetMode="External"/><Relationship Id="rId3605" Type="http://schemas.openxmlformats.org/officeDocument/2006/relationships/hyperlink" Target="https://pld.live/RapDetail.aspx?STONELIST=831020689&amp;ISCONFIRM=0" TargetMode="External"/><Relationship Id="rId3812" Type="http://schemas.openxmlformats.org/officeDocument/2006/relationships/hyperlink" Target="https://pld.live/RapDetail.aspx?STONELIST=927040469&amp;ISCONFIRM=0" TargetMode="External"/><Relationship Id="rId6968" Type="http://schemas.openxmlformats.org/officeDocument/2006/relationships/hyperlink" Target="https://pld.live/RapDetail.aspx?STONELIST=831010792&amp;ISCONFIRM=0" TargetMode="External"/><Relationship Id="rId8183" Type="http://schemas.openxmlformats.org/officeDocument/2006/relationships/hyperlink" Target="https://pld.live/RapDetail.aspx?STONELIST=831010323&amp;ISCONFIRM=0" TargetMode="External"/><Relationship Id="rId733" Type="http://schemas.openxmlformats.org/officeDocument/2006/relationships/hyperlink" Target="https://pld.live/RapDetail.aspx?STONELIST=925520488&amp;ISCONFIRM=0" TargetMode="External"/><Relationship Id="rId940" Type="http://schemas.openxmlformats.org/officeDocument/2006/relationships/hyperlink" Target="https://pld.live/RapDetail.aspx?STONELIST=926631289&amp;ISCONFIRM=0" TargetMode="External"/><Relationship Id="rId1016" Type="http://schemas.openxmlformats.org/officeDocument/2006/relationships/hyperlink" Target="https://pld.live/RapDetail.aspx?STONELIST=941071083&amp;ISCONFIRM=0" TargetMode="External"/><Relationship Id="rId1570" Type="http://schemas.openxmlformats.org/officeDocument/2006/relationships/hyperlink" Target="https://pld.live/RapDetail.aspx?STONELIST=925910769&amp;ISCONFIRM=0" TargetMode="External"/><Relationship Id="rId2414" Type="http://schemas.openxmlformats.org/officeDocument/2006/relationships/hyperlink" Target="https://pld.live/RapDetail.aspx?STONELIST=926190933&amp;ISCONFIRM=0" TargetMode="External"/><Relationship Id="rId2621" Type="http://schemas.openxmlformats.org/officeDocument/2006/relationships/hyperlink" Target="https://pld.live/RapDetail.aspx?STONELIST=926491227&amp;ISCONFIRM=0" TargetMode="External"/><Relationship Id="rId5777" Type="http://schemas.openxmlformats.org/officeDocument/2006/relationships/hyperlink" Target="https://pld.live/RapDetail.aspx?STONELIST=941270749&amp;ISCONFIRM=0" TargetMode="External"/><Relationship Id="rId5984" Type="http://schemas.openxmlformats.org/officeDocument/2006/relationships/hyperlink" Target="https://pld.live/RapDetail.aspx?STONELIST=941071369&amp;ISCONFIRM=0" TargetMode="External"/><Relationship Id="rId6828" Type="http://schemas.openxmlformats.org/officeDocument/2006/relationships/hyperlink" Target="https://pld.live/RapDetail.aspx?STONELIST=924190637&amp;ISCONFIRM=0" TargetMode="External"/><Relationship Id="rId8043" Type="http://schemas.openxmlformats.org/officeDocument/2006/relationships/hyperlink" Target="https://pld.live/RapDetail.aspx?STONELIST=923380748&amp;ISCONFIRM=0" TargetMode="External"/><Relationship Id="rId800" Type="http://schemas.openxmlformats.org/officeDocument/2006/relationships/hyperlink" Target="https://pld.live/RapDetail.aspx?STONELIST=821127622&amp;ISCONFIRM=0" TargetMode="External"/><Relationship Id="rId1223" Type="http://schemas.openxmlformats.org/officeDocument/2006/relationships/hyperlink" Target="https://pld.live/RapDetail.aspx?STONELIST=926111316&amp;ISCONFIRM=0" TargetMode="External"/><Relationship Id="rId1430" Type="http://schemas.openxmlformats.org/officeDocument/2006/relationships/hyperlink" Target="https://pld.live/RapDetail.aspx?STONELIST=927120009&amp;ISCONFIRM=0" TargetMode="External"/><Relationship Id="rId4379" Type="http://schemas.openxmlformats.org/officeDocument/2006/relationships/hyperlink" Target="https://pld.live/RapDetail.aspx?STONELIST=941190590&amp;ISCONFIRM=0" TargetMode="External"/><Relationship Id="rId4586" Type="http://schemas.openxmlformats.org/officeDocument/2006/relationships/hyperlink" Target="https://pld.live/RapDetail.aspx?STONELIST=927052629&amp;ISCONFIRM=0" TargetMode="External"/><Relationship Id="rId4793" Type="http://schemas.openxmlformats.org/officeDocument/2006/relationships/hyperlink" Target="https://pld.live/RapDetail.aspx?STONELIST=925700314&amp;ISCONFIRM=0" TargetMode="External"/><Relationship Id="rId5637" Type="http://schemas.openxmlformats.org/officeDocument/2006/relationships/hyperlink" Target="https://pld.live/RapDetail.aspx?STONELIST=924410908&amp;ISCONFIRM=0" TargetMode="External"/><Relationship Id="rId5844" Type="http://schemas.openxmlformats.org/officeDocument/2006/relationships/hyperlink" Target="https://pld.live/RapDetail.aspx?STONELIST=925360427&amp;ISCONFIRM=0" TargetMode="External"/><Relationship Id="rId8250" Type="http://schemas.openxmlformats.org/officeDocument/2006/relationships/hyperlink" Target="https://pld.live/RapDetail.aspx?STONELIST=925150166&amp;ISCONFIRM=0" TargetMode="External"/><Relationship Id="rId3188" Type="http://schemas.openxmlformats.org/officeDocument/2006/relationships/hyperlink" Target="https://pld.live/RapDetail.aspx?STONELIST=925030299&amp;ISCONFIRM=0" TargetMode="External"/><Relationship Id="rId3395" Type="http://schemas.openxmlformats.org/officeDocument/2006/relationships/hyperlink" Target="https://pld.live/RapDetail.aspx?STONELIST=925971281&amp;ISCONFIRM=0" TargetMode="External"/><Relationship Id="rId4239" Type="http://schemas.openxmlformats.org/officeDocument/2006/relationships/hyperlink" Target="https://pld.live/RapDetail.aspx?STONELIST=925120335&amp;ISCONFIRM=0" TargetMode="External"/><Relationship Id="rId4446" Type="http://schemas.openxmlformats.org/officeDocument/2006/relationships/hyperlink" Target="https://pld.live/RapDetail.aspx?STONELIST=924420395&amp;ISCONFIRM=0" TargetMode="External"/><Relationship Id="rId4653" Type="http://schemas.openxmlformats.org/officeDocument/2006/relationships/hyperlink" Target="https://pld.live/RapDetail.aspx?STONELIST=927130714&amp;ISCONFIRM=0" TargetMode="External"/><Relationship Id="rId4860" Type="http://schemas.openxmlformats.org/officeDocument/2006/relationships/hyperlink" Target="https://pld.live/RapDetail.aspx?STONELIST=925500269&amp;ISCONFIRM=0" TargetMode="External"/><Relationship Id="rId5704" Type="http://schemas.openxmlformats.org/officeDocument/2006/relationships/hyperlink" Target="https://pld.live/RapDetail.aspx?STONELIST=925091001&amp;ISCONFIRM=0" TargetMode="External"/><Relationship Id="rId5911" Type="http://schemas.openxmlformats.org/officeDocument/2006/relationships/hyperlink" Target="https://pld.live/RapDetail.aspx?STONELIST=925732265&amp;ISCONFIRM=0" TargetMode="External"/><Relationship Id="rId8110" Type="http://schemas.openxmlformats.org/officeDocument/2006/relationships/hyperlink" Target="https://pld.live/RapDetail.aspx?STONELIST=925951235&amp;ISCONFIRM=0" TargetMode="External"/><Relationship Id="rId3048" Type="http://schemas.openxmlformats.org/officeDocument/2006/relationships/hyperlink" Target="https://pld.live/RapDetail.aspx?STONELIST=926210832&amp;ISCONFIRM=0" TargetMode="External"/><Relationship Id="rId3255" Type="http://schemas.openxmlformats.org/officeDocument/2006/relationships/hyperlink" Target="https://pld.live/RapDetail.aspx?STONELIST=9414000601&amp;ISCONFIRM=0" TargetMode="External"/><Relationship Id="rId3462" Type="http://schemas.openxmlformats.org/officeDocument/2006/relationships/hyperlink" Target="https://pld.live/RapDetail.aspx?STONELIST=926200773&amp;ISCONFIRM=0" TargetMode="External"/><Relationship Id="rId4306" Type="http://schemas.openxmlformats.org/officeDocument/2006/relationships/hyperlink" Target="https://pld.live/RapDetail.aspx?STONELIST=927092227&amp;ISCONFIRM=0" TargetMode="External"/><Relationship Id="rId4513" Type="http://schemas.openxmlformats.org/officeDocument/2006/relationships/hyperlink" Target="https://pld.live/RapDetail.aspx?STONELIST=941190400&amp;ISCONFIRM=0" TargetMode="External"/><Relationship Id="rId4720" Type="http://schemas.openxmlformats.org/officeDocument/2006/relationships/hyperlink" Target="https://pld.live/RapDetail.aspx?STONELIST=831020203&amp;ISCONFIRM=0" TargetMode="External"/><Relationship Id="rId7669" Type="http://schemas.openxmlformats.org/officeDocument/2006/relationships/hyperlink" Target="https://pld.live/RapDetail.aspx?STONELIST=831010857&amp;ISCONFIRM=0" TargetMode="External"/><Relationship Id="rId7876" Type="http://schemas.openxmlformats.org/officeDocument/2006/relationships/hyperlink" Target="https://pld.live/RapDetail.aspx?STONELIST=926830912&amp;ISCONFIRM=0" TargetMode="External"/><Relationship Id="rId176" Type="http://schemas.openxmlformats.org/officeDocument/2006/relationships/hyperlink" Target="https://pld.live/RapDetail.aspx?STONELIST=941060409&amp;ISCONFIRM=0" TargetMode="External"/><Relationship Id="rId383" Type="http://schemas.openxmlformats.org/officeDocument/2006/relationships/hyperlink" Target="https://pld.live/RapDetail.aspx?STONELIST=831020612&amp;ISCONFIRM=0" TargetMode="External"/><Relationship Id="rId590" Type="http://schemas.openxmlformats.org/officeDocument/2006/relationships/hyperlink" Target="https://pld.live/RapDetail.aspx?STONELIST=925551580&amp;ISCONFIRM=0" TargetMode="External"/><Relationship Id="rId2064" Type="http://schemas.openxmlformats.org/officeDocument/2006/relationships/hyperlink" Target="https://pld.live/RapDetail.aspx?STONELIST=924070719&amp;ISCONFIRM=0" TargetMode="External"/><Relationship Id="rId2271" Type="http://schemas.openxmlformats.org/officeDocument/2006/relationships/hyperlink" Target="https://pld.live/RapDetail.aspx?STONELIST=941100184&amp;ISCONFIRM=0" TargetMode="External"/><Relationship Id="rId3115" Type="http://schemas.openxmlformats.org/officeDocument/2006/relationships/hyperlink" Target="https://pld.live/RapDetail.aspx?STONELIST=926210614&amp;ISCONFIRM=0" TargetMode="External"/><Relationship Id="rId3322" Type="http://schemas.openxmlformats.org/officeDocument/2006/relationships/hyperlink" Target="https://pld.live/RapDetail.aspx?STONELIST=923790337&amp;ISCONFIRM=0" TargetMode="External"/><Relationship Id="rId6478" Type="http://schemas.openxmlformats.org/officeDocument/2006/relationships/hyperlink" Target="https://pld.live/RapDetail.aspx?STONELIST=927140377&amp;ISCONFIRM=0" TargetMode="External"/><Relationship Id="rId6685" Type="http://schemas.openxmlformats.org/officeDocument/2006/relationships/hyperlink" Target="https://pld.live/RapDetail.aspx?STONELIST=927152890&amp;ISCONFIRM=0" TargetMode="External"/><Relationship Id="rId7529" Type="http://schemas.openxmlformats.org/officeDocument/2006/relationships/hyperlink" Target="https://pld.live/RapDetail.aspx?STONELIST=925801928&amp;ISCONFIRM=0" TargetMode="External"/><Relationship Id="rId243" Type="http://schemas.openxmlformats.org/officeDocument/2006/relationships/hyperlink" Target="https://pld.live/RapDetail.aspx?STONELIST=925360304&amp;ISCONFIRM=0" TargetMode="External"/><Relationship Id="rId450" Type="http://schemas.openxmlformats.org/officeDocument/2006/relationships/hyperlink" Target="https://pld.live/RapDetail.aspx?STONELIST=831010602&amp;ISCONFIRM=0" TargetMode="External"/><Relationship Id="rId1080" Type="http://schemas.openxmlformats.org/officeDocument/2006/relationships/hyperlink" Target="https://pld.live/RapDetail.aspx?STONELIST=926791082&amp;ISCONFIRM=0" TargetMode="External"/><Relationship Id="rId2131" Type="http://schemas.openxmlformats.org/officeDocument/2006/relationships/hyperlink" Target="https://pld.live/RapDetail.aspx?STONELIST=926201199&amp;ISCONFIRM=0" TargetMode="External"/><Relationship Id="rId5287" Type="http://schemas.openxmlformats.org/officeDocument/2006/relationships/hyperlink" Target="https://pld.live/RapDetail.aspx?STONELIST=926110702&amp;ISCONFIRM=0" TargetMode="External"/><Relationship Id="rId5494" Type="http://schemas.openxmlformats.org/officeDocument/2006/relationships/hyperlink" Target="https://pld.live/RapDetail.aspx?STONELIST=925140272&amp;ISCONFIRM=0" TargetMode="External"/><Relationship Id="rId6338" Type="http://schemas.openxmlformats.org/officeDocument/2006/relationships/hyperlink" Target="https://pld.live/RapDetail.aspx?STONELIST=925270452&amp;ISCONFIRM=0" TargetMode="External"/><Relationship Id="rId6892" Type="http://schemas.openxmlformats.org/officeDocument/2006/relationships/hyperlink" Target="https://pld.live/RapDetail.aspx?STONELIST=925502271&amp;ISCONFIRM=0" TargetMode="External"/><Relationship Id="rId7736" Type="http://schemas.openxmlformats.org/officeDocument/2006/relationships/hyperlink" Target="https://pld.live/RapDetail.aspx?STONELIST=941330513&amp;ISCONFIRM=0" TargetMode="External"/><Relationship Id="rId7943" Type="http://schemas.openxmlformats.org/officeDocument/2006/relationships/hyperlink" Target="https://pld.live/RapDetail.aspx?STONELIST=927151875&amp;ISCONFIRM=0" TargetMode="External"/><Relationship Id="rId103" Type="http://schemas.openxmlformats.org/officeDocument/2006/relationships/hyperlink" Target="https://pld.live/RapDetail.aspx?STONELIST=925700150&amp;ISCONFIRM=0" TargetMode="External"/><Relationship Id="rId310" Type="http://schemas.openxmlformats.org/officeDocument/2006/relationships/hyperlink" Target="https://pld.live/RapDetail.aspx?STONELIST=941400341&amp;ISCONFIRM=0" TargetMode="External"/><Relationship Id="rId4096" Type="http://schemas.openxmlformats.org/officeDocument/2006/relationships/hyperlink" Target="https://pld.live/RapDetail.aspx?STONELIST=927092363&amp;ISCONFIRM=0" TargetMode="External"/><Relationship Id="rId5147" Type="http://schemas.openxmlformats.org/officeDocument/2006/relationships/hyperlink" Target="https://pld.live/RapDetail.aspx?STONELIST=926200799&amp;ISCONFIRM=0" TargetMode="External"/><Relationship Id="rId6545" Type="http://schemas.openxmlformats.org/officeDocument/2006/relationships/hyperlink" Target="https://pld.live/RapDetail.aspx?STONELIST=926291384&amp;ISCONFIRM=0" TargetMode="External"/><Relationship Id="rId6752" Type="http://schemas.openxmlformats.org/officeDocument/2006/relationships/hyperlink" Target="https://pld.live/RapDetail.aspx?STONELIST=927132544&amp;ISCONFIRM=0" TargetMode="External"/><Relationship Id="rId7803" Type="http://schemas.openxmlformats.org/officeDocument/2006/relationships/hyperlink" Target="https://pld.live/RapDetail.aspx?STONELIST=927092204&amp;ISCONFIRM=0" TargetMode="External"/><Relationship Id="rId1897" Type="http://schemas.openxmlformats.org/officeDocument/2006/relationships/hyperlink" Target="https://pld.live/RapDetail.aspx?STONELIST=941230030&amp;ISCONFIRM=0" TargetMode="External"/><Relationship Id="rId2948" Type="http://schemas.openxmlformats.org/officeDocument/2006/relationships/hyperlink" Target="https://pld.live/RapDetail.aspx?STONELIST=925940622&amp;ISCONFIRM=0" TargetMode="External"/><Relationship Id="rId5354" Type="http://schemas.openxmlformats.org/officeDocument/2006/relationships/hyperlink" Target="https://pld.live/RapDetail.aspx?STONELIST=926690749&amp;ISCONFIRM=0" TargetMode="External"/><Relationship Id="rId5561" Type="http://schemas.openxmlformats.org/officeDocument/2006/relationships/hyperlink" Target="https://pld.live/RapDetail.aspx?STONELIST=924930270&amp;ISCONFIRM=0" TargetMode="External"/><Relationship Id="rId6405" Type="http://schemas.openxmlformats.org/officeDocument/2006/relationships/hyperlink" Target="https://pld.live/RapDetail.aspx?STONELIST=831020370&amp;ISCONFIRM=0" TargetMode="External"/><Relationship Id="rId6612" Type="http://schemas.openxmlformats.org/officeDocument/2006/relationships/hyperlink" Target="https://pld.live/RapDetail.aspx?STONELIST=927052712&amp;ISCONFIRM=0" TargetMode="External"/><Relationship Id="rId1757" Type="http://schemas.openxmlformats.org/officeDocument/2006/relationships/hyperlink" Target="https://pld.live/RapDetail.aspx?STONELIST=941400417&amp;ISCONFIRM=0" TargetMode="External"/><Relationship Id="rId1964" Type="http://schemas.openxmlformats.org/officeDocument/2006/relationships/hyperlink" Target="https://pld.live/RapDetail.aspx?STONELIST=941280407&amp;ISCONFIRM=0" TargetMode="External"/><Relationship Id="rId2808" Type="http://schemas.openxmlformats.org/officeDocument/2006/relationships/hyperlink" Target="https://pld.live/RapDetail.aspx?STONELIST=925951279&amp;ISCONFIRM=0" TargetMode="External"/><Relationship Id="rId4163" Type="http://schemas.openxmlformats.org/officeDocument/2006/relationships/hyperlink" Target="https://pld.live/RapDetail.aspx?STONELIST=926250130&amp;ISCONFIRM=0" TargetMode="External"/><Relationship Id="rId4370" Type="http://schemas.openxmlformats.org/officeDocument/2006/relationships/hyperlink" Target="https://pld.live/RapDetail.aspx?STONELIST=927092345&amp;ISCONFIRM=0" TargetMode="External"/><Relationship Id="rId5007" Type="http://schemas.openxmlformats.org/officeDocument/2006/relationships/hyperlink" Target="https://pld.live/RapDetail.aspx?STONELIST=925802000&amp;ISCONFIRM=0" TargetMode="External"/><Relationship Id="rId5214" Type="http://schemas.openxmlformats.org/officeDocument/2006/relationships/hyperlink" Target="https://pld.live/RapDetail.aspx?STONELIST=925722075&amp;ISCONFIRM=0" TargetMode="External"/><Relationship Id="rId5421" Type="http://schemas.openxmlformats.org/officeDocument/2006/relationships/hyperlink" Target="https://pld.live/RapDetail.aspx?STONELIST=925940284&amp;ISCONFIRM=0" TargetMode="External"/><Relationship Id="rId49" Type="http://schemas.openxmlformats.org/officeDocument/2006/relationships/hyperlink" Target="https://pld.live/RapDetail.aspx?STONELIST=926150127&amp;ISCONFIRM=0" TargetMode="External"/><Relationship Id="rId1617" Type="http://schemas.openxmlformats.org/officeDocument/2006/relationships/hyperlink" Target="https://pld.live/RapDetail.aspx?STONELIST=926941161&amp;ISCONFIRM=0" TargetMode="External"/><Relationship Id="rId1824" Type="http://schemas.openxmlformats.org/officeDocument/2006/relationships/hyperlink" Target="https://pld.live/RapDetail.aspx?STONELIST=926320951&amp;ISCONFIRM=0" TargetMode="External"/><Relationship Id="rId4023" Type="http://schemas.openxmlformats.org/officeDocument/2006/relationships/hyperlink" Target="https://pld.live/RapDetail.aspx?STONELIST=941200045&amp;ISCONFIRM=0" TargetMode="External"/><Relationship Id="rId4230" Type="http://schemas.openxmlformats.org/officeDocument/2006/relationships/hyperlink" Target="https://pld.live/RapDetail.aspx?STONELIST=925861661&amp;ISCONFIRM=0" TargetMode="External"/><Relationship Id="rId7179" Type="http://schemas.openxmlformats.org/officeDocument/2006/relationships/hyperlink" Target="https://pld.live/RapDetail.aspx?STONELIST=927020704&amp;ISCONFIRM=0" TargetMode="External"/><Relationship Id="rId7386" Type="http://schemas.openxmlformats.org/officeDocument/2006/relationships/hyperlink" Target="https://pld.live/RapDetail.aspx?STONELIST=926820082&amp;ISCONFIRM=0" TargetMode="External"/><Relationship Id="rId7593" Type="http://schemas.openxmlformats.org/officeDocument/2006/relationships/hyperlink" Target="https://pld.live/RapDetail.aspx?STONELIST=925732286&amp;ISCONFIRM=0" TargetMode="External"/><Relationship Id="rId3789" Type="http://schemas.openxmlformats.org/officeDocument/2006/relationships/hyperlink" Target="https://pld.live/RapDetail.aspx?STONELIST=927080257&amp;ISCONFIRM=0" TargetMode="External"/><Relationship Id="rId6195" Type="http://schemas.openxmlformats.org/officeDocument/2006/relationships/hyperlink" Target="https://pld.live/RapDetail.aspx?STONELIST=926030176&amp;ISCONFIRM=0" TargetMode="External"/><Relationship Id="rId7039" Type="http://schemas.openxmlformats.org/officeDocument/2006/relationships/hyperlink" Target="https://pld.live/RapDetail.aspx?STONELIST=821113169&amp;ISCONFIRM=0" TargetMode="External"/><Relationship Id="rId7246" Type="http://schemas.openxmlformats.org/officeDocument/2006/relationships/hyperlink" Target="https://pld.live/RapDetail.aspx?STONELIST=927170050&amp;ISCONFIRM=0" TargetMode="External"/><Relationship Id="rId7453" Type="http://schemas.openxmlformats.org/officeDocument/2006/relationships/hyperlink" Target="https://pld.live/RapDetail.aspx?STONELIST=925771285&amp;ISCONFIRM=0" TargetMode="External"/><Relationship Id="rId7660" Type="http://schemas.openxmlformats.org/officeDocument/2006/relationships/hyperlink" Target="https://pld.live/RapDetail.aspx?STONELIST=941170035&amp;ISCONFIRM=0" TargetMode="External"/><Relationship Id="rId2598" Type="http://schemas.openxmlformats.org/officeDocument/2006/relationships/hyperlink" Target="https://pld.live/RapDetail.aspx?STONELIST=821127933&amp;ISCONFIRM=0" TargetMode="External"/><Relationship Id="rId3996" Type="http://schemas.openxmlformats.org/officeDocument/2006/relationships/hyperlink" Target="https://pld.live/RapDetail.aspx?STONELIST=925971115&amp;ISCONFIRM=0" TargetMode="External"/><Relationship Id="rId6055" Type="http://schemas.openxmlformats.org/officeDocument/2006/relationships/hyperlink" Target="https://pld.live/RapDetail.aspx?STONELIST=924970368&amp;ISCONFIRM=0" TargetMode="External"/><Relationship Id="rId6262" Type="http://schemas.openxmlformats.org/officeDocument/2006/relationships/hyperlink" Target="https://pld.live/RapDetail.aspx?STONELIST=941080853&amp;ISCONFIRM=0" TargetMode="External"/><Relationship Id="rId7106" Type="http://schemas.openxmlformats.org/officeDocument/2006/relationships/hyperlink" Target="https://pld.live/RapDetail.aspx?STONELIST=831010773&amp;ISCONFIRM=0" TargetMode="External"/><Relationship Id="rId7313" Type="http://schemas.openxmlformats.org/officeDocument/2006/relationships/hyperlink" Target="https://pld.live/RapDetail.aspx?STONELIST=926990556&amp;ISCONFIRM=0" TargetMode="External"/><Relationship Id="rId3649" Type="http://schemas.openxmlformats.org/officeDocument/2006/relationships/hyperlink" Target="https://pld.live/RapDetail.aspx?STONELIST=925690198&amp;ISCONFIRM=0" TargetMode="External"/><Relationship Id="rId3856" Type="http://schemas.openxmlformats.org/officeDocument/2006/relationships/hyperlink" Target="https://pld.live/RapDetail.aspx?STONELIST=925971206&amp;ISCONFIRM=0" TargetMode="External"/><Relationship Id="rId4907" Type="http://schemas.openxmlformats.org/officeDocument/2006/relationships/hyperlink" Target="https://pld.live/RapDetail.aspx?STONELIST=926910194&amp;ISCONFIRM=0" TargetMode="External"/><Relationship Id="rId5071" Type="http://schemas.openxmlformats.org/officeDocument/2006/relationships/hyperlink" Target="https://pld.live/RapDetail.aspx?STONELIST=926740830&amp;ISCONFIRM=0" TargetMode="External"/><Relationship Id="rId6122" Type="http://schemas.openxmlformats.org/officeDocument/2006/relationships/hyperlink" Target="https://pld.live/RapDetail.aspx?STONELIST=925930280&amp;ISCONFIRM=0" TargetMode="External"/><Relationship Id="rId7520" Type="http://schemas.openxmlformats.org/officeDocument/2006/relationships/hyperlink" Target="https://pld.live/RapDetail.aspx?STONELIST=925770558&amp;ISCONFIRM=0" TargetMode="External"/><Relationship Id="rId777" Type="http://schemas.openxmlformats.org/officeDocument/2006/relationships/hyperlink" Target="https://pld.live/RapDetail.aspx?STONELIST=926020648&amp;ISCONFIRM=0" TargetMode="External"/><Relationship Id="rId984" Type="http://schemas.openxmlformats.org/officeDocument/2006/relationships/hyperlink" Target="https://pld.live/RapDetail.aspx?STONELIST=926741110&amp;ISCONFIRM=0" TargetMode="External"/><Relationship Id="rId2458" Type="http://schemas.openxmlformats.org/officeDocument/2006/relationships/hyperlink" Target="https://pld.live/RapDetail.aspx?STONELIST=926231339&amp;ISCONFIRM=0" TargetMode="External"/><Relationship Id="rId2665" Type="http://schemas.openxmlformats.org/officeDocument/2006/relationships/hyperlink" Target="https://pld.live/RapDetail.aspx?STONELIST=926091305&amp;ISCONFIRM=0" TargetMode="External"/><Relationship Id="rId2872" Type="http://schemas.openxmlformats.org/officeDocument/2006/relationships/hyperlink" Target="https://pld.live/RapDetail.aspx?STONELIST=926200481&amp;ISCONFIRM=0" TargetMode="External"/><Relationship Id="rId3509" Type="http://schemas.openxmlformats.org/officeDocument/2006/relationships/hyperlink" Target="https://pld.live/RapDetail.aspx?STONELIST=926310953&amp;ISCONFIRM=0" TargetMode="External"/><Relationship Id="rId3716" Type="http://schemas.openxmlformats.org/officeDocument/2006/relationships/hyperlink" Target="https://pld.live/RapDetail.aspx?STONELIST=925660224&amp;ISCONFIRM=0" TargetMode="External"/><Relationship Id="rId3923" Type="http://schemas.openxmlformats.org/officeDocument/2006/relationships/hyperlink" Target="https://pld.live/RapDetail.aspx?STONELIST=925540171&amp;ISCONFIRM=0" TargetMode="External"/><Relationship Id="rId8087" Type="http://schemas.openxmlformats.org/officeDocument/2006/relationships/hyperlink" Target="https://pld.live/RapDetail.aspx?STONELIST=927050116&amp;ISCONFIRM=0" TargetMode="External"/><Relationship Id="rId637" Type="http://schemas.openxmlformats.org/officeDocument/2006/relationships/hyperlink" Target="https://pld.live/RapDetail.aspx?STONELIST=941351017&amp;ISCONFIRM=0" TargetMode="External"/><Relationship Id="rId844" Type="http://schemas.openxmlformats.org/officeDocument/2006/relationships/hyperlink" Target="https://pld.live/RapDetail.aspx?STONELIST=821127455&amp;ISCONFIRM=0" TargetMode="External"/><Relationship Id="rId1267" Type="http://schemas.openxmlformats.org/officeDocument/2006/relationships/hyperlink" Target="https://pld.live/RapDetail.aspx?STONELIST=941350938&amp;ISCONFIRM=0" TargetMode="External"/><Relationship Id="rId1474" Type="http://schemas.openxmlformats.org/officeDocument/2006/relationships/hyperlink" Target="https://pld.live/RapDetail.aspx?STONELIST=926221288&amp;ISCONFIRM=0" TargetMode="External"/><Relationship Id="rId1681" Type="http://schemas.openxmlformats.org/officeDocument/2006/relationships/hyperlink" Target="https://pld.live/RapDetail.aspx?STONELIST=925870532&amp;ISCONFIRM=0" TargetMode="External"/><Relationship Id="rId2318" Type="http://schemas.openxmlformats.org/officeDocument/2006/relationships/hyperlink" Target="https://pld.live/RapDetail.aspx?STONELIST=941330242&amp;ISCONFIRM=0" TargetMode="External"/><Relationship Id="rId2525" Type="http://schemas.openxmlformats.org/officeDocument/2006/relationships/hyperlink" Target="https://pld.live/RapDetail.aspx?STONELIST=926430797&amp;ISCONFIRM=0" TargetMode="External"/><Relationship Id="rId2732" Type="http://schemas.openxmlformats.org/officeDocument/2006/relationships/hyperlink" Target="https://pld.live/RapDetail.aspx?STONELIST=923750288&amp;ISCONFIRM=0" TargetMode="External"/><Relationship Id="rId5888" Type="http://schemas.openxmlformats.org/officeDocument/2006/relationships/hyperlink" Target="https://pld.live/RapDetail.aspx?STONELIST=927152984&amp;ISCONFIRM=0" TargetMode="External"/><Relationship Id="rId6939" Type="http://schemas.openxmlformats.org/officeDocument/2006/relationships/hyperlink" Target="https://pld.live/RapDetail.aspx?STONELIST=925731925&amp;ISCONFIRM=0" TargetMode="External"/><Relationship Id="rId704" Type="http://schemas.openxmlformats.org/officeDocument/2006/relationships/hyperlink" Target="https://pld.live/RapDetail.aspx?STONELIST=821127654&amp;ISCONFIRM=0" TargetMode="External"/><Relationship Id="rId911" Type="http://schemas.openxmlformats.org/officeDocument/2006/relationships/hyperlink" Target="https://pld.live/RapDetail.aspx?STONELIST=821127420&amp;ISCONFIRM=0" TargetMode="External"/><Relationship Id="rId1127" Type="http://schemas.openxmlformats.org/officeDocument/2006/relationships/hyperlink" Target="https://pld.live/RapDetail.aspx?STONELIST=926831071&amp;ISCONFIRM=0" TargetMode="External"/><Relationship Id="rId1334" Type="http://schemas.openxmlformats.org/officeDocument/2006/relationships/hyperlink" Target="https://pld.live/RapDetail.aspx?STONELIST=941260876&amp;ISCONFIRM=0" TargetMode="External"/><Relationship Id="rId1541" Type="http://schemas.openxmlformats.org/officeDocument/2006/relationships/hyperlink" Target="https://pld.live/RapDetail.aspx?STONELIST=926331748&amp;ISCONFIRM=0" TargetMode="External"/><Relationship Id="rId4697" Type="http://schemas.openxmlformats.org/officeDocument/2006/relationships/hyperlink" Target="https://pld.live/RapDetail.aspx?STONELIST=924450161&amp;ISCONFIRM=0" TargetMode="External"/><Relationship Id="rId5748" Type="http://schemas.openxmlformats.org/officeDocument/2006/relationships/hyperlink" Target="https://pld.live/RapDetail.aspx?STONELIST=924990421&amp;ISCONFIRM=0" TargetMode="External"/><Relationship Id="rId5955" Type="http://schemas.openxmlformats.org/officeDocument/2006/relationships/hyperlink" Target="https://pld.live/RapDetail.aspx?STONELIST=941071363&amp;ISCONFIRM=0" TargetMode="External"/><Relationship Id="rId8154" Type="http://schemas.openxmlformats.org/officeDocument/2006/relationships/hyperlink" Target="https://pld.live/RapDetail.aspx?STONELIST=925950094&amp;ISCONFIRM=0" TargetMode="External"/><Relationship Id="rId40" Type="http://schemas.openxmlformats.org/officeDocument/2006/relationships/hyperlink" Target="https://pld.live/RapDetail.aspx?STONELIST=926860103&amp;ISCONFIRM=0" TargetMode="External"/><Relationship Id="rId1401" Type="http://schemas.openxmlformats.org/officeDocument/2006/relationships/hyperlink" Target="https://pld.live/RapDetail.aspx?STONELIST=821124670&amp;ISCONFIRM=0" TargetMode="External"/><Relationship Id="rId3299" Type="http://schemas.openxmlformats.org/officeDocument/2006/relationships/hyperlink" Target="https://pld.live/RapDetail.aspx?STONELIST=926000052&amp;ISCONFIRM=0" TargetMode="External"/><Relationship Id="rId4557" Type="http://schemas.openxmlformats.org/officeDocument/2006/relationships/hyperlink" Target="https://pld.live/RapDetail.aspx?STONELIST=924960408&amp;ISCONFIRM=0" TargetMode="External"/><Relationship Id="rId4764" Type="http://schemas.openxmlformats.org/officeDocument/2006/relationships/hyperlink" Target="https://pld.live/RapDetail.aspx?STONELIST=926010107&amp;ISCONFIRM=0" TargetMode="External"/><Relationship Id="rId5608" Type="http://schemas.openxmlformats.org/officeDocument/2006/relationships/hyperlink" Target="https://pld.live/RapDetail.aspx?STONELIST=924920332&amp;ISCONFIRM=0" TargetMode="External"/><Relationship Id="rId7170" Type="http://schemas.openxmlformats.org/officeDocument/2006/relationships/hyperlink" Target="https://pld.live/RapDetail.aspx?STONELIST=941360610&amp;ISCONFIRM=0" TargetMode="External"/><Relationship Id="rId8014" Type="http://schemas.openxmlformats.org/officeDocument/2006/relationships/hyperlink" Target="https://pld.live/RapDetail.aspx?STONELIST=925570097&amp;ISCONFIRM=0" TargetMode="External"/><Relationship Id="rId8221" Type="http://schemas.openxmlformats.org/officeDocument/2006/relationships/hyperlink" Target="https://pld.live/RapDetail.aspx?STONELIST=925732127&amp;ISCONFIRM=0" TargetMode="External"/><Relationship Id="rId3159" Type="http://schemas.openxmlformats.org/officeDocument/2006/relationships/hyperlink" Target="https://pld.live/RapDetail.aspx?STONELIST=925030452&amp;ISCONFIRM=0" TargetMode="External"/><Relationship Id="rId3366" Type="http://schemas.openxmlformats.org/officeDocument/2006/relationships/hyperlink" Target="https://pld.live/RapDetail.aspx?STONELIST=926041283&amp;ISCONFIRM=0" TargetMode="External"/><Relationship Id="rId3573" Type="http://schemas.openxmlformats.org/officeDocument/2006/relationships/hyperlink" Target="https://pld.live/RapDetail.aspx?STONELIST=821133250&amp;ISCONFIRM=0" TargetMode="External"/><Relationship Id="rId4417" Type="http://schemas.openxmlformats.org/officeDocument/2006/relationships/hyperlink" Target="https://pld.live/RapDetail.aspx?STONELIST=925080519&amp;ISCONFIRM=0" TargetMode="External"/><Relationship Id="rId4971" Type="http://schemas.openxmlformats.org/officeDocument/2006/relationships/hyperlink" Target="https://pld.live/RapDetail.aspx?STONELIST=926101480&amp;ISCONFIRM=0" TargetMode="External"/><Relationship Id="rId5815" Type="http://schemas.openxmlformats.org/officeDocument/2006/relationships/hyperlink" Target="https://pld.live/RapDetail.aspx?STONELIST=926130070&amp;ISCONFIRM=0" TargetMode="External"/><Relationship Id="rId7030" Type="http://schemas.openxmlformats.org/officeDocument/2006/relationships/hyperlink" Target="https://pld.live/RapDetail.aspx?STONELIST=926101633&amp;ISCONFIRM=0" TargetMode="External"/><Relationship Id="rId287" Type="http://schemas.openxmlformats.org/officeDocument/2006/relationships/hyperlink" Target="https://pld.live/RapDetail.aspx?STONELIST=926930722&amp;ISCONFIRM=0" TargetMode="External"/><Relationship Id="rId494" Type="http://schemas.openxmlformats.org/officeDocument/2006/relationships/hyperlink" Target="https://pld.live/RapDetail.aspx?STONELIST=925961264&amp;ISCONFIRM=0" TargetMode="External"/><Relationship Id="rId2175" Type="http://schemas.openxmlformats.org/officeDocument/2006/relationships/hyperlink" Target="https://pld.live/RapDetail.aspx?STONELIST=926091236&amp;ISCONFIRM=0" TargetMode="External"/><Relationship Id="rId2382" Type="http://schemas.openxmlformats.org/officeDocument/2006/relationships/hyperlink" Target="https://pld.live/RapDetail.aspx?STONELIST=926321005&amp;ISCONFIRM=0" TargetMode="External"/><Relationship Id="rId3019" Type="http://schemas.openxmlformats.org/officeDocument/2006/relationships/hyperlink" Target="https://pld.live/RapDetail.aspx?STONELIST=925791448&amp;ISCONFIRM=0" TargetMode="External"/><Relationship Id="rId3226" Type="http://schemas.openxmlformats.org/officeDocument/2006/relationships/hyperlink" Target="https://pld.live/RapDetail.aspx?STONELIST=925091114&amp;ISCONFIRM=0" TargetMode="External"/><Relationship Id="rId3780" Type="http://schemas.openxmlformats.org/officeDocument/2006/relationships/hyperlink" Target="https://pld.live/RapDetail.aspx?STONELIST=941400543&amp;ISCONFIRM=0" TargetMode="External"/><Relationship Id="rId4624" Type="http://schemas.openxmlformats.org/officeDocument/2006/relationships/hyperlink" Target="https://pld.live/RapDetail.aspx?STONELIST=941060534&amp;ISCONFIRM=0" TargetMode="External"/><Relationship Id="rId4831" Type="http://schemas.openxmlformats.org/officeDocument/2006/relationships/hyperlink" Target="https://pld.live/RapDetail.aspx?STONELIST=925960527&amp;ISCONFIRM=0" TargetMode="External"/><Relationship Id="rId7987" Type="http://schemas.openxmlformats.org/officeDocument/2006/relationships/hyperlink" Target="https://pld.live/RapDetail.aspx?STONELIST=941040676&amp;ISCONFIRM=0" TargetMode="External"/><Relationship Id="rId147" Type="http://schemas.openxmlformats.org/officeDocument/2006/relationships/hyperlink" Target="https://pld.live/RapDetail.aspx?STONELIST=941100464&amp;ISCONFIRM=0" TargetMode="External"/><Relationship Id="rId354" Type="http://schemas.openxmlformats.org/officeDocument/2006/relationships/hyperlink" Target="https://pld.live/RapDetail.aspx?STONELIST=831010813&amp;ISCONFIRM=0" TargetMode="External"/><Relationship Id="rId1191" Type="http://schemas.openxmlformats.org/officeDocument/2006/relationships/hyperlink" Target="https://pld.live/RapDetail.aspx?STONELIST=941020922&amp;ISCONFIRM=0" TargetMode="External"/><Relationship Id="rId2035" Type="http://schemas.openxmlformats.org/officeDocument/2006/relationships/hyperlink" Target="https://pld.live/RapDetail.aspx?STONELIST=926230270&amp;ISCONFIRM=0" TargetMode="External"/><Relationship Id="rId3433" Type="http://schemas.openxmlformats.org/officeDocument/2006/relationships/hyperlink" Target="https://pld.live/RapDetail.aspx?STONELIST=925861994&amp;ISCONFIRM=0" TargetMode="External"/><Relationship Id="rId3640" Type="http://schemas.openxmlformats.org/officeDocument/2006/relationships/hyperlink" Target="https://pld.live/RapDetail.aspx?STONELIST=924930193&amp;ISCONFIRM=0" TargetMode="External"/><Relationship Id="rId6589" Type="http://schemas.openxmlformats.org/officeDocument/2006/relationships/hyperlink" Target="https://pld.live/RapDetail.aspx?STONELIST=927052643&amp;ISCONFIRM=0" TargetMode="External"/><Relationship Id="rId6796" Type="http://schemas.openxmlformats.org/officeDocument/2006/relationships/hyperlink" Target="https://pld.live/RapDetail.aspx?STONELIST=924250791&amp;ISCONFIRM=0" TargetMode="External"/><Relationship Id="rId7847" Type="http://schemas.openxmlformats.org/officeDocument/2006/relationships/hyperlink" Target="https://pld.live/RapDetail.aspx?STONELIST=923400161&amp;ISCONFIRM=0" TargetMode="External"/><Relationship Id="rId561" Type="http://schemas.openxmlformats.org/officeDocument/2006/relationships/hyperlink" Target="https://pld.live/RapDetail.aspx?STONELIST=941360299&amp;ISCONFIRM=0" TargetMode="External"/><Relationship Id="rId2242" Type="http://schemas.openxmlformats.org/officeDocument/2006/relationships/hyperlink" Target="https://pld.live/RapDetail.aspx?STONELIST=926391168&amp;ISCONFIRM=0" TargetMode="External"/><Relationship Id="rId3500" Type="http://schemas.openxmlformats.org/officeDocument/2006/relationships/hyperlink" Target="https://pld.live/RapDetail.aspx?STONELIST=926270806&amp;ISCONFIRM=0" TargetMode="External"/><Relationship Id="rId5398" Type="http://schemas.openxmlformats.org/officeDocument/2006/relationships/hyperlink" Target="https://pld.live/RapDetail.aspx?STONELIST=941130420&amp;ISCONFIRM=0" TargetMode="External"/><Relationship Id="rId6449" Type="http://schemas.openxmlformats.org/officeDocument/2006/relationships/hyperlink" Target="https://pld.live/RapDetail.aspx?STONELIST=941100584&amp;ISCONFIRM=0" TargetMode="External"/><Relationship Id="rId6656" Type="http://schemas.openxmlformats.org/officeDocument/2006/relationships/hyperlink" Target="https://pld.live/RapDetail.aspx?STONELIST=926972244&amp;ISCONFIRM=0" TargetMode="External"/><Relationship Id="rId6863" Type="http://schemas.openxmlformats.org/officeDocument/2006/relationships/hyperlink" Target="https://pld.live/RapDetail.aspx?STONELIST=926930820&amp;ISCONFIRM=0" TargetMode="External"/><Relationship Id="rId7707" Type="http://schemas.openxmlformats.org/officeDocument/2006/relationships/hyperlink" Target="https://pld.live/RapDetail.aspx?STONELIST=9412700820&amp;ISCONFIRM=0" TargetMode="External"/><Relationship Id="rId7914" Type="http://schemas.openxmlformats.org/officeDocument/2006/relationships/hyperlink" Target="https://pld.live/RapDetail.aspx?STONELIST=926901088&amp;ISCONFIRM=0" TargetMode="External"/><Relationship Id="rId214" Type="http://schemas.openxmlformats.org/officeDocument/2006/relationships/hyperlink" Target="https://pld.live/RapDetail.aspx?STONELIST=925560031&amp;ISCONFIRM=0" TargetMode="External"/><Relationship Id="rId421" Type="http://schemas.openxmlformats.org/officeDocument/2006/relationships/hyperlink" Target="https://pld.live/RapDetail.aspx?STONELIST=925861790&amp;ISCONFIRM=0" TargetMode="External"/><Relationship Id="rId1051" Type="http://schemas.openxmlformats.org/officeDocument/2006/relationships/hyperlink" Target="https://pld.live/RapDetail.aspx?STONELIST=926750903&amp;ISCONFIRM=0" TargetMode="External"/><Relationship Id="rId2102" Type="http://schemas.openxmlformats.org/officeDocument/2006/relationships/hyperlink" Target="https://pld.live/RapDetail.aspx?STONELIST=821127956&amp;ISCONFIRM=0" TargetMode="External"/><Relationship Id="rId5258" Type="http://schemas.openxmlformats.org/officeDocument/2006/relationships/hyperlink" Target="https://pld.live/RapDetail.aspx?STONELIST=926110161&amp;ISCONFIRM=0" TargetMode="External"/><Relationship Id="rId5465" Type="http://schemas.openxmlformats.org/officeDocument/2006/relationships/hyperlink" Target="https://pld.live/RapDetail.aspx?STONELIST=924880319&amp;ISCONFIRM=0" TargetMode="External"/><Relationship Id="rId5672" Type="http://schemas.openxmlformats.org/officeDocument/2006/relationships/hyperlink" Target="https://pld.live/RapDetail.aspx?STONELIST=924520197&amp;ISCONFIRM=0" TargetMode="External"/><Relationship Id="rId6309" Type="http://schemas.openxmlformats.org/officeDocument/2006/relationships/hyperlink" Target="https://pld.live/RapDetail.aspx?STONELIST=941060538&amp;ISCONFIRM=0" TargetMode="External"/><Relationship Id="rId6516" Type="http://schemas.openxmlformats.org/officeDocument/2006/relationships/hyperlink" Target="https://pld.live/RapDetail.aspx?STONELIST=924940139&amp;ISCONFIRM=0" TargetMode="External"/><Relationship Id="rId6723" Type="http://schemas.openxmlformats.org/officeDocument/2006/relationships/hyperlink" Target="https://pld.live/RapDetail.aspx?STONELIST=927132441&amp;ISCONFIRM=0" TargetMode="External"/><Relationship Id="rId6930" Type="http://schemas.openxmlformats.org/officeDocument/2006/relationships/hyperlink" Target="https://pld.live/RapDetail.aspx?STONELIST=925551761&amp;ISCONFIRM=0" TargetMode="External"/><Relationship Id="rId1868" Type="http://schemas.openxmlformats.org/officeDocument/2006/relationships/hyperlink" Target="https://pld.live/RapDetail.aspx?STONELIST=926000008&amp;ISCONFIRM=0" TargetMode="External"/><Relationship Id="rId4067" Type="http://schemas.openxmlformats.org/officeDocument/2006/relationships/hyperlink" Target="https://pld.live/RapDetail.aspx?STONELIST=925971325&amp;ISCONFIRM=0" TargetMode="External"/><Relationship Id="rId4274" Type="http://schemas.openxmlformats.org/officeDocument/2006/relationships/hyperlink" Target="https://pld.live/RapDetail.aspx?STONELIST=821113589&amp;ISCONFIRM=0" TargetMode="External"/><Relationship Id="rId4481" Type="http://schemas.openxmlformats.org/officeDocument/2006/relationships/hyperlink" Target="https://pld.live/RapDetail.aspx?STONELIST=941351090&amp;ISCONFIRM=0" TargetMode="External"/><Relationship Id="rId5118" Type="http://schemas.openxmlformats.org/officeDocument/2006/relationships/hyperlink" Target="https://pld.live/RapDetail.aspx?STONELIST=925731910&amp;ISCONFIRM=0" TargetMode="External"/><Relationship Id="rId5325" Type="http://schemas.openxmlformats.org/officeDocument/2006/relationships/hyperlink" Target="https://pld.live/RapDetail.aspx?STONELIST=926291267&amp;ISCONFIRM=0" TargetMode="External"/><Relationship Id="rId5532" Type="http://schemas.openxmlformats.org/officeDocument/2006/relationships/hyperlink" Target="https://pld.live/RapDetail.aspx?STONELIST=925900448&amp;ISCONFIRM=0" TargetMode="External"/><Relationship Id="rId2919" Type="http://schemas.openxmlformats.org/officeDocument/2006/relationships/hyperlink" Target="https://pld.live/RapDetail.aspx?STONELIST=925830750&amp;ISCONFIRM=0" TargetMode="External"/><Relationship Id="rId3083" Type="http://schemas.openxmlformats.org/officeDocument/2006/relationships/hyperlink" Target="https://pld.live/RapDetail.aspx?STONELIST=926110979&amp;ISCONFIRM=0" TargetMode="External"/><Relationship Id="rId3290" Type="http://schemas.openxmlformats.org/officeDocument/2006/relationships/hyperlink" Target="https://pld.live/RapDetail.aspx?STONELIST=926780084&amp;ISCONFIRM=0" TargetMode="External"/><Relationship Id="rId4134" Type="http://schemas.openxmlformats.org/officeDocument/2006/relationships/hyperlink" Target="https://pld.live/RapDetail.aspx?STONELIST=925861060&amp;ISCONFIRM=0" TargetMode="External"/><Relationship Id="rId4341" Type="http://schemas.openxmlformats.org/officeDocument/2006/relationships/hyperlink" Target="https://pld.live/RapDetail.aspx?STONELIST=927130752&amp;ISCONFIRM=0" TargetMode="External"/><Relationship Id="rId7497" Type="http://schemas.openxmlformats.org/officeDocument/2006/relationships/hyperlink" Target="https://pld.live/RapDetail.aspx?STONELIST=925860705&amp;ISCONFIRM=0" TargetMode="External"/><Relationship Id="rId1728" Type="http://schemas.openxmlformats.org/officeDocument/2006/relationships/hyperlink" Target="https://pld.live/RapDetail.aspx?STONELIST=926440768&amp;ISCONFIRM=0" TargetMode="External"/><Relationship Id="rId1935" Type="http://schemas.openxmlformats.org/officeDocument/2006/relationships/hyperlink" Target="https://pld.live/RapDetail.aspx?STONELIST=926801244&amp;ISCONFIRM=0" TargetMode="External"/><Relationship Id="rId3150" Type="http://schemas.openxmlformats.org/officeDocument/2006/relationships/hyperlink" Target="https://pld.live/RapDetail.aspx?STONELIST=925260301&amp;ISCONFIRM=0" TargetMode="External"/><Relationship Id="rId4201" Type="http://schemas.openxmlformats.org/officeDocument/2006/relationships/hyperlink" Target="https://pld.live/RapDetail.aspx?STONELIST=925521935&amp;ISCONFIRM=0" TargetMode="External"/><Relationship Id="rId6099" Type="http://schemas.openxmlformats.org/officeDocument/2006/relationships/hyperlink" Target="https://pld.live/RapDetail.aspx?STONELIST=926470419&amp;ISCONFIRM=0" TargetMode="External"/><Relationship Id="rId7357" Type="http://schemas.openxmlformats.org/officeDocument/2006/relationships/hyperlink" Target="https://pld.live/RapDetail.aspx?STONELIST=926470240&amp;ISCONFIRM=0" TargetMode="External"/><Relationship Id="rId3010" Type="http://schemas.openxmlformats.org/officeDocument/2006/relationships/hyperlink" Target="https://pld.live/RapDetail.aspx?STONELIST=924880034&amp;ISCONFIRM=0" TargetMode="External"/><Relationship Id="rId6166" Type="http://schemas.openxmlformats.org/officeDocument/2006/relationships/hyperlink" Target="https://pld.live/RapDetail.aspx?STONELIST=941220207&amp;ISCONFIRM=0" TargetMode="External"/><Relationship Id="rId7564" Type="http://schemas.openxmlformats.org/officeDocument/2006/relationships/hyperlink" Target="https://pld.live/RapDetail.aspx?STONELIST=925721914&amp;ISCONFIRM=0" TargetMode="External"/><Relationship Id="rId7771" Type="http://schemas.openxmlformats.org/officeDocument/2006/relationships/hyperlink" Target="https://pld.live/RapDetail.aspx?STONELIST=831020692&amp;ISCONFIRM=0" TargetMode="External"/><Relationship Id="rId3967" Type="http://schemas.openxmlformats.org/officeDocument/2006/relationships/hyperlink" Target="https://pld.live/RapDetail.aspx?STONELIST=925801153&amp;ISCONFIRM=0" TargetMode="External"/><Relationship Id="rId6373" Type="http://schemas.openxmlformats.org/officeDocument/2006/relationships/hyperlink" Target="https://pld.live/RapDetail.aspx?STONELIST=926820073&amp;ISCONFIRM=0" TargetMode="External"/><Relationship Id="rId6580" Type="http://schemas.openxmlformats.org/officeDocument/2006/relationships/hyperlink" Target="https://pld.live/RapDetail.aspx?STONELIST=926420312&amp;ISCONFIRM=0" TargetMode="External"/><Relationship Id="rId7217" Type="http://schemas.openxmlformats.org/officeDocument/2006/relationships/hyperlink" Target="https://pld.live/RapDetail.aspx?STONELIST=821113007&amp;ISCONFIRM=0" TargetMode="External"/><Relationship Id="rId7424" Type="http://schemas.openxmlformats.org/officeDocument/2006/relationships/hyperlink" Target="https://pld.live/RapDetail.aspx?STONELIST=923750351&amp;ISCONFIRM=0" TargetMode="External"/><Relationship Id="rId7631" Type="http://schemas.openxmlformats.org/officeDocument/2006/relationships/hyperlink" Target="https://pld.live/RapDetail.aspx?STONELIST=926810513&amp;ISCONFIRM=0" TargetMode="External"/><Relationship Id="rId4" Type="http://schemas.openxmlformats.org/officeDocument/2006/relationships/hyperlink" Target="https://pld.live/RapDetail.aspx?STONELIST=923830001&amp;ISCONFIRM=0" TargetMode="External"/><Relationship Id="rId888" Type="http://schemas.openxmlformats.org/officeDocument/2006/relationships/hyperlink" Target="https://pld.live/RapDetail.aspx?STONELIST=821127459&amp;ISCONFIRM=0" TargetMode="External"/><Relationship Id="rId2569" Type="http://schemas.openxmlformats.org/officeDocument/2006/relationships/hyperlink" Target="https://pld.live/RapDetail.aspx?STONELIST=926391476&amp;ISCONFIRM=0" TargetMode="External"/><Relationship Id="rId2776" Type="http://schemas.openxmlformats.org/officeDocument/2006/relationships/hyperlink" Target="https://pld.live/RapDetail.aspx?STONELIST=927000604&amp;ISCONFIRM=0" TargetMode="External"/><Relationship Id="rId2983" Type="http://schemas.openxmlformats.org/officeDocument/2006/relationships/hyperlink" Target="https://pld.live/RapDetail.aspx?STONELIST=925940653&amp;ISCONFIRM=0" TargetMode="External"/><Relationship Id="rId3827" Type="http://schemas.openxmlformats.org/officeDocument/2006/relationships/hyperlink" Target="https://pld.live/RapDetail.aspx?STONELIST=9414201299&amp;ISCONFIRM=0" TargetMode="External"/><Relationship Id="rId5182" Type="http://schemas.openxmlformats.org/officeDocument/2006/relationships/hyperlink" Target="https://pld.live/RapDetail.aspx?STONELIST=925721787&amp;ISCONFIRM=0" TargetMode="External"/><Relationship Id="rId6026" Type="http://schemas.openxmlformats.org/officeDocument/2006/relationships/hyperlink" Target="https://pld.live/RapDetail.aspx?STONELIST=941191317&amp;ISCONFIRM=0" TargetMode="External"/><Relationship Id="rId6233" Type="http://schemas.openxmlformats.org/officeDocument/2006/relationships/hyperlink" Target="https://pld.live/RapDetail.aspx?STONELIST=941060539&amp;ISCONFIRM=0" TargetMode="External"/><Relationship Id="rId6440" Type="http://schemas.openxmlformats.org/officeDocument/2006/relationships/hyperlink" Target="https://pld.live/RapDetail.aspx?STONELIST=941090638&amp;ISCONFIRM=0" TargetMode="External"/><Relationship Id="rId748" Type="http://schemas.openxmlformats.org/officeDocument/2006/relationships/hyperlink" Target="https://pld.live/RapDetail.aspx?STONELIST=821127467&amp;ISCONFIRM=0" TargetMode="External"/><Relationship Id="rId955" Type="http://schemas.openxmlformats.org/officeDocument/2006/relationships/hyperlink" Target="https://pld.live/RapDetail.aspx?STONELIST=926701044&amp;ISCONFIRM=0" TargetMode="External"/><Relationship Id="rId1378" Type="http://schemas.openxmlformats.org/officeDocument/2006/relationships/hyperlink" Target="https://pld.live/RapDetail.aspx?STONELIST=926331720&amp;ISCONFIRM=0" TargetMode="External"/><Relationship Id="rId1585" Type="http://schemas.openxmlformats.org/officeDocument/2006/relationships/hyperlink" Target="https://pld.live/RapDetail.aspx?STONELIST=925990849&amp;ISCONFIRM=0" TargetMode="External"/><Relationship Id="rId1792" Type="http://schemas.openxmlformats.org/officeDocument/2006/relationships/hyperlink" Target="https://pld.live/RapDetail.aspx?STONELIST=941340424&amp;ISCONFIRM=0" TargetMode="External"/><Relationship Id="rId2429" Type="http://schemas.openxmlformats.org/officeDocument/2006/relationships/hyperlink" Target="https://pld.live/RapDetail.aspx?STONELIST=941090558&amp;ISCONFIRM=0" TargetMode="External"/><Relationship Id="rId2636" Type="http://schemas.openxmlformats.org/officeDocument/2006/relationships/hyperlink" Target="https://pld.live/RapDetail.aspx?STONELIST=926261448&amp;ISCONFIRM=0" TargetMode="External"/><Relationship Id="rId2843" Type="http://schemas.openxmlformats.org/officeDocument/2006/relationships/hyperlink" Target="https://pld.live/RapDetail.aspx?STONELIST=926171520&amp;ISCONFIRM=0" TargetMode="External"/><Relationship Id="rId5042" Type="http://schemas.openxmlformats.org/officeDocument/2006/relationships/hyperlink" Target="https://pld.live/RapDetail.aspx?STONELIST=925600257&amp;ISCONFIRM=0" TargetMode="External"/><Relationship Id="rId5999" Type="http://schemas.openxmlformats.org/officeDocument/2006/relationships/hyperlink" Target="https://pld.live/RapDetail.aspx?STONELIST=927153021&amp;ISCONFIRM=0" TargetMode="External"/><Relationship Id="rId6300" Type="http://schemas.openxmlformats.org/officeDocument/2006/relationships/hyperlink" Target="https://pld.live/RapDetail.aspx?STONELIST=821121957&amp;ISCONFIRM=0" TargetMode="External"/><Relationship Id="rId8198" Type="http://schemas.openxmlformats.org/officeDocument/2006/relationships/hyperlink" Target="https://pld.live/RapDetail.aspx?STONELIST=924890020&amp;ISCONFIRM=0" TargetMode="External"/><Relationship Id="rId84" Type="http://schemas.openxmlformats.org/officeDocument/2006/relationships/hyperlink" Target="https://pld.live/RapDetail.aspx?STONELIST=924300604&amp;ISCONFIRM=0" TargetMode="External"/><Relationship Id="rId608" Type="http://schemas.openxmlformats.org/officeDocument/2006/relationships/hyperlink" Target="https://pld.live/RapDetail.aspx?STONELIST=925971300&amp;ISCONFIRM=0" TargetMode="External"/><Relationship Id="rId815" Type="http://schemas.openxmlformats.org/officeDocument/2006/relationships/hyperlink" Target="https://pld.live/RapDetail.aspx?STONELIST=925971273&amp;ISCONFIRM=0" TargetMode="External"/><Relationship Id="rId1238" Type="http://schemas.openxmlformats.org/officeDocument/2006/relationships/hyperlink" Target="https://pld.live/RapDetail.aspx?STONELIST=941350909&amp;ISCONFIRM=0" TargetMode="External"/><Relationship Id="rId1445" Type="http://schemas.openxmlformats.org/officeDocument/2006/relationships/hyperlink" Target="https://pld.live/RapDetail.aspx?STONELIST=925790976&amp;ISCONFIRM=0" TargetMode="External"/><Relationship Id="rId1652" Type="http://schemas.openxmlformats.org/officeDocument/2006/relationships/hyperlink" Target="https://pld.live/RapDetail.aspx?STONELIST=926460819&amp;ISCONFIRM=0" TargetMode="External"/><Relationship Id="rId8058" Type="http://schemas.openxmlformats.org/officeDocument/2006/relationships/hyperlink" Target="https://pld.live/RapDetail.aspx?STONELIST=926100950&amp;ISCONFIRM=0" TargetMode="External"/><Relationship Id="rId1305" Type="http://schemas.openxmlformats.org/officeDocument/2006/relationships/hyperlink" Target="https://pld.live/RapDetail.aspx?STONELIST=926270888&amp;ISCONFIRM=0" TargetMode="External"/><Relationship Id="rId2703" Type="http://schemas.openxmlformats.org/officeDocument/2006/relationships/hyperlink" Target="https://pld.live/RapDetail.aspx?STONELIST=941330442&amp;ISCONFIRM=0" TargetMode="External"/><Relationship Id="rId2910" Type="http://schemas.openxmlformats.org/officeDocument/2006/relationships/hyperlink" Target="https://pld.live/RapDetail.aspx?STONELIST=923500340&amp;ISCONFIRM=0" TargetMode="External"/><Relationship Id="rId5859" Type="http://schemas.openxmlformats.org/officeDocument/2006/relationships/hyperlink" Target="https://pld.live/RapDetail.aspx?STONELIST=926101722&amp;ISCONFIRM=0" TargetMode="External"/><Relationship Id="rId7074" Type="http://schemas.openxmlformats.org/officeDocument/2006/relationships/hyperlink" Target="https://pld.live/RapDetail.aspx?STONELIST=941040785&amp;ISCONFIRM=0" TargetMode="External"/><Relationship Id="rId7281" Type="http://schemas.openxmlformats.org/officeDocument/2006/relationships/hyperlink" Target="https://pld.live/RapDetail.aspx?STONELIST=941100114&amp;ISCONFIRM=0" TargetMode="External"/><Relationship Id="rId8125" Type="http://schemas.openxmlformats.org/officeDocument/2006/relationships/hyperlink" Target="https://pld.live/RapDetail.aspx?STONELIST=926520111&amp;ISCONFIRM=0" TargetMode="External"/><Relationship Id="rId1512" Type="http://schemas.openxmlformats.org/officeDocument/2006/relationships/hyperlink" Target="https://pld.live/RapDetail.aspx?STONELIST=926211248&amp;ISCONFIRM=0" TargetMode="External"/><Relationship Id="rId4668" Type="http://schemas.openxmlformats.org/officeDocument/2006/relationships/hyperlink" Target="https://pld.live/RapDetail.aspx?STONELIST=926780097&amp;ISCONFIRM=0" TargetMode="External"/><Relationship Id="rId4875" Type="http://schemas.openxmlformats.org/officeDocument/2006/relationships/hyperlink" Target="https://pld.live/RapDetail.aspx?STONELIST=925951134&amp;ISCONFIRM=0" TargetMode="External"/><Relationship Id="rId5719" Type="http://schemas.openxmlformats.org/officeDocument/2006/relationships/hyperlink" Target="https://pld.live/RapDetail.aspx?STONELIST=924580405&amp;ISCONFIRM=0" TargetMode="External"/><Relationship Id="rId5926" Type="http://schemas.openxmlformats.org/officeDocument/2006/relationships/hyperlink" Target="https://pld.live/RapDetail.aspx?STONELIST=926020821&amp;ISCONFIRM=0" TargetMode="External"/><Relationship Id="rId6090" Type="http://schemas.openxmlformats.org/officeDocument/2006/relationships/hyperlink" Target="https://pld.live/RapDetail.aspx?STONELIST=926470436&amp;ISCONFIRM=0" TargetMode="External"/><Relationship Id="rId7141" Type="http://schemas.openxmlformats.org/officeDocument/2006/relationships/hyperlink" Target="https://pld.live/RapDetail.aspx?STONELIST=926420444&amp;ISCONFIRM=0" TargetMode="External"/><Relationship Id="rId11" Type="http://schemas.openxmlformats.org/officeDocument/2006/relationships/hyperlink" Target="https://pld.live/RapDetail.aspx?STONELIST=925400033&amp;ISCONFIRM=0" TargetMode="External"/><Relationship Id="rId398" Type="http://schemas.openxmlformats.org/officeDocument/2006/relationships/hyperlink" Target="https://pld.live/RapDetail.aspx?STONELIST=925310307&amp;ISCONFIRM=0" TargetMode="External"/><Relationship Id="rId2079" Type="http://schemas.openxmlformats.org/officeDocument/2006/relationships/hyperlink" Target="https://pld.live/RapDetail.aspx?STONELIST=941230150&amp;ISCONFIRM=0" TargetMode="External"/><Relationship Id="rId3477" Type="http://schemas.openxmlformats.org/officeDocument/2006/relationships/hyperlink" Target="https://pld.live/RapDetail.aspx?STONELIST=925080514&amp;ISCONFIRM=0" TargetMode="External"/><Relationship Id="rId3684" Type="http://schemas.openxmlformats.org/officeDocument/2006/relationships/hyperlink" Target="https://pld.live/RapDetail.aspx?STONELIST=925600046&amp;ISCONFIRM=0" TargetMode="External"/><Relationship Id="rId3891" Type="http://schemas.openxmlformats.org/officeDocument/2006/relationships/hyperlink" Target="https://pld.live/RapDetail.aspx?STONELIST=926041157&amp;ISCONFIRM=0" TargetMode="External"/><Relationship Id="rId4528" Type="http://schemas.openxmlformats.org/officeDocument/2006/relationships/hyperlink" Target="https://pld.live/RapDetail.aspx?STONELIST=927092632&amp;ISCONFIRM=0" TargetMode="External"/><Relationship Id="rId4735" Type="http://schemas.openxmlformats.org/officeDocument/2006/relationships/hyperlink" Target="https://pld.live/RapDetail.aspx?STONELIST=925820068&amp;ISCONFIRM=0" TargetMode="External"/><Relationship Id="rId4942" Type="http://schemas.openxmlformats.org/officeDocument/2006/relationships/hyperlink" Target="https://pld.live/RapDetail.aspx?STONELIST=926170674&amp;ISCONFIRM=0" TargetMode="External"/><Relationship Id="rId2286" Type="http://schemas.openxmlformats.org/officeDocument/2006/relationships/hyperlink" Target="https://pld.live/RapDetail.aspx?STONELIST=926240747&amp;ISCONFIRM=0" TargetMode="External"/><Relationship Id="rId2493" Type="http://schemas.openxmlformats.org/officeDocument/2006/relationships/hyperlink" Target="https://pld.live/RapDetail.aspx?STONELIST=941390206&amp;ISCONFIRM=0" TargetMode="External"/><Relationship Id="rId3337" Type="http://schemas.openxmlformats.org/officeDocument/2006/relationships/hyperlink" Target="https://pld.live/RapDetail.aspx?STONELIST=925542741&amp;ISCONFIRM=0" TargetMode="External"/><Relationship Id="rId3544" Type="http://schemas.openxmlformats.org/officeDocument/2006/relationships/hyperlink" Target="https://pld.live/RapDetail.aspx?STONELIST=923690422&amp;ISCONFIRM=0" TargetMode="External"/><Relationship Id="rId3751" Type="http://schemas.openxmlformats.org/officeDocument/2006/relationships/hyperlink" Target="https://pld.live/RapDetail.aspx?STONELIST=927080759&amp;ISCONFIRM=0" TargetMode="External"/><Relationship Id="rId4802" Type="http://schemas.openxmlformats.org/officeDocument/2006/relationships/hyperlink" Target="https://pld.live/RapDetail.aspx?STONELIST=926380197&amp;ISCONFIRM=0" TargetMode="External"/><Relationship Id="rId7001" Type="http://schemas.openxmlformats.org/officeDocument/2006/relationships/hyperlink" Target="https://pld.live/RapDetail.aspx?STONELIST=926200743&amp;ISCONFIRM=0" TargetMode="External"/><Relationship Id="rId7958" Type="http://schemas.openxmlformats.org/officeDocument/2006/relationships/hyperlink" Target="https://pld.live/RapDetail.aspx?STONELIST=831020717&amp;ISCONFIRM=0" TargetMode="External"/><Relationship Id="rId258" Type="http://schemas.openxmlformats.org/officeDocument/2006/relationships/hyperlink" Target="https://pld.live/RapDetail.aspx?STONELIST=831020699&amp;ISCONFIRM=0" TargetMode="External"/><Relationship Id="rId465" Type="http://schemas.openxmlformats.org/officeDocument/2006/relationships/hyperlink" Target="https://pld.live/RapDetail.aspx?STONELIST=925961209&amp;ISCONFIRM=0" TargetMode="External"/><Relationship Id="rId672" Type="http://schemas.openxmlformats.org/officeDocument/2006/relationships/hyperlink" Target="https://pld.live/RapDetail.aspx?STONELIST=926071489&amp;ISCONFIRM=0" TargetMode="External"/><Relationship Id="rId1095" Type="http://schemas.openxmlformats.org/officeDocument/2006/relationships/hyperlink" Target="https://pld.live/RapDetail.aspx?STONELIST=941350848&amp;ISCONFIRM=0" TargetMode="External"/><Relationship Id="rId2146" Type="http://schemas.openxmlformats.org/officeDocument/2006/relationships/hyperlink" Target="https://pld.live/RapDetail.aspx?STONELIST=926181049&amp;ISCONFIRM=0" TargetMode="External"/><Relationship Id="rId2353" Type="http://schemas.openxmlformats.org/officeDocument/2006/relationships/hyperlink" Target="https://pld.live/RapDetail.aspx?STONELIST=831010750&amp;ISCONFIRM=0" TargetMode="External"/><Relationship Id="rId2560" Type="http://schemas.openxmlformats.org/officeDocument/2006/relationships/hyperlink" Target="https://pld.live/RapDetail.aspx?STONELIST=941390542&amp;ISCONFIRM=0" TargetMode="External"/><Relationship Id="rId3404" Type="http://schemas.openxmlformats.org/officeDocument/2006/relationships/hyperlink" Target="https://pld.live/RapDetail.aspx?STONELIST=926600029&amp;ISCONFIRM=0" TargetMode="External"/><Relationship Id="rId3611" Type="http://schemas.openxmlformats.org/officeDocument/2006/relationships/hyperlink" Target="https://pld.live/RapDetail.aspx?STONELIST=925630446&amp;ISCONFIRM=0" TargetMode="External"/><Relationship Id="rId6767" Type="http://schemas.openxmlformats.org/officeDocument/2006/relationships/hyperlink" Target="https://pld.live/RapDetail.aspx?STONELIST=926010272&amp;ISCONFIRM=0" TargetMode="External"/><Relationship Id="rId6974" Type="http://schemas.openxmlformats.org/officeDocument/2006/relationships/hyperlink" Target="https://pld.live/RapDetail.aspx?STONELIST=821113858&amp;ISCONFIRM=0" TargetMode="External"/><Relationship Id="rId7818" Type="http://schemas.openxmlformats.org/officeDocument/2006/relationships/hyperlink" Target="https://pld.live/RapDetail.aspx?STONELIST=924150570&amp;ISCONFIRM=0" TargetMode="External"/><Relationship Id="rId118" Type="http://schemas.openxmlformats.org/officeDocument/2006/relationships/hyperlink" Target="https://pld.live/RapDetail.aspx?STONELIST=926540214&amp;ISCONFIRM=0" TargetMode="External"/><Relationship Id="rId325" Type="http://schemas.openxmlformats.org/officeDocument/2006/relationships/hyperlink" Target="https://pld.live/RapDetail.aspx?STONELIST=941390157&amp;ISCONFIRM=0" TargetMode="External"/><Relationship Id="rId532" Type="http://schemas.openxmlformats.org/officeDocument/2006/relationships/hyperlink" Target="https://pld.live/RapDetail.aspx?STONELIST=941190370&amp;ISCONFIRM=0" TargetMode="External"/><Relationship Id="rId1162" Type="http://schemas.openxmlformats.org/officeDocument/2006/relationships/hyperlink" Target="https://pld.live/RapDetail.aspx?STONELIST=925731776&amp;ISCONFIRM=0" TargetMode="External"/><Relationship Id="rId2006" Type="http://schemas.openxmlformats.org/officeDocument/2006/relationships/hyperlink" Target="https://pld.live/RapDetail.aspx?STONELIST=941270704&amp;ISCONFIRM=0" TargetMode="External"/><Relationship Id="rId2213" Type="http://schemas.openxmlformats.org/officeDocument/2006/relationships/hyperlink" Target="https://pld.live/RapDetail.aspx?STONELIST=821127950&amp;ISCONFIRM=0" TargetMode="External"/><Relationship Id="rId2420" Type="http://schemas.openxmlformats.org/officeDocument/2006/relationships/hyperlink" Target="https://pld.live/RapDetail.aspx?STONELIST=941080739&amp;ISCONFIRM=0" TargetMode="External"/><Relationship Id="rId5369" Type="http://schemas.openxmlformats.org/officeDocument/2006/relationships/hyperlink" Target="https://pld.live/RapDetail.aspx?STONELIST=927101005&amp;ISCONFIRM=0" TargetMode="External"/><Relationship Id="rId5576" Type="http://schemas.openxmlformats.org/officeDocument/2006/relationships/hyperlink" Target="https://pld.live/RapDetail.aspx?STONELIST=924480038&amp;ISCONFIRM=0" TargetMode="External"/><Relationship Id="rId5783" Type="http://schemas.openxmlformats.org/officeDocument/2006/relationships/hyperlink" Target="https://pld.live/RapDetail.aspx?STONELIST=941190384&amp;ISCONFIRM=0" TargetMode="External"/><Relationship Id="rId6627" Type="http://schemas.openxmlformats.org/officeDocument/2006/relationships/hyperlink" Target="https://pld.live/RapDetail.aspx?STONELIST=926960871&amp;ISCONFIRM=0" TargetMode="External"/><Relationship Id="rId1022" Type="http://schemas.openxmlformats.org/officeDocument/2006/relationships/hyperlink" Target="https://pld.live/RapDetail.aspx?STONELIST=926810886&amp;ISCONFIRM=0" TargetMode="External"/><Relationship Id="rId4178" Type="http://schemas.openxmlformats.org/officeDocument/2006/relationships/hyperlink" Target="https://pld.live/RapDetail.aspx?STONELIST=926110554&amp;ISCONFIRM=0" TargetMode="External"/><Relationship Id="rId4385" Type="http://schemas.openxmlformats.org/officeDocument/2006/relationships/hyperlink" Target="https://pld.live/RapDetail.aspx?STONELIST=927101194&amp;ISCONFIRM=0" TargetMode="External"/><Relationship Id="rId4592" Type="http://schemas.openxmlformats.org/officeDocument/2006/relationships/hyperlink" Target="https://pld.live/RapDetail.aspx?STONELIST=941270779&amp;ISCONFIRM=0" TargetMode="External"/><Relationship Id="rId5229" Type="http://schemas.openxmlformats.org/officeDocument/2006/relationships/hyperlink" Target="https://pld.live/RapDetail.aspx?STONELIST=925890310&amp;ISCONFIRM=0" TargetMode="External"/><Relationship Id="rId5436" Type="http://schemas.openxmlformats.org/officeDocument/2006/relationships/hyperlink" Target="https://pld.live/RapDetail.aspx?STONELIST=926520159&amp;ISCONFIRM=0" TargetMode="External"/><Relationship Id="rId5990" Type="http://schemas.openxmlformats.org/officeDocument/2006/relationships/hyperlink" Target="https://pld.live/RapDetail.aspx?STONELIST=926311330&amp;ISCONFIRM=0" TargetMode="External"/><Relationship Id="rId6834" Type="http://schemas.openxmlformats.org/officeDocument/2006/relationships/hyperlink" Target="https://pld.live/RapDetail.aspx?STONELIST=924020238&amp;ISCONFIRM=0" TargetMode="External"/><Relationship Id="rId1979" Type="http://schemas.openxmlformats.org/officeDocument/2006/relationships/hyperlink" Target="https://pld.live/RapDetail.aspx?STONELIST=941230302&amp;ISCONFIRM=0" TargetMode="External"/><Relationship Id="rId3194" Type="http://schemas.openxmlformats.org/officeDocument/2006/relationships/hyperlink" Target="https://pld.live/RapDetail.aspx?STONELIST=925040451&amp;ISCONFIRM=0" TargetMode="External"/><Relationship Id="rId4038" Type="http://schemas.openxmlformats.org/officeDocument/2006/relationships/hyperlink" Target="https://pld.live/RapDetail.aspx?STONELIST=925801646&amp;ISCONFIRM=0" TargetMode="External"/><Relationship Id="rId4245" Type="http://schemas.openxmlformats.org/officeDocument/2006/relationships/hyperlink" Target="https://pld.live/RapDetail.aspx?STONELIST=927092568&amp;ISCONFIRM=0" TargetMode="External"/><Relationship Id="rId5643" Type="http://schemas.openxmlformats.org/officeDocument/2006/relationships/hyperlink" Target="https://pld.live/RapDetail.aspx?STONELIST=926220688&amp;ISCONFIRM=0" TargetMode="External"/><Relationship Id="rId5850" Type="http://schemas.openxmlformats.org/officeDocument/2006/relationships/hyperlink" Target="https://pld.live/RapDetail.aspx?STONELIST=926020819&amp;ISCONFIRM=0" TargetMode="External"/><Relationship Id="rId6901" Type="http://schemas.openxmlformats.org/officeDocument/2006/relationships/hyperlink" Target="https://pld.live/RapDetail.aspx?STONELIST=831010336&amp;ISCONFIRM=0" TargetMode="External"/><Relationship Id="rId1839" Type="http://schemas.openxmlformats.org/officeDocument/2006/relationships/hyperlink" Target="https://pld.live/RapDetail.aspx?STONELIST=821127841&amp;ISCONFIRM=0" TargetMode="External"/><Relationship Id="rId3054" Type="http://schemas.openxmlformats.org/officeDocument/2006/relationships/hyperlink" Target="https://pld.live/RapDetail.aspx?STONELIST=926110676&amp;ISCONFIRM=0" TargetMode="External"/><Relationship Id="rId4452" Type="http://schemas.openxmlformats.org/officeDocument/2006/relationships/hyperlink" Target="https://pld.live/RapDetail.aspx?STONELIST=926210954&amp;ISCONFIRM=0" TargetMode="External"/><Relationship Id="rId5503" Type="http://schemas.openxmlformats.org/officeDocument/2006/relationships/hyperlink" Target="https://pld.live/RapDetail.aspx?STONELIST=821113514&amp;ISCONFIRM=0" TargetMode="External"/><Relationship Id="rId5710" Type="http://schemas.openxmlformats.org/officeDocument/2006/relationships/hyperlink" Target="https://pld.live/RapDetail.aspx?STONELIST=925090906&amp;ISCONFIRM=0" TargetMode="External"/><Relationship Id="rId182" Type="http://schemas.openxmlformats.org/officeDocument/2006/relationships/hyperlink" Target="https://pld.live/RapDetail.aspx?STONELIST=926930822&amp;ISCONFIRM=0" TargetMode="External"/><Relationship Id="rId1906" Type="http://schemas.openxmlformats.org/officeDocument/2006/relationships/hyperlink" Target="https://pld.live/RapDetail.aspx?STONELIST=926050198&amp;ISCONFIRM=0" TargetMode="External"/><Relationship Id="rId3261" Type="http://schemas.openxmlformats.org/officeDocument/2006/relationships/hyperlink" Target="https://pld.live/RapDetail.aspx?STONELIST=9414000603&amp;ISCONFIRM=0" TargetMode="External"/><Relationship Id="rId4105" Type="http://schemas.openxmlformats.org/officeDocument/2006/relationships/hyperlink" Target="https://pld.live/RapDetail.aspx?STONELIST=926040608&amp;ISCONFIRM=0" TargetMode="External"/><Relationship Id="rId4312" Type="http://schemas.openxmlformats.org/officeDocument/2006/relationships/hyperlink" Target="https://pld.live/RapDetail.aspx?STONELIST=941190496&amp;ISCONFIRM=0" TargetMode="External"/><Relationship Id="rId7468" Type="http://schemas.openxmlformats.org/officeDocument/2006/relationships/hyperlink" Target="https://pld.live/RapDetail.aspx?STONELIST=925950395&amp;ISCONFIRM=0" TargetMode="External"/><Relationship Id="rId7675" Type="http://schemas.openxmlformats.org/officeDocument/2006/relationships/hyperlink" Target="https://pld.live/RapDetail.aspx?STONELIST=941261095&amp;ISCONFIRM=0" TargetMode="External"/><Relationship Id="rId7882" Type="http://schemas.openxmlformats.org/officeDocument/2006/relationships/hyperlink" Target="https://pld.live/RapDetail.aspx?STONELIST=927152456&amp;ISCONFIRM=0" TargetMode="External"/><Relationship Id="rId2070" Type="http://schemas.openxmlformats.org/officeDocument/2006/relationships/hyperlink" Target="https://pld.live/RapDetail.aspx?STONELIST=924220318&amp;ISCONFIRM=0" TargetMode="External"/><Relationship Id="rId3121" Type="http://schemas.openxmlformats.org/officeDocument/2006/relationships/hyperlink" Target="https://pld.live/RapDetail.aspx?STONELIST=925220258&amp;ISCONFIRM=0" TargetMode="External"/><Relationship Id="rId6277" Type="http://schemas.openxmlformats.org/officeDocument/2006/relationships/hyperlink" Target="https://pld.live/RapDetail.aspx?STONELIST=925490001&amp;ISCONFIRM=0" TargetMode="External"/><Relationship Id="rId6484" Type="http://schemas.openxmlformats.org/officeDocument/2006/relationships/hyperlink" Target="https://pld.live/RapDetail.aspx?STONELIST=821128386&amp;ISCONFIRM=0" TargetMode="External"/><Relationship Id="rId6691" Type="http://schemas.openxmlformats.org/officeDocument/2006/relationships/hyperlink" Target="https://pld.live/RapDetail.aspx?STONELIST=941071319&amp;ISCONFIRM=0" TargetMode="External"/><Relationship Id="rId7328" Type="http://schemas.openxmlformats.org/officeDocument/2006/relationships/hyperlink" Target="https://pld.live/RapDetail.aspx?STONELIST=927132648&amp;ISCONFIRM=0" TargetMode="External"/><Relationship Id="rId7535" Type="http://schemas.openxmlformats.org/officeDocument/2006/relationships/hyperlink" Target="https://pld.live/RapDetail.aspx?STONELIST=925771227&amp;ISCONFIRM=0" TargetMode="External"/><Relationship Id="rId7742" Type="http://schemas.openxmlformats.org/officeDocument/2006/relationships/hyperlink" Target="https://pld.live/RapDetail.aspx?STONELIST=925820223&amp;ISCONFIRM=0" TargetMode="External"/><Relationship Id="rId999" Type="http://schemas.openxmlformats.org/officeDocument/2006/relationships/hyperlink" Target="https://pld.live/RapDetail.aspx?STONELIST=927101109&amp;ISCONFIRM=0" TargetMode="External"/><Relationship Id="rId2887" Type="http://schemas.openxmlformats.org/officeDocument/2006/relationships/hyperlink" Target="https://pld.live/RapDetail.aspx?STONELIST=925360406&amp;ISCONFIRM=0" TargetMode="External"/><Relationship Id="rId5086" Type="http://schemas.openxmlformats.org/officeDocument/2006/relationships/hyperlink" Target="https://pld.live/RapDetail.aspx?STONELIST=925981006&amp;ISCONFIRM=0" TargetMode="External"/><Relationship Id="rId5293" Type="http://schemas.openxmlformats.org/officeDocument/2006/relationships/hyperlink" Target="https://pld.live/RapDetail.aspx?STONELIST=821113497&amp;ISCONFIRM=0" TargetMode="External"/><Relationship Id="rId6137" Type="http://schemas.openxmlformats.org/officeDocument/2006/relationships/hyperlink" Target="https://pld.live/RapDetail.aspx?STONELIST=924380176&amp;ISCONFIRM=0" TargetMode="External"/><Relationship Id="rId6344" Type="http://schemas.openxmlformats.org/officeDocument/2006/relationships/hyperlink" Target="https://pld.live/RapDetail.aspx?STONELIST=927040771&amp;ISCONFIRM=0" TargetMode="External"/><Relationship Id="rId6551" Type="http://schemas.openxmlformats.org/officeDocument/2006/relationships/hyperlink" Target="https://pld.live/RapDetail.aspx?STONELIST=926030045&amp;ISCONFIRM=0" TargetMode="External"/><Relationship Id="rId7602" Type="http://schemas.openxmlformats.org/officeDocument/2006/relationships/hyperlink" Target="https://pld.live/RapDetail.aspx?STONELIST=925732064&amp;ISCONFIRM=0" TargetMode="External"/><Relationship Id="rId859" Type="http://schemas.openxmlformats.org/officeDocument/2006/relationships/hyperlink" Target="https://pld.live/RapDetail.aspx?STONELIST=925830451&amp;ISCONFIRM=0" TargetMode="External"/><Relationship Id="rId1489" Type="http://schemas.openxmlformats.org/officeDocument/2006/relationships/hyperlink" Target="https://pld.live/RapDetail.aspx?STONELIST=926221324&amp;ISCONFIRM=0" TargetMode="External"/><Relationship Id="rId1696" Type="http://schemas.openxmlformats.org/officeDocument/2006/relationships/hyperlink" Target="https://pld.live/RapDetail.aspx?STONELIST=925290407&amp;ISCONFIRM=0" TargetMode="External"/><Relationship Id="rId3938" Type="http://schemas.openxmlformats.org/officeDocument/2006/relationships/hyperlink" Target="https://pld.live/RapDetail.aspx?STONELIST=925501492&amp;ISCONFIRM=0" TargetMode="External"/><Relationship Id="rId5153" Type="http://schemas.openxmlformats.org/officeDocument/2006/relationships/hyperlink" Target="https://pld.live/RapDetail.aspx?STONELIST=926910594&amp;ISCONFIRM=0" TargetMode="External"/><Relationship Id="rId5360" Type="http://schemas.openxmlformats.org/officeDocument/2006/relationships/hyperlink" Target="https://pld.live/RapDetail.aspx?STONELIST=926840758&amp;ISCONFIRM=0" TargetMode="External"/><Relationship Id="rId6204" Type="http://schemas.openxmlformats.org/officeDocument/2006/relationships/hyperlink" Target="https://pld.live/RapDetail.aspx?STONELIST=831020524&amp;ISCONFIRM=0" TargetMode="External"/><Relationship Id="rId6411" Type="http://schemas.openxmlformats.org/officeDocument/2006/relationships/hyperlink" Target="https://pld.live/RapDetail.aspx?STONELIST=941080821&amp;ISCONFIRM=0" TargetMode="External"/><Relationship Id="rId1349" Type="http://schemas.openxmlformats.org/officeDocument/2006/relationships/hyperlink" Target="https://pld.live/RapDetail.aspx?STONELIST=925790842&amp;ISCONFIRM=0" TargetMode="External"/><Relationship Id="rId2747" Type="http://schemas.openxmlformats.org/officeDocument/2006/relationships/hyperlink" Target="https://pld.live/RapDetail.aspx?STONELIST=926160069&amp;ISCONFIRM=0" TargetMode="External"/><Relationship Id="rId2954" Type="http://schemas.openxmlformats.org/officeDocument/2006/relationships/hyperlink" Target="https://pld.live/RapDetail.aspx?STONELIST=925940652&amp;ISCONFIRM=0" TargetMode="External"/><Relationship Id="rId5013" Type="http://schemas.openxmlformats.org/officeDocument/2006/relationships/hyperlink" Target="https://pld.live/RapDetail.aspx?STONELIST=925551956&amp;ISCONFIRM=0" TargetMode="External"/><Relationship Id="rId5220" Type="http://schemas.openxmlformats.org/officeDocument/2006/relationships/hyperlink" Target="https://pld.live/RapDetail.aspx?STONELIST=926701134&amp;ISCONFIRM=0" TargetMode="External"/><Relationship Id="rId8169" Type="http://schemas.openxmlformats.org/officeDocument/2006/relationships/hyperlink" Target="https://pld.live/RapDetail.aspx?STONELIST=831020718&amp;ISCONFIRM=0" TargetMode="External"/><Relationship Id="rId719" Type="http://schemas.openxmlformats.org/officeDocument/2006/relationships/hyperlink" Target="https://pld.live/RapDetail.aspx?STONELIST=821127567&amp;ISCONFIRM=0" TargetMode="External"/><Relationship Id="rId926" Type="http://schemas.openxmlformats.org/officeDocument/2006/relationships/hyperlink" Target="https://pld.live/RapDetail.aspx?STONELIST=925430085&amp;ISCONFIRM=0" TargetMode="External"/><Relationship Id="rId1556" Type="http://schemas.openxmlformats.org/officeDocument/2006/relationships/hyperlink" Target="https://pld.live/RapDetail.aspx?STONELIST=926221433&amp;ISCONFIRM=0" TargetMode="External"/><Relationship Id="rId1763" Type="http://schemas.openxmlformats.org/officeDocument/2006/relationships/hyperlink" Target="https://pld.live/RapDetail.aspx?STONELIST=941190058&amp;ISCONFIRM=0" TargetMode="External"/><Relationship Id="rId1970" Type="http://schemas.openxmlformats.org/officeDocument/2006/relationships/hyperlink" Target="https://pld.live/RapDetail.aspx?STONELIST=941270318&amp;ISCONFIRM=0" TargetMode="External"/><Relationship Id="rId2607" Type="http://schemas.openxmlformats.org/officeDocument/2006/relationships/hyperlink" Target="https://pld.live/RapDetail.aspx?STONELIST=926261510&amp;ISCONFIRM=0" TargetMode="External"/><Relationship Id="rId2814" Type="http://schemas.openxmlformats.org/officeDocument/2006/relationships/hyperlink" Target="https://pld.live/RapDetail.aspx?STONELIST=925310396&amp;ISCONFIRM=0" TargetMode="External"/><Relationship Id="rId7185" Type="http://schemas.openxmlformats.org/officeDocument/2006/relationships/hyperlink" Target="https://pld.live/RapDetail.aspx?STONELIST=927110105&amp;ISCONFIRM=0" TargetMode="External"/><Relationship Id="rId8029" Type="http://schemas.openxmlformats.org/officeDocument/2006/relationships/hyperlink" Target="https://pld.live/RapDetail.aspx?STONELIST=925750555&amp;ISCONFIRM=0" TargetMode="External"/><Relationship Id="rId55" Type="http://schemas.openxmlformats.org/officeDocument/2006/relationships/hyperlink" Target="https://pld.live/RapDetail.aspx?STONELIST=926010169&amp;ISCONFIRM=0" TargetMode="External"/><Relationship Id="rId1209" Type="http://schemas.openxmlformats.org/officeDocument/2006/relationships/hyperlink" Target="https://pld.live/RapDetail.aspx?STONELIST=941170229&amp;ISCONFIRM=0" TargetMode="External"/><Relationship Id="rId1416" Type="http://schemas.openxmlformats.org/officeDocument/2006/relationships/hyperlink" Target="https://pld.live/RapDetail.aspx?STONELIST=926221226&amp;ISCONFIRM=0" TargetMode="External"/><Relationship Id="rId1623" Type="http://schemas.openxmlformats.org/officeDocument/2006/relationships/hyperlink" Target="https://pld.live/RapDetail.aspx?STONELIST=926280795&amp;ISCONFIRM=0" TargetMode="External"/><Relationship Id="rId1830" Type="http://schemas.openxmlformats.org/officeDocument/2006/relationships/hyperlink" Target="https://pld.live/RapDetail.aspx?STONELIST=925870605&amp;ISCONFIRM=0" TargetMode="External"/><Relationship Id="rId4779" Type="http://schemas.openxmlformats.org/officeDocument/2006/relationships/hyperlink" Target="https://pld.live/RapDetail.aspx?STONELIST=821115765&amp;ISCONFIRM=0" TargetMode="External"/><Relationship Id="rId4986" Type="http://schemas.openxmlformats.org/officeDocument/2006/relationships/hyperlink" Target="https://pld.live/RapDetail.aspx?STONELIST=926200717&amp;ISCONFIRM=0" TargetMode="External"/><Relationship Id="rId7392" Type="http://schemas.openxmlformats.org/officeDocument/2006/relationships/hyperlink" Target="https://pld.live/RapDetail.aspx?STONELIST=926850145&amp;ISCONFIRM=0" TargetMode="External"/><Relationship Id="rId8236" Type="http://schemas.openxmlformats.org/officeDocument/2006/relationships/hyperlink" Target="https://pld.live/RapDetail.aspx?STONELIST=925801379&amp;ISCONFIRM=0" TargetMode="External"/><Relationship Id="rId3588" Type="http://schemas.openxmlformats.org/officeDocument/2006/relationships/hyperlink" Target="https://pld.live/RapDetail.aspx?STONELIST=927020714&amp;ISCONFIRM=0" TargetMode="External"/><Relationship Id="rId3795" Type="http://schemas.openxmlformats.org/officeDocument/2006/relationships/hyperlink" Target="https://pld.live/RapDetail.aspx?STONELIST=927040589&amp;ISCONFIRM=0" TargetMode="External"/><Relationship Id="rId4639" Type="http://schemas.openxmlformats.org/officeDocument/2006/relationships/hyperlink" Target="https://pld.live/RapDetail.aspx?STONELIST=927132284&amp;ISCONFIRM=0" TargetMode="External"/><Relationship Id="rId4846" Type="http://schemas.openxmlformats.org/officeDocument/2006/relationships/hyperlink" Target="https://pld.live/RapDetail.aspx?STONELIST=926020683&amp;ISCONFIRM=0" TargetMode="External"/><Relationship Id="rId7045" Type="http://schemas.openxmlformats.org/officeDocument/2006/relationships/hyperlink" Target="https://pld.live/RapDetail.aspx?STONELIST=926921411&amp;ISCONFIRM=0" TargetMode="External"/><Relationship Id="rId7252" Type="http://schemas.openxmlformats.org/officeDocument/2006/relationships/hyperlink" Target="https://pld.live/RapDetail.aspx?STONELIST=927140462&amp;ISCONFIRM=0" TargetMode="External"/><Relationship Id="rId2397" Type="http://schemas.openxmlformats.org/officeDocument/2006/relationships/hyperlink" Target="https://pld.live/RapDetail.aspx?STONELIST=926391097&amp;ISCONFIRM=0" TargetMode="External"/><Relationship Id="rId3448" Type="http://schemas.openxmlformats.org/officeDocument/2006/relationships/hyperlink" Target="https://pld.live/RapDetail.aspx?STONELIST=831010815&amp;ISCONFIRM=0" TargetMode="External"/><Relationship Id="rId3655" Type="http://schemas.openxmlformats.org/officeDocument/2006/relationships/hyperlink" Target="https://pld.live/RapDetail.aspx?STONELIST=926030101&amp;ISCONFIRM=0" TargetMode="External"/><Relationship Id="rId3862" Type="http://schemas.openxmlformats.org/officeDocument/2006/relationships/hyperlink" Target="https://pld.live/RapDetail.aspx?STONELIST=925540635&amp;ISCONFIRM=0" TargetMode="External"/><Relationship Id="rId4706" Type="http://schemas.openxmlformats.org/officeDocument/2006/relationships/hyperlink" Target="https://pld.live/RapDetail.aspx?STONELIST=925600393&amp;ISCONFIRM=0" TargetMode="External"/><Relationship Id="rId6061" Type="http://schemas.openxmlformats.org/officeDocument/2006/relationships/hyperlink" Target="https://pld.live/RapDetail.aspx?STONELIST=927132654&amp;ISCONFIRM=0" TargetMode="External"/><Relationship Id="rId7112" Type="http://schemas.openxmlformats.org/officeDocument/2006/relationships/hyperlink" Target="https://pld.live/RapDetail.aspx?STONELIST=941150212&amp;ISCONFIRM=0" TargetMode="External"/><Relationship Id="rId369" Type="http://schemas.openxmlformats.org/officeDocument/2006/relationships/hyperlink" Target="https://pld.live/RapDetail.aspx?STONELIST=941420917&amp;ISCONFIRM=0" TargetMode="External"/><Relationship Id="rId576" Type="http://schemas.openxmlformats.org/officeDocument/2006/relationships/hyperlink" Target="https://pld.live/RapDetail.aspx?STONELIST=941400396&amp;ISCONFIRM=0" TargetMode="External"/><Relationship Id="rId783" Type="http://schemas.openxmlformats.org/officeDocument/2006/relationships/hyperlink" Target="https://pld.live/RapDetail.aspx?STONELIST=925862083&amp;ISCONFIRM=0" TargetMode="External"/><Relationship Id="rId990" Type="http://schemas.openxmlformats.org/officeDocument/2006/relationships/hyperlink" Target="https://pld.live/RapDetail.aspx?STONELIST=927092126&amp;ISCONFIRM=0" TargetMode="External"/><Relationship Id="rId2257" Type="http://schemas.openxmlformats.org/officeDocument/2006/relationships/hyperlink" Target="https://pld.live/RapDetail.aspx?STONELIST=941390337&amp;ISCONFIRM=0" TargetMode="External"/><Relationship Id="rId2464" Type="http://schemas.openxmlformats.org/officeDocument/2006/relationships/hyperlink" Target="https://pld.live/RapDetail.aspx?STONELIST=926171574&amp;ISCONFIRM=0" TargetMode="External"/><Relationship Id="rId2671" Type="http://schemas.openxmlformats.org/officeDocument/2006/relationships/hyperlink" Target="https://pld.live/RapDetail.aspx?STONELIST=926191137&amp;ISCONFIRM=0" TargetMode="External"/><Relationship Id="rId3308" Type="http://schemas.openxmlformats.org/officeDocument/2006/relationships/hyperlink" Target="https://pld.live/RapDetail.aspx?STONELIST=926030062&amp;ISCONFIRM=0" TargetMode="External"/><Relationship Id="rId3515" Type="http://schemas.openxmlformats.org/officeDocument/2006/relationships/hyperlink" Target="https://pld.live/RapDetail.aspx?STONELIST=926210945&amp;ISCONFIRM=0" TargetMode="External"/><Relationship Id="rId4913" Type="http://schemas.openxmlformats.org/officeDocument/2006/relationships/hyperlink" Target="https://pld.live/RapDetail.aspx?STONELIST=927040696&amp;ISCONFIRM=0" TargetMode="External"/><Relationship Id="rId229" Type="http://schemas.openxmlformats.org/officeDocument/2006/relationships/hyperlink" Target="https://pld.live/RapDetail.aspx?STONELIST=831020712&amp;ISCONFIRM=0" TargetMode="External"/><Relationship Id="rId436" Type="http://schemas.openxmlformats.org/officeDocument/2006/relationships/hyperlink" Target="https://pld.live/RapDetail.aspx?STONELIST=831010618&amp;ISCONFIRM=0" TargetMode="External"/><Relationship Id="rId643" Type="http://schemas.openxmlformats.org/officeDocument/2006/relationships/hyperlink" Target="https://pld.live/RapDetail.aspx?STONELIST=831010557&amp;ISCONFIRM=0" TargetMode="External"/><Relationship Id="rId1066" Type="http://schemas.openxmlformats.org/officeDocument/2006/relationships/hyperlink" Target="https://pld.live/RapDetail.aspx?STONELIST=927150776&amp;ISCONFIRM=0" TargetMode="External"/><Relationship Id="rId1273" Type="http://schemas.openxmlformats.org/officeDocument/2006/relationships/hyperlink" Target="https://pld.live/RapDetail.aspx?STONELIST=926250559&amp;ISCONFIRM=0" TargetMode="External"/><Relationship Id="rId1480" Type="http://schemas.openxmlformats.org/officeDocument/2006/relationships/hyperlink" Target="https://pld.live/RapDetail.aspx?STONELIST=926221345&amp;ISCONFIRM=0" TargetMode="External"/><Relationship Id="rId2117" Type="http://schemas.openxmlformats.org/officeDocument/2006/relationships/hyperlink" Target="https://pld.live/RapDetail.aspx?STONELIST=821127951&amp;ISCONFIRM=0" TargetMode="External"/><Relationship Id="rId2324" Type="http://schemas.openxmlformats.org/officeDocument/2006/relationships/hyperlink" Target="https://pld.live/RapDetail.aspx?STONELIST=926261511&amp;ISCONFIRM=0" TargetMode="External"/><Relationship Id="rId3722" Type="http://schemas.openxmlformats.org/officeDocument/2006/relationships/hyperlink" Target="https://pld.live/RapDetail.aspx?STONELIST=925670134&amp;ISCONFIRM=0" TargetMode="External"/><Relationship Id="rId6878" Type="http://schemas.openxmlformats.org/officeDocument/2006/relationships/hyperlink" Target="https://pld.live/RapDetail.aspx?STONELIST=821113613&amp;ISCONFIRM=0" TargetMode="External"/><Relationship Id="rId7929" Type="http://schemas.openxmlformats.org/officeDocument/2006/relationships/hyperlink" Target="https://pld.live/RapDetail.aspx?STONELIST=926840614&amp;ISCONFIRM=0" TargetMode="External"/><Relationship Id="rId8093" Type="http://schemas.openxmlformats.org/officeDocument/2006/relationships/hyperlink" Target="https://pld.live/RapDetail.aspx?STONELIST=925621945&amp;ISCONFIRM=0" TargetMode="External"/><Relationship Id="rId850" Type="http://schemas.openxmlformats.org/officeDocument/2006/relationships/hyperlink" Target="https://pld.live/RapDetail.aspx?STONELIST=821114986&amp;ISCONFIRM=0" TargetMode="External"/><Relationship Id="rId1133" Type="http://schemas.openxmlformats.org/officeDocument/2006/relationships/hyperlink" Target="https://pld.live/RapDetail.aspx?STONELIST=941110107&amp;ISCONFIRM=0" TargetMode="External"/><Relationship Id="rId2531" Type="http://schemas.openxmlformats.org/officeDocument/2006/relationships/hyperlink" Target="https://pld.live/RapDetail.aspx?STONELIST=926321030&amp;ISCONFIRM=0" TargetMode="External"/><Relationship Id="rId4289" Type="http://schemas.openxmlformats.org/officeDocument/2006/relationships/hyperlink" Target="https://pld.live/RapDetail.aspx?STONELIST=926110133&amp;ISCONFIRM=0" TargetMode="External"/><Relationship Id="rId5687" Type="http://schemas.openxmlformats.org/officeDocument/2006/relationships/hyperlink" Target="https://pld.live/RapDetail.aspx?STONELIST=924920430&amp;ISCONFIRM=0" TargetMode="External"/><Relationship Id="rId5894" Type="http://schemas.openxmlformats.org/officeDocument/2006/relationships/hyperlink" Target="https://pld.live/RapDetail.aspx?STONELIST=925801765&amp;ISCONFIRM=0" TargetMode="External"/><Relationship Id="rId6738" Type="http://schemas.openxmlformats.org/officeDocument/2006/relationships/hyperlink" Target="https://pld.live/RapDetail.aspx?STONELIST=927092554&amp;ISCONFIRM=0" TargetMode="External"/><Relationship Id="rId6945" Type="http://schemas.openxmlformats.org/officeDocument/2006/relationships/hyperlink" Target="https://pld.live/RapDetail.aspx?STONELIST=926101691&amp;ISCONFIRM=0" TargetMode="External"/><Relationship Id="rId8160" Type="http://schemas.openxmlformats.org/officeDocument/2006/relationships/hyperlink" Target="https://pld.live/RapDetail.aspx?STONELIST=924760095&amp;ISCONFIRM=0" TargetMode="External"/><Relationship Id="rId503" Type="http://schemas.openxmlformats.org/officeDocument/2006/relationships/hyperlink" Target="https://pld.live/RapDetail.aspx?STONELIST=925770493&amp;ISCONFIRM=0" TargetMode="External"/><Relationship Id="rId710" Type="http://schemas.openxmlformats.org/officeDocument/2006/relationships/hyperlink" Target="https://pld.live/RapDetail.aspx?STONELIST=821127644&amp;ISCONFIRM=0" TargetMode="External"/><Relationship Id="rId1340" Type="http://schemas.openxmlformats.org/officeDocument/2006/relationships/hyperlink" Target="https://pld.live/RapDetail.aspx?STONELIST=925750525&amp;ISCONFIRM=0" TargetMode="External"/><Relationship Id="rId3098" Type="http://schemas.openxmlformats.org/officeDocument/2006/relationships/hyperlink" Target="https://pld.live/RapDetail.aspx?STONELIST=926220585&amp;ISCONFIRM=0" TargetMode="External"/><Relationship Id="rId4496" Type="http://schemas.openxmlformats.org/officeDocument/2006/relationships/hyperlink" Target="https://pld.live/RapDetail.aspx?STONELIST=941140827&amp;ISCONFIRM=0" TargetMode="External"/><Relationship Id="rId5547" Type="http://schemas.openxmlformats.org/officeDocument/2006/relationships/hyperlink" Target="https://pld.live/RapDetail.aspx?STONELIST=926250443&amp;ISCONFIRM=0" TargetMode="External"/><Relationship Id="rId5754" Type="http://schemas.openxmlformats.org/officeDocument/2006/relationships/hyperlink" Target="https://pld.live/RapDetail.aspx?STONELIST=927100162&amp;ISCONFIRM=0" TargetMode="External"/><Relationship Id="rId5961" Type="http://schemas.openxmlformats.org/officeDocument/2006/relationships/hyperlink" Target="https://pld.live/RapDetail.aspx?STONELIST=926841391&amp;ISCONFIRM=0" TargetMode="External"/><Relationship Id="rId6805" Type="http://schemas.openxmlformats.org/officeDocument/2006/relationships/hyperlink" Target="https://pld.live/RapDetail.aspx?STONELIST=925930233&amp;ISCONFIRM=0" TargetMode="External"/><Relationship Id="rId1200" Type="http://schemas.openxmlformats.org/officeDocument/2006/relationships/hyperlink" Target="https://pld.live/RapDetail.aspx?STONELIST=941320241&amp;ISCONFIRM=0" TargetMode="External"/><Relationship Id="rId4149" Type="http://schemas.openxmlformats.org/officeDocument/2006/relationships/hyperlink" Target="https://pld.live/RapDetail.aspx?STONELIST=926170655&amp;ISCONFIRM=0" TargetMode="External"/><Relationship Id="rId4356" Type="http://schemas.openxmlformats.org/officeDocument/2006/relationships/hyperlink" Target="https://pld.live/RapDetail.aspx?STONELIST=927030388&amp;ISCONFIRM=0" TargetMode="External"/><Relationship Id="rId4563" Type="http://schemas.openxmlformats.org/officeDocument/2006/relationships/hyperlink" Target="https://pld.live/RapDetail.aspx?STONELIST=927092423&amp;ISCONFIRM=0" TargetMode="External"/><Relationship Id="rId4770" Type="http://schemas.openxmlformats.org/officeDocument/2006/relationships/hyperlink" Target="https://pld.live/RapDetail.aspx?STONELIST=924260883&amp;ISCONFIRM=0" TargetMode="External"/><Relationship Id="rId5407" Type="http://schemas.openxmlformats.org/officeDocument/2006/relationships/hyperlink" Target="https://pld.live/RapDetail.aspx?STONELIST=831020362&amp;ISCONFIRM=0" TargetMode="External"/><Relationship Id="rId5614" Type="http://schemas.openxmlformats.org/officeDocument/2006/relationships/hyperlink" Target="https://pld.live/RapDetail.aspx?STONELIST=924780413&amp;ISCONFIRM=0" TargetMode="External"/><Relationship Id="rId5821" Type="http://schemas.openxmlformats.org/officeDocument/2006/relationships/hyperlink" Target="https://pld.live/RapDetail.aspx?STONELIST=926850160&amp;ISCONFIRM=0" TargetMode="External"/><Relationship Id="rId8020" Type="http://schemas.openxmlformats.org/officeDocument/2006/relationships/hyperlink" Target="https://pld.live/RapDetail.aspx?STONELIST=926460552&amp;ISCONFIRM=0" TargetMode="External"/><Relationship Id="rId3165" Type="http://schemas.openxmlformats.org/officeDocument/2006/relationships/hyperlink" Target="https://pld.live/RapDetail.aspx?STONELIST=925040428&amp;ISCONFIRM=0" TargetMode="External"/><Relationship Id="rId3372" Type="http://schemas.openxmlformats.org/officeDocument/2006/relationships/hyperlink" Target="https://pld.live/RapDetail.aspx?STONELIST=923520438&amp;ISCONFIRM=0" TargetMode="External"/><Relationship Id="rId4009" Type="http://schemas.openxmlformats.org/officeDocument/2006/relationships/hyperlink" Target="https://pld.live/RapDetail.aspx?STONELIST=926101041&amp;ISCONFIRM=0" TargetMode="External"/><Relationship Id="rId4216" Type="http://schemas.openxmlformats.org/officeDocument/2006/relationships/hyperlink" Target="https://pld.live/RapDetail.aspx?STONELIST=925551019&amp;ISCONFIRM=0" TargetMode="External"/><Relationship Id="rId4423" Type="http://schemas.openxmlformats.org/officeDocument/2006/relationships/hyperlink" Target="https://pld.live/RapDetail.aspx?STONELIST=821112281&amp;ISCONFIRM=0" TargetMode="External"/><Relationship Id="rId4630" Type="http://schemas.openxmlformats.org/officeDocument/2006/relationships/hyperlink" Target="https://pld.live/RapDetail.aspx?STONELIST=927132344&amp;ISCONFIRM=0" TargetMode="External"/><Relationship Id="rId7579" Type="http://schemas.openxmlformats.org/officeDocument/2006/relationships/hyperlink" Target="https://pld.live/RapDetail.aspx?STONELIST=925801491&amp;ISCONFIRM=0" TargetMode="External"/><Relationship Id="rId7786" Type="http://schemas.openxmlformats.org/officeDocument/2006/relationships/hyperlink" Target="https://pld.live/RapDetail.aspx?STONELIST=926380204&amp;ISCONFIRM=0" TargetMode="External"/><Relationship Id="rId7993" Type="http://schemas.openxmlformats.org/officeDocument/2006/relationships/hyperlink" Target="https://pld.live/RapDetail.aspx?STONELIST=926921419&amp;ISCONFIRM=0" TargetMode="External"/><Relationship Id="rId293" Type="http://schemas.openxmlformats.org/officeDocument/2006/relationships/hyperlink" Target="https://pld.live/RapDetail.aspx?STONELIST=831020710&amp;ISCONFIRM=0" TargetMode="External"/><Relationship Id="rId2181" Type="http://schemas.openxmlformats.org/officeDocument/2006/relationships/hyperlink" Target="https://pld.live/RapDetail.aspx?STONELIST=926171554&amp;ISCONFIRM=0" TargetMode="External"/><Relationship Id="rId3025" Type="http://schemas.openxmlformats.org/officeDocument/2006/relationships/hyperlink" Target="https://pld.live/RapDetail.aspx?STONELIST=821128371&amp;ISCONFIRM=0" TargetMode="External"/><Relationship Id="rId3232" Type="http://schemas.openxmlformats.org/officeDocument/2006/relationships/hyperlink" Target="https://pld.live/RapDetail.aspx?STONELIST=925740800&amp;ISCONFIRM=0" TargetMode="External"/><Relationship Id="rId6388" Type="http://schemas.openxmlformats.org/officeDocument/2006/relationships/hyperlink" Target="https://pld.live/RapDetail.aspx?STONELIST=926701106&amp;ISCONFIRM=0" TargetMode="External"/><Relationship Id="rId6595" Type="http://schemas.openxmlformats.org/officeDocument/2006/relationships/hyperlink" Target="https://pld.live/RapDetail.aspx?STONELIST=927040804&amp;ISCONFIRM=0" TargetMode="External"/><Relationship Id="rId7439" Type="http://schemas.openxmlformats.org/officeDocument/2006/relationships/hyperlink" Target="https://pld.live/RapDetail.aspx?STONELIST=925951023&amp;ISCONFIRM=0" TargetMode="External"/><Relationship Id="rId7646" Type="http://schemas.openxmlformats.org/officeDocument/2006/relationships/hyperlink" Target="https://pld.live/RapDetail.aspx?STONELIST=924440153&amp;ISCONFIRM=0" TargetMode="External"/><Relationship Id="rId153" Type="http://schemas.openxmlformats.org/officeDocument/2006/relationships/hyperlink" Target="https://pld.live/RapDetail.aspx?STONELIST=941100465&amp;ISCONFIRM=0" TargetMode="External"/><Relationship Id="rId360" Type="http://schemas.openxmlformats.org/officeDocument/2006/relationships/hyperlink" Target="https://pld.live/RapDetail.aspx?STONELIST=926960730&amp;ISCONFIRM=0" TargetMode="External"/><Relationship Id="rId2041" Type="http://schemas.openxmlformats.org/officeDocument/2006/relationships/hyperlink" Target="https://pld.live/RapDetail.aspx?STONELIST=925780346&amp;ISCONFIRM=0" TargetMode="External"/><Relationship Id="rId5197" Type="http://schemas.openxmlformats.org/officeDocument/2006/relationships/hyperlink" Target="https://pld.live/RapDetail.aspx?STONELIST=925552032&amp;ISCONFIRM=0" TargetMode="External"/><Relationship Id="rId6248" Type="http://schemas.openxmlformats.org/officeDocument/2006/relationships/hyperlink" Target="https://pld.live/RapDetail.aspx?STONELIST=941150100&amp;ISCONFIRM=0" TargetMode="External"/><Relationship Id="rId6455" Type="http://schemas.openxmlformats.org/officeDocument/2006/relationships/hyperlink" Target="https://pld.live/RapDetail.aspx?STONELIST=941080810&amp;ISCONFIRM=0" TargetMode="External"/><Relationship Id="rId7853" Type="http://schemas.openxmlformats.org/officeDocument/2006/relationships/hyperlink" Target="https://pld.live/RapDetail.aspx?STONELIST=925300364&amp;ISCONFIRM=0" TargetMode="External"/><Relationship Id="rId220" Type="http://schemas.openxmlformats.org/officeDocument/2006/relationships/hyperlink" Target="https://pld.live/RapDetail.aspx?STONELIST=831020663&amp;ISCONFIRM=0" TargetMode="External"/><Relationship Id="rId2998" Type="http://schemas.openxmlformats.org/officeDocument/2006/relationships/hyperlink" Target="https://pld.live/RapDetail.aspx?STONELIST=925940665&amp;ISCONFIRM=0" TargetMode="External"/><Relationship Id="rId5057" Type="http://schemas.openxmlformats.org/officeDocument/2006/relationships/hyperlink" Target="https://pld.live/RapDetail.aspx?STONELIST=821113618&amp;ISCONFIRM=0" TargetMode="External"/><Relationship Id="rId5264" Type="http://schemas.openxmlformats.org/officeDocument/2006/relationships/hyperlink" Target="https://pld.live/RapDetail.aspx?STONELIST=924930264&amp;ISCONFIRM=0" TargetMode="External"/><Relationship Id="rId6108" Type="http://schemas.openxmlformats.org/officeDocument/2006/relationships/hyperlink" Target="https://pld.live/RapDetail.aspx?STONELIST=926470466&amp;ISCONFIRM=0" TargetMode="External"/><Relationship Id="rId6662" Type="http://schemas.openxmlformats.org/officeDocument/2006/relationships/hyperlink" Target="https://pld.live/RapDetail.aspx?STONELIST=927151125&amp;ISCONFIRM=0" TargetMode="External"/><Relationship Id="rId7506" Type="http://schemas.openxmlformats.org/officeDocument/2006/relationships/hyperlink" Target="https://pld.live/RapDetail.aspx?STONELIST=925730985&amp;ISCONFIRM=0" TargetMode="External"/><Relationship Id="rId7713" Type="http://schemas.openxmlformats.org/officeDocument/2006/relationships/hyperlink" Target="https://pld.live/RapDetail.aspx?STONELIST=926780074&amp;ISCONFIRM=0" TargetMode="External"/><Relationship Id="rId7920" Type="http://schemas.openxmlformats.org/officeDocument/2006/relationships/hyperlink" Target="https://pld.live/RapDetail.aspx?STONELIST=926830958&amp;ISCONFIRM=0" TargetMode="External"/><Relationship Id="rId2858" Type="http://schemas.openxmlformats.org/officeDocument/2006/relationships/hyperlink" Target="https://pld.live/RapDetail.aspx?STONELIST=926101118&amp;ISCONFIRM=0" TargetMode="External"/><Relationship Id="rId3909" Type="http://schemas.openxmlformats.org/officeDocument/2006/relationships/hyperlink" Target="https://pld.live/RapDetail.aspx?STONELIST=925521613&amp;ISCONFIRM=0" TargetMode="External"/><Relationship Id="rId4073" Type="http://schemas.openxmlformats.org/officeDocument/2006/relationships/hyperlink" Target="https://pld.live/RapDetail.aspx?STONELIST=925521848&amp;ISCONFIRM=0" TargetMode="External"/><Relationship Id="rId5471" Type="http://schemas.openxmlformats.org/officeDocument/2006/relationships/hyperlink" Target="https://pld.live/RapDetail.aspx?STONELIST=941140755&amp;ISCONFIRM=0" TargetMode="External"/><Relationship Id="rId6315" Type="http://schemas.openxmlformats.org/officeDocument/2006/relationships/hyperlink" Target="https://pld.live/RapDetail.aspx?STONELIST=927040775&amp;ISCONFIRM=0" TargetMode="External"/><Relationship Id="rId6522" Type="http://schemas.openxmlformats.org/officeDocument/2006/relationships/hyperlink" Target="https://pld.live/RapDetail.aspx?STONELIST=926680948&amp;ISCONFIRM=0" TargetMode="External"/><Relationship Id="rId99" Type="http://schemas.openxmlformats.org/officeDocument/2006/relationships/hyperlink" Target="https://pld.live/RapDetail.aspx?STONELIST=926010085&amp;ISCONFIRM=0" TargetMode="External"/><Relationship Id="rId1667" Type="http://schemas.openxmlformats.org/officeDocument/2006/relationships/hyperlink" Target="https://pld.live/RapDetail.aspx?STONELIST=925870198&amp;ISCONFIRM=0" TargetMode="External"/><Relationship Id="rId1874" Type="http://schemas.openxmlformats.org/officeDocument/2006/relationships/hyperlink" Target="https://pld.live/RapDetail.aspx?STONELIST=831010261&amp;ISCONFIRM=0" TargetMode="External"/><Relationship Id="rId2718" Type="http://schemas.openxmlformats.org/officeDocument/2006/relationships/hyperlink" Target="https://pld.live/RapDetail.aspx?STONELIST=922550049&amp;ISCONFIRM=0" TargetMode="External"/><Relationship Id="rId2925" Type="http://schemas.openxmlformats.org/officeDocument/2006/relationships/hyperlink" Target="https://pld.live/RapDetail.aspx?STONELIST=926110997&amp;ISCONFIRM=0" TargetMode="External"/><Relationship Id="rId4280" Type="http://schemas.openxmlformats.org/officeDocument/2006/relationships/hyperlink" Target="https://pld.live/RapDetail.aspx?STONELIST=925760619&amp;ISCONFIRM=0" TargetMode="External"/><Relationship Id="rId5124" Type="http://schemas.openxmlformats.org/officeDocument/2006/relationships/hyperlink" Target="https://pld.live/RapDetail.aspx?STONELIST=925610272&amp;ISCONFIRM=0" TargetMode="External"/><Relationship Id="rId5331" Type="http://schemas.openxmlformats.org/officeDocument/2006/relationships/hyperlink" Target="https://pld.live/RapDetail.aspx?STONELIST=926110185&amp;ISCONFIRM=0" TargetMode="External"/><Relationship Id="rId1527" Type="http://schemas.openxmlformats.org/officeDocument/2006/relationships/hyperlink" Target="https://pld.live/RapDetail.aspx?STONELIST=926331593&amp;ISCONFIRM=0" TargetMode="External"/><Relationship Id="rId1734" Type="http://schemas.openxmlformats.org/officeDocument/2006/relationships/hyperlink" Target="https://pld.live/RapDetail.aspx?STONELIST=941190175&amp;ISCONFIRM=0" TargetMode="External"/><Relationship Id="rId1941" Type="http://schemas.openxmlformats.org/officeDocument/2006/relationships/hyperlink" Target="https://pld.live/RapDetail.aspx?STONELIST=926761084&amp;ISCONFIRM=0" TargetMode="External"/><Relationship Id="rId4140" Type="http://schemas.openxmlformats.org/officeDocument/2006/relationships/hyperlink" Target="https://pld.live/RapDetail.aspx?STONELIST=926110404&amp;ISCONFIRM=0" TargetMode="External"/><Relationship Id="rId7089" Type="http://schemas.openxmlformats.org/officeDocument/2006/relationships/hyperlink" Target="https://pld.live/RapDetail.aspx?STONELIST=924520207&amp;ISCONFIRM=0" TargetMode="External"/><Relationship Id="rId7296" Type="http://schemas.openxmlformats.org/officeDocument/2006/relationships/hyperlink" Target="https://pld.live/RapDetail.aspx?STONELIST=927030805&amp;ISCONFIRM=0" TargetMode="External"/><Relationship Id="rId26" Type="http://schemas.openxmlformats.org/officeDocument/2006/relationships/hyperlink" Target="https://pld.live/RapDetail.aspx?STONELIST=941330308&amp;ISCONFIRM=0" TargetMode="External"/><Relationship Id="rId3699" Type="http://schemas.openxmlformats.org/officeDocument/2006/relationships/hyperlink" Target="https://pld.live/RapDetail.aspx?STONELIST=925680195&amp;ISCONFIRM=0" TargetMode="External"/><Relationship Id="rId4000" Type="http://schemas.openxmlformats.org/officeDocument/2006/relationships/hyperlink" Target="https://pld.live/RapDetail.aspx?STONELIST=831010769&amp;ISCONFIRM=0" TargetMode="External"/><Relationship Id="rId7156" Type="http://schemas.openxmlformats.org/officeDocument/2006/relationships/hyperlink" Target="https://pld.live/RapDetail.aspx?STONELIST=926410388&amp;ISCONFIRM=0" TargetMode="External"/><Relationship Id="rId7363" Type="http://schemas.openxmlformats.org/officeDocument/2006/relationships/hyperlink" Target="https://pld.live/RapDetail.aspx?STONELIST=941330597&amp;ISCONFIRM=0" TargetMode="External"/><Relationship Id="rId7570" Type="http://schemas.openxmlformats.org/officeDocument/2006/relationships/hyperlink" Target="https://pld.live/RapDetail.aspx?STONELIST=925771277&amp;ISCONFIRM=0" TargetMode="External"/><Relationship Id="rId8207" Type="http://schemas.openxmlformats.org/officeDocument/2006/relationships/hyperlink" Target="https://pld.live/RapDetail.aspx?STONELIST=926910623&amp;ISCONFIRM=0" TargetMode="External"/><Relationship Id="rId1801" Type="http://schemas.openxmlformats.org/officeDocument/2006/relationships/hyperlink" Target="https://pld.live/RapDetail.aspx?STONELIST=941270621&amp;ISCONFIRM=0" TargetMode="External"/><Relationship Id="rId3559" Type="http://schemas.openxmlformats.org/officeDocument/2006/relationships/hyperlink" Target="https://pld.live/RapDetail.aspx?STONELIST=926410366&amp;ISCONFIRM=0" TargetMode="External"/><Relationship Id="rId4957" Type="http://schemas.openxmlformats.org/officeDocument/2006/relationships/hyperlink" Target="https://pld.live/RapDetail.aspx?STONELIST=925930166&amp;ISCONFIRM=0" TargetMode="External"/><Relationship Id="rId6172" Type="http://schemas.openxmlformats.org/officeDocument/2006/relationships/hyperlink" Target="https://pld.live/RapDetail.aspx?STONELIST=924250701&amp;ISCONFIRM=0" TargetMode="External"/><Relationship Id="rId7016" Type="http://schemas.openxmlformats.org/officeDocument/2006/relationships/hyperlink" Target="https://pld.live/RapDetail.aspx?STONELIST=926111141&amp;ISCONFIRM=0" TargetMode="External"/><Relationship Id="rId7223" Type="http://schemas.openxmlformats.org/officeDocument/2006/relationships/hyperlink" Target="https://pld.live/RapDetail.aspx?STONELIST=821117999&amp;ISCONFIRM=0" TargetMode="External"/><Relationship Id="rId7430" Type="http://schemas.openxmlformats.org/officeDocument/2006/relationships/hyperlink" Target="https://pld.live/RapDetail.aspx?STONELIST=923750344&amp;ISCONFIRM=0" TargetMode="External"/><Relationship Id="rId687" Type="http://schemas.openxmlformats.org/officeDocument/2006/relationships/hyperlink" Target="https://pld.live/RapDetail.aspx?STONELIST=926071802&amp;ISCONFIRM=0" TargetMode="External"/><Relationship Id="rId2368" Type="http://schemas.openxmlformats.org/officeDocument/2006/relationships/hyperlink" Target="https://pld.live/RapDetail.aspx?STONELIST=926301154&amp;ISCONFIRM=0" TargetMode="External"/><Relationship Id="rId3766" Type="http://schemas.openxmlformats.org/officeDocument/2006/relationships/hyperlink" Target="https://pld.live/RapDetail.aspx?STONELIST=941431254&amp;ISCONFIRM=0" TargetMode="External"/><Relationship Id="rId3973" Type="http://schemas.openxmlformats.org/officeDocument/2006/relationships/hyperlink" Target="https://pld.live/RapDetail.aspx?STONELIST=926350465&amp;ISCONFIRM=0" TargetMode="External"/><Relationship Id="rId4817" Type="http://schemas.openxmlformats.org/officeDocument/2006/relationships/hyperlink" Target="https://pld.live/RapDetail.aspx?STONELIST=925500060&amp;ISCONFIRM=0" TargetMode="External"/><Relationship Id="rId6032" Type="http://schemas.openxmlformats.org/officeDocument/2006/relationships/hyperlink" Target="https://pld.live/RapDetail.aspx?STONELIST=941261115&amp;ISCONFIRM=0" TargetMode="External"/><Relationship Id="rId894" Type="http://schemas.openxmlformats.org/officeDocument/2006/relationships/hyperlink" Target="https://pld.live/RapDetail.aspx?STONELIST=925430167&amp;ISCONFIRM=0" TargetMode="External"/><Relationship Id="rId1177" Type="http://schemas.openxmlformats.org/officeDocument/2006/relationships/hyperlink" Target="https://pld.live/RapDetail.aspx?STONELIST=926831154&amp;ISCONFIRM=0" TargetMode="External"/><Relationship Id="rId2575" Type="http://schemas.openxmlformats.org/officeDocument/2006/relationships/hyperlink" Target="https://pld.live/RapDetail.aspx?STONELIST=941360402&amp;ISCONFIRM=0" TargetMode="External"/><Relationship Id="rId2782" Type="http://schemas.openxmlformats.org/officeDocument/2006/relationships/hyperlink" Target="https://pld.live/RapDetail.aspx?STONELIST=925510138&amp;ISCONFIRM=0" TargetMode="External"/><Relationship Id="rId3419" Type="http://schemas.openxmlformats.org/officeDocument/2006/relationships/hyperlink" Target="https://pld.live/RapDetail.aspx?STONELIST=926171477&amp;ISCONFIRM=0" TargetMode="External"/><Relationship Id="rId3626" Type="http://schemas.openxmlformats.org/officeDocument/2006/relationships/hyperlink" Target="https://pld.live/RapDetail.aspx?STONELIST=924510182&amp;ISCONFIRM=0" TargetMode="External"/><Relationship Id="rId3833" Type="http://schemas.openxmlformats.org/officeDocument/2006/relationships/hyperlink" Target="https://pld.live/RapDetail.aspx?STONELIST=941130422&amp;ISCONFIRM=0" TargetMode="External"/><Relationship Id="rId6989" Type="http://schemas.openxmlformats.org/officeDocument/2006/relationships/hyperlink" Target="https://pld.live/RapDetail.aspx?STONELIST=925621733&amp;ISCONFIRM=0" TargetMode="External"/><Relationship Id="rId547" Type="http://schemas.openxmlformats.org/officeDocument/2006/relationships/hyperlink" Target="https://pld.live/RapDetail.aspx?STONELIST=927051773&amp;ISCONFIRM=0" TargetMode="External"/><Relationship Id="rId754" Type="http://schemas.openxmlformats.org/officeDocument/2006/relationships/hyperlink" Target="https://pld.live/RapDetail.aspx?STONELIST=924600072&amp;ISCONFIRM=0" TargetMode="External"/><Relationship Id="rId961" Type="http://schemas.openxmlformats.org/officeDocument/2006/relationships/hyperlink" Target="https://pld.live/RapDetail.aspx?STONELIST=926110974&amp;ISCONFIRM=0" TargetMode="External"/><Relationship Id="rId1384" Type="http://schemas.openxmlformats.org/officeDocument/2006/relationships/hyperlink" Target="https://pld.live/RapDetail.aspx?STONELIST=926270904&amp;ISCONFIRM=0" TargetMode="External"/><Relationship Id="rId1591" Type="http://schemas.openxmlformats.org/officeDocument/2006/relationships/hyperlink" Target="https://pld.live/RapDetail.aspx?STONELIST=941330240&amp;ISCONFIRM=0" TargetMode="External"/><Relationship Id="rId2228" Type="http://schemas.openxmlformats.org/officeDocument/2006/relationships/hyperlink" Target="https://pld.live/RapDetail.aspx?STONELIST=924710017&amp;ISCONFIRM=0" TargetMode="External"/><Relationship Id="rId2435" Type="http://schemas.openxmlformats.org/officeDocument/2006/relationships/hyperlink" Target="https://pld.live/RapDetail.aspx?STONELIST=926341624&amp;ISCONFIRM=0" TargetMode="External"/><Relationship Id="rId2642" Type="http://schemas.openxmlformats.org/officeDocument/2006/relationships/hyperlink" Target="https://pld.live/RapDetail.aspx?STONELIST=926391257&amp;ISCONFIRM=0" TargetMode="External"/><Relationship Id="rId3900" Type="http://schemas.openxmlformats.org/officeDocument/2006/relationships/hyperlink" Target="https://pld.live/RapDetail.aspx?STONELIST=925621384&amp;ISCONFIRM=0" TargetMode="External"/><Relationship Id="rId5798" Type="http://schemas.openxmlformats.org/officeDocument/2006/relationships/hyperlink" Target="https://pld.live/RapDetail.aspx?STONELIST=926820145&amp;ISCONFIRM=0" TargetMode="External"/><Relationship Id="rId6849" Type="http://schemas.openxmlformats.org/officeDocument/2006/relationships/hyperlink" Target="https://pld.live/RapDetail.aspx?STONELIST=926890562&amp;ISCONFIRM=0" TargetMode="External"/><Relationship Id="rId90" Type="http://schemas.openxmlformats.org/officeDocument/2006/relationships/hyperlink" Target="https://pld.live/RapDetail.aspx?STONELIST=924490016&amp;ISCONFIRM=0" TargetMode="External"/><Relationship Id="rId407" Type="http://schemas.openxmlformats.org/officeDocument/2006/relationships/hyperlink" Target="https://pld.live/RapDetail.aspx?STONELIST=925541722&amp;ISCONFIRM=0" TargetMode="External"/><Relationship Id="rId614" Type="http://schemas.openxmlformats.org/officeDocument/2006/relationships/hyperlink" Target="https://pld.live/RapDetail.aspx?STONELIST=925551057&amp;ISCONFIRM=0" TargetMode="External"/><Relationship Id="rId821" Type="http://schemas.openxmlformats.org/officeDocument/2006/relationships/hyperlink" Target="https://pld.live/RapDetail.aspx?STONELIST=925971125&amp;ISCONFIRM=0" TargetMode="External"/><Relationship Id="rId1037" Type="http://schemas.openxmlformats.org/officeDocument/2006/relationships/hyperlink" Target="https://pld.live/RapDetail.aspx?STONELIST=941350920&amp;ISCONFIRM=0" TargetMode="External"/><Relationship Id="rId1244" Type="http://schemas.openxmlformats.org/officeDocument/2006/relationships/hyperlink" Target="https://pld.live/RapDetail.aspx?STONELIST=831010761&amp;ISCONFIRM=0" TargetMode="External"/><Relationship Id="rId1451" Type="http://schemas.openxmlformats.org/officeDocument/2006/relationships/hyperlink" Target="https://pld.live/RapDetail.aspx?STONELIST=926250648&amp;ISCONFIRM=0" TargetMode="External"/><Relationship Id="rId2502" Type="http://schemas.openxmlformats.org/officeDocument/2006/relationships/hyperlink" Target="https://pld.live/RapDetail.aspx?STONELIST=926091168&amp;ISCONFIRM=0" TargetMode="External"/><Relationship Id="rId5658" Type="http://schemas.openxmlformats.org/officeDocument/2006/relationships/hyperlink" Target="https://pld.live/RapDetail.aspx?STONELIST=941110544&amp;ISCONFIRM=0" TargetMode="External"/><Relationship Id="rId5865" Type="http://schemas.openxmlformats.org/officeDocument/2006/relationships/hyperlink" Target="https://pld.live/RapDetail.aspx?STONELIST=925310397&amp;ISCONFIRM=0" TargetMode="External"/><Relationship Id="rId6709" Type="http://schemas.openxmlformats.org/officeDocument/2006/relationships/hyperlink" Target="https://pld.live/RapDetail.aspx?STONELIST=926941233&amp;ISCONFIRM=0" TargetMode="External"/><Relationship Id="rId6916" Type="http://schemas.openxmlformats.org/officeDocument/2006/relationships/hyperlink" Target="https://pld.live/RapDetail.aspx?STONELIST=821113842&amp;ISCONFIRM=0" TargetMode="External"/><Relationship Id="rId8064" Type="http://schemas.openxmlformats.org/officeDocument/2006/relationships/hyperlink" Target="https://pld.live/RapDetail.aspx?STONELIST=926200173&amp;ISCONFIRM=0" TargetMode="External"/><Relationship Id="rId1104" Type="http://schemas.openxmlformats.org/officeDocument/2006/relationships/hyperlink" Target="https://pld.live/RapDetail.aspx?STONELIST=927050397&amp;ISCONFIRM=0" TargetMode="External"/><Relationship Id="rId1311" Type="http://schemas.openxmlformats.org/officeDocument/2006/relationships/hyperlink" Target="https://pld.live/RapDetail.aspx?STONELIST=926941094&amp;ISCONFIRM=0" TargetMode="External"/><Relationship Id="rId4467" Type="http://schemas.openxmlformats.org/officeDocument/2006/relationships/hyperlink" Target="https://pld.live/RapDetail.aspx?STONELIST=925080442&amp;ISCONFIRM=0" TargetMode="External"/><Relationship Id="rId4674" Type="http://schemas.openxmlformats.org/officeDocument/2006/relationships/hyperlink" Target="https://pld.live/RapDetail.aspx?STONELIST=926560415&amp;ISCONFIRM=0" TargetMode="External"/><Relationship Id="rId4881" Type="http://schemas.openxmlformats.org/officeDocument/2006/relationships/hyperlink" Target="https://pld.live/RapDetail.aspx?STONELIST=926200333&amp;ISCONFIRM=0" TargetMode="External"/><Relationship Id="rId5518" Type="http://schemas.openxmlformats.org/officeDocument/2006/relationships/hyperlink" Target="https://pld.live/RapDetail.aspx?STONELIST=924780334&amp;ISCONFIRM=0" TargetMode="External"/><Relationship Id="rId5725" Type="http://schemas.openxmlformats.org/officeDocument/2006/relationships/hyperlink" Target="https://pld.live/RapDetail.aspx?STONELIST=926180652&amp;ISCONFIRM=0" TargetMode="External"/><Relationship Id="rId7080" Type="http://schemas.openxmlformats.org/officeDocument/2006/relationships/hyperlink" Target="https://pld.live/RapDetail.aspx?STONELIST=927092578&amp;ISCONFIRM=0" TargetMode="External"/><Relationship Id="rId8131" Type="http://schemas.openxmlformats.org/officeDocument/2006/relationships/hyperlink" Target="https://pld.live/RapDetail.aspx?STONELIST=926520180&amp;ISCONFIRM=0" TargetMode="External"/><Relationship Id="rId3069" Type="http://schemas.openxmlformats.org/officeDocument/2006/relationships/hyperlink" Target="https://pld.live/RapDetail.aspx?STONELIST=925940648&amp;ISCONFIRM=0" TargetMode="External"/><Relationship Id="rId3276" Type="http://schemas.openxmlformats.org/officeDocument/2006/relationships/hyperlink" Target="https://pld.live/RapDetail.aspx?STONELIST=926120757&amp;ISCONFIRM=0" TargetMode="External"/><Relationship Id="rId3483" Type="http://schemas.openxmlformats.org/officeDocument/2006/relationships/hyperlink" Target="https://pld.live/RapDetail.aspx?STONELIST=831010134&amp;ISCONFIRM=0" TargetMode="External"/><Relationship Id="rId3690" Type="http://schemas.openxmlformats.org/officeDocument/2006/relationships/hyperlink" Target="https://pld.live/RapDetail.aspx?STONELIST=821115897&amp;ISCONFIRM=0" TargetMode="External"/><Relationship Id="rId4327" Type="http://schemas.openxmlformats.org/officeDocument/2006/relationships/hyperlink" Target="https://pld.live/RapDetail.aspx?STONELIST=927052562&amp;ISCONFIRM=0" TargetMode="External"/><Relationship Id="rId4534" Type="http://schemas.openxmlformats.org/officeDocument/2006/relationships/hyperlink" Target="https://pld.live/RapDetail.aspx?STONELIST=927052652&amp;ISCONFIRM=0" TargetMode="External"/><Relationship Id="rId5932" Type="http://schemas.openxmlformats.org/officeDocument/2006/relationships/hyperlink" Target="https://pld.live/RapDetail.aspx?STONELIST=925732232&amp;ISCONFIRM=0" TargetMode="External"/><Relationship Id="rId197" Type="http://schemas.openxmlformats.org/officeDocument/2006/relationships/hyperlink" Target="https://pld.live/RapDetail.aspx?STONELIST=831020549&amp;ISCONFIRM=0" TargetMode="External"/><Relationship Id="rId2085" Type="http://schemas.openxmlformats.org/officeDocument/2006/relationships/hyperlink" Target="https://pld.live/RapDetail.aspx?STONELIST=924400245&amp;ISCONFIRM=0" TargetMode="External"/><Relationship Id="rId2292" Type="http://schemas.openxmlformats.org/officeDocument/2006/relationships/hyperlink" Target="https://pld.live/RapDetail.aspx?STONELIST=920661526&amp;ISCONFIRM=0" TargetMode="External"/><Relationship Id="rId3136" Type="http://schemas.openxmlformats.org/officeDocument/2006/relationships/hyperlink" Target="https://pld.live/RapDetail.aspx?STONELIST=926210613&amp;ISCONFIRM=0" TargetMode="External"/><Relationship Id="rId3343" Type="http://schemas.openxmlformats.org/officeDocument/2006/relationships/hyperlink" Target="https://pld.live/RapDetail.aspx?STONELIST=925981288&amp;ISCONFIRM=0" TargetMode="External"/><Relationship Id="rId4741" Type="http://schemas.openxmlformats.org/officeDocument/2006/relationships/hyperlink" Target="https://pld.live/RapDetail.aspx?STONELIST=924430152&amp;ISCONFIRM=0" TargetMode="External"/><Relationship Id="rId6499" Type="http://schemas.openxmlformats.org/officeDocument/2006/relationships/hyperlink" Target="https://pld.live/RapDetail.aspx?STONELIST=941100648&amp;ISCONFIRM=0" TargetMode="External"/><Relationship Id="rId7897" Type="http://schemas.openxmlformats.org/officeDocument/2006/relationships/hyperlink" Target="https://pld.live/RapDetail.aspx?STONELIST=927151959&amp;ISCONFIRM=0" TargetMode="External"/><Relationship Id="rId264" Type="http://schemas.openxmlformats.org/officeDocument/2006/relationships/hyperlink" Target="https://pld.live/RapDetail.aspx?STONELIST=926560308&amp;ISCONFIRM=0" TargetMode="External"/><Relationship Id="rId471" Type="http://schemas.openxmlformats.org/officeDocument/2006/relationships/hyperlink" Target="https://pld.live/RapDetail.aspx?STONELIST=925861281&amp;ISCONFIRM=0" TargetMode="External"/><Relationship Id="rId2152" Type="http://schemas.openxmlformats.org/officeDocument/2006/relationships/hyperlink" Target="https://pld.live/RapDetail.aspx?STONELIST=821127824&amp;ISCONFIRM=0" TargetMode="External"/><Relationship Id="rId3550" Type="http://schemas.openxmlformats.org/officeDocument/2006/relationships/hyperlink" Target="https://pld.live/RapDetail.aspx?STONELIST=831020183&amp;ISCONFIRM=0" TargetMode="External"/><Relationship Id="rId4601" Type="http://schemas.openxmlformats.org/officeDocument/2006/relationships/hyperlink" Target="https://pld.live/RapDetail.aspx?STONELIST=927092336&amp;ISCONFIRM=0" TargetMode="External"/><Relationship Id="rId7757" Type="http://schemas.openxmlformats.org/officeDocument/2006/relationships/hyperlink" Target="https://pld.live/RapDetail.aspx?STONELIST=926540182&amp;ISCONFIRM=0" TargetMode="External"/><Relationship Id="rId7964" Type="http://schemas.openxmlformats.org/officeDocument/2006/relationships/hyperlink" Target="https://pld.live/RapDetail.aspx?STONELIST=941070273&amp;ISCONFIRM=0" TargetMode="External"/><Relationship Id="rId124" Type="http://schemas.openxmlformats.org/officeDocument/2006/relationships/hyperlink" Target="https://pld.live/RapDetail.aspx?STONELIST=941130261&amp;ISCONFIRM=0" TargetMode="External"/><Relationship Id="rId3203" Type="http://schemas.openxmlformats.org/officeDocument/2006/relationships/hyperlink" Target="https://pld.live/RapDetail.aspx?STONELIST=925780914&amp;ISCONFIRM=0" TargetMode="External"/><Relationship Id="rId3410" Type="http://schemas.openxmlformats.org/officeDocument/2006/relationships/hyperlink" Target="https://pld.live/RapDetail.aspx?STONELIST=925521283&amp;ISCONFIRM=0" TargetMode="External"/><Relationship Id="rId6359" Type="http://schemas.openxmlformats.org/officeDocument/2006/relationships/hyperlink" Target="https://pld.live/RapDetail.aspx?STONELIST=926830885&amp;ISCONFIRM=0" TargetMode="External"/><Relationship Id="rId6566" Type="http://schemas.openxmlformats.org/officeDocument/2006/relationships/hyperlink" Target="https://pld.live/RapDetail.aspx?STONELIST=941021802&amp;ISCONFIRM=0" TargetMode="External"/><Relationship Id="rId6773" Type="http://schemas.openxmlformats.org/officeDocument/2006/relationships/hyperlink" Target="https://pld.live/RapDetail.aspx?STONELIST=925410051&amp;ISCONFIRM=0" TargetMode="External"/><Relationship Id="rId6980" Type="http://schemas.openxmlformats.org/officeDocument/2006/relationships/hyperlink" Target="https://pld.live/RapDetail.aspx?STONELIST=926610099&amp;ISCONFIRM=0" TargetMode="External"/><Relationship Id="rId7617" Type="http://schemas.openxmlformats.org/officeDocument/2006/relationships/hyperlink" Target="https://pld.live/RapDetail.aspx?STONELIST=926270893&amp;ISCONFIRM=0" TargetMode="External"/><Relationship Id="rId7824" Type="http://schemas.openxmlformats.org/officeDocument/2006/relationships/hyperlink" Target="https://pld.live/RapDetail.aspx?STONELIST=926200296&amp;ISCONFIRM=0" TargetMode="External"/><Relationship Id="rId331" Type="http://schemas.openxmlformats.org/officeDocument/2006/relationships/hyperlink" Target="https://pld.live/RapDetail.aspx?STONELIST=941400421&amp;ISCONFIRM=0" TargetMode="External"/><Relationship Id="rId2012" Type="http://schemas.openxmlformats.org/officeDocument/2006/relationships/hyperlink" Target="https://pld.live/RapDetail.aspx?STONELIST=941190367&amp;ISCONFIRM=0" TargetMode="External"/><Relationship Id="rId2969" Type="http://schemas.openxmlformats.org/officeDocument/2006/relationships/hyperlink" Target="https://pld.live/RapDetail.aspx?STONELIST=925830725&amp;ISCONFIRM=0" TargetMode="External"/><Relationship Id="rId5168" Type="http://schemas.openxmlformats.org/officeDocument/2006/relationships/hyperlink" Target="https://pld.live/RapDetail.aspx?STONELIST=831010613&amp;ISCONFIRM=0" TargetMode="External"/><Relationship Id="rId5375" Type="http://schemas.openxmlformats.org/officeDocument/2006/relationships/hyperlink" Target="https://pld.live/RapDetail.aspx?STONELIST=926291395&amp;ISCONFIRM=0" TargetMode="External"/><Relationship Id="rId5582" Type="http://schemas.openxmlformats.org/officeDocument/2006/relationships/hyperlink" Target="https://pld.live/RapDetail.aspx?STONELIST=924920428&amp;ISCONFIRM=0" TargetMode="External"/><Relationship Id="rId6219" Type="http://schemas.openxmlformats.org/officeDocument/2006/relationships/hyperlink" Target="https://pld.live/RapDetail.aspx?STONELIST=941230166&amp;ISCONFIRM=0" TargetMode="External"/><Relationship Id="rId6426" Type="http://schemas.openxmlformats.org/officeDocument/2006/relationships/hyperlink" Target="https://pld.live/RapDetail.aspx?STONELIST=926701091&amp;ISCONFIRM=0" TargetMode="External"/><Relationship Id="rId6633" Type="http://schemas.openxmlformats.org/officeDocument/2006/relationships/hyperlink" Target="https://pld.live/RapDetail.aspx?STONELIST=941080772&amp;ISCONFIRM=0" TargetMode="External"/><Relationship Id="rId6840" Type="http://schemas.openxmlformats.org/officeDocument/2006/relationships/hyperlink" Target="https://pld.live/RapDetail.aspx?STONELIST=926150010&amp;ISCONFIRM=0" TargetMode="External"/><Relationship Id="rId1778" Type="http://schemas.openxmlformats.org/officeDocument/2006/relationships/hyperlink" Target="https://pld.live/RapDetail.aspx?STONELIST=926320394&amp;ISCONFIRM=0" TargetMode="External"/><Relationship Id="rId1985" Type="http://schemas.openxmlformats.org/officeDocument/2006/relationships/hyperlink" Target="https://pld.live/RapDetail.aspx?STONELIST=924340800&amp;ISCONFIRM=0" TargetMode="External"/><Relationship Id="rId2829" Type="http://schemas.openxmlformats.org/officeDocument/2006/relationships/hyperlink" Target="https://pld.live/RapDetail.aspx?STONELIST=926171119&amp;ISCONFIRM=0" TargetMode="External"/><Relationship Id="rId4184" Type="http://schemas.openxmlformats.org/officeDocument/2006/relationships/hyperlink" Target="https://pld.live/RapDetail.aspx?STONELIST=926210068&amp;ISCONFIRM=0" TargetMode="External"/><Relationship Id="rId4391" Type="http://schemas.openxmlformats.org/officeDocument/2006/relationships/hyperlink" Target="https://pld.live/RapDetail.aspx?STONELIST=941160597&amp;ISCONFIRM=0" TargetMode="External"/><Relationship Id="rId5028" Type="http://schemas.openxmlformats.org/officeDocument/2006/relationships/hyperlink" Target="https://pld.live/RapDetail.aspx?STONELIST=925861967&amp;ISCONFIRM=0" TargetMode="External"/><Relationship Id="rId5235" Type="http://schemas.openxmlformats.org/officeDocument/2006/relationships/hyperlink" Target="https://pld.live/RapDetail.aspx?STONELIST=925862043&amp;ISCONFIRM=0" TargetMode="External"/><Relationship Id="rId5442" Type="http://schemas.openxmlformats.org/officeDocument/2006/relationships/hyperlink" Target="https://pld.live/RapDetail.aspx?STONELIST=924230281&amp;ISCONFIRM=0" TargetMode="External"/><Relationship Id="rId6700" Type="http://schemas.openxmlformats.org/officeDocument/2006/relationships/hyperlink" Target="https://pld.live/RapDetail.aspx?STONELIST=927092683&amp;ISCONFIRM=0" TargetMode="External"/><Relationship Id="rId1638" Type="http://schemas.openxmlformats.org/officeDocument/2006/relationships/hyperlink" Target="https://pld.live/RapDetail.aspx?STONELIST=926221387&amp;ISCONFIRM=0" TargetMode="External"/><Relationship Id="rId4044" Type="http://schemas.openxmlformats.org/officeDocument/2006/relationships/hyperlink" Target="https://pld.live/RapDetail.aspx?STONELIST=925861562&amp;ISCONFIRM=0" TargetMode="External"/><Relationship Id="rId4251" Type="http://schemas.openxmlformats.org/officeDocument/2006/relationships/hyperlink" Target="https://pld.live/RapDetail.aspx?STONELIST=925722044&amp;ISCONFIRM=0" TargetMode="External"/><Relationship Id="rId5302" Type="http://schemas.openxmlformats.org/officeDocument/2006/relationships/hyperlink" Target="https://pld.live/RapDetail.aspx?STONELIST=926310964&amp;ISCONFIRM=0" TargetMode="External"/><Relationship Id="rId1845" Type="http://schemas.openxmlformats.org/officeDocument/2006/relationships/hyperlink" Target="https://pld.live/RapDetail.aspx?STONELIST=925840185&amp;ISCONFIRM=0" TargetMode="External"/><Relationship Id="rId3060" Type="http://schemas.openxmlformats.org/officeDocument/2006/relationships/hyperlink" Target="https://pld.live/RapDetail.aspx?STONELIST=941040196&amp;ISCONFIRM=0" TargetMode="External"/><Relationship Id="rId4111" Type="http://schemas.openxmlformats.org/officeDocument/2006/relationships/hyperlink" Target="https://pld.live/RapDetail.aspx?STONELIST=925110383&amp;ISCONFIRM=0" TargetMode="External"/><Relationship Id="rId7267" Type="http://schemas.openxmlformats.org/officeDocument/2006/relationships/hyperlink" Target="https://pld.live/RapDetail.aspx?STONELIST=927030810&amp;ISCONFIRM=0" TargetMode="External"/><Relationship Id="rId7474" Type="http://schemas.openxmlformats.org/officeDocument/2006/relationships/hyperlink" Target="https://pld.live/RapDetail.aspx?STONELIST=925300337&amp;ISCONFIRM=0" TargetMode="External"/><Relationship Id="rId1705" Type="http://schemas.openxmlformats.org/officeDocument/2006/relationships/hyperlink" Target="https://pld.live/RapDetail.aspx?STONELIST=926690868&amp;ISCONFIRM=0" TargetMode="External"/><Relationship Id="rId1912" Type="http://schemas.openxmlformats.org/officeDocument/2006/relationships/hyperlink" Target="https://pld.live/RapDetail.aspx?STONELIST=941220093&amp;ISCONFIRM=0" TargetMode="External"/><Relationship Id="rId6076" Type="http://schemas.openxmlformats.org/officeDocument/2006/relationships/hyperlink" Target="https://pld.live/RapDetail.aspx?STONELIST=926470445&amp;ISCONFIRM=0" TargetMode="External"/><Relationship Id="rId6283" Type="http://schemas.openxmlformats.org/officeDocument/2006/relationships/hyperlink" Target="https://pld.live/RapDetail.aspx?STONELIST=926060011&amp;ISCONFIRM=0" TargetMode="External"/><Relationship Id="rId7127" Type="http://schemas.openxmlformats.org/officeDocument/2006/relationships/hyperlink" Target="https://pld.live/RapDetail.aspx?STONELIST=941161018&amp;ISCONFIRM=0" TargetMode="External"/><Relationship Id="rId7681" Type="http://schemas.openxmlformats.org/officeDocument/2006/relationships/hyperlink" Target="https://pld.live/RapDetail.aspx?STONELIST=941270786&amp;ISCONFIRM=0" TargetMode="External"/><Relationship Id="rId3877" Type="http://schemas.openxmlformats.org/officeDocument/2006/relationships/hyperlink" Target="https://pld.live/RapDetail.aspx?STONELIST=925621827&amp;ISCONFIRM=0" TargetMode="External"/><Relationship Id="rId4928" Type="http://schemas.openxmlformats.org/officeDocument/2006/relationships/hyperlink" Target="https://pld.live/RapDetail.aspx?STONELIST=925890099&amp;ISCONFIRM=0" TargetMode="External"/><Relationship Id="rId5092" Type="http://schemas.openxmlformats.org/officeDocument/2006/relationships/hyperlink" Target="https://pld.live/RapDetail.aspx?STONELIST=926020696&amp;ISCONFIRM=0" TargetMode="External"/><Relationship Id="rId6490" Type="http://schemas.openxmlformats.org/officeDocument/2006/relationships/hyperlink" Target="https://pld.live/RapDetail.aspx?STONELIST=927132533&amp;ISCONFIRM=0" TargetMode="External"/><Relationship Id="rId7334" Type="http://schemas.openxmlformats.org/officeDocument/2006/relationships/hyperlink" Target="https://pld.live/RapDetail.aspx?STONELIST=926980710&amp;ISCONFIRM=0" TargetMode="External"/><Relationship Id="rId7541" Type="http://schemas.openxmlformats.org/officeDocument/2006/relationships/hyperlink" Target="https://pld.live/RapDetail.aspx?STONELIST=925731879&amp;ISCONFIRM=0" TargetMode="External"/><Relationship Id="rId798" Type="http://schemas.openxmlformats.org/officeDocument/2006/relationships/hyperlink" Target="https://pld.live/RapDetail.aspx?STONELIST=821127599&amp;ISCONFIRM=0" TargetMode="External"/><Relationship Id="rId2479" Type="http://schemas.openxmlformats.org/officeDocument/2006/relationships/hyperlink" Target="https://pld.live/RapDetail.aspx?STONELIST=926430947&amp;ISCONFIRM=0" TargetMode="External"/><Relationship Id="rId2686" Type="http://schemas.openxmlformats.org/officeDocument/2006/relationships/hyperlink" Target="https://pld.live/RapDetail.aspx?STONELIST=920661328&amp;ISCONFIRM=0" TargetMode="External"/><Relationship Id="rId2893" Type="http://schemas.openxmlformats.org/officeDocument/2006/relationships/hyperlink" Target="https://pld.live/RapDetail.aspx?STONELIST=925551926&amp;ISCONFIRM=0" TargetMode="External"/><Relationship Id="rId3737" Type="http://schemas.openxmlformats.org/officeDocument/2006/relationships/hyperlink" Target="https://pld.live/RapDetail.aspx?STONELIST=941380435&amp;ISCONFIRM=0" TargetMode="External"/><Relationship Id="rId3944" Type="http://schemas.openxmlformats.org/officeDocument/2006/relationships/hyperlink" Target="https://pld.live/RapDetail.aspx?STONELIST=925861757&amp;ISCONFIRM=0" TargetMode="External"/><Relationship Id="rId6143" Type="http://schemas.openxmlformats.org/officeDocument/2006/relationships/hyperlink" Target="https://pld.live/RapDetail.aspx?STONELIST=831020641&amp;ISCONFIRM=0" TargetMode="External"/><Relationship Id="rId6350" Type="http://schemas.openxmlformats.org/officeDocument/2006/relationships/hyperlink" Target="https://pld.live/RapDetail.aspx?STONELIST=927040797&amp;ISCONFIRM=0" TargetMode="External"/><Relationship Id="rId7401" Type="http://schemas.openxmlformats.org/officeDocument/2006/relationships/hyperlink" Target="https://pld.live/RapDetail.aspx?STONELIST=923810415&amp;ISCONFIRM=0" TargetMode="External"/><Relationship Id="rId658" Type="http://schemas.openxmlformats.org/officeDocument/2006/relationships/hyperlink" Target="https://pld.live/RapDetail.aspx?STONELIST=831010798&amp;ISCONFIRM=0" TargetMode="External"/><Relationship Id="rId865" Type="http://schemas.openxmlformats.org/officeDocument/2006/relationships/hyperlink" Target="https://pld.live/RapDetail.aspx?STONELIST=925830415&amp;ISCONFIRM=0" TargetMode="External"/><Relationship Id="rId1288" Type="http://schemas.openxmlformats.org/officeDocument/2006/relationships/hyperlink" Target="https://pld.live/RapDetail.aspx?STONELIST=941190070&amp;ISCONFIRM=0" TargetMode="External"/><Relationship Id="rId1495" Type="http://schemas.openxmlformats.org/officeDocument/2006/relationships/hyperlink" Target="https://pld.live/RapDetail.aspx?STONELIST=925830602&amp;ISCONFIRM=0" TargetMode="External"/><Relationship Id="rId2339" Type="http://schemas.openxmlformats.org/officeDocument/2006/relationships/hyperlink" Target="https://pld.live/RapDetail.aspx?STONELIST=821127924&amp;ISCONFIRM=0" TargetMode="External"/><Relationship Id="rId2546" Type="http://schemas.openxmlformats.org/officeDocument/2006/relationships/hyperlink" Target="https://pld.live/RapDetail.aspx?STONELIST=926231161&amp;ISCONFIRM=0" TargetMode="External"/><Relationship Id="rId2753" Type="http://schemas.openxmlformats.org/officeDocument/2006/relationships/hyperlink" Target="https://pld.live/RapDetail.aspx?STONELIST=925502251&amp;ISCONFIRM=0" TargetMode="External"/><Relationship Id="rId2960" Type="http://schemas.openxmlformats.org/officeDocument/2006/relationships/hyperlink" Target="https://pld.live/RapDetail.aspx?STONELIST=925940616&amp;ISCONFIRM=0" TargetMode="External"/><Relationship Id="rId3804" Type="http://schemas.openxmlformats.org/officeDocument/2006/relationships/hyperlink" Target="https://pld.live/RapDetail.aspx?STONELIST=941080143&amp;ISCONFIRM=0" TargetMode="External"/><Relationship Id="rId6003" Type="http://schemas.openxmlformats.org/officeDocument/2006/relationships/hyperlink" Target="https://pld.live/RapDetail.aspx?STONELIST=926291483&amp;ISCONFIRM=0" TargetMode="External"/><Relationship Id="rId6210" Type="http://schemas.openxmlformats.org/officeDocument/2006/relationships/hyperlink" Target="https://pld.live/RapDetail.aspx?STONELIST=924950113&amp;ISCONFIRM=0" TargetMode="External"/><Relationship Id="rId518" Type="http://schemas.openxmlformats.org/officeDocument/2006/relationships/hyperlink" Target="https://pld.live/RapDetail.aspx?STONELIST=941400281&amp;ISCONFIRM=0" TargetMode="External"/><Relationship Id="rId725" Type="http://schemas.openxmlformats.org/officeDocument/2006/relationships/hyperlink" Target="https://pld.live/RapDetail.aspx?STONELIST=925620540&amp;ISCONFIRM=0" TargetMode="External"/><Relationship Id="rId932" Type="http://schemas.openxmlformats.org/officeDocument/2006/relationships/hyperlink" Target="https://pld.live/RapDetail.aspx?STONELIST=821127751&amp;ISCONFIRM=0" TargetMode="External"/><Relationship Id="rId1148" Type="http://schemas.openxmlformats.org/officeDocument/2006/relationships/hyperlink" Target="https://pld.live/RapDetail.aspx?STONELIST=926831062&amp;ISCONFIRM=0" TargetMode="External"/><Relationship Id="rId1355" Type="http://schemas.openxmlformats.org/officeDocument/2006/relationships/hyperlink" Target="https://pld.live/RapDetail.aspx?STONELIST=925750403&amp;ISCONFIRM=0" TargetMode="External"/><Relationship Id="rId1562" Type="http://schemas.openxmlformats.org/officeDocument/2006/relationships/hyperlink" Target="https://pld.live/RapDetail.aspx?STONELIST=925991240&amp;ISCONFIRM=0" TargetMode="External"/><Relationship Id="rId2406" Type="http://schemas.openxmlformats.org/officeDocument/2006/relationships/hyperlink" Target="https://pld.live/RapDetail.aspx?STONELIST=941080561&amp;ISCONFIRM=0" TargetMode="External"/><Relationship Id="rId2613" Type="http://schemas.openxmlformats.org/officeDocument/2006/relationships/hyperlink" Target="https://pld.live/RapDetail.aspx?STONELIST=926430815&amp;ISCONFIRM=0" TargetMode="External"/><Relationship Id="rId5769" Type="http://schemas.openxmlformats.org/officeDocument/2006/relationships/hyperlink" Target="https://pld.live/RapDetail.aspx?STONELIST=927101115&amp;ISCONFIRM=0" TargetMode="External"/><Relationship Id="rId8175" Type="http://schemas.openxmlformats.org/officeDocument/2006/relationships/hyperlink" Target="https://pld.live/RapDetail.aspx?STONELIST=924410847&amp;ISCONFIRM=0" TargetMode="External"/><Relationship Id="rId1008" Type="http://schemas.openxmlformats.org/officeDocument/2006/relationships/hyperlink" Target="https://pld.live/RapDetail.aspx?STONELIST=941350851&amp;ISCONFIRM=0" TargetMode="External"/><Relationship Id="rId1215" Type="http://schemas.openxmlformats.org/officeDocument/2006/relationships/hyperlink" Target="https://pld.live/RapDetail.aspx?STONELIST=926790835&amp;ISCONFIRM=0" TargetMode="External"/><Relationship Id="rId1422" Type="http://schemas.openxmlformats.org/officeDocument/2006/relationships/hyperlink" Target="https://pld.live/RapDetail.aspx?STONELIST=926221205&amp;ISCONFIRM=0" TargetMode="External"/><Relationship Id="rId2820" Type="http://schemas.openxmlformats.org/officeDocument/2006/relationships/hyperlink" Target="https://pld.live/RapDetail.aspx?STONELIST=926041243&amp;ISCONFIRM=0" TargetMode="External"/><Relationship Id="rId4578" Type="http://schemas.openxmlformats.org/officeDocument/2006/relationships/hyperlink" Target="https://pld.live/RapDetail.aspx?STONELIST=941040689&amp;ISCONFIRM=0" TargetMode="External"/><Relationship Id="rId5976" Type="http://schemas.openxmlformats.org/officeDocument/2006/relationships/hyperlink" Target="https://pld.live/RapDetail.aspx?STONELIST=941140862&amp;ISCONFIRM=0" TargetMode="External"/><Relationship Id="rId7191" Type="http://schemas.openxmlformats.org/officeDocument/2006/relationships/hyperlink" Target="https://pld.live/RapDetail.aspx?STONELIST=941110543&amp;ISCONFIRM=0" TargetMode="External"/><Relationship Id="rId8035" Type="http://schemas.openxmlformats.org/officeDocument/2006/relationships/hyperlink" Target="https://pld.live/RapDetail.aspx?STONELIST=925721003&amp;ISCONFIRM=0" TargetMode="External"/><Relationship Id="rId8242" Type="http://schemas.openxmlformats.org/officeDocument/2006/relationships/hyperlink" Target="https://pld.live/RapDetail.aspx?STONELIST=925732133&amp;ISCONFIRM=0" TargetMode="External"/><Relationship Id="rId61" Type="http://schemas.openxmlformats.org/officeDocument/2006/relationships/hyperlink" Target="https://pld.live/RapDetail.aspx?STONELIST=941390459&amp;ISCONFIRM=0" TargetMode="External"/><Relationship Id="rId3387" Type="http://schemas.openxmlformats.org/officeDocument/2006/relationships/hyperlink" Target="https://pld.live/RapDetail.aspx?STONELIST=926100971&amp;ISCONFIRM=0" TargetMode="External"/><Relationship Id="rId4785" Type="http://schemas.openxmlformats.org/officeDocument/2006/relationships/hyperlink" Target="https://pld.live/RapDetail.aspx?STONELIST=926450098&amp;ISCONFIRM=0" TargetMode="External"/><Relationship Id="rId4992" Type="http://schemas.openxmlformats.org/officeDocument/2006/relationships/hyperlink" Target="https://pld.live/RapDetail.aspx?STONELIST=831020715&amp;ISCONFIRM=0" TargetMode="External"/><Relationship Id="rId5629" Type="http://schemas.openxmlformats.org/officeDocument/2006/relationships/hyperlink" Target="https://pld.live/RapDetail.aspx?STONELIST=926220730&amp;ISCONFIRM=0" TargetMode="External"/><Relationship Id="rId5836" Type="http://schemas.openxmlformats.org/officeDocument/2006/relationships/hyperlink" Target="https://pld.live/RapDetail.aspx?STONELIST=926370018&amp;ISCONFIRM=0" TargetMode="External"/><Relationship Id="rId7051" Type="http://schemas.openxmlformats.org/officeDocument/2006/relationships/hyperlink" Target="https://pld.live/RapDetail.aspx?STONELIST=831020645&amp;ISCONFIRM=0" TargetMode="External"/><Relationship Id="rId8102" Type="http://schemas.openxmlformats.org/officeDocument/2006/relationships/hyperlink" Target="https://pld.live/RapDetail.aspx?STONELIST=831010657&amp;ISCONFIRM=0" TargetMode="External"/><Relationship Id="rId2196" Type="http://schemas.openxmlformats.org/officeDocument/2006/relationships/hyperlink" Target="https://pld.live/RapDetail.aspx?STONELIST=926091074&amp;ISCONFIRM=0" TargetMode="External"/><Relationship Id="rId3594" Type="http://schemas.openxmlformats.org/officeDocument/2006/relationships/hyperlink" Target="https://pld.live/RapDetail.aspx?STONELIST=925410053&amp;ISCONFIRM=0" TargetMode="External"/><Relationship Id="rId4438" Type="http://schemas.openxmlformats.org/officeDocument/2006/relationships/hyperlink" Target="https://pld.live/RapDetail.aspx?STONELIST=924410695&amp;ISCONFIRM=0" TargetMode="External"/><Relationship Id="rId4645" Type="http://schemas.openxmlformats.org/officeDocument/2006/relationships/hyperlink" Target="https://pld.live/RapDetail.aspx?STONELIST=941270800&amp;ISCONFIRM=0" TargetMode="External"/><Relationship Id="rId4852" Type="http://schemas.openxmlformats.org/officeDocument/2006/relationships/hyperlink" Target="https://pld.live/RapDetail.aspx?STONELIST=926020593&amp;ISCONFIRM=0" TargetMode="External"/><Relationship Id="rId5903" Type="http://schemas.openxmlformats.org/officeDocument/2006/relationships/hyperlink" Target="https://pld.live/RapDetail.aspx?STONELIST=926581296&amp;ISCONFIRM=0" TargetMode="External"/><Relationship Id="rId168" Type="http://schemas.openxmlformats.org/officeDocument/2006/relationships/hyperlink" Target="https://pld.live/RapDetail.aspx?STONELIST=941080755&amp;ISCONFIRM=0" TargetMode="External"/><Relationship Id="rId3247" Type="http://schemas.openxmlformats.org/officeDocument/2006/relationships/hyperlink" Target="https://pld.live/RapDetail.aspx?STONELIST=9414000599&amp;ISCONFIRM=0" TargetMode="External"/><Relationship Id="rId3454" Type="http://schemas.openxmlformats.org/officeDocument/2006/relationships/hyperlink" Target="https://pld.live/RapDetail.aspx?STONELIST=831010757&amp;ISCONFIRM=0" TargetMode="External"/><Relationship Id="rId3661" Type="http://schemas.openxmlformats.org/officeDocument/2006/relationships/hyperlink" Target="https://pld.live/RapDetail.aspx?STONELIST=925400046&amp;ISCONFIRM=0" TargetMode="External"/><Relationship Id="rId4505" Type="http://schemas.openxmlformats.org/officeDocument/2006/relationships/hyperlink" Target="https://pld.live/RapDetail.aspx?STONELIST=927092347&amp;ISCONFIRM=0" TargetMode="External"/><Relationship Id="rId4712" Type="http://schemas.openxmlformats.org/officeDocument/2006/relationships/hyperlink" Target="https://pld.live/RapDetail.aspx?STONELIST=923330003&amp;ISCONFIRM=0" TargetMode="External"/><Relationship Id="rId7868" Type="http://schemas.openxmlformats.org/officeDocument/2006/relationships/hyperlink" Target="https://pld.live/RapDetail.aspx?STONELIST=926841216&amp;ISCONFIRM=0" TargetMode="External"/><Relationship Id="rId375" Type="http://schemas.openxmlformats.org/officeDocument/2006/relationships/hyperlink" Target="https://pld.live/RapDetail.aspx?STONELIST=941360345&amp;ISCONFIRM=0" TargetMode="External"/><Relationship Id="rId582" Type="http://schemas.openxmlformats.org/officeDocument/2006/relationships/hyperlink" Target="https://pld.live/RapDetail.aspx?STONELIST=926101733&amp;ISCONFIRM=0" TargetMode="External"/><Relationship Id="rId2056" Type="http://schemas.openxmlformats.org/officeDocument/2006/relationships/hyperlink" Target="https://pld.live/RapDetail.aspx?STONELIST=923970217&amp;ISCONFIRM=0" TargetMode="External"/><Relationship Id="rId2263" Type="http://schemas.openxmlformats.org/officeDocument/2006/relationships/hyperlink" Target="https://pld.live/RapDetail.aspx?STONELIST=926231368&amp;ISCONFIRM=0" TargetMode="External"/><Relationship Id="rId2470" Type="http://schemas.openxmlformats.org/officeDocument/2006/relationships/hyperlink" Target="https://pld.live/RapDetail.aspx?STONELIST=941360465&amp;ISCONFIRM=0" TargetMode="External"/><Relationship Id="rId3107" Type="http://schemas.openxmlformats.org/officeDocument/2006/relationships/hyperlink" Target="https://pld.live/RapDetail.aspx?STONELIST=925030270&amp;ISCONFIRM=0" TargetMode="External"/><Relationship Id="rId3314" Type="http://schemas.openxmlformats.org/officeDocument/2006/relationships/hyperlink" Target="https://pld.live/RapDetail.aspx?STONELIST=831020083&amp;ISCONFIRM=0" TargetMode="External"/><Relationship Id="rId3521" Type="http://schemas.openxmlformats.org/officeDocument/2006/relationships/hyperlink" Target="https://pld.live/RapDetail.aspx?STONELIST=831010459&amp;ISCONFIRM=0" TargetMode="External"/><Relationship Id="rId6677" Type="http://schemas.openxmlformats.org/officeDocument/2006/relationships/hyperlink" Target="https://pld.live/RapDetail.aspx?STONELIST=927052695&amp;ISCONFIRM=0" TargetMode="External"/><Relationship Id="rId6884" Type="http://schemas.openxmlformats.org/officeDocument/2006/relationships/hyperlink" Target="https://pld.live/RapDetail.aspx?STONELIST=831020685&amp;ISCONFIRM=0" TargetMode="External"/><Relationship Id="rId7728" Type="http://schemas.openxmlformats.org/officeDocument/2006/relationships/hyperlink" Target="https://pld.live/RapDetail.aspx?STONELIST=925710187&amp;ISCONFIRM=0" TargetMode="External"/><Relationship Id="rId7935" Type="http://schemas.openxmlformats.org/officeDocument/2006/relationships/hyperlink" Target="https://pld.live/RapDetail.aspx?STONELIST=926900970&amp;ISCONFIRM=0" TargetMode="External"/><Relationship Id="rId235" Type="http://schemas.openxmlformats.org/officeDocument/2006/relationships/hyperlink" Target="https://pld.live/RapDetail.aspx?STONELIST=923290263&amp;ISCONFIRM=0" TargetMode="External"/><Relationship Id="rId442" Type="http://schemas.openxmlformats.org/officeDocument/2006/relationships/hyperlink" Target="https://pld.live/RapDetail.aspx?STONELIST=924700172&amp;ISCONFIRM=0" TargetMode="External"/><Relationship Id="rId1072" Type="http://schemas.openxmlformats.org/officeDocument/2006/relationships/hyperlink" Target="https://pld.live/RapDetail.aspx?STONELIST=927052230&amp;ISCONFIRM=0" TargetMode="External"/><Relationship Id="rId2123" Type="http://schemas.openxmlformats.org/officeDocument/2006/relationships/hyperlink" Target="https://pld.live/RapDetail.aspx?STONELIST=925910752&amp;ISCONFIRM=0" TargetMode="External"/><Relationship Id="rId2330" Type="http://schemas.openxmlformats.org/officeDocument/2006/relationships/hyperlink" Target="https://pld.live/RapDetail.aspx?STONELIST=926391107&amp;ISCONFIRM=0" TargetMode="External"/><Relationship Id="rId5279" Type="http://schemas.openxmlformats.org/officeDocument/2006/relationships/hyperlink" Target="https://pld.live/RapDetail.aspx?STONELIST=926291450&amp;ISCONFIRM=0" TargetMode="External"/><Relationship Id="rId5486" Type="http://schemas.openxmlformats.org/officeDocument/2006/relationships/hyperlink" Target="https://pld.live/RapDetail.aspx?STONELIST=941170196&amp;ISCONFIRM=0" TargetMode="External"/><Relationship Id="rId5693" Type="http://schemas.openxmlformats.org/officeDocument/2006/relationships/hyperlink" Target="https://pld.live/RapDetail.aspx?STONELIST=924290603&amp;ISCONFIRM=0" TargetMode="External"/><Relationship Id="rId6537" Type="http://schemas.openxmlformats.org/officeDocument/2006/relationships/hyperlink" Target="https://pld.live/RapDetail.aspx?STONELIST=821113450&amp;ISCONFIRM=0" TargetMode="External"/><Relationship Id="rId6744" Type="http://schemas.openxmlformats.org/officeDocument/2006/relationships/hyperlink" Target="https://pld.live/RapDetail.aspx?STONELIST=927132463&amp;ISCONFIRM=0" TargetMode="External"/><Relationship Id="rId302" Type="http://schemas.openxmlformats.org/officeDocument/2006/relationships/hyperlink" Target="https://pld.live/RapDetail.aspx?STONELIST=926540069&amp;ISCONFIRM=0" TargetMode="External"/><Relationship Id="rId4088" Type="http://schemas.openxmlformats.org/officeDocument/2006/relationships/hyperlink" Target="https://pld.live/RapDetail.aspx?STONELIST=821123508&amp;ISCONFIRM=0" TargetMode="External"/><Relationship Id="rId4295" Type="http://schemas.openxmlformats.org/officeDocument/2006/relationships/hyperlink" Target="https://pld.live/RapDetail.aspx?STONELIST=927092198&amp;ISCONFIRM=0" TargetMode="External"/><Relationship Id="rId5139" Type="http://schemas.openxmlformats.org/officeDocument/2006/relationships/hyperlink" Target="https://pld.live/RapDetail.aspx?STONELIST=926171125&amp;ISCONFIRM=0" TargetMode="External"/><Relationship Id="rId5346" Type="http://schemas.openxmlformats.org/officeDocument/2006/relationships/hyperlink" Target="https://pld.live/RapDetail.aspx?STONELIST=926100839&amp;ISCONFIRM=0" TargetMode="External"/><Relationship Id="rId5553" Type="http://schemas.openxmlformats.org/officeDocument/2006/relationships/hyperlink" Target="https://pld.live/RapDetail.aspx?STONELIST=924880336&amp;ISCONFIRM=0" TargetMode="External"/><Relationship Id="rId6951" Type="http://schemas.openxmlformats.org/officeDocument/2006/relationships/hyperlink" Target="https://pld.live/RapDetail.aspx?STONELIST=926921405&amp;ISCONFIRM=0" TargetMode="External"/><Relationship Id="rId1889" Type="http://schemas.openxmlformats.org/officeDocument/2006/relationships/hyperlink" Target="https://pld.live/RapDetail.aspx?STONELIST=926661515&amp;ISCONFIRM=0" TargetMode="External"/><Relationship Id="rId4155" Type="http://schemas.openxmlformats.org/officeDocument/2006/relationships/hyperlink" Target="https://pld.live/RapDetail.aspx?STONELIST=925110306&amp;ISCONFIRM=0" TargetMode="External"/><Relationship Id="rId4362" Type="http://schemas.openxmlformats.org/officeDocument/2006/relationships/hyperlink" Target="https://pld.live/RapDetail.aspx?STONELIST=926972217&amp;ISCONFIRM=0" TargetMode="External"/><Relationship Id="rId5206" Type="http://schemas.openxmlformats.org/officeDocument/2006/relationships/hyperlink" Target="https://pld.live/RapDetail.aspx?STONELIST=831020719&amp;ISCONFIRM=0" TargetMode="External"/><Relationship Id="rId5760" Type="http://schemas.openxmlformats.org/officeDocument/2006/relationships/hyperlink" Target="https://pld.live/RapDetail.aspx?STONELIST=941190331&amp;ISCONFIRM=0" TargetMode="External"/><Relationship Id="rId6604" Type="http://schemas.openxmlformats.org/officeDocument/2006/relationships/hyperlink" Target="https://pld.live/RapDetail.aspx?STONELIST=927092581&amp;ISCONFIRM=0" TargetMode="External"/><Relationship Id="rId6811" Type="http://schemas.openxmlformats.org/officeDocument/2006/relationships/hyperlink" Target="https://pld.live/RapDetail.aspx?STONELIST=925930132&amp;ISCONFIRM=0" TargetMode="External"/><Relationship Id="rId1749" Type="http://schemas.openxmlformats.org/officeDocument/2006/relationships/hyperlink" Target="https://pld.live/RapDetail.aspx?STONELIST=941400288&amp;ISCONFIRM=0" TargetMode="External"/><Relationship Id="rId1956" Type="http://schemas.openxmlformats.org/officeDocument/2006/relationships/hyperlink" Target="https://pld.live/RapDetail.aspx?STONELIST=941450107&amp;ISCONFIRM=0" TargetMode="External"/><Relationship Id="rId3171" Type="http://schemas.openxmlformats.org/officeDocument/2006/relationships/hyperlink" Target="https://pld.live/RapDetail.aspx?STONELIST=923950314&amp;ISCONFIRM=0" TargetMode="External"/><Relationship Id="rId4015" Type="http://schemas.openxmlformats.org/officeDocument/2006/relationships/hyperlink" Target="https://pld.live/RapDetail.aspx?STONELIST=924750156&amp;ISCONFIRM=0" TargetMode="External"/><Relationship Id="rId5413" Type="http://schemas.openxmlformats.org/officeDocument/2006/relationships/hyperlink" Target="https://pld.live/RapDetail.aspx?STONELIST=926291390&amp;ISCONFIRM=0" TargetMode="External"/><Relationship Id="rId5620" Type="http://schemas.openxmlformats.org/officeDocument/2006/relationships/hyperlink" Target="https://pld.live/RapDetail.aspx?STONELIST=926520191&amp;ISCONFIRM=0" TargetMode="External"/><Relationship Id="rId1609" Type="http://schemas.openxmlformats.org/officeDocument/2006/relationships/hyperlink" Target="https://pld.live/RapDetail.aspx?STONELIST=926941190&amp;ISCONFIRM=0" TargetMode="External"/><Relationship Id="rId1816" Type="http://schemas.openxmlformats.org/officeDocument/2006/relationships/hyperlink" Target="https://pld.live/RapDetail.aspx?STONELIST=926320717&amp;ISCONFIRM=0" TargetMode="External"/><Relationship Id="rId4222" Type="http://schemas.openxmlformats.org/officeDocument/2006/relationships/hyperlink" Target="https://pld.live/RapDetail.aspx?STONELIST=924290236&amp;ISCONFIRM=0" TargetMode="External"/><Relationship Id="rId7378" Type="http://schemas.openxmlformats.org/officeDocument/2006/relationships/hyperlink" Target="https://pld.live/RapDetail.aspx?STONELIST=941280527&amp;ISCONFIRM=0" TargetMode="External"/><Relationship Id="rId7585" Type="http://schemas.openxmlformats.org/officeDocument/2006/relationships/hyperlink" Target="https://pld.live/RapDetail.aspx?STONELIST=925731239&amp;ISCONFIRM=0" TargetMode="External"/><Relationship Id="rId7792" Type="http://schemas.openxmlformats.org/officeDocument/2006/relationships/hyperlink" Target="https://pld.live/RapDetail.aspx?STONELIST=926050299&amp;ISCONFIRM=0" TargetMode="External"/><Relationship Id="rId3031" Type="http://schemas.openxmlformats.org/officeDocument/2006/relationships/hyperlink" Target="https://pld.live/RapDetail.aspx?STONELIST=925760645&amp;ISCONFIRM=0" TargetMode="External"/><Relationship Id="rId3988" Type="http://schemas.openxmlformats.org/officeDocument/2006/relationships/hyperlink" Target="https://pld.live/RapDetail.aspx?STONELIST=925771190&amp;ISCONFIRM=0" TargetMode="External"/><Relationship Id="rId6187" Type="http://schemas.openxmlformats.org/officeDocument/2006/relationships/hyperlink" Target="https://pld.live/RapDetail.aspx?STONELIST=925570092&amp;ISCONFIRM=0" TargetMode="External"/><Relationship Id="rId6394" Type="http://schemas.openxmlformats.org/officeDocument/2006/relationships/hyperlink" Target="https://pld.live/RapDetail.aspx?STONELIST=926100923&amp;ISCONFIRM=0" TargetMode="External"/><Relationship Id="rId7238" Type="http://schemas.openxmlformats.org/officeDocument/2006/relationships/hyperlink" Target="https://pld.live/RapDetail.aspx?STONELIST=821132167&amp;ISCONFIRM=0" TargetMode="External"/><Relationship Id="rId7445" Type="http://schemas.openxmlformats.org/officeDocument/2006/relationships/hyperlink" Target="https://pld.live/RapDetail.aspx?STONELIST=924830248&amp;ISCONFIRM=0" TargetMode="External"/><Relationship Id="rId7652" Type="http://schemas.openxmlformats.org/officeDocument/2006/relationships/hyperlink" Target="https://pld.live/RapDetail.aspx?STONELIST=924850243&amp;ISCONFIRM=0" TargetMode="External"/><Relationship Id="rId2797" Type="http://schemas.openxmlformats.org/officeDocument/2006/relationships/hyperlink" Target="https://pld.live/RapDetail.aspx?STONELIST=925961323&amp;ISCONFIRM=0" TargetMode="External"/><Relationship Id="rId3848" Type="http://schemas.openxmlformats.org/officeDocument/2006/relationships/hyperlink" Target="https://pld.live/RapDetail.aspx?STONELIST=926020672&amp;ISCONFIRM=0" TargetMode="External"/><Relationship Id="rId6047" Type="http://schemas.openxmlformats.org/officeDocument/2006/relationships/hyperlink" Target="https://pld.live/RapDetail.aspx?STONELIST=941261135&amp;ISCONFIRM=0" TargetMode="External"/><Relationship Id="rId6254" Type="http://schemas.openxmlformats.org/officeDocument/2006/relationships/hyperlink" Target="https://pld.live/RapDetail.aspx?STONELIST=941110525&amp;ISCONFIRM=0" TargetMode="External"/><Relationship Id="rId6461" Type="http://schemas.openxmlformats.org/officeDocument/2006/relationships/hyperlink" Target="https://pld.live/RapDetail.aspx?STONELIST=927152925&amp;ISCONFIRM=0" TargetMode="External"/><Relationship Id="rId7305" Type="http://schemas.openxmlformats.org/officeDocument/2006/relationships/hyperlink" Target="https://pld.live/RapDetail.aspx?STONELIST=926060022&amp;ISCONFIRM=0" TargetMode="External"/><Relationship Id="rId7512" Type="http://schemas.openxmlformats.org/officeDocument/2006/relationships/hyperlink" Target="https://pld.live/RapDetail.aspx?STONELIST=925731672&amp;ISCONFIRM=0" TargetMode="External"/><Relationship Id="rId769" Type="http://schemas.openxmlformats.org/officeDocument/2006/relationships/hyperlink" Target="https://pld.live/RapDetail.aspx?STONELIST=924710103&amp;ISCONFIRM=0" TargetMode="External"/><Relationship Id="rId976" Type="http://schemas.openxmlformats.org/officeDocument/2006/relationships/hyperlink" Target="https://pld.live/RapDetail.aspx?STONELIST=821115194&amp;ISCONFIRM=0" TargetMode="External"/><Relationship Id="rId1399" Type="http://schemas.openxmlformats.org/officeDocument/2006/relationships/hyperlink" Target="https://pld.live/RapDetail.aspx?STONELIST=821124705&amp;ISCONFIRM=0" TargetMode="External"/><Relationship Id="rId2657" Type="http://schemas.openxmlformats.org/officeDocument/2006/relationships/hyperlink" Target="https://pld.live/RapDetail.aspx?STONELIST=926191430&amp;ISCONFIRM=0" TargetMode="External"/><Relationship Id="rId5063" Type="http://schemas.openxmlformats.org/officeDocument/2006/relationships/hyperlink" Target="https://pld.live/RapDetail.aspx?STONELIST=925120325&amp;ISCONFIRM=0" TargetMode="External"/><Relationship Id="rId5270" Type="http://schemas.openxmlformats.org/officeDocument/2006/relationships/hyperlink" Target="https://pld.live/RapDetail.aspx?STONELIST=926110874&amp;ISCONFIRM=0" TargetMode="External"/><Relationship Id="rId6114" Type="http://schemas.openxmlformats.org/officeDocument/2006/relationships/hyperlink" Target="https://pld.live/RapDetail.aspx?STONELIST=926000050&amp;ISCONFIRM=0" TargetMode="External"/><Relationship Id="rId6321" Type="http://schemas.openxmlformats.org/officeDocument/2006/relationships/hyperlink" Target="https://pld.live/RapDetail.aspx?STONELIST=925270464&amp;ISCONFIRM=0" TargetMode="External"/><Relationship Id="rId629" Type="http://schemas.openxmlformats.org/officeDocument/2006/relationships/hyperlink" Target="https://pld.live/RapDetail.aspx?STONELIST=941430432&amp;ISCONFIRM=0" TargetMode="External"/><Relationship Id="rId1259" Type="http://schemas.openxmlformats.org/officeDocument/2006/relationships/hyperlink" Target="https://pld.live/RapDetail.aspx?STONELIST=941320624&amp;ISCONFIRM=0" TargetMode="External"/><Relationship Id="rId1466" Type="http://schemas.openxmlformats.org/officeDocument/2006/relationships/hyperlink" Target="https://pld.live/RapDetail.aspx?STONELIST=925790733&amp;ISCONFIRM=0" TargetMode="External"/><Relationship Id="rId2864" Type="http://schemas.openxmlformats.org/officeDocument/2006/relationships/hyperlink" Target="https://pld.live/RapDetail.aspx?STONELIST=831010847&amp;ISCONFIRM=0" TargetMode="External"/><Relationship Id="rId3708" Type="http://schemas.openxmlformats.org/officeDocument/2006/relationships/hyperlink" Target="https://pld.live/RapDetail.aspx?STONELIST=926420281&amp;ISCONFIRM=0" TargetMode="External"/><Relationship Id="rId3915" Type="http://schemas.openxmlformats.org/officeDocument/2006/relationships/hyperlink" Target="https://pld.live/RapDetail.aspx?STONELIST=821124329&amp;ISCONFIRM=0" TargetMode="External"/><Relationship Id="rId5130" Type="http://schemas.openxmlformats.org/officeDocument/2006/relationships/hyperlink" Target="https://pld.live/RapDetail.aspx?STONELIST=925920640&amp;ISCONFIRM=0" TargetMode="External"/><Relationship Id="rId8079" Type="http://schemas.openxmlformats.org/officeDocument/2006/relationships/hyperlink" Target="https://pld.live/RapDetail.aspx?STONELIST=923520474&amp;ISCONFIRM=0" TargetMode="External"/><Relationship Id="rId836" Type="http://schemas.openxmlformats.org/officeDocument/2006/relationships/hyperlink" Target="https://pld.live/RapDetail.aspx?STONELIST=926020744&amp;ISCONFIRM=0" TargetMode="External"/><Relationship Id="rId1119" Type="http://schemas.openxmlformats.org/officeDocument/2006/relationships/hyperlink" Target="https://pld.live/RapDetail.aspx?STONELIST=926831061&amp;ISCONFIRM=0" TargetMode="External"/><Relationship Id="rId1673" Type="http://schemas.openxmlformats.org/officeDocument/2006/relationships/hyperlink" Target="https://pld.live/RapDetail.aspx?STONELIST=925900459&amp;ISCONFIRM=0" TargetMode="External"/><Relationship Id="rId1880" Type="http://schemas.openxmlformats.org/officeDocument/2006/relationships/hyperlink" Target="https://pld.live/RapDetail.aspx?STONELIST=924460023&amp;ISCONFIRM=0" TargetMode="External"/><Relationship Id="rId2517" Type="http://schemas.openxmlformats.org/officeDocument/2006/relationships/hyperlink" Target="https://pld.live/RapDetail.aspx?STONELIST=926391150&amp;ISCONFIRM=0" TargetMode="External"/><Relationship Id="rId2724" Type="http://schemas.openxmlformats.org/officeDocument/2006/relationships/hyperlink" Target="https://pld.live/RapDetail.aspx?STONELIST=923740320&amp;ISCONFIRM=0" TargetMode="External"/><Relationship Id="rId2931" Type="http://schemas.openxmlformats.org/officeDocument/2006/relationships/hyperlink" Target="https://pld.live/RapDetail.aspx?STONELIST=924970257&amp;ISCONFIRM=0" TargetMode="External"/><Relationship Id="rId7095" Type="http://schemas.openxmlformats.org/officeDocument/2006/relationships/hyperlink" Target="https://pld.live/RapDetail.aspx?STONELIST=926790828&amp;ISCONFIRM=0" TargetMode="External"/><Relationship Id="rId8146" Type="http://schemas.openxmlformats.org/officeDocument/2006/relationships/hyperlink" Target="https://pld.live/RapDetail.aspx?STONELIST=941160645&amp;ISCONFIRM=0" TargetMode="External"/><Relationship Id="rId903" Type="http://schemas.openxmlformats.org/officeDocument/2006/relationships/hyperlink" Target="https://pld.live/RapDetail.aspx?STONELIST=926101284&amp;ISCONFIRM=0" TargetMode="External"/><Relationship Id="rId1326" Type="http://schemas.openxmlformats.org/officeDocument/2006/relationships/hyperlink" Target="https://pld.live/RapDetail.aspx?STONELIST=941260868&amp;ISCONFIRM=0" TargetMode="External"/><Relationship Id="rId1533" Type="http://schemas.openxmlformats.org/officeDocument/2006/relationships/hyperlink" Target="https://pld.live/RapDetail.aspx?STONELIST=926331757&amp;ISCONFIRM=0" TargetMode="External"/><Relationship Id="rId1740" Type="http://schemas.openxmlformats.org/officeDocument/2006/relationships/hyperlink" Target="https://pld.live/RapDetail.aspx?STONELIST=941230268&amp;ISCONFIRM=0" TargetMode="External"/><Relationship Id="rId4689" Type="http://schemas.openxmlformats.org/officeDocument/2006/relationships/hyperlink" Target="https://pld.live/RapDetail.aspx?STONELIST=925930165&amp;ISCONFIRM=0" TargetMode="External"/><Relationship Id="rId4896" Type="http://schemas.openxmlformats.org/officeDocument/2006/relationships/hyperlink" Target="https://pld.live/RapDetail.aspx?STONELIST=925542168&amp;ISCONFIRM=0" TargetMode="External"/><Relationship Id="rId5947" Type="http://schemas.openxmlformats.org/officeDocument/2006/relationships/hyperlink" Target="https://pld.live/RapDetail.aspx?STONELIST=925950078&amp;ISCONFIRM=0" TargetMode="External"/><Relationship Id="rId32" Type="http://schemas.openxmlformats.org/officeDocument/2006/relationships/hyperlink" Target="https://pld.live/RapDetail.aspx?STONELIST=941330548&amp;ISCONFIRM=0" TargetMode="External"/><Relationship Id="rId1600" Type="http://schemas.openxmlformats.org/officeDocument/2006/relationships/hyperlink" Target="https://pld.live/RapDetail.aspx?STONELIST=941360448&amp;ISCONFIRM=0" TargetMode="External"/><Relationship Id="rId3498" Type="http://schemas.openxmlformats.org/officeDocument/2006/relationships/hyperlink" Target="https://pld.live/RapDetail.aspx?STONELIST=926210631&amp;ISCONFIRM=0" TargetMode="External"/><Relationship Id="rId4549" Type="http://schemas.openxmlformats.org/officeDocument/2006/relationships/hyperlink" Target="https://pld.live/RapDetail.aspx?STONELIST=941320357&amp;ISCONFIRM=0" TargetMode="External"/><Relationship Id="rId4756" Type="http://schemas.openxmlformats.org/officeDocument/2006/relationships/hyperlink" Target="https://pld.live/RapDetail.aspx?STONELIST=926890558&amp;ISCONFIRM=0" TargetMode="External"/><Relationship Id="rId4963" Type="http://schemas.openxmlformats.org/officeDocument/2006/relationships/hyperlink" Target="https://pld.live/RapDetail.aspx?STONELIST=925500410&amp;ISCONFIRM=0" TargetMode="External"/><Relationship Id="rId5807" Type="http://schemas.openxmlformats.org/officeDocument/2006/relationships/hyperlink" Target="https://pld.live/RapDetail.aspx?STONELIST=922120021&amp;ISCONFIRM=0" TargetMode="External"/><Relationship Id="rId7162" Type="http://schemas.openxmlformats.org/officeDocument/2006/relationships/hyperlink" Target="https://pld.live/RapDetail.aspx?STONELIST=926590059&amp;ISCONFIRM=0" TargetMode="External"/><Relationship Id="rId8006" Type="http://schemas.openxmlformats.org/officeDocument/2006/relationships/hyperlink" Target="https://pld.live/RapDetail.aspx?STONELIST=926110867&amp;ISCONFIRM=0" TargetMode="External"/><Relationship Id="rId8213" Type="http://schemas.openxmlformats.org/officeDocument/2006/relationships/hyperlink" Target="https://pld.live/RapDetail.aspx?STONELIST=925640066&amp;ISCONFIRM=0" TargetMode="External"/><Relationship Id="rId3358" Type="http://schemas.openxmlformats.org/officeDocument/2006/relationships/hyperlink" Target="https://pld.live/RapDetail.aspx?STONELIST=925551993&amp;ISCONFIRM=0" TargetMode="External"/><Relationship Id="rId3565" Type="http://schemas.openxmlformats.org/officeDocument/2006/relationships/hyperlink" Target="https://pld.live/RapDetail.aspx?STONELIST=927120107&amp;ISCONFIRM=0" TargetMode="External"/><Relationship Id="rId3772" Type="http://schemas.openxmlformats.org/officeDocument/2006/relationships/hyperlink" Target="https://pld.live/RapDetail.aspx?STONELIST=941421270&amp;ISCONFIRM=0" TargetMode="External"/><Relationship Id="rId4409" Type="http://schemas.openxmlformats.org/officeDocument/2006/relationships/hyperlink" Target="https://pld.live/RapDetail.aspx?STONELIST=925722118&amp;ISCONFIRM=0" TargetMode="External"/><Relationship Id="rId4616" Type="http://schemas.openxmlformats.org/officeDocument/2006/relationships/hyperlink" Target="https://pld.live/RapDetail.aspx?STONELIST=925502724&amp;ISCONFIRM=0" TargetMode="External"/><Relationship Id="rId4823" Type="http://schemas.openxmlformats.org/officeDocument/2006/relationships/hyperlink" Target="https://pld.live/RapDetail.aspx?STONELIST=831020528&amp;ISCONFIRM=0" TargetMode="External"/><Relationship Id="rId7022" Type="http://schemas.openxmlformats.org/officeDocument/2006/relationships/hyperlink" Target="https://pld.live/RapDetail.aspx?STONELIST=927132585&amp;ISCONFIRM=0" TargetMode="External"/><Relationship Id="rId7979" Type="http://schemas.openxmlformats.org/officeDocument/2006/relationships/hyperlink" Target="https://pld.live/RapDetail.aspx?STONELIST=941020711&amp;ISCONFIRM=0" TargetMode="External"/><Relationship Id="rId279" Type="http://schemas.openxmlformats.org/officeDocument/2006/relationships/hyperlink" Target="https://pld.live/RapDetail.aspx?STONELIST=924190441&amp;ISCONFIRM=0" TargetMode="External"/><Relationship Id="rId486" Type="http://schemas.openxmlformats.org/officeDocument/2006/relationships/hyperlink" Target="https://pld.live/RapDetail.aspx?STONELIST=925621524&amp;ISCONFIRM=0" TargetMode="External"/><Relationship Id="rId693" Type="http://schemas.openxmlformats.org/officeDocument/2006/relationships/hyperlink" Target="https://pld.live/RapDetail.aspx?STONELIST=925861979&amp;ISCONFIRM=0" TargetMode="External"/><Relationship Id="rId2167" Type="http://schemas.openxmlformats.org/officeDocument/2006/relationships/hyperlink" Target="https://pld.live/RapDetail.aspx?STONELIST=920661574&amp;ISCONFIRM=0" TargetMode="External"/><Relationship Id="rId2374" Type="http://schemas.openxmlformats.org/officeDocument/2006/relationships/hyperlink" Target="https://pld.live/RapDetail.aspx?STONELIST=926240853&amp;ISCONFIRM=0" TargetMode="External"/><Relationship Id="rId2581" Type="http://schemas.openxmlformats.org/officeDocument/2006/relationships/hyperlink" Target="https://pld.live/RapDetail.aspx?STONELIST=926231297&amp;ISCONFIRM=0" TargetMode="External"/><Relationship Id="rId3218" Type="http://schemas.openxmlformats.org/officeDocument/2006/relationships/hyperlink" Target="https://pld.live/RapDetail.aspx?STONELIST=925260303&amp;ISCONFIRM=0" TargetMode="External"/><Relationship Id="rId3425" Type="http://schemas.openxmlformats.org/officeDocument/2006/relationships/hyperlink" Target="https://pld.live/RapDetail.aspx?STONELIST=925542718&amp;ISCONFIRM=0" TargetMode="External"/><Relationship Id="rId3632" Type="http://schemas.openxmlformats.org/officeDocument/2006/relationships/hyperlink" Target="https://pld.live/RapDetail.aspx?STONELIST=926420402&amp;ISCONFIRM=0" TargetMode="External"/><Relationship Id="rId6788" Type="http://schemas.openxmlformats.org/officeDocument/2006/relationships/hyperlink" Target="https://pld.live/RapDetail.aspx?STONELIST=926050266&amp;ISCONFIRM=0" TargetMode="External"/><Relationship Id="rId139" Type="http://schemas.openxmlformats.org/officeDocument/2006/relationships/hyperlink" Target="https://pld.live/RapDetail.aspx?STONELIST=941150062&amp;ISCONFIRM=0" TargetMode="External"/><Relationship Id="rId346" Type="http://schemas.openxmlformats.org/officeDocument/2006/relationships/hyperlink" Target="https://pld.live/RapDetail.aspx?STONELIST=926960797&amp;ISCONFIRM=0" TargetMode="External"/><Relationship Id="rId553" Type="http://schemas.openxmlformats.org/officeDocument/2006/relationships/hyperlink" Target="https://pld.live/RapDetail.aspx?STONELIST=941400478&amp;ISCONFIRM=0" TargetMode="External"/><Relationship Id="rId760" Type="http://schemas.openxmlformats.org/officeDocument/2006/relationships/hyperlink" Target="https://pld.live/RapDetail.aspx?STONELIST=831010828&amp;ISCONFIRM=0" TargetMode="External"/><Relationship Id="rId1183" Type="http://schemas.openxmlformats.org/officeDocument/2006/relationships/hyperlink" Target="https://pld.live/RapDetail.aspx?STONELIST=941170232&amp;ISCONFIRM=0" TargetMode="External"/><Relationship Id="rId1390" Type="http://schemas.openxmlformats.org/officeDocument/2006/relationships/hyperlink" Target="https://pld.live/RapDetail.aspx?STONELIST=926221407&amp;ISCONFIRM=0" TargetMode="External"/><Relationship Id="rId2027" Type="http://schemas.openxmlformats.org/officeDocument/2006/relationships/hyperlink" Target="https://pld.live/RapDetail.aspx?STONELIST=925290164&amp;ISCONFIRM=0" TargetMode="External"/><Relationship Id="rId2234" Type="http://schemas.openxmlformats.org/officeDocument/2006/relationships/hyperlink" Target="https://pld.live/RapDetail.aspx?STONELIST=925910548&amp;ISCONFIRM=0" TargetMode="External"/><Relationship Id="rId2441" Type="http://schemas.openxmlformats.org/officeDocument/2006/relationships/hyperlink" Target="https://pld.live/RapDetail.aspx?STONELIST=926261201&amp;ISCONFIRM=0" TargetMode="External"/><Relationship Id="rId5597" Type="http://schemas.openxmlformats.org/officeDocument/2006/relationships/hyperlink" Target="https://pld.live/RapDetail.aspx?STONELIST=924780429&amp;ISCONFIRM=0" TargetMode="External"/><Relationship Id="rId6995" Type="http://schemas.openxmlformats.org/officeDocument/2006/relationships/hyperlink" Target="https://pld.live/RapDetail.aspx?STONELIST=925300299&amp;ISCONFIRM=0" TargetMode="External"/><Relationship Id="rId7839" Type="http://schemas.openxmlformats.org/officeDocument/2006/relationships/hyperlink" Target="https://pld.live/RapDetail.aspx?STONELIST=925280350&amp;ISCONFIRM=0" TargetMode="External"/><Relationship Id="rId206" Type="http://schemas.openxmlformats.org/officeDocument/2006/relationships/hyperlink" Target="https://pld.live/RapDetail.aspx?STONELIST=924250685&amp;ISCONFIRM=0" TargetMode="External"/><Relationship Id="rId413" Type="http://schemas.openxmlformats.org/officeDocument/2006/relationships/hyperlink" Target="https://pld.live/RapDetail.aspx?STONELIST=925951079&amp;ISCONFIRM=0" TargetMode="External"/><Relationship Id="rId1043" Type="http://schemas.openxmlformats.org/officeDocument/2006/relationships/hyperlink" Target="https://pld.live/RapDetail.aspx?STONELIST=941071102&amp;ISCONFIRM=0" TargetMode="External"/><Relationship Id="rId4199" Type="http://schemas.openxmlformats.org/officeDocument/2006/relationships/hyperlink" Target="https://pld.live/RapDetail.aspx?STONELIST=925620735&amp;ISCONFIRM=0" TargetMode="External"/><Relationship Id="rId6648" Type="http://schemas.openxmlformats.org/officeDocument/2006/relationships/hyperlink" Target="https://pld.live/RapDetail.aspx?STONELIST=941330569&amp;ISCONFIRM=0" TargetMode="External"/><Relationship Id="rId6855" Type="http://schemas.openxmlformats.org/officeDocument/2006/relationships/hyperlink" Target="https://pld.live/RapDetail.aspx?STONELIST=927000518&amp;ISCONFIRM=0" TargetMode="External"/><Relationship Id="rId7906" Type="http://schemas.openxmlformats.org/officeDocument/2006/relationships/hyperlink" Target="https://pld.live/RapDetail.aspx?STONELIST=927150498&amp;ISCONFIRM=0" TargetMode="External"/><Relationship Id="rId8070" Type="http://schemas.openxmlformats.org/officeDocument/2006/relationships/hyperlink" Target="https://pld.live/RapDetail.aspx?STONELIST=926400424&amp;ISCONFIRM=0" TargetMode="External"/><Relationship Id="rId620" Type="http://schemas.openxmlformats.org/officeDocument/2006/relationships/hyperlink" Target="https://pld.live/RapDetail.aspx?STONELIST=925300259&amp;ISCONFIRM=0" TargetMode="External"/><Relationship Id="rId1250" Type="http://schemas.openxmlformats.org/officeDocument/2006/relationships/hyperlink" Target="https://pld.live/RapDetail.aspx?STONELIST=925790821&amp;ISCONFIRM=0" TargetMode="External"/><Relationship Id="rId2301" Type="http://schemas.openxmlformats.org/officeDocument/2006/relationships/hyperlink" Target="https://pld.live/RapDetail.aspx?STONELIST=926191009&amp;ISCONFIRM=0" TargetMode="External"/><Relationship Id="rId4059" Type="http://schemas.openxmlformats.org/officeDocument/2006/relationships/hyperlink" Target="https://pld.live/RapDetail.aspx?STONELIST=926041294&amp;ISCONFIRM=0" TargetMode="External"/><Relationship Id="rId5457" Type="http://schemas.openxmlformats.org/officeDocument/2006/relationships/hyperlink" Target="https://pld.live/RapDetail.aspx?STONELIST=926310836&amp;ISCONFIRM=0" TargetMode="External"/><Relationship Id="rId5664" Type="http://schemas.openxmlformats.org/officeDocument/2006/relationships/hyperlink" Target="https://pld.live/RapDetail.aspx?STONELIST=925290436&amp;ISCONFIRM=0" TargetMode="External"/><Relationship Id="rId5871" Type="http://schemas.openxmlformats.org/officeDocument/2006/relationships/hyperlink" Target="https://pld.live/RapDetail.aspx?STONELIST=925771145&amp;ISCONFIRM=0" TargetMode="External"/><Relationship Id="rId6508" Type="http://schemas.openxmlformats.org/officeDocument/2006/relationships/hyperlink" Target="https://pld.live/RapDetail.aspx?STONELIST=941100639&amp;ISCONFIRM=0" TargetMode="External"/><Relationship Id="rId6715" Type="http://schemas.openxmlformats.org/officeDocument/2006/relationships/hyperlink" Target="https://pld.live/RapDetail.aspx?STONELIST=927092615&amp;ISCONFIRM=0" TargetMode="External"/><Relationship Id="rId6922" Type="http://schemas.openxmlformats.org/officeDocument/2006/relationships/hyperlink" Target="https://pld.live/RapDetail.aspx?STONELIST=926921371&amp;ISCONFIRM=0" TargetMode="External"/><Relationship Id="rId1110" Type="http://schemas.openxmlformats.org/officeDocument/2006/relationships/hyperlink" Target="https://pld.live/RapDetail.aspx?STONELIST=927150567&amp;ISCONFIRM=0" TargetMode="External"/><Relationship Id="rId4266" Type="http://schemas.openxmlformats.org/officeDocument/2006/relationships/hyperlink" Target="https://pld.live/RapDetail.aspx?STONELIST=925981146&amp;ISCONFIRM=0" TargetMode="External"/><Relationship Id="rId4473" Type="http://schemas.openxmlformats.org/officeDocument/2006/relationships/hyperlink" Target="https://pld.live/RapDetail.aspx?STONELIST=927052536&amp;ISCONFIRM=0" TargetMode="External"/><Relationship Id="rId4680" Type="http://schemas.openxmlformats.org/officeDocument/2006/relationships/hyperlink" Target="https://pld.live/RapDetail.aspx?STONELIST=926600053&amp;ISCONFIRM=0" TargetMode="External"/><Relationship Id="rId5317" Type="http://schemas.openxmlformats.org/officeDocument/2006/relationships/hyperlink" Target="https://pld.live/RapDetail.aspx?STONELIST=926150030&amp;ISCONFIRM=0" TargetMode="External"/><Relationship Id="rId5524" Type="http://schemas.openxmlformats.org/officeDocument/2006/relationships/hyperlink" Target="https://pld.live/RapDetail.aspx?STONELIST=925030335&amp;ISCONFIRM=0" TargetMode="External"/><Relationship Id="rId5731" Type="http://schemas.openxmlformats.org/officeDocument/2006/relationships/hyperlink" Target="https://pld.live/RapDetail.aspx?STONELIST=927100987&amp;ISCONFIRM=0" TargetMode="External"/><Relationship Id="rId1927" Type="http://schemas.openxmlformats.org/officeDocument/2006/relationships/hyperlink" Target="https://pld.live/RapDetail.aspx?STONELIST=941220028&amp;ISCONFIRM=0" TargetMode="External"/><Relationship Id="rId3075" Type="http://schemas.openxmlformats.org/officeDocument/2006/relationships/hyperlink" Target="https://pld.live/RapDetail.aspx?STONELIST=926211122&amp;ISCONFIRM=0" TargetMode="External"/><Relationship Id="rId3282" Type="http://schemas.openxmlformats.org/officeDocument/2006/relationships/hyperlink" Target="https://pld.live/RapDetail.aspx?STONELIST=925740826&amp;ISCONFIRM=0" TargetMode="External"/><Relationship Id="rId4126" Type="http://schemas.openxmlformats.org/officeDocument/2006/relationships/hyperlink" Target="https://pld.live/RapDetail.aspx?STONELIST=925961150&amp;ISCONFIRM=0" TargetMode="External"/><Relationship Id="rId4333" Type="http://schemas.openxmlformats.org/officeDocument/2006/relationships/hyperlink" Target="https://pld.live/RapDetail.aspx?STONELIST=927010787&amp;ISCONFIRM=0" TargetMode="External"/><Relationship Id="rId4540" Type="http://schemas.openxmlformats.org/officeDocument/2006/relationships/hyperlink" Target="https://pld.live/RapDetail.aspx?STONELIST=941350908&amp;ISCONFIRM=0" TargetMode="External"/><Relationship Id="rId7489" Type="http://schemas.openxmlformats.org/officeDocument/2006/relationships/hyperlink" Target="https://pld.live/RapDetail.aspx?STONELIST=925771359&amp;ISCONFIRM=0" TargetMode="External"/><Relationship Id="rId7696" Type="http://schemas.openxmlformats.org/officeDocument/2006/relationships/hyperlink" Target="https://pld.live/RapDetail.aspx?STONELIST=941270771&amp;ISCONFIRM=0" TargetMode="External"/><Relationship Id="rId2091" Type="http://schemas.openxmlformats.org/officeDocument/2006/relationships/hyperlink" Target="https://pld.live/RapDetail.aspx?STONELIST=821127917&amp;ISCONFIRM=0" TargetMode="External"/><Relationship Id="rId3142" Type="http://schemas.openxmlformats.org/officeDocument/2006/relationships/hyperlink" Target="https://pld.live/RapDetail.aspx?STONELIST=925040458&amp;ISCONFIRM=0" TargetMode="External"/><Relationship Id="rId4400" Type="http://schemas.openxmlformats.org/officeDocument/2006/relationships/hyperlink" Target="https://pld.live/RapDetail.aspx?STONELIST=821125534&amp;ISCONFIRM=0" TargetMode="External"/><Relationship Id="rId6298" Type="http://schemas.openxmlformats.org/officeDocument/2006/relationships/hyperlink" Target="https://pld.live/RapDetail.aspx?STONELIST=925370439&amp;ISCONFIRM=0" TargetMode="External"/><Relationship Id="rId7349" Type="http://schemas.openxmlformats.org/officeDocument/2006/relationships/hyperlink" Target="https://pld.live/RapDetail.aspx?STONELIST=925880262&amp;ISCONFIRM=0" TargetMode="External"/><Relationship Id="rId7556" Type="http://schemas.openxmlformats.org/officeDocument/2006/relationships/hyperlink" Target="https://pld.live/RapDetail.aspx?STONELIST=925771358&amp;ISCONFIRM=0" TargetMode="External"/><Relationship Id="rId7763" Type="http://schemas.openxmlformats.org/officeDocument/2006/relationships/hyperlink" Target="https://pld.live/RapDetail.aspx?STONELIST=926930825&amp;ISCONFIRM=0" TargetMode="External"/><Relationship Id="rId270" Type="http://schemas.openxmlformats.org/officeDocument/2006/relationships/hyperlink" Target="https://pld.live/RapDetail.aspx?STONELIST=925730490&amp;ISCONFIRM=0" TargetMode="External"/><Relationship Id="rId3002" Type="http://schemas.openxmlformats.org/officeDocument/2006/relationships/hyperlink" Target="https://pld.live/RapDetail.aspx?STONELIST=821128395&amp;ISCONFIRM=0" TargetMode="External"/><Relationship Id="rId6158" Type="http://schemas.openxmlformats.org/officeDocument/2006/relationships/hyperlink" Target="https://pld.live/RapDetail.aspx?STONELIST=926450532&amp;ISCONFIRM=0" TargetMode="External"/><Relationship Id="rId6365" Type="http://schemas.openxmlformats.org/officeDocument/2006/relationships/hyperlink" Target="https://pld.live/RapDetail.aspx?STONELIST=925670223&amp;ISCONFIRM=0" TargetMode="External"/><Relationship Id="rId6572" Type="http://schemas.openxmlformats.org/officeDocument/2006/relationships/hyperlink" Target="https://pld.live/RapDetail.aspx?STONELIST=926291424&amp;ISCONFIRM=0" TargetMode="External"/><Relationship Id="rId7209" Type="http://schemas.openxmlformats.org/officeDocument/2006/relationships/hyperlink" Target="https://pld.live/RapDetail.aspx?STONELIST=925060463&amp;ISCONFIRM=0" TargetMode="External"/><Relationship Id="rId7416" Type="http://schemas.openxmlformats.org/officeDocument/2006/relationships/hyperlink" Target="https://pld.live/RapDetail.aspx?STONELIST=925010186&amp;ISCONFIRM=0" TargetMode="External"/><Relationship Id="rId7970" Type="http://schemas.openxmlformats.org/officeDocument/2006/relationships/hyperlink" Target="https://pld.live/RapDetail.aspx?STONELIST=926841344&amp;ISCONFIRM=0" TargetMode="External"/><Relationship Id="rId130" Type="http://schemas.openxmlformats.org/officeDocument/2006/relationships/hyperlink" Target="https://pld.live/RapDetail.aspx?STONELIST=925400030&amp;ISCONFIRM=0" TargetMode="External"/><Relationship Id="rId3959" Type="http://schemas.openxmlformats.org/officeDocument/2006/relationships/hyperlink" Target="https://pld.live/RapDetail.aspx?STONELIST=925621629&amp;ISCONFIRM=0" TargetMode="External"/><Relationship Id="rId5174" Type="http://schemas.openxmlformats.org/officeDocument/2006/relationships/hyperlink" Target="https://pld.live/RapDetail.aspx?STONELIST=925771193&amp;ISCONFIRM=0" TargetMode="External"/><Relationship Id="rId5381" Type="http://schemas.openxmlformats.org/officeDocument/2006/relationships/hyperlink" Target="https://pld.live/RapDetail.aspx?STONELIST=941200152&amp;ISCONFIRM=0" TargetMode="External"/><Relationship Id="rId6018" Type="http://schemas.openxmlformats.org/officeDocument/2006/relationships/hyperlink" Target="https://pld.live/RapDetail.aspx?STONELIST=941170498&amp;ISCONFIRM=0" TargetMode="External"/><Relationship Id="rId6225" Type="http://schemas.openxmlformats.org/officeDocument/2006/relationships/hyperlink" Target="https://pld.live/RapDetail.aspx?STONELIST=941110531&amp;ISCONFIRM=0" TargetMode="External"/><Relationship Id="rId7623" Type="http://schemas.openxmlformats.org/officeDocument/2006/relationships/hyperlink" Target="https://pld.live/RapDetail.aspx?STONELIST=926810382&amp;ISCONFIRM=0" TargetMode="External"/><Relationship Id="rId7830" Type="http://schemas.openxmlformats.org/officeDocument/2006/relationships/hyperlink" Target="https://pld.live/RapDetail.aspx?STONELIST=925890464&amp;ISCONFIRM=0" TargetMode="External"/><Relationship Id="rId2768" Type="http://schemas.openxmlformats.org/officeDocument/2006/relationships/hyperlink" Target="https://pld.live/RapDetail.aspx?STONELIST=926010184&amp;ISCONFIRM=0" TargetMode="External"/><Relationship Id="rId2975" Type="http://schemas.openxmlformats.org/officeDocument/2006/relationships/hyperlink" Target="https://pld.live/RapDetail.aspx?STONELIST=925760303&amp;ISCONFIRM=0" TargetMode="External"/><Relationship Id="rId3819" Type="http://schemas.openxmlformats.org/officeDocument/2006/relationships/hyperlink" Target="https://pld.live/RapDetail.aspx?STONELIST=926980020&amp;ISCONFIRM=0" TargetMode="External"/><Relationship Id="rId5034" Type="http://schemas.openxmlformats.org/officeDocument/2006/relationships/hyperlink" Target="https://pld.live/RapDetail.aspx?STONELIST=925971055&amp;ISCONFIRM=0" TargetMode="External"/><Relationship Id="rId6432" Type="http://schemas.openxmlformats.org/officeDocument/2006/relationships/hyperlink" Target="https://pld.live/RapDetail.aspx?STONELIST=941021778&amp;ISCONFIRM=0" TargetMode="External"/><Relationship Id="rId947" Type="http://schemas.openxmlformats.org/officeDocument/2006/relationships/hyperlink" Target="https://pld.live/RapDetail.aspx?STONELIST=821115119&amp;ISCONFIRM=0" TargetMode="External"/><Relationship Id="rId1577" Type="http://schemas.openxmlformats.org/officeDocument/2006/relationships/hyperlink" Target="https://pld.live/RapDetail.aspx?STONELIST=821125881&amp;ISCONFIRM=0" TargetMode="External"/><Relationship Id="rId1784" Type="http://schemas.openxmlformats.org/officeDocument/2006/relationships/hyperlink" Target="https://pld.live/RapDetail.aspx?STONELIST=926771263&amp;ISCONFIRM=0" TargetMode="External"/><Relationship Id="rId1991" Type="http://schemas.openxmlformats.org/officeDocument/2006/relationships/hyperlink" Target="https://pld.live/RapDetail.aspx?STONELIST=926721340&amp;ISCONFIRM=0" TargetMode="External"/><Relationship Id="rId2628" Type="http://schemas.openxmlformats.org/officeDocument/2006/relationships/hyperlink" Target="https://pld.live/RapDetail.aspx?STONELIST=926240912&amp;ISCONFIRM=0" TargetMode="External"/><Relationship Id="rId2835" Type="http://schemas.openxmlformats.org/officeDocument/2006/relationships/hyperlink" Target="https://pld.live/RapDetail.aspx?STONELIST=926171442&amp;ISCONFIRM=0" TargetMode="External"/><Relationship Id="rId4190" Type="http://schemas.openxmlformats.org/officeDocument/2006/relationships/hyperlink" Target="https://pld.live/RapDetail.aspx?STONELIST=926291263&amp;ISCONFIRM=0" TargetMode="External"/><Relationship Id="rId5241" Type="http://schemas.openxmlformats.org/officeDocument/2006/relationships/hyperlink" Target="https://pld.live/RapDetail.aspx?STONELIST=924290010&amp;ISCONFIRM=0" TargetMode="External"/><Relationship Id="rId76" Type="http://schemas.openxmlformats.org/officeDocument/2006/relationships/hyperlink" Target="https://pld.live/RapDetail.aspx?STONELIST=831020672&amp;ISCONFIRM=0" TargetMode="External"/><Relationship Id="rId807" Type="http://schemas.openxmlformats.org/officeDocument/2006/relationships/hyperlink" Target="https://pld.live/RapDetail.aspx?STONELIST=821127702&amp;ISCONFIRM=0" TargetMode="External"/><Relationship Id="rId1437" Type="http://schemas.openxmlformats.org/officeDocument/2006/relationships/hyperlink" Target="https://pld.live/RapDetail.aspx?STONELIST=925870474&amp;ISCONFIRM=0" TargetMode="External"/><Relationship Id="rId1644" Type="http://schemas.openxmlformats.org/officeDocument/2006/relationships/hyperlink" Target="https://pld.live/RapDetail.aspx?STONELIST=925870404&amp;ISCONFIRM=0" TargetMode="External"/><Relationship Id="rId1851" Type="http://schemas.openxmlformats.org/officeDocument/2006/relationships/hyperlink" Target="https://pld.live/RapDetail.aspx?STONELIST=821127840&amp;ISCONFIRM=0" TargetMode="External"/><Relationship Id="rId2902" Type="http://schemas.openxmlformats.org/officeDocument/2006/relationships/hyperlink" Target="https://pld.live/RapDetail.aspx?STONELIST=923780370&amp;ISCONFIRM=0" TargetMode="External"/><Relationship Id="rId4050" Type="http://schemas.openxmlformats.org/officeDocument/2006/relationships/hyperlink" Target="https://pld.live/RapDetail.aspx?STONELIST=925861809&amp;ISCONFIRM=0" TargetMode="External"/><Relationship Id="rId5101" Type="http://schemas.openxmlformats.org/officeDocument/2006/relationships/hyperlink" Target="https://pld.live/RapDetail.aspx?STONELIST=925520250&amp;ISCONFIRM=0" TargetMode="External"/><Relationship Id="rId8257" Type="http://schemas.openxmlformats.org/officeDocument/2006/relationships/hyperlink" Target="https://pld.live/RapDetail.aspx?STONELIST=926111027&amp;ISCONFIRM=0" TargetMode="External"/><Relationship Id="rId1504" Type="http://schemas.openxmlformats.org/officeDocument/2006/relationships/hyperlink" Target="https://pld.live/RapDetail.aspx?STONELIST=926331735&amp;ISCONFIRM=0" TargetMode="External"/><Relationship Id="rId1711" Type="http://schemas.openxmlformats.org/officeDocument/2006/relationships/hyperlink" Target="https://pld.live/RapDetail.aspx?STONELIST=926670993&amp;ISCONFIRM=0" TargetMode="External"/><Relationship Id="rId4867" Type="http://schemas.openxmlformats.org/officeDocument/2006/relationships/hyperlink" Target="https://pld.live/RapDetail.aspx?STONELIST=926910440&amp;ISCONFIRM=0" TargetMode="External"/><Relationship Id="rId7066" Type="http://schemas.openxmlformats.org/officeDocument/2006/relationships/hyperlink" Target="https://pld.live/RapDetail.aspx?STONELIST=927092566&amp;ISCONFIRM=0" TargetMode="External"/><Relationship Id="rId7273" Type="http://schemas.openxmlformats.org/officeDocument/2006/relationships/hyperlink" Target="https://pld.live/RapDetail.aspx?STONELIST=927132482&amp;ISCONFIRM=0" TargetMode="External"/><Relationship Id="rId7480" Type="http://schemas.openxmlformats.org/officeDocument/2006/relationships/hyperlink" Target="https://pld.live/RapDetail.aspx?STONELIST=925951323&amp;ISCONFIRM=0" TargetMode="External"/><Relationship Id="rId8117" Type="http://schemas.openxmlformats.org/officeDocument/2006/relationships/hyperlink" Target="https://pld.live/RapDetail.aspx?STONELIST=926110862&amp;ISCONFIRM=0" TargetMode="External"/><Relationship Id="rId3469" Type="http://schemas.openxmlformats.org/officeDocument/2006/relationships/hyperlink" Target="https://pld.live/RapDetail.aspx?STONELIST=926101613&amp;ISCONFIRM=0" TargetMode="External"/><Relationship Id="rId3676" Type="http://schemas.openxmlformats.org/officeDocument/2006/relationships/hyperlink" Target="https://pld.live/RapDetail.aspx?STONELIST=925630370&amp;ISCONFIRM=0" TargetMode="External"/><Relationship Id="rId5918" Type="http://schemas.openxmlformats.org/officeDocument/2006/relationships/hyperlink" Target="https://pld.live/RapDetail.aspx?STONELIST=925961383&amp;ISCONFIRM=0" TargetMode="External"/><Relationship Id="rId6082" Type="http://schemas.openxmlformats.org/officeDocument/2006/relationships/hyperlink" Target="https://pld.live/RapDetail.aspx?STONELIST=926560412&amp;ISCONFIRM=0" TargetMode="External"/><Relationship Id="rId7133" Type="http://schemas.openxmlformats.org/officeDocument/2006/relationships/hyperlink" Target="https://pld.live/RapDetail.aspx?STONELIST=941161021&amp;ISCONFIRM=0" TargetMode="External"/><Relationship Id="rId7340" Type="http://schemas.openxmlformats.org/officeDocument/2006/relationships/hyperlink" Target="https://pld.live/RapDetail.aspx?STONELIST=925851284&amp;ISCONFIRM=0" TargetMode="External"/><Relationship Id="rId597" Type="http://schemas.openxmlformats.org/officeDocument/2006/relationships/hyperlink" Target="https://pld.live/RapDetail.aspx?STONELIST=924690114&amp;ISCONFIRM=0" TargetMode="External"/><Relationship Id="rId2278" Type="http://schemas.openxmlformats.org/officeDocument/2006/relationships/hyperlink" Target="https://pld.live/RapDetail.aspx?STONELIST=926190976&amp;ISCONFIRM=0" TargetMode="External"/><Relationship Id="rId2485" Type="http://schemas.openxmlformats.org/officeDocument/2006/relationships/hyperlink" Target="https://pld.live/RapDetail.aspx?STONELIST=926231345&amp;ISCONFIRM=0" TargetMode="External"/><Relationship Id="rId3329" Type="http://schemas.openxmlformats.org/officeDocument/2006/relationships/hyperlink" Target="https://pld.live/RapDetail.aspx?STONELIST=926540171&amp;ISCONFIRM=0" TargetMode="External"/><Relationship Id="rId3883" Type="http://schemas.openxmlformats.org/officeDocument/2006/relationships/hyperlink" Target="https://pld.live/RapDetail.aspx?STONELIST=925500671&amp;ISCONFIRM=0" TargetMode="External"/><Relationship Id="rId4727" Type="http://schemas.openxmlformats.org/officeDocument/2006/relationships/hyperlink" Target="https://pld.live/RapDetail.aspx?STONELIST=924430156&amp;ISCONFIRM=0" TargetMode="External"/><Relationship Id="rId4934" Type="http://schemas.openxmlformats.org/officeDocument/2006/relationships/hyperlink" Target="https://pld.live/RapDetail.aspx?STONELIST=925290433&amp;ISCONFIRM=0" TargetMode="External"/><Relationship Id="rId7200" Type="http://schemas.openxmlformats.org/officeDocument/2006/relationships/hyperlink" Target="https://pld.live/RapDetail.aspx?STONELIST=821132867&amp;ISCONFIRM=0" TargetMode="External"/><Relationship Id="rId457" Type="http://schemas.openxmlformats.org/officeDocument/2006/relationships/hyperlink" Target="https://pld.live/RapDetail.aspx?STONELIST=925360258&amp;ISCONFIRM=0" TargetMode="External"/><Relationship Id="rId1087" Type="http://schemas.openxmlformats.org/officeDocument/2006/relationships/hyperlink" Target="https://pld.live/RapDetail.aspx?STONELIST=926901047&amp;ISCONFIRM=0" TargetMode="External"/><Relationship Id="rId1294" Type="http://schemas.openxmlformats.org/officeDocument/2006/relationships/hyperlink" Target="https://pld.live/RapDetail.aspx?STONELIST=941320704&amp;ISCONFIRM=0" TargetMode="External"/><Relationship Id="rId2138" Type="http://schemas.openxmlformats.org/officeDocument/2006/relationships/hyperlink" Target="https://pld.live/RapDetail.aspx?STONELIST=925780747&amp;ISCONFIRM=0" TargetMode="External"/><Relationship Id="rId2692" Type="http://schemas.openxmlformats.org/officeDocument/2006/relationships/hyperlink" Target="https://pld.live/RapDetail.aspx?STONELIST=926191374&amp;ISCONFIRM=0" TargetMode="External"/><Relationship Id="rId3536" Type="http://schemas.openxmlformats.org/officeDocument/2006/relationships/hyperlink" Target="https://pld.live/RapDetail.aspx?STONELIST=923690399&amp;ISCONFIRM=0" TargetMode="External"/><Relationship Id="rId3743" Type="http://schemas.openxmlformats.org/officeDocument/2006/relationships/hyperlink" Target="https://pld.live/RapDetail.aspx?STONELIST=925700319&amp;ISCONFIRM=0" TargetMode="External"/><Relationship Id="rId3950" Type="http://schemas.openxmlformats.org/officeDocument/2006/relationships/hyperlink" Target="https://pld.live/RapDetail.aspx?STONELIST=821123954&amp;ISCONFIRM=0" TargetMode="External"/><Relationship Id="rId6899" Type="http://schemas.openxmlformats.org/officeDocument/2006/relationships/hyperlink" Target="https://pld.live/RapDetail.aspx?STONELIST=821113835&amp;ISCONFIRM=0" TargetMode="External"/><Relationship Id="rId664" Type="http://schemas.openxmlformats.org/officeDocument/2006/relationships/hyperlink" Target="https://pld.live/RapDetail.aspx?STONELIST=831010791&amp;ISCONFIRM=0" TargetMode="External"/><Relationship Id="rId871" Type="http://schemas.openxmlformats.org/officeDocument/2006/relationships/hyperlink" Target="https://pld.live/RapDetail.aspx?STONELIST=926070332&amp;ISCONFIRM=0" TargetMode="External"/><Relationship Id="rId2345" Type="http://schemas.openxmlformats.org/officeDocument/2006/relationships/hyperlink" Target="https://pld.live/RapDetail.aspx?STONELIST=941330315&amp;ISCONFIRM=0" TargetMode="External"/><Relationship Id="rId2552" Type="http://schemas.openxmlformats.org/officeDocument/2006/relationships/hyperlink" Target="https://pld.live/RapDetail.aspx?STONELIST=926341040&amp;ISCONFIRM=0" TargetMode="External"/><Relationship Id="rId3603" Type="http://schemas.openxmlformats.org/officeDocument/2006/relationships/hyperlink" Target="https://pld.live/RapDetail.aspx?STONELIST=925630346&amp;ISCONFIRM=0" TargetMode="External"/><Relationship Id="rId3810" Type="http://schemas.openxmlformats.org/officeDocument/2006/relationships/hyperlink" Target="https://pld.live/RapDetail.aspx?STONELIST=941120574&amp;ISCONFIRM=0" TargetMode="External"/><Relationship Id="rId6759" Type="http://schemas.openxmlformats.org/officeDocument/2006/relationships/hyperlink" Target="https://pld.live/RapDetail.aspx?STONELIST=927102491&amp;ISCONFIRM=0" TargetMode="External"/><Relationship Id="rId6966" Type="http://schemas.openxmlformats.org/officeDocument/2006/relationships/hyperlink" Target="https://pld.live/RapDetail.aspx?STONELIST=926071952&amp;ISCONFIRM=0" TargetMode="External"/><Relationship Id="rId317" Type="http://schemas.openxmlformats.org/officeDocument/2006/relationships/hyperlink" Target="https://pld.live/RapDetail.aspx?STONELIST=941450090&amp;ISCONFIRM=0" TargetMode="External"/><Relationship Id="rId524" Type="http://schemas.openxmlformats.org/officeDocument/2006/relationships/hyperlink" Target="https://pld.live/RapDetail.aspx?STONELIST=926040840&amp;ISCONFIRM=0" TargetMode="External"/><Relationship Id="rId731" Type="http://schemas.openxmlformats.org/officeDocument/2006/relationships/hyperlink" Target="https://pld.live/RapDetail.aspx?STONELIST=925951053&amp;ISCONFIRM=0" TargetMode="External"/><Relationship Id="rId1154" Type="http://schemas.openxmlformats.org/officeDocument/2006/relationships/hyperlink" Target="https://pld.live/RapDetail.aspx?STONELIST=927150643&amp;ISCONFIRM=0" TargetMode="External"/><Relationship Id="rId1361" Type="http://schemas.openxmlformats.org/officeDocument/2006/relationships/hyperlink" Target="https://pld.live/RapDetail.aspx?STONELIST=925870279&amp;ISCONFIRM=0" TargetMode="External"/><Relationship Id="rId2205" Type="http://schemas.openxmlformats.org/officeDocument/2006/relationships/hyperlink" Target="https://pld.live/RapDetail.aspx?STONELIST=821127830&amp;ISCONFIRM=0" TargetMode="External"/><Relationship Id="rId2412" Type="http://schemas.openxmlformats.org/officeDocument/2006/relationships/hyperlink" Target="https://pld.live/RapDetail.aspx?STONELIST=926231137&amp;ISCONFIRM=0" TargetMode="External"/><Relationship Id="rId5568" Type="http://schemas.openxmlformats.org/officeDocument/2006/relationships/hyperlink" Target="https://pld.live/RapDetail.aspx?STONELIST=925030353&amp;ISCONFIRM=0" TargetMode="External"/><Relationship Id="rId5775" Type="http://schemas.openxmlformats.org/officeDocument/2006/relationships/hyperlink" Target="https://pld.live/RapDetail.aspx?STONELIST=927100405&amp;ISCONFIRM=0" TargetMode="External"/><Relationship Id="rId5982" Type="http://schemas.openxmlformats.org/officeDocument/2006/relationships/hyperlink" Target="https://pld.live/RapDetail.aspx?STONELIST=941040724&amp;ISCONFIRM=0" TargetMode="External"/><Relationship Id="rId6619" Type="http://schemas.openxmlformats.org/officeDocument/2006/relationships/hyperlink" Target="https://pld.live/RapDetail.aspx?STONELIST=927052743&amp;ISCONFIRM=0" TargetMode="External"/><Relationship Id="rId6826" Type="http://schemas.openxmlformats.org/officeDocument/2006/relationships/hyperlink" Target="https://pld.live/RapDetail.aspx?STONELIST=926450559&amp;ISCONFIRM=0" TargetMode="External"/><Relationship Id="rId8181" Type="http://schemas.openxmlformats.org/officeDocument/2006/relationships/hyperlink" Target="https://pld.live/RapDetail.aspx?STONELIST=924440117&amp;ISCONFIRM=0" TargetMode="External"/><Relationship Id="rId1014" Type="http://schemas.openxmlformats.org/officeDocument/2006/relationships/hyperlink" Target="https://pld.live/RapDetail.aspx?STONELIST=941071095&amp;ISCONFIRM=0" TargetMode="External"/><Relationship Id="rId1221" Type="http://schemas.openxmlformats.org/officeDocument/2006/relationships/hyperlink" Target="https://pld.live/RapDetail.aspx?STONELIST=926211080&amp;ISCONFIRM=0" TargetMode="External"/><Relationship Id="rId4377" Type="http://schemas.openxmlformats.org/officeDocument/2006/relationships/hyperlink" Target="https://pld.live/RapDetail.aspx?STONELIST=927052565&amp;ISCONFIRM=0" TargetMode="External"/><Relationship Id="rId4584" Type="http://schemas.openxmlformats.org/officeDocument/2006/relationships/hyperlink" Target="https://pld.live/RapDetail.aspx?STONELIST=927101359&amp;ISCONFIRM=0" TargetMode="External"/><Relationship Id="rId4791" Type="http://schemas.openxmlformats.org/officeDocument/2006/relationships/hyperlink" Target="https://pld.live/RapDetail.aspx?STONELIST=923510637&amp;ISCONFIRM=0" TargetMode="External"/><Relationship Id="rId5428" Type="http://schemas.openxmlformats.org/officeDocument/2006/relationships/hyperlink" Target="https://pld.live/RapDetail.aspx?STONELIST=941351074&amp;ISCONFIRM=0" TargetMode="External"/><Relationship Id="rId5635" Type="http://schemas.openxmlformats.org/officeDocument/2006/relationships/hyperlink" Target="https://pld.live/RapDetail.aspx?STONELIST=924780412&amp;ISCONFIRM=0" TargetMode="External"/><Relationship Id="rId5842" Type="http://schemas.openxmlformats.org/officeDocument/2006/relationships/hyperlink" Target="https://pld.live/RapDetail.aspx?STONELIST=925230089&amp;ISCONFIRM=0" TargetMode="External"/><Relationship Id="rId8041" Type="http://schemas.openxmlformats.org/officeDocument/2006/relationships/hyperlink" Target="https://pld.live/RapDetail.aspx?STONELIST=923520459&amp;ISCONFIRM=0" TargetMode="External"/><Relationship Id="rId3186" Type="http://schemas.openxmlformats.org/officeDocument/2006/relationships/hyperlink" Target="https://pld.live/RapDetail.aspx?STONELIST=926210786&amp;ISCONFIRM=0" TargetMode="External"/><Relationship Id="rId3393" Type="http://schemas.openxmlformats.org/officeDocument/2006/relationships/hyperlink" Target="https://pld.live/RapDetail.aspx?STONELIST=926101119&amp;ISCONFIRM=0" TargetMode="External"/><Relationship Id="rId4237" Type="http://schemas.openxmlformats.org/officeDocument/2006/relationships/hyperlink" Target="https://pld.live/RapDetail.aspx?STONELIST=925520295&amp;ISCONFIRM=0" TargetMode="External"/><Relationship Id="rId4444" Type="http://schemas.openxmlformats.org/officeDocument/2006/relationships/hyperlink" Target="https://pld.live/RapDetail.aspx?STONELIST=925900409&amp;ISCONFIRM=0" TargetMode="External"/><Relationship Id="rId4651" Type="http://schemas.openxmlformats.org/officeDocument/2006/relationships/hyperlink" Target="https://pld.live/RapDetail.aspx?STONELIST=926730530&amp;ISCONFIRM=0" TargetMode="External"/><Relationship Id="rId3046" Type="http://schemas.openxmlformats.org/officeDocument/2006/relationships/hyperlink" Target="https://pld.live/RapDetail.aspx?STONELIST=925760689&amp;ISCONFIRM=0" TargetMode="External"/><Relationship Id="rId3253" Type="http://schemas.openxmlformats.org/officeDocument/2006/relationships/hyperlink" Target="https://pld.live/RapDetail.aspx?STONELIST=941270796&amp;ISCONFIRM=0" TargetMode="External"/><Relationship Id="rId3460" Type="http://schemas.openxmlformats.org/officeDocument/2006/relationships/hyperlink" Target="https://pld.live/RapDetail.aspx?STONELIST=923600491&amp;ISCONFIRM=0" TargetMode="External"/><Relationship Id="rId4304" Type="http://schemas.openxmlformats.org/officeDocument/2006/relationships/hyperlink" Target="https://pld.live/RapDetail.aspx?STONELIST=927092574&amp;ISCONFIRM=0" TargetMode="External"/><Relationship Id="rId5702" Type="http://schemas.openxmlformats.org/officeDocument/2006/relationships/hyperlink" Target="https://pld.live/RapDetail.aspx?STONELIST=941290082&amp;ISCONFIRM=0" TargetMode="External"/><Relationship Id="rId174" Type="http://schemas.openxmlformats.org/officeDocument/2006/relationships/hyperlink" Target="https://pld.live/RapDetail.aspx?STONELIST=927070634&amp;ISCONFIRM=0" TargetMode="External"/><Relationship Id="rId381" Type="http://schemas.openxmlformats.org/officeDocument/2006/relationships/hyperlink" Target="https://pld.live/RapDetail.aspx?STONELIST=941110572&amp;ISCONFIRM=0" TargetMode="External"/><Relationship Id="rId2062" Type="http://schemas.openxmlformats.org/officeDocument/2006/relationships/hyperlink" Target="https://pld.live/RapDetail.aspx?STONELIST=924220326&amp;ISCONFIRM=0" TargetMode="External"/><Relationship Id="rId3113" Type="http://schemas.openxmlformats.org/officeDocument/2006/relationships/hyperlink" Target="https://pld.live/RapDetail.aspx?STONELIST=923990430&amp;ISCONFIRM=0" TargetMode="External"/><Relationship Id="rId4511" Type="http://schemas.openxmlformats.org/officeDocument/2006/relationships/hyperlink" Target="https://pld.live/RapDetail.aspx?STONELIST=927052747&amp;ISCONFIRM=0" TargetMode="External"/><Relationship Id="rId6269" Type="http://schemas.openxmlformats.org/officeDocument/2006/relationships/hyperlink" Target="https://pld.live/RapDetail.aspx?STONELIST=821113815&amp;ISCONFIRM=0" TargetMode="External"/><Relationship Id="rId7667" Type="http://schemas.openxmlformats.org/officeDocument/2006/relationships/hyperlink" Target="https://pld.live/RapDetail.aspx?STONELIST=941190062&amp;ISCONFIRM=0" TargetMode="External"/><Relationship Id="rId7874" Type="http://schemas.openxmlformats.org/officeDocument/2006/relationships/hyperlink" Target="https://pld.live/RapDetail.aspx?STONELIST=926841183&amp;ISCONFIRM=0" TargetMode="External"/><Relationship Id="rId241" Type="http://schemas.openxmlformats.org/officeDocument/2006/relationships/hyperlink" Target="https://pld.live/RapDetail.aspx?STONELIST=925680181&amp;ISCONFIRM=0" TargetMode="External"/><Relationship Id="rId3320" Type="http://schemas.openxmlformats.org/officeDocument/2006/relationships/hyperlink" Target="https://pld.live/RapDetail.aspx?STONELIST=921830010&amp;ISCONFIRM=0" TargetMode="External"/><Relationship Id="rId5078" Type="http://schemas.openxmlformats.org/officeDocument/2006/relationships/hyperlink" Target="https://pld.live/RapDetail.aspx?STONELIST=926020588&amp;ISCONFIRM=0" TargetMode="External"/><Relationship Id="rId6476" Type="http://schemas.openxmlformats.org/officeDocument/2006/relationships/hyperlink" Target="https://pld.live/RapDetail.aspx?STONELIST=941100560&amp;ISCONFIRM=0" TargetMode="External"/><Relationship Id="rId6683" Type="http://schemas.openxmlformats.org/officeDocument/2006/relationships/hyperlink" Target="https://pld.live/RapDetail.aspx?STONELIST=927152913&amp;ISCONFIRM=0" TargetMode="External"/><Relationship Id="rId6890" Type="http://schemas.openxmlformats.org/officeDocument/2006/relationships/hyperlink" Target="https://pld.live/RapDetail.aspx?STONELIST=821123333&amp;ISCONFIRM=0" TargetMode="External"/><Relationship Id="rId7527" Type="http://schemas.openxmlformats.org/officeDocument/2006/relationships/hyperlink" Target="https://pld.live/RapDetail.aspx?STONELIST=925771315&amp;ISCONFIRM=0" TargetMode="External"/><Relationship Id="rId7734" Type="http://schemas.openxmlformats.org/officeDocument/2006/relationships/hyperlink" Target="https://pld.live/RapDetail.aspx?STONELIST=926380212&amp;ISCONFIRM=0" TargetMode="External"/><Relationship Id="rId7941" Type="http://schemas.openxmlformats.org/officeDocument/2006/relationships/hyperlink" Target="https://pld.live/RapDetail.aspx?STONELIST=927130424&amp;ISCONFIRM=0" TargetMode="External"/><Relationship Id="rId2879" Type="http://schemas.openxmlformats.org/officeDocument/2006/relationships/hyperlink" Target="https://pld.live/RapDetail.aspx?STONELIST=925140325&amp;ISCONFIRM=0" TargetMode="External"/><Relationship Id="rId5285" Type="http://schemas.openxmlformats.org/officeDocument/2006/relationships/hyperlink" Target="https://pld.live/RapDetail.aspx?STONELIST=926291396&amp;ISCONFIRM=0" TargetMode="External"/><Relationship Id="rId5492" Type="http://schemas.openxmlformats.org/officeDocument/2006/relationships/hyperlink" Target="https://pld.live/RapDetail.aspx?STONELIST=924510234&amp;ISCONFIRM=0" TargetMode="External"/><Relationship Id="rId6129" Type="http://schemas.openxmlformats.org/officeDocument/2006/relationships/hyperlink" Target="https://pld.live/RapDetail.aspx?STONELIST=924930075&amp;ISCONFIRM=0" TargetMode="External"/><Relationship Id="rId6336" Type="http://schemas.openxmlformats.org/officeDocument/2006/relationships/hyperlink" Target="https://pld.live/RapDetail.aspx?STONELIST=925710065&amp;ISCONFIRM=0" TargetMode="External"/><Relationship Id="rId6543" Type="http://schemas.openxmlformats.org/officeDocument/2006/relationships/hyperlink" Target="https://pld.live/RapDetail.aspx?STONELIST=926400571&amp;ISCONFIRM=0" TargetMode="External"/><Relationship Id="rId6750" Type="http://schemas.openxmlformats.org/officeDocument/2006/relationships/hyperlink" Target="https://pld.live/RapDetail.aspx?STONELIST=9413700664&amp;ISCONFIRM=0" TargetMode="External"/><Relationship Id="rId7801" Type="http://schemas.openxmlformats.org/officeDocument/2006/relationships/hyperlink" Target="https://pld.live/RapDetail.aspx?STONELIST=831010820&amp;ISCONFIRM=0" TargetMode="External"/><Relationship Id="rId101" Type="http://schemas.openxmlformats.org/officeDocument/2006/relationships/hyperlink" Target="https://pld.live/RapDetail.aspx?STONELIST=831020553&amp;ISCONFIRM=0" TargetMode="External"/><Relationship Id="rId1688" Type="http://schemas.openxmlformats.org/officeDocument/2006/relationships/hyperlink" Target="https://pld.live/RapDetail.aspx?STONELIST=926671075&amp;ISCONFIRM=0" TargetMode="External"/><Relationship Id="rId1895" Type="http://schemas.openxmlformats.org/officeDocument/2006/relationships/hyperlink" Target="https://pld.live/RapDetail.aspx?STONELIST=941230055&amp;ISCONFIRM=0" TargetMode="External"/><Relationship Id="rId2739" Type="http://schemas.openxmlformats.org/officeDocument/2006/relationships/hyperlink" Target="https://pld.live/RapDetail.aspx?STONELIST=924950401&amp;ISCONFIRM=0" TargetMode="External"/><Relationship Id="rId2946" Type="http://schemas.openxmlformats.org/officeDocument/2006/relationships/hyperlink" Target="https://pld.live/RapDetail.aspx?STONELIST=925900605&amp;ISCONFIRM=0" TargetMode="External"/><Relationship Id="rId4094" Type="http://schemas.openxmlformats.org/officeDocument/2006/relationships/hyperlink" Target="https://pld.live/RapDetail.aspx?STONELIST=926621027&amp;ISCONFIRM=0" TargetMode="External"/><Relationship Id="rId5145" Type="http://schemas.openxmlformats.org/officeDocument/2006/relationships/hyperlink" Target="https://pld.live/RapDetail.aspx?STONELIST=925521448&amp;ISCONFIRM=0" TargetMode="External"/><Relationship Id="rId5352" Type="http://schemas.openxmlformats.org/officeDocument/2006/relationships/hyperlink" Target="https://pld.live/RapDetail.aspx?STONELIST=926581134&amp;ISCONFIRM=0" TargetMode="External"/><Relationship Id="rId6403" Type="http://schemas.openxmlformats.org/officeDocument/2006/relationships/hyperlink" Target="https://pld.live/RapDetail.aspx?STONELIST=821113434&amp;ISCONFIRM=0" TargetMode="External"/><Relationship Id="rId6610" Type="http://schemas.openxmlformats.org/officeDocument/2006/relationships/hyperlink" Target="https://pld.live/RapDetail.aspx?STONELIST=941220208&amp;ISCONFIRM=0" TargetMode="External"/><Relationship Id="rId918" Type="http://schemas.openxmlformats.org/officeDocument/2006/relationships/hyperlink" Target="https://pld.live/RapDetail.aspx?STONELIST=926071828&amp;ISCONFIRM=0" TargetMode="External"/><Relationship Id="rId1548" Type="http://schemas.openxmlformats.org/officeDocument/2006/relationships/hyperlink" Target="https://pld.live/RapDetail.aspx?STONELIST=926280781&amp;ISCONFIRM=0" TargetMode="External"/><Relationship Id="rId1755" Type="http://schemas.openxmlformats.org/officeDocument/2006/relationships/hyperlink" Target="https://pld.live/RapDetail.aspx?STONELIST=926671096&amp;ISCONFIRM=0" TargetMode="External"/><Relationship Id="rId4161" Type="http://schemas.openxmlformats.org/officeDocument/2006/relationships/hyperlink" Target="https://pld.live/RapDetail.aspx?STONELIST=925971250&amp;ISCONFIRM=0" TargetMode="External"/><Relationship Id="rId5005" Type="http://schemas.openxmlformats.org/officeDocument/2006/relationships/hyperlink" Target="https://pld.live/RapDetail.aspx?STONELIST=926071345&amp;ISCONFIRM=0" TargetMode="External"/><Relationship Id="rId5212" Type="http://schemas.openxmlformats.org/officeDocument/2006/relationships/hyperlink" Target="https://pld.live/RapDetail.aspx?STONELIST=925731528&amp;ISCONFIRM=0" TargetMode="External"/><Relationship Id="rId1408" Type="http://schemas.openxmlformats.org/officeDocument/2006/relationships/hyperlink" Target="https://pld.live/RapDetail.aspx?STONELIST=926331722&amp;ISCONFIRM=0" TargetMode="External"/><Relationship Id="rId1962" Type="http://schemas.openxmlformats.org/officeDocument/2006/relationships/hyperlink" Target="https://pld.live/RapDetail.aspx?STONELIST=926101040&amp;ISCONFIRM=0" TargetMode="External"/><Relationship Id="rId2806" Type="http://schemas.openxmlformats.org/officeDocument/2006/relationships/hyperlink" Target="https://pld.live/RapDetail.aspx?STONELIST=925801934&amp;ISCONFIRM=0" TargetMode="External"/><Relationship Id="rId4021" Type="http://schemas.openxmlformats.org/officeDocument/2006/relationships/hyperlink" Target="https://pld.live/RapDetail.aspx?STONELIST=925961324&amp;ISCONFIRM=0" TargetMode="External"/><Relationship Id="rId7177" Type="http://schemas.openxmlformats.org/officeDocument/2006/relationships/hyperlink" Target="https://pld.live/RapDetail.aspx?STONELIST=831020401&amp;ISCONFIRM=0" TargetMode="External"/><Relationship Id="rId7384" Type="http://schemas.openxmlformats.org/officeDocument/2006/relationships/hyperlink" Target="https://pld.live/RapDetail.aspx?STONELIST=926060019&amp;ISCONFIRM=0" TargetMode="External"/><Relationship Id="rId7591" Type="http://schemas.openxmlformats.org/officeDocument/2006/relationships/hyperlink" Target="https://pld.live/RapDetail.aspx?STONELIST=925731749&amp;ISCONFIRM=0" TargetMode="External"/><Relationship Id="rId8228" Type="http://schemas.openxmlformats.org/officeDocument/2006/relationships/hyperlink" Target="https://pld.live/RapDetail.aspx?STONELIST=925140338&amp;ISCONFIRM=0" TargetMode="External"/><Relationship Id="rId47" Type="http://schemas.openxmlformats.org/officeDocument/2006/relationships/hyperlink" Target="https://pld.live/RapDetail.aspx?STONELIST=926010100&amp;ISCONFIRM=0" TargetMode="External"/><Relationship Id="rId1615" Type="http://schemas.openxmlformats.org/officeDocument/2006/relationships/hyperlink" Target="https://pld.live/RapDetail.aspx?STONELIST=941280390&amp;ISCONFIRM=0" TargetMode="External"/><Relationship Id="rId1822" Type="http://schemas.openxmlformats.org/officeDocument/2006/relationships/hyperlink" Target="https://pld.live/RapDetail.aspx?STONELIST=925730874&amp;ISCONFIRM=0" TargetMode="External"/><Relationship Id="rId4978" Type="http://schemas.openxmlformats.org/officeDocument/2006/relationships/hyperlink" Target="https://pld.live/RapDetail.aspx?STONELIST=925621869&amp;ISCONFIRM=0" TargetMode="External"/><Relationship Id="rId6193" Type="http://schemas.openxmlformats.org/officeDocument/2006/relationships/hyperlink" Target="https://pld.live/RapDetail.aspx?STONELIST=927070893&amp;ISCONFIRM=0" TargetMode="External"/><Relationship Id="rId7037" Type="http://schemas.openxmlformats.org/officeDocument/2006/relationships/hyperlink" Target="https://pld.live/RapDetail.aspx?STONELIST=821113178&amp;ISCONFIRM=0" TargetMode="External"/><Relationship Id="rId7244" Type="http://schemas.openxmlformats.org/officeDocument/2006/relationships/hyperlink" Target="https://pld.live/RapDetail.aspx?STONELIST=941090678&amp;ISCONFIRM=0" TargetMode="External"/><Relationship Id="rId3787" Type="http://schemas.openxmlformats.org/officeDocument/2006/relationships/hyperlink" Target="https://pld.live/RapDetail.aspx?STONELIST=941110518&amp;ISCONFIRM=0" TargetMode="External"/><Relationship Id="rId3994" Type="http://schemas.openxmlformats.org/officeDocument/2006/relationships/hyperlink" Target="https://pld.live/RapDetail.aspx?STONELIST=926041290&amp;ISCONFIRM=0" TargetMode="External"/><Relationship Id="rId4838" Type="http://schemas.openxmlformats.org/officeDocument/2006/relationships/hyperlink" Target="https://pld.live/RapDetail.aspx?STONELIST=926100836&amp;ISCONFIRM=0" TargetMode="External"/><Relationship Id="rId6053" Type="http://schemas.openxmlformats.org/officeDocument/2006/relationships/hyperlink" Target="https://pld.live/RapDetail.aspx?STONELIST=924370407&amp;ISCONFIRM=0" TargetMode="External"/><Relationship Id="rId7451" Type="http://schemas.openxmlformats.org/officeDocument/2006/relationships/hyperlink" Target="https://pld.live/RapDetail.aspx?STONELIST=925771276&amp;ISCONFIRM=0" TargetMode="External"/><Relationship Id="rId2389" Type="http://schemas.openxmlformats.org/officeDocument/2006/relationships/hyperlink" Target="https://pld.live/RapDetail.aspx?STONELIST=920661349&amp;ISCONFIRM=0" TargetMode="External"/><Relationship Id="rId2596" Type="http://schemas.openxmlformats.org/officeDocument/2006/relationships/hyperlink" Target="https://pld.live/RapDetail.aspx?STONELIST=926180990&amp;ISCONFIRM=0" TargetMode="External"/><Relationship Id="rId3647" Type="http://schemas.openxmlformats.org/officeDocument/2006/relationships/hyperlink" Target="https://pld.live/RapDetail.aspx?STONELIST=925680117&amp;ISCONFIRM=0" TargetMode="External"/><Relationship Id="rId3854" Type="http://schemas.openxmlformats.org/officeDocument/2006/relationships/hyperlink" Target="https://pld.live/RapDetail.aspx?STONELIST=926171069&amp;ISCONFIRM=0" TargetMode="External"/><Relationship Id="rId4905" Type="http://schemas.openxmlformats.org/officeDocument/2006/relationships/hyperlink" Target="https://pld.live/RapDetail.aspx?STONELIST=925501963&amp;ISCONFIRM=0" TargetMode="External"/><Relationship Id="rId6260" Type="http://schemas.openxmlformats.org/officeDocument/2006/relationships/hyperlink" Target="https://pld.live/RapDetail.aspx?STONELIST=941110571&amp;ISCONFIRM=0" TargetMode="External"/><Relationship Id="rId7104" Type="http://schemas.openxmlformats.org/officeDocument/2006/relationships/hyperlink" Target="https://pld.live/RapDetail.aspx?STONELIST=941161047&amp;ISCONFIRM=0" TargetMode="External"/><Relationship Id="rId7311" Type="http://schemas.openxmlformats.org/officeDocument/2006/relationships/hyperlink" Target="https://pld.live/RapDetail.aspx?STONELIST=927070920&amp;ISCONFIRM=0" TargetMode="External"/><Relationship Id="rId568" Type="http://schemas.openxmlformats.org/officeDocument/2006/relationships/hyperlink" Target="https://pld.live/RapDetail.aspx?STONELIST=927000523&amp;ISCONFIRM=0" TargetMode="External"/><Relationship Id="rId775" Type="http://schemas.openxmlformats.org/officeDocument/2006/relationships/hyperlink" Target="https://pld.live/RapDetail.aspx?STONELIST=926071340&amp;ISCONFIRM=0" TargetMode="External"/><Relationship Id="rId982" Type="http://schemas.openxmlformats.org/officeDocument/2006/relationships/hyperlink" Target="https://pld.live/RapDetail.aspx?STONELIST=926631036&amp;ISCONFIRM=0" TargetMode="External"/><Relationship Id="rId1198" Type="http://schemas.openxmlformats.org/officeDocument/2006/relationships/hyperlink" Target="https://pld.live/RapDetail.aspx?STONELIST=941040332&amp;ISCONFIRM=0" TargetMode="External"/><Relationship Id="rId2249" Type="http://schemas.openxmlformats.org/officeDocument/2006/relationships/hyperlink" Target="https://pld.live/RapDetail.aspx?STONELIST=941230069&amp;ISCONFIRM=0" TargetMode="External"/><Relationship Id="rId2456" Type="http://schemas.openxmlformats.org/officeDocument/2006/relationships/hyperlink" Target="https://pld.live/RapDetail.aspx?STONELIST=926980681&amp;ISCONFIRM=0" TargetMode="External"/><Relationship Id="rId2663" Type="http://schemas.openxmlformats.org/officeDocument/2006/relationships/hyperlink" Target="https://pld.live/RapDetail.aspx?STONELIST=926141359&amp;ISCONFIRM=0" TargetMode="External"/><Relationship Id="rId2870" Type="http://schemas.openxmlformats.org/officeDocument/2006/relationships/hyperlink" Target="https://pld.live/RapDetail.aspx?STONELIST=926200330&amp;ISCONFIRM=0" TargetMode="External"/><Relationship Id="rId3507" Type="http://schemas.openxmlformats.org/officeDocument/2006/relationships/hyperlink" Target="https://pld.live/RapDetail.aspx?STONELIST=926210842&amp;ISCONFIRM=0" TargetMode="External"/><Relationship Id="rId3714" Type="http://schemas.openxmlformats.org/officeDocument/2006/relationships/hyperlink" Target="https://pld.live/RapDetail.aspx?STONELIST=922130081&amp;ISCONFIRM=0" TargetMode="External"/><Relationship Id="rId3921" Type="http://schemas.openxmlformats.org/officeDocument/2006/relationships/hyperlink" Target="https://pld.live/RapDetail.aspx?STONELIST=925540683&amp;ISCONFIRM=0" TargetMode="External"/><Relationship Id="rId6120" Type="http://schemas.openxmlformats.org/officeDocument/2006/relationships/hyperlink" Target="https://pld.live/RapDetail.aspx?STONELIST=925660149&amp;ISCONFIRM=0" TargetMode="External"/><Relationship Id="rId428" Type="http://schemas.openxmlformats.org/officeDocument/2006/relationships/hyperlink" Target="https://pld.live/RapDetail.aspx?STONELIST=831010629&amp;ISCONFIRM=0" TargetMode="External"/><Relationship Id="rId635" Type="http://schemas.openxmlformats.org/officeDocument/2006/relationships/hyperlink" Target="https://pld.live/RapDetail.aspx?STONELIST=925862042&amp;ISCONFIRM=0" TargetMode="External"/><Relationship Id="rId842" Type="http://schemas.openxmlformats.org/officeDocument/2006/relationships/hyperlink" Target="https://pld.live/RapDetail.aspx?STONELIST=821127470&amp;ISCONFIRM=0" TargetMode="External"/><Relationship Id="rId1058" Type="http://schemas.openxmlformats.org/officeDocument/2006/relationships/hyperlink" Target="https://pld.live/RapDetail.aspx?STONELIST=926741062&amp;ISCONFIRM=0" TargetMode="External"/><Relationship Id="rId1265" Type="http://schemas.openxmlformats.org/officeDocument/2006/relationships/hyperlink" Target="https://pld.live/RapDetail.aspx?STONELIST=941170173&amp;ISCONFIRM=0" TargetMode="External"/><Relationship Id="rId1472" Type="http://schemas.openxmlformats.org/officeDocument/2006/relationships/hyperlink" Target="https://pld.live/RapDetail.aspx?STONELIST=926221412&amp;ISCONFIRM=0" TargetMode="External"/><Relationship Id="rId2109" Type="http://schemas.openxmlformats.org/officeDocument/2006/relationships/hyperlink" Target="https://pld.live/RapDetail.aspx?STONELIST=926080979&amp;ISCONFIRM=0" TargetMode="External"/><Relationship Id="rId2316" Type="http://schemas.openxmlformats.org/officeDocument/2006/relationships/hyperlink" Target="https://pld.live/RapDetail.aspx?STONELIST=941330314&amp;ISCONFIRM=0" TargetMode="External"/><Relationship Id="rId2523" Type="http://schemas.openxmlformats.org/officeDocument/2006/relationships/hyperlink" Target="https://pld.live/RapDetail.aspx?STONELIST=926391246&amp;ISCONFIRM=0" TargetMode="External"/><Relationship Id="rId2730" Type="http://schemas.openxmlformats.org/officeDocument/2006/relationships/hyperlink" Target="https://pld.live/RapDetail.aspx?STONELIST=922480055&amp;ISCONFIRM=0" TargetMode="External"/><Relationship Id="rId5679" Type="http://schemas.openxmlformats.org/officeDocument/2006/relationships/hyperlink" Target="https://pld.live/RapDetail.aspx?STONELIST=924410887&amp;ISCONFIRM=0" TargetMode="External"/><Relationship Id="rId5886" Type="http://schemas.openxmlformats.org/officeDocument/2006/relationships/hyperlink" Target="https://pld.live/RapDetail.aspx?STONELIST=925951326&amp;ISCONFIRM=0" TargetMode="External"/><Relationship Id="rId8085" Type="http://schemas.openxmlformats.org/officeDocument/2006/relationships/hyperlink" Target="https://pld.live/RapDetail.aspx?STONELIST=925300334&amp;ISCONFIRM=0" TargetMode="External"/><Relationship Id="rId702" Type="http://schemas.openxmlformats.org/officeDocument/2006/relationships/hyperlink" Target="https://pld.live/RapDetail.aspx?STONELIST=821127652&amp;ISCONFIRM=0" TargetMode="External"/><Relationship Id="rId1125" Type="http://schemas.openxmlformats.org/officeDocument/2006/relationships/hyperlink" Target="https://pld.live/RapDetail.aspx?STONELIST=926831081&amp;ISCONFIRM=0" TargetMode="External"/><Relationship Id="rId1332" Type="http://schemas.openxmlformats.org/officeDocument/2006/relationships/hyperlink" Target="https://pld.live/RapDetail.aspx?STONELIST=941170032&amp;ISCONFIRM=0" TargetMode="External"/><Relationship Id="rId4488" Type="http://schemas.openxmlformats.org/officeDocument/2006/relationships/hyperlink" Target="https://pld.live/RapDetail.aspx?STONELIST=941190178&amp;ISCONFIRM=0" TargetMode="External"/><Relationship Id="rId4695" Type="http://schemas.openxmlformats.org/officeDocument/2006/relationships/hyperlink" Target="https://pld.live/RapDetail.aspx?STONELIST=941220293&amp;ISCONFIRM=0" TargetMode="External"/><Relationship Id="rId5539" Type="http://schemas.openxmlformats.org/officeDocument/2006/relationships/hyperlink" Target="https://pld.live/RapDetail.aspx?STONELIST=926250484&amp;ISCONFIRM=0" TargetMode="External"/><Relationship Id="rId6937" Type="http://schemas.openxmlformats.org/officeDocument/2006/relationships/hyperlink" Target="https://pld.live/RapDetail.aspx?STONELIST=926921350&amp;ISCONFIRM=0" TargetMode="External"/><Relationship Id="rId8152" Type="http://schemas.openxmlformats.org/officeDocument/2006/relationships/hyperlink" Target="https://pld.live/RapDetail.aspx?STONELIST=927140431&amp;ISCONFIRM=0" TargetMode="External"/><Relationship Id="rId3297" Type="http://schemas.openxmlformats.org/officeDocument/2006/relationships/hyperlink" Target="https://pld.live/RapDetail.aspx?STONELIST=926010225&amp;ISCONFIRM=0" TargetMode="External"/><Relationship Id="rId4348" Type="http://schemas.openxmlformats.org/officeDocument/2006/relationships/hyperlink" Target="https://pld.live/RapDetail.aspx?STONELIST=926071744&amp;ISCONFIRM=0" TargetMode="External"/><Relationship Id="rId5746" Type="http://schemas.openxmlformats.org/officeDocument/2006/relationships/hyperlink" Target="https://pld.live/RapDetail.aspx?STONELIST=941270745&amp;ISCONFIRM=0" TargetMode="External"/><Relationship Id="rId5953" Type="http://schemas.openxmlformats.org/officeDocument/2006/relationships/hyperlink" Target="https://pld.live/RapDetail.aspx?STONELIST=941071383&amp;ISCONFIRM=0" TargetMode="External"/><Relationship Id="rId8012" Type="http://schemas.openxmlformats.org/officeDocument/2006/relationships/hyperlink" Target="https://pld.live/RapDetail.aspx?STONELIST=925750665&amp;ISCONFIRM=0" TargetMode="External"/><Relationship Id="rId3157" Type="http://schemas.openxmlformats.org/officeDocument/2006/relationships/hyperlink" Target="https://pld.live/RapDetail.aspx?STONELIST=926210536&amp;ISCONFIRM=0" TargetMode="External"/><Relationship Id="rId4555" Type="http://schemas.openxmlformats.org/officeDocument/2006/relationships/hyperlink" Target="https://pld.live/RapDetail.aspx?STONELIST=925791362&amp;ISCONFIRM=0" TargetMode="External"/><Relationship Id="rId4762" Type="http://schemas.openxmlformats.org/officeDocument/2006/relationships/hyperlink" Target="https://pld.live/RapDetail.aspx?STONELIST=924930055&amp;ISCONFIRM=0" TargetMode="External"/><Relationship Id="rId5606" Type="http://schemas.openxmlformats.org/officeDocument/2006/relationships/hyperlink" Target="https://pld.live/RapDetail.aspx?STONELIST=924370484&amp;ISCONFIRM=0" TargetMode="External"/><Relationship Id="rId5813" Type="http://schemas.openxmlformats.org/officeDocument/2006/relationships/hyperlink" Target="https://pld.live/RapDetail.aspx?STONELIST=926130130&amp;ISCONFIRM=0" TargetMode="External"/><Relationship Id="rId285" Type="http://schemas.openxmlformats.org/officeDocument/2006/relationships/hyperlink" Target="https://pld.live/RapDetail.aspx?STONELIST=925971222&amp;ISCONFIRM=0" TargetMode="External"/><Relationship Id="rId3364" Type="http://schemas.openxmlformats.org/officeDocument/2006/relationships/hyperlink" Target="https://pld.live/RapDetail.aspx?STONELIST=926020796&amp;ISCONFIRM=0" TargetMode="External"/><Relationship Id="rId3571" Type="http://schemas.openxmlformats.org/officeDocument/2006/relationships/hyperlink" Target="https://pld.live/RapDetail.aspx?STONELIST=941220323&amp;ISCONFIRM=0" TargetMode="External"/><Relationship Id="rId4208" Type="http://schemas.openxmlformats.org/officeDocument/2006/relationships/hyperlink" Target="https://pld.live/RapDetail.aspx?STONELIST=821125449&amp;ISCONFIRM=0" TargetMode="External"/><Relationship Id="rId4415" Type="http://schemas.openxmlformats.org/officeDocument/2006/relationships/hyperlink" Target="https://pld.live/RapDetail.aspx?STONELIST=925290534&amp;ISCONFIRM=0" TargetMode="External"/><Relationship Id="rId4622" Type="http://schemas.openxmlformats.org/officeDocument/2006/relationships/hyperlink" Target="https://pld.live/RapDetail.aspx?STONELIST=941040330&amp;ISCONFIRM=0" TargetMode="External"/><Relationship Id="rId7778" Type="http://schemas.openxmlformats.org/officeDocument/2006/relationships/hyperlink" Target="https://pld.live/RapDetail.aspx?STONELIST=926930893&amp;ISCONFIRM=0" TargetMode="External"/><Relationship Id="rId7985" Type="http://schemas.openxmlformats.org/officeDocument/2006/relationships/hyperlink" Target="https://pld.live/RapDetail.aspx?STONELIST=926831123&amp;ISCONFIRM=0" TargetMode="External"/><Relationship Id="rId492" Type="http://schemas.openxmlformats.org/officeDocument/2006/relationships/hyperlink" Target="https://pld.live/RapDetail.aspx?STONELIST=925862004&amp;ISCONFIRM=0" TargetMode="External"/><Relationship Id="rId2173" Type="http://schemas.openxmlformats.org/officeDocument/2006/relationships/hyperlink" Target="https://pld.live/RapDetail.aspx?STONELIST=941390452&amp;ISCONFIRM=0" TargetMode="External"/><Relationship Id="rId2380" Type="http://schemas.openxmlformats.org/officeDocument/2006/relationships/hyperlink" Target="https://pld.live/RapDetail.aspx?STONELIST=925610053&amp;ISCONFIRM=0" TargetMode="External"/><Relationship Id="rId3017" Type="http://schemas.openxmlformats.org/officeDocument/2006/relationships/hyperlink" Target="https://pld.live/RapDetail.aspx?STONELIST=926310445&amp;ISCONFIRM=0" TargetMode="External"/><Relationship Id="rId3224" Type="http://schemas.openxmlformats.org/officeDocument/2006/relationships/hyperlink" Target="https://pld.live/RapDetail.aspx?STONELIST=926220831&amp;ISCONFIRM=0" TargetMode="External"/><Relationship Id="rId3431" Type="http://schemas.openxmlformats.org/officeDocument/2006/relationships/hyperlink" Target="https://pld.live/RapDetail.aspx?STONELIST=925521957&amp;ISCONFIRM=0" TargetMode="External"/><Relationship Id="rId6587" Type="http://schemas.openxmlformats.org/officeDocument/2006/relationships/hyperlink" Target="https://pld.live/RapDetail.aspx?STONELIST=941140787&amp;ISCONFIRM=0" TargetMode="External"/><Relationship Id="rId6794" Type="http://schemas.openxmlformats.org/officeDocument/2006/relationships/hyperlink" Target="https://pld.live/RapDetail.aspx?STONELIST=821115809&amp;ISCONFIRM=0" TargetMode="External"/><Relationship Id="rId7638" Type="http://schemas.openxmlformats.org/officeDocument/2006/relationships/hyperlink" Target="https://pld.live/RapDetail.aspx?STONELIST=926921447&amp;ISCONFIRM=0" TargetMode="External"/><Relationship Id="rId7845" Type="http://schemas.openxmlformats.org/officeDocument/2006/relationships/hyperlink" Target="https://pld.live/RapDetail.aspx?STONELIST=924690186&amp;ISCONFIRM=0" TargetMode="External"/><Relationship Id="rId145" Type="http://schemas.openxmlformats.org/officeDocument/2006/relationships/hyperlink" Target="https://pld.live/RapDetail.aspx?STONELIST=926980643&amp;ISCONFIRM=0" TargetMode="External"/><Relationship Id="rId352" Type="http://schemas.openxmlformats.org/officeDocument/2006/relationships/hyperlink" Target="https://pld.live/RapDetail.aspx?STONELIST=927170001&amp;ISCONFIRM=0" TargetMode="External"/><Relationship Id="rId2033" Type="http://schemas.openxmlformats.org/officeDocument/2006/relationships/hyperlink" Target="https://pld.live/RapDetail.aspx?STONELIST=927091854&amp;ISCONFIRM=0" TargetMode="External"/><Relationship Id="rId2240" Type="http://schemas.openxmlformats.org/officeDocument/2006/relationships/hyperlink" Target="https://pld.live/RapDetail.aspx?STONELIST=926231022&amp;ISCONFIRM=0" TargetMode="External"/><Relationship Id="rId5189" Type="http://schemas.openxmlformats.org/officeDocument/2006/relationships/hyperlink" Target="https://pld.live/RapDetail.aspx?STONELIST=925732002&amp;ISCONFIRM=0" TargetMode="External"/><Relationship Id="rId5396" Type="http://schemas.openxmlformats.org/officeDocument/2006/relationships/hyperlink" Target="https://pld.live/RapDetail.aspx?STONELIST=926870823&amp;ISCONFIRM=0" TargetMode="External"/><Relationship Id="rId6447" Type="http://schemas.openxmlformats.org/officeDocument/2006/relationships/hyperlink" Target="https://pld.live/RapDetail.aspx?STONELIST=926930850&amp;ISCONFIRM=0" TargetMode="External"/><Relationship Id="rId6654" Type="http://schemas.openxmlformats.org/officeDocument/2006/relationships/hyperlink" Target="https://pld.live/RapDetail.aspx?STONELIST=927052748&amp;ISCONFIRM=0" TargetMode="External"/><Relationship Id="rId6861" Type="http://schemas.openxmlformats.org/officeDocument/2006/relationships/hyperlink" Target="https://pld.live/RapDetail.aspx?STONELIST=926910588&amp;ISCONFIRM=0" TargetMode="External"/><Relationship Id="rId7705" Type="http://schemas.openxmlformats.org/officeDocument/2006/relationships/hyperlink" Target="https://pld.live/RapDetail.aspx?STONELIST=941270778&amp;ISCONFIRM=0" TargetMode="External"/><Relationship Id="rId212" Type="http://schemas.openxmlformats.org/officeDocument/2006/relationships/hyperlink" Target="https://pld.live/RapDetail.aspx?STONELIST=926360224&amp;ISCONFIRM=0" TargetMode="External"/><Relationship Id="rId1799" Type="http://schemas.openxmlformats.org/officeDocument/2006/relationships/hyperlink" Target="https://pld.live/RapDetail.aspx?STONELIST=821128462&amp;ISCONFIRM=0" TargetMode="External"/><Relationship Id="rId2100" Type="http://schemas.openxmlformats.org/officeDocument/2006/relationships/hyperlink" Target="https://pld.live/RapDetail.aspx?STONELIST=941390355&amp;ISCONFIRM=0" TargetMode="External"/><Relationship Id="rId5049" Type="http://schemas.openxmlformats.org/officeDocument/2006/relationships/hyperlink" Target="https://pld.live/RapDetail.aspx?STONELIST=924700005&amp;ISCONFIRM=0" TargetMode="External"/><Relationship Id="rId5256" Type="http://schemas.openxmlformats.org/officeDocument/2006/relationships/hyperlink" Target="https://pld.live/RapDetail.aspx?STONELIST=924350707&amp;ISCONFIRM=0" TargetMode="External"/><Relationship Id="rId5463" Type="http://schemas.openxmlformats.org/officeDocument/2006/relationships/hyperlink" Target="https://pld.live/RapDetail.aspx?STONELIST=924350714&amp;ISCONFIRM=0" TargetMode="External"/><Relationship Id="rId5670" Type="http://schemas.openxmlformats.org/officeDocument/2006/relationships/hyperlink" Target="https://pld.live/RapDetail.aspx?STONELIST=924900228&amp;ISCONFIRM=0" TargetMode="External"/><Relationship Id="rId6307" Type="http://schemas.openxmlformats.org/officeDocument/2006/relationships/hyperlink" Target="https://pld.live/RapDetail.aspx?STONELIST=927140424&amp;ISCONFIRM=0" TargetMode="External"/><Relationship Id="rId6514" Type="http://schemas.openxmlformats.org/officeDocument/2006/relationships/hyperlink" Target="https://pld.live/RapDetail.aspx?STONELIST=927140391&amp;ISCONFIRM=0" TargetMode="External"/><Relationship Id="rId7912" Type="http://schemas.openxmlformats.org/officeDocument/2006/relationships/hyperlink" Target="https://pld.live/RapDetail.aspx?STONELIST=941020748&amp;ISCONFIRM=0" TargetMode="External"/><Relationship Id="rId4065" Type="http://schemas.openxmlformats.org/officeDocument/2006/relationships/hyperlink" Target="https://pld.live/RapDetail.aspx?STONELIST=926200720&amp;ISCONFIRM=0" TargetMode="External"/><Relationship Id="rId4272" Type="http://schemas.openxmlformats.org/officeDocument/2006/relationships/hyperlink" Target="https://pld.live/RapDetail.aspx?STONELIST=927010782&amp;ISCONFIRM=0" TargetMode="External"/><Relationship Id="rId5116" Type="http://schemas.openxmlformats.org/officeDocument/2006/relationships/hyperlink" Target="https://pld.live/RapDetail.aspx?STONELIST=925731622&amp;ISCONFIRM=0" TargetMode="External"/><Relationship Id="rId5323" Type="http://schemas.openxmlformats.org/officeDocument/2006/relationships/hyperlink" Target="https://pld.live/RapDetail.aspx?STONELIST=941351046&amp;ISCONFIRM=0" TargetMode="External"/><Relationship Id="rId6721" Type="http://schemas.openxmlformats.org/officeDocument/2006/relationships/hyperlink" Target="https://pld.live/RapDetail.aspx?STONELIST=941021795&amp;ISCONFIRM=0" TargetMode="External"/><Relationship Id="rId1659" Type="http://schemas.openxmlformats.org/officeDocument/2006/relationships/hyperlink" Target="https://pld.live/RapDetail.aspx?STONELIST=925870535&amp;ISCONFIRM=0" TargetMode="External"/><Relationship Id="rId1866" Type="http://schemas.openxmlformats.org/officeDocument/2006/relationships/hyperlink" Target="https://pld.live/RapDetail.aspx?STONELIST=941220209&amp;ISCONFIRM=0" TargetMode="External"/><Relationship Id="rId2917" Type="http://schemas.openxmlformats.org/officeDocument/2006/relationships/hyperlink" Target="https://pld.live/RapDetail.aspx?STONELIST=925080515&amp;ISCONFIRM=0" TargetMode="External"/><Relationship Id="rId3081" Type="http://schemas.openxmlformats.org/officeDocument/2006/relationships/hyperlink" Target="https://pld.live/RapDetail.aspx?STONELIST=926111193&amp;ISCONFIRM=0" TargetMode="External"/><Relationship Id="rId4132" Type="http://schemas.openxmlformats.org/officeDocument/2006/relationships/hyperlink" Target="https://pld.live/RapDetail.aspx?STONELIST=925732027&amp;ISCONFIRM=0" TargetMode="External"/><Relationship Id="rId5530" Type="http://schemas.openxmlformats.org/officeDocument/2006/relationships/hyperlink" Target="https://pld.live/RapDetail.aspx?STONELIST=926060001&amp;ISCONFIRM=0" TargetMode="External"/><Relationship Id="rId7288" Type="http://schemas.openxmlformats.org/officeDocument/2006/relationships/hyperlink" Target="https://pld.live/RapDetail.aspx?STONELIST=926780063&amp;ISCONFIRM=0" TargetMode="External"/><Relationship Id="rId1519" Type="http://schemas.openxmlformats.org/officeDocument/2006/relationships/hyperlink" Target="https://pld.live/RapDetail.aspx?STONELIST=926291556&amp;ISCONFIRM=0" TargetMode="External"/><Relationship Id="rId1726" Type="http://schemas.openxmlformats.org/officeDocument/2006/relationships/hyperlink" Target="https://pld.live/RapDetail.aspx?STONELIST=941190181&amp;ISCONFIRM=0" TargetMode="External"/><Relationship Id="rId1933" Type="http://schemas.openxmlformats.org/officeDocument/2006/relationships/hyperlink" Target="https://pld.live/RapDetail.aspx?STONELIST=925910810&amp;ISCONFIRM=0" TargetMode="External"/><Relationship Id="rId6097" Type="http://schemas.openxmlformats.org/officeDocument/2006/relationships/hyperlink" Target="https://pld.live/RapDetail.aspx?STONELIST=926470473&amp;ISCONFIRM=0" TargetMode="External"/><Relationship Id="rId7495" Type="http://schemas.openxmlformats.org/officeDocument/2006/relationships/hyperlink" Target="https://pld.live/RapDetail.aspx?STONELIST=925802020&amp;ISCONFIRM=0" TargetMode="External"/><Relationship Id="rId18" Type="http://schemas.openxmlformats.org/officeDocument/2006/relationships/hyperlink" Target="https://pld.live/RapDetail.aspx?STONELIST=941330348&amp;ISCONFIRM=0" TargetMode="External"/><Relationship Id="rId3898" Type="http://schemas.openxmlformats.org/officeDocument/2006/relationships/hyperlink" Target="https://pld.live/RapDetail.aspx?STONELIST=925980907&amp;ISCONFIRM=0" TargetMode="External"/><Relationship Id="rId4949" Type="http://schemas.openxmlformats.org/officeDocument/2006/relationships/hyperlink" Target="https://pld.live/RapDetail.aspx?STONELIST=926040725&amp;ISCONFIRM=0" TargetMode="External"/><Relationship Id="rId7148" Type="http://schemas.openxmlformats.org/officeDocument/2006/relationships/hyperlink" Target="https://pld.live/RapDetail.aspx?STONELIST=926360312&amp;ISCONFIRM=0" TargetMode="External"/><Relationship Id="rId7355" Type="http://schemas.openxmlformats.org/officeDocument/2006/relationships/hyperlink" Target="https://pld.live/RapDetail.aspx?STONELIST=941330587&amp;ISCONFIRM=0" TargetMode="External"/><Relationship Id="rId7562" Type="http://schemas.openxmlformats.org/officeDocument/2006/relationships/hyperlink" Target="https://pld.live/RapDetail.aspx?STONELIST=925801727&amp;ISCONFIRM=0" TargetMode="External"/><Relationship Id="rId3758" Type="http://schemas.openxmlformats.org/officeDocument/2006/relationships/hyperlink" Target="https://pld.live/RapDetail.aspx?STONELIST=941431183&amp;ISCONFIRM=0" TargetMode="External"/><Relationship Id="rId3965" Type="http://schemas.openxmlformats.org/officeDocument/2006/relationships/hyperlink" Target="https://pld.live/RapDetail.aspx?STONELIST=925270536&amp;ISCONFIRM=0" TargetMode="External"/><Relationship Id="rId4809" Type="http://schemas.openxmlformats.org/officeDocument/2006/relationships/hyperlink" Target="https://pld.live/RapDetail.aspx?STONELIST=925050154&amp;ISCONFIRM=0" TargetMode="External"/><Relationship Id="rId6164" Type="http://schemas.openxmlformats.org/officeDocument/2006/relationships/hyperlink" Target="https://pld.live/RapDetail.aspx?STONELIST=941220270&amp;ISCONFIRM=0" TargetMode="External"/><Relationship Id="rId6371" Type="http://schemas.openxmlformats.org/officeDocument/2006/relationships/hyperlink" Target="https://pld.live/RapDetail.aspx?STONELIST=925710202&amp;ISCONFIRM=0" TargetMode="External"/><Relationship Id="rId7008" Type="http://schemas.openxmlformats.org/officeDocument/2006/relationships/hyperlink" Target="https://pld.live/RapDetail.aspx?STONELIST=926680879&amp;ISCONFIRM=0" TargetMode="External"/><Relationship Id="rId7215" Type="http://schemas.openxmlformats.org/officeDocument/2006/relationships/hyperlink" Target="https://pld.live/RapDetail.aspx?STONELIST=821113013&amp;ISCONFIRM=0" TargetMode="External"/><Relationship Id="rId7422" Type="http://schemas.openxmlformats.org/officeDocument/2006/relationships/hyperlink" Target="https://pld.live/RapDetail.aspx?STONELIST=923460273&amp;ISCONFIRM=0" TargetMode="External"/><Relationship Id="rId679" Type="http://schemas.openxmlformats.org/officeDocument/2006/relationships/hyperlink" Target="https://pld.live/RapDetail.aspx?STONELIST=926101258&amp;ISCONFIRM=0" TargetMode="External"/><Relationship Id="rId886" Type="http://schemas.openxmlformats.org/officeDocument/2006/relationships/hyperlink" Target="https://pld.live/RapDetail.aspx?STONELIST=926071788&amp;ISCONFIRM=0" TargetMode="External"/><Relationship Id="rId2567" Type="http://schemas.openxmlformats.org/officeDocument/2006/relationships/hyperlink" Target="https://pld.live/RapDetail.aspx?STONELIST=926191085&amp;ISCONFIRM=0" TargetMode="External"/><Relationship Id="rId2774" Type="http://schemas.openxmlformats.org/officeDocument/2006/relationships/hyperlink" Target="https://pld.live/RapDetail.aspx?STONELIST=923980470&amp;ISCONFIRM=0" TargetMode="External"/><Relationship Id="rId3618" Type="http://schemas.openxmlformats.org/officeDocument/2006/relationships/hyperlink" Target="https://pld.live/RapDetail.aspx?STONELIST=925630453&amp;ISCONFIRM=0" TargetMode="External"/><Relationship Id="rId5180" Type="http://schemas.openxmlformats.org/officeDocument/2006/relationships/hyperlink" Target="https://pld.live/RapDetail.aspx?STONELIST=926740690&amp;ISCONFIRM=0" TargetMode="External"/><Relationship Id="rId6024" Type="http://schemas.openxmlformats.org/officeDocument/2006/relationships/hyperlink" Target="https://pld.live/RapDetail.aspx?STONELIST=941261120&amp;ISCONFIRM=0" TargetMode="External"/><Relationship Id="rId6231" Type="http://schemas.openxmlformats.org/officeDocument/2006/relationships/hyperlink" Target="https://pld.live/RapDetail.aspx?STONELIST=941150077&amp;ISCONFIRM=0" TargetMode="External"/><Relationship Id="rId2" Type="http://schemas.openxmlformats.org/officeDocument/2006/relationships/hyperlink" Target="https://pld.live/RapDetail.aspx?STONELIST=924360019&amp;ISCONFIRM=0" TargetMode="External"/><Relationship Id="rId539" Type="http://schemas.openxmlformats.org/officeDocument/2006/relationships/hyperlink" Target="https://pld.live/RapDetail.aspx?STONELIST=927052029&amp;ISCONFIRM=0" TargetMode="External"/><Relationship Id="rId746" Type="http://schemas.openxmlformats.org/officeDocument/2006/relationships/hyperlink" Target="https://pld.live/RapDetail.aspx?STONELIST=821127521&amp;ISCONFIRM=0" TargetMode="External"/><Relationship Id="rId1169" Type="http://schemas.openxmlformats.org/officeDocument/2006/relationships/hyperlink" Target="https://pld.live/RapDetail.aspx?STONELIST=941070870&amp;ISCONFIRM=0" TargetMode="External"/><Relationship Id="rId1376" Type="http://schemas.openxmlformats.org/officeDocument/2006/relationships/hyperlink" Target="https://pld.live/RapDetail.aspx?STONELIST=926311240&amp;ISCONFIRM=0" TargetMode="External"/><Relationship Id="rId1583" Type="http://schemas.openxmlformats.org/officeDocument/2006/relationships/hyperlink" Target="https://pld.live/RapDetail.aspx?STONELIST=925900577&amp;ISCONFIRM=0" TargetMode="External"/><Relationship Id="rId2427" Type="http://schemas.openxmlformats.org/officeDocument/2006/relationships/hyperlink" Target="https://pld.live/RapDetail.aspx?STONELIST=831010537&amp;ISCONFIRM=0" TargetMode="External"/><Relationship Id="rId2981" Type="http://schemas.openxmlformats.org/officeDocument/2006/relationships/hyperlink" Target="https://pld.live/RapDetail.aspx?STONELIST=926210876&amp;ISCONFIRM=0" TargetMode="External"/><Relationship Id="rId3825" Type="http://schemas.openxmlformats.org/officeDocument/2006/relationships/hyperlink" Target="https://pld.live/RapDetail.aspx?STONELIST=9414301325&amp;ISCONFIRM=0" TargetMode="External"/><Relationship Id="rId5040" Type="http://schemas.openxmlformats.org/officeDocument/2006/relationships/hyperlink" Target="https://pld.live/RapDetail.aspx?STONELIST=925890409&amp;ISCONFIRM=0" TargetMode="External"/><Relationship Id="rId8196" Type="http://schemas.openxmlformats.org/officeDocument/2006/relationships/hyperlink" Target="https://pld.live/RapDetail.aspx?STONELIST=926820126&amp;ISCONFIRM=0" TargetMode="External"/><Relationship Id="rId953" Type="http://schemas.openxmlformats.org/officeDocument/2006/relationships/hyperlink" Target="https://pld.live/RapDetail.aspx?STONELIST=925940486&amp;ISCONFIRM=0" TargetMode="External"/><Relationship Id="rId1029" Type="http://schemas.openxmlformats.org/officeDocument/2006/relationships/hyperlink" Target="https://pld.live/RapDetail.aspx?STONELIST=926831096&amp;ISCONFIRM=0" TargetMode="External"/><Relationship Id="rId1236" Type="http://schemas.openxmlformats.org/officeDocument/2006/relationships/hyperlink" Target="https://pld.live/RapDetail.aspx?STONELIST=926111111&amp;ISCONFIRM=0" TargetMode="External"/><Relationship Id="rId1790" Type="http://schemas.openxmlformats.org/officeDocument/2006/relationships/hyperlink" Target="https://pld.live/RapDetail.aspx?STONELIST=941220084&amp;ISCONFIRM=0" TargetMode="External"/><Relationship Id="rId2634" Type="http://schemas.openxmlformats.org/officeDocument/2006/relationships/hyperlink" Target="https://pld.live/RapDetail.aspx?STONELIST=926731241&amp;ISCONFIRM=0" TargetMode="External"/><Relationship Id="rId2841" Type="http://schemas.openxmlformats.org/officeDocument/2006/relationships/hyperlink" Target="https://pld.live/RapDetail.aspx?STONELIST=925961380&amp;ISCONFIRM=0" TargetMode="External"/><Relationship Id="rId5997" Type="http://schemas.openxmlformats.org/officeDocument/2006/relationships/hyperlink" Target="https://pld.live/RapDetail.aspx?STONELIST=927140507&amp;ISCONFIRM=0" TargetMode="External"/><Relationship Id="rId8056" Type="http://schemas.openxmlformats.org/officeDocument/2006/relationships/hyperlink" Target="https://pld.live/RapDetail.aspx?STONELIST=926350166&amp;ISCONFIRM=0" TargetMode="External"/><Relationship Id="rId82" Type="http://schemas.openxmlformats.org/officeDocument/2006/relationships/hyperlink" Target="https://pld.live/RapDetail.aspx?STONELIST=926540046&amp;ISCONFIRM=0" TargetMode="External"/><Relationship Id="rId606" Type="http://schemas.openxmlformats.org/officeDocument/2006/relationships/hyperlink" Target="https://pld.live/RapDetail.aspx?STONELIST=925620973&amp;ISCONFIRM=0" TargetMode="External"/><Relationship Id="rId813" Type="http://schemas.openxmlformats.org/officeDocument/2006/relationships/hyperlink" Target="https://pld.live/RapDetail.aspx?STONELIST=926071263&amp;ISCONFIRM=0" TargetMode="External"/><Relationship Id="rId1443" Type="http://schemas.openxmlformats.org/officeDocument/2006/relationships/hyperlink" Target="https://pld.live/RapDetail.aspx?STONELIST=925791292&amp;ISCONFIRM=0" TargetMode="External"/><Relationship Id="rId1650" Type="http://schemas.openxmlformats.org/officeDocument/2006/relationships/hyperlink" Target="https://pld.live/RapDetail.aspx?STONELIST=926550681&amp;ISCONFIRM=0" TargetMode="External"/><Relationship Id="rId2701" Type="http://schemas.openxmlformats.org/officeDocument/2006/relationships/hyperlink" Target="https://pld.live/RapDetail.aspx?STONELIST=926341137&amp;ISCONFIRM=0" TargetMode="External"/><Relationship Id="rId4599" Type="http://schemas.openxmlformats.org/officeDocument/2006/relationships/hyperlink" Target="https://pld.live/RapDetail.aspx?STONELIST=927092366&amp;ISCONFIRM=0" TargetMode="External"/><Relationship Id="rId5857" Type="http://schemas.openxmlformats.org/officeDocument/2006/relationships/hyperlink" Target="https://pld.live/RapDetail.aspx?STONELIST=925801486&amp;ISCONFIRM=0" TargetMode="External"/><Relationship Id="rId6908" Type="http://schemas.openxmlformats.org/officeDocument/2006/relationships/hyperlink" Target="https://pld.live/RapDetail.aspx?STONELIST=831020736&amp;ISCONFIRM=0" TargetMode="External"/><Relationship Id="rId7072" Type="http://schemas.openxmlformats.org/officeDocument/2006/relationships/hyperlink" Target="https://pld.live/RapDetail.aspx?STONELIST=941040781&amp;ISCONFIRM=0" TargetMode="External"/><Relationship Id="rId1303" Type="http://schemas.openxmlformats.org/officeDocument/2006/relationships/hyperlink" Target="https://pld.live/RapDetail.aspx?STONELIST=926291571&amp;ISCONFIRM=0" TargetMode="External"/><Relationship Id="rId1510" Type="http://schemas.openxmlformats.org/officeDocument/2006/relationships/hyperlink" Target="https://pld.live/RapDetail.aspx?STONELIST=926221223&amp;ISCONFIRM=0" TargetMode="External"/><Relationship Id="rId4459" Type="http://schemas.openxmlformats.org/officeDocument/2006/relationships/hyperlink" Target="https://pld.live/RapDetail.aspx?STONELIST=925080457&amp;ISCONFIRM=0" TargetMode="External"/><Relationship Id="rId4666" Type="http://schemas.openxmlformats.org/officeDocument/2006/relationships/hyperlink" Target="https://pld.live/RapDetail.aspx?STONELIST=926780083&amp;ISCONFIRM=0" TargetMode="External"/><Relationship Id="rId4873" Type="http://schemas.openxmlformats.org/officeDocument/2006/relationships/hyperlink" Target="https://pld.live/RapDetail.aspx?STONELIST=821115778&amp;ISCONFIRM=0" TargetMode="External"/><Relationship Id="rId5717" Type="http://schemas.openxmlformats.org/officeDocument/2006/relationships/hyperlink" Target="https://pld.live/RapDetail.aspx?STONELIST=924560543&amp;ISCONFIRM=0" TargetMode="External"/><Relationship Id="rId5924" Type="http://schemas.openxmlformats.org/officeDocument/2006/relationships/hyperlink" Target="https://pld.live/RapDetail.aspx?STONELIST=925961389&amp;ISCONFIRM=0" TargetMode="External"/><Relationship Id="rId8123" Type="http://schemas.openxmlformats.org/officeDocument/2006/relationships/hyperlink" Target="https://pld.live/RapDetail.aspx?STONELIST=926110134&amp;ISCONFIRM=0" TargetMode="External"/><Relationship Id="rId3268" Type="http://schemas.openxmlformats.org/officeDocument/2006/relationships/hyperlink" Target="https://pld.live/RapDetail.aspx?STONELIST=941270770&amp;ISCONFIRM=0" TargetMode="External"/><Relationship Id="rId3475" Type="http://schemas.openxmlformats.org/officeDocument/2006/relationships/hyperlink" Target="https://pld.live/RapDetail.aspx?STONELIST=923670177&amp;ISCONFIRM=0" TargetMode="External"/><Relationship Id="rId3682" Type="http://schemas.openxmlformats.org/officeDocument/2006/relationships/hyperlink" Target="https://pld.live/RapDetail.aspx?STONELIST=925700287&amp;ISCONFIRM=0" TargetMode="External"/><Relationship Id="rId4319" Type="http://schemas.openxmlformats.org/officeDocument/2006/relationships/hyperlink" Target="https://pld.live/RapDetail.aspx?STONELIST=926101265&amp;ISCONFIRM=0" TargetMode="External"/><Relationship Id="rId4526" Type="http://schemas.openxmlformats.org/officeDocument/2006/relationships/hyperlink" Target="https://pld.live/RapDetail.aspx?STONELIST=927092334&amp;ISCONFIRM=0" TargetMode="External"/><Relationship Id="rId4733" Type="http://schemas.openxmlformats.org/officeDocument/2006/relationships/hyperlink" Target="https://pld.live/RapDetail.aspx?STONELIST=925510182&amp;ISCONFIRM=0" TargetMode="External"/><Relationship Id="rId4940" Type="http://schemas.openxmlformats.org/officeDocument/2006/relationships/hyperlink" Target="https://pld.live/RapDetail.aspx?STONELIST=925862058&amp;ISCONFIRM=0" TargetMode="External"/><Relationship Id="rId7889" Type="http://schemas.openxmlformats.org/officeDocument/2006/relationships/hyperlink" Target="https://pld.live/RapDetail.aspx?STONELIST=927092316&amp;ISCONFIRM=0" TargetMode="External"/><Relationship Id="rId189" Type="http://schemas.openxmlformats.org/officeDocument/2006/relationships/hyperlink" Target="https://pld.live/RapDetail.aspx?STONELIST=926910621&amp;ISCONFIRM=0" TargetMode="External"/><Relationship Id="rId396" Type="http://schemas.openxmlformats.org/officeDocument/2006/relationships/hyperlink" Target="https://pld.live/RapDetail.aspx?STONELIST=925310247&amp;ISCONFIRM=0" TargetMode="External"/><Relationship Id="rId2077" Type="http://schemas.openxmlformats.org/officeDocument/2006/relationships/hyperlink" Target="https://pld.live/RapDetail.aspx?STONELIST=821127837&amp;ISCONFIRM=0" TargetMode="External"/><Relationship Id="rId2284" Type="http://schemas.openxmlformats.org/officeDocument/2006/relationships/hyperlink" Target="https://pld.live/RapDetail.aspx?STONELIST=821127846&amp;ISCONFIRM=0" TargetMode="External"/><Relationship Id="rId2491" Type="http://schemas.openxmlformats.org/officeDocument/2006/relationships/hyperlink" Target="https://pld.live/RapDetail.aspx?STONELIST=926191033&amp;ISCONFIRM=0" TargetMode="External"/><Relationship Id="rId3128" Type="http://schemas.openxmlformats.org/officeDocument/2006/relationships/hyperlink" Target="https://pld.live/RapDetail.aspx?STONELIST=923920338&amp;ISCONFIRM=0" TargetMode="External"/><Relationship Id="rId3335" Type="http://schemas.openxmlformats.org/officeDocument/2006/relationships/hyperlink" Target="https://pld.live/RapDetail.aspx?STONELIST=926540210&amp;ISCONFIRM=0" TargetMode="External"/><Relationship Id="rId3542" Type="http://schemas.openxmlformats.org/officeDocument/2006/relationships/hyperlink" Target="https://pld.live/RapDetail.aspx?STONELIST=923870336&amp;ISCONFIRM=0" TargetMode="External"/><Relationship Id="rId6698" Type="http://schemas.openxmlformats.org/officeDocument/2006/relationships/hyperlink" Target="https://pld.live/RapDetail.aspx?STONELIST=927152897&amp;ISCONFIRM=0" TargetMode="External"/><Relationship Id="rId7749" Type="http://schemas.openxmlformats.org/officeDocument/2006/relationships/hyperlink" Target="https://pld.live/RapDetail.aspx?STONELIST=926930847&amp;ISCONFIRM=0" TargetMode="External"/><Relationship Id="rId256" Type="http://schemas.openxmlformats.org/officeDocument/2006/relationships/hyperlink" Target="https://pld.live/RapDetail.aspx?STONELIST=924380457&amp;ISCONFIRM=0" TargetMode="External"/><Relationship Id="rId463" Type="http://schemas.openxmlformats.org/officeDocument/2006/relationships/hyperlink" Target="https://pld.live/RapDetail.aspx?STONELIST=831010612&amp;ISCONFIRM=0" TargetMode="External"/><Relationship Id="rId670" Type="http://schemas.openxmlformats.org/officeDocument/2006/relationships/hyperlink" Target="https://pld.live/RapDetail.aspx?STONELIST=925970834&amp;ISCONFIRM=0" TargetMode="External"/><Relationship Id="rId1093" Type="http://schemas.openxmlformats.org/officeDocument/2006/relationships/hyperlink" Target="https://pld.live/RapDetail.aspx?STONELIST=941350167&amp;ISCONFIRM=0" TargetMode="External"/><Relationship Id="rId2144" Type="http://schemas.openxmlformats.org/officeDocument/2006/relationships/hyperlink" Target="https://pld.live/RapDetail.aspx?STONELIST=926091273&amp;ISCONFIRM=0" TargetMode="External"/><Relationship Id="rId2351" Type="http://schemas.openxmlformats.org/officeDocument/2006/relationships/hyperlink" Target="https://pld.live/RapDetail.aspx?STONELIST=926181009&amp;ISCONFIRM=0" TargetMode="External"/><Relationship Id="rId3402" Type="http://schemas.openxmlformats.org/officeDocument/2006/relationships/hyperlink" Target="https://pld.live/RapDetail.aspx?STONELIST=926170797&amp;ISCONFIRM=0" TargetMode="External"/><Relationship Id="rId4800" Type="http://schemas.openxmlformats.org/officeDocument/2006/relationships/hyperlink" Target="https://pld.live/RapDetail.aspx?STONELIST=831020400&amp;ISCONFIRM=0" TargetMode="External"/><Relationship Id="rId6558" Type="http://schemas.openxmlformats.org/officeDocument/2006/relationships/hyperlink" Target="https://pld.live/RapDetail.aspx?STONELIST=926450492&amp;ISCONFIRM=0" TargetMode="External"/><Relationship Id="rId7956" Type="http://schemas.openxmlformats.org/officeDocument/2006/relationships/hyperlink" Target="https://pld.live/RapDetail.aspx?STONELIST=927140030&amp;ISCONFIRM=0" TargetMode="External"/><Relationship Id="rId116" Type="http://schemas.openxmlformats.org/officeDocument/2006/relationships/hyperlink" Target="https://pld.live/RapDetail.aspx?STONELIST=926540137&amp;ISCONFIRM=0" TargetMode="External"/><Relationship Id="rId323" Type="http://schemas.openxmlformats.org/officeDocument/2006/relationships/hyperlink" Target="https://pld.live/RapDetail.aspx?STONELIST=941400116&amp;ISCONFIRM=0" TargetMode="External"/><Relationship Id="rId530" Type="http://schemas.openxmlformats.org/officeDocument/2006/relationships/hyperlink" Target="https://pld.live/RapDetail.aspx?STONELIST=941400290&amp;ISCONFIRM=0" TargetMode="External"/><Relationship Id="rId1160" Type="http://schemas.openxmlformats.org/officeDocument/2006/relationships/hyperlink" Target="https://pld.live/RapDetail.aspx?STONELIST=941370572&amp;ISCONFIRM=0" TargetMode="External"/><Relationship Id="rId2004" Type="http://schemas.openxmlformats.org/officeDocument/2006/relationships/hyperlink" Target="https://pld.live/RapDetail.aspx?STONELIST=941270730&amp;ISCONFIRM=0" TargetMode="External"/><Relationship Id="rId2211" Type="http://schemas.openxmlformats.org/officeDocument/2006/relationships/hyperlink" Target="https://pld.live/RapDetail.aspx?STONELIST=926091028&amp;ISCONFIRM=0" TargetMode="External"/><Relationship Id="rId5367" Type="http://schemas.openxmlformats.org/officeDocument/2006/relationships/hyperlink" Target="https://pld.live/RapDetail.aspx?STONELIST=941320818&amp;ISCONFIRM=0" TargetMode="External"/><Relationship Id="rId6765" Type="http://schemas.openxmlformats.org/officeDocument/2006/relationships/hyperlink" Target="https://pld.live/RapDetail.aspx?STONELIST=927132511&amp;ISCONFIRM=0" TargetMode="External"/><Relationship Id="rId6972" Type="http://schemas.openxmlformats.org/officeDocument/2006/relationships/hyperlink" Target="https://pld.live/RapDetail.aspx?STONELIST=821126922&amp;ISCONFIRM=0" TargetMode="External"/><Relationship Id="rId7609" Type="http://schemas.openxmlformats.org/officeDocument/2006/relationships/hyperlink" Target="https://pld.live/RapDetail.aspx?STONELIST=926640123&amp;ISCONFIRM=0" TargetMode="External"/><Relationship Id="rId7816" Type="http://schemas.openxmlformats.org/officeDocument/2006/relationships/hyperlink" Target="https://pld.live/RapDetail.aspx?STONELIST=831020181&amp;ISCONFIRM=0" TargetMode="External"/><Relationship Id="rId4176" Type="http://schemas.openxmlformats.org/officeDocument/2006/relationships/hyperlink" Target="https://pld.live/RapDetail.aspx?STONELIST=926171104&amp;ISCONFIRM=0" TargetMode="External"/><Relationship Id="rId5574" Type="http://schemas.openxmlformats.org/officeDocument/2006/relationships/hyperlink" Target="https://pld.live/RapDetail.aspx?STONELIST=926310724&amp;ISCONFIRM=0" TargetMode="External"/><Relationship Id="rId5781" Type="http://schemas.openxmlformats.org/officeDocument/2006/relationships/hyperlink" Target="https://pld.live/RapDetail.aspx?STONELIST=941270757&amp;ISCONFIRM=0" TargetMode="External"/><Relationship Id="rId6418" Type="http://schemas.openxmlformats.org/officeDocument/2006/relationships/hyperlink" Target="https://pld.live/RapDetail.aspx?STONELIST=941021787&amp;ISCONFIRM=0" TargetMode="External"/><Relationship Id="rId6625" Type="http://schemas.openxmlformats.org/officeDocument/2006/relationships/hyperlink" Target="https://pld.live/RapDetail.aspx?STONELIST=927092563&amp;ISCONFIRM=0" TargetMode="External"/><Relationship Id="rId6832" Type="http://schemas.openxmlformats.org/officeDocument/2006/relationships/hyperlink" Target="https://pld.live/RapDetail.aspx?STONELIST=924250272&amp;ISCONFIRM=0" TargetMode="External"/><Relationship Id="rId1020" Type="http://schemas.openxmlformats.org/officeDocument/2006/relationships/hyperlink" Target="https://pld.live/RapDetail.aspx?STONELIST=926810908&amp;ISCONFIRM=0" TargetMode="External"/><Relationship Id="rId1977" Type="http://schemas.openxmlformats.org/officeDocument/2006/relationships/hyperlink" Target="https://pld.live/RapDetail.aspx?STONELIST=925910459&amp;ISCONFIRM=0" TargetMode="External"/><Relationship Id="rId4383" Type="http://schemas.openxmlformats.org/officeDocument/2006/relationships/hyperlink" Target="https://pld.live/RapDetail.aspx?STONELIST=926311147&amp;ISCONFIRM=0" TargetMode="External"/><Relationship Id="rId4590" Type="http://schemas.openxmlformats.org/officeDocument/2006/relationships/hyperlink" Target="https://pld.live/RapDetail.aspx?STONELIST=941040666&amp;ISCONFIRM=0" TargetMode="External"/><Relationship Id="rId5227" Type="http://schemas.openxmlformats.org/officeDocument/2006/relationships/hyperlink" Target="https://pld.live/RapDetail.aspx?STONELIST=923510482&amp;ISCONFIRM=0" TargetMode="External"/><Relationship Id="rId5434" Type="http://schemas.openxmlformats.org/officeDocument/2006/relationships/hyperlink" Target="https://pld.live/RapDetail.aspx?STONELIST=926211055&amp;ISCONFIRM=0" TargetMode="External"/><Relationship Id="rId5641" Type="http://schemas.openxmlformats.org/officeDocument/2006/relationships/hyperlink" Target="https://pld.live/RapDetail.aspx?STONELIST=926440255&amp;ISCONFIRM=0" TargetMode="External"/><Relationship Id="rId1837" Type="http://schemas.openxmlformats.org/officeDocument/2006/relationships/hyperlink" Target="https://pld.live/RapDetail.aspx?STONELIST=925780345&amp;ISCONFIRM=0" TargetMode="External"/><Relationship Id="rId3192" Type="http://schemas.openxmlformats.org/officeDocument/2006/relationships/hyperlink" Target="https://pld.live/RapDetail.aspx?STONELIST=925030300&amp;ISCONFIRM=0" TargetMode="External"/><Relationship Id="rId4036" Type="http://schemas.openxmlformats.org/officeDocument/2006/relationships/hyperlink" Target="https://pld.live/RapDetail.aspx?STONELIST=926071549&amp;ISCONFIRM=0" TargetMode="External"/><Relationship Id="rId4243" Type="http://schemas.openxmlformats.org/officeDocument/2006/relationships/hyperlink" Target="https://pld.live/RapDetail.aspx?STONELIST=925360354&amp;ISCONFIRM=0" TargetMode="External"/><Relationship Id="rId4450" Type="http://schemas.openxmlformats.org/officeDocument/2006/relationships/hyperlink" Target="https://pld.live/RapDetail.aspx?STONELIST=925360396&amp;ISCONFIRM=0" TargetMode="External"/><Relationship Id="rId5501" Type="http://schemas.openxmlformats.org/officeDocument/2006/relationships/hyperlink" Target="https://pld.live/RapDetail.aspx?STONELIST=821113631&amp;ISCONFIRM=0" TargetMode="External"/><Relationship Id="rId7399" Type="http://schemas.openxmlformats.org/officeDocument/2006/relationships/hyperlink" Target="https://pld.live/RapDetail.aspx?STONELIST=926450619&amp;ISCONFIRM=0" TargetMode="External"/><Relationship Id="rId3052" Type="http://schemas.openxmlformats.org/officeDocument/2006/relationships/hyperlink" Target="https://pld.live/RapDetail.aspx?STONELIST=926111148&amp;ISCONFIRM=0" TargetMode="External"/><Relationship Id="rId4103" Type="http://schemas.openxmlformats.org/officeDocument/2006/relationships/hyperlink" Target="https://pld.live/RapDetail.aspx?STONELIST=925140273&amp;ISCONFIRM=0" TargetMode="External"/><Relationship Id="rId4310" Type="http://schemas.openxmlformats.org/officeDocument/2006/relationships/hyperlink" Target="https://pld.live/RapDetail.aspx?STONELIST=926210588&amp;ISCONFIRM=0" TargetMode="External"/><Relationship Id="rId7259" Type="http://schemas.openxmlformats.org/officeDocument/2006/relationships/hyperlink" Target="https://pld.live/RapDetail.aspx?STONELIST=927140401&amp;ISCONFIRM=0" TargetMode="External"/><Relationship Id="rId7466" Type="http://schemas.openxmlformats.org/officeDocument/2006/relationships/hyperlink" Target="https://pld.live/RapDetail.aspx?STONELIST=925801497&amp;ISCONFIRM=0" TargetMode="External"/><Relationship Id="rId7673" Type="http://schemas.openxmlformats.org/officeDocument/2006/relationships/hyperlink" Target="https://pld.live/RapDetail.aspx?STONELIST=941261121&amp;ISCONFIRM=0" TargetMode="External"/><Relationship Id="rId7880" Type="http://schemas.openxmlformats.org/officeDocument/2006/relationships/hyperlink" Target="https://pld.live/RapDetail.aspx?STONELIST=927130511&amp;ISCONFIRM=0" TargetMode="External"/><Relationship Id="rId180" Type="http://schemas.openxmlformats.org/officeDocument/2006/relationships/hyperlink" Target="https://pld.live/RapDetail.aspx?STONELIST=821117261&amp;ISCONFIRM=0" TargetMode="External"/><Relationship Id="rId1904" Type="http://schemas.openxmlformats.org/officeDocument/2006/relationships/hyperlink" Target="https://pld.live/RapDetail.aspx?STONELIST=926801340&amp;ISCONFIRM=0" TargetMode="External"/><Relationship Id="rId6068" Type="http://schemas.openxmlformats.org/officeDocument/2006/relationships/hyperlink" Target="https://pld.live/RapDetail.aspx?STONELIST=941270810&amp;ISCONFIRM=0" TargetMode="External"/><Relationship Id="rId6275" Type="http://schemas.openxmlformats.org/officeDocument/2006/relationships/hyperlink" Target="https://pld.live/RapDetail.aspx?STONELIST=927020673&amp;ISCONFIRM=0" TargetMode="External"/><Relationship Id="rId6482" Type="http://schemas.openxmlformats.org/officeDocument/2006/relationships/hyperlink" Target="https://pld.live/RapDetail.aspx?STONELIST=821115927&amp;ISCONFIRM=0" TargetMode="External"/><Relationship Id="rId7119" Type="http://schemas.openxmlformats.org/officeDocument/2006/relationships/hyperlink" Target="https://pld.live/RapDetail.aspx?STONELIST=941161012&amp;ISCONFIRM=0" TargetMode="External"/><Relationship Id="rId7326" Type="http://schemas.openxmlformats.org/officeDocument/2006/relationships/hyperlink" Target="https://pld.live/RapDetail.aspx?STONELIST=925850997&amp;ISCONFIRM=0" TargetMode="External"/><Relationship Id="rId7533" Type="http://schemas.openxmlformats.org/officeDocument/2006/relationships/hyperlink" Target="https://pld.live/RapDetail.aspx?STONELIST=925801772&amp;ISCONFIRM=0" TargetMode="External"/><Relationship Id="rId3869" Type="http://schemas.openxmlformats.org/officeDocument/2006/relationships/hyperlink" Target="https://pld.live/RapDetail.aspx?STONELIST=925890595&amp;ISCONFIRM=0" TargetMode="External"/><Relationship Id="rId5084" Type="http://schemas.openxmlformats.org/officeDocument/2006/relationships/hyperlink" Target="https://pld.live/RapDetail.aspx?STONELIST=925930092&amp;ISCONFIRM=0" TargetMode="External"/><Relationship Id="rId5291" Type="http://schemas.openxmlformats.org/officeDocument/2006/relationships/hyperlink" Target="https://pld.live/RapDetail.aspx?STONELIST=924780200&amp;ISCONFIRM=0" TargetMode="External"/><Relationship Id="rId6135" Type="http://schemas.openxmlformats.org/officeDocument/2006/relationships/hyperlink" Target="https://pld.live/RapDetail.aspx?STONELIST=924190741&amp;ISCONFIRM=0" TargetMode="External"/><Relationship Id="rId6342" Type="http://schemas.openxmlformats.org/officeDocument/2006/relationships/hyperlink" Target="https://pld.live/RapDetail.aspx?STONELIST=831010756&amp;ISCONFIRM=0" TargetMode="External"/><Relationship Id="rId7740" Type="http://schemas.openxmlformats.org/officeDocument/2006/relationships/hyperlink" Target="https://pld.live/RapDetail.aspx?STONELIST=926450303&amp;ISCONFIRM=0" TargetMode="External"/><Relationship Id="rId997" Type="http://schemas.openxmlformats.org/officeDocument/2006/relationships/hyperlink" Target="https://pld.live/RapDetail.aspx?STONELIST=927101030&amp;ISCONFIRM=0" TargetMode="External"/><Relationship Id="rId2678" Type="http://schemas.openxmlformats.org/officeDocument/2006/relationships/hyperlink" Target="https://pld.live/RapDetail.aspx?STONELIST=926341419&amp;ISCONFIRM=0" TargetMode="External"/><Relationship Id="rId2885" Type="http://schemas.openxmlformats.org/officeDocument/2006/relationships/hyperlink" Target="https://pld.live/RapDetail.aspx?STONELIST=923500280&amp;ISCONFIRM=0" TargetMode="External"/><Relationship Id="rId3729" Type="http://schemas.openxmlformats.org/officeDocument/2006/relationships/hyperlink" Target="https://pld.live/RapDetail.aspx?STONELIST=925570101&amp;ISCONFIRM=0" TargetMode="External"/><Relationship Id="rId3936" Type="http://schemas.openxmlformats.org/officeDocument/2006/relationships/hyperlink" Target="https://pld.live/RapDetail.aspx?STONELIST=925771282&amp;ISCONFIRM=0" TargetMode="External"/><Relationship Id="rId5151" Type="http://schemas.openxmlformats.org/officeDocument/2006/relationships/hyperlink" Target="https://pld.live/RapDetail.aspx?STONELIST=941150102&amp;ISCONFIRM=0" TargetMode="External"/><Relationship Id="rId7600" Type="http://schemas.openxmlformats.org/officeDocument/2006/relationships/hyperlink" Target="https://pld.live/RapDetail.aspx?STONELIST=925732233&amp;ISCONFIRM=0" TargetMode="External"/><Relationship Id="rId857" Type="http://schemas.openxmlformats.org/officeDocument/2006/relationships/hyperlink" Target="https://pld.live/RapDetail.aspx?STONELIST=926041059&amp;ISCONFIRM=0" TargetMode="External"/><Relationship Id="rId1487" Type="http://schemas.openxmlformats.org/officeDocument/2006/relationships/hyperlink" Target="https://pld.live/RapDetail.aspx?STONELIST=926280631&amp;ISCONFIRM=0" TargetMode="External"/><Relationship Id="rId1694" Type="http://schemas.openxmlformats.org/officeDocument/2006/relationships/hyperlink" Target="https://pld.live/RapDetail.aspx?STONELIST=821125985&amp;ISCONFIRM=0" TargetMode="External"/><Relationship Id="rId2538" Type="http://schemas.openxmlformats.org/officeDocument/2006/relationships/hyperlink" Target="https://pld.live/RapDetail.aspx?STONELIST=926301260&amp;ISCONFIRM=0" TargetMode="External"/><Relationship Id="rId2745" Type="http://schemas.openxmlformats.org/officeDocument/2006/relationships/hyperlink" Target="https://pld.live/RapDetail.aspx?STONELIST=924950285&amp;ISCONFIRM=0" TargetMode="External"/><Relationship Id="rId2952" Type="http://schemas.openxmlformats.org/officeDocument/2006/relationships/hyperlink" Target="https://pld.live/RapDetail.aspx?STONELIST=925760262&amp;ISCONFIRM=0" TargetMode="External"/><Relationship Id="rId6202" Type="http://schemas.openxmlformats.org/officeDocument/2006/relationships/hyperlink" Target="https://pld.live/RapDetail.aspx?STONELIST=926410425&amp;ISCONFIRM=0" TargetMode="External"/><Relationship Id="rId717" Type="http://schemas.openxmlformats.org/officeDocument/2006/relationships/hyperlink" Target="https://pld.live/RapDetail.aspx?STONELIST=821127575&amp;ISCONFIRM=0" TargetMode="External"/><Relationship Id="rId924" Type="http://schemas.openxmlformats.org/officeDocument/2006/relationships/hyperlink" Target="https://pld.live/RapDetail.aspx?STONELIST=926100926&amp;ISCONFIRM=0" TargetMode="External"/><Relationship Id="rId1347" Type="http://schemas.openxmlformats.org/officeDocument/2006/relationships/hyperlink" Target="https://pld.live/RapDetail.aspx?STONELIST=926731221&amp;ISCONFIRM=0" TargetMode="External"/><Relationship Id="rId1554" Type="http://schemas.openxmlformats.org/officeDocument/2006/relationships/hyperlink" Target="https://pld.live/RapDetail.aspx?STONELIST=821125866&amp;ISCONFIRM=0" TargetMode="External"/><Relationship Id="rId1761" Type="http://schemas.openxmlformats.org/officeDocument/2006/relationships/hyperlink" Target="https://pld.live/RapDetail.aspx?STONELIST=926460806&amp;ISCONFIRM=0" TargetMode="External"/><Relationship Id="rId2605" Type="http://schemas.openxmlformats.org/officeDocument/2006/relationships/hyperlink" Target="https://pld.live/RapDetail.aspx?STONELIST=920840636&amp;ISCONFIRM=0" TargetMode="External"/><Relationship Id="rId2812" Type="http://schemas.openxmlformats.org/officeDocument/2006/relationships/hyperlink" Target="https://pld.live/RapDetail.aspx?STONELIST=925771339&amp;ISCONFIRM=0" TargetMode="External"/><Relationship Id="rId5011" Type="http://schemas.openxmlformats.org/officeDocument/2006/relationships/hyperlink" Target="https://pld.live/RapDetail.aspx?STONELIST=925731336&amp;ISCONFIRM=0" TargetMode="External"/><Relationship Id="rId5968" Type="http://schemas.openxmlformats.org/officeDocument/2006/relationships/hyperlink" Target="https://pld.live/RapDetail.aspx?STONELIST=927102406&amp;ISCONFIRM=0" TargetMode="External"/><Relationship Id="rId8167" Type="http://schemas.openxmlformats.org/officeDocument/2006/relationships/hyperlink" Target="https://pld.live/RapDetail.aspx?STONELIST=924430095&amp;ISCONFIRM=0" TargetMode="External"/><Relationship Id="rId53" Type="http://schemas.openxmlformats.org/officeDocument/2006/relationships/hyperlink" Target="https://pld.live/RapDetail.aspx?STONELIST=926860074&amp;ISCONFIRM=0" TargetMode="External"/><Relationship Id="rId1207" Type="http://schemas.openxmlformats.org/officeDocument/2006/relationships/hyperlink" Target="https://pld.live/RapDetail.aspx?STONELIST=941160253&amp;ISCONFIRM=0" TargetMode="External"/><Relationship Id="rId1414" Type="http://schemas.openxmlformats.org/officeDocument/2006/relationships/hyperlink" Target="https://pld.live/RapDetail.aspx?STONELIST=926280745&amp;ISCONFIRM=0" TargetMode="External"/><Relationship Id="rId1621" Type="http://schemas.openxmlformats.org/officeDocument/2006/relationships/hyperlink" Target="https://pld.live/RapDetail.aspx?STONELIST=926941154&amp;ISCONFIRM=0" TargetMode="External"/><Relationship Id="rId4777" Type="http://schemas.openxmlformats.org/officeDocument/2006/relationships/hyperlink" Target="https://pld.live/RapDetail.aspx?STONELIST=926910592&amp;ISCONFIRM=0" TargetMode="External"/><Relationship Id="rId4984" Type="http://schemas.openxmlformats.org/officeDocument/2006/relationships/hyperlink" Target="https://pld.live/RapDetail.aspx?STONELIST=926071353&amp;ISCONFIRM=0" TargetMode="External"/><Relationship Id="rId5828" Type="http://schemas.openxmlformats.org/officeDocument/2006/relationships/hyperlink" Target="https://pld.live/RapDetail.aspx?STONELIST=926370015&amp;ISCONFIRM=0" TargetMode="External"/><Relationship Id="rId7183" Type="http://schemas.openxmlformats.org/officeDocument/2006/relationships/hyperlink" Target="https://pld.live/RapDetail.aspx?STONELIST=926130169&amp;ISCONFIRM=0" TargetMode="External"/><Relationship Id="rId7390" Type="http://schemas.openxmlformats.org/officeDocument/2006/relationships/hyperlink" Target="https://pld.live/RapDetail.aspx?STONELIST=923740361&amp;ISCONFIRM=0" TargetMode="External"/><Relationship Id="rId8027" Type="http://schemas.openxmlformats.org/officeDocument/2006/relationships/hyperlink" Target="https://pld.live/RapDetail.aspx?STONELIST=925750610&amp;ISCONFIRM=0" TargetMode="External"/><Relationship Id="rId8234" Type="http://schemas.openxmlformats.org/officeDocument/2006/relationships/hyperlink" Target="https://pld.live/RapDetail.aspx?STONELIST=925801932&amp;ISCONFIRM=0" TargetMode="External"/><Relationship Id="rId3379" Type="http://schemas.openxmlformats.org/officeDocument/2006/relationships/hyperlink" Target="https://pld.live/RapDetail.aspx?STONELIST=831010664&amp;ISCONFIRM=0" TargetMode="External"/><Relationship Id="rId3586" Type="http://schemas.openxmlformats.org/officeDocument/2006/relationships/hyperlink" Target="https://pld.live/RapDetail.aspx?STONELIST=941230764&amp;ISCONFIRM=0" TargetMode="External"/><Relationship Id="rId3793" Type="http://schemas.openxmlformats.org/officeDocument/2006/relationships/hyperlink" Target="https://pld.live/RapDetail.aspx?STONELIST=927080377&amp;ISCONFIRM=0" TargetMode="External"/><Relationship Id="rId4637" Type="http://schemas.openxmlformats.org/officeDocument/2006/relationships/hyperlink" Target="https://pld.live/RapDetail.aspx?STONELIST=926730502&amp;ISCONFIRM=0" TargetMode="External"/><Relationship Id="rId7043" Type="http://schemas.openxmlformats.org/officeDocument/2006/relationships/hyperlink" Target="https://pld.live/RapDetail.aspx?STONELIST=821113172&amp;ISCONFIRM=0" TargetMode="External"/><Relationship Id="rId7250" Type="http://schemas.openxmlformats.org/officeDocument/2006/relationships/hyperlink" Target="https://pld.live/RapDetail.aspx?STONELIST=927060782&amp;ISCONFIRM=0" TargetMode="External"/><Relationship Id="rId2188" Type="http://schemas.openxmlformats.org/officeDocument/2006/relationships/hyperlink" Target="https://pld.live/RapDetail.aspx?STONELIST=926230973&amp;ISCONFIRM=0" TargetMode="External"/><Relationship Id="rId2395" Type="http://schemas.openxmlformats.org/officeDocument/2006/relationships/hyperlink" Target="https://pld.live/RapDetail.aspx?STONELIST=926391151&amp;ISCONFIRM=0" TargetMode="External"/><Relationship Id="rId3239" Type="http://schemas.openxmlformats.org/officeDocument/2006/relationships/hyperlink" Target="https://pld.live/RapDetail.aspx?STONELIST=9414000597&amp;ISCONFIRM=0" TargetMode="External"/><Relationship Id="rId3446" Type="http://schemas.openxmlformats.org/officeDocument/2006/relationships/hyperlink" Target="https://pld.live/RapDetail.aspx?STONELIST=926101229&amp;ISCONFIRM=0" TargetMode="External"/><Relationship Id="rId4844" Type="http://schemas.openxmlformats.org/officeDocument/2006/relationships/hyperlink" Target="https://pld.live/RapDetail.aspx?STONELIST=925960924&amp;ISCONFIRM=0" TargetMode="External"/><Relationship Id="rId7110" Type="http://schemas.openxmlformats.org/officeDocument/2006/relationships/hyperlink" Target="https://pld.live/RapDetail.aspx?STONELIST=941161023&amp;ISCONFIRM=0" TargetMode="External"/><Relationship Id="rId367" Type="http://schemas.openxmlformats.org/officeDocument/2006/relationships/hyperlink" Target="https://pld.live/RapDetail.aspx?STONELIST=941420951&amp;ISCONFIRM=0" TargetMode="External"/><Relationship Id="rId574" Type="http://schemas.openxmlformats.org/officeDocument/2006/relationships/hyperlink" Target="https://pld.live/RapDetail.aspx?STONELIST=926101604&amp;ISCONFIRM=0" TargetMode="External"/><Relationship Id="rId2048" Type="http://schemas.openxmlformats.org/officeDocument/2006/relationships/hyperlink" Target="https://pld.live/RapDetail.aspx?STONELIST=924010439&amp;ISCONFIRM=0" TargetMode="External"/><Relationship Id="rId2255" Type="http://schemas.openxmlformats.org/officeDocument/2006/relationships/hyperlink" Target="https://pld.live/RapDetail.aspx?STONELIST=926190990&amp;ISCONFIRM=0" TargetMode="External"/><Relationship Id="rId3653" Type="http://schemas.openxmlformats.org/officeDocument/2006/relationships/hyperlink" Target="https://pld.live/RapDetail.aspx?STONELIST=925710161&amp;ISCONFIRM=0" TargetMode="External"/><Relationship Id="rId3860" Type="http://schemas.openxmlformats.org/officeDocument/2006/relationships/hyperlink" Target="https://pld.live/RapDetail.aspx?STONELIST=926041044&amp;ISCONFIRM=0" TargetMode="External"/><Relationship Id="rId4704" Type="http://schemas.openxmlformats.org/officeDocument/2006/relationships/hyperlink" Target="https://pld.live/RapDetail.aspx?STONELIST=925610471&amp;ISCONFIRM=0" TargetMode="External"/><Relationship Id="rId4911" Type="http://schemas.openxmlformats.org/officeDocument/2006/relationships/hyperlink" Target="https://pld.live/RapDetail.aspx?STONELIST=925551925&amp;ISCONFIRM=0" TargetMode="External"/><Relationship Id="rId227" Type="http://schemas.openxmlformats.org/officeDocument/2006/relationships/hyperlink" Target="https://pld.live/RapDetail.aspx?STONELIST=941250494&amp;ISCONFIRM=0" TargetMode="External"/><Relationship Id="rId781" Type="http://schemas.openxmlformats.org/officeDocument/2006/relationships/hyperlink" Target="https://pld.live/RapDetail.aspx?STONELIST=925961164&amp;ISCONFIRM=0" TargetMode="External"/><Relationship Id="rId2462" Type="http://schemas.openxmlformats.org/officeDocument/2006/relationships/hyperlink" Target="https://pld.live/RapDetail.aspx?STONELIST=926430819&amp;ISCONFIRM=0" TargetMode="External"/><Relationship Id="rId3306" Type="http://schemas.openxmlformats.org/officeDocument/2006/relationships/hyperlink" Target="https://pld.live/RapDetail.aspx?STONELIST=831020416&amp;ISCONFIRM=0" TargetMode="External"/><Relationship Id="rId3513" Type="http://schemas.openxmlformats.org/officeDocument/2006/relationships/hyperlink" Target="https://pld.live/RapDetail.aspx?STONELIST=926270818&amp;ISCONFIRM=0" TargetMode="External"/><Relationship Id="rId3720" Type="http://schemas.openxmlformats.org/officeDocument/2006/relationships/hyperlink" Target="https://pld.live/RapDetail.aspx?STONELIST=941250683&amp;ISCONFIRM=0" TargetMode="External"/><Relationship Id="rId6669" Type="http://schemas.openxmlformats.org/officeDocument/2006/relationships/hyperlink" Target="https://pld.live/RapDetail.aspx?STONELIST=926060006&amp;ISCONFIRM=0" TargetMode="External"/><Relationship Id="rId6876" Type="http://schemas.openxmlformats.org/officeDocument/2006/relationships/hyperlink" Target="https://pld.live/RapDetail.aspx?STONELIST=821113869&amp;ISCONFIRM=0" TargetMode="External"/><Relationship Id="rId7927" Type="http://schemas.openxmlformats.org/officeDocument/2006/relationships/hyperlink" Target="https://pld.live/RapDetail.aspx?STONELIST=926841153&amp;ISCONFIRM=0" TargetMode="External"/><Relationship Id="rId8091" Type="http://schemas.openxmlformats.org/officeDocument/2006/relationships/hyperlink" Target="https://pld.live/RapDetail.aspx?STONELIST=926740652&amp;ISCONFIRM=0" TargetMode="External"/><Relationship Id="rId434" Type="http://schemas.openxmlformats.org/officeDocument/2006/relationships/hyperlink" Target="https://pld.live/RapDetail.aspx?STONELIST=926041232&amp;ISCONFIRM=0" TargetMode="External"/><Relationship Id="rId641" Type="http://schemas.openxmlformats.org/officeDocument/2006/relationships/hyperlink" Target="https://pld.live/RapDetail.aspx?STONELIST=926740968&amp;ISCONFIRM=0" TargetMode="External"/><Relationship Id="rId1064" Type="http://schemas.openxmlformats.org/officeDocument/2006/relationships/hyperlink" Target="https://pld.live/RapDetail.aspx?STONELIST=941071054&amp;ISCONFIRM=0" TargetMode="External"/><Relationship Id="rId1271" Type="http://schemas.openxmlformats.org/officeDocument/2006/relationships/hyperlink" Target="https://pld.live/RapDetail.aspx?STONELIST=941320535&amp;ISCONFIRM=0" TargetMode="External"/><Relationship Id="rId2115" Type="http://schemas.openxmlformats.org/officeDocument/2006/relationships/hyperlink" Target="https://pld.live/RapDetail.aspx?STONELIST=926191129&amp;ISCONFIRM=0" TargetMode="External"/><Relationship Id="rId2322" Type="http://schemas.openxmlformats.org/officeDocument/2006/relationships/hyperlink" Target="https://pld.live/RapDetail.aspx?STONELIST=926240762&amp;ISCONFIRM=0" TargetMode="External"/><Relationship Id="rId5478" Type="http://schemas.openxmlformats.org/officeDocument/2006/relationships/hyperlink" Target="https://pld.live/RapDetail.aspx?STONELIST=941170131&amp;ISCONFIRM=0" TargetMode="External"/><Relationship Id="rId5685" Type="http://schemas.openxmlformats.org/officeDocument/2006/relationships/hyperlink" Target="https://pld.live/RapDetail.aspx?STONELIST=924410876&amp;ISCONFIRM=0" TargetMode="External"/><Relationship Id="rId5892" Type="http://schemas.openxmlformats.org/officeDocument/2006/relationships/hyperlink" Target="https://pld.live/RapDetail.aspx?STONELIST=926831149&amp;ISCONFIRM=0" TargetMode="External"/><Relationship Id="rId6529" Type="http://schemas.openxmlformats.org/officeDocument/2006/relationships/hyperlink" Target="https://pld.live/RapDetail.aspx?STONELIST=821113386&amp;ISCONFIRM=0" TargetMode="External"/><Relationship Id="rId6736" Type="http://schemas.openxmlformats.org/officeDocument/2006/relationships/hyperlink" Target="https://pld.live/RapDetail.aspx?STONELIST=927102456&amp;ISCONFIRM=0" TargetMode="External"/><Relationship Id="rId6943" Type="http://schemas.openxmlformats.org/officeDocument/2006/relationships/hyperlink" Target="https://pld.live/RapDetail.aspx?STONELIST=925521070&amp;ISCONFIRM=0" TargetMode="External"/><Relationship Id="rId501" Type="http://schemas.openxmlformats.org/officeDocument/2006/relationships/hyperlink" Target="https://pld.live/RapDetail.aspx?STONELIST=925920903&amp;ISCONFIRM=0" TargetMode="External"/><Relationship Id="rId1131" Type="http://schemas.openxmlformats.org/officeDocument/2006/relationships/hyperlink" Target="https://pld.live/RapDetail.aspx?STONELIST=941090240&amp;ISCONFIRM=0" TargetMode="External"/><Relationship Id="rId4287" Type="http://schemas.openxmlformats.org/officeDocument/2006/relationships/hyperlink" Target="https://pld.live/RapDetail.aspx?STONELIST=925721624&amp;ISCONFIRM=0" TargetMode="External"/><Relationship Id="rId4494" Type="http://schemas.openxmlformats.org/officeDocument/2006/relationships/hyperlink" Target="https://pld.live/RapDetail.aspx?STONELIST=927092661&amp;ISCONFIRM=0" TargetMode="External"/><Relationship Id="rId5338" Type="http://schemas.openxmlformats.org/officeDocument/2006/relationships/hyperlink" Target="https://pld.live/RapDetail.aspx?STONELIST=926291352&amp;ISCONFIRM=0" TargetMode="External"/><Relationship Id="rId5545" Type="http://schemas.openxmlformats.org/officeDocument/2006/relationships/hyperlink" Target="https://pld.live/RapDetail.aspx?STONELIST=924410904&amp;ISCONFIRM=0" TargetMode="External"/><Relationship Id="rId5752" Type="http://schemas.openxmlformats.org/officeDocument/2006/relationships/hyperlink" Target="https://pld.live/RapDetail.aspx?STONELIST=941140710&amp;ISCONFIRM=0" TargetMode="External"/><Relationship Id="rId6803" Type="http://schemas.openxmlformats.org/officeDocument/2006/relationships/hyperlink" Target="https://pld.live/RapDetail.aspx?STONELIST=925880213&amp;ISCONFIRM=0" TargetMode="External"/><Relationship Id="rId3096" Type="http://schemas.openxmlformats.org/officeDocument/2006/relationships/hyperlink" Target="https://pld.live/RapDetail.aspx?STONELIST=821128391&amp;ISCONFIRM=0" TargetMode="External"/><Relationship Id="rId4147" Type="http://schemas.openxmlformats.org/officeDocument/2006/relationships/hyperlink" Target="https://pld.live/RapDetail.aspx?STONELIST=925940519&amp;ISCONFIRM=0" TargetMode="External"/><Relationship Id="rId4354" Type="http://schemas.openxmlformats.org/officeDocument/2006/relationships/hyperlink" Target="https://pld.live/RapDetail.aspx?STONELIST=925520412&amp;ISCONFIRM=0" TargetMode="External"/><Relationship Id="rId4561" Type="http://schemas.openxmlformats.org/officeDocument/2006/relationships/hyperlink" Target="https://pld.live/RapDetail.aspx?STONELIST=924560507&amp;ISCONFIRM=0" TargetMode="External"/><Relationship Id="rId5405" Type="http://schemas.openxmlformats.org/officeDocument/2006/relationships/hyperlink" Target="https://pld.live/RapDetail.aspx?STONELIST=941071217&amp;ISCONFIRM=0" TargetMode="External"/><Relationship Id="rId5612" Type="http://schemas.openxmlformats.org/officeDocument/2006/relationships/hyperlink" Target="https://pld.live/RapDetail.aspx?STONELIST=924920440&amp;ISCONFIRM=0" TargetMode="External"/><Relationship Id="rId1948" Type="http://schemas.openxmlformats.org/officeDocument/2006/relationships/hyperlink" Target="https://pld.live/RapDetail.aspx?STONELIST=926321146&amp;ISCONFIRM=0" TargetMode="External"/><Relationship Id="rId3163" Type="http://schemas.openxmlformats.org/officeDocument/2006/relationships/hyperlink" Target="https://pld.live/RapDetail.aspx?STONELIST=926210541&amp;ISCONFIRM=0" TargetMode="External"/><Relationship Id="rId3370" Type="http://schemas.openxmlformats.org/officeDocument/2006/relationships/hyperlink" Target="https://pld.live/RapDetail.aspx?STONELIST=923570758&amp;ISCONFIRM=0" TargetMode="External"/><Relationship Id="rId4007" Type="http://schemas.openxmlformats.org/officeDocument/2006/relationships/hyperlink" Target="https://pld.live/RapDetail.aspx?STONELIST=926200091&amp;ISCONFIRM=0" TargetMode="External"/><Relationship Id="rId4214" Type="http://schemas.openxmlformats.org/officeDocument/2006/relationships/hyperlink" Target="https://pld.live/RapDetail.aspx?STONELIST=925721940&amp;ISCONFIRM=0" TargetMode="External"/><Relationship Id="rId4421" Type="http://schemas.openxmlformats.org/officeDocument/2006/relationships/hyperlink" Target="https://pld.live/RapDetail.aspx?STONELIST=926110931&amp;ISCONFIRM=0" TargetMode="External"/><Relationship Id="rId7577" Type="http://schemas.openxmlformats.org/officeDocument/2006/relationships/hyperlink" Target="https://pld.live/RapDetail.aspx?STONELIST=925731931&amp;ISCONFIRM=0" TargetMode="External"/><Relationship Id="rId291" Type="http://schemas.openxmlformats.org/officeDocument/2006/relationships/hyperlink" Target="https://pld.live/RapDetail.aspx?STONELIST=925501213&amp;ISCONFIRM=0" TargetMode="External"/><Relationship Id="rId1808" Type="http://schemas.openxmlformats.org/officeDocument/2006/relationships/hyperlink" Target="https://pld.live/RapDetail.aspx?STONELIST=926350466&amp;ISCONFIRM=0" TargetMode="External"/><Relationship Id="rId3023" Type="http://schemas.openxmlformats.org/officeDocument/2006/relationships/hyperlink" Target="https://pld.live/RapDetail.aspx?STONELIST=821128375&amp;ISCONFIRM=0" TargetMode="External"/><Relationship Id="rId6179" Type="http://schemas.openxmlformats.org/officeDocument/2006/relationships/hyperlink" Target="https://pld.live/RapDetail.aspx?STONELIST=925650066&amp;ISCONFIRM=0" TargetMode="External"/><Relationship Id="rId6386" Type="http://schemas.openxmlformats.org/officeDocument/2006/relationships/hyperlink" Target="https://pld.live/RapDetail.aspx?STONELIST=924570992&amp;ISCONFIRM=0" TargetMode="External"/><Relationship Id="rId7784" Type="http://schemas.openxmlformats.org/officeDocument/2006/relationships/hyperlink" Target="https://pld.live/RapDetail.aspx?STONELIST=941050238&amp;ISCONFIRM=0" TargetMode="External"/><Relationship Id="rId7991" Type="http://schemas.openxmlformats.org/officeDocument/2006/relationships/hyperlink" Target="https://pld.live/RapDetail.aspx?STONELIST=924900109&amp;ISCONFIRM=0" TargetMode="External"/><Relationship Id="rId151" Type="http://schemas.openxmlformats.org/officeDocument/2006/relationships/hyperlink" Target="https://pld.live/RapDetail.aspx?STONELIST=941050465&amp;ISCONFIRM=0" TargetMode="External"/><Relationship Id="rId3230" Type="http://schemas.openxmlformats.org/officeDocument/2006/relationships/hyperlink" Target="https://pld.live/RapDetail.aspx?STONELIST=925040412&amp;ISCONFIRM=0" TargetMode="External"/><Relationship Id="rId5195" Type="http://schemas.openxmlformats.org/officeDocument/2006/relationships/hyperlink" Target="https://pld.live/RapDetail.aspx?STONELIST=926200756&amp;ISCONFIRM=0" TargetMode="External"/><Relationship Id="rId6039" Type="http://schemas.openxmlformats.org/officeDocument/2006/relationships/hyperlink" Target="https://pld.live/RapDetail.aspx?STONELIST=941261122&amp;ISCONFIRM=0" TargetMode="External"/><Relationship Id="rId6593" Type="http://schemas.openxmlformats.org/officeDocument/2006/relationships/hyperlink" Target="https://pld.live/RapDetail.aspx?STONELIST=927010822&amp;ISCONFIRM=0" TargetMode="External"/><Relationship Id="rId7437" Type="http://schemas.openxmlformats.org/officeDocument/2006/relationships/hyperlink" Target="https://pld.live/RapDetail.aspx?STONELIST=924760105&amp;ISCONFIRM=0" TargetMode="External"/><Relationship Id="rId7644" Type="http://schemas.openxmlformats.org/officeDocument/2006/relationships/hyperlink" Target="https://pld.live/RapDetail.aspx?STONELIST=926790370&amp;ISCONFIRM=0" TargetMode="External"/><Relationship Id="rId7851" Type="http://schemas.openxmlformats.org/officeDocument/2006/relationships/hyperlink" Target="https://pld.live/RapDetail.aspx?STONELIST=924950377&amp;ISCONFIRM=0" TargetMode="External"/><Relationship Id="rId2789" Type="http://schemas.openxmlformats.org/officeDocument/2006/relationships/hyperlink" Target="https://pld.live/RapDetail.aspx?STONELIST=926450604&amp;ISCONFIRM=0" TargetMode="External"/><Relationship Id="rId2996" Type="http://schemas.openxmlformats.org/officeDocument/2006/relationships/hyperlink" Target="https://pld.live/RapDetail.aspx?STONELIST=821128402&amp;ISCONFIRM=0" TargetMode="External"/><Relationship Id="rId6246" Type="http://schemas.openxmlformats.org/officeDocument/2006/relationships/hyperlink" Target="https://pld.live/RapDetail.aspx?STONELIST=941110524&amp;ISCONFIRM=0" TargetMode="External"/><Relationship Id="rId6453" Type="http://schemas.openxmlformats.org/officeDocument/2006/relationships/hyperlink" Target="https://pld.live/RapDetail.aspx?STONELIST=927052067&amp;ISCONFIRM=0" TargetMode="External"/><Relationship Id="rId6660" Type="http://schemas.openxmlformats.org/officeDocument/2006/relationships/hyperlink" Target="https://pld.live/RapDetail.aspx?STONELIST=927092677&amp;ISCONFIRM=0" TargetMode="External"/><Relationship Id="rId7504" Type="http://schemas.openxmlformats.org/officeDocument/2006/relationships/hyperlink" Target="https://pld.live/RapDetail.aspx?STONELIST=925731371&amp;ISCONFIRM=0" TargetMode="External"/><Relationship Id="rId7711" Type="http://schemas.openxmlformats.org/officeDocument/2006/relationships/hyperlink" Target="https://pld.live/RapDetail.aspx?STONELIST=926820122&amp;ISCONFIRM=0" TargetMode="External"/><Relationship Id="rId968" Type="http://schemas.openxmlformats.org/officeDocument/2006/relationships/hyperlink" Target="https://pld.live/RapDetail.aspx?STONELIST=941430729&amp;ISCONFIRM=0" TargetMode="External"/><Relationship Id="rId1598" Type="http://schemas.openxmlformats.org/officeDocument/2006/relationships/hyperlink" Target="https://pld.live/RapDetail.aspx?STONELIST=941280107&amp;ISCONFIRM=0" TargetMode="External"/><Relationship Id="rId2649" Type="http://schemas.openxmlformats.org/officeDocument/2006/relationships/hyperlink" Target="https://pld.live/RapDetail.aspx?STONELIST=926400598&amp;ISCONFIRM=0" TargetMode="External"/><Relationship Id="rId2856" Type="http://schemas.openxmlformats.org/officeDocument/2006/relationships/hyperlink" Target="https://pld.live/RapDetail.aspx?STONELIST=926200895&amp;ISCONFIRM=0" TargetMode="External"/><Relationship Id="rId3907" Type="http://schemas.openxmlformats.org/officeDocument/2006/relationships/hyperlink" Target="https://pld.live/RapDetail.aspx?STONELIST=925621832&amp;ISCONFIRM=0" TargetMode="External"/><Relationship Id="rId5055" Type="http://schemas.openxmlformats.org/officeDocument/2006/relationships/hyperlink" Target="https://pld.live/RapDetail.aspx?STONELIST=925950903&amp;ISCONFIRM=0" TargetMode="External"/><Relationship Id="rId5262" Type="http://schemas.openxmlformats.org/officeDocument/2006/relationships/hyperlink" Target="https://pld.live/RapDetail.aspx?STONELIST=926210568&amp;ISCONFIRM=0" TargetMode="External"/><Relationship Id="rId6106" Type="http://schemas.openxmlformats.org/officeDocument/2006/relationships/hyperlink" Target="https://pld.live/RapDetail.aspx?STONELIST=926470421&amp;ISCONFIRM=0" TargetMode="External"/><Relationship Id="rId6313" Type="http://schemas.openxmlformats.org/officeDocument/2006/relationships/hyperlink" Target="https://pld.live/RapDetail.aspx?STONELIST=831010826&amp;ISCONFIRM=0" TargetMode="External"/><Relationship Id="rId6520" Type="http://schemas.openxmlformats.org/officeDocument/2006/relationships/hyperlink" Target="https://pld.live/RapDetail.aspx?STONELIST=925350036&amp;ISCONFIRM=0" TargetMode="External"/><Relationship Id="rId97" Type="http://schemas.openxmlformats.org/officeDocument/2006/relationships/hyperlink" Target="https://pld.live/RapDetail.aspx?STONELIST=926450484&amp;ISCONFIRM=0" TargetMode="External"/><Relationship Id="rId828" Type="http://schemas.openxmlformats.org/officeDocument/2006/relationships/hyperlink" Target="https://pld.live/RapDetail.aspx?STONELIST=926020707&amp;ISCONFIRM=0" TargetMode="External"/><Relationship Id="rId1458" Type="http://schemas.openxmlformats.org/officeDocument/2006/relationships/hyperlink" Target="https://pld.live/RapDetail.aspx?STONELIST=926221253&amp;ISCONFIRM=0" TargetMode="External"/><Relationship Id="rId1665" Type="http://schemas.openxmlformats.org/officeDocument/2006/relationships/hyperlink" Target="https://pld.live/RapDetail.aspx?STONELIST=821126619&amp;ISCONFIRM=0" TargetMode="External"/><Relationship Id="rId1872" Type="http://schemas.openxmlformats.org/officeDocument/2006/relationships/hyperlink" Target="https://pld.live/RapDetail.aspx?STONELIST=924460335&amp;ISCONFIRM=0" TargetMode="External"/><Relationship Id="rId2509" Type="http://schemas.openxmlformats.org/officeDocument/2006/relationships/hyperlink" Target="https://pld.live/RapDetail.aspx?STONELIST=941230613&amp;ISCONFIRM=0" TargetMode="External"/><Relationship Id="rId2716" Type="http://schemas.openxmlformats.org/officeDocument/2006/relationships/hyperlink" Target="https://pld.live/RapDetail.aspx?STONELIST=922170063&amp;ISCONFIRM=0" TargetMode="External"/><Relationship Id="rId4071" Type="http://schemas.openxmlformats.org/officeDocument/2006/relationships/hyperlink" Target="https://pld.live/RapDetail.aspx?STONELIST=925722064&amp;ISCONFIRM=0" TargetMode="External"/><Relationship Id="rId5122" Type="http://schemas.openxmlformats.org/officeDocument/2006/relationships/hyperlink" Target="https://pld.live/RapDetail.aspx?STONELIST=926841351&amp;ISCONFIRM=0" TargetMode="External"/><Relationship Id="rId1318" Type="http://schemas.openxmlformats.org/officeDocument/2006/relationships/hyperlink" Target="https://pld.live/RapDetail.aspx?STONELIST=941320778&amp;ISCONFIRM=0" TargetMode="External"/><Relationship Id="rId1525" Type="http://schemas.openxmlformats.org/officeDocument/2006/relationships/hyperlink" Target="https://pld.live/RapDetail.aspx?STONELIST=926280705&amp;ISCONFIRM=0" TargetMode="External"/><Relationship Id="rId2923" Type="http://schemas.openxmlformats.org/officeDocument/2006/relationships/hyperlink" Target="https://pld.live/RapDetail.aspx?STONELIST=925940615&amp;ISCONFIRM=0" TargetMode="External"/><Relationship Id="rId7087" Type="http://schemas.openxmlformats.org/officeDocument/2006/relationships/hyperlink" Target="https://pld.live/RapDetail.aspx?STONELIST=927092590&amp;ISCONFIRM=0" TargetMode="External"/><Relationship Id="rId7294" Type="http://schemas.openxmlformats.org/officeDocument/2006/relationships/hyperlink" Target="https://pld.live/RapDetail.aspx?STONELIST=927030813&amp;ISCONFIRM=0" TargetMode="External"/><Relationship Id="rId8138" Type="http://schemas.openxmlformats.org/officeDocument/2006/relationships/hyperlink" Target="https://pld.live/RapDetail.aspx?STONELIST=941160581&amp;ISCONFIRM=0" TargetMode="External"/><Relationship Id="rId1732" Type="http://schemas.openxmlformats.org/officeDocument/2006/relationships/hyperlink" Target="https://pld.live/RapDetail.aspx?STONELIST=926972145&amp;ISCONFIRM=0" TargetMode="External"/><Relationship Id="rId4888" Type="http://schemas.openxmlformats.org/officeDocument/2006/relationships/hyperlink" Target="https://pld.live/RapDetail.aspx?STONELIST=925960928&amp;ISCONFIRM=0" TargetMode="External"/><Relationship Id="rId5939" Type="http://schemas.openxmlformats.org/officeDocument/2006/relationships/hyperlink" Target="https://pld.live/RapDetail.aspx?STONELIST=926841292&amp;ISCONFIRM=0" TargetMode="External"/><Relationship Id="rId7154" Type="http://schemas.openxmlformats.org/officeDocument/2006/relationships/hyperlink" Target="https://pld.live/RapDetail.aspx?STONELIST=926420455&amp;ISCONFIRM=0" TargetMode="External"/><Relationship Id="rId7361" Type="http://schemas.openxmlformats.org/officeDocument/2006/relationships/hyperlink" Target="https://pld.live/RapDetail.aspx?STONELIST=941340751&amp;ISCONFIRM=0" TargetMode="External"/><Relationship Id="rId8205" Type="http://schemas.openxmlformats.org/officeDocument/2006/relationships/hyperlink" Target="https://pld.live/RapDetail.aspx?STONELIST=925660174&amp;ISCONFIRM=0" TargetMode="External"/><Relationship Id="rId24" Type="http://schemas.openxmlformats.org/officeDocument/2006/relationships/hyperlink" Target="https://pld.live/RapDetail.aspx?STONELIST=941330537&amp;ISCONFIRM=0" TargetMode="External"/><Relationship Id="rId2299" Type="http://schemas.openxmlformats.org/officeDocument/2006/relationships/hyperlink" Target="https://pld.live/RapDetail.aspx?STONELIST=926321001&amp;ISCONFIRM=0" TargetMode="External"/><Relationship Id="rId3697" Type="http://schemas.openxmlformats.org/officeDocument/2006/relationships/hyperlink" Target="https://pld.live/RapDetail.aspx?STONELIST=927070922&amp;ISCONFIRM=0" TargetMode="External"/><Relationship Id="rId4748" Type="http://schemas.openxmlformats.org/officeDocument/2006/relationships/hyperlink" Target="https://pld.live/RapDetail.aspx?STONELIST=924430130&amp;ISCONFIRM=0" TargetMode="External"/><Relationship Id="rId4955" Type="http://schemas.openxmlformats.org/officeDocument/2006/relationships/hyperlink" Target="https://pld.live/RapDetail.aspx?STONELIST=926540075&amp;ISCONFIRM=0" TargetMode="External"/><Relationship Id="rId7014" Type="http://schemas.openxmlformats.org/officeDocument/2006/relationships/hyperlink" Target="https://pld.live/RapDetail.aspx?STONELIST=926841326&amp;ISCONFIRM=0" TargetMode="External"/><Relationship Id="rId3557" Type="http://schemas.openxmlformats.org/officeDocument/2006/relationships/hyperlink" Target="https://pld.live/RapDetail.aspx?STONELIST=926470395&amp;ISCONFIRM=0" TargetMode="External"/><Relationship Id="rId3764" Type="http://schemas.openxmlformats.org/officeDocument/2006/relationships/hyperlink" Target="https://pld.live/RapDetail.aspx?STONELIST=941400537&amp;ISCONFIRM=0" TargetMode="External"/><Relationship Id="rId3971" Type="http://schemas.openxmlformats.org/officeDocument/2006/relationships/hyperlink" Target="https://pld.live/RapDetail.aspx?STONELIST=821124321&amp;ISCONFIRM=0" TargetMode="External"/><Relationship Id="rId4608" Type="http://schemas.openxmlformats.org/officeDocument/2006/relationships/hyperlink" Target="https://pld.live/RapDetail.aspx?STONELIST=927130753&amp;ISCONFIRM=0" TargetMode="External"/><Relationship Id="rId4815" Type="http://schemas.openxmlformats.org/officeDocument/2006/relationships/hyperlink" Target="https://pld.live/RapDetail.aspx?STONELIST=926450448&amp;ISCONFIRM=0" TargetMode="External"/><Relationship Id="rId6170" Type="http://schemas.openxmlformats.org/officeDocument/2006/relationships/hyperlink" Target="https://pld.live/RapDetail.aspx?STONELIST=941180076&amp;ISCONFIRM=0" TargetMode="External"/><Relationship Id="rId7221" Type="http://schemas.openxmlformats.org/officeDocument/2006/relationships/hyperlink" Target="https://pld.live/RapDetail.aspx?STONELIST=821118003&amp;ISCONFIRM=0" TargetMode="External"/><Relationship Id="rId478" Type="http://schemas.openxmlformats.org/officeDocument/2006/relationships/hyperlink" Target="https://pld.live/RapDetail.aspx?STONELIST=925310313&amp;ISCONFIRM=0" TargetMode="External"/><Relationship Id="rId685" Type="http://schemas.openxmlformats.org/officeDocument/2006/relationships/hyperlink" Target="https://pld.live/RapDetail.aspx?STONELIST=926071748&amp;ISCONFIRM=0" TargetMode="External"/><Relationship Id="rId892" Type="http://schemas.openxmlformats.org/officeDocument/2006/relationships/hyperlink" Target="https://pld.live/RapDetail.aspx?STONELIST=925961355&amp;ISCONFIRM=0" TargetMode="External"/><Relationship Id="rId2159" Type="http://schemas.openxmlformats.org/officeDocument/2006/relationships/hyperlink" Target="https://pld.live/RapDetail.aspx?STONELIST=925780896&amp;ISCONFIRM=0" TargetMode="External"/><Relationship Id="rId2366" Type="http://schemas.openxmlformats.org/officeDocument/2006/relationships/hyperlink" Target="https://pld.live/RapDetail.aspx?STONELIST=926301050&amp;ISCONFIRM=0" TargetMode="External"/><Relationship Id="rId2573" Type="http://schemas.openxmlformats.org/officeDocument/2006/relationships/hyperlink" Target="https://pld.live/RapDetail.aspx?STONELIST=821127932&amp;ISCONFIRM=0" TargetMode="External"/><Relationship Id="rId2780" Type="http://schemas.openxmlformats.org/officeDocument/2006/relationships/hyperlink" Target="https://pld.live/RapDetail.aspx?STONELIST=924950443&amp;ISCONFIRM=0" TargetMode="External"/><Relationship Id="rId3417" Type="http://schemas.openxmlformats.org/officeDocument/2006/relationships/hyperlink" Target="https://pld.live/RapDetail.aspx?STONELIST=821115148&amp;ISCONFIRM=0" TargetMode="External"/><Relationship Id="rId3624" Type="http://schemas.openxmlformats.org/officeDocument/2006/relationships/hyperlink" Target="https://pld.live/RapDetail.aspx?STONELIST=925060293&amp;ISCONFIRM=0" TargetMode="External"/><Relationship Id="rId3831" Type="http://schemas.openxmlformats.org/officeDocument/2006/relationships/hyperlink" Target="https://pld.live/RapDetail.aspx?STONELIST=941110523&amp;ISCONFIRM=0" TargetMode="External"/><Relationship Id="rId6030" Type="http://schemas.openxmlformats.org/officeDocument/2006/relationships/hyperlink" Target="https://pld.live/RapDetail.aspx?STONELIST=941170410&amp;ISCONFIRM=0" TargetMode="External"/><Relationship Id="rId6987" Type="http://schemas.openxmlformats.org/officeDocument/2006/relationships/hyperlink" Target="https://pld.live/RapDetail.aspx?STONELIST=925551885&amp;ISCONFIRM=0" TargetMode="External"/><Relationship Id="rId338" Type="http://schemas.openxmlformats.org/officeDocument/2006/relationships/hyperlink" Target="https://pld.live/RapDetail.aspx?STONELIST=941420950&amp;ISCONFIRM=0" TargetMode="External"/><Relationship Id="rId545" Type="http://schemas.openxmlformats.org/officeDocument/2006/relationships/hyperlink" Target="https://pld.live/RapDetail.aspx?STONELIST=941400358&amp;ISCONFIRM=0" TargetMode="External"/><Relationship Id="rId752" Type="http://schemas.openxmlformats.org/officeDocument/2006/relationships/hyperlink" Target="https://pld.live/RapDetail.aspx?STONELIST=924820051&amp;ISCONFIRM=0" TargetMode="External"/><Relationship Id="rId1175" Type="http://schemas.openxmlformats.org/officeDocument/2006/relationships/hyperlink" Target="https://pld.live/RapDetail.aspx?STONELIST=941190662&amp;ISCONFIRM=0" TargetMode="External"/><Relationship Id="rId1382" Type="http://schemas.openxmlformats.org/officeDocument/2006/relationships/hyperlink" Target="https://pld.live/RapDetail.aspx?STONELIST=925791086&amp;ISCONFIRM=0" TargetMode="External"/><Relationship Id="rId2019" Type="http://schemas.openxmlformats.org/officeDocument/2006/relationships/hyperlink" Target="https://pld.live/RapDetail.aspx?STONELIST=926300536&amp;ISCONFIRM=0" TargetMode="External"/><Relationship Id="rId2226" Type="http://schemas.openxmlformats.org/officeDocument/2006/relationships/hyperlink" Target="https://pld.live/RapDetail.aspx?STONELIST=920661217&amp;ISCONFIRM=0" TargetMode="External"/><Relationship Id="rId2433" Type="http://schemas.openxmlformats.org/officeDocument/2006/relationships/hyperlink" Target="https://pld.live/RapDetail.aspx?STONELIST=926231269&amp;ISCONFIRM=0" TargetMode="External"/><Relationship Id="rId2640" Type="http://schemas.openxmlformats.org/officeDocument/2006/relationships/hyperlink" Target="https://pld.live/RapDetail.aspx?STONELIST=926231351&amp;ISCONFIRM=0" TargetMode="External"/><Relationship Id="rId5589" Type="http://schemas.openxmlformats.org/officeDocument/2006/relationships/hyperlink" Target="https://pld.live/RapDetail.aspx?STONELIST=924410869&amp;ISCONFIRM=0" TargetMode="External"/><Relationship Id="rId5796" Type="http://schemas.openxmlformats.org/officeDocument/2006/relationships/hyperlink" Target="https://pld.live/RapDetail.aspx?STONELIST=925840513&amp;ISCONFIRM=0" TargetMode="External"/><Relationship Id="rId6847" Type="http://schemas.openxmlformats.org/officeDocument/2006/relationships/hyperlink" Target="https://pld.live/RapDetail.aspx?STONELIST=926910597&amp;ISCONFIRM=0" TargetMode="External"/><Relationship Id="rId405" Type="http://schemas.openxmlformats.org/officeDocument/2006/relationships/hyperlink" Target="https://pld.live/RapDetail.aspx?STONELIST=925731432&amp;ISCONFIRM=0" TargetMode="External"/><Relationship Id="rId612" Type="http://schemas.openxmlformats.org/officeDocument/2006/relationships/hyperlink" Target="https://pld.live/RapDetail.aspx?STONELIST=926040926&amp;ISCONFIRM=0" TargetMode="External"/><Relationship Id="rId1035" Type="http://schemas.openxmlformats.org/officeDocument/2006/relationships/hyperlink" Target="https://pld.live/RapDetail.aspx?STONELIST=941220053&amp;ISCONFIRM=0" TargetMode="External"/><Relationship Id="rId1242" Type="http://schemas.openxmlformats.org/officeDocument/2006/relationships/hyperlink" Target="https://pld.live/RapDetail.aspx?STONELIST=927130090&amp;ISCONFIRM=0" TargetMode="External"/><Relationship Id="rId2500" Type="http://schemas.openxmlformats.org/officeDocument/2006/relationships/hyperlink" Target="https://pld.live/RapDetail.aspx?STONELIST=941360539&amp;ISCONFIRM=0" TargetMode="External"/><Relationship Id="rId4398" Type="http://schemas.openxmlformats.org/officeDocument/2006/relationships/hyperlink" Target="https://pld.live/RapDetail.aspx?STONELIST=925621913&amp;ISCONFIRM=0" TargetMode="External"/><Relationship Id="rId5449" Type="http://schemas.openxmlformats.org/officeDocument/2006/relationships/hyperlink" Target="https://pld.live/RapDetail.aspx?STONELIST=926700725&amp;ISCONFIRM=0" TargetMode="External"/><Relationship Id="rId5656" Type="http://schemas.openxmlformats.org/officeDocument/2006/relationships/hyperlink" Target="https://pld.live/RapDetail.aspx?STONELIST=941261068&amp;ISCONFIRM=0" TargetMode="External"/><Relationship Id="rId8062" Type="http://schemas.openxmlformats.org/officeDocument/2006/relationships/hyperlink" Target="https://pld.live/RapDetail.aspx?STONELIST=926170739&amp;ISCONFIRM=0" TargetMode="External"/><Relationship Id="rId1102" Type="http://schemas.openxmlformats.org/officeDocument/2006/relationships/hyperlink" Target="https://pld.live/RapDetail.aspx?STONELIST=927130116&amp;ISCONFIRM=0" TargetMode="External"/><Relationship Id="rId4258" Type="http://schemas.openxmlformats.org/officeDocument/2006/relationships/hyperlink" Target="https://pld.live/RapDetail.aspx?STONELIST=926270813&amp;ISCONFIRM=0" TargetMode="External"/><Relationship Id="rId4465" Type="http://schemas.openxmlformats.org/officeDocument/2006/relationships/hyperlink" Target="https://pld.live/RapDetail.aspx?STONELIST=925280541&amp;ISCONFIRM=0" TargetMode="External"/><Relationship Id="rId5309" Type="http://schemas.openxmlformats.org/officeDocument/2006/relationships/hyperlink" Target="https://pld.live/RapDetail.aspx?STONELIST=926291269&amp;ISCONFIRM=0" TargetMode="External"/><Relationship Id="rId5863" Type="http://schemas.openxmlformats.org/officeDocument/2006/relationships/hyperlink" Target="https://pld.live/RapDetail.aspx?STONELIST=925300368&amp;ISCONFIRM=0" TargetMode="External"/><Relationship Id="rId6707" Type="http://schemas.openxmlformats.org/officeDocument/2006/relationships/hyperlink" Target="https://pld.live/RapDetail.aspx?STONELIST=941040705&amp;ISCONFIRM=0" TargetMode="External"/><Relationship Id="rId6914" Type="http://schemas.openxmlformats.org/officeDocument/2006/relationships/hyperlink" Target="https://pld.live/RapDetail.aspx?STONELIST=821113885&amp;ISCONFIRM=0" TargetMode="External"/><Relationship Id="rId3067" Type="http://schemas.openxmlformats.org/officeDocument/2006/relationships/hyperlink" Target="https://pld.live/RapDetail.aspx?STONELIST=925760702&amp;ISCONFIRM=0" TargetMode="External"/><Relationship Id="rId3274" Type="http://schemas.openxmlformats.org/officeDocument/2006/relationships/hyperlink" Target="https://pld.live/RapDetail.aspx?STONELIST=941261087&amp;ISCONFIRM=0" TargetMode="External"/><Relationship Id="rId4118" Type="http://schemas.openxmlformats.org/officeDocument/2006/relationships/hyperlink" Target="https://pld.live/RapDetail.aspx?STONELIST=925270554&amp;ISCONFIRM=0" TargetMode="External"/><Relationship Id="rId4672" Type="http://schemas.openxmlformats.org/officeDocument/2006/relationships/hyperlink" Target="https://pld.live/RapDetail.aspx?STONELIST=926560384&amp;ISCONFIRM=0" TargetMode="External"/><Relationship Id="rId5516" Type="http://schemas.openxmlformats.org/officeDocument/2006/relationships/hyperlink" Target="https://pld.live/RapDetail.aspx?STONELIST=925030364&amp;ISCONFIRM=0" TargetMode="External"/><Relationship Id="rId5723" Type="http://schemas.openxmlformats.org/officeDocument/2006/relationships/hyperlink" Target="https://pld.live/RapDetail.aspx?STONELIST=924090157&amp;ISCONFIRM=0" TargetMode="External"/><Relationship Id="rId5930" Type="http://schemas.openxmlformats.org/officeDocument/2006/relationships/hyperlink" Target="https://pld.live/RapDetail.aspx?STONELIST=925270575&amp;ISCONFIRM=0" TargetMode="External"/><Relationship Id="rId195" Type="http://schemas.openxmlformats.org/officeDocument/2006/relationships/hyperlink" Target="https://pld.live/RapDetail.aspx?STONELIST=927000517&amp;ISCONFIRM=0" TargetMode="External"/><Relationship Id="rId1919" Type="http://schemas.openxmlformats.org/officeDocument/2006/relationships/hyperlink" Target="https://pld.live/RapDetail.aspx?STONELIST=926661518&amp;ISCONFIRM=0" TargetMode="External"/><Relationship Id="rId3481" Type="http://schemas.openxmlformats.org/officeDocument/2006/relationships/hyperlink" Target="https://pld.live/RapDetail.aspx?STONELIST=924390407&amp;ISCONFIRM=0" TargetMode="External"/><Relationship Id="rId4325" Type="http://schemas.openxmlformats.org/officeDocument/2006/relationships/hyperlink" Target="https://pld.live/RapDetail.aspx?STONELIST=927052557&amp;ISCONFIRM=0" TargetMode="External"/><Relationship Id="rId4532" Type="http://schemas.openxmlformats.org/officeDocument/2006/relationships/hyperlink" Target="https://pld.live/RapDetail.aspx?STONELIST=927102462&amp;ISCONFIRM=0" TargetMode="External"/><Relationship Id="rId7688" Type="http://schemas.openxmlformats.org/officeDocument/2006/relationships/hyperlink" Target="https://pld.live/RapDetail.aspx?STONELIST=941270783&amp;ISCONFIRM=0" TargetMode="External"/><Relationship Id="rId7895" Type="http://schemas.openxmlformats.org/officeDocument/2006/relationships/hyperlink" Target="https://pld.live/RapDetail.aspx?STONELIST=941021652&amp;ISCONFIRM=0" TargetMode="External"/><Relationship Id="rId2083" Type="http://schemas.openxmlformats.org/officeDocument/2006/relationships/hyperlink" Target="https://pld.live/RapDetail.aspx?STONELIST=924040190&amp;ISCONFIRM=0" TargetMode="External"/><Relationship Id="rId2290" Type="http://schemas.openxmlformats.org/officeDocument/2006/relationships/hyperlink" Target="https://pld.live/RapDetail.aspx?STONELIST=926231365&amp;ISCONFIRM=0" TargetMode="External"/><Relationship Id="rId3134" Type="http://schemas.openxmlformats.org/officeDocument/2006/relationships/hyperlink" Target="https://pld.live/RapDetail.aspx?STONELIST=922730400&amp;ISCONFIRM=0" TargetMode="External"/><Relationship Id="rId3341" Type="http://schemas.openxmlformats.org/officeDocument/2006/relationships/hyperlink" Target="https://pld.live/RapDetail.aspx?STONELIST=926071605&amp;ISCONFIRM=0" TargetMode="External"/><Relationship Id="rId6497" Type="http://schemas.openxmlformats.org/officeDocument/2006/relationships/hyperlink" Target="https://pld.live/RapDetail.aspx?STONELIST=926681160&amp;ISCONFIRM=0" TargetMode="External"/><Relationship Id="rId7548" Type="http://schemas.openxmlformats.org/officeDocument/2006/relationships/hyperlink" Target="https://pld.live/RapDetail.aspx?STONELIST=925300323&amp;ISCONFIRM=0" TargetMode="External"/><Relationship Id="rId7755" Type="http://schemas.openxmlformats.org/officeDocument/2006/relationships/hyperlink" Target="https://pld.live/RapDetail.aspx?STONELIST=941390221&amp;ISCONFIRM=0" TargetMode="External"/><Relationship Id="rId7962" Type="http://schemas.openxmlformats.org/officeDocument/2006/relationships/hyperlink" Target="https://pld.live/RapDetail.aspx?STONELIST=926291348&amp;ISCONFIRM=0" TargetMode="External"/><Relationship Id="rId262" Type="http://schemas.openxmlformats.org/officeDocument/2006/relationships/hyperlink" Target="https://pld.live/RapDetail.aspx?STONELIST=924250412&amp;ISCONFIRM=0" TargetMode="External"/><Relationship Id="rId2150" Type="http://schemas.openxmlformats.org/officeDocument/2006/relationships/hyperlink" Target="https://pld.live/RapDetail.aspx?STONELIST=926230952&amp;ISCONFIRM=0" TargetMode="External"/><Relationship Id="rId3201" Type="http://schemas.openxmlformats.org/officeDocument/2006/relationships/hyperlink" Target="https://pld.live/RapDetail.aspx?STONELIST=925870600&amp;ISCONFIRM=0" TargetMode="External"/><Relationship Id="rId5099" Type="http://schemas.openxmlformats.org/officeDocument/2006/relationships/hyperlink" Target="https://pld.live/RapDetail.aspx?STONELIST=925731744&amp;ISCONFIRM=0" TargetMode="External"/><Relationship Id="rId6357" Type="http://schemas.openxmlformats.org/officeDocument/2006/relationships/hyperlink" Target="https://pld.live/RapDetail.aspx?STONELIST=926990453&amp;ISCONFIRM=0" TargetMode="External"/><Relationship Id="rId6564" Type="http://schemas.openxmlformats.org/officeDocument/2006/relationships/hyperlink" Target="https://pld.live/RapDetail.aspx?STONELIST=924920126&amp;ISCONFIRM=0" TargetMode="External"/><Relationship Id="rId6771" Type="http://schemas.openxmlformats.org/officeDocument/2006/relationships/hyperlink" Target="https://pld.live/RapDetail.aspx?STONELIST=922780052&amp;ISCONFIRM=0" TargetMode="External"/><Relationship Id="rId7408" Type="http://schemas.openxmlformats.org/officeDocument/2006/relationships/hyperlink" Target="https://pld.live/RapDetail.aspx?STONELIST=925050152&amp;ISCONFIRM=0" TargetMode="External"/><Relationship Id="rId7615" Type="http://schemas.openxmlformats.org/officeDocument/2006/relationships/hyperlink" Target="https://pld.live/RapDetail.aspx?STONELIST=926270778&amp;ISCONFIRM=0" TargetMode="External"/><Relationship Id="rId7822" Type="http://schemas.openxmlformats.org/officeDocument/2006/relationships/hyperlink" Target="https://pld.live/RapDetail.aspx?STONELIST=927070619&amp;ISCONFIRM=0" TargetMode="External"/><Relationship Id="rId122" Type="http://schemas.openxmlformats.org/officeDocument/2006/relationships/hyperlink" Target="https://pld.live/RapDetail.aspx?STONELIST=926980697&amp;ISCONFIRM=0" TargetMode="External"/><Relationship Id="rId2010" Type="http://schemas.openxmlformats.org/officeDocument/2006/relationships/hyperlink" Target="https://pld.live/RapDetail.aspx?STONELIST=941190330&amp;ISCONFIRM=0" TargetMode="External"/><Relationship Id="rId5166" Type="http://schemas.openxmlformats.org/officeDocument/2006/relationships/hyperlink" Target="https://pld.live/RapDetail.aspx?STONELIST=831010817&amp;ISCONFIRM=0" TargetMode="External"/><Relationship Id="rId5373" Type="http://schemas.openxmlformats.org/officeDocument/2006/relationships/hyperlink" Target="https://pld.live/RapDetail.aspx?STONELIST=831010167&amp;ISCONFIRM=0" TargetMode="External"/><Relationship Id="rId5580" Type="http://schemas.openxmlformats.org/officeDocument/2006/relationships/hyperlink" Target="https://pld.live/RapDetail.aspx?STONELIST=924900236&amp;ISCONFIRM=0" TargetMode="External"/><Relationship Id="rId6217" Type="http://schemas.openxmlformats.org/officeDocument/2006/relationships/hyperlink" Target="https://pld.live/RapDetail.aspx?STONELIST=925700181&amp;ISCONFIRM=0" TargetMode="External"/><Relationship Id="rId6424" Type="http://schemas.openxmlformats.org/officeDocument/2006/relationships/hyperlink" Target="https://pld.live/RapDetail.aspx?STONELIST=941080820&amp;ISCONFIRM=0" TargetMode="External"/><Relationship Id="rId6631" Type="http://schemas.openxmlformats.org/officeDocument/2006/relationships/hyperlink" Target="https://pld.live/RapDetail.aspx?STONELIST=926910628&amp;ISCONFIRM=0" TargetMode="External"/><Relationship Id="rId1569" Type="http://schemas.openxmlformats.org/officeDocument/2006/relationships/hyperlink" Target="https://pld.live/RapDetail.aspx?STONELIST=926221317&amp;ISCONFIRM=0" TargetMode="External"/><Relationship Id="rId2967" Type="http://schemas.openxmlformats.org/officeDocument/2006/relationships/hyperlink" Target="https://pld.live/RapDetail.aspx?STONELIST=925940633&amp;ISCONFIRM=0" TargetMode="External"/><Relationship Id="rId4182" Type="http://schemas.openxmlformats.org/officeDocument/2006/relationships/hyperlink" Target="https://pld.live/RapDetail.aspx?STONELIST=821126918&amp;ISCONFIRM=0" TargetMode="External"/><Relationship Id="rId5026" Type="http://schemas.openxmlformats.org/officeDocument/2006/relationships/hyperlink" Target="https://pld.live/RapDetail.aspx?STONELIST=925731629&amp;ISCONFIRM=0" TargetMode="External"/><Relationship Id="rId5233" Type="http://schemas.openxmlformats.org/officeDocument/2006/relationships/hyperlink" Target="https://pld.live/RapDetail.aspx?STONELIST=925890274&amp;ISCONFIRM=0" TargetMode="External"/><Relationship Id="rId5440" Type="http://schemas.openxmlformats.org/officeDocument/2006/relationships/hyperlink" Target="https://pld.live/RapDetail.aspx?STONELIST=925360278&amp;ISCONFIRM=0" TargetMode="External"/><Relationship Id="rId939" Type="http://schemas.openxmlformats.org/officeDocument/2006/relationships/hyperlink" Target="https://pld.live/RapDetail.aspx?STONELIST=926101263&amp;ISCONFIRM=0" TargetMode="External"/><Relationship Id="rId1776" Type="http://schemas.openxmlformats.org/officeDocument/2006/relationships/hyperlink" Target="https://pld.live/RapDetail.aspx?STONELIST=941270660&amp;ISCONFIRM=0" TargetMode="External"/><Relationship Id="rId1983" Type="http://schemas.openxmlformats.org/officeDocument/2006/relationships/hyperlink" Target="https://pld.live/RapDetail.aspx?STONELIST=926321221&amp;ISCONFIRM=0" TargetMode="External"/><Relationship Id="rId2827" Type="http://schemas.openxmlformats.org/officeDocument/2006/relationships/hyperlink" Target="https://pld.live/RapDetail.aspx?STONELIST=925971304&amp;ISCONFIRM=0" TargetMode="External"/><Relationship Id="rId4042" Type="http://schemas.openxmlformats.org/officeDocument/2006/relationships/hyperlink" Target="https://pld.live/RapDetail.aspx?STONELIST=925732157&amp;ISCONFIRM=0" TargetMode="External"/><Relationship Id="rId7198" Type="http://schemas.openxmlformats.org/officeDocument/2006/relationships/hyperlink" Target="https://pld.live/RapDetail.aspx?STONELIST=927070916&amp;ISCONFIRM=0" TargetMode="External"/><Relationship Id="rId8249" Type="http://schemas.openxmlformats.org/officeDocument/2006/relationships/hyperlink" Target="https://pld.live/RapDetail.aspx?STONELIST=925140254&amp;ISCONFIRM=0" TargetMode="External"/><Relationship Id="rId68" Type="http://schemas.openxmlformats.org/officeDocument/2006/relationships/hyperlink" Target="https://pld.live/RapDetail.aspx?STONELIST=821115883&amp;ISCONFIRM=0" TargetMode="External"/><Relationship Id="rId1429" Type="http://schemas.openxmlformats.org/officeDocument/2006/relationships/hyperlink" Target="https://pld.live/RapDetail.aspx?STONELIST=926270883&amp;ISCONFIRM=0" TargetMode="External"/><Relationship Id="rId1636" Type="http://schemas.openxmlformats.org/officeDocument/2006/relationships/hyperlink" Target="https://pld.live/RapDetail.aspx?STONELIST=926210998&amp;ISCONFIRM=0" TargetMode="External"/><Relationship Id="rId1843" Type="http://schemas.openxmlformats.org/officeDocument/2006/relationships/hyperlink" Target="https://pld.live/RapDetail.aspx?STONELIST=924400298&amp;ISCONFIRM=0" TargetMode="External"/><Relationship Id="rId4999" Type="http://schemas.openxmlformats.org/officeDocument/2006/relationships/hyperlink" Target="https://pld.live/RapDetail.aspx?STONELIST=925951025&amp;ISCONFIRM=0" TargetMode="External"/><Relationship Id="rId5300" Type="http://schemas.openxmlformats.org/officeDocument/2006/relationships/hyperlink" Target="https://pld.live/RapDetail.aspx?STONELIST=926700791&amp;ISCONFIRM=0" TargetMode="External"/><Relationship Id="rId7058" Type="http://schemas.openxmlformats.org/officeDocument/2006/relationships/hyperlink" Target="https://pld.live/RapDetail.aspx?STONELIST=926921402&amp;ISCONFIRM=0" TargetMode="External"/><Relationship Id="rId1703" Type="http://schemas.openxmlformats.org/officeDocument/2006/relationships/hyperlink" Target="https://pld.live/RapDetail.aspx?STONELIST=926670919&amp;ISCONFIRM=0" TargetMode="External"/><Relationship Id="rId1910" Type="http://schemas.openxmlformats.org/officeDocument/2006/relationships/hyperlink" Target="https://pld.live/RapDetail.aspx?STONELIST=831010720&amp;ISCONFIRM=0" TargetMode="External"/><Relationship Id="rId4859" Type="http://schemas.openxmlformats.org/officeDocument/2006/relationships/hyperlink" Target="https://pld.live/RapDetail.aspx?STONELIST=925501270&amp;ISCONFIRM=0" TargetMode="External"/><Relationship Id="rId7265" Type="http://schemas.openxmlformats.org/officeDocument/2006/relationships/hyperlink" Target="https://pld.live/RapDetail.aspx?STONELIST=927070942&amp;ISCONFIRM=0" TargetMode="External"/><Relationship Id="rId7472" Type="http://schemas.openxmlformats.org/officeDocument/2006/relationships/hyperlink" Target="https://pld.live/RapDetail.aspx?STONELIST=925721878&amp;ISCONFIRM=0" TargetMode="External"/><Relationship Id="rId8109" Type="http://schemas.openxmlformats.org/officeDocument/2006/relationships/hyperlink" Target="https://pld.live/RapDetail.aspx?STONELIST=925721737&amp;ISCONFIRM=0" TargetMode="External"/><Relationship Id="rId3668" Type="http://schemas.openxmlformats.org/officeDocument/2006/relationships/hyperlink" Target="https://pld.live/RapDetail.aspx?STONELIST=925810031&amp;ISCONFIRM=0" TargetMode="External"/><Relationship Id="rId3875" Type="http://schemas.openxmlformats.org/officeDocument/2006/relationships/hyperlink" Target="https://pld.live/RapDetail.aspx?STONELIST=821124309&amp;ISCONFIRM=0" TargetMode="External"/><Relationship Id="rId4719" Type="http://schemas.openxmlformats.org/officeDocument/2006/relationships/hyperlink" Target="https://pld.live/RapDetail.aspx?STONELIST=926540038&amp;ISCONFIRM=0" TargetMode="External"/><Relationship Id="rId4926" Type="http://schemas.openxmlformats.org/officeDocument/2006/relationships/hyperlink" Target="https://pld.live/RapDetail.aspx?STONELIST=926200696&amp;ISCONFIRM=0" TargetMode="External"/><Relationship Id="rId6074" Type="http://schemas.openxmlformats.org/officeDocument/2006/relationships/hyperlink" Target="https://pld.live/RapDetail.aspx?STONELIST=923130007&amp;ISCONFIRM=0" TargetMode="External"/><Relationship Id="rId6281" Type="http://schemas.openxmlformats.org/officeDocument/2006/relationships/hyperlink" Target="https://pld.live/RapDetail.aspx?STONELIST=927040794&amp;ISCONFIRM=0" TargetMode="External"/><Relationship Id="rId7125" Type="http://schemas.openxmlformats.org/officeDocument/2006/relationships/hyperlink" Target="https://pld.live/RapDetail.aspx?STONELIST=941161034&amp;ISCONFIRM=0" TargetMode="External"/><Relationship Id="rId7332" Type="http://schemas.openxmlformats.org/officeDocument/2006/relationships/hyperlink" Target="https://pld.live/RapDetail.aspx?STONELIST=926360119&amp;ISCONFIRM=0" TargetMode="External"/><Relationship Id="rId589" Type="http://schemas.openxmlformats.org/officeDocument/2006/relationships/hyperlink" Target="https://pld.live/RapDetail.aspx?STONELIST=925801678&amp;ISCONFIRM=0" TargetMode="External"/><Relationship Id="rId796" Type="http://schemas.openxmlformats.org/officeDocument/2006/relationships/hyperlink" Target="https://pld.live/RapDetail.aspx?STONELIST=821127558&amp;ISCONFIRM=0" TargetMode="External"/><Relationship Id="rId2477" Type="http://schemas.openxmlformats.org/officeDocument/2006/relationships/hyperlink" Target="https://pld.live/RapDetail.aspx?STONELIST=926301252&amp;ISCONFIRM=0" TargetMode="External"/><Relationship Id="rId2684" Type="http://schemas.openxmlformats.org/officeDocument/2006/relationships/hyperlink" Target="https://pld.live/RapDetail.aspx?STONELIST=920661452&amp;ISCONFIRM=0" TargetMode="External"/><Relationship Id="rId3528" Type="http://schemas.openxmlformats.org/officeDocument/2006/relationships/hyperlink" Target="https://pld.live/RapDetail.aspx?STONELIST=924700174&amp;ISCONFIRM=0" TargetMode="External"/><Relationship Id="rId3735" Type="http://schemas.openxmlformats.org/officeDocument/2006/relationships/hyperlink" Target="https://pld.live/RapDetail.aspx?STONELIST=941400587&amp;ISCONFIRM=0" TargetMode="External"/><Relationship Id="rId5090" Type="http://schemas.openxmlformats.org/officeDocument/2006/relationships/hyperlink" Target="https://pld.live/RapDetail.aspx?STONELIST=925551940&amp;ISCONFIRM=0" TargetMode="External"/><Relationship Id="rId6141" Type="http://schemas.openxmlformats.org/officeDocument/2006/relationships/hyperlink" Target="https://pld.live/RapDetail.aspx?STONELIST=926360397&amp;ISCONFIRM=0" TargetMode="External"/><Relationship Id="rId449" Type="http://schemas.openxmlformats.org/officeDocument/2006/relationships/hyperlink" Target="https://pld.live/RapDetail.aspx?STONELIST=926101371&amp;ISCONFIRM=0" TargetMode="External"/><Relationship Id="rId656" Type="http://schemas.openxmlformats.org/officeDocument/2006/relationships/hyperlink" Target="https://pld.live/RapDetail.aspx?STONELIST=831010786&amp;ISCONFIRM=0" TargetMode="External"/><Relationship Id="rId863" Type="http://schemas.openxmlformats.org/officeDocument/2006/relationships/hyperlink" Target="https://pld.live/RapDetail.aspx?STONELIST=831020726&amp;ISCONFIRM=0" TargetMode="External"/><Relationship Id="rId1079" Type="http://schemas.openxmlformats.org/officeDocument/2006/relationships/hyperlink" Target="https://pld.live/RapDetail.aspx?STONELIST=926831065&amp;ISCONFIRM=0" TargetMode="External"/><Relationship Id="rId1286" Type="http://schemas.openxmlformats.org/officeDocument/2006/relationships/hyperlink" Target="https://pld.live/RapDetail.aspx?STONELIST=941170191&amp;ISCONFIRM=0" TargetMode="External"/><Relationship Id="rId1493" Type="http://schemas.openxmlformats.org/officeDocument/2006/relationships/hyperlink" Target="https://pld.live/RapDetail.aspx?STONELIST=925840353&amp;ISCONFIRM=0" TargetMode="External"/><Relationship Id="rId2337" Type="http://schemas.openxmlformats.org/officeDocument/2006/relationships/hyperlink" Target="https://pld.live/RapDetail.aspx?STONELIST=926181039&amp;ISCONFIRM=0" TargetMode="External"/><Relationship Id="rId2544" Type="http://schemas.openxmlformats.org/officeDocument/2006/relationships/hyperlink" Target="https://pld.live/RapDetail.aspx?STONELIST=926890470&amp;ISCONFIRM=0" TargetMode="External"/><Relationship Id="rId2891" Type="http://schemas.openxmlformats.org/officeDocument/2006/relationships/hyperlink" Target="https://pld.live/RapDetail.aspx?STONELIST=925861832&amp;ISCONFIRM=0" TargetMode="External"/><Relationship Id="rId3942" Type="http://schemas.openxmlformats.org/officeDocument/2006/relationships/hyperlink" Target="https://pld.live/RapDetail.aspx?STONELIST=926171098&amp;ISCONFIRM=0" TargetMode="External"/><Relationship Id="rId6001" Type="http://schemas.openxmlformats.org/officeDocument/2006/relationships/hyperlink" Target="https://pld.live/RapDetail.aspx?STONELIST=925940644&amp;ISCONFIRM=0" TargetMode="External"/><Relationship Id="rId309" Type="http://schemas.openxmlformats.org/officeDocument/2006/relationships/hyperlink" Target="https://pld.live/RapDetail.aspx?STONELIST=941400415&amp;ISCONFIRM=0" TargetMode="External"/><Relationship Id="rId516" Type="http://schemas.openxmlformats.org/officeDocument/2006/relationships/hyperlink" Target="https://pld.live/RapDetail.aspx?STONELIST=926171589&amp;ISCONFIRM=0" TargetMode="External"/><Relationship Id="rId1146" Type="http://schemas.openxmlformats.org/officeDocument/2006/relationships/hyperlink" Target="https://pld.live/RapDetail.aspx?STONELIST=926831117&amp;ISCONFIRM=0" TargetMode="External"/><Relationship Id="rId2751" Type="http://schemas.openxmlformats.org/officeDocument/2006/relationships/hyperlink" Target="https://pld.live/RapDetail.aspx?STONELIST=923310088&amp;ISCONFIRM=0" TargetMode="External"/><Relationship Id="rId3802" Type="http://schemas.openxmlformats.org/officeDocument/2006/relationships/hyperlink" Target="https://pld.live/RapDetail.aspx?STONELIST=941120555&amp;ISCONFIRM=0" TargetMode="External"/><Relationship Id="rId6958" Type="http://schemas.openxmlformats.org/officeDocument/2006/relationships/hyperlink" Target="https://pld.live/RapDetail.aspx?STONELIST=821113849&amp;ISCONFIRM=0" TargetMode="External"/><Relationship Id="rId8173" Type="http://schemas.openxmlformats.org/officeDocument/2006/relationships/hyperlink" Target="https://pld.live/RapDetail.aspx?STONELIST=925270557&amp;ISCONFIRM=0" TargetMode="External"/><Relationship Id="rId723" Type="http://schemas.openxmlformats.org/officeDocument/2006/relationships/hyperlink" Target="https://pld.live/RapDetail.aspx?STONELIST=925551639&amp;ISCONFIRM=0" TargetMode="External"/><Relationship Id="rId930" Type="http://schemas.openxmlformats.org/officeDocument/2006/relationships/hyperlink" Target="https://pld.live/RapDetail.aspx?STONELIST=821127709&amp;ISCONFIRM=0" TargetMode="External"/><Relationship Id="rId1006" Type="http://schemas.openxmlformats.org/officeDocument/2006/relationships/hyperlink" Target="https://pld.live/RapDetail.aspx?STONELIST=941350806&amp;ISCONFIRM=0" TargetMode="External"/><Relationship Id="rId1353" Type="http://schemas.openxmlformats.org/officeDocument/2006/relationships/hyperlink" Target="https://pld.live/RapDetail.aspx?STONELIST=926250583&amp;ISCONFIRM=0" TargetMode="External"/><Relationship Id="rId1560" Type="http://schemas.openxmlformats.org/officeDocument/2006/relationships/hyperlink" Target="https://pld.live/RapDetail.aspx?STONELIST=926221284&amp;ISCONFIRM=0" TargetMode="External"/><Relationship Id="rId2404" Type="http://schemas.openxmlformats.org/officeDocument/2006/relationships/hyperlink" Target="https://pld.live/RapDetail.aspx?STONELIST=926261194&amp;ISCONFIRM=0" TargetMode="External"/><Relationship Id="rId2611" Type="http://schemas.openxmlformats.org/officeDocument/2006/relationships/hyperlink" Target="https://pld.live/RapDetail.aspx?STONELIST=926430952&amp;ISCONFIRM=0" TargetMode="External"/><Relationship Id="rId5767" Type="http://schemas.openxmlformats.org/officeDocument/2006/relationships/hyperlink" Target="https://pld.live/RapDetail.aspx?STONELIST=941190468&amp;ISCONFIRM=0" TargetMode="External"/><Relationship Id="rId5974" Type="http://schemas.openxmlformats.org/officeDocument/2006/relationships/hyperlink" Target="https://pld.live/RapDetail.aspx?STONELIST=941071394&amp;ISCONFIRM=0" TargetMode="External"/><Relationship Id="rId6818" Type="http://schemas.openxmlformats.org/officeDocument/2006/relationships/hyperlink" Target="https://pld.live/RapDetail.aspx?STONELIST=831020172&amp;ISCONFIRM=0" TargetMode="External"/><Relationship Id="rId8033" Type="http://schemas.openxmlformats.org/officeDocument/2006/relationships/hyperlink" Target="https://pld.live/RapDetail.aspx?STONELIST=925870574&amp;ISCONFIRM=0" TargetMode="External"/><Relationship Id="rId1213" Type="http://schemas.openxmlformats.org/officeDocument/2006/relationships/hyperlink" Target="https://pld.live/RapDetail.aspx?STONELIST=941071240&amp;ISCONFIRM=0" TargetMode="External"/><Relationship Id="rId1420" Type="http://schemas.openxmlformats.org/officeDocument/2006/relationships/hyperlink" Target="https://pld.live/RapDetail.aspx?STONELIST=926221380&amp;ISCONFIRM=0" TargetMode="External"/><Relationship Id="rId4369" Type="http://schemas.openxmlformats.org/officeDocument/2006/relationships/hyperlink" Target="https://pld.live/RapDetail.aspx?STONELIST=925150111&amp;ISCONFIRM=0" TargetMode="External"/><Relationship Id="rId4576" Type="http://schemas.openxmlformats.org/officeDocument/2006/relationships/hyperlink" Target="https://pld.live/RapDetail.aspx?STONELIST=927152841&amp;ISCONFIRM=0" TargetMode="External"/><Relationship Id="rId4783" Type="http://schemas.openxmlformats.org/officeDocument/2006/relationships/hyperlink" Target="https://pld.live/RapDetail.aspx?STONELIST=821115766&amp;ISCONFIRM=0" TargetMode="External"/><Relationship Id="rId4990" Type="http://schemas.openxmlformats.org/officeDocument/2006/relationships/hyperlink" Target="https://pld.live/RapDetail.aspx?STONELIST=925110401&amp;ISCONFIRM=0" TargetMode="External"/><Relationship Id="rId5627" Type="http://schemas.openxmlformats.org/officeDocument/2006/relationships/hyperlink" Target="https://pld.live/RapDetail.aspx?STONELIST=925040332&amp;ISCONFIRM=0" TargetMode="External"/><Relationship Id="rId5834" Type="http://schemas.openxmlformats.org/officeDocument/2006/relationships/hyperlink" Target="https://pld.live/RapDetail.aspx?STONELIST=926030154&amp;ISCONFIRM=0" TargetMode="External"/><Relationship Id="rId8240" Type="http://schemas.openxmlformats.org/officeDocument/2006/relationships/hyperlink" Target="https://pld.live/RapDetail.aspx?STONELIST=925732113&amp;ISCONFIRM=0" TargetMode="External"/><Relationship Id="rId3178" Type="http://schemas.openxmlformats.org/officeDocument/2006/relationships/hyperlink" Target="https://pld.live/RapDetail.aspx?STONELIST=925260298&amp;ISCONFIRM=0" TargetMode="External"/><Relationship Id="rId3385" Type="http://schemas.openxmlformats.org/officeDocument/2006/relationships/hyperlink" Target="https://pld.live/RapDetail.aspx?STONELIST=925521773&amp;ISCONFIRM=0" TargetMode="External"/><Relationship Id="rId3592" Type="http://schemas.openxmlformats.org/officeDocument/2006/relationships/hyperlink" Target="https://pld.live/RapDetail.aspx?STONELIST=941230709&amp;ISCONFIRM=0" TargetMode="External"/><Relationship Id="rId4229" Type="http://schemas.openxmlformats.org/officeDocument/2006/relationships/hyperlink" Target="https://pld.live/RapDetail.aspx?STONELIST=925621911&amp;ISCONFIRM=0" TargetMode="External"/><Relationship Id="rId4436" Type="http://schemas.openxmlformats.org/officeDocument/2006/relationships/hyperlink" Target="https://pld.live/RapDetail.aspx?STONELIST=924420392&amp;ISCONFIRM=0" TargetMode="External"/><Relationship Id="rId4643" Type="http://schemas.openxmlformats.org/officeDocument/2006/relationships/hyperlink" Target="https://pld.live/RapDetail.aspx?STONELIST=925870593&amp;ISCONFIRM=0" TargetMode="External"/><Relationship Id="rId4850" Type="http://schemas.openxmlformats.org/officeDocument/2006/relationships/hyperlink" Target="https://pld.live/RapDetail.aspx?STONELIST=925951144&amp;ISCONFIRM=0" TargetMode="External"/><Relationship Id="rId5901" Type="http://schemas.openxmlformats.org/officeDocument/2006/relationships/hyperlink" Target="https://pld.live/RapDetail.aspx?STONELIST=926071900&amp;ISCONFIRM=0" TargetMode="External"/><Relationship Id="rId7799" Type="http://schemas.openxmlformats.org/officeDocument/2006/relationships/hyperlink" Target="https://pld.live/RapDetail.aspx?STONELIST=924410545&amp;ISCONFIRM=0" TargetMode="External"/><Relationship Id="rId8100" Type="http://schemas.openxmlformats.org/officeDocument/2006/relationships/hyperlink" Target="https://pld.live/RapDetail.aspx?STONELIST=925621741&amp;ISCONFIRM=0" TargetMode="External"/><Relationship Id="rId2194" Type="http://schemas.openxmlformats.org/officeDocument/2006/relationships/hyperlink" Target="https://pld.live/RapDetail.aspx?STONELIST=920661341&amp;ISCONFIRM=0" TargetMode="External"/><Relationship Id="rId3038" Type="http://schemas.openxmlformats.org/officeDocument/2006/relationships/hyperlink" Target="https://pld.live/RapDetail.aspx?STONELIST=821128389&amp;ISCONFIRM=0" TargetMode="External"/><Relationship Id="rId3245" Type="http://schemas.openxmlformats.org/officeDocument/2006/relationships/hyperlink" Target="https://pld.live/RapDetail.aspx?STONELIST=941400582&amp;ISCONFIRM=0" TargetMode="External"/><Relationship Id="rId3452" Type="http://schemas.openxmlformats.org/officeDocument/2006/relationships/hyperlink" Target="https://pld.live/RapDetail.aspx?STONELIST=926171073&amp;ISCONFIRM=0" TargetMode="External"/><Relationship Id="rId4503" Type="http://schemas.openxmlformats.org/officeDocument/2006/relationships/hyperlink" Target="https://pld.live/RapDetail.aspx?STONELIST=927092666&amp;ISCONFIRM=0" TargetMode="External"/><Relationship Id="rId4710" Type="http://schemas.openxmlformats.org/officeDocument/2006/relationships/hyperlink" Target="https://pld.live/RapDetail.aspx?STONELIST=925600336&amp;ISCONFIRM=0" TargetMode="External"/><Relationship Id="rId7659" Type="http://schemas.openxmlformats.org/officeDocument/2006/relationships/hyperlink" Target="https://pld.live/RapDetail.aspx?STONELIST=941170274&amp;ISCONFIRM=0" TargetMode="External"/><Relationship Id="rId7866" Type="http://schemas.openxmlformats.org/officeDocument/2006/relationships/hyperlink" Target="https://pld.live/RapDetail.aspx?STONELIST=926831109&amp;ISCONFIRM=0" TargetMode="External"/><Relationship Id="rId166" Type="http://schemas.openxmlformats.org/officeDocument/2006/relationships/hyperlink" Target="https://pld.live/RapDetail.aspx?STONELIST=927000582&amp;ISCONFIRM=0" TargetMode="External"/><Relationship Id="rId373" Type="http://schemas.openxmlformats.org/officeDocument/2006/relationships/hyperlink" Target="https://pld.live/RapDetail.aspx?STONELIST=821130334&amp;ISCONFIRM=0" TargetMode="External"/><Relationship Id="rId580" Type="http://schemas.openxmlformats.org/officeDocument/2006/relationships/hyperlink" Target="https://pld.live/RapDetail.aspx?STONELIST=821127368&amp;ISCONFIRM=0" TargetMode="External"/><Relationship Id="rId2054" Type="http://schemas.openxmlformats.org/officeDocument/2006/relationships/hyperlink" Target="https://pld.live/RapDetail.aspx?STONELIST=821127867&amp;ISCONFIRM=0" TargetMode="External"/><Relationship Id="rId2261" Type="http://schemas.openxmlformats.org/officeDocument/2006/relationships/hyperlink" Target="https://pld.live/RapDetail.aspx?STONELIST=941390514&amp;ISCONFIRM=0" TargetMode="External"/><Relationship Id="rId3105" Type="http://schemas.openxmlformats.org/officeDocument/2006/relationships/hyperlink" Target="https://pld.live/RapDetail.aspx?STONELIST=925030278&amp;ISCONFIRM=0" TargetMode="External"/><Relationship Id="rId3312" Type="http://schemas.openxmlformats.org/officeDocument/2006/relationships/hyperlink" Target="https://pld.live/RapDetail.aspx?STONELIST=831020209&amp;ISCONFIRM=0" TargetMode="External"/><Relationship Id="rId6468" Type="http://schemas.openxmlformats.org/officeDocument/2006/relationships/hyperlink" Target="https://pld.live/RapDetail.aspx?STONELIST=926901111&amp;ISCONFIRM=0" TargetMode="External"/><Relationship Id="rId6675" Type="http://schemas.openxmlformats.org/officeDocument/2006/relationships/hyperlink" Target="https://pld.live/RapDetail.aspx?STONELIST=926960868&amp;ISCONFIRM=0" TargetMode="External"/><Relationship Id="rId7519" Type="http://schemas.openxmlformats.org/officeDocument/2006/relationships/hyperlink" Target="https://pld.live/RapDetail.aspx?STONELIST=925801204&amp;ISCONFIRM=0" TargetMode="External"/><Relationship Id="rId233" Type="http://schemas.openxmlformats.org/officeDocument/2006/relationships/hyperlink" Target="https://pld.live/RapDetail.aspx?STONELIST=831020711&amp;ISCONFIRM=0" TargetMode="External"/><Relationship Id="rId440" Type="http://schemas.openxmlformats.org/officeDocument/2006/relationships/hyperlink" Target="https://pld.live/RapDetail.aspx?STONELIST=831010831&amp;ISCONFIRM=0" TargetMode="External"/><Relationship Id="rId1070" Type="http://schemas.openxmlformats.org/officeDocument/2006/relationships/hyperlink" Target="https://pld.live/RapDetail.aspx?STONELIST=927052081&amp;ISCONFIRM=0" TargetMode="External"/><Relationship Id="rId2121" Type="http://schemas.openxmlformats.org/officeDocument/2006/relationships/hyperlink" Target="https://pld.live/RapDetail.aspx?STONELIST=926180823&amp;ISCONFIRM=0" TargetMode="External"/><Relationship Id="rId5277" Type="http://schemas.openxmlformats.org/officeDocument/2006/relationships/hyperlink" Target="https://pld.live/RapDetail.aspx?STONELIST=926210742&amp;ISCONFIRM=0" TargetMode="External"/><Relationship Id="rId5484" Type="http://schemas.openxmlformats.org/officeDocument/2006/relationships/hyperlink" Target="https://pld.live/RapDetail.aspx?STONELIST=926680936&amp;ISCONFIRM=0" TargetMode="External"/><Relationship Id="rId6328" Type="http://schemas.openxmlformats.org/officeDocument/2006/relationships/hyperlink" Target="https://pld.live/RapDetail.aspx?STONELIST=927020135&amp;ISCONFIRM=0" TargetMode="External"/><Relationship Id="rId6882" Type="http://schemas.openxmlformats.org/officeDocument/2006/relationships/hyperlink" Target="https://pld.live/RapDetail.aspx?STONELIST=831020609&amp;ISCONFIRM=0" TargetMode="External"/><Relationship Id="rId7726" Type="http://schemas.openxmlformats.org/officeDocument/2006/relationships/hyperlink" Target="https://pld.live/RapDetail.aspx?STONELIST=924380180&amp;ISCONFIRM=0" TargetMode="External"/><Relationship Id="rId7933" Type="http://schemas.openxmlformats.org/officeDocument/2006/relationships/hyperlink" Target="https://pld.live/RapDetail.aspx?STONELIST=926790347&amp;ISCONFIRM=0" TargetMode="External"/><Relationship Id="rId300" Type="http://schemas.openxmlformats.org/officeDocument/2006/relationships/hyperlink" Target="https://pld.live/RapDetail.aspx?STONELIST=925360231&amp;ISCONFIRM=0" TargetMode="External"/><Relationship Id="rId4086" Type="http://schemas.openxmlformats.org/officeDocument/2006/relationships/hyperlink" Target="https://pld.live/RapDetail.aspx?STONELIST=821124228&amp;ISCONFIRM=0" TargetMode="External"/><Relationship Id="rId5137" Type="http://schemas.openxmlformats.org/officeDocument/2006/relationships/hyperlink" Target="https://pld.live/RapDetail.aspx?STONELIST=925721915&amp;ISCONFIRM=0" TargetMode="External"/><Relationship Id="rId5691" Type="http://schemas.openxmlformats.org/officeDocument/2006/relationships/hyperlink" Target="https://pld.live/RapDetail.aspx?STONELIST=941320195&amp;ISCONFIRM=0" TargetMode="External"/><Relationship Id="rId6535" Type="http://schemas.openxmlformats.org/officeDocument/2006/relationships/hyperlink" Target="https://pld.live/RapDetail.aspx?STONELIST=927052627&amp;ISCONFIRM=0" TargetMode="External"/><Relationship Id="rId6742" Type="http://schemas.openxmlformats.org/officeDocument/2006/relationships/hyperlink" Target="https://pld.live/RapDetail.aspx?STONELIST=927152988&amp;ISCONFIRM=0" TargetMode="External"/><Relationship Id="rId1887" Type="http://schemas.openxmlformats.org/officeDocument/2006/relationships/hyperlink" Target="https://pld.live/RapDetail.aspx?STONELIST=926661703&amp;ISCONFIRM=0" TargetMode="External"/><Relationship Id="rId2938" Type="http://schemas.openxmlformats.org/officeDocument/2006/relationships/hyperlink" Target="https://pld.live/RapDetail.aspx?STONELIST=925830763&amp;ISCONFIRM=0" TargetMode="External"/><Relationship Id="rId4293" Type="http://schemas.openxmlformats.org/officeDocument/2006/relationships/hyperlink" Target="https://pld.live/RapDetail.aspx?STONELIST=927092220&amp;ISCONFIRM=0" TargetMode="External"/><Relationship Id="rId5344" Type="http://schemas.openxmlformats.org/officeDocument/2006/relationships/hyperlink" Target="https://pld.live/RapDetail.aspx?STONELIST=941351041&amp;ISCONFIRM=0" TargetMode="External"/><Relationship Id="rId5551" Type="http://schemas.openxmlformats.org/officeDocument/2006/relationships/hyperlink" Target="https://pld.live/RapDetail.aspx?STONELIST=925370443&amp;ISCONFIRM=0" TargetMode="External"/><Relationship Id="rId6602" Type="http://schemas.openxmlformats.org/officeDocument/2006/relationships/hyperlink" Target="https://pld.live/RapDetail.aspx?STONELIST=926581135&amp;ISCONFIRM=0" TargetMode="External"/><Relationship Id="rId1747" Type="http://schemas.openxmlformats.org/officeDocument/2006/relationships/hyperlink" Target="https://pld.live/RapDetail.aspx?STONELIST=941190398&amp;ISCONFIRM=0" TargetMode="External"/><Relationship Id="rId1954" Type="http://schemas.openxmlformats.org/officeDocument/2006/relationships/hyperlink" Target="https://pld.live/RapDetail.aspx?STONELIST=941230084&amp;ISCONFIRM=0" TargetMode="External"/><Relationship Id="rId4153" Type="http://schemas.openxmlformats.org/officeDocument/2006/relationships/hyperlink" Target="https://pld.live/RapDetail.aspx?STONELIST=926110553&amp;ISCONFIRM=0" TargetMode="External"/><Relationship Id="rId4360" Type="http://schemas.openxmlformats.org/officeDocument/2006/relationships/hyperlink" Target="https://pld.live/RapDetail.aspx?STONELIST=941160631&amp;ISCONFIRM=0" TargetMode="External"/><Relationship Id="rId5204" Type="http://schemas.openxmlformats.org/officeDocument/2006/relationships/hyperlink" Target="https://pld.live/RapDetail.aspx?STONELIST=926200962&amp;ISCONFIRM=0" TargetMode="External"/><Relationship Id="rId5411" Type="http://schemas.openxmlformats.org/officeDocument/2006/relationships/hyperlink" Target="https://pld.live/RapDetail.aspx?STONELIST=831020643&amp;ISCONFIRM=0" TargetMode="External"/><Relationship Id="rId39" Type="http://schemas.openxmlformats.org/officeDocument/2006/relationships/hyperlink" Target="https://pld.live/RapDetail.aspx?STONELIST=926860088&amp;ISCONFIRM=0" TargetMode="External"/><Relationship Id="rId1607" Type="http://schemas.openxmlformats.org/officeDocument/2006/relationships/hyperlink" Target="https://pld.live/RapDetail.aspx?STONELIST=941270712&amp;ISCONFIRM=0" TargetMode="External"/><Relationship Id="rId1814" Type="http://schemas.openxmlformats.org/officeDocument/2006/relationships/hyperlink" Target="https://pld.live/RapDetail.aspx?STONELIST=926550382&amp;ISCONFIRM=0" TargetMode="External"/><Relationship Id="rId4013" Type="http://schemas.openxmlformats.org/officeDocument/2006/relationships/hyperlink" Target="https://pld.live/RapDetail.aspx?STONELIST=923540447&amp;ISCONFIRM=0" TargetMode="External"/><Relationship Id="rId4220" Type="http://schemas.openxmlformats.org/officeDocument/2006/relationships/hyperlink" Target="https://pld.live/RapDetail.aspx?STONELIST=821125547&amp;ISCONFIRM=0" TargetMode="External"/><Relationship Id="rId7169" Type="http://schemas.openxmlformats.org/officeDocument/2006/relationships/hyperlink" Target="https://pld.live/RapDetail.aspx?STONELIST=941180097&amp;ISCONFIRM=0" TargetMode="External"/><Relationship Id="rId7376" Type="http://schemas.openxmlformats.org/officeDocument/2006/relationships/hyperlink" Target="https://pld.live/RapDetail.aspx?STONELIST=941280535&amp;ISCONFIRM=0" TargetMode="External"/><Relationship Id="rId7583" Type="http://schemas.openxmlformats.org/officeDocument/2006/relationships/hyperlink" Target="https://pld.live/RapDetail.aspx?STONELIST=923760404&amp;ISCONFIRM=0" TargetMode="External"/><Relationship Id="rId7790" Type="http://schemas.openxmlformats.org/officeDocument/2006/relationships/hyperlink" Target="https://pld.live/RapDetail.aspx?STONELIST=926101487&amp;ISCONFIRM=0" TargetMode="External"/><Relationship Id="rId3779" Type="http://schemas.openxmlformats.org/officeDocument/2006/relationships/hyperlink" Target="https://pld.live/RapDetail.aspx?STONELIST=941110532&amp;ISCONFIRM=0" TargetMode="External"/><Relationship Id="rId6185" Type="http://schemas.openxmlformats.org/officeDocument/2006/relationships/hyperlink" Target="https://pld.live/RapDetail.aspx?STONELIST=927020708&amp;ISCONFIRM=0" TargetMode="External"/><Relationship Id="rId6392" Type="http://schemas.openxmlformats.org/officeDocument/2006/relationships/hyperlink" Target="https://pld.live/RapDetail.aspx?STONELIST=925400028&amp;ISCONFIRM=0" TargetMode="External"/><Relationship Id="rId7029" Type="http://schemas.openxmlformats.org/officeDocument/2006/relationships/hyperlink" Target="https://pld.live/RapDetail.aspx?STONELIST=941021816&amp;ISCONFIRM=0" TargetMode="External"/><Relationship Id="rId7236" Type="http://schemas.openxmlformats.org/officeDocument/2006/relationships/hyperlink" Target="https://pld.live/RapDetail.aspx?STONELIST=821132469&amp;ISCONFIRM=0" TargetMode="External"/><Relationship Id="rId7443" Type="http://schemas.openxmlformats.org/officeDocument/2006/relationships/hyperlink" Target="https://pld.live/RapDetail.aspx?STONELIST=925771215&amp;ISCONFIRM=0" TargetMode="External"/><Relationship Id="rId7650" Type="http://schemas.openxmlformats.org/officeDocument/2006/relationships/hyperlink" Target="https://pld.live/RapDetail.aspx?STONELIST=924880349&amp;ISCONFIRM=0" TargetMode="External"/><Relationship Id="rId2588" Type="http://schemas.openxmlformats.org/officeDocument/2006/relationships/hyperlink" Target="https://pld.live/RapDetail.aspx?STONELIST=926141426&amp;ISCONFIRM=0" TargetMode="External"/><Relationship Id="rId3986" Type="http://schemas.openxmlformats.org/officeDocument/2006/relationships/hyperlink" Target="https://pld.live/RapDetail.aspx?STONELIST=925771294&amp;ISCONFIRM=0" TargetMode="External"/><Relationship Id="rId6045" Type="http://schemas.openxmlformats.org/officeDocument/2006/relationships/hyperlink" Target="https://pld.live/RapDetail.aspx?STONELIST=941261132&amp;ISCONFIRM=0" TargetMode="External"/><Relationship Id="rId6252" Type="http://schemas.openxmlformats.org/officeDocument/2006/relationships/hyperlink" Target="https://pld.live/RapDetail.aspx?STONELIST=821133307&amp;ISCONFIRM=0" TargetMode="External"/><Relationship Id="rId7303" Type="http://schemas.openxmlformats.org/officeDocument/2006/relationships/hyperlink" Target="https://pld.live/RapDetail.aspx?STONELIST=927092607&amp;ISCONFIRM=0" TargetMode="External"/><Relationship Id="rId1397" Type="http://schemas.openxmlformats.org/officeDocument/2006/relationships/hyperlink" Target="https://pld.live/RapDetail.aspx?STONELIST=926221334&amp;ISCONFIRM=0" TargetMode="External"/><Relationship Id="rId2795" Type="http://schemas.openxmlformats.org/officeDocument/2006/relationships/hyperlink" Target="https://pld.live/RapDetail.aspx?STONELIST=925951168&amp;ISCONFIRM=0" TargetMode="External"/><Relationship Id="rId3639" Type="http://schemas.openxmlformats.org/officeDocument/2006/relationships/hyperlink" Target="https://pld.live/RapDetail.aspx?STONELIST=926010233&amp;ISCONFIRM=0" TargetMode="External"/><Relationship Id="rId3846" Type="http://schemas.openxmlformats.org/officeDocument/2006/relationships/hyperlink" Target="https://pld.live/RapDetail.aspx?STONELIST=925970797&amp;ISCONFIRM=0" TargetMode="External"/><Relationship Id="rId5061" Type="http://schemas.openxmlformats.org/officeDocument/2006/relationships/hyperlink" Target="https://pld.live/RapDetail.aspx?STONELIST=925521950&amp;ISCONFIRM=0" TargetMode="External"/><Relationship Id="rId6112" Type="http://schemas.openxmlformats.org/officeDocument/2006/relationships/hyperlink" Target="https://pld.live/RapDetail.aspx?STONELIST=831020218&amp;ISCONFIRM=0" TargetMode="External"/><Relationship Id="rId7510" Type="http://schemas.openxmlformats.org/officeDocument/2006/relationships/hyperlink" Target="https://pld.live/RapDetail.aspx?STONELIST=925861199&amp;ISCONFIRM=0" TargetMode="External"/><Relationship Id="rId767" Type="http://schemas.openxmlformats.org/officeDocument/2006/relationships/hyperlink" Target="https://pld.live/RapDetail.aspx?STONELIST=821127718&amp;ISCONFIRM=0" TargetMode="External"/><Relationship Id="rId974" Type="http://schemas.openxmlformats.org/officeDocument/2006/relationships/hyperlink" Target="https://pld.live/RapDetail.aspx?STONELIST=925900317&amp;ISCONFIRM=0" TargetMode="External"/><Relationship Id="rId2448" Type="http://schemas.openxmlformats.org/officeDocument/2006/relationships/hyperlink" Target="https://pld.live/RapDetail.aspx?STONELIST=926360354&amp;ISCONFIRM=0" TargetMode="External"/><Relationship Id="rId2655" Type="http://schemas.openxmlformats.org/officeDocument/2006/relationships/hyperlink" Target="https://pld.live/RapDetail.aspx?STONELIST=926230957&amp;ISCONFIRM=0" TargetMode="External"/><Relationship Id="rId2862" Type="http://schemas.openxmlformats.org/officeDocument/2006/relationships/hyperlink" Target="https://pld.live/RapDetail.aspx?STONELIST=926200755&amp;ISCONFIRM=0" TargetMode="External"/><Relationship Id="rId3706" Type="http://schemas.openxmlformats.org/officeDocument/2006/relationships/hyperlink" Target="https://pld.live/RapDetail.aspx?STONELIST=925700283&amp;ISCONFIRM=0" TargetMode="External"/><Relationship Id="rId3913" Type="http://schemas.openxmlformats.org/officeDocument/2006/relationships/hyperlink" Target="https://pld.live/RapDetail.aspx?STONELIST=925771195&amp;ISCONFIRM=0" TargetMode="External"/><Relationship Id="rId8077" Type="http://schemas.openxmlformats.org/officeDocument/2006/relationships/hyperlink" Target="https://pld.live/RapDetail.aspx?STONELIST=926171469&amp;ISCONFIRM=0" TargetMode="External"/><Relationship Id="rId627" Type="http://schemas.openxmlformats.org/officeDocument/2006/relationships/hyperlink" Target="https://pld.live/RapDetail.aspx?STONELIST=941430636&amp;ISCONFIRM=0" TargetMode="External"/><Relationship Id="rId834" Type="http://schemas.openxmlformats.org/officeDocument/2006/relationships/hyperlink" Target="https://pld.live/RapDetail.aspx?STONELIST=925290286&amp;ISCONFIRM=0" TargetMode="External"/><Relationship Id="rId1257" Type="http://schemas.openxmlformats.org/officeDocument/2006/relationships/hyperlink" Target="https://pld.live/RapDetail.aspx?STONELIST=925900333&amp;ISCONFIRM=0" TargetMode="External"/><Relationship Id="rId1464" Type="http://schemas.openxmlformats.org/officeDocument/2006/relationships/hyperlink" Target="https://pld.live/RapDetail.aspx?STONELIST=941060213&amp;ISCONFIRM=0" TargetMode="External"/><Relationship Id="rId1671" Type="http://schemas.openxmlformats.org/officeDocument/2006/relationships/hyperlink" Target="https://pld.live/RapDetail.aspx?STONELIST=821126770&amp;ISCONFIRM=0" TargetMode="External"/><Relationship Id="rId2308" Type="http://schemas.openxmlformats.org/officeDocument/2006/relationships/hyperlink" Target="https://pld.live/RapDetail.aspx?STONELIST=926261425&amp;ISCONFIRM=0" TargetMode="External"/><Relationship Id="rId2515" Type="http://schemas.openxmlformats.org/officeDocument/2006/relationships/hyperlink" Target="https://pld.live/RapDetail.aspx?STONELIST=926231242&amp;ISCONFIRM=0" TargetMode="External"/><Relationship Id="rId2722" Type="http://schemas.openxmlformats.org/officeDocument/2006/relationships/hyperlink" Target="https://pld.live/RapDetail.aspx?STONELIST=923260297&amp;ISCONFIRM=0" TargetMode="External"/><Relationship Id="rId5878" Type="http://schemas.openxmlformats.org/officeDocument/2006/relationships/hyperlink" Target="https://pld.live/RapDetail.aspx?STONELIST=925802076&amp;ISCONFIRM=0" TargetMode="External"/><Relationship Id="rId6929" Type="http://schemas.openxmlformats.org/officeDocument/2006/relationships/hyperlink" Target="https://pld.live/RapDetail.aspx?STONELIST=926020802&amp;ISCONFIRM=0" TargetMode="External"/><Relationship Id="rId901" Type="http://schemas.openxmlformats.org/officeDocument/2006/relationships/hyperlink" Target="https://pld.live/RapDetail.aspx?STONELIST=925971257&amp;ISCONFIRM=0" TargetMode="External"/><Relationship Id="rId1117" Type="http://schemas.openxmlformats.org/officeDocument/2006/relationships/hyperlink" Target="https://pld.live/RapDetail.aspx?STONELIST=926831092&amp;ISCONFIRM=0" TargetMode="External"/><Relationship Id="rId1324" Type="http://schemas.openxmlformats.org/officeDocument/2006/relationships/hyperlink" Target="https://pld.live/RapDetail.aspx?STONELIST=924900111&amp;ISCONFIRM=0" TargetMode="External"/><Relationship Id="rId1531" Type="http://schemas.openxmlformats.org/officeDocument/2006/relationships/hyperlink" Target="https://pld.live/RapDetail.aspx?STONELIST=926460731&amp;ISCONFIRM=0" TargetMode="External"/><Relationship Id="rId4687" Type="http://schemas.openxmlformats.org/officeDocument/2006/relationships/hyperlink" Target="https://pld.live/RapDetail.aspx?STONELIST=941180014&amp;ISCONFIRM=0" TargetMode="External"/><Relationship Id="rId4894" Type="http://schemas.openxmlformats.org/officeDocument/2006/relationships/hyperlink" Target="https://pld.live/RapDetail.aspx?STONELIST=925542519&amp;ISCONFIRM=0" TargetMode="External"/><Relationship Id="rId5738" Type="http://schemas.openxmlformats.org/officeDocument/2006/relationships/hyperlink" Target="https://pld.live/RapDetail.aspx?STONELIST=941160449&amp;ISCONFIRM=0" TargetMode="External"/><Relationship Id="rId5945" Type="http://schemas.openxmlformats.org/officeDocument/2006/relationships/hyperlink" Target="https://pld.live/RapDetail.aspx?STONELIST=926830618&amp;ISCONFIRM=0" TargetMode="External"/><Relationship Id="rId7093" Type="http://schemas.openxmlformats.org/officeDocument/2006/relationships/hyperlink" Target="https://pld.live/RapDetail.aspx?STONELIST=926841303&amp;ISCONFIRM=0" TargetMode="External"/><Relationship Id="rId8144" Type="http://schemas.openxmlformats.org/officeDocument/2006/relationships/hyperlink" Target="https://pld.live/RapDetail.aspx?STONELIST=927140438&amp;ISCONFIRM=0" TargetMode="External"/><Relationship Id="rId30" Type="http://schemas.openxmlformats.org/officeDocument/2006/relationships/hyperlink" Target="https://pld.live/RapDetail.aspx?STONELIST=941330483&amp;ISCONFIRM=0" TargetMode="External"/><Relationship Id="rId3289" Type="http://schemas.openxmlformats.org/officeDocument/2006/relationships/hyperlink" Target="https://pld.live/RapDetail.aspx?STONELIST=926780093&amp;ISCONFIRM=0" TargetMode="External"/><Relationship Id="rId3496" Type="http://schemas.openxmlformats.org/officeDocument/2006/relationships/hyperlink" Target="https://pld.live/RapDetail.aspx?STONELIST=926210858&amp;ISCONFIRM=0" TargetMode="External"/><Relationship Id="rId4547" Type="http://schemas.openxmlformats.org/officeDocument/2006/relationships/hyperlink" Target="https://pld.live/RapDetail.aspx?STONELIST=941320795&amp;ISCONFIRM=0" TargetMode="External"/><Relationship Id="rId4754" Type="http://schemas.openxmlformats.org/officeDocument/2006/relationships/hyperlink" Target="https://pld.live/RapDetail.aspx?STONELIST=925510158&amp;ISCONFIRM=0" TargetMode="External"/><Relationship Id="rId7160" Type="http://schemas.openxmlformats.org/officeDocument/2006/relationships/hyperlink" Target="https://pld.live/RapDetail.aspx?STONELIST=941180085&amp;ISCONFIRM=0" TargetMode="External"/><Relationship Id="rId8004" Type="http://schemas.openxmlformats.org/officeDocument/2006/relationships/hyperlink" Target="https://pld.live/RapDetail.aspx?STONELIST=926110373&amp;ISCONFIRM=0" TargetMode="External"/><Relationship Id="rId8211" Type="http://schemas.openxmlformats.org/officeDocument/2006/relationships/hyperlink" Target="https://pld.live/RapDetail.aspx?STONELIST=925020223&amp;ISCONFIRM=0" TargetMode="External"/><Relationship Id="rId2098" Type="http://schemas.openxmlformats.org/officeDocument/2006/relationships/hyperlink" Target="https://pld.live/RapDetail.aspx?STONELIST=925740735&amp;ISCONFIRM=0" TargetMode="External"/><Relationship Id="rId3149" Type="http://schemas.openxmlformats.org/officeDocument/2006/relationships/hyperlink" Target="https://pld.live/RapDetail.aspx?STONELIST=926220651&amp;ISCONFIRM=0" TargetMode="External"/><Relationship Id="rId3356" Type="http://schemas.openxmlformats.org/officeDocument/2006/relationships/hyperlink" Target="https://pld.live/RapDetail.aspx?STONELIST=926100888&amp;ISCONFIRM=0" TargetMode="External"/><Relationship Id="rId3563" Type="http://schemas.openxmlformats.org/officeDocument/2006/relationships/hyperlink" Target="https://pld.live/RapDetail.aspx?STONELIST=927120156&amp;ISCONFIRM=0" TargetMode="External"/><Relationship Id="rId4407" Type="http://schemas.openxmlformats.org/officeDocument/2006/relationships/hyperlink" Target="https://pld.live/RapDetail.aspx?STONELIST=821112667&amp;ISCONFIRM=0" TargetMode="External"/><Relationship Id="rId4961" Type="http://schemas.openxmlformats.org/officeDocument/2006/relationships/hyperlink" Target="https://pld.live/RapDetail.aspx?STONELIST=926100879&amp;ISCONFIRM=0" TargetMode="External"/><Relationship Id="rId5805" Type="http://schemas.openxmlformats.org/officeDocument/2006/relationships/hyperlink" Target="https://pld.live/RapDetail.aspx?STONELIST=924120027&amp;ISCONFIRM=0" TargetMode="External"/><Relationship Id="rId7020" Type="http://schemas.openxmlformats.org/officeDocument/2006/relationships/hyperlink" Target="https://pld.live/RapDetail.aspx?STONELIST=926700729&amp;ISCONFIRM=0" TargetMode="External"/><Relationship Id="rId277" Type="http://schemas.openxmlformats.org/officeDocument/2006/relationships/hyperlink" Target="https://pld.live/RapDetail.aspx?STONELIST=925960973&amp;ISCONFIRM=0" TargetMode="External"/><Relationship Id="rId484" Type="http://schemas.openxmlformats.org/officeDocument/2006/relationships/hyperlink" Target="https://pld.live/RapDetail.aspx?STONELIST=926900708&amp;ISCONFIRM=0" TargetMode="External"/><Relationship Id="rId2165" Type="http://schemas.openxmlformats.org/officeDocument/2006/relationships/hyperlink" Target="https://pld.live/RapDetail.aspx?STONELIST=926081282&amp;ISCONFIRM=0" TargetMode="External"/><Relationship Id="rId3009" Type="http://schemas.openxmlformats.org/officeDocument/2006/relationships/hyperlink" Target="https://pld.live/RapDetail.aspx?STONELIST=925791442&amp;ISCONFIRM=0" TargetMode="External"/><Relationship Id="rId3216" Type="http://schemas.openxmlformats.org/officeDocument/2006/relationships/hyperlink" Target="https://pld.live/RapDetail.aspx?STONELIST=925040430&amp;ISCONFIRM=0" TargetMode="External"/><Relationship Id="rId3770" Type="http://schemas.openxmlformats.org/officeDocument/2006/relationships/hyperlink" Target="https://pld.live/RapDetail.aspx?STONELIST=941400542&amp;ISCONFIRM=0" TargetMode="External"/><Relationship Id="rId4614" Type="http://schemas.openxmlformats.org/officeDocument/2006/relationships/hyperlink" Target="https://pld.live/RapDetail.aspx?STONELIST=927092512&amp;ISCONFIRM=0" TargetMode="External"/><Relationship Id="rId4821" Type="http://schemas.openxmlformats.org/officeDocument/2006/relationships/hyperlink" Target="https://pld.live/RapDetail.aspx?STONELIST=821113474&amp;ISCONFIRM=0" TargetMode="External"/><Relationship Id="rId7977" Type="http://schemas.openxmlformats.org/officeDocument/2006/relationships/hyperlink" Target="https://pld.live/RapDetail.aspx?STONELIST=927152002&amp;ISCONFIRM=0" TargetMode="External"/><Relationship Id="rId137" Type="http://schemas.openxmlformats.org/officeDocument/2006/relationships/hyperlink" Target="https://pld.live/RapDetail.aspx?STONELIST=926980658&amp;ISCONFIRM=0" TargetMode="External"/><Relationship Id="rId344" Type="http://schemas.openxmlformats.org/officeDocument/2006/relationships/hyperlink" Target="https://pld.live/RapDetail.aspx?STONELIST=941400342&amp;ISCONFIRM=0" TargetMode="External"/><Relationship Id="rId691" Type="http://schemas.openxmlformats.org/officeDocument/2006/relationships/hyperlink" Target="https://pld.live/RapDetail.aspx?STONELIST=925861980&amp;ISCONFIRM=0" TargetMode="External"/><Relationship Id="rId2025" Type="http://schemas.openxmlformats.org/officeDocument/2006/relationships/hyperlink" Target="https://pld.live/RapDetail.aspx?STONELIST=926300266&amp;ISCONFIRM=0" TargetMode="External"/><Relationship Id="rId2372" Type="http://schemas.openxmlformats.org/officeDocument/2006/relationships/hyperlink" Target="https://pld.live/RapDetail.aspx?STONELIST=926571217&amp;ISCONFIRM=0" TargetMode="External"/><Relationship Id="rId3423" Type="http://schemas.openxmlformats.org/officeDocument/2006/relationships/hyperlink" Target="https://pld.live/RapDetail.aspx?STONELIST=831010816&amp;ISCONFIRM=0" TargetMode="External"/><Relationship Id="rId3630" Type="http://schemas.openxmlformats.org/officeDocument/2006/relationships/hyperlink" Target="https://pld.live/RapDetail.aspx?STONELIST=831020560&amp;ISCONFIRM=0" TargetMode="External"/><Relationship Id="rId6579" Type="http://schemas.openxmlformats.org/officeDocument/2006/relationships/hyperlink" Target="https://pld.live/RapDetail.aspx?STONELIST=926740600&amp;ISCONFIRM=0" TargetMode="External"/><Relationship Id="rId6786" Type="http://schemas.openxmlformats.org/officeDocument/2006/relationships/hyperlink" Target="https://pld.live/RapDetail.aspx?STONELIST=926910553&amp;ISCONFIRM=0" TargetMode="External"/><Relationship Id="rId6993" Type="http://schemas.openxmlformats.org/officeDocument/2006/relationships/hyperlink" Target="https://pld.live/RapDetail.aspx?STONELIST=925621904&amp;ISCONFIRM=0" TargetMode="External"/><Relationship Id="rId7837" Type="http://schemas.openxmlformats.org/officeDocument/2006/relationships/hyperlink" Target="https://pld.live/RapDetail.aspx?STONELIST=925890654&amp;ISCONFIRM=0" TargetMode="External"/><Relationship Id="rId551" Type="http://schemas.openxmlformats.org/officeDocument/2006/relationships/hyperlink" Target="https://pld.live/RapDetail.aspx?STONELIST=924730084&amp;ISCONFIRM=0" TargetMode="External"/><Relationship Id="rId1181" Type="http://schemas.openxmlformats.org/officeDocument/2006/relationships/hyperlink" Target="https://pld.live/RapDetail.aspx?STONELIST=926810823&amp;ISCONFIRM=0" TargetMode="External"/><Relationship Id="rId2232" Type="http://schemas.openxmlformats.org/officeDocument/2006/relationships/hyperlink" Target="https://pld.live/RapDetail.aspx?STONELIST=925630021&amp;ISCONFIRM=0" TargetMode="External"/><Relationship Id="rId5388" Type="http://schemas.openxmlformats.org/officeDocument/2006/relationships/hyperlink" Target="https://pld.live/RapDetail.aspx?STONELIST=924980172&amp;ISCONFIRM=0" TargetMode="External"/><Relationship Id="rId5595" Type="http://schemas.openxmlformats.org/officeDocument/2006/relationships/hyperlink" Target="https://pld.live/RapDetail.aspx?STONELIST=924780319&amp;ISCONFIRM=0" TargetMode="External"/><Relationship Id="rId6439" Type="http://schemas.openxmlformats.org/officeDocument/2006/relationships/hyperlink" Target="https://pld.live/RapDetail.aspx?STONELIST=941080812&amp;ISCONFIRM=0" TargetMode="External"/><Relationship Id="rId6646" Type="http://schemas.openxmlformats.org/officeDocument/2006/relationships/hyperlink" Target="https://pld.live/RapDetail.aspx?STONELIST=925960700&amp;ISCONFIRM=0" TargetMode="External"/><Relationship Id="rId6853" Type="http://schemas.openxmlformats.org/officeDocument/2006/relationships/hyperlink" Target="https://pld.live/RapDetail.aspx?STONELIST=926930090&amp;ISCONFIRM=0" TargetMode="External"/><Relationship Id="rId7904" Type="http://schemas.openxmlformats.org/officeDocument/2006/relationships/hyperlink" Target="https://pld.live/RapDetail.aspx?STONELIST=926810638&amp;ISCONFIRM=0" TargetMode="External"/><Relationship Id="rId204" Type="http://schemas.openxmlformats.org/officeDocument/2006/relationships/hyperlink" Target="https://pld.live/RapDetail.aspx?STONELIST=941360342&amp;ISCONFIRM=0" TargetMode="External"/><Relationship Id="rId411" Type="http://schemas.openxmlformats.org/officeDocument/2006/relationships/hyperlink" Target="https://pld.live/RapDetail.aspx?STONELIST=925951088&amp;ISCONFIRM=0" TargetMode="External"/><Relationship Id="rId1041" Type="http://schemas.openxmlformats.org/officeDocument/2006/relationships/hyperlink" Target="https://pld.live/RapDetail.aspx?STONELIST=941071101&amp;ISCONFIRM=0" TargetMode="External"/><Relationship Id="rId1998" Type="http://schemas.openxmlformats.org/officeDocument/2006/relationships/hyperlink" Target="https://pld.live/RapDetail.aspx?STONELIST=941190756&amp;ISCONFIRM=0" TargetMode="External"/><Relationship Id="rId4197" Type="http://schemas.openxmlformats.org/officeDocument/2006/relationships/hyperlink" Target="https://pld.live/RapDetail.aspx?STONELIST=925851138&amp;ISCONFIRM=0" TargetMode="External"/><Relationship Id="rId5248" Type="http://schemas.openxmlformats.org/officeDocument/2006/relationships/hyperlink" Target="https://pld.live/RapDetail.aspx?STONELIST=925220141&amp;ISCONFIRM=0" TargetMode="External"/><Relationship Id="rId5455" Type="http://schemas.openxmlformats.org/officeDocument/2006/relationships/hyperlink" Target="https://pld.live/RapDetail.aspx?STONELIST=926790893&amp;ISCONFIRM=0" TargetMode="External"/><Relationship Id="rId5662" Type="http://schemas.openxmlformats.org/officeDocument/2006/relationships/hyperlink" Target="https://pld.live/RapDetail.aspx?STONELIST=925110441&amp;ISCONFIRM=0" TargetMode="External"/><Relationship Id="rId6506" Type="http://schemas.openxmlformats.org/officeDocument/2006/relationships/hyperlink" Target="https://pld.live/RapDetail.aspx?STONELIST=926972225&amp;ISCONFIRM=0" TargetMode="External"/><Relationship Id="rId6713" Type="http://schemas.openxmlformats.org/officeDocument/2006/relationships/hyperlink" Target="https://pld.live/RapDetail.aspx?STONELIST=927102454&amp;ISCONFIRM=0" TargetMode="External"/><Relationship Id="rId6920" Type="http://schemas.openxmlformats.org/officeDocument/2006/relationships/hyperlink" Target="https://pld.live/RapDetail.aspx?STONELIST=926841357&amp;ISCONFIRM=0" TargetMode="External"/><Relationship Id="rId1858" Type="http://schemas.openxmlformats.org/officeDocument/2006/relationships/hyperlink" Target="https://pld.live/RapDetail.aspx?STONELIST=925840709&amp;ISCONFIRM=0" TargetMode="External"/><Relationship Id="rId4057" Type="http://schemas.openxmlformats.org/officeDocument/2006/relationships/hyperlink" Target="https://pld.live/RapDetail.aspx?STONELIST=926100612&amp;ISCONFIRM=0" TargetMode="External"/><Relationship Id="rId4264" Type="http://schemas.openxmlformats.org/officeDocument/2006/relationships/hyperlink" Target="https://pld.live/RapDetail.aspx?STONELIST=926110180&amp;ISCONFIRM=0" TargetMode="External"/><Relationship Id="rId4471" Type="http://schemas.openxmlformats.org/officeDocument/2006/relationships/hyperlink" Target="https://pld.live/RapDetail.aspx?STONELIST=831010226&amp;ISCONFIRM=0" TargetMode="External"/><Relationship Id="rId5108" Type="http://schemas.openxmlformats.org/officeDocument/2006/relationships/hyperlink" Target="https://pld.live/RapDetail.aspx?STONELIST=831010818&amp;ISCONFIRM=0" TargetMode="External"/><Relationship Id="rId5315" Type="http://schemas.openxmlformats.org/officeDocument/2006/relationships/hyperlink" Target="https://pld.live/RapDetail.aspx?STONELIST=926760712&amp;ISCONFIRM=0" TargetMode="External"/><Relationship Id="rId5522" Type="http://schemas.openxmlformats.org/officeDocument/2006/relationships/hyperlink" Target="https://pld.live/RapDetail.aspx?STONELIST=925060454&amp;ISCONFIRM=0" TargetMode="External"/><Relationship Id="rId2909" Type="http://schemas.openxmlformats.org/officeDocument/2006/relationships/hyperlink" Target="https://pld.live/RapDetail.aspx?STONELIST=925140322&amp;ISCONFIRM=0" TargetMode="External"/><Relationship Id="rId3073" Type="http://schemas.openxmlformats.org/officeDocument/2006/relationships/hyperlink" Target="https://pld.live/RapDetail.aspx?STONELIST=926210847&amp;ISCONFIRM=0" TargetMode="External"/><Relationship Id="rId3280" Type="http://schemas.openxmlformats.org/officeDocument/2006/relationships/hyperlink" Target="https://pld.live/RapDetail.aspx?STONELIST=9412700824&amp;ISCONFIRM=0" TargetMode="External"/><Relationship Id="rId4124" Type="http://schemas.openxmlformats.org/officeDocument/2006/relationships/hyperlink" Target="https://pld.live/RapDetail.aspx?STONELIST=926071745&amp;ISCONFIRM=0" TargetMode="External"/><Relationship Id="rId4331" Type="http://schemas.openxmlformats.org/officeDocument/2006/relationships/hyperlink" Target="https://pld.live/RapDetail.aspx?STONELIST=927092197&amp;ISCONFIRM=0" TargetMode="External"/><Relationship Id="rId7487" Type="http://schemas.openxmlformats.org/officeDocument/2006/relationships/hyperlink" Target="https://pld.live/RapDetail.aspx?STONELIST=925771335&amp;ISCONFIRM=0" TargetMode="External"/><Relationship Id="rId7694" Type="http://schemas.openxmlformats.org/officeDocument/2006/relationships/hyperlink" Target="https://pld.live/RapDetail.aspx?STONELIST=941260730&amp;ISCONFIRM=0" TargetMode="External"/><Relationship Id="rId1718" Type="http://schemas.openxmlformats.org/officeDocument/2006/relationships/hyperlink" Target="https://pld.live/RapDetail.aspx?STONELIST=941370507&amp;ISCONFIRM=0" TargetMode="External"/><Relationship Id="rId1925" Type="http://schemas.openxmlformats.org/officeDocument/2006/relationships/hyperlink" Target="https://pld.live/RapDetail.aspx?STONELIST=926930898&amp;ISCONFIRM=0" TargetMode="External"/><Relationship Id="rId3140" Type="http://schemas.openxmlformats.org/officeDocument/2006/relationships/hyperlink" Target="https://pld.live/RapDetail.aspx?STONELIST=925791394&amp;ISCONFIRM=0" TargetMode="External"/><Relationship Id="rId6089" Type="http://schemas.openxmlformats.org/officeDocument/2006/relationships/hyperlink" Target="https://pld.live/RapDetail.aspx?STONELIST=926470476&amp;ISCONFIRM=0" TargetMode="External"/><Relationship Id="rId6296" Type="http://schemas.openxmlformats.org/officeDocument/2006/relationships/hyperlink" Target="https://pld.live/RapDetail.aspx?STONELIST=924160494&amp;ISCONFIRM=0" TargetMode="External"/><Relationship Id="rId7347" Type="http://schemas.openxmlformats.org/officeDocument/2006/relationships/hyperlink" Target="https://pld.live/RapDetail.aspx?STONELIST=926930947&amp;ISCONFIRM=0" TargetMode="External"/><Relationship Id="rId6156" Type="http://schemas.openxmlformats.org/officeDocument/2006/relationships/hyperlink" Target="https://pld.live/RapDetail.aspx?STONELIST=925690217&amp;ISCONFIRM=0" TargetMode="External"/><Relationship Id="rId7554" Type="http://schemas.openxmlformats.org/officeDocument/2006/relationships/hyperlink" Target="https://pld.live/RapDetail.aspx?STONELIST=925732106&amp;ISCONFIRM=0" TargetMode="External"/><Relationship Id="rId7761" Type="http://schemas.openxmlformats.org/officeDocument/2006/relationships/hyperlink" Target="https://pld.live/RapDetail.aspx?STONELIST=925850007&amp;ISCONFIRM=0" TargetMode="External"/><Relationship Id="rId2699" Type="http://schemas.openxmlformats.org/officeDocument/2006/relationships/hyperlink" Target="https://pld.live/RapDetail.aspx?STONELIST=926431011&amp;ISCONFIRM=0" TargetMode="External"/><Relationship Id="rId3000" Type="http://schemas.openxmlformats.org/officeDocument/2006/relationships/hyperlink" Target="https://pld.live/RapDetail.aspx?STONELIST=925940607&amp;ISCONFIRM=0" TargetMode="External"/><Relationship Id="rId3957" Type="http://schemas.openxmlformats.org/officeDocument/2006/relationships/hyperlink" Target="https://pld.live/RapDetail.aspx?STONELIST=925960669&amp;ISCONFIRM=0" TargetMode="External"/><Relationship Id="rId6363" Type="http://schemas.openxmlformats.org/officeDocument/2006/relationships/hyperlink" Target="https://pld.live/RapDetail.aspx?STONELIST=821126928&amp;ISCONFIRM=0" TargetMode="External"/><Relationship Id="rId6570" Type="http://schemas.openxmlformats.org/officeDocument/2006/relationships/hyperlink" Target="https://pld.live/RapDetail.aspx?STONELIST=925880318&amp;ISCONFIRM=0" TargetMode="External"/><Relationship Id="rId7207" Type="http://schemas.openxmlformats.org/officeDocument/2006/relationships/hyperlink" Target="https://pld.live/RapDetail.aspx?STONELIST=831020505&amp;ISCONFIRM=0" TargetMode="External"/><Relationship Id="rId7414" Type="http://schemas.openxmlformats.org/officeDocument/2006/relationships/hyperlink" Target="https://pld.live/RapDetail.aspx?STONELIST=924590341&amp;ISCONFIRM=0" TargetMode="External"/><Relationship Id="rId7621" Type="http://schemas.openxmlformats.org/officeDocument/2006/relationships/hyperlink" Target="https://pld.live/RapDetail.aspx?STONELIST=926810705&amp;ISCONFIRM=0" TargetMode="External"/><Relationship Id="rId878" Type="http://schemas.openxmlformats.org/officeDocument/2006/relationships/hyperlink" Target="https://pld.live/RapDetail.aspx?STONELIST=926040925&amp;ISCONFIRM=0" TargetMode="External"/><Relationship Id="rId2559" Type="http://schemas.openxmlformats.org/officeDocument/2006/relationships/hyperlink" Target="https://pld.live/RapDetail.aspx?STONELIST=925660094&amp;ISCONFIRM=0" TargetMode="External"/><Relationship Id="rId2766" Type="http://schemas.openxmlformats.org/officeDocument/2006/relationships/hyperlink" Target="https://pld.live/RapDetail.aspx?STONELIST=923720224&amp;ISCONFIRM=0" TargetMode="External"/><Relationship Id="rId2973" Type="http://schemas.openxmlformats.org/officeDocument/2006/relationships/hyperlink" Target="https://pld.live/RapDetail.aspx?STONELIST=925791426&amp;ISCONFIRM=0" TargetMode="External"/><Relationship Id="rId3817" Type="http://schemas.openxmlformats.org/officeDocument/2006/relationships/hyperlink" Target="https://pld.live/RapDetail.aspx?STONELIST=927060470&amp;ISCONFIRM=0" TargetMode="External"/><Relationship Id="rId5172" Type="http://schemas.openxmlformats.org/officeDocument/2006/relationships/hyperlink" Target="https://pld.live/RapDetail.aspx?STONELIST=925370389&amp;ISCONFIRM=0" TargetMode="External"/><Relationship Id="rId6016" Type="http://schemas.openxmlformats.org/officeDocument/2006/relationships/hyperlink" Target="https://pld.live/RapDetail.aspx?STONELIST=831010777&amp;ISCONFIRM=0" TargetMode="External"/><Relationship Id="rId6223" Type="http://schemas.openxmlformats.org/officeDocument/2006/relationships/hyperlink" Target="https://pld.live/RapDetail.aspx?STONELIST=941120583&amp;ISCONFIRM=0" TargetMode="External"/><Relationship Id="rId6430" Type="http://schemas.openxmlformats.org/officeDocument/2006/relationships/hyperlink" Target="https://pld.live/RapDetail.aspx?STONELIST=941100623&amp;ISCONFIRM=0" TargetMode="External"/><Relationship Id="rId738" Type="http://schemas.openxmlformats.org/officeDocument/2006/relationships/hyperlink" Target="https://pld.live/RapDetail.aspx?STONELIST=926100966&amp;ISCONFIRM=0" TargetMode="External"/><Relationship Id="rId945" Type="http://schemas.openxmlformats.org/officeDocument/2006/relationships/hyperlink" Target="https://pld.live/RapDetail.aspx?STONELIST=926041237&amp;ISCONFIRM=0" TargetMode="External"/><Relationship Id="rId1368" Type="http://schemas.openxmlformats.org/officeDocument/2006/relationships/hyperlink" Target="https://pld.live/RapDetail.aspx?STONELIST=925750584&amp;ISCONFIRM=0" TargetMode="External"/><Relationship Id="rId1575" Type="http://schemas.openxmlformats.org/officeDocument/2006/relationships/hyperlink" Target="https://pld.live/RapDetail.aspx?STONELIST=926211202&amp;ISCONFIRM=0" TargetMode="External"/><Relationship Id="rId1782" Type="http://schemas.openxmlformats.org/officeDocument/2006/relationships/hyperlink" Target="https://pld.live/RapDetail.aspx?STONELIST=941360314&amp;ISCONFIRM=0" TargetMode="External"/><Relationship Id="rId2419" Type="http://schemas.openxmlformats.org/officeDocument/2006/relationships/hyperlink" Target="https://pld.live/RapDetail.aspx?STONELIST=941110198&amp;ISCONFIRM=0" TargetMode="External"/><Relationship Id="rId2626" Type="http://schemas.openxmlformats.org/officeDocument/2006/relationships/hyperlink" Target="https://pld.live/RapDetail.aspx?STONELIST=926261549&amp;ISCONFIRM=0" TargetMode="External"/><Relationship Id="rId2833" Type="http://schemas.openxmlformats.org/officeDocument/2006/relationships/hyperlink" Target="https://pld.live/RapDetail.aspx?STONELIST=925801970&amp;ISCONFIRM=0" TargetMode="External"/><Relationship Id="rId5032" Type="http://schemas.openxmlformats.org/officeDocument/2006/relationships/hyperlink" Target="https://pld.live/RapDetail.aspx?STONELIST=925621779&amp;ISCONFIRM=0" TargetMode="External"/><Relationship Id="rId5989" Type="http://schemas.openxmlformats.org/officeDocument/2006/relationships/hyperlink" Target="https://pld.live/RapDetail.aspx?STONELIST=926741038&amp;ISCONFIRM=0" TargetMode="External"/><Relationship Id="rId8188" Type="http://schemas.openxmlformats.org/officeDocument/2006/relationships/hyperlink" Target="https://pld.live/RapDetail.aspx?STONELIST=925660237&amp;ISCONFIRM=0" TargetMode="External"/><Relationship Id="rId74" Type="http://schemas.openxmlformats.org/officeDocument/2006/relationships/hyperlink" Target="https://pld.live/RapDetail.aspx?STONELIST=926860100&amp;ISCONFIRM=0" TargetMode="External"/><Relationship Id="rId805" Type="http://schemas.openxmlformats.org/officeDocument/2006/relationships/hyperlink" Target="https://pld.live/RapDetail.aspx?STONELIST=821127688&amp;ISCONFIRM=0" TargetMode="External"/><Relationship Id="rId1228" Type="http://schemas.openxmlformats.org/officeDocument/2006/relationships/hyperlink" Target="https://pld.live/RapDetail.aspx?STONELIST=926111324&amp;ISCONFIRM=0" TargetMode="External"/><Relationship Id="rId1435" Type="http://schemas.openxmlformats.org/officeDocument/2006/relationships/hyperlink" Target="https://pld.live/RapDetail.aspx?STONELIST=925900560&amp;ISCONFIRM=0" TargetMode="External"/><Relationship Id="rId4798" Type="http://schemas.openxmlformats.org/officeDocument/2006/relationships/hyperlink" Target="https://pld.live/RapDetail.aspx?STONELIST=926380147&amp;ISCONFIRM=0" TargetMode="External"/><Relationship Id="rId8048" Type="http://schemas.openxmlformats.org/officeDocument/2006/relationships/hyperlink" Target="https://pld.live/RapDetail.aspx?STONELIST=923520440&amp;ISCONFIRM=0" TargetMode="External"/><Relationship Id="rId8255" Type="http://schemas.openxmlformats.org/officeDocument/2006/relationships/hyperlink" Target="https://pld.live/RapDetail.aspx?STONELIST=926250071&amp;ISCONFIRM=0" TargetMode="External"/><Relationship Id="rId1642" Type="http://schemas.openxmlformats.org/officeDocument/2006/relationships/hyperlink" Target="https://pld.live/RapDetail.aspx?STONELIST=926211059&amp;ISCONFIRM=0" TargetMode="External"/><Relationship Id="rId2900" Type="http://schemas.openxmlformats.org/officeDocument/2006/relationships/hyperlink" Target="https://pld.live/RapDetail.aspx?STONELIST=925951325&amp;ISCONFIRM=0" TargetMode="External"/><Relationship Id="rId5849" Type="http://schemas.openxmlformats.org/officeDocument/2006/relationships/hyperlink" Target="https://pld.live/RapDetail.aspx?STONELIST=925971317&amp;ISCONFIRM=0" TargetMode="External"/><Relationship Id="rId7064" Type="http://schemas.openxmlformats.org/officeDocument/2006/relationships/hyperlink" Target="https://pld.live/RapDetail.aspx?STONELIST=941040780&amp;ISCONFIRM=0" TargetMode="External"/><Relationship Id="rId7271" Type="http://schemas.openxmlformats.org/officeDocument/2006/relationships/hyperlink" Target="https://pld.live/RapDetail.aspx?STONELIST=926980717&amp;ISCONFIRM=0" TargetMode="External"/><Relationship Id="rId8115" Type="http://schemas.openxmlformats.org/officeDocument/2006/relationships/hyperlink" Target="https://pld.live/RapDetail.aspx?STONELIST=926620869&amp;ISCONFIRM=0" TargetMode="External"/><Relationship Id="rId1502" Type="http://schemas.openxmlformats.org/officeDocument/2006/relationships/hyperlink" Target="https://pld.live/RapDetail.aspx?STONELIST=926331605&amp;ISCONFIRM=0" TargetMode="External"/><Relationship Id="rId4658" Type="http://schemas.openxmlformats.org/officeDocument/2006/relationships/hyperlink" Target="https://pld.live/RapDetail.aspx?STONELIST=941280514&amp;ISCONFIRM=0" TargetMode="External"/><Relationship Id="rId4865" Type="http://schemas.openxmlformats.org/officeDocument/2006/relationships/hyperlink" Target="https://pld.live/RapDetail.aspx?STONELIST=922230110&amp;ISCONFIRM=0" TargetMode="External"/><Relationship Id="rId5709" Type="http://schemas.openxmlformats.org/officeDocument/2006/relationships/hyperlink" Target="https://pld.live/RapDetail.aspx?STONELIST=925040315&amp;ISCONFIRM=0" TargetMode="External"/><Relationship Id="rId5916" Type="http://schemas.openxmlformats.org/officeDocument/2006/relationships/hyperlink" Target="https://pld.live/RapDetail.aspx?STONELIST=925951324&amp;ISCONFIRM=0" TargetMode="External"/><Relationship Id="rId6080" Type="http://schemas.openxmlformats.org/officeDocument/2006/relationships/hyperlink" Target="https://pld.live/RapDetail.aspx?STONELIST=919300006&amp;ISCONFIRM=0" TargetMode="External"/><Relationship Id="rId7131" Type="http://schemas.openxmlformats.org/officeDocument/2006/relationships/hyperlink" Target="https://pld.live/RapDetail.aspx?STONELIST=941161008&amp;ISCONFIRM=0" TargetMode="External"/><Relationship Id="rId388" Type="http://schemas.openxmlformats.org/officeDocument/2006/relationships/hyperlink" Target="https://pld.live/RapDetail.aspx?STONELIST=925550922&amp;ISCONFIRM=0" TargetMode="External"/><Relationship Id="rId2069" Type="http://schemas.openxmlformats.org/officeDocument/2006/relationships/hyperlink" Target="https://pld.live/RapDetail.aspx?STONELIST=831010391&amp;ISCONFIRM=0" TargetMode="External"/><Relationship Id="rId3467" Type="http://schemas.openxmlformats.org/officeDocument/2006/relationships/hyperlink" Target="https://pld.live/RapDetail.aspx?STONELIST=926101162&amp;ISCONFIRM=0" TargetMode="External"/><Relationship Id="rId3674" Type="http://schemas.openxmlformats.org/officeDocument/2006/relationships/hyperlink" Target="https://pld.live/RapDetail.aspx?STONELIST=925630468&amp;ISCONFIRM=0" TargetMode="External"/><Relationship Id="rId3881" Type="http://schemas.openxmlformats.org/officeDocument/2006/relationships/hyperlink" Target="https://pld.live/RapDetail.aspx?STONELIST=925502300&amp;ISCONFIRM=0" TargetMode="External"/><Relationship Id="rId4518" Type="http://schemas.openxmlformats.org/officeDocument/2006/relationships/hyperlink" Target="https://pld.live/RapDetail.aspx?STONELIST=924850121&amp;ISCONFIRM=0" TargetMode="External"/><Relationship Id="rId4725" Type="http://schemas.openxmlformats.org/officeDocument/2006/relationships/hyperlink" Target="https://pld.live/RapDetail.aspx?STONELIST=924450170&amp;ISCONFIRM=0" TargetMode="External"/><Relationship Id="rId4932" Type="http://schemas.openxmlformats.org/officeDocument/2006/relationships/hyperlink" Target="https://pld.live/RapDetail.aspx?STONELIST=926200899&amp;ISCONFIRM=0" TargetMode="External"/><Relationship Id="rId595" Type="http://schemas.openxmlformats.org/officeDocument/2006/relationships/hyperlink" Target="https://pld.live/RapDetail.aspx?STONELIST=925722106&amp;ISCONFIRM=0" TargetMode="External"/><Relationship Id="rId2276" Type="http://schemas.openxmlformats.org/officeDocument/2006/relationships/hyperlink" Target="https://pld.live/RapDetail.aspx?STONELIST=926181060&amp;ISCONFIRM=0" TargetMode="External"/><Relationship Id="rId2483" Type="http://schemas.openxmlformats.org/officeDocument/2006/relationships/hyperlink" Target="https://pld.live/RapDetail.aspx?STONELIST=926171571&amp;ISCONFIRM=0" TargetMode="External"/><Relationship Id="rId2690" Type="http://schemas.openxmlformats.org/officeDocument/2006/relationships/hyperlink" Target="https://pld.live/RapDetail.aspx?STONELIST=926181033&amp;ISCONFIRM=0" TargetMode="External"/><Relationship Id="rId3327" Type="http://schemas.openxmlformats.org/officeDocument/2006/relationships/hyperlink" Target="https://pld.live/RapDetail.aspx?STONELIST=926150109&amp;ISCONFIRM=0" TargetMode="External"/><Relationship Id="rId3534" Type="http://schemas.openxmlformats.org/officeDocument/2006/relationships/hyperlink" Target="https://pld.live/RapDetail.aspx?STONELIST=924690195&amp;ISCONFIRM=0" TargetMode="External"/><Relationship Id="rId3741" Type="http://schemas.openxmlformats.org/officeDocument/2006/relationships/hyperlink" Target="https://pld.live/RapDetail.aspx?STONELIST=926010106&amp;ISCONFIRM=0" TargetMode="External"/><Relationship Id="rId6897" Type="http://schemas.openxmlformats.org/officeDocument/2006/relationships/hyperlink" Target="https://pld.live/RapDetail.aspx?STONELIST=925520897&amp;ISCONFIRM=0" TargetMode="External"/><Relationship Id="rId7948" Type="http://schemas.openxmlformats.org/officeDocument/2006/relationships/hyperlink" Target="https://pld.live/RapDetail.aspx?STONELIST=926921388&amp;ISCONFIRM=0" TargetMode="External"/><Relationship Id="rId248" Type="http://schemas.openxmlformats.org/officeDocument/2006/relationships/hyperlink" Target="https://pld.live/RapDetail.aspx?STONELIST=923350465&amp;ISCONFIRM=0" TargetMode="External"/><Relationship Id="rId455" Type="http://schemas.openxmlformats.org/officeDocument/2006/relationships/hyperlink" Target="https://pld.live/RapDetail.aspx?STONELIST=927070573&amp;ISCONFIRM=0" TargetMode="External"/><Relationship Id="rId662" Type="http://schemas.openxmlformats.org/officeDocument/2006/relationships/hyperlink" Target="https://pld.live/RapDetail.aspx?STONELIST=925861972&amp;ISCONFIRM=0" TargetMode="External"/><Relationship Id="rId1085" Type="http://schemas.openxmlformats.org/officeDocument/2006/relationships/hyperlink" Target="https://pld.live/RapDetail.aspx?STONELIST=926791080&amp;ISCONFIRM=0" TargetMode="External"/><Relationship Id="rId1292" Type="http://schemas.openxmlformats.org/officeDocument/2006/relationships/hyperlink" Target="https://pld.live/RapDetail.aspx?STONELIST=926111388&amp;ISCONFIRM=0" TargetMode="External"/><Relationship Id="rId2136" Type="http://schemas.openxmlformats.org/officeDocument/2006/relationships/hyperlink" Target="https://pld.live/RapDetail.aspx?STONELIST=821127970&amp;ISCONFIRM=0" TargetMode="External"/><Relationship Id="rId2343" Type="http://schemas.openxmlformats.org/officeDocument/2006/relationships/hyperlink" Target="https://pld.live/RapDetail.aspx?STONELIST=926301217&amp;ISCONFIRM=0" TargetMode="External"/><Relationship Id="rId2550" Type="http://schemas.openxmlformats.org/officeDocument/2006/relationships/hyperlink" Target="https://pld.live/RapDetail.aspx?STONELIST=941390347&amp;ISCONFIRM=0" TargetMode="External"/><Relationship Id="rId3601" Type="http://schemas.openxmlformats.org/officeDocument/2006/relationships/hyperlink" Target="https://pld.live/RapDetail.aspx?STONELIST=926010236&amp;ISCONFIRM=0" TargetMode="External"/><Relationship Id="rId5499" Type="http://schemas.openxmlformats.org/officeDocument/2006/relationships/hyperlink" Target="https://pld.live/RapDetail.aspx?STONELIST=925521997&amp;ISCONFIRM=0" TargetMode="External"/><Relationship Id="rId6757" Type="http://schemas.openxmlformats.org/officeDocument/2006/relationships/hyperlink" Target="https://pld.live/RapDetail.aspx?STONELIST=941160595&amp;ISCONFIRM=0" TargetMode="External"/><Relationship Id="rId6964" Type="http://schemas.openxmlformats.org/officeDocument/2006/relationships/hyperlink" Target="https://pld.live/RapDetail.aspx?STONELIST=925970655&amp;ISCONFIRM=0" TargetMode="External"/><Relationship Id="rId7808" Type="http://schemas.openxmlformats.org/officeDocument/2006/relationships/hyperlink" Target="https://pld.live/RapDetail.aspx?STONELIST=927092293&amp;ISCONFIRM=0" TargetMode="External"/><Relationship Id="rId108" Type="http://schemas.openxmlformats.org/officeDocument/2006/relationships/hyperlink" Target="https://pld.live/RapDetail.aspx?STONELIST=831020623&amp;ISCONFIRM=0" TargetMode="External"/><Relationship Id="rId315" Type="http://schemas.openxmlformats.org/officeDocument/2006/relationships/hyperlink" Target="https://pld.live/RapDetail.aspx?STONELIST=941390199&amp;ISCONFIRM=0" TargetMode="External"/><Relationship Id="rId522" Type="http://schemas.openxmlformats.org/officeDocument/2006/relationships/hyperlink" Target="https://pld.live/RapDetail.aspx?STONELIST=924700024&amp;ISCONFIRM=0" TargetMode="External"/><Relationship Id="rId1152" Type="http://schemas.openxmlformats.org/officeDocument/2006/relationships/hyperlink" Target="https://pld.live/RapDetail.aspx?STONELIST=927130135&amp;ISCONFIRM=0" TargetMode="External"/><Relationship Id="rId2203" Type="http://schemas.openxmlformats.org/officeDocument/2006/relationships/hyperlink" Target="https://pld.live/RapDetail.aspx?STONELIST=926320978&amp;ISCONFIRM=0" TargetMode="External"/><Relationship Id="rId2410" Type="http://schemas.openxmlformats.org/officeDocument/2006/relationships/hyperlink" Target="https://pld.live/RapDetail.aspx?STONELIST=920661291&amp;ISCONFIRM=0" TargetMode="External"/><Relationship Id="rId5359" Type="http://schemas.openxmlformats.org/officeDocument/2006/relationships/hyperlink" Target="https://pld.live/RapDetail.aspx?STONELIST=926750718&amp;ISCONFIRM=0" TargetMode="External"/><Relationship Id="rId5566" Type="http://schemas.openxmlformats.org/officeDocument/2006/relationships/hyperlink" Target="https://pld.live/RapDetail.aspx?STONELIST=924410845&amp;ISCONFIRM=0" TargetMode="External"/><Relationship Id="rId5773" Type="http://schemas.openxmlformats.org/officeDocument/2006/relationships/hyperlink" Target="https://pld.live/RapDetail.aspx?STONELIST=941160456&amp;ISCONFIRM=0" TargetMode="External"/><Relationship Id="rId6617" Type="http://schemas.openxmlformats.org/officeDocument/2006/relationships/hyperlink" Target="https://pld.live/RapDetail.aspx?STONELIST=941160583&amp;ISCONFIRM=0" TargetMode="External"/><Relationship Id="rId1012" Type="http://schemas.openxmlformats.org/officeDocument/2006/relationships/hyperlink" Target="https://pld.live/RapDetail.aspx?STONELIST=927150774&amp;ISCONFIRM=0" TargetMode="External"/><Relationship Id="rId4168" Type="http://schemas.openxmlformats.org/officeDocument/2006/relationships/hyperlink" Target="https://pld.live/RapDetail.aspx?STONELIST=925732001&amp;ISCONFIRM=0" TargetMode="External"/><Relationship Id="rId4375" Type="http://schemas.openxmlformats.org/officeDocument/2006/relationships/hyperlink" Target="https://pld.live/RapDetail.aspx?STONELIST=926110891&amp;ISCONFIRM=0" TargetMode="External"/><Relationship Id="rId5219" Type="http://schemas.openxmlformats.org/officeDocument/2006/relationships/hyperlink" Target="https://pld.live/RapDetail.aspx?STONELIST=926830980&amp;ISCONFIRM=0" TargetMode="External"/><Relationship Id="rId5426" Type="http://schemas.openxmlformats.org/officeDocument/2006/relationships/hyperlink" Target="https://pld.live/RapDetail.aspx?STONELIST=927100771&amp;ISCONFIRM=0" TargetMode="External"/><Relationship Id="rId5980" Type="http://schemas.openxmlformats.org/officeDocument/2006/relationships/hyperlink" Target="https://pld.live/RapDetail.aspx?STONELIST=926270894&amp;ISCONFIRM=0" TargetMode="External"/><Relationship Id="rId6824" Type="http://schemas.openxmlformats.org/officeDocument/2006/relationships/hyperlink" Target="https://pld.live/RapDetail.aspx?STONELIST=941310044&amp;ISCONFIRM=0" TargetMode="External"/><Relationship Id="rId1969" Type="http://schemas.openxmlformats.org/officeDocument/2006/relationships/hyperlink" Target="https://pld.live/RapDetail.aspx?STONELIST=941280306&amp;ISCONFIRM=0" TargetMode="External"/><Relationship Id="rId3184" Type="http://schemas.openxmlformats.org/officeDocument/2006/relationships/hyperlink" Target="https://pld.live/RapDetail.aspx?STONELIST=925030312&amp;ISCONFIRM=0" TargetMode="External"/><Relationship Id="rId4028" Type="http://schemas.openxmlformats.org/officeDocument/2006/relationships/hyperlink" Target="https://pld.live/RapDetail.aspx?STONELIST=925961371&amp;ISCONFIRM=0" TargetMode="External"/><Relationship Id="rId4235" Type="http://schemas.openxmlformats.org/officeDocument/2006/relationships/hyperlink" Target="https://pld.live/RapDetail.aspx?STONELIST=925520976&amp;ISCONFIRM=0" TargetMode="External"/><Relationship Id="rId4582" Type="http://schemas.openxmlformats.org/officeDocument/2006/relationships/hyperlink" Target="https://pld.live/RapDetail.aspx?STONELIST=927152648&amp;ISCONFIRM=0" TargetMode="External"/><Relationship Id="rId5633" Type="http://schemas.openxmlformats.org/officeDocument/2006/relationships/hyperlink" Target="https://pld.live/RapDetail.aspx?STONELIST=924560534&amp;ISCONFIRM=0" TargetMode="External"/><Relationship Id="rId5840" Type="http://schemas.openxmlformats.org/officeDocument/2006/relationships/hyperlink" Target="https://pld.live/RapDetail.aspx?STONELIST=926890574&amp;ISCONFIRM=0" TargetMode="External"/><Relationship Id="rId1829" Type="http://schemas.openxmlformats.org/officeDocument/2006/relationships/hyperlink" Target="https://pld.live/RapDetail.aspx?STONELIST=925750523&amp;ISCONFIRM=0" TargetMode="External"/><Relationship Id="rId3391" Type="http://schemas.openxmlformats.org/officeDocument/2006/relationships/hyperlink" Target="https://pld.live/RapDetail.aspx?STONELIST=925521912&amp;ISCONFIRM=0" TargetMode="External"/><Relationship Id="rId4442" Type="http://schemas.openxmlformats.org/officeDocument/2006/relationships/hyperlink" Target="https://pld.live/RapDetail.aspx?STONELIST=925080445&amp;ISCONFIRM=0" TargetMode="External"/><Relationship Id="rId5700" Type="http://schemas.openxmlformats.org/officeDocument/2006/relationships/hyperlink" Target="https://pld.live/RapDetail.aspx?STONELIST=924590353&amp;ISCONFIRM=0" TargetMode="External"/><Relationship Id="rId7598" Type="http://schemas.openxmlformats.org/officeDocument/2006/relationships/hyperlink" Target="https://pld.live/RapDetail.aspx?STONELIST=925300343&amp;ISCONFIRM=0" TargetMode="External"/><Relationship Id="rId3044" Type="http://schemas.openxmlformats.org/officeDocument/2006/relationships/hyperlink" Target="https://pld.live/RapDetail.aspx?STONELIST=925830753&amp;ISCONFIRM=0" TargetMode="External"/><Relationship Id="rId3251" Type="http://schemas.openxmlformats.org/officeDocument/2006/relationships/hyperlink" Target="https://pld.live/RapDetail.aspx?STONELIST=926040652&amp;ISCONFIRM=0" TargetMode="External"/><Relationship Id="rId4302" Type="http://schemas.openxmlformats.org/officeDocument/2006/relationships/hyperlink" Target="https://pld.live/RapDetail.aspx?STONELIST=927152392&amp;ISCONFIRM=0" TargetMode="External"/><Relationship Id="rId7458" Type="http://schemas.openxmlformats.org/officeDocument/2006/relationships/hyperlink" Target="https://pld.live/RapDetail.aspx?STONELIST=925270542&amp;ISCONFIRM=0" TargetMode="External"/><Relationship Id="rId7665" Type="http://schemas.openxmlformats.org/officeDocument/2006/relationships/hyperlink" Target="https://pld.live/RapDetail.aspx?STONELIST=941260467&amp;ISCONFIRM=0" TargetMode="External"/><Relationship Id="rId7872" Type="http://schemas.openxmlformats.org/officeDocument/2006/relationships/hyperlink" Target="https://pld.live/RapDetail.aspx?STONELIST=926790862&amp;ISCONFIRM=0" TargetMode="External"/><Relationship Id="rId172" Type="http://schemas.openxmlformats.org/officeDocument/2006/relationships/hyperlink" Target="https://pld.live/RapDetail.aspx?STONELIST=941050184&amp;ISCONFIRM=0" TargetMode="External"/><Relationship Id="rId2060" Type="http://schemas.openxmlformats.org/officeDocument/2006/relationships/hyperlink" Target="https://pld.live/RapDetail.aspx?STONELIST=924540182&amp;ISCONFIRM=0" TargetMode="External"/><Relationship Id="rId3111" Type="http://schemas.openxmlformats.org/officeDocument/2006/relationships/hyperlink" Target="https://pld.live/RapDetail.aspx?STONELIST=925080501&amp;ISCONFIRM=0" TargetMode="External"/><Relationship Id="rId6267" Type="http://schemas.openxmlformats.org/officeDocument/2006/relationships/hyperlink" Target="https://pld.live/RapDetail.aspx?STONELIST=821113401&amp;ISCONFIRM=0" TargetMode="External"/><Relationship Id="rId6474" Type="http://schemas.openxmlformats.org/officeDocument/2006/relationships/hyperlink" Target="https://pld.live/RapDetail.aspx?STONELIST=941071296&amp;ISCONFIRM=0" TargetMode="External"/><Relationship Id="rId6681" Type="http://schemas.openxmlformats.org/officeDocument/2006/relationships/hyperlink" Target="https://pld.live/RapDetail.aspx?STONELIST=927132513&amp;ISCONFIRM=0" TargetMode="External"/><Relationship Id="rId7318" Type="http://schemas.openxmlformats.org/officeDocument/2006/relationships/hyperlink" Target="https://pld.live/RapDetail.aspx?STONELIST=926360087&amp;ISCONFIRM=0" TargetMode="External"/><Relationship Id="rId7525" Type="http://schemas.openxmlformats.org/officeDocument/2006/relationships/hyperlink" Target="https://pld.live/RapDetail.aspx?STONELIST=925771237&amp;ISCONFIRM=0" TargetMode="External"/><Relationship Id="rId7732" Type="http://schemas.openxmlformats.org/officeDocument/2006/relationships/hyperlink" Target="https://pld.live/RapDetail.aspx?STONELIST=941380305&amp;ISCONFIRM=0" TargetMode="External"/><Relationship Id="rId989" Type="http://schemas.openxmlformats.org/officeDocument/2006/relationships/hyperlink" Target="https://pld.live/RapDetail.aspx?STONELIST=927092146&amp;ISCONFIRM=0" TargetMode="External"/><Relationship Id="rId2877" Type="http://schemas.openxmlformats.org/officeDocument/2006/relationships/hyperlink" Target="https://pld.live/RapDetail.aspx?STONELIST=925861940&amp;ISCONFIRM=0" TargetMode="External"/><Relationship Id="rId5076" Type="http://schemas.openxmlformats.org/officeDocument/2006/relationships/hyperlink" Target="https://pld.live/RapDetail.aspx?STONELIST=925542657&amp;ISCONFIRM=0" TargetMode="External"/><Relationship Id="rId5283" Type="http://schemas.openxmlformats.org/officeDocument/2006/relationships/hyperlink" Target="https://pld.live/RapDetail.aspx?STONELIST=926030131&amp;ISCONFIRM=0" TargetMode="External"/><Relationship Id="rId5490" Type="http://schemas.openxmlformats.org/officeDocument/2006/relationships/hyperlink" Target="https://pld.live/RapDetail.aspx?STONELIST=926870872&amp;ISCONFIRM=0" TargetMode="External"/><Relationship Id="rId6127" Type="http://schemas.openxmlformats.org/officeDocument/2006/relationships/hyperlink" Target="https://pld.live/RapDetail.aspx?STONELIST=925680152&amp;ISCONFIRM=0" TargetMode="External"/><Relationship Id="rId6334" Type="http://schemas.openxmlformats.org/officeDocument/2006/relationships/hyperlink" Target="https://pld.live/RapDetail.aspx?STONELIST=927010764&amp;ISCONFIRM=0" TargetMode="External"/><Relationship Id="rId6541" Type="http://schemas.openxmlformats.org/officeDocument/2006/relationships/hyperlink" Target="https://pld.live/RapDetail.aspx?STONELIST=821115926&amp;ISCONFIRM=0" TargetMode="External"/><Relationship Id="rId849" Type="http://schemas.openxmlformats.org/officeDocument/2006/relationships/hyperlink" Target="https://pld.live/RapDetail.aspx?STONELIST=821127402&amp;ISCONFIRM=0" TargetMode="External"/><Relationship Id="rId1479" Type="http://schemas.openxmlformats.org/officeDocument/2006/relationships/hyperlink" Target="https://pld.live/RapDetail.aspx?STONELIST=821124663&amp;ISCONFIRM=0" TargetMode="External"/><Relationship Id="rId1686" Type="http://schemas.openxmlformats.org/officeDocument/2006/relationships/hyperlink" Target="https://pld.live/RapDetail.aspx?STONELIST=925280150&amp;ISCONFIRM=0" TargetMode="External"/><Relationship Id="rId3928" Type="http://schemas.openxmlformats.org/officeDocument/2006/relationships/hyperlink" Target="https://pld.live/RapDetail.aspx?STONELIST=926100881&amp;ISCONFIRM=0" TargetMode="External"/><Relationship Id="rId4092" Type="http://schemas.openxmlformats.org/officeDocument/2006/relationships/hyperlink" Target="https://pld.live/RapDetail.aspx?STONELIST=927092555&amp;ISCONFIRM=0" TargetMode="External"/><Relationship Id="rId5143" Type="http://schemas.openxmlformats.org/officeDocument/2006/relationships/hyperlink" Target="https://pld.live/RapDetail.aspx?STONELIST=925731566&amp;ISCONFIRM=0" TargetMode="External"/><Relationship Id="rId5350" Type="http://schemas.openxmlformats.org/officeDocument/2006/relationships/hyperlink" Target="https://pld.live/RapDetail.aspx?STONELIST=926631035&amp;ISCONFIRM=0" TargetMode="External"/><Relationship Id="rId6401" Type="http://schemas.openxmlformats.org/officeDocument/2006/relationships/hyperlink" Target="https://pld.live/RapDetail.aspx?STONELIST=821126878&amp;ISCONFIRM=0" TargetMode="External"/><Relationship Id="rId1339" Type="http://schemas.openxmlformats.org/officeDocument/2006/relationships/hyperlink" Target="https://pld.live/RapDetail.aspx?STONELIST=941260965&amp;ISCONFIRM=0" TargetMode="External"/><Relationship Id="rId1893" Type="http://schemas.openxmlformats.org/officeDocument/2006/relationships/hyperlink" Target="https://pld.live/RapDetail.aspx?STONELIST=926801192&amp;ISCONFIRM=0" TargetMode="External"/><Relationship Id="rId2737" Type="http://schemas.openxmlformats.org/officeDocument/2006/relationships/hyperlink" Target="https://pld.live/RapDetail.aspx?STONELIST=922480054&amp;ISCONFIRM=0" TargetMode="External"/><Relationship Id="rId2944" Type="http://schemas.openxmlformats.org/officeDocument/2006/relationships/hyperlink" Target="https://pld.live/RapDetail.aspx?STONELIST=926210852&amp;ISCONFIRM=0" TargetMode="External"/><Relationship Id="rId5003" Type="http://schemas.openxmlformats.org/officeDocument/2006/relationships/hyperlink" Target="https://pld.live/RapDetail.aspx?STONELIST=925721783&amp;ISCONFIRM=0" TargetMode="External"/><Relationship Id="rId5210" Type="http://schemas.openxmlformats.org/officeDocument/2006/relationships/hyperlink" Target="https://pld.live/RapDetail.aspx?STONELIST=925621916&amp;ISCONFIRM=0" TargetMode="External"/><Relationship Id="rId8159" Type="http://schemas.openxmlformats.org/officeDocument/2006/relationships/hyperlink" Target="https://pld.live/RapDetail.aspx?STONELIST=926580025&amp;ISCONFIRM=0" TargetMode="External"/><Relationship Id="rId709" Type="http://schemas.openxmlformats.org/officeDocument/2006/relationships/hyperlink" Target="https://pld.live/RapDetail.aspx?STONELIST=821127660&amp;ISCONFIRM=0" TargetMode="External"/><Relationship Id="rId916" Type="http://schemas.openxmlformats.org/officeDocument/2006/relationships/hyperlink" Target="https://pld.live/RapDetail.aspx?STONELIST=821127466&amp;ISCONFIRM=0" TargetMode="External"/><Relationship Id="rId1546" Type="http://schemas.openxmlformats.org/officeDocument/2006/relationships/hyperlink" Target="https://pld.live/RapDetail.aspx?STONELIST=926270885&amp;ISCONFIRM=0" TargetMode="External"/><Relationship Id="rId1753" Type="http://schemas.openxmlformats.org/officeDocument/2006/relationships/hyperlink" Target="https://pld.live/RapDetail.aspx?STONELIST=927092151&amp;ISCONFIRM=0" TargetMode="External"/><Relationship Id="rId1960" Type="http://schemas.openxmlformats.org/officeDocument/2006/relationships/hyperlink" Target="https://pld.live/RapDetail.aspx?STONELIST=941360336&amp;ISCONFIRM=0" TargetMode="External"/><Relationship Id="rId2804" Type="http://schemas.openxmlformats.org/officeDocument/2006/relationships/hyperlink" Target="https://pld.live/RapDetail.aspx?STONELIST=926170656&amp;ISCONFIRM=0" TargetMode="External"/><Relationship Id="rId7175" Type="http://schemas.openxmlformats.org/officeDocument/2006/relationships/hyperlink" Target="https://pld.live/RapDetail.aspx?STONELIST=941060546&amp;ISCONFIRM=0" TargetMode="External"/><Relationship Id="rId8019" Type="http://schemas.openxmlformats.org/officeDocument/2006/relationships/hyperlink" Target="https://pld.live/RapDetail.aspx?STONELIST=926110670&amp;ISCONFIRM=0" TargetMode="External"/><Relationship Id="rId45" Type="http://schemas.openxmlformats.org/officeDocument/2006/relationships/hyperlink" Target="https://pld.live/RapDetail.aspx?STONELIST=922790087&amp;ISCONFIRM=0" TargetMode="External"/><Relationship Id="rId1406" Type="http://schemas.openxmlformats.org/officeDocument/2006/relationships/hyperlink" Target="https://pld.live/RapDetail.aspx?STONELIST=926250493&amp;ISCONFIRM=0" TargetMode="External"/><Relationship Id="rId1613" Type="http://schemas.openxmlformats.org/officeDocument/2006/relationships/hyperlink" Target="https://pld.live/RapDetail.aspx?STONELIST=926941179&amp;ISCONFIRM=0" TargetMode="External"/><Relationship Id="rId1820" Type="http://schemas.openxmlformats.org/officeDocument/2006/relationships/hyperlink" Target="https://pld.live/RapDetail.aspx?STONELIST=925840837&amp;ISCONFIRM=0" TargetMode="External"/><Relationship Id="rId4769" Type="http://schemas.openxmlformats.org/officeDocument/2006/relationships/hyperlink" Target="https://pld.live/RapDetail.aspx?STONELIST=925630395&amp;ISCONFIRM=0" TargetMode="External"/><Relationship Id="rId4976" Type="http://schemas.openxmlformats.org/officeDocument/2006/relationships/hyperlink" Target="https://pld.live/RapDetail.aspx?STONELIST=925502074&amp;ISCONFIRM=0" TargetMode="External"/><Relationship Id="rId7382" Type="http://schemas.openxmlformats.org/officeDocument/2006/relationships/hyperlink" Target="https://pld.live/RapDetail.aspx?STONELIST=9413400783&amp;ISCONFIRM=0" TargetMode="External"/><Relationship Id="rId8226" Type="http://schemas.openxmlformats.org/officeDocument/2006/relationships/hyperlink" Target="https://pld.live/RapDetail.aspx?STONELIST=925971333&amp;ISCONFIRM=0" TargetMode="External"/><Relationship Id="rId3578" Type="http://schemas.openxmlformats.org/officeDocument/2006/relationships/hyperlink" Target="https://pld.live/RapDetail.aspx?STONELIST=922930174&amp;ISCONFIRM=0" TargetMode="External"/><Relationship Id="rId3785" Type="http://schemas.openxmlformats.org/officeDocument/2006/relationships/hyperlink" Target="https://pld.live/RapDetail.aspx?STONELIST=927010694&amp;ISCONFIRM=0" TargetMode="External"/><Relationship Id="rId3992" Type="http://schemas.openxmlformats.org/officeDocument/2006/relationships/hyperlink" Target="https://pld.live/RapDetail.aspx?STONELIST=821124369&amp;ISCONFIRM=0" TargetMode="External"/><Relationship Id="rId4629" Type="http://schemas.openxmlformats.org/officeDocument/2006/relationships/hyperlink" Target="https://pld.live/RapDetail.aspx?STONELIST=941190588&amp;ISCONFIRM=0" TargetMode="External"/><Relationship Id="rId4836" Type="http://schemas.openxmlformats.org/officeDocument/2006/relationships/hyperlink" Target="https://pld.live/RapDetail.aspx?STONELIST=925951211&amp;ISCONFIRM=0" TargetMode="External"/><Relationship Id="rId6191" Type="http://schemas.openxmlformats.org/officeDocument/2006/relationships/hyperlink" Target="https://pld.live/RapDetail.aspx?STONELIST=926450596&amp;ISCONFIRM=0" TargetMode="External"/><Relationship Id="rId7035" Type="http://schemas.openxmlformats.org/officeDocument/2006/relationships/hyperlink" Target="https://pld.live/RapDetail.aspx?STONELIST=926640734&amp;ISCONFIRM=0" TargetMode="External"/><Relationship Id="rId7242" Type="http://schemas.openxmlformats.org/officeDocument/2006/relationships/hyperlink" Target="https://pld.live/RapDetail.aspx?STONELIST=925670214&amp;ISCONFIRM=0" TargetMode="External"/><Relationship Id="rId499" Type="http://schemas.openxmlformats.org/officeDocument/2006/relationships/hyperlink" Target="https://pld.live/RapDetail.aspx?STONELIST=925961352&amp;ISCONFIRM=0" TargetMode="External"/><Relationship Id="rId2387" Type="http://schemas.openxmlformats.org/officeDocument/2006/relationships/hyperlink" Target="https://pld.live/RapDetail.aspx?STONELIST=926091214&amp;ISCONFIRM=0" TargetMode="External"/><Relationship Id="rId2594" Type="http://schemas.openxmlformats.org/officeDocument/2006/relationships/hyperlink" Target="https://pld.live/RapDetail.aspx?STONELIST=926800921&amp;ISCONFIRM=0" TargetMode="External"/><Relationship Id="rId3438" Type="http://schemas.openxmlformats.org/officeDocument/2006/relationships/hyperlink" Target="https://pld.live/RapDetail.aspx?STONELIST=925801968&amp;ISCONFIRM=0" TargetMode="External"/><Relationship Id="rId3645" Type="http://schemas.openxmlformats.org/officeDocument/2006/relationships/hyperlink" Target="https://pld.live/RapDetail.aspx?STONELIST=926050159&amp;ISCONFIRM=0" TargetMode="External"/><Relationship Id="rId3852" Type="http://schemas.openxmlformats.org/officeDocument/2006/relationships/hyperlink" Target="https://pld.live/RapDetail.aspx?STONELIST=926171097&amp;ISCONFIRM=0" TargetMode="External"/><Relationship Id="rId6051" Type="http://schemas.openxmlformats.org/officeDocument/2006/relationships/hyperlink" Target="https://pld.live/RapDetail.aspx?STONELIST=926120417&amp;ISCONFIRM=0" TargetMode="External"/><Relationship Id="rId7102" Type="http://schemas.openxmlformats.org/officeDocument/2006/relationships/hyperlink" Target="https://pld.live/RapDetail.aspx?STONELIST=927132548&amp;ISCONFIRM=0" TargetMode="External"/><Relationship Id="rId359" Type="http://schemas.openxmlformats.org/officeDocument/2006/relationships/hyperlink" Target="https://pld.live/RapDetail.aspx?STONELIST=925310287&amp;ISCONFIRM=0" TargetMode="External"/><Relationship Id="rId566" Type="http://schemas.openxmlformats.org/officeDocument/2006/relationships/hyperlink" Target="https://pld.live/RapDetail.aspx?STONELIST=941431179&amp;ISCONFIRM=0" TargetMode="External"/><Relationship Id="rId773" Type="http://schemas.openxmlformats.org/officeDocument/2006/relationships/hyperlink" Target="https://pld.live/RapDetail.aspx?STONELIST=821127781&amp;ISCONFIRM=0" TargetMode="External"/><Relationship Id="rId1196" Type="http://schemas.openxmlformats.org/officeDocument/2006/relationships/hyperlink" Target="https://pld.live/RapDetail.aspx?STONELIST=927151990&amp;ISCONFIRM=0" TargetMode="External"/><Relationship Id="rId2247" Type="http://schemas.openxmlformats.org/officeDocument/2006/relationships/hyperlink" Target="https://pld.live/RapDetail.aspx?STONELIST=926191012&amp;ISCONFIRM=0" TargetMode="External"/><Relationship Id="rId2454" Type="http://schemas.openxmlformats.org/officeDocument/2006/relationships/hyperlink" Target="https://pld.live/RapDetail.aspx?STONELIST=941340615&amp;ISCONFIRM=0" TargetMode="External"/><Relationship Id="rId3505" Type="http://schemas.openxmlformats.org/officeDocument/2006/relationships/hyperlink" Target="https://pld.live/RapDetail.aspx?STONELIST=926250072&amp;ISCONFIRM=0" TargetMode="External"/><Relationship Id="rId4903" Type="http://schemas.openxmlformats.org/officeDocument/2006/relationships/hyperlink" Target="https://pld.live/RapDetail.aspx?STONELIST=821113238&amp;ISCONFIRM=0" TargetMode="External"/><Relationship Id="rId219" Type="http://schemas.openxmlformats.org/officeDocument/2006/relationships/hyperlink" Target="https://pld.live/RapDetail.aspx?STONELIST=831020713&amp;ISCONFIRM=0" TargetMode="External"/><Relationship Id="rId426" Type="http://schemas.openxmlformats.org/officeDocument/2006/relationships/hyperlink" Target="https://pld.live/RapDetail.aspx?STONELIST=831020678&amp;ISCONFIRM=0" TargetMode="External"/><Relationship Id="rId633" Type="http://schemas.openxmlformats.org/officeDocument/2006/relationships/hyperlink" Target="https://pld.live/RapDetail.aspx?STONELIST=941350685&amp;ISCONFIRM=0" TargetMode="External"/><Relationship Id="rId980" Type="http://schemas.openxmlformats.org/officeDocument/2006/relationships/hyperlink" Target="https://pld.live/RapDetail.aspx?STONELIST=926071830&amp;ISCONFIRM=0" TargetMode="External"/><Relationship Id="rId1056" Type="http://schemas.openxmlformats.org/officeDocument/2006/relationships/hyperlink" Target="https://pld.live/RapDetail.aspx?STONELIST=927052168&amp;ISCONFIRM=0" TargetMode="External"/><Relationship Id="rId1263" Type="http://schemas.openxmlformats.org/officeDocument/2006/relationships/hyperlink" Target="https://pld.live/RapDetail.aspx?STONELIST=926291530&amp;ISCONFIRM=0" TargetMode="External"/><Relationship Id="rId2107" Type="http://schemas.openxmlformats.org/officeDocument/2006/relationships/hyperlink" Target="https://pld.live/RapDetail.aspx?STONELIST=831010386&amp;ISCONFIRM=0" TargetMode="External"/><Relationship Id="rId2314" Type="http://schemas.openxmlformats.org/officeDocument/2006/relationships/hyperlink" Target="https://pld.live/RapDetail.aspx?STONELIST=926391216&amp;ISCONFIRM=0" TargetMode="External"/><Relationship Id="rId2661" Type="http://schemas.openxmlformats.org/officeDocument/2006/relationships/hyperlink" Target="https://pld.live/RapDetail.aspx?STONELIST=926341108&amp;ISCONFIRM=0" TargetMode="External"/><Relationship Id="rId3712" Type="http://schemas.openxmlformats.org/officeDocument/2006/relationships/hyperlink" Target="https://pld.live/RapDetail.aspx?STONELIST=927070931&amp;ISCONFIRM=0" TargetMode="External"/><Relationship Id="rId6868" Type="http://schemas.openxmlformats.org/officeDocument/2006/relationships/hyperlink" Target="https://pld.live/RapDetail.aspx?STONELIST=821115539&amp;ISCONFIRM=0" TargetMode="External"/><Relationship Id="rId7919" Type="http://schemas.openxmlformats.org/officeDocument/2006/relationships/hyperlink" Target="https://pld.live/RapDetail.aspx?STONELIST=926870944&amp;ISCONFIRM=0" TargetMode="External"/><Relationship Id="rId8083" Type="http://schemas.openxmlformats.org/officeDocument/2006/relationships/hyperlink" Target="https://pld.live/RapDetail.aspx?STONELIST=923600450&amp;ISCONFIRM=0" TargetMode="External"/><Relationship Id="rId840" Type="http://schemas.openxmlformats.org/officeDocument/2006/relationships/hyperlink" Target="https://pld.live/RapDetail.aspx?STONELIST=821127516&amp;ISCONFIRM=0" TargetMode="External"/><Relationship Id="rId1470" Type="http://schemas.openxmlformats.org/officeDocument/2006/relationships/hyperlink" Target="https://pld.live/RapDetail.aspx?STONELIST=925791104&amp;ISCONFIRM=0" TargetMode="External"/><Relationship Id="rId2521" Type="http://schemas.openxmlformats.org/officeDocument/2006/relationships/hyperlink" Target="https://pld.live/RapDetail.aspx?STONELIST=926830973&amp;ISCONFIRM=0" TargetMode="External"/><Relationship Id="rId4279" Type="http://schemas.openxmlformats.org/officeDocument/2006/relationships/hyperlink" Target="https://pld.live/RapDetail.aspx?STONELIST=927092207&amp;ISCONFIRM=0" TargetMode="External"/><Relationship Id="rId5677" Type="http://schemas.openxmlformats.org/officeDocument/2006/relationships/hyperlink" Target="https://pld.live/RapDetail.aspx?STONELIST=924410898&amp;ISCONFIRM=0" TargetMode="External"/><Relationship Id="rId5884" Type="http://schemas.openxmlformats.org/officeDocument/2006/relationships/hyperlink" Target="https://pld.live/RapDetail.aspx?STONELIST=925722052&amp;ISCONFIRM=0" TargetMode="External"/><Relationship Id="rId6728" Type="http://schemas.openxmlformats.org/officeDocument/2006/relationships/hyperlink" Target="https://pld.live/RapDetail.aspx?STONELIST=927152904&amp;ISCONFIRM=0" TargetMode="External"/><Relationship Id="rId6935" Type="http://schemas.openxmlformats.org/officeDocument/2006/relationships/hyperlink" Target="https://pld.live/RapDetail.aspx?STONELIST=821126940&amp;ISCONFIRM=0" TargetMode="External"/><Relationship Id="rId700" Type="http://schemas.openxmlformats.org/officeDocument/2006/relationships/hyperlink" Target="https://pld.live/RapDetail.aspx?STONELIST=925950989&amp;ISCONFIRM=0" TargetMode="External"/><Relationship Id="rId1123" Type="http://schemas.openxmlformats.org/officeDocument/2006/relationships/hyperlink" Target="https://pld.live/RapDetail.aspx?STONELIST=926741019&amp;ISCONFIRM=0" TargetMode="External"/><Relationship Id="rId1330" Type="http://schemas.openxmlformats.org/officeDocument/2006/relationships/hyperlink" Target="https://pld.live/RapDetail.aspx?STONELIST=941320407&amp;ISCONFIRM=0" TargetMode="External"/><Relationship Id="rId3088" Type="http://schemas.openxmlformats.org/officeDocument/2006/relationships/hyperlink" Target="https://pld.live/RapDetail.aspx?STONELIST=821128368&amp;ISCONFIRM=0" TargetMode="External"/><Relationship Id="rId4486" Type="http://schemas.openxmlformats.org/officeDocument/2006/relationships/hyperlink" Target="https://pld.live/RapDetail.aspx?STONELIST=927102450&amp;ISCONFIRM=0" TargetMode="External"/><Relationship Id="rId4693" Type="http://schemas.openxmlformats.org/officeDocument/2006/relationships/hyperlink" Target="https://pld.live/RapDetail.aspx?STONELIST=924590304&amp;ISCONFIRM=0" TargetMode="External"/><Relationship Id="rId5537" Type="http://schemas.openxmlformats.org/officeDocument/2006/relationships/hyperlink" Target="https://pld.live/RapDetail.aspx?STONELIST=926250460&amp;ISCONFIRM=0" TargetMode="External"/><Relationship Id="rId5744" Type="http://schemas.openxmlformats.org/officeDocument/2006/relationships/hyperlink" Target="https://pld.live/RapDetail.aspx?STONELIST=925740499&amp;ISCONFIRM=0" TargetMode="External"/><Relationship Id="rId5951" Type="http://schemas.openxmlformats.org/officeDocument/2006/relationships/hyperlink" Target="https://pld.live/RapDetail.aspx?STONELIST=926621101&amp;ISCONFIRM=0" TargetMode="External"/><Relationship Id="rId8150" Type="http://schemas.openxmlformats.org/officeDocument/2006/relationships/hyperlink" Target="https://pld.live/RapDetail.aspx?STONELIST=927140411&amp;ISCONFIRM=0" TargetMode="External"/><Relationship Id="rId3295" Type="http://schemas.openxmlformats.org/officeDocument/2006/relationships/hyperlink" Target="https://pld.live/RapDetail.aspx?STONELIST=926010235&amp;ISCONFIRM=0" TargetMode="External"/><Relationship Id="rId4139" Type="http://schemas.openxmlformats.org/officeDocument/2006/relationships/hyperlink" Target="https://pld.live/RapDetail.aspx?STONELIST=926170480&amp;ISCONFIRM=0" TargetMode="External"/><Relationship Id="rId4346" Type="http://schemas.openxmlformats.org/officeDocument/2006/relationships/hyperlink" Target="https://pld.live/RapDetail.aspx?STONELIST=926110691&amp;ISCONFIRM=0" TargetMode="External"/><Relationship Id="rId4553" Type="http://schemas.openxmlformats.org/officeDocument/2006/relationships/hyperlink" Target="https://pld.live/RapDetail.aspx?STONELIST=924960348&amp;ISCONFIRM=0" TargetMode="External"/><Relationship Id="rId4760" Type="http://schemas.openxmlformats.org/officeDocument/2006/relationships/hyperlink" Target="https://pld.live/RapDetail.aspx?STONELIST=941310021&amp;ISCONFIRM=0" TargetMode="External"/><Relationship Id="rId5604" Type="http://schemas.openxmlformats.org/officeDocument/2006/relationships/hyperlink" Target="https://pld.live/RapDetail.aspx?STONELIST=926921389&amp;ISCONFIRM=0" TargetMode="External"/><Relationship Id="rId5811" Type="http://schemas.openxmlformats.org/officeDocument/2006/relationships/hyperlink" Target="https://pld.live/RapDetail.aspx?STONELIST=924890053&amp;ISCONFIRM=0" TargetMode="External"/><Relationship Id="rId8010" Type="http://schemas.openxmlformats.org/officeDocument/2006/relationships/hyperlink" Target="https://pld.live/RapDetail.aspx?STONELIST=925900482&amp;ISCONFIRM=0" TargetMode="External"/><Relationship Id="rId3155" Type="http://schemas.openxmlformats.org/officeDocument/2006/relationships/hyperlink" Target="https://pld.live/RapDetail.aspx?STONELIST=926210635&amp;ISCONFIRM=0" TargetMode="External"/><Relationship Id="rId3362" Type="http://schemas.openxmlformats.org/officeDocument/2006/relationships/hyperlink" Target="https://pld.live/RapDetail.aspx?STONELIST=925971308&amp;ISCONFIRM=0" TargetMode="External"/><Relationship Id="rId4206" Type="http://schemas.openxmlformats.org/officeDocument/2006/relationships/hyperlink" Target="https://pld.live/RapDetail.aspx?STONELIST=926110403&amp;ISCONFIRM=0" TargetMode="External"/><Relationship Id="rId4413" Type="http://schemas.openxmlformats.org/officeDocument/2006/relationships/hyperlink" Target="https://pld.live/RapDetail.aspx?STONELIST=925450129&amp;ISCONFIRM=0" TargetMode="External"/><Relationship Id="rId4620" Type="http://schemas.openxmlformats.org/officeDocument/2006/relationships/hyperlink" Target="https://pld.live/RapDetail.aspx?STONELIST=926960861&amp;ISCONFIRM=0" TargetMode="External"/><Relationship Id="rId7569" Type="http://schemas.openxmlformats.org/officeDocument/2006/relationships/hyperlink" Target="https://pld.live/RapDetail.aspx?STONELIST=925731628&amp;ISCONFIRM=0" TargetMode="External"/><Relationship Id="rId7776" Type="http://schemas.openxmlformats.org/officeDocument/2006/relationships/hyperlink" Target="https://pld.live/RapDetail.aspx?STONELIST=941120313&amp;ISCONFIRM=0" TargetMode="External"/><Relationship Id="rId7983" Type="http://schemas.openxmlformats.org/officeDocument/2006/relationships/hyperlink" Target="https://pld.live/RapDetail.aspx?STONELIST=927130426&amp;ISCONFIRM=0" TargetMode="External"/><Relationship Id="rId283" Type="http://schemas.openxmlformats.org/officeDocument/2006/relationships/hyperlink" Target="https://pld.live/RapDetail.aspx?STONELIST=831020697&amp;ISCONFIRM=0" TargetMode="External"/><Relationship Id="rId490" Type="http://schemas.openxmlformats.org/officeDocument/2006/relationships/hyperlink" Target="https://pld.live/RapDetail.aspx?STONELIST=831010809&amp;ISCONFIRM=0" TargetMode="External"/><Relationship Id="rId2171" Type="http://schemas.openxmlformats.org/officeDocument/2006/relationships/hyperlink" Target="https://pld.live/RapDetail.aspx?STONELIST=926191425&amp;ISCONFIRM=0" TargetMode="External"/><Relationship Id="rId3015" Type="http://schemas.openxmlformats.org/officeDocument/2006/relationships/hyperlink" Target="https://pld.live/RapDetail.aspx?STONELIST=925791409&amp;ISCONFIRM=0" TargetMode="External"/><Relationship Id="rId3222" Type="http://schemas.openxmlformats.org/officeDocument/2006/relationships/hyperlink" Target="https://pld.live/RapDetail.aspx?STONELIST=925030449&amp;ISCONFIRM=0" TargetMode="External"/><Relationship Id="rId6378" Type="http://schemas.openxmlformats.org/officeDocument/2006/relationships/hyperlink" Target="https://pld.live/RapDetail.aspx?STONELIST=941230648&amp;ISCONFIRM=0" TargetMode="External"/><Relationship Id="rId6585" Type="http://schemas.openxmlformats.org/officeDocument/2006/relationships/hyperlink" Target="https://pld.live/RapDetail.aspx?STONELIST=926410221&amp;ISCONFIRM=0" TargetMode="External"/><Relationship Id="rId7429" Type="http://schemas.openxmlformats.org/officeDocument/2006/relationships/hyperlink" Target="https://pld.live/RapDetail.aspx?STONELIST=831020412&amp;ISCONFIRM=0" TargetMode="External"/><Relationship Id="rId7636" Type="http://schemas.openxmlformats.org/officeDocument/2006/relationships/hyperlink" Target="https://pld.live/RapDetail.aspx?STONELIST=926810645&amp;ISCONFIRM=0" TargetMode="External"/><Relationship Id="rId143" Type="http://schemas.openxmlformats.org/officeDocument/2006/relationships/hyperlink" Target="https://pld.live/RapDetail.aspx?STONELIST=941120358&amp;ISCONFIRM=0" TargetMode="External"/><Relationship Id="rId350" Type="http://schemas.openxmlformats.org/officeDocument/2006/relationships/hyperlink" Target="https://pld.live/RapDetail.aspx?STONELIST=831020662&amp;ISCONFIRM=0" TargetMode="External"/><Relationship Id="rId2031" Type="http://schemas.openxmlformats.org/officeDocument/2006/relationships/hyperlink" Target="https://pld.live/RapDetail.aspx?STONELIST=926341463&amp;ISCONFIRM=0" TargetMode="External"/><Relationship Id="rId5187" Type="http://schemas.openxmlformats.org/officeDocument/2006/relationships/hyperlink" Target="https://pld.live/RapDetail.aspx?STONELIST=925801453&amp;ISCONFIRM=0" TargetMode="External"/><Relationship Id="rId5394" Type="http://schemas.openxmlformats.org/officeDocument/2006/relationships/hyperlink" Target="https://pld.live/RapDetail.aspx?STONELIST=926910586&amp;ISCONFIRM=0" TargetMode="External"/><Relationship Id="rId6238" Type="http://schemas.openxmlformats.org/officeDocument/2006/relationships/hyperlink" Target="https://pld.live/RapDetail.aspx?STONELIST=941110569&amp;ISCONFIRM=0" TargetMode="External"/><Relationship Id="rId6445" Type="http://schemas.openxmlformats.org/officeDocument/2006/relationships/hyperlink" Target="https://pld.live/RapDetail.aspx?STONELIST=927092626&amp;ISCONFIRM=0" TargetMode="External"/><Relationship Id="rId6792" Type="http://schemas.openxmlformats.org/officeDocument/2006/relationships/hyperlink" Target="https://pld.live/RapDetail.aspx?STONELIST=821115812&amp;ISCONFIRM=0" TargetMode="External"/><Relationship Id="rId7843" Type="http://schemas.openxmlformats.org/officeDocument/2006/relationships/hyperlink" Target="https://pld.live/RapDetail.aspx?STONELIST=831010737&amp;ISCONFIRM=0" TargetMode="External"/><Relationship Id="rId9" Type="http://schemas.openxmlformats.org/officeDocument/2006/relationships/hyperlink" Target="https://pld.live/RapDetail.aspx?STONELIST=927120014&amp;ISCONFIRM=0" TargetMode="External"/><Relationship Id="rId210" Type="http://schemas.openxmlformats.org/officeDocument/2006/relationships/hyperlink" Target="https://pld.live/RapDetail.aspx?STONELIST=924190602&amp;ISCONFIRM=0" TargetMode="External"/><Relationship Id="rId2988" Type="http://schemas.openxmlformats.org/officeDocument/2006/relationships/hyperlink" Target="https://pld.live/RapDetail.aspx?STONELIST=821128377&amp;ISCONFIRM=0" TargetMode="External"/><Relationship Id="rId5047" Type="http://schemas.openxmlformats.org/officeDocument/2006/relationships/hyperlink" Target="https://pld.live/RapDetail.aspx?STONELIST=925270266&amp;ISCONFIRM=0" TargetMode="External"/><Relationship Id="rId5254" Type="http://schemas.openxmlformats.org/officeDocument/2006/relationships/hyperlink" Target="https://pld.live/RapDetail.aspx?STONELIST=926291262&amp;ISCONFIRM=0" TargetMode="External"/><Relationship Id="rId6652" Type="http://schemas.openxmlformats.org/officeDocument/2006/relationships/hyperlink" Target="https://pld.live/RapDetail.aspx?STONELIST=926780043&amp;ISCONFIRM=0" TargetMode="External"/><Relationship Id="rId7703" Type="http://schemas.openxmlformats.org/officeDocument/2006/relationships/hyperlink" Target="https://pld.live/RapDetail.aspx?STONELIST=941270769&amp;ISCONFIRM=0" TargetMode="External"/><Relationship Id="rId7910" Type="http://schemas.openxmlformats.org/officeDocument/2006/relationships/hyperlink" Target="https://pld.live/RapDetail.aspx?STONELIST=927052482&amp;ISCONFIRM=0" TargetMode="External"/><Relationship Id="rId1797" Type="http://schemas.openxmlformats.org/officeDocument/2006/relationships/hyperlink" Target="https://pld.live/RapDetail.aspx?STONELIST=941260999&amp;ISCONFIRM=0" TargetMode="External"/><Relationship Id="rId2848" Type="http://schemas.openxmlformats.org/officeDocument/2006/relationships/hyperlink" Target="https://pld.live/RapDetail.aspx?STONELIST=925921057&amp;ISCONFIRM=0" TargetMode="External"/><Relationship Id="rId5461" Type="http://schemas.openxmlformats.org/officeDocument/2006/relationships/hyperlink" Target="https://pld.live/RapDetail.aspx?STONELIST=924580342&amp;ISCONFIRM=0" TargetMode="External"/><Relationship Id="rId6305" Type="http://schemas.openxmlformats.org/officeDocument/2006/relationships/hyperlink" Target="https://pld.live/RapDetail.aspx?STONELIST=925732172&amp;ISCONFIRM=0" TargetMode="External"/><Relationship Id="rId6512" Type="http://schemas.openxmlformats.org/officeDocument/2006/relationships/hyperlink" Target="https://pld.live/RapDetail.aspx?STONELIST=927092662&amp;ISCONFIRM=0" TargetMode="External"/><Relationship Id="rId89" Type="http://schemas.openxmlformats.org/officeDocument/2006/relationships/hyperlink" Target="https://pld.live/RapDetail.aspx?STONELIST=831020701&amp;ISCONFIRM=0" TargetMode="External"/><Relationship Id="rId1657" Type="http://schemas.openxmlformats.org/officeDocument/2006/relationships/hyperlink" Target="https://pld.live/RapDetail.aspx?STONELIST=925420025&amp;ISCONFIRM=0" TargetMode="External"/><Relationship Id="rId1864" Type="http://schemas.openxmlformats.org/officeDocument/2006/relationships/hyperlink" Target="https://pld.live/RapDetail.aspx?STONELIST=925840519&amp;ISCONFIRM=0" TargetMode="External"/><Relationship Id="rId2708" Type="http://schemas.openxmlformats.org/officeDocument/2006/relationships/hyperlink" Target="https://pld.live/RapDetail.aspx?STONELIST=926780100&amp;ISCONFIRM=0" TargetMode="External"/><Relationship Id="rId2915" Type="http://schemas.openxmlformats.org/officeDocument/2006/relationships/hyperlink" Target="https://pld.live/RapDetail.aspx?STONELIST=925830777&amp;ISCONFIRM=0" TargetMode="External"/><Relationship Id="rId4063" Type="http://schemas.openxmlformats.org/officeDocument/2006/relationships/hyperlink" Target="https://pld.live/RapDetail.aspx?STONELIST=925961270&amp;ISCONFIRM=0" TargetMode="External"/><Relationship Id="rId4270" Type="http://schemas.openxmlformats.org/officeDocument/2006/relationships/hyperlink" Target="https://pld.live/RapDetail.aspx?STONELIST=925830449&amp;ISCONFIRM=0" TargetMode="External"/><Relationship Id="rId5114" Type="http://schemas.openxmlformats.org/officeDocument/2006/relationships/hyperlink" Target="https://pld.live/RapDetail.aspx?STONELIST=926170672&amp;ISCONFIRM=0" TargetMode="External"/><Relationship Id="rId5321" Type="http://schemas.openxmlformats.org/officeDocument/2006/relationships/hyperlink" Target="https://pld.live/RapDetail.aspx?STONELIST=925080422&amp;ISCONFIRM=0" TargetMode="External"/><Relationship Id="rId1517" Type="http://schemas.openxmlformats.org/officeDocument/2006/relationships/hyperlink" Target="https://pld.live/RapDetail.aspx?STONELIST=926331629&amp;ISCONFIRM=0" TargetMode="External"/><Relationship Id="rId1724" Type="http://schemas.openxmlformats.org/officeDocument/2006/relationships/hyperlink" Target="https://pld.live/RapDetail.aspx?STONELIST=821128465&amp;ISCONFIRM=0" TargetMode="External"/><Relationship Id="rId4130" Type="http://schemas.openxmlformats.org/officeDocument/2006/relationships/hyperlink" Target="https://pld.live/RapDetail.aspx?STONELIST=925120371&amp;ISCONFIRM=0" TargetMode="External"/><Relationship Id="rId7079" Type="http://schemas.openxmlformats.org/officeDocument/2006/relationships/hyperlink" Target="https://pld.live/RapDetail.aspx?STONELIST=927052605&amp;ISCONFIRM=0" TargetMode="External"/><Relationship Id="rId7286" Type="http://schemas.openxmlformats.org/officeDocument/2006/relationships/hyperlink" Target="https://pld.live/RapDetail.aspx?STONELIST=831020355&amp;ISCONFIRM=0" TargetMode="External"/><Relationship Id="rId7493" Type="http://schemas.openxmlformats.org/officeDocument/2006/relationships/hyperlink" Target="https://pld.live/RapDetail.aspx?STONELIST=926071676&amp;ISCONFIRM=0" TargetMode="External"/><Relationship Id="rId16" Type="http://schemas.openxmlformats.org/officeDocument/2006/relationships/hyperlink" Target="https://pld.live/RapDetail.aspx?STONELIST=941330505&amp;ISCONFIRM=0" TargetMode="External"/><Relationship Id="rId1931" Type="http://schemas.openxmlformats.org/officeDocument/2006/relationships/hyperlink" Target="https://pld.live/RapDetail.aspx?STONELIST=941220162&amp;ISCONFIRM=0" TargetMode="External"/><Relationship Id="rId3689" Type="http://schemas.openxmlformats.org/officeDocument/2006/relationships/hyperlink" Target="https://pld.live/RapDetail.aspx?STONELIST=821133298&amp;ISCONFIRM=0" TargetMode="External"/><Relationship Id="rId3896" Type="http://schemas.openxmlformats.org/officeDocument/2006/relationships/hyperlink" Target="https://pld.live/RapDetail.aspx?STONELIST=925540500&amp;ISCONFIRM=0" TargetMode="External"/><Relationship Id="rId6095" Type="http://schemas.openxmlformats.org/officeDocument/2006/relationships/hyperlink" Target="https://pld.live/RapDetail.aspx?STONELIST=926470440&amp;ISCONFIRM=0" TargetMode="External"/><Relationship Id="rId7146" Type="http://schemas.openxmlformats.org/officeDocument/2006/relationships/hyperlink" Target="https://pld.live/RapDetail.aspx?STONELIST=926360348&amp;ISCONFIRM=0" TargetMode="External"/><Relationship Id="rId7353" Type="http://schemas.openxmlformats.org/officeDocument/2006/relationships/hyperlink" Target="https://pld.live/RapDetail.aspx?STONELIST=926410438&amp;ISCONFIRM=0" TargetMode="External"/><Relationship Id="rId7560" Type="http://schemas.openxmlformats.org/officeDocument/2006/relationships/hyperlink" Target="https://pld.live/RapDetail.aspx?STONELIST=925771187&amp;ISCONFIRM=0" TargetMode="External"/><Relationship Id="rId2498" Type="http://schemas.openxmlformats.org/officeDocument/2006/relationships/hyperlink" Target="https://pld.live/RapDetail.aspx?STONELIST=920661335&amp;ISCONFIRM=0" TargetMode="External"/><Relationship Id="rId3549" Type="http://schemas.openxmlformats.org/officeDocument/2006/relationships/hyperlink" Target="https://pld.live/RapDetail.aspx?STONELIST=831020192&amp;ISCONFIRM=0" TargetMode="External"/><Relationship Id="rId4947" Type="http://schemas.openxmlformats.org/officeDocument/2006/relationships/hyperlink" Target="https://pld.live/RapDetail.aspx?STONELIST=926100939&amp;ISCONFIRM=0" TargetMode="External"/><Relationship Id="rId6162" Type="http://schemas.openxmlformats.org/officeDocument/2006/relationships/hyperlink" Target="https://pld.live/RapDetail.aspx?STONELIST=941220321&amp;ISCONFIRM=0" TargetMode="External"/><Relationship Id="rId7006" Type="http://schemas.openxmlformats.org/officeDocument/2006/relationships/hyperlink" Target="https://pld.live/RapDetail.aspx?STONELIST=821113867&amp;ISCONFIRM=0" TargetMode="External"/><Relationship Id="rId7213" Type="http://schemas.openxmlformats.org/officeDocument/2006/relationships/hyperlink" Target="https://pld.live/RapDetail.aspx?STONELIST=821111833&amp;ISCONFIRM=0" TargetMode="External"/><Relationship Id="rId7420" Type="http://schemas.openxmlformats.org/officeDocument/2006/relationships/hyperlink" Target="https://pld.live/RapDetail.aspx?STONELIST=924940279&amp;ISCONFIRM=0" TargetMode="External"/><Relationship Id="rId677" Type="http://schemas.openxmlformats.org/officeDocument/2006/relationships/hyperlink" Target="https://pld.live/RapDetail.aspx?STONELIST=925550602&amp;ISCONFIRM=0" TargetMode="External"/><Relationship Id="rId2358" Type="http://schemas.openxmlformats.org/officeDocument/2006/relationships/hyperlink" Target="https://pld.live/RapDetail.aspx?STONELIST=926761015&amp;ISCONFIRM=0" TargetMode="External"/><Relationship Id="rId3756" Type="http://schemas.openxmlformats.org/officeDocument/2006/relationships/hyperlink" Target="https://pld.live/RapDetail.aspx?STONELIST=941110548&amp;ISCONFIRM=0" TargetMode="External"/><Relationship Id="rId3963" Type="http://schemas.openxmlformats.org/officeDocument/2006/relationships/hyperlink" Target="https://pld.live/RapDetail.aspx?STONELIST=925860923&amp;ISCONFIRM=0" TargetMode="External"/><Relationship Id="rId4807" Type="http://schemas.openxmlformats.org/officeDocument/2006/relationships/hyperlink" Target="https://pld.live/RapDetail.aspx?STONELIST=821115773&amp;ISCONFIRM=0" TargetMode="External"/><Relationship Id="rId6022" Type="http://schemas.openxmlformats.org/officeDocument/2006/relationships/hyperlink" Target="https://pld.live/RapDetail.aspx?STONELIST=941191131&amp;ISCONFIRM=0" TargetMode="External"/><Relationship Id="rId884" Type="http://schemas.openxmlformats.org/officeDocument/2006/relationships/hyperlink" Target="https://pld.live/RapDetail.aspx?STONELIST=821127406&amp;ISCONFIRM=0" TargetMode="External"/><Relationship Id="rId2565" Type="http://schemas.openxmlformats.org/officeDocument/2006/relationships/hyperlink" Target="https://pld.live/RapDetail.aspx?STONELIST=926231044&amp;ISCONFIRM=0" TargetMode="External"/><Relationship Id="rId2772" Type="http://schemas.openxmlformats.org/officeDocument/2006/relationships/hyperlink" Target="https://pld.live/RapDetail.aspx?STONELIST=831010107&amp;ISCONFIRM=0" TargetMode="External"/><Relationship Id="rId3409" Type="http://schemas.openxmlformats.org/officeDocument/2006/relationships/hyperlink" Target="https://pld.live/RapDetail.aspx?STONELIST=926171076&amp;ISCONFIRM=0" TargetMode="External"/><Relationship Id="rId3616" Type="http://schemas.openxmlformats.org/officeDocument/2006/relationships/hyperlink" Target="https://pld.live/RapDetail.aspx?STONELIST=924380497&amp;ISCONFIRM=0" TargetMode="External"/><Relationship Id="rId3823" Type="http://schemas.openxmlformats.org/officeDocument/2006/relationships/hyperlink" Target="https://pld.live/RapDetail.aspx?STONELIST=926030147&amp;ISCONFIRM=0" TargetMode="External"/><Relationship Id="rId6979" Type="http://schemas.openxmlformats.org/officeDocument/2006/relationships/hyperlink" Target="https://pld.live/RapDetail.aspx?STONELIST=926020814&amp;ISCONFIRM=0" TargetMode="External"/><Relationship Id="rId8194" Type="http://schemas.openxmlformats.org/officeDocument/2006/relationships/hyperlink" Target="https://pld.live/RapDetail.aspx?STONELIST=926360339&amp;ISCONFIRM=0" TargetMode="External"/><Relationship Id="rId537" Type="http://schemas.openxmlformats.org/officeDocument/2006/relationships/hyperlink" Target="https://pld.live/RapDetail.aspx?STONELIST=926960694&amp;ISCONFIRM=0" TargetMode="External"/><Relationship Id="rId744" Type="http://schemas.openxmlformats.org/officeDocument/2006/relationships/hyperlink" Target="https://pld.live/RapDetail.aspx?STONELIST=821127670&amp;ISCONFIRM=0" TargetMode="External"/><Relationship Id="rId951" Type="http://schemas.openxmlformats.org/officeDocument/2006/relationships/hyperlink" Target="https://pld.live/RapDetail.aspx?STONELIST=926291185&amp;ISCONFIRM=0" TargetMode="External"/><Relationship Id="rId1167" Type="http://schemas.openxmlformats.org/officeDocument/2006/relationships/hyperlink" Target="https://pld.live/RapDetail.aspx?STONELIST=941350286&amp;ISCONFIRM=0" TargetMode="External"/><Relationship Id="rId1374" Type="http://schemas.openxmlformats.org/officeDocument/2006/relationships/hyperlink" Target="https://pld.live/RapDetail.aspx?STONELIST=926311203&amp;ISCONFIRM=0" TargetMode="External"/><Relationship Id="rId1581" Type="http://schemas.openxmlformats.org/officeDocument/2006/relationships/hyperlink" Target="https://pld.live/RapDetail.aspx?STONELIST=925870591&amp;ISCONFIRM=0" TargetMode="External"/><Relationship Id="rId2218" Type="http://schemas.openxmlformats.org/officeDocument/2006/relationships/hyperlink" Target="https://pld.live/RapDetail.aspx?STONELIST=926231118&amp;ISCONFIRM=0" TargetMode="External"/><Relationship Id="rId2425" Type="http://schemas.openxmlformats.org/officeDocument/2006/relationships/hyperlink" Target="https://pld.live/RapDetail.aspx?STONELIST=926761099&amp;ISCONFIRM=0" TargetMode="External"/><Relationship Id="rId2632" Type="http://schemas.openxmlformats.org/officeDocument/2006/relationships/hyperlink" Target="https://pld.live/RapDetail.aspx?STONELIST=926261524&amp;ISCONFIRM=0" TargetMode="External"/><Relationship Id="rId5788" Type="http://schemas.openxmlformats.org/officeDocument/2006/relationships/hyperlink" Target="https://pld.live/RapDetail.aspx?STONELIST=927100216&amp;ISCONFIRM=0" TargetMode="External"/><Relationship Id="rId5995" Type="http://schemas.openxmlformats.org/officeDocument/2006/relationships/hyperlink" Target="https://pld.live/RapDetail.aspx?STONELIST=926841376&amp;ISCONFIRM=0" TargetMode="External"/><Relationship Id="rId6839" Type="http://schemas.openxmlformats.org/officeDocument/2006/relationships/hyperlink" Target="https://pld.live/RapDetail.aspx?STONELIST=926150073&amp;ISCONFIRM=0" TargetMode="External"/><Relationship Id="rId80" Type="http://schemas.openxmlformats.org/officeDocument/2006/relationships/hyperlink" Target="https://pld.live/RapDetail.aspx?STONELIST=925630244&amp;ISCONFIRM=0" TargetMode="External"/><Relationship Id="rId604" Type="http://schemas.openxmlformats.org/officeDocument/2006/relationships/hyperlink" Target="https://pld.live/RapDetail.aspx?STONELIST=941430869&amp;ISCONFIRM=0" TargetMode="External"/><Relationship Id="rId811" Type="http://schemas.openxmlformats.org/officeDocument/2006/relationships/hyperlink" Target="https://pld.live/RapDetail.aspx?STONELIST=821127706&amp;ISCONFIRM=0" TargetMode="External"/><Relationship Id="rId1027" Type="http://schemas.openxmlformats.org/officeDocument/2006/relationships/hyperlink" Target="https://pld.live/RapDetail.aspx?STONELIST=926831155&amp;ISCONFIRM=0" TargetMode="External"/><Relationship Id="rId1234" Type="http://schemas.openxmlformats.org/officeDocument/2006/relationships/hyperlink" Target="https://pld.live/RapDetail.aspx?STONELIST=925940613&amp;ISCONFIRM=0" TargetMode="External"/><Relationship Id="rId1441" Type="http://schemas.openxmlformats.org/officeDocument/2006/relationships/hyperlink" Target="https://pld.live/RapDetail.aspx?STONELIST=925790858&amp;ISCONFIRM=0" TargetMode="External"/><Relationship Id="rId4597" Type="http://schemas.openxmlformats.org/officeDocument/2006/relationships/hyperlink" Target="https://pld.live/RapDetail.aspx?STONELIST=927052568&amp;ISCONFIRM=0" TargetMode="External"/><Relationship Id="rId5648" Type="http://schemas.openxmlformats.org/officeDocument/2006/relationships/hyperlink" Target="https://pld.live/RapDetail.aspx?STONELIST=941261050&amp;ISCONFIRM=0" TargetMode="External"/><Relationship Id="rId5855" Type="http://schemas.openxmlformats.org/officeDocument/2006/relationships/hyperlink" Target="https://pld.live/RapDetail.aspx?STONELIST=925801913&amp;ISCONFIRM=0" TargetMode="External"/><Relationship Id="rId6906" Type="http://schemas.openxmlformats.org/officeDocument/2006/relationships/hyperlink" Target="https://pld.live/RapDetail.aspx?STONELIST=831010511&amp;ISCONFIRM=0" TargetMode="External"/><Relationship Id="rId8054" Type="http://schemas.openxmlformats.org/officeDocument/2006/relationships/hyperlink" Target="https://pld.live/RapDetail.aspx?STONELIST=926170435&amp;ISCONFIRM=0" TargetMode="External"/><Relationship Id="rId8261" Type="http://schemas.openxmlformats.org/officeDocument/2006/relationships/hyperlink" Target="https://pld.live/RapDetail.aspx?STONELIST=925080620&amp;ISCONFIRM=0" TargetMode="External"/><Relationship Id="rId1301" Type="http://schemas.openxmlformats.org/officeDocument/2006/relationships/hyperlink" Target="https://pld.live/RapDetail.aspx?STONELIST=926331767&amp;ISCONFIRM=0" TargetMode="External"/><Relationship Id="rId3199" Type="http://schemas.openxmlformats.org/officeDocument/2006/relationships/hyperlink" Target="https://pld.live/RapDetail.aspx?STONELIST=926210859&amp;ISCONFIRM=0" TargetMode="External"/><Relationship Id="rId4457" Type="http://schemas.openxmlformats.org/officeDocument/2006/relationships/hyperlink" Target="https://pld.live/RapDetail.aspx?STONELIST=925080491&amp;ISCONFIRM=0" TargetMode="External"/><Relationship Id="rId4664" Type="http://schemas.openxmlformats.org/officeDocument/2006/relationships/hyperlink" Target="https://pld.live/RapDetail.aspx?STONELIST=924341601&amp;ISCONFIRM=0" TargetMode="External"/><Relationship Id="rId5508" Type="http://schemas.openxmlformats.org/officeDocument/2006/relationships/hyperlink" Target="https://pld.live/RapDetail.aspx?STONELIST=821113634&amp;ISCONFIRM=0" TargetMode="External"/><Relationship Id="rId5715" Type="http://schemas.openxmlformats.org/officeDocument/2006/relationships/hyperlink" Target="https://pld.live/RapDetail.aspx?STONELIST=924410868&amp;ISCONFIRM=0" TargetMode="External"/><Relationship Id="rId7070" Type="http://schemas.openxmlformats.org/officeDocument/2006/relationships/hyperlink" Target="https://pld.live/RapDetail.aspx?STONELIST=927092164&amp;ISCONFIRM=0" TargetMode="External"/><Relationship Id="rId8121" Type="http://schemas.openxmlformats.org/officeDocument/2006/relationships/hyperlink" Target="https://pld.live/RapDetail.aspx?STONELIST=926110296&amp;ISCONFIRM=0" TargetMode="External"/><Relationship Id="rId3059" Type="http://schemas.openxmlformats.org/officeDocument/2006/relationships/hyperlink" Target="https://pld.live/RapDetail.aspx?STONELIST=926210867&amp;ISCONFIRM=0" TargetMode="External"/><Relationship Id="rId3266" Type="http://schemas.openxmlformats.org/officeDocument/2006/relationships/hyperlink" Target="https://pld.live/RapDetail.aspx?STONELIST=941270813&amp;ISCONFIRM=0" TargetMode="External"/><Relationship Id="rId3473" Type="http://schemas.openxmlformats.org/officeDocument/2006/relationships/hyperlink" Target="https://pld.live/RapDetail.aspx?STONELIST=925961364&amp;ISCONFIRM=0" TargetMode="External"/><Relationship Id="rId4317" Type="http://schemas.openxmlformats.org/officeDocument/2006/relationships/hyperlink" Target="https://pld.live/RapDetail.aspx?STONELIST=925722095&amp;ISCONFIRM=0" TargetMode="External"/><Relationship Id="rId4524" Type="http://schemas.openxmlformats.org/officeDocument/2006/relationships/hyperlink" Target="https://pld.live/RapDetail.aspx?STONELIST=927052686&amp;ISCONFIRM=0" TargetMode="External"/><Relationship Id="rId4871" Type="http://schemas.openxmlformats.org/officeDocument/2006/relationships/hyperlink" Target="https://pld.live/RapDetail.aspx?STONELIST=927070635&amp;ISCONFIRM=0" TargetMode="External"/><Relationship Id="rId5922" Type="http://schemas.openxmlformats.org/officeDocument/2006/relationships/hyperlink" Target="https://pld.live/RapDetail.aspx?STONELIST=925180140&amp;ISCONFIRM=0" TargetMode="External"/><Relationship Id="rId187" Type="http://schemas.openxmlformats.org/officeDocument/2006/relationships/hyperlink" Target="https://pld.live/RapDetail.aspx?STONELIST=941050164&amp;ISCONFIRM=0" TargetMode="External"/><Relationship Id="rId394" Type="http://schemas.openxmlformats.org/officeDocument/2006/relationships/hyperlink" Target="https://pld.live/RapDetail.aspx?STONELIST=925951282&amp;ISCONFIRM=0" TargetMode="External"/><Relationship Id="rId2075" Type="http://schemas.openxmlformats.org/officeDocument/2006/relationships/hyperlink" Target="https://pld.live/RapDetail.aspx?STONELIST=821127901&amp;ISCONFIRM=0" TargetMode="External"/><Relationship Id="rId2282" Type="http://schemas.openxmlformats.org/officeDocument/2006/relationships/hyperlink" Target="https://pld.live/RapDetail.aspx?STONELIST=926191034&amp;ISCONFIRM=0" TargetMode="External"/><Relationship Id="rId3126" Type="http://schemas.openxmlformats.org/officeDocument/2006/relationships/hyperlink" Target="https://pld.live/RapDetail.aspx?STONELIST=926210828&amp;ISCONFIRM=0" TargetMode="External"/><Relationship Id="rId3680" Type="http://schemas.openxmlformats.org/officeDocument/2006/relationships/hyperlink" Target="https://pld.live/RapDetail.aspx?STONELIST=925700067&amp;ISCONFIRM=0" TargetMode="External"/><Relationship Id="rId4731" Type="http://schemas.openxmlformats.org/officeDocument/2006/relationships/hyperlink" Target="https://pld.live/RapDetail.aspx?STONELIST=925600054&amp;ISCONFIRM=0" TargetMode="External"/><Relationship Id="rId6489" Type="http://schemas.openxmlformats.org/officeDocument/2006/relationships/hyperlink" Target="https://pld.live/RapDetail.aspx?STONELIST=941071331&amp;ISCONFIRM=0" TargetMode="External"/><Relationship Id="rId7887" Type="http://schemas.openxmlformats.org/officeDocument/2006/relationships/hyperlink" Target="https://pld.live/RapDetail.aspx?STONELIST=924410355&amp;ISCONFIRM=0" TargetMode="External"/><Relationship Id="rId254" Type="http://schemas.openxmlformats.org/officeDocument/2006/relationships/hyperlink" Target="https://pld.live/RapDetail.aspx?STONELIST=925920812&amp;ISCONFIRM=0" TargetMode="External"/><Relationship Id="rId1091" Type="http://schemas.openxmlformats.org/officeDocument/2006/relationships/hyperlink" Target="https://pld.live/RapDetail.aspx?STONELIST=926701065&amp;ISCONFIRM=0" TargetMode="External"/><Relationship Id="rId3333" Type="http://schemas.openxmlformats.org/officeDocument/2006/relationships/hyperlink" Target="https://pld.live/RapDetail.aspx?STONELIST=831020546&amp;ISCONFIRM=0" TargetMode="External"/><Relationship Id="rId3540" Type="http://schemas.openxmlformats.org/officeDocument/2006/relationships/hyperlink" Target="https://pld.live/RapDetail.aspx?STONELIST=923920369&amp;ISCONFIRM=0" TargetMode="External"/><Relationship Id="rId5298" Type="http://schemas.openxmlformats.org/officeDocument/2006/relationships/hyperlink" Target="https://pld.live/RapDetail.aspx?STONELIST=926680857&amp;ISCONFIRM=0" TargetMode="External"/><Relationship Id="rId6696" Type="http://schemas.openxmlformats.org/officeDocument/2006/relationships/hyperlink" Target="https://pld.live/RapDetail.aspx?STONELIST=941300152&amp;ISCONFIRM=0" TargetMode="External"/><Relationship Id="rId7747" Type="http://schemas.openxmlformats.org/officeDocument/2006/relationships/hyperlink" Target="https://pld.live/RapDetail.aspx?STONELIST=926380279&amp;ISCONFIRM=0" TargetMode="External"/><Relationship Id="rId7954" Type="http://schemas.openxmlformats.org/officeDocument/2006/relationships/hyperlink" Target="https://pld.live/RapDetail.aspx?STONELIST=941070770&amp;ISCONFIRM=0" TargetMode="External"/><Relationship Id="rId114" Type="http://schemas.openxmlformats.org/officeDocument/2006/relationships/hyperlink" Target="https://pld.live/RapDetail.aspx?STONELIST=924250444&amp;ISCONFIRM=0" TargetMode="External"/><Relationship Id="rId461" Type="http://schemas.openxmlformats.org/officeDocument/2006/relationships/hyperlink" Target="https://pld.live/RapDetail.aspx?STONELIST=925551488&amp;ISCONFIRM=0" TargetMode="External"/><Relationship Id="rId2142" Type="http://schemas.openxmlformats.org/officeDocument/2006/relationships/hyperlink" Target="https://pld.live/RapDetail.aspx?STONELIST=925090392&amp;ISCONFIRM=0" TargetMode="External"/><Relationship Id="rId3400" Type="http://schemas.openxmlformats.org/officeDocument/2006/relationships/hyperlink" Target="https://pld.live/RapDetail.aspx?STONELIST=926020801&amp;ISCONFIRM=0" TargetMode="External"/><Relationship Id="rId6349" Type="http://schemas.openxmlformats.org/officeDocument/2006/relationships/hyperlink" Target="https://pld.live/RapDetail.aspx?STONELIST=927040786&amp;ISCONFIRM=0" TargetMode="External"/><Relationship Id="rId6556" Type="http://schemas.openxmlformats.org/officeDocument/2006/relationships/hyperlink" Target="https://pld.live/RapDetail.aspx?STONELIST=926020642&amp;ISCONFIRM=0" TargetMode="External"/><Relationship Id="rId6763" Type="http://schemas.openxmlformats.org/officeDocument/2006/relationships/hyperlink" Target="https://pld.live/RapDetail.aspx?STONELIST=926960875&amp;ISCONFIRM=0" TargetMode="External"/><Relationship Id="rId6970" Type="http://schemas.openxmlformats.org/officeDocument/2006/relationships/hyperlink" Target="https://pld.live/RapDetail.aspx?STONELIST=926101528&amp;ISCONFIRM=0" TargetMode="External"/><Relationship Id="rId7607" Type="http://schemas.openxmlformats.org/officeDocument/2006/relationships/hyperlink" Target="https://pld.live/RapDetail.aspx?STONELIST=925732229&amp;ISCONFIRM=0" TargetMode="External"/><Relationship Id="rId7814" Type="http://schemas.openxmlformats.org/officeDocument/2006/relationships/hyperlink" Target="https://pld.live/RapDetail.aspx?STONELIST=926972089&amp;ISCONFIRM=0" TargetMode="External"/><Relationship Id="rId321" Type="http://schemas.openxmlformats.org/officeDocument/2006/relationships/hyperlink" Target="https://pld.live/RapDetail.aspx?STONELIST=941430593&amp;ISCONFIRM=0" TargetMode="External"/><Relationship Id="rId2002" Type="http://schemas.openxmlformats.org/officeDocument/2006/relationships/hyperlink" Target="https://pld.live/RapDetail.aspx?STONELIST=926550391&amp;ISCONFIRM=0" TargetMode="External"/><Relationship Id="rId2959" Type="http://schemas.openxmlformats.org/officeDocument/2006/relationships/hyperlink" Target="https://pld.live/RapDetail.aspx?STONELIST=926110968&amp;ISCONFIRM=0" TargetMode="External"/><Relationship Id="rId5158" Type="http://schemas.openxmlformats.org/officeDocument/2006/relationships/hyperlink" Target="https://pld.live/RapDetail.aspx?STONELIST=927052465&amp;ISCONFIRM=0" TargetMode="External"/><Relationship Id="rId5365" Type="http://schemas.openxmlformats.org/officeDocument/2006/relationships/hyperlink" Target="https://pld.live/RapDetail.aspx?STONELIST=941351078&amp;ISCONFIRM=0" TargetMode="External"/><Relationship Id="rId5572" Type="http://schemas.openxmlformats.org/officeDocument/2006/relationships/hyperlink" Target="https://pld.live/RapDetail.aspx?STONELIST=924780437&amp;ISCONFIRM=0" TargetMode="External"/><Relationship Id="rId6209" Type="http://schemas.openxmlformats.org/officeDocument/2006/relationships/hyperlink" Target="https://pld.live/RapDetail.aspx?STONELIST=925060049&amp;ISCONFIRM=0" TargetMode="External"/><Relationship Id="rId6416" Type="http://schemas.openxmlformats.org/officeDocument/2006/relationships/hyperlink" Target="https://pld.live/RapDetail.aspx?STONELIST=941090654&amp;ISCONFIRM=0" TargetMode="External"/><Relationship Id="rId6623" Type="http://schemas.openxmlformats.org/officeDocument/2006/relationships/hyperlink" Target="https://pld.live/RapDetail.aspx?STONELIST=927052697&amp;ISCONFIRM=0" TargetMode="External"/><Relationship Id="rId6830" Type="http://schemas.openxmlformats.org/officeDocument/2006/relationships/hyperlink" Target="https://pld.live/RapDetail.aspx?STONELIST=926890565&amp;ISCONFIRM=0" TargetMode="External"/><Relationship Id="rId1768" Type="http://schemas.openxmlformats.org/officeDocument/2006/relationships/hyperlink" Target="https://pld.live/RapDetail.aspx?STONELIST=926330396&amp;ISCONFIRM=0" TargetMode="External"/><Relationship Id="rId2819" Type="http://schemas.openxmlformats.org/officeDocument/2006/relationships/hyperlink" Target="https://pld.live/RapDetail.aspx?STONELIST=925971314&amp;ISCONFIRM=0" TargetMode="External"/><Relationship Id="rId4174" Type="http://schemas.openxmlformats.org/officeDocument/2006/relationships/hyperlink" Target="https://pld.live/RapDetail.aspx?STONELIST=926110294&amp;ISCONFIRM=0" TargetMode="External"/><Relationship Id="rId4381" Type="http://schemas.openxmlformats.org/officeDocument/2006/relationships/hyperlink" Target="https://pld.live/RapDetail.aspx?STONELIST=926291480&amp;ISCONFIRM=0" TargetMode="External"/><Relationship Id="rId5018" Type="http://schemas.openxmlformats.org/officeDocument/2006/relationships/hyperlink" Target="https://pld.live/RapDetail.aspx?STONELIST=925520106&amp;ISCONFIRM=0" TargetMode="External"/><Relationship Id="rId5225" Type="http://schemas.openxmlformats.org/officeDocument/2006/relationships/hyperlink" Target="https://pld.live/RapDetail.aspx?STONELIST=925732099&amp;ISCONFIRM=0" TargetMode="External"/><Relationship Id="rId5432" Type="http://schemas.openxmlformats.org/officeDocument/2006/relationships/hyperlink" Target="https://pld.live/RapDetail.aspx?STONELIST=927101061&amp;ISCONFIRM=0" TargetMode="External"/><Relationship Id="rId1628" Type="http://schemas.openxmlformats.org/officeDocument/2006/relationships/hyperlink" Target="https://pld.live/RapDetail.aspx?STONELIST=926280778&amp;ISCONFIRM=0" TargetMode="External"/><Relationship Id="rId1975" Type="http://schemas.openxmlformats.org/officeDocument/2006/relationships/hyperlink" Target="https://pld.live/RapDetail.aspx?STONELIST=926100956&amp;ISCONFIRM=0" TargetMode="External"/><Relationship Id="rId3190" Type="http://schemas.openxmlformats.org/officeDocument/2006/relationships/hyperlink" Target="https://pld.live/RapDetail.aspx?STONELIST=925040429&amp;ISCONFIRM=0" TargetMode="External"/><Relationship Id="rId4034" Type="http://schemas.openxmlformats.org/officeDocument/2006/relationships/hyperlink" Target="https://pld.live/RapDetail.aspx?STONELIST=821125737&amp;ISCONFIRM=0" TargetMode="External"/><Relationship Id="rId4241" Type="http://schemas.openxmlformats.org/officeDocument/2006/relationships/hyperlink" Target="https://pld.live/RapDetail.aspx?STONELIST=925971117&amp;ISCONFIRM=0" TargetMode="External"/><Relationship Id="rId7397" Type="http://schemas.openxmlformats.org/officeDocument/2006/relationships/hyperlink" Target="https://pld.live/RapDetail.aspx?STONELIST=926450456&amp;ISCONFIRM=0" TargetMode="External"/><Relationship Id="rId1835" Type="http://schemas.openxmlformats.org/officeDocument/2006/relationships/hyperlink" Target="https://pld.live/RapDetail.aspx?STONELIST=925870547&amp;ISCONFIRM=0" TargetMode="External"/><Relationship Id="rId3050" Type="http://schemas.openxmlformats.org/officeDocument/2006/relationships/hyperlink" Target="https://pld.live/RapDetail.aspx?STONELIST=926211095&amp;ISCONFIRM=0" TargetMode="External"/><Relationship Id="rId4101" Type="http://schemas.openxmlformats.org/officeDocument/2006/relationships/hyperlink" Target="https://pld.live/RapDetail.aspx?STONELIST=925130064&amp;ISCONFIRM=0" TargetMode="External"/><Relationship Id="rId7257" Type="http://schemas.openxmlformats.org/officeDocument/2006/relationships/hyperlink" Target="https://pld.live/RapDetail.aspx?STONELIST=941110555&amp;ISCONFIRM=0" TargetMode="External"/><Relationship Id="rId7464" Type="http://schemas.openxmlformats.org/officeDocument/2006/relationships/hyperlink" Target="https://pld.live/RapDetail.aspx?STONELIST=925980658&amp;ISCONFIRM=0" TargetMode="External"/><Relationship Id="rId1902" Type="http://schemas.openxmlformats.org/officeDocument/2006/relationships/hyperlink" Target="https://pld.live/RapDetail.aspx?STONELIST=926321217&amp;ISCONFIRM=0" TargetMode="External"/><Relationship Id="rId6066" Type="http://schemas.openxmlformats.org/officeDocument/2006/relationships/hyperlink" Target="https://pld.live/RapDetail.aspx?STONELIST=941160569&amp;ISCONFIRM=0" TargetMode="External"/><Relationship Id="rId7117" Type="http://schemas.openxmlformats.org/officeDocument/2006/relationships/hyperlink" Target="https://pld.live/RapDetail.aspx?STONELIST=927132653&amp;ISCONFIRM=0" TargetMode="External"/><Relationship Id="rId7671" Type="http://schemas.openxmlformats.org/officeDocument/2006/relationships/hyperlink" Target="https://pld.live/RapDetail.aspx?STONELIST=941170285&amp;ISCONFIRM=0" TargetMode="External"/><Relationship Id="rId3867" Type="http://schemas.openxmlformats.org/officeDocument/2006/relationships/hyperlink" Target="https://pld.live/RapDetail.aspx?STONELIST=925771224&amp;ISCONFIRM=0" TargetMode="External"/><Relationship Id="rId4918" Type="http://schemas.openxmlformats.org/officeDocument/2006/relationships/hyperlink" Target="https://pld.live/RapDetail.aspx?STONELIST=926100889&amp;ISCONFIRM=0" TargetMode="External"/><Relationship Id="rId6273" Type="http://schemas.openxmlformats.org/officeDocument/2006/relationships/hyperlink" Target="https://pld.live/RapDetail.aspx?STONELIST=831020648&amp;ISCONFIRM=0" TargetMode="External"/><Relationship Id="rId6480" Type="http://schemas.openxmlformats.org/officeDocument/2006/relationships/hyperlink" Target="https://pld.live/RapDetail.aspx?STONELIST=926972096&amp;ISCONFIRM=0" TargetMode="External"/><Relationship Id="rId7324" Type="http://schemas.openxmlformats.org/officeDocument/2006/relationships/hyperlink" Target="https://pld.live/RapDetail.aspx?STONELIST=927102499&amp;ISCONFIRM=0" TargetMode="External"/><Relationship Id="rId7531" Type="http://schemas.openxmlformats.org/officeDocument/2006/relationships/hyperlink" Target="https://pld.live/RapDetail.aspx?STONELIST=925732054&amp;ISCONFIRM=0" TargetMode="External"/><Relationship Id="rId788" Type="http://schemas.openxmlformats.org/officeDocument/2006/relationships/hyperlink" Target="https://pld.live/RapDetail.aspx?STONELIST=925951077&amp;ISCONFIRM=0" TargetMode="External"/><Relationship Id="rId995" Type="http://schemas.openxmlformats.org/officeDocument/2006/relationships/hyperlink" Target="https://pld.live/RapDetail.aspx?STONELIST=927150775&amp;ISCONFIRM=0" TargetMode="External"/><Relationship Id="rId2469" Type="http://schemas.openxmlformats.org/officeDocument/2006/relationships/hyperlink" Target="https://pld.live/RapDetail.aspx?STONELIST=926091264&amp;ISCONFIRM=0" TargetMode="External"/><Relationship Id="rId2676" Type="http://schemas.openxmlformats.org/officeDocument/2006/relationships/hyperlink" Target="https://pld.live/RapDetail.aspx?STONELIST=926261606&amp;ISCONFIRM=0" TargetMode="External"/><Relationship Id="rId2883" Type="http://schemas.openxmlformats.org/officeDocument/2006/relationships/hyperlink" Target="https://pld.live/RapDetail.aspx?STONELIST=926071917&amp;ISCONFIRM=0" TargetMode="External"/><Relationship Id="rId3727" Type="http://schemas.openxmlformats.org/officeDocument/2006/relationships/hyperlink" Target="https://pld.live/RapDetail.aspx?STONELIST=821113672&amp;ISCONFIRM=0" TargetMode="External"/><Relationship Id="rId3934" Type="http://schemas.openxmlformats.org/officeDocument/2006/relationships/hyperlink" Target="https://pld.live/RapDetail.aspx?STONELIST=821124353&amp;ISCONFIRM=0" TargetMode="External"/><Relationship Id="rId5082" Type="http://schemas.openxmlformats.org/officeDocument/2006/relationships/hyperlink" Target="https://pld.live/RapDetail.aspx?STONELIST=925801581&amp;ISCONFIRM=0" TargetMode="External"/><Relationship Id="rId6133" Type="http://schemas.openxmlformats.org/officeDocument/2006/relationships/hyperlink" Target="https://pld.live/RapDetail.aspx?STONELIST=925400050&amp;ISCONFIRM=0" TargetMode="External"/><Relationship Id="rId6340" Type="http://schemas.openxmlformats.org/officeDocument/2006/relationships/hyperlink" Target="https://pld.live/RapDetail.aspx?STONELIST=926960786&amp;ISCONFIRM=0" TargetMode="External"/><Relationship Id="rId648" Type="http://schemas.openxmlformats.org/officeDocument/2006/relationships/hyperlink" Target="https://pld.live/RapDetail.aspx?STONELIST=926101067&amp;ISCONFIRM=0" TargetMode="External"/><Relationship Id="rId855" Type="http://schemas.openxmlformats.org/officeDocument/2006/relationships/hyperlink" Target="https://pld.live/RapDetail.aspx?STONELIST=926041151&amp;ISCONFIRM=0" TargetMode="External"/><Relationship Id="rId1278" Type="http://schemas.openxmlformats.org/officeDocument/2006/relationships/hyperlink" Target="https://pld.live/RapDetail.aspx?STONELIST=927100591&amp;ISCONFIRM=0" TargetMode="External"/><Relationship Id="rId1485" Type="http://schemas.openxmlformats.org/officeDocument/2006/relationships/hyperlink" Target="https://pld.live/RapDetail.aspx?STONELIST=926331604&amp;ISCONFIRM=0" TargetMode="External"/><Relationship Id="rId1692" Type="http://schemas.openxmlformats.org/officeDocument/2006/relationships/hyperlink" Target="https://pld.live/RapDetail.aspx?STONELIST=925780640&amp;ISCONFIRM=0" TargetMode="External"/><Relationship Id="rId2329" Type="http://schemas.openxmlformats.org/officeDocument/2006/relationships/hyperlink" Target="https://pld.live/RapDetail.aspx?STONELIST=926321118&amp;ISCONFIRM=0" TargetMode="External"/><Relationship Id="rId2536" Type="http://schemas.openxmlformats.org/officeDocument/2006/relationships/hyperlink" Target="https://pld.live/RapDetail.aspx?STONELIST=926081561&amp;ISCONFIRM=0" TargetMode="External"/><Relationship Id="rId2743" Type="http://schemas.openxmlformats.org/officeDocument/2006/relationships/hyperlink" Target="https://pld.live/RapDetail.aspx?STONELIST=923750353&amp;ISCONFIRM=0" TargetMode="External"/><Relationship Id="rId5899" Type="http://schemas.openxmlformats.org/officeDocument/2006/relationships/hyperlink" Target="https://pld.live/RapDetail.aspx?STONELIST=926101224&amp;ISCONFIRM=0" TargetMode="External"/><Relationship Id="rId6200" Type="http://schemas.openxmlformats.org/officeDocument/2006/relationships/hyperlink" Target="https://pld.live/RapDetail.aspx?STONELIST=925060367&amp;ISCONFIRM=0" TargetMode="External"/><Relationship Id="rId8098" Type="http://schemas.openxmlformats.org/officeDocument/2006/relationships/hyperlink" Target="https://pld.live/RapDetail.aspx?STONELIST=925721529&amp;ISCONFIRM=0" TargetMode="External"/><Relationship Id="rId508" Type="http://schemas.openxmlformats.org/officeDocument/2006/relationships/hyperlink" Target="https://pld.live/RapDetail.aspx?STONELIST=831010610&amp;ISCONFIRM=0" TargetMode="External"/><Relationship Id="rId715" Type="http://schemas.openxmlformats.org/officeDocument/2006/relationships/hyperlink" Target="https://pld.live/RapDetail.aspx?STONELIST=821127582&amp;ISCONFIRM=0" TargetMode="External"/><Relationship Id="rId922" Type="http://schemas.openxmlformats.org/officeDocument/2006/relationships/hyperlink" Target="https://pld.live/RapDetail.aspx?STONELIST=924390299&amp;ISCONFIRM=0" TargetMode="External"/><Relationship Id="rId1138" Type="http://schemas.openxmlformats.org/officeDocument/2006/relationships/hyperlink" Target="https://pld.live/RapDetail.aspx?STONELIST=927150726&amp;ISCONFIRM=0" TargetMode="External"/><Relationship Id="rId1345" Type="http://schemas.openxmlformats.org/officeDocument/2006/relationships/hyperlink" Target="https://pld.live/RapDetail.aspx?STONELIST=926460752&amp;ISCONFIRM=0" TargetMode="External"/><Relationship Id="rId1552" Type="http://schemas.openxmlformats.org/officeDocument/2006/relationships/hyperlink" Target="https://pld.live/RapDetail.aspx?STONELIST=926221251&amp;ISCONFIRM=0" TargetMode="External"/><Relationship Id="rId2603" Type="http://schemas.openxmlformats.org/officeDocument/2006/relationships/hyperlink" Target="https://pld.live/RapDetail.aspx?STONELIST=941250208&amp;ISCONFIRM=0" TargetMode="External"/><Relationship Id="rId2950" Type="http://schemas.openxmlformats.org/officeDocument/2006/relationships/hyperlink" Target="https://pld.live/RapDetail.aspx?STONELIST=925940650&amp;ISCONFIRM=0" TargetMode="External"/><Relationship Id="rId5759" Type="http://schemas.openxmlformats.org/officeDocument/2006/relationships/hyperlink" Target="https://pld.live/RapDetail.aspx?STONELIST=941160426&amp;ISCONFIRM=0" TargetMode="External"/><Relationship Id="rId8165" Type="http://schemas.openxmlformats.org/officeDocument/2006/relationships/hyperlink" Target="https://pld.live/RapDetail.aspx?STONELIST=831020629&amp;ISCONFIRM=0" TargetMode="External"/><Relationship Id="rId1205" Type="http://schemas.openxmlformats.org/officeDocument/2006/relationships/hyperlink" Target="https://pld.live/RapDetail.aspx?STONELIST=925280238&amp;ISCONFIRM=0" TargetMode="External"/><Relationship Id="rId2810" Type="http://schemas.openxmlformats.org/officeDocument/2006/relationships/hyperlink" Target="https://pld.live/RapDetail.aspx?STONELIST=925921014&amp;ISCONFIRM=0" TargetMode="External"/><Relationship Id="rId4568" Type="http://schemas.openxmlformats.org/officeDocument/2006/relationships/hyperlink" Target="https://pld.live/RapDetail.aspx?STONELIST=927152706&amp;ISCONFIRM=0" TargetMode="External"/><Relationship Id="rId5966" Type="http://schemas.openxmlformats.org/officeDocument/2006/relationships/hyperlink" Target="https://pld.live/RapDetail.aspx?STONELIST=927132485&amp;ISCONFIRM=0" TargetMode="External"/><Relationship Id="rId7181" Type="http://schemas.openxmlformats.org/officeDocument/2006/relationships/hyperlink" Target="https://pld.live/RapDetail.aspx?STONELIST=925700187&amp;ISCONFIRM=0" TargetMode="External"/><Relationship Id="rId8025" Type="http://schemas.openxmlformats.org/officeDocument/2006/relationships/hyperlink" Target="https://pld.live/RapDetail.aspx?STONELIST=925530247&amp;ISCONFIRM=0" TargetMode="External"/><Relationship Id="rId8232" Type="http://schemas.openxmlformats.org/officeDocument/2006/relationships/hyperlink" Target="https://pld.live/RapDetail.aspx?STONELIST=925861872&amp;ISCONFIRM=0" TargetMode="External"/><Relationship Id="rId51" Type="http://schemas.openxmlformats.org/officeDocument/2006/relationships/hyperlink" Target="https://pld.live/RapDetail.aspx?STONELIST=924510062&amp;ISCONFIRM=0" TargetMode="External"/><Relationship Id="rId1412" Type="http://schemas.openxmlformats.org/officeDocument/2006/relationships/hyperlink" Target="https://pld.live/RapDetail.aspx?STONELIST=831010730&amp;ISCONFIRM=0" TargetMode="External"/><Relationship Id="rId3377" Type="http://schemas.openxmlformats.org/officeDocument/2006/relationships/hyperlink" Target="https://pld.live/RapDetail.aspx?STONELIST=926020815&amp;ISCONFIRM=0" TargetMode="External"/><Relationship Id="rId4775" Type="http://schemas.openxmlformats.org/officeDocument/2006/relationships/hyperlink" Target="https://pld.live/RapDetail.aspx?STONELIST=926450297&amp;ISCONFIRM=0" TargetMode="External"/><Relationship Id="rId4982" Type="http://schemas.openxmlformats.org/officeDocument/2006/relationships/hyperlink" Target="https://pld.live/RapDetail.aspx?STONELIST=925970020&amp;ISCONFIRM=0" TargetMode="External"/><Relationship Id="rId5619" Type="http://schemas.openxmlformats.org/officeDocument/2006/relationships/hyperlink" Target="https://pld.live/RapDetail.aspx?STONELIST=925030407&amp;ISCONFIRM=0" TargetMode="External"/><Relationship Id="rId5826" Type="http://schemas.openxmlformats.org/officeDocument/2006/relationships/hyperlink" Target="https://pld.live/RapDetail.aspx?STONELIST=926050355&amp;ISCONFIRM=0" TargetMode="External"/><Relationship Id="rId7041" Type="http://schemas.openxmlformats.org/officeDocument/2006/relationships/hyperlink" Target="https://pld.live/RapDetail.aspx?STONELIST=821113322&amp;ISCONFIRM=0" TargetMode="External"/><Relationship Id="rId298" Type="http://schemas.openxmlformats.org/officeDocument/2006/relationships/hyperlink" Target="https://pld.live/RapDetail.aspx?STONELIST=941360360&amp;ISCONFIRM=0" TargetMode="External"/><Relationship Id="rId3584" Type="http://schemas.openxmlformats.org/officeDocument/2006/relationships/hyperlink" Target="https://pld.live/RapDetail.aspx?STONELIST=941220174&amp;ISCONFIRM=0" TargetMode="External"/><Relationship Id="rId3791" Type="http://schemas.openxmlformats.org/officeDocument/2006/relationships/hyperlink" Target="https://pld.live/RapDetail.aspx?STONELIST=941120558&amp;ISCONFIRM=0" TargetMode="External"/><Relationship Id="rId4428" Type="http://schemas.openxmlformats.org/officeDocument/2006/relationships/hyperlink" Target="https://pld.live/RapDetail.aspx?STONELIST=926111331&amp;ISCONFIRM=0" TargetMode="External"/><Relationship Id="rId4635" Type="http://schemas.openxmlformats.org/officeDocument/2006/relationships/hyperlink" Target="https://pld.live/RapDetail.aspx?STONELIST=941050577&amp;ISCONFIRM=0" TargetMode="External"/><Relationship Id="rId4842" Type="http://schemas.openxmlformats.org/officeDocument/2006/relationships/hyperlink" Target="https://pld.live/RapDetail.aspx?STONELIST=925500742&amp;ISCONFIRM=0" TargetMode="External"/><Relationship Id="rId7998" Type="http://schemas.openxmlformats.org/officeDocument/2006/relationships/hyperlink" Target="https://pld.live/RapDetail.aspx?STONELIST=926110845&amp;ISCONFIRM=0" TargetMode="External"/><Relationship Id="rId158" Type="http://schemas.openxmlformats.org/officeDocument/2006/relationships/hyperlink" Target="https://pld.live/RapDetail.aspx?STONELIST=941110164&amp;ISCONFIRM=0" TargetMode="External"/><Relationship Id="rId2186" Type="http://schemas.openxmlformats.org/officeDocument/2006/relationships/hyperlink" Target="https://pld.live/RapDetail.aspx?STONELIST=821127926&amp;ISCONFIRM=0" TargetMode="External"/><Relationship Id="rId2393" Type="http://schemas.openxmlformats.org/officeDocument/2006/relationships/hyperlink" Target="https://pld.live/RapDetail.aspx?STONELIST=926341190&amp;ISCONFIRM=0" TargetMode="External"/><Relationship Id="rId3237" Type="http://schemas.openxmlformats.org/officeDocument/2006/relationships/hyperlink" Target="https://pld.live/RapDetail.aspx?STONELIST=941261086&amp;ISCONFIRM=0" TargetMode="External"/><Relationship Id="rId3444" Type="http://schemas.openxmlformats.org/officeDocument/2006/relationships/hyperlink" Target="https://pld.live/RapDetail.aspx?STONELIST=831010478&amp;ISCONFIRM=0" TargetMode="External"/><Relationship Id="rId3651" Type="http://schemas.openxmlformats.org/officeDocument/2006/relationships/hyperlink" Target="https://pld.live/RapDetail.aspx?STONELIST=925710213&amp;ISCONFIRM=0" TargetMode="External"/><Relationship Id="rId4702" Type="http://schemas.openxmlformats.org/officeDocument/2006/relationships/hyperlink" Target="https://pld.live/RapDetail.aspx?STONELIST=924950451&amp;ISCONFIRM=0" TargetMode="External"/><Relationship Id="rId7858" Type="http://schemas.openxmlformats.org/officeDocument/2006/relationships/hyperlink" Target="https://pld.live/RapDetail.aspx?STONELIST=821126913&amp;ISCONFIRM=0" TargetMode="External"/><Relationship Id="rId365" Type="http://schemas.openxmlformats.org/officeDocument/2006/relationships/hyperlink" Target="https://pld.live/RapDetail.aspx?STONELIST=941431165&amp;ISCONFIRM=0" TargetMode="External"/><Relationship Id="rId572" Type="http://schemas.openxmlformats.org/officeDocument/2006/relationships/hyperlink" Target="https://pld.live/RapDetail.aspx?STONELIST=926201157&amp;ISCONFIRM=0" TargetMode="External"/><Relationship Id="rId2046" Type="http://schemas.openxmlformats.org/officeDocument/2006/relationships/hyperlink" Target="https://pld.live/RapDetail.aspx?STONELIST=923970360&amp;ISCONFIRM=0" TargetMode="External"/><Relationship Id="rId2253" Type="http://schemas.openxmlformats.org/officeDocument/2006/relationships/hyperlink" Target="https://pld.live/RapDetail.aspx?STONELIST=920661222&amp;ISCONFIRM=0" TargetMode="External"/><Relationship Id="rId2460" Type="http://schemas.openxmlformats.org/officeDocument/2006/relationships/hyperlink" Target="https://pld.live/RapDetail.aspx?STONELIST=926341171&amp;ISCONFIRM=0" TargetMode="External"/><Relationship Id="rId3304" Type="http://schemas.openxmlformats.org/officeDocument/2006/relationships/hyperlink" Target="https://pld.live/RapDetail.aspx?STONELIST=926360262&amp;ISCONFIRM=0" TargetMode="External"/><Relationship Id="rId3511" Type="http://schemas.openxmlformats.org/officeDocument/2006/relationships/hyperlink" Target="https://pld.live/RapDetail.aspx?STONELIST=831010802&amp;ISCONFIRM=0" TargetMode="External"/><Relationship Id="rId6667" Type="http://schemas.openxmlformats.org/officeDocument/2006/relationships/hyperlink" Target="https://pld.live/RapDetail.aspx?STONELIST=831020160&amp;ISCONFIRM=0" TargetMode="External"/><Relationship Id="rId6874" Type="http://schemas.openxmlformats.org/officeDocument/2006/relationships/hyperlink" Target="https://pld.live/RapDetail.aspx?STONELIST=831020743&amp;ISCONFIRM=0" TargetMode="External"/><Relationship Id="rId7718" Type="http://schemas.openxmlformats.org/officeDocument/2006/relationships/hyperlink" Target="https://pld.live/RapDetail.aspx?STONELIST=926560385&amp;ISCONFIRM=0" TargetMode="External"/><Relationship Id="rId7925" Type="http://schemas.openxmlformats.org/officeDocument/2006/relationships/hyperlink" Target="https://pld.live/RapDetail.aspx?STONELIST=927151314&amp;ISCONFIRM=0" TargetMode="External"/><Relationship Id="rId225" Type="http://schemas.openxmlformats.org/officeDocument/2006/relationships/hyperlink" Target="https://pld.live/RapDetail.aspx?STONELIST=926050314&amp;ISCONFIRM=0" TargetMode="External"/><Relationship Id="rId432" Type="http://schemas.openxmlformats.org/officeDocument/2006/relationships/hyperlink" Target="https://pld.live/RapDetail.aspx?STONELIST=925620956&amp;ISCONFIRM=0" TargetMode="External"/><Relationship Id="rId1062" Type="http://schemas.openxmlformats.org/officeDocument/2006/relationships/hyperlink" Target="https://pld.live/RapDetail.aspx?STONELIST=927091435&amp;ISCONFIRM=0" TargetMode="External"/><Relationship Id="rId2113" Type="http://schemas.openxmlformats.org/officeDocument/2006/relationships/hyperlink" Target="https://pld.live/RapDetail.aspx?STONELIST=925360061&amp;ISCONFIRM=0" TargetMode="External"/><Relationship Id="rId2320" Type="http://schemas.openxmlformats.org/officeDocument/2006/relationships/hyperlink" Target="https://pld.live/RapDetail.aspx?STONELIST=926240746&amp;ISCONFIRM=0" TargetMode="External"/><Relationship Id="rId5269" Type="http://schemas.openxmlformats.org/officeDocument/2006/relationships/hyperlink" Target="https://pld.live/RapDetail.aspx?STONELIST=926171084&amp;ISCONFIRM=0" TargetMode="External"/><Relationship Id="rId5476" Type="http://schemas.openxmlformats.org/officeDocument/2006/relationships/hyperlink" Target="https://pld.live/RapDetail.aspx?STONELIST=926210582&amp;ISCONFIRM=0" TargetMode="External"/><Relationship Id="rId5683" Type="http://schemas.openxmlformats.org/officeDocument/2006/relationships/hyperlink" Target="https://pld.live/RapDetail.aspx?STONELIST=924510236&amp;ISCONFIRM=0" TargetMode="External"/><Relationship Id="rId6527" Type="http://schemas.openxmlformats.org/officeDocument/2006/relationships/hyperlink" Target="https://pld.live/RapDetail.aspx?STONELIST=927092446&amp;ISCONFIRM=0" TargetMode="External"/><Relationship Id="rId6734" Type="http://schemas.openxmlformats.org/officeDocument/2006/relationships/hyperlink" Target="https://pld.live/RapDetail.aspx?STONELIST=927132488&amp;ISCONFIRM=0" TargetMode="External"/><Relationship Id="rId4078" Type="http://schemas.openxmlformats.org/officeDocument/2006/relationships/hyperlink" Target="https://pld.live/RapDetail.aspx?STONELIST=925551917&amp;ISCONFIRM=0" TargetMode="External"/><Relationship Id="rId4285" Type="http://schemas.openxmlformats.org/officeDocument/2006/relationships/hyperlink" Target="https://pld.live/RapDetail.aspx?STONELIST=927030541&amp;ISCONFIRM=0" TargetMode="External"/><Relationship Id="rId4492" Type="http://schemas.openxmlformats.org/officeDocument/2006/relationships/hyperlink" Target="https://pld.live/RapDetail.aspx?STONELIST=941140782&amp;ISCONFIRM=0" TargetMode="External"/><Relationship Id="rId5129" Type="http://schemas.openxmlformats.org/officeDocument/2006/relationships/hyperlink" Target="https://pld.live/RapDetail.aspx?STONELIST=925731425&amp;ISCONFIRM=0" TargetMode="External"/><Relationship Id="rId5336" Type="http://schemas.openxmlformats.org/officeDocument/2006/relationships/hyperlink" Target="https://pld.live/RapDetail.aspx?STONELIST=926631080&amp;ISCONFIRM=0" TargetMode="External"/><Relationship Id="rId5543" Type="http://schemas.openxmlformats.org/officeDocument/2006/relationships/hyperlink" Target="https://pld.live/RapDetail.aspx?STONELIST=924150430&amp;ISCONFIRM=0" TargetMode="External"/><Relationship Id="rId5890" Type="http://schemas.openxmlformats.org/officeDocument/2006/relationships/hyperlink" Target="https://pld.live/RapDetail.aspx?STONELIST=926041316&amp;ISCONFIRM=0" TargetMode="External"/><Relationship Id="rId6941" Type="http://schemas.openxmlformats.org/officeDocument/2006/relationships/hyperlink" Target="https://pld.live/RapDetail.aspx?STONELIST=926841362&amp;ISCONFIRM=0" TargetMode="External"/><Relationship Id="rId1879" Type="http://schemas.openxmlformats.org/officeDocument/2006/relationships/hyperlink" Target="https://pld.live/RapDetail.aspx?STONELIST=924170186&amp;ISCONFIRM=0" TargetMode="External"/><Relationship Id="rId3094" Type="http://schemas.openxmlformats.org/officeDocument/2006/relationships/hyperlink" Target="https://pld.live/RapDetail.aspx?STONELIST=821128397&amp;ISCONFIRM=0" TargetMode="External"/><Relationship Id="rId4145" Type="http://schemas.openxmlformats.org/officeDocument/2006/relationships/hyperlink" Target="https://pld.live/RapDetail.aspx?STONELIST=925450075&amp;ISCONFIRM=0" TargetMode="External"/><Relationship Id="rId5750" Type="http://schemas.openxmlformats.org/officeDocument/2006/relationships/hyperlink" Target="https://pld.live/RapDetail.aspx?STONELIST=925740261&amp;ISCONFIRM=0" TargetMode="External"/><Relationship Id="rId6801" Type="http://schemas.openxmlformats.org/officeDocument/2006/relationships/hyperlink" Target="https://pld.live/RapDetail.aspx?STONELIST=924940248&amp;ISCONFIRM=0" TargetMode="External"/><Relationship Id="rId1739" Type="http://schemas.openxmlformats.org/officeDocument/2006/relationships/hyperlink" Target="https://pld.live/RapDetail.aspx?STONELIST=941190339&amp;ISCONFIRM=0" TargetMode="External"/><Relationship Id="rId1946" Type="http://schemas.openxmlformats.org/officeDocument/2006/relationships/hyperlink" Target="https://pld.live/RapDetail.aspx?STONELIST=926321177&amp;ISCONFIRM=0" TargetMode="External"/><Relationship Id="rId4005" Type="http://schemas.openxmlformats.org/officeDocument/2006/relationships/hyperlink" Target="https://pld.live/RapDetail.aspx?STONELIST=925971280&amp;ISCONFIRM=0" TargetMode="External"/><Relationship Id="rId4352" Type="http://schemas.openxmlformats.org/officeDocument/2006/relationships/hyperlink" Target="https://pld.live/RapDetail.aspx?STONELIST=941160625&amp;ISCONFIRM=0" TargetMode="External"/><Relationship Id="rId5403" Type="http://schemas.openxmlformats.org/officeDocument/2006/relationships/hyperlink" Target="https://pld.live/RapDetail.aspx?STONELIST=821113524&amp;ISCONFIRM=0" TargetMode="External"/><Relationship Id="rId5610" Type="http://schemas.openxmlformats.org/officeDocument/2006/relationships/hyperlink" Target="https://pld.live/RapDetail.aspx?STONELIST=924290284&amp;ISCONFIRM=0" TargetMode="External"/><Relationship Id="rId1806" Type="http://schemas.openxmlformats.org/officeDocument/2006/relationships/hyperlink" Target="https://pld.live/RapDetail.aspx?STONELIST=926330541&amp;ISCONFIRM=0" TargetMode="External"/><Relationship Id="rId3161" Type="http://schemas.openxmlformats.org/officeDocument/2006/relationships/hyperlink" Target="https://pld.live/RapDetail.aspx?STONELIST=925791421&amp;ISCONFIRM=0" TargetMode="External"/><Relationship Id="rId4212" Type="http://schemas.openxmlformats.org/officeDocument/2006/relationships/hyperlink" Target="https://pld.live/RapDetail.aspx?STONELIST=925520108&amp;ISCONFIRM=0" TargetMode="External"/><Relationship Id="rId7368" Type="http://schemas.openxmlformats.org/officeDocument/2006/relationships/hyperlink" Target="https://pld.live/RapDetail.aspx?STONELIST=927152936&amp;ISCONFIRM=0" TargetMode="External"/><Relationship Id="rId7575" Type="http://schemas.openxmlformats.org/officeDocument/2006/relationships/hyperlink" Target="https://pld.live/RapDetail.aspx?STONELIST=926101498&amp;ISCONFIRM=0" TargetMode="External"/><Relationship Id="rId7782" Type="http://schemas.openxmlformats.org/officeDocument/2006/relationships/hyperlink" Target="https://pld.live/RapDetail.aspx?STONELIST=924380315&amp;ISCONFIRM=0" TargetMode="External"/><Relationship Id="rId3021" Type="http://schemas.openxmlformats.org/officeDocument/2006/relationships/hyperlink" Target="https://pld.live/RapDetail.aspx?STONELIST=821128394&amp;ISCONFIRM=0" TargetMode="External"/><Relationship Id="rId3978" Type="http://schemas.openxmlformats.org/officeDocument/2006/relationships/hyperlink" Target="https://pld.live/RapDetail.aspx?STONELIST=926170782&amp;ISCONFIRM=0" TargetMode="External"/><Relationship Id="rId6177" Type="http://schemas.openxmlformats.org/officeDocument/2006/relationships/hyperlink" Target="https://pld.live/RapDetail.aspx?STONELIST=925700121&amp;ISCONFIRM=0" TargetMode="External"/><Relationship Id="rId6384" Type="http://schemas.openxmlformats.org/officeDocument/2006/relationships/hyperlink" Target="https://pld.live/RapDetail.aspx?STONELIST=927052669&amp;ISCONFIRM=0" TargetMode="External"/><Relationship Id="rId6591" Type="http://schemas.openxmlformats.org/officeDocument/2006/relationships/hyperlink" Target="https://pld.live/RapDetail.aspx?STONELIST=831020351&amp;ISCONFIRM=0" TargetMode="External"/><Relationship Id="rId7228" Type="http://schemas.openxmlformats.org/officeDocument/2006/relationships/hyperlink" Target="https://pld.live/RapDetail.aspx?STONELIST=821118000&amp;ISCONFIRM=0" TargetMode="External"/><Relationship Id="rId7435" Type="http://schemas.openxmlformats.org/officeDocument/2006/relationships/hyperlink" Target="https://pld.live/RapDetail.aspx?STONELIST=924450192&amp;ISCONFIRM=0" TargetMode="External"/><Relationship Id="rId7642" Type="http://schemas.openxmlformats.org/officeDocument/2006/relationships/hyperlink" Target="https://pld.live/RapDetail.aspx?STONELIST=925080480&amp;ISCONFIRM=0" TargetMode="External"/><Relationship Id="rId899" Type="http://schemas.openxmlformats.org/officeDocument/2006/relationships/hyperlink" Target="https://pld.live/RapDetail.aspx?STONELIST=925961310&amp;ISCONFIRM=0" TargetMode="External"/><Relationship Id="rId2787" Type="http://schemas.openxmlformats.org/officeDocument/2006/relationships/hyperlink" Target="https://pld.live/RapDetail.aspx?STONELIST=926150042&amp;ISCONFIRM=0" TargetMode="External"/><Relationship Id="rId3838" Type="http://schemas.openxmlformats.org/officeDocument/2006/relationships/hyperlink" Target="https://pld.live/RapDetail.aspx?STONELIST=925961283&amp;ISCONFIRM=0" TargetMode="External"/><Relationship Id="rId5193" Type="http://schemas.openxmlformats.org/officeDocument/2006/relationships/hyperlink" Target="https://pld.live/RapDetail.aspx?STONELIST=925861971&amp;ISCONFIRM=0" TargetMode="External"/><Relationship Id="rId6037" Type="http://schemas.openxmlformats.org/officeDocument/2006/relationships/hyperlink" Target="https://pld.live/RapDetail.aspx?STONELIST=941190970&amp;ISCONFIRM=0" TargetMode="External"/><Relationship Id="rId6244" Type="http://schemas.openxmlformats.org/officeDocument/2006/relationships/hyperlink" Target="https://pld.live/RapDetail.aspx?STONELIST=941100652&amp;ISCONFIRM=0" TargetMode="External"/><Relationship Id="rId6451" Type="http://schemas.openxmlformats.org/officeDocument/2006/relationships/hyperlink" Target="https://pld.live/RapDetail.aspx?STONELIST=941080845&amp;ISCONFIRM=0" TargetMode="External"/><Relationship Id="rId7502" Type="http://schemas.openxmlformats.org/officeDocument/2006/relationships/hyperlink" Target="https://pld.live/RapDetail.aspx?STONELIST=925732016&amp;ISCONFIRM=0" TargetMode="External"/><Relationship Id="rId759" Type="http://schemas.openxmlformats.org/officeDocument/2006/relationships/hyperlink" Target="https://pld.live/RapDetail.aspx?STONELIST=925830671&amp;ISCONFIRM=0" TargetMode="External"/><Relationship Id="rId966" Type="http://schemas.openxmlformats.org/officeDocument/2006/relationships/hyperlink" Target="https://pld.live/RapDetail.aspx?STONELIST=926111001&amp;ISCONFIRM=0" TargetMode="External"/><Relationship Id="rId1389" Type="http://schemas.openxmlformats.org/officeDocument/2006/relationships/hyperlink" Target="https://pld.live/RapDetail.aspx?STONELIST=926221230&amp;ISCONFIRM=0" TargetMode="External"/><Relationship Id="rId1596" Type="http://schemas.openxmlformats.org/officeDocument/2006/relationships/hyperlink" Target="https://pld.live/RapDetail.aspx?STONELIST=926941150&amp;ISCONFIRM=0" TargetMode="External"/><Relationship Id="rId2647" Type="http://schemas.openxmlformats.org/officeDocument/2006/relationships/hyperlink" Target="https://pld.live/RapDetail.aspx?STONELIST=926391384&amp;ISCONFIRM=0" TargetMode="External"/><Relationship Id="rId2994" Type="http://schemas.openxmlformats.org/officeDocument/2006/relationships/hyperlink" Target="https://pld.live/RapDetail.aspx?STONELIST=821128406&amp;ISCONFIRM=0" TargetMode="External"/><Relationship Id="rId5053" Type="http://schemas.openxmlformats.org/officeDocument/2006/relationships/hyperlink" Target="https://pld.live/RapDetail.aspx?STONELIST=925502682&amp;ISCONFIRM=0" TargetMode="External"/><Relationship Id="rId5260" Type="http://schemas.openxmlformats.org/officeDocument/2006/relationships/hyperlink" Target="https://pld.live/RapDetail.aspx?STONELIST=926110718&amp;ISCONFIRM=0" TargetMode="External"/><Relationship Id="rId6104" Type="http://schemas.openxmlformats.org/officeDocument/2006/relationships/hyperlink" Target="https://pld.live/RapDetail.aspx?STONELIST=941230229&amp;ISCONFIRM=0" TargetMode="External"/><Relationship Id="rId6311" Type="http://schemas.openxmlformats.org/officeDocument/2006/relationships/hyperlink" Target="https://pld.live/RapDetail.aspx?STONELIST=821123506&amp;ISCONFIRM=0" TargetMode="External"/><Relationship Id="rId619" Type="http://schemas.openxmlformats.org/officeDocument/2006/relationships/hyperlink" Target="https://pld.live/RapDetail.aspx?STONELIST=925861791&amp;ISCONFIRM=0" TargetMode="External"/><Relationship Id="rId1249" Type="http://schemas.openxmlformats.org/officeDocument/2006/relationships/hyperlink" Target="https://pld.live/RapDetail.aspx?STONELIST=926211171&amp;ISCONFIRM=0" TargetMode="External"/><Relationship Id="rId2854" Type="http://schemas.openxmlformats.org/officeDocument/2006/relationships/hyperlink" Target="https://pld.live/RapDetail.aspx?STONELIST=925860265&amp;ISCONFIRM=0" TargetMode="External"/><Relationship Id="rId3905" Type="http://schemas.openxmlformats.org/officeDocument/2006/relationships/hyperlink" Target="https://pld.live/RapDetail.aspx?STONELIST=925521577&amp;ISCONFIRM=0" TargetMode="External"/><Relationship Id="rId5120" Type="http://schemas.openxmlformats.org/officeDocument/2006/relationships/hyperlink" Target="https://pld.live/RapDetail.aspx?STONELIST=925732043&amp;ISCONFIRM=0" TargetMode="External"/><Relationship Id="rId8069" Type="http://schemas.openxmlformats.org/officeDocument/2006/relationships/hyperlink" Target="https://pld.live/RapDetail.aspx?STONELIST=926100125&amp;ISCONFIRM=0" TargetMode="External"/><Relationship Id="rId95" Type="http://schemas.openxmlformats.org/officeDocument/2006/relationships/hyperlink" Target="https://pld.live/RapDetail.aspx?STONELIST=831020666&amp;ISCONFIRM=0" TargetMode="External"/><Relationship Id="rId826" Type="http://schemas.openxmlformats.org/officeDocument/2006/relationships/hyperlink" Target="https://pld.live/RapDetail.aspx?STONELIST=925981172&amp;ISCONFIRM=0" TargetMode="External"/><Relationship Id="rId1109" Type="http://schemas.openxmlformats.org/officeDocument/2006/relationships/hyperlink" Target="https://pld.live/RapDetail.aspx?STONELIST=927091434&amp;ISCONFIRM=0" TargetMode="External"/><Relationship Id="rId1456" Type="http://schemas.openxmlformats.org/officeDocument/2006/relationships/hyperlink" Target="https://pld.live/RapDetail.aspx?STONELIST=926331738&amp;ISCONFIRM=0" TargetMode="External"/><Relationship Id="rId1663" Type="http://schemas.openxmlformats.org/officeDocument/2006/relationships/hyperlink" Target="https://pld.live/RapDetail.aspx?STONELIST=926120603&amp;ISCONFIRM=0" TargetMode="External"/><Relationship Id="rId1870" Type="http://schemas.openxmlformats.org/officeDocument/2006/relationships/hyperlink" Target="https://pld.live/RapDetail.aspx?STONELIST=924220516&amp;ISCONFIRM=0" TargetMode="External"/><Relationship Id="rId2507" Type="http://schemas.openxmlformats.org/officeDocument/2006/relationships/hyperlink" Target="https://pld.live/RapDetail.aspx?STONELIST=941280086&amp;ISCONFIRM=0" TargetMode="External"/><Relationship Id="rId2714" Type="http://schemas.openxmlformats.org/officeDocument/2006/relationships/hyperlink" Target="https://pld.live/RapDetail.aspx?STONELIST=926470427&amp;ISCONFIRM=0" TargetMode="External"/><Relationship Id="rId2921" Type="http://schemas.openxmlformats.org/officeDocument/2006/relationships/hyperlink" Target="https://pld.live/RapDetail.aspx?STONELIST=925940603&amp;ISCONFIRM=0" TargetMode="External"/><Relationship Id="rId7085" Type="http://schemas.openxmlformats.org/officeDocument/2006/relationships/hyperlink" Target="https://pld.live/RapDetail.aspx?STONELIST=927052519&amp;ISCONFIRM=0" TargetMode="External"/><Relationship Id="rId8136" Type="http://schemas.openxmlformats.org/officeDocument/2006/relationships/hyperlink" Target="https://pld.live/RapDetail.aspx?STONELIST=924350581&amp;ISCONFIRM=0" TargetMode="External"/><Relationship Id="rId1316" Type="http://schemas.openxmlformats.org/officeDocument/2006/relationships/hyperlink" Target="https://pld.live/RapDetail.aspx?STONELIST=926111378&amp;ISCONFIRM=0" TargetMode="External"/><Relationship Id="rId1523" Type="http://schemas.openxmlformats.org/officeDocument/2006/relationships/hyperlink" Target="https://pld.live/RapDetail.aspx?STONELIST=926331780&amp;ISCONFIRM=0" TargetMode="External"/><Relationship Id="rId1730" Type="http://schemas.openxmlformats.org/officeDocument/2006/relationships/hyperlink" Target="https://pld.live/RapDetail.aspx?STONELIST=941220072&amp;ISCONFIRM=0" TargetMode="External"/><Relationship Id="rId4679" Type="http://schemas.openxmlformats.org/officeDocument/2006/relationships/hyperlink" Target="https://pld.live/RapDetail.aspx?STONELIST=919300004&amp;ISCONFIRM=0" TargetMode="External"/><Relationship Id="rId4886" Type="http://schemas.openxmlformats.org/officeDocument/2006/relationships/hyperlink" Target="https://pld.live/RapDetail.aspx?STONELIST=925981052&amp;ISCONFIRM=0" TargetMode="External"/><Relationship Id="rId5937" Type="http://schemas.openxmlformats.org/officeDocument/2006/relationships/hyperlink" Target="https://pld.live/RapDetail.aspx?STONELIST=924600181&amp;ISCONFIRM=0" TargetMode="External"/><Relationship Id="rId7292" Type="http://schemas.openxmlformats.org/officeDocument/2006/relationships/hyperlink" Target="https://pld.live/RapDetail.aspx?STONELIST=920470185&amp;ISCONFIRM=0" TargetMode="External"/><Relationship Id="rId22" Type="http://schemas.openxmlformats.org/officeDocument/2006/relationships/hyperlink" Target="https://pld.live/RapDetail.aspx?STONELIST=9413800531&amp;ISCONFIRM=0" TargetMode="External"/><Relationship Id="rId3488" Type="http://schemas.openxmlformats.org/officeDocument/2006/relationships/hyperlink" Target="https://pld.live/RapDetail.aspx?STONELIST=926250074&amp;ISCONFIRM=0" TargetMode="External"/><Relationship Id="rId3695" Type="http://schemas.openxmlformats.org/officeDocument/2006/relationships/hyperlink" Target="https://pld.live/RapDetail.aspx?STONELIST=927070914&amp;ISCONFIRM=0" TargetMode="External"/><Relationship Id="rId4539" Type="http://schemas.openxmlformats.org/officeDocument/2006/relationships/hyperlink" Target="https://pld.live/RapDetail.aspx?STONELIST=924900181&amp;ISCONFIRM=0" TargetMode="External"/><Relationship Id="rId4746" Type="http://schemas.openxmlformats.org/officeDocument/2006/relationships/hyperlink" Target="https://pld.live/RapDetail.aspx?STONELIST=924380506&amp;ISCONFIRM=0" TargetMode="External"/><Relationship Id="rId4953" Type="http://schemas.openxmlformats.org/officeDocument/2006/relationships/hyperlink" Target="https://pld.live/RapDetail.aspx?STONELIST=926071508&amp;ISCONFIRM=0" TargetMode="External"/><Relationship Id="rId7152" Type="http://schemas.openxmlformats.org/officeDocument/2006/relationships/hyperlink" Target="https://pld.live/RapDetail.aspx?STONELIST=926410436&amp;ISCONFIRM=0" TargetMode="External"/><Relationship Id="rId8203" Type="http://schemas.openxmlformats.org/officeDocument/2006/relationships/hyperlink" Target="https://pld.live/RapDetail.aspx?STONELIST=926930924&amp;ISCONFIRM=0" TargetMode="External"/><Relationship Id="rId2297" Type="http://schemas.openxmlformats.org/officeDocument/2006/relationships/hyperlink" Target="https://pld.live/RapDetail.aspx?STONELIST=926240703&amp;ISCONFIRM=0" TargetMode="External"/><Relationship Id="rId3348" Type="http://schemas.openxmlformats.org/officeDocument/2006/relationships/hyperlink" Target="https://pld.live/RapDetail.aspx?STONELIST=924590290&amp;ISCONFIRM=0" TargetMode="External"/><Relationship Id="rId3555" Type="http://schemas.openxmlformats.org/officeDocument/2006/relationships/hyperlink" Target="https://pld.live/RapDetail.aspx?STONELIST=924500105&amp;ISCONFIRM=0" TargetMode="External"/><Relationship Id="rId3762" Type="http://schemas.openxmlformats.org/officeDocument/2006/relationships/hyperlink" Target="https://pld.live/RapDetail.aspx?STONELIST=927070926&amp;ISCONFIRM=0" TargetMode="External"/><Relationship Id="rId4606" Type="http://schemas.openxmlformats.org/officeDocument/2006/relationships/hyperlink" Target="https://pld.live/RapDetail.aspx?STONELIST=927092496&amp;ISCONFIRM=0" TargetMode="External"/><Relationship Id="rId4813" Type="http://schemas.openxmlformats.org/officeDocument/2006/relationships/hyperlink" Target="https://pld.live/RapDetail.aspx?STONELIST=926000048&amp;ISCONFIRM=0" TargetMode="External"/><Relationship Id="rId7012" Type="http://schemas.openxmlformats.org/officeDocument/2006/relationships/hyperlink" Target="https://pld.live/RapDetail.aspx?STONELIST=926700687&amp;ISCONFIRM=0" TargetMode="External"/><Relationship Id="rId7969" Type="http://schemas.openxmlformats.org/officeDocument/2006/relationships/hyperlink" Target="https://pld.live/RapDetail.aspx?STONELIST=941430726&amp;ISCONFIRM=0" TargetMode="External"/><Relationship Id="rId269" Type="http://schemas.openxmlformats.org/officeDocument/2006/relationships/hyperlink" Target="https://pld.live/RapDetail.aspx?STONELIST=831020039&amp;ISCONFIRM=0" TargetMode="External"/><Relationship Id="rId476" Type="http://schemas.openxmlformats.org/officeDocument/2006/relationships/hyperlink" Target="https://pld.live/RapDetail.aspx?STONELIST=924700111&amp;ISCONFIRM=0" TargetMode="External"/><Relationship Id="rId683" Type="http://schemas.openxmlformats.org/officeDocument/2006/relationships/hyperlink" Target="https://pld.live/RapDetail.aspx?STONELIST=926100964&amp;ISCONFIRM=0" TargetMode="External"/><Relationship Id="rId890" Type="http://schemas.openxmlformats.org/officeDocument/2006/relationships/hyperlink" Target="https://pld.live/RapDetail.aspx?STONELIST=821127539&amp;ISCONFIRM=0" TargetMode="External"/><Relationship Id="rId2157" Type="http://schemas.openxmlformats.org/officeDocument/2006/relationships/hyperlink" Target="https://pld.live/RapDetail.aspx?STONELIST=926191061&amp;ISCONFIRM=0" TargetMode="External"/><Relationship Id="rId2364" Type="http://schemas.openxmlformats.org/officeDocument/2006/relationships/hyperlink" Target="https://pld.live/RapDetail.aspx?STONELIST=926301256&amp;ISCONFIRM=0" TargetMode="External"/><Relationship Id="rId2571" Type="http://schemas.openxmlformats.org/officeDocument/2006/relationships/hyperlink" Target="https://pld.live/RapDetail.aspx?STONELIST=926191326&amp;ISCONFIRM=0" TargetMode="External"/><Relationship Id="rId3208" Type="http://schemas.openxmlformats.org/officeDocument/2006/relationships/hyperlink" Target="https://pld.live/RapDetail.aspx?STONELIST=926220728&amp;ISCONFIRM=0" TargetMode="External"/><Relationship Id="rId3415" Type="http://schemas.openxmlformats.org/officeDocument/2006/relationships/hyperlink" Target="https://pld.live/RapDetail.aspx?STONELIST=925542606&amp;ISCONFIRM=0" TargetMode="External"/><Relationship Id="rId6778" Type="http://schemas.openxmlformats.org/officeDocument/2006/relationships/hyperlink" Target="https://pld.live/RapDetail.aspx?STONELIST=926050264&amp;ISCONFIRM=0" TargetMode="External"/><Relationship Id="rId129" Type="http://schemas.openxmlformats.org/officeDocument/2006/relationships/hyperlink" Target="https://pld.live/RapDetail.aspx?STONELIST=831020411&amp;ISCONFIRM=0" TargetMode="External"/><Relationship Id="rId336" Type="http://schemas.openxmlformats.org/officeDocument/2006/relationships/hyperlink" Target="https://pld.live/RapDetail.aspx?STONELIST=941400470&amp;ISCONFIRM=0" TargetMode="External"/><Relationship Id="rId543" Type="http://schemas.openxmlformats.org/officeDocument/2006/relationships/hyperlink" Target="https://pld.live/RapDetail.aspx?STONELIST=941400230&amp;ISCONFIRM=0" TargetMode="External"/><Relationship Id="rId1173" Type="http://schemas.openxmlformats.org/officeDocument/2006/relationships/hyperlink" Target="https://pld.live/RapDetail.aspx?STONELIST=941071065&amp;ISCONFIRM=0" TargetMode="External"/><Relationship Id="rId1380" Type="http://schemas.openxmlformats.org/officeDocument/2006/relationships/hyperlink" Target="https://pld.live/RapDetail.aspx?STONELIST=926111365&amp;ISCONFIRM=0" TargetMode="External"/><Relationship Id="rId2017" Type="http://schemas.openxmlformats.org/officeDocument/2006/relationships/hyperlink" Target="https://pld.live/RapDetail.aspx?STONELIST=941270634&amp;ISCONFIRM=0" TargetMode="External"/><Relationship Id="rId2224" Type="http://schemas.openxmlformats.org/officeDocument/2006/relationships/hyperlink" Target="https://pld.live/RapDetail.aspx?STONELIST=925910569&amp;ISCONFIRM=0" TargetMode="External"/><Relationship Id="rId3622" Type="http://schemas.openxmlformats.org/officeDocument/2006/relationships/hyperlink" Target="https://pld.live/RapDetail.aspx?STONELIST=924950284&amp;ISCONFIRM=0" TargetMode="External"/><Relationship Id="rId5587" Type="http://schemas.openxmlformats.org/officeDocument/2006/relationships/hyperlink" Target="https://pld.live/RapDetail.aspx?STONELIST=924580329&amp;ISCONFIRM=0" TargetMode="External"/><Relationship Id="rId6985" Type="http://schemas.openxmlformats.org/officeDocument/2006/relationships/hyperlink" Target="https://pld.live/RapDetail.aspx?STONELIST=927130508&amp;ISCONFIRM=0" TargetMode="External"/><Relationship Id="rId7829" Type="http://schemas.openxmlformats.org/officeDocument/2006/relationships/hyperlink" Target="https://pld.live/RapDetail.aspx?STONELIST=926071753&amp;ISCONFIRM=0" TargetMode="External"/><Relationship Id="rId403" Type="http://schemas.openxmlformats.org/officeDocument/2006/relationships/hyperlink" Target="https://pld.live/RapDetail.aspx?STONELIST=925240026&amp;ISCONFIRM=0" TargetMode="External"/><Relationship Id="rId750" Type="http://schemas.openxmlformats.org/officeDocument/2006/relationships/hyperlink" Target="https://pld.live/RapDetail.aspx?STONELIST=821127449&amp;ISCONFIRM=0" TargetMode="External"/><Relationship Id="rId1033" Type="http://schemas.openxmlformats.org/officeDocument/2006/relationships/hyperlink" Target="https://pld.live/RapDetail.aspx?STONELIST=941350817&amp;ISCONFIRM=0" TargetMode="External"/><Relationship Id="rId2431" Type="http://schemas.openxmlformats.org/officeDocument/2006/relationships/hyperlink" Target="https://pld.live/RapDetail.aspx?STONELIST=926261526&amp;ISCONFIRM=0" TargetMode="External"/><Relationship Id="rId4189" Type="http://schemas.openxmlformats.org/officeDocument/2006/relationships/hyperlink" Target="https://pld.live/RapDetail.aspx?STONELIST=925830693&amp;ISCONFIRM=0" TargetMode="External"/><Relationship Id="rId5794" Type="http://schemas.openxmlformats.org/officeDocument/2006/relationships/hyperlink" Target="https://pld.live/RapDetail.aspx?STONELIST=927130872&amp;ISCONFIRM=0" TargetMode="External"/><Relationship Id="rId6638" Type="http://schemas.openxmlformats.org/officeDocument/2006/relationships/hyperlink" Target="https://pld.live/RapDetail.aspx?STONELIST=927052708&amp;ISCONFIRM=0" TargetMode="External"/><Relationship Id="rId6845" Type="http://schemas.openxmlformats.org/officeDocument/2006/relationships/hyperlink" Target="https://pld.live/RapDetail.aspx?STONELIST=925930310&amp;ISCONFIRM=0" TargetMode="External"/><Relationship Id="rId8060" Type="http://schemas.openxmlformats.org/officeDocument/2006/relationships/hyperlink" Target="https://pld.live/RapDetail.aspx?STONELIST=925971198&amp;ISCONFIRM=0" TargetMode="External"/><Relationship Id="rId610" Type="http://schemas.openxmlformats.org/officeDocument/2006/relationships/hyperlink" Target="https://pld.live/RapDetail.aspx?STONELIST=831010822&amp;ISCONFIRM=0" TargetMode="External"/><Relationship Id="rId1240" Type="http://schemas.openxmlformats.org/officeDocument/2006/relationships/hyperlink" Target="https://pld.live/RapDetail.aspx?STONELIST=941320764&amp;ISCONFIRM=0" TargetMode="External"/><Relationship Id="rId4049" Type="http://schemas.openxmlformats.org/officeDocument/2006/relationships/hyperlink" Target="https://pld.live/RapDetail.aspx?STONELIST=925801852&amp;ISCONFIRM=0" TargetMode="External"/><Relationship Id="rId4396" Type="http://schemas.openxmlformats.org/officeDocument/2006/relationships/hyperlink" Target="https://pld.live/RapDetail.aspx?STONELIST=941071294&amp;ISCONFIRM=0" TargetMode="External"/><Relationship Id="rId5447" Type="http://schemas.openxmlformats.org/officeDocument/2006/relationships/hyperlink" Target="https://pld.live/RapDetail.aspx?STONELIST=927100991&amp;ISCONFIRM=0" TargetMode="External"/><Relationship Id="rId5654" Type="http://schemas.openxmlformats.org/officeDocument/2006/relationships/hyperlink" Target="https://pld.live/RapDetail.aspx?STONELIST=941261078&amp;ISCONFIRM=0" TargetMode="External"/><Relationship Id="rId5861" Type="http://schemas.openxmlformats.org/officeDocument/2006/relationships/hyperlink" Target="https://pld.live/RapDetail.aspx?STONELIST=926020754&amp;ISCONFIRM=0" TargetMode="External"/><Relationship Id="rId6705" Type="http://schemas.openxmlformats.org/officeDocument/2006/relationships/hyperlink" Target="https://pld.live/RapDetail.aspx?STONELIST=927132543&amp;ISCONFIRM=0" TargetMode="External"/><Relationship Id="rId6912" Type="http://schemas.openxmlformats.org/officeDocument/2006/relationships/hyperlink" Target="https://pld.live/RapDetail.aspx?STONELIST=925732134&amp;ISCONFIRM=0" TargetMode="External"/><Relationship Id="rId1100" Type="http://schemas.openxmlformats.org/officeDocument/2006/relationships/hyperlink" Target="https://pld.live/RapDetail.aspx?STONELIST=927150777&amp;ISCONFIRM=0" TargetMode="External"/><Relationship Id="rId4256" Type="http://schemas.openxmlformats.org/officeDocument/2006/relationships/hyperlink" Target="https://pld.live/RapDetail.aspx?STONELIST=926210600&amp;ISCONFIRM=0" TargetMode="External"/><Relationship Id="rId4463" Type="http://schemas.openxmlformats.org/officeDocument/2006/relationships/hyperlink" Target="https://pld.live/RapDetail.aspx?STONELIST=924710172&amp;ISCONFIRM=0" TargetMode="External"/><Relationship Id="rId4670" Type="http://schemas.openxmlformats.org/officeDocument/2006/relationships/hyperlink" Target="https://pld.live/RapDetail.aspx?STONELIST=926560417&amp;ISCONFIRM=0" TargetMode="External"/><Relationship Id="rId5307" Type="http://schemas.openxmlformats.org/officeDocument/2006/relationships/hyperlink" Target="https://pld.live/RapDetail.aspx?STONELIST=926870867&amp;ISCONFIRM=0" TargetMode="External"/><Relationship Id="rId5514" Type="http://schemas.openxmlformats.org/officeDocument/2006/relationships/hyperlink" Target="https://pld.live/RapDetail.aspx?STONELIST=925370372&amp;ISCONFIRM=0" TargetMode="External"/><Relationship Id="rId5721" Type="http://schemas.openxmlformats.org/officeDocument/2006/relationships/hyperlink" Target="https://pld.live/RapDetail.aspx?STONELIST=925740130&amp;ISCONFIRM=0" TargetMode="External"/><Relationship Id="rId1917" Type="http://schemas.openxmlformats.org/officeDocument/2006/relationships/hyperlink" Target="https://pld.live/RapDetail.aspx?STONELIST=926661732&amp;ISCONFIRM=0" TargetMode="External"/><Relationship Id="rId3065" Type="http://schemas.openxmlformats.org/officeDocument/2006/relationships/hyperlink" Target="https://pld.live/RapDetail.aspx?STONELIST=925862060&amp;ISCONFIRM=0" TargetMode="External"/><Relationship Id="rId3272" Type="http://schemas.openxmlformats.org/officeDocument/2006/relationships/hyperlink" Target="https://pld.live/RapDetail.aspx?STONELIST=941270760&amp;ISCONFIRM=0" TargetMode="External"/><Relationship Id="rId4116" Type="http://schemas.openxmlformats.org/officeDocument/2006/relationships/hyperlink" Target="https://pld.live/RapDetail.aspx?STONELIST=926041239&amp;ISCONFIRM=0" TargetMode="External"/><Relationship Id="rId4323" Type="http://schemas.openxmlformats.org/officeDocument/2006/relationships/hyperlink" Target="https://pld.live/RapDetail.aspx?STONELIST=927092184&amp;ISCONFIRM=0" TargetMode="External"/><Relationship Id="rId4530" Type="http://schemas.openxmlformats.org/officeDocument/2006/relationships/hyperlink" Target="https://pld.live/RapDetail.aspx?STONELIST=927092622&amp;ISCONFIRM=0" TargetMode="External"/><Relationship Id="rId7479" Type="http://schemas.openxmlformats.org/officeDocument/2006/relationships/hyperlink" Target="https://pld.live/RapDetail.aspx?STONELIST=925920654&amp;ISCONFIRM=0" TargetMode="External"/><Relationship Id="rId7686" Type="http://schemas.openxmlformats.org/officeDocument/2006/relationships/hyperlink" Target="https://pld.live/RapDetail.aspx?STONELIST=941270777&amp;ISCONFIRM=0" TargetMode="External"/><Relationship Id="rId7893" Type="http://schemas.openxmlformats.org/officeDocument/2006/relationships/hyperlink" Target="https://pld.live/RapDetail.aspx?STONELIST=941070869&amp;ISCONFIRM=0" TargetMode="External"/><Relationship Id="rId193" Type="http://schemas.openxmlformats.org/officeDocument/2006/relationships/hyperlink" Target="https://pld.live/RapDetail.aspx?STONELIST=941220612&amp;ISCONFIRM=0" TargetMode="External"/><Relationship Id="rId2081" Type="http://schemas.openxmlformats.org/officeDocument/2006/relationships/hyperlink" Target="https://pld.live/RapDetail.aspx?STONELIST=924280236&amp;ISCONFIRM=0" TargetMode="External"/><Relationship Id="rId3132" Type="http://schemas.openxmlformats.org/officeDocument/2006/relationships/hyperlink" Target="https://pld.live/RapDetail.aspx?STONELIST=924520151&amp;ISCONFIRM=0" TargetMode="External"/><Relationship Id="rId6288" Type="http://schemas.openxmlformats.org/officeDocument/2006/relationships/hyperlink" Target="https://pld.live/RapDetail.aspx?STONELIST=925542700&amp;ISCONFIRM=0" TargetMode="External"/><Relationship Id="rId6495" Type="http://schemas.openxmlformats.org/officeDocument/2006/relationships/hyperlink" Target="https://pld.live/RapDetail.aspx?STONELIST=821113426&amp;ISCONFIRM=0" TargetMode="External"/><Relationship Id="rId7339" Type="http://schemas.openxmlformats.org/officeDocument/2006/relationships/hyperlink" Target="https://pld.live/RapDetail.aspx?STONELIST=925851160&amp;ISCONFIRM=0" TargetMode="External"/><Relationship Id="rId7546" Type="http://schemas.openxmlformats.org/officeDocument/2006/relationships/hyperlink" Target="https://pld.live/RapDetail.aspx?STONELIST=925801833&amp;ISCONFIRM=0" TargetMode="External"/><Relationship Id="rId7753" Type="http://schemas.openxmlformats.org/officeDocument/2006/relationships/hyperlink" Target="https://pld.live/RapDetail.aspx?STONELIST=926010050&amp;ISCONFIRM=0" TargetMode="External"/><Relationship Id="rId260" Type="http://schemas.openxmlformats.org/officeDocument/2006/relationships/hyperlink" Target="https://pld.live/RapDetail.aspx?STONELIST=925000130&amp;ISCONFIRM=0" TargetMode="External"/><Relationship Id="rId5097" Type="http://schemas.openxmlformats.org/officeDocument/2006/relationships/hyperlink" Target="https://pld.live/RapDetail.aspx?STONELIST=925720792&amp;ISCONFIRM=0" TargetMode="External"/><Relationship Id="rId6148" Type="http://schemas.openxmlformats.org/officeDocument/2006/relationships/hyperlink" Target="https://pld.live/RapDetail.aspx?STONELIST=925670135&amp;ISCONFIRM=0" TargetMode="External"/><Relationship Id="rId6355" Type="http://schemas.openxmlformats.org/officeDocument/2006/relationships/hyperlink" Target="https://pld.live/RapDetail.aspx?STONELIST=925270486&amp;ISCONFIRM=0" TargetMode="External"/><Relationship Id="rId7406" Type="http://schemas.openxmlformats.org/officeDocument/2006/relationships/hyperlink" Target="https://pld.live/RapDetail.aspx?STONELIST=923750325&amp;ISCONFIRM=0" TargetMode="External"/><Relationship Id="rId7960" Type="http://schemas.openxmlformats.org/officeDocument/2006/relationships/hyperlink" Target="https://pld.live/RapDetail.aspx?STONELIST=926740859&amp;ISCONFIRM=0" TargetMode="External"/><Relationship Id="rId120" Type="http://schemas.openxmlformats.org/officeDocument/2006/relationships/hyperlink" Target="https://pld.live/RapDetail.aspx?STONELIST=941230612&amp;ISCONFIRM=0" TargetMode="External"/><Relationship Id="rId2898" Type="http://schemas.openxmlformats.org/officeDocument/2006/relationships/hyperlink" Target="https://pld.live/RapDetail.aspx?STONELIST=925290578&amp;ISCONFIRM=0" TargetMode="External"/><Relationship Id="rId3949" Type="http://schemas.openxmlformats.org/officeDocument/2006/relationships/hyperlink" Target="https://pld.live/RapDetail.aspx?STONELIST=821124355&amp;ISCONFIRM=0" TargetMode="External"/><Relationship Id="rId5164" Type="http://schemas.openxmlformats.org/officeDocument/2006/relationships/hyperlink" Target="https://pld.live/RapDetail.aspx?STONELIST=923660335&amp;ISCONFIRM=0" TargetMode="External"/><Relationship Id="rId6008" Type="http://schemas.openxmlformats.org/officeDocument/2006/relationships/hyperlink" Target="https://pld.live/RapDetail.aspx?STONELIST=924420423&amp;ISCONFIRM=0" TargetMode="External"/><Relationship Id="rId6215" Type="http://schemas.openxmlformats.org/officeDocument/2006/relationships/hyperlink" Target="https://pld.live/RapDetail.aspx?STONELIST=925610349&amp;ISCONFIRM=0" TargetMode="External"/><Relationship Id="rId6562" Type="http://schemas.openxmlformats.org/officeDocument/2006/relationships/hyperlink" Target="https://pld.live/RapDetail.aspx?STONELIST=927010814&amp;ISCONFIRM=0" TargetMode="External"/><Relationship Id="rId7613" Type="http://schemas.openxmlformats.org/officeDocument/2006/relationships/hyperlink" Target="https://pld.live/RapDetail.aspx?STONELIST=924880356&amp;ISCONFIRM=0" TargetMode="External"/><Relationship Id="rId7820" Type="http://schemas.openxmlformats.org/officeDocument/2006/relationships/hyperlink" Target="https://pld.live/RapDetail.aspx?STONELIST=925621550&amp;ISCONFIRM=0" TargetMode="External"/><Relationship Id="rId2758" Type="http://schemas.openxmlformats.org/officeDocument/2006/relationships/hyperlink" Target="https://pld.live/RapDetail.aspx?STONELIST=925020011&amp;ISCONFIRM=0" TargetMode="External"/><Relationship Id="rId2965" Type="http://schemas.openxmlformats.org/officeDocument/2006/relationships/hyperlink" Target="https://pld.live/RapDetail.aspx?STONELIST=925802043&amp;ISCONFIRM=0" TargetMode="External"/><Relationship Id="rId3809" Type="http://schemas.openxmlformats.org/officeDocument/2006/relationships/hyperlink" Target="https://pld.live/RapDetail.aspx?STONELIST=927080327&amp;ISCONFIRM=0" TargetMode="External"/><Relationship Id="rId5024" Type="http://schemas.openxmlformats.org/officeDocument/2006/relationships/hyperlink" Target="https://pld.live/RapDetail.aspx?STONELIST=925980539&amp;ISCONFIRM=0" TargetMode="External"/><Relationship Id="rId5371" Type="http://schemas.openxmlformats.org/officeDocument/2006/relationships/hyperlink" Target="https://pld.live/RapDetail.aspx?STONELIST=927152561&amp;ISCONFIRM=0" TargetMode="External"/><Relationship Id="rId6422" Type="http://schemas.openxmlformats.org/officeDocument/2006/relationships/hyperlink" Target="https://pld.live/RapDetail.aspx?STONELIST=926621097&amp;ISCONFIRM=0" TargetMode="External"/><Relationship Id="rId937" Type="http://schemas.openxmlformats.org/officeDocument/2006/relationships/hyperlink" Target="https://pld.live/RapDetail.aspx?STONELIST=925861987&amp;ISCONFIRM=0" TargetMode="External"/><Relationship Id="rId1567" Type="http://schemas.openxmlformats.org/officeDocument/2006/relationships/hyperlink" Target="https://pld.live/RapDetail.aspx?STONELIST=926221276&amp;ISCONFIRM=0" TargetMode="External"/><Relationship Id="rId1774" Type="http://schemas.openxmlformats.org/officeDocument/2006/relationships/hyperlink" Target="https://pld.live/RapDetail.aspx?STONELIST=821128455&amp;ISCONFIRM=0" TargetMode="External"/><Relationship Id="rId1981" Type="http://schemas.openxmlformats.org/officeDocument/2006/relationships/hyperlink" Target="https://pld.live/RapDetail.aspx?STONELIST=925791273&amp;ISCONFIRM=0" TargetMode="External"/><Relationship Id="rId2618" Type="http://schemas.openxmlformats.org/officeDocument/2006/relationships/hyperlink" Target="https://pld.live/RapDetail.aspx?STONELIST=926280780&amp;ISCONFIRM=0" TargetMode="External"/><Relationship Id="rId2825" Type="http://schemas.openxmlformats.org/officeDocument/2006/relationships/hyperlink" Target="https://pld.live/RapDetail.aspx?STONELIST=926101116&amp;ISCONFIRM=0" TargetMode="External"/><Relationship Id="rId4180" Type="http://schemas.openxmlformats.org/officeDocument/2006/relationships/hyperlink" Target="https://pld.live/RapDetail.aspx?STONELIST=925721957&amp;ISCONFIRM=0" TargetMode="External"/><Relationship Id="rId5231" Type="http://schemas.openxmlformats.org/officeDocument/2006/relationships/hyperlink" Target="https://pld.live/RapDetail.aspx?STONELIST=926200787&amp;ISCONFIRM=0" TargetMode="External"/><Relationship Id="rId66" Type="http://schemas.openxmlformats.org/officeDocument/2006/relationships/hyperlink" Target="https://pld.live/RapDetail.aspx?STONELIST=927110020&amp;ISCONFIRM=0" TargetMode="External"/><Relationship Id="rId1427" Type="http://schemas.openxmlformats.org/officeDocument/2006/relationships/hyperlink" Target="https://pld.live/RapDetail.aspx?STONELIST=926440776&amp;ISCONFIRM=0" TargetMode="External"/><Relationship Id="rId1634" Type="http://schemas.openxmlformats.org/officeDocument/2006/relationships/hyperlink" Target="https://pld.live/RapDetail.aspx?STONELIST=926280809&amp;ISCONFIRM=0" TargetMode="External"/><Relationship Id="rId1841" Type="http://schemas.openxmlformats.org/officeDocument/2006/relationships/hyperlink" Target="https://pld.live/RapDetail.aspx?STONELIST=925870524&amp;ISCONFIRM=0" TargetMode="External"/><Relationship Id="rId4040" Type="http://schemas.openxmlformats.org/officeDocument/2006/relationships/hyperlink" Target="https://pld.live/RapDetail.aspx?STONELIST=925851170&amp;ISCONFIRM=0" TargetMode="External"/><Relationship Id="rId4997" Type="http://schemas.openxmlformats.org/officeDocument/2006/relationships/hyperlink" Target="https://pld.live/RapDetail.aspx?STONELIST=925520510&amp;ISCONFIRM=0" TargetMode="External"/><Relationship Id="rId7196" Type="http://schemas.openxmlformats.org/officeDocument/2006/relationships/hyperlink" Target="https://pld.live/RapDetail.aspx?STONELIST=821132872&amp;ISCONFIRM=0" TargetMode="External"/><Relationship Id="rId8247" Type="http://schemas.openxmlformats.org/officeDocument/2006/relationships/hyperlink" Target="https://pld.live/RapDetail.aspx?STONELIST=925721758&amp;ISCONFIRM=0" TargetMode="External"/><Relationship Id="rId3599" Type="http://schemas.openxmlformats.org/officeDocument/2006/relationships/hyperlink" Target="https://pld.live/RapDetail.aspx?STONELIST=924380486&amp;ISCONFIRM=0" TargetMode="External"/><Relationship Id="rId4857" Type="http://schemas.openxmlformats.org/officeDocument/2006/relationships/hyperlink" Target="https://pld.live/RapDetail.aspx?STONELIST=926631266&amp;ISCONFIRM=0" TargetMode="External"/><Relationship Id="rId7056" Type="http://schemas.openxmlformats.org/officeDocument/2006/relationships/hyperlink" Target="https://pld.live/RapDetail.aspx?STONELIST=927092560&amp;ISCONFIRM=0" TargetMode="External"/><Relationship Id="rId7263" Type="http://schemas.openxmlformats.org/officeDocument/2006/relationships/hyperlink" Target="https://pld.live/RapDetail.aspx?STONELIST=941110512&amp;ISCONFIRM=0" TargetMode="External"/><Relationship Id="rId7470" Type="http://schemas.openxmlformats.org/officeDocument/2006/relationships/hyperlink" Target="https://pld.live/RapDetail.aspx?STONELIST=925730799&amp;ISCONFIRM=0" TargetMode="External"/><Relationship Id="rId8107" Type="http://schemas.openxmlformats.org/officeDocument/2006/relationships/hyperlink" Target="https://pld.live/RapDetail.aspx?STONELIST=926210578&amp;ISCONFIRM=0" TargetMode="External"/><Relationship Id="rId1701" Type="http://schemas.openxmlformats.org/officeDocument/2006/relationships/hyperlink" Target="https://pld.live/RapDetail.aspx?STONELIST=926661297&amp;ISCONFIRM=0" TargetMode="External"/><Relationship Id="rId3459" Type="http://schemas.openxmlformats.org/officeDocument/2006/relationships/hyperlink" Target="https://pld.live/RapDetail.aspx?STONELIST=923500229&amp;ISCONFIRM=0" TargetMode="External"/><Relationship Id="rId3666" Type="http://schemas.openxmlformats.org/officeDocument/2006/relationships/hyperlink" Target="https://pld.live/RapDetail.aspx?STONELIST=821113213&amp;ISCONFIRM=0" TargetMode="External"/><Relationship Id="rId5908" Type="http://schemas.openxmlformats.org/officeDocument/2006/relationships/hyperlink" Target="https://pld.live/RapDetail.aspx?STONELIST=926020807&amp;ISCONFIRM=0" TargetMode="External"/><Relationship Id="rId6072" Type="http://schemas.openxmlformats.org/officeDocument/2006/relationships/hyperlink" Target="https://pld.live/RapDetail.aspx?STONELIST=926360326&amp;ISCONFIRM=0" TargetMode="External"/><Relationship Id="rId7123" Type="http://schemas.openxmlformats.org/officeDocument/2006/relationships/hyperlink" Target="https://pld.live/RapDetail.aspx?STONELIST=941170652&amp;ISCONFIRM=0" TargetMode="External"/><Relationship Id="rId7330" Type="http://schemas.openxmlformats.org/officeDocument/2006/relationships/hyperlink" Target="https://pld.live/RapDetail.aspx?STONELIST=927102477&amp;ISCONFIRM=0" TargetMode="External"/><Relationship Id="rId587" Type="http://schemas.openxmlformats.org/officeDocument/2006/relationships/hyperlink" Target="https://pld.live/RapDetail.aspx?STONELIST=925540264&amp;ISCONFIRM=0" TargetMode="External"/><Relationship Id="rId2268" Type="http://schemas.openxmlformats.org/officeDocument/2006/relationships/hyperlink" Target="https://pld.live/RapDetail.aspx?STONELIST=926801234&amp;ISCONFIRM=0" TargetMode="External"/><Relationship Id="rId3319" Type="http://schemas.openxmlformats.org/officeDocument/2006/relationships/hyperlink" Target="https://pld.live/RapDetail.aspx?STONELIST=924590266&amp;ISCONFIRM=0" TargetMode="External"/><Relationship Id="rId3873" Type="http://schemas.openxmlformats.org/officeDocument/2006/relationships/hyperlink" Target="https://pld.live/RapDetail.aspx?STONELIST=821124330&amp;ISCONFIRM=0" TargetMode="External"/><Relationship Id="rId4717" Type="http://schemas.openxmlformats.org/officeDocument/2006/relationships/hyperlink" Target="https://pld.live/RapDetail.aspx?STONELIST=831020596&amp;ISCONFIRM=0" TargetMode="External"/><Relationship Id="rId4924" Type="http://schemas.openxmlformats.org/officeDocument/2006/relationships/hyperlink" Target="https://pld.live/RapDetail.aspx?STONELIST=926200295&amp;ISCONFIRM=0" TargetMode="External"/><Relationship Id="rId447" Type="http://schemas.openxmlformats.org/officeDocument/2006/relationships/hyperlink" Target="https://pld.live/RapDetail.aspx?STONELIST=925621525&amp;ISCONFIRM=0" TargetMode="External"/><Relationship Id="rId794" Type="http://schemas.openxmlformats.org/officeDocument/2006/relationships/hyperlink" Target="https://pld.live/RapDetail.aspx?STONELIST=821127566&amp;ISCONFIRM=0" TargetMode="External"/><Relationship Id="rId1077" Type="http://schemas.openxmlformats.org/officeDocument/2006/relationships/hyperlink" Target="https://pld.live/RapDetail.aspx?STONELIST=926831048&amp;ISCONFIRM=0" TargetMode="External"/><Relationship Id="rId2128" Type="http://schemas.openxmlformats.org/officeDocument/2006/relationships/hyperlink" Target="https://pld.live/RapDetail.aspx?STONELIST=920480409&amp;ISCONFIRM=0" TargetMode="External"/><Relationship Id="rId2475" Type="http://schemas.openxmlformats.org/officeDocument/2006/relationships/hyperlink" Target="https://pld.live/RapDetail.aspx?STONELIST=926231246&amp;ISCONFIRM=0" TargetMode="External"/><Relationship Id="rId2682" Type="http://schemas.openxmlformats.org/officeDocument/2006/relationships/hyperlink" Target="https://pld.live/RapDetail.aspx?STONELIST=926081324&amp;ISCONFIRM=0" TargetMode="External"/><Relationship Id="rId3526" Type="http://schemas.openxmlformats.org/officeDocument/2006/relationships/hyperlink" Target="https://pld.live/RapDetail.aspx?STONELIST=926331550&amp;ISCONFIRM=0" TargetMode="External"/><Relationship Id="rId3733" Type="http://schemas.openxmlformats.org/officeDocument/2006/relationships/hyperlink" Target="https://pld.live/RapDetail.aspx?STONELIST=821112908&amp;ISCONFIRM=0" TargetMode="External"/><Relationship Id="rId3940" Type="http://schemas.openxmlformats.org/officeDocument/2006/relationships/hyperlink" Target="https://pld.live/RapDetail.aspx?STONELIST=925861878&amp;ISCONFIRM=0" TargetMode="External"/><Relationship Id="rId6889" Type="http://schemas.openxmlformats.org/officeDocument/2006/relationships/hyperlink" Target="https://pld.live/RapDetail.aspx?STONELIST=925541271&amp;ISCONFIRM=0" TargetMode="External"/><Relationship Id="rId654" Type="http://schemas.openxmlformats.org/officeDocument/2006/relationships/hyperlink" Target="https://pld.live/RapDetail.aspx?STONELIST=926071585&amp;ISCONFIRM=0" TargetMode="External"/><Relationship Id="rId861" Type="http://schemas.openxmlformats.org/officeDocument/2006/relationships/hyperlink" Target="https://pld.live/RapDetail.aspx?STONELIST=821127500&amp;ISCONFIRM=0" TargetMode="External"/><Relationship Id="rId1284" Type="http://schemas.openxmlformats.org/officeDocument/2006/relationships/hyperlink" Target="https://pld.live/RapDetail.aspx?STONELIST=941320403&amp;ISCONFIRM=0" TargetMode="External"/><Relationship Id="rId1491" Type="http://schemas.openxmlformats.org/officeDocument/2006/relationships/hyperlink" Target="https://pld.live/RapDetail.aspx?STONELIST=925900508&amp;ISCONFIRM=0" TargetMode="External"/><Relationship Id="rId2335" Type="http://schemas.openxmlformats.org/officeDocument/2006/relationships/hyperlink" Target="https://pld.live/RapDetail.aspx?STONELIST=926301267&amp;ISCONFIRM=0" TargetMode="External"/><Relationship Id="rId2542" Type="http://schemas.openxmlformats.org/officeDocument/2006/relationships/hyperlink" Target="https://pld.live/RapDetail.aspx?STONELIST=926331728&amp;ISCONFIRM=0" TargetMode="External"/><Relationship Id="rId3800" Type="http://schemas.openxmlformats.org/officeDocument/2006/relationships/hyperlink" Target="https://pld.live/RapDetail.aspx?STONELIST=927040470&amp;ISCONFIRM=0" TargetMode="External"/><Relationship Id="rId5698" Type="http://schemas.openxmlformats.org/officeDocument/2006/relationships/hyperlink" Target="https://pld.live/RapDetail.aspx?STONELIST=923690405&amp;ISCONFIRM=0" TargetMode="External"/><Relationship Id="rId6749" Type="http://schemas.openxmlformats.org/officeDocument/2006/relationships/hyperlink" Target="https://pld.live/RapDetail.aspx?STONELIST=927152949&amp;ISCONFIRM=0" TargetMode="External"/><Relationship Id="rId6956" Type="http://schemas.openxmlformats.org/officeDocument/2006/relationships/hyperlink" Target="https://pld.live/RapDetail.aspx?STONELIST=926101054&amp;ISCONFIRM=0" TargetMode="External"/><Relationship Id="rId307" Type="http://schemas.openxmlformats.org/officeDocument/2006/relationships/hyperlink" Target="https://pld.live/RapDetail.aspx?STONELIST=9415200005&amp;ISCONFIRM=0" TargetMode="External"/><Relationship Id="rId514" Type="http://schemas.openxmlformats.org/officeDocument/2006/relationships/hyperlink" Target="https://pld.live/RapDetail.aspx?STONELIST=926101114&amp;ISCONFIRM=0" TargetMode="External"/><Relationship Id="rId721" Type="http://schemas.openxmlformats.org/officeDocument/2006/relationships/hyperlink" Target="https://pld.live/RapDetail.aspx?STONELIST=821127553&amp;ISCONFIRM=0" TargetMode="External"/><Relationship Id="rId1144" Type="http://schemas.openxmlformats.org/officeDocument/2006/relationships/hyperlink" Target="https://pld.live/RapDetail.aspx?STONELIST=926831127&amp;ISCONFIRM=0" TargetMode="External"/><Relationship Id="rId1351" Type="http://schemas.openxmlformats.org/officeDocument/2006/relationships/hyperlink" Target="https://pld.live/RapDetail.aspx?STONELIST=926250562&amp;ISCONFIRM=0" TargetMode="External"/><Relationship Id="rId2402" Type="http://schemas.openxmlformats.org/officeDocument/2006/relationships/hyperlink" Target="https://pld.live/RapDetail.aspx?STONELIST=926231341&amp;ISCONFIRM=0" TargetMode="External"/><Relationship Id="rId5558" Type="http://schemas.openxmlformats.org/officeDocument/2006/relationships/hyperlink" Target="https://pld.live/RapDetail.aspx?STONELIST=923400674&amp;ISCONFIRM=0" TargetMode="External"/><Relationship Id="rId5765" Type="http://schemas.openxmlformats.org/officeDocument/2006/relationships/hyperlink" Target="https://pld.live/RapDetail.aspx?STONELIST=831010680&amp;ISCONFIRM=0" TargetMode="External"/><Relationship Id="rId5972" Type="http://schemas.openxmlformats.org/officeDocument/2006/relationships/hyperlink" Target="https://pld.live/RapDetail.aspx?STONELIST=941060570&amp;ISCONFIRM=0" TargetMode="External"/><Relationship Id="rId6609" Type="http://schemas.openxmlformats.org/officeDocument/2006/relationships/hyperlink" Target="https://pld.live/RapDetail.aspx?STONELIST=927152922&amp;ISCONFIRM=0" TargetMode="External"/><Relationship Id="rId6816" Type="http://schemas.openxmlformats.org/officeDocument/2006/relationships/hyperlink" Target="https://pld.live/RapDetail.aspx?STONELIST=926050242&amp;ISCONFIRM=0" TargetMode="External"/><Relationship Id="rId8171" Type="http://schemas.openxmlformats.org/officeDocument/2006/relationships/hyperlink" Target="https://pld.live/RapDetail.aspx?STONELIST=924750472&amp;ISCONFIRM=0" TargetMode="External"/><Relationship Id="rId1004" Type="http://schemas.openxmlformats.org/officeDocument/2006/relationships/hyperlink" Target="https://pld.live/RapDetail.aspx?STONELIST=941350702&amp;ISCONFIRM=0" TargetMode="External"/><Relationship Id="rId1211" Type="http://schemas.openxmlformats.org/officeDocument/2006/relationships/hyperlink" Target="https://pld.live/RapDetail.aspx?STONELIST=926210893&amp;ISCONFIRM=0" TargetMode="External"/><Relationship Id="rId4367" Type="http://schemas.openxmlformats.org/officeDocument/2006/relationships/hyperlink" Target="https://pld.live/RapDetail.aspx?STONELIST=927132082&amp;ISCONFIRM=0" TargetMode="External"/><Relationship Id="rId4574" Type="http://schemas.openxmlformats.org/officeDocument/2006/relationships/hyperlink" Target="https://pld.live/RapDetail.aspx?STONELIST=941060524&amp;ISCONFIRM=0" TargetMode="External"/><Relationship Id="rId4781" Type="http://schemas.openxmlformats.org/officeDocument/2006/relationships/hyperlink" Target="https://pld.live/RapDetail.aspx?STONELIST=925700057&amp;ISCONFIRM=0" TargetMode="External"/><Relationship Id="rId5418" Type="http://schemas.openxmlformats.org/officeDocument/2006/relationships/hyperlink" Target="https://pld.live/RapDetail.aspx?STONELIST=924290562&amp;ISCONFIRM=0" TargetMode="External"/><Relationship Id="rId5625" Type="http://schemas.openxmlformats.org/officeDocument/2006/relationships/hyperlink" Target="https://pld.live/RapDetail.aspx?STONELIST=924370514&amp;ISCONFIRM=0" TargetMode="External"/><Relationship Id="rId5832" Type="http://schemas.openxmlformats.org/officeDocument/2006/relationships/hyperlink" Target="https://pld.live/RapDetail.aspx?STONELIST=924250621&amp;ISCONFIRM=0" TargetMode="External"/><Relationship Id="rId8031" Type="http://schemas.openxmlformats.org/officeDocument/2006/relationships/hyperlink" Target="https://pld.live/RapDetail.aspx?STONELIST=925870549&amp;ISCONFIRM=0" TargetMode="External"/><Relationship Id="rId3176" Type="http://schemas.openxmlformats.org/officeDocument/2006/relationships/hyperlink" Target="https://pld.live/RapDetail.aspx?STONELIST=925030208&amp;ISCONFIRM=0" TargetMode="External"/><Relationship Id="rId3383" Type="http://schemas.openxmlformats.org/officeDocument/2006/relationships/hyperlink" Target="https://pld.live/RapDetail.aspx?STONELIST=926171103&amp;ISCONFIRM=0" TargetMode="External"/><Relationship Id="rId3590" Type="http://schemas.openxmlformats.org/officeDocument/2006/relationships/hyperlink" Target="https://pld.live/RapDetail.aspx?STONELIST=927120057&amp;ISCONFIRM=0" TargetMode="External"/><Relationship Id="rId4227" Type="http://schemas.openxmlformats.org/officeDocument/2006/relationships/hyperlink" Target="https://pld.live/RapDetail.aspx?STONELIST=926071583&amp;ISCONFIRM=0" TargetMode="External"/><Relationship Id="rId4434" Type="http://schemas.openxmlformats.org/officeDocument/2006/relationships/hyperlink" Target="https://pld.live/RapDetail.aspx?STONELIST=925080487&amp;ISCONFIRM=0" TargetMode="External"/><Relationship Id="rId7797" Type="http://schemas.openxmlformats.org/officeDocument/2006/relationships/hyperlink" Target="https://pld.live/RapDetail.aspx?STONELIST=831010698&amp;ISCONFIRM=0" TargetMode="External"/><Relationship Id="rId2192" Type="http://schemas.openxmlformats.org/officeDocument/2006/relationships/hyperlink" Target="https://pld.live/RapDetail.aspx?STONELIST=920661214&amp;ISCONFIRM=0" TargetMode="External"/><Relationship Id="rId3036" Type="http://schemas.openxmlformats.org/officeDocument/2006/relationships/hyperlink" Target="https://pld.live/RapDetail.aspx?STONELIST=925940620&amp;ISCONFIRM=0" TargetMode="External"/><Relationship Id="rId3243" Type="http://schemas.openxmlformats.org/officeDocument/2006/relationships/hyperlink" Target="https://pld.live/RapDetail.aspx?STONELIST=941400592&amp;ISCONFIRM=0" TargetMode="External"/><Relationship Id="rId4641" Type="http://schemas.openxmlformats.org/officeDocument/2006/relationships/hyperlink" Target="https://pld.live/RapDetail.aspx?STONELIST=941170329&amp;ISCONFIRM=0" TargetMode="External"/><Relationship Id="rId6399" Type="http://schemas.openxmlformats.org/officeDocument/2006/relationships/hyperlink" Target="https://pld.live/RapDetail.aspx?STONELIST=925660208&amp;ISCONFIRM=0" TargetMode="External"/><Relationship Id="rId164" Type="http://schemas.openxmlformats.org/officeDocument/2006/relationships/hyperlink" Target="https://pld.live/RapDetail.aspx?STONELIST=941380413&amp;ISCONFIRM=0" TargetMode="External"/><Relationship Id="rId371" Type="http://schemas.openxmlformats.org/officeDocument/2006/relationships/hyperlink" Target="https://pld.live/RapDetail.aspx?STONELIST=941431166&amp;ISCONFIRM=0" TargetMode="External"/><Relationship Id="rId2052" Type="http://schemas.openxmlformats.org/officeDocument/2006/relationships/hyperlink" Target="https://pld.live/RapDetail.aspx?STONELIST=924040704&amp;ISCONFIRM=0" TargetMode="External"/><Relationship Id="rId3450" Type="http://schemas.openxmlformats.org/officeDocument/2006/relationships/hyperlink" Target="https://pld.live/RapDetail.aspx?STONELIST=926171466&amp;ISCONFIRM=0" TargetMode="External"/><Relationship Id="rId4501" Type="http://schemas.openxmlformats.org/officeDocument/2006/relationships/hyperlink" Target="https://pld.live/RapDetail.aspx?STONELIST=927052670&amp;ISCONFIRM=0" TargetMode="External"/><Relationship Id="rId6259" Type="http://schemas.openxmlformats.org/officeDocument/2006/relationships/hyperlink" Target="https://pld.live/RapDetail.aspx?STONELIST=941110541&amp;ISCONFIRM=0" TargetMode="External"/><Relationship Id="rId7657" Type="http://schemas.openxmlformats.org/officeDocument/2006/relationships/hyperlink" Target="https://pld.live/RapDetail.aspx?STONELIST=941261085&amp;ISCONFIRM=0" TargetMode="External"/><Relationship Id="rId7864" Type="http://schemas.openxmlformats.org/officeDocument/2006/relationships/hyperlink" Target="https://pld.live/RapDetail.aspx?STONELIST=926790337&amp;ISCONFIRM=0" TargetMode="External"/><Relationship Id="rId3103" Type="http://schemas.openxmlformats.org/officeDocument/2006/relationships/hyperlink" Target="https://pld.live/RapDetail.aspx?STONELIST=925290517&amp;ISCONFIRM=0" TargetMode="External"/><Relationship Id="rId3310" Type="http://schemas.openxmlformats.org/officeDocument/2006/relationships/hyperlink" Target="https://pld.live/RapDetail.aspx?STONELIST=926540181&amp;ISCONFIRM=0" TargetMode="External"/><Relationship Id="rId5068" Type="http://schemas.openxmlformats.org/officeDocument/2006/relationships/hyperlink" Target="https://pld.live/RapDetail.aspx?STONELIST=925930234&amp;ISCONFIRM=0" TargetMode="External"/><Relationship Id="rId6466" Type="http://schemas.openxmlformats.org/officeDocument/2006/relationships/hyperlink" Target="https://pld.live/RapDetail.aspx?STONELIST=925370454&amp;ISCONFIRM=0" TargetMode="External"/><Relationship Id="rId6673" Type="http://schemas.openxmlformats.org/officeDocument/2006/relationships/hyperlink" Target="https://pld.live/RapDetail.aspx?STONELIST=941400565&amp;ISCONFIRM=0" TargetMode="External"/><Relationship Id="rId6880" Type="http://schemas.openxmlformats.org/officeDocument/2006/relationships/hyperlink" Target="https://pld.live/RapDetail.aspx?STONELIST=926540215&amp;ISCONFIRM=0" TargetMode="External"/><Relationship Id="rId7517" Type="http://schemas.openxmlformats.org/officeDocument/2006/relationships/hyperlink" Target="https://pld.live/RapDetail.aspx?STONELIST=925802038&amp;ISCONFIRM=0" TargetMode="External"/><Relationship Id="rId7724" Type="http://schemas.openxmlformats.org/officeDocument/2006/relationships/hyperlink" Target="https://pld.live/RapDetail.aspx?STONELIST=926420456&amp;ISCONFIRM=0" TargetMode="External"/><Relationship Id="rId7931" Type="http://schemas.openxmlformats.org/officeDocument/2006/relationships/hyperlink" Target="https://pld.live/RapDetail.aspx?STONELIST=926921383&amp;ISCONFIRM=0" TargetMode="External"/><Relationship Id="rId231" Type="http://schemas.openxmlformats.org/officeDocument/2006/relationships/hyperlink" Target="https://pld.live/RapDetail.aspx?STONELIST=831020023&amp;ISCONFIRM=0" TargetMode="External"/><Relationship Id="rId2869" Type="http://schemas.openxmlformats.org/officeDocument/2006/relationships/hyperlink" Target="https://pld.live/RapDetail.aspx?STONELIST=926200964&amp;ISCONFIRM=0" TargetMode="External"/><Relationship Id="rId5275" Type="http://schemas.openxmlformats.org/officeDocument/2006/relationships/hyperlink" Target="https://pld.live/RapDetail.aspx?STONELIST=923620414&amp;ISCONFIRM=0" TargetMode="External"/><Relationship Id="rId5482" Type="http://schemas.openxmlformats.org/officeDocument/2006/relationships/hyperlink" Target="https://pld.live/RapDetail.aspx?STONELIST=926270859&amp;ISCONFIRM=0" TargetMode="External"/><Relationship Id="rId6119" Type="http://schemas.openxmlformats.org/officeDocument/2006/relationships/hyperlink" Target="https://pld.live/RapDetail.aspx?STONELIST=925710206&amp;ISCONFIRM=0" TargetMode="External"/><Relationship Id="rId6326" Type="http://schemas.openxmlformats.org/officeDocument/2006/relationships/hyperlink" Target="https://pld.live/RapDetail.aspx?STONELIST=927030801&amp;ISCONFIRM=0" TargetMode="External"/><Relationship Id="rId6533" Type="http://schemas.openxmlformats.org/officeDocument/2006/relationships/hyperlink" Target="https://pld.live/RapDetail.aspx?STONELIST=821113438&amp;ISCONFIRM=0" TargetMode="External"/><Relationship Id="rId6740" Type="http://schemas.openxmlformats.org/officeDocument/2006/relationships/hyperlink" Target="https://pld.live/RapDetail.aspx?STONELIST=927052746&amp;ISCONFIRM=0" TargetMode="External"/><Relationship Id="rId1678" Type="http://schemas.openxmlformats.org/officeDocument/2006/relationships/hyperlink" Target="https://pld.live/RapDetail.aspx?STONELIST=926671039&amp;ISCONFIRM=0" TargetMode="External"/><Relationship Id="rId1885" Type="http://schemas.openxmlformats.org/officeDocument/2006/relationships/hyperlink" Target="https://pld.live/RapDetail.aspx?STONELIST=926301142&amp;ISCONFIRM=0" TargetMode="External"/><Relationship Id="rId2729" Type="http://schemas.openxmlformats.org/officeDocument/2006/relationships/hyperlink" Target="https://pld.live/RapDetail.aspx?STONELIST=921800086&amp;ISCONFIRM=0" TargetMode="External"/><Relationship Id="rId2936" Type="http://schemas.openxmlformats.org/officeDocument/2006/relationships/hyperlink" Target="https://pld.live/RapDetail.aspx?STONELIST=925940657&amp;ISCONFIRM=0" TargetMode="External"/><Relationship Id="rId4084" Type="http://schemas.openxmlformats.org/officeDocument/2006/relationships/hyperlink" Target="https://pld.live/RapDetail.aspx?STONELIST=925890147&amp;ISCONFIRM=0" TargetMode="External"/><Relationship Id="rId4291" Type="http://schemas.openxmlformats.org/officeDocument/2006/relationships/hyperlink" Target="https://pld.live/RapDetail.aspx?STONELIST=927092226&amp;ISCONFIRM=0" TargetMode="External"/><Relationship Id="rId5135" Type="http://schemas.openxmlformats.org/officeDocument/2006/relationships/hyperlink" Target="https://pld.live/RapDetail.aspx?STONELIST=926930824&amp;ISCONFIRM=0" TargetMode="External"/><Relationship Id="rId5342" Type="http://schemas.openxmlformats.org/officeDocument/2006/relationships/hyperlink" Target="https://pld.live/RapDetail.aspx?STONELIST=926841328&amp;ISCONFIRM=0" TargetMode="External"/><Relationship Id="rId6600" Type="http://schemas.openxmlformats.org/officeDocument/2006/relationships/hyperlink" Target="https://pld.live/RapDetail.aspx?STONELIST=927150869&amp;ISCONFIRM=0" TargetMode="External"/><Relationship Id="rId908" Type="http://schemas.openxmlformats.org/officeDocument/2006/relationships/hyperlink" Target="https://pld.live/RapDetail.aspx?STONELIST=821127415&amp;ISCONFIRM=0" TargetMode="External"/><Relationship Id="rId1538" Type="http://schemas.openxmlformats.org/officeDocument/2006/relationships/hyperlink" Target="https://pld.live/RapDetail.aspx?STONELIST=926221301&amp;ISCONFIRM=0" TargetMode="External"/><Relationship Id="rId4151" Type="http://schemas.openxmlformats.org/officeDocument/2006/relationships/hyperlink" Target="https://pld.live/RapDetail.aspx?STONELIST=925732225&amp;ISCONFIRM=0" TargetMode="External"/><Relationship Id="rId5202" Type="http://schemas.openxmlformats.org/officeDocument/2006/relationships/hyperlink" Target="https://pld.live/RapDetail.aspx?STONELIST=925552015&amp;ISCONFIRM=0" TargetMode="External"/><Relationship Id="rId1745" Type="http://schemas.openxmlformats.org/officeDocument/2006/relationships/hyperlink" Target="https://pld.live/RapDetail.aspx?STONELIST=941190372&amp;ISCONFIRM=0" TargetMode="External"/><Relationship Id="rId1952" Type="http://schemas.openxmlformats.org/officeDocument/2006/relationships/hyperlink" Target="https://pld.live/RapDetail.aspx?STONELIST=924750288&amp;ISCONFIRM=0" TargetMode="External"/><Relationship Id="rId4011" Type="http://schemas.openxmlformats.org/officeDocument/2006/relationships/hyperlink" Target="https://pld.live/RapDetail.aspx?STONELIST=925541515&amp;ISCONFIRM=0" TargetMode="External"/><Relationship Id="rId7167" Type="http://schemas.openxmlformats.org/officeDocument/2006/relationships/hyperlink" Target="https://pld.live/RapDetail.aspx?STONELIST=925670111&amp;ISCONFIRM=0" TargetMode="External"/><Relationship Id="rId7374" Type="http://schemas.openxmlformats.org/officeDocument/2006/relationships/hyperlink" Target="https://pld.live/RapDetail.aspx?STONELIST=941400585&amp;ISCONFIRM=0" TargetMode="External"/><Relationship Id="rId8218" Type="http://schemas.openxmlformats.org/officeDocument/2006/relationships/hyperlink" Target="https://pld.live/RapDetail.aspx?STONELIST=925300351&amp;ISCONFIRM=0" TargetMode="External"/><Relationship Id="rId37" Type="http://schemas.openxmlformats.org/officeDocument/2006/relationships/hyperlink" Target="https://pld.live/RapDetail.aspx?STONELIST=941330528&amp;ISCONFIRM=0" TargetMode="External"/><Relationship Id="rId1605" Type="http://schemas.openxmlformats.org/officeDocument/2006/relationships/hyperlink" Target="https://pld.live/RapDetail.aspx?STONELIST=924230008&amp;ISCONFIRM=0" TargetMode="External"/><Relationship Id="rId1812" Type="http://schemas.openxmlformats.org/officeDocument/2006/relationships/hyperlink" Target="https://pld.live/RapDetail.aspx?STONELIST=926661436&amp;ISCONFIRM=0" TargetMode="External"/><Relationship Id="rId4968" Type="http://schemas.openxmlformats.org/officeDocument/2006/relationships/hyperlink" Target="https://pld.live/RapDetail.aspx?STONELIST=821126920&amp;ISCONFIRM=0" TargetMode="External"/><Relationship Id="rId6183" Type="http://schemas.openxmlformats.org/officeDocument/2006/relationships/hyperlink" Target="https://pld.live/RapDetail.aspx?STONELIST=821113397&amp;ISCONFIRM=0" TargetMode="External"/><Relationship Id="rId7027" Type="http://schemas.openxmlformats.org/officeDocument/2006/relationships/hyperlink" Target="https://pld.live/RapDetail.aspx?STONELIST=927101252&amp;ISCONFIRM=0" TargetMode="External"/><Relationship Id="rId7234" Type="http://schemas.openxmlformats.org/officeDocument/2006/relationships/hyperlink" Target="https://pld.live/RapDetail.aspx?STONELIST=821132726&amp;ISCONFIRM=0" TargetMode="External"/><Relationship Id="rId7581" Type="http://schemas.openxmlformats.org/officeDocument/2006/relationships/hyperlink" Target="https://pld.live/RapDetail.aspx?STONELIST=925732146&amp;ISCONFIRM=0" TargetMode="External"/><Relationship Id="rId3777" Type="http://schemas.openxmlformats.org/officeDocument/2006/relationships/hyperlink" Target="https://pld.live/RapDetail.aspx?STONELIST=941110574&amp;ISCONFIRM=0" TargetMode="External"/><Relationship Id="rId3984" Type="http://schemas.openxmlformats.org/officeDocument/2006/relationships/hyperlink" Target="https://pld.live/RapDetail.aspx?STONELIST=925551816&amp;ISCONFIRM=0" TargetMode="External"/><Relationship Id="rId4828" Type="http://schemas.openxmlformats.org/officeDocument/2006/relationships/hyperlink" Target="https://pld.live/RapDetail.aspx?STONELIST=926100623&amp;ISCONFIRM=0" TargetMode="External"/><Relationship Id="rId6390" Type="http://schemas.openxmlformats.org/officeDocument/2006/relationships/hyperlink" Target="https://pld.live/RapDetail.aspx?STONELIST=926420217&amp;ISCONFIRM=0" TargetMode="External"/><Relationship Id="rId7441" Type="http://schemas.openxmlformats.org/officeDocument/2006/relationships/hyperlink" Target="https://pld.live/RapDetail.aspx?STONELIST=831010747&amp;ISCONFIRM=0" TargetMode="External"/><Relationship Id="rId698" Type="http://schemas.openxmlformats.org/officeDocument/2006/relationships/hyperlink" Target="https://pld.live/RapDetail.aspx?STONELIST=925900396&amp;ISCONFIRM=0" TargetMode="External"/><Relationship Id="rId2379" Type="http://schemas.openxmlformats.org/officeDocument/2006/relationships/hyperlink" Target="https://pld.live/RapDetail.aspx?STONELIST=920661456&amp;ISCONFIRM=0" TargetMode="External"/><Relationship Id="rId2586" Type="http://schemas.openxmlformats.org/officeDocument/2006/relationships/hyperlink" Target="https://pld.live/RapDetail.aspx?STONELIST=926320994&amp;ISCONFIRM=0" TargetMode="External"/><Relationship Id="rId2793" Type="http://schemas.openxmlformats.org/officeDocument/2006/relationships/hyperlink" Target="https://pld.live/RapDetail.aspx?STONELIST=925981078&amp;ISCONFIRM=0" TargetMode="External"/><Relationship Id="rId3637" Type="http://schemas.openxmlformats.org/officeDocument/2006/relationships/hyperlink" Target="https://pld.live/RapDetail.aspx?STONELIST=925710120&amp;ISCONFIRM=0" TargetMode="External"/><Relationship Id="rId3844" Type="http://schemas.openxmlformats.org/officeDocument/2006/relationships/hyperlink" Target="https://pld.live/RapDetail.aspx?STONELIST=926910145&amp;ISCONFIRM=0" TargetMode="External"/><Relationship Id="rId6043" Type="http://schemas.openxmlformats.org/officeDocument/2006/relationships/hyperlink" Target="https://pld.live/RapDetail.aspx?STONELIST=941261107&amp;ISCONFIRM=0" TargetMode="External"/><Relationship Id="rId6250" Type="http://schemas.openxmlformats.org/officeDocument/2006/relationships/hyperlink" Target="https://pld.live/RapDetail.aspx?STONELIST=941110553&amp;ISCONFIRM=0" TargetMode="External"/><Relationship Id="rId7301" Type="http://schemas.openxmlformats.org/officeDocument/2006/relationships/hyperlink" Target="https://pld.live/RapDetail.aspx?STONELIST=941360586&amp;ISCONFIRM=0" TargetMode="External"/><Relationship Id="rId558" Type="http://schemas.openxmlformats.org/officeDocument/2006/relationships/hyperlink" Target="https://pld.live/RapDetail.aspx?STONELIST=926171655&amp;ISCONFIRM=0" TargetMode="External"/><Relationship Id="rId765" Type="http://schemas.openxmlformats.org/officeDocument/2006/relationships/hyperlink" Target="https://pld.live/RapDetail.aspx?STONELIST=925430155&amp;ISCONFIRM=0" TargetMode="External"/><Relationship Id="rId972" Type="http://schemas.openxmlformats.org/officeDocument/2006/relationships/hyperlink" Target="https://pld.live/RapDetail.aspx?STONELIST=821115227&amp;ISCONFIRM=0" TargetMode="External"/><Relationship Id="rId1188" Type="http://schemas.openxmlformats.org/officeDocument/2006/relationships/hyperlink" Target="https://pld.live/RapDetail.aspx?STONELIST=941351000&amp;ISCONFIRM=0" TargetMode="External"/><Relationship Id="rId1395" Type="http://schemas.openxmlformats.org/officeDocument/2006/relationships/hyperlink" Target="https://pld.live/RapDetail.aspx?STONELIST=926211200&amp;ISCONFIRM=0" TargetMode="External"/><Relationship Id="rId2239" Type="http://schemas.openxmlformats.org/officeDocument/2006/relationships/hyperlink" Target="https://pld.live/RapDetail.aspx?STONELIST=920661249&amp;ISCONFIRM=0" TargetMode="External"/><Relationship Id="rId2446" Type="http://schemas.openxmlformats.org/officeDocument/2006/relationships/hyperlink" Target="https://pld.live/RapDetail.aspx?STONELIST=941220642&amp;ISCONFIRM=0" TargetMode="External"/><Relationship Id="rId2653" Type="http://schemas.openxmlformats.org/officeDocument/2006/relationships/hyperlink" Target="https://pld.live/RapDetail.aspx?STONELIST=925910493&amp;ISCONFIRM=0" TargetMode="External"/><Relationship Id="rId2860" Type="http://schemas.openxmlformats.org/officeDocument/2006/relationships/hyperlink" Target="https://pld.live/RapDetail.aspx?STONELIST=926200993&amp;ISCONFIRM=0" TargetMode="External"/><Relationship Id="rId3704" Type="http://schemas.openxmlformats.org/officeDocument/2006/relationships/hyperlink" Target="https://pld.live/RapDetail.aspx?STONELIST=926450331&amp;ISCONFIRM=0" TargetMode="External"/><Relationship Id="rId6110" Type="http://schemas.openxmlformats.org/officeDocument/2006/relationships/hyperlink" Target="https://pld.live/RapDetail.aspx?STONELIST=926060013&amp;ISCONFIRM=0" TargetMode="External"/><Relationship Id="rId418" Type="http://schemas.openxmlformats.org/officeDocument/2006/relationships/hyperlink" Target="https://pld.live/RapDetail.aspx?STONELIST=925720369&amp;ISCONFIRM=0" TargetMode="External"/><Relationship Id="rId625" Type="http://schemas.openxmlformats.org/officeDocument/2006/relationships/hyperlink" Target="https://pld.live/RapDetail.aspx?STONELIST=925981114&amp;ISCONFIRM=0" TargetMode="External"/><Relationship Id="rId832" Type="http://schemas.openxmlformats.org/officeDocument/2006/relationships/hyperlink" Target="https://pld.live/RapDetail.aspx?STONELIST=926071516&amp;ISCONFIRM=0" TargetMode="External"/><Relationship Id="rId1048" Type="http://schemas.openxmlformats.org/officeDocument/2006/relationships/hyperlink" Target="https://pld.live/RapDetail.aspx?STONELIST=926810868&amp;ISCONFIRM=0" TargetMode="External"/><Relationship Id="rId1255" Type="http://schemas.openxmlformats.org/officeDocument/2006/relationships/hyperlink" Target="https://pld.live/RapDetail.aspx?STONELIST=926331599&amp;ISCONFIRM=0" TargetMode="External"/><Relationship Id="rId1462" Type="http://schemas.openxmlformats.org/officeDocument/2006/relationships/hyperlink" Target="https://pld.live/RapDetail.aspx?STONELIST=925750603&amp;ISCONFIRM=0" TargetMode="External"/><Relationship Id="rId2306" Type="http://schemas.openxmlformats.org/officeDocument/2006/relationships/hyperlink" Target="https://pld.live/RapDetail.aspx?STONELIST=926320996&amp;ISCONFIRM=0" TargetMode="External"/><Relationship Id="rId2513" Type="http://schemas.openxmlformats.org/officeDocument/2006/relationships/hyperlink" Target="https://pld.live/RapDetail.aspx?STONELIST=926231369&amp;ISCONFIRM=0" TargetMode="External"/><Relationship Id="rId3911" Type="http://schemas.openxmlformats.org/officeDocument/2006/relationships/hyperlink" Target="https://pld.live/RapDetail.aspx?STONELIST=831010755&amp;ISCONFIRM=0" TargetMode="External"/><Relationship Id="rId5669" Type="http://schemas.openxmlformats.org/officeDocument/2006/relationships/hyperlink" Target="https://pld.live/RapDetail.aspx?STONELIST=923690482&amp;ISCONFIRM=0" TargetMode="External"/><Relationship Id="rId5876" Type="http://schemas.openxmlformats.org/officeDocument/2006/relationships/hyperlink" Target="https://pld.live/RapDetail.aspx?STONELIST=925300366&amp;ISCONFIRM=0" TargetMode="External"/><Relationship Id="rId8075" Type="http://schemas.openxmlformats.org/officeDocument/2006/relationships/hyperlink" Target="https://pld.live/RapDetail.aspx?STONELIST=926171281&amp;ISCONFIRM=0" TargetMode="External"/><Relationship Id="rId1115" Type="http://schemas.openxmlformats.org/officeDocument/2006/relationships/hyperlink" Target="https://pld.live/RapDetail.aspx?STONELIST=926831042&amp;ISCONFIRM=0" TargetMode="External"/><Relationship Id="rId1322" Type="http://schemas.openxmlformats.org/officeDocument/2006/relationships/hyperlink" Target="https://pld.live/RapDetail.aspx?STONELIST=941320611&amp;ISCONFIRM=0" TargetMode="External"/><Relationship Id="rId2720" Type="http://schemas.openxmlformats.org/officeDocument/2006/relationships/hyperlink" Target="https://pld.live/RapDetail.aspx?STONELIST=923740329&amp;ISCONFIRM=0" TargetMode="External"/><Relationship Id="rId4478" Type="http://schemas.openxmlformats.org/officeDocument/2006/relationships/hyperlink" Target="https://pld.live/RapDetail.aspx?STONELIST=941140825&amp;ISCONFIRM=0" TargetMode="External"/><Relationship Id="rId5529" Type="http://schemas.openxmlformats.org/officeDocument/2006/relationships/hyperlink" Target="https://pld.live/RapDetail.aspx?STONELIST=924260263&amp;ISCONFIRM=0" TargetMode="External"/><Relationship Id="rId6927" Type="http://schemas.openxmlformats.org/officeDocument/2006/relationships/hyperlink" Target="https://pld.live/RapDetail.aspx?STONELIST=925520975&amp;ISCONFIRM=0" TargetMode="External"/><Relationship Id="rId7091" Type="http://schemas.openxmlformats.org/officeDocument/2006/relationships/hyperlink" Target="https://pld.live/RapDetail.aspx?STONELIST=927052483&amp;ISCONFIRM=0" TargetMode="External"/><Relationship Id="rId8142" Type="http://schemas.openxmlformats.org/officeDocument/2006/relationships/hyperlink" Target="https://pld.live/RapDetail.aspx?STONELIST=941190403&amp;ISCONFIRM=0" TargetMode="External"/><Relationship Id="rId3287" Type="http://schemas.openxmlformats.org/officeDocument/2006/relationships/hyperlink" Target="https://pld.live/RapDetail.aspx?STONELIST=926820117&amp;ISCONFIRM=0" TargetMode="External"/><Relationship Id="rId4338" Type="http://schemas.openxmlformats.org/officeDocument/2006/relationships/hyperlink" Target="https://pld.live/RapDetail.aspx?STONELIST=941160615&amp;ISCONFIRM=0" TargetMode="External"/><Relationship Id="rId4685" Type="http://schemas.openxmlformats.org/officeDocument/2006/relationships/hyperlink" Target="https://pld.live/RapDetail.aspx?STONELIST=925930251&amp;ISCONFIRM=0" TargetMode="External"/><Relationship Id="rId4892" Type="http://schemas.openxmlformats.org/officeDocument/2006/relationships/hyperlink" Target="https://pld.live/RapDetail.aspx?STONELIST=926450346&amp;ISCONFIRM=0" TargetMode="External"/><Relationship Id="rId5736" Type="http://schemas.openxmlformats.org/officeDocument/2006/relationships/hyperlink" Target="https://pld.live/RapDetail.aspx?STONELIST=927092208&amp;ISCONFIRM=0" TargetMode="External"/><Relationship Id="rId5943" Type="http://schemas.openxmlformats.org/officeDocument/2006/relationships/hyperlink" Target="https://pld.live/RapDetail.aspx?STONELIST=926701080&amp;ISCONFIRM=0" TargetMode="External"/><Relationship Id="rId8002" Type="http://schemas.openxmlformats.org/officeDocument/2006/relationships/hyperlink" Target="https://pld.live/RapDetail.aspx?STONELIST=925900304&amp;ISCONFIRM=0" TargetMode="External"/><Relationship Id="rId2096" Type="http://schemas.openxmlformats.org/officeDocument/2006/relationships/hyperlink" Target="https://pld.live/RapDetail.aspx?STONELIST=924560202&amp;ISCONFIRM=0" TargetMode="External"/><Relationship Id="rId3494" Type="http://schemas.openxmlformats.org/officeDocument/2006/relationships/hyperlink" Target="https://pld.live/RapDetail.aspx?STONELIST=926250073&amp;ISCONFIRM=0" TargetMode="External"/><Relationship Id="rId4545" Type="http://schemas.openxmlformats.org/officeDocument/2006/relationships/hyperlink" Target="https://pld.live/RapDetail.aspx?STONELIST=941320780&amp;ISCONFIRM=0" TargetMode="External"/><Relationship Id="rId4752" Type="http://schemas.openxmlformats.org/officeDocument/2006/relationships/hyperlink" Target="https://pld.live/RapDetail.aspx?STONELIST=924930192&amp;ISCONFIRM=0" TargetMode="External"/><Relationship Id="rId5803" Type="http://schemas.openxmlformats.org/officeDocument/2006/relationships/hyperlink" Target="https://pld.live/RapDetail.aspx?STONELIST=926820138&amp;ISCONFIRM=0" TargetMode="External"/><Relationship Id="rId3147" Type="http://schemas.openxmlformats.org/officeDocument/2006/relationships/hyperlink" Target="https://pld.live/RapDetail.aspx?STONELIST=922340180&amp;ISCONFIRM=0" TargetMode="External"/><Relationship Id="rId3354" Type="http://schemas.openxmlformats.org/officeDocument/2006/relationships/hyperlink" Target="https://pld.live/RapDetail.aspx?STONELIST=926170478&amp;ISCONFIRM=0" TargetMode="External"/><Relationship Id="rId3561" Type="http://schemas.openxmlformats.org/officeDocument/2006/relationships/hyperlink" Target="https://pld.live/RapDetail.aspx?STONELIST=926410462&amp;ISCONFIRM=0" TargetMode="External"/><Relationship Id="rId4405" Type="http://schemas.openxmlformats.org/officeDocument/2006/relationships/hyperlink" Target="https://pld.live/RapDetail.aspx?STONELIST=927092464&amp;ISCONFIRM=0" TargetMode="External"/><Relationship Id="rId4612" Type="http://schemas.openxmlformats.org/officeDocument/2006/relationships/hyperlink" Target="https://pld.live/RapDetail.aspx?STONELIST=927052569&amp;ISCONFIRM=0" TargetMode="External"/><Relationship Id="rId7768" Type="http://schemas.openxmlformats.org/officeDocument/2006/relationships/hyperlink" Target="https://pld.live/RapDetail.aspx?STONELIST=926540012&amp;ISCONFIRM=0" TargetMode="External"/><Relationship Id="rId7975" Type="http://schemas.openxmlformats.org/officeDocument/2006/relationships/hyperlink" Target="https://pld.live/RapDetail.aspx?STONELIST=923700393&amp;ISCONFIRM=0" TargetMode="External"/><Relationship Id="rId275" Type="http://schemas.openxmlformats.org/officeDocument/2006/relationships/hyperlink" Target="https://pld.live/RapDetail.aspx?STONELIST=924190435&amp;ISCONFIRM=0" TargetMode="External"/><Relationship Id="rId482" Type="http://schemas.openxmlformats.org/officeDocument/2006/relationships/hyperlink" Target="https://pld.live/RapDetail.aspx?STONELIST=925621377&amp;ISCONFIRM=0" TargetMode="External"/><Relationship Id="rId2163" Type="http://schemas.openxmlformats.org/officeDocument/2006/relationships/hyperlink" Target="https://pld.live/RapDetail.aspx?STONELIST=926320981&amp;ISCONFIRM=0" TargetMode="External"/><Relationship Id="rId2370" Type="http://schemas.openxmlformats.org/officeDocument/2006/relationships/hyperlink" Target="https://pld.live/RapDetail.aspx?STONELIST=920661533&amp;ISCONFIRM=0" TargetMode="External"/><Relationship Id="rId3007" Type="http://schemas.openxmlformats.org/officeDocument/2006/relationships/hyperlink" Target="https://pld.live/RapDetail.aspx?STONELIST=925360408&amp;ISCONFIRM=0" TargetMode="External"/><Relationship Id="rId3214" Type="http://schemas.openxmlformats.org/officeDocument/2006/relationships/hyperlink" Target="https://pld.live/RapDetail.aspx?STONELIST=925030447&amp;ISCONFIRM=0" TargetMode="External"/><Relationship Id="rId3421" Type="http://schemas.openxmlformats.org/officeDocument/2006/relationships/hyperlink" Target="https://pld.live/RapDetail.aspx?STONELIST=925802054&amp;ISCONFIRM=0" TargetMode="External"/><Relationship Id="rId6577" Type="http://schemas.openxmlformats.org/officeDocument/2006/relationships/hyperlink" Target="https://pld.live/RapDetail.aspx?STONELIST=925700223&amp;ISCONFIRM=0" TargetMode="External"/><Relationship Id="rId6784" Type="http://schemas.openxmlformats.org/officeDocument/2006/relationships/hyperlink" Target="https://pld.live/RapDetail.aspx?STONELIST=924250637&amp;ISCONFIRM=0" TargetMode="External"/><Relationship Id="rId6991" Type="http://schemas.openxmlformats.org/officeDocument/2006/relationships/hyperlink" Target="https://pld.live/RapDetail.aspx?STONELIST=925670057&amp;ISCONFIRM=0" TargetMode="External"/><Relationship Id="rId7628" Type="http://schemas.openxmlformats.org/officeDocument/2006/relationships/hyperlink" Target="https://pld.live/RapDetail.aspx?STONELIST=926810437&amp;ISCONFIRM=0" TargetMode="External"/><Relationship Id="rId7835" Type="http://schemas.openxmlformats.org/officeDocument/2006/relationships/hyperlink" Target="https://pld.live/RapDetail.aspx?STONELIST=924620096&amp;ISCONFIRM=0" TargetMode="External"/><Relationship Id="rId135" Type="http://schemas.openxmlformats.org/officeDocument/2006/relationships/hyperlink" Target="https://pld.live/RapDetail.aspx?STONELIST=941450139&amp;ISCONFIRM=0" TargetMode="External"/><Relationship Id="rId342" Type="http://schemas.openxmlformats.org/officeDocument/2006/relationships/hyperlink" Target="https://pld.live/RapDetail.aspx?STONELIST=821130324&amp;ISCONFIRM=0" TargetMode="External"/><Relationship Id="rId2023" Type="http://schemas.openxmlformats.org/officeDocument/2006/relationships/hyperlink" Target="https://pld.live/RapDetail.aspx?STONELIST=941170277&amp;ISCONFIRM=0" TargetMode="External"/><Relationship Id="rId2230" Type="http://schemas.openxmlformats.org/officeDocument/2006/relationships/hyperlink" Target="https://pld.live/RapDetail.aspx?STONELIST=925360262&amp;ISCONFIRM=0" TargetMode="External"/><Relationship Id="rId5179" Type="http://schemas.openxmlformats.org/officeDocument/2006/relationships/hyperlink" Target="https://pld.live/RapDetail.aspx?STONELIST=926830942&amp;ISCONFIRM=0" TargetMode="External"/><Relationship Id="rId5386" Type="http://schemas.openxmlformats.org/officeDocument/2006/relationships/hyperlink" Target="https://pld.live/RapDetail.aspx?STONELIST=926210605&amp;ISCONFIRM=0" TargetMode="External"/><Relationship Id="rId5593" Type="http://schemas.openxmlformats.org/officeDocument/2006/relationships/hyperlink" Target="https://pld.live/RapDetail.aspx?STONELIST=926220572&amp;ISCONFIRM=0" TargetMode="External"/><Relationship Id="rId6437" Type="http://schemas.openxmlformats.org/officeDocument/2006/relationships/hyperlink" Target="https://pld.live/RapDetail.aspx?STONELIST=941050603&amp;ISCONFIRM=0" TargetMode="External"/><Relationship Id="rId6644" Type="http://schemas.openxmlformats.org/officeDocument/2006/relationships/hyperlink" Target="https://pld.live/RapDetail.aspx?STONELIST=920470457&amp;ISCONFIRM=0" TargetMode="External"/><Relationship Id="rId202" Type="http://schemas.openxmlformats.org/officeDocument/2006/relationships/hyperlink" Target="https://pld.live/RapDetail.aspx?STONELIST=926450549&amp;ISCONFIRM=0" TargetMode="External"/><Relationship Id="rId4195" Type="http://schemas.openxmlformats.org/officeDocument/2006/relationships/hyperlink" Target="https://pld.live/RapDetail.aspx?STONELIST=925732198&amp;ISCONFIRM=0" TargetMode="External"/><Relationship Id="rId5039" Type="http://schemas.openxmlformats.org/officeDocument/2006/relationships/hyperlink" Target="https://pld.live/RapDetail.aspx?STONELIST=925861610&amp;ISCONFIRM=0" TargetMode="External"/><Relationship Id="rId5246" Type="http://schemas.openxmlformats.org/officeDocument/2006/relationships/hyperlink" Target="https://pld.live/RapDetail.aspx?STONELIST=924290568&amp;ISCONFIRM=0" TargetMode="External"/><Relationship Id="rId5453" Type="http://schemas.openxmlformats.org/officeDocument/2006/relationships/hyperlink" Target="https://pld.live/RapDetail.aspx?STONELIST=926310770&amp;ISCONFIRM=0" TargetMode="External"/><Relationship Id="rId6504" Type="http://schemas.openxmlformats.org/officeDocument/2006/relationships/hyperlink" Target="https://pld.live/RapDetail.aspx?STONELIST=941080831&amp;ISCONFIRM=0" TargetMode="External"/><Relationship Id="rId6851" Type="http://schemas.openxmlformats.org/officeDocument/2006/relationships/hyperlink" Target="https://pld.live/RapDetail.aspx?STONELIST=821112598&amp;ISCONFIRM=0" TargetMode="External"/><Relationship Id="rId7902" Type="http://schemas.openxmlformats.org/officeDocument/2006/relationships/hyperlink" Target="https://pld.live/RapDetail.aspx?STONELIST=926921355&amp;ISCONFIRM=0" TargetMode="External"/><Relationship Id="rId1789" Type="http://schemas.openxmlformats.org/officeDocument/2006/relationships/hyperlink" Target="https://pld.live/RapDetail.aspx?STONELIST=941220052&amp;ISCONFIRM=0" TargetMode="External"/><Relationship Id="rId1996" Type="http://schemas.openxmlformats.org/officeDocument/2006/relationships/hyperlink" Target="https://pld.live/RapDetail.aspx?STONELIST=941270359&amp;ISCONFIRM=0" TargetMode="External"/><Relationship Id="rId4055" Type="http://schemas.openxmlformats.org/officeDocument/2006/relationships/hyperlink" Target="https://pld.live/RapDetail.aspx?STONELIST=925621900&amp;ISCONFIRM=0" TargetMode="External"/><Relationship Id="rId4262" Type="http://schemas.openxmlformats.org/officeDocument/2006/relationships/hyperlink" Target="https://pld.live/RapDetail.aspx?STONELIST=925502459&amp;ISCONFIRM=0" TargetMode="External"/><Relationship Id="rId5106" Type="http://schemas.openxmlformats.org/officeDocument/2006/relationships/hyperlink" Target="https://pld.live/RapDetail.aspx?STONELIST=926040919&amp;ISCONFIRM=0" TargetMode="External"/><Relationship Id="rId5660" Type="http://schemas.openxmlformats.org/officeDocument/2006/relationships/hyperlink" Target="https://pld.live/RapDetail.aspx?STONELIST=926350516&amp;ISCONFIRM=0" TargetMode="External"/><Relationship Id="rId6711" Type="http://schemas.openxmlformats.org/officeDocument/2006/relationships/hyperlink" Target="https://pld.live/RapDetail.aspx?STONELIST=926972231&amp;ISCONFIRM=0" TargetMode="External"/><Relationship Id="rId1649" Type="http://schemas.openxmlformats.org/officeDocument/2006/relationships/hyperlink" Target="https://pld.live/RapDetail.aspx?STONELIST=925870302&amp;ISCONFIRM=0" TargetMode="External"/><Relationship Id="rId1856" Type="http://schemas.openxmlformats.org/officeDocument/2006/relationships/hyperlink" Target="https://pld.live/RapDetail.aspx?STONELIST=923710355&amp;ISCONFIRM=0" TargetMode="External"/><Relationship Id="rId2907" Type="http://schemas.openxmlformats.org/officeDocument/2006/relationships/hyperlink" Target="https://pld.live/RapDetail.aspx?STONELIST=925300295&amp;ISCONFIRM=0" TargetMode="External"/><Relationship Id="rId3071" Type="http://schemas.openxmlformats.org/officeDocument/2006/relationships/hyperlink" Target="https://pld.live/RapDetail.aspx?STONELIST=926110679&amp;ISCONFIRM=0" TargetMode="External"/><Relationship Id="rId5313" Type="http://schemas.openxmlformats.org/officeDocument/2006/relationships/hyperlink" Target="https://pld.live/RapDetail.aspx?STONELIST=926920653&amp;ISCONFIRM=0" TargetMode="External"/><Relationship Id="rId5520" Type="http://schemas.openxmlformats.org/officeDocument/2006/relationships/hyperlink" Target="https://pld.live/RapDetail.aspx?STONELIST=923450145&amp;ISCONFIRM=0" TargetMode="External"/><Relationship Id="rId7278" Type="http://schemas.openxmlformats.org/officeDocument/2006/relationships/hyperlink" Target="https://pld.live/RapDetail.aspx?STONELIST=926990466&amp;ISCONFIRM=0" TargetMode="External"/><Relationship Id="rId1509" Type="http://schemas.openxmlformats.org/officeDocument/2006/relationships/hyperlink" Target="https://pld.live/RapDetail.aspx?STONELIST=926211109&amp;ISCONFIRM=0" TargetMode="External"/><Relationship Id="rId1716" Type="http://schemas.openxmlformats.org/officeDocument/2006/relationships/hyperlink" Target="https://pld.live/RapDetail.aspx?STONELIST=941400297&amp;ISCONFIRM=0" TargetMode="External"/><Relationship Id="rId1923" Type="http://schemas.openxmlformats.org/officeDocument/2006/relationships/hyperlink" Target="https://pld.live/RapDetail.aspx?STONELIST=926801276&amp;ISCONFIRM=0" TargetMode="External"/><Relationship Id="rId4122" Type="http://schemas.openxmlformats.org/officeDocument/2006/relationships/hyperlink" Target="https://pld.live/RapDetail.aspx?STONELIST=925280474&amp;ISCONFIRM=0" TargetMode="External"/><Relationship Id="rId7485" Type="http://schemas.openxmlformats.org/officeDocument/2006/relationships/hyperlink" Target="https://pld.live/RapDetail.aspx?STONELIST=925730989&amp;ISCONFIRM=0" TargetMode="External"/><Relationship Id="rId7692" Type="http://schemas.openxmlformats.org/officeDocument/2006/relationships/hyperlink" Target="https://pld.live/RapDetail.aspx?STONELIST=941261092&amp;ISCONFIRM=0" TargetMode="External"/><Relationship Id="rId3888" Type="http://schemas.openxmlformats.org/officeDocument/2006/relationships/hyperlink" Target="https://pld.live/RapDetail.aspx?STONELIST=926020699&amp;ISCONFIRM=0" TargetMode="External"/><Relationship Id="rId4939" Type="http://schemas.openxmlformats.org/officeDocument/2006/relationships/hyperlink" Target="https://pld.live/RapDetail.aspx?STONELIST=926171447&amp;ISCONFIRM=0" TargetMode="External"/><Relationship Id="rId6087" Type="http://schemas.openxmlformats.org/officeDocument/2006/relationships/hyperlink" Target="https://pld.live/RapDetail.aspx?STONELIST=926410414&amp;ISCONFIRM=0" TargetMode="External"/><Relationship Id="rId6294" Type="http://schemas.openxmlformats.org/officeDocument/2006/relationships/hyperlink" Target="https://pld.live/RapDetail.aspx?STONELIST=925100001&amp;ISCONFIRM=0" TargetMode="External"/><Relationship Id="rId7138" Type="http://schemas.openxmlformats.org/officeDocument/2006/relationships/hyperlink" Target="https://pld.live/RapDetail.aspx?STONELIST=941220692&amp;ISCONFIRM=0" TargetMode="External"/><Relationship Id="rId7345" Type="http://schemas.openxmlformats.org/officeDocument/2006/relationships/hyperlink" Target="https://pld.live/RapDetail.aspx?STONELIST=926060004&amp;ISCONFIRM=0" TargetMode="External"/><Relationship Id="rId7552" Type="http://schemas.openxmlformats.org/officeDocument/2006/relationships/hyperlink" Target="https://pld.live/RapDetail.aspx?STONELIST=925731624&amp;ISCONFIRM=0" TargetMode="External"/><Relationship Id="rId2697" Type="http://schemas.openxmlformats.org/officeDocument/2006/relationships/hyperlink" Target="https://pld.live/RapDetail.aspx?STONELIST=926341451&amp;ISCONFIRM=0" TargetMode="External"/><Relationship Id="rId3748" Type="http://schemas.openxmlformats.org/officeDocument/2006/relationships/hyperlink" Target="https://pld.live/RapDetail.aspx?STONELIST=926030088&amp;ISCONFIRM=0" TargetMode="External"/><Relationship Id="rId6154" Type="http://schemas.openxmlformats.org/officeDocument/2006/relationships/hyperlink" Target="https://pld.live/RapDetail.aspx?STONELIST=922420058&amp;ISCONFIRM=0" TargetMode="External"/><Relationship Id="rId6361" Type="http://schemas.openxmlformats.org/officeDocument/2006/relationships/hyperlink" Target="https://pld.live/RapDetail.aspx?STONELIST=927010366&amp;ISCONFIRM=0" TargetMode="External"/><Relationship Id="rId7205" Type="http://schemas.openxmlformats.org/officeDocument/2006/relationships/hyperlink" Target="https://pld.live/RapDetail.aspx?STONELIST=926030146&amp;ISCONFIRM=0" TargetMode="External"/><Relationship Id="rId7412" Type="http://schemas.openxmlformats.org/officeDocument/2006/relationships/hyperlink" Target="https://pld.live/RapDetail.aspx?STONELIST=831020310&amp;ISCONFIRM=0" TargetMode="External"/><Relationship Id="rId669" Type="http://schemas.openxmlformats.org/officeDocument/2006/relationships/hyperlink" Target="https://pld.live/RapDetail.aspx?STONELIST=926071746&amp;ISCONFIRM=0" TargetMode="External"/><Relationship Id="rId876" Type="http://schemas.openxmlformats.org/officeDocument/2006/relationships/hyperlink" Target="https://pld.live/RapDetail.aspx?STONELIST=925851239&amp;ISCONFIRM=0" TargetMode="External"/><Relationship Id="rId1299" Type="http://schemas.openxmlformats.org/officeDocument/2006/relationships/hyperlink" Target="https://pld.live/RapDetail.aspx?STONELIST=926280736&amp;ISCONFIRM=0" TargetMode="External"/><Relationship Id="rId2557" Type="http://schemas.openxmlformats.org/officeDocument/2006/relationships/hyperlink" Target="https://pld.live/RapDetail.aspx?STONELIST=920661246&amp;ISCONFIRM=0" TargetMode="External"/><Relationship Id="rId3608" Type="http://schemas.openxmlformats.org/officeDocument/2006/relationships/hyperlink" Target="https://pld.live/RapDetail.aspx?STONELIST=821133091&amp;ISCONFIRM=0" TargetMode="External"/><Relationship Id="rId3955" Type="http://schemas.openxmlformats.org/officeDocument/2006/relationships/hyperlink" Target="https://pld.live/RapDetail.aspx?STONELIST=926100767&amp;ISCONFIRM=0" TargetMode="External"/><Relationship Id="rId5170" Type="http://schemas.openxmlformats.org/officeDocument/2006/relationships/hyperlink" Target="https://pld.live/RapDetail.aspx?STONELIST=924500121&amp;ISCONFIRM=0" TargetMode="External"/><Relationship Id="rId6014" Type="http://schemas.openxmlformats.org/officeDocument/2006/relationships/hyperlink" Target="https://pld.live/RapDetail.aspx?STONELIST=925760408&amp;ISCONFIRM=0" TargetMode="External"/><Relationship Id="rId6221" Type="http://schemas.openxmlformats.org/officeDocument/2006/relationships/hyperlink" Target="https://pld.live/RapDetail.aspx?STONELIST=926410343&amp;ISCONFIRM=0" TargetMode="External"/><Relationship Id="rId529" Type="http://schemas.openxmlformats.org/officeDocument/2006/relationships/hyperlink" Target="https://pld.live/RapDetail.aspx?STONELIST=941400263&amp;ISCONFIRM=0" TargetMode="External"/><Relationship Id="rId736" Type="http://schemas.openxmlformats.org/officeDocument/2006/relationships/hyperlink" Target="https://pld.live/RapDetail.aspx?STONELIST=925621083&amp;ISCONFIRM=0" TargetMode="External"/><Relationship Id="rId1159" Type="http://schemas.openxmlformats.org/officeDocument/2006/relationships/hyperlink" Target="https://pld.live/RapDetail.aspx?STONELIST=926831159&amp;ISCONFIRM=0" TargetMode="External"/><Relationship Id="rId1366" Type="http://schemas.openxmlformats.org/officeDocument/2006/relationships/hyperlink" Target="https://pld.live/RapDetail.aspx?STONELIST=925790513&amp;ISCONFIRM=0" TargetMode="External"/><Relationship Id="rId2417" Type="http://schemas.openxmlformats.org/officeDocument/2006/relationships/hyperlink" Target="https://pld.live/RapDetail.aspx?STONELIST=926771066&amp;ISCONFIRM=0" TargetMode="External"/><Relationship Id="rId2764" Type="http://schemas.openxmlformats.org/officeDocument/2006/relationships/hyperlink" Target="https://pld.live/RapDetail.aspx?STONELIST=924660001&amp;ISCONFIRM=0" TargetMode="External"/><Relationship Id="rId2971" Type="http://schemas.openxmlformats.org/officeDocument/2006/relationships/hyperlink" Target="https://pld.live/RapDetail.aspx?STONELIST=926310850&amp;ISCONFIRM=0" TargetMode="External"/><Relationship Id="rId3815" Type="http://schemas.openxmlformats.org/officeDocument/2006/relationships/hyperlink" Target="https://pld.live/RapDetail.aspx?STONELIST=927070263&amp;ISCONFIRM=0" TargetMode="External"/><Relationship Id="rId5030" Type="http://schemas.openxmlformats.org/officeDocument/2006/relationships/hyperlink" Target="https://pld.live/RapDetail.aspx?STONELIST=926200733&amp;ISCONFIRM=0" TargetMode="External"/><Relationship Id="rId8186" Type="http://schemas.openxmlformats.org/officeDocument/2006/relationships/hyperlink" Target="https://pld.live/RapDetail.aspx?STONELIST=924560001&amp;ISCONFIRM=0" TargetMode="External"/><Relationship Id="rId943" Type="http://schemas.openxmlformats.org/officeDocument/2006/relationships/hyperlink" Target="https://pld.live/RapDetail.aspx?STONELIST=926110564&amp;ISCONFIRM=0" TargetMode="External"/><Relationship Id="rId1019" Type="http://schemas.openxmlformats.org/officeDocument/2006/relationships/hyperlink" Target="https://pld.live/RapDetail.aspx?STONELIST=926750929&amp;ISCONFIRM=0" TargetMode="External"/><Relationship Id="rId1573" Type="http://schemas.openxmlformats.org/officeDocument/2006/relationships/hyperlink" Target="https://pld.live/RapDetail.aspx?STONELIST=926221449&amp;ISCONFIRM=0" TargetMode="External"/><Relationship Id="rId1780" Type="http://schemas.openxmlformats.org/officeDocument/2006/relationships/hyperlink" Target="https://pld.live/RapDetail.aspx?STONELIST=926330940&amp;ISCONFIRM=0" TargetMode="External"/><Relationship Id="rId2624" Type="http://schemas.openxmlformats.org/officeDocument/2006/relationships/hyperlink" Target="https://pld.live/RapDetail.aspx?STONELIST=926191419&amp;ISCONFIRM=0" TargetMode="External"/><Relationship Id="rId2831" Type="http://schemas.openxmlformats.org/officeDocument/2006/relationships/hyperlink" Target="https://pld.live/RapDetail.aspx?STONELIST=925981256&amp;ISCONFIRM=0" TargetMode="External"/><Relationship Id="rId5987" Type="http://schemas.openxmlformats.org/officeDocument/2006/relationships/hyperlink" Target="https://pld.live/RapDetail.aspx?STONELIST=941071395&amp;ISCONFIRM=0" TargetMode="External"/><Relationship Id="rId8046" Type="http://schemas.openxmlformats.org/officeDocument/2006/relationships/hyperlink" Target="https://pld.live/RapDetail.aspx?STONELIST=922770001&amp;ISCONFIRM=0" TargetMode="External"/><Relationship Id="rId72" Type="http://schemas.openxmlformats.org/officeDocument/2006/relationships/hyperlink" Target="https://pld.live/RapDetail.aspx?STONELIST=831020569&amp;ISCONFIRM=0" TargetMode="External"/><Relationship Id="rId803" Type="http://schemas.openxmlformats.org/officeDocument/2006/relationships/hyperlink" Target="https://pld.live/RapDetail.aspx?STONELIST=821127680&amp;ISCONFIRM=0" TargetMode="External"/><Relationship Id="rId1226" Type="http://schemas.openxmlformats.org/officeDocument/2006/relationships/hyperlink" Target="https://pld.live/RapDetail.aspx?STONELIST=926270875&amp;ISCONFIRM=0" TargetMode="External"/><Relationship Id="rId1433" Type="http://schemas.openxmlformats.org/officeDocument/2006/relationships/hyperlink" Target="https://pld.live/RapDetail.aspx?STONELIST=926270880&amp;ISCONFIRM=0" TargetMode="External"/><Relationship Id="rId1640" Type="http://schemas.openxmlformats.org/officeDocument/2006/relationships/hyperlink" Target="https://pld.live/RapDetail.aspx?STONELIST=924960186&amp;ISCONFIRM=0" TargetMode="External"/><Relationship Id="rId4589" Type="http://schemas.openxmlformats.org/officeDocument/2006/relationships/hyperlink" Target="https://pld.live/RapDetail.aspx?STONELIST=927052561&amp;ISCONFIRM=0" TargetMode="External"/><Relationship Id="rId4796" Type="http://schemas.openxmlformats.org/officeDocument/2006/relationships/hyperlink" Target="https://pld.live/RapDetail.aspx?STONELIST=927000540&amp;ISCONFIRM=0" TargetMode="External"/><Relationship Id="rId5847" Type="http://schemas.openxmlformats.org/officeDocument/2006/relationships/hyperlink" Target="https://pld.live/RapDetail.aspx?STONELIST=926101726&amp;ISCONFIRM=0" TargetMode="External"/><Relationship Id="rId8253" Type="http://schemas.openxmlformats.org/officeDocument/2006/relationships/hyperlink" Target="https://pld.live/RapDetail.aspx?STONELIST=926311382&amp;ISCONFIRM=0" TargetMode="External"/><Relationship Id="rId1500" Type="http://schemas.openxmlformats.org/officeDocument/2006/relationships/hyperlink" Target="https://pld.live/RapDetail.aspx?STONELIST=926221325&amp;ISCONFIRM=0" TargetMode="External"/><Relationship Id="rId3398" Type="http://schemas.openxmlformats.org/officeDocument/2006/relationships/hyperlink" Target="https://pld.live/RapDetail.aspx?STONELIST=831010128&amp;ISCONFIRM=0" TargetMode="External"/><Relationship Id="rId4449" Type="http://schemas.openxmlformats.org/officeDocument/2006/relationships/hyperlink" Target="https://pld.live/RapDetail.aspx?STONELIST=925080469&amp;ISCONFIRM=0" TargetMode="External"/><Relationship Id="rId4656" Type="http://schemas.openxmlformats.org/officeDocument/2006/relationships/hyperlink" Target="https://pld.live/RapDetail.aspx?STONELIST=926730531&amp;ISCONFIRM=0" TargetMode="External"/><Relationship Id="rId4863" Type="http://schemas.openxmlformats.org/officeDocument/2006/relationships/hyperlink" Target="https://pld.live/RapDetail.aspx?STONELIST=831020724&amp;ISCONFIRM=0" TargetMode="External"/><Relationship Id="rId5707" Type="http://schemas.openxmlformats.org/officeDocument/2006/relationships/hyperlink" Target="https://pld.live/RapDetail.aspx?STONELIST=925091014&amp;ISCONFIRM=0" TargetMode="External"/><Relationship Id="rId5914" Type="http://schemas.openxmlformats.org/officeDocument/2006/relationships/hyperlink" Target="https://pld.live/RapDetail.aspx?STONELIST=925862077&amp;ISCONFIRM=0" TargetMode="External"/><Relationship Id="rId7062" Type="http://schemas.openxmlformats.org/officeDocument/2006/relationships/hyperlink" Target="https://pld.live/RapDetail.aspx?STONELIST=927052433&amp;ISCONFIRM=0" TargetMode="External"/><Relationship Id="rId8113" Type="http://schemas.openxmlformats.org/officeDocument/2006/relationships/hyperlink" Target="https://pld.live/RapDetail.aspx?STONELIST=926110158&amp;ISCONFIRM=0" TargetMode="External"/><Relationship Id="rId3258" Type="http://schemas.openxmlformats.org/officeDocument/2006/relationships/hyperlink" Target="https://pld.live/RapDetail.aspx?STONELIST=941261136&amp;ISCONFIRM=0" TargetMode="External"/><Relationship Id="rId3465" Type="http://schemas.openxmlformats.org/officeDocument/2006/relationships/hyperlink" Target="https://pld.live/RapDetail.aspx?STONELIST=925930304&amp;ISCONFIRM=0" TargetMode="External"/><Relationship Id="rId3672" Type="http://schemas.openxmlformats.org/officeDocument/2006/relationships/hyperlink" Target="https://pld.live/RapDetail.aspx?STONELIST=925600394&amp;ISCONFIRM=0" TargetMode="External"/><Relationship Id="rId4309" Type="http://schemas.openxmlformats.org/officeDocument/2006/relationships/hyperlink" Target="https://pld.live/RapDetail.aspx?STONELIST=927092199&amp;ISCONFIRM=0" TargetMode="External"/><Relationship Id="rId4516" Type="http://schemas.openxmlformats.org/officeDocument/2006/relationships/hyperlink" Target="https://pld.live/RapDetail.aspx?STONELIST=927052644&amp;ISCONFIRM=0" TargetMode="External"/><Relationship Id="rId4723" Type="http://schemas.openxmlformats.org/officeDocument/2006/relationships/hyperlink" Target="https://pld.live/RapDetail.aspx?STONELIST=925820235&amp;ISCONFIRM=0" TargetMode="External"/><Relationship Id="rId7879" Type="http://schemas.openxmlformats.org/officeDocument/2006/relationships/hyperlink" Target="https://pld.live/RapDetail.aspx?STONELIST=923820564&amp;ISCONFIRM=0" TargetMode="External"/><Relationship Id="rId179" Type="http://schemas.openxmlformats.org/officeDocument/2006/relationships/hyperlink" Target="https://pld.live/RapDetail.aspx?STONELIST=926380219&amp;ISCONFIRM=0" TargetMode="External"/><Relationship Id="rId386" Type="http://schemas.openxmlformats.org/officeDocument/2006/relationships/hyperlink" Target="https://pld.live/RapDetail.aspx?STONELIST=941360461&amp;ISCONFIRM=0" TargetMode="External"/><Relationship Id="rId593" Type="http://schemas.openxmlformats.org/officeDocument/2006/relationships/hyperlink" Target="https://pld.live/RapDetail.aspx?STONELIST=925310377&amp;ISCONFIRM=0" TargetMode="External"/><Relationship Id="rId2067" Type="http://schemas.openxmlformats.org/officeDocument/2006/relationships/hyperlink" Target="https://pld.live/RapDetail.aspx?STONELIST=924120030&amp;ISCONFIRM=0" TargetMode="External"/><Relationship Id="rId2274" Type="http://schemas.openxmlformats.org/officeDocument/2006/relationships/hyperlink" Target="https://pld.live/RapDetail.aspx?STONELIST=926180434&amp;ISCONFIRM=0" TargetMode="External"/><Relationship Id="rId2481" Type="http://schemas.openxmlformats.org/officeDocument/2006/relationships/hyperlink" Target="https://pld.live/RapDetail.aspx?STONELIST=920661436&amp;ISCONFIRM=0" TargetMode="External"/><Relationship Id="rId3118" Type="http://schemas.openxmlformats.org/officeDocument/2006/relationships/hyperlink" Target="https://pld.live/RapDetail.aspx?STONELIST=924900093&amp;ISCONFIRM=0" TargetMode="External"/><Relationship Id="rId3325" Type="http://schemas.openxmlformats.org/officeDocument/2006/relationships/hyperlink" Target="https://pld.live/RapDetail.aspx?STONELIST=926910616&amp;ISCONFIRM=0" TargetMode="External"/><Relationship Id="rId3532" Type="http://schemas.openxmlformats.org/officeDocument/2006/relationships/hyperlink" Target="https://pld.live/RapDetail.aspx?STONELIST=922940168&amp;ISCONFIRM=0" TargetMode="External"/><Relationship Id="rId4930" Type="http://schemas.openxmlformats.org/officeDocument/2006/relationships/hyperlink" Target="https://pld.live/RapDetail.aspx?STONELIST=924690210&amp;ISCONFIRM=0" TargetMode="External"/><Relationship Id="rId6688" Type="http://schemas.openxmlformats.org/officeDocument/2006/relationships/hyperlink" Target="https://pld.live/RapDetail.aspx?STONELIST=927052726&amp;ISCONFIRM=0" TargetMode="External"/><Relationship Id="rId7739" Type="http://schemas.openxmlformats.org/officeDocument/2006/relationships/hyperlink" Target="https://pld.live/RapDetail.aspx?STONELIST=831020660&amp;ISCONFIRM=0" TargetMode="External"/><Relationship Id="rId246" Type="http://schemas.openxmlformats.org/officeDocument/2006/relationships/hyperlink" Target="https://pld.live/RapDetail.aspx?STONELIST=924480014&amp;ISCONFIRM=0" TargetMode="External"/><Relationship Id="rId453" Type="http://schemas.openxmlformats.org/officeDocument/2006/relationships/hyperlink" Target="https://pld.live/RapDetail.aspx?STONELIST=925521314&amp;ISCONFIRM=0" TargetMode="External"/><Relationship Id="rId660" Type="http://schemas.openxmlformats.org/officeDocument/2006/relationships/hyperlink" Target="https://pld.live/RapDetail.aspx?STONELIST=925950892&amp;ISCONFIRM=0" TargetMode="External"/><Relationship Id="rId1083" Type="http://schemas.openxmlformats.org/officeDocument/2006/relationships/hyperlink" Target="https://pld.live/RapDetail.aspx?STONELIST=926831032&amp;ISCONFIRM=0" TargetMode="External"/><Relationship Id="rId1290" Type="http://schemas.openxmlformats.org/officeDocument/2006/relationships/hyperlink" Target="https://pld.live/RapDetail.aspx?STONELIST=926331670&amp;ISCONFIRM=0" TargetMode="External"/><Relationship Id="rId2134" Type="http://schemas.openxmlformats.org/officeDocument/2006/relationships/hyperlink" Target="https://pld.live/RapDetail.aspx?STONELIST=926180984&amp;ISCONFIRM=0" TargetMode="External"/><Relationship Id="rId2341" Type="http://schemas.openxmlformats.org/officeDocument/2006/relationships/hyperlink" Target="https://pld.live/RapDetail.aspx?STONELIST=926240782&amp;ISCONFIRM=0" TargetMode="External"/><Relationship Id="rId5497" Type="http://schemas.openxmlformats.org/officeDocument/2006/relationships/hyperlink" Target="https://pld.live/RapDetail.aspx?STONELIST=926211019&amp;ISCONFIRM=0" TargetMode="External"/><Relationship Id="rId6548" Type="http://schemas.openxmlformats.org/officeDocument/2006/relationships/hyperlink" Target="https://pld.live/RapDetail.aspx?STONELIST=927052638&amp;ISCONFIRM=0" TargetMode="External"/><Relationship Id="rId6895" Type="http://schemas.openxmlformats.org/officeDocument/2006/relationships/hyperlink" Target="https://pld.live/RapDetail.aspx?STONELIST=926101675&amp;ISCONFIRM=0" TargetMode="External"/><Relationship Id="rId7946" Type="http://schemas.openxmlformats.org/officeDocument/2006/relationships/hyperlink" Target="https://pld.live/RapDetail.aspx?STONELIST=941070923&amp;ISCONFIRM=0" TargetMode="External"/><Relationship Id="rId106" Type="http://schemas.openxmlformats.org/officeDocument/2006/relationships/hyperlink" Target="https://pld.live/RapDetail.aspx?STONELIST=831020561&amp;ISCONFIRM=0" TargetMode="External"/><Relationship Id="rId313" Type="http://schemas.openxmlformats.org/officeDocument/2006/relationships/hyperlink" Target="https://pld.live/RapDetail.aspx?STONELIST=941420389&amp;ISCONFIRM=0" TargetMode="External"/><Relationship Id="rId1150" Type="http://schemas.openxmlformats.org/officeDocument/2006/relationships/hyperlink" Target="https://pld.live/RapDetail.aspx?STONELIST=926831068&amp;ISCONFIRM=0" TargetMode="External"/><Relationship Id="rId4099" Type="http://schemas.openxmlformats.org/officeDocument/2006/relationships/hyperlink" Target="https://pld.live/RapDetail.aspx?STONELIST=926200912&amp;ISCONFIRM=0" TargetMode="External"/><Relationship Id="rId5357" Type="http://schemas.openxmlformats.org/officeDocument/2006/relationships/hyperlink" Target="https://pld.live/RapDetail.aspx?STONELIST=926750631&amp;ISCONFIRM=0" TargetMode="External"/><Relationship Id="rId6755" Type="http://schemas.openxmlformats.org/officeDocument/2006/relationships/hyperlink" Target="https://pld.live/RapDetail.aspx?STONELIST=927152921&amp;ISCONFIRM=0" TargetMode="External"/><Relationship Id="rId6962" Type="http://schemas.openxmlformats.org/officeDocument/2006/relationships/hyperlink" Target="https://pld.live/RapDetail.aspx?STONELIST=926171468&amp;ISCONFIRM=0" TargetMode="External"/><Relationship Id="rId7806" Type="http://schemas.openxmlformats.org/officeDocument/2006/relationships/hyperlink" Target="https://pld.live/RapDetail.aspx?STONELIST=927151764&amp;ISCONFIRM=0" TargetMode="External"/><Relationship Id="rId520" Type="http://schemas.openxmlformats.org/officeDocument/2006/relationships/hyperlink" Target="https://pld.live/RapDetail.aspx?STONELIST=941190210&amp;ISCONFIRM=0" TargetMode="External"/><Relationship Id="rId2201" Type="http://schemas.openxmlformats.org/officeDocument/2006/relationships/hyperlink" Target="https://pld.live/RapDetail.aspx?STONELIST=821127922&amp;ISCONFIRM=0" TargetMode="External"/><Relationship Id="rId5564" Type="http://schemas.openxmlformats.org/officeDocument/2006/relationships/hyperlink" Target="https://pld.live/RapDetail.aspx?STONELIST=924410833&amp;ISCONFIRM=0" TargetMode="External"/><Relationship Id="rId5771" Type="http://schemas.openxmlformats.org/officeDocument/2006/relationships/hyperlink" Target="https://pld.live/RapDetail.aspx?STONELIST=925740709&amp;ISCONFIRM=0" TargetMode="External"/><Relationship Id="rId6408" Type="http://schemas.openxmlformats.org/officeDocument/2006/relationships/hyperlink" Target="https://pld.live/RapDetail.aspx?STONELIST=821113116&amp;ISCONFIRM=0" TargetMode="External"/><Relationship Id="rId6615" Type="http://schemas.openxmlformats.org/officeDocument/2006/relationships/hyperlink" Target="https://pld.live/RapDetail.aspx?STONELIST=926820103&amp;ISCONFIRM=0" TargetMode="External"/><Relationship Id="rId6822" Type="http://schemas.openxmlformats.org/officeDocument/2006/relationships/hyperlink" Target="https://pld.live/RapDetail.aspx?STONELIST=924300676&amp;ISCONFIRM=0" TargetMode="External"/><Relationship Id="rId1010" Type="http://schemas.openxmlformats.org/officeDocument/2006/relationships/hyperlink" Target="https://pld.live/RapDetail.aspx?STONELIST=927150650&amp;ISCONFIRM=0" TargetMode="External"/><Relationship Id="rId1967" Type="http://schemas.openxmlformats.org/officeDocument/2006/relationships/hyperlink" Target="https://pld.live/RapDetail.aspx?STONELIST=941190301&amp;ISCONFIRM=0" TargetMode="External"/><Relationship Id="rId4166" Type="http://schemas.openxmlformats.org/officeDocument/2006/relationships/hyperlink" Target="https://pld.live/RapDetail.aspx?STONELIST=926071846&amp;ISCONFIRM=0" TargetMode="External"/><Relationship Id="rId4373" Type="http://schemas.openxmlformats.org/officeDocument/2006/relationships/hyperlink" Target="https://pld.live/RapDetail.aspx?STONELIST=926790371&amp;ISCONFIRM=0" TargetMode="External"/><Relationship Id="rId4580" Type="http://schemas.openxmlformats.org/officeDocument/2006/relationships/hyperlink" Target="https://pld.live/RapDetail.aspx?STONELIST=926730490&amp;ISCONFIRM=0" TargetMode="External"/><Relationship Id="rId5217" Type="http://schemas.openxmlformats.org/officeDocument/2006/relationships/hyperlink" Target="https://pld.live/RapDetail.aspx?STONELIST=925520766&amp;ISCONFIRM=0" TargetMode="External"/><Relationship Id="rId5424" Type="http://schemas.openxmlformats.org/officeDocument/2006/relationships/hyperlink" Target="https://pld.live/RapDetail.aspx?STONELIST=941351063&amp;ISCONFIRM=0" TargetMode="External"/><Relationship Id="rId5631" Type="http://schemas.openxmlformats.org/officeDocument/2006/relationships/hyperlink" Target="https://pld.live/RapDetail.aspx?STONELIST=925040325&amp;ISCONFIRM=0" TargetMode="External"/><Relationship Id="rId4026" Type="http://schemas.openxmlformats.org/officeDocument/2006/relationships/hyperlink" Target="https://pld.live/RapDetail.aspx?STONELIST=925620695&amp;ISCONFIRM=0" TargetMode="External"/><Relationship Id="rId4440" Type="http://schemas.openxmlformats.org/officeDocument/2006/relationships/hyperlink" Target="https://pld.live/RapDetail.aspx?STONELIST=926210774&amp;ISCONFIRM=0" TargetMode="External"/><Relationship Id="rId7596" Type="http://schemas.openxmlformats.org/officeDocument/2006/relationships/hyperlink" Target="https://pld.live/RapDetail.aspx?STONELIST=925732019&amp;ISCONFIRM=0" TargetMode="External"/><Relationship Id="rId3042" Type="http://schemas.openxmlformats.org/officeDocument/2006/relationships/hyperlink" Target="https://pld.live/RapDetail.aspx?STONELIST=926111121&amp;ISCONFIRM=0" TargetMode="External"/><Relationship Id="rId6198" Type="http://schemas.openxmlformats.org/officeDocument/2006/relationships/hyperlink" Target="https://pld.live/RapDetail.aspx?STONELIST=831020540&amp;ISCONFIRM=0" TargetMode="External"/><Relationship Id="rId7249" Type="http://schemas.openxmlformats.org/officeDocument/2006/relationships/hyperlink" Target="https://pld.live/RapDetail.aspx?STONELIST=926980715&amp;ISCONFIRM=0" TargetMode="External"/><Relationship Id="rId7663" Type="http://schemas.openxmlformats.org/officeDocument/2006/relationships/hyperlink" Target="https://pld.live/RapDetail.aspx?STONELIST=941170086&amp;ISCONFIRM=0" TargetMode="External"/><Relationship Id="rId6265" Type="http://schemas.openxmlformats.org/officeDocument/2006/relationships/hyperlink" Target="https://pld.live/RapDetail.aspx?STONELIST=831020614&amp;ISCONFIRM=0" TargetMode="External"/><Relationship Id="rId7316" Type="http://schemas.openxmlformats.org/officeDocument/2006/relationships/hyperlink" Target="https://pld.live/RapDetail.aspx?STONELIST=927132552&amp;ISCONFIRM=0" TargetMode="External"/><Relationship Id="rId3859" Type="http://schemas.openxmlformats.org/officeDocument/2006/relationships/hyperlink" Target="https://pld.live/RapDetail.aspx?STONELIST=925502144&amp;ISCONFIRM=0" TargetMode="External"/><Relationship Id="rId5281" Type="http://schemas.openxmlformats.org/officeDocument/2006/relationships/hyperlink" Target="https://pld.live/RapDetail.aspx?STONELIST=831020367&amp;ISCONFIRM=0" TargetMode="External"/><Relationship Id="rId7730" Type="http://schemas.openxmlformats.org/officeDocument/2006/relationships/hyperlink" Target="https://pld.live/RapDetail.aspx?STONELIST=927120032&amp;ISCONFIRM=0" TargetMode="External"/><Relationship Id="rId2875" Type="http://schemas.openxmlformats.org/officeDocument/2006/relationships/hyperlink" Target="https://pld.live/RapDetail.aspx?STONELIST=922650369&amp;ISCONFIRM=0" TargetMode="External"/><Relationship Id="rId3926" Type="http://schemas.openxmlformats.org/officeDocument/2006/relationships/hyperlink" Target="https://pld.live/RapDetail.aspx?STONELIST=926041253&amp;ISCONFIRM=0" TargetMode="External"/><Relationship Id="rId6332" Type="http://schemas.openxmlformats.org/officeDocument/2006/relationships/hyperlink" Target="https://pld.live/RapDetail.aspx?STONELIST=927020199&amp;ISCONFIRM=0" TargetMode="External"/><Relationship Id="rId847" Type="http://schemas.openxmlformats.org/officeDocument/2006/relationships/hyperlink" Target="https://pld.live/RapDetail.aspx?STONELIST=821127408&amp;ISCONFIRM=0" TargetMode="External"/><Relationship Id="rId1477" Type="http://schemas.openxmlformats.org/officeDocument/2006/relationships/hyperlink" Target="https://pld.live/RapDetail.aspx?STONELIST=926221216&amp;ISCONFIRM=0" TargetMode="External"/><Relationship Id="rId1891" Type="http://schemas.openxmlformats.org/officeDocument/2006/relationships/hyperlink" Target="https://pld.live/RapDetail.aspx?STONELIST=926491251&amp;ISCONFIRM=0" TargetMode="External"/><Relationship Id="rId2528" Type="http://schemas.openxmlformats.org/officeDocument/2006/relationships/hyperlink" Target="https://pld.live/RapDetail.aspx?STONELIST=926180804&amp;ISCONFIRM=0" TargetMode="External"/><Relationship Id="rId2942" Type="http://schemas.openxmlformats.org/officeDocument/2006/relationships/hyperlink" Target="https://pld.live/RapDetail.aspx?STONELIST=925940630&amp;ISCONFIRM=0" TargetMode="External"/><Relationship Id="rId914" Type="http://schemas.openxmlformats.org/officeDocument/2006/relationships/hyperlink" Target="https://pld.live/RapDetail.aspx?STONELIST=821127446&amp;ISCONFIRM=0" TargetMode="External"/><Relationship Id="rId1544" Type="http://schemas.openxmlformats.org/officeDocument/2006/relationships/hyperlink" Target="https://pld.live/RapDetail.aspx?STONELIST=926331697&amp;ISCONFIRM=0" TargetMode="External"/><Relationship Id="rId5001" Type="http://schemas.openxmlformats.org/officeDocument/2006/relationships/hyperlink" Target="https://pld.live/RapDetail.aspx?STONELIST=926171163&amp;ISCONFIRM=0" TargetMode="External"/><Relationship Id="rId8157" Type="http://schemas.openxmlformats.org/officeDocument/2006/relationships/hyperlink" Target="https://pld.live/RapDetail.aspx?STONELIST=924350078&amp;ISCONFIRM=0" TargetMode="External"/><Relationship Id="rId1611" Type="http://schemas.openxmlformats.org/officeDocument/2006/relationships/hyperlink" Target="https://pld.live/RapDetail.aspx?STONELIST=926211088&amp;ISCONFIRM=0" TargetMode="External"/><Relationship Id="rId4767" Type="http://schemas.openxmlformats.org/officeDocument/2006/relationships/hyperlink" Target="https://pld.live/RapDetail.aspx?STONELIST=924250390&amp;ISCONFIRM=0" TargetMode="External"/><Relationship Id="rId5818" Type="http://schemas.openxmlformats.org/officeDocument/2006/relationships/hyperlink" Target="https://pld.live/RapDetail.aspx?STONELIST=926850159&amp;ISCONFIRM=0" TargetMode="External"/><Relationship Id="rId7173" Type="http://schemas.openxmlformats.org/officeDocument/2006/relationships/hyperlink" Target="https://pld.live/RapDetail.aspx?STONELIST=927020677&amp;ISCONFIRM=0" TargetMode="External"/><Relationship Id="rId8224" Type="http://schemas.openxmlformats.org/officeDocument/2006/relationships/hyperlink" Target="https://pld.live/RapDetail.aspx?STONELIST=925771278&amp;ISCONFIRM=0" TargetMode="External"/><Relationship Id="rId3369" Type="http://schemas.openxmlformats.org/officeDocument/2006/relationships/hyperlink" Target="https://pld.live/RapDetail.aspx?STONELIST=926101587&amp;ISCONFIRM=0" TargetMode="External"/><Relationship Id="rId7240" Type="http://schemas.openxmlformats.org/officeDocument/2006/relationships/hyperlink" Target="https://pld.live/RapDetail.aspx?STONELIST=9413900605&amp;ISCONFIRM=0" TargetMode="External"/><Relationship Id="rId2385" Type="http://schemas.openxmlformats.org/officeDocument/2006/relationships/hyperlink" Target="https://pld.live/RapDetail.aspx?STONELIST=926391138&amp;ISCONFIRM=0" TargetMode="External"/><Relationship Id="rId3783" Type="http://schemas.openxmlformats.org/officeDocument/2006/relationships/hyperlink" Target="https://pld.live/RapDetail.aspx?STONELIST=927060460&amp;ISCONFIRM=0" TargetMode="External"/><Relationship Id="rId4834" Type="http://schemas.openxmlformats.org/officeDocument/2006/relationships/hyperlink" Target="https://pld.live/RapDetail.aspx?STONELIST=925621799&amp;ISCONFIRM=0" TargetMode="External"/><Relationship Id="rId357" Type="http://schemas.openxmlformats.org/officeDocument/2006/relationships/hyperlink" Target="https://pld.live/RapDetail.aspx?STONELIST=941421267&amp;ISCONFIRM=0" TargetMode="External"/><Relationship Id="rId2038" Type="http://schemas.openxmlformats.org/officeDocument/2006/relationships/hyperlink" Target="https://pld.live/RapDetail.aspx?STONELIST=924040094&amp;ISCONFIRM=0" TargetMode="External"/><Relationship Id="rId3436" Type="http://schemas.openxmlformats.org/officeDocument/2006/relationships/hyperlink" Target="https://pld.live/RapDetail.aspx?STONELIST=821115085&amp;ISCONFIRM=0" TargetMode="External"/><Relationship Id="rId3850" Type="http://schemas.openxmlformats.org/officeDocument/2006/relationships/hyperlink" Target="https://pld.live/RapDetail.aspx?STONELIST=831020677&amp;ISCONFIRM=0" TargetMode="External"/><Relationship Id="rId4901" Type="http://schemas.openxmlformats.org/officeDocument/2006/relationships/hyperlink" Target="https://pld.live/RapDetail.aspx?STONELIST=821113627&amp;ISCONFIRM=0" TargetMode="External"/><Relationship Id="rId771" Type="http://schemas.openxmlformats.org/officeDocument/2006/relationships/hyperlink" Target="https://pld.live/RapDetail.aspx?STONELIST=925940523&amp;ISCONFIRM=0" TargetMode="External"/><Relationship Id="rId2452" Type="http://schemas.openxmlformats.org/officeDocument/2006/relationships/hyperlink" Target="https://pld.live/RapDetail.aspx?STONELIST=941390187&amp;ISCONFIRM=0" TargetMode="External"/><Relationship Id="rId3503" Type="http://schemas.openxmlformats.org/officeDocument/2006/relationships/hyperlink" Target="https://pld.live/RapDetail.aspx?STONELIST=926250440&amp;ISCONFIRM=0" TargetMode="External"/><Relationship Id="rId6659" Type="http://schemas.openxmlformats.org/officeDocument/2006/relationships/hyperlink" Target="https://pld.live/RapDetail.aspx?STONELIST=927092623&amp;ISCONFIRM=0" TargetMode="External"/><Relationship Id="rId424" Type="http://schemas.openxmlformats.org/officeDocument/2006/relationships/hyperlink" Target="https://pld.live/RapDetail.aspx?STONELIST=925861202&amp;ISCONFIRM=0" TargetMode="External"/><Relationship Id="rId1054" Type="http://schemas.openxmlformats.org/officeDocument/2006/relationships/hyperlink" Target="https://pld.live/RapDetail.aspx?STONELIST=926681037&amp;ISCONFIRM=0" TargetMode="External"/><Relationship Id="rId2105" Type="http://schemas.openxmlformats.org/officeDocument/2006/relationships/hyperlink" Target="https://pld.live/RapDetail.aspx?STONELIST=821127966&amp;ISCONFIRM=0" TargetMode="External"/><Relationship Id="rId5675" Type="http://schemas.openxmlformats.org/officeDocument/2006/relationships/hyperlink" Target="https://pld.live/RapDetail.aspx?STONELIST=926280616&amp;ISCONFIRM=0" TargetMode="External"/><Relationship Id="rId6726" Type="http://schemas.openxmlformats.org/officeDocument/2006/relationships/hyperlink" Target="https://pld.live/RapDetail.aspx?STONELIST=927132461&amp;ISCONFIRM=0" TargetMode="External"/><Relationship Id="rId8081" Type="http://schemas.openxmlformats.org/officeDocument/2006/relationships/hyperlink" Target="https://pld.live/RapDetail.aspx?STONELIST=926071608&amp;ISCONFIRM=0" TargetMode="External"/><Relationship Id="rId1121" Type="http://schemas.openxmlformats.org/officeDocument/2006/relationships/hyperlink" Target="https://pld.live/RapDetail.aspx?STONELIST=926741069&amp;ISCONFIRM=0" TargetMode="External"/><Relationship Id="rId4277" Type="http://schemas.openxmlformats.org/officeDocument/2006/relationships/hyperlink" Target="https://pld.live/RapDetail.aspx?STONELIST=925110414&amp;ISCONFIRM=0" TargetMode="External"/><Relationship Id="rId4691" Type="http://schemas.openxmlformats.org/officeDocument/2006/relationships/hyperlink" Target="https://pld.live/RapDetail.aspx?STONELIST=926470396&amp;ISCONFIRM=0" TargetMode="External"/><Relationship Id="rId5328" Type="http://schemas.openxmlformats.org/officeDocument/2006/relationships/hyperlink" Target="https://pld.live/RapDetail.aspx?STONELIST=926680781&amp;ISCONFIRM=0" TargetMode="External"/><Relationship Id="rId5742" Type="http://schemas.openxmlformats.org/officeDocument/2006/relationships/hyperlink" Target="https://pld.live/RapDetail.aspx?STONELIST=941170255&amp;ISCONFIRM=0" TargetMode="External"/><Relationship Id="rId3293" Type="http://schemas.openxmlformats.org/officeDocument/2006/relationships/hyperlink" Target="https://pld.live/RapDetail.aspx?STONELIST=926130076&amp;ISCONFIRM=0" TargetMode="External"/><Relationship Id="rId4344" Type="http://schemas.openxmlformats.org/officeDocument/2006/relationships/hyperlink" Target="https://pld.live/RapDetail.aspx?STONELIST=941190237&amp;ISCONFIRM=0" TargetMode="External"/><Relationship Id="rId1938" Type="http://schemas.openxmlformats.org/officeDocument/2006/relationships/hyperlink" Target="https://pld.live/RapDetail.aspx?STONELIST=926801288&amp;ISCONFIRM=0" TargetMode="External"/><Relationship Id="rId3360" Type="http://schemas.openxmlformats.org/officeDocument/2006/relationships/hyperlink" Target="https://pld.live/RapDetail.aspx?STONELIST=926170082&amp;ISCONFIRM=0" TargetMode="External"/><Relationship Id="rId7567" Type="http://schemas.openxmlformats.org/officeDocument/2006/relationships/hyperlink" Target="https://pld.live/RapDetail.aspx?STONELIST=926101424&amp;ISCONFIRM=0" TargetMode="External"/><Relationship Id="rId281" Type="http://schemas.openxmlformats.org/officeDocument/2006/relationships/hyperlink" Target="https://pld.live/RapDetail.aspx?STONELIST=925000030&amp;ISCONFIRM=0" TargetMode="External"/><Relationship Id="rId3013" Type="http://schemas.openxmlformats.org/officeDocument/2006/relationships/hyperlink" Target="https://pld.live/RapDetail.aspx?STONELIST=926211211&amp;ISCONFIRM=0" TargetMode="External"/><Relationship Id="rId4411" Type="http://schemas.openxmlformats.org/officeDocument/2006/relationships/hyperlink" Target="https://pld.live/RapDetail.aspx?STONELIST=926110139&amp;ISCONFIRM=0" TargetMode="External"/><Relationship Id="rId6169" Type="http://schemas.openxmlformats.org/officeDocument/2006/relationships/hyperlink" Target="https://pld.live/RapDetail.aspx?STONELIST=941180054&amp;ISCONFIRM=0" TargetMode="External"/><Relationship Id="rId7981" Type="http://schemas.openxmlformats.org/officeDocument/2006/relationships/hyperlink" Target="https://pld.live/RapDetail.aspx?STONELIST=926871120&amp;ISCONFIRM=0" TargetMode="External"/><Relationship Id="rId6583" Type="http://schemas.openxmlformats.org/officeDocument/2006/relationships/hyperlink" Target="https://pld.live/RapDetail.aspx?STONELIST=926410001&amp;ISCONFIRM=0" TargetMode="External"/><Relationship Id="rId7634" Type="http://schemas.openxmlformats.org/officeDocument/2006/relationships/hyperlink" Target="https://pld.live/RapDetail.aspx?STONELIST=926810623&amp;ISCONFIRM=0" TargetMode="External"/><Relationship Id="rId2779" Type="http://schemas.openxmlformats.org/officeDocument/2006/relationships/hyperlink" Target="https://pld.live/RapDetail.aspx?STONELIST=831010515&amp;ISCONFIRM=0" TargetMode="External"/><Relationship Id="rId5185" Type="http://schemas.openxmlformats.org/officeDocument/2006/relationships/hyperlink" Target="https://pld.live/RapDetail.aspx?STONELIST=925731602&amp;ISCONFIRM=0" TargetMode="External"/><Relationship Id="rId6236" Type="http://schemas.openxmlformats.org/officeDocument/2006/relationships/hyperlink" Target="https://pld.live/RapDetail.aspx?STONELIST=941150086&amp;ISCONFIRM=0" TargetMode="External"/><Relationship Id="rId6650" Type="http://schemas.openxmlformats.org/officeDocument/2006/relationships/hyperlink" Target="https://pld.live/RapDetail.aspx?STONELIST=927152948&amp;ISCONFIRM=0" TargetMode="External"/><Relationship Id="rId7701" Type="http://schemas.openxmlformats.org/officeDocument/2006/relationships/hyperlink" Target="https://pld.live/RapDetail.aspx?STONELIST=941270794&amp;ISCONFIRM=0" TargetMode="External"/><Relationship Id="rId1795" Type="http://schemas.openxmlformats.org/officeDocument/2006/relationships/hyperlink" Target="https://pld.live/RapDetail.aspx?STONELIST=941380376&amp;ISCONFIRM=0" TargetMode="External"/><Relationship Id="rId2846" Type="http://schemas.openxmlformats.org/officeDocument/2006/relationships/hyperlink" Target="https://pld.live/RapDetail.aspx?STONELIST=925890602&amp;ISCONFIRM=0" TargetMode="External"/><Relationship Id="rId5252" Type="http://schemas.openxmlformats.org/officeDocument/2006/relationships/hyperlink" Target="https://pld.live/RapDetail.aspx?STONELIST=925830623&amp;ISCONFIRM=0" TargetMode="External"/><Relationship Id="rId6303" Type="http://schemas.openxmlformats.org/officeDocument/2006/relationships/hyperlink" Target="https://pld.live/RapDetail.aspx?STONELIST=925490004&amp;ISCONFIRM=0" TargetMode="External"/><Relationship Id="rId87" Type="http://schemas.openxmlformats.org/officeDocument/2006/relationships/hyperlink" Target="https://pld.live/RapDetail.aspx?STONELIST=831020005&amp;ISCONFIRM=0" TargetMode="External"/><Relationship Id="rId818" Type="http://schemas.openxmlformats.org/officeDocument/2006/relationships/hyperlink" Target="https://pld.live/RapDetail.aspx?STONELIST=926041170&amp;ISCONFIRM=0" TargetMode="External"/><Relationship Id="rId1448" Type="http://schemas.openxmlformats.org/officeDocument/2006/relationships/hyperlink" Target="https://pld.live/RapDetail.aspx?STONELIST=926250577&amp;ISCONFIRM=0" TargetMode="External"/><Relationship Id="rId1862" Type="http://schemas.openxmlformats.org/officeDocument/2006/relationships/hyperlink" Target="https://pld.live/RapDetail.aspx?STONELIST=831010712&amp;ISCONFIRM=0" TargetMode="External"/><Relationship Id="rId2913" Type="http://schemas.openxmlformats.org/officeDocument/2006/relationships/hyperlink" Target="https://pld.live/RapDetail.aspx?STONELIST=831010800&amp;ISCONFIRM=0" TargetMode="External"/><Relationship Id="rId7077" Type="http://schemas.openxmlformats.org/officeDocument/2006/relationships/hyperlink" Target="https://pld.live/RapDetail.aspx?STONELIST=941040794&amp;ISCONFIRM=0" TargetMode="External"/><Relationship Id="rId7491" Type="http://schemas.openxmlformats.org/officeDocument/2006/relationships/hyperlink" Target="https://pld.live/RapDetail.aspx?STONELIST=926071494&amp;ISCONFIRM=0" TargetMode="External"/><Relationship Id="rId8128" Type="http://schemas.openxmlformats.org/officeDocument/2006/relationships/hyperlink" Target="https://pld.live/RapDetail.aspx?STONELIST=926210609&amp;ISCONFIRM=0" TargetMode="External"/><Relationship Id="rId1515" Type="http://schemas.openxmlformats.org/officeDocument/2006/relationships/hyperlink" Target="https://pld.live/RapDetail.aspx?STONELIST=926280639&amp;ISCONFIRM=0" TargetMode="External"/><Relationship Id="rId6093" Type="http://schemas.openxmlformats.org/officeDocument/2006/relationships/hyperlink" Target="https://pld.live/RapDetail.aspx?STONELIST=926470450&amp;ISCONFIRM=0" TargetMode="External"/><Relationship Id="rId7144" Type="http://schemas.openxmlformats.org/officeDocument/2006/relationships/hyperlink" Target="https://pld.live/RapDetail.aspx?STONELIST=926600051&amp;ISCONFIRM=0" TargetMode="External"/><Relationship Id="rId3687" Type="http://schemas.openxmlformats.org/officeDocument/2006/relationships/hyperlink" Target="https://pld.live/RapDetail.aspx?STONELIST=925670204&amp;ISCONFIRM=0" TargetMode="External"/><Relationship Id="rId4738" Type="http://schemas.openxmlformats.org/officeDocument/2006/relationships/hyperlink" Target="https://pld.live/RapDetail.aspx?STONELIST=926910551&amp;ISCONFIRM=0" TargetMode="External"/><Relationship Id="rId2289" Type="http://schemas.openxmlformats.org/officeDocument/2006/relationships/hyperlink" Target="https://pld.live/RapDetail.aspx?STONELIST=926240888&amp;ISCONFIRM=0" TargetMode="External"/><Relationship Id="rId3754" Type="http://schemas.openxmlformats.org/officeDocument/2006/relationships/hyperlink" Target="https://pld.live/RapDetail.aspx?STONELIST=925680138&amp;ISCONFIRM=0" TargetMode="External"/><Relationship Id="rId4805" Type="http://schemas.openxmlformats.org/officeDocument/2006/relationships/hyperlink" Target="https://pld.live/RapDetail.aspx?STONELIST=925710043&amp;ISCONFIRM=0" TargetMode="External"/><Relationship Id="rId6160" Type="http://schemas.openxmlformats.org/officeDocument/2006/relationships/hyperlink" Target="https://pld.live/RapDetail.aspx?STONELIST=924380474&amp;ISCONFIRM=0" TargetMode="External"/><Relationship Id="rId7211" Type="http://schemas.openxmlformats.org/officeDocument/2006/relationships/hyperlink" Target="https://pld.live/RapDetail.aspx?STONELIST=821112006&amp;ISCONFIRM=0" TargetMode="External"/><Relationship Id="rId675" Type="http://schemas.openxmlformats.org/officeDocument/2006/relationships/hyperlink" Target="https://pld.live/RapDetail.aspx?STONELIST=925950991&amp;ISCONFIRM=0" TargetMode="External"/><Relationship Id="rId2356" Type="http://schemas.openxmlformats.org/officeDocument/2006/relationships/hyperlink" Target="https://pld.live/RapDetail.aspx?STONELIST=926460878&amp;ISCONFIRM=0" TargetMode="External"/><Relationship Id="rId2770" Type="http://schemas.openxmlformats.org/officeDocument/2006/relationships/hyperlink" Target="https://pld.live/RapDetail.aspx?STONELIST=925510125&amp;ISCONFIRM=0" TargetMode="External"/><Relationship Id="rId3407" Type="http://schemas.openxmlformats.org/officeDocument/2006/relationships/hyperlink" Target="https://pld.live/RapDetail.aspx?STONELIST=922190101&amp;ISCONFIRM=0" TargetMode="External"/><Relationship Id="rId3821" Type="http://schemas.openxmlformats.org/officeDocument/2006/relationships/hyperlink" Target="https://pld.live/RapDetail.aspx?STONELIST=941080139&amp;ISCONFIRM=0" TargetMode="External"/><Relationship Id="rId6977" Type="http://schemas.openxmlformats.org/officeDocument/2006/relationships/hyperlink" Target="https://pld.live/RapDetail.aspx?STONELIST=821126934&amp;ISCONFIRM=0" TargetMode="External"/><Relationship Id="rId328" Type="http://schemas.openxmlformats.org/officeDocument/2006/relationships/hyperlink" Target="https://pld.live/RapDetail.aspx?STONELIST=941420662&amp;ISCONFIRM=0" TargetMode="External"/><Relationship Id="rId742" Type="http://schemas.openxmlformats.org/officeDocument/2006/relationships/hyperlink" Target="https://pld.live/RapDetail.aspx?STONELIST=925830615&amp;ISCONFIRM=0" TargetMode="External"/><Relationship Id="rId1372" Type="http://schemas.openxmlformats.org/officeDocument/2006/relationships/hyperlink" Target="https://pld.live/RapDetail.aspx?STONELIST=926221278&amp;ISCONFIRM=0" TargetMode="External"/><Relationship Id="rId2009" Type="http://schemas.openxmlformats.org/officeDocument/2006/relationships/hyperlink" Target="https://pld.live/RapDetail.aspx?STONELIST=941340589&amp;ISCONFIRM=0" TargetMode="External"/><Relationship Id="rId2423" Type="http://schemas.openxmlformats.org/officeDocument/2006/relationships/hyperlink" Target="https://pld.live/RapDetail.aspx?STONELIST=926430903&amp;ISCONFIRM=0" TargetMode="External"/><Relationship Id="rId5579" Type="http://schemas.openxmlformats.org/officeDocument/2006/relationships/hyperlink" Target="https://pld.live/RapDetail.aspx?STONELIST=924290558&amp;ISCONFIRM=0" TargetMode="External"/><Relationship Id="rId1025" Type="http://schemas.openxmlformats.org/officeDocument/2006/relationships/hyperlink" Target="https://pld.live/RapDetail.aspx?STONELIST=926831008&amp;ISCONFIRM=0" TargetMode="External"/><Relationship Id="rId4595" Type="http://schemas.openxmlformats.org/officeDocument/2006/relationships/hyperlink" Target="https://pld.live/RapDetail.aspx?STONELIST=927132043&amp;ISCONFIRM=0" TargetMode="External"/><Relationship Id="rId5646" Type="http://schemas.openxmlformats.org/officeDocument/2006/relationships/hyperlink" Target="https://pld.live/RapDetail.aspx?STONELIST=941261082&amp;ISCONFIRM=0" TargetMode="External"/><Relationship Id="rId5993" Type="http://schemas.openxmlformats.org/officeDocument/2006/relationships/hyperlink" Target="https://pld.live/RapDetail.aspx?STONELIST=941071346&amp;ISCONFIRM=0" TargetMode="External"/><Relationship Id="rId8052" Type="http://schemas.openxmlformats.org/officeDocument/2006/relationships/hyperlink" Target="https://pld.live/RapDetail.aspx?STONELIST=831010731&amp;ISCONFIRM=0" TargetMode="External"/><Relationship Id="rId3197" Type="http://schemas.openxmlformats.org/officeDocument/2006/relationships/hyperlink" Target="https://pld.live/RapDetail.aspx?STONELIST=925040472&amp;ISCONFIRM=0" TargetMode="External"/><Relationship Id="rId4248" Type="http://schemas.openxmlformats.org/officeDocument/2006/relationships/hyperlink" Target="https://pld.live/RapDetail.aspx?STONELIST=831010551&amp;ISCONFIRM=0" TargetMode="External"/><Relationship Id="rId4662" Type="http://schemas.openxmlformats.org/officeDocument/2006/relationships/hyperlink" Target="https://pld.live/RapDetail.aspx?STONELIST=927152760&amp;ISCONFIRM=0" TargetMode="External"/><Relationship Id="rId5713" Type="http://schemas.openxmlformats.org/officeDocument/2006/relationships/hyperlink" Target="https://pld.live/RapDetail.aspx?STONELIST=831010498&amp;ISCONFIRM=0" TargetMode="External"/><Relationship Id="rId185" Type="http://schemas.openxmlformats.org/officeDocument/2006/relationships/hyperlink" Target="https://pld.live/RapDetail.aspx?STONELIST=941050583&amp;ISCONFIRM=0" TargetMode="External"/><Relationship Id="rId1909" Type="http://schemas.openxmlformats.org/officeDocument/2006/relationships/hyperlink" Target="https://pld.live/RapDetail.aspx?STONELIST=926801164&amp;ISCONFIRM=0" TargetMode="External"/><Relationship Id="rId3264" Type="http://schemas.openxmlformats.org/officeDocument/2006/relationships/hyperlink" Target="https://pld.live/RapDetail.aspx?STONELIST=9412700822&amp;ISCONFIRM=0" TargetMode="External"/><Relationship Id="rId4315" Type="http://schemas.openxmlformats.org/officeDocument/2006/relationships/hyperlink" Target="https://pld.live/RapDetail.aspx?STONELIST=927092367&amp;ISCONFIRM=0" TargetMode="External"/><Relationship Id="rId7885" Type="http://schemas.openxmlformats.org/officeDocument/2006/relationships/hyperlink" Target="https://pld.live/RapDetail.aspx?STONELIST=926291366&amp;ISCONFIRM=0" TargetMode="External"/><Relationship Id="rId2280" Type="http://schemas.openxmlformats.org/officeDocument/2006/relationships/hyperlink" Target="https://pld.live/RapDetail.aspx?STONELIST=926191008&amp;ISCONFIRM=0" TargetMode="External"/><Relationship Id="rId3331" Type="http://schemas.openxmlformats.org/officeDocument/2006/relationships/hyperlink" Target="https://pld.live/RapDetail.aspx?STONELIST=926540155&amp;ISCONFIRM=0" TargetMode="External"/><Relationship Id="rId6487" Type="http://schemas.openxmlformats.org/officeDocument/2006/relationships/hyperlink" Target="https://pld.live/RapDetail.aspx?STONELIST=941071309&amp;ISCONFIRM=0" TargetMode="External"/><Relationship Id="rId7538" Type="http://schemas.openxmlformats.org/officeDocument/2006/relationships/hyperlink" Target="https://pld.live/RapDetail.aspx?STONELIST=925731746&amp;ISCONFIRM=0" TargetMode="External"/><Relationship Id="rId7952" Type="http://schemas.openxmlformats.org/officeDocument/2006/relationships/hyperlink" Target="https://pld.live/RapDetail.aspx?STONELIST=941020796&amp;ISCONFIRM=0" TargetMode="External"/><Relationship Id="rId252" Type="http://schemas.openxmlformats.org/officeDocument/2006/relationships/hyperlink" Target="https://pld.live/RapDetail.aspx?STONELIST=924250443&amp;ISCONFIRM=0" TargetMode="External"/><Relationship Id="rId5089" Type="http://schemas.openxmlformats.org/officeDocument/2006/relationships/hyperlink" Target="https://pld.live/RapDetail.aspx?STONELIST=925801084&amp;ISCONFIRM=0" TargetMode="External"/><Relationship Id="rId6554" Type="http://schemas.openxmlformats.org/officeDocument/2006/relationships/hyperlink" Target="https://pld.live/RapDetail.aspx?STONELIST=941220412&amp;ISCONFIRM=0" TargetMode="External"/><Relationship Id="rId7605" Type="http://schemas.openxmlformats.org/officeDocument/2006/relationships/hyperlink" Target="https://pld.live/RapDetail.aspx?STONELIST=925731908&amp;ISCONFIRM=0" TargetMode="External"/><Relationship Id="rId1699" Type="http://schemas.openxmlformats.org/officeDocument/2006/relationships/hyperlink" Target="https://pld.live/RapDetail.aspx?STONELIST=926671095&amp;ISCONFIRM=0" TargetMode="External"/><Relationship Id="rId2000" Type="http://schemas.openxmlformats.org/officeDocument/2006/relationships/hyperlink" Target="https://pld.live/RapDetail.aspx?STONELIST=941190226&amp;ISCONFIRM=0" TargetMode="External"/><Relationship Id="rId5156" Type="http://schemas.openxmlformats.org/officeDocument/2006/relationships/hyperlink" Target="https://pld.live/RapDetail.aspx?STONELIST=941200080&amp;ISCONFIRM=0" TargetMode="External"/><Relationship Id="rId5570" Type="http://schemas.openxmlformats.org/officeDocument/2006/relationships/hyperlink" Target="https://pld.live/RapDetail.aspx?STONELIST=923690361&amp;ISCONFIRM=0" TargetMode="External"/><Relationship Id="rId6207" Type="http://schemas.openxmlformats.org/officeDocument/2006/relationships/hyperlink" Target="https://pld.live/RapDetail.aspx?STONELIST=831020520&amp;ISCONFIRM=0" TargetMode="External"/><Relationship Id="rId4172" Type="http://schemas.openxmlformats.org/officeDocument/2006/relationships/hyperlink" Target="https://pld.live/RapDetail.aspx?STONELIST=925520301&amp;ISCONFIRM=0" TargetMode="External"/><Relationship Id="rId5223" Type="http://schemas.openxmlformats.org/officeDocument/2006/relationships/hyperlink" Target="https://pld.live/RapDetail.aspx?STONELIST=926581174&amp;ISCONFIRM=0" TargetMode="External"/><Relationship Id="rId6621" Type="http://schemas.openxmlformats.org/officeDocument/2006/relationships/hyperlink" Target="https://pld.live/RapDetail.aspx?STONELIST=927052732&amp;ISCONFIRM=0" TargetMode="External"/><Relationship Id="rId1766" Type="http://schemas.openxmlformats.org/officeDocument/2006/relationships/hyperlink" Target="https://pld.live/RapDetail.aspx?STONELIST=941190535&amp;ISCONFIRM=0" TargetMode="External"/><Relationship Id="rId2817" Type="http://schemas.openxmlformats.org/officeDocument/2006/relationships/hyperlink" Target="https://pld.live/RapDetail.aspx?STONELIST=926171449&amp;ISCONFIRM=0" TargetMode="External"/><Relationship Id="rId58" Type="http://schemas.openxmlformats.org/officeDocument/2006/relationships/hyperlink" Target="https://pld.live/RapDetail.aspx?STONELIST=925690196&amp;ISCONFIRM=0" TargetMode="External"/><Relationship Id="rId1419" Type="http://schemas.openxmlformats.org/officeDocument/2006/relationships/hyperlink" Target="https://pld.live/RapDetail.aspx?STONELIST=925791202&amp;ISCONFIRM=0" TargetMode="External"/><Relationship Id="rId1833" Type="http://schemas.openxmlformats.org/officeDocument/2006/relationships/hyperlink" Target="https://pld.live/RapDetail.aspx?STONELIST=925910666&amp;ISCONFIRM=0" TargetMode="External"/><Relationship Id="rId4989" Type="http://schemas.openxmlformats.org/officeDocument/2006/relationships/hyperlink" Target="https://pld.live/RapDetail.aspx?STONELIST=926171364&amp;ISCONFIRM=0" TargetMode="External"/><Relationship Id="rId7048" Type="http://schemas.openxmlformats.org/officeDocument/2006/relationships/hyperlink" Target="https://pld.live/RapDetail.aspx?STONELIST=926420288&amp;ISCONFIRM=0" TargetMode="External"/><Relationship Id="rId7395" Type="http://schemas.openxmlformats.org/officeDocument/2006/relationships/hyperlink" Target="https://pld.live/RapDetail.aspx?STONELIST=924300702&amp;ISCONFIRM=0" TargetMode="External"/><Relationship Id="rId1900" Type="http://schemas.openxmlformats.org/officeDocument/2006/relationships/hyperlink" Target="https://pld.live/RapDetail.aspx?STONELIST=926321147&amp;ISCONFIRM=0" TargetMode="External"/><Relationship Id="rId7462" Type="http://schemas.openxmlformats.org/officeDocument/2006/relationships/hyperlink" Target="https://pld.live/RapDetail.aspx?STONELIST=925850579&amp;ISCONFIRM=0" TargetMode="External"/><Relationship Id="rId3658" Type="http://schemas.openxmlformats.org/officeDocument/2006/relationships/hyperlink" Target="https://pld.live/RapDetail.aspx?STONELIST=926030100&amp;ISCONFIRM=0" TargetMode="External"/><Relationship Id="rId4709" Type="http://schemas.openxmlformats.org/officeDocument/2006/relationships/hyperlink" Target="https://pld.live/RapDetail.aspx?STONELIST=925820206&amp;ISCONFIRM=0" TargetMode="External"/><Relationship Id="rId6064" Type="http://schemas.openxmlformats.org/officeDocument/2006/relationships/hyperlink" Target="https://pld.live/RapDetail.aspx?STONELIST=941370467&amp;ISCONFIRM=0" TargetMode="External"/><Relationship Id="rId7115" Type="http://schemas.openxmlformats.org/officeDocument/2006/relationships/hyperlink" Target="https://pld.live/RapDetail.aspx?STONELIST=941161016&amp;ISCONFIRM=0" TargetMode="External"/><Relationship Id="rId579" Type="http://schemas.openxmlformats.org/officeDocument/2006/relationships/hyperlink" Target="https://pld.live/RapDetail.aspx?STONELIST=926201108&amp;ISCONFIRM=0" TargetMode="External"/><Relationship Id="rId993" Type="http://schemas.openxmlformats.org/officeDocument/2006/relationships/hyperlink" Target="https://pld.live/RapDetail.aspx?STONELIST=941071059&amp;ISCONFIRM=0" TargetMode="External"/><Relationship Id="rId2674" Type="http://schemas.openxmlformats.org/officeDocument/2006/relationships/hyperlink" Target="https://pld.live/RapDetail.aspx?STONELIST=926221344&amp;ISCONFIRM=0" TargetMode="External"/><Relationship Id="rId5080" Type="http://schemas.openxmlformats.org/officeDocument/2006/relationships/hyperlink" Target="https://pld.live/RapDetail.aspx?STONELIST=926041065&amp;ISCONFIRM=0" TargetMode="External"/><Relationship Id="rId6131" Type="http://schemas.openxmlformats.org/officeDocument/2006/relationships/hyperlink" Target="https://pld.live/RapDetail.aspx?STONELIST=941230365&amp;ISCONFIRM=0" TargetMode="External"/><Relationship Id="rId646" Type="http://schemas.openxmlformats.org/officeDocument/2006/relationships/hyperlink" Target="https://pld.live/RapDetail.aspx?STONELIST=925950901&amp;ISCONFIRM=0" TargetMode="External"/><Relationship Id="rId1276" Type="http://schemas.openxmlformats.org/officeDocument/2006/relationships/hyperlink" Target="https://pld.live/RapDetail.aspx?STONELIST=941320408&amp;ISCONFIRM=0" TargetMode="External"/><Relationship Id="rId2327" Type="http://schemas.openxmlformats.org/officeDocument/2006/relationships/hyperlink" Target="https://pld.live/RapDetail.aspx?STONELIST=926240500&amp;ISCONFIRM=0" TargetMode="External"/><Relationship Id="rId3725" Type="http://schemas.openxmlformats.org/officeDocument/2006/relationships/hyperlink" Target="https://pld.live/RapDetail.aspx?STONELIST=925710203&amp;ISCONFIRM=0" TargetMode="External"/><Relationship Id="rId1690" Type="http://schemas.openxmlformats.org/officeDocument/2006/relationships/hyperlink" Target="https://pld.live/RapDetail.aspx?STONELIST=941390361&amp;ISCONFIRM=0" TargetMode="External"/><Relationship Id="rId2741" Type="http://schemas.openxmlformats.org/officeDocument/2006/relationships/hyperlink" Target="https://pld.live/RapDetail.aspx?STONELIST=921800084&amp;ISCONFIRM=0" TargetMode="External"/><Relationship Id="rId5897" Type="http://schemas.openxmlformats.org/officeDocument/2006/relationships/hyperlink" Target="https://pld.live/RapDetail.aspx?STONELIST=941280515&amp;ISCONFIRM=0" TargetMode="External"/><Relationship Id="rId6948" Type="http://schemas.openxmlformats.org/officeDocument/2006/relationships/hyperlink" Target="https://pld.live/RapDetail.aspx?STONELIST=925502304&amp;ISCONFIRM=0" TargetMode="External"/><Relationship Id="rId713" Type="http://schemas.openxmlformats.org/officeDocument/2006/relationships/hyperlink" Target="https://pld.live/RapDetail.aspx?STONELIST=821127586&amp;ISCONFIRM=0" TargetMode="External"/><Relationship Id="rId1343" Type="http://schemas.openxmlformats.org/officeDocument/2006/relationships/hyperlink" Target="https://pld.live/RapDetail.aspx?STONELIST=941080560&amp;ISCONFIRM=0" TargetMode="External"/><Relationship Id="rId4499" Type="http://schemas.openxmlformats.org/officeDocument/2006/relationships/hyperlink" Target="https://pld.live/RapDetail.aspx?STONELIST=927052666&amp;ISCONFIRM=0" TargetMode="External"/><Relationship Id="rId5964" Type="http://schemas.openxmlformats.org/officeDocument/2006/relationships/hyperlink" Target="https://pld.live/RapDetail.aspx?STONELIST=926901155&amp;ISCONFIRM=0" TargetMode="External"/><Relationship Id="rId1410" Type="http://schemas.openxmlformats.org/officeDocument/2006/relationships/hyperlink" Target="https://pld.live/RapDetail.aspx?STONELIST=926311261&amp;ISCONFIRM=0" TargetMode="External"/><Relationship Id="rId4566" Type="http://schemas.openxmlformats.org/officeDocument/2006/relationships/hyperlink" Target="https://pld.live/RapDetail.aspx?STONELIST=927130725&amp;ISCONFIRM=0" TargetMode="External"/><Relationship Id="rId4980" Type="http://schemas.openxmlformats.org/officeDocument/2006/relationships/hyperlink" Target="https://pld.live/RapDetail.aspx?STONELIST=925960064&amp;ISCONFIRM=0" TargetMode="External"/><Relationship Id="rId5617" Type="http://schemas.openxmlformats.org/officeDocument/2006/relationships/hyperlink" Target="https://pld.live/RapDetail.aspx?STONELIST=923870349&amp;ISCONFIRM=0" TargetMode="External"/><Relationship Id="rId8023" Type="http://schemas.openxmlformats.org/officeDocument/2006/relationships/hyperlink" Target="https://pld.live/RapDetail.aspx?STONELIST=925502732&amp;ISCONFIRM=0" TargetMode="External"/><Relationship Id="rId3168" Type="http://schemas.openxmlformats.org/officeDocument/2006/relationships/hyperlink" Target="https://pld.live/RapDetail.aspx?STONELIST=925030446&amp;ISCONFIRM=0" TargetMode="External"/><Relationship Id="rId3582" Type="http://schemas.openxmlformats.org/officeDocument/2006/relationships/hyperlink" Target="https://pld.live/RapDetail.aspx?STONELIST=927120109&amp;ISCONFIRM=0" TargetMode="External"/><Relationship Id="rId4219" Type="http://schemas.openxmlformats.org/officeDocument/2006/relationships/hyperlink" Target="https://pld.live/RapDetail.aspx?STONELIST=925830687&amp;ISCONFIRM=0" TargetMode="External"/><Relationship Id="rId4633" Type="http://schemas.openxmlformats.org/officeDocument/2006/relationships/hyperlink" Target="https://pld.live/RapDetail.aspx?STONELIST=927152877&amp;ISCONFIRM=0" TargetMode="External"/><Relationship Id="rId7789" Type="http://schemas.openxmlformats.org/officeDocument/2006/relationships/hyperlink" Target="https://pld.live/RapDetail.aspx?STONELIST=924620066&amp;ISCONFIRM=0" TargetMode="External"/><Relationship Id="rId2184" Type="http://schemas.openxmlformats.org/officeDocument/2006/relationships/hyperlink" Target="https://pld.live/RapDetail.aspx?STONELIST=920661256&amp;ISCONFIRM=0" TargetMode="External"/><Relationship Id="rId3235" Type="http://schemas.openxmlformats.org/officeDocument/2006/relationships/hyperlink" Target="https://pld.live/RapDetail.aspx?STONELIST=925290540&amp;ISCONFIRM=0" TargetMode="External"/><Relationship Id="rId7856" Type="http://schemas.openxmlformats.org/officeDocument/2006/relationships/hyperlink" Target="https://pld.live/RapDetail.aspx?STONELIST=925721483&amp;ISCONFIRM=0" TargetMode="External"/><Relationship Id="rId156" Type="http://schemas.openxmlformats.org/officeDocument/2006/relationships/hyperlink" Target="https://pld.live/RapDetail.aspx?STONELIST=941050566&amp;ISCONFIRM=0" TargetMode="External"/><Relationship Id="rId570" Type="http://schemas.openxmlformats.org/officeDocument/2006/relationships/hyperlink" Target="https://pld.live/RapDetail.aspx?STONELIST=831010751&amp;ISCONFIRM=0" TargetMode="External"/><Relationship Id="rId2251" Type="http://schemas.openxmlformats.org/officeDocument/2006/relationships/hyperlink" Target="https://pld.live/RapDetail.aspx?STONELIST=926391204&amp;ISCONFIRM=0" TargetMode="External"/><Relationship Id="rId3302" Type="http://schemas.openxmlformats.org/officeDocument/2006/relationships/hyperlink" Target="https://pld.live/RapDetail.aspx?STONELIST=831020082&amp;ISCONFIRM=0" TargetMode="External"/><Relationship Id="rId4700" Type="http://schemas.openxmlformats.org/officeDocument/2006/relationships/hyperlink" Target="https://pld.live/RapDetail.aspx?STONELIST=831020650&amp;ISCONFIRM=0" TargetMode="External"/><Relationship Id="rId6458" Type="http://schemas.openxmlformats.org/officeDocument/2006/relationships/hyperlink" Target="https://pld.live/RapDetail.aspx?STONELIST=941071306&amp;ISCONFIRM=0" TargetMode="External"/><Relationship Id="rId7509" Type="http://schemas.openxmlformats.org/officeDocument/2006/relationships/hyperlink" Target="https://pld.live/RapDetail.aspx?STONELIST=925730242&amp;ISCONFIRM=0" TargetMode="External"/><Relationship Id="rId223" Type="http://schemas.openxmlformats.org/officeDocument/2006/relationships/hyperlink" Target="https://pld.live/RapDetail.aspx?STONELIST=925590015&amp;ISCONFIRM=0" TargetMode="External"/><Relationship Id="rId6872" Type="http://schemas.openxmlformats.org/officeDocument/2006/relationships/hyperlink" Target="https://pld.live/RapDetail.aspx?STONELIST=926470429&amp;ISCONFIRM=0" TargetMode="External"/><Relationship Id="rId7923" Type="http://schemas.openxmlformats.org/officeDocument/2006/relationships/hyperlink" Target="https://pld.live/RapDetail.aspx?STONELIST=926310835&amp;ISCONFIRM=0" TargetMode="External"/><Relationship Id="rId4076" Type="http://schemas.openxmlformats.org/officeDocument/2006/relationships/hyperlink" Target="https://pld.live/RapDetail.aspx?STONELIST=925551933&amp;ISCONFIRM=0" TargetMode="External"/><Relationship Id="rId5474" Type="http://schemas.openxmlformats.org/officeDocument/2006/relationships/hyperlink" Target="https://pld.live/RapDetail.aspx?STONELIST=924740200&amp;ISCONFIRM=0" TargetMode="External"/><Relationship Id="rId6525" Type="http://schemas.openxmlformats.org/officeDocument/2006/relationships/hyperlink" Target="https://pld.live/RapDetail.aspx?STONELIST=821113766&amp;ISCONFIRM=0" TargetMode="External"/><Relationship Id="rId4490" Type="http://schemas.openxmlformats.org/officeDocument/2006/relationships/hyperlink" Target="https://pld.live/RapDetail.aspx?STONELIST=927052647&amp;ISCONFIRM=0" TargetMode="External"/><Relationship Id="rId5127" Type="http://schemas.openxmlformats.org/officeDocument/2006/relationships/hyperlink" Target="https://pld.live/RapDetail.aspx?STONELIST=925971274&amp;ISCONFIRM=0" TargetMode="External"/><Relationship Id="rId5541" Type="http://schemas.openxmlformats.org/officeDocument/2006/relationships/hyperlink" Target="https://pld.live/RapDetail.aspx?STONELIST=925040299&amp;ISCONFIRM=0" TargetMode="External"/><Relationship Id="rId1737" Type="http://schemas.openxmlformats.org/officeDocument/2006/relationships/hyperlink" Target="https://pld.live/RapDetail.aspx?STONELIST=941280361&amp;ISCONFIRM=0" TargetMode="External"/><Relationship Id="rId3092" Type="http://schemas.openxmlformats.org/officeDocument/2006/relationships/hyperlink" Target="https://pld.live/RapDetail.aspx?STONELIST=925900586&amp;ISCONFIRM=0" TargetMode="External"/><Relationship Id="rId4143" Type="http://schemas.openxmlformats.org/officeDocument/2006/relationships/hyperlink" Target="https://pld.live/RapDetail.aspx?STONELIST=926170785&amp;ISCONFIRM=0" TargetMode="External"/><Relationship Id="rId7299" Type="http://schemas.openxmlformats.org/officeDocument/2006/relationships/hyperlink" Target="https://pld.live/RapDetail.aspx?STONELIST=927052679&amp;ISCONFIRM=0" TargetMode="External"/><Relationship Id="rId29" Type="http://schemas.openxmlformats.org/officeDocument/2006/relationships/hyperlink" Target="https://pld.live/RapDetail.aspx?STONELIST=941330378&amp;ISCONFIRM=0" TargetMode="External"/><Relationship Id="rId4210" Type="http://schemas.openxmlformats.org/officeDocument/2006/relationships/hyperlink" Target="https://pld.live/RapDetail.aspx?STONELIST=821113732&amp;ISCONFIRM=0" TargetMode="External"/><Relationship Id="rId7366" Type="http://schemas.openxmlformats.org/officeDocument/2006/relationships/hyperlink" Target="https://pld.live/RapDetail.aspx?STONELIST=926820116&amp;ISCONFIRM=0" TargetMode="External"/><Relationship Id="rId7780" Type="http://schemas.openxmlformats.org/officeDocument/2006/relationships/hyperlink" Target="https://pld.live/RapDetail.aspx?STONELIST=924590244&amp;ISCONFIRM=0" TargetMode="External"/><Relationship Id="rId1804" Type="http://schemas.openxmlformats.org/officeDocument/2006/relationships/hyperlink" Target="https://pld.live/RapDetail.aspx?STONELIST=941270616&amp;ISCONFIRM=0" TargetMode="External"/><Relationship Id="rId6382" Type="http://schemas.openxmlformats.org/officeDocument/2006/relationships/hyperlink" Target="https://pld.live/RapDetail.aspx?STONELIST=927052662&amp;ISCONFIRM=0" TargetMode="External"/><Relationship Id="rId7019" Type="http://schemas.openxmlformats.org/officeDocument/2006/relationships/hyperlink" Target="https://pld.live/RapDetail.aspx?STONELIST=926700734&amp;ISCONFIRM=0" TargetMode="External"/><Relationship Id="rId7433" Type="http://schemas.openxmlformats.org/officeDocument/2006/relationships/hyperlink" Target="https://pld.live/RapDetail.aspx?STONELIST=923700140&amp;ISCONFIRM=0" TargetMode="External"/><Relationship Id="rId3976" Type="http://schemas.openxmlformats.org/officeDocument/2006/relationships/hyperlink" Target="https://pld.live/RapDetail.aspx?STONELIST=925621581&amp;ISCONFIRM=0" TargetMode="External"/><Relationship Id="rId6035" Type="http://schemas.openxmlformats.org/officeDocument/2006/relationships/hyperlink" Target="https://pld.live/RapDetail.aspx?STONELIST=924880377&amp;ISCONFIRM=0" TargetMode="External"/><Relationship Id="rId897" Type="http://schemas.openxmlformats.org/officeDocument/2006/relationships/hyperlink" Target="https://pld.live/RapDetail.aspx?STONELIST=821128430&amp;ISCONFIRM=0" TargetMode="External"/><Relationship Id="rId2578" Type="http://schemas.openxmlformats.org/officeDocument/2006/relationships/hyperlink" Target="https://pld.live/RapDetail.aspx?STONELIST=920460381&amp;ISCONFIRM=0" TargetMode="External"/><Relationship Id="rId2992" Type="http://schemas.openxmlformats.org/officeDocument/2006/relationships/hyperlink" Target="https://pld.live/RapDetail.aspx?STONELIST=821128404&amp;ISCONFIRM=0" TargetMode="External"/><Relationship Id="rId3629" Type="http://schemas.openxmlformats.org/officeDocument/2006/relationships/hyperlink" Target="https://pld.live/RapDetail.aspx?STONELIST=831020642&amp;ISCONFIRM=0" TargetMode="External"/><Relationship Id="rId5051" Type="http://schemas.openxmlformats.org/officeDocument/2006/relationships/hyperlink" Target="https://pld.live/RapDetail.aspx?STONELIST=925860681&amp;ISCONFIRM=0" TargetMode="External"/><Relationship Id="rId7500" Type="http://schemas.openxmlformats.org/officeDocument/2006/relationships/hyperlink" Target="https://pld.live/RapDetail.aspx?STONELIST=925732179&amp;ISCONFIRM=0" TargetMode="External"/><Relationship Id="rId964" Type="http://schemas.openxmlformats.org/officeDocument/2006/relationships/hyperlink" Target="https://pld.live/RapDetail.aspx?STONELIST=926681028&amp;ISCONFIRM=0" TargetMode="External"/><Relationship Id="rId1594" Type="http://schemas.openxmlformats.org/officeDocument/2006/relationships/hyperlink" Target="https://pld.live/RapDetail.aspx?STONELIST=926941196&amp;ISCONFIRM=0" TargetMode="External"/><Relationship Id="rId2645" Type="http://schemas.openxmlformats.org/officeDocument/2006/relationships/hyperlink" Target="https://pld.live/RapDetail.aspx?STONELIST=926391326&amp;ISCONFIRM=0" TargetMode="External"/><Relationship Id="rId6102" Type="http://schemas.openxmlformats.org/officeDocument/2006/relationships/hyperlink" Target="https://pld.live/RapDetail.aspx?STONELIST=926470458&amp;ISCONFIRM=0" TargetMode="External"/><Relationship Id="rId617" Type="http://schemas.openxmlformats.org/officeDocument/2006/relationships/hyperlink" Target="https://pld.live/RapDetail.aspx?STONELIST=831010675&amp;ISCONFIRM=0" TargetMode="External"/><Relationship Id="rId1247" Type="http://schemas.openxmlformats.org/officeDocument/2006/relationships/hyperlink" Target="https://pld.live/RapDetail.aspx?STONELIST=926211113&amp;ISCONFIRM=0" TargetMode="External"/><Relationship Id="rId1661" Type="http://schemas.openxmlformats.org/officeDocument/2006/relationships/hyperlink" Target="https://pld.live/RapDetail.aspx?STONELIST=925791391&amp;ISCONFIRM=0" TargetMode="External"/><Relationship Id="rId2712" Type="http://schemas.openxmlformats.org/officeDocument/2006/relationships/hyperlink" Target="https://pld.live/RapDetail.aspx?STONELIST=831020221&amp;ISCONFIRM=0" TargetMode="External"/><Relationship Id="rId5868" Type="http://schemas.openxmlformats.org/officeDocument/2006/relationships/hyperlink" Target="https://pld.live/RapDetail.aspx?STONELIST=926171510&amp;ISCONFIRM=0" TargetMode="External"/><Relationship Id="rId6919" Type="http://schemas.openxmlformats.org/officeDocument/2006/relationships/hyperlink" Target="https://pld.live/RapDetail.aspx?STONELIST=821124386&amp;ISCONFIRM=0" TargetMode="External"/><Relationship Id="rId1314" Type="http://schemas.openxmlformats.org/officeDocument/2006/relationships/hyperlink" Target="https://pld.live/RapDetail.aspx?STONELIST=941021007&amp;ISCONFIRM=0" TargetMode="External"/><Relationship Id="rId4884" Type="http://schemas.openxmlformats.org/officeDocument/2006/relationships/hyperlink" Target="https://pld.live/RapDetail.aspx?STONELIST=925980772&amp;ISCONFIRM=0" TargetMode="External"/><Relationship Id="rId5935" Type="http://schemas.openxmlformats.org/officeDocument/2006/relationships/hyperlink" Target="https://pld.live/RapDetail.aspx?STONELIST=925861963&amp;ISCONFIRM=0" TargetMode="External"/><Relationship Id="rId7290" Type="http://schemas.openxmlformats.org/officeDocument/2006/relationships/hyperlink" Target="https://pld.live/RapDetail.aspx?STONELIST=924260941&amp;ISCONFIRM=0" TargetMode="External"/><Relationship Id="rId3486" Type="http://schemas.openxmlformats.org/officeDocument/2006/relationships/hyperlink" Target="https://pld.live/RapDetail.aspx?STONELIST=926270796&amp;ISCONFIRM=0" TargetMode="External"/><Relationship Id="rId4537" Type="http://schemas.openxmlformats.org/officeDocument/2006/relationships/hyperlink" Target="https://pld.live/RapDetail.aspx?STONELIST=924730261&amp;ISCONFIRM=0" TargetMode="External"/><Relationship Id="rId20" Type="http://schemas.openxmlformats.org/officeDocument/2006/relationships/hyperlink" Target="https://pld.live/RapDetail.aspx?STONELIST=941330408&amp;ISCONFIRM=0" TargetMode="External"/><Relationship Id="rId2088" Type="http://schemas.openxmlformats.org/officeDocument/2006/relationships/hyperlink" Target="https://pld.live/RapDetail.aspx?STONELIST=821127907&amp;ISCONFIRM=0" TargetMode="External"/><Relationship Id="rId3139" Type="http://schemas.openxmlformats.org/officeDocument/2006/relationships/hyperlink" Target="https://pld.live/RapDetail.aspx?STONELIST=925791450&amp;ISCONFIRM=0" TargetMode="External"/><Relationship Id="rId4951" Type="http://schemas.openxmlformats.org/officeDocument/2006/relationships/hyperlink" Target="https://pld.live/RapDetail.aspx?STONELIST=926170787&amp;ISCONFIRM=0" TargetMode="External"/><Relationship Id="rId7010" Type="http://schemas.openxmlformats.org/officeDocument/2006/relationships/hyperlink" Target="https://pld.live/RapDetail.aspx?STONELIST=926790392&amp;ISCONFIRM=0" TargetMode="External"/><Relationship Id="rId474" Type="http://schemas.openxmlformats.org/officeDocument/2006/relationships/hyperlink" Target="https://pld.live/RapDetail.aspx?STONELIST=925520410&amp;ISCONFIRM=0" TargetMode="External"/><Relationship Id="rId2155" Type="http://schemas.openxmlformats.org/officeDocument/2006/relationships/hyperlink" Target="https://pld.live/RapDetail.aspx?STONELIST=924510118&amp;ISCONFIRM=0" TargetMode="External"/><Relationship Id="rId3553" Type="http://schemas.openxmlformats.org/officeDocument/2006/relationships/hyperlink" Target="https://pld.live/RapDetail.aspx?STONELIST=924500078&amp;ISCONFIRM=0" TargetMode="External"/><Relationship Id="rId4604" Type="http://schemas.openxmlformats.org/officeDocument/2006/relationships/hyperlink" Target="https://pld.live/RapDetail.aspx?STONELIST=927152820&amp;ISCONFIRM=0" TargetMode="External"/><Relationship Id="rId127" Type="http://schemas.openxmlformats.org/officeDocument/2006/relationships/hyperlink" Target="https://pld.live/RapDetail.aspx?STONELIST=926410263&amp;ISCONFIRM=0" TargetMode="External"/><Relationship Id="rId3206" Type="http://schemas.openxmlformats.org/officeDocument/2006/relationships/hyperlink" Target="https://pld.live/RapDetail.aspx?STONELIST=925040419&amp;ISCONFIRM=0" TargetMode="External"/><Relationship Id="rId3620" Type="http://schemas.openxmlformats.org/officeDocument/2006/relationships/hyperlink" Target="https://pld.live/RapDetail.aspx?STONELIST=925060388&amp;ISCONFIRM=0" TargetMode="External"/><Relationship Id="rId6776" Type="http://schemas.openxmlformats.org/officeDocument/2006/relationships/hyperlink" Target="https://pld.live/RapDetail.aspx?STONELIST=925880033&amp;ISCONFIRM=0" TargetMode="External"/><Relationship Id="rId7827" Type="http://schemas.openxmlformats.org/officeDocument/2006/relationships/hyperlink" Target="https://pld.live/RapDetail.aspx?STONELIST=925951321&amp;ISCONFIRM=0" TargetMode="External"/><Relationship Id="rId541" Type="http://schemas.openxmlformats.org/officeDocument/2006/relationships/hyperlink" Target="https://pld.live/RapDetail.aspx?STONELIST=941400120&amp;ISCONFIRM=0" TargetMode="External"/><Relationship Id="rId1171" Type="http://schemas.openxmlformats.org/officeDocument/2006/relationships/hyperlink" Target="https://pld.live/RapDetail.aspx?STONELIST=941170080&amp;ISCONFIRM=0" TargetMode="External"/><Relationship Id="rId2222" Type="http://schemas.openxmlformats.org/officeDocument/2006/relationships/hyperlink" Target="https://pld.live/RapDetail.aspx?STONELIST=920661259&amp;ISCONFIRM=0" TargetMode="External"/><Relationship Id="rId5378" Type="http://schemas.openxmlformats.org/officeDocument/2006/relationships/hyperlink" Target="https://pld.live/RapDetail.aspx?STONELIST=941351081&amp;ISCONFIRM=0" TargetMode="External"/><Relationship Id="rId5792" Type="http://schemas.openxmlformats.org/officeDocument/2006/relationships/hyperlink" Target="https://pld.live/RapDetail.aspx?STONELIST=941160544&amp;ISCONFIRM=0" TargetMode="External"/><Relationship Id="rId6429" Type="http://schemas.openxmlformats.org/officeDocument/2006/relationships/hyperlink" Target="https://pld.live/RapDetail.aspx?STONELIST=941130243&amp;ISCONFIRM=0" TargetMode="External"/><Relationship Id="rId6843" Type="http://schemas.openxmlformats.org/officeDocument/2006/relationships/hyperlink" Target="https://pld.live/RapDetail.aspx?STONELIST=926160040&amp;ISCONFIRM=0" TargetMode="External"/><Relationship Id="rId1988" Type="http://schemas.openxmlformats.org/officeDocument/2006/relationships/hyperlink" Target="https://pld.live/RapDetail.aspx?STONELIST=941270493&amp;ISCONFIRM=0" TargetMode="External"/><Relationship Id="rId4394" Type="http://schemas.openxmlformats.org/officeDocument/2006/relationships/hyperlink" Target="https://pld.live/RapDetail.aspx?STONELIST=924290410&amp;ISCONFIRM=0" TargetMode="External"/><Relationship Id="rId5445" Type="http://schemas.openxmlformats.org/officeDocument/2006/relationships/hyperlink" Target="https://pld.live/RapDetail.aspx?STONELIST=941250689&amp;ISCONFIRM=0" TargetMode="External"/><Relationship Id="rId4047" Type="http://schemas.openxmlformats.org/officeDocument/2006/relationships/hyperlink" Target="https://pld.live/RapDetail.aspx?STONELIST=925890487&amp;ISCONFIRM=0" TargetMode="External"/><Relationship Id="rId4461" Type="http://schemas.openxmlformats.org/officeDocument/2006/relationships/hyperlink" Target="https://pld.live/RapDetail.aspx?STONELIST=925830712&amp;ISCONFIRM=0" TargetMode="External"/><Relationship Id="rId5512" Type="http://schemas.openxmlformats.org/officeDocument/2006/relationships/hyperlink" Target="https://pld.live/RapDetail.aspx?STONELIST=926171462&amp;ISCONFIRM=0" TargetMode="External"/><Relationship Id="rId6910" Type="http://schemas.openxmlformats.org/officeDocument/2006/relationships/hyperlink" Target="https://pld.live/RapDetail.aspx?STONELIST=926171161&amp;ISCONFIRM=0" TargetMode="External"/><Relationship Id="rId3063" Type="http://schemas.openxmlformats.org/officeDocument/2006/relationships/hyperlink" Target="https://pld.live/RapDetail.aspx?STONELIST=925900411&amp;ISCONFIRM=0" TargetMode="External"/><Relationship Id="rId4114" Type="http://schemas.openxmlformats.org/officeDocument/2006/relationships/hyperlink" Target="https://pld.live/RapDetail.aspx?STONELIST=925300340&amp;ISCONFIRM=0" TargetMode="External"/><Relationship Id="rId1708" Type="http://schemas.openxmlformats.org/officeDocument/2006/relationships/hyperlink" Target="https://pld.live/RapDetail.aspx?STONELIST=941190262&amp;ISCONFIRM=0" TargetMode="External"/><Relationship Id="rId3130" Type="http://schemas.openxmlformats.org/officeDocument/2006/relationships/hyperlink" Target="https://pld.live/RapDetail.aspx?STONELIST=925870597&amp;ISCONFIRM=0" TargetMode="External"/><Relationship Id="rId6286" Type="http://schemas.openxmlformats.org/officeDocument/2006/relationships/hyperlink" Target="https://pld.live/RapDetail.aspx?STONELIST=926000015&amp;ISCONFIRM=0" TargetMode="External"/><Relationship Id="rId7337" Type="http://schemas.openxmlformats.org/officeDocument/2006/relationships/hyperlink" Target="https://pld.live/RapDetail.aspx?STONELIST=924260491&amp;ISCONFIRM=0" TargetMode="External"/><Relationship Id="rId7684" Type="http://schemas.openxmlformats.org/officeDocument/2006/relationships/hyperlink" Target="https://pld.live/RapDetail.aspx?STONELIST=941270787&amp;ISCONFIRM=0" TargetMode="External"/><Relationship Id="rId7751" Type="http://schemas.openxmlformats.org/officeDocument/2006/relationships/hyperlink" Target="https://pld.live/RapDetail.aspx?STONELIST=924940101&amp;ISCONFIRM=0" TargetMode="External"/><Relationship Id="rId2896" Type="http://schemas.openxmlformats.org/officeDocument/2006/relationships/hyperlink" Target="https://pld.live/RapDetail.aspx?STONELIST=925300341&amp;ISCONFIRM=0" TargetMode="External"/><Relationship Id="rId3947" Type="http://schemas.openxmlformats.org/officeDocument/2006/relationships/hyperlink" Target="https://pld.live/RapDetail.aspx?STONELIST=821124325&amp;ISCONFIRM=0" TargetMode="External"/><Relationship Id="rId6353" Type="http://schemas.openxmlformats.org/officeDocument/2006/relationships/hyperlink" Target="https://pld.live/RapDetail.aspx?STONELIST=925961012&amp;ISCONFIRM=0" TargetMode="External"/><Relationship Id="rId7404" Type="http://schemas.openxmlformats.org/officeDocument/2006/relationships/hyperlink" Target="https://pld.live/RapDetail.aspx?STONELIST=925010182&amp;ISCONFIRM=0" TargetMode="External"/><Relationship Id="rId868" Type="http://schemas.openxmlformats.org/officeDocument/2006/relationships/hyperlink" Target="https://pld.live/RapDetail.aspx?STONELIST=926071520&amp;ISCONFIRM=0" TargetMode="External"/><Relationship Id="rId1498" Type="http://schemas.openxmlformats.org/officeDocument/2006/relationships/hyperlink" Target="https://pld.live/RapDetail.aspx?STONELIST=925870117&amp;ISCONFIRM=0" TargetMode="External"/><Relationship Id="rId2549" Type="http://schemas.openxmlformats.org/officeDocument/2006/relationships/hyperlink" Target="https://pld.live/RapDetail.aspx?STONELIST=941330506&amp;ISCONFIRM=0" TargetMode="External"/><Relationship Id="rId2963" Type="http://schemas.openxmlformats.org/officeDocument/2006/relationships/hyperlink" Target="https://pld.live/RapDetail.aspx?STONELIST=924610084&amp;ISCONFIRM=0" TargetMode="External"/><Relationship Id="rId6006" Type="http://schemas.openxmlformats.org/officeDocument/2006/relationships/hyperlink" Target="https://pld.live/RapDetail.aspx?STONELIST=925830746&amp;ISCONFIRM=0" TargetMode="External"/><Relationship Id="rId6420" Type="http://schemas.openxmlformats.org/officeDocument/2006/relationships/hyperlink" Target="https://pld.live/RapDetail.aspx?STONELIST=927140418&amp;ISCONFIRM=0" TargetMode="External"/><Relationship Id="rId935" Type="http://schemas.openxmlformats.org/officeDocument/2006/relationships/hyperlink" Target="https://pld.live/RapDetail.aspx?STONELIST=925961221&amp;ISCONFIRM=0" TargetMode="External"/><Relationship Id="rId1565" Type="http://schemas.openxmlformats.org/officeDocument/2006/relationships/hyperlink" Target="https://pld.live/RapDetail.aspx?STONELIST=926631389&amp;ISCONFIRM=0" TargetMode="External"/><Relationship Id="rId2616" Type="http://schemas.openxmlformats.org/officeDocument/2006/relationships/hyperlink" Target="https://pld.live/RapDetail.aspx?STONELIST=821127972&amp;ISCONFIRM=0" TargetMode="External"/><Relationship Id="rId5022" Type="http://schemas.openxmlformats.org/officeDocument/2006/relationships/hyperlink" Target="https://pld.live/RapDetail.aspx?STONELIST=925970841&amp;ISCONFIRM=0" TargetMode="External"/><Relationship Id="rId8178" Type="http://schemas.openxmlformats.org/officeDocument/2006/relationships/hyperlink" Target="https://pld.live/RapDetail.aspx?STONELIST=924410832&amp;ISCONFIRM=0" TargetMode="External"/><Relationship Id="rId1218" Type="http://schemas.openxmlformats.org/officeDocument/2006/relationships/hyperlink" Target="https://pld.live/RapDetail.aspx?STONELIST=926111358&amp;ISCONFIRM=0" TargetMode="External"/><Relationship Id="rId7194" Type="http://schemas.openxmlformats.org/officeDocument/2006/relationships/hyperlink" Target="https://pld.live/RapDetail.aspx?STONELIST=926160047&amp;ISCONFIRM=0" TargetMode="External"/><Relationship Id="rId8245" Type="http://schemas.openxmlformats.org/officeDocument/2006/relationships/hyperlink" Target="https://pld.live/RapDetail.aspx?STONELIST=925721931&amp;ISCONFIRM=0" TargetMode="External"/><Relationship Id="rId1632" Type="http://schemas.openxmlformats.org/officeDocument/2006/relationships/hyperlink" Target="https://pld.live/RapDetail.aspx?STONELIST=926810870&amp;ISCONFIRM=0" TargetMode="External"/><Relationship Id="rId4788" Type="http://schemas.openxmlformats.org/officeDocument/2006/relationships/hyperlink" Target="https://pld.live/RapDetail.aspx?STONELIST=926910577&amp;ISCONFIRM=0" TargetMode="External"/><Relationship Id="rId5839" Type="http://schemas.openxmlformats.org/officeDocument/2006/relationships/hyperlink" Target="https://pld.live/RapDetail.aspx?STONELIST=926560359&amp;ISCONFIRM=0" TargetMode="External"/><Relationship Id="rId7261" Type="http://schemas.openxmlformats.org/officeDocument/2006/relationships/hyperlink" Target="https://pld.live/RapDetail.aspx?STONELIST=924290386&amp;ISCONFIRM=0" TargetMode="External"/><Relationship Id="rId4855" Type="http://schemas.openxmlformats.org/officeDocument/2006/relationships/hyperlink" Target="https://pld.live/RapDetail.aspx?STONELIST=927060759&amp;ISCONFIRM=0" TargetMode="External"/><Relationship Id="rId5906" Type="http://schemas.openxmlformats.org/officeDocument/2006/relationships/hyperlink" Target="https://pld.live/RapDetail.aspx?STONELIST=925961289&amp;ISCONFIRM=0" TargetMode="External"/><Relationship Id="rId3457" Type="http://schemas.openxmlformats.org/officeDocument/2006/relationships/hyperlink" Target="https://pld.live/RapDetail.aspx?STONELIST=925971226&amp;ISCONFIRM=0" TargetMode="External"/><Relationship Id="rId3871" Type="http://schemas.openxmlformats.org/officeDocument/2006/relationships/hyperlink" Target="https://pld.live/RapDetail.aspx?STONELIST=925731236&amp;ISCONFIRM=0" TargetMode="External"/><Relationship Id="rId4508" Type="http://schemas.openxmlformats.org/officeDocument/2006/relationships/hyperlink" Target="https://pld.live/RapDetail.aspx?STONELIST=941320835&amp;ISCONFIRM=0" TargetMode="External"/><Relationship Id="rId4922" Type="http://schemas.openxmlformats.org/officeDocument/2006/relationships/hyperlink" Target="https://pld.live/RapDetail.aspx?STONELIST=926040891&amp;ISCONFIRM=0" TargetMode="External"/><Relationship Id="rId378" Type="http://schemas.openxmlformats.org/officeDocument/2006/relationships/hyperlink" Target="https://pld.live/RapDetail.aspx?STONELIST=941400494&amp;ISCONFIRM=0" TargetMode="External"/><Relationship Id="rId792" Type="http://schemas.openxmlformats.org/officeDocument/2006/relationships/hyperlink" Target="https://pld.live/RapDetail.aspx?STONELIST=821127568&amp;ISCONFIRM=0" TargetMode="External"/><Relationship Id="rId2059" Type="http://schemas.openxmlformats.org/officeDocument/2006/relationships/hyperlink" Target="https://pld.live/RapDetail.aspx?STONELIST=924270186&amp;ISCONFIRM=0" TargetMode="External"/><Relationship Id="rId2473" Type="http://schemas.openxmlformats.org/officeDocument/2006/relationships/hyperlink" Target="https://pld.live/RapDetail.aspx?STONELIST=926230988&amp;ISCONFIRM=0" TargetMode="External"/><Relationship Id="rId3524" Type="http://schemas.openxmlformats.org/officeDocument/2006/relationships/hyperlink" Target="https://pld.live/RapDetail.aspx?STONELIST=925280542&amp;ISCONFIRM=0" TargetMode="External"/><Relationship Id="rId445" Type="http://schemas.openxmlformats.org/officeDocument/2006/relationships/hyperlink" Target="https://pld.live/RapDetail.aspx?STONELIST=831010830&amp;ISCONFIRM=0" TargetMode="External"/><Relationship Id="rId1075" Type="http://schemas.openxmlformats.org/officeDocument/2006/relationships/hyperlink" Target="https://pld.live/RapDetail.aspx?STONELIST=927101110&amp;ISCONFIRM=0" TargetMode="External"/><Relationship Id="rId2126" Type="http://schemas.openxmlformats.org/officeDocument/2006/relationships/hyperlink" Target="https://pld.live/RapDetail.aspx?STONELIST=926191076&amp;ISCONFIRM=0" TargetMode="External"/><Relationship Id="rId2540" Type="http://schemas.openxmlformats.org/officeDocument/2006/relationships/hyperlink" Target="https://pld.live/RapDetail.aspx?STONELIST=926191038&amp;ISCONFIRM=0" TargetMode="External"/><Relationship Id="rId5696" Type="http://schemas.openxmlformats.org/officeDocument/2006/relationships/hyperlink" Target="https://pld.live/RapDetail.aspx?STONELIST=924270513&amp;ISCONFIRM=0" TargetMode="External"/><Relationship Id="rId6747" Type="http://schemas.openxmlformats.org/officeDocument/2006/relationships/hyperlink" Target="https://pld.live/RapDetail.aspx?STONELIST=927152927&amp;ISCONFIRM=0" TargetMode="External"/><Relationship Id="rId512" Type="http://schemas.openxmlformats.org/officeDocument/2006/relationships/hyperlink" Target="https://pld.live/RapDetail.aspx?STONELIST=925951187&amp;ISCONFIRM=0" TargetMode="External"/><Relationship Id="rId1142" Type="http://schemas.openxmlformats.org/officeDocument/2006/relationships/hyperlink" Target="https://pld.live/RapDetail.aspx?STONELIST=926831152&amp;ISCONFIRM=0" TargetMode="External"/><Relationship Id="rId4298" Type="http://schemas.openxmlformats.org/officeDocument/2006/relationships/hyperlink" Target="https://pld.live/RapDetail.aspx?STONELIST=926921453&amp;ISCONFIRM=0" TargetMode="External"/><Relationship Id="rId5349" Type="http://schemas.openxmlformats.org/officeDocument/2006/relationships/hyperlink" Target="https://pld.live/RapDetail.aspx?STONELIST=926631066&amp;ISCONFIRM=0" TargetMode="External"/><Relationship Id="rId4365" Type="http://schemas.openxmlformats.org/officeDocument/2006/relationships/hyperlink" Target="https://pld.live/RapDetail.aspx?STONELIST=927092598&amp;ISCONFIRM=0" TargetMode="External"/><Relationship Id="rId5763" Type="http://schemas.openxmlformats.org/officeDocument/2006/relationships/hyperlink" Target="https://pld.live/RapDetail.aspx?STONELIST=927101024&amp;ISCONFIRM=0" TargetMode="External"/><Relationship Id="rId6814" Type="http://schemas.openxmlformats.org/officeDocument/2006/relationships/hyperlink" Target="https://pld.live/RapDetail.aspx?STONELIST=924190221&amp;ISCONFIRM=0" TargetMode="External"/><Relationship Id="rId1959" Type="http://schemas.openxmlformats.org/officeDocument/2006/relationships/hyperlink" Target="https://pld.live/RapDetail.aspx?STONELIST=926431025&amp;ISCONFIRM=0" TargetMode="External"/><Relationship Id="rId4018" Type="http://schemas.openxmlformats.org/officeDocument/2006/relationships/hyperlink" Target="https://pld.live/RapDetail.aspx?STONELIST=926200723&amp;ISCONFIRM=0" TargetMode="External"/><Relationship Id="rId5416" Type="http://schemas.openxmlformats.org/officeDocument/2006/relationships/hyperlink" Target="https://pld.live/RapDetail.aspx?STONELIST=927130152&amp;ISCONFIRM=0" TargetMode="External"/><Relationship Id="rId5830" Type="http://schemas.openxmlformats.org/officeDocument/2006/relationships/hyperlink" Target="https://pld.live/RapDetail.aspx?STONELIST=926030150&amp;ISCONFIRM=0" TargetMode="External"/><Relationship Id="rId3381" Type="http://schemas.openxmlformats.org/officeDocument/2006/relationships/hyperlink" Target="https://pld.live/RapDetail.aspx?STONELIST=831020693&amp;ISCONFIRM=0" TargetMode="External"/><Relationship Id="rId4432" Type="http://schemas.openxmlformats.org/officeDocument/2006/relationships/hyperlink" Target="https://pld.live/RapDetail.aspx?STONELIST=941021658&amp;ISCONFIRM=0" TargetMode="External"/><Relationship Id="rId7588" Type="http://schemas.openxmlformats.org/officeDocument/2006/relationships/hyperlink" Target="https://pld.live/RapDetail.aspx?STONELIST=925731953&amp;ISCONFIRM=0" TargetMode="External"/><Relationship Id="rId3034" Type="http://schemas.openxmlformats.org/officeDocument/2006/relationships/hyperlink" Target="https://pld.live/RapDetail.aspx?STONELIST=925951301&amp;ISCONFIRM=0" TargetMode="External"/><Relationship Id="rId7655" Type="http://schemas.openxmlformats.org/officeDocument/2006/relationships/hyperlink" Target="https://pld.live/RapDetail.aspx?STONELIST=941260443&amp;ISCONFIRM=0" TargetMode="External"/><Relationship Id="rId2050" Type="http://schemas.openxmlformats.org/officeDocument/2006/relationships/hyperlink" Target="https://pld.live/RapDetail.aspx?STONELIST=925670076&amp;ISCONFIRM=0" TargetMode="External"/><Relationship Id="rId3101" Type="http://schemas.openxmlformats.org/officeDocument/2006/relationships/hyperlink" Target="https://pld.live/RapDetail.aspx?STONELIST=925791427&amp;ISCONFIRM=0" TargetMode="External"/><Relationship Id="rId6257" Type="http://schemas.openxmlformats.org/officeDocument/2006/relationships/hyperlink" Target="https://pld.live/RapDetail.aspx?STONELIST=941110542&amp;ISCONFIRM=0" TargetMode="External"/><Relationship Id="rId6671" Type="http://schemas.openxmlformats.org/officeDocument/2006/relationships/hyperlink" Target="https://pld.live/RapDetail.aspx?STONELIST=920470373&amp;ISCONFIRM=0" TargetMode="External"/><Relationship Id="rId7308" Type="http://schemas.openxmlformats.org/officeDocument/2006/relationships/hyperlink" Target="https://pld.live/RapDetail.aspx?STONELIST=941130439&amp;ISCONFIRM=0" TargetMode="External"/><Relationship Id="rId7722" Type="http://schemas.openxmlformats.org/officeDocument/2006/relationships/hyperlink" Target="https://pld.live/RapDetail.aspx?STONELIST=927120041&amp;ISCONFIRM=0" TargetMode="External"/><Relationship Id="rId5273" Type="http://schemas.openxmlformats.org/officeDocument/2006/relationships/hyperlink" Target="https://pld.live/RapDetail.aspx?STONELIST=831020265&amp;ISCONFIRM=0" TargetMode="External"/><Relationship Id="rId6324" Type="http://schemas.openxmlformats.org/officeDocument/2006/relationships/hyperlink" Target="https://pld.live/RapDetail.aspx?STONELIST=927040798&amp;ISCONFIRM=0" TargetMode="External"/><Relationship Id="rId839" Type="http://schemas.openxmlformats.org/officeDocument/2006/relationships/hyperlink" Target="https://pld.live/RapDetail.aspx?STONELIST=821127515&amp;ISCONFIRM=0" TargetMode="External"/><Relationship Id="rId1469" Type="http://schemas.openxmlformats.org/officeDocument/2006/relationships/hyperlink" Target="https://pld.live/RapDetail.aspx?STONELIST=925750404&amp;ISCONFIRM=0" TargetMode="External"/><Relationship Id="rId2867" Type="http://schemas.openxmlformats.org/officeDocument/2006/relationships/hyperlink" Target="https://pld.live/RapDetail.aspx?STONELIST=925890665&amp;ISCONFIRM=0" TargetMode="External"/><Relationship Id="rId3918" Type="http://schemas.openxmlformats.org/officeDocument/2006/relationships/hyperlink" Target="https://pld.live/RapDetail.aspx?STONELIST=821123350&amp;ISCONFIRM=0" TargetMode="External"/><Relationship Id="rId5340" Type="http://schemas.openxmlformats.org/officeDocument/2006/relationships/hyperlink" Target="https://pld.live/RapDetail.aspx?STONELIST=926110137&amp;ISCONFIRM=0" TargetMode="External"/><Relationship Id="rId1883" Type="http://schemas.openxmlformats.org/officeDocument/2006/relationships/hyperlink" Target="https://pld.live/RapDetail.aspx?STONELIST=926810808&amp;ISCONFIRM=0" TargetMode="External"/><Relationship Id="rId2934" Type="http://schemas.openxmlformats.org/officeDocument/2006/relationships/hyperlink" Target="https://pld.live/RapDetail.aspx?STONELIST=925420402&amp;ISCONFIRM=0" TargetMode="External"/><Relationship Id="rId7098" Type="http://schemas.openxmlformats.org/officeDocument/2006/relationships/hyperlink" Target="https://pld.live/RapDetail.aspx?STONELIST=927132638&amp;ISCONFIRM=0" TargetMode="External"/><Relationship Id="rId8149" Type="http://schemas.openxmlformats.org/officeDocument/2006/relationships/hyperlink" Target="https://pld.live/RapDetail.aspx?STONELIST=941160627&amp;ISCONFIRM=0" TargetMode="External"/><Relationship Id="rId906" Type="http://schemas.openxmlformats.org/officeDocument/2006/relationships/hyperlink" Target="https://pld.live/RapDetail.aspx?STONELIST=925920818&amp;ISCONFIRM=0" TargetMode="External"/><Relationship Id="rId1536" Type="http://schemas.openxmlformats.org/officeDocument/2006/relationships/hyperlink" Target="https://pld.live/RapDetail.aspx?STONELIST=926280818&amp;ISCONFIRM=0" TargetMode="External"/><Relationship Id="rId1950" Type="http://schemas.openxmlformats.org/officeDocument/2006/relationships/hyperlink" Target="https://pld.live/RapDetail.aspx?STONELIST=925910813&amp;ISCONFIRM=0" TargetMode="External"/><Relationship Id="rId1603" Type="http://schemas.openxmlformats.org/officeDocument/2006/relationships/hyperlink" Target="https://pld.live/RapDetail.aspx?STONELIST=925360220&amp;ISCONFIRM=0" TargetMode="External"/><Relationship Id="rId4759" Type="http://schemas.openxmlformats.org/officeDocument/2006/relationships/hyperlink" Target="https://pld.live/RapDetail.aspx?STONELIST=924430101&amp;ISCONFIRM=0" TargetMode="External"/><Relationship Id="rId7165" Type="http://schemas.openxmlformats.org/officeDocument/2006/relationships/hyperlink" Target="https://pld.live/RapDetail.aspx?STONELIST=941360599&amp;ISCONFIRM=0" TargetMode="External"/><Relationship Id="rId8216" Type="http://schemas.openxmlformats.org/officeDocument/2006/relationships/hyperlink" Target="https://pld.live/RapDetail.aspx?STONELIST=926171034&amp;ISCONFIRM=0" TargetMode="External"/><Relationship Id="rId3775" Type="http://schemas.openxmlformats.org/officeDocument/2006/relationships/hyperlink" Target="https://pld.live/RapDetail.aspx?STONELIST=941110510&amp;ISCONFIRM=0" TargetMode="External"/><Relationship Id="rId4826" Type="http://schemas.openxmlformats.org/officeDocument/2006/relationships/hyperlink" Target="https://pld.live/RapDetail.aspx?STONELIST=925971090&amp;ISCONFIRM=0" TargetMode="External"/><Relationship Id="rId6181" Type="http://schemas.openxmlformats.org/officeDocument/2006/relationships/hyperlink" Target="https://pld.live/RapDetail.aspx?STONELIST=941230371&amp;ISCONFIRM=0" TargetMode="External"/><Relationship Id="rId7232" Type="http://schemas.openxmlformats.org/officeDocument/2006/relationships/hyperlink" Target="https://pld.live/RapDetail.aspx?STONELIST=821118008&amp;ISCONFIRM=0" TargetMode="External"/><Relationship Id="rId696" Type="http://schemas.openxmlformats.org/officeDocument/2006/relationships/hyperlink" Target="https://pld.live/RapDetail.aspx?STONELIST=925830581&amp;ISCONFIRM=0" TargetMode="External"/><Relationship Id="rId2377" Type="http://schemas.openxmlformats.org/officeDocument/2006/relationships/hyperlink" Target="https://pld.live/RapDetail.aspx?STONELIST=926191162&amp;ISCONFIRM=0" TargetMode="External"/><Relationship Id="rId2791" Type="http://schemas.openxmlformats.org/officeDocument/2006/relationships/hyperlink" Target="https://pld.live/RapDetail.aspx?STONELIST=926020809&amp;ISCONFIRM=0" TargetMode="External"/><Relationship Id="rId3428" Type="http://schemas.openxmlformats.org/officeDocument/2006/relationships/hyperlink" Target="https://pld.live/RapDetail.aspx?STONELIST=926030173&amp;ISCONFIRM=0" TargetMode="External"/><Relationship Id="rId349" Type="http://schemas.openxmlformats.org/officeDocument/2006/relationships/hyperlink" Target="https://pld.live/RapDetail.aspx?STONELIST=821130332&amp;ISCONFIRM=0" TargetMode="External"/><Relationship Id="rId763" Type="http://schemas.openxmlformats.org/officeDocument/2006/relationships/hyperlink" Target="https://pld.live/RapDetail.aspx?STONELIST=925430132&amp;ISCONFIRM=0" TargetMode="External"/><Relationship Id="rId1393" Type="http://schemas.openxmlformats.org/officeDocument/2006/relationships/hyperlink" Target="https://pld.live/RapDetail.aspx?STONELIST=926311303&amp;ISCONFIRM=0" TargetMode="External"/><Relationship Id="rId2444" Type="http://schemas.openxmlformats.org/officeDocument/2006/relationships/hyperlink" Target="https://pld.live/RapDetail.aspx?STONELIST=926231305&amp;ISCONFIRM=0" TargetMode="External"/><Relationship Id="rId3842" Type="http://schemas.openxmlformats.org/officeDocument/2006/relationships/hyperlink" Target="https://pld.live/RapDetail.aspx?STONELIST=925360404&amp;ISCONFIRM=0" TargetMode="External"/><Relationship Id="rId6998" Type="http://schemas.openxmlformats.org/officeDocument/2006/relationships/hyperlink" Target="https://pld.live/RapDetail.aspx?STONELIST=925731083&amp;ISCONFIRM=0" TargetMode="External"/><Relationship Id="rId416" Type="http://schemas.openxmlformats.org/officeDocument/2006/relationships/hyperlink" Target="https://pld.live/RapDetail.aspx?STONELIST=925300123&amp;ISCONFIRM=0" TargetMode="External"/><Relationship Id="rId1046" Type="http://schemas.openxmlformats.org/officeDocument/2006/relationships/hyperlink" Target="https://pld.live/RapDetail.aspx?STONELIST=941070976&amp;ISCONFIRM=0" TargetMode="External"/><Relationship Id="rId8073" Type="http://schemas.openxmlformats.org/officeDocument/2006/relationships/hyperlink" Target="https://pld.live/RapDetail.aspx?STONELIST=926041137&amp;ISCONFIRM=0" TargetMode="External"/><Relationship Id="rId830" Type="http://schemas.openxmlformats.org/officeDocument/2006/relationships/hyperlink" Target="https://pld.live/RapDetail.aspx?STONELIST=925981174&amp;ISCONFIRM=0" TargetMode="External"/><Relationship Id="rId1460" Type="http://schemas.openxmlformats.org/officeDocument/2006/relationships/hyperlink" Target="https://pld.live/RapDetail.aspx?STONELIST=926211306&amp;ISCONFIRM=0" TargetMode="External"/><Relationship Id="rId2511" Type="http://schemas.openxmlformats.org/officeDocument/2006/relationships/hyperlink" Target="https://pld.live/RapDetail.aspx?STONELIST=920661480&amp;ISCONFIRM=0" TargetMode="External"/><Relationship Id="rId5667" Type="http://schemas.openxmlformats.org/officeDocument/2006/relationships/hyperlink" Target="https://pld.live/RapDetail.aspx?STONELIST=924050504&amp;ISCONFIRM=0" TargetMode="External"/><Relationship Id="rId6718" Type="http://schemas.openxmlformats.org/officeDocument/2006/relationships/hyperlink" Target="https://pld.live/RapDetail.aspx?STONELIST=941190388&amp;ISCONFIRM=0" TargetMode="External"/><Relationship Id="rId1113" Type="http://schemas.openxmlformats.org/officeDocument/2006/relationships/hyperlink" Target="https://pld.live/RapDetail.aspx?STONELIST=927092149&amp;ISCONFIRM=0" TargetMode="External"/><Relationship Id="rId4269" Type="http://schemas.openxmlformats.org/officeDocument/2006/relationships/hyperlink" Target="https://pld.live/RapDetail.aspx?STONELIST=925732264&amp;ISCONFIRM=0" TargetMode="External"/><Relationship Id="rId4683" Type="http://schemas.openxmlformats.org/officeDocument/2006/relationships/hyperlink" Target="https://pld.live/RapDetail.aspx?STONELIST=925930236&amp;ISCONFIRM=0" TargetMode="External"/><Relationship Id="rId5734" Type="http://schemas.openxmlformats.org/officeDocument/2006/relationships/hyperlink" Target="https://pld.live/RapDetail.aspx?STONELIST=941270766&amp;ISCONFIRM=0" TargetMode="External"/><Relationship Id="rId8140" Type="http://schemas.openxmlformats.org/officeDocument/2006/relationships/hyperlink" Target="https://pld.live/RapDetail.aspx?STONELIST=941160628&amp;ISCONFIRM=0" TargetMode="External"/><Relationship Id="rId3285" Type="http://schemas.openxmlformats.org/officeDocument/2006/relationships/hyperlink" Target="https://pld.live/RapDetail.aspx?STONELIST=926120553&amp;ISCONFIRM=0" TargetMode="External"/><Relationship Id="rId4336" Type="http://schemas.openxmlformats.org/officeDocument/2006/relationships/hyperlink" Target="https://pld.live/RapDetail.aspx?STONELIST=927150306&amp;ISCONFIRM=0" TargetMode="External"/><Relationship Id="rId4750" Type="http://schemas.openxmlformats.org/officeDocument/2006/relationships/hyperlink" Target="https://pld.live/RapDetail.aspx?STONELIST=924430123&amp;ISCONFIRM=0" TargetMode="External"/><Relationship Id="rId5801" Type="http://schemas.openxmlformats.org/officeDocument/2006/relationships/hyperlink" Target="https://pld.live/RapDetail.aspx?STONELIST=926820137&amp;ISCONFIRM=0" TargetMode="External"/><Relationship Id="rId3352" Type="http://schemas.openxmlformats.org/officeDocument/2006/relationships/hyperlink" Target="https://pld.live/RapDetail.aspx?STONELIST=925971129&amp;ISCONFIRM=0" TargetMode="External"/><Relationship Id="rId4403" Type="http://schemas.openxmlformats.org/officeDocument/2006/relationships/hyperlink" Target="https://pld.live/RapDetail.aspx?STONELIST=821125438&amp;ISCONFIRM=0" TargetMode="External"/><Relationship Id="rId7559" Type="http://schemas.openxmlformats.org/officeDocument/2006/relationships/hyperlink" Target="https://pld.live/RapDetail.aspx?STONELIST=925732295&amp;ISCONFIRM=0" TargetMode="External"/><Relationship Id="rId273" Type="http://schemas.openxmlformats.org/officeDocument/2006/relationships/hyperlink" Target="https://pld.live/RapDetail.aspx?STONELIST=925000109&amp;ISCONFIRM=0" TargetMode="External"/><Relationship Id="rId3005" Type="http://schemas.openxmlformats.org/officeDocument/2006/relationships/hyperlink" Target="https://pld.live/RapDetail.aspx?STONELIST=821128390&amp;ISCONFIRM=0" TargetMode="External"/><Relationship Id="rId6575" Type="http://schemas.openxmlformats.org/officeDocument/2006/relationships/hyperlink" Target="https://pld.live/RapDetail.aspx?STONELIST=927052674&amp;ISCONFIRM=0" TargetMode="External"/><Relationship Id="rId7626" Type="http://schemas.openxmlformats.org/officeDocument/2006/relationships/hyperlink" Target="https://pld.live/RapDetail.aspx?STONELIST=926810679&amp;ISCONFIRM=0" TargetMode="External"/><Relationship Id="rId7973" Type="http://schemas.openxmlformats.org/officeDocument/2006/relationships/hyperlink" Target="https://pld.live/RapDetail.aspx?STONELIST=927140064&amp;ISCONFIRM=0" TargetMode="External"/><Relationship Id="rId340" Type="http://schemas.openxmlformats.org/officeDocument/2006/relationships/hyperlink" Target="https://pld.live/RapDetail.aspx?STONELIST=941400233&amp;ISCONFIRM=0" TargetMode="External"/><Relationship Id="rId2021" Type="http://schemas.openxmlformats.org/officeDocument/2006/relationships/hyperlink" Target="https://pld.live/RapDetail.aspx?STONELIST=926341611&amp;ISCONFIRM=0" TargetMode="External"/><Relationship Id="rId5177" Type="http://schemas.openxmlformats.org/officeDocument/2006/relationships/hyperlink" Target="https://pld.live/RapDetail.aspx?STONELIST=923600431&amp;ISCONFIRM=0" TargetMode="External"/><Relationship Id="rId6228" Type="http://schemas.openxmlformats.org/officeDocument/2006/relationships/hyperlink" Target="https://pld.live/RapDetail.aspx?STONELIST=941110550&amp;ISCONFIRM=0" TargetMode="External"/><Relationship Id="rId4193" Type="http://schemas.openxmlformats.org/officeDocument/2006/relationships/hyperlink" Target="https://pld.live/RapDetail.aspx?STONELIST=925521405&amp;ISCONFIRM=0" TargetMode="External"/><Relationship Id="rId5591" Type="http://schemas.openxmlformats.org/officeDocument/2006/relationships/hyperlink" Target="https://pld.live/RapDetail.aspx?STONELIST=925760094&amp;ISCONFIRM=0" TargetMode="External"/><Relationship Id="rId6642" Type="http://schemas.openxmlformats.org/officeDocument/2006/relationships/hyperlink" Target="https://pld.live/RapDetail.aspx?STONELIST=927052742&amp;ISCONFIRM=0" TargetMode="External"/><Relationship Id="rId1787" Type="http://schemas.openxmlformats.org/officeDocument/2006/relationships/hyperlink" Target="https://pld.live/RapDetail.aspx?STONELIST=941270581&amp;ISCONFIRM=0" TargetMode="External"/><Relationship Id="rId2838" Type="http://schemas.openxmlformats.org/officeDocument/2006/relationships/hyperlink" Target="https://pld.live/RapDetail.aspx?STONELIST=925861653&amp;ISCONFIRM=0" TargetMode="External"/><Relationship Id="rId5244" Type="http://schemas.openxmlformats.org/officeDocument/2006/relationships/hyperlink" Target="https://pld.live/RapDetail.aspx?STONELIST=925861646&amp;ISCONFIRM=0" TargetMode="External"/><Relationship Id="rId79" Type="http://schemas.openxmlformats.org/officeDocument/2006/relationships/hyperlink" Target="https://pld.live/RapDetail.aspx?STONELIST=925580057&amp;ISCONFIRM=0" TargetMode="External"/><Relationship Id="rId1854" Type="http://schemas.openxmlformats.org/officeDocument/2006/relationships/hyperlink" Target="https://pld.live/RapDetail.aspx?STONELIST=925290273&amp;ISCONFIRM=0" TargetMode="External"/><Relationship Id="rId2905" Type="http://schemas.openxmlformats.org/officeDocument/2006/relationships/hyperlink" Target="https://pld.live/RapDetail.aspx?STONELIST=922240044&amp;ISCONFIRM=0" TargetMode="External"/><Relationship Id="rId4260" Type="http://schemas.openxmlformats.org/officeDocument/2006/relationships/hyperlink" Target="https://pld.live/RapDetail.aspx?STONELIST=925080499&amp;ISCONFIRM=0" TargetMode="External"/><Relationship Id="rId5311" Type="http://schemas.openxmlformats.org/officeDocument/2006/relationships/hyperlink" Target="https://pld.live/RapDetail.aspx?STONELIST=926700755&amp;ISCONFIRM=0" TargetMode="External"/><Relationship Id="rId1507" Type="http://schemas.openxmlformats.org/officeDocument/2006/relationships/hyperlink" Target="https://pld.live/RapDetail.aspx?STONELIST=926331706&amp;ISCONFIRM=0" TargetMode="External"/><Relationship Id="rId7069" Type="http://schemas.openxmlformats.org/officeDocument/2006/relationships/hyperlink" Target="https://pld.live/RapDetail.aspx?STONELIST=927101140&amp;ISCONFIRM=0" TargetMode="External"/><Relationship Id="rId7483" Type="http://schemas.openxmlformats.org/officeDocument/2006/relationships/hyperlink" Target="https://pld.live/RapDetail.aspx?STONELIST=925801763&amp;ISCONFIRM=0" TargetMode="External"/><Relationship Id="rId1921" Type="http://schemas.openxmlformats.org/officeDocument/2006/relationships/hyperlink" Target="https://pld.live/RapDetail.aspx?STONELIST=926801204&amp;ISCONFIRM=0" TargetMode="External"/><Relationship Id="rId3679" Type="http://schemas.openxmlformats.org/officeDocument/2006/relationships/hyperlink" Target="https://pld.live/RapDetail.aspx?STONELIST=925690179&amp;ISCONFIRM=0" TargetMode="External"/><Relationship Id="rId6085" Type="http://schemas.openxmlformats.org/officeDocument/2006/relationships/hyperlink" Target="https://pld.live/RapDetail.aspx?STONELIST=926470448&amp;ISCONFIRM=0" TargetMode="External"/><Relationship Id="rId7136" Type="http://schemas.openxmlformats.org/officeDocument/2006/relationships/hyperlink" Target="https://pld.live/RapDetail.aspx?STONELIST=941140979&amp;ISCONFIRM=0" TargetMode="External"/><Relationship Id="rId7550" Type="http://schemas.openxmlformats.org/officeDocument/2006/relationships/hyperlink" Target="https://pld.live/RapDetail.aspx?STONELIST=925300231&amp;ISCONFIRM=0" TargetMode="External"/><Relationship Id="rId6152" Type="http://schemas.openxmlformats.org/officeDocument/2006/relationships/hyperlink" Target="https://pld.live/RapDetail.aspx?STONELIST=926360051&amp;ISCONFIRM=0" TargetMode="External"/><Relationship Id="rId7203" Type="http://schemas.openxmlformats.org/officeDocument/2006/relationships/hyperlink" Target="https://pld.live/RapDetail.aspx?STONELIST=924160795&amp;ISCONFIRM=0" TargetMode="External"/><Relationship Id="rId1297" Type="http://schemas.openxmlformats.org/officeDocument/2006/relationships/hyperlink" Target="https://pld.live/RapDetail.aspx?STONELIST=927091878&amp;ISCONFIRM=0" TargetMode="External"/><Relationship Id="rId2695" Type="http://schemas.openxmlformats.org/officeDocument/2006/relationships/hyperlink" Target="https://pld.live/RapDetail.aspx?STONELIST=926391554&amp;ISCONFIRM=0" TargetMode="External"/><Relationship Id="rId3746" Type="http://schemas.openxmlformats.org/officeDocument/2006/relationships/hyperlink" Target="https://pld.live/RapDetail.aspx?STONELIST=924380360&amp;ISCONFIRM=0" TargetMode="External"/><Relationship Id="rId667" Type="http://schemas.openxmlformats.org/officeDocument/2006/relationships/hyperlink" Target="https://pld.live/RapDetail.aspx?STONELIST=925961013&amp;ISCONFIRM=0" TargetMode="External"/><Relationship Id="rId2348" Type="http://schemas.openxmlformats.org/officeDocument/2006/relationships/hyperlink" Target="https://pld.live/RapDetail.aspx?STONELIST=926190983&amp;ISCONFIRM=0" TargetMode="External"/><Relationship Id="rId2762" Type="http://schemas.openxmlformats.org/officeDocument/2006/relationships/hyperlink" Target="https://pld.live/RapDetail.aspx?STONELIST=925530186&amp;ISCONFIRM=0" TargetMode="External"/><Relationship Id="rId3813" Type="http://schemas.openxmlformats.org/officeDocument/2006/relationships/hyperlink" Target="https://pld.live/RapDetail.aspx?STONELIST=927070430&amp;ISCONFIRM=0" TargetMode="External"/><Relationship Id="rId6969" Type="http://schemas.openxmlformats.org/officeDocument/2006/relationships/hyperlink" Target="https://pld.live/RapDetail.aspx?STONELIST=821113836&amp;ISCONFIRM=0" TargetMode="External"/><Relationship Id="rId734" Type="http://schemas.openxmlformats.org/officeDocument/2006/relationships/hyperlink" Target="https://pld.live/RapDetail.aspx?STONELIST=925520517&amp;ISCONFIRM=0" TargetMode="External"/><Relationship Id="rId1364" Type="http://schemas.openxmlformats.org/officeDocument/2006/relationships/hyperlink" Target="https://pld.live/RapDetail.aspx?STONELIST=821124704&amp;ISCONFIRM=0" TargetMode="External"/><Relationship Id="rId2415" Type="http://schemas.openxmlformats.org/officeDocument/2006/relationships/hyperlink" Target="https://pld.live/RapDetail.aspx?STONELIST=926261601&amp;ISCONFIRM=0" TargetMode="External"/><Relationship Id="rId5985" Type="http://schemas.openxmlformats.org/officeDocument/2006/relationships/hyperlink" Target="https://pld.live/RapDetail.aspx?STONELIST=927140419&amp;ISCONFIRM=0" TargetMode="External"/><Relationship Id="rId70" Type="http://schemas.openxmlformats.org/officeDocument/2006/relationships/hyperlink" Target="https://pld.live/RapDetail.aspx?STONELIST=926010281&amp;ISCONFIRM=0" TargetMode="External"/><Relationship Id="rId801" Type="http://schemas.openxmlformats.org/officeDocument/2006/relationships/hyperlink" Target="https://pld.live/RapDetail.aspx?STONELIST=821127625&amp;ISCONFIRM=0" TargetMode="External"/><Relationship Id="rId1017" Type="http://schemas.openxmlformats.org/officeDocument/2006/relationships/hyperlink" Target="https://pld.live/RapDetail.aspx?STONELIST=927052444&amp;ISCONFIRM=0" TargetMode="External"/><Relationship Id="rId1431" Type="http://schemas.openxmlformats.org/officeDocument/2006/relationships/hyperlink" Target="https://pld.live/RapDetail.aspx?STONELIST=926221277&amp;ISCONFIRM=0" TargetMode="External"/><Relationship Id="rId4587" Type="http://schemas.openxmlformats.org/officeDocument/2006/relationships/hyperlink" Target="https://pld.live/RapDetail.aspx?STONELIST=927052573&amp;ISCONFIRM=0" TargetMode="External"/><Relationship Id="rId5638" Type="http://schemas.openxmlformats.org/officeDocument/2006/relationships/hyperlink" Target="https://pld.live/RapDetail.aspx?STONELIST=923390504&amp;ISCONFIRM=0" TargetMode="External"/><Relationship Id="rId8044" Type="http://schemas.openxmlformats.org/officeDocument/2006/relationships/hyperlink" Target="https://pld.live/RapDetail.aspx?STONELIST=923520468&amp;ISCONFIRM=0" TargetMode="External"/><Relationship Id="rId3189" Type="http://schemas.openxmlformats.org/officeDocument/2006/relationships/hyperlink" Target="https://pld.live/RapDetail.aspx?STONELIST=925040410&amp;ISCONFIRM=0" TargetMode="External"/><Relationship Id="rId4654" Type="http://schemas.openxmlformats.org/officeDocument/2006/relationships/hyperlink" Target="https://pld.live/RapDetail.aspx?STONELIST=941191850&amp;ISCONFIRM=0" TargetMode="External"/><Relationship Id="rId7060" Type="http://schemas.openxmlformats.org/officeDocument/2006/relationships/hyperlink" Target="https://pld.live/RapDetail.aspx?STONELIST=941040760&amp;ISCONFIRM=0" TargetMode="External"/><Relationship Id="rId8111" Type="http://schemas.openxmlformats.org/officeDocument/2006/relationships/hyperlink" Target="https://pld.live/RapDetail.aspx?STONELIST=926110674&amp;ISCONFIRM=0" TargetMode="External"/><Relationship Id="rId3256" Type="http://schemas.openxmlformats.org/officeDocument/2006/relationships/hyperlink" Target="https://pld.live/RapDetail.aspx?STONELIST=941261065&amp;ISCONFIRM=0" TargetMode="External"/><Relationship Id="rId4307" Type="http://schemas.openxmlformats.org/officeDocument/2006/relationships/hyperlink" Target="https://pld.live/RapDetail.aspx?STONELIST=927092680&amp;ISCONFIRM=0" TargetMode="External"/><Relationship Id="rId5705" Type="http://schemas.openxmlformats.org/officeDocument/2006/relationships/hyperlink" Target="https://pld.live/RapDetail.aspx?STONELIST=926770306&amp;ISCONFIRM=0" TargetMode="External"/><Relationship Id="rId177" Type="http://schemas.openxmlformats.org/officeDocument/2006/relationships/hyperlink" Target="https://pld.live/RapDetail.aspx?STONELIST=941090559&amp;ISCONFIRM=0" TargetMode="External"/><Relationship Id="rId591" Type="http://schemas.openxmlformats.org/officeDocument/2006/relationships/hyperlink" Target="https://pld.live/RapDetail.aspx?STONELIST=926041223&amp;ISCONFIRM=0" TargetMode="External"/><Relationship Id="rId2272" Type="http://schemas.openxmlformats.org/officeDocument/2006/relationships/hyperlink" Target="https://pld.live/RapDetail.aspx?STONELIST=926301225&amp;ISCONFIRM=0" TargetMode="External"/><Relationship Id="rId3670" Type="http://schemas.openxmlformats.org/officeDocument/2006/relationships/hyperlink" Target="https://pld.live/RapDetail.aspx?STONELIST=925710186&amp;ISCONFIRM=0" TargetMode="External"/><Relationship Id="rId4721" Type="http://schemas.openxmlformats.org/officeDocument/2006/relationships/hyperlink" Target="https://pld.live/RapDetail.aspx?STONELIST=925820174&amp;ISCONFIRM=0" TargetMode="External"/><Relationship Id="rId7877" Type="http://schemas.openxmlformats.org/officeDocument/2006/relationships/hyperlink" Target="https://pld.live/RapDetail.aspx?STONELIST=926870829&amp;ISCONFIRM=0" TargetMode="External"/><Relationship Id="rId244" Type="http://schemas.openxmlformats.org/officeDocument/2006/relationships/hyperlink" Target="https://pld.live/RapDetail.aspx?STONELIST=924250499&amp;ISCONFIRM=0" TargetMode="External"/><Relationship Id="rId3323" Type="http://schemas.openxmlformats.org/officeDocument/2006/relationships/hyperlink" Target="https://pld.live/RapDetail.aspx?STONELIST=926930933&amp;ISCONFIRM=0" TargetMode="External"/><Relationship Id="rId6479" Type="http://schemas.openxmlformats.org/officeDocument/2006/relationships/hyperlink" Target="https://pld.live/RapDetail.aspx?STONELIST=926291387&amp;ISCONFIRM=0" TargetMode="External"/><Relationship Id="rId6893" Type="http://schemas.openxmlformats.org/officeDocument/2006/relationships/hyperlink" Target="https://pld.live/RapDetail.aspx?STONELIST=925530202&amp;ISCONFIRM=0" TargetMode="External"/><Relationship Id="rId7944" Type="http://schemas.openxmlformats.org/officeDocument/2006/relationships/hyperlink" Target="https://pld.live/RapDetail.aspx?STONELIST=927130716&amp;ISCONFIRM=0" TargetMode="External"/><Relationship Id="rId5495" Type="http://schemas.openxmlformats.org/officeDocument/2006/relationships/hyperlink" Target="https://pld.live/RapDetail.aspx?STONELIST=926311195&amp;ISCONFIRM=0" TargetMode="External"/><Relationship Id="rId6546" Type="http://schemas.openxmlformats.org/officeDocument/2006/relationships/hyperlink" Target="https://pld.live/RapDetail.aspx?STONELIST=927080751&amp;ISCONFIRM=0" TargetMode="External"/><Relationship Id="rId6960" Type="http://schemas.openxmlformats.org/officeDocument/2006/relationships/hyperlink" Target="https://pld.live/RapDetail.aspx?STONELIST=925771124&amp;ISCONFIRM=0" TargetMode="External"/><Relationship Id="rId311" Type="http://schemas.openxmlformats.org/officeDocument/2006/relationships/hyperlink" Target="https://pld.live/RapDetail.aspx?STONELIST=941400304&amp;ISCONFIRM=0" TargetMode="External"/><Relationship Id="rId4097" Type="http://schemas.openxmlformats.org/officeDocument/2006/relationships/hyperlink" Target="https://pld.live/RapDetail.aspx?STONELIST=926621094&amp;ISCONFIRM=0" TargetMode="External"/><Relationship Id="rId5148" Type="http://schemas.openxmlformats.org/officeDocument/2006/relationships/hyperlink" Target="https://pld.live/RapDetail.aspx?STONELIST=923780367&amp;ISCONFIRM=0" TargetMode="External"/><Relationship Id="rId5562" Type="http://schemas.openxmlformats.org/officeDocument/2006/relationships/hyperlink" Target="https://pld.live/RapDetail.aspx?STONELIST=924480039&amp;ISCONFIRM=0" TargetMode="External"/><Relationship Id="rId6613" Type="http://schemas.openxmlformats.org/officeDocument/2006/relationships/hyperlink" Target="https://pld.live/RapDetail.aspx?STONELIST=927052721&amp;ISCONFIRM=0" TargetMode="External"/><Relationship Id="rId1758" Type="http://schemas.openxmlformats.org/officeDocument/2006/relationships/hyperlink" Target="https://pld.live/RapDetail.aspx?STONELIST=941200074&amp;ISCONFIRM=0" TargetMode="External"/><Relationship Id="rId2809" Type="http://schemas.openxmlformats.org/officeDocument/2006/relationships/hyperlink" Target="https://pld.live/RapDetail.aspx?STONELIST=925890659&amp;ISCONFIRM=0" TargetMode="External"/><Relationship Id="rId4164" Type="http://schemas.openxmlformats.org/officeDocument/2006/relationships/hyperlink" Target="https://pld.live/RapDetail.aspx?STONELIST=925851057&amp;ISCONFIRM=0" TargetMode="External"/><Relationship Id="rId5215" Type="http://schemas.openxmlformats.org/officeDocument/2006/relationships/hyperlink" Target="https://pld.live/RapDetail.aspx?STONELIST=923540522&amp;ISCONFIRM=0" TargetMode="External"/><Relationship Id="rId3180" Type="http://schemas.openxmlformats.org/officeDocument/2006/relationships/hyperlink" Target="https://pld.live/RapDetail.aspx?STONELIST=925030438&amp;ISCONFIRM=0" TargetMode="External"/><Relationship Id="rId4231" Type="http://schemas.openxmlformats.org/officeDocument/2006/relationships/hyperlink" Target="https://pld.live/RapDetail.aspx?STONELIST=925732220&amp;ISCONFIRM=0" TargetMode="External"/><Relationship Id="rId7387" Type="http://schemas.openxmlformats.org/officeDocument/2006/relationships/hyperlink" Target="https://pld.live/RapDetail.aspx?STONELIST=926780076&amp;ISCONFIRM=0" TargetMode="External"/><Relationship Id="rId1825" Type="http://schemas.openxmlformats.org/officeDocument/2006/relationships/hyperlink" Target="https://pld.live/RapDetail.aspx?STONELIST=926180856&amp;ISCONFIRM=0" TargetMode="External"/><Relationship Id="rId3997" Type="http://schemas.openxmlformats.org/officeDocument/2006/relationships/hyperlink" Target="https://pld.live/RapDetail.aspx?STONELIST=925971022&amp;ISCONFIRM=0" TargetMode="External"/><Relationship Id="rId6056" Type="http://schemas.openxmlformats.org/officeDocument/2006/relationships/hyperlink" Target="https://pld.live/RapDetail.aspx?STONELIST=831010331&amp;ISCONFIRM=0" TargetMode="External"/><Relationship Id="rId7454" Type="http://schemas.openxmlformats.org/officeDocument/2006/relationships/hyperlink" Target="https://pld.live/RapDetail.aspx?STONELIST=925801206&amp;ISCONFIRM=0" TargetMode="External"/><Relationship Id="rId2599" Type="http://schemas.openxmlformats.org/officeDocument/2006/relationships/hyperlink" Target="https://pld.live/RapDetail.aspx?STONELIST=926800994&amp;ISCONFIRM=0" TargetMode="External"/><Relationship Id="rId6470" Type="http://schemas.openxmlformats.org/officeDocument/2006/relationships/hyperlink" Target="https://pld.live/RapDetail.aspx?STONELIST=941080804&amp;ISCONFIRM=0" TargetMode="External"/><Relationship Id="rId7107" Type="http://schemas.openxmlformats.org/officeDocument/2006/relationships/hyperlink" Target="https://pld.live/RapDetail.aspx?STONELIST=941161036&amp;ISCONFIRM=0" TargetMode="External"/><Relationship Id="rId7521" Type="http://schemas.openxmlformats.org/officeDocument/2006/relationships/hyperlink" Target="https://pld.live/RapDetail.aspx?STONELIST=925801725&amp;ISCONFIRM=0" TargetMode="External"/><Relationship Id="rId985" Type="http://schemas.openxmlformats.org/officeDocument/2006/relationships/hyperlink" Target="https://pld.live/RapDetail.aspx?STONELIST=926831143&amp;ISCONFIRM=0" TargetMode="External"/><Relationship Id="rId2666" Type="http://schemas.openxmlformats.org/officeDocument/2006/relationships/hyperlink" Target="https://pld.live/RapDetail.aspx?STONELIST=926191333&amp;ISCONFIRM=0" TargetMode="External"/><Relationship Id="rId3717" Type="http://schemas.openxmlformats.org/officeDocument/2006/relationships/hyperlink" Target="https://pld.live/RapDetail.aspx?STONELIST=925700183&amp;ISCONFIRM=0" TargetMode="External"/><Relationship Id="rId5072" Type="http://schemas.openxmlformats.org/officeDocument/2006/relationships/hyperlink" Target="https://pld.live/RapDetail.aspx?STONELIST=926990486&amp;ISCONFIRM=0" TargetMode="External"/><Relationship Id="rId6123" Type="http://schemas.openxmlformats.org/officeDocument/2006/relationships/hyperlink" Target="https://pld.live/RapDetail.aspx?STONELIST=925660164&amp;ISCONFIRM=0" TargetMode="External"/><Relationship Id="rId638" Type="http://schemas.openxmlformats.org/officeDocument/2006/relationships/hyperlink" Target="https://pld.live/RapDetail.aspx?STONELIST=831010811&amp;ISCONFIRM=0" TargetMode="External"/><Relationship Id="rId1268" Type="http://schemas.openxmlformats.org/officeDocument/2006/relationships/hyperlink" Target="https://pld.live/RapDetail.aspx?STONELIST=926331620&amp;ISCONFIRM=0" TargetMode="External"/><Relationship Id="rId1682" Type="http://schemas.openxmlformats.org/officeDocument/2006/relationships/hyperlink" Target="https://pld.live/RapDetail.aspx?STONELIST=926671082&amp;ISCONFIRM=0" TargetMode="External"/><Relationship Id="rId2319" Type="http://schemas.openxmlformats.org/officeDocument/2006/relationships/hyperlink" Target="https://pld.live/RapDetail.aspx?STONELIST=920661541&amp;ISCONFIRM=0" TargetMode="External"/><Relationship Id="rId2733" Type="http://schemas.openxmlformats.org/officeDocument/2006/relationships/hyperlink" Target="https://pld.live/RapDetail.aspx?STONELIST=831020566&amp;ISCONFIRM=0" TargetMode="External"/><Relationship Id="rId5889" Type="http://schemas.openxmlformats.org/officeDocument/2006/relationships/hyperlink" Target="https://pld.live/RapDetail.aspx?STONELIST=927152527&amp;ISCONFIRM=0" TargetMode="External"/><Relationship Id="rId705" Type="http://schemas.openxmlformats.org/officeDocument/2006/relationships/hyperlink" Target="https://pld.live/RapDetail.aspx?STONELIST=821127655&amp;ISCONFIRM=0" TargetMode="External"/><Relationship Id="rId1335" Type="http://schemas.openxmlformats.org/officeDocument/2006/relationships/hyperlink" Target="https://pld.live/RapDetail.aspx?STONELIST=941330321&amp;ISCONFIRM=0" TargetMode="External"/><Relationship Id="rId2800" Type="http://schemas.openxmlformats.org/officeDocument/2006/relationships/hyperlink" Target="https://pld.live/RapDetail.aspx?STONELIST=926200738&amp;ISCONFIRM=0" TargetMode="External"/><Relationship Id="rId5956" Type="http://schemas.openxmlformats.org/officeDocument/2006/relationships/hyperlink" Target="https://pld.live/RapDetail.aspx?STONELIST=926841356&amp;ISCONFIRM=0" TargetMode="External"/><Relationship Id="rId8015" Type="http://schemas.openxmlformats.org/officeDocument/2006/relationships/hyperlink" Target="https://pld.live/RapDetail.aspx?STONELIST=926440736&amp;ISCONFIRM=0" TargetMode="External"/><Relationship Id="rId41" Type="http://schemas.openxmlformats.org/officeDocument/2006/relationships/hyperlink" Target="https://pld.live/RapDetail.aspx?STONELIST=926600049&amp;ISCONFIRM=0" TargetMode="External"/><Relationship Id="rId1402" Type="http://schemas.openxmlformats.org/officeDocument/2006/relationships/hyperlink" Target="https://pld.live/RapDetail.aspx?STONELIST=926221370&amp;ISCONFIRM=0" TargetMode="External"/><Relationship Id="rId4558" Type="http://schemas.openxmlformats.org/officeDocument/2006/relationships/hyperlink" Target="https://pld.live/RapDetail.aspx?STONELIST=924580388&amp;ISCONFIRM=0" TargetMode="External"/><Relationship Id="rId4972" Type="http://schemas.openxmlformats.org/officeDocument/2006/relationships/hyperlink" Target="https://pld.live/RapDetail.aspx?STONELIST=925950206&amp;ISCONFIRM=0" TargetMode="External"/><Relationship Id="rId5609" Type="http://schemas.openxmlformats.org/officeDocument/2006/relationships/hyperlink" Target="https://pld.live/RapDetail.aspx?STONELIST=925060446&amp;ISCONFIRM=0" TargetMode="External"/><Relationship Id="rId7031" Type="http://schemas.openxmlformats.org/officeDocument/2006/relationships/hyperlink" Target="https://pld.live/RapDetail.aspx?STONELIST=926830940&amp;ISCONFIRM=0" TargetMode="External"/><Relationship Id="rId3574" Type="http://schemas.openxmlformats.org/officeDocument/2006/relationships/hyperlink" Target="https://pld.live/RapDetail.aspx?STONELIST=821133274&amp;ISCONFIRM=0" TargetMode="External"/><Relationship Id="rId4625" Type="http://schemas.openxmlformats.org/officeDocument/2006/relationships/hyperlink" Target="https://pld.live/RapDetail.aspx?STONELIST=941190783&amp;ISCONFIRM=0" TargetMode="External"/><Relationship Id="rId495" Type="http://schemas.openxmlformats.org/officeDocument/2006/relationships/hyperlink" Target="https://pld.live/RapDetail.aspx?STONELIST=925360155&amp;ISCONFIRM=0" TargetMode="External"/><Relationship Id="rId2176" Type="http://schemas.openxmlformats.org/officeDocument/2006/relationships/hyperlink" Target="https://pld.live/RapDetail.aspx?STONELIST=926191145&amp;ISCONFIRM=0" TargetMode="External"/><Relationship Id="rId2590" Type="http://schemas.openxmlformats.org/officeDocument/2006/relationships/hyperlink" Target="https://pld.live/RapDetail.aspx?STONELIST=926191083&amp;ISCONFIRM=0" TargetMode="External"/><Relationship Id="rId3227" Type="http://schemas.openxmlformats.org/officeDocument/2006/relationships/hyperlink" Target="https://pld.live/RapDetail.aspx?STONELIST=925091146&amp;ISCONFIRM=0" TargetMode="External"/><Relationship Id="rId3641" Type="http://schemas.openxmlformats.org/officeDocument/2006/relationships/hyperlink" Target="https://pld.live/RapDetail.aspx?STONELIST=926420410&amp;ISCONFIRM=0" TargetMode="External"/><Relationship Id="rId6797" Type="http://schemas.openxmlformats.org/officeDocument/2006/relationships/hyperlink" Target="https://pld.live/RapDetail.aspx?STONELIST=821115807&amp;ISCONFIRM=0" TargetMode="External"/><Relationship Id="rId7848" Type="http://schemas.openxmlformats.org/officeDocument/2006/relationships/hyperlink" Target="https://pld.live/RapDetail.aspx?STONELIST=925721928&amp;ISCONFIRM=0" TargetMode="External"/><Relationship Id="rId148" Type="http://schemas.openxmlformats.org/officeDocument/2006/relationships/hyperlink" Target="https://pld.live/RapDetail.aspx?STONELIST=927070538&amp;ISCONFIRM=0" TargetMode="External"/><Relationship Id="rId562" Type="http://schemas.openxmlformats.org/officeDocument/2006/relationships/hyperlink" Target="https://pld.live/RapDetail.aspx?STONELIST=821121894&amp;ISCONFIRM=0" TargetMode="External"/><Relationship Id="rId1192" Type="http://schemas.openxmlformats.org/officeDocument/2006/relationships/hyperlink" Target="https://pld.live/RapDetail.aspx?STONELIST=941090451&amp;ISCONFIRM=0" TargetMode="External"/><Relationship Id="rId2243" Type="http://schemas.openxmlformats.org/officeDocument/2006/relationships/hyperlink" Target="https://pld.live/RapDetail.aspx?STONELIST=926391186&amp;ISCONFIRM=0" TargetMode="External"/><Relationship Id="rId5399" Type="http://schemas.openxmlformats.org/officeDocument/2006/relationships/hyperlink" Target="https://pld.live/RapDetail.aspx?STONELIST=941120575&amp;ISCONFIRM=0" TargetMode="External"/><Relationship Id="rId6864" Type="http://schemas.openxmlformats.org/officeDocument/2006/relationships/hyperlink" Target="https://pld.live/RapDetail.aspx?STONELIST=924930173&amp;ISCONFIRM=0" TargetMode="External"/><Relationship Id="rId7915" Type="http://schemas.openxmlformats.org/officeDocument/2006/relationships/hyperlink" Target="https://pld.live/RapDetail.aspx?STONELIST=926840857&amp;ISCONFIRM=0" TargetMode="External"/><Relationship Id="rId215" Type="http://schemas.openxmlformats.org/officeDocument/2006/relationships/hyperlink" Target="https://pld.live/RapDetail.aspx?STONELIST=831020680&amp;ISCONFIRM=0" TargetMode="External"/><Relationship Id="rId2310" Type="http://schemas.openxmlformats.org/officeDocument/2006/relationships/hyperlink" Target="https://pld.live/RapDetail.aspx?STONELIST=926181045&amp;ISCONFIRM=0" TargetMode="External"/><Relationship Id="rId5466" Type="http://schemas.openxmlformats.org/officeDocument/2006/relationships/hyperlink" Target="https://pld.live/RapDetail.aspx?STONELIST=926291373&amp;ISCONFIRM=0" TargetMode="External"/><Relationship Id="rId6517" Type="http://schemas.openxmlformats.org/officeDocument/2006/relationships/hyperlink" Target="https://pld.live/RapDetail.aspx?STONELIST=927092079&amp;ISCONFIRM=0" TargetMode="External"/><Relationship Id="rId4068" Type="http://schemas.openxmlformats.org/officeDocument/2006/relationships/hyperlink" Target="https://pld.live/RapDetail.aspx?STONELIST=926041021&amp;ISCONFIRM=0" TargetMode="External"/><Relationship Id="rId4482" Type="http://schemas.openxmlformats.org/officeDocument/2006/relationships/hyperlink" Target="https://pld.live/RapDetail.aspx?STONELIST=941140773&amp;ISCONFIRM=0" TargetMode="External"/><Relationship Id="rId5119" Type="http://schemas.openxmlformats.org/officeDocument/2006/relationships/hyperlink" Target="https://pld.live/RapDetail.aspx?STONELIST=925890563&amp;ISCONFIRM=0" TargetMode="External"/><Relationship Id="rId5880" Type="http://schemas.openxmlformats.org/officeDocument/2006/relationships/hyperlink" Target="https://pld.live/RapDetail.aspx?STONELIST=925300370&amp;ISCONFIRM=0" TargetMode="External"/><Relationship Id="rId6931" Type="http://schemas.openxmlformats.org/officeDocument/2006/relationships/hyperlink" Target="https://pld.live/RapDetail.aspx?STONELIST=821113861&amp;ISCONFIRM=0" TargetMode="External"/><Relationship Id="rId3084" Type="http://schemas.openxmlformats.org/officeDocument/2006/relationships/hyperlink" Target="https://pld.live/RapDetail.aspx?STONELIST=821128381&amp;ISCONFIRM=0" TargetMode="External"/><Relationship Id="rId4135" Type="http://schemas.openxmlformats.org/officeDocument/2006/relationships/hyperlink" Target="https://pld.live/RapDetail.aspx?STONELIST=925140244&amp;ISCONFIRM=0" TargetMode="External"/><Relationship Id="rId5533" Type="http://schemas.openxmlformats.org/officeDocument/2006/relationships/hyperlink" Target="https://pld.live/RapDetail.aspx?STONELIST=924580407&amp;ISCONFIRM=0" TargetMode="External"/><Relationship Id="rId1729" Type="http://schemas.openxmlformats.org/officeDocument/2006/relationships/hyperlink" Target="https://pld.live/RapDetail.aspx?STONELIST=926960828&amp;ISCONFIRM=0" TargetMode="External"/><Relationship Id="rId5600" Type="http://schemas.openxmlformats.org/officeDocument/2006/relationships/hyperlink" Target="https://pld.live/RapDetail.aspx?STONELIST=831020456&amp;ISCONFIRM=0" TargetMode="External"/><Relationship Id="rId3151" Type="http://schemas.openxmlformats.org/officeDocument/2006/relationships/hyperlink" Target="https://pld.live/RapDetail.aspx?STONELIST=926210891&amp;ISCONFIRM=0" TargetMode="External"/><Relationship Id="rId4202" Type="http://schemas.openxmlformats.org/officeDocument/2006/relationships/hyperlink" Target="https://pld.live/RapDetail.aspx?STONELIST=926071526&amp;ISCONFIRM=0" TargetMode="External"/><Relationship Id="rId7358" Type="http://schemas.openxmlformats.org/officeDocument/2006/relationships/hyperlink" Target="https://pld.live/RapDetail.aspx?STONELIST=941360585&amp;ISCONFIRM=0" TargetMode="External"/><Relationship Id="rId7772" Type="http://schemas.openxmlformats.org/officeDocument/2006/relationships/hyperlink" Target="https://pld.live/RapDetail.aspx?STONELIST=831020664&amp;ISCONFIRM=0" TargetMode="External"/><Relationship Id="rId3968" Type="http://schemas.openxmlformats.org/officeDocument/2006/relationships/hyperlink" Target="https://pld.live/RapDetail.aspx?STONELIST=925700186&amp;ISCONFIRM=0" TargetMode="External"/><Relationship Id="rId6374" Type="http://schemas.openxmlformats.org/officeDocument/2006/relationships/hyperlink" Target="https://pld.live/RapDetail.aspx?STONELIST=926960858&amp;ISCONFIRM=0" TargetMode="External"/><Relationship Id="rId7425" Type="http://schemas.openxmlformats.org/officeDocument/2006/relationships/hyperlink" Target="https://pld.live/RapDetail.aspx?STONELIST=924350642&amp;ISCONFIRM=0" TargetMode="External"/><Relationship Id="rId5" Type="http://schemas.openxmlformats.org/officeDocument/2006/relationships/hyperlink" Target="https://pld.live/RapDetail.aspx?STONELIST=923830005&amp;ISCONFIRM=0" TargetMode="External"/><Relationship Id="rId889" Type="http://schemas.openxmlformats.org/officeDocument/2006/relationships/hyperlink" Target="https://pld.live/RapDetail.aspx?STONELIST=925861498&amp;ISCONFIRM=0" TargetMode="External"/><Relationship Id="rId5390" Type="http://schemas.openxmlformats.org/officeDocument/2006/relationships/hyperlink" Target="https://pld.live/RapDetail.aspx?STONELIST=941140052&amp;ISCONFIRM=0" TargetMode="External"/><Relationship Id="rId6027" Type="http://schemas.openxmlformats.org/officeDocument/2006/relationships/hyperlink" Target="https://pld.live/RapDetail.aspx?STONELIST=941170412&amp;ISCONFIRM=0" TargetMode="External"/><Relationship Id="rId6441" Type="http://schemas.openxmlformats.org/officeDocument/2006/relationships/hyperlink" Target="https://pld.live/RapDetail.aspx?STONELIST=941090649&amp;ISCONFIRM=0" TargetMode="External"/><Relationship Id="rId1586" Type="http://schemas.openxmlformats.org/officeDocument/2006/relationships/hyperlink" Target="https://pld.live/RapDetail.aspx?STONELIST=926941137&amp;ISCONFIRM=0" TargetMode="External"/><Relationship Id="rId2984" Type="http://schemas.openxmlformats.org/officeDocument/2006/relationships/hyperlink" Target="https://pld.live/RapDetail.aspx?STONELIST=925940655&amp;ISCONFIRM=0" TargetMode="External"/><Relationship Id="rId5043" Type="http://schemas.openxmlformats.org/officeDocument/2006/relationships/hyperlink" Target="https://pld.live/RapDetail.aspx?STONELIST=926020627&amp;ISCONFIRM=0" TargetMode="External"/><Relationship Id="rId8199" Type="http://schemas.openxmlformats.org/officeDocument/2006/relationships/hyperlink" Target="https://pld.live/RapDetail.aspx?STONELIST=925320058&amp;ISCONFIRM=0" TargetMode="External"/><Relationship Id="rId609" Type="http://schemas.openxmlformats.org/officeDocument/2006/relationships/hyperlink" Target="https://pld.live/RapDetail.aspx?STONELIST=831010855&amp;ISCONFIRM=0" TargetMode="External"/><Relationship Id="rId956" Type="http://schemas.openxmlformats.org/officeDocument/2006/relationships/hyperlink" Target="https://pld.live/RapDetail.aspx?STONELIST=926701092&amp;ISCONFIRM=0" TargetMode="External"/><Relationship Id="rId1239" Type="http://schemas.openxmlformats.org/officeDocument/2006/relationships/hyperlink" Target="https://pld.live/RapDetail.aspx?STONELIST=941350854&amp;ISCONFIRM=0" TargetMode="External"/><Relationship Id="rId2637" Type="http://schemas.openxmlformats.org/officeDocument/2006/relationships/hyperlink" Target="https://pld.live/RapDetail.aspx?STONELIST=926261439&amp;ISCONFIRM=0" TargetMode="External"/><Relationship Id="rId5110" Type="http://schemas.openxmlformats.org/officeDocument/2006/relationships/hyperlink" Target="https://pld.live/RapDetail.aspx?STONELIST=923770357&amp;ISCONFIRM=0" TargetMode="External"/><Relationship Id="rId1653" Type="http://schemas.openxmlformats.org/officeDocument/2006/relationships/hyperlink" Target="https://pld.live/RapDetail.aspx?STONELIST=925791079&amp;ISCONFIRM=0" TargetMode="External"/><Relationship Id="rId2704" Type="http://schemas.openxmlformats.org/officeDocument/2006/relationships/hyperlink" Target="https://pld.live/RapDetail.aspx?STONELIST=926710963&amp;ISCONFIRM=0" TargetMode="External"/><Relationship Id="rId1306" Type="http://schemas.openxmlformats.org/officeDocument/2006/relationships/hyperlink" Target="https://pld.live/RapDetail.aspx?STONELIST=926941119&amp;ISCONFIRM=0" TargetMode="External"/><Relationship Id="rId1720" Type="http://schemas.openxmlformats.org/officeDocument/2006/relationships/hyperlink" Target="https://pld.live/RapDetail.aspx?STONELIST=941270637&amp;ISCONFIRM=0" TargetMode="External"/><Relationship Id="rId4876" Type="http://schemas.openxmlformats.org/officeDocument/2006/relationships/hyperlink" Target="https://pld.live/RapDetail.aspx?STONELIST=926171461&amp;ISCONFIRM=0" TargetMode="External"/><Relationship Id="rId5927" Type="http://schemas.openxmlformats.org/officeDocument/2006/relationships/hyperlink" Target="https://pld.live/RapDetail.aspx?STONELIST=925300378&amp;ISCONFIRM=0" TargetMode="External"/><Relationship Id="rId7282" Type="http://schemas.openxmlformats.org/officeDocument/2006/relationships/hyperlink" Target="https://pld.live/RapDetail.aspx?STONELIST=927132480&amp;ISCONFIRM=0" TargetMode="External"/><Relationship Id="rId12" Type="http://schemas.openxmlformats.org/officeDocument/2006/relationships/hyperlink" Target="https://pld.live/RapDetail.aspx?STONELIST=924500010&amp;ISCONFIRM=0" TargetMode="External"/><Relationship Id="rId3478" Type="http://schemas.openxmlformats.org/officeDocument/2006/relationships/hyperlink" Target="https://pld.live/RapDetail.aspx?STONELIST=831010671&amp;ISCONFIRM=0" TargetMode="External"/><Relationship Id="rId3892" Type="http://schemas.openxmlformats.org/officeDocument/2006/relationships/hyperlink" Target="https://pld.live/RapDetail.aspx?STONELIST=926020641&amp;ISCONFIRM=0" TargetMode="External"/><Relationship Id="rId4529" Type="http://schemas.openxmlformats.org/officeDocument/2006/relationships/hyperlink" Target="https://pld.live/RapDetail.aspx?STONELIST=941320816&amp;ISCONFIRM=0" TargetMode="External"/><Relationship Id="rId4943" Type="http://schemas.openxmlformats.org/officeDocument/2006/relationships/hyperlink" Target="https://pld.live/RapDetail.aspx?STONELIST=926071713&amp;ISCONFIRM=0" TargetMode="External"/><Relationship Id="rId399" Type="http://schemas.openxmlformats.org/officeDocument/2006/relationships/hyperlink" Target="https://pld.live/RapDetail.aspx?STONELIST=925951252&amp;ISCONFIRM=0" TargetMode="External"/><Relationship Id="rId2494" Type="http://schemas.openxmlformats.org/officeDocument/2006/relationships/hyperlink" Target="https://pld.live/RapDetail.aspx?STONELIST=941330307&amp;ISCONFIRM=0" TargetMode="External"/><Relationship Id="rId3545" Type="http://schemas.openxmlformats.org/officeDocument/2006/relationships/hyperlink" Target="https://pld.live/RapDetail.aspx?STONELIST=923870413&amp;ISCONFIRM=0" TargetMode="External"/><Relationship Id="rId7002" Type="http://schemas.openxmlformats.org/officeDocument/2006/relationships/hyperlink" Target="https://pld.live/RapDetail.aspx?STONELIST=926171122&amp;ISCONFIRM=0" TargetMode="External"/><Relationship Id="rId466" Type="http://schemas.openxmlformats.org/officeDocument/2006/relationships/hyperlink" Target="https://pld.live/RapDetail.aspx?STONELIST=925961265&amp;ISCONFIRM=0" TargetMode="External"/><Relationship Id="rId880" Type="http://schemas.openxmlformats.org/officeDocument/2006/relationships/hyperlink" Target="https://pld.live/RapDetail.aspx?STONELIST=926071547&amp;ISCONFIRM=0" TargetMode="External"/><Relationship Id="rId1096" Type="http://schemas.openxmlformats.org/officeDocument/2006/relationships/hyperlink" Target="https://pld.live/RapDetail.aspx?STONELIST=941350849&amp;ISCONFIRM=0" TargetMode="External"/><Relationship Id="rId2147" Type="http://schemas.openxmlformats.org/officeDocument/2006/relationships/hyperlink" Target="https://pld.live/RapDetail.aspx?STONELIST=920460453&amp;ISCONFIRM=0" TargetMode="External"/><Relationship Id="rId2561" Type="http://schemas.openxmlformats.org/officeDocument/2006/relationships/hyperlink" Target="https://pld.live/RapDetail.aspx?STONELIST=821127835&amp;ISCONFIRM=0" TargetMode="External"/><Relationship Id="rId119" Type="http://schemas.openxmlformats.org/officeDocument/2006/relationships/hyperlink" Target="https://pld.live/RapDetail.aspx?STONELIST=941390174&amp;ISCONFIRM=0" TargetMode="External"/><Relationship Id="rId533" Type="http://schemas.openxmlformats.org/officeDocument/2006/relationships/hyperlink" Target="https://pld.live/RapDetail.aspx?STONELIST=925720298&amp;ISCONFIRM=0" TargetMode="External"/><Relationship Id="rId1163" Type="http://schemas.openxmlformats.org/officeDocument/2006/relationships/hyperlink" Target="https://pld.live/RapDetail.aspx?STONELIST=926810904&amp;ISCONFIRM=0" TargetMode="External"/><Relationship Id="rId2214" Type="http://schemas.openxmlformats.org/officeDocument/2006/relationships/hyperlink" Target="https://pld.live/RapDetail.aspx?STONELIST=926321042&amp;ISCONFIRM=0" TargetMode="External"/><Relationship Id="rId3612" Type="http://schemas.openxmlformats.org/officeDocument/2006/relationships/hyperlink" Target="https://pld.live/RapDetail.aspx?STONELIST=924470010&amp;ISCONFIRM=0" TargetMode="External"/><Relationship Id="rId6768" Type="http://schemas.openxmlformats.org/officeDocument/2006/relationships/hyperlink" Target="https://pld.live/RapDetail.aspx?STONELIST=941190143&amp;ISCONFIRM=0" TargetMode="External"/><Relationship Id="rId7819" Type="http://schemas.openxmlformats.org/officeDocument/2006/relationships/hyperlink" Target="https://pld.live/RapDetail.aspx?STONELIST=925950833&amp;ISCONFIRM=0" TargetMode="External"/><Relationship Id="rId8190" Type="http://schemas.openxmlformats.org/officeDocument/2006/relationships/hyperlink" Target="https://pld.live/RapDetail.aspx?STONELIST=925660240&amp;ISCONFIRM=0" TargetMode="External"/><Relationship Id="rId5784" Type="http://schemas.openxmlformats.org/officeDocument/2006/relationships/hyperlink" Target="https://pld.live/RapDetail.aspx?STONELIST=941270386&amp;ISCONFIRM=0" TargetMode="External"/><Relationship Id="rId6835" Type="http://schemas.openxmlformats.org/officeDocument/2006/relationships/hyperlink" Target="https://pld.live/RapDetail.aspx?STONELIST=941290191&amp;ISCONFIRM=0" TargetMode="External"/><Relationship Id="rId600" Type="http://schemas.openxmlformats.org/officeDocument/2006/relationships/hyperlink" Target="https://pld.live/RapDetail.aspx?STONELIST=925620972&amp;ISCONFIRM=0" TargetMode="External"/><Relationship Id="rId1230" Type="http://schemas.openxmlformats.org/officeDocument/2006/relationships/hyperlink" Target="https://pld.live/RapDetail.aspx?STONELIST=941071072&amp;ISCONFIRM=0" TargetMode="External"/><Relationship Id="rId4386" Type="http://schemas.openxmlformats.org/officeDocument/2006/relationships/hyperlink" Target="https://pld.live/RapDetail.aspx?STONELIST=927092630&amp;ISCONFIRM=0" TargetMode="External"/><Relationship Id="rId5437" Type="http://schemas.openxmlformats.org/officeDocument/2006/relationships/hyperlink" Target="https://pld.live/RapDetail.aspx?STONELIST=831010461&amp;ISCONFIRM=0" TargetMode="External"/><Relationship Id="rId5851" Type="http://schemas.openxmlformats.org/officeDocument/2006/relationships/hyperlink" Target="https://pld.live/RapDetail.aspx?STONELIST=925981094&amp;ISCONFIRM=0" TargetMode="External"/><Relationship Id="rId6902" Type="http://schemas.openxmlformats.org/officeDocument/2006/relationships/hyperlink" Target="https://pld.live/RapDetail.aspx?STONELIST=925502457&amp;ISCONFIRM=0" TargetMode="External"/><Relationship Id="rId4039" Type="http://schemas.openxmlformats.org/officeDocument/2006/relationships/hyperlink" Target="https://pld.live/RapDetail.aspx?STONELIST=925801696&amp;ISCONFIRM=0" TargetMode="External"/><Relationship Id="rId4453" Type="http://schemas.openxmlformats.org/officeDocument/2006/relationships/hyperlink" Target="https://pld.live/RapDetail.aspx?STONELIST=924280306&amp;ISCONFIRM=0" TargetMode="External"/><Relationship Id="rId5504" Type="http://schemas.openxmlformats.org/officeDocument/2006/relationships/hyperlink" Target="https://pld.live/RapDetail.aspx?STONELIST=821113235&amp;ISCONFIRM=0" TargetMode="External"/><Relationship Id="rId3055" Type="http://schemas.openxmlformats.org/officeDocument/2006/relationships/hyperlink" Target="https://pld.live/RapDetail.aspx?STONELIST=925940669&amp;ISCONFIRM=0" TargetMode="External"/><Relationship Id="rId4106" Type="http://schemas.openxmlformats.org/officeDocument/2006/relationships/hyperlink" Target="https://pld.live/RapDetail.aspx?STONELIST=925861973&amp;ISCONFIRM=0" TargetMode="External"/><Relationship Id="rId4520" Type="http://schemas.openxmlformats.org/officeDocument/2006/relationships/hyperlink" Target="https://pld.live/RapDetail.aspx?STONELIST=927092667&amp;ISCONFIRM=0" TargetMode="External"/><Relationship Id="rId7676" Type="http://schemas.openxmlformats.org/officeDocument/2006/relationships/hyperlink" Target="https://pld.live/RapDetail.aspx?STONELIST=941261127&amp;ISCONFIRM=0" TargetMode="External"/><Relationship Id="rId390" Type="http://schemas.openxmlformats.org/officeDocument/2006/relationships/hyperlink" Target="https://pld.live/RapDetail.aspx?STONELIST=831020510&amp;ISCONFIRM=0" TargetMode="External"/><Relationship Id="rId2071" Type="http://schemas.openxmlformats.org/officeDocument/2006/relationships/hyperlink" Target="https://pld.live/RapDetail.aspx?STONELIST=924180145&amp;ISCONFIRM=0" TargetMode="External"/><Relationship Id="rId3122" Type="http://schemas.openxmlformats.org/officeDocument/2006/relationships/hyperlink" Target="https://pld.live/RapDetail.aspx?STONELIST=924180378&amp;ISCONFIRM=0" TargetMode="External"/><Relationship Id="rId6278" Type="http://schemas.openxmlformats.org/officeDocument/2006/relationships/hyperlink" Target="https://pld.live/RapDetail.aspx?STONELIST=925560102&amp;ISCONFIRM=0" TargetMode="External"/><Relationship Id="rId6692" Type="http://schemas.openxmlformats.org/officeDocument/2006/relationships/hyperlink" Target="https://pld.live/RapDetail.aspx?STONELIST=927152935&amp;ISCONFIRM=0" TargetMode="External"/><Relationship Id="rId7329" Type="http://schemas.openxmlformats.org/officeDocument/2006/relationships/hyperlink" Target="https://pld.live/RapDetail.aspx?STONELIST=925851227&amp;ISCONFIRM=0" TargetMode="External"/><Relationship Id="rId5294" Type="http://schemas.openxmlformats.org/officeDocument/2006/relationships/hyperlink" Target="https://pld.live/RapDetail.aspx?STONELIST=821113502&amp;ISCONFIRM=0" TargetMode="External"/><Relationship Id="rId6345" Type="http://schemas.openxmlformats.org/officeDocument/2006/relationships/hyperlink" Target="https://pld.live/RapDetail.aspx?STONELIST=927040780&amp;ISCONFIRM=0" TargetMode="External"/><Relationship Id="rId7743" Type="http://schemas.openxmlformats.org/officeDocument/2006/relationships/hyperlink" Target="https://pld.live/RapDetail.aspx?STONELIST=926850106&amp;ISCONFIRM=0" TargetMode="External"/><Relationship Id="rId110" Type="http://schemas.openxmlformats.org/officeDocument/2006/relationships/hyperlink" Target="https://pld.live/RapDetail.aspx?STONELIST=925680133&amp;ISCONFIRM=0" TargetMode="External"/><Relationship Id="rId2888" Type="http://schemas.openxmlformats.org/officeDocument/2006/relationships/hyperlink" Target="https://pld.live/RapDetail.aspx?STONELIST=925140267&amp;ISCONFIRM=0" TargetMode="External"/><Relationship Id="rId3939" Type="http://schemas.openxmlformats.org/officeDocument/2006/relationships/hyperlink" Target="https://pld.live/RapDetail.aspx?STONELIST=926071657&amp;ISCONFIRM=0" TargetMode="External"/><Relationship Id="rId7810" Type="http://schemas.openxmlformats.org/officeDocument/2006/relationships/hyperlink" Target="https://pld.live/RapDetail.aspx?STONELIST=927140355&amp;ISCONFIRM=0" TargetMode="External"/><Relationship Id="rId2955" Type="http://schemas.openxmlformats.org/officeDocument/2006/relationships/hyperlink" Target="https://pld.live/RapDetail.aspx?STONELIST=925940660&amp;ISCONFIRM=0" TargetMode="External"/><Relationship Id="rId5361" Type="http://schemas.openxmlformats.org/officeDocument/2006/relationships/hyperlink" Target="https://pld.live/RapDetail.aspx?STONELIST=926901087&amp;ISCONFIRM=0" TargetMode="External"/><Relationship Id="rId6412" Type="http://schemas.openxmlformats.org/officeDocument/2006/relationships/hyperlink" Target="https://pld.live/RapDetail.aspx?STONELIST=927092596&amp;ISCONFIRM=0" TargetMode="External"/><Relationship Id="rId927" Type="http://schemas.openxmlformats.org/officeDocument/2006/relationships/hyperlink" Target="https://pld.live/RapDetail.aspx?STONELIST=925430131&amp;ISCONFIRM=0" TargetMode="External"/><Relationship Id="rId1557" Type="http://schemas.openxmlformats.org/officeDocument/2006/relationships/hyperlink" Target="https://pld.live/RapDetail.aspx?STONELIST=925870442&amp;ISCONFIRM=0" TargetMode="External"/><Relationship Id="rId1971" Type="http://schemas.openxmlformats.org/officeDocument/2006/relationships/hyperlink" Target="https://pld.live/RapDetail.aspx?STONELIST=941280139&amp;ISCONFIRM=0" TargetMode="External"/><Relationship Id="rId2608" Type="http://schemas.openxmlformats.org/officeDocument/2006/relationships/hyperlink" Target="https://pld.live/RapDetail.aspx?STONELIST=941190467&amp;ISCONFIRM=0" TargetMode="External"/><Relationship Id="rId5014" Type="http://schemas.openxmlformats.org/officeDocument/2006/relationships/hyperlink" Target="https://pld.live/RapDetail.aspx?STONELIST=821126876&amp;ISCONFIRM=0" TargetMode="External"/><Relationship Id="rId1624" Type="http://schemas.openxmlformats.org/officeDocument/2006/relationships/hyperlink" Target="https://pld.live/RapDetail.aspx?STONELIST=926311349&amp;ISCONFIRM=0" TargetMode="External"/><Relationship Id="rId4030" Type="http://schemas.openxmlformats.org/officeDocument/2006/relationships/hyperlink" Target="https://pld.live/RapDetail.aspx?STONELIST=925861897&amp;ISCONFIRM=0" TargetMode="External"/><Relationship Id="rId7186" Type="http://schemas.openxmlformats.org/officeDocument/2006/relationships/hyperlink" Target="https://pld.live/RapDetail.aspx?STONELIST=927120169&amp;ISCONFIRM=0" TargetMode="External"/><Relationship Id="rId8237" Type="http://schemas.openxmlformats.org/officeDocument/2006/relationships/hyperlink" Target="https://pld.live/RapDetail.aspx?STONELIST=925801908&amp;ISCONFIRM=0" TargetMode="External"/><Relationship Id="rId3796" Type="http://schemas.openxmlformats.org/officeDocument/2006/relationships/hyperlink" Target="https://pld.live/RapDetail.aspx?STONELIST=926990001&amp;ISCONFIRM=0" TargetMode="External"/><Relationship Id="rId7253" Type="http://schemas.openxmlformats.org/officeDocument/2006/relationships/hyperlink" Target="https://pld.live/RapDetail.aspx?STONELIST=925570054&amp;ISCONFIRM=0" TargetMode="External"/><Relationship Id="rId2398" Type="http://schemas.openxmlformats.org/officeDocument/2006/relationships/hyperlink" Target="https://pld.live/RapDetail.aspx?STONELIST=926430904&amp;ISCONFIRM=0" TargetMode="External"/><Relationship Id="rId3449" Type="http://schemas.openxmlformats.org/officeDocument/2006/relationships/hyperlink" Target="https://pld.live/RapDetail.aspx?STONELIST=923460319&amp;ISCONFIRM=0" TargetMode="External"/><Relationship Id="rId4847" Type="http://schemas.openxmlformats.org/officeDocument/2006/relationships/hyperlink" Target="https://pld.live/RapDetail.aspx?STONELIST=925961077&amp;ISCONFIRM=0" TargetMode="External"/><Relationship Id="rId7320" Type="http://schemas.openxmlformats.org/officeDocument/2006/relationships/hyperlink" Target="https://pld.live/RapDetail.aspx?STONELIST=941390559&amp;ISCONFIRM=0" TargetMode="External"/><Relationship Id="rId3863" Type="http://schemas.openxmlformats.org/officeDocument/2006/relationships/hyperlink" Target="https://pld.live/RapDetail.aspx?STONELIST=925851036&amp;ISCONFIRM=0" TargetMode="External"/><Relationship Id="rId4914" Type="http://schemas.openxmlformats.org/officeDocument/2006/relationships/hyperlink" Target="https://pld.live/RapDetail.aspx?STONELIST=831020509&amp;ISCONFIRM=0" TargetMode="External"/><Relationship Id="rId784" Type="http://schemas.openxmlformats.org/officeDocument/2006/relationships/hyperlink" Target="https://pld.live/RapDetail.aspx?STONELIST=925951283&amp;ISCONFIRM=0" TargetMode="External"/><Relationship Id="rId1067" Type="http://schemas.openxmlformats.org/officeDocument/2006/relationships/hyperlink" Target="https://pld.live/RapDetail.aspx?STONELIST=941071237&amp;ISCONFIRM=0" TargetMode="External"/><Relationship Id="rId2465" Type="http://schemas.openxmlformats.org/officeDocument/2006/relationships/hyperlink" Target="https://pld.live/RapDetail.aspx?STONELIST=926191089&amp;ISCONFIRM=0" TargetMode="External"/><Relationship Id="rId3516" Type="http://schemas.openxmlformats.org/officeDocument/2006/relationships/hyperlink" Target="https://pld.live/RapDetail.aspx?STONELIST=922800554&amp;ISCONFIRM=0" TargetMode="External"/><Relationship Id="rId3930" Type="http://schemas.openxmlformats.org/officeDocument/2006/relationships/hyperlink" Target="https://pld.live/RapDetail.aspx?STONELIST=925551622&amp;ISCONFIRM=0" TargetMode="External"/><Relationship Id="rId8094" Type="http://schemas.openxmlformats.org/officeDocument/2006/relationships/hyperlink" Target="https://pld.live/RapDetail.aspx?STONELIST=925621948&amp;ISCONFIRM=0" TargetMode="External"/><Relationship Id="rId437" Type="http://schemas.openxmlformats.org/officeDocument/2006/relationships/hyperlink" Target="https://pld.live/RapDetail.aspx?STONELIST=831010622&amp;ISCONFIRM=0" TargetMode="External"/><Relationship Id="rId851" Type="http://schemas.openxmlformats.org/officeDocument/2006/relationships/hyperlink" Target="https://pld.live/RapDetail.aspx?STONELIST=926101466&amp;ISCONFIRM=0" TargetMode="External"/><Relationship Id="rId1481" Type="http://schemas.openxmlformats.org/officeDocument/2006/relationships/hyperlink" Target="https://pld.live/RapDetail.aspx?STONELIST=926211308&amp;ISCONFIRM=0" TargetMode="External"/><Relationship Id="rId2118" Type="http://schemas.openxmlformats.org/officeDocument/2006/relationships/hyperlink" Target="https://pld.live/RapDetail.aspx?STONELIST=926201186&amp;ISCONFIRM=0" TargetMode="External"/><Relationship Id="rId2532" Type="http://schemas.openxmlformats.org/officeDocument/2006/relationships/hyperlink" Target="https://pld.live/RapDetail.aspx?STONELIST=941140578&amp;ISCONFIRM=0" TargetMode="External"/><Relationship Id="rId5688" Type="http://schemas.openxmlformats.org/officeDocument/2006/relationships/hyperlink" Target="https://pld.live/RapDetail.aspx?STONELIST=924780420&amp;ISCONFIRM=0" TargetMode="External"/><Relationship Id="rId6739" Type="http://schemas.openxmlformats.org/officeDocument/2006/relationships/hyperlink" Target="https://pld.live/RapDetail.aspx?STONELIST=927092629&amp;ISCONFIRM=0" TargetMode="External"/><Relationship Id="rId504" Type="http://schemas.openxmlformats.org/officeDocument/2006/relationships/hyperlink" Target="https://pld.live/RapDetail.aspx?STONELIST=925971230&amp;ISCONFIRM=0" TargetMode="External"/><Relationship Id="rId1134" Type="http://schemas.openxmlformats.org/officeDocument/2006/relationships/hyperlink" Target="https://pld.live/RapDetail.aspx?STONELIST=927130141&amp;ISCONFIRM=0" TargetMode="External"/><Relationship Id="rId5755" Type="http://schemas.openxmlformats.org/officeDocument/2006/relationships/hyperlink" Target="https://pld.live/RapDetail.aspx?STONELIST=941160409&amp;ISCONFIRM=0" TargetMode="External"/><Relationship Id="rId6806" Type="http://schemas.openxmlformats.org/officeDocument/2006/relationships/hyperlink" Target="https://pld.live/RapDetail.aspx?STONELIST=925930203&amp;ISCONFIRM=0" TargetMode="External"/><Relationship Id="rId8161" Type="http://schemas.openxmlformats.org/officeDocument/2006/relationships/hyperlink" Target="https://pld.live/RapDetail.aspx?STONELIST=924350073&amp;ISCONFIRM=0" TargetMode="External"/><Relationship Id="rId1201" Type="http://schemas.openxmlformats.org/officeDocument/2006/relationships/hyperlink" Target="https://pld.live/RapDetail.aspx?STONELIST=941071172&amp;ISCONFIRM=0" TargetMode="External"/><Relationship Id="rId4357" Type="http://schemas.openxmlformats.org/officeDocument/2006/relationships/hyperlink" Target="https://pld.live/RapDetail.aspx?STONELIST=941021577&amp;ISCONFIRM=0" TargetMode="External"/><Relationship Id="rId4771" Type="http://schemas.openxmlformats.org/officeDocument/2006/relationships/hyperlink" Target="https://pld.live/RapDetail.aspx?STONELIST=925880071&amp;ISCONFIRM=0" TargetMode="External"/><Relationship Id="rId5408" Type="http://schemas.openxmlformats.org/officeDocument/2006/relationships/hyperlink" Target="https://pld.live/RapDetail.aspx?STONELIST=926850141&amp;ISCONFIRM=0" TargetMode="External"/><Relationship Id="rId3373" Type="http://schemas.openxmlformats.org/officeDocument/2006/relationships/hyperlink" Target="https://pld.live/RapDetail.aspx?STONELIST=831010834&amp;ISCONFIRM=0" TargetMode="External"/><Relationship Id="rId4424" Type="http://schemas.openxmlformats.org/officeDocument/2006/relationships/hyperlink" Target="https://pld.live/RapDetail.aspx?STONELIST=821113074&amp;ISCONFIRM=0" TargetMode="External"/><Relationship Id="rId5822" Type="http://schemas.openxmlformats.org/officeDocument/2006/relationships/hyperlink" Target="https://pld.live/RapDetail.aspx?STONELIST=926050367&amp;ISCONFIRM=0" TargetMode="External"/><Relationship Id="rId294" Type="http://schemas.openxmlformats.org/officeDocument/2006/relationships/hyperlink" Target="https://pld.live/RapDetail.aspx?STONELIST=924660101&amp;ISCONFIRM=0" TargetMode="External"/><Relationship Id="rId3026" Type="http://schemas.openxmlformats.org/officeDocument/2006/relationships/hyperlink" Target="https://pld.live/RapDetail.aspx?STONELIST=821128369&amp;ISCONFIRM=0" TargetMode="External"/><Relationship Id="rId7994" Type="http://schemas.openxmlformats.org/officeDocument/2006/relationships/hyperlink" Target="https://pld.live/RapDetail.aspx?STONELIST=941421245&amp;ISCONFIRM=0" TargetMode="External"/><Relationship Id="rId361" Type="http://schemas.openxmlformats.org/officeDocument/2006/relationships/hyperlink" Target="https://pld.live/RapDetail.aspx?STONELIST=9414500410&amp;ISCONFIRM=0" TargetMode="External"/><Relationship Id="rId2042" Type="http://schemas.openxmlformats.org/officeDocument/2006/relationships/hyperlink" Target="https://pld.live/RapDetail.aspx?STONELIST=925720083&amp;ISCONFIRM=0" TargetMode="External"/><Relationship Id="rId3440" Type="http://schemas.openxmlformats.org/officeDocument/2006/relationships/hyperlink" Target="https://pld.live/RapDetail.aspx?STONELIST=925981242&amp;ISCONFIRM=0" TargetMode="External"/><Relationship Id="rId5198" Type="http://schemas.openxmlformats.org/officeDocument/2006/relationships/hyperlink" Target="https://pld.live/RapDetail.aspx?STONELIST=926170171&amp;ISCONFIRM=0" TargetMode="External"/><Relationship Id="rId6596" Type="http://schemas.openxmlformats.org/officeDocument/2006/relationships/hyperlink" Target="https://pld.live/RapDetail.aspx?STONELIST=926210630&amp;ISCONFIRM=0" TargetMode="External"/><Relationship Id="rId7647" Type="http://schemas.openxmlformats.org/officeDocument/2006/relationships/hyperlink" Target="https://pld.live/RapDetail.aspx?STONELIST=926270852&amp;ISCONFIRM=0" TargetMode="External"/><Relationship Id="rId6249" Type="http://schemas.openxmlformats.org/officeDocument/2006/relationships/hyperlink" Target="https://pld.live/RapDetail.aspx?STONELIST=941200220&amp;ISCONFIRM=0" TargetMode="External"/><Relationship Id="rId6663" Type="http://schemas.openxmlformats.org/officeDocument/2006/relationships/hyperlink" Target="https://pld.live/RapDetail.aspx?STONELIST=925951328&amp;ISCONFIRM=0" TargetMode="External"/><Relationship Id="rId7714" Type="http://schemas.openxmlformats.org/officeDocument/2006/relationships/hyperlink" Target="https://pld.live/RapDetail.aspx?STONELIST=926780092&amp;ISCONFIRM=0" TargetMode="External"/><Relationship Id="rId2859" Type="http://schemas.openxmlformats.org/officeDocument/2006/relationships/hyperlink" Target="https://pld.live/RapDetail.aspx?STONELIST=925140343&amp;ISCONFIRM=0" TargetMode="External"/><Relationship Id="rId5265" Type="http://schemas.openxmlformats.org/officeDocument/2006/relationships/hyperlink" Target="https://pld.live/RapDetail.aspx?STONELIST=925630347&amp;ISCONFIRM=0" TargetMode="External"/><Relationship Id="rId6316" Type="http://schemas.openxmlformats.org/officeDocument/2006/relationships/hyperlink" Target="https://pld.live/RapDetail.aspx?STONELIST=925360389&amp;ISCONFIRM=0" TargetMode="External"/><Relationship Id="rId6730" Type="http://schemas.openxmlformats.org/officeDocument/2006/relationships/hyperlink" Target="https://pld.live/RapDetail.aspx?STONELIST=941071367&amp;ISCONFIRM=0" TargetMode="External"/><Relationship Id="rId1875" Type="http://schemas.openxmlformats.org/officeDocument/2006/relationships/hyperlink" Target="https://pld.live/RapDetail.aspx?STONELIST=924110179&amp;ISCONFIRM=0" TargetMode="External"/><Relationship Id="rId4281" Type="http://schemas.openxmlformats.org/officeDocument/2006/relationships/hyperlink" Target="https://pld.live/RapDetail.aspx?STONELIST=926960839&amp;ISCONFIRM=0" TargetMode="External"/><Relationship Id="rId5332" Type="http://schemas.openxmlformats.org/officeDocument/2006/relationships/hyperlink" Target="https://pld.live/RapDetail.aspx?STONELIST=926291581&amp;ISCONFIRM=0" TargetMode="External"/><Relationship Id="rId1528" Type="http://schemas.openxmlformats.org/officeDocument/2006/relationships/hyperlink" Target="https://pld.live/RapDetail.aspx?STONELIST=926331769&amp;ISCONFIRM=0" TargetMode="External"/><Relationship Id="rId2926" Type="http://schemas.openxmlformats.org/officeDocument/2006/relationships/hyperlink" Target="https://pld.live/RapDetail.aspx?STONELIST=926110880&amp;ISCONFIRM=0" TargetMode="External"/><Relationship Id="rId1942" Type="http://schemas.openxmlformats.org/officeDocument/2006/relationships/hyperlink" Target="https://pld.live/RapDetail.aspx?STONELIST=941190224&amp;ISCONFIRM=0" TargetMode="External"/><Relationship Id="rId4001" Type="http://schemas.openxmlformats.org/officeDocument/2006/relationships/hyperlink" Target="https://pld.live/RapDetail.aspx?STONELIST=925721250&amp;ISCONFIRM=0" TargetMode="External"/><Relationship Id="rId7157" Type="http://schemas.openxmlformats.org/officeDocument/2006/relationships/hyperlink" Target="https://pld.live/RapDetail.aspx?STONELIST=926420451&amp;ISCONFIRM=0" TargetMode="External"/><Relationship Id="rId8208" Type="http://schemas.openxmlformats.org/officeDocument/2006/relationships/hyperlink" Target="https://pld.live/RapDetail.aspx?STONELIST=925010211&amp;ISCONFIRM=0" TargetMode="External"/><Relationship Id="rId6173" Type="http://schemas.openxmlformats.org/officeDocument/2006/relationships/hyperlink" Target="https://pld.live/RapDetail.aspx?STONELIST=926850154&amp;ISCONFIRM=0" TargetMode="External"/><Relationship Id="rId7571" Type="http://schemas.openxmlformats.org/officeDocument/2006/relationships/hyperlink" Target="https://pld.live/RapDetail.aspx?STONELIST=925731901&amp;ISCONFIRM=0" TargetMode="External"/><Relationship Id="rId3767" Type="http://schemas.openxmlformats.org/officeDocument/2006/relationships/hyperlink" Target="https://pld.live/RapDetail.aspx?STONELIST=941421261&amp;ISCONFIRM=0" TargetMode="External"/><Relationship Id="rId4818" Type="http://schemas.openxmlformats.org/officeDocument/2006/relationships/hyperlink" Target="https://pld.live/RapDetail.aspx?STONELIST=926170152&amp;ISCONFIRM=0" TargetMode="External"/><Relationship Id="rId7224" Type="http://schemas.openxmlformats.org/officeDocument/2006/relationships/hyperlink" Target="https://pld.live/RapDetail.aspx?STONELIST=926360318&amp;ISCONFIRM=0" TargetMode="External"/><Relationship Id="rId688" Type="http://schemas.openxmlformats.org/officeDocument/2006/relationships/hyperlink" Target="https://pld.live/RapDetail.aspx?STONELIST=926071919&amp;ISCONFIRM=0" TargetMode="External"/><Relationship Id="rId2369" Type="http://schemas.openxmlformats.org/officeDocument/2006/relationships/hyperlink" Target="https://pld.live/RapDetail.aspx?STONELIST=926710929&amp;ISCONFIRM=0" TargetMode="External"/><Relationship Id="rId2783" Type="http://schemas.openxmlformats.org/officeDocument/2006/relationships/hyperlink" Target="https://pld.live/RapDetail.aspx?STONELIST=924660014&amp;ISCONFIRM=0" TargetMode="External"/><Relationship Id="rId3834" Type="http://schemas.openxmlformats.org/officeDocument/2006/relationships/hyperlink" Target="https://pld.live/RapDetail.aspx?STONELIST=927080639&amp;ISCONFIRM=0" TargetMode="External"/><Relationship Id="rId6240" Type="http://schemas.openxmlformats.org/officeDocument/2006/relationships/hyperlink" Target="https://pld.live/RapDetail.aspx?STONELIST=941110551&amp;ISCONFIRM=0" TargetMode="External"/><Relationship Id="rId755" Type="http://schemas.openxmlformats.org/officeDocument/2006/relationships/hyperlink" Target="https://pld.live/RapDetail.aspx?STONELIST=925801726&amp;ISCONFIRM=0" TargetMode="External"/><Relationship Id="rId1385" Type="http://schemas.openxmlformats.org/officeDocument/2006/relationships/hyperlink" Target="https://pld.live/RapDetail.aspx?STONELIST=926221247&amp;ISCONFIRM=0" TargetMode="External"/><Relationship Id="rId2436" Type="http://schemas.openxmlformats.org/officeDocument/2006/relationships/hyperlink" Target="https://pld.live/RapDetail.aspx?STONELIST=926341563&amp;ISCONFIRM=0" TargetMode="External"/><Relationship Id="rId2850" Type="http://schemas.openxmlformats.org/officeDocument/2006/relationships/hyperlink" Target="https://pld.live/RapDetail.aspx?STONELIST=831010856&amp;ISCONFIRM=0" TargetMode="External"/><Relationship Id="rId91" Type="http://schemas.openxmlformats.org/officeDocument/2006/relationships/hyperlink" Target="https://pld.live/RapDetail.aspx?STONELIST=831020667&amp;ISCONFIRM=0" TargetMode="External"/><Relationship Id="rId408" Type="http://schemas.openxmlformats.org/officeDocument/2006/relationships/hyperlink" Target="https://pld.live/RapDetail.aspx?STONELIST=831010843&amp;ISCONFIRM=0" TargetMode="External"/><Relationship Id="rId822" Type="http://schemas.openxmlformats.org/officeDocument/2006/relationships/hyperlink" Target="https://pld.live/RapDetail.aspx?STONELIST=925971092&amp;ISCONFIRM=0" TargetMode="External"/><Relationship Id="rId1038" Type="http://schemas.openxmlformats.org/officeDocument/2006/relationships/hyperlink" Target="https://pld.live/RapDetail.aspx?STONELIST=941071090&amp;ISCONFIRM=0" TargetMode="External"/><Relationship Id="rId1452" Type="http://schemas.openxmlformats.org/officeDocument/2006/relationships/hyperlink" Target="https://pld.live/RapDetail.aspx?STONELIST=926211134&amp;ISCONFIRM=0" TargetMode="External"/><Relationship Id="rId2503" Type="http://schemas.openxmlformats.org/officeDocument/2006/relationships/hyperlink" Target="https://pld.live/RapDetail.aspx?STONELIST=821127957&amp;ISCONFIRM=0" TargetMode="External"/><Relationship Id="rId3901" Type="http://schemas.openxmlformats.org/officeDocument/2006/relationships/hyperlink" Target="https://pld.live/RapDetail.aspx?STONELIST=925551810&amp;ISCONFIRM=0" TargetMode="External"/><Relationship Id="rId5659" Type="http://schemas.openxmlformats.org/officeDocument/2006/relationships/hyperlink" Target="https://pld.live/RapDetail.aspx?STONELIST=925030379&amp;ISCONFIRM=0" TargetMode="External"/><Relationship Id="rId8065" Type="http://schemas.openxmlformats.org/officeDocument/2006/relationships/hyperlink" Target="https://pld.live/RapDetail.aspx?STONELIST=926100565&amp;ISCONFIRM=0" TargetMode="External"/><Relationship Id="rId1105" Type="http://schemas.openxmlformats.org/officeDocument/2006/relationships/hyperlink" Target="https://pld.live/RapDetail.aspx?STONELIST=941071052&amp;ISCONFIRM=0" TargetMode="External"/><Relationship Id="rId7081" Type="http://schemas.openxmlformats.org/officeDocument/2006/relationships/hyperlink" Target="https://pld.live/RapDetail.aspx?STONELIST=927101190&amp;ISCONFIRM=0" TargetMode="External"/><Relationship Id="rId8132" Type="http://schemas.openxmlformats.org/officeDocument/2006/relationships/hyperlink" Target="https://pld.live/RapDetail.aspx?STONELIST=926270842&amp;ISCONFIRM=0" TargetMode="External"/><Relationship Id="rId3277" Type="http://schemas.openxmlformats.org/officeDocument/2006/relationships/hyperlink" Target="https://pld.live/RapDetail.aspx?STONELIST=926120062&amp;ISCONFIRM=0" TargetMode="External"/><Relationship Id="rId4675" Type="http://schemas.openxmlformats.org/officeDocument/2006/relationships/hyperlink" Target="https://pld.live/RapDetail.aspx?STONELIST=926470462&amp;ISCONFIRM=0" TargetMode="External"/><Relationship Id="rId5726" Type="http://schemas.openxmlformats.org/officeDocument/2006/relationships/hyperlink" Target="https://pld.live/RapDetail.aspx?STONELIST=925740738&amp;ISCONFIRM=0" TargetMode="External"/><Relationship Id="rId198" Type="http://schemas.openxmlformats.org/officeDocument/2006/relationships/hyperlink" Target="https://pld.live/RapDetail.aspx?STONELIST=831020407&amp;ISCONFIRM=0" TargetMode="External"/><Relationship Id="rId3691" Type="http://schemas.openxmlformats.org/officeDocument/2006/relationships/hyperlink" Target="https://pld.live/RapDetail.aspx?STONELIST=925580058&amp;ISCONFIRM=0" TargetMode="External"/><Relationship Id="rId4328" Type="http://schemas.openxmlformats.org/officeDocument/2006/relationships/hyperlink" Target="https://pld.live/RapDetail.aspx?STONELIST=926700724&amp;ISCONFIRM=0" TargetMode="External"/><Relationship Id="rId4742" Type="http://schemas.openxmlformats.org/officeDocument/2006/relationships/hyperlink" Target="https://pld.live/RapDetail.aspx?STONELIST=831020707&amp;ISCONFIRM=0" TargetMode="External"/><Relationship Id="rId7898" Type="http://schemas.openxmlformats.org/officeDocument/2006/relationships/hyperlink" Target="https://pld.live/RapDetail.aspx?STONELIST=926580112&amp;ISCONFIRM=0" TargetMode="External"/><Relationship Id="rId2293" Type="http://schemas.openxmlformats.org/officeDocument/2006/relationships/hyperlink" Target="https://pld.live/RapDetail.aspx?STONELIST=821127937&amp;ISCONFIRM=0" TargetMode="External"/><Relationship Id="rId3344" Type="http://schemas.openxmlformats.org/officeDocument/2006/relationships/hyperlink" Target="https://pld.live/RapDetail.aspx?STONELIST=831020705&amp;ISCONFIRM=0" TargetMode="External"/><Relationship Id="rId7965" Type="http://schemas.openxmlformats.org/officeDocument/2006/relationships/hyperlink" Target="https://pld.live/RapDetail.aspx?STONELIST=941070528&amp;ISCONFIRM=0" TargetMode="External"/><Relationship Id="rId265" Type="http://schemas.openxmlformats.org/officeDocument/2006/relationships/hyperlink" Target="https://pld.live/RapDetail.aspx?STONELIST=924350042&amp;ISCONFIRM=0" TargetMode="External"/><Relationship Id="rId2360" Type="http://schemas.openxmlformats.org/officeDocument/2006/relationships/hyperlink" Target="https://pld.live/RapDetail.aspx?STONELIST=926761218&amp;ISCONFIRM=0" TargetMode="External"/><Relationship Id="rId3411" Type="http://schemas.openxmlformats.org/officeDocument/2006/relationships/hyperlink" Target="https://pld.live/RapDetail.aspx?STONELIST=831010848&amp;ISCONFIRM=0" TargetMode="External"/><Relationship Id="rId6567" Type="http://schemas.openxmlformats.org/officeDocument/2006/relationships/hyperlink" Target="https://pld.live/RapDetail.aspx?STONELIST=926450097&amp;ISCONFIRM=0" TargetMode="External"/><Relationship Id="rId6981" Type="http://schemas.openxmlformats.org/officeDocument/2006/relationships/hyperlink" Target="https://pld.live/RapDetail.aspx?STONELIST=927010772&amp;ISCONFIRM=0" TargetMode="External"/><Relationship Id="rId7618" Type="http://schemas.openxmlformats.org/officeDocument/2006/relationships/hyperlink" Target="https://pld.live/RapDetail.aspx?STONELIST=924420397&amp;ISCONFIRM=0" TargetMode="External"/><Relationship Id="rId332" Type="http://schemas.openxmlformats.org/officeDocument/2006/relationships/hyperlink" Target="https://pld.live/RapDetail.aspx?STONELIST=926910506&amp;ISCONFIRM=0" TargetMode="External"/><Relationship Id="rId2013" Type="http://schemas.openxmlformats.org/officeDocument/2006/relationships/hyperlink" Target="https://pld.live/RapDetail.aspx?STONELIST=941220008&amp;ISCONFIRM=0" TargetMode="External"/><Relationship Id="rId5169" Type="http://schemas.openxmlformats.org/officeDocument/2006/relationships/hyperlink" Target="https://pld.live/RapDetail.aspx?STONELIST=926410074&amp;ISCONFIRM=0" TargetMode="External"/><Relationship Id="rId5583" Type="http://schemas.openxmlformats.org/officeDocument/2006/relationships/hyperlink" Target="https://pld.live/RapDetail.aspx?STONELIST=926420172&amp;ISCONFIRM=0" TargetMode="External"/><Relationship Id="rId6634" Type="http://schemas.openxmlformats.org/officeDocument/2006/relationships/hyperlink" Target="https://pld.live/RapDetail.aspx?STONELIST=941080773&amp;ISCONFIRM=0" TargetMode="External"/><Relationship Id="rId4185" Type="http://schemas.openxmlformats.org/officeDocument/2006/relationships/hyperlink" Target="https://pld.live/RapDetail.aspx?STONELIST=926171116&amp;ISCONFIRM=0" TargetMode="External"/><Relationship Id="rId5236" Type="http://schemas.openxmlformats.org/officeDocument/2006/relationships/hyperlink" Target="https://pld.live/RapDetail.aspx?STONELIST=831020490&amp;ISCONFIRM=0" TargetMode="External"/><Relationship Id="rId1779" Type="http://schemas.openxmlformats.org/officeDocument/2006/relationships/hyperlink" Target="https://pld.live/RapDetail.aspx?STONELIST=926330753&amp;ISCONFIRM=0" TargetMode="External"/><Relationship Id="rId4252" Type="http://schemas.openxmlformats.org/officeDocument/2006/relationships/hyperlink" Target="https://pld.live/RapDetail.aspx?STONELIST=924420288&amp;ISCONFIRM=0" TargetMode="External"/><Relationship Id="rId5650" Type="http://schemas.openxmlformats.org/officeDocument/2006/relationships/hyperlink" Target="https://pld.live/RapDetail.aspx?STONELIST=941261064&amp;ISCONFIRM=0" TargetMode="External"/><Relationship Id="rId6701" Type="http://schemas.openxmlformats.org/officeDocument/2006/relationships/hyperlink" Target="https://pld.live/RapDetail.aspx?STONELIST=941071343&amp;ISCONFIRM=0" TargetMode="External"/><Relationship Id="rId1846" Type="http://schemas.openxmlformats.org/officeDocument/2006/relationships/hyperlink" Target="https://pld.live/RapDetail.aspx?STONELIST=925910581&amp;ISCONFIRM=0" TargetMode="External"/><Relationship Id="rId5303" Type="http://schemas.openxmlformats.org/officeDocument/2006/relationships/hyperlink" Target="https://pld.live/RapDetail.aspx?STONELIST=926670999&amp;ISCONFIRM=0" TargetMode="External"/><Relationship Id="rId1913" Type="http://schemas.openxmlformats.org/officeDocument/2006/relationships/hyperlink" Target="https://pld.live/RapDetail.aspx?STONELIST=926181006&amp;ISCONFIRM=0" TargetMode="External"/><Relationship Id="rId7475" Type="http://schemas.openxmlformats.org/officeDocument/2006/relationships/hyperlink" Target="https://pld.live/RapDetail.aspx?STONELIST=926020673&amp;ISCONFIRM=0" TargetMode="External"/><Relationship Id="rId6077" Type="http://schemas.openxmlformats.org/officeDocument/2006/relationships/hyperlink" Target="https://pld.live/RapDetail.aspx?STONELIST=926470475&amp;ISCONFIRM=0" TargetMode="External"/><Relationship Id="rId6491" Type="http://schemas.openxmlformats.org/officeDocument/2006/relationships/hyperlink" Target="https://pld.live/RapDetail.aspx?STONELIST=941021801&amp;ISCONFIRM=0" TargetMode="External"/><Relationship Id="rId7128" Type="http://schemas.openxmlformats.org/officeDocument/2006/relationships/hyperlink" Target="https://pld.live/RapDetail.aspx?STONELIST=941150207&amp;ISCONFIRM=0" TargetMode="External"/><Relationship Id="rId7542" Type="http://schemas.openxmlformats.org/officeDocument/2006/relationships/hyperlink" Target="https://pld.live/RapDetail.aspx?STONELIST=925731911&amp;ISCONFIRM=0" TargetMode="External"/><Relationship Id="rId2687" Type="http://schemas.openxmlformats.org/officeDocument/2006/relationships/hyperlink" Target="https://pld.live/RapDetail.aspx?STONELIST=925210037&amp;ISCONFIRM=0" TargetMode="External"/><Relationship Id="rId3738" Type="http://schemas.openxmlformats.org/officeDocument/2006/relationships/hyperlink" Target="https://pld.live/RapDetail.aspx?STONELIST=9414301322&amp;ISCONFIRM=0" TargetMode="External"/><Relationship Id="rId5093" Type="http://schemas.openxmlformats.org/officeDocument/2006/relationships/hyperlink" Target="https://pld.live/RapDetail.aspx?STONELIST=925730813&amp;ISCONFIRM=0" TargetMode="External"/><Relationship Id="rId6144" Type="http://schemas.openxmlformats.org/officeDocument/2006/relationships/hyperlink" Target="https://pld.live/RapDetail.aspx?STONELIST=925670197&amp;ISCONFIRM=0" TargetMode="External"/><Relationship Id="rId659" Type="http://schemas.openxmlformats.org/officeDocument/2006/relationships/hyperlink" Target="https://pld.live/RapDetail.aspx?STONELIST=926101380&amp;ISCONFIRM=0" TargetMode="External"/><Relationship Id="rId1289" Type="http://schemas.openxmlformats.org/officeDocument/2006/relationships/hyperlink" Target="https://pld.live/RapDetail.aspx?STONELIST=941190118&amp;ISCONFIRM=0" TargetMode="External"/><Relationship Id="rId5160" Type="http://schemas.openxmlformats.org/officeDocument/2006/relationships/hyperlink" Target="https://pld.live/RapDetail.aspx?STONELIST=925950964&amp;ISCONFIRM=0" TargetMode="External"/><Relationship Id="rId6211" Type="http://schemas.openxmlformats.org/officeDocument/2006/relationships/hyperlink" Target="https://pld.live/RapDetail.aspx?STONELIST=831020529&amp;ISCONFIRM=0" TargetMode="External"/><Relationship Id="rId1356" Type="http://schemas.openxmlformats.org/officeDocument/2006/relationships/hyperlink" Target="https://pld.live/RapDetail.aspx?STONELIST=926221367&amp;ISCONFIRM=0" TargetMode="External"/><Relationship Id="rId2754" Type="http://schemas.openxmlformats.org/officeDocument/2006/relationships/hyperlink" Target="https://pld.live/RapDetail.aspx?STONELIST=925010066&amp;ISCONFIRM=0" TargetMode="External"/><Relationship Id="rId3805" Type="http://schemas.openxmlformats.org/officeDocument/2006/relationships/hyperlink" Target="https://pld.live/RapDetail.aspx?STONELIST=941090165&amp;ISCONFIRM=0" TargetMode="External"/><Relationship Id="rId726" Type="http://schemas.openxmlformats.org/officeDocument/2006/relationships/hyperlink" Target="https://pld.live/RapDetail.aspx?STONELIST=925551648&amp;ISCONFIRM=0" TargetMode="External"/><Relationship Id="rId1009" Type="http://schemas.openxmlformats.org/officeDocument/2006/relationships/hyperlink" Target="https://pld.live/RapDetail.aspx?STONELIST=941350852&amp;ISCONFIRM=0" TargetMode="External"/><Relationship Id="rId1770" Type="http://schemas.openxmlformats.org/officeDocument/2006/relationships/hyperlink" Target="https://pld.live/RapDetail.aspx?STONELIST=926330768&amp;ISCONFIRM=0" TargetMode="External"/><Relationship Id="rId2407" Type="http://schemas.openxmlformats.org/officeDocument/2006/relationships/hyperlink" Target="https://pld.live/RapDetail.aspx?STONELIST=926280836&amp;ISCONFIRM=0" TargetMode="External"/><Relationship Id="rId2821" Type="http://schemas.openxmlformats.org/officeDocument/2006/relationships/hyperlink" Target="https://pld.live/RapDetail.aspx?STONELIST=925552028&amp;ISCONFIRM=0" TargetMode="External"/><Relationship Id="rId5977" Type="http://schemas.openxmlformats.org/officeDocument/2006/relationships/hyperlink" Target="https://pld.live/RapDetail.aspx?STONELIST=941021763&amp;ISCONFIRM=0" TargetMode="External"/><Relationship Id="rId8036" Type="http://schemas.openxmlformats.org/officeDocument/2006/relationships/hyperlink" Target="https://pld.live/RapDetail.aspx?STONELIST=924370147&amp;ISCONFIRM=0" TargetMode="External"/><Relationship Id="rId62" Type="http://schemas.openxmlformats.org/officeDocument/2006/relationships/hyperlink" Target="https://pld.live/RapDetail.aspx?STONELIST=941390338&amp;ISCONFIRM=0" TargetMode="External"/><Relationship Id="rId1423" Type="http://schemas.openxmlformats.org/officeDocument/2006/relationships/hyperlink" Target="https://pld.live/RapDetail.aspx?STONELIST=926311301&amp;ISCONFIRM=0" TargetMode="External"/><Relationship Id="rId4579" Type="http://schemas.openxmlformats.org/officeDocument/2006/relationships/hyperlink" Target="https://pld.live/RapDetail.aspx?STONELIST=925760672&amp;ISCONFIRM=0" TargetMode="External"/><Relationship Id="rId4993" Type="http://schemas.openxmlformats.org/officeDocument/2006/relationships/hyperlink" Target="https://pld.live/RapDetail.aspx?STONELIST=925920992&amp;ISCONFIRM=0" TargetMode="External"/><Relationship Id="rId3595" Type="http://schemas.openxmlformats.org/officeDocument/2006/relationships/hyperlink" Target="https://pld.live/RapDetail.aspx?STONELIST=927120037&amp;ISCONFIRM=0" TargetMode="External"/><Relationship Id="rId4646" Type="http://schemas.openxmlformats.org/officeDocument/2006/relationships/hyperlink" Target="https://pld.live/RapDetail.aspx?STONELIST=941270774&amp;ISCONFIRM=0" TargetMode="External"/><Relationship Id="rId7052" Type="http://schemas.openxmlformats.org/officeDocument/2006/relationships/hyperlink" Target="https://pld.live/RapDetail.aspx?STONELIST=941351009&amp;ISCONFIRM=0" TargetMode="External"/><Relationship Id="rId8103" Type="http://schemas.openxmlformats.org/officeDocument/2006/relationships/hyperlink" Target="https://pld.live/RapDetail.aspx?STONELIST=925621655&amp;ISCONFIRM=0" TargetMode="External"/><Relationship Id="rId2197" Type="http://schemas.openxmlformats.org/officeDocument/2006/relationships/hyperlink" Target="https://pld.live/RapDetail.aspx?STONELIST=925910757&amp;ISCONFIRM=0" TargetMode="External"/><Relationship Id="rId3248" Type="http://schemas.openxmlformats.org/officeDocument/2006/relationships/hyperlink" Target="https://pld.live/RapDetail.aspx?STONELIST=941270773&amp;ISCONFIRM=0" TargetMode="External"/><Relationship Id="rId3662" Type="http://schemas.openxmlformats.org/officeDocument/2006/relationships/hyperlink" Target="https://pld.live/RapDetail.aspx?STONELIST=925710124&amp;ISCONFIRM=0" TargetMode="External"/><Relationship Id="rId4713" Type="http://schemas.openxmlformats.org/officeDocument/2006/relationships/hyperlink" Target="https://pld.live/RapDetail.aspx?STONELIST=924450172&amp;ISCONFIRM=0" TargetMode="External"/><Relationship Id="rId7869" Type="http://schemas.openxmlformats.org/officeDocument/2006/relationships/hyperlink" Target="https://pld.live/RapDetail.aspx?STONELIST=926830960&amp;ISCONFIRM=0" TargetMode="External"/><Relationship Id="rId169" Type="http://schemas.openxmlformats.org/officeDocument/2006/relationships/hyperlink" Target="https://pld.live/RapDetail.aspx?STONELIST=941050163&amp;ISCONFIRM=0" TargetMode="External"/><Relationship Id="rId583" Type="http://schemas.openxmlformats.org/officeDocument/2006/relationships/hyperlink" Target="https://pld.live/RapDetail.aspx?STONELIST=925551679&amp;ISCONFIRM=0" TargetMode="External"/><Relationship Id="rId2264" Type="http://schemas.openxmlformats.org/officeDocument/2006/relationships/hyperlink" Target="https://pld.live/RapDetail.aspx?STONELIST=926270912&amp;ISCONFIRM=0" TargetMode="External"/><Relationship Id="rId3315" Type="http://schemas.openxmlformats.org/officeDocument/2006/relationships/hyperlink" Target="https://pld.live/RapDetail.aspx?STONELIST=923260322&amp;ISCONFIRM=0" TargetMode="External"/><Relationship Id="rId236" Type="http://schemas.openxmlformats.org/officeDocument/2006/relationships/hyperlink" Target="https://pld.live/RapDetail.aspx?STONELIST=941400533&amp;ISCONFIRM=0" TargetMode="External"/><Relationship Id="rId650" Type="http://schemas.openxmlformats.org/officeDocument/2006/relationships/hyperlink" Target="https://pld.live/RapDetail.aspx?STONELIST=831010544&amp;ISCONFIRM=0" TargetMode="External"/><Relationship Id="rId1280" Type="http://schemas.openxmlformats.org/officeDocument/2006/relationships/hyperlink" Target="https://pld.live/RapDetail.aspx?STONELIST=926221430&amp;ISCONFIRM=0" TargetMode="External"/><Relationship Id="rId2331" Type="http://schemas.openxmlformats.org/officeDocument/2006/relationships/hyperlink" Target="https://pld.live/RapDetail.aspx?STONELIST=926081404&amp;ISCONFIRM=0" TargetMode="External"/><Relationship Id="rId5487" Type="http://schemas.openxmlformats.org/officeDocument/2006/relationships/hyperlink" Target="https://pld.live/RapDetail.aspx?STONELIST=941110560&amp;ISCONFIRM=0" TargetMode="External"/><Relationship Id="rId6885" Type="http://schemas.openxmlformats.org/officeDocument/2006/relationships/hyperlink" Target="https://pld.live/RapDetail.aspx?STONELIST=926101211&amp;ISCONFIRM=0" TargetMode="External"/><Relationship Id="rId7936" Type="http://schemas.openxmlformats.org/officeDocument/2006/relationships/hyperlink" Target="https://pld.live/RapDetail.aspx?STONELIST=926270787&amp;ISCONFIRM=0" TargetMode="External"/><Relationship Id="rId303" Type="http://schemas.openxmlformats.org/officeDocument/2006/relationships/hyperlink" Target="https://pld.live/RapDetail.aspx?STONELIST=941400472&amp;ISCONFIRM=0" TargetMode="External"/><Relationship Id="rId4089" Type="http://schemas.openxmlformats.org/officeDocument/2006/relationships/hyperlink" Target="https://pld.live/RapDetail.aspx?STONELIST=821123795&amp;ISCONFIRM=0" TargetMode="External"/><Relationship Id="rId6538" Type="http://schemas.openxmlformats.org/officeDocument/2006/relationships/hyperlink" Target="https://pld.live/RapDetail.aspx?STONELIST=926972134&amp;ISCONFIRM=0" TargetMode="External"/><Relationship Id="rId6952" Type="http://schemas.openxmlformats.org/officeDocument/2006/relationships/hyperlink" Target="https://pld.live/RapDetail.aspx?STONELIST=925521050&amp;ISCONFIRM=0" TargetMode="External"/><Relationship Id="rId5554" Type="http://schemas.openxmlformats.org/officeDocument/2006/relationships/hyperlink" Target="https://pld.live/RapDetail.aspx?STONELIST=926220605&amp;ISCONFIRM=0" TargetMode="External"/><Relationship Id="rId6605" Type="http://schemas.openxmlformats.org/officeDocument/2006/relationships/hyperlink" Target="https://pld.live/RapDetail.aspx?STONELIST=927052702&amp;ISCONFIRM=0" TargetMode="External"/><Relationship Id="rId1000" Type="http://schemas.openxmlformats.org/officeDocument/2006/relationships/hyperlink" Target="https://pld.live/RapDetail.aspx?STONELIST=941071093&amp;ISCONFIRM=0" TargetMode="External"/><Relationship Id="rId4156" Type="http://schemas.openxmlformats.org/officeDocument/2006/relationships/hyperlink" Target="https://pld.live/RapDetail.aspx?STONELIST=925290374&amp;ISCONFIRM=0" TargetMode="External"/><Relationship Id="rId4570" Type="http://schemas.openxmlformats.org/officeDocument/2006/relationships/hyperlink" Target="https://pld.live/RapDetail.aspx?STONELIST=941261096&amp;ISCONFIRM=0" TargetMode="External"/><Relationship Id="rId5207" Type="http://schemas.openxmlformats.org/officeDocument/2006/relationships/hyperlink" Target="https://pld.live/RapDetail.aspx?STONELIST=831020500&amp;ISCONFIRM=0" TargetMode="External"/><Relationship Id="rId5621" Type="http://schemas.openxmlformats.org/officeDocument/2006/relationships/hyperlink" Target="https://pld.live/RapDetail.aspx?STONELIST=923690432&amp;ISCONFIRM=0" TargetMode="External"/><Relationship Id="rId1817" Type="http://schemas.openxmlformats.org/officeDocument/2006/relationships/hyperlink" Target="https://pld.live/RapDetail.aspx?STONELIST=926320546&amp;ISCONFIRM=0" TargetMode="External"/><Relationship Id="rId3172" Type="http://schemas.openxmlformats.org/officeDocument/2006/relationships/hyperlink" Target="https://pld.live/RapDetail.aspx?STONELIST=925791390&amp;ISCONFIRM=0" TargetMode="External"/><Relationship Id="rId4223" Type="http://schemas.openxmlformats.org/officeDocument/2006/relationships/hyperlink" Target="https://pld.live/RapDetail.aspx?STONELIST=925450027&amp;ISCONFIRM=0" TargetMode="External"/><Relationship Id="rId7379" Type="http://schemas.openxmlformats.org/officeDocument/2006/relationships/hyperlink" Target="https://pld.live/RapDetail.aspx?STONELIST=941300150&amp;ISCONFIRM=0" TargetMode="External"/><Relationship Id="rId7793" Type="http://schemas.openxmlformats.org/officeDocument/2006/relationships/hyperlink" Target="https://pld.live/RapDetail.aspx?STONELIST=923380789&amp;ISCONFIRM=0" TargetMode="External"/><Relationship Id="rId6395" Type="http://schemas.openxmlformats.org/officeDocument/2006/relationships/hyperlink" Target="https://pld.live/RapDetail.aspx?STONELIST=926050337&amp;ISCONFIRM=0" TargetMode="External"/><Relationship Id="rId7446" Type="http://schemas.openxmlformats.org/officeDocument/2006/relationships/hyperlink" Target="https://pld.live/RapDetail.aspx?STONELIST=926070225&amp;ISCONFIRM=0" TargetMode="External"/><Relationship Id="rId160" Type="http://schemas.openxmlformats.org/officeDocument/2006/relationships/hyperlink" Target="https://pld.live/RapDetail.aspx?STONELIST=941050552&amp;ISCONFIRM=0" TargetMode="External"/><Relationship Id="rId3989" Type="http://schemas.openxmlformats.org/officeDocument/2006/relationships/hyperlink" Target="https://pld.live/RapDetail.aspx?STONELIST=925732103&amp;ISCONFIRM=0" TargetMode="External"/><Relationship Id="rId6048" Type="http://schemas.openxmlformats.org/officeDocument/2006/relationships/hyperlink" Target="https://pld.live/RapDetail.aspx?STONELIST=9412601138&amp;ISCONFIRM=0" TargetMode="External"/><Relationship Id="rId6462" Type="http://schemas.openxmlformats.org/officeDocument/2006/relationships/hyperlink" Target="https://pld.live/RapDetail.aspx?STONELIST=941080823&amp;ISCONFIRM=0" TargetMode="External"/><Relationship Id="rId7860" Type="http://schemas.openxmlformats.org/officeDocument/2006/relationships/hyperlink" Target="https://pld.live/RapDetail.aspx?STONELIST=821126908&amp;ISCONFIRM=0" TargetMode="External"/><Relationship Id="rId5064" Type="http://schemas.openxmlformats.org/officeDocument/2006/relationships/hyperlink" Target="https://pld.live/RapDetail.aspx?STONELIST=925950666&amp;ISCONFIRM=0" TargetMode="External"/><Relationship Id="rId6115" Type="http://schemas.openxmlformats.org/officeDocument/2006/relationships/hyperlink" Target="https://pld.live/RapDetail.aspx?STONELIST=925680200&amp;ISCONFIRM=0" TargetMode="External"/><Relationship Id="rId7513" Type="http://schemas.openxmlformats.org/officeDocument/2006/relationships/hyperlink" Target="https://pld.live/RapDetail.aspx?STONELIST=925801574&amp;ISCONFIRM=0" TargetMode="External"/><Relationship Id="rId977" Type="http://schemas.openxmlformats.org/officeDocument/2006/relationships/hyperlink" Target="https://pld.live/RapDetail.aspx?STONELIST=821115509&amp;ISCONFIRM=0" TargetMode="External"/><Relationship Id="rId2658" Type="http://schemas.openxmlformats.org/officeDocument/2006/relationships/hyperlink" Target="https://pld.live/RapDetail.aspx?STONELIST=926231054&amp;ISCONFIRM=0" TargetMode="External"/><Relationship Id="rId3709" Type="http://schemas.openxmlformats.org/officeDocument/2006/relationships/hyperlink" Target="https://pld.live/RapDetail.aspx?STONELIST=941050585&amp;ISCONFIRM=0" TargetMode="External"/><Relationship Id="rId4080" Type="http://schemas.openxmlformats.org/officeDocument/2006/relationships/hyperlink" Target="https://pld.live/RapDetail.aspx?STONELIST=925621860&amp;ISCONFIRM=0" TargetMode="External"/><Relationship Id="rId1674" Type="http://schemas.openxmlformats.org/officeDocument/2006/relationships/hyperlink" Target="https://pld.live/RapDetail.aspx?STONELIST=925900345&amp;ISCONFIRM=0" TargetMode="External"/><Relationship Id="rId2725" Type="http://schemas.openxmlformats.org/officeDocument/2006/relationships/hyperlink" Target="https://pld.live/RapDetail.aspx?STONELIST=922420101&amp;ISCONFIRM=0" TargetMode="External"/><Relationship Id="rId5131" Type="http://schemas.openxmlformats.org/officeDocument/2006/relationships/hyperlink" Target="https://pld.live/RapDetail.aspx?STONELIST=925890410&amp;ISCONFIRM=0" TargetMode="External"/><Relationship Id="rId1327" Type="http://schemas.openxmlformats.org/officeDocument/2006/relationships/hyperlink" Target="https://pld.live/RapDetail.aspx?STONELIST=927101062&amp;ISCONFIRM=0" TargetMode="External"/><Relationship Id="rId1741" Type="http://schemas.openxmlformats.org/officeDocument/2006/relationships/hyperlink" Target="https://pld.live/RapDetail.aspx?STONELIST=941220132&amp;ISCONFIRM=0" TargetMode="External"/><Relationship Id="rId4897" Type="http://schemas.openxmlformats.org/officeDocument/2006/relationships/hyperlink" Target="https://pld.live/RapDetail.aspx?STONELIST=925502469&amp;ISCONFIRM=0" TargetMode="External"/><Relationship Id="rId5948" Type="http://schemas.openxmlformats.org/officeDocument/2006/relationships/hyperlink" Target="https://pld.live/RapDetail.aspx?STONELIST=926101669&amp;ISCONFIRM=0" TargetMode="External"/><Relationship Id="rId33" Type="http://schemas.openxmlformats.org/officeDocument/2006/relationships/hyperlink" Target="https://pld.live/RapDetail.aspx?STONELIST=941330527&amp;ISCONFIRM=0" TargetMode="External"/><Relationship Id="rId3499" Type="http://schemas.openxmlformats.org/officeDocument/2006/relationships/hyperlink" Target="https://pld.live/RapDetail.aspx?STONELIST=924410356&amp;ISCONFIRM=0" TargetMode="External"/><Relationship Id="rId7370" Type="http://schemas.openxmlformats.org/officeDocument/2006/relationships/hyperlink" Target="https://pld.live/RapDetail.aspx?STONELIST=941351131&amp;ISCONFIRM=0" TargetMode="External"/><Relationship Id="rId8007" Type="http://schemas.openxmlformats.org/officeDocument/2006/relationships/hyperlink" Target="https://pld.live/RapDetail.aspx?STONELIST=926110367&amp;ISCONFIRM=0" TargetMode="External"/><Relationship Id="rId3566" Type="http://schemas.openxmlformats.org/officeDocument/2006/relationships/hyperlink" Target="https://pld.live/RapDetail.aspx?STONELIST=924510212&amp;ISCONFIRM=0" TargetMode="External"/><Relationship Id="rId4964" Type="http://schemas.openxmlformats.org/officeDocument/2006/relationships/hyperlink" Target="https://pld.live/RapDetail.aspx?STONELIST=925060042&amp;ISCONFIRM=0" TargetMode="External"/><Relationship Id="rId7023" Type="http://schemas.openxmlformats.org/officeDocument/2006/relationships/hyperlink" Target="https://pld.live/RapDetail.aspx?STONELIST=926171229&amp;ISCONFIRM=0" TargetMode="External"/><Relationship Id="rId487" Type="http://schemas.openxmlformats.org/officeDocument/2006/relationships/hyperlink" Target="https://pld.live/RapDetail.aspx?STONELIST=925721648&amp;ISCONFIRM=0" TargetMode="External"/><Relationship Id="rId2168" Type="http://schemas.openxmlformats.org/officeDocument/2006/relationships/hyperlink" Target="https://pld.live/RapDetail.aspx?STONELIST=831020595&amp;ISCONFIRM=0" TargetMode="External"/><Relationship Id="rId3219" Type="http://schemas.openxmlformats.org/officeDocument/2006/relationships/hyperlink" Target="https://pld.live/RapDetail.aspx?STONELIST=831010540&amp;ISCONFIRM=0" TargetMode="External"/><Relationship Id="rId3980" Type="http://schemas.openxmlformats.org/officeDocument/2006/relationships/hyperlink" Target="https://pld.live/RapDetail.aspx?STONELIST=925981180&amp;ISCONFIRM=0" TargetMode="External"/><Relationship Id="rId4617" Type="http://schemas.openxmlformats.org/officeDocument/2006/relationships/hyperlink" Target="https://pld.live/RapDetail.aspx?STONELIST=941021711&amp;ISCONFIRM=0" TargetMode="External"/><Relationship Id="rId1184" Type="http://schemas.openxmlformats.org/officeDocument/2006/relationships/hyperlink" Target="https://pld.live/RapDetail.aspx?STONELIST=927100760&amp;ISCONFIRM=0" TargetMode="External"/><Relationship Id="rId2582" Type="http://schemas.openxmlformats.org/officeDocument/2006/relationships/hyperlink" Target="https://pld.live/RapDetail.aspx?STONELIST=926801348&amp;ISCONFIRM=0" TargetMode="External"/><Relationship Id="rId3633" Type="http://schemas.openxmlformats.org/officeDocument/2006/relationships/hyperlink" Target="https://pld.live/RapDetail.aspx?STONELIST=925670205&amp;ISCONFIRM=0" TargetMode="External"/><Relationship Id="rId6789" Type="http://schemas.openxmlformats.org/officeDocument/2006/relationships/hyperlink" Target="https://pld.live/RapDetail.aspx?STONELIST=821115810&amp;ISCONFIRM=0" TargetMode="External"/><Relationship Id="rId554" Type="http://schemas.openxmlformats.org/officeDocument/2006/relationships/hyperlink" Target="https://pld.live/RapDetail.aspx?STONELIST=926201175&amp;ISCONFIRM=0" TargetMode="External"/><Relationship Id="rId2235" Type="http://schemas.openxmlformats.org/officeDocument/2006/relationships/hyperlink" Target="https://pld.live/RapDetail.aspx?STONELIST=821127277&amp;ISCONFIRM=0" TargetMode="External"/><Relationship Id="rId3700" Type="http://schemas.openxmlformats.org/officeDocument/2006/relationships/hyperlink" Target="https://pld.live/RapDetail.aspx?STONELIST=925700155&amp;ISCONFIRM=0" TargetMode="External"/><Relationship Id="rId6856" Type="http://schemas.openxmlformats.org/officeDocument/2006/relationships/hyperlink" Target="https://pld.live/RapDetail.aspx?STONELIST=926910023&amp;ISCONFIRM=0" TargetMode="External"/><Relationship Id="rId7907" Type="http://schemas.openxmlformats.org/officeDocument/2006/relationships/hyperlink" Target="https://pld.live/RapDetail.aspx?STONELIST=941070748&amp;ISCONFIRM=0" TargetMode="External"/><Relationship Id="rId207" Type="http://schemas.openxmlformats.org/officeDocument/2006/relationships/hyperlink" Target="https://pld.live/RapDetail.aspx?STONELIST=831020620&amp;ISCONFIRM=0" TargetMode="External"/><Relationship Id="rId621" Type="http://schemas.openxmlformats.org/officeDocument/2006/relationships/hyperlink" Target="https://pld.live/RapDetail.aspx?STONELIST=925890559&amp;ISCONFIRM=0" TargetMode="External"/><Relationship Id="rId1251" Type="http://schemas.openxmlformats.org/officeDocument/2006/relationships/hyperlink" Target="https://pld.live/RapDetail.aspx?STONELIST=926211257&amp;ISCONFIRM=0" TargetMode="External"/><Relationship Id="rId2302" Type="http://schemas.openxmlformats.org/officeDocument/2006/relationships/hyperlink" Target="https://pld.live/RapDetail.aspx?STONELIST=927151128&amp;ISCONFIRM=0" TargetMode="External"/><Relationship Id="rId5458" Type="http://schemas.openxmlformats.org/officeDocument/2006/relationships/hyperlink" Target="https://pld.live/RapDetail.aspx?STONELIST=925930032&amp;ISCONFIRM=0" TargetMode="External"/><Relationship Id="rId5872" Type="http://schemas.openxmlformats.org/officeDocument/2006/relationships/hyperlink" Target="https://pld.live/RapDetail.aspx?STONELIST=926071947&amp;ISCONFIRM=0" TargetMode="External"/><Relationship Id="rId6509" Type="http://schemas.openxmlformats.org/officeDocument/2006/relationships/hyperlink" Target="https://pld.live/RapDetail.aspx?STONELIST=941071322&amp;ISCONFIRM=0" TargetMode="External"/><Relationship Id="rId6923" Type="http://schemas.openxmlformats.org/officeDocument/2006/relationships/hyperlink" Target="https://pld.live/RapDetail.aspx?STONELIST=925981250&amp;ISCONFIRM=0" TargetMode="External"/><Relationship Id="rId4474" Type="http://schemas.openxmlformats.org/officeDocument/2006/relationships/hyperlink" Target="https://pld.live/RapDetail.aspx?STONELIST=926210965&amp;ISCONFIRM=0" TargetMode="External"/><Relationship Id="rId5525" Type="http://schemas.openxmlformats.org/officeDocument/2006/relationships/hyperlink" Target="https://pld.live/RapDetail.aspx?STONELIST=924970345&amp;ISCONFIRM=0" TargetMode="External"/><Relationship Id="rId3076" Type="http://schemas.openxmlformats.org/officeDocument/2006/relationships/hyperlink" Target="https://pld.live/RapDetail.aspx?STONELIST=926210791&amp;ISCONFIRM=0" TargetMode="External"/><Relationship Id="rId3490" Type="http://schemas.openxmlformats.org/officeDocument/2006/relationships/hyperlink" Target="https://pld.live/RapDetail.aspx?STONELIST=926270808&amp;ISCONFIRM=0" TargetMode="External"/><Relationship Id="rId4127" Type="http://schemas.openxmlformats.org/officeDocument/2006/relationships/hyperlink" Target="https://pld.live/RapDetail.aspx?STONELIST=926100864&amp;ISCONFIRM=0" TargetMode="External"/><Relationship Id="rId4541" Type="http://schemas.openxmlformats.org/officeDocument/2006/relationships/hyperlink" Target="https://pld.live/RapDetail.aspx?STONELIST=927052555&amp;ISCONFIRM=0" TargetMode="External"/><Relationship Id="rId7697" Type="http://schemas.openxmlformats.org/officeDocument/2006/relationships/hyperlink" Target="https://pld.live/RapDetail.aspx?STONELIST=941270767&amp;ISCONFIRM=0" TargetMode="External"/><Relationship Id="rId2092" Type="http://schemas.openxmlformats.org/officeDocument/2006/relationships/hyperlink" Target="https://pld.live/RapDetail.aspx?STONELIST=926980596&amp;ISCONFIRM=0" TargetMode="External"/><Relationship Id="rId3143" Type="http://schemas.openxmlformats.org/officeDocument/2006/relationships/hyperlink" Target="https://pld.live/RapDetail.aspx?STONELIST=926210840&amp;ISCONFIRM=0" TargetMode="External"/><Relationship Id="rId6299" Type="http://schemas.openxmlformats.org/officeDocument/2006/relationships/hyperlink" Target="https://pld.live/RapDetail.aspx?STONELIST=925270472&amp;ISCONFIRM=0" TargetMode="External"/><Relationship Id="rId7764" Type="http://schemas.openxmlformats.org/officeDocument/2006/relationships/hyperlink" Target="https://pld.live/RapDetail.aspx?STONELIST=926910147&amp;ISCONFIRM=0" TargetMode="External"/><Relationship Id="rId131" Type="http://schemas.openxmlformats.org/officeDocument/2006/relationships/hyperlink" Target="https://pld.live/RapDetail.aspx?STONELIST=926540126&amp;ISCONFIRM=0" TargetMode="External"/><Relationship Id="rId3210" Type="http://schemas.openxmlformats.org/officeDocument/2006/relationships/hyperlink" Target="https://pld.live/RapDetail.aspx?STONELIST=925030432&amp;ISCONFIRM=0" TargetMode="External"/><Relationship Id="rId6366" Type="http://schemas.openxmlformats.org/officeDocument/2006/relationships/hyperlink" Target="https://pld.live/RapDetail.aspx?STONELIST=925880268&amp;ISCONFIRM=0" TargetMode="External"/><Relationship Id="rId6780" Type="http://schemas.openxmlformats.org/officeDocument/2006/relationships/hyperlink" Target="https://pld.live/RapDetail.aspx?STONELIST=926010268&amp;ISCONFIRM=0" TargetMode="External"/><Relationship Id="rId7417" Type="http://schemas.openxmlformats.org/officeDocument/2006/relationships/hyperlink" Target="https://pld.live/RapDetail.aspx?STONELIST=925880150&amp;ISCONFIRM=0" TargetMode="External"/><Relationship Id="rId7831" Type="http://schemas.openxmlformats.org/officeDocument/2006/relationships/hyperlink" Target="https://pld.live/RapDetail.aspx?STONELIST=925621950&amp;ISCONFIRM=0" TargetMode="External"/><Relationship Id="rId2976" Type="http://schemas.openxmlformats.org/officeDocument/2006/relationships/hyperlink" Target="https://pld.live/RapDetail.aspx?STONELIST=926210853&amp;ISCONFIRM=0" TargetMode="External"/><Relationship Id="rId5382" Type="http://schemas.openxmlformats.org/officeDocument/2006/relationships/hyperlink" Target="https://pld.live/RapDetail.aspx?STONELIST=941040002&amp;ISCONFIRM=0" TargetMode="External"/><Relationship Id="rId6019" Type="http://schemas.openxmlformats.org/officeDocument/2006/relationships/hyperlink" Target="https://pld.live/RapDetail.aspx?STONELIST=941260885&amp;ISCONFIRM=0" TargetMode="External"/><Relationship Id="rId6433" Type="http://schemas.openxmlformats.org/officeDocument/2006/relationships/hyperlink" Target="https://pld.live/RapDetail.aspx?STONELIST=941080847&amp;ISCONFIRM=0" TargetMode="External"/><Relationship Id="rId948" Type="http://schemas.openxmlformats.org/officeDocument/2006/relationships/hyperlink" Target="https://pld.live/RapDetail.aspx?STONELIST=926071488&amp;ISCONFIRM=0" TargetMode="External"/><Relationship Id="rId1578" Type="http://schemas.openxmlformats.org/officeDocument/2006/relationships/hyperlink" Target="https://pld.live/RapDetail.aspx?STONELIST=926211277&amp;ISCONFIRM=0" TargetMode="External"/><Relationship Id="rId1992" Type="http://schemas.openxmlformats.org/officeDocument/2006/relationships/hyperlink" Target="https://pld.live/RapDetail.aspx?STONELIST=941270532&amp;ISCONFIRM=0" TargetMode="External"/><Relationship Id="rId2629" Type="http://schemas.openxmlformats.org/officeDocument/2006/relationships/hyperlink" Target="https://pld.live/RapDetail.aspx?STONELIST=926710965&amp;ISCONFIRM=0" TargetMode="External"/><Relationship Id="rId5035" Type="http://schemas.openxmlformats.org/officeDocument/2006/relationships/hyperlink" Target="https://pld.live/RapDetail.aspx?STONELIST=926071347&amp;ISCONFIRM=0" TargetMode="External"/><Relationship Id="rId6500" Type="http://schemas.openxmlformats.org/officeDocument/2006/relationships/hyperlink" Target="https://pld.live/RapDetail.aspx?STONELIST=941180035&amp;ISCONFIRM=0" TargetMode="External"/><Relationship Id="rId1645" Type="http://schemas.openxmlformats.org/officeDocument/2006/relationships/hyperlink" Target="https://pld.live/RapDetail.aspx?STONELIST=926120597&amp;ISCONFIRM=0" TargetMode="External"/><Relationship Id="rId4051" Type="http://schemas.openxmlformats.org/officeDocument/2006/relationships/hyperlink" Target="https://pld.live/RapDetail.aspx?STONELIST=925802039&amp;ISCONFIRM=0" TargetMode="External"/><Relationship Id="rId5102" Type="http://schemas.openxmlformats.org/officeDocument/2006/relationships/hyperlink" Target="https://pld.live/RapDetail.aspx?STONELIST=925880261&amp;ISCONFIRM=0" TargetMode="External"/><Relationship Id="rId8258" Type="http://schemas.openxmlformats.org/officeDocument/2006/relationships/hyperlink" Target="https://pld.live/RapDetail.aspx?STONELIST=926291367&amp;ISCONFIRM=0" TargetMode="External"/><Relationship Id="rId7274" Type="http://schemas.openxmlformats.org/officeDocument/2006/relationships/hyperlink" Target="https://pld.live/RapDetail.aspx?STONELIST=927140396&amp;ISCONFIRM=0" TargetMode="External"/><Relationship Id="rId1712" Type="http://schemas.openxmlformats.org/officeDocument/2006/relationships/hyperlink" Target="https://pld.live/RapDetail.aspx?STONELIST=926950161&amp;ISCONFIRM=0" TargetMode="External"/><Relationship Id="rId4868" Type="http://schemas.openxmlformats.org/officeDocument/2006/relationships/hyperlink" Target="https://pld.live/RapDetail.aspx?STONELIST=925621861&amp;ISCONFIRM=0" TargetMode="External"/><Relationship Id="rId5919" Type="http://schemas.openxmlformats.org/officeDocument/2006/relationships/hyperlink" Target="https://pld.live/RapDetail.aspx?STONELIST=926020820&amp;ISCONFIRM=0" TargetMode="External"/><Relationship Id="rId6290" Type="http://schemas.openxmlformats.org/officeDocument/2006/relationships/hyperlink" Target="https://pld.live/RapDetail.aspx?STONELIST=925510161&amp;ISCONFIRM=0" TargetMode="External"/><Relationship Id="rId3884" Type="http://schemas.openxmlformats.org/officeDocument/2006/relationships/hyperlink" Target="https://pld.live/RapDetail.aspx?STONELIST=925501712&amp;ISCONFIRM=0" TargetMode="External"/><Relationship Id="rId4935" Type="http://schemas.openxmlformats.org/officeDocument/2006/relationships/hyperlink" Target="https://pld.live/RapDetail.aspx?STONELIST=925920785&amp;ISCONFIRM=0" TargetMode="External"/><Relationship Id="rId7341" Type="http://schemas.openxmlformats.org/officeDocument/2006/relationships/hyperlink" Target="https://pld.live/RapDetail.aspx?STONELIST=925700203&amp;ISCONFIRM=0" TargetMode="External"/><Relationship Id="rId2486" Type="http://schemas.openxmlformats.org/officeDocument/2006/relationships/hyperlink" Target="https://pld.live/RapDetail.aspx?STONELIST=926261536&amp;ISCONFIRM=0" TargetMode="External"/><Relationship Id="rId3537" Type="http://schemas.openxmlformats.org/officeDocument/2006/relationships/hyperlink" Target="https://pld.live/RapDetail.aspx?STONELIST=923920379&amp;ISCONFIRM=0" TargetMode="External"/><Relationship Id="rId3951" Type="http://schemas.openxmlformats.org/officeDocument/2006/relationships/hyperlink" Target="https://pld.live/RapDetail.aspx?STONELIST=925540286&amp;ISCONFIRM=0" TargetMode="External"/><Relationship Id="rId458" Type="http://schemas.openxmlformats.org/officeDocument/2006/relationships/hyperlink" Target="https://pld.live/RapDetail.aspx?STONELIST=926040841&amp;ISCONFIRM=0" TargetMode="External"/><Relationship Id="rId872" Type="http://schemas.openxmlformats.org/officeDocument/2006/relationships/hyperlink" Target="https://pld.live/RapDetail.aspx?STONELIST=926041261&amp;ISCONFIRM=0" TargetMode="External"/><Relationship Id="rId1088" Type="http://schemas.openxmlformats.org/officeDocument/2006/relationships/hyperlink" Target="https://pld.live/RapDetail.aspx?STONELIST=926920994&amp;ISCONFIRM=0" TargetMode="External"/><Relationship Id="rId2139" Type="http://schemas.openxmlformats.org/officeDocument/2006/relationships/hyperlink" Target="https://pld.live/RapDetail.aspx?STONELIST=926321026&amp;ISCONFIRM=0" TargetMode="External"/><Relationship Id="rId2553" Type="http://schemas.openxmlformats.org/officeDocument/2006/relationships/hyperlink" Target="https://pld.live/RapDetail.aspx?STONELIST=926661692&amp;ISCONFIRM=0" TargetMode="External"/><Relationship Id="rId3604" Type="http://schemas.openxmlformats.org/officeDocument/2006/relationships/hyperlink" Target="https://pld.live/RapDetail.aspx?STONELIST=925560003&amp;ISCONFIRM=0" TargetMode="External"/><Relationship Id="rId6010" Type="http://schemas.openxmlformats.org/officeDocument/2006/relationships/hyperlink" Target="https://pld.live/RapDetail.aspx?STONELIST=924420437&amp;ISCONFIRM=0" TargetMode="External"/><Relationship Id="rId525" Type="http://schemas.openxmlformats.org/officeDocument/2006/relationships/hyperlink" Target="https://pld.live/RapDetail.aspx?STONELIST=927130122&amp;ISCONFIRM=0" TargetMode="External"/><Relationship Id="rId1155" Type="http://schemas.openxmlformats.org/officeDocument/2006/relationships/hyperlink" Target="https://pld.live/RapDetail.aspx?STONELIST=941160424&amp;ISCONFIRM=0" TargetMode="External"/><Relationship Id="rId2206" Type="http://schemas.openxmlformats.org/officeDocument/2006/relationships/hyperlink" Target="https://pld.live/RapDetail.aspx?STONELIST=920661425&amp;ISCONFIRM=0" TargetMode="External"/><Relationship Id="rId2620" Type="http://schemas.openxmlformats.org/officeDocument/2006/relationships/hyperlink" Target="https://pld.live/RapDetail.aspx?STONELIST=926480780&amp;ISCONFIRM=0" TargetMode="External"/><Relationship Id="rId5776" Type="http://schemas.openxmlformats.org/officeDocument/2006/relationships/hyperlink" Target="https://pld.live/RapDetail.aspx?STONELIST=941270747&amp;ISCONFIRM=0" TargetMode="External"/><Relationship Id="rId8182" Type="http://schemas.openxmlformats.org/officeDocument/2006/relationships/hyperlink" Target="https://pld.live/RapDetail.aspx?STONELIST=924440158&amp;ISCONFIRM=0" TargetMode="External"/><Relationship Id="rId1222" Type="http://schemas.openxmlformats.org/officeDocument/2006/relationships/hyperlink" Target="https://pld.live/RapDetail.aspx?STONELIST=926211138&amp;ISCONFIRM=0" TargetMode="External"/><Relationship Id="rId4378" Type="http://schemas.openxmlformats.org/officeDocument/2006/relationships/hyperlink" Target="https://pld.live/RapDetail.aspx?STONELIST=926870966&amp;ISCONFIRM=0" TargetMode="External"/><Relationship Id="rId5429" Type="http://schemas.openxmlformats.org/officeDocument/2006/relationships/hyperlink" Target="https://pld.live/RapDetail.aspx?STONELIST=941351060&amp;ISCONFIRM=0" TargetMode="External"/><Relationship Id="rId6827" Type="http://schemas.openxmlformats.org/officeDocument/2006/relationships/hyperlink" Target="https://pld.live/RapDetail.aspx?STONELIST=921800065&amp;ISCONFIRM=0" TargetMode="External"/><Relationship Id="rId3394" Type="http://schemas.openxmlformats.org/officeDocument/2006/relationships/hyperlink" Target="https://pld.live/RapDetail.aspx?STONELIST=831010849&amp;ISCONFIRM=0" TargetMode="External"/><Relationship Id="rId4792" Type="http://schemas.openxmlformats.org/officeDocument/2006/relationships/hyperlink" Target="https://pld.live/RapDetail.aspx?STONELIST=927070663&amp;ISCONFIRM=0" TargetMode="External"/><Relationship Id="rId5843" Type="http://schemas.openxmlformats.org/officeDocument/2006/relationships/hyperlink" Target="https://pld.live/RapDetail.aspx?STONELIST=925270565&amp;ISCONFIRM=0" TargetMode="External"/><Relationship Id="rId3047" Type="http://schemas.openxmlformats.org/officeDocument/2006/relationships/hyperlink" Target="https://pld.live/RapDetail.aspx?STONELIST=925150168&amp;ISCONFIRM=0" TargetMode="External"/><Relationship Id="rId4445" Type="http://schemas.openxmlformats.org/officeDocument/2006/relationships/hyperlink" Target="https://pld.live/RapDetail.aspx?STONELIST=925080458&amp;ISCONFIRM=0" TargetMode="External"/><Relationship Id="rId5910" Type="http://schemas.openxmlformats.org/officeDocument/2006/relationships/hyperlink" Target="https://pld.live/RapDetail.aspx?STONELIST=925190165&amp;ISCONFIRM=0" TargetMode="External"/><Relationship Id="rId3461" Type="http://schemas.openxmlformats.org/officeDocument/2006/relationships/hyperlink" Target="https://pld.live/RapDetail.aspx?STONELIST=831010783&amp;ISCONFIRM=0" TargetMode="External"/><Relationship Id="rId4512" Type="http://schemas.openxmlformats.org/officeDocument/2006/relationships/hyperlink" Target="https://pld.live/RapDetail.aspx?STONELIST=927092579&amp;ISCONFIRM=0" TargetMode="External"/><Relationship Id="rId7668" Type="http://schemas.openxmlformats.org/officeDocument/2006/relationships/hyperlink" Target="https://pld.live/RapDetail.aspx?STONELIST=941260638&amp;ISCONFIRM=0" TargetMode="External"/><Relationship Id="rId382" Type="http://schemas.openxmlformats.org/officeDocument/2006/relationships/hyperlink" Target="https://pld.live/RapDetail.aspx?STONELIST=925921054&amp;ISCONFIRM=0" TargetMode="External"/><Relationship Id="rId2063" Type="http://schemas.openxmlformats.org/officeDocument/2006/relationships/hyperlink" Target="https://pld.live/RapDetail.aspx?STONELIST=924220280&amp;ISCONFIRM=0" TargetMode="External"/><Relationship Id="rId3114" Type="http://schemas.openxmlformats.org/officeDocument/2006/relationships/hyperlink" Target="https://pld.live/RapDetail.aspx?STONELIST=926210952&amp;ISCONFIRM=0" TargetMode="External"/><Relationship Id="rId6684" Type="http://schemas.openxmlformats.org/officeDocument/2006/relationships/hyperlink" Target="https://pld.live/RapDetail.aspx?STONELIST=927152901&amp;ISCONFIRM=0" TargetMode="External"/><Relationship Id="rId7735" Type="http://schemas.openxmlformats.org/officeDocument/2006/relationships/hyperlink" Target="https://pld.live/RapDetail.aspx?STONELIST=924190250&amp;ISCONFIRM=0" TargetMode="External"/><Relationship Id="rId2130" Type="http://schemas.openxmlformats.org/officeDocument/2006/relationships/hyperlink" Target="https://pld.live/RapDetail.aspx?STONELIST=926211250&amp;ISCONFIRM=0" TargetMode="External"/><Relationship Id="rId5286" Type="http://schemas.openxmlformats.org/officeDocument/2006/relationships/hyperlink" Target="https://pld.live/RapDetail.aspx?STONELIST=926110971&amp;ISCONFIRM=0" TargetMode="External"/><Relationship Id="rId6337" Type="http://schemas.openxmlformats.org/officeDocument/2006/relationships/hyperlink" Target="https://pld.live/RapDetail.aspx?STONELIST=926370016&amp;ISCONFIRM=0" TargetMode="External"/><Relationship Id="rId6751" Type="http://schemas.openxmlformats.org/officeDocument/2006/relationships/hyperlink" Target="https://pld.live/RapDetail.aspx?STONELIST=927132519&amp;ISCONFIRM=0" TargetMode="External"/><Relationship Id="rId102" Type="http://schemas.openxmlformats.org/officeDocument/2006/relationships/hyperlink" Target="https://pld.live/RapDetail.aspx?STONELIST=924190581&amp;ISCONFIRM=0" TargetMode="External"/><Relationship Id="rId5353" Type="http://schemas.openxmlformats.org/officeDocument/2006/relationships/hyperlink" Target="https://pld.live/RapDetail.aspx?STONELIST=926580229&amp;ISCONFIRM=0" TargetMode="External"/><Relationship Id="rId6404" Type="http://schemas.openxmlformats.org/officeDocument/2006/relationships/hyperlink" Target="https://pld.live/RapDetail.aspx?STONELIST=924950334&amp;ISCONFIRM=0" TargetMode="External"/><Relationship Id="rId7802" Type="http://schemas.openxmlformats.org/officeDocument/2006/relationships/hyperlink" Target="https://pld.live/RapDetail.aspx?STONELIST=924380500&amp;ISCONFIRM=0" TargetMode="External"/><Relationship Id="rId1896" Type="http://schemas.openxmlformats.org/officeDocument/2006/relationships/hyperlink" Target="https://pld.live/RapDetail.aspx?STONELIST=941230039&amp;ISCONFIRM=0" TargetMode="External"/><Relationship Id="rId2947" Type="http://schemas.openxmlformats.org/officeDocument/2006/relationships/hyperlink" Target="https://pld.live/RapDetail.aspx?STONELIST=925940627&amp;ISCONFIRM=0" TargetMode="External"/><Relationship Id="rId5006" Type="http://schemas.openxmlformats.org/officeDocument/2006/relationships/hyperlink" Target="https://pld.live/RapDetail.aspx?STONELIST=925951033&amp;ISCONFIRM=0" TargetMode="External"/><Relationship Id="rId919" Type="http://schemas.openxmlformats.org/officeDocument/2006/relationships/hyperlink" Target="https://pld.live/RapDetail.aspx?STONELIST=925950891&amp;ISCONFIRM=0" TargetMode="External"/><Relationship Id="rId1549" Type="http://schemas.openxmlformats.org/officeDocument/2006/relationships/hyperlink" Target="https://pld.live/RapDetail.aspx?STONELIST=925830645&amp;ISCONFIRM=0" TargetMode="External"/><Relationship Id="rId1963" Type="http://schemas.openxmlformats.org/officeDocument/2006/relationships/hyperlink" Target="https://pld.live/RapDetail.aspx?STONELIST=925910778&amp;ISCONFIRM=0" TargetMode="External"/><Relationship Id="rId4022" Type="http://schemas.openxmlformats.org/officeDocument/2006/relationships/hyperlink" Target="https://pld.live/RapDetail.aspx?STONELIST=926200782&amp;ISCONFIRM=0" TargetMode="External"/><Relationship Id="rId5420" Type="http://schemas.openxmlformats.org/officeDocument/2006/relationships/hyperlink" Target="https://pld.live/RapDetail.aspx?STONELIST=926740836&amp;ISCONFIRM=0" TargetMode="External"/><Relationship Id="rId7178" Type="http://schemas.openxmlformats.org/officeDocument/2006/relationships/hyperlink" Target="https://pld.live/RapDetail.aspx?STONELIST=924950028&amp;ISCONFIRM=0" TargetMode="External"/><Relationship Id="rId1616" Type="http://schemas.openxmlformats.org/officeDocument/2006/relationships/hyperlink" Target="https://pld.live/RapDetail.aspx?STONELIST=926941116&amp;ISCONFIRM=0" TargetMode="External"/><Relationship Id="rId7592" Type="http://schemas.openxmlformats.org/officeDocument/2006/relationships/hyperlink" Target="https://pld.live/RapDetail.aspx?STONELIST=925770993&amp;ISCONFIRM=0" TargetMode="External"/><Relationship Id="rId8229" Type="http://schemas.openxmlformats.org/officeDocument/2006/relationships/hyperlink" Target="https://pld.live/RapDetail.aspx?STONELIST=926071814&amp;ISCONFIRM=0" TargetMode="External"/><Relationship Id="rId3788" Type="http://schemas.openxmlformats.org/officeDocument/2006/relationships/hyperlink" Target="https://pld.live/RapDetail.aspx?STONELIST=941120573&amp;ISCONFIRM=0" TargetMode="External"/><Relationship Id="rId4839" Type="http://schemas.openxmlformats.org/officeDocument/2006/relationships/hyperlink" Target="https://pld.live/RapDetail.aspx?STONELIST=925971252&amp;ISCONFIRM=0" TargetMode="External"/><Relationship Id="rId6194" Type="http://schemas.openxmlformats.org/officeDocument/2006/relationships/hyperlink" Target="https://pld.live/RapDetail.aspx?STONELIST=821114735&amp;ISCONFIRM=0" TargetMode="External"/><Relationship Id="rId7245" Type="http://schemas.openxmlformats.org/officeDocument/2006/relationships/hyperlink" Target="https://pld.live/RapDetail.aspx?STONELIST=941090680&amp;ISCONFIRM=0" TargetMode="External"/><Relationship Id="rId3855" Type="http://schemas.openxmlformats.org/officeDocument/2006/relationships/hyperlink" Target="https://pld.live/RapDetail.aspx?STONELIST=925851007&amp;ISCONFIRM=0" TargetMode="External"/><Relationship Id="rId6261" Type="http://schemas.openxmlformats.org/officeDocument/2006/relationships/hyperlink" Target="https://pld.live/RapDetail.aspx?STONELIST=941060562&amp;ISCONFIRM=0" TargetMode="External"/><Relationship Id="rId7312" Type="http://schemas.openxmlformats.org/officeDocument/2006/relationships/hyperlink" Target="https://pld.live/RapDetail.aspx?STONELIST=927010836&amp;ISCONFIRM=0" TargetMode="External"/><Relationship Id="rId776" Type="http://schemas.openxmlformats.org/officeDocument/2006/relationships/hyperlink" Target="https://pld.live/RapDetail.aspx?STONELIST=925971134&amp;ISCONFIRM=0" TargetMode="External"/><Relationship Id="rId2457" Type="http://schemas.openxmlformats.org/officeDocument/2006/relationships/hyperlink" Target="https://pld.live/RapDetail.aspx?STONELIST=926261314&amp;ISCONFIRM=0" TargetMode="External"/><Relationship Id="rId3508" Type="http://schemas.openxmlformats.org/officeDocument/2006/relationships/hyperlink" Target="https://pld.live/RapDetail.aspx?STONELIST=926210564&amp;ISCONFIRM=0" TargetMode="External"/><Relationship Id="rId4906" Type="http://schemas.openxmlformats.org/officeDocument/2006/relationships/hyperlink" Target="https://pld.live/RapDetail.aspx?STONELIST=925230070&amp;ISCONFIRM=0" TargetMode="External"/><Relationship Id="rId429" Type="http://schemas.openxmlformats.org/officeDocument/2006/relationships/hyperlink" Target="https://pld.live/RapDetail.aspx?STONELIST=924700082&amp;ISCONFIRM=0" TargetMode="External"/><Relationship Id="rId1059" Type="http://schemas.openxmlformats.org/officeDocument/2006/relationships/hyperlink" Target="https://pld.live/RapDetail.aspx?STONELIST=926831132&amp;ISCONFIRM=0" TargetMode="External"/><Relationship Id="rId1473" Type="http://schemas.openxmlformats.org/officeDocument/2006/relationships/hyperlink" Target="https://pld.live/RapDetail.aspx?STONELIST=926221196&amp;ISCONFIRM=0" TargetMode="External"/><Relationship Id="rId2871" Type="http://schemas.openxmlformats.org/officeDocument/2006/relationships/hyperlink" Target="https://pld.live/RapDetail.aspx?STONELIST=926200994&amp;ISCONFIRM=0" TargetMode="External"/><Relationship Id="rId3922" Type="http://schemas.openxmlformats.org/officeDocument/2006/relationships/hyperlink" Target="https://pld.live/RapDetail.aspx?STONELIST=925501731&amp;ISCONFIRM=0" TargetMode="External"/><Relationship Id="rId8086" Type="http://schemas.openxmlformats.org/officeDocument/2006/relationships/hyperlink" Target="https://pld.live/RapDetail.aspx?STONELIST=926740427&amp;ISCONFIRM=0" TargetMode="External"/><Relationship Id="rId843" Type="http://schemas.openxmlformats.org/officeDocument/2006/relationships/hyperlink" Target="https://pld.live/RapDetail.aspx?STONELIST=821127456&amp;ISCONFIRM=0" TargetMode="External"/><Relationship Id="rId1126" Type="http://schemas.openxmlformats.org/officeDocument/2006/relationships/hyperlink" Target="https://pld.live/RapDetail.aspx?STONELIST=926831075&amp;ISCONFIRM=0" TargetMode="External"/><Relationship Id="rId2524" Type="http://schemas.openxmlformats.org/officeDocument/2006/relationships/hyperlink" Target="https://pld.live/RapDetail.aspx?STONELIST=920661348&amp;ISCONFIRM=0" TargetMode="External"/><Relationship Id="rId8153" Type="http://schemas.openxmlformats.org/officeDocument/2006/relationships/hyperlink" Target="https://pld.live/RapDetail.aspx?STONELIST=927140436&amp;ISCONFIRM=0" TargetMode="External"/><Relationship Id="rId910" Type="http://schemas.openxmlformats.org/officeDocument/2006/relationships/hyperlink" Target="https://pld.live/RapDetail.aspx?STONELIST=821127414&amp;ISCONFIRM=0" TargetMode="External"/><Relationship Id="rId1540" Type="http://schemas.openxmlformats.org/officeDocument/2006/relationships/hyperlink" Target="https://pld.live/RapDetail.aspx?STONELIST=926331758&amp;ISCONFIRM=0" TargetMode="External"/><Relationship Id="rId4696" Type="http://schemas.openxmlformats.org/officeDocument/2006/relationships/hyperlink" Target="https://pld.live/RapDetail.aspx?STONELIST=941230267&amp;ISCONFIRM=0" TargetMode="External"/><Relationship Id="rId5747" Type="http://schemas.openxmlformats.org/officeDocument/2006/relationships/hyperlink" Target="https://pld.live/RapDetail.aspx?STONELIST=941400179&amp;ISCONFIRM=0" TargetMode="External"/><Relationship Id="rId3298" Type="http://schemas.openxmlformats.org/officeDocument/2006/relationships/hyperlink" Target="https://pld.live/RapDetail.aspx?STONELIST=926050298&amp;ISCONFIRM=0" TargetMode="External"/><Relationship Id="rId4349" Type="http://schemas.openxmlformats.org/officeDocument/2006/relationships/hyperlink" Target="https://pld.live/RapDetail.aspx?STONELIST=926071521&amp;ISCONFIRM=0" TargetMode="External"/><Relationship Id="rId4763" Type="http://schemas.openxmlformats.org/officeDocument/2006/relationships/hyperlink" Target="https://pld.live/RapDetail.aspx?STONELIST=922130044&amp;ISCONFIRM=0" TargetMode="External"/><Relationship Id="rId5814" Type="http://schemas.openxmlformats.org/officeDocument/2006/relationships/hyperlink" Target="https://pld.live/RapDetail.aspx?STONELIST=926050400&amp;ISCONFIRM=0" TargetMode="External"/><Relationship Id="rId8220" Type="http://schemas.openxmlformats.org/officeDocument/2006/relationships/hyperlink" Target="https://pld.live/RapDetail.aspx?STONELIST=925731642&amp;ISCONFIRM=0" TargetMode="External"/><Relationship Id="rId3365" Type="http://schemas.openxmlformats.org/officeDocument/2006/relationships/hyperlink" Target="https://pld.live/RapDetail.aspx?STONELIST=925981281&amp;ISCONFIRM=0" TargetMode="External"/><Relationship Id="rId4416" Type="http://schemas.openxmlformats.org/officeDocument/2006/relationships/hyperlink" Target="https://pld.live/RapDetail.aspx?STONELIST=925721984&amp;ISCONFIRM=0" TargetMode="External"/><Relationship Id="rId4830" Type="http://schemas.openxmlformats.org/officeDocument/2006/relationships/hyperlink" Target="https://pld.live/RapDetail.aspx?STONELIST=925770920&amp;ISCONFIRM=0" TargetMode="External"/><Relationship Id="rId7986" Type="http://schemas.openxmlformats.org/officeDocument/2006/relationships/hyperlink" Target="https://pld.live/RapDetail.aspx?STONELIST=927152026&amp;ISCONFIRM=0" TargetMode="External"/><Relationship Id="rId286" Type="http://schemas.openxmlformats.org/officeDocument/2006/relationships/hyperlink" Target="https://pld.live/RapDetail.aspx?STONELIST=831020277&amp;ISCONFIRM=0" TargetMode="External"/><Relationship Id="rId2381" Type="http://schemas.openxmlformats.org/officeDocument/2006/relationships/hyperlink" Target="https://pld.live/RapDetail.aspx?STONELIST=926190929&amp;ISCONFIRM=0" TargetMode="External"/><Relationship Id="rId3018" Type="http://schemas.openxmlformats.org/officeDocument/2006/relationships/hyperlink" Target="https://pld.live/RapDetail.aspx?STONELIST=925830755&amp;ISCONFIRM=0" TargetMode="External"/><Relationship Id="rId3432" Type="http://schemas.openxmlformats.org/officeDocument/2006/relationships/hyperlink" Target="https://pld.live/RapDetail.aspx?STONELIST=831010129&amp;ISCONFIRM=0" TargetMode="External"/><Relationship Id="rId6588" Type="http://schemas.openxmlformats.org/officeDocument/2006/relationships/hyperlink" Target="https://pld.live/RapDetail.aspx?STONELIST=926101464&amp;ISCONFIRM=0" TargetMode="External"/><Relationship Id="rId7639" Type="http://schemas.openxmlformats.org/officeDocument/2006/relationships/hyperlink" Target="https://pld.live/RapDetail.aspx?STONELIST=926310955&amp;ISCONFIRM=0" TargetMode="External"/><Relationship Id="rId353" Type="http://schemas.openxmlformats.org/officeDocument/2006/relationships/hyperlink" Target="https://pld.live/RapDetail.aspx?STONELIST=941400363&amp;ISCONFIRM=0" TargetMode="External"/><Relationship Id="rId2034" Type="http://schemas.openxmlformats.org/officeDocument/2006/relationships/hyperlink" Target="https://pld.live/RapDetail.aspx?STONELIST=926261143&amp;ISCONFIRM=0" TargetMode="External"/><Relationship Id="rId420" Type="http://schemas.openxmlformats.org/officeDocument/2006/relationships/hyperlink" Target="https://pld.live/RapDetail.aspx?STONELIST=925961061&amp;ISCONFIRM=0" TargetMode="External"/><Relationship Id="rId1050" Type="http://schemas.openxmlformats.org/officeDocument/2006/relationships/hyperlink" Target="https://pld.live/RapDetail.aspx?STONELIST=926810906&amp;ISCONFIRM=0" TargetMode="External"/><Relationship Id="rId2101" Type="http://schemas.openxmlformats.org/officeDocument/2006/relationships/hyperlink" Target="https://pld.live/RapDetail.aspx?STONELIST=924130022&amp;ISCONFIRM=0" TargetMode="External"/><Relationship Id="rId5257" Type="http://schemas.openxmlformats.org/officeDocument/2006/relationships/hyperlink" Target="https://pld.live/RapDetail.aspx?STONELIST=925940390&amp;ISCONFIRM=0" TargetMode="External"/><Relationship Id="rId6655" Type="http://schemas.openxmlformats.org/officeDocument/2006/relationships/hyperlink" Target="https://pld.live/RapDetail.aspx?STONELIST=925030283&amp;ISCONFIRM=0" TargetMode="External"/><Relationship Id="rId7706" Type="http://schemas.openxmlformats.org/officeDocument/2006/relationships/hyperlink" Target="https://pld.live/RapDetail.aspx?STONELIST=941270776&amp;ISCONFIRM=0" TargetMode="External"/><Relationship Id="rId5671" Type="http://schemas.openxmlformats.org/officeDocument/2006/relationships/hyperlink" Target="https://pld.live/RapDetail.aspx?STONELIST=924520183&amp;ISCONFIRM=0" TargetMode="External"/><Relationship Id="rId6308" Type="http://schemas.openxmlformats.org/officeDocument/2006/relationships/hyperlink" Target="https://pld.live/RapDetail.aspx?STONELIST=926170793&amp;ISCONFIRM=0" TargetMode="External"/><Relationship Id="rId6722" Type="http://schemas.openxmlformats.org/officeDocument/2006/relationships/hyperlink" Target="https://pld.live/RapDetail.aspx?STONELIST=927102478&amp;ISCONFIRM=0" TargetMode="External"/><Relationship Id="rId1867" Type="http://schemas.openxmlformats.org/officeDocument/2006/relationships/hyperlink" Target="https://pld.live/RapDetail.aspx?STONELIST=925200015&amp;ISCONFIRM=0" TargetMode="External"/><Relationship Id="rId2918" Type="http://schemas.openxmlformats.org/officeDocument/2006/relationships/hyperlink" Target="https://pld.live/RapDetail.aspx?STONELIST=925760261&amp;ISCONFIRM=0" TargetMode="External"/><Relationship Id="rId4273" Type="http://schemas.openxmlformats.org/officeDocument/2006/relationships/hyperlink" Target="https://pld.live/RapDetail.aspx?STONELIST=926291346&amp;ISCONFIRM=0" TargetMode="External"/><Relationship Id="rId5324" Type="http://schemas.openxmlformats.org/officeDocument/2006/relationships/hyperlink" Target="https://pld.live/RapDetail.aspx?STONELIST=926311107&amp;ISCONFIRM=0" TargetMode="External"/><Relationship Id="rId1934" Type="http://schemas.openxmlformats.org/officeDocument/2006/relationships/hyperlink" Target="https://pld.live/RapDetail.aspx?STONELIST=926801236&amp;ISCONFIRM=0" TargetMode="External"/><Relationship Id="rId4340" Type="http://schemas.openxmlformats.org/officeDocument/2006/relationships/hyperlink" Target="https://pld.live/RapDetail.aspx?STONELIST=927040776&amp;ISCONFIRM=0" TargetMode="External"/><Relationship Id="rId7496" Type="http://schemas.openxmlformats.org/officeDocument/2006/relationships/hyperlink" Target="https://pld.live/RapDetail.aspx?STONELIST=924700201&amp;ISCONFIRM=0" TargetMode="External"/><Relationship Id="rId6098" Type="http://schemas.openxmlformats.org/officeDocument/2006/relationships/hyperlink" Target="https://pld.live/RapDetail.aspx?STONELIST=926470453&amp;ISCONFIRM=0" TargetMode="External"/><Relationship Id="rId7149" Type="http://schemas.openxmlformats.org/officeDocument/2006/relationships/hyperlink" Target="https://pld.live/RapDetail.aspx?STONELIST=926410391&amp;ISCONFIRM=0" TargetMode="External"/><Relationship Id="rId7563" Type="http://schemas.openxmlformats.org/officeDocument/2006/relationships/hyperlink" Target="https://pld.live/RapDetail.aspx?STONELIST=926100899&amp;ISCONFIRM=0" TargetMode="External"/><Relationship Id="rId6165" Type="http://schemas.openxmlformats.org/officeDocument/2006/relationships/hyperlink" Target="https://pld.live/RapDetail.aspx?STONELIST=941180101&amp;ISCONFIRM=0" TargetMode="External"/><Relationship Id="rId7216" Type="http://schemas.openxmlformats.org/officeDocument/2006/relationships/hyperlink" Target="https://pld.live/RapDetail.aspx?STONELIST=821113011&amp;ISCONFIRM=0" TargetMode="External"/><Relationship Id="rId3759" Type="http://schemas.openxmlformats.org/officeDocument/2006/relationships/hyperlink" Target="https://pld.live/RapDetail.aspx?STONELIST=925680179&amp;ISCONFIRM=0" TargetMode="External"/><Relationship Id="rId5181" Type="http://schemas.openxmlformats.org/officeDocument/2006/relationships/hyperlink" Target="https://pld.live/RapDetail.aspx?STONELIST=925500575&amp;ISCONFIRM=0" TargetMode="External"/><Relationship Id="rId6232" Type="http://schemas.openxmlformats.org/officeDocument/2006/relationships/hyperlink" Target="https://pld.live/RapDetail.aspx?STONELIST=941250060&amp;ISCONFIRM=0" TargetMode="External"/><Relationship Id="rId7630" Type="http://schemas.openxmlformats.org/officeDocument/2006/relationships/hyperlink" Target="https://pld.live/RapDetail.aspx?STONELIST=926311327&amp;ISCONFIRM=0" TargetMode="External"/><Relationship Id="rId2775" Type="http://schemas.openxmlformats.org/officeDocument/2006/relationships/hyperlink" Target="https://pld.live/RapDetail.aspx?STONELIST=925010042&amp;ISCONFIRM=0" TargetMode="External"/><Relationship Id="rId3826" Type="http://schemas.openxmlformats.org/officeDocument/2006/relationships/hyperlink" Target="https://pld.live/RapDetail.aspx?STONELIST=927070135&amp;ISCONFIRM=0" TargetMode="External"/><Relationship Id="rId747" Type="http://schemas.openxmlformats.org/officeDocument/2006/relationships/hyperlink" Target="https://pld.live/RapDetail.aspx?STONELIST=821127488&amp;ISCONFIRM=0" TargetMode="External"/><Relationship Id="rId1377" Type="http://schemas.openxmlformats.org/officeDocument/2006/relationships/hyperlink" Target="https://pld.live/RapDetail.aspx?STONELIST=926250659&amp;ISCONFIRM=0" TargetMode="External"/><Relationship Id="rId1791" Type="http://schemas.openxmlformats.org/officeDocument/2006/relationships/hyperlink" Target="https://pld.live/RapDetail.aspx?STONELIST=941230207&amp;ISCONFIRM=0" TargetMode="External"/><Relationship Id="rId2428" Type="http://schemas.openxmlformats.org/officeDocument/2006/relationships/hyperlink" Target="https://pld.live/RapDetail.aspx?STONELIST=926231073&amp;ISCONFIRM=0" TargetMode="External"/><Relationship Id="rId2842" Type="http://schemas.openxmlformats.org/officeDocument/2006/relationships/hyperlink" Target="https://pld.live/RapDetail.aspx?STONELIST=831010259&amp;ISCONFIRM=0" TargetMode="External"/><Relationship Id="rId5998" Type="http://schemas.openxmlformats.org/officeDocument/2006/relationships/hyperlink" Target="https://pld.live/RapDetail.aspx?STONELIST=926270858&amp;ISCONFIRM=0" TargetMode="External"/><Relationship Id="rId83" Type="http://schemas.openxmlformats.org/officeDocument/2006/relationships/hyperlink" Target="https://pld.live/RapDetail.aspx?STONELIST=926420306&amp;ISCONFIRM=0" TargetMode="External"/><Relationship Id="rId814" Type="http://schemas.openxmlformats.org/officeDocument/2006/relationships/hyperlink" Target="https://pld.live/RapDetail.aspx?STONELIST=926071339&amp;ISCONFIRM=0" TargetMode="External"/><Relationship Id="rId1444" Type="http://schemas.openxmlformats.org/officeDocument/2006/relationships/hyperlink" Target="https://pld.live/RapDetail.aspx?STONELIST=925791212&amp;ISCONFIRM=0" TargetMode="External"/><Relationship Id="rId8057" Type="http://schemas.openxmlformats.org/officeDocument/2006/relationships/hyperlink" Target="https://pld.live/RapDetail.aspx?STONELIST=926100887&amp;ISCONFIRM=0" TargetMode="External"/><Relationship Id="rId1511" Type="http://schemas.openxmlformats.org/officeDocument/2006/relationships/hyperlink" Target="https://pld.live/RapDetail.aspx?STONELIST=925800660&amp;ISCONFIRM=0" TargetMode="External"/><Relationship Id="rId4667" Type="http://schemas.openxmlformats.org/officeDocument/2006/relationships/hyperlink" Target="https://pld.live/RapDetail.aspx?STONELIST=926780101&amp;ISCONFIRM=0" TargetMode="External"/><Relationship Id="rId5718" Type="http://schemas.openxmlformats.org/officeDocument/2006/relationships/hyperlink" Target="https://pld.live/RapDetail.aspx?STONELIST=926180562&amp;ISCONFIRM=0" TargetMode="External"/><Relationship Id="rId7073" Type="http://schemas.openxmlformats.org/officeDocument/2006/relationships/hyperlink" Target="https://pld.live/RapDetail.aspx?STONELIST=831010778&amp;ISCONFIRM=0" TargetMode="External"/><Relationship Id="rId8124" Type="http://schemas.openxmlformats.org/officeDocument/2006/relationships/hyperlink" Target="https://pld.live/RapDetail.aspx?STONELIST=925621909&amp;ISCONFIRM=0" TargetMode="External"/><Relationship Id="rId3269" Type="http://schemas.openxmlformats.org/officeDocument/2006/relationships/hyperlink" Target="https://pld.live/RapDetail.aspx?STONELIST=941270803&amp;ISCONFIRM=0" TargetMode="External"/><Relationship Id="rId3683" Type="http://schemas.openxmlformats.org/officeDocument/2006/relationships/hyperlink" Target="https://pld.live/RapDetail.aspx?STONELIST=925820255&amp;ISCONFIRM=0" TargetMode="External"/><Relationship Id="rId7140" Type="http://schemas.openxmlformats.org/officeDocument/2006/relationships/hyperlink" Target="https://pld.live/RapDetail.aspx?STONELIST=926410459&amp;ISCONFIRM=0" TargetMode="External"/><Relationship Id="rId2285" Type="http://schemas.openxmlformats.org/officeDocument/2006/relationships/hyperlink" Target="https://pld.live/RapDetail.aspx?STONELIST=926261473&amp;ISCONFIRM=0" TargetMode="External"/><Relationship Id="rId3336" Type="http://schemas.openxmlformats.org/officeDocument/2006/relationships/hyperlink" Target="https://pld.live/RapDetail.aspx?STONELIST=923510618&amp;ISCONFIRM=0" TargetMode="External"/><Relationship Id="rId4734" Type="http://schemas.openxmlformats.org/officeDocument/2006/relationships/hyperlink" Target="https://pld.live/RapDetail.aspx?STONELIST=941060129&amp;ISCONFIRM=0" TargetMode="External"/><Relationship Id="rId257" Type="http://schemas.openxmlformats.org/officeDocument/2006/relationships/hyperlink" Target="https://pld.live/RapDetail.aspx?STONELIST=925000125&amp;ISCONFIRM=0" TargetMode="External"/><Relationship Id="rId3750" Type="http://schemas.openxmlformats.org/officeDocument/2006/relationships/hyperlink" Target="https://pld.live/RapDetail.aspx?STONELIST=926060003&amp;ISCONFIRM=0" TargetMode="External"/><Relationship Id="rId4801" Type="http://schemas.openxmlformats.org/officeDocument/2006/relationships/hyperlink" Target="https://pld.live/RapDetail.aspx?STONELIST=926380170&amp;ISCONFIRM=0" TargetMode="External"/><Relationship Id="rId7957" Type="http://schemas.openxmlformats.org/officeDocument/2006/relationships/hyperlink" Target="https://pld.live/RapDetail.aspx?STONELIST=941070401&amp;ISCONFIRM=0" TargetMode="External"/><Relationship Id="rId671" Type="http://schemas.openxmlformats.org/officeDocument/2006/relationships/hyperlink" Target="https://pld.live/RapDetail.aspx?STONELIST=925951085&amp;ISCONFIRM=0" TargetMode="External"/><Relationship Id="rId2352" Type="http://schemas.openxmlformats.org/officeDocument/2006/relationships/hyperlink" Target="https://pld.live/RapDetail.aspx?STONELIST=926240895&amp;ISCONFIRM=0" TargetMode="External"/><Relationship Id="rId3403" Type="http://schemas.openxmlformats.org/officeDocument/2006/relationships/hyperlink" Target="https://pld.live/RapDetail.aspx?STONELIST=926171474&amp;ISCONFIRM=0" TargetMode="External"/><Relationship Id="rId6559" Type="http://schemas.openxmlformats.org/officeDocument/2006/relationships/hyperlink" Target="https://pld.live/RapDetail.aspx?STONELIST=926820071&amp;ISCONFIRM=0" TargetMode="External"/><Relationship Id="rId6973" Type="http://schemas.openxmlformats.org/officeDocument/2006/relationships/hyperlink" Target="https://pld.live/RapDetail.aspx?STONELIST=821113845&amp;ISCONFIRM=0" TargetMode="External"/><Relationship Id="rId324" Type="http://schemas.openxmlformats.org/officeDocument/2006/relationships/hyperlink" Target="https://pld.live/RapDetail.aspx?STONELIST=941400231&amp;ISCONFIRM=0" TargetMode="External"/><Relationship Id="rId2005" Type="http://schemas.openxmlformats.org/officeDocument/2006/relationships/hyperlink" Target="https://pld.live/RapDetail.aspx?STONELIST=941270609&amp;ISCONFIRM=0" TargetMode="External"/><Relationship Id="rId5575" Type="http://schemas.openxmlformats.org/officeDocument/2006/relationships/hyperlink" Target="https://pld.live/RapDetail.aspx?STONELIST=924590347&amp;ISCONFIRM=0" TargetMode="External"/><Relationship Id="rId6626" Type="http://schemas.openxmlformats.org/officeDocument/2006/relationships/hyperlink" Target="https://pld.live/RapDetail.aspx?STONELIST=927052694&amp;ISCONFIRM=0" TargetMode="External"/><Relationship Id="rId1021" Type="http://schemas.openxmlformats.org/officeDocument/2006/relationships/hyperlink" Target="https://pld.live/RapDetail.aspx?STONELIST=926810889&amp;ISCONFIRM=0" TargetMode="External"/><Relationship Id="rId4177" Type="http://schemas.openxmlformats.org/officeDocument/2006/relationships/hyperlink" Target="https://pld.live/RapDetail.aspx?STONELIST=926111207&amp;ISCONFIRM=0" TargetMode="External"/><Relationship Id="rId4591" Type="http://schemas.openxmlformats.org/officeDocument/2006/relationships/hyperlink" Target="https://pld.live/RapDetail.aspx?STONELIST=927132351&amp;ISCONFIRM=0" TargetMode="External"/><Relationship Id="rId5228" Type="http://schemas.openxmlformats.org/officeDocument/2006/relationships/hyperlink" Target="https://pld.live/RapDetail.aspx?STONELIST=926450406&amp;ISCONFIRM=0" TargetMode="External"/><Relationship Id="rId5642" Type="http://schemas.openxmlformats.org/officeDocument/2006/relationships/hyperlink" Target="https://pld.live/RapDetail.aspx?STONELIST=926220823&amp;ISCONFIRM=0" TargetMode="External"/><Relationship Id="rId3193" Type="http://schemas.openxmlformats.org/officeDocument/2006/relationships/hyperlink" Target="https://pld.live/RapDetail.aspx?STONELIST=925030426&amp;ISCONFIRM=0" TargetMode="External"/><Relationship Id="rId4244" Type="http://schemas.openxmlformats.org/officeDocument/2006/relationships/hyperlink" Target="https://pld.live/RapDetail.aspx?STONELIST=925721998&amp;ISCONFIRM=0" TargetMode="External"/><Relationship Id="rId1838" Type="http://schemas.openxmlformats.org/officeDocument/2006/relationships/hyperlink" Target="https://pld.live/RapDetail.aspx?STONELIST=821121164&amp;ISCONFIRM=0" TargetMode="External"/><Relationship Id="rId3260" Type="http://schemas.openxmlformats.org/officeDocument/2006/relationships/hyperlink" Target="https://pld.live/RapDetail.aspx?STONELIST=941270804&amp;ISCONFIRM=0" TargetMode="External"/><Relationship Id="rId4311" Type="http://schemas.openxmlformats.org/officeDocument/2006/relationships/hyperlink" Target="https://pld.live/RapDetail.aspx?STONELIST=926310966&amp;ISCONFIRM=0" TargetMode="External"/><Relationship Id="rId7467" Type="http://schemas.openxmlformats.org/officeDocument/2006/relationships/hyperlink" Target="https://pld.live/RapDetail.aspx?STONELIST=925960314&amp;ISCONFIRM=0" TargetMode="External"/><Relationship Id="rId181" Type="http://schemas.openxmlformats.org/officeDocument/2006/relationships/hyperlink" Target="https://pld.live/RapDetail.aspx?STONELIST=927020572&amp;ISCONFIRM=0" TargetMode="External"/><Relationship Id="rId1905" Type="http://schemas.openxmlformats.org/officeDocument/2006/relationships/hyperlink" Target="https://pld.live/RapDetail.aspx?STONELIST=926801298&amp;ISCONFIRM=0" TargetMode="External"/><Relationship Id="rId6069" Type="http://schemas.openxmlformats.org/officeDocument/2006/relationships/hyperlink" Target="https://pld.live/RapDetail.aspx?STONELIST=926820140&amp;ISCONFIRM=0" TargetMode="External"/><Relationship Id="rId7881" Type="http://schemas.openxmlformats.org/officeDocument/2006/relationships/hyperlink" Target="https://pld.live/RapDetail.aspx?STONELIST=941021266&amp;ISCONFIRM=0" TargetMode="External"/><Relationship Id="rId5085" Type="http://schemas.openxmlformats.org/officeDocument/2006/relationships/hyperlink" Target="https://pld.live/RapDetail.aspx?STONELIST=926071479&amp;ISCONFIRM=0" TargetMode="External"/><Relationship Id="rId6483" Type="http://schemas.openxmlformats.org/officeDocument/2006/relationships/hyperlink" Target="https://pld.live/RapDetail.aspx?STONELIST=821115930&amp;ISCONFIRM=0" TargetMode="External"/><Relationship Id="rId7534" Type="http://schemas.openxmlformats.org/officeDocument/2006/relationships/hyperlink" Target="https://pld.live/RapDetail.aspx?STONELIST=925732191&amp;ISCONFIRM=0" TargetMode="External"/><Relationship Id="rId998" Type="http://schemas.openxmlformats.org/officeDocument/2006/relationships/hyperlink" Target="https://pld.live/RapDetail.aspx?STONELIST=927052229&amp;ISCONFIRM=0" TargetMode="External"/><Relationship Id="rId2679" Type="http://schemas.openxmlformats.org/officeDocument/2006/relationships/hyperlink" Target="https://pld.live/RapDetail.aspx?STONELIST=926341225&amp;ISCONFIRM=0" TargetMode="External"/><Relationship Id="rId6136" Type="http://schemas.openxmlformats.org/officeDocument/2006/relationships/hyperlink" Target="https://pld.live/RapDetail.aspx?STONELIST=926010296&amp;ISCONFIRM=0" TargetMode="External"/><Relationship Id="rId6550" Type="http://schemas.openxmlformats.org/officeDocument/2006/relationships/hyperlink" Target="https://pld.live/RapDetail.aspx?STONELIST=926972227&amp;ISCONFIRM=0" TargetMode="External"/><Relationship Id="rId7601" Type="http://schemas.openxmlformats.org/officeDocument/2006/relationships/hyperlink" Target="https://pld.live/RapDetail.aspx?STONELIST=925732294&amp;ISCONFIRM=0" TargetMode="External"/><Relationship Id="rId1695" Type="http://schemas.openxmlformats.org/officeDocument/2006/relationships/hyperlink" Target="https://pld.live/RapDetail.aspx?STONELIST=821125976&amp;ISCONFIRM=0" TargetMode="External"/><Relationship Id="rId2746" Type="http://schemas.openxmlformats.org/officeDocument/2006/relationships/hyperlink" Target="https://pld.live/RapDetail.aspx?STONELIST=923610363&amp;ISCONFIRM=0" TargetMode="External"/><Relationship Id="rId5152" Type="http://schemas.openxmlformats.org/officeDocument/2006/relationships/hyperlink" Target="https://pld.live/RapDetail.aspx?STONELIST=925890481&amp;ISCONFIRM=0" TargetMode="External"/><Relationship Id="rId6203" Type="http://schemas.openxmlformats.org/officeDocument/2006/relationships/hyperlink" Target="https://pld.live/RapDetail.aspx?STONELIST=925570099&amp;ISCONFIRM=0" TargetMode="External"/><Relationship Id="rId718" Type="http://schemas.openxmlformats.org/officeDocument/2006/relationships/hyperlink" Target="https://pld.live/RapDetail.aspx?STONELIST=821127571&amp;ISCONFIRM=0" TargetMode="External"/><Relationship Id="rId1348" Type="http://schemas.openxmlformats.org/officeDocument/2006/relationships/hyperlink" Target="https://pld.live/RapDetail.aspx?STONELIST=926211170&amp;ISCONFIRM=0" TargetMode="External"/><Relationship Id="rId1762" Type="http://schemas.openxmlformats.org/officeDocument/2006/relationships/hyperlink" Target="https://pld.live/RapDetail.aspx?STONELIST=926771212&amp;ISCONFIRM=0" TargetMode="External"/><Relationship Id="rId1415" Type="http://schemas.openxmlformats.org/officeDocument/2006/relationships/hyperlink" Target="https://pld.live/RapDetail.aspx?STONELIST=926311293&amp;ISCONFIRM=0" TargetMode="External"/><Relationship Id="rId2813" Type="http://schemas.openxmlformats.org/officeDocument/2006/relationships/hyperlink" Target="https://pld.live/RapDetail.aspx?STONELIST=925861828&amp;ISCONFIRM=0" TargetMode="External"/><Relationship Id="rId5969" Type="http://schemas.openxmlformats.org/officeDocument/2006/relationships/hyperlink" Target="https://pld.live/RapDetail.aspx?STONELIST=927153010&amp;ISCONFIRM=0" TargetMode="External"/><Relationship Id="rId7391" Type="http://schemas.openxmlformats.org/officeDocument/2006/relationships/hyperlink" Target="https://pld.live/RapDetail.aspx?STONELIST=926380117&amp;ISCONFIRM=0" TargetMode="External"/><Relationship Id="rId8028" Type="http://schemas.openxmlformats.org/officeDocument/2006/relationships/hyperlink" Target="https://pld.live/RapDetail.aspx?STONELIST=925760106&amp;ISCONFIRM=0" TargetMode="External"/><Relationship Id="rId54" Type="http://schemas.openxmlformats.org/officeDocument/2006/relationships/hyperlink" Target="https://pld.live/RapDetail.aspx?STONELIST=925410036&amp;ISCONFIRM=0" TargetMode="External"/><Relationship Id="rId4985" Type="http://schemas.openxmlformats.org/officeDocument/2006/relationships/hyperlink" Target="https://pld.live/RapDetail.aspx?STONELIST=925861245&amp;ISCONFIRM=0" TargetMode="External"/><Relationship Id="rId7044" Type="http://schemas.openxmlformats.org/officeDocument/2006/relationships/hyperlink" Target="https://pld.live/RapDetail.aspx?STONELIST=831020639&amp;ISCONFIRM=0" TargetMode="External"/><Relationship Id="rId2189" Type="http://schemas.openxmlformats.org/officeDocument/2006/relationships/hyperlink" Target="https://pld.live/RapDetail.aspx?STONELIST=920661435&amp;ISCONFIRM=0" TargetMode="External"/><Relationship Id="rId3587" Type="http://schemas.openxmlformats.org/officeDocument/2006/relationships/hyperlink" Target="https://pld.live/RapDetail.aspx?STONELIST=831020690&amp;ISCONFIRM=0" TargetMode="External"/><Relationship Id="rId4638" Type="http://schemas.openxmlformats.org/officeDocument/2006/relationships/hyperlink" Target="https://pld.live/RapDetail.aspx?STONELIST=927132312&amp;ISCONFIRM=0" TargetMode="External"/><Relationship Id="rId6060" Type="http://schemas.openxmlformats.org/officeDocument/2006/relationships/hyperlink" Target="https://pld.live/RapDetail.aspx?STONELIST=941350903&amp;ISCONFIRM=0" TargetMode="External"/><Relationship Id="rId3654" Type="http://schemas.openxmlformats.org/officeDocument/2006/relationships/hyperlink" Target="https://pld.live/RapDetail.aspx?STONELIST=926050307&amp;ISCONFIRM=0" TargetMode="External"/><Relationship Id="rId4705" Type="http://schemas.openxmlformats.org/officeDocument/2006/relationships/hyperlink" Target="https://pld.live/RapDetail.aspx?STONELIST=925610482&amp;ISCONFIRM=0" TargetMode="External"/><Relationship Id="rId7111" Type="http://schemas.openxmlformats.org/officeDocument/2006/relationships/hyperlink" Target="https://pld.live/RapDetail.aspx?STONELIST=941140972&amp;ISCONFIRM=0" TargetMode="External"/><Relationship Id="rId575" Type="http://schemas.openxmlformats.org/officeDocument/2006/relationships/hyperlink" Target="https://pld.live/RapDetail.aspx?STONELIST=831010829&amp;ISCONFIRM=0" TargetMode="External"/><Relationship Id="rId2256" Type="http://schemas.openxmlformats.org/officeDocument/2006/relationships/hyperlink" Target="https://pld.live/RapDetail.aspx?STONELIST=821127914&amp;ISCONFIRM=0" TargetMode="External"/><Relationship Id="rId2670" Type="http://schemas.openxmlformats.org/officeDocument/2006/relationships/hyperlink" Target="https://pld.live/RapDetail.aspx?STONELIST=926081451&amp;ISCONFIRM=0" TargetMode="External"/><Relationship Id="rId3307" Type="http://schemas.openxmlformats.org/officeDocument/2006/relationships/hyperlink" Target="https://pld.live/RapDetail.aspx?STONELIST=926010264&amp;ISCONFIRM=0" TargetMode="External"/><Relationship Id="rId3721" Type="http://schemas.openxmlformats.org/officeDocument/2006/relationships/hyperlink" Target="https://pld.live/RapDetail.aspx?STONELIST=925630467&amp;ISCONFIRM=0" TargetMode="External"/><Relationship Id="rId6877" Type="http://schemas.openxmlformats.org/officeDocument/2006/relationships/hyperlink" Target="https://pld.live/RapDetail.aspx?STONELIST=821113332&amp;ISCONFIRM=0" TargetMode="External"/><Relationship Id="rId7928" Type="http://schemas.openxmlformats.org/officeDocument/2006/relationships/hyperlink" Target="https://pld.live/RapDetail.aspx?STONELIST=926841063&amp;ISCONFIRM=0" TargetMode="External"/><Relationship Id="rId228" Type="http://schemas.openxmlformats.org/officeDocument/2006/relationships/hyperlink" Target="https://pld.live/RapDetail.aspx?STONELIST=941420684&amp;ISCONFIRM=0" TargetMode="External"/><Relationship Id="rId642" Type="http://schemas.openxmlformats.org/officeDocument/2006/relationships/hyperlink" Target="https://pld.live/RapDetail.aspx?STONELIST=924710048&amp;ISCONFIRM=0" TargetMode="External"/><Relationship Id="rId1272" Type="http://schemas.openxmlformats.org/officeDocument/2006/relationships/hyperlink" Target="https://pld.live/RapDetail.aspx?STONELIST=941320607&amp;ISCONFIRM=0" TargetMode="External"/><Relationship Id="rId2323" Type="http://schemas.openxmlformats.org/officeDocument/2006/relationships/hyperlink" Target="https://pld.live/RapDetail.aspx?STONELIST=926261499&amp;ISCONFIRM=0" TargetMode="External"/><Relationship Id="rId5479" Type="http://schemas.openxmlformats.org/officeDocument/2006/relationships/hyperlink" Target="https://pld.live/RapDetail.aspx?STONELIST=926110941&amp;ISCONFIRM=0" TargetMode="External"/><Relationship Id="rId5893" Type="http://schemas.openxmlformats.org/officeDocument/2006/relationships/hyperlink" Target="https://pld.live/RapDetail.aspx?STONELIST=925310399&amp;ISCONFIRM=0" TargetMode="External"/><Relationship Id="rId4495" Type="http://schemas.openxmlformats.org/officeDocument/2006/relationships/hyperlink" Target="https://pld.live/RapDetail.aspx?STONELIST=941351087&amp;ISCONFIRM=0" TargetMode="External"/><Relationship Id="rId5546" Type="http://schemas.openxmlformats.org/officeDocument/2006/relationships/hyperlink" Target="https://pld.live/RapDetail.aspx?STONELIST=924290586&amp;ISCONFIRM=0" TargetMode="External"/><Relationship Id="rId6944" Type="http://schemas.openxmlformats.org/officeDocument/2006/relationships/hyperlink" Target="https://pld.live/RapDetail.aspx?STONELIST=926171299&amp;ISCONFIRM=0" TargetMode="External"/><Relationship Id="rId3097" Type="http://schemas.openxmlformats.org/officeDocument/2006/relationships/hyperlink" Target="https://pld.live/RapDetail.aspx?STONELIST=821128366&amp;ISCONFIRM=0" TargetMode="External"/><Relationship Id="rId4148" Type="http://schemas.openxmlformats.org/officeDocument/2006/relationships/hyperlink" Target="https://pld.live/RapDetail.aspx?STONELIST=926170794&amp;ISCONFIRM=0" TargetMode="External"/><Relationship Id="rId5960" Type="http://schemas.openxmlformats.org/officeDocument/2006/relationships/hyperlink" Target="https://pld.live/RapDetail.aspx?STONELIST=941040747&amp;ISCONFIRM=0" TargetMode="External"/><Relationship Id="rId3164" Type="http://schemas.openxmlformats.org/officeDocument/2006/relationships/hyperlink" Target="https://pld.live/RapDetail.aspx?STONELIST=925210056&amp;ISCONFIRM=0" TargetMode="External"/><Relationship Id="rId4562" Type="http://schemas.openxmlformats.org/officeDocument/2006/relationships/hyperlink" Target="https://pld.live/RapDetail.aspx?STONELIST=927132206&amp;ISCONFIRM=0" TargetMode="External"/><Relationship Id="rId5613" Type="http://schemas.openxmlformats.org/officeDocument/2006/relationships/hyperlink" Target="https://pld.live/RapDetail.aspx?STONELIST=924920415&amp;ISCONFIRM=0" TargetMode="External"/><Relationship Id="rId1809" Type="http://schemas.openxmlformats.org/officeDocument/2006/relationships/hyperlink" Target="https://pld.live/RapDetail.aspx?STONELIST=926320654&amp;ISCONFIRM=0" TargetMode="External"/><Relationship Id="rId4215" Type="http://schemas.openxmlformats.org/officeDocument/2006/relationships/hyperlink" Target="https://pld.live/RapDetail.aspx?STONELIST=926071662&amp;ISCONFIRM=0" TargetMode="External"/><Relationship Id="rId7785" Type="http://schemas.openxmlformats.org/officeDocument/2006/relationships/hyperlink" Target="https://pld.live/RapDetail.aspx?STONELIST=924930054&amp;ISCONFIRM=0" TargetMode="External"/><Relationship Id="rId2180" Type="http://schemas.openxmlformats.org/officeDocument/2006/relationships/hyperlink" Target="https://pld.live/RapDetail.aspx?STONELIST=821127964&amp;ISCONFIRM=0" TargetMode="External"/><Relationship Id="rId3231" Type="http://schemas.openxmlformats.org/officeDocument/2006/relationships/hyperlink" Target="https://pld.live/RapDetail.aspx?STONELIST=925091148&amp;ISCONFIRM=0" TargetMode="External"/><Relationship Id="rId6387" Type="http://schemas.openxmlformats.org/officeDocument/2006/relationships/hyperlink" Target="https://pld.live/RapDetail.aspx?STONELIST=926780062&amp;ISCONFIRM=0" TargetMode="External"/><Relationship Id="rId7438" Type="http://schemas.openxmlformats.org/officeDocument/2006/relationships/hyperlink" Target="https://pld.live/RapDetail.aspx?STONELIST=925981016&amp;ISCONFIRM=0" TargetMode="External"/><Relationship Id="rId7852" Type="http://schemas.openxmlformats.org/officeDocument/2006/relationships/hyperlink" Target="https://pld.live/RapDetail.aspx?STONELIST=924590224&amp;ISCONFIRM=0" TargetMode="External"/><Relationship Id="rId152" Type="http://schemas.openxmlformats.org/officeDocument/2006/relationships/hyperlink" Target="https://pld.live/RapDetail.aspx?STONELIST=926930790&amp;ISCONFIRM=0" TargetMode="External"/><Relationship Id="rId2997" Type="http://schemas.openxmlformats.org/officeDocument/2006/relationships/hyperlink" Target="https://pld.live/RapDetail.aspx?STONELIST=925900570&amp;ISCONFIRM=0" TargetMode="External"/><Relationship Id="rId6454" Type="http://schemas.openxmlformats.org/officeDocument/2006/relationships/hyperlink" Target="https://pld.live/RapDetail.aspx?STONELIST=941080818&amp;ISCONFIRM=0" TargetMode="External"/><Relationship Id="rId7505" Type="http://schemas.openxmlformats.org/officeDocument/2006/relationships/hyperlink" Target="https://pld.live/RapDetail.aspx?STONELIST=925771140&amp;ISCONFIRM=0" TargetMode="External"/><Relationship Id="rId969" Type="http://schemas.openxmlformats.org/officeDocument/2006/relationships/hyperlink" Target="https://pld.live/RapDetail.aspx?STONELIST=941350576&amp;ISCONFIRM=0" TargetMode="External"/><Relationship Id="rId1599" Type="http://schemas.openxmlformats.org/officeDocument/2006/relationships/hyperlink" Target="https://pld.live/RapDetail.aspx?STONELIST=941330269&amp;ISCONFIRM=0" TargetMode="External"/><Relationship Id="rId5056" Type="http://schemas.openxmlformats.org/officeDocument/2006/relationships/hyperlink" Target="https://pld.live/RapDetail.aspx?STONELIST=831010605&amp;ISCONFIRM=0" TargetMode="External"/><Relationship Id="rId5470" Type="http://schemas.openxmlformats.org/officeDocument/2006/relationships/hyperlink" Target="https://pld.live/RapDetail.aspx?STONELIST=926210941&amp;ISCONFIRM=0" TargetMode="External"/><Relationship Id="rId6107" Type="http://schemas.openxmlformats.org/officeDocument/2006/relationships/hyperlink" Target="https://pld.live/RapDetail.aspx?STONELIST=926590062&amp;ISCONFIRM=0" TargetMode="External"/><Relationship Id="rId6521" Type="http://schemas.openxmlformats.org/officeDocument/2006/relationships/hyperlink" Target="https://pld.live/RapDetail.aspx?STONELIST=821128385&amp;ISCONFIRM=0" TargetMode="External"/><Relationship Id="rId4072" Type="http://schemas.openxmlformats.org/officeDocument/2006/relationships/hyperlink" Target="https://pld.live/RapDetail.aspx?STONELIST=925722029&amp;ISCONFIRM=0" TargetMode="External"/><Relationship Id="rId5123" Type="http://schemas.openxmlformats.org/officeDocument/2006/relationships/hyperlink" Target="https://pld.live/RapDetail.aspx?STONELIST=925552007&amp;ISCONFIRM=0" TargetMode="External"/><Relationship Id="rId1666" Type="http://schemas.openxmlformats.org/officeDocument/2006/relationships/hyperlink" Target="https://pld.live/RapDetail.aspx?STONELIST=821126344&amp;ISCONFIRM=0" TargetMode="External"/><Relationship Id="rId2717" Type="http://schemas.openxmlformats.org/officeDocument/2006/relationships/hyperlink" Target="https://pld.live/RapDetail.aspx?STONELIST=831020259&amp;ISCONFIRM=0" TargetMode="External"/><Relationship Id="rId7295" Type="http://schemas.openxmlformats.org/officeDocument/2006/relationships/hyperlink" Target="https://pld.live/RapDetail.aspx?STONELIST=927000646&amp;ISCONFIRM=0" TargetMode="External"/><Relationship Id="rId1319" Type="http://schemas.openxmlformats.org/officeDocument/2006/relationships/hyperlink" Target="https://pld.live/RapDetail.aspx?STONELIST=941280066&amp;ISCONFIRM=0" TargetMode="External"/><Relationship Id="rId1733" Type="http://schemas.openxmlformats.org/officeDocument/2006/relationships/hyperlink" Target="https://pld.live/RapDetail.aspx?STONELIST=941270613&amp;ISCONFIRM=0" TargetMode="External"/><Relationship Id="rId4889" Type="http://schemas.openxmlformats.org/officeDocument/2006/relationships/hyperlink" Target="https://pld.live/RapDetail.aspx?STONELIST=831020720&amp;ISCONFIRM=0" TargetMode="External"/><Relationship Id="rId25" Type="http://schemas.openxmlformats.org/officeDocument/2006/relationships/hyperlink" Target="https://pld.live/RapDetail.aspx?STONELIST=941330531&amp;ISCONFIRM=0" TargetMode="External"/><Relationship Id="rId1800" Type="http://schemas.openxmlformats.org/officeDocument/2006/relationships/hyperlink" Target="https://pld.live/RapDetail.aspx?STONELIST=941330526&amp;ISCONFIRM=0" TargetMode="External"/><Relationship Id="rId4956" Type="http://schemas.openxmlformats.org/officeDocument/2006/relationships/hyperlink" Target="https://pld.live/RapDetail.aspx?STONELIST=925732066&amp;ISCONFIRM=0" TargetMode="External"/><Relationship Id="rId7362" Type="http://schemas.openxmlformats.org/officeDocument/2006/relationships/hyperlink" Target="https://pld.live/RapDetail.aspx?STONELIST=926200990&amp;ISCONFIRM=0" TargetMode="External"/><Relationship Id="rId3558" Type="http://schemas.openxmlformats.org/officeDocument/2006/relationships/hyperlink" Target="https://pld.live/RapDetail.aspx?STONELIST=926360352&amp;ISCONFIRM=0" TargetMode="External"/><Relationship Id="rId3972" Type="http://schemas.openxmlformats.org/officeDocument/2006/relationships/hyperlink" Target="https://pld.live/RapDetail.aspx?STONELIST=925540261&amp;ISCONFIRM=0" TargetMode="External"/><Relationship Id="rId4609" Type="http://schemas.openxmlformats.org/officeDocument/2006/relationships/hyperlink" Target="https://pld.live/RapDetail.aspx?STONELIST=927101353&amp;ISCONFIRM=0" TargetMode="External"/><Relationship Id="rId7015" Type="http://schemas.openxmlformats.org/officeDocument/2006/relationships/hyperlink" Target="https://pld.live/RapDetail.aspx?STONELIST=927140516&amp;ISCONFIRM=0" TargetMode="External"/><Relationship Id="rId479" Type="http://schemas.openxmlformats.org/officeDocument/2006/relationships/hyperlink" Target="https://pld.live/RapDetail.aspx?STONELIST=925621372&amp;ISCONFIRM=0" TargetMode="External"/><Relationship Id="rId893" Type="http://schemas.openxmlformats.org/officeDocument/2006/relationships/hyperlink" Target="https://pld.live/RapDetail.aspx?STONELIST=925861911&amp;ISCONFIRM=0" TargetMode="External"/><Relationship Id="rId2574" Type="http://schemas.openxmlformats.org/officeDocument/2006/relationships/hyperlink" Target="https://pld.live/RapDetail.aspx?STONELIST=920661419&amp;ISCONFIRM=0" TargetMode="External"/><Relationship Id="rId3625" Type="http://schemas.openxmlformats.org/officeDocument/2006/relationships/hyperlink" Target="https://pld.live/RapDetail.aspx?STONELIST=831020634&amp;ISCONFIRM=0" TargetMode="External"/><Relationship Id="rId6031" Type="http://schemas.openxmlformats.org/officeDocument/2006/relationships/hyperlink" Target="https://pld.live/RapDetail.aspx?STONELIST=941170536&amp;ISCONFIRM=0" TargetMode="External"/><Relationship Id="rId546" Type="http://schemas.openxmlformats.org/officeDocument/2006/relationships/hyperlink" Target="https://pld.live/RapDetail.aspx?STONELIST=941160161&amp;ISCONFIRM=0" TargetMode="External"/><Relationship Id="rId1176" Type="http://schemas.openxmlformats.org/officeDocument/2006/relationships/hyperlink" Target="https://pld.live/RapDetail.aspx?STONELIST=941350978&amp;ISCONFIRM=0" TargetMode="External"/><Relationship Id="rId2227" Type="http://schemas.openxmlformats.org/officeDocument/2006/relationships/hyperlink" Target="https://pld.live/RapDetail.aspx?STONELIST=920661238&amp;ISCONFIRM=0" TargetMode="External"/><Relationship Id="rId960" Type="http://schemas.openxmlformats.org/officeDocument/2006/relationships/hyperlink" Target="https://pld.live/RapDetail.aspx?STONELIST=941350377&amp;ISCONFIRM=0" TargetMode="External"/><Relationship Id="rId1243" Type="http://schemas.openxmlformats.org/officeDocument/2006/relationships/hyperlink" Target="https://pld.live/RapDetail.aspx?STONELIST=927100869&amp;ISCONFIRM=0" TargetMode="External"/><Relationship Id="rId1590" Type="http://schemas.openxmlformats.org/officeDocument/2006/relationships/hyperlink" Target="https://pld.live/RapDetail.aspx?STONELIST=941330188&amp;ISCONFIRM=0" TargetMode="External"/><Relationship Id="rId2641" Type="http://schemas.openxmlformats.org/officeDocument/2006/relationships/hyperlink" Target="https://pld.live/RapDetail.aspx?STONELIST=941190424&amp;ISCONFIRM=0" TargetMode="External"/><Relationship Id="rId4399" Type="http://schemas.openxmlformats.org/officeDocument/2006/relationships/hyperlink" Target="https://pld.live/RapDetail.aspx?STONELIST=821113151&amp;ISCONFIRM=0" TargetMode="External"/><Relationship Id="rId5797" Type="http://schemas.openxmlformats.org/officeDocument/2006/relationships/hyperlink" Target="https://pld.live/RapDetail.aspx?STONELIST=926060023&amp;ISCONFIRM=0" TargetMode="External"/><Relationship Id="rId6848" Type="http://schemas.openxmlformats.org/officeDocument/2006/relationships/hyperlink" Target="https://pld.live/RapDetail.aspx?STONELIST=821112597&amp;ISCONFIRM=0" TargetMode="External"/><Relationship Id="rId613" Type="http://schemas.openxmlformats.org/officeDocument/2006/relationships/hyperlink" Target="https://pld.live/RapDetail.aspx?STONELIST=925801834&amp;ISCONFIRM=0" TargetMode="External"/><Relationship Id="rId5864" Type="http://schemas.openxmlformats.org/officeDocument/2006/relationships/hyperlink" Target="https://pld.live/RapDetail.aspx?STONELIST=925981284&amp;ISCONFIRM=0" TargetMode="External"/><Relationship Id="rId6915" Type="http://schemas.openxmlformats.org/officeDocument/2006/relationships/hyperlink" Target="https://pld.live/RapDetail.aspx?STONELIST=821113176&amp;ISCONFIRM=0" TargetMode="External"/><Relationship Id="rId1310" Type="http://schemas.openxmlformats.org/officeDocument/2006/relationships/hyperlink" Target="https://pld.live/RapDetail.aspx?STONELIST=941070974&amp;ISCONFIRM=0" TargetMode="External"/><Relationship Id="rId4466" Type="http://schemas.openxmlformats.org/officeDocument/2006/relationships/hyperlink" Target="https://pld.live/RapDetail.aspx?STONELIST=925290557&amp;ISCONFIRM=0" TargetMode="External"/><Relationship Id="rId4880" Type="http://schemas.openxmlformats.org/officeDocument/2006/relationships/hyperlink" Target="https://pld.live/RapDetail.aspx?STONELIST=925732044&amp;ISCONFIRM=0" TargetMode="External"/><Relationship Id="rId5517" Type="http://schemas.openxmlformats.org/officeDocument/2006/relationships/hyperlink" Target="https://pld.live/RapDetail.aspx?STONELIST=924440177&amp;ISCONFIRM=0" TargetMode="External"/><Relationship Id="rId5931" Type="http://schemas.openxmlformats.org/officeDocument/2006/relationships/hyperlink" Target="https://pld.live/RapDetail.aspx?STONELIST=924610448&amp;ISCONFIRM=0" TargetMode="External"/><Relationship Id="rId3068" Type="http://schemas.openxmlformats.org/officeDocument/2006/relationships/hyperlink" Target="https://pld.live/RapDetail.aspx?STONELIST=925830747&amp;ISCONFIRM=0" TargetMode="External"/><Relationship Id="rId3482" Type="http://schemas.openxmlformats.org/officeDocument/2006/relationships/hyperlink" Target="https://pld.live/RapDetail.aspx?STONELIST=925360423&amp;ISCONFIRM=0" TargetMode="External"/><Relationship Id="rId4119" Type="http://schemas.openxmlformats.org/officeDocument/2006/relationships/hyperlink" Target="https://pld.live/RapDetail.aspx?STONELIST=925140306&amp;ISCONFIRM=0" TargetMode="External"/><Relationship Id="rId4533" Type="http://schemas.openxmlformats.org/officeDocument/2006/relationships/hyperlink" Target="https://pld.live/RapDetail.aspx?STONELIST=926960874&amp;ISCONFIRM=0" TargetMode="External"/><Relationship Id="rId7689" Type="http://schemas.openxmlformats.org/officeDocument/2006/relationships/hyperlink" Target="https://pld.live/RapDetail.aspx?STONELIST=941261104&amp;ISCONFIRM=0" TargetMode="External"/><Relationship Id="rId2084" Type="http://schemas.openxmlformats.org/officeDocument/2006/relationships/hyperlink" Target="https://pld.live/RapDetail.aspx?STONELIST=924040532&amp;ISCONFIRM=0" TargetMode="External"/><Relationship Id="rId3135" Type="http://schemas.openxmlformats.org/officeDocument/2006/relationships/hyperlink" Target="https://pld.live/RapDetail.aspx?STONELIST=925030390&amp;ISCONFIRM=0" TargetMode="External"/><Relationship Id="rId4600" Type="http://schemas.openxmlformats.org/officeDocument/2006/relationships/hyperlink" Target="https://pld.live/RapDetail.aspx?STONELIST=927132220&amp;ISCONFIRM=0" TargetMode="External"/><Relationship Id="rId7756" Type="http://schemas.openxmlformats.org/officeDocument/2006/relationships/hyperlink" Target="https://pld.live/RapDetail.aspx?STONELIST=927000520&amp;ISCONFIRM=0" TargetMode="External"/><Relationship Id="rId470" Type="http://schemas.openxmlformats.org/officeDocument/2006/relationships/hyperlink" Target="https://pld.live/RapDetail.aspx?STONELIST=926100930&amp;ISCONFIRM=0" TargetMode="External"/><Relationship Id="rId2151" Type="http://schemas.openxmlformats.org/officeDocument/2006/relationships/hyperlink" Target="https://pld.live/RapDetail.aspx?STONELIST=925610020&amp;ISCONFIRM=0" TargetMode="External"/><Relationship Id="rId3202" Type="http://schemas.openxmlformats.org/officeDocument/2006/relationships/hyperlink" Target="https://pld.live/RapDetail.aspx?STONELIST=925040434&amp;ISCONFIRM=0" TargetMode="External"/><Relationship Id="rId6358" Type="http://schemas.openxmlformats.org/officeDocument/2006/relationships/hyperlink" Target="https://pld.live/RapDetail.aspx?STONELIST=927040784&amp;ISCONFIRM=0" TargetMode="External"/><Relationship Id="rId7409" Type="http://schemas.openxmlformats.org/officeDocument/2006/relationships/hyperlink" Target="https://pld.live/RapDetail.aspx?STONELIST=925010199&amp;ISCONFIRM=0" TargetMode="External"/><Relationship Id="rId123" Type="http://schemas.openxmlformats.org/officeDocument/2006/relationships/hyperlink" Target="https://pld.live/RapDetail.aspx?STONELIST=941200213&amp;ISCONFIRM=0" TargetMode="External"/><Relationship Id="rId5374" Type="http://schemas.openxmlformats.org/officeDocument/2006/relationships/hyperlink" Target="https://pld.live/RapDetail.aspx?STONELIST=941190162&amp;ISCONFIRM=0" TargetMode="External"/><Relationship Id="rId6772" Type="http://schemas.openxmlformats.org/officeDocument/2006/relationships/hyperlink" Target="https://pld.live/RapDetail.aspx?STONELIST=925410050&amp;ISCONFIRM=0" TargetMode="External"/><Relationship Id="rId7823" Type="http://schemas.openxmlformats.org/officeDocument/2006/relationships/hyperlink" Target="https://pld.live/RapDetail.aspx?STONELIST=925551815&amp;ISCONFIRM=0" TargetMode="External"/><Relationship Id="rId2968" Type="http://schemas.openxmlformats.org/officeDocument/2006/relationships/hyperlink" Target="https://pld.live/RapDetail.aspx?STONELIST=925791428&amp;ISCONFIRM=0" TargetMode="External"/><Relationship Id="rId5027" Type="http://schemas.openxmlformats.org/officeDocument/2006/relationships/hyperlink" Target="https://pld.live/RapDetail.aspx?STONELIST=925950907&amp;ISCONFIRM=0" TargetMode="External"/><Relationship Id="rId6425" Type="http://schemas.openxmlformats.org/officeDocument/2006/relationships/hyperlink" Target="https://pld.live/RapDetail.aspx?STONELIST=926972122&amp;ISCONFIRM=0" TargetMode="External"/><Relationship Id="rId1984" Type="http://schemas.openxmlformats.org/officeDocument/2006/relationships/hyperlink" Target="https://pld.live/RapDetail.aspx?STONELIST=924400020&amp;ISCONFIRM=0" TargetMode="External"/><Relationship Id="rId4390" Type="http://schemas.openxmlformats.org/officeDocument/2006/relationships/hyperlink" Target="https://pld.live/RapDetail.aspx?STONELIST=941190969&amp;ISCONFIRM=0" TargetMode="External"/><Relationship Id="rId5441" Type="http://schemas.openxmlformats.org/officeDocument/2006/relationships/hyperlink" Target="https://pld.live/RapDetail.aspx?STONELIST=941021358&amp;ISCONFIRM=0" TargetMode="External"/><Relationship Id="rId1637" Type="http://schemas.openxmlformats.org/officeDocument/2006/relationships/hyperlink" Target="https://pld.live/RapDetail.aspx?STONELIST=926221262&amp;ISCONFIRM=0" TargetMode="External"/><Relationship Id="rId4043" Type="http://schemas.openxmlformats.org/officeDocument/2006/relationships/hyperlink" Target="https://pld.live/RapDetail.aspx?STONELIST=925732167&amp;ISCONFIRM=0" TargetMode="External"/><Relationship Id="rId7199" Type="http://schemas.openxmlformats.org/officeDocument/2006/relationships/hyperlink" Target="https://pld.live/RapDetail.aspx?STONELIST=941150098&amp;ISCONFIRM=0" TargetMode="External"/><Relationship Id="rId1704" Type="http://schemas.openxmlformats.org/officeDocument/2006/relationships/hyperlink" Target="https://pld.live/RapDetail.aspx?STONELIST=926690921&amp;ISCONFIRM=0" TargetMode="External"/><Relationship Id="rId4110" Type="http://schemas.openxmlformats.org/officeDocument/2006/relationships/hyperlink" Target="https://pld.live/RapDetail.aspx?STONELIST=925450160&amp;ISCONFIRM=0" TargetMode="External"/><Relationship Id="rId7266" Type="http://schemas.openxmlformats.org/officeDocument/2006/relationships/hyperlink" Target="https://pld.live/RapDetail.aspx?STONELIST=941330628&amp;ISCONFIRM=0" TargetMode="External"/><Relationship Id="rId7680" Type="http://schemas.openxmlformats.org/officeDocument/2006/relationships/hyperlink" Target="https://pld.live/RapDetail.aspx?STONELIST=941270793&amp;ISCONFIRM=0" TargetMode="External"/><Relationship Id="rId6282" Type="http://schemas.openxmlformats.org/officeDocument/2006/relationships/hyperlink" Target="https://pld.live/RapDetail.aspx?STONELIST=925930089&amp;ISCONFIRM=0" TargetMode="External"/><Relationship Id="rId7333" Type="http://schemas.openxmlformats.org/officeDocument/2006/relationships/hyperlink" Target="https://pld.live/RapDetail.aspx?STONELIST=927010777&amp;ISCONFIRM=0" TargetMode="External"/><Relationship Id="rId797" Type="http://schemas.openxmlformats.org/officeDocument/2006/relationships/hyperlink" Target="https://pld.live/RapDetail.aspx?STONELIST=821127594&amp;ISCONFIRM=0" TargetMode="External"/><Relationship Id="rId2478" Type="http://schemas.openxmlformats.org/officeDocument/2006/relationships/hyperlink" Target="https://pld.live/RapDetail.aspx?STONELIST=926391338&amp;ISCONFIRM=0" TargetMode="External"/><Relationship Id="rId3876" Type="http://schemas.openxmlformats.org/officeDocument/2006/relationships/hyperlink" Target="https://pld.live/RapDetail.aspx?STONELIST=925540499&amp;ISCONFIRM=0" TargetMode="External"/><Relationship Id="rId4927" Type="http://schemas.openxmlformats.org/officeDocument/2006/relationships/hyperlink" Target="https://pld.live/RapDetail.aspx?STONELIST=926200798&amp;ISCONFIRM=0" TargetMode="External"/><Relationship Id="rId2892" Type="http://schemas.openxmlformats.org/officeDocument/2006/relationships/hyperlink" Target="https://pld.live/RapDetail.aspx?STONELIST=926900704&amp;ISCONFIRM=0" TargetMode="External"/><Relationship Id="rId3529" Type="http://schemas.openxmlformats.org/officeDocument/2006/relationships/hyperlink" Target="https://pld.live/RapDetail.aspx?STONELIST=924970348&amp;ISCONFIRM=0" TargetMode="External"/><Relationship Id="rId3943" Type="http://schemas.openxmlformats.org/officeDocument/2006/relationships/hyperlink" Target="https://pld.live/RapDetail.aspx?STONELIST=925501608&amp;ISCONFIRM=0" TargetMode="External"/><Relationship Id="rId6002" Type="http://schemas.openxmlformats.org/officeDocument/2006/relationships/hyperlink" Target="https://pld.live/RapDetail.aspx?STONELIST=927153002&amp;ISCONFIRM=0" TargetMode="External"/><Relationship Id="rId7400" Type="http://schemas.openxmlformats.org/officeDocument/2006/relationships/hyperlink" Target="https://pld.live/RapDetail.aspx?STONELIST=926050308&amp;ISCONFIRM=0" TargetMode="External"/><Relationship Id="rId864" Type="http://schemas.openxmlformats.org/officeDocument/2006/relationships/hyperlink" Target="https://pld.live/RapDetail.aspx?STONELIST=925981205&amp;ISCONFIRM=0" TargetMode="External"/><Relationship Id="rId1494" Type="http://schemas.openxmlformats.org/officeDocument/2006/relationships/hyperlink" Target="https://pld.live/RapDetail.aspx?STONELIST=925750639&amp;ISCONFIRM=0" TargetMode="External"/><Relationship Id="rId2545" Type="http://schemas.openxmlformats.org/officeDocument/2006/relationships/hyperlink" Target="https://pld.live/RapDetail.aspx?STONELIST=926391137&amp;ISCONFIRM=0" TargetMode="External"/><Relationship Id="rId517" Type="http://schemas.openxmlformats.org/officeDocument/2006/relationships/hyperlink" Target="https://pld.live/RapDetail.aspx?STONELIST=925801682&amp;ISCONFIRM=0" TargetMode="External"/><Relationship Id="rId931" Type="http://schemas.openxmlformats.org/officeDocument/2006/relationships/hyperlink" Target="https://pld.live/RapDetail.aspx?STONELIST=926101646&amp;ISCONFIRM=0" TargetMode="External"/><Relationship Id="rId1147" Type="http://schemas.openxmlformats.org/officeDocument/2006/relationships/hyperlink" Target="https://pld.live/RapDetail.aspx?STONELIST=926831114&amp;ISCONFIRM=0" TargetMode="External"/><Relationship Id="rId1561" Type="http://schemas.openxmlformats.org/officeDocument/2006/relationships/hyperlink" Target="https://pld.live/RapDetail.aspx?STONELIST=926171488&amp;ISCONFIRM=0" TargetMode="External"/><Relationship Id="rId2612" Type="http://schemas.openxmlformats.org/officeDocument/2006/relationships/hyperlink" Target="https://pld.live/RapDetail.aspx?STONELIST=926430730&amp;ISCONFIRM=0" TargetMode="External"/><Relationship Id="rId5768" Type="http://schemas.openxmlformats.org/officeDocument/2006/relationships/hyperlink" Target="https://pld.live/RapDetail.aspx?STONELIST=941261061&amp;ISCONFIRM=0" TargetMode="External"/><Relationship Id="rId6819" Type="http://schemas.openxmlformats.org/officeDocument/2006/relationships/hyperlink" Target="https://pld.live/RapDetail.aspx?STONELIST=821115910&amp;ISCONFIRM=0" TargetMode="External"/><Relationship Id="rId8174" Type="http://schemas.openxmlformats.org/officeDocument/2006/relationships/hyperlink" Target="https://pld.live/RapDetail.aspx?STONELIST=924420302&amp;ISCONFIRM=0" TargetMode="External"/><Relationship Id="rId1214" Type="http://schemas.openxmlformats.org/officeDocument/2006/relationships/hyperlink" Target="https://pld.live/RapDetail.aspx?STONELIST=926211094&amp;ISCONFIRM=0" TargetMode="External"/><Relationship Id="rId4784" Type="http://schemas.openxmlformats.org/officeDocument/2006/relationships/hyperlink" Target="https://pld.live/RapDetail.aspx?STONELIST=924930086&amp;ISCONFIRM=0" TargetMode="External"/><Relationship Id="rId5835" Type="http://schemas.openxmlformats.org/officeDocument/2006/relationships/hyperlink" Target="https://pld.live/RapDetail.aspx?STONELIST=926450569&amp;ISCONFIRM=0" TargetMode="External"/><Relationship Id="rId7190" Type="http://schemas.openxmlformats.org/officeDocument/2006/relationships/hyperlink" Target="https://pld.live/RapDetail.aspx?STONELIST=927070903&amp;ISCONFIRM=0" TargetMode="External"/><Relationship Id="rId8241" Type="http://schemas.openxmlformats.org/officeDocument/2006/relationships/hyperlink" Target="https://pld.live/RapDetail.aspx?STONELIST=925731959&amp;ISCONFIRM=0" TargetMode="External"/><Relationship Id="rId3386" Type="http://schemas.openxmlformats.org/officeDocument/2006/relationships/hyperlink" Target="https://pld.live/RapDetail.aspx?STONELIST=926071606&amp;ISCONFIRM=0" TargetMode="External"/><Relationship Id="rId4437" Type="http://schemas.openxmlformats.org/officeDocument/2006/relationships/hyperlink" Target="https://pld.live/RapDetail.aspx?STONELIST=925450127&amp;ISCONFIRM=0" TargetMode="External"/><Relationship Id="rId3039" Type="http://schemas.openxmlformats.org/officeDocument/2006/relationships/hyperlink" Target="https://pld.live/RapDetail.aspx?STONELIST=926210835&amp;ISCONFIRM=0" TargetMode="External"/><Relationship Id="rId3453" Type="http://schemas.openxmlformats.org/officeDocument/2006/relationships/hyperlink" Target="https://pld.live/RapDetail.aspx?STONELIST=924390436&amp;ISCONFIRM=0" TargetMode="External"/><Relationship Id="rId4851" Type="http://schemas.openxmlformats.org/officeDocument/2006/relationships/hyperlink" Target="https://pld.live/RapDetail.aspx?STONELIST=926200691&amp;ISCONFIRM=0" TargetMode="External"/><Relationship Id="rId5902" Type="http://schemas.openxmlformats.org/officeDocument/2006/relationships/hyperlink" Target="https://pld.live/RapDetail.aspx?STONELIST=926841347&amp;ISCONFIRM=0" TargetMode="External"/><Relationship Id="rId374" Type="http://schemas.openxmlformats.org/officeDocument/2006/relationships/hyperlink" Target="https://pld.live/RapDetail.aspx?STONELIST=925861871&amp;ISCONFIRM=0" TargetMode="External"/><Relationship Id="rId2055" Type="http://schemas.openxmlformats.org/officeDocument/2006/relationships/hyperlink" Target="https://pld.live/RapDetail.aspx?STONELIST=923940153&amp;ISCONFIRM=0" TargetMode="External"/><Relationship Id="rId3106" Type="http://schemas.openxmlformats.org/officeDocument/2006/relationships/hyperlink" Target="https://pld.live/RapDetail.aspx?STONELIST=925150171&amp;ISCONFIRM=0" TargetMode="External"/><Relationship Id="rId4504" Type="http://schemas.openxmlformats.org/officeDocument/2006/relationships/hyperlink" Target="https://pld.live/RapDetail.aspx?STONELIST=927092588&amp;ISCONFIRM=0" TargetMode="External"/><Relationship Id="rId3520" Type="http://schemas.openxmlformats.org/officeDocument/2006/relationships/hyperlink" Target="https://pld.live/RapDetail.aspx?STONELIST=926510284&amp;ISCONFIRM=0" TargetMode="External"/><Relationship Id="rId6676" Type="http://schemas.openxmlformats.org/officeDocument/2006/relationships/hyperlink" Target="https://pld.live/RapDetail.aspx?STONELIST=927092627&amp;ISCONFIRM=0" TargetMode="External"/><Relationship Id="rId7727" Type="http://schemas.openxmlformats.org/officeDocument/2006/relationships/hyperlink" Target="https://pld.live/RapDetail.aspx?STONELIST=924510173&amp;ISCONFIRM=0" TargetMode="External"/><Relationship Id="rId441" Type="http://schemas.openxmlformats.org/officeDocument/2006/relationships/hyperlink" Target="https://pld.live/RapDetail.aspx?STONELIST=926041279&amp;ISCONFIRM=0" TargetMode="External"/><Relationship Id="rId1071" Type="http://schemas.openxmlformats.org/officeDocument/2006/relationships/hyperlink" Target="https://pld.live/RapDetail.aspx?STONELIST=927052086&amp;ISCONFIRM=0" TargetMode="External"/><Relationship Id="rId2122" Type="http://schemas.openxmlformats.org/officeDocument/2006/relationships/hyperlink" Target="https://pld.live/RapDetail.aspx?STONELIST=926171548&amp;ISCONFIRM=0" TargetMode="External"/><Relationship Id="rId5278" Type="http://schemas.openxmlformats.org/officeDocument/2006/relationships/hyperlink" Target="https://pld.live/RapDetail.aspx?STONELIST=924880321&amp;ISCONFIRM=0" TargetMode="External"/><Relationship Id="rId5692" Type="http://schemas.openxmlformats.org/officeDocument/2006/relationships/hyperlink" Target="https://pld.live/RapDetail.aspx?STONELIST=924510245&amp;ISCONFIRM=0" TargetMode="External"/><Relationship Id="rId6329" Type="http://schemas.openxmlformats.org/officeDocument/2006/relationships/hyperlink" Target="https://pld.live/RapDetail.aspx?STONELIST=927010265&amp;ISCONFIRM=0" TargetMode="External"/><Relationship Id="rId6743" Type="http://schemas.openxmlformats.org/officeDocument/2006/relationships/hyperlink" Target="https://pld.live/RapDetail.aspx?STONELIST=941190494&amp;ISCONFIRM=0" TargetMode="External"/><Relationship Id="rId1888" Type="http://schemas.openxmlformats.org/officeDocument/2006/relationships/hyperlink" Target="https://pld.live/RapDetail.aspx?STONELIST=924010417&amp;ISCONFIRM=0" TargetMode="External"/><Relationship Id="rId2939" Type="http://schemas.openxmlformats.org/officeDocument/2006/relationships/hyperlink" Target="https://pld.live/RapDetail.aspx?STONELIST=925760667&amp;ISCONFIRM=0" TargetMode="External"/><Relationship Id="rId4294" Type="http://schemas.openxmlformats.org/officeDocument/2006/relationships/hyperlink" Target="https://pld.live/RapDetail.aspx?STONELIST=941021588&amp;ISCONFIRM=0" TargetMode="External"/><Relationship Id="rId5345" Type="http://schemas.openxmlformats.org/officeDocument/2006/relationships/hyperlink" Target="https://pld.live/RapDetail.aspx?STONELIST=941020753&amp;ISCONFIRM=0" TargetMode="External"/><Relationship Id="rId6810" Type="http://schemas.openxmlformats.org/officeDocument/2006/relationships/hyperlink" Target="https://pld.live/RapDetail.aspx?STONELIST=921660044&amp;ISCONFIRM=0" TargetMode="External"/><Relationship Id="rId4361" Type="http://schemas.openxmlformats.org/officeDocument/2006/relationships/hyperlink" Target="https://pld.live/RapDetail.aspx?STONELIST=927030787&amp;ISCONFIRM=0" TargetMode="External"/><Relationship Id="rId5412" Type="http://schemas.openxmlformats.org/officeDocument/2006/relationships/hyperlink" Target="https://pld.live/RapDetail.aspx?STONELIST=926310856&amp;ISCONFIRM=0" TargetMode="External"/><Relationship Id="rId1955" Type="http://schemas.openxmlformats.org/officeDocument/2006/relationships/hyperlink" Target="https://pld.live/RapDetail.aspx?STONELIST=941230064&amp;ISCONFIRM=0" TargetMode="External"/><Relationship Id="rId4014" Type="http://schemas.openxmlformats.org/officeDocument/2006/relationships/hyperlink" Target="https://pld.live/RapDetail.aspx?STONELIST=925961120&amp;ISCONFIRM=0" TargetMode="External"/><Relationship Id="rId7584" Type="http://schemas.openxmlformats.org/officeDocument/2006/relationships/hyperlink" Target="https://pld.live/RapDetail.aspx?STONELIST=925732017&amp;ISCONFIRM=0" TargetMode="External"/><Relationship Id="rId1608" Type="http://schemas.openxmlformats.org/officeDocument/2006/relationships/hyperlink" Target="https://pld.live/RapDetail.aspx?STONELIST=926941141&amp;ISCONFIRM=0" TargetMode="External"/><Relationship Id="rId3030" Type="http://schemas.openxmlformats.org/officeDocument/2006/relationships/hyperlink" Target="https://pld.live/RapDetail.aspx?STONELIST=925760713&amp;ISCONFIRM=0" TargetMode="External"/><Relationship Id="rId6186" Type="http://schemas.openxmlformats.org/officeDocument/2006/relationships/hyperlink" Target="https://pld.live/RapDetail.aspx?STONELIST=927020666&amp;ISCONFIRM=0" TargetMode="External"/><Relationship Id="rId7237" Type="http://schemas.openxmlformats.org/officeDocument/2006/relationships/hyperlink" Target="https://pld.live/RapDetail.aspx?STONELIST=927000647&amp;ISCONFIRM=0" TargetMode="External"/><Relationship Id="rId7651" Type="http://schemas.openxmlformats.org/officeDocument/2006/relationships/hyperlink" Target="https://pld.live/RapDetail.aspx?STONELIST=924900235&amp;ISCONFIRM=0" TargetMode="External"/><Relationship Id="rId2796" Type="http://schemas.openxmlformats.org/officeDocument/2006/relationships/hyperlink" Target="https://pld.live/RapDetail.aspx?STONELIST=925732041&amp;ISCONFIRM=0" TargetMode="External"/><Relationship Id="rId3847" Type="http://schemas.openxmlformats.org/officeDocument/2006/relationships/hyperlink" Target="https://pld.live/RapDetail.aspx?STONELIST=926020685&amp;ISCONFIRM=0" TargetMode="External"/><Relationship Id="rId6253" Type="http://schemas.openxmlformats.org/officeDocument/2006/relationships/hyperlink" Target="https://pld.live/RapDetail.aspx?STONELIST=821133311&amp;ISCONFIRM=0" TargetMode="External"/><Relationship Id="rId7304" Type="http://schemas.openxmlformats.org/officeDocument/2006/relationships/hyperlink" Target="https://pld.live/RapDetail.aspx?STONELIST=927140423&amp;ISCONFIRM=0" TargetMode="External"/><Relationship Id="rId768" Type="http://schemas.openxmlformats.org/officeDocument/2006/relationships/hyperlink" Target="https://pld.live/RapDetail.aspx?STONELIST=926101596&amp;ISCONFIRM=0" TargetMode="External"/><Relationship Id="rId1398" Type="http://schemas.openxmlformats.org/officeDocument/2006/relationships/hyperlink" Target="https://pld.live/RapDetail.aspx?STONELIST=925790576&amp;ISCONFIRM=0" TargetMode="External"/><Relationship Id="rId2449" Type="http://schemas.openxmlformats.org/officeDocument/2006/relationships/hyperlink" Target="https://pld.live/RapDetail.aspx?STONELIST=926391283&amp;ISCONFIRM=0" TargetMode="External"/><Relationship Id="rId2863" Type="http://schemas.openxmlformats.org/officeDocument/2006/relationships/hyperlink" Target="https://pld.live/RapDetail.aspx?STONELIST=831010340&amp;ISCONFIRM=0" TargetMode="External"/><Relationship Id="rId3914" Type="http://schemas.openxmlformats.org/officeDocument/2006/relationships/hyperlink" Target="https://pld.live/RapDetail.aspx?STONELIST=821124335&amp;ISCONFIRM=0" TargetMode="External"/><Relationship Id="rId6320" Type="http://schemas.openxmlformats.org/officeDocument/2006/relationships/hyperlink" Target="https://pld.live/RapDetail.aspx?STONELIST=927010816&amp;ISCONFIRM=0" TargetMode="External"/><Relationship Id="rId835" Type="http://schemas.openxmlformats.org/officeDocument/2006/relationships/hyperlink" Target="https://pld.live/RapDetail.aspx?STONELIST=925140173&amp;ISCONFIRM=0" TargetMode="External"/><Relationship Id="rId1465" Type="http://schemas.openxmlformats.org/officeDocument/2006/relationships/hyperlink" Target="https://pld.live/RapDetail.aspx?STONELIST=926221287&amp;ISCONFIRM=0" TargetMode="External"/><Relationship Id="rId2516" Type="http://schemas.openxmlformats.org/officeDocument/2006/relationships/hyperlink" Target="https://pld.live/RapDetail.aspx?STONELIST=926261315&amp;ISCONFIRM=0" TargetMode="External"/><Relationship Id="rId8078" Type="http://schemas.openxmlformats.org/officeDocument/2006/relationships/hyperlink" Target="https://pld.live/RapDetail.aspx?STONELIST=926070307&amp;ISCONFIRM=0" TargetMode="External"/><Relationship Id="rId1118" Type="http://schemas.openxmlformats.org/officeDocument/2006/relationships/hyperlink" Target="https://pld.live/RapDetail.aspx?STONELIST=926831091&amp;ISCONFIRM=0" TargetMode="External"/><Relationship Id="rId1532" Type="http://schemas.openxmlformats.org/officeDocument/2006/relationships/hyperlink" Target="https://pld.live/RapDetail.aspx?STONELIST=925870576&amp;ISCONFIRM=0" TargetMode="External"/><Relationship Id="rId2930" Type="http://schemas.openxmlformats.org/officeDocument/2006/relationships/hyperlink" Target="https://pld.live/RapDetail.aspx?STONELIST=925940592&amp;ISCONFIRM=0" TargetMode="External"/><Relationship Id="rId4688" Type="http://schemas.openxmlformats.org/officeDocument/2006/relationships/hyperlink" Target="https://pld.live/RapDetail.aspx?STONELIST=941180067&amp;ISCONFIRM=0" TargetMode="External"/><Relationship Id="rId7094" Type="http://schemas.openxmlformats.org/officeDocument/2006/relationships/hyperlink" Target="https://pld.live/RapDetail.aspx?STONELIST=926761025&amp;ISCONFIRM=0" TargetMode="External"/><Relationship Id="rId8145" Type="http://schemas.openxmlformats.org/officeDocument/2006/relationships/hyperlink" Target="https://pld.live/RapDetail.aspx?STONELIST=927140432&amp;ISCONFIRM=0" TargetMode="External"/><Relationship Id="rId902" Type="http://schemas.openxmlformats.org/officeDocument/2006/relationships/hyperlink" Target="https://pld.live/RapDetail.aspx?STONELIST=926101467&amp;ISCONFIRM=0" TargetMode="External"/><Relationship Id="rId5739" Type="http://schemas.openxmlformats.org/officeDocument/2006/relationships/hyperlink" Target="https://pld.live/RapDetail.aspx?STONELIST=941160506&amp;ISCONFIRM=0" TargetMode="External"/><Relationship Id="rId7161" Type="http://schemas.openxmlformats.org/officeDocument/2006/relationships/hyperlink" Target="https://pld.live/RapDetail.aspx?STONELIST=926470423&amp;ISCONFIRM=0" TargetMode="External"/><Relationship Id="rId8212" Type="http://schemas.openxmlformats.org/officeDocument/2006/relationships/hyperlink" Target="https://pld.live/RapDetail.aspx?STONELIST=926930925&amp;ISCONFIRM=0" TargetMode="External"/><Relationship Id="rId4755" Type="http://schemas.openxmlformats.org/officeDocument/2006/relationships/hyperlink" Target="https://pld.live/RapDetail.aspx?STONELIST=927000573&amp;ISCONFIRM=0" TargetMode="External"/><Relationship Id="rId5806" Type="http://schemas.openxmlformats.org/officeDocument/2006/relationships/hyperlink" Target="https://pld.live/RapDetail.aspx?STONELIST=924530077&amp;ISCONFIRM=0" TargetMode="External"/><Relationship Id="rId278" Type="http://schemas.openxmlformats.org/officeDocument/2006/relationships/hyperlink" Target="https://pld.live/RapDetail.aspx?STONELIST=831020389&amp;ISCONFIRM=0" TargetMode="External"/><Relationship Id="rId3357" Type="http://schemas.openxmlformats.org/officeDocument/2006/relationships/hyperlink" Target="https://pld.live/RapDetail.aspx?STONELIST=925961168&amp;ISCONFIRM=0" TargetMode="External"/><Relationship Id="rId3771" Type="http://schemas.openxmlformats.org/officeDocument/2006/relationships/hyperlink" Target="https://pld.live/RapDetail.aspx?STONELIST=941400556&amp;ISCONFIRM=0" TargetMode="External"/><Relationship Id="rId4408" Type="http://schemas.openxmlformats.org/officeDocument/2006/relationships/hyperlink" Target="https://pld.live/RapDetail.aspx?STONELIST=821113124&amp;ISCONFIRM=0" TargetMode="External"/><Relationship Id="rId4822" Type="http://schemas.openxmlformats.org/officeDocument/2006/relationships/hyperlink" Target="https://pld.live/RapDetail.aspx?STONELIST=821113236&amp;ISCONFIRM=0" TargetMode="External"/><Relationship Id="rId7978" Type="http://schemas.openxmlformats.org/officeDocument/2006/relationships/hyperlink" Target="https://pld.live/RapDetail.aspx?STONELIST=927151988&amp;ISCONFIRM=0" TargetMode="External"/><Relationship Id="rId692" Type="http://schemas.openxmlformats.org/officeDocument/2006/relationships/hyperlink" Target="https://pld.live/RapDetail.aspx?STONELIST=925801767&amp;ISCONFIRM=0" TargetMode="External"/><Relationship Id="rId2373" Type="http://schemas.openxmlformats.org/officeDocument/2006/relationships/hyperlink" Target="https://pld.live/RapDetail.aspx?STONELIST=926231050&amp;ISCONFIRM=0" TargetMode="External"/><Relationship Id="rId3424" Type="http://schemas.openxmlformats.org/officeDocument/2006/relationships/hyperlink" Target="https://pld.live/RapDetail.aspx?STONELIST=926071743&amp;ISCONFIRM=0" TargetMode="External"/><Relationship Id="rId6994" Type="http://schemas.openxmlformats.org/officeDocument/2006/relationships/hyperlink" Target="https://pld.live/RapDetail.aspx?STONELIST=925621826&amp;ISCONFIRM=0" TargetMode="External"/><Relationship Id="rId345" Type="http://schemas.openxmlformats.org/officeDocument/2006/relationships/hyperlink" Target="https://pld.live/RapDetail.aspx?STONELIST=941120312&amp;ISCONFIRM=0" TargetMode="External"/><Relationship Id="rId2026" Type="http://schemas.openxmlformats.org/officeDocument/2006/relationships/hyperlink" Target="https://pld.live/RapDetail.aspx?STONELIST=924460595&amp;ISCONFIRM=0" TargetMode="External"/><Relationship Id="rId2440" Type="http://schemas.openxmlformats.org/officeDocument/2006/relationships/hyperlink" Target="https://pld.live/RapDetail.aspx?STONELIST=941280412&amp;ISCONFIRM=0" TargetMode="External"/><Relationship Id="rId5596" Type="http://schemas.openxmlformats.org/officeDocument/2006/relationships/hyperlink" Target="https://pld.live/RapDetail.aspx?STONELIST=924710175&amp;ISCONFIRM=0" TargetMode="External"/><Relationship Id="rId6647" Type="http://schemas.openxmlformats.org/officeDocument/2006/relationships/hyperlink" Target="https://pld.live/RapDetail.aspx?STONELIST=941330243&amp;ISCONFIRM=0" TargetMode="External"/><Relationship Id="rId412" Type="http://schemas.openxmlformats.org/officeDocument/2006/relationships/hyperlink" Target="https://pld.live/RapDetail.aspx?STONELIST=924830152&amp;ISCONFIRM=0" TargetMode="External"/><Relationship Id="rId1042" Type="http://schemas.openxmlformats.org/officeDocument/2006/relationships/hyperlink" Target="https://pld.live/RapDetail.aspx?STONELIST=927052242&amp;ISCONFIRM=0" TargetMode="External"/><Relationship Id="rId4198" Type="http://schemas.openxmlformats.org/officeDocument/2006/relationships/hyperlink" Target="https://pld.live/RapDetail.aspx?STONELIST=925520514&amp;ISCONFIRM=0" TargetMode="External"/><Relationship Id="rId5249" Type="http://schemas.openxmlformats.org/officeDocument/2006/relationships/hyperlink" Target="https://pld.live/RapDetail.aspx?STONELIST=924290335&amp;ISCONFIRM=0" TargetMode="External"/><Relationship Id="rId5663" Type="http://schemas.openxmlformats.org/officeDocument/2006/relationships/hyperlink" Target="https://pld.live/RapDetail.aspx?STONELIST=924960478&amp;ISCONFIRM=0" TargetMode="External"/><Relationship Id="rId4265" Type="http://schemas.openxmlformats.org/officeDocument/2006/relationships/hyperlink" Target="https://pld.live/RapDetail.aspx?STONELIST=926100568&amp;ISCONFIRM=0" TargetMode="External"/><Relationship Id="rId5316" Type="http://schemas.openxmlformats.org/officeDocument/2006/relationships/hyperlink" Target="https://pld.live/RapDetail.aspx?STONELIST=926700698&amp;ISCONFIRM=0" TargetMode="External"/><Relationship Id="rId6714" Type="http://schemas.openxmlformats.org/officeDocument/2006/relationships/hyperlink" Target="https://pld.live/RapDetail.aspx?STONELIST=927102501&amp;ISCONFIRM=0" TargetMode="External"/><Relationship Id="rId1859" Type="http://schemas.openxmlformats.org/officeDocument/2006/relationships/hyperlink" Target="https://pld.live/RapDetail.aspx?STONELIST=924460313&amp;ISCONFIRM=0" TargetMode="External"/><Relationship Id="rId5730" Type="http://schemas.openxmlformats.org/officeDocument/2006/relationships/hyperlink" Target="https://pld.live/RapDetail.aspx?STONELIST=941160466&amp;ISCONFIRM=0" TargetMode="External"/><Relationship Id="rId1926" Type="http://schemas.openxmlformats.org/officeDocument/2006/relationships/hyperlink" Target="https://pld.live/RapDetail.aspx?STONELIST=926321241&amp;ISCONFIRM=0" TargetMode="External"/><Relationship Id="rId3281" Type="http://schemas.openxmlformats.org/officeDocument/2006/relationships/hyperlink" Target="https://pld.live/RapDetail.aspx?STONELIST=9414000605&amp;ISCONFIRM=0" TargetMode="External"/><Relationship Id="rId4332" Type="http://schemas.openxmlformats.org/officeDocument/2006/relationships/hyperlink" Target="https://pld.live/RapDetail.aspx?STONELIST=927092201&amp;ISCONFIRM=0" TargetMode="External"/><Relationship Id="rId7488" Type="http://schemas.openxmlformats.org/officeDocument/2006/relationships/hyperlink" Target="https://pld.live/RapDetail.aspx?STONELIST=925180155&amp;ISCONFIRM=0" TargetMode="External"/><Relationship Id="rId7555" Type="http://schemas.openxmlformats.org/officeDocument/2006/relationships/hyperlink" Target="https://pld.live/RapDetail.aspx?STONELIST=925801652&amp;ISCONFIRM=0" TargetMode="External"/><Relationship Id="rId3001" Type="http://schemas.openxmlformats.org/officeDocument/2006/relationships/hyperlink" Target="https://pld.live/RapDetail.aspx?STONELIST=926250465&amp;ISCONFIRM=0" TargetMode="External"/><Relationship Id="rId6157" Type="http://schemas.openxmlformats.org/officeDocument/2006/relationships/hyperlink" Target="https://pld.live/RapDetail.aspx?STONELIST=941220076&amp;ISCONFIRM=0" TargetMode="External"/><Relationship Id="rId6571" Type="http://schemas.openxmlformats.org/officeDocument/2006/relationships/hyperlink" Target="https://pld.live/RapDetail.aspx?STONELIST=927092185&amp;ISCONFIRM=0" TargetMode="External"/><Relationship Id="rId7208" Type="http://schemas.openxmlformats.org/officeDocument/2006/relationships/hyperlink" Target="https://pld.live/RapDetail.aspx?STONELIST=924160380&amp;ISCONFIRM=0" TargetMode="External"/><Relationship Id="rId7622" Type="http://schemas.openxmlformats.org/officeDocument/2006/relationships/hyperlink" Target="https://pld.live/RapDetail.aspx?STONELIST=924880361&amp;ISCONFIRM=0" TargetMode="External"/><Relationship Id="rId2767" Type="http://schemas.openxmlformats.org/officeDocument/2006/relationships/hyperlink" Target="https://pld.live/RapDetail.aspx?STONELIST=926010168&amp;ISCONFIRM=0" TargetMode="External"/><Relationship Id="rId5173" Type="http://schemas.openxmlformats.org/officeDocument/2006/relationships/hyperlink" Target="https://pld.live/RapDetail.aspx?STONELIST=925621782&amp;ISCONFIRM=0" TargetMode="External"/><Relationship Id="rId6224" Type="http://schemas.openxmlformats.org/officeDocument/2006/relationships/hyperlink" Target="https://pld.live/RapDetail.aspx?STONELIST=941110528&amp;ISCONFIRM=0" TargetMode="External"/><Relationship Id="rId739" Type="http://schemas.openxmlformats.org/officeDocument/2006/relationships/hyperlink" Target="https://pld.live/RapDetail.aspx?STONELIST=925801472&amp;ISCONFIRM=0" TargetMode="External"/><Relationship Id="rId1369" Type="http://schemas.openxmlformats.org/officeDocument/2006/relationships/hyperlink" Target="https://pld.live/RapDetail.aspx?STONELIST=925220043&amp;ISCONFIRM=0" TargetMode="External"/><Relationship Id="rId3818" Type="http://schemas.openxmlformats.org/officeDocument/2006/relationships/hyperlink" Target="https://pld.live/RapDetail.aspx?STONELIST=941090650&amp;ISCONFIRM=0" TargetMode="External"/><Relationship Id="rId5240" Type="http://schemas.openxmlformats.org/officeDocument/2006/relationships/hyperlink" Target="https://pld.live/RapDetail.aspx?STONELIST=924930224&amp;ISCONFIRM=0" TargetMode="External"/><Relationship Id="rId1783" Type="http://schemas.openxmlformats.org/officeDocument/2006/relationships/hyperlink" Target="https://pld.live/RapDetail.aspx?STONELIST=925090822&amp;ISCONFIRM=0" TargetMode="External"/><Relationship Id="rId2834" Type="http://schemas.openxmlformats.org/officeDocument/2006/relationships/hyperlink" Target="https://pld.live/RapDetail.aspx?STONELIST=925800950&amp;ISCONFIRM=0" TargetMode="External"/><Relationship Id="rId8049" Type="http://schemas.openxmlformats.org/officeDocument/2006/relationships/hyperlink" Target="https://pld.live/RapDetail.aspx?STONELIST=926020650&amp;ISCONFIRM=0" TargetMode="External"/><Relationship Id="rId75" Type="http://schemas.openxmlformats.org/officeDocument/2006/relationships/hyperlink" Target="https://pld.live/RapDetail.aspx?STONELIST=831020668&amp;ISCONFIRM=0" TargetMode="External"/><Relationship Id="rId806" Type="http://schemas.openxmlformats.org/officeDocument/2006/relationships/hyperlink" Target="https://pld.live/RapDetail.aspx?STONELIST=821127689&amp;ISCONFIRM=0" TargetMode="External"/><Relationship Id="rId1436" Type="http://schemas.openxmlformats.org/officeDocument/2006/relationships/hyperlink" Target="https://pld.live/RapDetail.aspx?STONELIST=925790609&amp;ISCONFIRM=0" TargetMode="External"/><Relationship Id="rId1850" Type="http://schemas.openxmlformats.org/officeDocument/2006/relationships/hyperlink" Target="https://pld.live/RapDetail.aspx?STONELIST=925840423&amp;ISCONFIRM=0" TargetMode="External"/><Relationship Id="rId2901" Type="http://schemas.openxmlformats.org/officeDocument/2006/relationships/hyperlink" Target="https://pld.live/RapDetail.aspx?STONELIST=831010588&amp;ISCONFIRM=0" TargetMode="External"/><Relationship Id="rId7065" Type="http://schemas.openxmlformats.org/officeDocument/2006/relationships/hyperlink" Target="https://pld.live/RapDetail.aspx?STONELIST=927092241&amp;ISCONFIRM=0" TargetMode="External"/><Relationship Id="rId1503" Type="http://schemas.openxmlformats.org/officeDocument/2006/relationships/hyperlink" Target="https://pld.live/RapDetail.aspx?STONELIST=926331696&amp;ISCONFIRM=0" TargetMode="External"/><Relationship Id="rId4659" Type="http://schemas.openxmlformats.org/officeDocument/2006/relationships/hyperlink" Target="https://pld.live/RapDetail.aspx?STONELIST=941261106&amp;ISCONFIRM=0" TargetMode="External"/><Relationship Id="rId8116" Type="http://schemas.openxmlformats.org/officeDocument/2006/relationships/hyperlink" Target="https://pld.live/RapDetail.aspx?STONELIST=926210577&amp;ISCONFIRM=0" TargetMode="External"/><Relationship Id="rId3675" Type="http://schemas.openxmlformats.org/officeDocument/2006/relationships/hyperlink" Target="https://pld.live/RapDetail.aspx?STONELIST=925670170&amp;ISCONFIRM=0" TargetMode="External"/><Relationship Id="rId4726" Type="http://schemas.openxmlformats.org/officeDocument/2006/relationships/hyperlink" Target="https://pld.live/RapDetail.aspx?STONELIST=924430146&amp;ISCONFIRM=0" TargetMode="External"/><Relationship Id="rId6081" Type="http://schemas.openxmlformats.org/officeDocument/2006/relationships/hyperlink" Target="https://pld.live/RapDetail.aspx?STONELIST=919300009&amp;ISCONFIRM=0" TargetMode="External"/><Relationship Id="rId7132" Type="http://schemas.openxmlformats.org/officeDocument/2006/relationships/hyperlink" Target="https://pld.live/RapDetail.aspx?STONELIST=927132490&amp;ISCONFIRM=0" TargetMode="External"/><Relationship Id="rId596" Type="http://schemas.openxmlformats.org/officeDocument/2006/relationships/hyperlink" Target="https://pld.live/RapDetail.aspx?STONELIST=925621695&amp;ISCONFIRM=0" TargetMode="External"/><Relationship Id="rId2277" Type="http://schemas.openxmlformats.org/officeDocument/2006/relationships/hyperlink" Target="https://pld.live/RapDetail.aspx?STONELIST=926190974&amp;ISCONFIRM=0" TargetMode="External"/><Relationship Id="rId2691" Type="http://schemas.openxmlformats.org/officeDocument/2006/relationships/hyperlink" Target="https://pld.live/RapDetail.aspx?STONELIST=926230953&amp;ISCONFIRM=0" TargetMode="External"/><Relationship Id="rId3328" Type="http://schemas.openxmlformats.org/officeDocument/2006/relationships/hyperlink" Target="https://pld.live/RapDetail.aspx?STONELIST=926540058&amp;ISCONFIRM=0" TargetMode="External"/><Relationship Id="rId3742" Type="http://schemas.openxmlformats.org/officeDocument/2006/relationships/hyperlink" Target="https://pld.live/RapDetail.aspx?STONELIST=926010028&amp;ISCONFIRM=0" TargetMode="External"/><Relationship Id="rId6898" Type="http://schemas.openxmlformats.org/officeDocument/2006/relationships/hyperlink" Target="https://pld.live/RapDetail.aspx?STONELIST=925502476&amp;ISCONFIRM=0" TargetMode="External"/><Relationship Id="rId249" Type="http://schemas.openxmlformats.org/officeDocument/2006/relationships/hyperlink" Target="https://pld.live/RapDetail.aspx?STONELIST=831020399&amp;ISCONFIRM=0" TargetMode="External"/><Relationship Id="rId663" Type="http://schemas.openxmlformats.org/officeDocument/2006/relationships/hyperlink" Target="https://pld.live/RapDetail.aspx?STONELIST=925961016&amp;ISCONFIRM=0" TargetMode="External"/><Relationship Id="rId1293" Type="http://schemas.openxmlformats.org/officeDocument/2006/relationships/hyperlink" Target="https://pld.live/RapDetail.aspx?STONELIST=925040091&amp;ISCONFIRM=0" TargetMode="External"/><Relationship Id="rId2344" Type="http://schemas.openxmlformats.org/officeDocument/2006/relationships/hyperlink" Target="https://pld.live/RapDetail.aspx?STONELIST=926430931&amp;ISCONFIRM=0" TargetMode="External"/><Relationship Id="rId7949" Type="http://schemas.openxmlformats.org/officeDocument/2006/relationships/hyperlink" Target="https://pld.live/RapDetail.aspx?STONELIST=926900803&amp;ISCONFIRM=0" TargetMode="External"/><Relationship Id="rId316" Type="http://schemas.openxmlformats.org/officeDocument/2006/relationships/hyperlink" Target="https://pld.live/RapDetail.aspx?STONELIST=941390097&amp;ISCONFIRM=0" TargetMode="External"/><Relationship Id="rId6965" Type="http://schemas.openxmlformats.org/officeDocument/2006/relationships/hyperlink" Target="https://pld.live/RapDetail.aspx?STONELIST=925981271&amp;ISCONFIRM=0" TargetMode="External"/><Relationship Id="rId730" Type="http://schemas.openxmlformats.org/officeDocument/2006/relationships/hyperlink" Target="https://pld.live/RapDetail.aspx?STONELIST=924810022&amp;ISCONFIRM=0" TargetMode="External"/><Relationship Id="rId1013" Type="http://schemas.openxmlformats.org/officeDocument/2006/relationships/hyperlink" Target="https://pld.live/RapDetail.aspx?STONELIST=941071223&amp;ISCONFIRM=0" TargetMode="External"/><Relationship Id="rId1360" Type="http://schemas.openxmlformats.org/officeDocument/2006/relationships/hyperlink" Target="https://pld.live/RapDetail.aspx?STONELIST=925790943&amp;ISCONFIRM=0" TargetMode="External"/><Relationship Id="rId2411" Type="http://schemas.openxmlformats.org/officeDocument/2006/relationships/hyperlink" Target="https://pld.live/RapDetail.aspx?STONELIST=941250108&amp;ISCONFIRM=0" TargetMode="External"/><Relationship Id="rId4169" Type="http://schemas.openxmlformats.org/officeDocument/2006/relationships/hyperlink" Target="https://pld.live/RapDetail.aspx?STONELIST=925110409&amp;ISCONFIRM=0" TargetMode="External"/><Relationship Id="rId5567" Type="http://schemas.openxmlformats.org/officeDocument/2006/relationships/hyperlink" Target="https://pld.live/RapDetail.aspx?STONELIST=831020263&amp;ISCONFIRM=0" TargetMode="External"/><Relationship Id="rId5981" Type="http://schemas.openxmlformats.org/officeDocument/2006/relationships/hyperlink" Target="https://pld.live/RapDetail.aspx?STONELIST=926921492&amp;ISCONFIRM=0" TargetMode="External"/><Relationship Id="rId6618" Type="http://schemas.openxmlformats.org/officeDocument/2006/relationships/hyperlink" Target="https://pld.live/RapDetail.aspx?STONELIST=941140792&amp;ISCONFIRM=0" TargetMode="External"/><Relationship Id="rId8040" Type="http://schemas.openxmlformats.org/officeDocument/2006/relationships/hyperlink" Target="https://pld.live/RapDetail.aspx?STONELIST=923380726&amp;ISCONFIRM=0" TargetMode="External"/><Relationship Id="rId4583" Type="http://schemas.openxmlformats.org/officeDocument/2006/relationships/hyperlink" Target="https://pld.live/RapDetail.aspx?STONELIST=927092326&amp;ISCONFIRM=0" TargetMode="External"/><Relationship Id="rId5634" Type="http://schemas.openxmlformats.org/officeDocument/2006/relationships/hyperlink" Target="https://pld.live/RapDetail.aspx?STONELIST=924920426&amp;ISCONFIRM=0" TargetMode="External"/><Relationship Id="rId3185" Type="http://schemas.openxmlformats.org/officeDocument/2006/relationships/hyperlink" Target="https://pld.live/RapDetail.aspx?STONELIST=924900094&amp;ISCONFIRM=0" TargetMode="External"/><Relationship Id="rId4236" Type="http://schemas.openxmlformats.org/officeDocument/2006/relationships/hyperlink" Target="https://pld.live/RapDetail.aspx?STONELIST=925520405&amp;ISCONFIRM=0" TargetMode="External"/><Relationship Id="rId4650" Type="http://schemas.openxmlformats.org/officeDocument/2006/relationships/hyperlink" Target="https://pld.live/RapDetail.aspx?STONELIST=926730514&amp;ISCONFIRM=0" TargetMode="External"/><Relationship Id="rId5701" Type="http://schemas.openxmlformats.org/officeDocument/2006/relationships/hyperlink" Target="https://pld.live/RapDetail.aspx?STONELIST=831020342&amp;ISCONFIRM=0" TargetMode="External"/><Relationship Id="rId3252" Type="http://schemas.openxmlformats.org/officeDocument/2006/relationships/hyperlink" Target="https://pld.live/RapDetail.aspx?STONELIST=941270798&amp;ISCONFIRM=0" TargetMode="External"/><Relationship Id="rId4303" Type="http://schemas.openxmlformats.org/officeDocument/2006/relationships/hyperlink" Target="https://pld.live/RapDetail.aspx?STONELIST=927030540&amp;ISCONFIRM=0" TargetMode="External"/><Relationship Id="rId7459" Type="http://schemas.openxmlformats.org/officeDocument/2006/relationships/hyperlink" Target="https://pld.live/RapDetail.aspx?STONELIST=925370448&amp;ISCONFIRM=0" TargetMode="External"/><Relationship Id="rId7873" Type="http://schemas.openxmlformats.org/officeDocument/2006/relationships/hyperlink" Target="https://pld.live/RapDetail.aspx?STONELIST=926831025&amp;ISCONFIRM=0" TargetMode="External"/><Relationship Id="rId173" Type="http://schemas.openxmlformats.org/officeDocument/2006/relationships/hyperlink" Target="https://pld.live/RapDetail.aspx?STONELIST=941050507&amp;ISCONFIRM=0" TargetMode="External"/><Relationship Id="rId6475" Type="http://schemas.openxmlformats.org/officeDocument/2006/relationships/hyperlink" Target="https://pld.live/RapDetail.aspx?STONELIST=941071302&amp;ISCONFIRM=0" TargetMode="External"/><Relationship Id="rId7526" Type="http://schemas.openxmlformats.org/officeDocument/2006/relationships/hyperlink" Target="https://pld.live/RapDetail.aspx?STONELIST=925731971&amp;ISCONFIRM=0" TargetMode="External"/><Relationship Id="rId240" Type="http://schemas.openxmlformats.org/officeDocument/2006/relationships/hyperlink" Target="https://pld.live/RapDetail.aspx?STONELIST=924190541&amp;ISCONFIRM=0" TargetMode="External"/><Relationship Id="rId5077" Type="http://schemas.openxmlformats.org/officeDocument/2006/relationships/hyperlink" Target="https://pld.live/RapDetail.aspx?STONELIST=926171205&amp;ISCONFIRM=0" TargetMode="External"/><Relationship Id="rId6128" Type="http://schemas.openxmlformats.org/officeDocument/2006/relationships/hyperlink" Target="https://pld.live/RapDetail.aspx?STONELIST=925670206&amp;ISCONFIRM=0" TargetMode="External"/><Relationship Id="rId7940" Type="http://schemas.openxmlformats.org/officeDocument/2006/relationships/hyperlink" Target="https://pld.live/RapDetail.aspx?STONELIST=927151164&amp;ISCONFIRM=0" TargetMode="External"/><Relationship Id="rId4093" Type="http://schemas.openxmlformats.org/officeDocument/2006/relationships/hyperlink" Target="https://pld.live/RapDetail.aspx?STONELIST=927010778&amp;ISCONFIRM=0" TargetMode="External"/><Relationship Id="rId5144" Type="http://schemas.openxmlformats.org/officeDocument/2006/relationships/hyperlink" Target="https://pld.live/RapDetail.aspx?STONELIST=831010696&amp;ISCONFIRM=0" TargetMode="External"/><Relationship Id="rId5491" Type="http://schemas.openxmlformats.org/officeDocument/2006/relationships/hyperlink" Target="https://pld.live/RapDetail.aspx?STONELIST=831020694&amp;ISCONFIRM=0" TargetMode="External"/><Relationship Id="rId6542" Type="http://schemas.openxmlformats.org/officeDocument/2006/relationships/hyperlink" Target="https://pld.live/RapDetail.aspx?STONELIST=926050155&amp;ISCONFIRM=0" TargetMode="External"/><Relationship Id="rId1687" Type="http://schemas.openxmlformats.org/officeDocument/2006/relationships/hyperlink" Target="https://pld.live/RapDetail.aspx?STONELIST=925680074&amp;ISCONFIRM=0" TargetMode="External"/><Relationship Id="rId2738" Type="http://schemas.openxmlformats.org/officeDocument/2006/relationships/hyperlink" Target="https://pld.live/RapDetail.aspx?STONELIST=831020638&amp;ISCONFIRM=0" TargetMode="External"/><Relationship Id="rId1754" Type="http://schemas.openxmlformats.org/officeDocument/2006/relationships/hyperlink" Target="https://pld.live/RapDetail.aspx?STONELIST=941190160&amp;ISCONFIRM=0" TargetMode="External"/><Relationship Id="rId2805" Type="http://schemas.openxmlformats.org/officeDocument/2006/relationships/hyperlink" Target="https://pld.live/RapDetail.aspx?STONELIST=924750391&amp;ISCONFIRM=0" TargetMode="External"/><Relationship Id="rId4160" Type="http://schemas.openxmlformats.org/officeDocument/2006/relationships/hyperlink" Target="https://pld.live/RapDetail.aspx?STONELIST=926071672&amp;ISCONFIRM=0" TargetMode="External"/><Relationship Id="rId5211" Type="http://schemas.openxmlformats.org/officeDocument/2006/relationships/hyperlink" Target="https://pld.live/RapDetail.aspx?STONELIST=926200955&amp;ISCONFIRM=0" TargetMode="External"/><Relationship Id="rId46" Type="http://schemas.openxmlformats.org/officeDocument/2006/relationships/hyperlink" Target="https://pld.live/RapDetail.aspx?STONELIST=925410037&amp;ISCONFIRM=0" TargetMode="External"/><Relationship Id="rId1407" Type="http://schemas.openxmlformats.org/officeDocument/2006/relationships/hyperlink" Target="https://pld.live/RapDetail.aspx?STONELIST=927132401&amp;ISCONFIRM=0" TargetMode="External"/><Relationship Id="rId1821" Type="http://schemas.openxmlformats.org/officeDocument/2006/relationships/hyperlink" Target="https://pld.live/RapDetail.aspx?STONELIST=926661566&amp;ISCONFIRM=0" TargetMode="External"/><Relationship Id="rId4977" Type="http://schemas.openxmlformats.org/officeDocument/2006/relationships/hyperlink" Target="https://pld.live/RapDetail.aspx?STONELIST=926020751&amp;ISCONFIRM=0" TargetMode="External"/><Relationship Id="rId7383" Type="http://schemas.openxmlformats.org/officeDocument/2006/relationships/hyperlink" Target="https://pld.live/RapDetail.aspx?STONELIST=941250537&amp;ISCONFIRM=0" TargetMode="External"/><Relationship Id="rId3579" Type="http://schemas.openxmlformats.org/officeDocument/2006/relationships/hyperlink" Target="https://pld.live/RapDetail.aspx?STONELIST=926410448&amp;ISCONFIRM=0" TargetMode="External"/><Relationship Id="rId7036" Type="http://schemas.openxmlformats.org/officeDocument/2006/relationships/hyperlink" Target="https://pld.live/RapDetail.aspx?STONELIST=925280424&amp;ISCONFIRM=0" TargetMode="External"/><Relationship Id="rId7450" Type="http://schemas.openxmlformats.org/officeDocument/2006/relationships/hyperlink" Target="https://pld.live/RapDetail.aspx?STONELIST=924830011&amp;ISCONFIRM=0" TargetMode="External"/><Relationship Id="rId2595" Type="http://schemas.openxmlformats.org/officeDocument/2006/relationships/hyperlink" Target="https://pld.live/RapDetail.aspx?STONELIST=926800846&amp;ISCONFIRM=0" TargetMode="External"/><Relationship Id="rId3993" Type="http://schemas.openxmlformats.org/officeDocument/2006/relationships/hyperlink" Target="https://pld.live/RapDetail.aspx?STONELIST=925722076&amp;ISCONFIRM=0" TargetMode="External"/><Relationship Id="rId6052" Type="http://schemas.openxmlformats.org/officeDocument/2006/relationships/hyperlink" Target="https://pld.live/RapDetail.aspx?STONELIST=925220313&amp;ISCONFIRM=0" TargetMode="External"/><Relationship Id="rId7103" Type="http://schemas.openxmlformats.org/officeDocument/2006/relationships/hyperlink" Target="https://pld.live/RapDetail.aspx?STONELIST=927132487&amp;ISCONFIRM=0" TargetMode="External"/><Relationship Id="rId567" Type="http://schemas.openxmlformats.org/officeDocument/2006/relationships/hyperlink" Target="https://pld.live/RapDetail.aspx?STONELIST=941360384&amp;ISCONFIRM=0" TargetMode="External"/><Relationship Id="rId1197" Type="http://schemas.openxmlformats.org/officeDocument/2006/relationships/hyperlink" Target="https://pld.live/RapDetail.aspx?STONELIST=941021547&amp;ISCONFIRM=0" TargetMode="External"/><Relationship Id="rId2248" Type="http://schemas.openxmlformats.org/officeDocument/2006/relationships/hyperlink" Target="https://pld.live/RapDetail.aspx?STONELIST=821127960&amp;ISCONFIRM=0" TargetMode="External"/><Relationship Id="rId3646" Type="http://schemas.openxmlformats.org/officeDocument/2006/relationships/hyperlink" Target="https://pld.live/RapDetail.aspx?STONELIST=925630430&amp;ISCONFIRM=0" TargetMode="External"/><Relationship Id="rId981" Type="http://schemas.openxmlformats.org/officeDocument/2006/relationships/hyperlink" Target="https://pld.live/RapDetail.aspx?STONELIST=927052040&amp;ISCONFIRM=0" TargetMode="External"/><Relationship Id="rId2662" Type="http://schemas.openxmlformats.org/officeDocument/2006/relationships/hyperlink" Target="https://pld.live/RapDetail.aspx?STONELIST=926331721&amp;ISCONFIRM=0" TargetMode="External"/><Relationship Id="rId3713" Type="http://schemas.openxmlformats.org/officeDocument/2006/relationships/hyperlink" Target="https://pld.live/RapDetail.aspx?STONELIST=925710166&amp;ISCONFIRM=0" TargetMode="External"/><Relationship Id="rId6869" Type="http://schemas.openxmlformats.org/officeDocument/2006/relationships/hyperlink" Target="https://pld.live/RapDetail.aspx?STONELIST=831020722&amp;ISCONFIRM=0" TargetMode="External"/><Relationship Id="rId634" Type="http://schemas.openxmlformats.org/officeDocument/2006/relationships/hyperlink" Target="https://pld.live/RapDetail.aspx?STONELIST=941430792&amp;ISCONFIRM=0" TargetMode="External"/><Relationship Id="rId1264" Type="http://schemas.openxmlformats.org/officeDocument/2006/relationships/hyperlink" Target="https://pld.live/RapDetail.aspx?STONELIST=941320537&amp;ISCONFIRM=0" TargetMode="External"/><Relationship Id="rId2315" Type="http://schemas.openxmlformats.org/officeDocument/2006/relationships/hyperlink" Target="https://pld.live/RapDetail.aspx?STONELIST=941360341&amp;ISCONFIRM=0" TargetMode="External"/><Relationship Id="rId5885" Type="http://schemas.openxmlformats.org/officeDocument/2006/relationships/hyperlink" Target="https://pld.live/RapDetail.aspx?STONELIST=926101680&amp;ISCONFIRM=0" TargetMode="External"/><Relationship Id="rId6936" Type="http://schemas.openxmlformats.org/officeDocument/2006/relationships/hyperlink" Target="https://pld.live/RapDetail.aspx?STONELIST=926200716&amp;ISCONFIRM=0" TargetMode="External"/><Relationship Id="rId701" Type="http://schemas.openxmlformats.org/officeDocument/2006/relationships/hyperlink" Target="https://pld.live/RapDetail.aspx?STONELIST=821127648&amp;ISCONFIRM=0" TargetMode="External"/><Relationship Id="rId1331" Type="http://schemas.openxmlformats.org/officeDocument/2006/relationships/hyperlink" Target="https://pld.live/RapDetail.aspx?STONELIST=926250521&amp;ISCONFIRM=0" TargetMode="External"/><Relationship Id="rId4487" Type="http://schemas.openxmlformats.org/officeDocument/2006/relationships/hyperlink" Target="https://pld.live/RapDetail.aspx?STONELIST=927092675&amp;ISCONFIRM=0" TargetMode="External"/><Relationship Id="rId5538" Type="http://schemas.openxmlformats.org/officeDocument/2006/relationships/hyperlink" Target="https://pld.live/RapDetail.aspx?STONELIST=926220649&amp;ISCONFIRM=0" TargetMode="External"/><Relationship Id="rId5952" Type="http://schemas.openxmlformats.org/officeDocument/2006/relationships/hyperlink" Target="https://pld.live/RapDetail.aspx?STONELIST=941071389&amp;ISCONFIRM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A8266"/>
  <sheetViews>
    <sheetView tabSelected="1" workbookViewId="0">
      <pane ySplit="5" topLeftCell="A6" activePane="bottomLeft" state="frozen"/>
      <selection pane="bottomLeft" activeCell="A6" sqref="A6"/>
    </sheetView>
  </sheetViews>
  <sheetFormatPr defaultRowHeight="12" x14ac:dyDescent="0.25"/>
  <cols>
    <col min="1" max="1" width="8.85546875" style="24" customWidth="1"/>
    <col min="2" max="2" width="12.140625" style="24" customWidth="1"/>
    <col min="3" max="3" width="10.140625" style="24" customWidth="1"/>
    <col min="4" max="4" width="13.140625" style="24" customWidth="1"/>
    <col min="5" max="5" width="12" style="24" customWidth="1"/>
    <col min="6" max="6" width="11" style="24" customWidth="1"/>
    <col min="7" max="7" width="16.5703125" style="24" customWidth="1"/>
    <col min="8" max="8" width="9.85546875" style="24" customWidth="1"/>
    <col min="9" max="9" width="10.5703125" style="24" customWidth="1"/>
    <col min="10" max="10" width="9.85546875" style="12" customWidth="1"/>
    <col min="11" max="11" width="9.140625" style="24"/>
    <col min="12" max="12" width="8.140625" style="24" customWidth="1"/>
    <col min="13" max="13" width="9" style="24" customWidth="1"/>
    <col min="14" max="14" width="8.7109375" style="24" customWidth="1"/>
    <col min="15" max="15" width="11.28515625" style="24" customWidth="1"/>
    <col min="16" max="16" width="10.85546875" style="24" customWidth="1"/>
    <col min="17" max="17" width="12.85546875" style="24" customWidth="1"/>
    <col min="18" max="18" width="13.85546875" style="24" customWidth="1"/>
    <col min="19" max="19" width="17.28515625" style="12" customWidth="1"/>
    <col min="20" max="20" width="9.42578125" style="12" customWidth="1"/>
    <col min="21" max="21" width="10.5703125" style="12" customWidth="1"/>
    <col min="22" max="22" width="11.7109375" style="24" customWidth="1"/>
    <col min="23" max="23" width="13" style="24" customWidth="1"/>
    <col min="24" max="24" width="23.42578125" style="24" customWidth="1"/>
    <col min="25" max="25" width="12.140625" style="24" customWidth="1"/>
    <col min="26" max="27" width="12" style="24" customWidth="1"/>
    <col min="28" max="28" width="10.42578125" style="24" customWidth="1"/>
    <col min="29" max="29" width="6.5703125" style="24" customWidth="1"/>
    <col min="30" max="30" width="8.42578125" style="24" customWidth="1"/>
    <col min="31" max="31" width="5.140625" style="24" customWidth="1"/>
    <col min="32" max="32" width="5.42578125" style="24" customWidth="1"/>
    <col min="33" max="33" width="11.5703125" style="24" customWidth="1"/>
    <col min="34" max="34" width="10.5703125" style="24" customWidth="1"/>
    <col min="35" max="35" width="9.85546875" style="24" customWidth="1"/>
    <col min="36" max="36" width="17.7109375" style="24" customWidth="1"/>
    <col min="37" max="37" width="19.42578125" style="24" customWidth="1"/>
    <col min="38" max="16384" width="9.140625" style="24"/>
  </cols>
  <sheetData>
    <row r="1" spans="1:27" s="16" customFormat="1" ht="19.5" customHeight="1" x14ac:dyDescent="0.25">
      <c r="A1" s="30"/>
      <c r="B1" s="31"/>
      <c r="C1" s="32"/>
      <c r="L1" s="7"/>
      <c r="M1" s="29"/>
      <c r="N1" s="29"/>
      <c r="O1" s="29"/>
      <c r="P1" s="29"/>
      <c r="Q1" s="29"/>
      <c r="R1" s="29"/>
      <c r="S1" s="3"/>
      <c r="T1" s="20"/>
      <c r="U1" s="20"/>
    </row>
    <row r="2" spans="1:27" s="16" customFormat="1" ht="19.5" customHeight="1" x14ac:dyDescent="0.25">
      <c r="A2" s="33"/>
      <c r="B2" s="34"/>
      <c r="C2" s="35"/>
      <c r="L2" s="21"/>
      <c r="M2" s="17" t="s">
        <v>1374</v>
      </c>
      <c r="N2" s="17" t="s">
        <v>6390</v>
      </c>
      <c r="O2" s="25" t="s">
        <v>5119</v>
      </c>
      <c r="P2" s="4" t="s">
        <v>2204</v>
      </c>
      <c r="Q2" s="1" t="s">
        <v>760</v>
      </c>
      <c r="R2" s="1" t="s">
        <v>3707</v>
      </c>
      <c r="S2" s="4" t="s">
        <v>1363</v>
      </c>
      <c r="T2" s="20"/>
      <c r="U2" s="20"/>
    </row>
    <row r="3" spans="1:27" s="16" customFormat="1" ht="19.5" customHeight="1" x14ac:dyDescent="0.25">
      <c r="A3" s="33"/>
      <c r="B3" s="34"/>
      <c r="C3" s="35"/>
      <c r="L3" s="17" t="s">
        <v>556</v>
      </c>
      <c r="M3" s="6">
        <f>COUNT(A6:A8266)</f>
        <v>8261</v>
      </c>
      <c r="N3" s="8">
        <f>ROUND(SUM(H6:H8266),2)</f>
        <v>12340.04</v>
      </c>
      <c r="O3" s="6">
        <f>ROUND(S3/N3,2)</f>
        <v>19336.580000000002</v>
      </c>
      <c r="P3" s="6">
        <f>ROUND((O3-Q3)/O3*-100,2)</f>
        <v>-99</v>
      </c>
      <c r="Q3" s="13">
        <f>ROUND(R3/N3,2)</f>
        <v>192.64</v>
      </c>
      <c r="R3" s="10">
        <f>ROUND(SUM(R6:R8266),2)</f>
        <v>2377216.7000000002</v>
      </c>
      <c r="S3" s="8">
        <f>ROUND(SUM(Y6:Y8266),2)</f>
        <v>238614116</v>
      </c>
      <c r="T3" s="20"/>
      <c r="U3" s="20"/>
    </row>
    <row r="4" spans="1:27" s="16" customFormat="1" ht="26.25" thickBot="1" x14ac:dyDescent="0.3">
      <c r="A4" s="36"/>
      <c r="B4" s="37"/>
      <c r="C4" s="38"/>
      <c r="L4" s="11" t="s">
        <v>1805</v>
      </c>
      <c r="M4" s="22">
        <f>SUBTOTAL(2,A6:A8266)</f>
        <v>8261</v>
      </c>
      <c r="N4" s="9">
        <f>ROUND(SUBTOTAL(9,H6:H8266),2)</f>
        <v>12340.04</v>
      </c>
      <c r="O4" s="22">
        <f>ROUND(S4/N4,2)</f>
        <v>19336.580000000002</v>
      </c>
      <c r="P4" s="22">
        <f>ROUND((O4-Q4)/O4*-100,2)</f>
        <v>-99</v>
      </c>
      <c r="Q4" s="26">
        <f>ROUND(R4/N4,2)</f>
        <v>192.64</v>
      </c>
      <c r="R4" s="26">
        <f>ROUND(SUBTOTAL(9,R6:R8266),2)</f>
        <v>2377216.7000000002</v>
      </c>
      <c r="S4" s="9">
        <f>ROUND(SUBTOTAL(9,Y6:Y8266),2)</f>
        <v>238614116</v>
      </c>
      <c r="T4" s="20"/>
      <c r="U4" s="20"/>
    </row>
    <row r="5" spans="1:27" s="5" customFormat="1" ht="16.5" customHeight="1" x14ac:dyDescent="0.25">
      <c r="A5" s="27" t="s">
        <v>6344</v>
      </c>
      <c r="B5" s="23" t="s">
        <v>3777</v>
      </c>
      <c r="C5" s="23" t="s">
        <v>7672</v>
      </c>
      <c r="D5" s="23" t="s">
        <v>918</v>
      </c>
      <c r="E5" s="23" t="s">
        <v>4883</v>
      </c>
      <c r="F5" s="23" t="s">
        <v>6384</v>
      </c>
      <c r="G5" s="23" t="s">
        <v>6458</v>
      </c>
      <c r="H5" s="23" t="s">
        <v>2451</v>
      </c>
      <c r="I5" s="23" t="s">
        <v>5771</v>
      </c>
      <c r="J5" s="23" t="s">
        <v>2372</v>
      </c>
      <c r="K5" s="23" t="s">
        <v>945</v>
      </c>
      <c r="L5" s="23" t="s">
        <v>3576</v>
      </c>
      <c r="M5" s="23" t="s">
        <v>2653</v>
      </c>
      <c r="N5" s="23" t="s">
        <v>909</v>
      </c>
      <c r="O5" s="23" t="s">
        <v>4625</v>
      </c>
      <c r="P5" s="23" t="s">
        <v>3574</v>
      </c>
      <c r="Q5" s="23" t="s">
        <v>760</v>
      </c>
      <c r="R5" s="23" t="s">
        <v>3572</v>
      </c>
      <c r="S5" s="23" t="s">
        <v>6279</v>
      </c>
      <c r="T5" s="15" t="s">
        <v>8053</v>
      </c>
      <c r="U5" s="15" t="s">
        <v>6881</v>
      </c>
      <c r="V5" s="15" t="s">
        <v>7543</v>
      </c>
      <c r="W5" s="23" t="s">
        <v>3358</v>
      </c>
      <c r="X5" s="23" t="s">
        <v>4307</v>
      </c>
      <c r="Y5" s="23" t="s">
        <v>1363</v>
      </c>
      <c r="Z5" s="23" t="s">
        <v>6585</v>
      </c>
      <c r="AA5" s="23" t="s">
        <v>161</v>
      </c>
    </row>
    <row r="6" spans="1:27" ht="15" x14ac:dyDescent="0.25">
      <c r="A6" s="2">
        <v>1</v>
      </c>
      <c r="B6" s="39">
        <v>926780058</v>
      </c>
      <c r="C6" s="28" t="str">
        <f>HYPERLINK("https://pld.live/RapDetail.aspx?STONELIST=926780058","DNA")</f>
        <v>DNA</v>
      </c>
      <c r="D6" s="18" t="s">
        <v>38</v>
      </c>
      <c r="E6" s="18" t="s">
        <v>2186</v>
      </c>
      <c r="F6" s="2" t="s">
        <v>7987</v>
      </c>
      <c r="G6" s="2" t="s">
        <v>861</v>
      </c>
      <c r="H6" s="14">
        <v>12.23</v>
      </c>
      <c r="I6" s="2" t="s">
        <v>4761</v>
      </c>
      <c r="J6" s="2" t="s">
        <v>3942</v>
      </c>
      <c r="K6" s="2" t="s">
        <v>3390</v>
      </c>
      <c r="L6" s="2" t="s">
        <v>5221</v>
      </c>
      <c r="M6" s="2" t="s">
        <v>5221</v>
      </c>
      <c r="N6" s="2" t="s">
        <v>2317</v>
      </c>
      <c r="O6" s="14">
        <v>103000</v>
      </c>
      <c r="P6" s="14">
        <v>99.37</v>
      </c>
      <c r="Q6" s="14">
        <v>648.9</v>
      </c>
      <c r="R6" s="14">
        <v>7936.05</v>
      </c>
      <c r="S6" s="2" t="s">
        <v>7273</v>
      </c>
      <c r="T6" s="2">
        <v>1</v>
      </c>
      <c r="U6" s="2">
        <v>59.6</v>
      </c>
      <c r="V6" s="2">
        <v>59</v>
      </c>
      <c r="W6" s="2" t="s">
        <v>7862</v>
      </c>
      <c r="X6" s="2" t="s">
        <v>5405</v>
      </c>
      <c r="Y6" s="2">
        <v>1259690</v>
      </c>
      <c r="Z6" s="19" t="str">
        <f>HYPERLINK("https://ssdweb.co/ssdweb/hd/Vision360.html?d=926780058&amp;zoomslide=1&amp;z=1926780058&amp;ISCONFIRM=0","VIDEO")</f>
        <v>VIDEO</v>
      </c>
      <c r="AA6" s="19" t="str">
        <f>HYPERLINK("https://ssdweb.co/ssdweb/CERTH/653424613.pdf","CERTI")</f>
        <v>CERTI</v>
      </c>
    </row>
    <row r="7" spans="1:27" ht="15" x14ac:dyDescent="0.25">
      <c r="A7" s="2">
        <v>2</v>
      </c>
      <c r="B7" s="39">
        <v>924360019</v>
      </c>
      <c r="C7" s="28" t="str">
        <f>HYPERLINK("https://pld.live/RapDetail.aspx?STONELIST=924360019","DNA")</f>
        <v>DNA</v>
      </c>
      <c r="D7" s="18" t="s">
        <v>38</v>
      </c>
      <c r="E7" s="18" t="s">
        <v>2186</v>
      </c>
      <c r="F7" s="2" t="s">
        <v>7987</v>
      </c>
      <c r="G7" s="2" t="s">
        <v>861</v>
      </c>
      <c r="H7" s="14">
        <v>11.16</v>
      </c>
      <c r="I7" s="2" t="s">
        <v>4761</v>
      </c>
      <c r="J7" s="2" t="s">
        <v>3942</v>
      </c>
      <c r="K7" s="2" t="s">
        <v>3390</v>
      </c>
      <c r="L7" s="2" t="s">
        <v>5221</v>
      </c>
      <c r="M7" s="2" t="s">
        <v>5221</v>
      </c>
      <c r="N7" s="2" t="s">
        <v>2317</v>
      </c>
      <c r="O7" s="14">
        <v>103000</v>
      </c>
      <c r="P7" s="14">
        <v>99.38</v>
      </c>
      <c r="Q7" s="14">
        <v>638.6</v>
      </c>
      <c r="R7" s="14">
        <v>7126.78</v>
      </c>
      <c r="S7" s="2" t="s">
        <v>2842</v>
      </c>
      <c r="T7" s="2">
        <v>1.01</v>
      </c>
      <c r="U7" s="2">
        <v>59.3</v>
      </c>
      <c r="V7" s="2">
        <v>59</v>
      </c>
      <c r="W7" s="2" t="s">
        <v>7862</v>
      </c>
      <c r="X7" s="2" t="s">
        <v>5405</v>
      </c>
      <c r="Y7" s="2">
        <v>1149480</v>
      </c>
      <c r="Z7" s="19" t="str">
        <f>HYPERLINK("https://ssdweb.co/ssdweb/hd/Vision360.html?d=924360019&amp;zoomslide=1&amp;z=1924360019&amp;ISCONFIRM=0","VIDEO")</f>
        <v>VIDEO</v>
      </c>
      <c r="AA7" s="19" t="str">
        <f>HYPERLINK("https://ssdweb.co/ssdweb/CERTH/587388711.pdf","CERTI")</f>
        <v>CERTI</v>
      </c>
    </row>
    <row r="8" spans="1:27" ht="15" x14ac:dyDescent="0.25">
      <c r="A8" s="2">
        <v>3</v>
      </c>
      <c r="B8" s="39">
        <v>923910006</v>
      </c>
      <c r="C8" s="28" t="str">
        <f>HYPERLINK("https://pld.live/RapDetail.aspx?STONELIST=923910006","DNA")</f>
        <v>DNA</v>
      </c>
      <c r="D8" s="18" t="s">
        <v>1255</v>
      </c>
      <c r="E8" s="18" t="s">
        <v>2186</v>
      </c>
      <c r="F8" s="2" t="s">
        <v>7987</v>
      </c>
      <c r="G8" s="2" t="s">
        <v>861</v>
      </c>
      <c r="H8" s="14">
        <v>10.11</v>
      </c>
      <c r="I8" s="2" t="s">
        <v>4761</v>
      </c>
      <c r="J8" s="2" t="s">
        <v>13</v>
      </c>
      <c r="K8" s="2" t="s">
        <v>3390</v>
      </c>
      <c r="L8" s="2" t="s">
        <v>5221</v>
      </c>
      <c r="M8" s="2" t="s">
        <v>5221</v>
      </c>
      <c r="N8" s="2" t="s">
        <v>2317</v>
      </c>
      <c r="O8" s="14">
        <v>93000</v>
      </c>
      <c r="P8" s="14">
        <v>99.35</v>
      </c>
      <c r="Q8" s="14">
        <v>604.5</v>
      </c>
      <c r="R8" s="14">
        <v>6111.5</v>
      </c>
      <c r="S8" s="2" t="s">
        <v>2101</v>
      </c>
      <c r="T8" s="2">
        <v>1</v>
      </c>
      <c r="U8" s="2">
        <v>59.4</v>
      </c>
      <c r="V8" s="2">
        <v>59</v>
      </c>
      <c r="W8" s="2" t="s">
        <v>7862</v>
      </c>
      <c r="X8" s="2" t="s">
        <v>5405</v>
      </c>
      <c r="Y8" s="2">
        <v>940230</v>
      </c>
      <c r="Z8" s="19" t="str">
        <f>HYPERLINK("https://ssdweb.co/ssdweb/hd/Vision360.html?d=923910006&amp;zoomslide=1&amp;z=1923910006&amp;ISCONFIRM=0","VIDEO")</f>
        <v>VIDEO</v>
      </c>
      <c r="AA8" s="19" t="str">
        <f>HYPERLINK("https://ssdweb.co/ssdweb/CERTH/566302070.pdf","CERTI")</f>
        <v>CERTI</v>
      </c>
    </row>
    <row r="9" spans="1:27" ht="15" x14ac:dyDescent="0.25">
      <c r="A9" s="2">
        <v>4</v>
      </c>
      <c r="B9" s="39">
        <v>923830001</v>
      </c>
      <c r="C9" s="28" t="str">
        <f>HYPERLINK("https://pld.live/RapDetail.aspx?STONELIST=923830001","DNA")</f>
        <v>DNA</v>
      </c>
      <c r="D9" s="18" t="s">
        <v>1255</v>
      </c>
      <c r="E9" s="18" t="s">
        <v>2186</v>
      </c>
      <c r="F9" s="2" t="s">
        <v>7987</v>
      </c>
      <c r="G9" s="2" t="s">
        <v>861</v>
      </c>
      <c r="H9" s="14">
        <v>10.050000000000001</v>
      </c>
      <c r="I9" s="2" t="s">
        <v>4761</v>
      </c>
      <c r="J9" s="2" t="s">
        <v>13</v>
      </c>
      <c r="K9" s="2" t="s">
        <v>3390</v>
      </c>
      <c r="L9" s="2" t="s">
        <v>5221</v>
      </c>
      <c r="M9" s="2" t="s">
        <v>5221</v>
      </c>
      <c r="N9" s="2" t="s">
        <v>2317</v>
      </c>
      <c r="O9" s="14">
        <v>93000</v>
      </c>
      <c r="P9" s="14">
        <v>99.35</v>
      </c>
      <c r="Q9" s="14">
        <v>604.5</v>
      </c>
      <c r="R9" s="14">
        <v>6075.23</v>
      </c>
      <c r="S9" s="2" t="s">
        <v>597</v>
      </c>
      <c r="T9" s="2">
        <v>1.01</v>
      </c>
      <c r="U9" s="2">
        <v>60.8</v>
      </c>
      <c r="V9" s="2">
        <v>57.5</v>
      </c>
      <c r="W9" s="2" t="s">
        <v>7862</v>
      </c>
      <c r="X9" s="2" t="s">
        <v>5405</v>
      </c>
      <c r="Y9" s="2">
        <v>934650</v>
      </c>
      <c r="Z9" s="19" t="str">
        <f>HYPERLINK("https://ssdweb.co/ssdweb/hd/Vision360.html?d=923830001&amp;zoomslide=1&amp;z=1923830001&amp;ISCONFIRM=0","VIDEO")</f>
        <v>VIDEO</v>
      </c>
      <c r="AA9" s="19" t="str">
        <f>HYPERLINK("https://ssdweb.co/ssdweb/CERTH/559200994.pdf","CERTI")</f>
        <v>CERTI</v>
      </c>
    </row>
    <row r="10" spans="1:27" ht="15" x14ac:dyDescent="0.25">
      <c r="A10" s="2">
        <v>5</v>
      </c>
      <c r="B10" s="39">
        <v>923830005</v>
      </c>
      <c r="C10" s="28" t="str">
        <f>HYPERLINK("https://pld.live/RapDetail.aspx?STONELIST=923830005","DNA")</f>
        <v>DNA</v>
      </c>
      <c r="D10" s="18" t="s">
        <v>2896</v>
      </c>
      <c r="E10" s="18" t="s">
        <v>2186</v>
      </c>
      <c r="F10" s="2" t="s">
        <v>7987</v>
      </c>
      <c r="G10" s="2" t="s">
        <v>861</v>
      </c>
      <c r="H10" s="14">
        <v>9.1300000000000008</v>
      </c>
      <c r="I10" s="2" t="s">
        <v>4761</v>
      </c>
      <c r="J10" s="2" t="s">
        <v>13</v>
      </c>
      <c r="K10" s="2" t="s">
        <v>3390</v>
      </c>
      <c r="L10" s="2" t="s">
        <v>5221</v>
      </c>
      <c r="M10" s="2" t="s">
        <v>5221</v>
      </c>
      <c r="N10" s="2" t="s">
        <v>2317</v>
      </c>
      <c r="O10" s="14">
        <v>59500</v>
      </c>
      <c r="P10" s="14">
        <v>99.37</v>
      </c>
      <c r="Q10" s="14">
        <v>374.85</v>
      </c>
      <c r="R10" s="14">
        <v>3422.38</v>
      </c>
      <c r="S10" s="2" t="s">
        <v>2229</v>
      </c>
      <c r="T10" s="2">
        <v>1</v>
      </c>
      <c r="U10" s="2">
        <v>59.4</v>
      </c>
      <c r="V10" s="2">
        <v>59</v>
      </c>
      <c r="W10" s="2" t="s">
        <v>7862</v>
      </c>
      <c r="X10" s="2" t="s">
        <v>5405</v>
      </c>
      <c r="Y10" s="2">
        <v>543235</v>
      </c>
      <c r="Z10" s="19" t="str">
        <f>HYPERLINK("https://ssdweb.co/ssdweb/hd/Vision360.html?d=923830005&amp;zoomslide=1&amp;z=1923830005&amp;ISCONFIRM=0","VIDEO")</f>
        <v>VIDEO</v>
      </c>
      <c r="AA10" s="19" t="str">
        <f>HYPERLINK("https://ssdweb.co/ssdweb/CERTH/561250562.pdf","CERTI")</f>
        <v>CERTI</v>
      </c>
    </row>
    <row r="11" spans="1:27" ht="15" x14ac:dyDescent="0.25">
      <c r="A11" s="2">
        <v>6</v>
      </c>
      <c r="B11" s="39">
        <v>924500061</v>
      </c>
      <c r="C11" s="28" t="str">
        <f>HYPERLINK("https://pld.live/RapDetail.aspx?STONELIST=924500061","DNA")</f>
        <v>DNA</v>
      </c>
      <c r="D11" s="18" t="s">
        <v>3174</v>
      </c>
      <c r="E11" s="18" t="s">
        <v>2186</v>
      </c>
      <c r="F11" s="2" t="s">
        <v>7987</v>
      </c>
      <c r="G11" s="2" t="s">
        <v>861</v>
      </c>
      <c r="H11" s="14">
        <v>5.99</v>
      </c>
      <c r="I11" s="2" t="s">
        <v>1066</v>
      </c>
      <c r="J11" s="2" t="s">
        <v>13</v>
      </c>
      <c r="K11" s="2" t="s">
        <v>5221</v>
      </c>
      <c r="L11" s="2" t="s">
        <v>5221</v>
      </c>
      <c r="M11" s="2" t="s">
        <v>5221</v>
      </c>
      <c r="N11" s="2" t="s">
        <v>924</v>
      </c>
      <c r="O11" s="14">
        <v>12500</v>
      </c>
      <c r="P11" s="14">
        <v>97.2</v>
      </c>
      <c r="Q11" s="14">
        <v>350</v>
      </c>
      <c r="R11" s="14">
        <v>2096.5</v>
      </c>
      <c r="S11" s="2" t="s">
        <v>6462</v>
      </c>
      <c r="T11" s="2">
        <v>1.01</v>
      </c>
      <c r="U11" s="2">
        <v>60.7</v>
      </c>
      <c r="V11" s="2">
        <v>60</v>
      </c>
      <c r="W11" s="2" t="s">
        <v>7862</v>
      </c>
      <c r="X11" s="2" t="s">
        <v>5405</v>
      </c>
      <c r="Y11" s="2">
        <v>74875</v>
      </c>
      <c r="Z11" s="19" t="str">
        <f>HYPERLINK("https://ssdweb.co/ssdweb/hd/Vision360.html?d=924500061&amp;zoomslide=1&amp;z=1924500061&amp;ISCONFIRM=0","VIDEO")</f>
        <v>VIDEO</v>
      </c>
      <c r="AA11" s="19" t="str">
        <f>HYPERLINK("https://ssdweb.co/ssdweb/CERTH/651454586.pdf","CERTI")</f>
        <v>CERTI</v>
      </c>
    </row>
    <row r="12" spans="1:27" ht="15" x14ac:dyDescent="0.25">
      <c r="A12" s="2">
        <v>7</v>
      </c>
      <c r="B12" s="39">
        <v>831020742</v>
      </c>
      <c r="C12" s="28" t="str">
        <f>HYPERLINK("https://pld.live/RapDetail.aspx?STONELIST=831020742","DNA")</f>
        <v>DNA</v>
      </c>
      <c r="D12" s="18" t="s">
        <v>3174</v>
      </c>
      <c r="E12" s="18" t="s">
        <v>2186</v>
      </c>
      <c r="F12" s="2" t="s">
        <v>7987</v>
      </c>
      <c r="G12" s="2" t="s">
        <v>861</v>
      </c>
      <c r="H12" s="14">
        <v>5.61</v>
      </c>
      <c r="I12" s="2" t="s">
        <v>6587</v>
      </c>
      <c r="J12" s="2" t="s">
        <v>5144</v>
      </c>
      <c r="K12" s="2" t="s">
        <v>3390</v>
      </c>
      <c r="L12" s="2" t="s">
        <v>5221</v>
      </c>
      <c r="M12" s="2" t="s">
        <v>5221</v>
      </c>
      <c r="N12" s="2" t="s">
        <v>2317</v>
      </c>
      <c r="O12" s="14">
        <v>39500</v>
      </c>
      <c r="P12" s="14">
        <v>99.62</v>
      </c>
      <c r="Q12" s="14">
        <v>150.1</v>
      </c>
      <c r="R12" s="14">
        <v>842.06</v>
      </c>
      <c r="S12" s="2" t="s">
        <v>426</v>
      </c>
      <c r="T12" s="2">
        <v>1</v>
      </c>
      <c r="U12" s="2">
        <v>62.1</v>
      </c>
      <c r="V12" s="2">
        <v>59</v>
      </c>
      <c r="W12" s="2" t="s">
        <v>7862</v>
      </c>
      <c r="X12" s="2" t="s">
        <v>5405</v>
      </c>
      <c r="Y12" s="2">
        <v>221595</v>
      </c>
      <c r="Z12" s="19" t="str">
        <f>HYPERLINK("https://ssdweb.co/ssdweb/hd/Vision360.html?d=831020742&amp;zoomslide=1&amp;z=1831020742&amp;ISCONFIRM=0","VIDEO")</f>
        <v>VIDEO</v>
      </c>
      <c r="AA12" s="19" t="str">
        <f>HYPERLINK("https://ssdweb.co/ssdweb/CERTH/536278203.pdf","CERTI")</f>
        <v>CERTI</v>
      </c>
    </row>
    <row r="13" spans="1:27" ht="15" x14ac:dyDescent="0.25">
      <c r="A13" s="2">
        <v>8</v>
      </c>
      <c r="B13" s="39">
        <v>924530001</v>
      </c>
      <c r="C13" s="28" t="str">
        <f>HYPERLINK("https://pld.live/RapDetail.aspx?STONELIST=924530001","DNA")</f>
        <v>DNA</v>
      </c>
      <c r="D13" s="18" t="s">
        <v>3174</v>
      </c>
      <c r="E13" s="18" t="s">
        <v>2186</v>
      </c>
      <c r="F13" s="2" t="s">
        <v>5597</v>
      </c>
      <c r="G13" s="2" t="s">
        <v>861</v>
      </c>
      <c r="H13" s="14">
        <v>5.31</v>
      </c>
      <c r="I13" s="2" t="s">
        <v>4699</v>
      </c>
      <c r="J13" s="2" t="s">
        <v>13</v>
      </c>
      <c r="K13" s="2" t="s">
        <v>5221</v>
      </c>
      <c r="L13" s="2" t="s">
        <v>5221</v>
      </c>
      <c r="M13" s="2" t="s">
        <v>5221</v>
      </c>
      <c r="N13" s="2" t="s">
        <v>2317</v>
      </c>
      <c r="O13" s="14">
        <v>54000</v>
      </c>
      <c r="P13" s="14">
        <v>99.4</v>
      </c>
      <c r="Q13" s="14">
        <v>324</v>
      </c>
      <c r="R13" s="14">
        <v>1720.44</v>
      </c>
      <c r="S13" s="2" t="s">
        <v>403</v>
      </c>
      <c r="T13" s="2">
        <v>1</v>
      </c>
      <c r="U13" s="2">
        <v>61.1</v>
      </c>
      <c r="V13" s="2">
        <v>59</v>
      </c>
      <c r="W13" s="2" t="s">
        <v>7862</v>
      </c>
      <c r="X13" s="2" t="s">
        <v>5405</v>
      </c>
      <c r="Y13" s="2">
        <v>286740</v>
      </c>
      <c r="Z13" s="19" t="str">
        <f>HYPERLINK("https://ssdweb.co/ssdweb/hd/Vision360.html?d=924530001&amp;zoomslide=1&amp;z=1924530001&amp;ISCONFIRM=0","VIDEO")</f>
        <v>VIDEO</v>
      </c>
      <c r="AA13" s="19" t="str">
        <f>HYPERLINK("https://ssdweb.co/ssdweb/CERTH/2477206170.pdf","CERTI")</f>
        <v>CERTI</v>
      </c>
    </row>
    <row r="14" spans="1:27" ht="15" x14ac:dyDescent="0.25">
      <c r="A14" s="2">
        <v>9</v>
      </c>
      <c r="B14" s="39">
        <v>927120014</v>
      </c>
      <c r="C14" s="28" t="str">
        <f>HYPERLINK("https://pld.live/RapDetail.aspx?STONELIST=927120014","DNA")</f>
        <v>DNA</v>
      </c>
      <c r="D14" s="18" t="s">
        <v>3174</v>
      </c>
      <c r="E14" s="18" t="s">
        <v>2186</v>
      </c>
      <c r="F14" s="2" t="s">
        <v>7987</v>
      </c>
      <c r="G14" s="2" t="s">
        <v>861</v>
      </c>
      <c r="H14" s="14">
        <v>5.25</v>
      </c>
      <c r="I14" s="2" t="s">
        <v>4699</v>
      </c>
      <c r="J14" s="2" t="s">
        <v>13</v>
      </c>
      <c r="K14" s="2" t="s">
        <v>3390</v>
      </c>
      <c r="L14" s="2" t="s">
        <v>5221</v>
      </c>
      <c r="M14" s="2" t="s">
        <v>5221</v>
      </c>
      <c r="N14" s="2" t="s">
        <v>2317</v>
      </c>
      <c r="O14" s="14">
        <v>54000</v>
      </c>
      <c r="P14" s="14">
        <v>99.69</v>
      </c>
      <c r="Q14" s="14">
        <v>167.4</v>
      </c>
      <c r="R14" s="14">
        <v>878.85</v>
      </c>
      <c r="S14" s="2" t="s">
        <v>6378</v>
      </c>
      <c r="T14" s="2">
        <v>1.01</v>
      </c>
      <c r="U14" s="2">
        <v>61.1</v>
      </c>
      <c r="V14" s="2">
        <v>59</v>
      </c>
      <c r="W14" s="2" t="s">
        <v>7862</v>
      </c>
      <c r="X14" s="2" t="s">
        <v>5405</v>
      </c>
      <c r="Y14" s="2">
        <v>283500</v>
      </c>
      <c r="Z14" s="19" t="str">
        <f>HYPERLINK("https://ssdweb.co/ssdweb/hd/Vision360.html?d=927120014&amp;zoomslide=1&amp;z=1927120014&amp;ISCONFIRM=0","VIDEO")</f>
        <v>VIDEO</v>
      </c>
      <c r="AA14" s="19" t="str">
        <f>HYPERLINK("https://ssdweb.co/ssdweb/CERTH/662473882.pdf","CERTI")</f>
        <v>CERTI</v>
      </c>
    </row>
    <row r="15" spans="1:27" ht="15" x14ac:dyDescent="0.25">
      <c r="A15" s="2">
        <v>10</v>
      </c>
      <c r="B15" s="39">
        <v>831020425</v>
      </c>
      <c r="C15" s="28" t="str">
        <f>HYPERLINK("https://pld.live/RapDetail.aspx?STONELIST=831020425","DNA")</f>
        <v>DNA</v>
      </c>
      <c r="D15" s="18" t="s">
        <v>3174</v>
      </c>
      <c r="E15" s="18" t="s">
        <v>2186</v>
      </c>
      <c r="F15" s="2" t="s">
        <v>5597</v>
      </c>
      <c r="G15" s="2" t="s">
        <v>861</v>
      </c>
      <c r="H15" s="14">
        <v>5.24</v>
      </c>
      <c r="I15" s="2" t="s">
        <v>4699</v>
      </c>
      <c r="J15" s="2" t="s">
        <v>5144</v>
      </c>
      <c r="K15" s="2" t="s">
        <v>5221</v>
      </c>
      <c r="L15" s="2" t="s">
        <v>5221</v>
      </c>
      <c r="M15" s="2" t="s">
        <v>5221</v>
      </c>
      <c r="N15" s="2" t="s">
        <v>2317</v>
      </c>
      <c r="O15" s="14">
        <v>46500</v>
      </c>
      <c r="P15" s="14">
        <v>99.33</v>
      </c>
      <c r="Q15" s="14">
        <v>311.55</v>
      </c>
      <c r="R15" s="14">
        <v>1632.52</v>
      </c>
      <c r="S15" s="2" t="s">
        <v>2794</v>
      </c>
      <c r="T15" s="2">
        <v>1.01</v>
      </c>
      <c r="U15" s="2">
        <v>61.8</v>
      </c>
      <c r="V15" s="2">
        <v>59</v>
      </c>
      <c r="W15" s="2" t="s">
        <v>7862</v>
      </c>
      <c r="X15" s="2" t="s">
        <v>5405</v>
      </c>
      <c r="Y15" s="2">
        <v>243660</v>
      </c>
      <c r="Z15" s="19" t="str">
        <f>HYPERLINK("https://ssdweb.co/ssdweb/hd/Vision360.html?d=831020425&amp;zoomslide=1&amp;z=1831020425&amp;ISCONFIRM=0","VIDEO")</f>
        <v>VIDEO</v>
      </c>
      <c r="AA15" s="19" t="str">
        <f>HYPERLINK("https://ssdweb.co/ssdweb/CERTH/6452752777.pdf","CERTI")</f>
        <v>CERTI</v>
      </c>
    </row>
    <row r="16" spans="1:27" ht="15" x14ac:dyDescent="0.25">
      <c r="A16" s="2">
        <v>11</v>
      </c>
      <c r="B16" s="39">
        <v>925400033</v>
      </c>
      <c r="C16" s="28" t="str">
        <f>HYPERLINK("https://pld.live/RapDetail.aspx?STONELIST=925400033","DNA")</f>
        <v>DNA</v>
      </c>
      <c r="D16" s="18" t="s">
        <v>3174</v>
      </c>
      <c r="E16" s="18" t="s">
        <v>2186</v>
      </c>
      <c r="F16" s="2" t="s">
        <v>7987</v>
      </c>
      <c r="G16" s="2" t="s">
        <v>861</v>
      </c>
      <c r="H16" s="14">
        <v>5.22</v>
      </c>
      <c r="I16" s="2" t="s">
        <v>1505</v>
      </c>
      <c r="J16" s="2" t="s">
        <v>13</v>
      </c>
      <c r="K16" s="2" t="s">
        <v>3390</v>
      </c>
      <c r="L16" s="2" t="s">
        <v>5221</v>
      </c>
      <c r="M16" s="2" t="s">
        <v>5221</v>
      </c>
      <c r="N16" s="2" t="s">
        <v>2317</v>
      </c>
      <c r="O16" s="14">
        <v>36000</v>
      </c>
      <c r="P16" s="14">
        <v>99.58</v>
      </c>
      <c r="Q16" s="14">
        <v>151.19999999999999</v>
      </c>
      <c r="R16" s="14">
        <v>789.26</v>
      </c>
      <c r="S16" s="2" t="s">
        <v>2785</v>
      </c>
      <c r="T16" s="2">
        <v>1.01</v>
      </c>
      <c r="U16" s="2">
        <v>59</v>
      </c>
      <c r="V16" s="2">
        <v>60</v>
      </c>
      <c r="W16" s="2" t="s">
        <v>8016</v>
      </c>
      <c r="X16" s="2" t="s">
        <v>5405</v>
      </c>
      <c r="Y16" s="2">
        <v>187920</v>
      </c>
      <c r="Z16" s="19" t="str">
        <f>HYPERLINK("https://ssdweb.co/ssdweb/hd/Vision360.html?d=925400033&amp;zoomslide=1&amp;z=1925400033&amp;ISCONFIRM=0","VIDEO")</f>
        <v>VIDEO</v>
      </c>
      <c r="AA16" s="19" t="str">
        <f>HYPERLINK("https://ssdweb.co/ssdweb/CERTH/617485856.pdf","CERTI")</f>
        <v>CERTI</v>
      </c>
    </row>
    <row r="17" spans="1:27" ht="15" x14ac:dyDescent="0.25">
      <c r="A17" s="2">
        <v>12</v>
      </c>
      <c r="B17" s="39">
        <v>924500010</v>
      </c>
      <c r="C17" s="28" t="str">
        <f>HYPERLINK("https://pld.live/RapDetail.aspx?STONELIST=924500010","DNA")</f>
        <v>DNA</v>
      </c>
      <c r="D17" s="18" t="s">
        <v>3174</v>
      </c>
      <c r="E17" s="18" t="s">
        <v>2186</v>
      </c>
      <c r="F17" s="2" t="s">
        <v>7987</v>
      </c>
      <c r="G17" s="2" t="s">
        <v>861</v>
      </c>
      <c r="H17" s="14">
        <v>5.22</v>
      </c>
      <c r="I17" s="2" t="s">
        <v>1505</v>
      </c>
      <c r="J17" s="2" t="s">
        <v>5144</v>
      </c>
      <c r="K17" s="2" t="s">
        <v>3390</v>
      </c>
      <c r="L17" s="2" t="s">
        <v>5221</v>
      </c>
      <c r="M17" s="2" t="s">
        <v>5221</v>
      </c>
      <c r="N17" s="2" t="s">
        <v>2317</v>
      </c>
      <c r="O17" s="14">
        <v>32500</v>
      </c>
      <c r="P17" s="14">
        <v>99.55</v>
      </c>
      <c r="Q17" s="14">
        <v>146.25</v>
      </c>
      <c r="R17" s="14">
        <v>763.43</v>
      </c>
      <c r="S17" s="2" t="s">
        <v>2570</v>
      </c>
      <c r="T17" s="2">
        <v>1.01</v>
      </c>
      <c r="U17" s="2">
        <v>59.4</v>
      </c>
      <c r="V17" s="2">
        <v>59</v>
      </c>
      <c r="W17" s="2" t="s">
        <v>7862</v>
      </c>
      <c r="X17" s="2" t="s">
        <v>5405</v>
      </c>
      <c r="Y17" s="2">
        <v>169650</v>
      </c>
      <c r="Z17" s="19" t="str">
        <f>HYPERLINK("https://ssdweb.co/ssdweb/hd/Vision360.html?d=924500010&amp;zoomslide=1&amp;z=1924500010&amp;ISCONFIRM=0","VIDEO")</f>
        <v>VIDEO</v>
      </c>
      <c r="AA17" s="19" t="str">
        <f>HYPERLINK("https://ssdweb.co/ssdweb/CERTH/592361062.pdf","CERTI")</f>
        <v>CERTI</v>
      </c>
    </row>
    <row r="18" spans="1:27" ht="15" x14ac:dyDescent="0.25">
      <c r="A18" s="2">
        <v>13</v>
      </c>
      <c r="B18" s="39">
        <v>924530061</v>
      </c>
      <c r="C18" s="28" t="str">
        <f>HYPERLINK("https://pld.live/RapDetail.aspx?STONELIST=924530061","DNA")</f>
        <v>DNA</v>
      </c>
      <c r="D18" s="18" t="s">
        <v>3174</v>
      </c>
      <c r="E18" s="18" t="s">
        <v>2186</v>
      </c>
      <c r="F18" s="2" t="s">
        <v>5597</v>
      </c>
      <c r="G18" s="2" t="s">
        <v>861</v>
      </c>
      <c r="H18" s="14">
        <v>5.2</v>
      </c>
      <c r="I18" s="2" t="s">
        <v>4761</v>
      </c>
      <c r="J18" s="2" t="s">
        <v>5144</v>
      </c>
      <c r="K18" s="2" t="s">
        <v>5221</v>
      </c>
      <c r="L18" s="2" t="s">
        <v>5221</v>
      </c>
      <c r="M18" s="2" t="s">
        <v>5221</v>
      </c>
      <c r="N18" s="2" t="s">
        <v>2317</v>
      </c>
      <c r="O18" s="14">
        <v>52000</v>
      </c>
      <c r="P18" s="14">
        <v>99.33</v>
      </c>
      <c r="Q18" s="14">
        <v>348.4</v>
      </c>
      <c r="R18" s="14">
        <v>1811.68</v>
      </c>
      <c r="S18" s="2" t="s">
        <v>3126</v>
      </c>
      <c r="T18" s="2">
        <v>1.01</v>
      </c>
      <c r="U18" s="2">
        <v>62.6</v>
      </c>
      <c r="V18" s="2">
        <v>59</v>
      </c>
      <c r="W18" s="2" t="s">
        <v>7862</v>
      </c>
      <c r="X18" s="2" t="s">
        <v>5405</v>
      </c>
      <c r="Y18" s="2">
        <v>270400</v>
      </c>
      <c r="Z18" s="19" t="str">
        <f>HYPERLINK("https://ssdweb.co/ssdweb/hd/Vision360.html?d=924530061&amp;zoomslide=1&amp;z=1924530061&amp;ISCONFIRM=0","VIDEO")</f>
        <v>VIDEO</v>
      </c>
      <c r="AA18" s="19" t="str">
        <f>HYPERLINK("https://ssdweb.co/ssdweb/CERTH/7476522295.pdf","CERTI")</f>
        <v>CERTI</v>
      </c>
    </row>
    <row r="19" spans="1:27" ht="15" x14ac:dyDescent="0.25">
      <c r="A19" s="2">
        <v>14</v>
      </c>
      <c r="B19" s="39">
        <v>925400022</v>
      </c>
      <c r="C19" s="28" t="str">
        <f>HYPERLINK("https://pld.live/RapDetail.aspx?STONELIST=925400022","DNA")</f>
        <v>DNA</v>
      </c>
      <c r="D19" s="18" t="s">
        <v>3174</v>
      </c>
      <c r="E19" s="18" t="s">
        <v>2186</v>
      </c>
      <c r="F19" s="2" t="s">
        <v>7987</v>
      </c>
      <c r="G19" s="2" t="s">
        <v>861</v>
      </c>
      <c r="H19" s="14">
        <v>5.17</v>
      </c>
      <c r="I19" s="2" t="s">
        <v>6845</v>
      </c>
      <c r="J19" s="2" t="s">
        <v>13</v>
      </c>
      <c r="K19" s="2" t="s">
        <v>5221</v>
      </c>
      <c r="L19" s="2" t="s">
        <v>5221</v>
      </c>
      <c r="M19" s="2" t="s">
        <v>5221</v>
      </c>
      <c r="N19" s="2" t="s">
        <v>2317</v>
      </c>
      <c r="O19" s="14">
        <v>12500</v>
      </c>
      <c r="P19" s="14">
        <v>97.36</v>
      </c>
      <c r="Q19" s="14">
        <v>330</v>
      </c>
      <c r="R19" s="14">
        <v>1706.1</v>
      </c>
      <c r="S19" s="2" t="s">
        <v>7912</v>
      </c>
      <c r="T19" s="2">
        <v>1.01</v>
      </c>
      <c r="U19" s="2">
        <v>60.5</v>
      </c>
      <c r="V19" s="2">
        <v>61</v>
      </c>
      <c r="W19" s="2" t="s">
        <v>7862</v>
      </c>
      <c r="X19" s="2" t="s">
        <v>5405</v>
      </c>
      <c r="Y19" s="2">
        <v>64625</v>
      </c>
      <c r="Z19" s="19" t="str">
        <f>HYPERLINK("https://ssdweb.co/ssdweb/hd/Vision360.html?d=925400022&amp;zoomslide=1&amp;z=1925400022&amp;ISCONFIRM=0","VIDEO")</f>
        <v>VIDEO</v>
      </c>
      <c r="AA19" s="19" t="str">
        <f>HYPERLINK("https://ssdweb.co/ssdweb/CERTH/668437270.pdf","CERTI")</f>
        <v>CERTI</v>
      </c>
    </row>
    <row r="20" spans="1:27" ht="15" x14ac:dyDescent="0.25">
      <c r="A20" s="2">
        <v>15</v>
      </c>
      <c r="B20" s="39">
        <v>831020673</v>
      </c>
      <c r="C20" s="28" t="str">
        <f>HYPERLINK("https://pld.live/RapDetail.aspx?STONELIST=831020673","DNA")</f>
        <v>DNA</v>
      </c>
      <c r="D20" s="18" t="s">
        <v>3174</v>
      </c>
      <c r="E20" s="18" t="s">
        <v>2186</v>
      </c>
      <c r="F20" s="2" t="s">
        <v>7987</v>
      </c>
      <c r="G20" s="2" t="s">
        <v>861</v>
      </c>
      <c r="H20" s="14">
        <v>5.13</v>
      </c>
      <c r="I20" s="2" t="s">
        <v>6587</v>
      </c>
      <c r="J20" s="2" t="s">
        <v>3942</v>
      </c>
      <c r="K20" s="2" t="s">
        <v>3390</v>
      </c>
      <c r="L20" s="2" t="s">
        <v>5221</v>
      </c>
      <c r="M20" s="2" t="s">
        <v>5221</v>
      </c>
      <c r="N20" s="2" t="s">
        <v>2317</v>
      </c>
      <c r="O20" s="14">
        <v>50500</v>
      </c>
      <c r="P20" s="14">
        <v>99.69</v>
      </c>
      <c r="Q20" s="14">
        <v>156.55000000000001</v>
      </c>
      <c r="R20" s="14">
        <v>803.1</v>
      </c>
      <c r="S20" s="2" t="s">
        <v>1233</v>
      </c>
      <c r="T20" s="2">
        <v>1.01</v>
      </c>
      <c r="U20" s="2">
        <v>62.4</v>
      </c>
      <c r="V20" s="2">
        <v>57</v>
      </c>
      <c r="W20" s="2" t="s">
        <v>7862</v>
      </c>
      <c r="X20" s="2" t="s">
        <v>5405</v>
      </c>
      <c r="Y20" s="2">
        <v>259065</v>
      </c>
      <c r="Z20" s="19" t="str">
        <f>HYPERLINK("https://ssdweb.co/ssdweb/hd/Vision360.html?d=831020673&amp;zoomslide=1&amp;z=1831020673&amp;ISCONFIRM=0","VIDEO")</f>
        <v>VIDEO</v>
      </c>
      <c r="AA20" s="19" t="str">
        <f>HYPERLINK("https://ssdweb.co/ssdweb/CERTH/528240491.pdf","CERTI")</f>
        <v>CERTI</v>
      </c>
    </row>
    <row r="21" spans="1:27" ht="15" x14ac:dyDescent="0.25">
      <c r="A21" s="2">
        <v>16</v>
      </c>
      <c r="B21" s="39">
        <v>941330505</v>
      </c>
      <c r="C21" s="28" t="str">
        <f>HYPERLINK("https://pld.live/RapDetail.aspx?STONELIST=941330505","DNA")</f>
        <v>DNA</v>
      </c>
      <c r="D21" s="18" t="s">
        <v>3174</v>
      </c>
      <c r="E21" s="18" t="s">
        <v>2186</v>
      </c>
      <c r="F21" s="2" t="s">
        <v>7987</v>
      </c>
      <c r="G21" s="2" t="s">
        <v>861</v>
      </c>
      <c r="H21" s="14">
        <v>5.04</v>
      </c>
      <c r="I21" s="2" t="s">
        <v>4761</v>
      </c>
      <c r="J21" s="2" t="s">
        <v>3942</v>
      </c>
      <c r="K21" s="2" t="s">
        <v>3390</v>
      </c>
      <c r="L21" s="2" t="s">
        <v>5221</v>
      </c>
      <c r="M21" s="2" t="s">
        <v>5221</v>
      </c>
      <c r="N21" s="2" t="s">
        <v>2317</v>
      </c>
      <c r="O21" s="14">
        <v>67000</v>
      </c>
      <c r="P21" s="14">
        <v>99.7</v>
      </c>
      <c r="Q21" s="14">
        <v>201</v>
      </c>
      <c r="R21" s="14">
        <v>1013.04</v>
      </c>
      <c r="S21" s="2" t="s">
        <v>6803</v>
      </c>
      <c r="T21" s="2">
        <v>1</v>
      </c>
      <c r="U21" s="2">
        <v>61.1</v>
      </c>
      <c r="V21" s="2">
        <v>58</v>
      </c>
      <c r="W21" s="2" t="s">
        <v>7862</v>
      </c>
      <c r="X21" s="2" t="s">
        <v>5405</v>
      </c>
      <c r="Y21" s="2">
        <v>337680</v>
      </c>
      <c r="Z21" s="19" t="str">
        <f>HYPERLINK("https://ssdweb.co/ssdweb/hd/Vision360.html?d=941330505&amp;zoomslide=1&amp;z=1941330505&amp;ISCONFIRM=0","VIDEO")</f>
        <v>VIDEO</v>
      </c>
      <c r="AA21" s="19" t="str">
        <f>HYPERLINK("https://ssdweb.co/ssdweb/CERTH/687591741.pdf","CERTI")</f>
        <v>CERTI</v>
      </c>
    </row>
    <row r="22" spans="1:27" ht="15" x14ac:dyDescent="0.25">
      <c r="A22" s="2">
        <v>17</v>
      </c>
      <c r="B22" s="39">
        <v>941330479</v>
      </c>
      <c r="C22" s="28" t="str">
        <f>HYPERLINK("https://pld.live/RapDetail.aspx?STONELIST=941330479","DNA")</f>
        <v>DNA</v>
      </c>
      <c r="D22" s="18" t="s">
        <v>3174</v>
      </c>
      <c r="E22" s="18" t="s">
        <v>2186</v>
      </c>
      <c r="F22" s="2" t="s">
        <v>7987</v>
      </c>
      <c r="G22" s="2" t="s">
        <v>861</v>
      </c>
      <c r="H22" s="14">
        <v>5.04</v>
      </c>
      <c r="I22" s="2" t="s">
        <v>4761</v>
      </c>
      <c r="J22" s="2" t="s">
        <v>3942</v>
      </c>
      <c r="K22" s="2" t="s">
        <v>3390</v>
      </c>
      <c r="L22" s="2" t="s">
        <v>5221</v>
      </c>
      <c r="M22" s="2" t="s">
        <v>5221</v>
      </c>
      <c r="N22" s="2" t="s">
        <v>2317</v>
      </c>
      <c r="O22" s="14">
        <v>67000</v>
      </c>
      <c r="P22" s="14">
        <v>99.7</v>
      </c>
      <c r="Q22" s="14">
        <v>201</v>
      </c>
      <c r="R22" s="14">
        <v>1013.04</v>
      </c>
      <c r="S22" s="2" t="s">
        <v>7475</v>
      </c>
      <c r="T22" s="2">
        <v>1.01</v>
      </c>
      <c r="U22" s="2">
        <v>60.5</v>
      </c>
      <c r="V22" s="2">
        <v>58</v>
      </c>
      <c r="W22" s="2" t="s">
        <v>7862</v>
      </c>
      <c r="X22" s="2" t="s">
        <v>5405</v>
      </c>
      <c r="Y22" s="2">
        <v>337680</v>
      </c>
      <c r="Z22" s="19" t="str">
        <f>HYPERLINK("https://ssdweb.co/ssdweb/hd/Vision360.html?d=941330479&amp;zoomslide=1&amp;z=1941330479&amp;ISCONFIRM=0","VIDEO")</f>
        <v>VIDEO</v>
      </c>
      <c r="AA22" s="19" t="str">
        <f>HYPERLINK("https://ssdweb.co/ssdweb/CERTH/687591736.pdf","CERTI")</f>
        <v>CERTI</v>
      </c>
    </row>
    <row r="23" spans="1:27" ht="15" x14ac:dyDescent="0.25">
      <c r="A23" s="2">
        <v>18</v>
      </c>
      <c r="B23" s="39">
        <v>941330348</v>
      </c>
      <c r="C23" s="28" t="str">
        <f>HYPERLINK("https://pld.live/RapDetail.aspx?STONELIST=941330348","DNA")</f>
        <v>DNA</v>
      </c>
      <c r="D23" s="18" t="s">
        <v>3174</v>
      </c>
      <c r="E23" s="18" t="s">
        <v>2186</v>
      </c>
      <c r="F23" s="2" t="s">
        <v>7987</v>
      </c>
      <c r="G23" s="2" t="s">
        <v>861</v>
      </c>
      <c r="H23" s="14">
        <v>5.04</v>
      </c>
      <c r="I23" s="2" t="s">
        <v>4761</v>
      </c>
      <c r="J23" s="2" t="s">
        <v>3942</v>
      </c>
      <c r="K23" s="2" t="s">
        <v>3390</v>
      </c>
      <c r="L23" s="2" t="s">
        <v>5221</v>
      </c>
      <c r="M23" s="2" t="s">
        <v>5221</v>
      </c>
      <c r="N23" s="2" t="s">
        <v>2317</v>
      </c>
      <c r="O23" s="14">
        <v>67000</v>
      </c>
      <c r="P23" s="14">
        <v>99.7</v>
      </c>
      <c r="Q23" s="14">
        <v>201</v>
      </c>
      <c r="R23" s="14">
        <v>1013.04</v>
      </c>
      <c r="S23" s="2" t="s">
        <v>1683</v>
      </c>
      <c r="T23" s="2">
        <v>1</v>
      </c>
      <c r="U23" s="2">
        <v>60.2</v>
      </c>
      <c r="V23" s="2">
        <v>58</v>
      </c>
      <c r="W23" s="2" t="s">
        <v>7862</v>
      </c>
      <c r="X23" s="2" t="s">
        <v>5405</v>
      </c>
      <c r="Y23" s="2">
        <v>337680</v>
      </c>
      <c r="Z23" s="19" t="str">
        <f>HYPERLINK("https://ssdweb.co/ssdweb/hd/Vision360.html?d=941330348&amp;zoomslide=1&amp;z=1941330348&amp;ISCONFIRM=0","VIDEO")</f>
        <v>VIDEO</v>
      </c>
      <c r="AA23" s="19" t="str">
        <f>HYPERLINK("https://ssdweb.co/ssdweb/CERTH/687573313.pdf","CERTI")</f>
        <v>CERTI</v>
      </c>
    </row>
    <row r="24" spans="1:27" ht="15" x14ac:dyDescent="0.25">
      <c r="A24" s="2">
        <v>19</v>
      </c>
      <c r="B24" s="39">
        <v>941330349</v>
      </c>
      <c r="C24" s="28" t="str">
        <f>HYPERLINK("https://pld.live/RapDetail.aspx?STONELIST=941330349","DNA")</f>
        <v>DNA</v>
      </c>
      <c r="D24" s="18" t="s">
        <v>3174</v>
      </c>
      <c r="E24" s="18" t="s">
        <v>2186</v>
      </c>
      <c r="F24" s="2" t="s">
        <v>7987</v>
      </c>
      <c r="G24" s="2" t="s">
        <v>861</v>
      </c>
      <c r="H24" s="14">
        <v>5.04</v>
      </c>
      <c r="I24" s="2" t="s">
        <v>4761</v>
      </c>
      <c r="J24" s="2" t="s">
        <v>3942</v>
      </c>
      <c r="K24" s="2" t="s">
        <v>3390</v>
      </c>
      <c r="L24" s="2" t="s">
        <v>5221</v>
      </c>
      <c r="M24" s="2" t="s">
        <v>5221</v>
      </c>
      <c r="N24" s="2" t="s">
        <v>2317</v>
      </c>
      <c r="O24" s="14">
        <v>67000</v>
      </c>
      <c r="P24" s="14">
        <v>99.7</v>
      </c>
      <c r="Q24" s="14">
        <v>201</v>
      </c>
      <c r="R24" s="14">
        <v>1013.04</v>
      </c>
      <c r="S24" s="2" t="s">
        <v>1644</v>
      </c>
      <c r="T24" s="2">
        <v>1</v>
      </c>
      <c r="U24" s="2">
        <v>62</v>
      </c>
      <c r="V24" s="2">
        <v>57</v>
      </c>
      <c r="W24" s="2" t="s">
        <v>7862</v>
      </c>
      <c r="X24" s="2" t="s">
        <v>5405</v>
      </c>
      <c r="Y24" s="2">
        <v>337680</v>
      </c>
      <c r="Z24" s="19" t="str">
        <f>HYPERLINK("https://ssdweb.co/ssdweb/hd/Vision360.html?d=941330349&amp;zoomslide=1&amp;z=1941330349&amp;ISCONFIRM=0","VIDEO")</f>
        <v>VIDEO</v>
      </c>
      <c r="AA24" s="19" t="str">
        <f>HYPERLINK("https://ssdweb.co/ssdweb/CERTH/687573314.pdf","CERTI")</f>
        <v>CERTI</v>
      </c>
    </row>
    <row r="25" spans="1:27" ht="15" x14ac:dyDescent="0.25">
      <c r="A25" s="2">
        <v>20</v>
      </c>
      <c r="B25" s="39">
        <v>941330408</v>
      </c>
      <c r="C25" s="28" t="str">
        <f>HYPERLINK("https://pld.live/RapDetail.aspx?STONELIST=941330408","DNA")</f>
        <v>DNA</v>
      </c>
      <c r="D25" s="18" t="s">
        <v>3174</v>
      </c>
      <c r="E25" s="18" t="s">
        <v>2186</v>
      </c>
      <c r="F25" s="2" t="s">
        <v>7987</v>
      </c>
      <c r="G25" s="2" t="s">
        <v>861</v>
      </c>
      <c r="H25" s="14">
        <v>5.04</v>
      </c>
      <c r="I25" s="2" t="s">
        <v>4699</v>
      </c>
      <c r="J25" s="2" t="s">
        <v>13</v>
      </c>
      <c r="K25" s="2" t="s">
        <v>3390</v>
      </c>
      <c r="L25" s="2" t="s">
        <v>5221</v>
      </c>
      <c r="M25" s="2" t="s">
        <v>5221</v>
      </c>
      <c r="N25" s="2" t="s">
        <v>2317</v>
      </c>
      <c r="O25" s="14">
        <v>54000</v>
      </c>
      <c r="P25" s="14">
        <v>99.63</v>
      </c>
      <c r="Q25" s="14">
        <v>199.8</v>
      </c>
      <c r="R25" s="14">
        <v>1006.99</v>
      </c>
      <c r="S25" s="2" t="s">
        <v>4315</v>
      </c>
      <c r="T25" s="2">
        <v>1</v>
      </c>
      <c r="U25" s="2">
        <v>60</v>
      </c>
      <c r="V25" s="2">
        <v>59</v>
      </c>
      <c r="W25" s="2" t="s">
        <v>7862</v>
      </c>
      <c r="X25" s="2" t="s">
        <v>5405</v>
      </c>
      <c r="Y25" s="2">
        <v>272160</v>
      </c>
      <c r="Z25" s="19" t="str">
        <f>HYPERLINK("https://ssdweb.co/ssdweb/hd/Vision360.html?d=941330408&amp;zoomslide=1&amp;z=1941330408&amp;ISCONFIRM=0","VIDEO")</f>
        <v>VIDEO</v>
      </c>
      <c r="AA25" s="19" t="str">
        <f>HYPERLINK("https://ssdweb.co/ssdweb/CERTH/687573320.pdf","CERTI")</f>
        <v>CERTI</v>
      </c>
    </row>
    <row r="26" spans="1:27" ht="15" x14ac:dyDescent="0.25">
      <c r="A26" s="2">
        <v>21</v>
      </c>
      <c r="B26" s="39">
        <v>926410456</v>
      </c>
      <c r="C26" s="28" t="str">
        <f>HYPERLINK("https://pld.live/RapDetail.aspx?STONELIST=926410456","DNA")</f>
        <v>DNA</v>
      </c>
      <c r="D26" s="18" t="s">
        <v>3174</v>
      </c>
      <c r="E26" s="18" t="s">
        <v>2186</v>
      </c>
      <c r="F26" s="2" t="s">
        <v>7987</v>
      </c>
      <c r="G26" s="2" t="s">
        <v>861</v>
      </c>
      <c r="H26" s="14">
        <v>5.04</v>
      </c>
      <c r="I26" s="2" t="s">
        <v>1066</v>
      </c>
      <c r="J26" s="2" t="s">
        <v>3942</v>
      </c>
      <c r="K26" s="2" t="s">
        <v>3390</v>
      </c>
      <c r="L26" s="2" t="s">
        <v>5221</v>
      </c>
      <c r="M26" s="2" t="s">
        <v>5221</v>
      </c>
      <c r="N26" s="2" t="s">
        <v>924</v>
      </c>
      <c r="O26" s="14">
        <v>13000</v>
      </c>
      <c r="P26" s="14">
        <v>97.08</v>
      </c>
      <c r="Q26" s="14">
        <v>379.6</v>
      </c>
      <c r="R26" s="14">
        <v>1913.18</v>
      </c>
      <c r="S26" s="2" t="s">
        <v>6612</v>
      </c>
      <c r="T26" s="2">
        <v>1</v>
      </c>
      <c r="U26" s="2">
        <v>60</v>
      </c>
      <c r="V26" s="2">
        <v>60</v>
      </c>
      <c r="W26" s="2" t="s">
        <v>7862</v>
      </c>
      <c r="X26" s="2" t="s">
        <v>5405</v>
      </c>
      <c r="Y26" s="2">
        <v>65520</v>
      </c>
      <c r="Z26" s="19" t="str">
        <f>HYPERLINK("https://ssdweb.co/ssdweb/hd/Vision360.html?d=926410456&amp;zoomslide=1&amp;z=1926410456&amp;ISCONFIRM=0","VIDEO")</f>
        <v>VIDEO</v>
      </c>
      <c r="AA26" s="19" t="str">
        <f>HYPERLINK("https://ssdweb.co/ssdweb/CERTH/647449456.pdf","CERTI")</f>
        <v>CERTI</v>
      </c>
    </row>
    <row r="27" spans="1:27" ht="15" x14ac:dyDescent="0.25">
      <c r="A27" s="2">
        <v>22</v>
      </c>
      <c r="B27" s="39">
        <v>9413800531</v>
      </c>
      <c r="C27" s="28" t="str">
        <f>HYPERLINK("https://pld.live/RapDetail.aspx?STONELIST=9413800531","DNA")</f>
        <v>DNA</v>
      </c>
      <c r="D27" s="18" t="s">
        <v>3174</v>
      </c>
      <c r="E27" s="18" t="s">
        <v>2186</v>
      </c>
      <c r="F27" s="2" t="s">
        <v>7987</v>
      </c>
      <c r="G27" s="2" t="s">
        <v>861</v>
      </c>
      <c r="H27" s="14">
        <v>5.03</v>
      </c>
      <c r="I27" s="2" t="s">
        <v>267</v>
      </c>
      <c r="J27" s="2" t="s">
        <v>5144</v>
      </c>
      <c r="K27" s="2" t="s">
        <v>3390</v>
      </c>
      <c r="L27" s="2" t="s">
        <v>5221</v>
      </c>
      <c r="M27" s="2" t="s">
        <v>5221</v>
      </c>
      <c r="N27" s="2" t="s">
        <v>2317</v>
      </c>
      <c r="O27" s="14">
        <v>58000</v>
      </c>
      <c r="P27" s="14">
        <v>99.48</v>
      </c>
      <c r="Q27" s="14">
        <v>301.60000000000002</v>
      </c>
      <c r="R27" s="14">
        <v>1517.05</v>
      </c>
      <c r="S27" s="2" t="s">
        <v>1548</v>
      </c>
      <c r="T27" s="2">
        <v>1</v>
      </c>
      <c r="U27" s="2">
        <v>60.5</v>
      </c>
      <c r="V27" s="2">
        <v>58</v>
      </c>
      <c r="W27" s="2" t="s">
        <v>7862</v>
      </c>
      <c r="X27" s="2" t="s">
        <v>5405</v>
      </c>
      <c r="Y27" s="2">
        <v>291740</v>
      </c>
      <c r="Z27" s="19" t="str">
        <f>HYPERLINK("https://ssdweb.co/ssdweb/hd/Vision360.html?d=9413800531&amp;zoomslide=1&amp;z=19413800531&amp;ISCONFIRM=0","VIDEO")</f>
        <v>VIDEO</v>
      </c>
      <c r="AA27" s="19" t="str">
        <f>HYPERLINK("https://ssdweb.co/ssdweb/CERTH/694508456.pdf","CERTI")</f>
        <v>CERTI</v>
      </c>
    </row>
    <row r="28" spans="1:27" ht="15" x14ac:dyDescent="0.25">
      <c r="A28" s="2">
        <v>23</v>
      </c>
      <c r="B28" s="39">
        <v>941330542</v>
      </c>
      <c r="C28" s="28" t="str">
        <f>HYPERLINK("https://pld.live/RapDetail.aspx?STONELIST=941330542","DNA")</f>
        <v>DNA</v>
      </c>
      <c r="D28" s="18" t="s">
        <v>3174</v>
      </c>
      <c r="E28" s="18" t="s">
        <v>2186</v>
      </c>
      <c r="F28" s="2" t="s">
        <v>7987</v>
      </c>
      <c r="G28" s="2" t="s">
        <v>861</v>
      </c>
      <c r="H28" s="14">
        <v>5.03</v>
      </c>
      <c r="I28" s="2" t="s">
        <v>4761</v>
      </c>
      <c r="J28" s="2" t="s">
        <v>3942</v>
      </c>
      <c r="K28" s="2" t="s">
        <v>3390</v>
      </c>
      <c r="L28" s="2" t="s">
        <v>5221</v>
      </c>
      <c r="M28" s="2" t="s">
        <v>5221</v>
      </c>
      <c r="N28" s="2" t="s">
        <v>2317</v>
      </c>
      <c r="O28" s="14">
        <v>67000</v>
      </c>
      <c r="P28" s="14">
        <v>99.7</v>
      </c>
      <c r="Q28" s="14">
        <v>201</v>
      </c>
      <c r="R28" s="14">
        <v>1011.03</v>
      </c>
      <c r="S28" s="2" t="s">
        <v>2004</v>
      </c>
      <c r="T28" s="2">
        <v>1</v>
      </c>
      <c r="U28" s="2">
        <v>60.6</v>
      </c>
      <c r="V28" s="2">
        <v>57</v>
      </c>
      <c r="W28" s="2" t="s">
        <v>7862</v>
      </c>
      <c r="X28" s="2" t="s">
        <v>5405</v>
      </c>
      <c r="Y28" s="2">
        <v>337010</v>
      </c>
      <c r="Z28" s="19" t="str">
        <f>HYPERLINK("https://ssdweb.co/ssdweb/hd/Vision360.html?d=941330542&amp;zoomslide=1&amp;z=1941330542&amp;ISCONFIRM=0","VIDEO")</f>
        <v>VIDEO</v>
      </c>
      <c r="AA28" s="19" t="str">
        <f>HYPERLINK("https://ssdweb.co/ssdweb/CERTH/689543258.pdf","CERTI")</f>
        <v>CERTI</v>
      </c>
    </row>
    <row r="29" spans="1:27" ht="15" x14ac:dyDescent="0.25">
      <c r="A29" s="2">
        <v>24</v>
      </c>
      <c r="B29" s="39">
        <v>941330537</v>
      </c>
      <c r="C29" s="28" t="str">
        <f>HYPERLINK("https://pld.live/RapDetail.aspx?STONELIST=941330537","DNA")</f>
        <v>DNA</v>
      </c>
      <c r="D29" s="18" t="s">
        <v>3174</v>
      </c>
      <c r="E29" s="18" t="s">
        <v>2186</v>
      </c>
      <c r="F29" s="2" t="s">
        <v>7987</v>
      </c>
      <c r="G29" s="2" t="s">
        <v>861</v>
      </c>
      <c r="H29" s="14">
        <v>5.03</v>
      </c>
      <c r="I29" s="2" t="s">
        <v>4761</v>
      </c>
      <c r="J29" s="2" t="s">
        <v>3942</v>
      </c>
      <c r="K29" s="2" t="s">
        <v>3390</v>
      </c>
      <c r="L29" s="2" t="s">
        <v>5221</v>
      </c>
      <c r="M29" s="2" t="s">
        <v>5221</v>
      </c>
      <c r="N29" s="2" t="s">
        <v>2317</v>
      </c>
      <c r="O29" s="14">
        <v>67000</v>
      </c>
      <c r="P29" s="14">
        <v>99.7</v>
      </c>
      <c r="Q29" s="14">
        <v>201</v>
      </c>
      <c r="R29" s="14">
        <v>1011.03</v>
      </c>
      <c r="S29" s="2" t="s">
        <v>6995</v>
      </c>
      <c r="T29" s="2">
        <v>1</v>
      </c>
      <c r="U29" s="2">
        <v>62</v>
      </c>
      <c r="V29" s="2">
        <v>57</v>
      </c>
      <c r="W29" s="2" t="s">
        <v>7862</v>
      </c>
      <c r="X29" s="2" t="s">
        <v>5405</v>
      </c>
      <c r="Y29" s="2">
        <v>337010</v>
      </c>
      <c r="Z29" s="19" t="str">
        <f>HYPERLINK("https://ssdweb.co/ssdweb/hd/Vision360.html?d=941330537&amp;zoomslide=1&amp;z=1941330537&amp;ISCONFIRM=0","VIDEO")</f>
        <v>VIDEO</v>
      </c>
      <c r="AA29" s="19" t="str">
        <f>HYPERLINK("https://ssdweb.co/ssdweb/CERTH/689543253.pdf","CERTI")</f>
        <v>CERTI</v>
      </c>
    </row>
    <row r="30" spans="1:27" ht="15" x14ac:dyDescent="0.25">
      <c r="A30" s="2">
        <v>25</v>
      </c>
      <c r="B30" s="39">
        <v>941330531</v>
      </c>
      <c r="C30" s="28" t="str">
        <f>HYPERLINK("https://pld.live/RapDetail.aspx?STONELIST=941330531","DNA")</f>
        <v>DNA</v>
      </c>
      <c r="D30" s="18" t="s">
        <v>3174</v>
      </c>
      <c r="E30" s="18" t="s">
        <v>2186</v>
      </c>
      <c r="F30" s="2" t="s">
        <v>7987</v>
      </c>
      <c r="G30" s="2" t="s">
        <v>861</v>
      </c>
      <c r="H30" s="14">
        <v>5.03</v>
      </c>
      <c r="I30" s="2" t="s">
        <v>4761</v>
      </c>
      <c r="J30" s="2" t="s">
        <v>3942</v>
      </c>
      <c r="K30" s="2" t="s">
        <v>3390</v>
      </c>
      <c r="L30" s="2" t="s">
        <v>5221</v>
      </c>
      <c r="M30" s="2" t="s">
        <v>5221</v>
      </c>
      <c r="N30" s="2" t="s">
        <v>2317</v>
      </c>
      <c r="O30" s="14">
        <v>67000</v>
      </c>
      <c r="P30" s="14">
        <v>99.7</v>
      </c>
      <c r="Q30" s="14">
        <v>201</v>
      </c>
      <c r="R30" s="14">
        <v>1011.03</v>
      </c>
      <c r="S30" s="2" t="s">
        <v>6514</v>
      </c>
      <c r="T30" s="2">
        <v>1</v>
      </c>
      <c r="U30" s="2">
        <v>62.1</v>
      </c>
      <c r="V30" s="2">
        <v>57</v>
      </c>
      <c r="W30" s="2" t="s">
        <v>7862</v>
      </c>
      <c r="X30" s="2" t="s">
        <v>5405</v>
      </c>
      <c r="Y30" s="2">
        <v>337010</v>
      </c>
      <c r="Z30" s="19" t="str">
        <f>HYPERLINK("https://ssdweb.co/ssdweb/hd/Vision360.html?d=941330531&amp;zoomslide=1&amp;z=1941330531&amp;ISCONFIRM=0","VIDEO")</f>
        <v>VIDEO</v>
      </c>
      <c r="AA30" s="19" t="str">
        <f>HYPERLINK("https://ssdweb.co/ssdweb/CERTH/689543256.pdf","CERTI")</f>
        <v>CERTI</v>
      </c>
    </row>
    <row r="31" spans="1:27" ht="15" x14ac:dyDescent="0.25">
      <c r="A31" s="2">
        <v>26</v>
      </c>
      <c r="B31" s="39">
        <v>941330308</v>
      </c>
      <c r="C31" s="28" t="str">
        <f>HYPERLINK("https://pld.live/RapDetail.aspx?STONELIST=941330308","DNA")</f>
        <v>DNA</v>
      </c>
      <c r="D31" s="18" t="s">
        <v>3174</v>
      </c>
      <c r="E31" s="18" t="s">
        <v>2186</v>
      </c>
      <c r="F31" s="2" t="s">
        <v>7987</v>
      </c>
      <c r="G31" s="2" t="s">
        <v>861</v>
      </c>
      <c r="H31" s="14">
        <v>5.03</v>
      </c>
      <c r="I31" s="2" t="s">
        <v>4761</v>
      </c>
      <c r="J31" s="2" t="s">
        <v>3942</v>
      </c>
      <c r="K31" s="2" t="s">
        <v>3390</v>
      </c>
      <c r="L31" s="2" t="s">
        <v>5221</v>
      </c>
      <c r="M31" s="2" t="s">
        <v>5221</v>
      </c>
      <c r="N31" s="2" t="s">
        <v>2317</v>
      </c>
      <c r="O31" s="14">
        <v>67000</v>
      </c>
      <c r="P31" s="14">
        <v>99.7</v>
      </c>
      <c r="Q31" s="14">
        <v>201</v>
      </c>
      <c r="R31" s="14">
        <v>1011.03</v>
      </c>
      <c r="S31" s="2" t="s">
        <v>6</v>
      </c>
      <c r="T31" s="2">
        <v>1</v>
      </c>
      <c r="U31" s="2">
        <v>60.3</v>
      </c>
      <c r="V31" s="2">
        <v>58</v>
      </c>
      <c r="W31" s="2" t="s">
        <v>7862</v>
      </c>
      <c r="X31" s="2" t="s">
        <v>5405</v>
      </c>
      <c r="Y31" s="2">
        <v>337010</v>
      </c>
      <c r="Z31" s="19" t="str">
        <f>HYPERLINK("https://ssdweb.co/ssdweb/hd/Vision360.html?d=941330308&amp;zoomslide=1&amp;z=1941330308&amp;ISCONFIRM=0","VIDEO")</f>
        <v>VIDEO</v>
      </c>
      <c r="AA31" s="19" t="str">
        <f>HYPERLINK("https://ssdweb.co/ssdweb/CERTH/685590687.pdf","CERTI")</f>
        <v>CERTI</v>
      </c>
    </row>
    <row r="32" spans="1:27" ht="15" x14ac:dyDescent="0.25">
      <c r="A32" s="2">
        <v>27</v>
      </c>
      <c r="B32" s="39">
        <v>941330337</v>
      </c>
      <c r="C32" s="28" t="str">
        <f>HYPERLINK("https://pld.live/RapDetail.aspx?STONELIST=941330337","DNA")</f>
        <v>DNA</v>
      </c>
      <c r="D32" s="18" t="s">
        <v>3174</v>
      </c>
      <c r="E32" s="18" t="s">
        <v>2186</v>
      </c>
      <c r="F32" s="2" t="s">
        <v>7987</v>
      </c>
      <c r="G32" s="2" t="s">
        <v>861</v>
      </c>
      <c r="H32" s="14">
        <v>5.03</v>
      </c>
      <c r="I32" s="2" t="s">
        <v>4761</v>
      </c>
      <c r="J32" s="2" t="s">
        <v>3942</v>
      </c>
      <c r="K32" s="2" t="s">
        <v>3390</v>
      </c>
      <c r="L32" s="2" t="s">
        <v>5221</v>
      </c>
      <c r="M32" s="2" t="s">
        <v>5221</v>
      </c>
      <c r="N32" s="2" t="s">
        <v>2317</v>
      </c>
      <c r="O32" s="14">
        <v>67000</v>
      </c>
      <c r="P32" s="14">
        <v>99.7</v>
      </c>
      <c r="Q32" s="14">
        <v>201</v>
      </c>
      <c r="R32" s="14">
        <v>1011.03</v>
      </c>
      <c r="S32" s="2" t="s">
        <v>6515</v>
      </c>
      <c r="T32" s="2">
        <v>1</v>
      </c>
      <c r="U32" s="2">
        <v>61.1</v>
      </c>
      <c r="V32" s="2">
        <v>58</v>
      </c>
      <c r="W32" s="2" t="s">
        <v>7862</v>
      </c>
      <c r="X32" s="2" t="s">
        <v>5405</v>
      </c>
      <c r="Y32" s="2">
        <v>337010</v>
      </c>
      <c r="Z32" s="19" t="str">
        <f>HYPERLINK("https://ssdweb.co/ssdweb/hd/Vision360.html?d=941330337&amp;zoomslide=1&amp;z=1941330337&amp;ISCONFIRM=0","VIDEO")</f>
        <v>VIDEO</v>
      </c>
      <c r="AA32" s="19" t="str">
        <f>HYPERLINK("https://ssdweb.co/ssdweb/CERTH/687573312.pdf","CERTI")</f>
        <v>CERTI</v>
      </c>
    </row>
    <row r="33" spans="1:27" ht="15" x14ac:dyDescent="0.25">
      <c r="A33" s="2">
        <v>28</v>
      </c>
      <c r="B33" s="39">
        <v>941330381</v>
      </c>
      <c r="C33" s="28" t="str">
        <f>HYPERLINK("https://pld.live/RapDetail.aspx?STONELIST=941330381","DNA")</f>
        <v>DNA</v>
      </c>
      <c r="D33" s="18" t="s">
        <v>3174</v>
      </c>
      <c r="E33" s="18" t="s">
        <v>2186</v>
      </c>
      <c r="F33" s="2" t="s">
        <v>7987</v>
      </c>
      <c r="G33" s="2" t="s">
        <v>861</v>
      </c>
      <c r="H33" s="14">
        <v>5.03</v>
      </c>
      <c r="I33" s="2" t="s">
        <v>4761</v>
      </c>
      <c r="J33" s="2" t="s">
        <v>3942</v>
      </c>
      <c r="K33" s="2" t="s">
        <v>3390</v>
      </c>
      <c r="L33" s="2" t="s">
        <v>5221</v>
      </c>
      <c r="M33" s="2" t="s">
        <v>5221</v>
      </c>
      <c r="N33" s="2" t="s">
        <v>2317</v>
      </c>
      <c r="O33" s="14">
        <v>67000</v>
      </c>
      <c r="P33" s="14">
        <v>99.7</v>
      </c>
      <c r="Q33" s="14">
        <v>201</v>
      </c>
      <c r="R33" s="14">
        <v>1011.03</v>
      </c>
      <c r="S33" s="2" t="s">
        <v>8079</v>
      </c>
      <c r="T33" s="2">
        <v>1.01</v>
      </c>
      <c r="U33" s="2">
        <v>60.3</v>
      </c>
      <c r="V33" s="2">
        <v>58</v>
      </c>
      <c r="W33" s="2" t="s">
        <v>7862</v>
      </c>
      <c r="X33" s="2" t="s">
        <v>5405</v>
      </c>
      <c r="Y33" s="2">
        <v>337010</v>
      </c>
      <c r="Z33" s="19" t="str">
        <f>HYPERLINK("https://ssdweb.co/ssdweb/hd/Vision360.html?d=941330381&amp;zoomslide=1&amp;z=1941330381&amp;ISCONFIRM=0","VIDEO")</f>
        <v>VIDEO</v>
      </c>
      <c r="AA33" s="19" t="str">
        <f>HYPERLINK("https://ssdweb.co/ssdweb/CERTH/687573318.pdf","CERTI")</f>
        <v>CERTI</v>
      </c>
    </row>
    <row r="34" spans="1:27" ht="15" x14ac:dyDescent="0.25">
      <c r="A34" s="2">
        <v>29</v>
      </c>
      <c r="B34" s="39">
        <v>941330378</v>
      </c>
      <c r="C34" s="28" t="str">
        <f>HYPERLINK("https://pld.live/RapDetail.aspx?STONELIST=941330378","DNA")</f>
        <v>DNA</v>
      </c>
      <c r="D34" s="18" t="s">
        <v>3174</v>
      </c>
      <c r="E34" s="18" t="s">
        <v>2186</v>
      </c>
      <c r="F34" s="2" t="s">
        <v>7987</v>
      </c>
      <c r="G34" s="2" t="s">
        <v>861</v>
      </c>
      <c r="H34" s="14">
        <v>5.03</v>
      </c>
      <c r="I34" s="2" t="s">
        <v>4761</v>
      </c>
      <c r="J34" s="2" t="s">
        <v>3942</v>
      </c>
      <c r="K34" s="2" t="s">
        <v>3390</v>
      </c>
      <c r="L34" s="2" t="s">
        <v>5221</v>
      </c>
      <c r="M34" s="2" t="s">
        <v>5221</v>
      </c>
      <c r="N34" s="2" t="s">
        <v>2317</v>
      </c>
      <c r="O34" s="14">
        <v>67000</v>
      </c>
      <c r="P34" s="14">
        <v>99.7</v>
      </c>
      <c r="Q34" s="14">
        <v>201</v>
      </c>
      <c r="R34" s="14">
        <v>1011.03</v>
      </c>
      <c r="S34" s="2" t="s">
        <v>6570</v>
      </c>
      <c r="T34" s="2">
        <v>1.01</v>
      </c>
      <c r="U34" s="2">
        <v>59.4</v>
      </c>
      <c r="V34" s="2">
        <v>59</v>
      </c>
      <c r="W34" s="2" t="s">
        <v>7862</v>
      </c>
      <c r="X34" s="2" t="s">
        <v>5405</v>
      </c>
      <c r="Y34" s="2">
        <v>337010</v>
      </c>
      <c r="Z34" s="19" t="str">
        <f>HYPERLINK("https://ssdweb.co/ssdweb/hd/Vision360.html?d=941330378&amp;zoomslide=1&amp;z=1941330378&amp;ISCONFIRM=0","VIDEO")</f>
        <v>VIDEO</v>
      </c>
      <c r="AA34" s="19" t="str">
        <f>HYPERLINK("https://ssdweb.co/ssdweb/CERTH/687573317.pdf","CERTI")</f>
        <v>CERTI</v>
      </c>
    </row>
    <row r="35" spans="1:27" ht="15" x14ac:dyDescent="0.25">
      <c r="A35" s="2">
        <v>30</v>
      </c>
      <c r="B35" s="39">
        <v>941330483</v>
      </c>
      <c r="C35" s="28" t="str">
        <f>HYPERLINK("https://pld.live/RapDetail.aspx?STONELIST=941330483","DNA")</f>
        <v>DNA</v>
      </c>
      <c r="D35" s="18" t="s">
        <v>3174</v>
      </c>
      <c r="E35" s="18" t="s">
        <v>2186</v>
      </c>
      <c r="F35" s="2" t="s">
        <v>7987</v>
      </c>
      <c r="G35" s="2" t="s">
        <v>861</v>
      </c>
      <c r="H35" s="14">
        <v>5.03</v>
      </c>
      <c r="I35" s="2" t="s">
        <v>4761</v>
      </c>
      <c r="J35" s="2" t="s">
        <v>13</v>
      </c>
      <c r="K35" s="2" t="s">
        <v>3390</v>
      </c>
      <c r="L35" s="2" t="s">
        <v>5221</v>
      </c>
      <c r="M35" s="2" t="s">
        <v>5221</v>
      </c>
      <c r="N35" s="2" t="s">
        <v>2317</v>
      </c>
      <c r="O35" s="14">
        <v>59500</v>
      </c>
      <c r="P35" s="14">
        <v>99.7</v>
      </c>
      <c r="Q35" s="14">
        <v>178.5</v>
      </c>
      <c r="R35" s="14">
        <v>897.86</v>
      </c>
      <c r="S35" s="2" t="s">
        <v>7222</v>
      </c>
      <c r="T35" s="2">
        <v>1</v>
      </c>
      <c r="U35" s="2">
        <v>60</v>
      </c>
      <c r="V35" s="2">
        <v>58</v>
      </c>
      <c r="W35" s="2" t="s">
        <v>7862</v>
      </c>
      <c r="X35" s="2" t="s">
        <v>5405</v>
      </c>
      <c r="Y35" s="2">
        <v>299285</v>
      </c>
      <c r="Z35" s="19" t="str">
        <f>HYPERLINK("https://ssdweb.co/ssdweb/hd/Vision360.html?d=941330483&amp;zoomslide=1&amp;z=1941330483&amp;ISCONFIRM=0","VIDEO")</f>
        <v>VIDEO</v>
      </c>
      <c r="AA35" s="19" t="str">
        <f>HYPERLINK("https://ssdweb.co/ssdweb/CERTH/687591738.pdf","CERTI")</f>
        <v>CERTI</v>
      </c>
    </row>
    <row r="36" spans="1:27" ht="15" x14ac:dyDescent="0.25">
      <c r="A36" s="2">
        <v>31</v>
      </c>
      <c r="B36" s="39">
        <v>941330607</v>
      </c>
      <c r="C36" s="28" t="str">
        <f>HYPERLINK("https://pld.live/RapDetail.aspx?STONELIST=941330607","DNA")</f>
        <v>DNA</v>
      </c>
      <c r="D36" s="18" t="s">
        <v>3174</v>
      </c>
      <c r="E36" s="18" t="s">
        <v>2186</v>
      </c>
      <c r="F36" s="2" t="s">
        <v>7987</v>
      </c>
      <c r="G36" s="2" t="s">
        <v>861</v>
      </c>
      <c r="H36" s="14">
        <v>5.0199999999999996</v>
      </c>
      <c r="I36" s="2" t="s">
        <v>267</v>
      </c>
      <c r="J36" s="2" t="s">
        <v>13</v>
      </c>
      <c r="K36" s="2" t="s">
        <v>3390</v>
      </c>
      <c r="L36" s="2" t="s">
        <v>5221</v>
      </c>
      <c r="M36" s="2" t="s">
        <v>5221</v>
      </c>
      <c r="N36" s="2" t="s">
        <v>2317</v>
      </c>
      <c r="O36" s="14">
        <v>69000</v>
      </c>
      <c r="P36" s="14">
        <v>99.52</v>
      </c>
      <c r="Q36" s="14">
        <v>331.2</v>
      </c>
      <c r="R36" s="14">
        <v>1662.62</v>
      </c>
      <c r="S36" s="2" t="s">
        <v>3948</v>
      </c>
      <c r="T36" s="2">
        <v>1.01</v>
      </c>
      <c r="U36" s="2">
        <v>60.2</v>
      </c>
      <c r="V36" s="2">
        <v>58</v>
      </c>
      <c r="W36" s="2" t="s">
        <v>7862</v>
      </c>
      <c r="X36" s="2" t="s">
        <v>5405</v>
      </c>
      <c r="Y36" s="2">
        <v>346380</v>
      </c>
      <c r="Z36" s="19" t="str">
        <f>HYPERLINK("https://ssdweb.co/ssdweb/hd/Vision360.html?d=941330607&amp;zoomslide=1&amp;z=1941330607&amp;ISCONFIRM=0","VIDEO")</f>
        <v>VIDEO</v>
      </c>
      <c r="AA36" s="19" t="str">
        <f>HYPERLINK("https://ssdweb.co/ssdweb/CERTH/692534194.pdf","CERTI")</f>
        <v>CERTI</v>
      </c>
    </row>
    <row r="37" spans="1:27" ht="15" x14ac:dyDescent="0.25">
      <c r="A37" s="2">
        <v>32</v>
      </c>
      <c r="B37" s="39">
        <v>941330548</v>
      </c>
      <c r="C37" s="28" t="str">
        <f>HYPERLINK("https://pld.live/RapDetail.aspx?STONELIST=941330548","DNA")</f>
        <v>DNA</v>
      </c>
      <c r="D37" s="18" t="s">
        <v>3174</v>
      </c>
      <c r="E37" s="18" t="s">
        <v>2186</v>
      </c>
      <c r="F37" s="2" t="s">
        <v>7987</v>
      </c>
      <c r="G37" s="2" t="s">
        <v>861</v>
      </c>
      <c r="H37" s="14">
        <v>5.0199999999999996</v>
      </c>
      <c r="I37" s="2" t="s">
        <v>4761</v>
      </c>
      <c r="J37" s="2" t="s">
        <v>3942</v>
      </c>
      <c r="K37" s="2" t="s">
        <v>3390</v>
      </c>
      <c r="L37" s="2" t="s">
        <v>5221</v>
      </c>
      <c r="M37" s="2" t="s">
        <v>5221</v>
      </c>
      <c r="N37" s="2" t="s">
        <v>2317</v>
      </c>
      <c r="O37" s="14">
        <v>67000</v>
      </c>
      <c r="P37" s="14">
        <v>99.7</v>
      </c>
      <c r="Q37" s="14">
        <v>201</v>
      </c>
      <c r="R37" s="14">
        <v>1009.02</v>
      </c>
      <c r="S37" s="2" t="s">
        <v>3683</v>
      </c>
      <c r="T37" s="2">
        <v>1.01</v>
      </c>
      <c r="U37" s="2">
        <v>61.1</v>
      </c>
      <c r="V37" s="2">
        <v>58</v>
      </c>
      <c r="W37" s="2" t="s">
        <v>7862</v>
      </c>
      <c r="X37" s="2" t="s">
        <v>5405</v>
      </c>
      <c r="Y37" s="2">
        <v>336340</v>
      </c>
      <c r="Z37" s="19" t="str">
        <f>HYPERLINK("https://ssdweb.co/ssdweb/hd/Vision360.html?d=941330548&amp;zoomslide=1&amp;z=1941330548&amp;ISCONFIRM=0","VIDEO")</f>
        <v>VIDEO</v>
      </c>
      <c r="AA37" s="19" t="str">
        <f>HYPERLINK("https://ssdweb.co/ssdweb/CERTH/689543261.pdf","CERTI")</f>
        <v>CERTI</v>
      </c>
    </row>
    <row r="38" spans="1:27" ht="15" x14ac:dyDescent="0.25">
      <c r="A38" s="2">
        <v>33</v>
      </c>
      <c r="B38" s="39">
        <v>941330527</v>
      </c>
      <c r="C38" s="28" t="str">
        <f>HYPERLINK("https://pld.live/RapDetail.aspx?STONELIST=941330527","DNA")</f>
        <v>DNA</v>
      </c>
      <c r="D38" s="18" t="s">
        <v>3174</v>
      </c>
      <c r="E38" s="18" t="s">
        <v>2186</v>
      </c>
      <c r="F38" s="2" t="s">
        <v>7987</v>
      </c>
      <c r="G38" s="2" t="s">
        <v>861</v>
      </c>
      <c r="H38" s="14">
        <v>5.0199999999999996</v>
      </c>
      <c r="I38" s="2" t="s">
        <v>4761</v>
      </c>
      <c r="J38" s="2" t="s">
        <v>3942</v>
      </c>
      <c r="K38" s="2" t="s">
        <v>3390</v>
      </c>
      <c r="L38" s="2" t="s">
        <v>5221</v>
      </c>
      <c r="M38" s="2" t="s">
        <v>5221</v>
      </c>
      <c r="N38" s="2" t="s">
        <v>2317</v>
      </c>
      <c r="O38" s="14">
        <v>67000</v>
      </c>
      <c r="P38" s="14">
        <v>99.7</v>
      </c>
      <c r="Q38" s="14">
        <v>201</v>
      </c>
      <c r="R38" s="14">
        <v>1009.02</v>
      </c>
      <c r="S38" s="2" t="s">
        <v>1329</v>
      </c>
      <c r="T38" s="2">
        <v>1</v>
      </c>
      <c r="U38" s="2">
        <v>61.6</v>
      </c>
      <c r="V38" s="2">
        <v>58</v>
      </c>
      <c r="W38" s="2" t="s">
        <v>7862</v>
      </c>
      <c r="X38" s="2" t="s">
        <v>5405</v>
      </c>
      <c r="Y38" s="2">
        <v>336340</v>
      </c>
      <c r="Z38" s="19" t="str">
        <f>HYPERLINK("https://ssdweb.co/ssdweb/hd/Vision360.html?d=941330527&amp;zoomslide=1&amp;z=1941330527&amp;ISCONFIRM=0","VIDEO")</f>
        <v>VIDEO</v>
      </c>
      <c r="AA38" s="19" t="str">
        <f>HYPERLINK("https://ssdweb.co/ssdweb/CERTH/689543254.pdf","CERTI")</f>
        <v>CERTI</v>
      </c>
    </row>
    <row r="39" spans="1:27" ht="15" x14ac:dyDescent="0.25">
      <c r="A39" s="2">
        <v>34</v>
      </c>
      <c r="B39" s="39">
        <v>941330547</v>
      </c>
      <c r="C39" s="28" t="str">
        <f>HYPERLINK("https://pld.live/RapDetail.aspx?STONELIST=941330547","DNA")</f>
        <v>DNA</v>
      </c>
      <c r="D39" s="18" t="s">
        <v>3174</v>
      </c>
      <c r="E39" s="18" t="s">
        <v>2186</v>
      </c>
      <c r="F39" s="2" t="s">
        <v>7987</v>
      </c>
      <c r="G39" s="2" t="s">
        <v>861</v>
      </c>
      <c r="H39" s="14">
        <v>5.0199999999999996</v>
      </c>
      <c r="I39" s="2" t="s">
        <v>4761</v>
      </c>
      <c r="J39" s="2" t="s">
        <v>3942</v>
      </c>
      <c r="K39" s="2" t="s">
        <v>5221</v>
      </c>
      <c r="L39" s="2" t="s">
        <v>5221</v>
      </c>
      <c r="M39" s="2" t="s">
        <v>5221</v>
      </c>
      <c r="N39" s="2" t="s">
        <v>2317</v>
      </c>
      <c r="O39" s="14">
        <v>67000</v>
      </c>
      <c r="P39" s="14">
        <v>99.7</v>
      </c>
      <c r="Q39" s="14">
        <v>201</v>
      </c>
      <c r="R39" s="14">
        <v>1009.02</v>
      </c>
      <c r="S39" s="2" t="s">
        <v>2224</v>
      </c>
      <c r="T39" s="2">
        <v>1</v>
      </c>
      <c r="U39" s="2">
        <v>58.6</v>
      </c>
      <c r="V39" s="2">
        <v>58</v>
      </c>
      <c r="W39" s="2" t="s">
        <v>7862</v>
      </c>
      <c r="X39" s="2" t="s">
        <v>5405</v>
      </c>
      <c r="Y39" s="2">
        <v>336340</v>
      </c>
      <c r="Z39" s="19" t="str">
        <f>HYPERLINK("https://ssdweb.co/ssdweb/hd/Vision360.html?d=941330547&amp;zoomslide=1&amp;z=1941330547&amp;ISCONFIRM=0","VIDEO")</f>
        <v>VIDEO</v>
      </c>
      <c r="AA39" s="19" t="str">
        <f>HYPERLINK("https://ssdweb.co/ssdweb/CERTH/689543260.pdf","CERTI")</f>
        <v>CERTI</v>
      </c>
    </row>
    <row r="40" spans="1:27" ht="15" x14ac:dyDescent="0.25">
      <c r="A40" s="2">
        <v>35</v>
      </c>
      <c r="B40" s="39">
        <v>941330481</v>
      </c>
      <c r="C40" s="28" t="str">
        <f>HYPERLINK("https://pld.live/RapDetail.aspx?STONELIST=941330481","DNA")</f>
        <v>DNA</v>
      </c>
      <c r="D40" s="18" t="s">
        <v>3174</v>
      </c>
      <c r="E40" s="18" t="s">
        <v>2186</v>
      </c>
      <c r="F40" s="2" t="s">
        <v>7987</v>
      </c>
      <c r="G40" s="2" t="s">
        <v>861</v>
      </c>
      <c r="H40" s="14">
        <v>5.0199999999999996</v>
      </c>
      <c r="I40" s="2" t="s">
        <v>4761</v>
      </c>
      <c r="J40" s="2" t="s">
        <v>13</v>
      </c>
      <c r="K40" s="2" t="s">
        <v>5221</v>
      </c>
      <c r="L40" s="2" t="s">
        <v>5221</v>
      </c>
      <c r="M40" s="2" t="s">
        <v>5221</v>
      </c>
      <c r="N40" s="2" t="s">
        <v>2317</v>
      </c>
      <c r="O40" s="14">
        <v>59500</v>
      </c>
      <c r="P40" s="14">
        <v>99.7</v>
      </c>
      <c r="Q40" s="14">
        <v>178.5</v>
      </c>
      <c r="R40" s="14">
        <v>896.07</v>
      </c>
      <c r="S40" s="2" t="s">
        <v>3095</v>
      </c>
      <c r="T40" s="2">
        <v>1</v>
      </c>
      <c r="U40" s="2">
        <v>59.6</v>
      </c>
      <c r="V40" s="2">
        <v>59</v>
      </c>
      <c r="W40" s="2" t="s">
        <v>7862</v>
      </c>
      <c r="X40" s="2" t="s">
        <v>5405</v>
      </c>
      <c r="Y40" s="2">
        <v>298690</v>
      </c>
      <c r="Z40" s="19" t="str">
        <f>HYPERLINK("https://ssdweb.co/ssdweb/hd/Vision360.html?d=941330481&amp;zoomslide=1&amp;z=1941330481&amp;ISCONFIRM=0","VIDEO")</f>
        <v>VIDEO</v>
      </c>
      <c r="AA40" s="19" t="str">
        <f>HYPERLINK("https://ssdweb.co/ssdweb/CERTH/687591737.pdf","CERTI")</f>
        <v>CERTI</v>
      </c>
    </row>
    <row r="41" spans="1:27" ht="15" x14ac:dyDescent="0.25">
      <c r="A41" s="2">
        <v>36</v>
      </c>
      <c r="B41" s="39">
        <v>941330543</v>
      </c>
      <c r="C41" s="28" t="str">
        <f>HYPERLINK("https://pld.live/RapDetail.aspx?STONELIST=941330543","DNA")</f>
        <v>DNA</v>
      </c>
      <c r="D41" s="18" t="s">
        <v>3174</v>
      </c>
      <c r="E41" s="18" t="s">
        <v>2186</v>
      </c>
      <c r="F41" s="2" t="s">
        <v>7987</v>
      </c>
      <c r="G41" s="2" t="s">
        <v>861</v>
      </c>
      <c r="H41" s="14">
        <v>5.0199999999999996</v>
      </c>
      <c r="I41" s="2" t="s">
        <v>4761</v>
      </c>
      <c r="J41" s="2" t="s">
        <v>5144</v>
      </c>
      <c r="K41" s="2" t="s">
        <v>3390</v>
      </c>
      <c r="L41" s="2" t="s">
        <v>5221</v>
      </c>
      <c r="M41" s="2" t="s">
        <v>5221</v>
      </c>
      <c r="N41" s="2" t="s">
        <v>2317</v>
      </c>
      <c r="O41" s="14">
        <v>52000</v>
      </c>
      <c r="P41" s="14">
        <v>99.69</v>
      </c>
      <c r="Q41" s="14">
        <v>161.19999999999999</v>
      </c>
      <c r="R41" s="14">
        <v>809.22</v>
      </c>
      <c r="S41" s="2" t="s">
        <v>6055</v>
      </c>
      <c r="T41" s="2">
        <v>1</v>
      </c>
      <c r="U41" s="2">
        <v>60.5</v>
      </c>
      <c r="V41" s="2">
        <v>58</v>
      </c>
      <c r="W41" s="2" t="s">
        <v>7862</v>
      </c>
      <c r="X41" s="2" t="s">
        <v>5405</v>
      </c>
      <c r="Y41" s="2">
        <v>261040</v>
      </c>
      <c r="Z41" s="19" t="str">
        <f>HYPERLINK("https://ssdweb.co/ssdweb/hd/Vision360.html?d=941330543&amp;zoomslide=1&amp;z=1941330543&amp;ISCONFIRM=0","VIDEO")</f>
        <v>VIDEO</v>
      </c>
      <c r="AA41" s="19" t="str">
        <f>HYPERLINK("https://ssdweb.co/ssdweb/CERTH/689543259.pdf","CERTI")</f>
        <v>CERTI</v>
      </c>
    </row>
    <row r="42" spans="1:27" ht="15" x14ac:dyDescent="0.25">
      <c r="A42" s="2">
        <v>37</v>
      </c>
      <c r="B42" s="39">
        <v>941330528</v>
      </c>
      <c r="C42" s="28" t="str">
        <f>HYPERLINK("https://pld.live/RapDetail.aspx?STONELIST=941330528","DNA")</f>
        <v>DNA</v>
      </c>
      <c r="D42" s="18" t="s">
        <v>3174</v>
      </c>
      <c r="E42" s="18" t="s">
        <v>2186</v>
      </c>
      <c r="F42" s="2" t="s">
        <v>7987</v>
      </c>
      <c r="G42" s="2" t="s">
        <v>861</v>
      </c>
      <c r="H42" s="14">
        <v>5.0199999999999996</v>
      </c>
      <c r="I42" s="2" t="s">
        <v>4761</v>
      </c>
      <c r="J42" s="2" t="s">
        <v>5144</v>
      </c>
      <c r="K42" s="2" t="s">
        <v>5221</v>
      </c>
      <c r="L42" s="2" t="s">
        <v>5221</v>
      </c>
      <c r="M42" s="2" t="s">
        <v>5221</v>
      </c>
      <c r="N42" s="2" t="s">
        <v>2317</v>
      </c>
      <c r="O42" s="14">
        <v>52000</v>
      </c>
      <c r="P42" s="14">
        <v>99.69</v>
      </c>
      <c r="Q42" s="14">
        <v>161.19999999999999</v>
      </c>
      <c r="R42" s="14">
        <v>809.22</v>
      </c>
      <c r="S42" s="2" t="s">
        <v>1778</v>
      </c>
      <c r="T42" s="2">
        <v>1.01</v>
      </c>
      <c r="U42" s="2">
        <v>62.5</v>
      </c>
      <c r="V42" s="2">
        <v>56</v>
      </c>
      <c r="W42" s="2" t="s">
        <v>7862</v>
      </c>
      <c r="X42" s="2" t="s">
        <v>5405</v>
      </c>
      <c r="Y42" s="2">
        <v>261040</v>
      </c>
      <c r="Z42" s="19" t="str">
        <f>HYPERLINK("https://ssdweb.co/ssdweb/hd/Vision360.html?d=941330528&amp;zoomslide=1&amp;z=1941330528&amp;ISCONFIRM=0","VIDEO")</f>
        <v>VIDEO</v>
      </c>
      <c r="AA42" s="19" t="str">
        <f>HYPERLINK("https://ssdweb.co/ssdweb/CERTH/689543255.pdf","CERTI")</f>
        <v>CERTI</v>
      </c>
    </row>
    <row r="43" spans="1:27" ht="15" x14ac:dyDescent="0.25">
      <c r="A43" s="2">
        <v>38</v>
      </c>
      <c r="B43" s="39">
        <v>924890011</v>
      </c>
      <c r="C43" s="28" t="str">
        <f>HYPERLINK("https://pld.live/RapDetail.aspx?STONELIST=924890011","DNA")</f>
        <v>DNA</v>
      </c>
      <c r="D43" s="18" t="s">
        <v>3174</v>
      </c>
      <c r="E43" s="18" t="s">
        <v>2186</v>
      </c>
      <c r="F43" s="2" t="s">
        <v>7987</v>
      </c>
      <c r="G43" s="2" t="s">
        <v>861</v>
      </c>
      <c r="H43" s="14">
        <v>5.0199999999999996</v>
      </c>
      <c r="I43" s="2" t="s">
        <v>1112</v>
      </c>
      <c r="J43" s="2" t="s">
        <v>13</v>
      </c>
      <c r="K43" s="2" t="s">
        <v>5221</v>
      </c>
      <c r="L43" s="2" t="s">
        <v>5221</v>
      </c>
      <c r="M43" s="2" t="s">
        <v>5221</v>
      </c>
      <c r="N43" s="2" t="s">
        <v>924</v>
      </c>
      <c r="O43" s="14">
        <v>13000</v>
      </c>
      <c r="P43" s="14">
        <v>97.77</v>
      </c>
      <c r="Q43" s="14">
        <v>289.89999999999998</v>
      </c>
      <c r="R43" s="14">
        <v>1455.3</v>
      </c>
      <c r="S43" s="2" t="s">
        <v>3842</v>
      </c>
      <c r="T43" s="2">
        <v>1.01</v>
      </c>
      <c r="U43" s="2">
        <v>61.5</v>
      </c>
      <c r="V43" s="2">
        <v>59</v>
      </c>
      <c r="W43" s="2" t="s">
        <v>7862</v>
      </c>
      <c r="X43" s="2" t="s">
        <v>5405</v>
      </c>
      <c r="Y43" s="2">
        <v>65260</v>
      </c>
      <c r="Z43" s="19" t="str">
        <f>HYPERLINK("https://ssdweb.co/ssdweb/hd/Vision360.html?d=924890011&amp;zoomslide=1&amp;z=1924890011&amp;ISCONFIRM=0","VIDEO")</f>
        <v>VIDEO</v>
      </c>
      <c r="AA43" s="19" t="str">
        <f>HYPERLINK("https://ssdweb.co/ssdweb/CERTH/603352425.pdf","CERTI")</f>
        <v>CERTI</v>
      </c>
    </row>
    <row r="44" spans="1:27" ht="15" x14ac:dyDescent="0.25">
      <c r="A44" s="2">
        <v>39</v>
      </c>
      <c r="B44" s="39">
        <v>926860088</v>
      </c>
      <c r="C44" s="28" t="str">
        <f>HYPERLINK("https://pld.live/RapDetail.aspx?STONELIST=926860088","DNA")</f>
        <v>DNA</v>
      </c>
      <c r="D44" s="18" t="s">
        <v>3174</v>
      </c>
      <c r="E44" s="18" t="s">
        <v>2186</v>
      </c>
      <c r="F44" s="2" t="s">
        <v>7987</v>
      </c>
      <c r="G44" s="2" t="s">
        <v>861</v>
      </c>
      <c r="H44" s="14">
        <v>5.01</v>
      </c>
      <c r="I44" s="2" t="s">
        <v>1066</v>
      </c>
      <c r="J44" s="2" t="s">
        <v>3942</v>
      </c>
      <c r="K44" s="2" t="s">
        <v>3390</v>
      </c>
      <c r="L44" s="2" t="s">
        <v>5221</v>
      </c>
      <c r="M44" s="2" t="s">
        <v>5221</v>
      </c>
      <c r="N44" s="2" t="s">
        <v>924</v>
      </c>
      <c r="O44" s="14">
        <v>13000</v>
      </c>
      <c r="P44" s="14">
        <v>97.08</v>
      </c>
      <c r="Q44" s="14">
        <v>379.6</v>
      </c>
      <c r="R44" s="14">
        <v>1901.8</v>
      </c>
      <c r="S44" s="2" t="s">
        <v>7861</v>
      </c>
      <c r="T44" s="2">
        <v>1.01</v>
      </c>
      <c r="U44" s="2">
        <v>61.9</v>
      </c>
      <c r="V44" s="2">
        <v>59</v>
      </c>
      <c r="W44" s="2" t="s">
        <v>7862</v>
      </c>
      <c r="X44" s="2" t="s">
        <v>5405</v>
      </c>
      <c r="Y44" s="2">
        <v>65130</v>
      </c>
      <c r="Z44" s="19" t="str">
        <f>HYPERLINK("https://ssdweb.co/ssdweb/hd/Vision360.html?d=926860088&amp;zoomslide=1&amp;z=1926860088&amp;ISCONFIRM=0","VIDEO")</f>
        <v>VIDEO</v>
      </c>
      <c r="AA44" s="19" t="str">
        <f>HYPERLINK("https://ssdweb.co/ssdweb/CERTH/665453078.pdf","CERTI")</f>
        <v>CERTI</v>
      </c>
    </row>
    <row r="45" spans="1:27" ht="15" x14ac:dyDescent="0.25">
      <c r="A45" s="2">
        <v>40</v>
      </c>
      <c r="B45" s="39">
        <v>926860103</v>
      </c>
      <c r="C45" s="28" t="str">
        <f>HYPERLINK("https://pld.live/RapDetail.aspx?STONELIST=926860103","DNA")</f>
        <v>DNA</v>
      </c>
      <c r="D45" s="18" t="s">
        <v>3174</v>
      </c>
      <c r="E45" s="18" t="s">
        <v>2186</v>
      </c>
      <c r="F45" s="2" t="s">
        <v>7987</v>
      </c>
      <c r="G45" s="2" t="s">
        <v>861</v>
      </c>
      <c r="H45" s="14">
        <v>5.01</v>
      </c>
      <c r="I45" s="2" t="s">
        <v>1066</v>
      </c>
      <c r="J45" s="2" t="s">
        <v>3942</v>
      </c>
      <c r="K45" s="2" t="s">
        <v>5221</v>
      </c>
      <c r="L45" s="2" t="s">
        <v>5221</v>
      </c>
      <c r="M45" s="2" t="s">
        <v>5221</v>
      </c>
      <c r="N45" s="2" t="s">
        <v>924</v>
      </c>
      <c r="O45" s="14">
        <v>13000</v>
      </c>
      <c r="P45" s="14">
        <v>97.08</v>
      </c>
      <c r="Q45" s="14">
        <v>379.6</v>
      </c>
      <c r="R45" s="14">
        <v>1901.8</v>
      </c>
      <c r="S45" s="2" t="s">
        <v>4483</v>
      </c>
      <c r="T45" s="2">
        <v>1.01</v>
      </c>
      <c r="U45" s="2">
        <v>62.4</v>
      </c>
      <c r="V45" s="2">
        <v>60</v>
      </c>
      <c r="W45" s="2" t="s">
        <v>7862</v>
      </c>
      <c r="X45" s="2" t="s">
        <v>5405</v>
      </c>
      <c r="Y45" s="2">
        <v>65130</v>
      </c>
      <c r="Z45" s="19" t="str">
        <f>HYPERLINK("https://ssdweb.co/ssdweb/hd/Vision360.html?d=926860103&amp;zoomslide=1&amp;z=1926860103&amp;ISCONFIRM=0","VIDEO")</f>
        <v>VIDEO</v>
      </c>
      <c r="AA45" s="19" t="str">
        <f>HYPERLINK("https://ssdweb.co/ssdweb/CERTH/665453079.pdf","CERTI")</f>
        <v>CERTI</v>
      </c>
    </row>
    <row r="46" spans="1:27" ht="15" x14ac:dyDescent="0.25">
      <c r="A46" s="2">
        <v>41</v>
      </c>
      <c r="B46" s="39">
        <v>926600049</v>
      </c>
      <c r="C46" s="28" t="str">
        <f>HYPERLINK("https://pld.live/RapDetail.aspx?STONELIST=926600049","DNA")</f>
        <v>DNA</v>
      </c>
      <c r="D46" s="18" t="s">
        <v>3174</v>
      </c>
      <c r="E46" s="18" t="s">
        <v>2186</v>
      </c>
      <c r="F46" s="2" t="s">
        <v>7987</v>
      </c>
      <c r="G46" s="2" t="s">
        <v>861</v>
      </c>
      <c r="H46" s="14">
        <v>5.01</v>
      </c>
      <c r="I46" s="2" t="s">
        <v>6748</v>
      </c>
      <c r="J46" s="2" t="s">
        <v>3942</v>
      </c>
      <c r="K46" s="2" t="s">
        <v>1452</v>
      </c>
      <c r="L46" s="2" t="s">
        <v>5221</v>
      </c>
      <c r="M46" s="2" t="s">
        <v>5221</v>
      </c>
      <c r="N46" s="2" t="s">
        <v>2317</v>
      </c>
      <c r="O46" s="14">
        <v>13000</v>
      </c>
      <c r="P46" s="14">
        <v>97.31</v>
      </c>
      <c r="Q46" s="14">
        <v>349.7</v>
      </c>
      <c r="R46" s="14">
        <v>1752</v>
      </c>
      <c r="S46" s="2" t="s">
        <v>3952</v>
      </c>
      <c r="T46" s="2">
        <v>1.01</v>
      </c>
      <c r="U46" s="2">
        <v>59.2</v>
      </c>
      <c r="V46" s="2">
        <v>60</v>
      </c>
      <c r="W46" s="2" t="s">
        <v>7862</v>
      </c>
      <c r="X46" s="2" t="s">
        <v>5405</v>
      </c>
      <c r="Y46" s="2">
        <v>65130</v>
      </c>
      <c r="Z46" s="19" t="str">
        <f>HYPERLINK("https://ssdweb.co/ssdweb/hd/Vision360.html?d=926600049&amp;zoomslide=1&amp;z=1926600049&amp;ISCONFIRM=0","VIDEO")</f>
        <v>VIDEO</v>
      </c>
      <c r="AA46" s="19" t="str">
        <f>HYPERLINK("https://ssdweb.co/ssdweb/CERTH/649412691.pdf","CERTI")</f>
        <v>CERTI</v>
      </c>
    </row>
    <row r="47" spans="1:27" ht="15" x14ac:dyDescent="0.25">
      <c r="A47" s="2">
        <v>42</v>
      </c>
      <c r="B47" s="39">
        <v>941330391</v>
      </c>
      <c r="C47" s="28" t="str">
        <f>HYPERLINK("https://pld.live/RapDetail.aspx?STONELIST=941330391","DNA")</f>
        <v>DNA</v>
      </c>
      <c r="D47" s="18" t="s">
        <v>3543</v>
      </c>
      <c r="E47" s="18" t="s">
        <v>2186</v>
      </c>
      <c r="F47" s="2" t="s">
        <v>7987</v>
      </c>
      <c r="G47" s="2" t="s">
        <v>861</v>
      </c>
      <c r="H47" s="14">
        <v>4.72</v>
      </c>
      <c r="I47" s="2" t="s">
        <v>4761</v>
      </c>
      <c r="J47" s="2" t="s">
        <v>13</v>
      </c>
      <c r="K47" s="2" t="s">
        <v>3390</v>
      </c>
      <c r="L47" s="2" t="s">
        <v>5221</v>
      </c>
      <c r="M47" s="2" t="s">
        <v>5221</v>
      </c>
      <c r="N47" s="2" t="s">
        <v>2317</v>
      </c>
      <c r="O47" s="14">
        <v>45000</v>
      </c>
      <c r="P47" s="14">
        <v>99.6</v>
      </c>
      <c r="Q47" s="14">
        <v>180</v>
      </c>
      <c r="R47" s="14">
        <v>849.6</v>
      </c>
      <c r="S47" s="2" t="s">
        <v>112</v>
      </c>
      <c r="T47" s="2">
        <v>1</v>
      </c>
      <c r="U47" s="2">
        <v>59.8</v>
      </c>
      <c r="V47" s="2">
        <v>59</v>
      </c>
      <c r="W47" s="2" t="s">
        <v>7862</v>
      </c>
      <c r="X47" s="2" t="s">
        <v>5405</v>
      </c>
      <c r="Y47" s="2">
        <v>212400</v>
      </c>
      <c r="Z47" s="19" t="str">
        <f>HYPERLINK("https://ssdweb.co/ssdweb/hd/Vision360.html?d=941330391&amp;zoomslide=1&amp;z=1941330391&amp;ISCONFIRM=0","VIDEO")</f>
        <v>VIDEO</v>
      </c>
      <c r="AA47" s="19" t="str">
        <f>HYPERLINK("https://ssdweb.co/ssdweb/CERTH/687573319.pdf","CERTI")</f>
        <v>CERTI</v>
      </c>
    </row>
    <row r="48" spans="1:27" ht="15" x14ac:dyDescent="0.25">
      <c r="A48" s="2">
        <v>43</v>
      </c>
      <c r="B48" s="39">
        <v>831020576</v>
      </c>
      <c r="C48" s="28" t="str">
        <f>HYPERLINK("https://pld.live/RapDetail.aspx?STONELIST=831020576","DNA")</f>
        <v>DNA</v>
      </c>
      <c r="D48" s="18" t="s">
        <v>8111</v>
      </c>
      <c r="E48" s="18" t="s">
        <v>2186</v>
      </c>
      <c r="F48" s="2" t="s">
        <v>7987</v>
      </c>
      <c r="G48" s="2" t="s">
        <v>861</v>
      </c>
      <c r="H48" s="14">
        <v>4.68</v>
      </c>
      <c r="I48" s="2" t="s">
        <v>1505</v>
      </c>
      <c r="J48" s="2" t="s">
        <v>13</v>
      </c>
      <c r="K48" s="2" t="s">
        <v>3390</v>
      </c>
      <c r="L48" s="2" t="s">
        <v>5221</v>
      </c>
      <c r="M48" s="2" t="s">
        <v>5221</v>
      </c>
      <c r="N48" s="2" t="s">
        <v>2317</v>
      </c>
      <c r="O48" s="14">
        <v>29500</v>
      </c>
      <c r="P48" s="14">
        <v>99.55</v>
      </c>
      <c r="Q48" s="14">
        <v>132.75</v>
      </c>
      <c r="R48" s="14">
        <v>621.27</v>
      </c>
      <c r="S48" s="2" t="s">
        <v>1111</v>
      </c>
      <c r="T48" s="2">
        <v>1</v>
      </c>
      <c r="U48" s="2">
        <v>61.4</v>
      </c>
      <c r="V48" s="2">
        <v>57</v>
      </c>
      <c r="W48" s="2" t="s">
        <v>7862</v>
      </c>
      <c r="X48" s="2" t="s">
        <v>5405</v>
      </c>
      <c r="Y48" s="2">
        <v>138060</v>
      </c>
      <c r="Z48" s="19" t="str">
        <f>HYPERLINK("https://ssdweb.co/ssdweb/hd/Vision360.html?d=831020576&amp;zoomslide=1&amp;z=1831020576&amp;ISCONFIRM=0","VIDEO")</f>
        <v>VIDEO</v>
      </c>
      <c r="AA48" s="19" t="str">
        <f>HYPERLINK("https://ssdweb.co/ssdweb/CERTH/595368333.pdf","CERTI")</f>
        <v>CERTI</v>
      </c>
    </row>
    <row r="49" spans="1:27" ht="15" x14ac:dyDescent="0.25">
      <c r="A49" s="2">
        <v>44</v>
      </c>
      <c r="B49" s="39">
        <v>831020702</v>
      </c>
      <c r="C49" s="28" t="str">
        <f>HYPERLINK("https://pld.live/RapDetail.aspx?STONELIST=831020702","DNA")</f>
        <v>DNA</v>
      </c>
      <c r="D49" s="18" t="s">
        <v>8111</v>
      </c>
      <c r="E49" s="18" t="s">
        <v>2186</v>
      </c>
      <c r="F49" s="2" t="s">
        <v>7987</v>
      </c>
      <c r="G49" s="2" t="s">
        <v>861</v>
      </c>
      <c r="H49" s="14">
        <v>4.57</v>
      </c>
      <c r="I49" s="2" t="s">
        <v>6587</v>
      </c>
      <c r="J49" s="2" t="s">
        <v>13</v>
      </c>
      <c r="K49" s="2" t="s">
        <v>3390</v>
      </c>
      <c r="L49" s="2" t="s">
        <v>5221</v>
      </c>
      <c r="M49" s="2" t="s">
        <v>5221</v>
      </c>
      <c r="N49" s="2" t="s">
        <v>2317</v>
      </c>
      <c r="O49" s="14">
        <v>36000</v>
      </c>
      <c r="P49" s="14">
        <v>99.62</v>
      </c>
      <c r="Q49" s="14">
        <v>136.80000000000001</v>
      </c>
      <c r="R49" s="14">
        <v>625.17999999999995</v>
      </c>
      <c r="S49" s="2" t="s">
        <v>8081</v>
      </c>
      <c r="T49" s="2">
        <v>1.01</v>
      </c>
      <c r="U49" s="2">
        <v>59.7</v>
      </c>
      <c r="V49" s="2">
        <v>59.5</v>
      </c>
      <c r="W49" s="2" t="s">
        <v>7862</v>
      </c>
      <c r="X49" s="2" t="s">
        <v>5405</v>
      </c>
      <c r="Y49" s="2">
        <v>164520</v>
      </c>
      <c r="Z49" s="19" t="str">
        <f>HYPERLINK("https://ssdweb.co/ssdweb/hd/Vision360.html?d=831020702&amp;zoomslide=1&amp;z=1831020702&amp;ISCONFIRM=0","VIDEO")</f>
        <v>VIDEO</v>
      </c>
      <c r="AA49" s="19" t="str">
        <f>HYPERLINK("https://ssdweb.co/ssdweb/CERTH/533299390.pdf","CERTI")</f>
        <v>CERTI</v>
      </c>
    </row>
    <row r="50" spans="1:27" ht="15" x14ac:dyDescent="0.25">
      <c r="A50" s="2">
        <v>45</v>
      </c>
      <c r="B50" s="39">
        <v>922790087</v>
      </c>
      <c r="C50" s="28" t="str">
        <f>HYPERLINK("https://pld.live/RapDetail.aspx?STONELIST=922790087","DNA")</f>
        <v>DNA</v>
      </c>
      <c r="D50" s="18" t="s">
        <v>8111</v>
      </c>
      <c r="E50" s="18" t="s">
        <v>2186</v>
      </c>
      <c r="F50" s="2" t="s">
        <v>7987</v>
      </c>
      <c r="G50" s="2" t="s">
        <v>861</v>
      </c>
      <c r="H50" s="14">
        <v>4.51</v>
      </c>
      <c r="I50" s="2" t="s">
        <v>1505</v>
      </c>
      <c r="J50" s="2" t="s">
        <v>5144</v>
      </c>
      <c r="K50" s="2" t="s">
        <v>3390</v>
      </c>
      <c r="L50" s="2" t="s">
        <v>5221</v>
      </c>
      <c r="M50" s="2" t="s">
        <v>5221</v>
      </c>
      <c r="N50" s="2" t="s">
        <v>2317</v>
      </c>
      <c r="O50" s="14">
        <v>26000</v>
      </c>
      <c r="P50" s="14">
        <v>99.53</v>
      </c>
      <c r="Q50" s="14">
        <v>122.2</v>
      </c>
      <c r="R50" s="14">
        <v>551.12</v>
      </c>
      <c r="S50" s="2" t="s">
        <v>3627</v>
      </c>
      <c r="T50" s="2">
        <v>1.01</v>
      </c>
      <c r="U50" s="2">
        <v>61.7</v>
      </c>
      <c r="V50" s="2">
        <v>59</v>
      </c>
      <c r="W50" s="2" t="s">
        <v>8016</v>
      </c>
      <c r="X50" s="2" t="s">
        <v>5405</v>
      </c>
      <c r="Y50" s="2">
        <v>117260</v>
      </c>
      <c r="Z50" s="19" t="str">
        <f>HYPERLINK("https://ssdweb.co/ssdweb/hd/Vision360.html?d=922790087&amp;zoomslide=1&amp;z=1922790087&amp;ISCONFIRM=0","VIDEO")</f>
        <v>VIDEO</v>
      </c>
      <c r="AA50" s="19" t="str">
        <f>HYPERLINK("https://ssdweb.co/ssdweb/CERTH/532257130.pdf","CERTI")</f>
        <v>CERTI</v>
      </c>
    </row>
    <row r="51" spans="1:27" ht="15" x14ac:dyDescent="0.25">
      <c r="A51" s="2">
        <v>46</v>
      </c>
      <c r="B51" s="39">
        <v>925410037</v>
      </c>
      <c r="C51" s="28" t="str">
        <f>HYPERLINK("https://pld.live/RapDetail.aspx?STONELIST=925410037","DNA")</f>
        <v>DNA</v>
      </c>
      <c r="D51" s="18" t="s">
        <v>8111</v>
      </c>
      <c r="E51" s="18" t="s">
        <v>2186</v>
      </c>
      <c r="F51" s="2" t="s">
        <v>7987</v>
      </c>
      <c r="G51" s="2" t="s">
        <v>861</v>
      </c>
      <c r="H51" s="14">
        <v>4.5</v>
      </c>
      <c r="I51" s="2" t="s">
        <v>1505</v>
      </c>
      <c r="J51" s="2" t="s">
        <v>3942</v>
      </c>
      <c r="K51" s="2" t="s">
        <v>3390</v>
      </c>
      <c r="L51" s="2" t="s">
        <v>5221</v>
      </c>
      <c r="M51" s="2" t="s">
        <v>5221</v>
      </c>
      <c r="N51" s="2" t="s">
        <v>2317</v>
      </c>
      <c r="O51" s="14">
        <v>31500</v>
      </c>
      <c r="P51" s="14">
        <v>99.56</v>
      </c>
      <c r="Q51" s="14">
        <v>138.6</v>
      </c>
      <c r="R51" s="14">
        <v>623.70000000000005</v>
      </c>
      <c r="S51" s="2" t="s">
        <v>4739</v>
      </c>
      <c r="T51" s="2">
        <v>1</v>
      </c>
      <c r="U51" s="2">
        <v>62</v>
      </c>
      <c r="V51" s="2">
        <v>58</v>
      </c>
      <c r="W51" s="2" t="s">
        <v>7862</v>
      </c>
      <c r="X51" s="2" t="s">
        <v>5405</v>
      </c>
      <c r="Y51" s="2">
        <v>141750</v>
      </c>
      <c r="Z51" s="19" t="str">
        <f>HYPERLINK("https://ssdweb.co/ssdweb/hd/Vision360.html?d=925410037&amp;zoomslide=1&amp;z=1925410037&amp;ISCONFIRM=0","VIDEO")</f>
        <v>VIDEO</v>
      </c>
      <c r="AA51" s="19" t="str">
        <f>HYPERLINK("https://ssdweb.co/ssdweb/CERTH/617485858.pdf","CERTI")</f>
        <v>CERTI</v>
      </c>
    </row>
    <row r="52" spans="1:27" ht="15" x14ac:dyDescent="0.25">
      <c r="A52" s="2">
        <v>47</v>
      </c>
      <c r="B52" s="39">
        <v>926010100</v>
      </c>
      <c r="C52" s="28" t="str">
        <f>HYPERLINK("https://pld.live/RapDetail.aspx?STONELIST=926010100","DNA")</f>
        <v>DNA</v>
      </c>
      <c r="D52" s="18" t="s">
        <v>437</v>
      </c>
      <c r="E52" s="18" t="s">
        <v>2186</v>
      </c>
      <c r="F52" s="2" t="s">
        <v>7987</v>
      </c>
      <c r="G52" s="2" t="s">
        <v>861</v>
      </c>
      <c r="H52" s="14">
        <v>4.43</v>
      </c>
      <c r="I52" s="2" t="s">
        <v>1066</v>
      </c>
      <c r="J52" s="2" t="s">
        <v>13</v>
      </c>
      <c r="K52" s="2" t="s">
        <v>3390</v>
      </c>
      <c r="L52" s="2" t="s">
        <v>5221</v>
      </c>
      <c r="M52" s="2" t="s">
        <v>5221</v>
      </c>
      <c r="N52" s="2" t="s">
        <v>924</v>
      </c>
      <c r="O52" s="14">
        <v>10000</v>
      </c>
      <c r="P52" s="14">
        <v>96.9</v>
      </c>
      <c r="Q52" s="14">
        <v>310</v>
      </c>
      <c r="R52" s="14">
        <v>1373.3</v>
      </c>
      <c r="S52" s="2" t="s">
        <v>7953</v>
      </c>
      <c r="T52" s="2">
        <v>1</v>
      </c>
      <c r="U52" s="2">
        <v>60.4</v>
      </c>
      <c r="V52" s="2">
        <v>59</v>
      </c>
      <c r="W52" s="2" t="s">
        <v>7862</v>
      </c>
      <c r="X52" s="2" t="s">
        <v>5405</v>
      </c>
      <c r="Y52" s="2">
        <v>44300</v>
      </c>
      <c r="Z52" s="19" t="str">
        <f>HYPERLINK("https://ssdweb.co/ssdweb/hd/Vision360.html?d=926010100&amp;zoomslide=1&amp;z=1926010100&amp;ISCONFIRM=0","VIDEO")</f>
        <v>VIDEO</v>
      </c>
      <c r="AA52" s="19" t="str">
        <f>HYPERLINK("https://ssdweb.co/ssdweb/CERTH/636470030.pdf","CERTI")</f>
        <v>CERTI</v>
      </c>
    </row>
    <row r="53" spans="1:27" ht="15" x14ac:dyDescent="0.25">
      <c r="A53" s="2">
        <v>48</v>
      </c>
      <c r="B53" s="39">
        <v>831020574</v>
      </c>
      <c r="C53" s="28" t="str">
        <f>HYPERLINK("https://pld.live/RapDetail.aspx?STONELIST=831020574","DNA")</f>
        <v>DNA</v>
      </c>
      <c r="D53" s="18" t="s">
        <v>437</v>
      </c>
      <c r="E53" s="18" t="s">
        <v>2186</v>
      </c>
      <c r="F53" s="2" t="s">
        <v>7987</v>
      </c>
      <c r="G53" s="2" t="s">
        <v>861</v>
      </c>
      <c r="H53" s="14">
        <v>4.37</v>
      </c>
      <c r="I53" s="2" t="s">
        <v>6587</v>
      </c>
      <c r="J53" s="2" t="s">
        <v>13</v>
      </c>
      <c r="K53" s="2" t="s">
        <v>3390</v>
      </c>
      <c r="L53" s="2" t="s">
        <v>5221</v>
      </c>
      <c r="M53" s="2" t="s">
        <v>5221</v>
      </c>
      <c r="N53" s="2" t="s">
        <v>2317</v>
      </c>
      <c r="O53" s="14">
        <v>36000</v>
      </c>
      <c r="P53" s="14">
        <v>99.59</v>
      </c>
      <c r="Q53" s="14">
        <v>147.6</v>
      </c>
      <c r="R53" s="14">
        <v>645.01</v>
      </c>
      <c r="S53" s="2" t="s">
        <v>4024</v>
      </c>
      <c r="T53" s="2">
        <v>1.01</v>
      </c>
      <c r="U53" s="2">
        <v>62.3</v>
      </c>
      <c r="V53" s="2">
        <v>57</v>
      </c>
      <c r="W53" s="2" t="s">
        <v>7862</v>
      </c>
      <c r="X53" s="2" t="s">
        <v>5405</v>
      </c>
      <c r="Y53" s="2">
        <v>157320</v>
      </c>
      <c r="Z53" s="19" t="str">
        <f>HYPERLINK("https://ssdweb.co/ssdweb/hd/Vision360.html?d=831020574&amp;zoomslide=1&amp;z=1831020574&amp;ISCONFIRM=0","VIDEO")</f>
        <v>VIDEO</v>
      </c>
      <c r="AA53" s="19" t="str">
        <f>HYPERLINK("https://ssdweb.co/ssdweb/CERTH/534235678.pdf","CERTI")</f>
        <v>CERTI</v>
      </c>
    </row>
    <row r="54" spans="1:27" ht="15" x14ac:dyDescent="0.25">
      <c r="A54" s="2">
        <v>49</v>
      </c>
      <c r="B54" s="39">
        <v>926150127</v>
      </c>
      <c r="C54" s="28" t="str">
        <f>HYPERLINK("https://pld.live/RapDetail.aspx?STONELIST=926150127","DNA")</f>
        <v>DNA</v>
      </c>
      <c r="D54" s="18" t="s">
        <v>437</v>
      </c>
      <c r="E54" s="18" t="s">
        <v>2186</v>
      </c>
      <c r="F54" s="2" t="s">
        <v>7987</v>
      </c>
      <c r="G54" s="2" t="s">
        <v>861</v>
      </c>
      <c r="H54" s="14">
        <v>4.37</v>
      </c>
      <c r="I54" s="2" t="s">
        <v>1505</v>
      </c>
      <c r="J54" s="2" t="s">
        <v>13</v>
      </c>
      <c r="K54" s="2" t="s">
        <v>5221</v>
      </c>
      <c r="L54" s="2" t="s">
        <v>5221</v>
      </c>
      <c r="M54" s="2" t="s">
        <v>5221</v>
      </c>
      <c r="N54" s="2" t="s">
        <v>2317</v>
      </c>
      <c r="O54" s="14">
        <v>29500</v>
      </c>
      <c r="P54" s="14">
        <v>99.55</v>
      </c>
      <c r="Q54" s="14">
        <v>132.75</v>
      </c>
      <c r="R54" s="14">
        <v>580.12</v>
      </c>
      <c r="S54" s="2" t="s">
        <v>5986</v>
      </c>
      <c r="T54" s="2">
        <v>1.01</v>
      </c>
      <c r="U54" s="2">
        <v>59.7</v>
      </c>
      <c r="V54" s="2">
        <v>60</v>
      </c>
      <c r="W54" s="2" t="s">
        <v>8016</v>
      </c>
      <c r="X54" s="2" t="s">
        <v>5405</v>
      </c>
      <c r="Y54" s="2">
        <v>128915</v>
      </c>
      <c r="Z54" s="19" t="str">
        <f>HYPERLINK("https://ssdweb.co/ssdweb/hd/Vision360.html?d=926150127&amp;zoomslide=1&amp;z=1926150127&amp;ISCONFIRM=0","VIDEO")</f>
        <v>VIDEO</v>
      </c>
      <c r="AA54" s="19" t="str">
        <f>HYPERLINK("https://ssdweb.co/ssdweb/CERTH/637467893.pdf","CERTI")</f>
        <v>CERTI</v>
      </c>
    </row>
    <row r="55" spans="1:27" ht="15" x14ac:dyDescent="0.25">
      <c r="A55" s="2">
        <v>50</v>
      </c>
      <c r="B55" s="39">
        <v>925710129</v>
      </c>
      <c r="C55" s="28" t="str">
        <f>HYPERLINK("https://pld.live/RapDetail.aspx?STONELIST=925710129","DNA")</f>
        <v>DNA</v>
      </c>
      <c r="D55" s="18" t="s">
        <v>3134</v>
      </c>
      <c r="E55" s="18" t="s">
        <v>2186</v>
      </c>
      <c r="F55" s="2" t="s">
        <v>7987</v>
      </c>
      <c r="G55" s="2" t="s">
        <v>861</v>
      </c>
      <c r="H55" s="14">
        <v>4.26</v>
      </c>
      <c r="I55" s="2" t="s">
        <v>1505</v>
      </c>
      <c r="J55" s="2" t="s">
        <v>13</v>
      </c>
      <c r="K55" s="2" t="s">
        <v>3390</v>
      </c>
      <c r="L55" s="2" t="s">
        <v>5221</v>
      </c>
      <c r="M55" s="2" t="s">
        <v>5221</v>
      </c>
      <c r="N55" s="2" t="s">
        <v>2317</v>
      </c>
      <c r="O55" s="14">
        <v>29500</v>
      </c>
      <c r="P55" s="14">
        <v>99.56</v>
      </c>
      <c r="Q55" s="14">
        <v>129.80000000000001</v>
      </c>
      <c r="R55" s="14">
        <v>552.95000000000005</v>
      </c>
      <c r="S55" s="2" t="s">
        <v>6676</v>
      </c>
      <c r="T55" s="2">
        <v>1.01</v>
      </c>
      <c r="U55" s="2">
        <v>60.4</v>
      </c>
      <c r="V55" s="2">
        <v>60</v>
      </c>
      <c r="W55" s="2" t="s">
        <v>8016</v>
      </c>
      <c r="X55" s="2" t="s">
        <v>5405</v>
      </c>
      <c r="Y55" s="2">
        <v>125670</v>
      </c>
      <c r="Z55" s="19" t="str">
        <f>HYPERLINK("https://ssdweb.co/ssdweb/hd/Vision360.html?d=925710129&amp;zoomslide=1&amp;z=1925710129&amp;ISCONFIRM=0","VIDEO")</f>
        <v>VIDEO</v>
      </c>
      <c r="AA55" s="19" t="str">
        <f>HYPERLINK("https://ssdweb.co/ssdweb/CERTH/626427723.pdf","CERTI")</f>
        <v>CERTI</v>
      </c>
    </row>
    <row r="56" spans="1:27" ht="15" x14ac:dyDescent="0.25">
      <c r="A56" s="2">
        <v>51</v>
      </c>
      <c r="B56" s="39">
        <v>924510062</v>
      </c>
      <c r="C56" s="28" t="str">
        <f>HYPERLINK("https://pld.live/RapDetail.aspx?STONELIST=924510062","DNA")</f>
        <v>DNA</v>
      </c>
      <c r="D56" s="18" t="s">
        <v>3134</v>
      </c>
      <c r="E56" s="18" t="s">
        <v>2186</v>
      </c>
      <c r="F56" s="2" t="s">
        <v>7987</v>
      </c>
      <c r="G56" s="2" t="s">
        <v>861</v>
      </c>
      <c r="H56" s="14">
        <v>4.26</v>
      </c>
      <c r="I56" s="2" t="s">
        <v>1505</v>
      </c>
      <c r="J56" s="2" t="s">
        <v>444</v>
      </c>
      <c r="K56" s="2" t="s">
        <v>3390</v>
      </c>
      <c r="L56" s="2" t="s">
        <v>5221</v>
      </c>
      <c r="M56" s="2" t="s">
        <v>5221</v>
      </c>
      <c r="N56" s="2" t="s">
        <v>2317</v>
      </c>
      <c r="O56" s="14">
        <v>21500</v>
      </c>
      <c r="P56" s="14">
        <v>99.45</v>
      </c>
      <c r="Q56" s="14">
        <v>118.25</v>
      </c>
      <c r="R56" s="14">
        <v>503.75</v>
      </c>
      <c r="S56" s="2" t="s">
        <v>3</v>
      </c>
      <c r="T56" s="2">
        <v>1.01</v>
      </c>
      <c r="U56" s="2">
        <v>60.7</v>
      </c>
      <c r="V56" s="2">
        <v>59</v>
      </c>
      <c r="W56" s="2" t="s">
        <v>8016</v>
      </c>
      <c r="X56" s="2" t="s">
        <v>5405</v>
      </c>
      <c r="Y56" s="2">
        <v>91590</v>
      </c>
      <c r="Z56" s="19" t="str">
        <f>HYPERLINK("https://ssdweb.co/ssdweb/hd/Vision360.html?d=924510062&amp;zoomslide=1&amp;z=1924510062&amp;ISCONFIRM=0","VIDEO")</f>
        <v>VIDEO</v>
      </c>
      <c r="AA56" s="19" t="str">
        <f>HYPERLINK("https://ssdweb.co/ssdweb/CERTH/594332715.pdf","CERTI")</f>
        <v>CERTI</v>
      </c>
    </row>
    <row r="57" spans="1:27" ht="15" x14ac:dyDescent="0.25">
      <c r="A57" s="2">
        <v>52</v>
      </c>
      <c r="B57" s="39">
        <v>831020741</v>
      </c>
      <c r="C57" s="28" t="str">
        <f>HYPERLINK("https://pld.live/RapDetail.aspx?STONELIST=831020741","DNA")</f>
        <v>DNA</v>
      </c>
      <c r="D57" s="18" t="s">
        <v>3134</v>
      </c>
      <c r="E57" s="18" t="s">
        <v>2186</v>
      </c>
      <c r="F57" s="2" t="s">
        <v>7987</v>
      </c>
      <c r="G57" s="2" t="s">
        <v>861</v>
      </c>
      <c r="H57" s="14">
        <v>4.25</v>
      </c>
      <c r="I57" s="2" t="s">
        <v>6587</v>
      </c>
      <c r="J57" s="2" t="s">
        <v>13</v>
      </c>
      <c r="K57" s="2" t="s">
        <v>3390</v>
      </c>
      <c r="L57" s="2" t="s">
        <v>5221</v>
      </c>
      <c r="M57" s="2" t="s">
        <v>5221</v>
      </c>
      <c r="N57" s="2" t="s">
        <v>2317</v>
      </c>
      <c r="O57" s="14">
        <v>36000</v>
      </c>
      <c r="P57" s="14">
        <v>99.59</v>
      </c>
      <c r="Q57" s="14">
        <v>147.6</v>
      </c>
      <c r="R57" s="14">
        <v>627.29999999999995</v>
      </c>
      <c r="S57" s="2" t="s">
        <v>578</v>
      </c>
      <c r="T57" s="2">
        <v>1</v>
      </c>
      <c r="U57" s="2">
        <v>61.6</v>
      </c>
      <c r="V57" s="2">
        <v>58</v>
      </c>
      <c r="W57" s="2" t="s">
        <v>7862</v>
      </c>
      <c r="X57" s="2" t="s">
        <v>5405</v>
      </c>
      <c r="Y57" s="2">
        <v>153000</v>
      </c>
      <c r="Z57" s="19" t="str">
        <f>HYPERLINK("https://ssdweb.co/ssdweb/hd/Vision360.html?d=831020741&amp;zoomslide=1&amp;z=1831020741&amp;ISCONFIRM=0","VIDEO")</f>
        <v>VIDEO</v>
      </c>
      <c r="AA57" s="19" t="str">
        <f>HYPERLINK("https://ssdweb.co/ssdweb/CERTH/622461260.pdf","CERTI")</f>
        <v>CERTI</v>
      </c>
    </row>
    <row r="58" spans="1:27" ht="15" x14ac:dyDescent="0.25">
      <c r="A58" s="2">
        <v>53</v>
      </c>
      <c r="B58" s="39">
        <v>926860074</v>
      </c>
      <c r="C58" s="28" t="str">
        <f>HYPERLINK("https://pld.live/RapDetail.aspx?STONELIST=926860074","DNA")</f>
        <v>DNA</v>
      </c>
      <c r="D58" s="18" t="s">
        <v>3134</v>
      </c>
      <c r="E58" s="18" t="s">
        <v>2186</v>
      </c>
      <c r="F58" s="2" t="s">
        <v>7987</v>
      </c>
      <c r="G58" s="2" t="s">
        <v>861</v>
      </c>
      <c r="H58" s="14">
        <v>4.22</v>
      </c>
      <c r="I58" s="2" t="s">
        <v>1505</v>
      </c>
      <c r="J58" s="2" t="s">
        <v>3942</v>
      </c>
      <c r="K58" s="2" t="s">
        <v>3390</v>
      </c>
      <c r="L58" s="2" t="s">
        <v>5221</v>
      </c>
      <c r="M58" s="2" t="s">
        <v>5221</v>
      </c>
      <c r="N58" s="2" t="s">
        <v>2317</v>
      </c>
      <c r="O58" s="14">
        <v>31500</v>
      </c>
      <c r="P58" s="14">
        <v>99.54</v>
      </c>
      <c r="Q58" s="14">
        <v>144.9</v>
      </c>
      <c r="R58" s="14">
        <v>611.48</v>
      </c>
      <c r="S58" s="2" t="s">
        <v>2700</v>
      </c>
      <c r="T58" s="2">
        <v>1.01</v>
      </c>
      <c r="U58" s="2">
        <v>62.3</v>
      </c>
      <c r="V58" s="2">
        <v>58</v>
      </c>
      <c r="W58" s="2" t="s">
        <v>7862</v>
      </c>
      <c r="X58" s="2" t="s">
        <v>5405</v>
      </c>
      <c r="Y58" s="2">
        <v>132930</v>
      </c>
      <c r="Z58" s="19" t="str">
        <f>HYPERLINK("https://ssdweb.co/ssdweb/hd/Vision360.html?d=926860074&amp;zoomslide=1&amp;z=1926860074&amp;ISCONFIRM=0","VIDEO")</f>
        <v>VIDEO</v>
      </c>
      <c r="AA58" s="19" t="str">
        <f>HYPERLINK("https://ssdweb.co/ssdweb/CERTH/655451684.pdf","CERTI")</f>
        <v>CERTI</v>
      </c>
    </row>
    <row r="59" spans="1:27" ht="15" x14ac:dyDescent="0.25">
      <c r="A59" s="2">
        <v>54</v>
      </c>
      <c r="B59" s="39">
        <v>925410036</v>
      </c>
      <c r="C59" s="28" t="str">
        <f>HYPERLINK("https://pld.live/RapDetail.aspx?STONELIST=925410036","DNA")</f>
        <v>DNA</v>
      </c>
      <c r="D59" s="18" t="s">
        <v>3134</v>
      </c>
      <c r="E59" s="18" t="s">
        <v>2186</v>
      </c>
      <c r="F59" s="2" t="s">
        <v>7987</v>
      </c>
      <c r="G59" s="2" t="s">
        <v>861</v>
      </c>
      <c r="H59" s="14">
        <v>4.22</v>
      </c>
      <c r="I59" s="2" t="s">
        <v>1505</v>
      </c>
      <c r="J59" s="2" t="s">
        <v>13</v>
      </c>
      <c r="K59" s="2" t="s">
        <v>3390</v>
      </c>
      <c r="L59" s="2" t="s">
        <v>5221</v>
      </c>
      <c r="M59" s="2" t="s">
        <v>5221</v>
      </c>
      <c r="N59" s="2" t="s">
        <v>2317</v>
      </c>
      <c r="O59" s="14">
        <v>29500</v>
      </c>
      <c r="P59" s="14">
        <v>99.56</v>
      </c>
      <c r="Q59" s="14">
        <v>129.80000000000001</v>
      </c>
      <c r="R59" s="14">
        <v>547.76</v>
      </c>
      <c r="S59" s="2" t="s">
        <v>1566</v>
      </c>
      <c r="T59" s="2">
        <v>1.01</v>
      </c>
      <c r="U59" s="2">
        <v>59.2</v>
      </c>
      <c r="V59" s="2">
        <v>60</v>
      </c>
      <c r="W59" s="2" t="s">
        <v>8016</v>
      </c>
      <c r="X59" s="2" t="s">
        <v>5405</v>
      </c>
      <c r="Y59" s="2">
        <v>124490</v>
      </c>
      <c r="Z59" s="19" t="str">
        <f>HYPERLINK("https://ssdweb.co/ssdweb/hd/Vision360.html?d=925410036&amp;zoomslide=1&amp;z=1925410036&amp;ISCONFIRM=0","VIDEO")</f>
        <v>VIDEO</v>
      </c>
      <c r="AA59" s="19" t="str">
        <f>HYPERLINK("https://ssdweb.co/ssdweb/CERTH/617485857.pdf","CERTI")</f>
        <v>CERTI</v>
      </c>
    </row>
    <row r="60" spans="1:27" ht="15" x14ac:dyDescent="0.25">
      <c r="A60" s="2">
        <v>55</v>
      </c>
      <c r="B60" s="39">
        <v>926010169</v>
      </c>
      <c r="C60" s="28" t="str">
        <f>HYPERLINK("https://pld.live/RapDetail.aspx?STONELIST=926010169","DNA")</f>
        <v>DNA</v>
      </c>
      <c r="D60" s="18" t="s">
        <v>3134</v>
      </c>
      <c r="E60" s="18" t="s">
        <v>2186</v>
      </c>
      <c r="F60" s="2" t="s">
        <v>7987</v>
      </c>
      <c r="G60" s="2" t="s">
        <v>861</v>
      </c>
      <c r="H60" s="14">
        <v>4.08</v>
      </c>
      <c r="I60" s="2" t="s">
        <v>1505</v>
      </c>
      <c r="J60" s="2" t="s">
        <v>3942</v>
      </c>
      <c r="K60" s="2" t="s">
        <v>3390</v>
      </c>
      <c r="L60" s="2" t="s">
        <v>5221</v>
      </c>
      <c r="M60" s="2" t="s">
        <v>5221</v>
      </c>
      <c r="N60" s="2" t="s">
        <v>2317</v>
      </c>
      <c r="O60" s="14">
        <v>31500</v>
      </c>
      <c r="P60" s="14">
        <v>99.55</v>
      </c>
      <c r="Q60" s="14">
        <v>141.75</v>
      </c>
      <c r="R60" s="14">
        <v>578.34</v>
      </c>
      <c r="S60" s="2" t="s">
        <v>2854</v>
      </c>
      <c r="T60" s="2">
        <v>1</v>
      </c>
      <c r="U60" s="2">
        <v>61.2</v>
      </c>
      <c r="V60" s="2">
        <v>59</v>
      </c>
      <c r="W60" s="2" t="s">
        <v>8016</v>
      </c>
      <c r="X60" s="2" t="s">
        <v>5405</v>
      </c>
      <c r="Y60" s="2">
        <v>128520</v>
      </c>
      <c r="Z60" s="19" t="str">
        <f>HYPERLINK("https://ssdweb.co/ssdweb/hd/Vision360.html?d=926010169&amp;zoomslide=1&amp;z=1926010169&amp;ISCONFIRM=0","VIDEO")</f>
        <v>VIDEO</v>
      </c>
      <c r="AA60" s="19" t="str">
        <f>HYPERLINK("https://ssdweb.co/ssdweb/CERTH/632421572.pdf","CERTI")</f>
        <v>CERTI</v>
      </c>
    </row>
    <row r="61" spans="1:27" ht="15" x14ac:dyDescent="0.25">
      <c r="A61" s="2">
        <v>56</v>
      </c>
      <c r="B61" s="39">
        <v>926010120</v>
      </c>
      <c r="C61" s="28" t="str">
        <f>HYPERLINK("https://pld.live/RapDetail.aspx?STONELIST=926010120","DNA")</f>
        <v>DNA</v>
      </c>
      <c r="D61" s="18" t="s">
        <v>3134</v>
      </c>
      <c r="E61" s="18" t="s">
        <v>2186</v>
      </c>
      <c r="F61" s="2" t="s">
        <v>7987</v>
      </c>
      <c r="G61" s="2" t="s">
        <v>861</v>
      </c>
      <c r="H61" s="14">
        <v>4.08</v>
      </c>
      <c r="I61" s="2" t="s">
        <v>1112</v>
      </c>
      <c r="J61" s="2" t="s">
        <v>5144</v>
      </c>
      <c r="K61" s="2" t="s">
        <v>3390</v>
      </c>
      <c r="L61" s="2" t="s">
        <v>5221</v>
      </c>
      <c r="M61" s="2" t="s">
        <v>5221</v>
      </c>
      <c r="N61" s="2" t="s">
        <v>924</v>
      </c>
      <c r="O61" s="14">
        <v>9500</v>
      </c>
      <c r="P61" s="14">
        <v>97.16</v>
      </c>
      <c r="Q61" s="14">
        <v>269.8</v>
      </c>
      <c r="R61" s="14">
        <v>1100.78</v>
      </c>
      <c r="S61" s="2" t="s">
        <v>2728</v>
      </c>
      <c r="T61" s="2">
        <v>1</v>
      </c>
      <c r="U61" s="2">
        <v>59.2</v>
      </c>
      <c r="V61" s="2">
        <v>59</v>
      </c>
      <c r="W61" s="2" t="s">
        <v>7862</v>
      </c>
      <c r="X61" s="2" t="s">
        <v>5405</v>
      </c>
      <c r="Y61" s="2">
        <v>38760</v>
      </c>
      <c r="Z61" s="19" t="str">
        <f>HYPERLINK("https://ssdweb.co/ssdweb/hd/Vision360.html?d=926010120&amp;zoomslide=1&amp;z=1926010120&amp;ISCONFIRM=0","VIDEO")</f>
        <v>VIDEO</v>
      </c>
      <c r="AA61" s="19" t="str">
        <f>HYPERLINK("https://ssdweb.co/ssdweb/CERTH/636470031.pdf","CERTI")</f>
        <v>CERTI</v>
      </c>
    </row>
    <row r="62" spans="1:27" ht="15" x14ac:dyDescent="0.25">
      <c r="A62" s="2">
        <v>57</v>
      </c>
      <c r="B62" s="39">
        <v>926150119</v>
      </c>
      <c r="C62" s="28" t="str">
        <f>HYPERLINK("https://pld.live/RapDetail.aspx?STONELIST=926150119","DNA")</f>
        <v>DNA</v>
      </c>
      <c r="D62" s="18" t="s">
        <v>3134</v>
      </c>
      <c r="E62" s="18" t="s">
        <v>2186</v>
      </c>
      <c r="F62" s="2" t="s">
        <v>7987</v>
      </c>
      <c r="G62" s="2" t="s">
        <v>861</v>
      </c>
      <c r="H62" s="14">
        <v>4.0599999999999996</v>
      </c>
      <c r="I62" s="2" t="s">
        <v>6587</v>
      </c>
      <c r="J62" s="2" t="s">
        <v>5144</v>
      </c>
      <c r="K62" s="2" t="s">
        <v>3390</v>
      </c>
      <c r="L62" s="2" t="s">
        <v>5221</v>
      </c>
      <c r="M62" s="2" t="s">
        <v>5221</v>
      </c>
      <c r="N62" s="2" t="s">
        <v>2317</v>
      </c>
      <c r="O62" s="14">
        <v>31500</v>
      </c>
      <c r="P62" s="14">
        <v>99.56</v>
      </c>
      <c r="Q62" s="14">
        <v>138.6</v>
      </c>
      <c r="R62" s="14">
        <v>562.72</v>
      </c>
      <c r="S62" s="2" t="s">
        <v>6204</v>
      </c>
      <c r="T62" s="2">
        <v>1</v>
      </c>
      <c r="U62" s="2">
        <v>60.4</v>
      </c>
      <c r="V62" s="2">
        <v>59</v>
      </c>
      <c r="W62" s="2" t="s">
        <v>8016</v>
      </c>
      <c r="X62" s="2" t="s">
        <v>5405</v>
      </c>
      <c r="Y62" s="2">
        <v>127890</v>
      </c>
      <c r="Z62" s="19" t="str">
        <f>HYPERLINK("https://ssdweb.co/ssdweb/hd/Vision360.html?d=926150119&amp;zoomslide=1&amp;z=1926150119&amp;ISCONFIRM=0","VIDEO")</f>
        <v>VIDEO</v>
      </c>
      <c r="AA62" s="19" t="str">
        <f>HYPERLINK("https://ssdweb.co/ssdweb/CERTH/636429538.pdf","CERTI")</f>
        <v>CERTI</v>
      </c>
    </row>
    <row r="63" spans="1:27" ht="15" x14ac:dyDescent="0.25">
      <c r="A63" s="2">
        <v>58</v>
      </c>
      <c r="B63" s="39">
        <v>925690196</v>
      </c>
      <c r="C63" s="28" t="str">
        <f>HYPERLINK("https://pld.live/RapDetail.aspx?STONELIST=925690196","DNA")</f>
        <v>DNA</v>
      </c>
      <c r="D63" s="18" t="s">
        <v>3134</v>
      </c>
      <c r="E63" s="18" t="s">
        <v>2186</v>
      </c>
      <c r="F63" s="2" t="s">
        <v>7987</v>
      </c>
      <c r="G63" s="2" t="s">
        <v>861</v>
      </c>
      <c r="H63" s="14">
        <v>4.0599999999999996</v>
      </c>
      <c r="I63" s="2" t="s">
        <v>6587</v>
      </c>
      <c r="J63" s="2" t="s">
        <v>5144</v>
      </c>
      <c r="K63" s="2" t="s">
        <v>3390</v>
      </c>
      <c r="L63" s="2" t="s">
        <v>5221</v>
      </c>
      <c r="M63" s="2" t="s">
        <v>5221</v>
      </c>
      <c r="N63" s="2" t="s">
        <v>2317</v>
      </c>
      <c r="O63" s="14">
        <v>31500</v>
      </c>
      <c r="P63" s="14">
        <v>99.56</v>
      </c>
      <c r="Q63" s="14">
        <v>138.6</v>
      </c>
      <c r="R63" s="14">
        <v>562.72</v>
      </c>
      <c r="S63" s="2" t="s">
        <v>337</v>
      </c>
      <c r="T63" s="2">
        <v>1</v>
      </c>
      <c r="U63" s="2">
        <v>59.5</v>
      </c>
      <c r="V63" s="2">
        <v>59</v>
      </c>
      <c r="W63" s="2" t="s">
        <v>7862</v>
      </c>
      <c r="X63" s="2" t="s">
        <v>5405</v>
      </c>
      <c r="Y63" s="2">
        <v>127890</v>
      </c>
      <c r="Z63" s="19" t="str">
        <f>HYPERLINK("https://ssdweb.co/ssdweb/hd/Vision360.html?d=925690196&amp;zoomslide=1&amp;z=1925690196&amp;ISCONFIRM=0","VIDEO")</f>
        <v>VIDEO</v>
      </c>
      <c r="AA63" s="19" t="str">
        <f>HYPERLINK("https://ssdweb.co/ssdweb/CERTH/626466356.pdf","CERTI")</f>
        <v>CERTI</v>
      </c>
    </row>
    <row r="64" spans="1:27" ht="15" x14ac:dyDescent="0.25">
      <c r="A64" s="2">
        <v>59</v>
      </c>
      <c r="B64" s="39">
        <v>926860081</v>
      </c>
      <c r="C64" s="28" t="str">
        <f>HYPERLINK("https://pld.live/RapDetail.aspx?STONELIST=926860081","DNA")</f>
        <v>DNA</v>
      </c>
      <c r="D64" s="18" t="s">
        <v>3134</v>
      </c>
      <c r="E64" s="18" t="s">
        <v>2186</v>
      </c>
      <c r="F64" s="2" t="s">
        <v>7987</v>
      </c>
      <c r="G64" s="2" t="s">
        <v>861</v>
      </c>
      <c r="H64" s="14">
        <v>4.04</v>
      </c>
      <c r="I64" s="2" t="s">
        <v>1066</v>
      </c>
      <c r="J64" s="2" t="s">
        <v>3942</v>
      </c>
      <c r="K64" s="2" t="s">
        <v>3390</v>
      </c>
      <c r="L64" s="2" t="s">
        <v>5221</v>
      </c>
      <c r="M64" s="2" t="s">
        <v>5221</v>
      </c>
      <c r="N64" s="2" t="s">
        <v>924</v>
      </c>
      <c r="O64" s="14">
        <v>10500</v>
      </c>
      <c r="P64" s="14">
        <v>96.67</v>
      </c>
      <c r="Q64" s="14">
        <v>349.65</v>
      </c>
      <c r="R64" s="14">
        <v>1412.59</v>
      </c>
      <c r="S64" s="2" t="s">
        <v>6485</v>
      </c>
      <c r="T64" s="2">
        <v>1.01</v>
      </c>
      <c r="U64" s="2">
        <v>61.2</v>
      </c>
      <c r="V64" s="2">
        <v>57</v>
      </c>
      <c r="W64" s="2" t="s">
        <v>7862</v>
      </c>
      <c r="X64" s="2" t="s">
        <v>5405</v>
      </c>
      <c r="Y64" s="2">
        <v>42420</v>
      </c>
      <c r="Z64" s="19" t="str">
        <f>HYPERLINK("https://ssdweb.co/ssdweb/hd/Vision360.html?d=926860081&amp;zoomslide=1&amp;z=1926860081&amp;ISCONFIRM=0","VIDEO")</f>
        <v>VIDEO</v>
      </c>
      <c r="AA64" s="19" t="str">
        <f>HYPERLINK("https://ssdweb.co/ssdweb/CERTH/665453077.pdf","CERTI")</f>
        <v>CERTI</v>
      </c>
    </row>
    <row r="65" spans="1:27" ht="15" x14ac:dyDescent="0.25">
      <c r="A65" s="2">
        <v>60</v>
      </c>
      <c r="B65" s="39">
        <v>941390374</v>
      </c>
      <c r="C65" s="28" t="str">
        <f>HYPERLINK("https://pld.live/RapDetail.aspx?STONELIST=941390374","DNA")</f>
        <v>DNA</v>
      </c>
      <c r="D65" s="18" t="s">
        <v>3134</v>
      </c>
      <c r="E65" s="18" t="s">
        <v>2186</v>
      </c>
      <c r="F65" s="2" t="s">
        <v>7987</v>
      </c>
      <c r="G65" s="2" t="s">
        <v>861</v>
      </c>
      <c r="H65" s="14">
        <v>4.03</v>
      </c>
      <c r="I65" s="2" t="s">
        <v>267</v>
      </c>
      <c r="J65" s="2" t="s">
        <v>3942</v>
      </c>
      <c r="K65" s="2" t="s">
        <v>3390</v>
      </c>
      <c r="L65" s="2" t="s">
        <v>5221</v>
      </c>
      <c r="M65" s="2" t="s">
        <v>5221</v>
      </c>
      <c r="N65" s="2" t="s">
        <v>2317</v>
      </c>
      <c r="O65" s="14">
        <v>58500</v>
      </c>
      <c r="P65" s="14">
        <v>99.58</v>
      </c>
      <c r="Q65" s="14">
        <v>245.7</v>
      </c>
      <c r="R65" s="14">
        <v>990.17</v>
      </c>
      <c r="S65" s="2" t="s">
        <v>1048</v>
      </c>
      <c r="T65" s="2">
        <v>1</v>
      </c>
      <c r="U65" s="2">
        <v>61.8</v>
      </c>
      <c r="V65" s="2">
        <v>57</v>
      </c>
      <c r="W65" s="2" t="s">
        <v>7862</v>
      </c>
      <c r="X65" s="2" t="s">
        <v>5405</v>
      </c>
      <c r="Y65" s="2">
        <v>235755</v>
      </c>
      <c r="Z65" s="19" t="str">
        <f>HYPERLINK("https://ssdweb.co/ssdweb/hd/Vision360.html?d=941390374&amp;zoomslide=1&amp;z=1941390374&amp;ISCONFIRM=0","VIDEO")</f>
        <v>VIDEO</v>
      </c>
      <c r="AA65" s="19" t="str">
        <f>HYPERLINK("https://ssdweb.co/ssdweb/CERTH/689543249.pdf","CERTI")</f>
        <v>CERTI</v>
      </c>
    </row>
    <row r="66" spans="1:27" ht="15" x14ac:dyDescent="0.25">
      <c r="A66" s="2">
        <v>61</v>
      </c>
      <c r="B66" s="39">
        <v>941390459</v>
      </c>
      <c r="C66" s="28" t="str">
        <f>HYPERLINK("https://pld.live/RapDetail.aspx?STONELIST=941390459","DNA")</f>
        <v>DNA</v>
      </c>
      <c r="D66" s="18" t="s">
        <v>3134</v>
      </c>
      <c r="E66" s="18" t="s">
        <v>2186</v>
      </c>
      <c r="F66" s="2" t="s">
        <v>7987</v>
      </c>
      <c r="G66" s="2" t="s">
        <v>861</v>
      </c>
      <c r="H66" s="14">
        <v>4.03</v>
      </c>
      <c r="I66" s="2" t="s">
        <v>4761</v>
      </c>
      <c r="J66" s="2" t="s">
        <v>3942</v>
      </c>
      <c r="K66" s="2" t="s">
        <v>3390</v>
      </c>
      <c r="L66" s="2" t="s">
        <v>5221</v>
      </c>
      <c r="M66" s="2" t="s">
        <v>5221</v>
      </c>
      <c r="N66" s="2" t="s">
        <v>2317</v>
      </c>
      <c r="O66" s="14">
        <v>52500</v>
      </c>
      <c r="P66" s="14">
        <v>99.62</v>
      </c>
      <c r="Q66" s="14">
        <v>199.5</v>
      </c>
      <c r="R66" s="14">
        <v>803.99</v>
      </c>
      <c r="S66" s="2" t="s">
        <v>1119</v>
      </c>
      <c r="T66" s="2">
        <v>1.01</v>
      </c>
      <c r="U66" s="2">
        <v>60.8</v>
      </c>
      <c r="V66" s="2">
        <v>58</v>
      </c>
      <c r="W66" s="2" t="s">
        <v>7862</v>
      </c>
      <c r="X66" s="2" t="s">
        <v>5405</v>
      </c>
      <c r="Y66" s="2">
        <v>211575</v>
      </c>
      <c r="Z66" s="19" t="str">
        <f>HYPERLINK("https://ssdweb.co/ssdweb/hd/Vision360.html?d=941390459&amp;zoomslide=1&amp;z=1941390459&amp;ISCONFIRM=0","VIDEO")</f>
        <v>VIDEO</v>
      </c>
      <c r="AA66" s="19" t="str">
        <f>HYPERLINK("https://ssdweb.co/ssdweb/CERTH/691552765.pdf","CERTI")</f>
        <v>CERTI</v>
      </c>
    </row>
    <row r="67" spans="1:27" ht="15" x14ac:dyDescent="0.25">
      <c r="A67" s="2">
        <v>62</v>
      </c>
      <c r="B67" s="39">
        <v>941390338</v>
      </c>
      <c r="C67" s="28" t="str">
        <f>HYPERLINK("https://pld.live/RapDetail.aspx?STONELIST=941390338","DNA")</f>
        <v>DNA</v>
      </c>
      <c r="D67" s="18" t="s">
        <v>3134</v>
      </c>
      <c r="E67" s="18" t="s">
        <v>2186</v>
      </c>
      <c r="F67" s="2" t="s">
        <v>7987</v>
      </c>
      <c r="G67" s="2" t="s">
        <v>861</v>
      </c>
      <c r="H67" s="14">
        <v>4.03</v>
      </c>
      <c r="I67" s="2" t="s">
        <v>4761</v>
      </c>
      <c r="J67" s="2" t="s">
        <v>3942</v>
      </c>
      <c r="K67" s="2" t="s">
        <v>3390</v>
      </c>
      <c r="L67" s="2" t="s">
        <v>5221</v>
      </c>
      <c r="M67" s="2" t="s">
        <v>5221</v>
      </c>
      <c r="N67" s="2" t="s">
        <v>2317</v>
      </c>
      <c r="O67" s="14">
        <v>52500</v>
      </c>
      <c r="P67" s="14">
        <v>99.62</v>
      </c>
      <c r="Q67" s="14">
        <v>199.5</v>
      </c>
      <c r="R67" s="14">
        <v>803.99</v>
      </c>
      <c r="S67" s="2" t="s">
        <v>6922</v>
      </c>
      <c r="T67" s="2">
        <v>1</v>
      </c>
      <c r="U67" s="2">
        <v>60.9</v>
      </c>
      <c r="V67" s="2">
        <v>58</v>
      </c>
      <c r="W67" s="2" t="s">
        <v>7862</v>
      </c>
      <c r="X67" s="2" t="s">
        <v>5405</v>
      </c>
      <c r="Y67" s="2">
        <v>211575</v>
      </c>
      <c r="Z67" s="19" t="str">
        <f>HYPERLINK("https://ssdweb.co/ssdweb/hd/Vision360.html?d=941390338&amp;zoomslide=1&amp;z=1941390338&amp;ISCONFIRM=0","VIDEO")</f>
        <v>VIDEO</v>
      </c>
      <c r="AA67" s="19" t="str">
        <f>HYPERLINK("https://ssdweb.co/ssdweb/CERTH/689543247.pdf","CERTI")</f>
        <v>CERTI</v>
      </c>
    </row>
    <row r="68" spans="1:27" ht="15" x14ac:dyDescent="0.25">
      <c r="A68" s="2">
        <v>63</v>
      </c>
      <c r="B68" s="39">
        <v>941390330</v>
      </c>
      <c r="C68" s="28" t="str">
        <f>HYPERLINK("https://pld.live/RapDetail.aspx?STONELIST=941390330","DNA")</f>
        <v>DNA</v>
      </c>
      <c r="D68" s="18" t="s">
        <v>3134</v>
      </c>
      <c r="E68" s="18" t="s">
        <v>2186</v>
      </c>
      <c r="F68" s="2" t="s">
        <v>7987</v>
      </c>
      <c r="G68" s="2" t="s">
        <v>861</v>
      </c>
      <c r="H68" s="14">
        <v>4.03</v>
      </c>
      <c r="I68" s="2" t="s">
        <v>4761</v>
      </c>
      <c r="J68" s="2" t="s">
        <v>3942</v>
      </c>
      <c r="K68" s="2" t="s">
        <v>3390</v>
      </c>
      <c r="L68" s="2" t="s">
        <v>5221</v>
      </c>
      <c r="M68" s="2" t="s">
        <v>5221</v>
      </c>
      <c r="N68" s="2" t="s">
        <v>2317</v>
      </c>
      <c r="O68" s="14">
        <v>52500</v>
      </c>
      <c r="P68" s="14">
        <v>99.62</v>
      </c>
      <c r="Q68" s="14">
        <v>199.5</v>
      </c>
      <c r="R68" s="14">
        <v>803.99</v>
      </c>
      <c r="S68" s="2" t="s">
        <v>678</v>
      </c>
      <c r="T68" s="2">
        <v>1</v>
      </c>
      <c r="U68" s="2">
        <v>61.5</v>
      </c>
      <c r="V68" s="2">
        <v>58</v>
      </c>
      <c r="W68" s="2" t="s">
        <v>7862</v>
      </c>
      <c r="X68" s="2" t="s">
        <v>5405</v>
      </c>
      <c r="Y68" s="2">
        <v>211575</v>
      </c>
      <c r="Z68" s="19" t="str">
        <f>HYPERLINK("https://ssdweb.co/ssdweb/hd/Vision360.html?d=941390330&amp;zoomslide=1&amp;z=1941390330&amp;ISCONFIRM=0","VIDEO")</f>
        <v>VIDEO</v>
      </c>
      <c r="AA68" s="19" t="str">
        <f>HYPERLINK("https://ssdweb.co/ssdweb/CERTH/689543257.pdf","CERTI")</f>
        <v>CERTI</v>
      </c>
    </row>
    <row r="69" spans="1:27" ht="15" x14ac:dyDescent="0.25">
      <c r="A69" s="2">
        <v>64</v>
      </c>
      <c r="B69" s="39">
        <v>941390348</v>
      </c>
      <c r="C69" s="28" t="str">
        <f>HYPERLINK("https://pld.live/RapDetail.aspx?STONELIST=941390348","DNA")</f>
        <v>DNA</v>
      </c>
      <c r="D69" s="18" t="s">
        <v>3134</v>
      </c>
      <c r="E69" s="18" t="s">
        <v>2186</v>
      </c>
      <c r="F69" s="2" t="s">
        <v>7987</v>
      </c>
      <c r="G69" s="2" t="s">
        <v>861</v>
      </c>
      <c r="H69" s="14">
        <v>4.03</v>
      </c>
      <c r="I69" s="2" t="s">
        <v>4761</v>
      </c>
      <c r="J69" s="2" t="s">
        <v>13</v>
      </c>
      <c r="K69" s="2" t="s">
        <v>3390</v>
      </c>
      <c r="L69" s="2" t="s">
        <v>5221</v>
      </c>
      <c r="M69" s="2" t="s">
        <v>5221</v>
      </c>
      <c r="N69" s="2" t="s">
        <v>2317</v>
      </c>
      <c r="O69" s="14">
        <v>45000</v>
      </c>
      <c r="P69" s="14">
        <v>99.62</v>
      </c>
      <c r="Q69" s="14">
        <v>171</v>
      </c>
      <c r="R69" s="14">
        <v>689.13</v>
      </c>
      <c r="S69" s="2" t="s">
        <v>4220</v>
      </c>
      <c r="T69" s="2">
        <v>1</v>
      </c>
      <c r="U69" s="2">
        <v>60.1</v>
      </c>
      <c r="V69" s="2">
        <v>58</v>
      </c>
      <c r="W69" s="2" t="s">
        <v>7862</v>
      </c>
      <c r="X69" s="2" t="s">
        <v>5405</v>
      </c>
      <c r="Y69" s="2">
        <v>181350</v>
      </c>
      <c r="Z69" s="19" t="str">
        <f>HYPERLINK("https://ssdweb.co/ssdweb/hd/Vision360.html?d=941390348&amp;zoomslide=1&amp;z=1941390348&amp;ISCONFIRM=0","VIDEO")</f>
        <v>VIDEO</v>
      </c>
      <c r="AA69" s="19" t="str">
        <f>HYPERLINK("https://ssdweb.co/ssdweb/CERTH/689543248.pdf","CERTI")</f>
        <v>CERTI</v>
      </c>
    </row>
    <row r="70" spans="1:27" ht="15" x14ac:dyDescent="0.25">
      <c r="A70" s="2">
        <v>65</v>
      </c>
      <c r="B70" s="39">
        <v>941390446</v>
      </c>
      <c r="C70" s="28" t="str">
        <f>HYPERLINK("https://pld.live/RapDetail.aspx?STONELIST=941390446","DNA")</f>
        <v>DNA</v>
      </c>
      <c r="D70" s="18" t="s">
        <v>3134</v>
      </c>
      <c r="E70" s="18" t="s">
        <v>2186</v>
      </c>
      <c r="F70" s="2" t="s">
        <v>7987</v>
      </c>
      <c r="G70" s="2" t="s">
        <v>861</v>
      </c>
      <c r="H70" s="14">
        <v>4.03</v>
      </c>
      <c r="I70" s="2" t="s">
        <v>4761</v>
      </c>
      <c r="J70" s="2" t="s">
        <v>13</v>
      </c>
      <c r="K70" s="2" t="s">
        <v>3390</v>
      </c>
      <c r="L70" s="2" t="s">
        <v>5221</v>
      </c>
      <c r="M70" s="2" t="s">
        <v>5221</v>
      </c>
      <c r="N70" s="2" t="s">
        <v>2317</v>
      </c>
      <c r="O70" s="14">
        <v>45000</v>
      </c>
      <c r="P70" s="14">
        <v>99.62</v>
      </c>
      <c r="Q70" s="14">
        <v>171</v>
      </c>
      <c r="R70" s="14">
        <v>689.13</v>
      </c>
      <c r="S70" s="2" t="s">
        <v>1139</v>
      </c>
      <c r="T70" s="2">
        <v>1.01</v>
      </c>
      <c r="U70" s="2">
        <v>61.6</v>
      </c>
      <c r="V70" s="2">
        <v>59</v>
      </c>
      <c r="W70" s="2" t="s">
        <v>7862</v>
      </c>
      <c r="X70" s="2" t="s">
        <v>5405</v>
      </c>
      <c r="Y70" s="2">
        <v>181350</v>
      </c>
      <c r="Z70" s="19" t="str">
        <f>HYPERLINK("https://ssdweb.co/ssdweb/hd/Vision360.html?d=941390446&amp;zoomslide=1&amp;z=1941390446&amp;ISCONFIRM=0","VIDEO")</f>
        <v>VIDEO</v>
      </c>
      <c r="AA70" s="19" t="str">
        <f>HYPERLINK("https://ssdweb.co/ssdweb/CERTH/691552764.pdf","CERTI")</f>
        <v>CERTI</v>
      </c>
    </row>
    <row r="71" spans="1:27" ht="15" x14ac:dyDescent="0.25">
      <c r="A71" s="2">
        <v>66</v>
      </c>
      <c r="B71" s="39">
        <v>927110020</v>
      </c>
      <c r="C71" s="28" t="str">
        <f>HYPERLINK("https://pld.live/RapDetail.aspx?STONELIST=927110020","DNA")</f>
        <v>DNA</v>
      </c>
      <c r="D71" s="18" t="s">
        <v>3134</v>
      </c>
      <c r="E71" s="18" t="s">
        <v>2186</v>
      </c>
      <c r="F71" s="2" t="s">
        <v>7987</v>
      </c>
      <c r="G71" s="2" t="s">
        <v>861</v>
      </c>
      <c r="H71" s="14">
        <v>4.0199999999999996</v>
      </c>
      <c r="I71" s="2" t="s">
        <v>4761</v>
      </c>
      <c r="J71" s="2" t="s">
        <v>3942</v>
      </c>
      <c r="K71" s="2" t="s">
        <v>3390</v>
      </c>
      <c r="L71" s="2" t="s">
        <v>5221</v>
      </c>
      <c r="M71" s="2" t="s">
        <v>5221</v>
      </c>
      <c r="N71" s="2" t="s">
        <v>2317</v>
      </c>
      <c r="O71" s="14">
        <v>52500</v>
      </c>
      <c r="P71" s="14">
        <v>99.62</v>
      </c>
      <c r="Q71" s="14">
        <v>199.5</v>
      </c>
      <c r="R71" s="14">
        <v>801.99</v>
      </c>
      <c r="S71" s="2" t="s">
        <v>59</v>
      </c>
      <c r="T71" s="2">
        <v>1</v>
      </c>
      <c r="U71" s="2">
        <v>60</v>
      </c>
      <c r="V71" s="2">
        <v>58</v>
      </c>
      <c r="W71" s="2" t="s">
        <v>7862</v>
      </c>
      <c r="X71" s="2" t="s">
        <v>5405</v>
      </c>
      <c r="Y71" s="2">
        <v>211050</v>
      </c>
      <c r="Z71" s="19" t="str">
        <f>HYPERLINK("https://ssdweb.co/ssdweb/hd/Vision360.html?d=927110020&amp;zoomslide=1&amp;z=1927110020&amp;ISCONFIRM=0","VIDEO")</f>
        <v>VIDEO</v>
      </c>
      <c r="AA71" s="19" t="str">
        <f>HYPERLINK("https://ssdweb.co/ssdweb/CERTH/668437252.pdf","CERTI")</f>
        <v>CERTI</v>
      </c>
    </row>
    <row r="72" spans="1:27" ht="15" x14ac:dyDescent="0.25">
      <c r="A72" s="2">
        <v>67</v>
      </c>
      <c r="B72" s="39">
        <v>926860063</v>
      </c>
      <c r="C72" s="28" t="str">
        <f>HYPERLINK("https://pld.live/RapDetail.aspx?STONELIST=926860063","DNA")</f>
        <v>DNA</v>
      </c>
      <c r="D72" s="18" t="s">
        <v>3134</v>
      </c>
      <c r="E72" s="18" t="s">
        <v>2186</v>
      </c>
      <c r="F72" s="2" t="s">
        <v>7987</v>
      </c>
      <c r="G72" s="2" t="s">
        <v>861</v>
      </c>
      <c r="H72" s="14">
        <v>4.0199999999999996</v>
      </c>
      <c r="I72" s="2" t="s">
        <v>6587</v>
      </c>
      <c r="J72" s="2" t="s">
        <v>3942</v>
      </c>
      <c r="K72" s="2" t="s">
        <v>3390</v>
      </c>
      <c r="L72" s="2" t="s">
        <v>5221</v>
      </c>
      <c r="M72" s="2" t="s">
        <v>5221</v>
      </c>
      <c r="N72" s="2" t="s">
        <v>2317</v>
      </c>
      <c r="O72" s="14">
        <v>39500</v>
      </c>
      <c r="P72" s="14">
        <v>99.6</v>
      </c>
      <c r="Q72" s="14">
        <v>158</v>
      </c>
      <c r="R72" s="14">
        <v>635.16</v>
      </c>
      <c r="S72" s="2" t="s">
        <v>1525</v>
      </c>
      <c r="T72" s="2">
        <v>1.01</v>
      </c>
      <c r="U72" s="2">
        <v>61.1</v>
      </c>
      <c r="V72" s="2">
        <v>56</v>
      </c>
      <c r="W72" s="2" t="s">
        <v>7862</v>
      </c>
      <c r="X72" s="2" t="s">
        <v>5405</v>
      </c>
      <c r="Y72" s="2">
        <v>158790</v>
      </c>
      <c r="Z72" s="19" t="str">
        <f>HYPERLINK("https://ssdweb.co/ssdweb/hd/Vision360.html?d=926860063&amp;zoomslide=1&amp;z=1926860063&amp;ISCONFIRM=0","VIDEO")</f>
        <v>VIDEO</v>
      </c>
      <c r="AA72" s="19" t="str">
        <f>HYPERLINK("https://ssdweb.co/ssdweb/CERTH/654432352.pdf","CERTI")</f>
        <v>CERTI</v>
      </c>
    </row>
    <row r="73" spans="1:27" ht="15" x14ac:dyDescent="0.25">
      <c r="A73" s="2">
        <v>68</v>
      </c>
      <c r="B73" s="39">
        <v>821115883</v>
      </c>
      <c r="C73" s="28" t="str">
        <f>HYPERLINK("https://pld.live/RapDetail.aspx?STONELIST=821115883","DNA")</f>
        <v>DNA</v>
      </c>
      <c r="D73" s="18" t="s">
        <v>3134</v>
      </c>
      <c r="E73" s="18" t="s">
        <v>2186</v>
      </c>
      <c r="F73" s="2" t="s">
        <v>7987</v>
      </c>
      <c r="G73" s="2" t="s">
        <v>861</v>
      </c>
      <c r="H73" s="14">
        <v>4.01</v>
      </c>
      <c r="I73" s="2" t="s">
        <v>267</v>
      </c>
      <c r="J73" s="2" t="s">
        <v>13</v>
      </c>
      <c r="K73" s="2" t="s">
        <v>3390</v>
      </c>
      <c r="L73" s="2" t="s">
        <v>5221</v>
      </c>
      <c r="M73" s="2" t="s">
        <v>5221</v>
      </c>
      <c r="N73" s="2" t="s">
        <v>2317</v>
      </c>
      <c r="O73" s="14">
        <v>49500</v>
      </c>
      <c r="P73" s="14">
        <v>99.56</v>
      </c>
      <c r="Q73" s="14">
        <v>217.8</v>
      </c>
      <c r="R73" s="14">
        <v>873.38</v>
      </c>
      <c r="S73" s="2" t="s">
        <v>2200</v>
      </c>
      <c r="T73" s="2">
        <v>1</v>
      </c>
      <c r="U73" s="2">
        <v>60.6</v>
      </c>
      <c r="V73" s="2">
        <v>57</v>
      </c>
      <c r="W73" s="2" t="s">
        <v>7862</v>
      </c>
      <c r="X73" s="2" t="s">
        <v>5405</v>
      </c>
      <c r="Y73" s="2">
        <v>198495</v>
      </c>
      <c r="Z73" s="19" t="str">
        <f>HYPERLINK("https://ssdweb.co/ssdweb/hd/Vision360.html?d=821115883&amp;zoomslide=1&amp;z=1821115883&amp;ISCONFIRM=0","VIDEO")</f>
        <v>VIDEO</v>
      </c>
      <c r="AA73" s="19" t="str">
        <f>HYPERLINK("https://ssdweb.co/ssdweb/CERTH/647466349.pdf","CERTI")</f>
        <v>CERTI</v>
      </c>
    </row>
    <row r="74" spans="1:27" ht="15" x14ac:dyDescent="0.25">
      <c r="A74" s="2">
        <v>69</v>
      </c>
      <c r="B74" s="39">
        <v>925570082</v>
      </c>
      <c r="C74" s="28" t="str">
        <f>HYPERLINK("https://pld.live/RapDetail.aspx?STONELIST=925570082","DNA")</f>
        <v>DNA</v>
      </c>
      <c r="D74" s="18" t="s">
        <v>3134</v>
      </c>
      <c r="E74" s="18" t="s">
        <v>2186</v>
      </c>
      <c r="F74" s="2" t="s">
        <v>7987</v>
      </c>
      <c r="G74" s="2" t="s">
        <v>861</v>
      </c>
      <c r="H74" s="14">
        <v>4</v>
      </c>
      <c r="I74" s="2" t="s">
        <v>1112</v>
      </c>
      <c r="J74" s="2" t="s">
        <v>5144</v>
      </c>
      <c r="K74" s="2" t="s">
        <v>5221</v>
      </c>
      <c r="L74" s="2" t="s">
        <v>5221</v>
      </c>
      <c r="M74" s="2" t="s">
        <v>5221</v>
      </c>
      <c r="N74" s="2" t="s">
        <v>924</v>
      </c>
      <c r="O74" s="14">
        <v>9500</v>
      </c>
      <c r="P74" s="14">
        <v>97.16</v>
      </c>
      <c r="Q74" s="14">
        <v>269.8</v>
      </c>
      <c r="R74" s="14">
        <v>1079.2</v>
      </c>
      <c r="S74" s="2" t="s">
        <v>1394</v>
      </c>
      <c r="T74" s="2">
        <v>1</v>
      </c>
      <c r="U74" s="2">
        <v>60.5</v>
      </c>
      <c r="V74" s="2">
        <v>61</v>
      </c>
      <c r="W74" s="2" t="s">
        <v>7862</v>
      </c>
      <c r="X74" s="2" t="s">
        <v>5405</v>
      </c>
      <c r="Y74" s="2">
        <v>38000</v>
      </c>
      <c r="Z74" s="19" t="str">
        <f>HYPERLINK("https://ssdweb.co/ssdweb/hd/Vision360.html?d=925570082&amp;zoomslide=1&amp;z=1925570082&amp;ISCONFIRM=0","VIDEO")</f>
        <v>VIDEO</v>
      </c>
      <c r="AA74" s="19" t="str">
        <f>HYPERLINK("https://ssdweb.co/ssdweb/CERTH/625432422.pdf","CERTI")</f>
        <v>CERTI</v>
      </c>
    </row>
    <row r="75" spans="1:27" ht="15" x14ac:dyDescent="0.25">
      <c r="A75" s="2">
        <v>70</v>
      </c>
      <c r="B75" s="39">
        <v>926010281</v>
      </c>
      <c r="C75" s="28" t="str">
        <f>HYPERLINK("https://pld.live/RapDetail.aspx?STONELIST=926010281","DNA")</f>
        <v>DNA</v>
      </c>
      <c r="D75" s="18" t="s">
        <v>7401</v>
      </c>
      <c r="E75" s="18" t="s">
        <v>2186</v>
      </c>
      <c r="F75" s="2" t="s">
        <v>7987</v>
      </c>
      <c r="G75" s="2" t="s">
        <v>861</v>
      </c>
      <c r="H75" s="14">
        <v>3.82</v>
      </c>
      <c r="I75" s="2" t="s">
        <v>1112</v>
      </c>
      <c r="J75" s="2" t="s">
        <v>13</v>
      </c>
      <c r="K75" s="2" t="s">
        <v>3390</v>
      </c>
      <c r="L75" s="2" t="s">
        <v>5221</v>
      </c>
      <c r="M75" s="2" t="s">
        <v>5221</v>
      </c>
      <c r="N75" s="2" t="s">
        <v>924</v>
      </c>
      <c r="O75" s="14">
        <v>8700</v>
      </c>
      <c r="P75" s="14">
        <v>96.78</v>
      </c>
      <c r="Q75" s="14">
        <v>280.14</v>
      </c>
      <c r="R75" s="14">
        <v>1070.1300000000001</v>
      </c>
      <c r="S75" s="2" t="s">
        <v>799</v>
      </c>
      <c r="T75" s="2">
        <v>1</v>
      </c>
      <c r="U75" s="2">
        <v>61.1</v>
      </c>
      <c r="V75" s="2">
        <v>60</v>
      </c>
      <c r="W75" s="2" t="s">
        <v>7862</v>
      </c>
      <c r="X75" s="2" t="s">
        <v>5405</v>
      </c>
      <c r="Y75" s="2">
        <v>33234</v>
      </c>
      <c r="Z75" s="19" t="str">
        <f>HYPERLINK("https://ssdweb.co/ssdweb/hd/Vision360.html?d=926010281&amp;zoomslide=1&amp;z=1926010281&amp;ISCONFIRM=0","VIDEO")</f>
        <v>VIDEO</v>
      </c>
      <c r="AA75" s="19" t="str">
        <f>HYPERLINK("https://ssdweb.co/ssdweb/CERTH/636470033.pdf","CERTI")</f>
        <v>CERTI</v>
      </c>
    </row>
    <row r="76" spans="1:27" ht="15" x14ac:dyDescent="0.25">
      <c r="A76" s="2">
        <v>71</v>
      </c>
      <c r="B76" s="39">
        <v>926410152</v>
      </c>
      <c r="C76" s="28" t="str">
        <f>HYPERLINK("https://pld.live/RapDetail.aspx?STONELIST=926410152","DNA")</f>
        <v>DNA</v>
      </c>
      <c r="D76" s="18" t="s">
        <v>3628</v>
      </c>
      <c r="E76" s="18" t="s">
        <v>2186</v>
      </c>
      <c r="F76" s="2" t="s">
        <v>7987</v>
      </c>
      <c r="G76" s="2" t="s">
        <v>861</v>
      </c>
      <c r="H76" s="14">
        <v>3.65</v>
      </c>
      <c r="I76" s="2" t="s">
        <v>4699</v>
      </c>
      <c r="J76" s="2" t="s">
        <v>13</v>
      </c>
      <c r="K76" s="2" t="s">
        <v>3390</v>
      </c>
      <c r="L76" s="2" t="s">
        <v>5221</v>
      </c>
      <c r="M76" s="2" t="s">
        <v>5221</v>
      </c>
      <c r="N76" s="2" t="s">
        <v>2317</v>
      </c>
      <c r="O76" s="14">
        <v>29500</v>
      </c>
      <c r="P76" s="14">
        <v>99.49</v>
      </c>
      <c r="Q76" s="14">
        <v>150.44999999999999</v>
      </c>
      <c r="R76" s="14">
        <v>549.14</v>
      </c>
      <c r="S76" s="2" t="s">
        <v>7461</v>
      </c>
      <c r="T76" s="2">
        <v>1.01</v>
      </c>
      <c r="U76" s="2">
        <v>62.2</v>
      </c>
      <c r="V76" s="2">
        <v>59</v>
      </c>
      <c r="W76" s="2" t="s">
        <v>7862</v>
      </c>
      <c r="X76" s="2" t="s">
        <v>5405</v>
      </c>
      <c r="Y76" s="2">
        <v>107675</v>
      </c>
      <c r="Z76" s="19" t="str">
        <f>HYPERLINK("https://ssdweb.co/ssdweb/hd/Vision360.html?d=926410152&amp;zoomslide=1&amp;z=1926410152&amp;ISCONFIRM=0","VIDEO")</f>
        <v>VIDEO</v>
      </c>
      <c r="AA76" s="19" t="str">
        <f>HYPERLINK("https://ssdweb.co/ssdweb/CERTH/660489717.pdf","CERTI")</f>
        <v>CERTI</v>
      </c>
    </row>
    <row r="77" spans="1:27" ht="15" x14ac:dyDescent="0.25">
      <c r="A77" s="2">
        <v>72</v>
      </c>
      <c r="B77" s="39">
        <v>831020569</v>
      </c>
      <c r="C77" s="28" t="str">
        <f>HYPERLINK("https://pld.live/RapDetail.aspx?STONELIST=831020569","DNA")</f>
        <v>DNA</v>
      </c>
      <c r="D77" s="18" t="s">
        <v>3628</v>
      </c>
      <c r="E77" s="18" t="s">
        <v>2186</v>
      </c>
      <c r="F77" s="2" t="s">
        <v>7987</v>
      </c>
      <c r="G77" s="2" t="s">
        <v>861</v>
      </c>
      <c r="H77" s="14">
        <v>3.55</v>
      </c>
      <c r="I77" s="2" t="s">
        <v>6587</v>
      </c>
      <c r="J77" s="2" t="s">
        <v>13</v>
      </c>
      <c r="K77" s="2" t="s">
        <v>3390</v>
      </c>
      <c r="L77" s="2" t="s">
        <v>5221</v>
      </c>
      <c r="M77" s="2" t="s">
        <v>5221</v>
      </c>
      <c r="N77" s="2" t="s">
        <v>2317</v>
      </c>
      <c r="O77" s="14">
        <v>24500</v>
      </c>
      <c r="P77" s="14">
        <v>99.47</v>
      </c>
      <c r="Q77" s="14">
        <v>129.85</v>
      </c>
      <c r="R77" s="14">
        <v>460.97</v>
      </c>
      <c r="S77" s="2" t="s">
        <v>6432</v>
      </c>
      <c r="T77" s="2">
        <v>1.01</v>
      </c>
      <c r="U77" s="2">
        <v>61.8</v>
      </c>
      <c r="V77" s="2">
        <v>59</v>
      </c>
      <c r="W77" s="2" t="s">
        <v>7862</v>
      </c>
      <c r="X77" s="2" t="s">
        <v>5405</v>
      </c>
      <c r="Y77" s="2">
        <v>86975</v>
      </c>
      <c r="Z77" s="19" t="str">
        <f>HYPERLINK("https://ssdweb.co/ssdweb/hd/Vision360.html?d=831020569&amp;zoomslide=1&amp;z=1831020569&amp;ISCONFIRM=0","VIDEO")</f>
        <v>VIDEO</v>
      </c>
      <c r="AA77" s="19" t="str">
        <f>HYPERLINK("https://ssdweb.co/ssdweb/CERTH/623493335.pdf","CERTI")</f>
        <v>CERTI</v>
      </c>
    </row>
    <row r="78" spans="1:27" ht="15" x14ac:dyDescent="0.25">
      <c r="A78" s="2">
        <v>73</v>
      </c>
      <c r="B78" s="39">
        <v>9414500275</v>
      </c>
      <c r="C78" s="28" t="str">
        <f>HYPERLINK("https://pld.live/RapDetail.aspx?STONELIST=9414500275","DNA")</f>
        <v>DNA</v>
      </c>
      <c r="D78" s="18" t="s">
        <v>3628</v>
      </c>
      <c r="E78" s="18" t="s">
        <v>2186</v>
      </c>
      <c r="F78" s="2" t="s">
        <v>7987</v>
      </c>
      <c r="G78" s="2" t="s">
        <v>861</v>
      </c>
      <c r="H78" s="14">
        <v>3.5</v>
      </c>
      <c r="I78" s="2" t="s">
        <v>4761</v>
      </c>
      <c r="J78" s="2" t="s">
        <v>3942</v>
      </c>
      <c r="K78" s="2" t="s">
        <v>3390</v>
      </c>
      <c r="L78" s="2" t="s">
        <v>5221</v>
      </c>
      <c r="M78" s="2" t="s">
        <v>5221</v>
      </c>
      <c r="N78" s="2" t="s">
        <v>2317</v>
      </c>
      <c r="O78" s="14">
        <v>37000</v>
      </c>
      <c r="P78" s="14">
        <v>99.5</v>
      </c>
      <c r="Q78" s="14">
        <v>185</v>
      </c>
      <c r="R78" s="14">
        <v>647.5</v>
      </c>
      <c r="S78" s="2" t="s">
        <v>7245</v>
      </c>
      <c r="T78" s="2">
        <v>1</v>
      </c>
      <c r="U78" s="2">
        <v>61.6</v>
      </c>
      <c r="V78" s="2">
        <v>57</v>
      </c>
      <c r="W78" s="2" t="s">
        <v>7862</v>
      </c>
      <c r="X78" s="2" t="s">
        <v>5405</v>
      </c>
      <c r="Y78" s="2">
        <v>129500</v>
      </c>
      <c r="Z78" s="19" t="str">
        <f>HYPERLINK("https://ssdweb.co/ssdweb/hd/Vision360.html?d=9414500275&amp;zoomslide=1&amp;z=19414500275&amp;ISCONFIRM=0","VIDEO")</f>
        <v>VIDEO</v>
      </c>
      <c r="AA78" s="19" t="str">
        <f>HYPERLINK("https://ssdweb.co/ssdweb/CERTH/694508457.pdf","CERTI")</f>
        <v>CERTI</v>
      </c>
    </row>
    <row r="79" spans="1:27" ht="15" x14ac:dyDescent="0.25">
      <c r="A79" s="2">
        <v>74</v>
      </c>
      <c r="B79" s="39">
        <v>926860100</v>
      </c>
      <c r="C79" s="28" t="str">
        <f>HYPERLINK("https://pld.live/RapDetail.aspx?STONELIST=926860100","DNA")</f>
        <v>DNA</v>
      </c>
      <c r="D79" s="18" t="s">
        <v>6469</v>
      </c>
      <c r="E79" s="18" t="s">
        <v>2186</v>
      </c>
      <c r="F79" s="2" t="s">
        <v>7987</v>
      </c>
      <c r="G79" s="2" t="s">
        <v>861</v>
      </c>
      <c r="H79" s="14">
        <v>3.46</v>
      </c>
      <c r="I79" s="2" t="s">
        <v>1505</v>
      </c>
      <c r="J79" s="2" t="s">
        <v>3942</v>
      </c>
      <c r="K79" s="2" t="s">
        <v>3390</v>
      </c>
      <c r="L79" s="2" t="s">
        <v>5221</v>
      </c>
      <c r="M79" s="2" t="s">
        <v>5221</v>
      </c>
      <c r="N79" s="2" t="s">
        <v>2317</v>
      </c>
      <c r="O79" s="14">
        <v>22500</v>
      </c>
      <c r="P79" s="14">
        <v>99.43</v>
      </c>
      <c r="Q79" s="14">
        <v>128.25</v>
      </c>
      <c r="R79" s="14">
        <v>443.75</v>
      </c>
      <c r="S79" s="2" t="s">
        <v>4042</v>
      </c>
      <c r="T79" s="2">
        <v>1.01</v>
      </c>
      <c r="U79" s="2">
        <v>61.3</v>
      </c>
      <c r="V79" s="2">
        <v>59</v>
      </c>
      <c r="W79" s="2" t="s">
        <v>7862</v>
      </c>
      <c r="X79" s="2" t="s">
        <v>5405</v>
      </c>
      <c r="Y79" s="2">
        <v>77850</v>
      </c>
      <c r="Z79" s="19" t="str">
        <f>HYPERLINK("https://ssdweb.co/ssdweb/hd/Vision360.html?d=926860100&amp;zoomslide=1&amp;z=1926860100&amp;ISCONFIRM=0","VIDEO")</f>
        <v>VIDEO</v>
      </c>
      <c r="AA79" s="19" t="str">
        <f>HYPERLINK("https://ssdweb.co/ssdweb/CERTH/659437037.pdf","CERTI")</f>
        <v>CERTI</v>
      </c>
    </row>
    <row r="80" spans="1:27" ht="15" x14ac:dyDescent="0.25">
      <c r="A80" s="2">
        <v>75</v>
      </c>
      <c r="B80" s="39">
        <v>831020668</v>
      </c>
      <c r="C80" s="28" t="str">
        <f>HYPERLINK("https://pld.live/RapDetail.aspx?STONELIST=831020668","DNA")</f>
        <v>DNA</v>
      </c>
      <c r="D80" s="18" t="s">
        <v>6469</v>
      </c>
      <c r="E80" s="18" t="s">
        <v>2186</v>
      </c>
      <c r="F80" s="2" t="s">
        <v>7987</v>
      </c>
      <c r="G80" s="2" t="s">
        <v>861</v>
      </c>
      <c r="H80" s="14">
        <v>3.34</v>
      </c>
      <c r="I80" s="2" t="s">
        <v>4761</v>
      </c>
      <c r="J80" s="2" t="s">
        <v>3942</v>
      </c>
      <c r="K80" s="2" t="s">
        <v>3390</v>
      </c>
      <c r="L80" s="2" t="s">
        <v>5221</v>
      </c>
      <c r="M80" s="2" t="s">
        <v>5221</v>
      </c>
      <c r="N80" s="2" t="s">
        <v>2317</v>
      </c>
      <c r="O80" s="14">
        <v>37000</v>
      </c>
      <c r="P80" s="14">
        <v>99.55</v>
      </c>
      <c r="Q80" s="14">
        <v>166.5</v>
      </c>
      <c r="R80" s="14">
        <v>556.11</v>
      </c>
      <c r="S80" s="2" t="s">
        <v>3161</v>
      </c>
      <c r="T80" s="2">
        <v>1.01</v>
      </c>
      <c r="U80" s="2">
        <v>62.3</v>
      </c>
      <c r="V80" s="2">
        <v>58.5</v>
      </c>
      <c r="W80" s="2" t="s">
        <v>7862</v>
      </c>
      <c r="X80" s="2" t="s">
        <v>5405</v>
      </c>
      <c r="Y80" s="2">
        <v>123580</v>
      </c>
      <c r="Z80" s="19" t="str">
        <f>HYPERLINK("https://ssdweb.co/ssdweb/hd/Vision360.html?d=831020668&amp;zoomslide=1&amp;z=1831020668&amp;ISCONFIRM=0","VIDEO")</f>
        <v>VIDEO</v>
      </c>
      <c r="AA80" s="19" t="str">
        <f>HYPERLINK("https://ssdweb.co/ssdweb/CERTH/566322648.pdf","CERTI")</f>
        <v>CERTI</v>
      </c>
    </row>
    <row r="81" spans="1:27" ht="15" x14ac:dyDescent="0.25">
      <c r="A81" s="2">
        <v>76</v>
      </c>
      <c r="B81" s="39">
        <v>831020672</v>
      </c>
      <c r="C81" s="28" t="str">
        <f>HYPERLINK("https://pld.live/RapDetail.aspx?STONELIST=831020672","DNA")</f>
        <v>DNA</v>
      </c>
      <c r="D81" s="18" t="s">
        <v>4563</v>
      </c>
      <c r="E81" s="18" t="s">
        <v>2186</v>
      </c>
      <c r="F81" s="2" t="s">
        <v>7987</v>
      </c>
      <c r="G81" s="2" t="s">
        <v>861</v>
      </c>
      <c r="H81" s="14">
        <v>3.29</v>
      </c>
      <c r="I81" s="2" t="s">
        <v>4699</v>
      </c>
      <c r="J81" s="2" t="s">
        <v>13</v>
      </c>
      <c r="K81" s="2" t="s">
        <v>3390</v>
      </c>
      <c r="L81" s="2" t="s">
        <v>5221</v>
      </c>
      <c r="M81" s="2" t="s">
        <v>5221</v>
      </c>
      <c r="N81" s="2" t="s">
        <v>2317</v>
      </c>
      <c r="O81" s="14">
        <v>29500</v>
      </c>
      <c r="P81" s="14">
        <v>99.51</v>
      </c>
      <c r="Q81" s="14">
        <v>144.55000000000001</v>
      </c>
      <c r="R81" s="14">
        <v>475.57</v>
      </c>
      <c r="S81" s="2" t="s">
        <v>5283</v>
      </c>
      <c r="T81" s="2">
        <v>1</v>
      </c>
      <c r="U81" s="2">
        <v>62.4</v>
      </c>
      <c r="V81" s="2">
        <v>57</v>
      </c>
      <c r="W81" s="2" t="s">
        <v>7862</v>
      </c>
      <c r="X81" s="2" t="s">
        <v>5405</v>
      </c>
      <c r="Y81" s="2">
        <v>97055</v>
      </c>
      <c r="Z81" s="19" t="str">
        <f>HYPERLINK("https://ssdweb.co/ssdweb/hd/Vision360.html?d=831020672&amp;zoomslide=1&amp;z=1831020672&amp;ISCONFIRM=0","VIDEO")</f>
        <v>VIDEO</v>
      </c>
      <c r="AA81" s="19" t="str">
        <f>HYPERLINK("https://ssdweb.co/ssdweb/CERTH/561255570.pdf","CERTI")</f>
        <v>CERTI</v>
      </c>
    </row>
    <row r="82" spans="1:27" ht="15" x14ac:dyDescent="0.25">
      <c r="A82" s="2">
        <v>77</v>
      </c>
      <c r="B82" s="39">
        <v>831020730</v>
      </c>
      <c r="C82" s="28" t="str">
        <f>HYPERLINK("https://pld.live/RapDetail.aspx?STONELIST=831020730","DNA")</f>
        <v>DNA</v>
      </c>
      <c r="D82" s="18" t="s">
        <v>4563</v>
      </c>
      <c r="E82" s="18" t="s">
        <v>2186</v>
      </c>
      <c r="F82" s="2" t="s">
        <v>7987</v>
      </c>
      <c r="G82" s="2" t="s">
        <v>861</v>
      </c>
      <c r="H82" s="14">
        <v>3.28</v>
      </c>
      <c r="I82" s="2" t="s">
        <v>4761</v>
      </c>
      <c r="J82" s="2" t="s">
        <v>3942</v>
      </c>
      <c r="K82" s="2" t="s">
        <v>3390</v>
      </c>
      <c r="L82" s="2" t="s">
        <v>5221</v>
      </c>
      <c r="M82" s="2" t="s">
        <v>5221</v>
      </c>
      <c r="N82" s="2" t="s">
        <v>2317</v>
      </c>
      <c r="O82" s="14">
        <v>37000</v>
      </c>
      <c r="P82" s="14">
        <v>99.55</v>
      </c>
      <c r="Q82" s="14">
        <v>166.5</v>
      </c>
      <c r="R82" s="14">
        <v>546.12</v>
      </c>
      <c r="S82" s="2" t="s">
        <v>998</v>
      </c>
      <c r="T82" s="2">
        <v>1</v>
      </c>
      <c r="U82" s="2">
        <v>60.6</v>
      </c>
      <c r="V82" s="2">
        <v>59</v>
      </c>
      <c r="W82" s="2" t="s">
        <v>7862</v>
      </c>
      <c r="X82" s="2" t="s">
        <v>5405</v>
      </c>
      <c r="Y82" s="2">
        <v>121360</v>
      </c>
      <c r="Z82" s="19" t="str">
        <f>HYPERLINK("https://ssdweb.co/ssdweb/hd/Vision360.html?d=831020730&amp;zoomslide=1&amp;z=1831020730&amp;ISCONFIRM=0","VIDEO")</f>
        <v>VIDEO</v>
      </c>
      <c r="AA82" s="19" t="str">
        <f>HYPERLINK("https://ssdweb.co/ssdweb/CERTH/587397754.pdf","CERTI")</f>
        <v>CERTI</v>
      </c>
    </row>
    <row r="83" spans="1:27" ht="15" x14ac:dyDescent="0.25">
      <c r="A83" s="2">
        <v>78</v>
      </c>
      <c r="B83" s="39">
        <v>831020683</v>
      </c>
      <c r="C83" s="28" t="str">
        <f>HYPERLINK("https://pld.live/RapDetail.aspx?STONELIST=831020683","DNA")</f>
        <v>DNA</v>
      </c>
      <c r="D83" s="18" t="s">
        <v>4563</v>
      </c>
      <c r="E83" s="18" t="s">
        <v>2186</v>
      </c>
      <c r="F83" s="2" t="s">
        <v>7987</v>
      </c>
      <c r="G83" s="2" t="s">
        <v>861</v>
      </c>
      <c r="H83" s="14">
        <v>3.27</v>
      </c>
      <c r="I83" s="2" t="s">
        <v>6587</v>
      </c>
      <c r="J83" s="2" t="s">
        <v>3942</v>
      </c>
      <c r="K83" s="2" t="s">
        <v>3390</v>
      </c>
      <c r="L83" s="2" t="s">
        <v>5221</v>
      </c>
      <c r="M83" s="2" t="s">
        <v>5221</v>
      </c>
      <c r="N83" s="2" t="s">
        <v>2317</v>
      </c>
      <c r="O83" s="14">
        <v>28000</v>
      </c>
      <c r="P83" s="14">
        <v>99.53</v>
      </c>
      <c r="Q83" s="14">
        <v>131.6</v>
      </c>
      <c r="R83" s="14">
        <v>430.33</v>
      </c>
      <c r="S83" s="2" t="s">
        <v>1637</v>
      </c>
      <c r="T83" s="2">
        <v>1.01</v>
      </c>
      <c r="U83" s="2">
        <v>62</v>
      </c>
      <c r="V83" s="2">
        <v>58.5</v>
      </c>
      <c r="W83" s="2" t="s">
        <v>7862</v>
      </c>
      <c r="X83" s="2" t="s">
        <v>5405</v>
      </c>
      <c r="Y83" s="2">
        <v>91560</v>
      </c>
      <c r="Z83" s="19" t="str">
        <f>HYPERLINK("https://ssdweb.co/ssdweb/hd/Vision360.html?d=831020683&amp;zoomslide=1&amp;z=1831020683&amp;ISCONFIRM=0","VIDEO")</f>
        <v>VIDEO</v>
      </c>
      <c r="AA83" s="19" t="str">
        <f>HYPERLINK("https://ssdweb.co/ssdweb/CERTH/559285150.pdf","CERTI")</f>
        <v>CERTI</v>
      </c>
    </row>
    <row r="84" spans="1:27" ht="15" x14ac:dyDescent="0.25">
      <c r="A84" s="2">
        <v>79</v>
      </c>
      <c r="B84" s="39">
        <v>925580057</v>
      </c>
      <c r="C84" s="28" t="str">
        <f>HYPERLINK("https://pld.live/RapDetail.aspx?STONELIST=925580057","DNA")</f>
        <v>DNA</v>
      </c>
      <c r="D84" s="18" t="s">
        <v>4563</v>
      </c>
      <c r="E84" s="18" t="s">
        <v>2186</v>
      </c>
      <c r="F84" s="2" t="s">
        <v>7987</v>
      </c>
      <c r="G84" s="2" t="s">
        <v>861</v>
      </c>
      <c r="H84" s="14">
        <v>3.27</v>
      </c>
      <c r="I84" s="2" t="s">
        <v>6587</v>
      </c>
      <c r="J84" s="2" t="s">
        <v>13</v>
      </c>
      <c r="K84" s="2" t="s">
        <v>3390</v>
      </c>
      <c r="L84" s="2" t="s">
        <v>5221</v>
      </c>
      <c r="M84" s="2" t="s">
        <v>5221</v>
      </c>
      <c r="N84" s="2" t="s">
        <v>2317</v>
      </c>
      <c r="O84" s="14">
        <v>24500</v>
      </c>
      <c r="P84" s="14">
        <v>99.47</v>
      </c>
      <c r="Q84" s="14">
        <v>129.85</v>
      </c>
      <c r="R84" s="14">
        <v>424.61</v>
      </c>
      <c r="S84" s="2" t="s">
        <v>5298</v>
      </c>
      <c r="T84" s="2">
        <v>1</v>
      </c>
      <c r="U84" s="2">
        <v>62.1</v>
      </c>
      <c r="V84" s="2">
        <v>59</v>
      </c>
      <c r="W84" s="2" t="s">
        <v>7862</v>
      </c>
      <c r="X84" s="2" t="s">
        <v>5405</v>
      </c>
      <c r="Y84" s="2">
        <v>80115</v>
      </c>
      <c r="Z84" s="19" t="str">
        <f>HYPERLINK("https://ssdweb.co/ssdweb/hd/Vision360.html?d=925580057&amp;zoomslide=1&amp;z=1925580057&amp;ISCONFIRM=0","VIDEO")</f>
        <v>VIDEO</v>
      </c>
      <c r="AA84" s="19" t="str">
        <f>HYPERLINK("https://ssdweb.co/ssdweb/CERTH/621420368.pdf","CERTI")</f>
        <v>CERTI</v>
      </c>
    </row>
    <row r="85" spans="1:27" ht="15" x14ac:dyDescent="0.25">
      <c r="A85" s="2">
        <v>80</v>
      </c>
      <c r="B85" s="39">
        <v>925630244</v>
      </c>
      <c r="C85" s="28" t="str">
        <f>HYPERLINK("https://pld.live/RapDetail.aspx?STONELIST=925630244","DNA")</f>
        <v>DNA</v>
      </c>
      <c r="D85" s="18" t="s">
        <v>4563</v>
      </c>
      <c r="E85" s="18" t="s">
        <v>2186</v>
      </c>
      <c r="F85" s="2" t="s">
        <v>7987</v>
      </c>
      <c r="G85" s="2" t="s">
        <v>861</v>
      </c>
      <c r="H85" s="14">
        <v>3.26</v>
      </c>
      <c r="I85" s="2" t="s">
        <v>1505</v>
      </c>
      <c r="J85" s="2" t="s">
        <v>13</v>
      </c>
      <c r="K85" s="2" t="s">
        <v>3390</v>
      </c>
      <c r="L85" s="2" t="s">
        <v>5221</v>
      </c>
      <c r="M85" s="2" t="s">
        <v>5221</v>
      </c>
      <c r="N85" s="2" t="s">
        <v>2317</v>
      </c>
      <c r="O85" s="14">
        <v>20500</v>
      </c>
      <c r="P85" s="14">
        <v>99.41</v>
      </c>
      <c r="Q85" s="14">
        <v>120.95</v>
      </c>
      <c r="R85" s="14">
        <v>394.3</v>
      </c>
      <c r="S85" s="2" t="s">
        <v>1938</v>
      </c>
      <c r="T85" s="2">
        <v>1.01</v>
      </c>
      <c r="U85" s="2">
        <v>61.1</v>
      </c>
      <c r="V85" s="2">
        <v>59</v>
      </c>
      <c r="W85" s="2" t="s">
        <v>8016</v>
      </c>
      <c r="X85" s="2" t="s">
        <v>5405</v>
      </c>
      <c r="Y85" s="2">
        <v>66830</v>
      </c>
      <c r="Z85" s="19" t="str">
        <f>HYPERLINK("https://ssdweb.co/ssdweb/hd/Vision360.html?d=925630244&amp;zoomslide=1&amp;z=1925630244&amp;ISCONFIRM=0","VIDEO")</f>
        <v>VIDEO</v>
      </c>
      <c r="AA85" s="19" t="str">
        <f>HYPERLINK("https://ssdweb.co/ssdweb/CERTH/622461256.pdf","CERTI")</f>
        <v>CERTI</v>
      </c>
    </row>
    <row r="86" spans="1:27" ht="15" x14ac:dyDescent="0.25">
      <c r="A86" s="2">
        <v>81</v>
      </c>
      <c r="B86" s="39">
        <v>926560232</v>
      </c>
      <c r="C86" s="28" t="str">
        <f>HYPERLINK("https://pld.live/RapDetail.aspx?STONELIST=926560232","DNA")</f>
        <v>DNA</v>
      </c>
      <c r="D86" s="18" t="s">
        <v>4563</v>
      </c>
      <c r="E86" s="18" t="s">
        <v>2186</v>
      </c>
      <c r="F86" s="2" t="s">
        <v>7987</v>
      </c>
      <c r="G86" s="2" t="s">
        <v>861</v>
      </c>
      <c r="H86" s="14">
        <v>3.25</v>
      </c>
      <c r="I86" s="2" t="s">
        <v>4761</v>
      </c>
      <c r="J86" s="2" t="s">
        <v>5144</v>
      </c>
      <c r="K86" s="2" t="s">
        <v>3390</v>
      </c>
      <c r="L86" s="2" t="s">
        <v>5221</v>
      </c>
      <c r="M86" s="2" t="s">
        <v>5221</v>
      </c>
      <c r="N86" s="2" t="s">
        <v>2317</v>
      </c>
      <c r="O86" s="14">
        <v>26500</v>
      </c>
      <c r="P86" s="14">
        <v>99.43</v>
      </c>
      <c r="Q86" s="14">
        <v>151.05000000000001</v>
      </c>
      <c r="R86" s="14">
        <v>490.91</v>
      </c>
      <c r="S86" s="2" t="s">
        <v>6749</v>
      </c>
      <c r="T86" s="2">
        <v>1.01</v>
      </c>
      <c r="U86" s="2">
        <v>61.6</v>
      </c>
      <c r="V86" s="2">
        <v>57</v>
      </c>
      <c r="W86" s="2" t="s">
        <v>7862</v>
      </c>
      <c r="X86" s="2" t="s">
        <v>5405</v>
      </c>
      <c r="Y86" s="2">
        <v>86125</v>
      </c>
      <c r="Z86" s="19" t="str">
        <f>HYPERLINK("https://ssdweb.co/ssdweb/hd/Vision360.html?d=926560232&amp;zoomslide=1&amp;z=1926560232&amp;ISCONFIRM=0","VIDEO")</f>
        <v>VIDEO</v>
      </c>
      <c r="AA86" s="19" t="str">
        <f>HYPERLINK("https://ssdweb.co/ssdweb/CERTH/647424643.pdf","CERTI")</f>
        <v>CERTI</v>
      </c>
    </row>
    <row r="87" spans="1:27" ht="15" x14ac:dyDescent="0.25">
      <c r="A87" s="2">
        <v>82</v>
      </c>
      <c r="B87" s="39">
        <v>926540046</v>
      </c>
      <c r="C87" s="28" t="str">
        <f>HYPERLINK("https://pld.live/RapDetail.aspx?STONELIST=926540046","DNA")</f>
        <v>DNA</v>
      </c>
      <c r="D87" s="18" t="s">
        <v>4563</v>
      </c>
      <c r="E87" s="18" t="s">
        <v>2186</v>
      </c>
      <c r="F87" s="2" t="s">
        <v>7987</v>
      </c>
      <c r="G87" s="2" t="s">
        <v>861</v>
      </c>
      <c r="H87" s="14">
        <v>3.25</v>
      </c>
      <c r="I87" s="2" t="s">
        <v>6845</v>
      </c>
      <c r="J87" s="2" t="s">
        <v>13</v>
      </c>
      <c r="K87" s="2" t="s">
        <v>3390</v>
      </c>
      <c r="L87" s="2" t="s">
        <v>5221</v>
      </c>
      <c r="M87" s="2" t="s">
        <v>5221</v>
      </c>
      <c r="N87" s="2" t="s">
        <v>2317</v>
      </c>
      <c r="O87" s="14">
        <v>8300</v>
      </c>
      <c r="P87" s="14">
        <v>96.99</v>
      </c>
      <c r="Q87" s="14">
        <v>249.83</v>
      </c>
      <c r="R87" s="14">
        <v>811.95</v>
      </c>
      <c r="S87" s="2" t="s">
        <v>1011</v>
      </c>
      <c r="T87" s="2">
        <v>1.01</v>
      </c>
      <c r="U87" s="2">
        <v>60.3</v>
      </c>
      <c r="V87" s="2">
        <v>59</v>
      </c>
      <c r="W87" s="2" t="s">
        <v>7862</v>
      </c>
      <c r="X87" s="2" t="s">
        <v>5405</v>
      </c>
      <c r="Y87" s="2">
        <v>26975</v>
      </c>
      <c r="Z87" s="19" t="str">
        <f>HYPERLINK("https://ssdweb.co/ssdweb/hd/Vision360.html?d=926540046&amp;zoomslide=1&amp;z=1926540046&amp;ISCONFIRM=0","VIDEO")</f>
        <v>VIDEO</v>
      </c>
      <c r="AA87" s="19" t="str">
        <f>HYPERLINK("https://ssdweb.co/ssdweb/CERTH/648487509.pdf","CERTI")</f>
        <v>CERTI</v>
      </c>
    </row>
    <row r="88" spans="1:27" ht="15" x14ac:dyDescent="0.25">
      <c r="A88" s="2">
        <v>83</v>
      </c>
      <c r="B88" s="39">
        <v>926420306</v>
      </c>
      <c r="C88" s="28" t="str">
        <f>HYPERLINK("https://pld.live/RapDetail.aspx?STONELIST=926420306","DNA")</f>
        <v>DNA</v>
      </c>
      <c r="D88" s="18" t="s">
        <v>4563</v>
      </c>
      <c r="E88" s="18" t="s">
        <v>2186</v>
      </c>
      <c r="F88" s="2" t="s">
        <v>7987</v>
      </c>
      <c r="G88" s="2" t="s">
        <v>861</v>
      </c>
      <c r="H88" s="14">
        <v>3.22</v>
      </c>
      <c r="I88" s="2" t="s">
        <v>4699</v>
      </c>
      <c r="J88" s="2" t="s">
        <v>5144</v>
      </c>
      <c r="K88" s="2" t="s">
        <v>3390</v>
      </c>
      <c r="L88" s="2" t="s">
        <v>5221</v>
      </c>
      <c r="M88" s="2" t="s">
        <v>5221</v>
      </c>
      <c r="N88" s="2" t="s">
        <v>2317</v>
      </c>
      <c r="O88" s="14">
        <v>24500</v>
      </c>
      <c r="P88" s="14">
        <v>99.43</v>
      </c>
      <c r="Q88" s="14">
        <v>139.65</v>
      </c>
      <c r="R88" s="14">
        <v>449.67</v>
      </c>
      <c r="S88" s="2" t="s">
        <v>3535</v>
      </c>
      <c r="T88" s="2">
        <v>1</v>
      </c>
      <c r="U88" s="2">
        <v>61</v>
      </c>
      <c r="V88" s="2">
        <v>59</v>
      </c>
      <c r="W88" s="2" t="s">
        <v>7862</v>
      </c>
      <c r="X88" s="2" t="s">
        <v>5405</v>
      </c>
      <c r="Y88" s="2">
        <v>78890</v>
      </c>
      <c r="Z88" s="19" t="str">
        <f>HYPERLINK("https://ssdweb.co/ssdweb/hd/Vision360.html?d=926420306&amp;zoomslide=1&amp;z=1926420306&amp;ISCONFIRM=0","VIDEO")</f>
        <v>VIDEO</v>
      </c>
      <c r="AA88" s="19" t="str">
        <f>HYPERLINK("https://ssdweb.co/ssdweb/CERTH/643443181.pdf","CERTI")</f>
        <v>CERTI</v>
      </c>
    </row>
    <row r="89" spans="1:27" ht="15" x14ac:dyDescent="0.25">
      <c r="A89" s="2">
        <v>84</v>
      </c>
      <c r="B89" s="39">
        <v>924300604</v>
      </c>
      <c r="C89" s="28" t="str">
        <f>HYPERLINK("https://pld.live/RapDetail.aspx?STONELIST=924300604","DNA")</f>
        <v>DNA</v>
      </c>
      <c r="D89" s="18" t="s">
        <v>4563</v>
      </c>
      <c r="E89" s="18" t="s">
        <v>2186</v>
      </c>
      <c r="F89" s="2" t="s">
        <v>5597</v>
      </c>
      <c r="G89" s="2" t="s">
        <v>861</v>
      </c>
      <c r="H89" s="14">
        <v>3.22</v>
      </c>
      <c r="I89" s="2" t="s">
        <v>6587</v>
      </c>
      <c r="J89" s="2" t="s">
        <v>13</v>
      </c>
      <c r="K89" s="2" t="s">
        <v>5221</v>
      </c>
      <c r="L89" s="2" t="s">
        <v>5221</v>
      </c>
      <c r="M89" s="2" t="s">
        <v>5221</v>
      </c>
      <c r="N89" s="2" t="s">
        <v>2317</v>
      </c>
      <c r="O89" s="14">
        <v>24500</v>
      </c>
      <c r="P89" s="14">
        <v>99.08</v>
      </c>
      <c r="Q89" s="14">
        <v>225.4</v>
      </c>
      <c r="R89" s="14">
        <v>725.79</v>
      </c>
      <c r="S89" s="2" t="s">
        <v>4235</v>
      </c>
      <c r="T89" s="2">
        <v>1.01</v>
      </c>
      <c r="U89" s="2">
        <v>61.2</v>
      </c>
      <c r="V89" s="2">
        <v>59</v>
      </c>
      <c r="W89" s="2" t="s">
        <v>7862</v>
      </c>
      <c r="X89" s="2" t="s">
        <v>5405</v>
      </c>
      <c r="Y89" s="2">
        <v>78890</v>
      </c>
      <c r="Z89" s="19" t="str">
        <f>HYPERLINK("https://ssdweb.co/ssdweb/hd/Vision360.html?d=924300604&amp;zoomslide=1&amp;z=1924300604&amp;ISCONFIRM=0","VIDEO")</f>
        <v>VIDEO</v>
      </c>
      <c r="AA89" s="19" t="str">
        <f>HYPERLINK("https://ssdweb.co/ssdweb/CERTH/7466917329.pdf","CERTI")</f>
        <v>CERTI</v>
      </c>
    </row>
    <row r="90" spans="1:27" ht="15" x14ac:dyDescent="0.25">
      <c r="A90" s="2">
        <v>85</v>
      </c>
      <c r="B90" s="39">
        <v>925630060</v>
      </c>
      <c r="C90" s="28" t="str">
        <f>HYPERLINK("https://pld.live/RapDetail.aspx?STONELIST=925630060","DNA")</f>
        <v>DNA</v>
      </c>
      <c r="D90" s="18" t="s">
        <v>4563</v>
      </c>
      <c r="E90" s="18" t="s">
        <v>2186</v>
      </c>
      <c r="F90" s="2" t="s">
        <v>7987</v>
      </c>
      <c r="G90" s="2" t="s">
        <v>861</v>
      </c>
      <c r="H90" s="14">
        <v>3.22</v>
      </c>
      <c r="I90" s="2" t="s">
        <v>1505</v>
      </c>
      <c r="J90" s="2" t="s">
        <v>13</v>
      </c>
      <c r="K90" s="2" t="s">
        <v>3390</v>
      </c>
      <c r="L90" s="2" t="s">
        <v>5221</v>
      </c>
      <c r="M90" s="2" t="s">
        <v>5721</v>
      </c>
      <c r="N90" s="2" t="s">
        <v>2317</v>
      </c>
      <c r="O90" s="14">
        <v>20500</v>
      </c>
      <c r="P90" s="14">
        <v>99.41</v>
      </c>
      <c r="Q90" s="14">
        <v>120.95</v>
      </c>
      <c r="R90" s="14">
        <v>389.46</v>
      </c>
      <c r="S90" s="2" t="s">
        <v>7433</v>
      </c>
      <c r="T90" s="2">
        <v>1.01</v>
      </c>
      <c r="U90" s="2">
        <v>61.2</v>
      </c>
      <c r="V90" s="2">
        <v>59</v>
      </c>
      <c r="W90" s="2" t="s">
        <v>8016</v>
      </c>
      <c r="X90" s="2" t="s">
        <v>5405</v>
      </c>
      <c r="Y90" s="2">
        <v>66010</v>
      </c>
      <c r="Z90" s="19" t="str">
        <f>HYPERLINK("https://ssdweb.co/ssdweb/hd/Vision360.html?d=925630060&amp;zoomslide=1&amp;z=1925630060&amp;ISCONFIRM=0","VIDEO")</f>
        <v>VIDEO</v>
      </c>
      <c r="AA90" s="19" t="str">
        <f>HYPERLINK("https://ssdweb.co/ssdweb/CERTH/624499612.pdf","CERTI")</f>
        <v>CERTI</v>
      </c>
    </row>
    <row r="91" spans="1:27" ht="15" x14ac:dyDescent="0.25">
      <c r="A91" s="2">
        <v>86</v>
      </c>
      <c r="B91" s="39">
        <v>925340015</v>
      </c>
      <c r="C91" s="28" t="str">
        <f>HYPERLINK("https://pld.live/RapDetail.aspx?STONELIST=925340015","DNA")</f>
        <v>DNA</v>
      </c>
      <c r="D91" s="18" t="s">
        <v>4563</v>
      </c>
      <c r="E91" s="18" t="s">
        <v>2186</v>
      </c>
      <c r="F91" s="2" t="s">
        <v>7987</v>
      </c>
      <c r="G91" s="2" t="s">
        <v>861</v>
      </c>
      <c r="H91" s="14">
        <v>3.22</v>
      </c>
      <c r="I91" s="2" t="s">
        <v>3722</v>
      </c>
      <c r="J91" s="2" t="s">
        <v>13</v>
      </c>
      <c r="K91" s="2" t="s">
        <v>3390</v>
      </c>
      <c r="L91" s="2" t="s">
        <v>5221</v>
      </c>
      <c r="M91" s="2" t="s">
        <v>5221</v>
      </c>
      <c r="N91" s="2" t="s">
        <v>2317</v>
      </c>
      <c r="O91" s="14">
        <v>17500</v>
      </c>
      <c r="P91" s="14">
        <v>99.34</v>
      </c>
      <c r="Q91" s="14">
        <v>115.5</v>
      </c>
      <c r="R91" s="14">
        <v>371.91</v>
      </c>
      <c r="S91" s="2" t="s">
        <v>4569</v>
      </c>
      <c r="T91" s="2">
        <v>1.01</v>
      </c>
      <c r="U91" s="2">
        <v>62</v>
      </c>
      <c r="V91" s="2">
        <v>56</v>
      </c>
      <c r="W91" s="2" t="s">
        <v>7862</v>
      </c>
      <c r="X91" s="2" t="s">
        <v>5405</v>
      </c>
      <c r="Y91" s="2">
        <v>56350</v>
      </c>
      <c r="Z91" s="19" t="str">
        <f>HYPERLINK("https://ssdweb.co/ssdweb/hd/Vision360.html?d=925340015&amp;zoomslide=1&amp;z=1925340015&amp;ISCONFIRM=0","VIDEO")</f>
        <v>VIDEO</v>
      </c>
      <c r="AA91" s="19" t="str">
        <f>HYPERLINK("https://ssdweb.co/ssdweb/CERTH/616403568.pdf","CERTI")</f>
        <v>CERTI</v>
      </c>
    </row>
    <row r="92" spans="1:27" ht="15" x14ac:dyDescent="0.25">
      <c r="A92" s="2">
        <v>87</v>
      </c>
      <c r="B92" s="39">
        <v>831020005</v>
      </c>
      <c r="C92" s="28" t="str">
        <f>HYPERLINK("https://pld.live/RapDetail.aspx?STONELIST=831020005","DNA")</f>
        <v>DNA</v>
      </c>
      <c r="D92" s="18" t="s">
        <v>4563</v>
      </c>
      <c r="E92" s="18" t="s">
        <v>2186</v>
      </c>
      <c r="F92" s="2" t="s">
        <v>5597</v>
      </c>
      <c r="G92" s="2" t="s">
        <v>861</v>
      </c>
      <c r="H92" s="14">
        <v>3.21</v>
      </c>
      <c r="I92" s="2" t="s">
        <v>6587</v>
      </c>
      <c r="J92" s="2" t="s">
        <v>13</v>
      </c>
      <c r="K92" s="2" t="s">
        <v>5221</v>
      </c>
      <c r="L92" s="2" t="s">
        <v>5221</v>
      </c>
      <c r="M92" s="2" t="s">
        <v>5221</v>
      </c>
      <c r="N92" s="2" t="s">
        <v>2317</v>
      </c>
      <c r="O92" s="14">
        <v>24500</v>
      </c>
      <c r="P92" s="14">
        <v>99.08</v>
      </c>
      <c r="Q92" s="14">
        <v>225.4</v>
      </c>
      <c r="R92" s="14">
        <v>723.53</v>
      </c>
      <c r="S92" s="2" t="s">
        <v>2378</v>
      </c>
      <c r="T92" s="2">
        <v>1.01</v>
      </c>
      <c r="U92" s="2">
        <v>62.3</v>
      </c>
      <c r="V92" s="2">
        <v>59</v>
      </c>
      <c r="W92" s="2" t="s">
        <v>7862</v>
      </c>
      <c r="X92" s="2" t="s">
        <v>5405</v>
      </c>
      <c r="Y92" s="2">
        <v>78645</v>
      </c>
      <c r="Z92" s="19" t="str">
        <f>HYPERLINK("https://ssdweb.co/ssdweb/hd/Vision360.html?d=831020005&amp;zoomslide=1&amp;z=1831020005&amp;ISCONFIRM=0","VIDEO")</f>
        <v>VIDEO</v>
      </c>
      <c r="AA92" s="19" t="str">
        <f>HYPERLINK("https://ssdweb.co/ssdweb/CERTH/2456448780.pdf","CERTI")</f>
        <v>CERTI</v>
      </c>
    </row>
    <row r="93" spans="1:27" ht="15" x14ac:dyDescent="0.25">
      <c r="A93" s="2">
        <v>88</v>
      </c>
      <c r="B93" s="39">
        <v>941180046</v>
      </c>
      <c r="C93" s="28" t="str">
        <f>HYPERLINK("https://pld.live/RapDetail.aspx?STONELIST=941180046","DNA")</f>
        <v>DNA</v>
      </c>
      <c r="D93" s="18" t="s">
        <v>4563</v>
      </c>
      <c r="E93" s="18" t="s">
        <v>2186</v>
      </c>
      <c r="F93" s="2" t="s">
        <v>7987</v>
      </c>
      <c r="G93" s="2" t="s">
        <v>861</v>
      </c>
      <c r="H93" s="14">
        <v>3.2</v>
      </c>
      <c r="I93" s="2" t="s">
        <v>4699</v>
      </c>
      <c r="J93" s="2" t="s">
        <v>5144</v>
      </c>
      <c r="K93" s="2" t="s">
        <v>3390</v>
      </c>
      <c r="L93" s="2" t="s">
        <v>5221</v>
      </c>
      <c r="M93" s="2" t="s">
        <v>5221</v>
      </c>
      <c r="N93" s="2" t="s">
        <v>2317</v>
      </c>
      <c r="O93" s="14">
        <v>24500</v>
      </c>
      <c r="P93" s="14">
        <v>99.42</v>
      </c>
      <c r="Q93" s="14">
        <v>142.1</v>
      </c>
      <c r="R93" s="14">
        <v>454.72</v>
      </c>
      <c r="S93" s="2" t="s">
        <v>2158</v>
      </c>
      <c r="T93" s="2">
        <v>1.01</v>
      </c>
      <c r="U93" s="2">
        <v>62</v>
      </c>
      <c r="V93" s="2">
        <v>60</v>
      </c>
      <c r="W93" s="2" t="s">
        <v>7862</v>
      </c>
      <c r="X93" s="2" t="s">
        <v>5405</v>
      </c>
      <c r="Y93" s="2">
        <v>78400</v>
      </c>
      <c r="Z93" s="19" t="str">
        <f>HYPERLINK("https://ssdweb.co/ssdweb/hd/Vision360.html?d=941180046&amp;zoomslide=1&amp;z=1941180046&amp;ISCONFIRM=0","VIDEO")</f>
        <v>VIDEO</v>
      </c>
      <c r="AA93" s="19" t="str">
        <f>HYPERLINK("https://ssdweb.co/ssdweb/CERTH/675504732.pdf","CERTI")</f>
        <v>CERTI</v>
      </c>
    </row>
    <row r="94" spans="1:27" ht="15" x14ac:dyDescent="0.25">
      <c r="A94" s="2">
        <v>89</v>
      </c>
      <c r="B94" s="39">
        <v>831020701</v>
      </c>
      <c r="C94" s="28" t="str">
        <f>HYPERLINK("https://pld.live/RapDetail.aspx?STONELIST=831020701","DNA")</f>
        <v>DNA</v>
      </c>
      <c r="D94" s="18" t="s">
        <v>4563</v>
      </c>
      <c r="E94" s="18" t="s">
        <v>2186</v>
      </c>
      <c r="F94" s="2" t="s">
        <v>7987</v>
      </c>
      <c r="G94" s="2" t="s">
        <v>861</v>
      </c>
      <c r="H94" s="14">
        <v>3.2</v>
      </c>
      <c r="I94" s="2" t="s">
        <v>6587</v>
      </c>
      <c r="J94" s="2" t="s">
        <v>13</v>
      </c>
      <c r="K94" s="2" t="s">
        <v>5221</v>
      </c>
      <c r="L94" s="2" t="s">
        <v>5221</v>
      </c>
      <c r="M94" s="2" t="s">
        <v>5221</v>
      </c>
      <c r="N94" s="2" t="s">
        <v>2317</v>
      </c>
      <c r="O94" s="14">
        <v>24500</v>
      </c>
      <c r="P94" s="14">
        <v>99.47</v>
      </c>
      <c r="Q94" s="14">
        <v>129.85</v>
      </c>
      <c r="R94" s="14">
        <v>415.52</v>
      </c>
      <c r="S94" s="2" t="s">
        <v>1709</v>
      </c>
      <c r="T94" s="2">
        <v>1.01</v>
      </c>
      <c r="U94" s="2">
        <v>61.9</v>
      </c>
      <c r="V94" s="2">
        <v>62</v>
      </c>
      <c r="W94" s="2" t="s">
        <v>7862</v>
      </c>
      <c r="X94" s="2" t="s">
        <v>5405</v>
      </c>
      <c r="Y94" s="2">
        <v>78400</v>
      </c>
      <c r="Z94" s="19" t="str">
        <f>HYPERLINK("https://ssdweb.co/ssdweb/hd/Vision360.html?d=831020701&amp;zoomslide=1&amp;z=1831020701&amp;ISCONFIRM=0","VIDEO")</f>
        <v>VIDEO</v>
      </c>
      <c r="AA94" s="19" t="str">
        <f>HYPERLINK("https://ssdweb.co/ssdweb/CERTH/588354002.pdf","CERTI")</f>
        <v>CERTI</v>
      </c>
    </row>
    <row r="95" spans="1:27" ht="15" x14ac:dyDescent="0.25">
      <c r="A95" s="2">
        <v>90</v>
      </c>
      <c r="B95" s="39">
        <v>924490016</v>
      </c>
      <c r="C95" s="28" t="str">
        <f>HYPERLINK("https://pld.live/RapDetail.aspx?STONELIST=924490016","DNA")</f>
        <v>DNA</v>
      </c>
      <c r="D95" s="18" t="s">
        <v>4563</v>
      </c>
      <c r="E95" s="18" t="s">
        <v>2186</v>
      </c>
      <c r="F95" s="2" t="s">
        <v>7987</v>
      </c>
      <c r="G95" s="2" t="s">
        <v>861</v>
      </c>
      <c r="H95" s="14">
        <v>3.2</v>
      </c>
      <c r="I95" s="2" t="s">
        <v>1505</v>
      </c>
      <c r="J95" s="2" t="s">
        <v>5144</v>
      </c>
      <c r="K95" s="2" t="s">
        <v>3390</v>
      </c>
      <c r="L95" s="2" t="s">
        <v>5221</v>
      </c>
      <c r="M95" s="2" t="s">
        <v>5221</v>
      </c>
      <c r="N95" s="2" t="s">
        <v>2317</v>
      </c>
      <c r="O95" s="14">
        <v>18500</v>
      </c>
      <c r="P95" s="14">
        <v>99.37</v>
      </c>
      <c r="Q95" s="14">
        <v>116.55</v>
      </c>
      <c r="R95" s="14">
        <v>372.96</v>
      </c>
      <c r="S95" s="2" t="s">
        <v>3362</v>
      </c>
      <c r="T95" s="2">
        <v>1</v>
      </c>
      <c r="U95" s="2">
        <v>62.5</v>
      </c>
      <c r="V95" s="2">
        <v>58</v>
      </c>
      <c r="W95" s="2" t="s">
        <v>8016</v>
      </c>
      <c r="X95" s="2" t="s">
        <v>5405</v>
      </c>
      <c r="Y95" s="2">
        <v>59200</v>
      </c>
      <c r="Z95" s="19" t="str">
        <f>HYPERLINK("https://ssdweb.co/ssdweb/hd/Vision360.html?d=924490016&amp;zoomslide=1&amp;z=1924490016&amp;ISCONFIRM=0","VIDEO")</f>
        <v>VIDEO</v>
      </c>
      <c r="AA95" s="19" t="str">
        <f>HYPERLINK("https://ssdweb.co/ssdweb/CERTH/592362561.pdf","CERTI")</f>
        <v>CERTI</v>
      </c>
    </row>
    <row r="96" spans="1:27" ht="15" x14ac:dyDescent="0.25">
      <c r="A96" s="2">
        <v>91</v>
      </c>
      <c r="B96" s="39">
        <v>831020667</v>
      </c>
      <c r="C96" s="28" t="str">
        <f>HYPERLINK("https://pld.live/RapDetail.aspx?STONELIST=831020667","DNA")</f>
        <v>DNA</v>
      </c>
      <c r="D96" s="18" t="s">
        <v>4563</v>
      </c>
      <c r="E96" s="18" t="s">
        <v>2186</v>
      </c>
      <c r="F96" s="2" t="s">
        <v>7987</v>
      </c>
      <c r="G96" s="2" t="s">
        <v>861</v>
      </c>
      <c r="H96" s="14">
        <v>3.18</v>
      </c>
      <c r="I96" s="2" t="s">
        <v>6587</v>
      </c>
      <c r="J96" s="2" t="s">
        <v>3942</v>
      </c>
      <c r="K96" s="2" t="s">
        <v>3390</v>
      </c>
      <c r="L96" s="2" t="s">
        <v>5221</v>
      </c>
      <c r="M96" s="2" t="s">
        <v>5221</v>
      </c>
      <c r="N96" s="2" t="s">
        <v>2317</v>
      </c>
      <c r="O96" s="14">
        <v>28000</v>
      </c>
      <c r="P96" s="14">
        <v>99.53</v>
      </c>
      <c r="Q96" s="14">
        <v>131.6</v>
      </c>
      <c r="R96" s="14">
        <v>418.49</v>
      </c>
      <c r="S96" s="2" t="s">
        <v>2457</v>
      </c>
      <c r="T96" s="2">
        <v>1.01</v>
      </c>
      <c r="U96" s="2">
        <v>60.1</v>
      </c>
      <c r="V96" s="2">
        <v>59.5</v>
      </c>
      <c r="W96" s="2" t="s">
        <v>7862</v>
      </c>
      <c r="X96" s="2" t="s">
        <v>5405</v>
      </c>
      <c r="Y96" s="2">
        <v>89040</v>
      </c>
      <c r="Z96" s="19" t="str">
        <f>HYPERLINK("https://ssdweb.co/ssdweb/hd/Vision360.html?d=831020667&amp;zoomslide=1&amp;z=1831020667&amp;ISCONFIRM=0","VIDEO")</f>
        <v>VIDEO</v>
      </c>
      <c r="AA96" s="19" t="str">
        <f>HYPERLINK("https://ssdweb.co/ssdweb/CERTH/537213830.pdf","CERTI")</f>
        <v>CERTI</v>
      </c>
    </row>
    <row r="97" spans="1:27" ht="15" x14ac:dyDescent="0.25">
      <c r="A97" s="2">
        <v>92</v>
      </c>
      <c r="B97" s="39">
        <v>923740256</v>
      </c>
      <c r="C97" s="28" t="str">
        <f>HYPERLINK("https://pld.live/RapDetail.aspx?STONELIST=923740256","DNA")</f>
        <v>DNA</v>
      </c>
      <c r="D97" s="18" t="s">
        <v>4563</v>
      </c>
      <c r="E97" s="18" t="s">
        <v>2186</v>
      </c>
      <c r="F97" s="2" t="s">
        <v>5597</v>
      </c>
      <c r="G97" s="2" t="s">
        <v>861</v>
      </c>
      <c r="H97" s="14">
        <v>3.12</v>
      </c>
      <c r="I97" s="2" t="s">
        <v>4699</v>
      </c>
      <c r="J97" s="2" t="s">
        <v>13</v>
      </c>
      <c r="K97" s="2" t="s">
        <v>5221</v>
      </c>
      <c r="L97" s="2" t="s">
        <v>5221</v>
      </c>
      <c r="M97" s="2" t="s">
        <v>5221</v>
      </c>
      <c r="N97" s="2" t="s">
        <v>2317</v>
      </c>
      <c r="O97" s="14">
        <v>29500</v>
      </c>
      <c r="P97" s="14">
        <v>99.17</v>
      </c>
      <c r="Q97" s="14">
        <v>244.85</v>
      </c>
      <c r="R97" s="14">
        <v>763.93</v>
      </c>
      <c r="S97" s="2" t="s">
        <v>2230</v>
      </c>
      <c r="T97" s="2">
        <v>1.01</v>
      </c>
      <c r="U97" s="2">
        <v>61.2</v>
      </c>
      <c r="V97" s="2">
        <v>59</v>
      </c>
      <c r="W97" s="2" t="s">
        <v>7862</v>
      </c>
      <c r="X97" s="2" t="s">
        <v>5405</v>
      </c>
      <c r="Y97" s="2">
        <v>92040</v>
      </c>
      <c r="Z97" s="19" t="str">
        <f>HYPERLINK("https://ssdweb.co/ssdweb/hd/Vision360.html?d=923740256&amp;zoomslide=1&amp;z=1923740256&amp;ISCONFIRM=0","VIDEO")</f>
        <v>VIDEO</v>
      </c>
      <c r="AA97" s="19" t="str">
        <f>HYPERLINK("https://ssdweb.co/ssdweb/CERTH/6451489606.pdf","CERTI")</f>
        <v>CERTI</v>
      </c>
    </row>
    <row r="98" spans="1:27" ht="15" x14ac:dyDescent="0.25">
      <c r="A98" s="2">
        <v>93</v>
      </c>
      <c r="B98" s="39">
        <v>923740179</v>
      </c>
      <c r="C98" s="28" t="str">
        <f>HYPERLINK("https://pld.live/RapDetail.aspx?STONELIST=923740179","DNA")</f>
        <v>DNA</v>
      </c>
      <c r="D98" s="18" t="s">
        <v>4563</v>
      </c>
      <c r="E98" s="18" t="s">
        <v>2186</v>
      </c>
      <c r="F98" s="2" t="s">
        <v>5597</v>
      </c>
      <c r="G98" s="2" t="s">
        <v>861</v>
      </c>
      <c r="H98" s="14">
        <v>3.12</v>
      </c>
      <c r="I98" s="2" t="s">
        <v>6587</v>
      </c>
      <c r="J98" s="2" t="s">
        <v>13</v>
      </c>
      <c r="K98" s="2" t="s">
        <v>5221</v>
      </c>
      <c r="L98" s="2" t="s">
        <v>5221</v>
      </c>
      <c r="M98" s="2" t="s">
        <v>5221</v>
      </c>
      <c r="N98" s="2" t="s">
        <v>2317</v>
      </c>
      <c r="O98" s="14">
        <v>24500</v>
      </c>
      <c r="P98" s="14">
        <v>99.08</v>
      </c>
      <c r="Q98" s="14">
        <v>225.4</v>
      </c>
      <c r="R98" s="14">
        <v>703.25</v>
      </c>
      <c r="S98" s="2" t="s">
        <v>7561</v>
      </c>
      <c r="T98" s="2">
        <v>1.01</v>
      </c>
      <c r="U98" s="2">
        <v>62.1</v>
      </c>
      <c r="V98" s="2">
        <v>59</v>
      </c>
      <c r="W98" s="2" t="s">
        <v>7862</v>
      </c>
      <c r="X98" s="2" t="s">
        <v>5405</v>
      </c>
      <c r="Y98" s="2">
        <v>76440</v>
      </c>
      <c r="Z98" s="19" t="str">
        <f>HYPERLINK("https://ssdweb.co/ssdweb/hd/Vision360.html?d=923740179&amp;zoomslide=1&amp;z=1923740179&amp;ISCONFIRM=0","VIDEO")</f>
        <v>VIDEO</v>
      </c>
      <c r="AA98" s="19" t="str">
        <f>HYPERLINK("https://ssdweb.co/ssdweb/CERTH/6452397660.pdf","CERTI")</f>
        <v>CERTI</v>
      </c>
    </row>
    <row r="99" spans="1:27" ht="15" x14ac:dyDescent="0.25">
      <c r="A99" s="2">
        <v>94</v>
      </c>
      <c r="B99" s="39">
        <v>926010167</v>
      </c>
      <c r="C99" s="28" t="str">
        <f>HYPERLINK("https://pld.live/RapDetail.aspx?STONELIST=926010167","DNA")</f>
        <v>DNA</v>
      </c>
      <c r="D99" s="18" t="s">
        <v>4563</v>
      </c>
      <c r="E99" s="18" t="s">
        <v>2186</v>
      </c>
      <c r="F99" s="2" t="s">
        <v>7987</v>
      </c>
      <c r="G99" s="2" t="s">
        <v>861</v>
      </c>
      <c r="H99" s="14">
        <v>3.12</v>
      </c>
      <c r="I99" s="2" t="s">
        <v>1066</v>
      </c>
      <c r="J99" s="2" t="s">
        <v>5144</v>
      </c>
      <c r="K99" s="2" t="s">
        <v>3390</v>
      </c>
      <c r="L99" s="2" t="s">
        <v>5221</v>
      </c>
      <c r="M99" s="2" t="s">
        <v>5221</v>
      </c>
      <c r="N99" s="2" t="s">
        <v>924</v>
      </c>
      <c r="O99" s="14">
        <v>8200</v>
      </c>
      <c r="P99" s="14">
        <v>96.46</v>
      </c>
      <c r="Q99" s="14">
        <v>290.27999999999997</v>
      </c>
      <c r="R99" s="14">
        <v>905.67</v>
      </c>
      <c r="S99" s="2" t="s">
        <v>202</v>
      </c>
      <c r="T99" s="2">
        <v>1.01</v>
      </c>
      <c r="U99" s="2">
        <v>61.9</v>
      </c>
      <c r="V99" s="2">
        <v>58</v>
      </c>
      <c r="W99" s="2" t="s">
        <v>7862</v>
      </c>
      <c r="X99" s="2" t="s">
        <v>5405</v>
      </c>
      <c r="Y99" s="2">
        <v>25584</v>
      </c>
      <c r="Z99" s="19" t="str">
        <f>HYPERLINK("https://ssdweb.co/ssdweb/hd/Vision360.html?d=926010167&amp;zoomslide=1&amp;z=1926010167&amp;ISCONFIRM=0","VIDEO")</f>
        <v>VIDEO</v>
      </c>
      <c r="AA99" s="19" t="str">
        <f>HYPERLINK("https://ssdweb.co/ssdweb/CERTH/636470032.pdf","CERTI")</f>
        <v>CERTI</v>
      </c>
    </row>
    <row r="100" spans="1:27" ht="15" x14ac:dyDescent="0.25">
      <c r="A100" s="2">
        <v>95</v>
      </c>
      <c r="B100" s="39">
        <v>831020666</v>
      </c>
      <c r="C100" s="28" t="str">
        <f>HYPERLINK("https://pld.live/RapDetail.aspx?STONELIST=831020666","DNA")</f>
        <v>DNA</v>
      </c>
      <c r="D100" s="18" t="s">
        <v>4563</v>
      </c>
      <c r="E100" s="18" t="s">
        <v>2186</v>
      </c>
      <c r="F100" s="2" t="s">
        <v>7987</v>
      </c>
      <c r="G100" s="2" t="s">
        <v>861</v>
      </c>
      <c r="H100" s="14">
        <v>3.11</v>
      </c>
      <c r="I100" s="2" t="s">
        <v>6587</v>
      </c>
      <c r="J100" s="2" t="s">
        <v>13</v>
      </c>
      <c r="K100" s="2" t="s">
        <v>3390</v>
      </c>
      <c r="L100" s="2" t="s">
        <v>5221</v>
      </c>
      <c r="M100" s="2" t="s">
        <v>5221</v>
      </c>
      <c r="N100" s="2" t="s">
        <v>2317</v>
      </c>
      <c r="O100" s="14">
        <v>24500</v>
      </c>
      <c r="P100" s="14">
        <v>99.47</v>
      </c>
      <c r="Q100" s="14">
        <v>129.85</v>
      </c>
      <c r="R100" s="14">
        <v>403.83</v>
      </c>
      <c r="S100" s="2" t="s">
        <v>5557</v>
      </c>
      <c r="T100" s="2">
        <v>1.01</v>
      </c>
      <c r="U100" s="2">
        <v>62.3</v>
      </c>
      <c r="V100" s="2">
        <v>59</v>
      </c>
      <c r="W100" s="2" t="s">
        <v>8016</v>
      </c>
      <c r="X100" s="2" t="s">
        <v>5405</v>
      </c>
      <c r="Y100" s="2">
        <v>76195</v>
      </c>
      <c r="Z100" s="19" t="str">
        <f>HYPERLINK("https://ssdweb.co/ssdweb/hd/Vision360.html?d=831020666&amp;zoomslide=1&amp;z=1831020666&amp;ISCONFIRM=0","VIDEO")</f>
        <v>VIDEO</v>
      </c>
      <c r="AA100" s="19" t="str">
        <f>HYPERLINK("https://ssdweb.co/ssdweb/CERTH/534266848.pdf","CERTI")</f>
        <v>CERTI</v>
      </c>
    </row>
    <row r="101" spans="1:27" ht="15" x14ac:dyDescent="0.25">
      <c r="A101" s="2">
        <v>96</v>
      </c>
      <c r="B101" s="39">
        <v>926410185</v>
      </c>
      <c r="C101" s="28" t="str">
        <f>HYPERLINK("https://pld.live/RapDetail.aspx?STONELIST=926410185","DNA")</f>
        <v>DNA</v>
      </c>
      <c r="D101" s="18" t="s">
        <v>4563</v>
      </c>
      <c r="E101" s="18" t="s">
        <v>2186</v>
      </c>
      <c r="F101" s="2" t="s">
        <v>7987</v>
      </c>
      <c r="G101" s="2" t="s">
        <v>861</v>
      </c>
      <c r="H101" s="14">
        <v>3.1</v>
      </c>
      <c r="I101" s="2" t="s">
        <v>4699</v>
      </c>
      <c r="J101" s="2" t="s">
        <v>13</v>
      </c>
      <c r="K101" s="2" t="s">
        <v>3390</v>
      </c>
      <c r="L101" s="2" t="s">
        <v>5221</v>
      </c>
      <c r="M101" s="2" t="s">
        <v>5221</v>
      </c>
      <c r="N101" s="2" t="s">
        <v>2317</v>
      </c>
      <c r="O101" s="14">
        <v>29500</v>
      </c>
      <c r="P101" s="14">
        <v>99.5</v>
      </c>
      <c r="Q101" s="14">
        <v>147.5</v>
      </c>
      <c r="R101" s="14">
        <v>457.25</v>
      </c>
      <c r="S101" s="2" t="s">
        <v>2512</v>
      </c>
      <c r="T101" s="2">
        <v>1</v>
      </c>
      <c r="U101" s="2">
        <v>62.4</v>
      </c>
      <c r="V101" s="2">
        <v>56</v>
      </c>
      <c r="W101" s="2" t="s">
        <v>7862</v>
      </c>
      <c r="X101" s="2" t="s">
        <v>5405</v>
      </c>
      <c r="Y101" s="2">
        <v>91450</v>
      </c>
      <c r="Z101" s="19" t="str">
        <f>HYPERLINK("https://ssdweb.co/ssdweb/hd/Vision360.html?d=926410185&amp;zoomslide=1&amp;z=1926410185&amp;ISCONFIRM=0","VIDEO")</f>
        <v>VIDEO</v>
      </c>
      <c r="AA101" s="19" t="str">
        <f>HYPERLINK("https://ssdweb.co/ssdweb/CERTH/642443663.pdf","CERTI")</f>
        <v>CERTI</v>
      </c>
    </row>
    <row r="102" spans="1:27" ht="15" x14ac:dyDescent="0.25">
      <c r="A102" s="2">
        <v>97</v>
      </c>
      <c r="B102" s="39">
        <v>926450484</v>
      </c>
      <c r="C102" s="28" t="str">
        <f>HYPERLINK("https://pld.live/RapDetail.aspx?STONELIST=926450484","DNA")</f>
        <v>DNA</v>
      </c>
      <c r="D102" s="18" t="s">
        <v>4563</v>
      </c>
      <c r="E102" s="18" t="s">
        <v>2186</v>
      </c>
      <c r="F102" s="2" t="s">
        <v>7987</v>
      </c>
      <c r="G102" s="2" t="s">
        <v>861</v>
      </c>
      <c r="H102" s="14">
        <v>3.1</v>
      </c>
      <c r="I102" s="2" t="s">
        <v>6587</v>
      </c>
      <c r="J102" s="2" t="s">
        <v>13</v>
      </c>
      <c r="K102" s="2" t="s">
        <v>3390</v>
      </c>
      <c r="L102" s="2" t="s">
        <v>5221</v>
      </c>
      <c r="M102" s="2" t="s">
        <v>5221</v>
      </c>
      <c r="N102" s="2" t="s">
        <v>2317</v>
      </c>
      <c r="O102" s="14">
        <v>24500</v>
      </c>
      <c r="P102" s="14">
        <v>99.46</v>
      </c>
      <c r="Q102" s="14">
        <v>132.30000000000001</v>
      </c>
      <c r="R102" s="14">
        <v>410.13</v>
      </c>
      <c r="S102" s="2" t="s">
        <v>663</v>
      </c>
      <c r="T102" s="2">
        <v>1</v>
      </c>
      <c r="U102" s="2">
        <v>62.4</v>
      </c>
      <c r="V102" s="2">
        <v>57</v>
      </c>
      <c r="W102" s="2" t="s">
        <v>8016</v>
      </c>
      <c r="X102" s="2" t="s">
        <v>5405</v>
      </c>
      <c r="Y102" s="2">
        <v>75950</v>
      </c>
      <c r="Z102" s="19" t="str">
        <f>HYPERLINK("https://ssdweb.co/ssdweb/hd/Vision360.html?d=926450484&amp;zoomslide=1&amp;z=1926450484&amp;ISCONFIRM=0","VIDEO")</f>
        <v>VIDEO</v>
      </c>
      <c r="AA102" s="19" t="str">
        <f>HYPERLINK("https://ssdweb.co/ssdweb/CERTH/660489719.pdf","CERTI")</f>
        <v>CERTI</v>
      </c>
    </row>
    <row r="103" spans="1:27" ht="15" x14ac:dyDescent="0.25">
      <c r="A103" s="2">
        <v>98</v>
      </c>
      <c r="B103" s="39">
        <v>926410229</v>
      </c>
      <c r="C103" s="28" t="str">
        <f>HYPERLINK("https://pld.live/RapDetail.aspx?STONELIST=926410229","DNA")</f>
        <v>DNA</v>
      </c>
      <c r="D103" s="18" t="s">
        <v>4563</v>
      </c>
      <c r="E103" s="18" t="s">
        <v>2186</v>
      </c>
      <c r="F103" s="2" t="s">
        <v>7987</v>
      </c>
      <c r="G103" s="2" t="s">
        <v>861</v>
      </c>
      <c r="H103" s="14">
        <v>3.1</v>
      </c>
      <c r="I103" s="2" t="s">
        <v>1505</v>
      </c>
      <c r="J103" s="2" t="s">
        <v>3942</v>
      </c>
      <c r="K103" s="2" t="s">
        <v>3390</v>
      </c>
      <c r="L103" s="2" t="s">
        <v>5221</v>
      </c>
      <c r="M103" s="2" t="s">
        <v>5221</v>
      </c>
      <c r="N103" s="2" t="s">
        <v>2317</v>
      </c>
      <c r="O103" s="14">
        <v>22500</v>
      </c>
      <c r="P103" s="14">
        <v>99.43</v>
      </c>
      <c r="Q103" s="14">
        <v>128.25</v>
      </c>
      <c r="R103" s="14">
        <v>397.58</v>
      </c>
      <c r="S103" s="2" t="s">
        <v>4909</v>
      </c>
      <c r="T103" s="2">
        <v>1</v>
      </c>
      <c r="U103" s="2">
        <v>60.1</v>
      </c>
      <c r="V103" s="2">
        <v>59</v>
      </c>
      <c r="W103" s="2" t="s">
        <v>7862</v>
      </c>
      <c r="X103" s="2" t="s">
        <v>5405</v>
      </c>
      <c r="Y103" s="2">
        <v>69750</v>
      </c>
      <c r="Z103" s="19" t="str">
        <f>HYPERLINK("https://ssdweb.co/ssdweb/hd/Vision360.html?d=926410229&amp;zoomslide=1&amp;z=1926410229&amp;ISCONFIRM=0","VIDEO")</f>
        <v>VIDEO</v>
      </c>
      <c r="AA103" s="19" t="str">
        <f>HYPERLINK("https://ssdweb.co/ssdweb/CERTH/642460629.pdf","CERTI")</f>
        <v>CERTI</v>
      </c>
    </row>
    <row r="104" spans="1:27" ht="15" x14ac:dyDescent="0.25">
      <c r="A104" s="2">
        <v>99</v>
      </c>
      <c r="B104" s="39">
        <v>926010085</v>
      </c>
      <c r="C104" s="28" t="str">
        <f>HYPERLINK("https://pld.live/RapDetail.aspx?STONELIST=926010085","DNA")</f>
        <v>DNA</v>
      </c>
      <c r="D104" s="18" t="s">
        <v>4563</v>
      </c>
      <c r="E104" s="18" t="s">
        <v>2186</v>
      </c>
      <c r="F104" s="2" t="s">
        <v>7987</v>
      </c>
      <c r="G104" s="2" t="s">
        <v>861</v>
      </c>
      <c r="H104" s="14">
        <v>3.1</v>
      </c>
      <c r="I104" s="2" t="s">
        <v>1066</v>
      </c>
      <c r="J104" s="2" t="s">
        <v>13</v>
      </c>
      <c r="K104" s="2" t="s">
        <v>3390</v>
      </c>
      <c r="L104" s="2" t="s">
        <v>5221</v>
      </c>
      <c r="M104" s="2" t="s">
        <v>5221</v>
      </c>
      <c r="N104" s="2" t="s">
        <v>924</v>
      </c>
      <c r="O104" s="14">
        <v>8700</v>
      </c>
      <c r="P104" s="14">
        <v>96.32</v>
      </c>
      <c r="Q104" s="14">
        <v>320.16000000000003</v>
      </c>
      <c r="R104" s="14">
        <v>992.5</v>
      </c>
      <c r="S104" s="2" t="s">
        <v>3393</v>
      </c>
      <c r="T104" s="2">
        <v>1.01</v>
      </c>
      <c r="U104" s="2">
        <v>62</v>
      </c>
      <c r="V104" s="2">
        <v>58</v>
      </c>
      <c r="W104" s="2" t="s">
        <v>7862</v>
      </c>
      <c r="X104" s="2" t="s">
        <v>5405</v>
      </c>
      <c r="Y104" s="2">
        <v>26970</v>
      </c>
      <c r="Z104" s="19" t="str">
        <f>HYPERLINK("https://ssdweb.co/ssdweb/hd/Vision360.html?d=926010085&amp;zoomslide=1&amp;z=1926010085&amp;ISCONFIRM=0","VIDEO")</f>
        <v>VIDEO</v>
      </c>
      <c r="AA104" s="19" t="str">
        <f>HYPERLINK("https://ssdweb.co/ssdweb/CERTH/636470029.pdf","CERTI")</f>
        <v>CERTI</v>
      </c>
    </row>
    <row r="105" spans="1:27" ht="15" x14ac:dyDescent="0.25">
      <c r="A105" s="2">
        <v>100</v>
      </c>
      <c r="B105" s="39">
        <v>925660141</v>
      </c>
      <c r="C105" s="28" t="str">
        <f>HYPERLINK("https://pld.live/RapDetail.aspx?STONELIST=925660141","DNA")</f>
        <v>DNA</v>
      </c>
      <c r="D105" s="18" t="s">
        <v>4563</v>
      </c>
      <c r="E105" s="18" t="s">
        <v>2186</v>
      </c>
      <c r="F105" s="2" t="s">
        <v>7987</v>
      </c>
      <c r="G105" s="2" t="s">
        <v>861</v>
      </c>
      <c r="H105" s="14">
        <v>3.1</v>
      </c>
      <c r="I105" s="2" t="s">
        <v>1112</v>
      </c>
      <c r="J105" s="2" t="s">
        <v>5144</v>
      </c>
      <c r="K105" s="2" t="s">
        <v>3390</v>
      </c>
      <c r="L105" s="2" t="s">
        <v>5221</v>
      </c>
      <c r="M105" s="2" t="s">
        <v>5221</v>
      </c>
      <c r="N105" s="2" t="s">
        <v>924</v>
      </c>
      <c r="O105" s="14">
        <v>8200</v>
      </c>
      <c r="P105" s="14">
        <v>96.71</v>
      </c>
      <c r="Q105" s="14">
        <v>269.77999999999997</v>
      </c>
      <c r="R105" s="14">
        <v>836.32</v>
      </c>
      <c r="S105" s="2" t="s">
        <v>2571</v>
      </c>
      <c r="T105" s="2">
        <v>1</v>
      </c>
      <c r="U105" s="2">
        <v>60.2</v>
      </c>
      <c r="V105" s="2">
        <v>60</v>
      </c>
      <c r="W105" s="2" t="s">
        <v>7862</v>
      </c>
      <c r="X105" s="2" t="s">
        <v>5405</v>
      </c>
      <c r="Y105" s="2">
        <v>25420</v>
      </c>
      <c r="Z105" s="19" t="str">
        <f>HYPERLINK("https://ssdweb.co/ssdweb/hd/Vision360.html?d=925660141&amp;zoomslide=1&amp;z=1925660141&amp;ISCONFIRM=0","VIDEO")</f>
        <v>VIDEO</v>
      </c>
      <c r="AA105" s="19" t="str">
        <f>HYPERLINK("https://ssdweb.co/ssdweb/CERTH/629479346.pdf","CERTI")</f>
        <v>CERTI</v>
      </c>
    </row>
    <row r="106" spans="1:27" ht="15" x14ac:dyDescent="0.25">
      <c r="A106" s="2">
        <v>101</v>
      </c>
      <c r="B106" s="39">
        <v>831020553</v>
      </c>
      <c r="C106" s="28" t="str">
        <f>HYPERLINK("https://pld.live/RapDetail.aspx?STONELIST=831020553","DNA")</f>
        <v>DNA</v>
      </c>
      <c r="D106" s="18" t="s">
        <v>4563</v>
      </c>
      <c r="E106" s="18" t="s">
        <v>2186</v>
      </c>
      <c r="F106" s="2" t="s">
        <v>7987</v>
      </c>
      <c r="G106" s="2" t="s">
        <v>861</v>
      </c>
      <c r="H106" s="14">
        <v>3.09</v>
      </c>
      <c r="I106" s="2" t="s">
        <v>6587</v>
      </c>
      <c r="J106" s="2" t="s">
        <v>3942</v>
      </c>
      <c r="K106" s="2" t="s">
        <v>3390</v>
      </c>
      <c r="L106" s="2" t="s">
        <v>5221</v>
      </c>
      <c r="M106" s="2" t="s">
        <v>5221</v>
      </c>
      <c r="N106" s="2" t="s">
        <v>2317</v>
      </c>
      <c r="O106" s="14">
        <v>28000</v>
      </c>
      <c r="P106" s="14">
        <v>99.53</v>
      </c>
      <c r="Q106" s="14">
        <v>131.6</v>
      </c>
      <c r="R106" s="14">
        <v>406.64</v>
      </c>
      <c r="S106" s="2" t="s">
        <v>4091</v>
      </c>
      <c r="T106" s="2">
        <v>1</v>
      </c>
      <c r="U106" s="2">
        <v>60.7</v>
      </c>
      <c r="V106" s="2">
        <v>59</v>
      </c>
      <c r="W106" s="2" t="s">
        <v>8016</v>
      </c>
      <c r="X106" s="2" t="s">
        <v>5405</v>
      </c>
      <c r="Y106" s="2">
        <v>86520</v>
      </c>
      <c r="Z106" s="19" t="str">
        <f>HYPERLINK("https://ssdweb.co/ssdweb/hd/Vision360.html?d=831020553&amp;zoomslide=1&amp;z=1831020553&amp;ISCONFIRM=0","VIDEO")</f>
        <v>VIDEO</v>
      </c>
      <c r="AA106" s="19" t="str">
        <f>HYPERLINK("https://ssdweb.co/ssdweb/CERTH/621475821.pdf","CERTI")</f>
        <v>CERTI</v>
      </c>
    </row>
    <row r="107" spans="1:27" ht="15" x14ac:dyDescent="0.25">
      <c r="A107" s="2">
        <v>102</v>
      </c>
      <c r="B107" s="39">
        <v>924190581</v>
      </c>
      <c r="C107" s="28" t="str">
        <f>HYPERLINK("https://pld.live/RapDetail.aspx?STONELIST=924190581","DNA")</f>
        <v>DNA</v>
      </c>
      <c r="D107" s="18" t="s">
        <v>4563</v>
      </c>
      <c r="E107" s="18" t="s">
        <v>2186</v>
      </c>
      <c r="F107" s="2" t="s">
        <v>5597</v>
      </c>
      <c r="G107" s="2" t="s">
        <v>861</v>
      </c>
      <c r="H107" s="14">
        <v>3.09</v>
      </c>
      <c r="I107" s="2" t="s">
        <v>6587</v>
      </c>
      <c r="J107" s="2" t="s">
        <v>13</v>
      </c>
      <c r="K107" s="2" t="s">
        <v>5221</v>
      </c>
      <c r="L107" s="2" t="s">
        <v>5221</v>
      </c>
      <c r="M107" s="2" t="s">
        <v>5221</v>
      </c>
      <c r="N107" s="2" t="s">
        <v>2317</v>
      </c>
      <c r="O107" s="14">
        <v>24500</v>
      </c>
      <c r="P107" s="14">
        <v>99.08</v>
      </c>
      <c r="Q107" s="14">
        <v>225.4</v>
      </c>
      <c r="R107" s="14">
        <v>696.49</v>
      </c>
      <c r="S107" s="2" t="s">
        <v>7666</v>
      </c>
      <c r="T107" s="2">
        <v>1</v>
      </c>
      <c r="U107" s="2">
        <v>60.7</v>
      </c>
      <c r="V107" s="2">
        <v>59</v>
      </c>
      <c r="W107" s="2" t="s">
        <v>7862</v>
      </c>
      <c r="X107" s="2" t="s">
        <v>5405</v>
      </c>
      <c r="Y107" s="2">
        <v>75705</v>
      </c>
      <c r="Z107" s="19" t="str">
        <f>HYPERLINK("https://ssdweb.co/ssdweb/hd/Vision360.html?d=924190581&amp;zoomslide=1&amp;z=1924190581&amp;ISCONFIRM=0","VIDEO")</f>
        <v>VIDEO</v>
      </c>
      <c r="AA107" s="19" t="str">
        <f>HYPERLINK("https://ssdweb.co/ssdweb/CERTH/2466480670.pdf","CERTI")</f>
        <v>CERTI</v>
      </c>
    </row>
    <row r="108" spans="1:27" ht="15" x14ac:dyDescent="0.25">
      <c r="A108" s="2">
        <v>103</v>
      </c>
      <c r="B108" s="39">
        <v>925700150</v>
      </c>
      <c r="C108" s="28" t="str">
        <f>HYPERLINK("https://pld.live/RapDetail.aspx?STONELIST=925700150","DNA")</f>
        <v>DNA</v>
      </c>
      <c r="D108" s="18" t="s">
        <v>4563</v>
      </c>
      <c r="E108" s="18" t="s">
        <v>2186</v>
      </c>
      <c r="F108" s="2" t="s">
        <v>7987</v>
      </c>
      <c r="G108" s="2" t="s">
        <v>861</v>
      </c>
      <c r="H108" s="14">
        <v>3.09</v>
      </c>
      <c r="I108" s="2" t="s">
        <v>6845</v>
      </c>
      <c r="J108" s="2" t="s">
        <v>13</v>
      </c>
      <c r="K108" s="2" t="s">
        <v>3390</v>
      </c>
      <c r="L108" s="2" t="s">
        <v>5221</v>
      </c>
      <c r="M108" s="2" t="s">
        <v>5221</v>
      </c>
      <c r="N108" s="2" t="s">
        <v>2317</v>
      </c>
      <c r="O108" s="14">
        <v>8700</v>
      </c>
      <c r="P108" s="14">
        <v>97.36</v>
      </c>
      <c r="Q108" s="14">
        <v>229.68</v>
      </c>
      <c r="R108" s="14">
        <v>709.71</v>
      </c>
      <c r="S108" s="2" t="s">
        <v>6154</v>
      </c>
      <c r="T108" s="2">
        <v>1</v>
      </c>
      <c r="U108" s="2">
        <v>59.1</v>
      </c>
      <c r="V108" s="2">
        <v>60</v>
      </c>
      <c r="W108" s="2" t="s">
        <v>7862</v>
      </c>
      <c r="X108" s="2" t="s">
        <v>5405</v>
      </c>
      <c r="Y108" s="2">
        <v>26883</v>
      </c>
      <c r="Z108" s="19" t="str">
        <f>HYPERLINK("https://ssdweb.co/ssdweb/hd/Vision360.html?d=925700150&amp;zoomslide=1&amp;z=1925700150&amp;ISCONFIRM=0","VIDEO")</f>
        <v>VIDEO</v>
      </c>
      <c r="AA108" s="19" t="str">
        <f>HYPERLINK("https://ssdweb.co/ssdweb/CERTH/631429923.pdf","CERTI")</f>
        <v>CERTI</v>
      </c>
    </row>
    <row r="109" spans="1:27" ht="15" x14ac:dyDescent="0.25">
      <c r="A109" s="2">
        <v>104</v>
      </c>
      <c r="B109" s="39">
        <v>926010049</v>
      </c>
      <c r="C109" s="28" t="str">
        <f>HYPERLINK("https://pld.live/RapDetail.aspx?STONELIST=926010049","DNA")</f>
        <v>DNA</v>
      </c>
      <c r="D109" s="18" t="s">
        <v>4563</v>
      </c>
      <c r="E109" s="18" t="s">
        <v>2186</v>
      </c>
      <c r="F109" s="2" t="s">
        <v>7987</v>
      </c>
      <c r="G109" s="2" t="s">
        <v>861</v>
      </c>
      <c r="H109" s="14">
        <v>3.08</v>
      </c>
      <c r="I109" s="2" t="s">
        <v>1112</v>
      </c>
      <c r="J109" s="2" t="s">
        <v>13</v>
      </c>
      <c r="K109" s="2" t="s">
        <v>3390</v>
      </c>
      <c r="L109" s="2" t="s">
        <v>5221</v>
      </c>
      <c r="M109" s="2" t="s">
        <v>5221</v>
      </c>
      <c r="N109" s="2" t="s">
        <v>924</v>
      </c>
      <c r="O109" s="14">
        <v>8700</v>
      </c>
      <c r="P109" s="14">
        <v>96.67</v>
      </c>
      <c r="Q109" s="14">
        <v>289.70999999999998</v>
      </c>
      <c r="R109" s="14">
        <v>892.31</v>
      </c>
      <c r="S109" s="2" t="s">
        <v>3237</v>
      </c>
      <c r="T109" s="2">
        <v>1.01</v>
      </c>
      <c r="U109" s="2">
        <v>61.7</v>
      </c>
      <c r="V109" s="2">
        <v>58</v>
      </c>
      <c r="W109" s="2" t="s">
        <v>7862</v>
      </c>
      <c r="X109" s="2" t="s">
        <v>5405</v>
      </c>
      <c r="Y109" s="2">
        <v>26796</v>
      </c>
      <c r="Z109" s="19" t="str">
        <f>HYPERLINK("https://ssdweb.co/ssdweb/hd/Vision360.html?d=926010049&amp;zoomslide=1&amp;z=1926010049&amp;ISCONFIRM=0","VIDEO")</f>
        <v>VIDEO</v>
      </c>
      <c r="AA109" s="19" t="str">
        <f>HYPERLINK("https://ssdweb.co/ssdweb/CERTH/636470028.pdf","CERTI")</f>
        <v>CERTI</v>
      </c>
    </row>
    <row r="110" spans="1:27" ht="15" x14ac:dyDescent="0.25">
      <c r="A110" s="2">
        <v>105</v>
      </c>
      <c r="B110" s="39">
        <v>831020626</v>
      </c>
      <c r="C110" s="28" t="str">
        <f>HYPERLINK("https://pld.live/RapDetail.aspx?STONELIST=831020626","DNA")</f>
        <v>DNA</v>
      </c>
      <c r="D110" s="18" t="s">
        <v>4563</v>
      </c>
      <c r="E110" s="18" t="s">
        <v>2186</v>
      </c>
      <c r="F110" s="2" t="s">
        <v>5597</v>
      </c>
      <c r="G110" s="2" t="s">
        <v>861</v>
      </c>
      <c r="H110" s="14">
        <v>3.07</v>
      </c>
      <c r="I110" s="2" t="s">
        <v>6587</v>
      </c>
      <c r="J110" s="2" t="s">
        <v>13</v>
      </c>
      <c r="K110" s="2" t="s">
        <v>5221</v>
      </c>
      <c r="L110" s="2" t="s">
        <v>5221</v>
      </c>
      <c r="M110" s="2" t="s">
        <v>5221</v>
      </c>
      <c r="N110" s="2" t="s">
        <v>2317</v>
      </c>
      <c r="O110" s="14">
        <v>24500</v>
      </c>
      <c r="P110" s="14">
        <v>99.08</v>
      </c>
      <c r="Q110" s="14">
        <v>225.4</v>
      </c>
      <c r="R110" s="14">
        <v>691.98</v>
      </c>
      <c r="S110" s="2" t="s">
        <v>6821</v>
      </c>
      <c r="T110" s="2">
        <v>1.01</v>
      </c>
      <c r="U110" s="2">
        <v>61.2</v>
      </c>
      <c r="V110" s="2">
        <v>59</v>
      </c>
      <c r="W110" s="2" t="s">
        <v>7862</v>
      </c>
      <c r="X110" s="2" t="s">
        <v>5405</v>
      </c>
      <c r="Y110" s="2">
        <v>75215</v>
      </c>
      <c r="Z110" s="19" t="str">
        <f>HYPERLINK("https://ssdweb.co/ssdweb/hd/Vision360.html?d=831020626&amp;zoomslide=1&amp;z=1831020626&amp;ISCONFIRM=0","VIDEO")</f>
        <v>VIDEO</v>
      </c>
      <c r="AA110" s="19" t="str">
        <f>HYPERLINK("https://ssdweb.co/ssdweb/CERTH/2478033687.pdf","CERTI")</f>
        <v>CERTI</v>
      </c>
    </row>
    <row r="111" spans="1:27" ht="15" x14ac:dyDescent="0.25">
      <c r="A111" s="2">
        <v>106</v>
      </c>
      <c r="B111" s="39">
        <v>831020561</v>
      </c>
      <c r="C111" s="28" t="str">
        <f>HYPERLINK("https://pld.live/RapDetail.aspx?STONELIST=831020561","DNA")</f>
        <v>DNA</v>
      </c>
      <c r="D111" s="18" t="s">
        <v>4563</v>
      </c>
      <c r="E111" s="18" t="s">
        <v>2186</v>
      </c>
      <c r="F111" s="2" t="s">
        <v>5597</v>
      </c>
      <c r="G111" s="2" t="s">
        <v>861</v>
      </c>
      <c r="H111" s="14">
        <v>3.07</v>
      </c>
      <c r="I111" s="2" t="s">
        <v>1505</v>
      </c>
      <c r="J111" s="2" t="s">
        <v>13</v>
      </c>
      <c r="K111" s="2" t="s">
        <v>5221</v>
      </c>
      <c r="L111" s="2" t="s">
        <v>5221</v>
      </c>
      <c r="M111" s="2" t="s">
        <v>5221</v>
      </c>
      <c r="N111" s="2" t="s">
        <v>2317</v>
      </c>
      <c r="O111" s="14">
        <v>20500</v>
      </c>
      <c r="P111" s="14">
        <v>98.95</v>
      </c>
      <c r="Q111" s="14">
        <v>215.25</v>
      </c>
      <c r="R111" s="14">
        <v>660.82</v>
      </c>
      <c r="S111" s="2" t="s">
        <v>4306</v>
      </c>
      <c r="T111" s="2">
        <v>1.01</v>
      </c>
      <c r="U111" s="2">
        <v>62.4</v>
      </c>
      <c r="V111" s="2">
        <v>57</v>
      </c>
      <c r="W111" s="2" t="s">
        <v>7862</v>
      </c>
      <c r="X111" s="2" t="s">
        <v>5405</v>
      </c>
      <c r="Y111" s="2">
        <v>62935</v>
      </c>
      <c r="Z111" s="19" t="str">
        <f>HYPERLINK("https://ssdweb.co/ssdweb/hd/Vision360.html?d=831020561&amp;zoomslide=1&amp;z=1831020561&amp;ISCONFIRM=0","VIDEO")</f>
        <v>VIDEO</v>
      </c>
      <c r="AA111" s="19" t="str">
        <f>HYPERLINK("https://ssdweb.co/ssdweb/CERTH/2474206181.pdf","CERTI")</f>
        <v>CERTI</v>
      </c>
    </row>
    <row r="112" spans="1:27" ht="15" x14ac:dyDescent="0.25">
      <c r="A112" s="2">
        <v>107</v>
      </c>
      <c r="B112" s="39">
        <v>926930880</v>
      </c>
      <c r="C112" s="28" t="str">
        <f>HYPERLINK("https://pld.live/RapDetail.aspx?STONELIST=926930880","DNA")</f>
        <v>DNA</v>
      </c>
      <c r="D112" s="18" t="s">
        <v>4563</v>
      </c>
      <c r="E112" s="18" t="s">
        <v>2186</v>
      </c>
      <c r="F112" s="2" t="s">
        <v>7987</v>
      </c>
      <c r="G112" s="2" t="s">
        <v>861</v>
      </c>
      <c r="H112" s="14">
        <v>3.06</v>
      </c>
      <c r="I112" s="2" t="s">
        <v>4761</v>
      </c>
      <c r="J112" s="2" t="s">
        <v>13</v>
      </c>
      <c r="K112" s="2" t="s">
        <v>3390</v>
      </c>
      <c r="L112" s="2" t="s">
        <v>5221</v>
      </c>
      <c r="M112" s="2" t="s">
        <v>5221</v>
      </c>
      <c r="N112" s="2" t="s">
        <v>2317</v>
      </c>
      <c r="O112" s="14">
        <v>32000</v>
      </c>
      <c r="P112" s="14">
        <v>99.5</v>
      </c>
      <c r="Q112" s="14">
        <v>160</v>
      </c>
      <c r="R112" s="14">
        <v>489.6</v>
      </c>
      <c r="S112" s="2" t="s">
        <v>1184</v>
      </c>
      <c r="T112" s="2">
        <v>1.01</v>
      </c>
      <c r="U112" s="2">
        <v>61.7</v>
      </c>
      <c r="V112" s="2">
        <v>58</v>
      </c>
      <c r="W112" s="2" t="s">
        <v>7862</v>
      </c>
      <c r="X112" s="2" t="s">
        <v>5405</v>
      </c>
      <c r="Y112" s="2">
        <v>97920</v>
      </c>
      <c r="Z112" s="19" t="str">
        <f>HYPERLINK("https://ssdweb.co/ssdweb/hd/Vision360.html?d=926930880&amp;zoomslide=1&amp;z=1926930880&amp;ISCONFIRM=0","VIDEO")</f>
        <v>VIDEO</v>
      </c>
      <c r="AA112" s="19" t="str">
        <f>HYPERLINK("https://ssdweb.co/ssdweb/CERTH/660489707.pdf","CERTI")</f>
        <v>CERTI</v>
      </c>
    </row>
    <row r="113" spans="1:27" ht="15" x14ac:dyDescent="0.25">
      <c r="A113" s="2">
        <v>108</v>
      </c>
      <c r="B113" s="39">
        <v>831020623</v>
      </c>
      <c r="C113" s="28" t="str">
        <f>HYPERLINK("https://pld.live/RapDetail.aspx?STONELIST=831020623","DNA")</f>
        <v>DNA</v>
      </c>
      <c r="D113" s="18" t="s">
        <v>4563</v>
      </c>
      <c r="E113" s="18" t="s">
        <v>2186</v>
      </c>
      <c r="F113" s="2" t="s">
        <v>5597</v>
      </c>
      <c r="G113" s="2" t="s">
        <v>861</v>
      </c>
      <c r="H113" s="14">
        <v>3.06</v>
      </c>
      <c r="I113" s="2" t="s">
        <v>4761</v>
      </c>
      <c r="J113" s="2" t="s">
        <v>13</v>
      </c>
      <c r="K113" s="2" t="s">
        <v>5221</v>
      </c>
      <c r="L113" s="2" t="s">
        <v>5221</v>
      </c>
      <c r="M113" s="2" t="s">
        <v>5221</v>
      </c>
      <c r="N113" s="2" t="s">
        <v>2317</v>
      </c>
      <c r="O113" s="14">
        <v>32000</v>
      </c>
      <c r="P113" s="14">
        <v>99.14</v>
      </c>
      <c r="Q113" s="14">
        <v>275.2</v>
      </c>
      <c r="R113" s="14">
        <v>842.11</v>
      </c>
      <c r="S113" s="2" t="s">
        <v>4808</v>
      </c>
      <c r="T113" s="2">
        <v>1</v>
      </c>
      <c r="U113" s="2">
        <v>62.2</v>
      </c>
      <c r="V113" s="2">
        <v>58</v>
      </c>
      <c r="W113" s="2" t="s">
        <v>7862</v>
      </c>
      <c r="X113" s="2" t="s">
        <v>5405</v>
      </c>
      <c r="Y113" s="2">
        <v>97920</v>
      </c>
      <c r="Z113" s="19" t="str">
        <f>HYPERLINK("https://ssdweb.co/ssdweb/hd/Vision360.html?d=831020623&amp;zoomslide=1&amp;z=1831020623&amp;ISCONFIRM=0","VIDEO")</f>
        <v>VIDEO</v>
      </c>
      <c r="AA113" s="19" t="str">
        <f>HYPERLINK("https://ssdweb.co/ssdweb/CERTH/5463297474.pdf","CERTI")</f>
        <v>CERTI</v>
      </c>
    </row>
    <row r="114" spans="1:27" ht="15" x14ac:dyDescent="0.25">
      <c r="A114" s="2">
        <v>109</v>
      </c>
      <c r="B114" s="39">
        <v>925700153</v>
      </c>
      <c r="C114" s="28" t="str">
        <f>HYPERLINK("https://pld.live/RapDetail.aspx?STONELIST=925700153","DNA")</f>
        <v>DNA</v>
      </c>
      <c r="D114" s="18" t="s">
        <v>4563</v>
      </c>
      <c r="E114" s="18" t="s">
        <v>2186</v>
      </c>
      <c r="F114" s="2" t="s">
        <v>7987</v>
      </c>
      <c r="G114" s="2" t="s">
        <v>861</v>
      </c>
      <c r="H114" s="14">
        <v>3.06</v>
      </c>
      <c r="I114" s="2" t="s">
        <v>1066</v>
      </c>
      <c r="J114" s="2" t="s">
        <v>13</v>
      </c>
      <c r="K114" s="2" t="s">
        <v>3390</v>
      </c>
      <c r="L114" s="2" t="s">
        <v>5221</v>
      </c>
      <c r="M114" s="2" t="s">
        <v>5221</v>
      </c>
      <c r="N114" s="2" t="s">
        <v>924</v>
      </c>
      <c r="O114" s="14">
        <v>8700</v>
      </c>
      <c r="P114" s="14">
        <v>96.44</v>
      </c>
      <c r="Q114" s="14">
        <v>309.72000000000003</v>
      </c>
      <c r="R114" s="14">
        <v>947.74</v>
      </c>
      <c r="S114" s="2" t="s">
        <v>3964</v>
      </c>
      <c r="T114" s="2">
        <v>1.01</v>
      </c>
      <c r="U114" s="2">
        <v>62.5</v>
      </c>
      <c r="V114" s="2">
        <v>57</v>
      </c>
      <c r="W114" s="2" t="s">
        <v>7862</v>
      </c>
      <c r="X114" s="2" t="s">
        <v>5405</v>
      </c>
      <c r="Y114" s="2">
        <v>26622</v>
      </c>
      <c r="Z114" s="19" t="str">
        <f>HYPERLINK("https://ssdweb.co/ssdweb/hd/Vision360.html?d=925700153&amp;zoomslide=1&amp;z=1925700153&amp;ISCONFIRM=0","VIDEO")</f>
        <v>VIDEO</v>
      </c>
      <c r="AA114" s="19" t="str">
        <f>HYPERLINK("https://ssdweb.co/ssdweb/CERTH/629479352.pdf","CERTI")</f>
        <v>CERTI</v>
      </c>
    </row>
    <row r="115" spans="1:27" ht="15" x14ac:dyDescent="0.25">
      <c r="A115" s="2">
        <v>110</v>
      </c>
      <c r="B115" s="39">
        <v>925680133</v>
      </c>
      <c r="C115" s="28" t="str">
        <f>HYPERLINK("https://pld.live/RapDetail.aspx?STONELIST=925680133","DNA")</f>
        <v>DNA</v>
      </c>
      <c r="D115" s="18" t="s">
        <v>4563</v>
      </c>
      <c r="E115" s="18" t="s">
        <v>2186</v>
      </c>
      <c r="F115" s="2" t="s">
        <v>7987</v>
      </c>
      <c r="G115" s="2" t="s">
        <v>861</v>
      </c>
      <c r="H115" s="14">
        <v>3.05</v>
      </c>
      <c r="I115" s="2" t="s">
        <v>5622</v>
      </c>
      <c r="J115" s="2" t="s">
        <v>13</v>
      </c>
      <c r="K115" s="2" t="s">
        <v>1452</v>
      </c>
      <c r="L115" s="2" t="s">
        <v>5221</v>
      </c>
      <c r="M115" s="2" t="s">
        <v>5221</v>
      </c>
      <c r="N115" s="2" t="s">
        <v>924</v>
      </c>
      <c r="O115" s="14">
        <v>8300</v>
      </c>
      <c r="P115" s="14">
        <v>96.87</v>
      </c>
      <c r="Q115" s="14">
        <v>259.79000000000002</v>
      </c>
      <c r="R115" s="14">
        <v>792.36</v>
      </c>
      <c r="S115" s="2" t="s">
        <v>4792</v>
      </c>
      <c r="T115" s="2">
        <v>1.01</v>
      </c>
      <c r="U115" s="2">
        <v>58.9</v>
      </c>
      <c r="V115" s="2">
        <v>59</v>
      </c>
      <c r="W115" s="2" t="s">
        <v>7862</v>
      </c>
      <c r="X115" s="2" t="s">
        <v>5405</v>
      </c>
      <c r="Y115" s="2">
        <v>25315</v>
      </c>
      <c r="Z115" s="19" t="str">
        <f>HYPERLINK("https://ssdweb.co/ssdweb/hd/Vision360.html?d=925680133&amp;zoomslide=1&amp;z=1925680133&amp;ISCONFIRM=0","VIDEO")</f>
        <v>VIDEO</v>
      </c>
      <c r="AA115" s="19" t="str">
        <f>HYPERLINK("https://ssdweb.co/ssdweb/CERTH/642497711.pdf","CERTI")</f>
        <v>CERTI</v>
      </c>
    </row>
    <row r="116" spans="1:27" ht="15" x14ac:dyDescent="0.25">
      <c r="A116" s="2">
        <v>111</v>
      </c>
      <c r="B116" s="39">
        <v>927010725</v>
      </c>
      <c r="C116" s="28" t="str">
        <f>HYPERLINK("https://pld.live/RapDetail.aspx?STONELIST=927010725","DNA")</f>
        <v>DNA</v>
      </c>
      <c r="D116" s="18" t="s">
        <v>4563</v>
      </c>
      <c r="E116" s="18" t="s">
        <v>2186</v>
      </c>
      <c r="F116" s="2" t="s">
        <v>7987</v>
      </c>
      <c r="G116" s="2" t="s">
        <v>861</v>
      </c>
      <c r="H116" s="14">
        <v>3.04</v>
      </c>
      <c r="I116" s="2" t="s">
        <v>4761</v>
      </c>
      <c r="J116" s="2" t="s">
        <v>13</v>
      </c>
      <c r="K116" s="2" t="s">
        <v>3390</v>
      </c>
      <c r="L116" s="2" t="s">
        <v>5221</v>
      </c>
      <c r="M116" s="2" t="s">
        <v>5221</v>
      </c>
      <c r="N116" s="2" t="s">
        <v>2317</v>
      </c>
      <c r="O116" s="14">
        <v>32000</v>
      </c>
      <c r="P116" s="14">
        <v>99.5</v>
      </c>
      <c r="Q116" s="14">
        <v>160</v>
      </c>
      <c r="R116" s="14">
        <v>486.4</v>
      </c>
      <c r="S116" s="2" t="s">
        <v>4777</v>
      </c>
      <c r="T116" s="2">
        <v>1</v>
      </c>
      <c r="U116" s="2">
        <v>61.1</v>
      </c>
      <c r="V116" s="2">
        <v>59</v>
      </c>
      <c r="W116" s="2" t="s">
        <v>7862</v>
      </c>
      <c r="X116" s="2" t="s">
        <v>5405</v>
      </c>
      <c r="Y116" s="2">
        <v>97280</v>
      </c>
      <c r="Z116" s="19" t="str">
        <f>HYPERLINK("https://ssdweb.co/ssdweb/hd/Vision360.html?d=927010725&amp;zoomslide=1&amp;z=1927010725&amp;ISCONFIRM=0","VIDEO")</f>
        <v>VIDEO</v>
      </c>
      <c r="AA116" s="19" t="str">
        <f>HYPERLINK("https://ssdweb.co/ssdweb/CERTH/666408442.pdf","CERTI")</f>
        <v>CERTI</v>
      </c>
    </row>
    <row r="117" spans="1:27" ht="15" x14ac:dyDescent="0.25">
      <c r="A117" s="2">
        <v>112</v>
      </c>
      <c r="B117" s="39">
        <v>831020624</v>
      </c>
      <c r="C117" s="28" t="str">
        <f>HYPERLINK("https://pld.live/RapDetail.aspx?STONELIST=831020624","DNA")</f>
        <v>DNA</v>
      </c>
      <c r="D117" s="18" t="s">
        <v>4563</v>
      </c>
      <c r="E117" s="18" t="s">
        <v>2186</v>
      </c>
      <c r="F117" s="2" t="s">
        <v>7987</v>
      </c>
      <c r="G117" s="2" t="s">
        <v>861</v>
      </c>
      <c r="H117" s="14">
        <v>3.04</v>
      </c>
      <c r="I117" s="2" t="s">
        <v>4699</v>
      </c>
      <c r="J117" s="2" t="s">
        <v>13</v>
      </c>
      <c r="K117" s="2" t="s">
        <v>3390</v>
      </c>
      <c r="L117" s="2" t="s">
        <v>5221</v>
      </c>
      <c r="M117" s="2" t="s">
        <v>5221</v>
      </c>
      <c r="N117" s="2" t="s">
        <v>2317</v>
      </c>
      <c r="O117" s="14">
        <v>29500</v>
      </c>
      <c r="P117" s="14">
        <v>99.51</v>
      </c>
      <c r="Q117" s="14">
        <v>144.55000000000001</v>
      </c>
      <c r="R117" s="14">
        <v>439.43</v>
      </c>
      <c r="S117" s="2" t="s">
        <v>4476</v>
      </c>
      <c r="T117" s="2">
        <v>1.01</v>
      </c>
      <c r="U117" s="2">
        <v>60.5</v>
      </c>
      <c r="V117" s="2">
        <v>59</v>
      </c>
      <c r="W117" s="2" t="s">
        <v>8016</v>
      </c>
      <c r="X117" s="2" t="s">
        <v>5405</v>
      </c>
      <c r="Y117" s="2">
        <v>89680</v>
      </c>
      <c r="Z117" s="19" t="str">
        <f>HYPERLINK("https://ssdweb.co/ssdweb/hd/Vision360.html?d=831020624&amp;zoomslide=1&amp;z=1831020624&amp;ISCONFIRM=0","VIDEO")</f>
        <v>VIDEO</v>
      </c>
      <c r="AA117" s="19" t="str">
        <f>HYPERLINK("https://ssdweb.co/ssdweb/CERTH/624499753.pdf","CERTI")</f>
        <v>CERTI</v>
      </c>
    </row>
    <row r="118" spans="1:27" ht="15" x14ac:dyDescent="0.25">
      <c r="A118" s="2">
        <v>113</v>
      </c>
      <c r="B118" s="39">
        <v>926860003</v>
      </c>
      <c r="C118" s="28" t="str">
        <f>HYPERLINK("https://pld.live/RapDetail.aspx?STONELIST=926860003","DNA")</f>
        <v>DNA</v>
      </c>
      <c r="D118" s="18" t="s">
        <v>4563</v>
      </c>
      <c r="E118" s="18" t="s">
        <v>2186</v>
      </c>
      <c r="F118" s="2" t="s">
        <v>7987</v>
      </c>
      <c r="G118" s="2" t="s">
        <v>861</v>
      </c>
      <c r="H118" s="14">
        <v>3.04</v>
      </c>
      <c r="I118" s="2" t="s">
        <v>6587</v>
      </c>
      <c r="J118" s="2" t="s">
        <v>3942</v>
      </c>
      <c r="K118" s="2" t="s">
        <v>3390</v>
      </c>
      <c r="L118" s="2" t="s">
        <v>5221</v>
      </c>
      <c r="M118" s="2" t="s">
        <v>5221</v>
      </c>
      <c r="N118" s="2" t="s">
        <v>2317</v>
      </c>
      <c r="O118" s="14">
        <v>28000</v>
      </c>
      <c r="P118" s="14">
        <v>99.51</v>
      </c>
      <c r="Q118" s="14">
        <v>137.19999999999999</v>
      </c>
      <c r="R118" s="14">
        <v>417.09</v>
      </c>
      <c r="S118" s="2" t="s">
        <v>1413</v>
      </c>
      <c r="T118" s="2">
        <v>1.01</v>
      </c>
      <c r="U118" s="2">
        <v>61.7</v>
      </c>
      <c r="V118" s="2">
        <v>57</v>
      </c>
      <c r="W118" s="2" t="s">
        <v>7862</v>
      </c>
      <c r="X118" s="2" t="s">
        <v>5405</v>
      </c>
      <c r="Y118" s="2">
        <v>85120</v>
      </c>
      <c r="Z118" s="19" t="str">
        <f>HYPERLINK("https://ssdweb.co/ssdweb/hd/Vision360.html?d=926860003&amp;zoomslide=1&amp;z=1926860003&amp;ISCONFIRM=0","VIDEO")</f>
        <v>VIDEO</v>
      </c>
      <c r="AA118" s="19" t="str">
        <f>HYPERLINK("https://ssdweb.co/ssdweb/CERTH/659414613.pdf","CERTI")</f>
        <v>CERTI</v>
      </c>
    </row>
    <row r="119" spans="1:27" ht="15" x14ac:dyDescent="0.25">
      <c r="A119" s="2">
        <v>114</v>
      </c>
      <c r="B119" s="39">
        <v>924250444</v>
      </c>
      <c r="C119" s="28" t="str">
        <f>HYPERLINK("https://pld.live/RapDetail.aspx?STONELIST=924250444","DNA")</f>
        <v>DNA</v>
      </c>
      <c r="D119" s="18" t="s">
        <v>4563</v>
      </c>
      <c r="E119" s="18" t="s">
        <v>2186</v>
      </c>
      <c r="F119" s="2" t="s">
        <v>5597</v>
      </c>
      <c r="G119" s="2" t="s">
        <v>861</v>
      </c>
      <c r="H119" s="14">
        <v>3.04</v>
      </c>
      <c r="I119" s="2" t="s">
        <v>6587</v>
      </c>
      <c r="J119" s="2" t="s">
        <v>13</v>
      </c>
      <c r="K119" s="2" t="s">
        <v>5221</v>
      </c>
      <c r="L119" s="2" t="s">
        <v>5221</v>
      </c>
      <c r="M119" s="2" t="s">
        <v>5221</v>
      </c>
      <c r="N119" s="2" t="s">
        <v>2317</v>
      </c>
      <c r="O119" s="14">
        <v>24500</v>
      </c>
      <c r="P119" s="14">
        <v>99.08</v>
      </c>
      <c r="Q119" s="14">
        <v>225.4</v>
      </c>
      <c r="R119" s="14">
        <v>685.22</v>
      </c>
      <c r="S119" s="2" t="s">
        <v>7445</v>
      </c>
      <c r="T119" s="2">
        <v>1</v>
      </c>
      <c r="U119" s="2">
        <v>62.7</v>
      </c>
      <c r="V119" s="2">
        <v>57</v>
      </c>
      <c r="W119" s="2" t="s">
        <v>7862</v>
      </c>
      <c r="X119" s="2" t="s">
        <v>5405</v>
      </c>
      <c r="Y119" s="2">
        <v>74480</v>
      </c>
      <c r="Z119" s="19" t="str">
        <f>HYPERLINK("https://ssdweb.co/ssdweb/hd/Vision360.html?d=924250444&amp;zoomslide=1&amp;z=1924250444&amp;ISCONFIRM=0","VIDEO")</f>
        <v>VIDEO</v>
      </c>
      <c r="AA119" s="19" t="str">
        <f>HYPERLINK("https://ssdweb.co/ssdweb/CERTH/6462944852.pdf","CERTI")</f>
        <v>CERTI</v>
      </c>
    </row>
    <row r="120" spans="1:27" ht="15" x14ac:dyDescent="0.25">
      <c r="A120" s="2">
        <v>115</v>
      </c>
      <c r="B120" s="39">
        <v>926540221</v>
      </c>
      <c r="C120" s="28" t="str">
        <f>HYPERLINK("https://pld.live/RapDetail.aspx?STONELIST=926540221","DNA")</f>
        <v>DNA</v>
      </c>
      <c r="D120" s="18" t="s">
        <v>4563</v>
      </c>
      <c r="E120" s="18" t="s">
        <v>2186</v>
      </c>
      <c r="F120" s="2" t="s">
        <v>7987</v>
      </c>
      <c r="G120" s="2" t="s">
        <v>861</v>
      </c>
      <c r="H120" s="14">
        <v>3.04</v>
      </c>
      <c r="I120" s="2" t="s">
        <v>1066</v>
      </c>
      <c r="J120" s="2" t="s">
        <v>13</v>
      </c>
      <c r="K120" s="2" t="s">
        <v>3390</v>
      </c>
      <c r="L120" s="2" t="s">
        <v>5221</v>
      </c>
      <c r="M120" s="2" t="s">
        <v>5221</v>
      </c>
      <c r="N120" s="2" t="s">
        <v>924</v>
      </c>
      <c r="O120" s="14">
        <v>8300</v>
      </c>
      <c r="P120" s="14">
        <v>96.14</v>
      </c>
      <c r="Q120" s="14">
        <v>320.38</v>
      </c>
      <c r="R120" s="14">
        <v>973.96</v>
      </c>
      <c r="S120" s="2" t="s">
        <v>5517</v>
      </c>
      <c r="T120" s="2">
        <v>1</v>
      </c>
      <c r="U120" s="2">
        <v>61.7</v>
      </c>
      <c r="V120" s="2">
        <v>57</v>
      </c>
      <c r="W120" s="2" t="s">
        <v>7862</v>
      </c>
      <c r="X120" s="2" t="s">
        <v>5405</v>
      </c>
      <c r="Y120" s="2">
        <v>25232</v>
      </c>
      <c r="Z120" s="19" t="str">
        <f>HYPERLINK("https://ssdweb.co/ssdweb/hd/Vision360.html?d=926540221&amp;zoomslide=1&amp;z=1926540221&amp;ISCONFIRM=0","VIDEO")</f>
        <v>VIDEO</v>
      </c>
      <c r="AA120" s="19" t="str">
        <f>HYPERLINK("https://ssdweb.co/ssdweb/CERTH/651466446.pdf","CERTI")</f>
        <v>CERTI</v>
      </c>
    </row>
    <row r="121" spans="1:27" ht="15" x14ac:dyDescent="0.25">
      <c r="A121" s="2">
        <v>116</v>
      </c>
      <c r="B121" s="39">
        <v>926540137</v>
      </c>
      <c r="C121" s="28" t="str">
        <f>HYPERLINK("https://pld.live/RapDetail.aspx?STONELIST=926540137","DNA")</f>
        <v>DNA</v>
      </c>
      <c r="D121" s="18" t="s">
        <v>4563</v>
      </c>
      <c r="E121" s="18" t="s">
        <v>2186</v>
      </c>
      <c r="F121" s="2" t="s">
        <v>7987</v>
      </c>
      <c r="G121" s="2" t="s">
        <v>861</v>
      </c>
      <c r="H121" s="14">
        <v>3.04</v>
      </c>
      <c r="I121" s="2" t="s">
        <v>1066</v>
      </c>
      <c r="J121" s="2" t="s">
        <v>13</v>
      </c>
      <c r="K121" s="2" t="s">
        <v>3390</v>
      </c>
      <c r="L121" s="2" t="s">
        <v>5221</v>
      </c>
      <c r="M121" s="2" t="s">
        <v>5221</v>
      </c>
      <c r="N121" s="2" t="s">
        <v>924</v>
      </c>
      <c r="O121" s="14">
        <v>8300</v>
      </c>
      <c r="P121" s="14">
        <v>96.14</v>
      </c>
      <c r="Q121" s="14">
        <v>320.38</v>
      </c>
      <c r="R121" s="14">
        <v>973.96</v>
      </c>
      <c r="S121" s="2" t="s">
        <v>6983</v>
      </c>
      <c r="T121" s="2">
        <v>1</v>
      </c>
      <c r="U121" s="2">
        <v>62.4</v>
      </c>
      <c r="V121" s="2">
        <v>56</v>
      </c>
      <c r="W121" s="2" t="s">
        <v>7862</v>
      </c>
      <c r="X121" s="2" t="s">
        <v>5405</v>
      </c>
      <c r="Y121" s="2">
        <v>25232</v>
      </c>
      <c r="Z121" s="19" t="str">
        <f>HYPERLINK("https://ssdweb.co/ssdweb/hd/Vision360.html?d=926540137&amp;zoomslide=1&amp;z=1926540137&amp;ISCONFIRM=0","VIDEO")</f>
        <v>VIDEO</v>
      </c>
      <c r="AA121" s="19" t="str">
        <f>HYPERLINK("https://ssdweb.co/ssdweb/CERTH/652470567.pdf","CERTI")</f>
        <v>CERTI</v>
      </c>
    </row>
    <row r="122" spans="1:27" ht="15" x14ac:dyDescent="0.25">
      <c r="A122" s="2">
        <v>117</v>
      </c>
      <c r="B122" s="39">
        <v>926540121</v>
      </c>
      <c r="C122" s="28" t="str">
        <f>HYPERLINK("https://pld.live/RapDetail.aspx?STONELIST=926540121","DNA")</f>
        <v>DNA</v>
      </c>
      <c r="D122" s="18" t="s">
        <v>4563</v>
      </c>
      <c r="E122" s="18" t="s">
        <v>2186</v>
      </c>
      <c r="F122" s="2" t="s">
        <v>7987</v>
      </c>
      <c r="G122" s="2" t="s">
        <v>861</v>
      </c>
      <c r="H122" s="14">
        <v>3.04</v>
      </c>
      <c r="I122" s="2" t="s">
        <v>1066</v>
      </c>
      <c r="J122" s="2" t="s">
        <v>13</v>
      </c>
      <c r="K122" s="2" t="s">
        <v>3390</v>
      </c>
      <c r="L122" s="2" t="s">
        <v>5221</v>
      </c>
      <c r="M122" s="2" t="s">
        <v>5721</v>
      </c>
      <c r="N122" s="2" t="s">
        <v>924</v>
      </c>
      <c r="O122" s="14">
        <v>8300</v>
      </c>
      <c r="P122" s="14">
        <v>96.14</v>
      </c>
      <c r="Q122" s="14">
        <v>320.38</v>
      </c>
      <c r="R122" s="14">
        <v>973.96</v>
      </c>
      <c r="S122" s="2" t="s">
        <v>2161</v>
      </c>
      <c r="T122" s="2">
        <v>1</v>
      </c>
      <c r="U122" s="2">
        <v>62.1</v>
      </c>
      <c r="V122" s="2">
        <v>57</v>
      </c>
      <c r="W122" s="2" t="s">
        <v>7862</v>
      </c>
      <c r="X122" s="2" t="s">
        <v>5405</v>
      </c>
      <c r="Y122" s="2">
        <v>25232</v>
      </c>
      <c r="Z122" s="19" t="str">
        <f>HYPERLINK("https://ssdweb.co/ssdweb/hd/Vision360.html?d=926540121&amp;zoomslide=1&amp;z=1926540121&amp;ISCONFIRM=0","VIDEO")</f>
        <v>VIDEO</v>
      </c>
      <c r="AA122" s="19" t="str">
        <f>HYPERLINK("https://ssdweb.co/ssdweb/CERTH/651466451.pdf","CERTI")</f>
        <v>CERTI</v>
      </c>
    </row>
    <row r="123" spans="1:27" ht="15" x14ac:dyDescent="0.25">
      <c r="A123" s="2">
        <v>118</v>
      </c>
      <c r="B123" s="39">
        <v>926540214</v>
      </c>
      <c r="C123" s="28" t="str">
        <f>HYPERLINK("https://pld.live/RapDetail.aspx?STONELIST=926540214","DNA")</f>
        <v>DNA</v>
      </c>
      <c r="D123" s="18" t="s">
        <v>4563</v>
      </c>
      <c r="E123" s="18" t="s">
        <v>2186</v>
      </c>
      <c r="F123" s="2" t="s">
        <v>7987</v>
      </c>
      <c r="G123" s="2" t="s">
        <v>861</v>
      </c>
      <c r="H123" s="14">
        <v>3.04</v>
      </c>
      <c r="I123" s="2" t="s">
        <v>1066</v>
      </c>
      <c r="J123" s="2" t="s">
        <v>5144</v>
      </c>
      <c r="K123" s="2" t="s">
        <v>3390</v>
      </c>
      <c r="L123" s="2" t="s">
        <v>5221</v>
      </c>
      <c r="M123" s="2" t="s">
        <v>5221</v>
      </c>
      <c r="N123" s="2" t="s">
        <v>924</v>
      </c>
      <c r="O123" s="14">
        <v>7900</v>
      </c>
      <c r="P123" s="14">
        <v>96.2</v>
      </c>
      <c r="Q123" s="14">
        <v>300.2</v>
      </c>
      <c r="R123" s="14">
        <v>912.61</v>
      </c>
      <c r="S123" s="2" t="s">
        <v>7333</v>
      </c>
      <c r="T123" s="2">
        <v>1</v>
      </c>
      <c r="U123" s="2">
        <v>61.9</v>
      </c>
      <c r="V123" s="2">
        <v>57</v>
      </c>
      <c r="W123" s="2" t="s">
        <v>7862</v>
      </c>
      <c r="X123" s="2" t="s">
        <v>5405</v>
      </c>
      <c r="Y123" s="2">
        <v>24016</v>
      </c>
      <c r="Z123" s="19" t="str">
        <f>HYPERLINK("https://ssdweb.co/ssdweb/hd/Vision360.html?d=926540214&amp;zoomslide=1&amp;z=1926540214&amp;ISCONFIRM=0","VIDEO")</f>
        <v>VIDEO</v>
      </c>
      <c r="AA123" s="19" t="str">
        <f>HYPERLINK("https://ssdweb.co/ssdweb/CERTH/652470568.pdf","CERTI")</f>
        <v>CERTI</v>
      </c>
    </row>
    <row r="124" spans="1:27" ht="15" x14ac:dyDescent="0.25">
      <c r="A124" s="2">
        <v>119</v>
      </c>
      <c r="B124" s="39">
        <v>941390174</v>
      </c>
      <c r="C124" s="28" t="str">
        <f>HYPERLINK("https://pld.live/RapDetail.aspx?STONELIST=941390174","DNA")</f>
        <v>DNA</v>
      </c>
      <c r="D124" s="18" t="s">
        <v>4563</v>
      </c>
      <c r="E124" s="18" t="s">
        <v>2186</v>
      </c>
      <c r="F124" s="2" t="s">
        <v>7987</v>
      </c>
      <c r="G124" s="2" t="s">
        <v>861</v>
      </c>
      <c r="H124" s="14">
        <v>3.03</v>
      </c>
      <c r="I124" s="2" t="s">
        <v>267</v>
      </c>
      <c r="J124" s="2" t="s">
        <v>3942</v>
      </c>
      <c r="K124" s="2" t="s">
        <v>3390</v>
      </c>
      <c r="L124" s="2" t="s">
        <v>5221</v>
      </c>
      <c r="M124" s="2" t="s">
        <v>5221</v>
      </c>
      <c r="N124" s="2" t="s">
        <v>2317</v>
      </c>
      <c r="O124" s="14">
        <v>41000</v>
      </c>
      <c r="P124" s="14">
        <v>99.52</v>
      </c>
      <c r="Q124" s="14">
        <v>196.8</v>
      </c>
      <c r="R124" s="14">
        <v>596.29999999999995</v>
      </c>
      <c r="S124" s="2" t="s">
        <v>2936</v>
      </c>
      <c r="T124" s="2">
        <v>1</v>
      </c>
      <c r="U124" s="2">
        <v>61.4</v>
      </c>
      <c r="V124" s="2">
        <v>57</v>
      </c>
      <c r="W124" s="2" t="s">
        <v>7862</v>
      </c>
      <c r="X124" s="2" t="s">
        <v>5405</v>
      </c>
      <c r="Y124" s="2">
        <v>124230</v>
      </c>
      <c r="Z124" s="19" t="str">
        <f>HYPERLINK("https://ssdweb.co/ssdweb/hd/Vision360.html?d=941390174&amp;zoomslide=1&amp;z=1941390174&amp;ISCONFIRM=0","VIDEO")</f>
        <v>VIDEO</v>
      </c>
      <c r="AA124" s="19" t="str">
        <f>HYPERLINK("https://ssdweb.co/ssdweb/CERTH/687591742.pdf","CERTI")</f>
        <v>CERTI</v>
      </c>
    </row>
    <row r="125" spans="1:27" ht="15" x14ac:dyDescent="0.25">
      <c r="A125" s="2">
        <v>120</v>
      </c>
      <c r="B125" s="39">
        <v>941230612</v>
      </c>
      <c r="C125" s="28" t="str">
        <f>HYPERLINK("https://pld.live/RapDetail.aspx?STONELIST=941230612","DNA")</f>
        <v>DNA</v>
      </c>
      <c r="D125" s="18" t="s">
        <v>4563</v>
      </c>
      <c r="E125" s="18" t="s">
        <v>2186</v>
      </c>
      <c r="F125" s="2" t="s">
        <v>7987</v>
      </c>
      <c r="G125" s="2" t="s">
        <v>861</v>
      </c>
      <c r="H125" s="14">
        <v>3.03</v>
      </c>
      <c r="I125" s="2" t="s">
        <v>4761</v>
      </c>
      <c r="J125" s="2" t="s">
        <v>3942</v>
      </c>
      <c r="K125" s="2" t="s">
        <v>3390</v>
      </c>
      <c r="L125" s="2" t="s">
        <v>5221</v>
      </c>
      <c r="M125" s="2" t="s">
        <v>5221</v>
      </c>
      <c r="N125" s="2" t="s">
        <v>2317</v>
      </c>
      <c r="O125" s="14">
        <v>37000</v>
      </c>
      <c r="P125" s="14">
        <v>99.54</v>
      </c>
      <c r="Q125" s="14">
        <v>170.2</v>
      </c>
      <c r="R125" s="14">
        <v>515.71</v>
      </c>
      <c r="S125" s="2" t="s">
        <v>6936</v>
      </c>
      <c r="T125" s="2">
        <v>1.01</v>
      </c>
      <c r="U125" s="2">
        <v>61.5</v>
      </c>
      <c r="V125" s="2">
        <v>56</v>
      </c>
      <c r="W125" s="2" t="s">
        <v>7862</v>
      </c>
      <c r="X125" s="2" t="s">
        <v>5405</v>
      </c>
      <c r="Y125" s="2">
        <v>112110</v>
      </c>
      <c r="Z125" s="19" t="str">
        <f>HYPERLINK("https://ssdweb.co/ssdweb/hd/Vision360.html?d=941230612&amp;zoomslide=1&amp;z=1941230612&amp;ISCONFIRM=0","VIDEO")</f>
        <v>VIDEO</v>
      </c>
      <c r="AA125" s="19" t="str">
        <f>HYPERLINK("https://ssdweb.co/ssdweb/CERTH/681547761.pdf","CERTI")</f>
        <v>CERTI</v>
      </c>
    </row>
    <row r="126" spans="1:27" ht="15" x14ac:dyDescent="0.25">
      <c r="A126" s="2">
        <v>121</v>
      </c>
      <c r="B126" s="39">
        <v>941050455</v>
      </c>
      <c r="C126" s="28" t="str">
        <f>HYPERLINK("https://pld.live/RapDetail.aspx?STONELIST=941050455","DNA")</f>
        <v>DNA</v>
      </c>
      <c r="D126" s="18" t="s">
        <v>4563</v>
      </c>
      <c r="E126" s="18" t="s">
        <v>2186</v>
      </c>
      <c r="F126" s="2" t="s">
        <v>7987</v>
      </c>
      <c r="G126" s="2" t="s">
        <v>861</v>
      </c>
      <c r="H126" s="14">
        <v>3.03</v>
      </c>
      <c r="I126" s="2" t="s">
        <v>4761</v>
      </c>
      <c r="J126" s="2" t="s">
        <v>3942</v>
      </c>
      <c r="K126" s="2" t="s">
        <v>3390</v>
      </c>
      <c r="L126" s="2" t="s">
        <v>5221</v>
      </c>
      <c r="M126" s="2" t="s">
        <v>5221</v>
      </c>
      <c r="N126" s="2" t="s">
        <v>2317</v>
      </c>
      <c r="O126" s="14">
        <v>37000</v>
      </c>
      <c r="P126" s="14">
        <v>99.54</v>
      </c>
      <c r="Q126" s="14">
        <v>170.2</v>
      </c>
      <c r="R126" s="14">
        <v>515.71</v>
      </c>
      <c r="S126" s="2" t="s">
        <v>989</v>
      </c>
      <c r="T126" s="2">
        <v>1.01</v>
      </c>
      <c r="U126" s="2">
        <v>62.1</v>
      </c>
      <c r="V126" s="2">
        <v>57</v>
      </c>
      <c r="W126" s="2" t="s">
        <v>7862</v>
      </c>
      <c r="X126" s="2" t="s">
        <v>5405</v>
      </c>
      <c r="Y126" s="2">
        <v>112110</v>
      </c>
      <c r="Z126" s="19" t="str">
        <f>HYPERLINK("https://ssdweb.co/ssdweb/hd/Vision360.html?d=941050455&amp;zoomslide=1&amp;z=1941050455&amp;ISCONFIRM=0","VIDEO")</f>
        <v>VIDEO</v>
      </c>
      <c r="AA126" s="19" t="str">
        <f>HYPERLINK("https://ssdweb.co/ssdweb/CERTH/671437473.pdf","CERTI")</f>
        <v>CERTI</v>
      </c>
    </row>
    <row r="127" spans="1:27" ht="15" x14ac:dyDescent="0.25">
      <c r="A127" s="2">
        <v>122</v>
      </c>
      <c r="B127" s="39">
        <v>926980697</v>
      </c>
      <c r="C127" s="28" t="str">
        <f>HYPERLINK("https://pld.live/RapDetail.aspx?STONELIST=926980697","DNA")</f>
        <v>DNA</v>
      </c>
      <c r="D127" s="18" t="s">
        <v>4563</v>
      </c>
      <c r="E127" s="18" t="s">
        <v>2186</v>
      </c>
      <c r="F127" s="2" t="s">
        <v>7987</v>
      </c>
      <c r="G127" s="2" t="s">
        <v>861</v>
      </c>
      <c r="H127" s="14">
        <v>3.03</v>
      </c>
      <c r="I127" s="2" t="s">
        <v>4761</v>
      </c>
      <c r="J127" s="2" t="s">
        <v>13</v>
      </c>
      <c r="K127" s="2" t="s">
        <v>3390</v>
      </c>
      <c r="L127" s="2" t="s">
        <v>5221</v>
      </c>
      <c r="M127" s="2" t="s">
        <v>5221</v>
      </c>
      <c r="N127" s="2" t="s">
        <v>2317</v>
      </c>
      <c r="O127" s="14">
        <v>32000</v>
      </c>
      <c r="P127" s="14">
        <v>99.5</v>
      </c>
      <c r="Q127" s="14">
        <v>160</v>
      </c>
      <c r="R127" s="14">
        <v>484.8</v>
      </c>
      <c r="S127" s="2" t="s">
        <v>4103</v>
      </c>
      <c r="T127" s="2">
        <v>1</v>
      </c>
      <c r="U127" s="2">
        <v>59.4</v>
      </c>
      <c r="V127" s="2">
        <v>59</v>
      </c>
      <c r="W127" s="2" t="s">
        <v>7862</v>
      </c>
      <c r="X127" s="2" t="s">
        <v>5405</v>
      </c>
      <c r="Y127" s="2">
        <v>96960</v>
      </c>
      <c r="Z127" s="19" t="str">
        <f>HYPERLINK("https://ssdweb.co/ssdweb/hd/Vision360.html?d=926980697&amp;zoomslide=1&amp;z=1926980697&amp;ISCONFIRM=0","VIDEO")</f>
        <v>VIDEO</v>
      </c>
      <c r="AA127" s="19" t="str">
        <f>HYPERLINK("https://ssdweb.co/ssdweb/CERTH/668437247.pdf","CERTI")</f>
        <v>CERTI</v>
      </c>
    </row>
    <row r="128" spans="1:27" ht="15" x14ac:dyDescent="0.25">
      <c r="A128" s="2">
        <v>123</v>
      </c>
      <c r="B128" s="39">
        <v>941200213</v>
      </c>
      <c r="C128" s="28" t="str">
        <f>HYPERLINK("https://pld.live/RapDetail.aspx?STONELIST=941200213","DNA")</f>
        <v>DNA</v>
      </c>
      <c r="D128" s="18" t="s">
        <v>4563</v>
      </c>
      <c r="E128" s="18" t="s">
        <v>2186</v>
      </c>
      <c r="F128" s="2" t="s">
        <v>7987</v>
      </c>
      <c r="G128" s="2" t="s">
        <v>861</v>
      </c>
      <c r="H128" s="14">
        <v>3.03</v>
      </c>
      <c r="I128" s="2" t="s">
        <v>4761</v>
      </c>
      <c r="J128" s="2" t="s">
        <v>13</v>
      </c>
      <c r="K128" s="2" t="s">
        <v>3390</v>
      </c>
      <c r="L128" s="2" t="s">
        <v>5221</v>
      </c>
      <c r="M128" s="2" t="s">
        <v>5221</v>
      </c>
      <c r="N128" s="2" t="s">
        <v>2317</v>
      </c>
      <c r="O128" s="14">
        <v>32000</v>
      </c>
      <c r="P128" s="14">
        <v>99.5</v>
      </c>
      <c r="Q128" s="14">
        <v>160</v>
      </c>
      <c r="R128" s="14">
        <v>484.8</v>
      </c>
      <c r="S128" s="2" t="s">
        <v>7431</v>
      </c>
      <c r="T128" s="2">
        <v>1.01</v>
      </c>
      <c r="U128" s="2">
        <v>62</v>
      </c>
      <c r="V128" s="2">
        <v>57</v>
      </c>
      <c r="W128" s="2" t="s">
        <v>7862</v>
      </c>
      <c r="X128" s="2" t="s">
        <v>5405</v>
      </c>
      <c r="Y128" s="2">
        <v>96960</v>
      </c>
      <c r="Z128" s="19" t="str">
        <f>HYPERLINK("https://ssdweb.co/ssdweb/hd/Vision360.html?d=941200213&amp;zoomslide=1&amp;z=1941200213&amp;ISCONFIRM=0","VIDEO")</f>
        <v>VIDEO</v>
      </c>
      <c r="AA128" s="19" t="str">
        <f>HYPERLINK("https://ssdweb.co/ssdweb/CERTH/678550335.pdf","CERTI")</f>
        <v>CERTI</v>
      </c>
    </row>
    <row r="129" spans="1:27" ht="15" x14ac:dyDescent="0.25">
      <c r="A129" s="2">
        <v>124</v>
      </c>
      <c r="B129" s="39">
        <v>941130261</v>
      </c>
      <c r="C129" s="28" t="str">
        <f>HYPERLINK("https://pld.live/RapDetail.aspx?STONELIST=941130261","DNA")</f>
        <v>DNA</v>
      </c>
      <c r="D129" s="18" t="s">
        <v>4563</v>
      </c>
      <c r="E129" s="18" t="s">
        <v>2186</v>
      </c>
      <c r="F129" s="2" t="s">
        <v>7987</v>
      </c>
      <c r="G129" s="2" t="s">
        <v>861</v>
      </c>
      <c r="H129" s="14">
        <v>3.03</v>
      </c>
      <c r="I129" s="2" t="s">
        <v>4761</v>
      </c>
      <c r="J129" s="2" t="s">
        <v>5144</v>
      </c>
      <c r="K129" s="2" t="s">
        <v>3390</v>
      </c>
      <c r="L129" s="2" t="s">
        <v>5221</v>
      </c>
      <c r="M129" s="2" t="s">
        <v>5221</v>
      </c>
      <c r="N129" s="2" t="s">
        <v>2317</v>
      </c>
      <c r="O129" s="14">
        <v>26500</v>
      </c>
      <c r="P129" s="14">
        <v>99.43</v>
      </c>
      <c r="Q129" s="14">
        <v>151.05000000000001</v>
      </c>
      <c r="R129" s="14">
        <v>457.68</v>
      </c>
      <c r="S129" s="2" t="s">
        <v>7029</v>
      </c>
      <c r="T129" s="2">
        <v>1.01</v>
      </c>
      <c r="U129" s="2">
        <v>62.2</v>
      </c>
      <c r="V129" s="2">
        <v>58</v>
      </c>
      <c r="W129" s="2" t="s">
        <v>7862</v>
      </c>
      <c r="X129" s="2" t="s">
        <v>5405</v>
      </c>
      <c r="Y129" s="2">
        <v>80295</v>
      </c>
      <c r="Z129" s="19" t="str">
        <f>HYPERLINK("https://ssdweb.co/ssdweb/hd/Vision360.html?d=941130261&amp;zoomslide=1&amp;z=1941130261&amp;ISCONFIRM=0","VIDEO")</f>
        <v>VIDEO</v>
      </c>
      <c r="AA129" s="19" t="str">
        <f>HYPERLINK("https://ssdweb.co/ssdweb/CERTH/674504122.pdf","CERTI")</f>
        <v>CERTI</v>
      </c>
    </row>
    <row r="130" spans="1:27" ht="15" x14ac:dyDescent="0.25">
      <c r="A130" s="2">
        <v>125</v>
      </c>
      <c r="B130" s="39">
        <v>941100466</v>
      </c>
      <c r="C130" s="28" t="str">
        <f>HYPERLINK("https://pld.live/RapDetail.aspx?STONELIST=941100466","DNA")</f>
        <v>DNA</v>
      </c>
      <c r="D130" s="18" t="s">
        <v>4563</v>
      </c>
      <c r="E130" s="18" t="s">
        <v>2186</v>
      </c>
      <c r="F130" s="2" t="s">
        <v>7987</v>
      </c>
      <c r="G130" s="2" t="s">
        <v>861</v>
      </c>
      <c r="H130" s="14">
        <v>3.03</v>
      </c>
      <c r="I130" s="2" t="s">
        <v>4699</v>
      </c>
      <c r="J130" s="2" t="s">
        <v>13</v>
      </c>
      <c r="K130" s="2" t="s">
        <v>3390</v>
      </c>
      <c r="L130" s="2" t="s">
        <v>5221</v>
      </c>
      <c r="M130" s="2" t="s">
        <v>5221</v>
      </c>
      <c r="N130" s="2" t="s">
        <v>2317</v>
      </c>
      <c r="O130" s="14">
        <v>29500</v>
      </c>
      <c r="P130" s="14">
        <v>99.49</v>
      </c>
      <c r="Q130" s="14">
        <v>150.44999999999999</v>
      </c>
      <c r="R130" s="14">
        <v>455.86</v>
      </c>
      <c r="S130" s="2" t="s">
        <v>6728</v>
      </c>
      <c r="T130" s="2">
        <v>1.01</v>
      </c>
      <c r="U130" s="2">
        <v>61.7</v>
      </c>
      <c r="V130" s="2">
        <v>58</v>
      </c>
      <c r="W130" s="2" t="s">
        <v>7862</v>
      </c>
      <c r="X130" s="2" t="s">
        <v>5405</v>
      </c>
      <c r="Y130" s="2">
        <v>89385</v>
      </c>
      <c r="Z130" s="19" t="str">
        <f>HYPERLINK("https://ssdweb.co/ssdweb/hd/Vision360.html?d=941100466&amp;zoomslide=1&amp;z=1941100466&amp;ISCONFIRM=0","VIDEO")</f>
        <v>VIDEO</v>
      </c>
      <c r="AA130" s="19" t="str">
        <f>HYPERLINK("https://ssdweb.co/ssdweb/CERTH/674504138.pdf","CERTI")</f>
        <v>CERTI</v>
      </c>
    </row>
    <row r="131" spans="1:27" ht="15" x14ac:dyDescent="0.25">
      <c r="A131" s="2">
        <v>126</v>
      </c>
      <c r="B131" s="39">
        <v>926410264</v>
      </c>
      <c r="C131" s="28" t="str">
        <f>HYPERLINK("https://pld.live/RapDetail.aspx?STONELIST=926410264","DNA")</f>
        <v>DNA</v>
      </c>
      <c r="D131" s="18" t="s">
        <v>4563</v>
      </c>
      <c r="E131" s="18" t="s">
        <v>2186</v>
      </c>
      <c r="F131" s="2" t="s">
        <v>7987</v>
      </c>
      <c r="G131" s="2" t="s">
        <v>861</v>
      </c>
      <c r="H131" s="14">
        <v>3.03</v>
      </c>
      <c r="I131" s="2" t="s">
        <v>4699</v>
      </c>
      <c r="J131" s="2" t="s">
        <v>13</v>
      </c>
      <c r="K131" s="2" t="s">
        <v>3390</v>
      </c>
      <c r="L131" s="2" t="s">
        <v>5221</v>
      </c>
      <c r="M131" s="2" t="s">
        <v>5221</v>
      </c>
      <c r="N131" s="2" t="s">
        <v>2317</v>
      </c>
      <c r="O131" s="14">
        <v>29500</v>
      </c>
      <c r="P131" s="14">
        <v>99.51</v>
      </c>
      <c r="Q131" s="14">
        <v>144.55000000000001</v>
      </c>
      <c r="R131" s="14">
        <v>437.99</v>
      </c>
      <c r="S131" s="2" t="s">
        <v>1558</v>
      </c>
      <c r="T131" s="2">
        <v>1</v>
      </c>
      <c r="U131" s="2">
        <v>61.7</v>
      </c>
      <c r="V131" s="2">
        <v>57</v>
      </c>
      <c r="W131" s="2" t="s">
        <v>8016</v>
      </c>
      <c r="X131" s="2" t="s">
        <v>5405</v>
      </c>
      <c r="Y131" s="2">
        <v>89385</v>
      </c>
      <c r="Z131" s="19" t="str">
        <f>HYPERLINK("https://ssdweb.co/ssdweb/hd/Vision360.html?d=926410264&amp;zoomslide=1&amp;z=1926410264&amp;ISCONFIRM=0","VIDEO")</f>
        <v>VIDEO</v>
      </c>
      <c r="AA131" s="19" t="str">
        <f>HYPERLINK("https://ssdweb.co/ssdweb/CERTH/642460634.pdf","CERTI")</f>
        <v>CERTI</v>
      </c>
    </row>
    <row r="132" spans="1:27" ht="15" x14ac:dyDescent="0.25">
      <c r="A132" s="2">
        <v>127</v>
      </c>
      <c r="B132" s="39">
        <v>926410263</v>
      </c>
      <c r="C132" s="28" t="str">
        <f>HYPERLINK("https://pld.live/RapDetail.aspx?STONELIST=926410263","DNA")</f>
        <v>DNA</v>
      </c>
      <c r="D132" s="18" t="s">
        <v>4563</v>
      </c>
      <c r="E132" s="18" t="s">
        <v>2186</v>
      </c>
      <c r="F132" s="2" t="s">
        <v>7987</v>
      </c>
      <c r="G132" s="2" t="s">
        <v>861</v>
      </c>
      <c r="H132" s="14">
        <v>3.03</v>
      </c>
      <c r="I132" s="2" t="s">
        <v>6587</v>
      </c>
      <c r="J132" s="2" t="s">
        <v>3942</v>
      </c>
      <c r="K132" s="2" t="s">
        <v>3390</v>
      </c>
      <c r="L132" s="2" t="s">
        <v>5221</v>
      </c>
      <c r="M132" s="2" t="s">
        <v>5221</v>
      </c>
      <c r="N132" s="2" t="s">
        <v>2317</v>
      </c>
      <c r="O132" s="14">
        <v>28000</v>
      </c>
      <c r="P132" s="14">
        <v>99.52</v>
      </c>
      <c r="Q132" s="14">
        <v>134.4</v>
      </c>
      <c r="R132" s="14">
        <v>407.23</v>
      </c>
      <c r="S132" s="2" t="s">
        <v>4976</v>
      </c>
      <c r="T132" s="2">
        <v>1.01</v>
      </c>
      <c r="U132" s="2">
        <v>59.9</v>
      </c>
      <c r="V132" s="2">
        <v>59</v>
      </c>
      <c r="W132" s="2" t="s">
        <v>8016</v>
      </c>
      <c r="X132" s="2" t="s">
        <v>5405</v>
      </c>
      <c r="Y132" s="2">
        <v>84840</v>
      </c>
      <c r="Z132" s="19" t="str">
        <f>HYPERLINK("https://ssdweb.co/ssdweb/hd/Vision360.html?d=926410263&amp;zoomslide=1&amp;z=1926410263&amp;ISCONFIRM=0","VIDEO")</f>
        <v>VIDEO</v>
      </c>
      <c r="AA132" s="19" t="str">
        <f>HYPERLINK("https://ssdweb.co/ssdweb/CERTH/642460633.pdf","CERTI")</f>
        <v>CERTI</v>
      </c>
    </row>
    <row r="133" spans="1:27" ht="15" x14ac:dyDescent="0.25">
      <c r="A133" s="2">
        <v>128</v>
      </c>
      <c r="B133" s="39">
        <v>923720170</v>
      </c>
      <c r="C133" s="28" t="str">
        <f>HYPERLINK("https://pld.live/RapDetail.aspx?STONELIST=923720170","DNA")</f>
        <v>DNA</v>
      </c>
      <c r="D133" s="18" t="s">
        <v>4563</v>
      </c>
      <c r="E133" s="18" t="s">
        <v>2186</v>
      </c>
      <c r="F133" s="2" t="s">
        <v>5597</v>
      </c>
      <c r="G133" s="2" t="s">
        <v>861</v>
      </c>
      <c r="H133" s="14">
        <v>3.03</v>
      </c>
      <c r="I133" s="2" t="s">
        <v>6587</v>
      </c>
      <c r="J133" s="2" t="s">
        <v>13</v>
      </c>
      <c r="K133" s="2" t="s">
        <v>5221</v>
      </c>
      <c r="L133" s="2" t="s">
        <v>5221</v>
      </c>
      <c r="M133" s="2" t="s">
        <v>5221</v>
      </c>
      <c r="N133" s="2" t="s">
        <v>2317</v>
      </c>
      <c r="O133" s="14">
        <v>24500</v>
      </c>
      <c r="P133" s="14">
        <v>99.08</v>
      </c>
      <c r="Q133" s="14">
        <v>225.4</v>
      </c>
      <c r="R133" s="14">
        <v>682.96</v>
      </c>
      <c r="S133" s="2" t="s">
        <v>1928</v>
      </c>
      <c r="T133" s="2">
        <v>1.01</v>
      </c>
      <c r="U133" s="2">
        <v>60.8</v>
      </c>
      <c r="V133" s="2">
        <v>56</v>
      </c>
      <c r="W133" s="2" t="s">
        <v>7862</v>
      </c>
      <c r="X133" s="2" t="s">
        <v>5405</v>
      </c>
      <c r="Y133" s="2">
        <v>74235</v>
      </c>
      <c r="Z133" s="19" t="str">
        <f>HYPERLINK("https://ssdweb.co/ssdweb/hd/Vision360.html?d=923720170&amp;zoomslide=1&amp;z=1923720170&amp;ISCONFIRM=0","VIDEO")</f>
        <v>VIDEO</v>
      </c>
      <c r="AA133" s="19" t="str">
        <f>HYPERLINK("https://ssdweb.co/ssdweb/CERTH/6452397655.pdf","CERTI")</f>
        <v>CERTI</v>
      </c>
    </row>
    <row r="134" spans="1:27" ht="15" x14ac:dyDescent="0.25">
      <c r="A134" s="2">
        <v>129</v>
      </c>
      <c r="B134" s="39">
        <v>831020411</v>
      </c>
      <c r="C134" s="28" t="str">
        <f>HYPERLINK("https://pld.live/RapDetail.aspx?STONELIST=831020411","DNA")</f>
        <v>DNA</v>
      </c>
      <c r="D134" s="18" t="s">
        <v>4563</v>
      </c>
      <c r="E134" s="18" t="s">
        <v>2186</v>
      </c>
      <c r="F134" s="2" t="s">
        <v>5597</v>
      </c>
      <c r="G134" s="2" t="s">
        <v>861</v>
      </c>
      <c r="H134" s="14">
        <v>3.03</v>
      </c>
      <c r="I134" s="2" t="s">
        <v>6587</v>
      </c>
      <c r="J134" s="2" t="s">
        <v>13</v>
      </c>
      <c r="K134" s="2" t="s">
        <v>5221</v>
      </c>
      <c r="L134" s="2" t="s">
        <v>5221</v>
      </c>
      <c r="M134" s="2" t="s">
        <v>5221</v>
      </c>
      <c r="N134" s="2" t="s">
        <v>2317</v>
      </c>
      <c r="O134" s="14">
        <v>24500</v>
      </c>
      <c r="P134" s="14">
        <v>99.08</v>
      </c>
      <c r="Q134" s="14">
        <v>225.4</v>
      </c>
      <c r="R134" s="14">
        <v>682.96</v>
      </c>
      <c r="S134" s="2" t="s">
        <v>4117</v>
      </c>
      <c r="T134" s="2">
        <v>1.01</v>
      </c>
      <c r="U134" s="2">
        <v>62.8</v>
      </c>
      <c r="V134" s="2">
        <v>56</v>
      </c>
      <c r="W134" s="2" t="s">
        <v>7862</v>
      </c>
      <c r="X134" s="2" t="s">
        <v>5405</v>
      </c>
      <c r="Y134" s="2">
        <v>74235</v>
      </c>
      <c r="Z134" s="19" t="str">
        <f>HYPERLINK("https://ssdweb.co/ssdweb/hd/Vision360.html?d=831020411&amp;zoomslide=1&amp;z=1831020411&amp;ISCONFIRM=0","VIDEO")</f>
        <v>VIDEO</v>
      </c>
      <c r="AA134" s="19" t="str">
        <f>HYPERLINK("https://ssdweb.co/ssdweb/CERTH/5423919726.pdf","CERTI")</f>
        <v>CERTI</v>
      </c>
    </row>
    <row r="135" spans="1:27" ht="15" x14ac:dyDescent="0.25">
      <c r="A135" s="2">
        <v>130</v>
      </c>
      <c r="B135" s="39">
        <v>925400030</v>
      </c>
      <c r="C135" s="28" t="str">
        <f>HYPERLINK("https://pld.live/RapDetail.aspx?STONELIST=925400030","DNA")</f>
        <v>DNA</v>
      </c>
      <c r="D135" s="18" t="s">
        <v>4563</v>
      </c>
      <c r="E135" s="18" t="s">
        <v>2186</v>
      </c>
      <c r="F135" s="2" t="s">
        <v>7987</v>
      </c>
      <c r="G135" s="2" t="s">
        <v>861</v>
      </c>
      <c r="H135" s="14">
        <v>3.03</v>
      </c>
      <c r="I135" s="2" t="s">
        <v>1505</v>
      </c>
      <c r="J135" s="2" t="s">
        <v>3942</v>
      </c>
      <c r="K135" s="2" t="s">
        <v>5221</v>
      </c>
      <c r="L135" s="2" t="s">
        <v>5221</v>
      </c>
      <c r="M135" s="2" t="s">
        <v>5221</v>
      </c>
      <c r="N135" s="2" t="s">
        <v>2317</v>
      </c>
      <c r="O135" s="14">
        <v>22500</v>
      </c>
      <c r="P135" s="14">
        <v>99.44</v>
      </c>
      <c r="Q135" s="14">
        <v>126</v>
      </c>
      <c r="R135" s="14">
        <v>381.78</v>
      </c>
      <c r="S135" s="2" t="s">
        <v>1085</v>
      </c>
      <c r="T135" s="2">
        <v>1.01</v>
      </c>
      <c r="U135" s="2">
        <v>62.9</v>
      </c>
      <c r="V135" s="2">
        <v>54</v>
      </c>
      <c r="W135" s="2" t="s">
        <v>7862</v>
      </c>
      <c r="X135" s="2" t="s">
        <v>5405</v>
      </c>
      <c r="Y135" s="2">
        <v>68175</v>
      </c>
      <c r="Z135" s="19" t="str">
        <f>HYPERLINK("https://ssdweb.co/ssdweb/hd/Vision360.html?d=925400030&amp;zoomslide=1&amp;z=1925400030&amp;ISCONFIRM=0","VIDEO")</f>
        <v>VIDEO</v>
      </c>
      <c r="AA135" s="19" t="str">
        <f>HYPERLINK("https://ssdweb.co/ssdweb/CERTH/617426419.pdf","CERTI")</f>
        <v>CERTI</v>
      </c>
    </row>
    <row r="136" spans="1:27" ht="15" x14ac:dyDescent="0.25">
      <c r="A136" s="2">
        <v>131</v>
      </c>
      <c r="B136" s="39">
        <v>926540126</v>
      </c>
      <c r="C136" s="28" t="str">
        <f>HYPERLINK("https://pld.live/RapDetail.aspx?STONELIST=926540126","DNA")</f>
        <v>DNA</v>
      </c>
      <c r="D136" s="18" t="s">
        <v>4563</v>
      </c>
      <c r="E136" s="18" t="s">
        <v>2186</v>
      </c>
      <c r="F136" s="2" t="s">
        <v>7987</v>
      </c>
      <c r="G136" s="2" t="s">
        <v>861</v>
      </c>
      <c r="H136" s="14">
        <v>3.03</v>
      </c>
      <c r="I136" s="2" t="s">
        <v>1505</v>
      </c>
      <c r="J136" s="2" t="s">
        <v>13</v>
      </c>
      <c r="K136" s="2" t="s">
        <v>3390</v>
      </c>
      <c r="L136" s="2" t="s">
        <v>5221</v>
      </c>
      <c r="M136" s="2" t="s">
        <v>5221</v>
      </c>
      <c r="N136" s="2" t="s">
        <v>2317</v>
      </c>
      <c r="O136" s="14">
        <v>20500</v>
      </c>
      <c r="P136" s="14">
        <v>99.4</v>
      </c>
      <c r="Q136" s="14">
        <v>123</v>
      </c>
      <c r="R136" s="14">
        <v>372.69</v>
      </c>
      <c r="S136" s="2" t="s">
        <v>7509</v>
      </c>
      <c r="T136" s="2">
        <v>1</v>
      </c>
      <c r="U136" s="2">
        <v>61.9</v>
      </c>
      <c r="V136" s="2">
        <v>57</v>
      </c>
      <c r="W136" s="2" t="s">
        <v>7862</v>
      </c>
      <c r="X136" s="2" t="s">
        <v>5405</v>
      </c>
      <c r="Y136" s="2">
        <v>62115</v>
      </c>
      <c r="Z136" s="19" t="str">
        <f>HYPERLINK("https://ssdweb.co/ssdweb/hd/Vision360.html?d=926540126&amp;zoomslide=1&amp;z=1926540126&amp;ISCONFIRM=0","VIDEO")</f>
        <v>VIDEO</v>
      </c>
      <c r="AA136" s="19" t="str">
        <f>HYPERLINK("https://ssdweb.co/ssdweb/CERTH/666408439.pdf","CERTI")</f>
        <v>CERTI</v>
      </c>
    </row>
    <row r="137" spans="1:27" ht="15" x14ac:dyDescent="0.25">
      <c r="A137" s="2">
        <v>132</v>
      </c>
      <c r="B137" s="39">
        <v>941220144</v>
      </c>
      <c r="C137" s="28" t="str">
        <f>HYPERLINK("https://pld.live/RapDetail.aspx?STONELIST=941220144","DNA")</f>
        <v>DNA</v>
      </c>
      <c r="D137" s="18" t="s">
        <v>4563</v>
      </c>
      <c r="E137" s="18" t="s">
        <v>2186</v>
      </c>
      <c r="F137" s="2" t="s">
        <v>7987</v>
      </c>
      <c r="G137" s="2" t="s">
        <v>861</v>
      </c>
      <c r="H137" s="14">
        <v>3.02</v>
      </c>
      <c r="I137" s="2" t="s">
        <v>267</v>
      </c>
      <c r="J137" s="2" t="s">
        <v>13</v>
      </c>
      <c r="K137" s="2" t="s">
        <v>3390</v>
      </c>
      <c r="L137" s="2" t="s">
        <v>5221</v>
      </c>
      <c r="M137" s="2" t="s">
        <v>5221</v>
      </c>
      <c r="N137" s="2" t="s">
        <v>2317</v>
      </c>
      <c r="O137" s="14">
        <v>35000</v>
      </c>
      <c r="P137" s="14">
        <v>99.47</v>
      </c>
      <c r="Q137" s="14">
        <v>185.5</v>
      </c>
      <c r="R137" s="14">
        <v>560.21</v>
      </c>
      <c r="S137" s="2" t="s">
        <v>8066</v>
      </c>
      <c r="T137" s="2">
        <v>1.01</v>
      </c>
      <c r="U137" s="2">
        <v>60.7</v>
      </c>
      <c r="V137" s="2">
        <v>58</v>
      </c>
      <c r="W137" s="2" t="s">
        <v>7862</v>
      </c>
      <c r="X137" s="2" t="s">
        <v>5405</v>
      </c>
      <c r="Y137" s="2">
        <v>105700</v>
      </c>
      <c r="Z137" s="19" t="str">
        <f>HYPERLINK("https://ssdweb.co/ssdweb/hd/Vision360.html?d=941220144&amp;zoomslide=1&amp;z=1941220144&amp;ISCONFIRM=0","VIDEO")</f>
        <v>VIDEO</v>
      </c>
      <c r="AA137" s="19" t="str">
        <f>HYPERLINK("https://ssdweb.co/ssdweb/CERTH/678550333.pdf","CERTI")</f>
        <v>CERTI</v>
      </c>
    </row>
    <row r="138" spans="1:27" ht="15" x14ac:dyDescent="0.25">
      <c r="A138" s="2">
        <v>133</v>
      </c>
      <c r="B138" s="39">
        <v>941050466</v>
      </c>
      <c r="C138" s="28" t="str">
        <f>HYPERLINK("https://pld.live/RapDetail.aspx?STONELIST=941050466","DNA")</f>
        <v>DNA</v>
      </c>
      <c r="D138" s="18" t="s">
        <v>4563</v>
      </c>
      <c r="E138" s="18" t="s">
        <v>2186</v>
      </c>
      <c r="F138" s="2" t="s">
        <v>7987</v>
      </c>
      <c r="G138" s="2" t="s">
        <v>861</v>
      </c>
      <c r="H138" s="14">
        <v>3.02</v>
      </c>
      <c r="I138" s="2" t="s">
        <v>4761</v>
      </c>
      <c r="J138" s="2" t="s">
        <v>3942</v>
      </c>
      <c r="K138" s="2" t="s">
        <v>3390</v>
      </c>
      <c r="L138" s="2" t="s">
        <v>5221</v>
      </c>
      <c r="M138" s="2" t="s">
        <v>5221</v>
      </c>
      <c r="N138" s="2" t="s">
        <v>2317</v>
      </c>
      <c r="O138" s="14">
        <v>37000</v>
      </c>
      <c r="P138" s="14">
        <v>99.54</v>
      </c>
      <c r="Q138" s="14">
        <v>170.2</v>
      </c>
      <c r="R138" s="14">
        <v>514</v>
      </c>
      <c r="S138" s="2" t="s">
        <v>3178</v>
      </c>
      <c r="T138" s="2">
        <v>1</v>
      </c>
      <c r="U138" s="2">
        <v>61.4</v>
      </c>
      <c r="V138" s="2">
        <v>58</v>
      </c>
      <c r="W138" s="2" t="s">
        <v>7862</v>
      </c>
      <c r="X138" s="2" t="s">
        <v>5405</v>
      </c>
      <c r="Y138" s="2">
        <v>111740</v>
      </c>
      <c r="Z138" s="19" t="str">
        <f>HYPERLINK("https://ssdweb.co/ssdweb/hd/Vision360.html?d=941050466&amp;zoomslide=1&amp;z=1941050466&amp;ISCONFIRM=0","VIDEO")</f>
        <v>VIDEO</v>
      </c>
      <c r="AA138" s="19" t="str">
        <f>HYPERLINK("https://ssdweb.co/ssdweb/CERTH/671437461.pdf","CERTI")</f>
        <v>CERTI</v>
      </c>
    </row>
    <row r="139" spans="1:27" ht="15" x14ac:dyDescent="0.25">
      <c r="A139" s="2">
        <v>134</v>
      </c>
      <c r="B139" s="39">
        <v>941460041</v>
      </c>
      <c r="C139" s="28" t="str">
        <f>HYPERLINK("https://pld.live/RapDetail.aspx?STONELIST=941460041","DNA")</f>
        <v>DNA</v>
      </c>
      <c r="D139" s="18" t="s">
        <v>4563</v>
      </c>
      <c r="E139" s="18" t="s">
        <v>2186</v>
      </c>
      <c r="F139" s="2" t="s">
        <v>7987</v>
      </c>
      <c r="G139" s="2" t="s">
        <v>861</v>
      </c>
      <c r="H139" s="14">
        <v>3.02</v>
      </c>
      <c r="I139" s="2" t="s">
        <v>4761</v>
      </c>
      <c r="J139" s="2" t="s">
        <v>3942</v>
      </c>
      <c r="K139" s="2" t="s">
        <v>3390</v>
      </c>
      <c r="L139" s="2" t="s">
        <v>5221</v>
      </c>
      <c r="M139" s="2" t="s">
        <v>5221</v>
      </c>
      <c r="N139" s="2" t="s">
        <v>2317</v>
      </c>
      <c r="O139" s="14">
        <v>37000</v>
      </c>
      <c r="P139" s="14">
        <v>99.54</v>
      </c>
      <c r="Q139" s="14">
        <v>170.2</v>
      </c>
      <c r="R139" s="14">
        <v>514</v>
      </c>
      <c r="S139" s="2" t="s">
        <v>6033</v>
      </c>
      <c r="T139" s="2">
        <v>1</v>
      </c>
      <c r="U139" s="2">
        <v>61.1</v>
      </c>
      <c r="V139" s="2">
        <v>57</v>
      </c>
      <c r="W139" s="2" t="s">
        <v>7862</v>
      </c>
      <c r="X139" s="2" t="s">
        <v>5405</v>
      </c>
      <c r="Y139" s="2">
        <v>111740</v>
      </c>
      <c r="Z139" s="19" t="str">
        <f>HYPERLINK("https://ssdweb.co/ssdweb/hd/Vision360.html?d=941460041&amp;zoomslide=1&amp;z=1941460041&amp;ISCONFIRM=0","VIDEO")</f>
        <v>VIDEO</v>
      </c>
      <c r="AA139" s="19" t="str">
        <f>HYPERLINK("https://ssdweb.co/ssdweb/CERTH/692534198.pdf","CERTI")</f>
        <v>CERTI</v>
      </c>
    </row>
    <row r="140" spans="1:27" ht="15" x14ac:dyDescent="0.25">
      <c r="A140" s="2">
        <v>135</v>
      </c>
      <c r="B140" s="39">
        <v>941450139</v>
      </c>
      <c r="C140" s="28" t="str">
        <f>HYPERLINK("https://pld.live/RapDetail.aspx?STONELIST=941450139","DNA")</f>
        <v>DNA</v>
      </c>
      <c r="D140" s="18" t="s">
        <v>4563</v>
      </c>
      <c r="E140" s="18" t="s">
        <v>2186</v>
      </c>
      <c r="F140" s="2" t="s">
        <v>7987</v>
      </c>
      <c r="G140" s="2" t="s">
        <v>861</v>
      </c>
      <c r="H140" s="14">
        <v>3.02</v>
      </c>
      <c r="I140" s="2" t="s">
        <v>4761</v>
      </c>
      <c r="J140" s="2" t="s">
        <v>3942</v>
      </c>
      <c r="K140" s="2" t="s">
        <v>3390</v>
      </c>
      <c r="L140" s="2" t="s">
        <v>5221</v>
      </c>
      <c r="M140" s="2" t="s">
        <v>5221</v>
      </c>
      <c r="N140" s="2" t="s">
        <v>2317</v>
      </c>
      <c r="O140" s="14">
        <v>37000</v>
      </c>
      <c r="P140" s="14">
        <v>99.54</v>
      </c>
      <c r="Q140" s="14">
        <v>170.2</v>
      </c>
      <c r="R140" s="14">
        <v>514</v>
      </c>
      <c r="S140" s="2" t="s">
        <v>92</v>
      </c>
      <c r="T140" s="2">
        <v>1</v>
      </c>
      <c r="U140" s="2">
        <v>61.3</v>
      </c>
      <c r="V140" s="2">
        <v>57</v>
      </c>
      <c r="W140" s="2" t="s">
        <v>7862</v>
      </c>
      <c r="X140" s="2" t="s">
        <v>5405</v>
      </c>
      <c r="Y140" s="2">
        <v>111740</v>
      </c>
      <c r="Z140" s="19" t="str">
        <f>HYPERLINK("https://ssdweb.co/ssdweb/hd/Vision360.html?d=941450139&amp;zoomslide=1&amp;z=1941450139&amp;ISCONFIRM=0","VIDEO")</f>
        <v>VIDEO</v>
      </c>
      <c r="AA140" s="19" t="str">
        <f>HYPERLINK("https://ssdweb.co/ssdweb/CERTH/692534197.pdf","CERTI")</f>
        <v>CERTI</v>
      </c>
    </row>
    <row r="141" spans="1:27" ht="15" x14ac:dyDescent="0.25">
      <c r="A141" s="2">
        <v>136</v>
      </c>
      <c r="B141" s="39">
        <v>941050129</v>
      </c>
      <c r="C141" s="28" t="str">
        <f>HYPERLINK("https://pld.live/RapDetail.aspx?STONELIST=941050129","DNA")</f>
        <v>DNA</v>
      </c>
      <c r="D141" s="18" t="s">
        <v>4563</v>
      </c>
      <c r="E141" s="18" t="s">
        <v>2186</v>
      </c>
      <c r="F141" s="2" t="s">
        <v>7987</v>
      </c>
      <c r="G141" s="2" t="s">
        <v>861</v>
      </c>
      <c r="H141" s="14">
        <v>3.02</v>
      </c>
      <c r="I141" s="2" t="s">
        <v>4761</v>
      </c>
      <c r="J141" s="2" t="s">
        <v>3942</v>
      </c>
      <c r="K141" s="2" t="s">
        <v>3390</v>
      </c>
      <c r="L141" s="2" t="s">
        <v>5221</v>
      </c>
      <c r="M141" s="2" t="s">
        <v>5221</v>
      </c>
      <c r="N141" s="2" t="s">
        <v>2317</v>
      </c>
      <c r="O141" s="14">
        <v>37000</v>
      </c>
      <c r="P141" s="14">
        <v>99.54</v>
      </c>
      <c r="Q141" s="14">
        <v>170.2</v>
      </c>
      <c r="R141" s="14">
        <v>514</v>
      </c>
      <c r="S141" s="2" t="s">
        <v>4487</v>
      </c>
      <c r="T141" s="2">
        <v>1</v>
      </c>
      <c r="U141" s="2">
        <v>60.5</v>
      </c>
      <c r="V141" s="2">
        <v>58</v>
      </c>
      <c r="W141" s="2" t="s">
        <v>7862</v>
      </c>
      <c r="X141" s="2" t="s">
        <v>5405</v>
      </c>
      <c r="Y141" s="2">
        <v>111740</v>
      </c>
      <c r="Z141" s="19" t="str">
        <f>HYPERLINK("https://ssdweb.co/ssdweb/hd/Vision360.html?d=941050129&amp;zoomslide=1&amp;z=1941050129&amp;ISCONFIRM=0","VIDEO")</f>
        <v>VIDEO</v>
      </c>
      <c r="AA141" s="19" t="str">
        <f>HYPERLINK("https://ssdweb.co/ssdweb/CERTH/669458295.pdf","CERTI")</f>
        <v>CERTI</v>
      </c>
    </row>
    <row r="142" spans="1:27" ht="15" x14ac:dyDescent="0.25">
      <c r="A142" s="2">
        <v>137</v>
      </c>
      <c r="B142" s="39">
        <v>926980658</v>
      </c>
      <c r="C142" s="28" t="str">
        <f>HYPERLINK("https://pld.live/RapDetail.aspx?STONELIST=926980658","DNA")</f>
        <v>DNA</v>
      </c>
      <c r="D142" s="18" t="s">
        <v>4563</v>
      </c>
      <c r="E142" s="18" t="s">
        <v>2186</v>
      </c>
      <c r="F142" s="2" t="s">
        <v>7987</v>
      </c>
      <c r="G142" s="2" t="s">
        <v>861</v>
      </c>
      <c r="H142" s="14">
        <v>3.02</v>
      </c>
      <c r="I142" s="2" t="s">
        <v>4761</v>
      </c>
      <c r="J142" s="2" t="s">
        <v>13</v>
      </c>
      <c r="K142" s="2" t="s">
        <v>3390</v>
      </c>
      <c r="L142" s="2" t="s">
        <v>5221</v>
      </c>
      <c r="M142" s="2" t="s">
        <v>5221</v>
      </c>
      <c r="N142" s="2" t="s">
        <v>2317</v>
      </c>
      <c r="O142" s="14">
        <v>32000</v>
      </c>
      <c r="P142" s="14">
        <v>99.5</v>
      </c>
      <c r="Q142" s="14">
        <v>160</v>
      </c>
      <c r="R142" s="14">
        <v>483.2</v>
      </c>
      <c r="S142" s="2" t="s">
        <v>2658</v>
      </c>
      <c r="T142" s="2">
        <v>1.01</v>
      </c>
      <c r="U142" s="2">
        <v>62.4</v>
      </c>
      <c r="V142" s="2">
        <v>57</v>
      </c>
      <c r="W142" s="2" t="s">
        <v>7862</v>
      </c>
      <c r="X142" s="2" t="s">
        <v>5405</v>
      </c>
      <c r="Y142" s="2">
        <v>96640</v>
      </c>
      <c r="Z142" s="19" t="str">
        <f>HYPERLINK("https://ssdweb.co/ssdweb/hd/Vision360.html?d=926980658&amp;zoomslide=1&amp;z=1926980658&amp;ISCONFIRM=0","VIDEO")</f>
        <v>VIDEO</v>
      </c>
      <c r="AA142" s="19" t="str">
        <f>HYPERLINK("https://ssdweb.co/ssdweb/CERTH/660440572.pdf","CERTI")</f>
        <v>CERTI</v>
      </c>
    </row>
    <row r="143" spans="1:27" ht="15" x14ac:dyDescent="0.25">
      <c r="A143" s="2">
        <v>138</v>
      </c>
      <c r="B143" s="39">
        <v>941150039</v>
      </c>
      <c r="C143" s="28" t="str">
        <f>HYPERLINK("https://pld.live/RapDetail.aspx?STONELIST=941150039","DNA")</f>
        <v>DNA</v>
      </c>
      <c r="D143" s="18" t="s">
        <v>4563</v>
      </c>
      <c r="E143" s="18" t="s">
        <v>2186</v>
      </c>
      <c r="F143" s="2" t="s">
        <v>7987</v>
      </c>
      <c r="G143" s="2" t="s">
        <v>861</v>
      </c>
      <c r="H143" s="14">
        <v>3.02</v>
      </c>
      <c r="I143" s="2" t="s">
        <v>4761</v>
      </c>
      <c r="J143" s="2" t="s">
        <v>13</v>
      </c>
      <c r="K143" s="2" t="s">
        <v>3390</v>
      </c>
      <c r="L143" s="2" t="s">
        <v>5221</v>
      </c>
      <c r="M143" s="2" t="s">
        <v>5221</v>
      </c>
      <c r="N143" s="2" t="s">
        <v>2317</v>
      </c>
      <c r="O143" s="14">
        <v>32000</v>
      </c>
      <c r="P143" s="14">
        <v>99.5</v>
      </c>
      <c r="Q143" s="14">
        <v>160</v>
      </c>
      <c r="R143" s="14">
        <v>483.2</v>
      </c>
      <c r="S143" s="2" t="s">
        <v>1475</v>
      </c>
      <c r="T143" s="2">
        <v>1.01</v>
      </c>
      <c r="U143" s="2">
        <v>62.3</v>
      </c>
      <c r="V143" s="2">
        <v>58</v>
      </c>
      <c r="W143" s="2" t="s">
        <v>7862</v>
      </c>
      <c r="X143" s="2" t="s">
        <v>5405</v>
      </c>
      <c r="Y143" s="2">
        <v>96640</v>
      </c>
      <c r="Z143" s="19" t="str">
        <f>HYPERLINK("https://ssdweb.co/ssdweb/hd/Vision360.html?d=941150039&amp;zoomslide=1&amp;z=1941150039&amp;ISCONFIRM=0","VIDEO")</f>
        <v>VIDEO</v>
      </c>
      <c r="AA143" s="19" t="str">
        <f>HYPERLINK("https://ssdweb.co/ssdweb/CERTH/674532629.pdf","CERTI")</f>
        <v>CERTI</v>
      </c>
    </row>
    <row r="144" spans="1:27" ht="15" x14ac:dyDescent="0.25">
      <c r="A144" s="2">
        <v>139</v>
      </c>
      <c r="B144" s="39">
        <v>941150062</v>
      </c>
      <c r="C144" s="28" t="str">
        <f>HYPERLINK("https://pld.live/RapDetail.aspx?STONELIST=941150062","DNA")</f>
        <v>DNA</v>
      </c>
      <c r="D144" s="18" t="s">
        <v>4563</v>
      </c>
      <c r="E144" s="18" t="s">
        <v>2186</v>
      </c>
      <c r="F144" s="2" t="s">
        <v>7987</v>
      </c>
      <c r="G144" s="2" t="s">
        <v>861</v>
      </c>
      <c r="H144" s="14">
        <v>3.02</v>
      </c>
      <c r="I144" s="2" t="s">
        <v>4761</v>
      </c>
      <c r="J144" s="2" t="s">
        <v>13</v>
      </c>
      <c r="K144" s="2" t="s">
        <v>3390</v>
      </c>
      <c r="L144" s="2" t="s">
        <v>5221</v>
      </c>
      <c r="M144" s="2" t="s">
        <v>5221</v>
      </c>
      <c r="N144" s="2" t="s">
        <v>2317</v>
      </c>
      <c r="O144" s="14">
        <v>32000</v>
      </c>
      <c r="P144" s="14">
        <v>99.5</v>
      </c>
      <c r="Q144" s="14">
        <v>160</v>
      </c>
      <c r="R144" s="14">
        <v>483.2</v>
      </c>
      <c r="S144" s="2" t="s">
        <v>4796</v>
      </c>
      <c r="T144" s="2">
        <v>1</v>
      </c>
      <c r="U144" s="2">
        <v>61.3</v>
      </c>
      <c r="V144" s="2">
        <v>57</v>
      </c>
      <c r="W144" s="2" t="s">
        <v>7862</v>
      </c>
      <c r="X144" s="2" t="s">
        <v>5405</v>
      </c>
      <c r="Y144" s="2">
        <v>96640</v>
      </c>
      <c r="Z144" s="19" t="str">
        <f>HYPERLINK("https://ssdweb.co/ssdweb/hd/Vision360.html?d=941150062&amp;zoomslide=1&amp;z=1941150062&amp;ISCONFIRM=0","VIDEO")</f>
        <v>VIDEO</v>
      </c>
      <c r="AA144" s="19" t="str">
        <f>HYPERLINK("https://ssdweb.co/ssdweb/CERTH/674532630.pdf","CERTI")</f>
        <v>CERTI</v>
      </c>
    </row>
    <row r="145" spans="1:27" ht="15" x14ac:dyDescent="0.25">
      <c r="A145" s="2">
        <v>140</v>
      </c>
      <c r="B145" s="39">
        <v>941390336</v>
      </c>
      <c r="C145" s="28" t="str">
        <f>HYPERLINK("https://pld.live/RapDetail.aspx?STONELIST=941390336","DNA")</f>
        <v>DNA</v>
      </c>
      <c r="D145" s="18" t="s">
        <v>4563</v>
      </c>
      <c r="E145" s="18" t="s">
        <v>2186</v>
      </c>
      <c r="F145" s="2" t="s">
        <v>7987</v>
      </c>
      <c r="G145" s="2" t="s">
        <v>861</v>
      </c>
      <c r="H145" s="14">
        <v>3.02</v>
      </c>
      <c r="I145" s="2" t="s">
        <v>4761</v>
      </c>
      <c r="J145" s="2" t="s">
        <v>13</v>
      </c>
      <c r="K145" s="2" t="s">
        <v>3390</v>
      </c>
      <c r="L145" s="2" t="s">
        <v>5221</v>
      </c>
      <c r="M145" s="2" t="s">
        <v>5221</v>
      </c>
      <c r="N145" s="2" t="s">
        <v>2317</v>
      </c>
      <c r="O145" s="14">
        <v>32000</v>
      </c>
      <c r="P145" s="14">
        <v>99.5</v>
      </c>
      <c r="Q145" s="14">
        <v>160</v>
      </c>
      <c r="R145" s="14">
        <v>483.2</v>
      </c>
      <c r="S145" s="2" t="s">
        <v>3629</v>
      </c>
      <c r="T145" s="2">
        <v>1</v>
      </c>
      <c r="U145" s="2">
        <v>60.6</v>
      </c>
      <c r="V145" s="2">
        <v>57</v>
      </c>
      <c r="W145" s="2" t="s">
        <v>7862</v>
      </c>
      <c r="X145" s="2" t="s">
        <v>5405</v>
      </c>
      <c r="Y145" s="2">
        <v>96640</v>
      </c>
      <c r="Z145" s="19" t="str">
        <f>HYPERLINK("https://ssdweb.co/ssdweb/hd/Vision360.html?d=941390336&amp;zoomslide=1&amp;z=1941390336&amp;ISCONFIRM=0","VIDEO")</f>
        <v>VIDEO</v>
      </c>
      <c r="AA145" s="19" t="str">
        <f>HYPERLINK("https://ssdweb.co/ssdweb/CERTH/689543262.pdf","CERTI")</f>
        <v>CERTI</v>
      </c>
    </row>
    <row r="146" spans="1:27" ht="15" x14ac:dyDescent="0.25">
      <c r="A146" s="2">
        <v>141</v>
      </c>
      <c r="B146" s="39">
        <v>941130247</v>
      </c>
      <c r="C146" s="28" t="str">
        <f>HYPERLINK("https://pld.live/RapDetail.aspx?STONELIST=941130247","DNA")</f>
        <v>DNA</v>
      </c>
      <c r="D146" s="18" t="s">
        <v>4563</v>
      </c>
      <c r="E146" s="18" t="s">
        <v>2186</v>
      </c>
      <c r="F146" s="2" t="s">
        <v>7987</v>
      </c>
      <c r="G146" s="2" t="s">
        <v>861</v>
      </c>
      <c r="H146" s="14">
        <v>3.02</v>
      </c>
      <c r="I146" s="2" t="s">
        <v>4761</v>
      </c>
      <c r="J146" s="2" t="s">
        <v>13</v>
      </c>
      <c r="K146" s="2" t="s">
        <v>3390</v>
      </c>
      <c r="L146" s="2" t="s">
        <v>5221</v>
      </c>
      <c r="M146" s="2" t="s">
        <v>5221</v>
      </c>
      <c r="N146" s="2" t="s">
        <v>2317</v>
      </c>
      <c r="O146" s="14">
        <v>32000</v>
      </c>
      <c r="P146" s="14">
        <v>99.5</v>
      </c>
      <c r="Q146" s="14">
        <v>160</v>
      </c>
      <c r="R146" s="14">
        <v>483.2</v>
      </c>
      <c r="S146" s="2" t="s">
        <v>5661</v>
      </c>
      <c r="T146" s="2">
        <v>1.01</v>
      </c>
      <c r="U146" s="2">
        <v>62.1</v>
      </c>
      <c r="V146" s="2">
        <v>58</v>
      </c>
      <c r="W146" s="2" t="s">
        <v>7862</v>
      </c>
      <c r="X146" s="2" t="s">
        <v>5405</v>
      </c>
      <c r="Y146" s="2">
        <v>96640</v>
      </c>
      <c r="Z146" s="19" t="str">
        <f>HYPERLINK("https://ssdweb.co/ssdweb/hd/Vision360.html?d=941130247&amp;zoomslide=1&amp;z=1941130247&amp;ISCONFIRM=0","VIDEO")</f>
        <v>VIDEO</v>
      </c>
      <c r="AA146" s="19" t="str">
        <f>HYPERLINK("https://ssdweb.co/ssdweb/CERTH/674504121.pdf","CERTI")</f>
        <v>CERTI</v>
      </c>
    </row>
    <row r="147" spans="1:27" ht="15" x14ac:dyDescent="0.25">
      <c r="A147" s="2">
        <v>142</v>
      </c>
      <c r="B147" s="39">
        <v>941120557</v>
      </c>
      <c r="C147" s="28" t="str">
        <f>HYPERLINK("https://pld.live/RapDetail.aspx?STONELIST=941120557","DNA")</f>
        <v>DNA</v>
      </c>
      <c r="D147" s="18" t="s">
        <v>4563</v>
      </c>
      <c r="E147" s="18" t="s">
        <v>2186</v>
      </c>
      <c r="F147" s="2" t="s">
        <v>7987</v>
      </c>
      <c r="G147" s="2" t="s">
        <v>861</v>
      </c>
      <c r="H147" s="14">
        <v>3.02</v>
      </c>
      <c r="I147" s="2" t="s">
        <v>4761</v>
      </c>
      <c r="J147" s="2" t="s">
        <v>13</v>
      </c>
      <c r="K147" s="2" t="s">
        <v>3390</v>
      </c>
      <c r="L147" s="2" t="s">
        <v>5221</v>
      </c>
      <c r="M147" s="2" t="s">
        <v>5221</v>
      </c>
      <c r="N147" s="2" t="s">
        <v>2317</v>
      </c>
      <c r="O147" s="14">
        <v>32000</v>
      </c>
      <c r="P147" s="14">
        <v>99.5</v>
      </c>
      <c r="Q147" s="14">
        <v>160</v>
      </c>
      <c r="R147" s="14">
        <v>483.2</v>
      </c>
      <c r="S147" s="2" t="s">
        <v>6051</v>
      </c>
      <c r="T147" s="2">
        <v>1.01</v>
      </c>
      <c r="U147" s="2">
        <v>60.7</v>
      </c>
      <c r="V147" s="2">
        <v>59</v>
      </c>
      <c r="W147" s="2" t="s">
        <v>7862</v>
      </c>
      <c r="X147" s="2" t="s">
        <v>5405</v>
      </c>
      <c r="Y147" s="2">
        <v>96640</v>
      </c>
      <c r="Z147" s="19" t="str">
        <f>HYPERLINK("https://ssdweb.co/ssdweb/hd/Vision360.html?d=941120557&amp;zoomslide=1&amp;z=1941120557&amp;ISCONFIRM=0","VIDEO")</f>
        <v>VIDEO</v>
      </c>
      <c r="AA147" s="19" t="str">
        <f>HYPERLINK("https://ssdweb.co/ssdweb/CERTH/675504731.pdf","CERTI")</f>
        <v>CERTI</v>
      </c>
    </row>
    <row r="148" spans="1:27" ht="15" x14ac:dyDescent="0.25">
      <c r="A148" s="2">
        <v>143</v>
      </c>
      <c r="B148" s="39">
        <v>941120358</v>
      </c>
      <c r="C148" s="28" t="str">
        <f>HYPERLINK("https://pld.live/RapDetail.aspx?STONELIST=941120358","DNA")</f>
        <v>DNA</v>
      </c>
      <c r="D148" s="18" t="s">
        <v>4563</v>
      </c>
      <c r="E148" s="18" t="s">
        <v>2186</v>
      </c>
      <c r="F148" s="2" t="s">
        <v>7987</v>
      </c>
      <c r="G148" s="2" t="s">
        <v>861</v>
      </c>
      <c r="H148" s="14">
        <v>3.02</v>
      </c>
      <c r="I148" s="2" t="s">
        <v>4761</v>
      </c>
      <c r="J148" s="2" t="s">
        <v>13</v>
      </c>
      <c r="K148" s="2" t="s">
        <v>3390</v>
      </c>
      <c r="L148" s="2" t="s">
        <v>5221</v>
      </c>
      <c r="M148" s="2" t="s">
        <v>5221</v>
      </c>
      <c r="N148" s="2" t="s">
        <v>2317</v>
      </c>
      <c r="O148" s="14">
        <v>32000</v>
      </c>
      <c r="P148" s="14">
        <v>99.5</v>
      </c>
      <c r="Q148" s="14">
        <v>160</v>
      </c>
      <c r="R148" s="14">
        <v>483.2</v>
      </c>
      <c r="S148" s="2" t="s">
        <v>5357</v>
      </c>
      <c r="T148" s="2">
        <v>1</v>
      </c>
      <c r="U148" s="2">
        <v>62.5</v>
      </c>
      <c r="V148" s="2">
        <v>58</v>
      </c>
      <c r="W148" s="2" t="s">
        <v>7862</v>
      </c>
      <c r="X148" s="2" t="s">
        <v>5405</v>
      </c>
      <c r="Y148" s="2">
        <v>96640</v>
      </c>
      <c r="Z148" s="19" t="str">
        <f>HYPERLINK("https://ssdweb.co/ssdweb/hd/Vision360.html?d=941120358&amp;zoomslide=1&amp;z=1941120358&amp;ISCONFIRM=0","VIDEO")</f>
        <v>VIDEO</v>
      </c>
      <c r="AA148" s="19" t="str">
        <f>HYPERLINK("https://ssdweb.co/ssdweb/CERTH/674504134.pdf","CERTI")</f>
        <v>CERTI</v>
      </c>
    </row>
    <row r="149" spans="1:27" ht="15" x14ac:dyDescent="0.25">
      <c r="A149" s="2">
        <v>144</v>
      </c>
      <c r="B149" s="39">
        <v>941050563</v>
      </c>
      <c r="C149" s="28" t="str">
        <f>HYPERLINK("https://pld.live/RapDetail.aspx?STONELIST=941050563","DNA")</f>
        <v>DNA</v>
      </c>
      <c r="D149" s="18" t="s">
        <v>4563</v>
      </c>
      <c r="E149" s="18" t="s">
        <v>2186</v>
      </c>
      <c r="F149" s="2" t="s">
        <v>7987</v>
      </c>
      <c r="G149" s="2" t="s">
        <v>861</v>
      </c>
      <c r="H149" s="14">
        <v>3.02</v>
      </c>
      <c r="I149" s="2" t="s">
        <v>4761</v>
      </c>
      <c r="J149" s="2" t="s">
        <v>13</v>
      </c>
      <c r="K149" s="2" t="s">
        <v>3390</v>
      </c>
      <c r="L149" s="2" t="s">
        <v>5221</v>
      </c>
      <c r="M149" s="2" t="s">
        <v>5221</v>
      </c>
      <c r="N149" s="2" t="s">
        <v>2317</v>
      </c>
      <c r="O149" s="14">
        <v>32000</v>
      </c>
      <c r="P149" s="14">
        <v>99.5</v>
      </c>
      <c r="Q149" s="14">
        <v>160</v>
      </c>
      <c r="R149" s="14">
        <v>483.2</v>
      </c>
      <c r="S149" s="2" t="s">
        <v>1654</v>
      </c>
      <c r="T149" s="2">
        <v>1</v>
      </c>
      <c r="U149" s="2">
        <v>61.5</v>
      </c>
      <c r="V149" s="2">
        <v>58</v>
      </c>
      <c r="W149" s="2" t="s">
        <v>7862</v>
      </c>
      <c r="X149" s="2" t="s">
        <v>5405</v>
      </c>
      <c r="Y149" s="2">
        <v>96640</v>
      </c>
      <c r="Z149" s="19" t="str">
        <f>HYPERLINK("https://ssdweb.co/ssdweb/hd/Vision360.html?d=941050563&amp;zoomslide=1&amp;z=1941050563&amp;ISCONFIRM=0","VIDEO")</f>
        <v>VIDEO</v>
      </c>
      <c r="AA149" s="19" t="str">
        <f>HYPERLINK("https://ssdweb.co/ssdweb/CERTH/671477271.pdf","CERTI")</f>
        <v>CERTI</v>
      </c>
    </row>
    <row r="150" spans="1:27" ht="15" x14ac:dyDescent="0.25">
      <c r="A150" s="2">
        <v>145</v>
      </c>
      <c r="B150" s="39">
        <v>926980643</v>
      </c>
      <c r="C150" s="28" t="str">
        <f>HYPERLINK("https://pld.live/RapDetail.aspx?STONELIST=926980643","DNA")</f>
        <v>DNA</v>
      </c>
      <c r="D150" s="18" t="s">
        <v>4563</v>
      </c>
      <c r="E150" s="18" t="s">
        <v>2186</v>
      </c>
      <c r="F150" s="2" t="s">
        <v>7987</v>
      </c>
      <c r="G150" s="2" t="s">
        <v>861</v>
      </c>
      <c r="H150" s="14">
        <v>3.02</v>
      </c>
      <c r="I150" s="2" t="s">
        <v>4761</v>
      </c>
      <c r="J150" s="2" t="s">
        <v>13</v>
      </c>
      <c r="K150" s="2" t="s">
        <v>5221</v>
      </c>
      <c r="L150" s="2" t="s">
        <v>5221</v>
      </c>
      <c r="M150" s="2" t="s">
        <v>5221</v>
      </c>
      <c r="N150" s="2" t="s">
        <v>2317</v>
      </c>
      <c r="O150" s="14">
        <v>32000</v>
      </c>
      <c r="P150" s="14">
        <v>99.5</v>
      </c>
      <c r="Q150" s="14">
        <v>160</v>
      </c>
      <c r="R150" s="14">
        <v>483.2</v>
      </c>
      <c r="S150" s="2" t="s">
        <v>1162</v>
      </c>
      <c r="T150" s="2">
        <v>1</v>
      </c>
      <c r="U150" s="2">
        <v>63.2</v>
      </c>
      <c r="V150" s="2">
        <v>54</v>
      </c>
      <c r="W150" s="2" t="s">
        <v>7862</v>
      </c>
      <c r="X150" s="2" t="s">
        <v>5405</v>
      </c>
      <c r="Y150" s="2">
        <v>96640</v>
      </c>
      <c r="Z150" s="19" t="str">
        <f>HYPERLINK("https://ssdweb.co/ssdweb/hd/Vision360.html?d=926980643&amp;zoomslide=1&amp;z=1926980643&amp;ISCONFIRM=0","VIDEO")</f>
        <v>VIDEO</v>
      </c>
      <c r="AA150" s="19" t="str">
        <f>HYPERLINK("https://ssdweb.co/ssdweb/CERTH/660440571.pdf","CERTI")</f>
        <v>CERTI</v>
      </c>
    </row>
    <row r="151" spans="1:27" ht="15" x14ac:dyDescent="0.25">
      <c r="A151" s="2">
        <v>146</v>
      </c>
      <c r="B151" s="39">
        <v>927070615</v>
      </c>
      <c r="C151" s="28" t="str">
        <f>HYPERLINK("https://pld.live/RapDetail.aspx?STONELIST=927070615","DNA")</f>
        <v>DNA</v>
      </c>
      <c r="D151" s="18" t="s">
        <v>4563</v>
      </c>
      <c r="E151" s="18" t="s">
        <v>2186</v>
      </c>
      <c r="F151" s="2" t="s">
        <v>7987</v>
      </c>
      <c r="G151" s="2" t="s">
        <v>861</v>
      </c>
      <c r="H151" s="14">
        <v>3.02</v>
      </c>
      <c r="I151" s="2" t="s">
        <v>4761</v>
      </c>
      <c r="J151" s="2" t="s">
        <v>13</v>
      </c>
      <c r="K151" s="2" t="s">
        <v>5221</v>
      </c>
      <c r="L151" s="2" t="s">
        <v>5221</v>
      </c>
      <c r="M151" s="2" t="s">
        <v>5221</v>
      </c>
      <c r="N151" s="2" t="s">
        <v>2317</v>
      </c>
      <c r="O151" s="14">
        <v>32000</v>
      </c>
      <c r="P151" s="14">
        <v>99.5</v>
      </c>
      <c r="Q151" s="14">
        <v>160</v>
      </c>
      <c r="R151" s="14">
        <v>483.2</v>
      </c>
      <c r="S151" s="2" t="s">
        <v>3285</v>
      </c>
      <c r="T151" s="2">
        <v>1.01</v>
      </c>
      <c r="U151" s="2">
        <v>63.3</v>
      </c>
      <c r="V151" s="2">
        <v>56</v>
      </c>
      <c r="W151" s="2" t="s">
        <v>7862</v>
      </c>
      <c r="X151" s="2" t="s">
        <v>5405</v>
      </c>
      <c r="Y151" s="2">
        <v>96640</v>
      </c>
      <c r="Z151" s="19" t="str">
        <f>HYPERLINK("https://ssdweb.co/ssdweb/hd/Vision360.html?d=927070615&amp;zoomslide=1&amp;z=1927070615&amp;ISCONFIRM=0","VIDEO")</f>
        <v>VIDEO</v>
      </c>
      <c r="AA151" s="19" t="str">
        <f>HYPERLINK("https://ssdweb.co/ssdweb/CERTH/662473897.pdf","CERTI")</f>
        <v>CERTI</v>
      </c>
    </row>
    <row r="152" spans="1:27" ht="15" x14ac:dyDescent="0.25">
      <c r="A152" s="2">
        <v>147</v>
      </c>
      <c r="B152" s="39">
        <v>941100464</v>
      </c>
      <c r="C152" s="28" t="str">
        <f>HYPERLINK("https://pld.live/RapDetail.aspx?STONELIST=941100464","DNA")</f>
        <v>DNA</v>
      </c>
      <c r="D152" s="18" t="s">
        <v>4563</v>
      </c>
      <c r="E152" s="18" t="s">
        <v>2186</v>
      </c>
      <c r="F152" s="2" t="s">
        <v>7987</v>
      </c>
      <c r="G152" s="2" t="s">
        <v>861</v>
      </c>
      <c r="H152" s="14">
        <v>3.02</v>
      </c>
      <c r="I152" s="2" t="s">
        <v>4761</v>
      </c>
      <c r="J152" s="2" t="s">
        <v>5144</v>
      </c>
      <c r="K152" s="2" t="s">
        <v>3390</v>
      </c>
      <c r="L152" s="2" t="s">
        <v>5221</v>
      </c>
      <c r="M152" s="2" t="s">
        <v>5221</v>
      </c>
      <c r="N152" s="2" t="s">
        <v>2317</v>
      </c>
      <c r="O152" s="14">
        <v>26500</v>
      </c>
      <c r="P152" s="14">
        <v>99.43</v>
      </c>
      <c r="Q152" s="14">
        <v>151.05000000000001</v>
      </c>
      <c r="R152" s="14">
        <v>456.17</v>
      </c>
      <c r="S152" s="2" t="s">
        <v>333</v>
      </c>
      <c r="T152" s="2">
        <v>1.01</v>
      </c>
      <c r="U152" s="2">
        <v>62.1</v>
      </c>
      <c r="V152" s="2">
        <v>56</v>
      </c>
      <c r="W152" s="2" t="s">
        <v>7862</v>
      </c>
      <c r="X152" s="2" t="s">
        <v>5405</v>
      </c>
      <c r="Y152" s="2">
        <v>80030</v>
      </c>
      <c r="Z152" s="19" t="str">
        <f>HYPERLINK("https://ssdweb.co/ssdweb/hd/Vision360.html?d=941100464&amp;zoomslide=1&amp;z=1941100464&amp;ISCONFIRM=0","VIDEO")</f>
        <v>VIDEO</v>
      </c>
      <c r="AA152" s="19" t="str">
        <f>HYPERLINK("https://ssdweb.co/ssdweb/CERTH/674504140.pdf","CERTI")</f>
        <v>CERTI</v>
      </c>
    </row>
    <row r="153" spans="1:27" ht="15" x14ac:dyDescent="0.25">
      <c r="A153" s="2">
        <v>148</v>
      </c>
      <c r="B153" s="39">
        <v>927070538</v>
      </c>
      <c r="C153" s="28" t="str">
        <f>HYPERLINK("https://pld.live/RapDetail.aspx?STONELIST=927070538","DNA")</f>
        <v>DNA</v>
      </c>
      <c r="D153" s="18" t="s">
        <v>4563</v>
      </c>
      <c r="E153" s="18" t="s">
        <v>2186</v>
      </c>
      <c r="F153" s="2" t="s">
        <v>7987</v>
      </c>
      <c r="G153" s="2" t="s">
        <v>861</v>
      </c>
      <c r="H153" s="14">
        <v>3.02</v>
      </c>
      <c r="I153" s="2" t="s">
        <v>4699</v>
      </c>
      <c r="J153" s="2" t="s">
        <v>3942</v>
      </c>
      <c r="K153" s="2" t="s">
        <v>3390</v>
      </c>
      <c r="L153" s="2" t="s">
        <v>5221</v>
      </c>
      <c r="M153" s="2" t="s">
        <v>5221</v>
      </c>
      <c r="N153" s="2" t="s">
        <v>2317</v>
      </c>
      <c r="O153" s="14">
        <v>33500</v>
      </c>
      <c r="P153" s="14">
        <v>99.53</v>
      </c>
      <c r="Q153" s="14">
        <v>157.44999999999999</v>
      </c>
      <c r="R153" s="14">
        <v>475.5</v>
      </c>
      <c r="S153" s="2" t="s">
        <v>1057</v>
      </c>
      <c r="T153" s="2">
        <v>1.01</v>
      </c>
      <c r="U153" s="2">
        <v>60.9</v>
      </c>
      <c r="V153" s="2">
        <v>58</v>
      </c>
      <c r="W153" s="2" t="s">
        <v>7862</v>
      </c>
      <c r="X153" s="2" t="s">
        <v>5405</v>
      </c>
      <c r="Y153" s="2">
        <v>101170</v>
      </c>
      <c r="Z153" s="19" t="str">
        <f>HYPERLINK("https://ssdweb.co/ssdweb/hd/Vision360.html?d=927070538&amp;zoomslide=1&amp;z=1927070538&amp;ISCONFIRM=0","VIDEO")</f>
        <v>VIDEO</v>
      </c>
      <c r="AA153" s="19" t="str">
        <f>HYPERLINK("https://ssdweb.co/ssdweb/CERTH/668437251.pdf","CERTI")</f>
        <v>CERTI</v>
      </c>
    </row>
    <row r="154" spans="1:27" ht="15" x14ac:dyDescent="0.25">
      <c r="A154" s="2">
        <v>149</v>
      </c>
      <c r="B154" s="39">
        <v>927020645</v>
      </c>
      <c r="C154" s="28" t="str">
        <f>HYPERLINK("https://pld.live/RapDetail.aspx?STONELIST=927020645","DNA")</f>
        <v>DNA</v>
      </c>
      <c r="D154" s="18" t="s">
        <v>4563</v>
      </c>
      <c r="E154" s="18" t="s">
        <v>2186</v>
      </c>
      <c r="F154" s="2" t="s">
        <v>7987</v>
      </c>
      <c r="G154" s="2" t="s">
        <v>861</v>
      </c>
      <c r="H154" s="14">
        <v>3.02</v>
      </c>
      <c r="I154" s="2" t="s">
        <v>4699</v>
      </c>
      <c r="J154" s="2" t="s">
        <v>3942</v>
      </c>
      <c r="K154" s="2" t="s">
        <v>3390</v>
      </c>
      <c r="L154" s="2" t="s">
        <v>5221</v>
      </c>
      <c r="M154" s="2" t="s">
        <v>5221</v>
      </c>
      <c r="N154" s="2" t="s">
        <v>2317</v>
      </c>
      <c r="O154" s="14">
        <v>33500</v>
      </c>
      <c r="P154" s="14">
        <v>99.53</v>
      </c>
      <c r="Q154" s="14">
        <v>157.44999999999999</v>
      </c>
      <c r="R154" s="14">
        <v>475.5</v>
      </c>
      <c r="S154" s="2" t="s">
        <v>3422</v>
      </c>
      <c r="T154" s="2">
        <v>1.01</v>
      </c>
      <c r="U154" s="2">
        <v>61.4</v>
      </c>
      <c r="V154" s="2">
        <v>58</v>
      </c>
      <c r="W154" s="2" t="s">
        <v>8016</v>
      </c>
      <c r="X154" s="2" t="s">
        <v>5405</v>
      </c>
      <c r="Y154" s="2">
        <v>101170</v>
      </c>
      <c r="Z154" s="19" t="str">
        <f>HYPERLINK("https://ssdweb.co/ssdweb/hd/Vision360.html?d=927020645&amp;zoomslide=1&amp;z=1927020645&amp;ISCONFIRM=0","VIDEO")</f>
        <v>VIDEO</v>
      </c>
      <c r="AA154" s="19" t="str">
        <f>HYPERLINK("https://ssdweb.co/ssdweb/CERTH/668437250.pdf","CERTI")</f>
        <v>CERTI</v>
      </c>
    </row>
    <row r="155" spans="1:27" ht="15" x14ac:dyDescent="0.25">
      <c r="A155" s="2">
        <v>150</v>
      </c>
      <c r="B155" s="39">
        <v>941050416</v>
      </c>
      <c r="C155" s="28" t="str">
        <f>HYPERLINK("https://pld.live/RapDetail.aspx?STONELIST=941050416","DNA")</f>
        <v>DNA</v>
      </c>
      <c r="D155" s="18" t="s">
        <v>4563</v>
      </c>
      <c r="E155" s="18" t="s">
        <v>2186</v>
      </c>
      <c r="F155" s="2" t="s">
        <v>7987</v>
      </c>
      <c r="G155" s="2" t="s">
        <v>861</v>
      </c>
      <c r="H155" s="14">
        <v>3.02</v>
      </c>
      <c r="I155" s="2" t="s">
        <v>4699</v>
      </c>
      <c r="J155" s="2" t="s">
        <v>3942</v>
      </c>
      <c r="K155" s="2" t="s">
        <v>3390</v>
      </c>
      <c r="L155" s="2" t="s">
        <v>5221</v>
      </c>
      <c r="M155" s="2" t="s">
        <v>5221</v>
      </c>
      <c r="N155" s="2" t="s">
        <v>2317</v>
      </c>
      <c r="O155" s="14">
        <v>33500</v>
      </c>
      <c r="P155" s="14">
        <v>99.53</v>
      </c>
      <c r="Q155" s="14">
        <v>157.44999999999999</v>
      </c>
      <c r="R155" s="14">
        <v>475.5</v>
      </c>
      <c r="S155" s="2" t="s">
        <v>3410</v>
      </c>
      <c r="T155" s="2">
        <v>1</v>
      </c>
      <c r="U155" s="2">
        <v>61.7</v>
      </c>
      <c r="V155" s="2">
        <v>57</v>
      </c>
      <c r="W155" s="2" t="s">
        <v>7862</v>
      </c>
      <c r="X155" s="2" t="s">
        <v>5405</v>
      </c>
      <c r="Y155" s="2">
        <v>101170</v>
      </c>
      <c r="Z155" s="19" t="str">
        <f>HYPERLINK("https://ssdweb.co/ssdweb/hd/Vision360.html?d=941050416&amp;zoomslide=1&amp;z=1941050416&amp;ISCONFIRM=0","VIDEO")</f>
        <v>VIDEO</v>
      </c>
      <c r="AA155" s="19" t="str">
        <f>HYPERLINK("https://ssdweb.co/ssdweb/CERTH/670445243.pdf","CERTI")</f>
        <v>CERTI</v>
      </c>
    </row>
    <row r="156" spans="1:27" ht="15" x14ac:dyDescent="0.25">
      <c r="A156" s="2">
        <v>151</v>
      </c>
      <c r="B156" s="39">
        <v>941050465</v>
      </c>
      <c r="C156" s="28" t="str">
        <f>HYPERLINK("https://pld.live/RapDetail.aspx?STONELIST=941050465","DNA")</f>
        <v>DNA</v>
      </c>
      <c r="D156" s="18" t="s">
        <v>4563</v>
      </c>
      <c r="E156" s="18" t="s">
        <v>2186</v>
      </c>
      <c r="F156" s="2" t="s">
        <v>7987</v>
      </c>
      <c r="G156" s="2" t="s">
        <v>861</v>
      </c>
      <c r="H156" s="14">
        <v>3.02</v>
      </c>
      <c r="I156" s="2" t="s">
        <v>4699</v>
      </c>
      <c r="J156" s="2" t="s">
        <v>3942</v>
      </c>
      <c r="K156" s="2" t="s">
        <v>3390</v>
      </c>
      <c r="L156" s="2" t="s">
        <v>5221</v>
      </c>
      <c r="M156" s="2" t="s">
        <v>5221</v>
      </c>
      <c r="N156" s="2" t="s">
        <v>2317</v>
      </c>
      <c r="O156" s="14">
        <v>33500</v>
      </c>
      <c r="P156" s="14">
        <v>99.53</v>
      </c>
      <c r="Q156" s="14">
        <v>157.44999999999999</v>
      </c>
      <c r="R156" s="14">
        <v>475.5</v>
      </c>
      <c r="S156" s="2" t="s">
        <v>7823</v>
      </c>
      <c r="T156" s="2">
        <v>1</v>
      </c>
      <c r="U156" s="2">
        <v>61.1</v>
      </c>
      <c r="V156" s="2">
        <v>58</v>
      </c>
      <c r="W156" s="2" t="s">
        <v>7862</v>
      </c>
      <c r="X156" s="2" t="s">
        <v>5405</v>
      </c>
      <c r="Y156" s="2">
        <v>101170</v>
      </c>
      <c r="Z156" s="19" t="str">
        <f>HYPERLINK("https://ssdweb.co/ssdweb/hd/Vision360.html?d=941050465&amp;zoomslide=1&amp;z=1941050465&amp;ISCONFIRM=0","VIDEO")</f>
        <v>VIDEO</v>
      </c>
      <c r="AA156" s="19" t="str">
        <f>HYPERLINK("https://ssdweb.co/ssdweb/CERTH/671437474.pdf","CERTI")</f>
        <v>CERTI</v>
      </c>
    </row>
    <row r="157" spans="1:27" ht="15" x14ac:dyDescent="0.25">
      <c r="A157" s="2">
        <v>152</v>
      </c>
      <c r="B157" s="39">
        <v>926930790</v>
      </c>
      <c r="C157" s="28" t="str">
        <f>HYPERLINK("https://pld.live/RapDetail.aspx?STONELIST=926930790","DNA")</f>
        <v>DNA</v>
      </c>
      <c r="D157" s="18" t="s">
        <v>4563</v>
      </c>
      <c r="E157" s="18" t="s">
        <v>2186</v>
      </c>
      <c r="F157" s="2" t="s">
        <v>7987</v>
      </c>
      <c r="G157" s="2" t="s">
        <v>861</v>
      </c>
      <c r="H157" s="14">
        <v>3.02</v>
      </c>
      <c r="I157" s="2" t="s">
        <v>4699</v>
      </c>
      <c r="J157" s="2" t="s">
        <v>3942</v>
      </c>
      <c r="K157" s="2" t="s">
        <v>5221</v>
      </c>
      <c r="L157" s="2" t="s">
        <v>5221</v>
      </c>
      <c r="M157" s="2" t="s">
        <v>5221</v>
      </c>
      <c r="N157" s="2" t="s">
        <v>2317</v>
      </c>
      <c r="O157" s="14">
        <v>33500</v>
      </c>
      <c r="P157" s="14">
        <v>99.53</v>
      </c>
      <c r="Q157" s="14">
        <v>157.44999999999999</v>
      </c>
      <c r="R157" s="14">
        <v>475.5</v>
      </c>
      <c r="S157" s="2" t="s">
        <v>7881</v>
      </c>
      <c r="T157" s="2">
        <v>1.01</v>
      </c>
      <c r="U157" s="2">
        <v>63.4</v>
      </c>
      <c r="V157" s="2">
        <v>58</v>
      </c>
      <c r="W157" s="2" t="s">
        <v>7862</v>
      </c>
      <c r="X157" s="2" t="s">
        <v>5405</v>
      </c>
      <c r="Y157" s="2">
        <v>101170</v>
      </c>
      <c r="Z157" s="19" t="str">
        <f>HYPERLINK("https://ssdweb.co/ssdweb/hd/Vision360.html?d=926930790&amp;zoomslide=1&amp;z=1926930790&amp;ISCONFIRM=0","VIDEO")</f>
        <v>VIDEO</v>
      </c>
      <c r="AA157" s="19" t="str">
        <f>HYPERLINK("https://ssdweb.co/ssdweb/CERTH/659437030.pdf","CERTI")</f>
        <v>CERTI</v>
      </c>
    </row>
    <row r="158" spans="1:27" ht="15" x14ac:dyDescent="0.25">
      <c r="A158" s="2">
        <v>153</v>
      </c>
      <c r="B158" s="39">
        <v>941100465</v>
      </c>
      <c r="C158" s="28" t="str">
        <f>HYPERLINK("https://pld.live/RapDetail.aspx?STONELIST=941100465","DNA")</f>
        <v>DNA</v>
      </c>
      <c r="D158" s="18" t="s">
        <v>4563</v>
      </c>
      <c r="E158" s="18" t="s">
        <v>2186</v>
      </c>
      <c r="F158" s="2" t="s">
        <v>7987</v>
      </c>
      <c r="G158" s="2" t="s">
        <v>861</v>
      </c>
      <c r="H158" s="14">
        <v>3.02</v>
      </c>
      <c r="I158" s="2" t="s">
        <v>4699</v>
      </c>
      <c r="J158" s="2" t="s">
        <v>13</v>
      </c>
      <c r="K158" s="2" t="s">
        <v>3390</v>
      </c>
      <c r="L158" s="2" t="s">
        <v>5221</v>
      </c>
      <c r="M158" s="2" t="s">
        <v>5221</v>
      </c>
      <c r="N158" s="2" t="s">
        <v>2317</v>
      </c>
      <c r="O158" s="14">
        <v>29500</v>
      </c>
      <c r="P158" s="14">
        <v>99.49</v>
      </c>
      <c r="Q158" s="14">
        <v>150.44999999999999</v>
      </c>
      <c r="R158" s="14">
        <v>454.36</v>
      </c>
      <c r="S158" s="2" t="s">
        <v>1832</v>
      </c>
      <c r="T158" s="2">
        <v>1.01</v>
      </c>
      <c r="U158" s="2">
        <v>62</v>
      </c>
      <c r="V158" s="2">
        <v>57</v>
      </c>
      <c r="W158" s="2" t="s">
        <v>7862</v>
      </c>
      <c r="X158" s="2" t="s">
        <v>5405</v>
      </c>
      <c r="Y158" s="2">
        <v>89090</v>
      </c>
      <c r="Z158" s="19" t="str">
        <f>HYPERLINK("https://ssdweb.co/ssdweb/hd/Vision360.html?d=941100465&amp;zoomslide=1&amp;z=1941100465&amp;ISCONFIRM=0","VIDEO")</f>
        <v>VIDEO</v>
      </c>
      <c r="AA158" s="19" t="str">
        <f>HYPERLINK("https://ssdweb.co/ssdweb/CERTH/674504139.pdf","CERTI")</f>
        <v>CERTI</v>
      </c>
    </row>
    <row r="159" spans="1:27" ht="15" x14ac:dyDescent="0.25">
      <c r="A159" s="2">
        <v>154</v>
      </c>
      <c r="B159" s="39">
        <v>941050302</v>
      </c>
      <c r="C159" s="28" t="str">
        <f>HYPERLINK("https://pld.live/RapDetail.aspx?STONELIST=941050302","DNA")</f>
        <v>DNA</v>
      </c>
      <c r="D159" s="18" t="s">
        <v>4563</v>
      </c>
      <c r="E159" s="18" t="s">
        <v>2186</v>
      </c>
      <c r="F159" s="2" t="s">
        <v>7987</v>
      </c>
      <c r="G159" s="2" t="s">
        <v>861</v>
      </c>
      <c r="H159" s="14">
        <v>3.02</v>
      </c>
      <c r="I159" s="2" t="s">
        <v>4699</v>
      </c>
      <c r="J159" s="2" t="s">
        <v>13</v>
      </c>
      <c r="K159" s="2" t="s">
        <v>3390</v>
      </c>
      <c r="L159" s="2" t="s">
        <v>5221</v>
      </c>
      <c r="M159" s="2" t="s">
        <v>5221</v>
      </c>
      <c r="N159" s="2" t="s">
        <v>2317</v>
      </c>
      <c r="O159" s="14">
        <v>29500</v>
      </c>
      <c r="P159" s="14">
        <v>99.49</v>
      </c>
      <c r="Q159" s="14">
        <v>150.44999999999999</v>
      </c>
      <c r="R159" s="14">
        <v>454.36</v>
      </c>
      <c r="S159" s="2" t="s">
        <v>2035</v>
      </c>
      <c r="T159" s="2">
        <v>1.01</v>
      </c>
      <c r="U159" s="2">
        <v>62</v>
      </c>
      <c r="V159" s="2">
        <v>55</v>
      </c>
      <c r="W159" s="2" t="s">
        <v>7862</v>
      </c>
      <c r="X159" s="2" t="s">
        <v>5405</v>
      </c>
      <c r="Y159" s="2">
        <v>89090</v>
      </c>
      <c r="Z159" s="19" t="str">
        <f>HYPERLINK("https://ssdweb.co/ssdweb/hd/Vision360.html?d=941050302&amp;zoomslide=1&amp;z=1941050302&amp;ISCONFIRM=0","VIDEO")</f>
        <v>VIDEO</v>
      </c>
      <c r="AA159" s="19" t="str">
        <f>HYPERLINK("https://ssdweb.co/ssdweb/CERTH/670445241.pdf","CERTI")</f>
        <v>CERTI</v>
      </c>
    </row>
    <row r="160" spans="1:27" ht="15" x14ac:dyDescent="0.25">
      <c r="A160" s="2">
        <v>155</v>
      </c>
      <c r="B160" s="39">
        <v>941080558</v>
      </c>
      <c r="C160" s="28" t="str">
        <f>HYPERLINK("https://pld.live/RapDetail.aspx?STONELIST=941080558","DNA")</f>
        <v>DNA</v>
      </c>
      <c r="D160" s="18" t="s">
        <v>4563</v>
      </c>
      <c r="E160" s="18" t="s">
        <v>2186</v>
      </c>
      <c r="F160" s="2" t="s">
        <v>7987</v>
      </c>
      <c r="G160" s="2" t="s">
        <v>861</v>
      </c>
      <c r="H160" s="14">
        <v>3.02</v>
      </c>
      <c r="I160" s="2" t="s">
        <v>4699</v>
      </c>
      <c r="J160" s="2" t="s">
        <v>13</v>
      </c>
      <c r="K160" s="2" t="s">
        <v>3390</v>
      </c>
      <c r="L160" s="2" t="s">
        <v>5221</v>
      </c>
      <c r="M160" s="2" t="s">
        <v>5221</v>
      </c>
      <c r="N160" s="2" t="s">
        <v>2317</v>
      </c>
      <c r="O160" s="14">
        <v>29500</v>
      </c>
      <c r="P160" s="14">
        <v>99.49</v>
      </c>
      <c r="Q160" s="14">
        <v>150.44999999999999</v>
      </c>
      <c r="R160" s="14">
        <v>454.36</v>
      </c>
      <c r="S160" s="2" t="s">
        <v>4234</v>
      </c>
      <c r="T160" s="2">
        <v>1.01</v>
      </c>
      <c r="U160" s="2">
        <v>61.9</v>
      </c>
      <c r="V160" s="2">
        <v>57</v>
      </c>
      <c r="W160" s="2" t="s">
        <v>7862</v>
      </c>
      <c r="X160" s="2" t="s">
        <v>5405</v>
      </c>
      <c r="Y160" s="2">
        <v>89090</v>
      </c>
      <c r="Z160" s="19" t="str">
        <f>HYPERLINK("https://ssdweb.co/ssdweb/hd/Vision360.html?d=941080558&amp;zoomslide=1&amp;z=1941080558&amp;ISCONFIRM=0","VIDEO")</f>
        <v>VIDEO</v>
      </c>
      <c r="AA160" s="19" t="str">
        <f>HYPERLINK("https://ssdweb.co/ssdweb/CERTH/671437467.pdf","CERTI")</f>
        <v>CERTI</v>
      </c>
    </row>
    <row r="161" spans="1:27" ht="15" x14ac:dyDescent="0.25">
      <c r="A161" s="2">
        <v>156</v>
      </c>
      <c r="B161" s="39">
        <v>941050566</v>
      </c>
      <c r="C161" s="28" t="str">
        <f>HYPERLINK("https://pld.live/RapDetail.aspx?STONELIST=941050566","DNA")</f>
        <v>DNA</v>
      </c>
      <c r="D161" s="18" t="s">
        <v>4563</v>
      </c>
      <c r="E161" s="18" t="s">
        <v>2186</v>
      </c>
      <c r="F161" s="2" t="s">
        <v>7987</v>
      </c>
      <c r="G161" s="2" t="s">
        <v>861</v>
      </c>
      <c r="H161" s="14">
        <v>3.02</v>
      </c>
      <c r="I161" s="2" t="s">
        <v>4699</v>
      </c>
      <c r="J161" s="2" t="s">
        <v>13</v>
      </c>
      <c r="K161" s="2" t="s">
        <v>3390</v>
      </c>
      <c r="L161" s="2" t="s">
        <v>5221</v>
      </c>
      <c r="M161" s="2" t="s">
        <v>5221</v>
      </c>
      <c r="N161" s="2" t="s">
        <v>2317</v>
      </c>
      <c r="O161" s="14">
        <v>29500</v>
      </c>
      <c r="P161" s="14">
        <v>99.49</v>
      </c>
      <c r="Q161" s="14">
        <v>150.44999999999999</v>
      </c>
      <c r="R161" s="14">
        <v>454.36</v>
      </c>
      <c r="S161" s="2" t="s">
        <v>5429</v>
      </c>
      <c r="T161" s="2">
        <v>1</v>
      </c>
      <c r="U161" s="2">
        <v>60.3</v>
      </c>
      <c r="V161" s="2">
        <v>59</v>
      </c>
      <c r="W161" s="2" t="s">
        <v>7862</v>
      </c>
      <c r="X161" s="2" t="s">
        <v>5405</v>
      </c>
      <c r="Y161" s="2">
        <v>89090</v>
      </c>
      <c r="Z161" s="19" t="str">
        <f>HYPERLINK("https://ssdweb.co/ssdweb/hd/Vision360.html?d=941050566&amp;zoomslide=1&amp;z=1941050566&amp;ISCONFIRM=0","VIDEO")</f>
        <v>VIDEO</v>
      </c>
      <c r="AA161" s="19" t="str">
        <f>HYPERLINK("https://ssdweb.co/ssdweb/CERTH/671477273.pdf","CERTI")</f>
        <v>CERTI</v>
      </c>
    </row>
    <row r="162" spans="1:27" ht="15" x14ac:dyDescent="0.25">
      <c r="A162" s="2">
        <v>157</v>
      </c>
      <c r="B162" s="39">
        <v>941130291</v>
      </c>
      <c r="C162" s="28" t="str">
        <f>HYPERLINK("https://pld.live/RapDetail.aspx?STONELIST=941130291","DNA")</f>
        <v>DNA</v>
      </c>
      <c r="D162" s="18" t="s">
        <v>4563</v>
      </c>
      <c r="E162" s="18" t="s">
        <v>2186</v>
      </c>
      <c r="F162" s="2" t="s">
        <v>7987</v>
      </c>
      <c r="G162" s="2" t="s">
        <v>861</v>
      </c>
      <c r="H162" s="14">
        <v>3.02</v>
      </c>
      <c r="I162" s="2" t="s">
        <v>4699</v>
      </c>
      <c r="J162" s="2" t="s">
        <v>13</v>
      </c>
      <c r="K162" s="2" t="s">
        <v>5221</v>
      </c>
      <c r="L162" s="2" t="s">
        <v>5221</v>
      </c>
      <c r="M162" s="2" t="s">
        <v>5221</v>
      </c>
      <c r="N162" s="2" t="s">
        <v>2317</v>
      </c>
      <c r="O162" s="14">
        <v>29500</v>
      </c>
      <c r="P162" s="14">
        <v>99.49</v>
      </c>
      <c r="Q162" s="14">
        <v>150.44999999999999</v>
      </c>
      <c r="R162" s="14">
        <v>454.36</v>
      </c>
      <c r="S162" s="2" t="s">
        <v>607</v>
      </c>
      <c r="T162" s="2">
        <v>1</v>
      </c>
      <c r="U162" s="2">
        <v>63.4</v>
      </c>
      <c r="V162" s="2">
        <v>60</v>
      </c>
      <c r="W162" s="2" t="s">
        <v>7862</v>
      </c>
      <c r="X162" s="2" t="s">
        <v>5405</v>
      </c>
      <c r="Y162" s="2">
        <v>89090</v>
      </c>
      <c r="Z162" s="19" t="str">
        <f>HYPERLINK("https://ssdweb.co/ssdweb/hd/Vision360.html?d=941130291&amp;zoomslide=1&amp;z=1941130291&amp;ISCONFIRM=0","VIDEO")</f>
        <v>VIDEO</v>
      </c>
      <c r="AA162" s="19" t="str">
        <f>HYPERLINK("https://ssdweb.co/ssdweb/CERTH/674504123.pdf","CERTI")</f>
        <v>CERTI</v>
      </c>
    </row>
    <row r="163" spans="1:27" ht="15" x14ac:dyDescent="0.25">
      <c r="A163" s="2">
        <v>158</v>
      </c>
      <c r="B163" s="39">
        <v>941110164</v>
      </c>
      <c r="C163" s="28" t="str">
        <f>HYPERLINK("https://pld.live/RapDetail.aspx?STONELIST=941110164","DNA")</f>
        <v>DNA</v>
      </c>
      <c r="D163" s="18" t="s">
        <v>4563</v>
      </c>
      <c r="E163" s="18" t="s">
        <v>2186</v>
      </c>
      <c r="F163" s="2" t="s">
        <v>7987</v>
      </c>
      <c r="G163" s="2" t="s">
        <v>861</v>
      </c>
      <c r="H163" s="14">
        <v>3.02</v>
      </c>
      <c r="I163" s="2" t="s">
        <v>4699</v>
      </c>
      <c r="J163" s="2" t="s">
        <v>5144</v>
      </c>
      <c r="K163" s="2" t="s">
        <v>3390</v>
      </c>
      <c r="L163" s="2" t="s">
        <v>5221</v>
      </c>
      <c r="M163" s="2" t="s">
        <v>5221</v>
      </c>
      <c r="N163" s="2" t="s">
        <v>2317</v>
      </c>
      <c r="O163" s="14">
        <v>24500</v>
      </c>
      <c r="P163" s="14">
        <v>99.42</v>
      </c>
      <c r="Q163" s="14">
        <v>142.1</v>
      </c>
      <c r="R163" s="14">
        <v>429.14</v>
      </c>
      <c r="S163" s="2" t="s">
        <v>4212</v>
      </c>
      <c r="T163" s="2">
        <v>1.01</v>
      </c>
      <c r="U163" s="2">
        <v>61.8</v>
      </c>
      <c r="V163" s="2">
        <v>56</v>
      </c>
      <c r="W163" s="2" t="s">
        <v>7862</v>
      </c>
      <c r="X163" s="2" t="s">
        <v>5405</v>
      </c>
      <c r="Y163" s="2">
        <v>73990</v>
      </c>
      <c r="Z163" s="19" t="str">
        <f>HYPERLINK("https://ssdweb.co/ssdweb/hd/Vision360.html?d=941110164&amp;zoomslide=1&amp;z=1941110164&amp;ISCONFIRM=0","VIDEO")</f>
        <v>VIDEO</v>
      </c>
      <c r="AA163" s="19" t="str">
        <f>HYPERLINK("https://ssdweb.co/ssdweb/CERTH/671477278.pdf","CERTI")</f>
        <v>CERTI</v>
      </c>
    </row>
    <row r="164" spans="1:27" ht="15" x14ac:dyDescent="0.25">
      <c r="A164" s="2">
        <v>159</v>
      </c>
      <c r="B164" s="39">
        <v>941110196</v>
      </c>
      <c r="C164" s="28" t="str">
        <f>HYPERLINK("https://pld.live/RapDetail.aspx?STONELIST=941110196","DNA")</f>
        <v>DNA</v>
      </c>
      <c r="D164" s="18" t="s">
        <v>4563</v>
      </c>
      <c r="E164" s="18" t="s">
        <v>2186</v>
      </c>
      <c r="F164" s="2" t="s">
        <v>7987</v>
      </c>
      <c r="G164" s="2" t="s">
        <v>861</v>
      </c>
      <c r="H164" s="14">
        <v>3.02</v>
      </c>
      <c r="I164" s="2" t="s">
        <v>6587</v>
      </c>
      <c r="J164" s="2" t="s">
        <v>3942</v>
      </c>
      <c r="K164" s="2" t="s">
        <v>3390</v>
      </c>
      <c r="L164" s="2" t="s">
        <v>5221</v>
      </c>
      <c r="M164" s="2" t="s">
        <v>5221</v>
      </c>
      <c r="N164" s="2" t="s">
        <v>2317</v>
      </c>
      <c r="O164" s="14">
        <v>28000</v>
      </c>
      <c r="P164" s="14">
        <v>99.51</v>
      </c>
      <c r="Q164" s="14">
        <v>137.19999999999999</v>
      </c>
      <c r="R164" s="14">
        <v>414.34</v>
      </c>
      <c r="S164" s="2" t="s">
        <v>7056</v>
      </c>
      <c r="T164" s="2">
        <v>1</v>
      </c>
      <c r="U164" s="2">
        <v>61.6</v>
      </c>
      <c r="V164" s="2">
        <v>58</v>
      </c>
      <c r="W164" s="2" t="s">
        <v>7862</v>
      </c>
      <c r="X164" s="2" t="s">
        <v>5405</v>
      </c>
      <c r="Y164" s="2">
        <v>84560</v>
      </c>
      <c r="Z164" s="19" t="str">
        <f>HYPERLINK("https://ssdweb.co/ssdweb/hd/Vision360.html?d=941110196&amp;zoomslide=1&amp;z=1941110196&amp;ISCONFIRM=0","VIDEO")</f>
        <v>VIDEO</v>
      </c>
      <c r="AA164" s="19" t="str">
        <f>HYPERLINK("https://ssdweb.co/ssdweb/CERTH/671477279.pdf","CERTI")</f>
        <v>CERTI</v>
      </c>
    </row>
    <row r="165" spans="1:27" ht="15" x14ac:dyDescent="0.25">
      <c r="A165" s="2">
        <v>160</v>
      </c>
      <c r="B165" s="39">
        <v>941050552</v>
      </c>
      <c r="C165" s="28" t="str">
        <f>HYPERLINK("https://pld.live/RapDetail.aspx?STONELIST=941050552","DNA")</f>
        <v>DNA</v>
      </c>
      <c r="D165" s="18" t="s">
        <v>4563</v>
      </c>
      <c r="E165" s="18" t="s">
        <v>2186</v>
      </c>
      <c r="F165" s="2" t="s">
        <v>7987</v>
      </c>
      <c r="G165" s="2" t="s">
        <v>861</v>
      </c>
      <c r="H165" s="14">
        <v>3.02</v>
      </c>
      <c r="I165" s="2" t="s">
        <v>6587</v>
      </c>
      <c r="J165" s="2" t="s">
        <v>3942</v>
      </c>
      <c r="K165" s="2" t="s">
        <v>3390</v>
      </c>
      <c r="L165" s="2" t="s">
        <v>5221</v>
      </c>
      <c r="M165" s="2" t="s">
        <v>5221</v>
      </c>
      <c r="N165" s="2" t="s">
        <v>2317</v>
      </c>
      <c r="O165" s="14">
        <v>28000</v>
      </c>
      <c r="P165" s="14">
        <v>99.51</v>
      </c>
      <c r="Q165" s="14">
        <v>137.19999999999999</v>
      </c>
      <c r="R165" s="14">
        <v>414.34</v>
      </c>
      <c r="S165" s="2" t="s">
        <v>916</v>
      </c>
      <c r="T165" s="2">
        <v>1.01</v>
      </c>
      <c r="U165" s="2">
        <v>61</v>
      </c>
      <c r="V165" s="2">
        <v>59</v>
      </c>
      <c r="W165" s="2" t="s">
        <v>7862</v>
      </c>
      <c r="X165" s="2" t="s">
        <v>5405</v>
      </c>
      <c r="Y165" s="2">
        <v>84560</v>
      </c>
      <c r="Z165" s="19" t="str">
        <f>HYPERLINK("https://ssdweb.co/ssdweb/hd/Vision360.html?d=941050552&amp;zoomslide=1&amp;z=1941050552&amp;ISCONFIRM=0","VIDEO")</f>
        <v>VIDEO</v>
      </c>
      <c r="AA165" s="19" t="str">
        <f>HYPERLINK("https://ssdweb.co/ssdweb/CERTH/671477270.pdf","CERTI")</f>
        <v>CERTI</v>
      </c>
    </row>
    <row r="166" spans="1:27" ht="15" x14ac:dyDescent="0.25">
      <c r="A166" s="2">
        <v>161</v>
      </c>
      <c r="B166" s="39">
        <v>927120031</v>
      </c>
      <c r="C166" s="28" t="str">
        <f>HYPERLINK("https://pld.live/RapDetail.aspx?STONELIST=927120031","DNA")</f>
        <v>DNA</v>
      </c>
      <c r="D166" s="18" t="s">
        <v>4563</v>
      </c>
      <c r="E166" s="18" t="s">
        <v>2186</v>
      </c>
      <c r="F166" s="2" t="s">
        <v>7987</v>
      </c>
      <c r="G166" s="2" t="s">
        <v>861</v>
      </c>
      <c r="H166" s="14">
        <v>3.02</v>
      </c>
      <c r="I166" s="2" t="s">
        <v>6587</v>
      </c>
      <c r="J166" s="2" t="s">
        <v>3942</v>
      </c>
      <c r="K166" s="2" t="s">
        <v>3390</v>
      </c>
      <c r="L166" s="2" t="s">
        <v>5221</v>
      </c>
      <c r="M166" s="2" t="s">
        <v>5221</v>
      </c>
      <c r="N166" s="2" t="s">
        <v>2317</v>
      </c>
      <c r="O166" s="14">
        <v>28000</v>
      </c>
      <c r="P166" s="14">
        <v>99.51</v>
      </c>
      <c r="Q166" s="14">
        <v>137.19999999999999</v>
      </c>
      <c r="R166" s="14">
        <v>414.34</v>
      </c>
      <c r="S166" s="2" t="s">
        <v>7919</v>
      </c>
      <c r="T166" s="2">
        <v>1</v>
      </c>
      <c r="U166" s="2">
        <v>61.7</v>
      </c>
      <c r="V166" s="2">
        <v>58</v>
      </c>
      <c r="W166" s="2" t="s">
        <v>7862</v>
      </c>
      <c r="X166" s="2" t="s">
        <v>5405</v>
      </c>
      <c r="Y166" s="2">
        <v>84560</v>
      </c>
      <c r="Z166" s="19" t="str">
        <f>HYPERLINK("https://ssdweb.co/ssdweb/hd/Vision360.html?d=927120031&amp;zoomslide=1&amp;z=1927120031&amp;ISCONFIRM=0","VIDEO")</f>
        <v>VIDEO</v>
      </c>
      <c r="AA166" s="19" t="str">
        <f>HYPERLINK("https://ssdweb.co/ssdweb/CERTH/668437255.pdf","CERTI")</f>
        <v>CERTI</v>
      </c>
    </row>
    <row r="167" spans="1:27" ht="15" x14ac:dyDescent="0.25">
      <c r="A167" s="2">
        <v>162</v>
      </c>
      <c r="B167" s="39">
        <v>926450555</v>
      </c>
      <c r="C167" s="28" t="str">
        <f>HYPERLINK("https://pld.live/RapDetail.aspx?STONELIST=926450555","DNA")</f>
        <v>DNA</v>
      </c>
      <c r="D167" s="18" t="s">
        <v>4563</v>
      </c>
      <c r="E167" s="18" t="s">
        <v>2186</v>
      </c>
      <c r="F167" s="2" t="s">
        <v>7987</v>
      </c>
      <c r="G167" s="2" t="s">
        <v>861</v>
      </c>
      <c r="H167" s="14">
        <v>3.02</v>
      </c>
      <c r="I167" s="2" t="s">
        <v>5622</v>
      </c>
      <c r="J167" s="2" t="s">
        <v>13</v>
      </c>
      <c r="K167" s="2" t="s">
        <v>3390</v>
      </c>
      <c r="L167" s="2" t="s">
        <v>5221</v>
      </c>
      <c r="M167" s="2" t="s">
        <v>5221</v>
      </c>
      <c r="N167" s="2" t="s">
        <v>924</v>
      </c>
      <c r="O167" s="14">
        <v>8300</v>
      </c>
      <c r="P167" s="14">
        <v>96.75</v>
      </c>
      <c r="Q167" s="14">
        <v>269.75</v>
      </c>
      <c r="R167" s="14">
        <v>814.65</v>
      </c>
      <c r="S167" s="2" t="s">
        <v>7363</v>
      </c>
      <c r="T167" s="2">
        <v>1.01</v>
      </c>
      <c r="U167" s="2">
        <v>60.7</v>
      </c>
      <c r="V167" s="2">
        <v>58</v>
      </c>
      <c r="W167" s="2" t="s">
        <v>7862</v>
      </c>
      <c r="X167" s="2" t="s">
        <v>5405</v>
      </c>
      <c r="Y167" s="2">
        <v>25066</v>
      </c>
      <c r="Z167" s="19" t="str">
        <f>HYPERLINK("https://ssdweb.co/ssdweb/hd/Vision360.html?d=926450555&amp;zoomslide=1&amp;z=1926450555&amp;ISCONFIRM=0","VIDEO")</f>
        <v>VIDEO</v>
      </c>
      <c r="AA167" s="19" t="str">
        <f>HYPERLINK("https://ssdweb.co/ssdweb/CERTH/651466447.pdf","CERTI")</f>
        <v>CERTI</v>
      </c>
    </row>
    <row r="168" spans="1:27" ht="15" x14ac:dyDescent="0.25">
      <c r="A168" s="2">
        <v>163</v>
      </c>
      <c r="B168" s="39">
        <v>925690171</v>
      </c>
      <c r="C168" s="28" t="str">
        <f>HYPERLINK("https://pld.live/RapDetail.aspx?STONELIST=925690171","DNA")</f>
        <v>DNA</v>
      </c>
      <c r="D168" s="18" t="s">
        <v>4563</v>
      </c>
      <c r="E168" s="18" t="s">
        <v>2186</v>
      </c>
      <c r="F168" s="2" t="s">
        <v>7987</v>
      </c>
      <c r="G168" s="2" t="s">
        <v>861</v>
      </c>
      <c r="H168" s="14">
        <v>3.02</v>
      </c>
      <c r="I168" s="2" t="s">
        <v>4455</v>
      </c>
      <c r="J168" s="2" t="s">
        <v>13</v>
      </c>
      <c r="K168" s="2" t="s">
        <v>5221</v>
      </c>
      <c r="L168" s="2" t="s">
        <v>5221</v>
      </c>
      <c r="M168" s="2" t="s">
        <v>5221</v>
      </c>
      <c r="N168" s="2" t="s">
        <v>924</v>
      </c>
      <c r="O168" s="14">
        <v>8700</v>
      </c>
      <c r="P168" s="14">
        <v>97.36</v>
      </c>
      <c r="Q168" s="14">
        <v>229.68</v>
      </c>
      <c r="R168" s="14">
        <v>693.63</v>
      </c>
      <c r="S168" s="2" t="s">
        <v>5491</v>
      </c>
      <c r="T168" s="2">
        <v>1</v>
      </c>
      <c r="U168" s="2">
        <v>58.3</v>
      </c>
      <c r="V168" s="2">
        <v>63</v>
      </c>
      <c r="W168" s="2" t="s">
        <v>7862</v>
      </c>
      <c r="X168" s="2" t="s">
        <v>5405</v>
      </c>
      <c r="Y168" s="2">
        <v>26274</v>
      </c>
      <c r="Z168" s="19" t="str">
        <f>HYPERLINK("https://ssdweb.co/ssdweb/hd/Vision360.html?d=925690171&amp;zoomslide=1&amp;z=1925690171&amp;ISCONFIRM=0","VIDEO")</f>
        <v>VIDEO</v>
      </c>
      <c r="AA168" s="19" t="str">
        <f>HYPERLINK("https://ssdweb.co/ssdweb/CERTH/629479341.pdf","CERTI")</f>
        <v>CERTI</v>
      </c>
    </row>
    <row r="169" spans="1:27" ht="15" x14ac:dyDescent="0.25">
      <c r="A169" s="2">
        <v>164</v>
      </c>
      <c r="B169" s="39">
        <v>941380413</v>
      </c>
      <c r="C169" s="28" t="str">
        <f>HYPERLINK("https://pld.live/RapDetail.aspx?STONELIST=941380413","DNA")</f>
        <v>DNA</v>
      </c>
      <c r="D169" s="18" t="s">
        <v>4563</v>
      </c>
      <c r="E169" s="18" t="s">
        <v>2186</v>
      </c>
      <c r="F169" s="2" t="s">
        <v>7987</v>
      </c>
      <c r="G169" s="2" t="s">
        <v>861</v>
      </c>
      <c r="H169" s="14">
        <v>3.01</v>
      </c>
      <c r="I169" s="2" t="s">
        <v>267</v>
      </c>
      <c r="J169" s="2" t="s">
        <v>13</v>
      </c>
      <c r="K169" s="2" t="s">
        <v>5221</v>
      </c>
      <c r="L169" s="2" t="s">
        <v>5221</v>
      </c>
      <c r="M169" s="2" t="s">
        <v>5221</v>
      </c>
      <c r="N169" s="2" t="s">
        <v>2317</v>
      </c>
      <c r="O169" s="14">
        <v>35000</v>
      </c>
      <c r="P169" s="14">
        <v>99.47</v>
      </c>
      <c r="Q169" s="14">
        <v>185.5</v>
      </c>
      <c r="R169" s="14">
        <v>558.36</v>
      </c>
      <c r="S169" s="2" t="s">
        <v>1891</v>
      </c>
      <c r="T169" s="2">
        <v>1</v>
      </c>
      <c r="U169" s="2">
        <v>61.5</v>
      </c>
      <c r="V169" s="2">
        <v>62</v>
      </c>
      <c r="W169" s="2" t="s">
        <v>7862</v>
      </c>
      <c r="X169" s="2" t="s">
        <v>5405</v>
      </c>
      <c r="Y169" s="2">
        <v>105350</v>
      </c>
      <c r="Z169" s="19" t="str">
        <f>HYPERLINK("https://ssdweb.co/ssdweb/hd/Vision360.html?d=941380413&amp;zoomslide=1&amp;z=1941380413&amp;ISCONFIRM=0","VIDEO")</f>
        <v>VIDEO</v>
      </c>
      <c r="AA169" s="19" t="str">
        <f>HYPERLINK("https://ssdweb.co/ssdweb/CERTH/692534196.pdf","CERTI")</f>
        <v>CERTI</v>
      </c>
    </row>
    <row r="170" spans="1:27" ht="15" x14ac:dyDescent="0.25">
      <c r="A170" s="2">
        <v>165</v>
      </c>
      <c r="B170" s="39">
        <v>926930930</v>
      </c>
      <c r="C170" s="28" t="str">
        <f>HYPERLINK("https://pld.live/RapDetail.aspx?STONELIST=926930930","DNA")</f>
        <v>DNA</v>
      </c>
      <c r="D170" s="18" t="s">
        <v>4563</v>
      </c>
      <c r="E170" s="18" t="s">
        <v>2186</v>
      </c>
      <c r="F170" s="2" t="s">
        <v>7987</v>
      </c>
      <c r="G170" s="2" t="s">
        <v>861</v>
      </c>
      <c r="H170" s="14">
        <v>3.01</v>
      </c>
      <c r="I170" s="2" t="s">
        <v>4761</v>
      </c>
      <c r="J170" s="2" t="s">
        <v>3942</v>
      </c>
      <c r="K170" s="2" t="s">
        <v>3390</v>
      </c>
      <c r="L170" s="2" t="s">
        <v>5221</v>
      </c>
      <c r="M170" s="2" t="s">
        <v>5221</v>
      </c>
      <c r="N170" s="2" t="s">
        <v>2317</v>
      </c>
      <c r="O170" s="14">
        <v>37000</v>
      </c>
      <c r="P170" s="14">
        <v>99.54</v>
      </c>
      <c r="Q170" s="14">
        <v>170.2</v>
      </c>
      <c r="R170" s="14">
        <v>512.29999999999995</v>
      </c>
      <c r="S170" s="2" t="s">
        <v>5440</v>
      </c>
      <c r="T170" s="2">
        <v>1.01</v>
      </c>
      <c r="U170" s="2">
        <v>62.1</v>
      </c>
      <c r="V170" s="2">
        <v>57</v>
      </c>
      <c r="W170" s="2" t="s">
        <v>7862</v>
      </c>
      <c r="X170" s="2" t="s">
        <v>5405</v>
      </c>
      <c r="Y170" s="2">
        <v>111370</v>
      </c>
      <c r="Z170" s="19" t="str">
        <f>HYPERLINK("https://ssdweb.co/ssdweb/hd/Vision360.html?d=926930930&amp;zoomslide=1&amp;z=1926930930&amp;ISCONFIRM=0","VIDEO")</f>
        <v>VIDEO</v>
      </c>
      <c r="AA170" s="19" t="str">
        <f>HYPERLINK("https://ssdweb.co/ssdweb/CERTH/662417166.pdf","CERTI")</f>
        <v>CERTI</v>
      </c>
    </row>
    <row r="171" spans="1:27" ht="15" x14ac:dyDescent="0.25">
      <c r="A171" s="2">
        <v>166</v>
      </c>
      <c r="B171" s="39">
        <v>927000582</v>
      </c>
      <c r="C171" s="28" t="str">
        <f>HYPERLINK("https://pld.live/RapDetail.aspx?STONELIST=927000582","DNA")</f>
        <v>DNA</v>
      </c>
      <c r="D171" s="18" t="s">
        <v>4563</v>
      </c>
      <c r="E171" s="18" t="s">
        <v>2186</v>
      </c>
      <c r="F171" s="2" t="s">
        <v>7987</v>
      </c>
      <c r="G171" s="2" t="s">
        <v>861</v>
      </c>
      <c r="H171" s="14">
        <v>3.01</v>
      </c>
      <c r="I171" s="2" t="s">
        <v>4761</v>
      </c>
      <c r="J171" s="2" t="s">
        <v>3942</v>
      </c>
      <c r="K171" s="2" t="s">
        <v>3390</v>
      </c>
      <c r="L171" s="2" t="s">
        <v>5221</v>
      </c>
      <c r="M171" s="2" t="s">
        <v>5221</v>
      </c>
      <c r="N171" s="2" t="s">
        <v>2317</v>
      </c>
      <c r="O171" s="14">
        <v>37000</v>
      </c>
      <c r="P171" s="14">
        <v>99.54</v>
      </c>
      <c r="Q171" s="14">
        <v>170.2</v>
      </c>
      <c r="R171" s="14">
        <v>512.29999999999995</v>
      </c>
      <c r="S171" s="2" t="s">
        <v>840</v>
      </c>
      <c r="T171" s="2">
        <v>1.01</v>
      </c>
      <c r="U171" s="2">
        <v>62.2</v>
      </c>
      <c r="V171" s="2">
        <v>59</v>
      </c>
      <c r="W171" s="2" t="s">
        <v>7862</v>
      </c>
      <c r="X171" s="2" t="s">
        <v>5405</v>
      </c>
      <c r="Y171" s="2">
        <v>111370</v>
      </c>
      <c r="Z171" s="19" t="str">
        <f>HYPERLINK("https://ssdweb.co/ssdweb/hd/Vision360.html?d=927000582&amp;zoomslide=1&amp;z=1927000582&amp;ISCONFIRM=0","VIDEO")</f>
        <v>VIDEO</v>
      </c>
      <c r="AA171" s="19" t="str">
        <f>HYPERLINK("https://ssdweb.co/ssdweb/CERTH/668437248.pdf","CERTI")</f>
        <v>CERTI</v>
      </c>
    </row>
    <row r="172" spans="1:27" ht="15" x14ac:dyDescent="0.25">
      <c r="A172" s="2">
        <v>167</v>
      </c>
      <c r="B172" s="39">
        <v>941200240</v>
      </c>
      <c r="C172" s="28" t="str">
        <f>HYPERLINK("https://pld.live/RapDetail.aspx?STONELIST=941200240","DNA")</f>
        <v>DNA</v>
      </c>
      <c r="D172" s="18" t="s">
        <v>4563</v>
      </c>
      <c r="E172" s="18" t="s">
        <v>2186</v>
      </c>
      <c r="F172" s="2" t="s">
        <v>7987</v>
      </c>
      <c r="G172" s="2" t="s">
        <v>861</v>
      </c>
      <c r="H172" s="14">
        <v>3.01</v>
      </c>
      <c r="I172" s="2" t="s">
        <v>4761</v>
      </c>
      <c r="J172" s="2" t="s">
        <v>13</v>
      </c>
      <c r="K172" s="2" t="s">
        <v>3390</v>
      </c>
      <c r="L172" s="2" t="s">
        <v>5221</v>
      </c>
      <c r="M172" s="2" t="s">
        <v>5221</v>
      </c>
      <c r="N172" s="2" t="s">
        <v>2317</v>
      </c>
      <c r="O172" s="14">
        <v>32000</v>
      </c>
      <c r="P172" s="14">
        <v>99.5</v>
      </c>
      <c r="Q172" s="14">
        <v>160</v>
      </c>
      <c r="R172" s="14">
        <v>481.6</v>
      </c>
      <c r="S172" s="2" t="s">
        <v>5440</v>
      </c>
      <c r="T172" s="2">
        <v>1.01</v>
      </c>
      <c r="U172" s="2">
        <v>62</v>
      </c>
      <c r="V172" s="2">
        <v>57</v>
      </c>
      <c r="W172" s="2" t="s">
        <v>7862</v>
      </c>
      <c r="X172" s="2" t="s">
        <v>5405</v>
      </c>
      <c r="Y172" s="2">
        <v>96320</v>
      </c>
      <c r="Z172" s="19" t="str">
        <f>HYPERLINK("https://ssdweb.co/ssdweb/hd/Vision360.html?d=941200240&amp;zoomslide=1&amp;z=1941200240&amp;ISCONFIRM=0","VIDEO")</f>
        <v>VIDEO</v>
      </c>
      <c r="AA172" s="19" t="str">
        <f>HYPERLINK("https://ssdweb.co/ssdweb/CERTH/678550332.pdf","CERTI")</f>
        <v>CERTI</v>
      </c>
    </row>
    <row r="173" spans="1:27" ht="15" x14ac:dyDescent="0.25">
      <c r="A173" s="2">
        <v>168</v>
      </c>
      <c r="B173" s="39">
        <v>941080755</v>
      </c>
      <c r="C173" s="28" t="str">
        <f>HYPERLINK("https://pld.live/RapDetail.aspx?STONELIST=941080755","DNA")</f>
        <v>DNA</v>
      </c>
      <c r="D173" s="18" t="s">
        <v>4563</v>
      </c>
      <c r="E173" s="18" t="s">
        <v>2186</v>
      </c>
      <c r="F173" s="2" t="s">
        <v>7987</v>
      </c>
      <c r="G173" s="2" t="s">
        <v>861</v>
      </c>
      <c r="H173" s="14">
        <v>3.01</v>
      </c>
      <c r="I173" s="2" t="s">
        <v>4761</v>
      </c>
      <c r="J173" s="2" t="s">
        <v>13</v>
      </c>
      <c r="K173" s="2" t="s">
        <v>3390</v>
      </c>
      <c r="L173" s="2" t="s">
        <v>5221</v>
      </c>
      <c r="M173" s="2" t="s">
        <v>5221</v>
      </c>
      <c r="N173" s="2" t="s">
        <v>2317</v>
      </c>
      <c r="O173" s="14">
        <v>32000</v>
      </c>
      <c r="P173" s="14">
        <v>99.5</v>
      </c>
      <c r="Q173" s="14">
        <v>160</v>
      </c>
      <c r="R173" s="14">
        <v>481.6</v>
      </c>
      <c r="S173" s="2" t="s">
        <v>5367</v>
      </c>
      <c r="T173" s="2">
        <v>1.01</v>
      </c>
      <c r="U173" s="2">
        <v>61.5</v>
      </c>
      <c r="V173" s="2">
        <v>59</v>
      </c>
      <c r="W173" s="2" t="s">
        <v>7862</v>
      </c>
      <c r="X173" s="2" t="s">
        <v>5405</v>
      </c>
      <c r="Y173" s="2">
        <v>96320</v>
      </c>
      <c r="Z173" s="19" t="str">
        <f>HYPERLINK("https://ssdweb.co/ssdweb/hd/Vision360.html?d=941080755&amp;zoomslide=1&amp;z=1941080755&amp;ISCONFIRM=0","VIDEO")</f>
        <v>VIDEO</v>
      </c>
      <c r="AA173" s="19" t="str">
        <f>HYPERLINK("https://ssdweb.co/ssdweb/CERTH/671477275.pdf","CERTI")</f>
        <v>CERTI</v>
      </c>
    </row>
    <row r="174" spans="1:27" ht="15" x14ac:dyDescent="0.25">
      <c r="A174" s="2">
        <v>169</v>
      </c>
      <c r="B174" s="39">
        <v>941050163</v>
      </c>
      <c r="C174" s="28" t="str">
        <f>HYPERLINK("https://pld.live/RapDetail.aspx?STONELIST=941050163","DNA")</f>
        <v>DNA</v>
      </c>
      <c r="D174" s="18" t="s">
        <v>4563</v>
      </c>
      <c r="E174" s="18" t="s">
        <v>2186</v>
      </c>
      <c r="F174" s="2" t="s">
        <v>7987</v>
      </c>
      <c r="G174" s="2" t="s">
        <v>861</v>
      </c>
      <c r="H174" s="14">
        <v>3.01</v>
      </c>
      <c r="I174" s="2" t="s">
        <v>4761</v>
      </c>
      <c r="J174" s="2" t="s">
        <v>13</v>
      </c>
      <c r="K174" s="2" t="s">
        <v>3390</v>
      </c>
      <c r="L174" s="2" t="s">
        <v>5221</v>
      </c>
      <c r="M174" s="2" t="s">
        <v>5221</v>
      </c>
      <c r="N174" s="2" t="s">
        <v>2317</v>
      </c>
      <c r="O174" s="14">
        <v>32000</v>
      </c>
      <c r="P174" s="14">
        <v>99.5</v>
      </c>
      <c r="Q174" s="14">
        <v>160</v>
      </c>
      <c r="R174" s="14">
        <v>481.6</v>
      </c>
      <c r="S174" s="2" t="s">
        <v>6483</v>
      </c>
      <c r="T174" s="2">
        <v>1.01</v>
      </c>
      <c r="U174" s="2">
        <v>61.9</v>
      </c>
      <c r="V174" s="2">
        <v>58</v>
      </c>
      <c r="W174" s="2" t="s">
        <v>7862</v>
      </c>
      <c r="X174" s="2" t="s">
        <v>5405</v>
      </c>
      <c r="Y174" s="2">
        <v>96320</v>
      </c>
      <c r="Z174" s="19" t="str">
        <f>HYPERLINK("https://ssdweb.co/ssdweb/hd/Vision360.html?d=941050163&amp;zoomslide=1&amp;z=1941050163&amp;ISCONFIRM=0","VIDEO")</f>
        <v>VIDEO</v>
      </c>
      <c r="AA174" s="19" t="str">
        <f>HYPERLINK("https://ssdweb.co/ssdweb/CERTH/669458298.pdf","CERTI")</f>
        <v>CERTI</v>
      </c>
    </row>
    <row r="175" spans="1:27" ht="15" x14ac:dyDescent="0.25">
      <c r="A175" s="2">
        <v>170</v>
      </c>
      <c r="B175" s="39">
        <v>927070614</v>
      </c>
      <c r="C175" s="28" t="str">
        <f>HYPERLINK("https://pld.live/RapDetail.aspx?STONELIST=927070614","DNA")</f>
        <v>DNA</v>
      </c>
      <c r="D175" s="18" t="s">
        <v>4563</v>
      </c>
      <c r="E175" s="18" t="s">
        <v>2186</v>
      </c>
      <c r="F175" s="2" t="s">
        <v>7987</v>
      </c>
      <c r="G175" s="2" t="s">
        <v>861</v>
      </c>
      <c r="H175" s="14">
        <v>3.01</v>
      </c>
      <c r="I175" s="2" t="s">
        <v>4761</v>
      </c>
      <c r="J175" s="2" t="s">
        <v>13</v>
      </c>
      <c r="K175" s="2" t="s">
        <v>5221</v>
      </c>
      <c r="L175" s="2" t="s">
        <v>5221</v>
      </c>
      <c r="M175" s="2" t="s">
        <v>5221</v>
      </c>
      <c r="N175" s="2" t="s">
        <v>2317</v>
      </c>
      <c r="O175" s="14">
        <v>32000</v>
      </c>
      <c r="P175" s="14">
        <v>99.5</v>
      </c>
      <c r="Q175" s="14">
        <v>160</v>
      </c>
      <c r="R175" s="14">
        <v>481.6</v>
      </c>
      <c r="S175" s="2" t="s">
        <v>1270</v>
      </c>
      <c r="T175" s="2">
        <v>1</v>
      </c>
      <c r="U175" s="2">
        <v>58.9</v>
      </c>
      <c r="V175" s="2">
        <v>61</v>
      </c>
      <c r="W175" s="2" t="s">
        <v>7862</v>
      </c>
      <c r="X175" s="2" t="s">
        <v>5405</v>
      </c>
      <c r="Y175" s="2">
        <v>96320</v>
      </c>
      <c r="Z175" s="19" t="str">
        <f>HYPERLINK("https://ssdweb.co/ssdweb/hd/Vision360.html?d=927070614&amp;zoomslide=1&amp;z=1927070614&amp;ISCONFIRM=0","VIDEO")</f>
        <v>VIDEO</v>
      </c>
      <c r="AA175" s="19" t="str">
        <f>HYPERLINK("https://ssdweb.co/ssdweb/CERTH/662473896.pdf","CERTI")</f>
        <v>CERTI</v>
      </c>
    </row>
    <row r="176" spans="1:27" ht="15" x14ac:dyDescent="0.25">
      <c r="A176" s="2">
        <v>171</v>
      </c>
      <c r="B176" s="39">
        <v>941050445</v>
      </c>
      <c r="C176" s="28" t="str">
        <f>HYPERLINK("https://pld.live/RapDetail.aspx?STONELIST=941050445","DNA")</f>
        <v>DNA</v>
      </c>
      <c r="D176" s="18" t="s">
        <v>4563</v>
      </c>
      <c r="E176" s="18" t="s">
        <v>2186</v>
      </c>
      <c r="F176" s="2" t="s">
        <v>7987</v>
      </c>
      <c r="G176" s="2" t="s">
        <v>861</v>
      </c>
      <c r="H176" s="14">
        <v>3.01</v>
      </c>
      <c r="I176" s="2" t="s">
        <v>4761</v>
      </c>
      <c r="J176" s="2" t="s">
        <v>13</v>
      </c>
      <c r="K176" s="2" t="s">
        <v>5221</v>
      </c>
      <c r="L176" s="2" t="s">
        <v>5221</v>
      </c>
      <c r="M176" s="2" t="s">
        <v>5221</v>
      </c>
      <c r="N176" s="2" t="s">
        <v>2317</v>
      </c>
      <c r="O176" s="14">
        <v>32000</v>
      </c>
      <c r="P176" s="14">
        <v>99.5</v>
      </c>
      <c r="Q176" s="14">
        <v>160</v>
      </c>
      <c r="R176" s="14">
        <v>481.6</v>
      </c>
      <c r="S176" s="2" t="s">
        <v>7935</v>
      </c>
      <c r="T176" s="2">
        <v>1</v>
      </c>
      <c r="U176" s="2">
        <v>63.3</v>
      </c>
      <c r="V176" s="2">
        <v>56</v>
      </c>
      <c r="W176" s="2" t="s">
        <v>7862</v>
      </c>
      <c r="X176" s="2" t="s">
        <v>5405</v>
      </c>
      <c r="Y176" s="2">
        <v>96320</v>
      </c>
      <c r="Z176" s="19" t="str">
        <f>HYPERLINK("https://ssdweb.co/ssdweb/hd/Vision360.html?d=941050445&amp;zoomslide=1&amp;z=1941050445&amp;ISCONFIRM=0","VIDEO")</f>
        <v>VIDEO</v>
      </c>
      <c r="AA176" s="19" t="str">
        <f>HYPERLINK("https://ssdweb.co/ssdweb/CERTH/671437471.pdf","CERTI")</f>
        <v>CERTI</v>
      </c>
    </row>
    <row r="177" spans="1:27" ht="15" x14ac:dyDescent="0.25">
      <c r="A177" s="2">
        <v>172</v>
      </c>
      <c r="B177" s="39">
        <v>941050184</v>
      </c>
      <c r="C177" s="28" t="str">
        <f>HYPERLINK("https://pld.live/RapDetail.aspx?STONELIST=941050184","DNA")</f>
        <v>DNA</v>
      </c>
      <c r="D177" s="18" t="s">
        <v>4563</v>
      </c>
      <c r="E177" s="18" t="s">
        <v>2186</v>
      </c>
      <c r="F177" s="2" t="s">
        <v>7987</v>
      </c>
      <c r="G177" s="2" t="s">
        <v>861</v>
      </c>
      <c r="H177" s="14">
        <v>3.01</v>
      </c>
      <c r="I177" s="2" t="s">
        <v>4699</v>
      </c>
      <c r="J177" s="2" t="s">
        <v>3942</v>
      </c>
      <c r="K177" s="2" t="s">
        <v>3390</v>
      </c>
      <c r="L177" s="2" t="s">
        <v>5221</v>
      </c>
      <c r="M177" s="2" t="s">
        <v>5221</v>
      </c>
      <c r="N177" s="2" t="s">
        <v>2317</v>
      </c>
      <c r="O177" s="14">
        <v>33500</v>
      </c>
      <c r="P177" s="14">
        <v>99.53</v>
      </c>
      <c r="Q177" s="14">
        <v>157.44999999999999</v>
      </c>
      <c r="R177" s="14">
        <v>473.92</v>
      </c>
      <c r="S177" s="2" t="s">
        <v>6286</v>
      </c>
      <c r="T177" s="2">
        <v>1.01</v>
      </c>
      <c r="U177" s="2">
        <v>61.5</v>
      </c>
      <c r="V177" s="2">
        <v>59</v>
      </c>
      <c r="W177" s="2" t="s">
        <v>7862</v>
      </c>
      <c r="X177" s="2" t="s">
        <v>5405</v>
      </c>
      <c r="Y177" s="2">
        <v>100835</v>
      </c>
      <c r="Z177" s="19" t="str">
        <f>HYPERLINK("https://ssdweb.co/ssdweb/hd/Vision360.html?d=941050184&amp;zoomslide=1&amp;z=1941050184&amp;ISCONFIRM=0","VIDEO")</f>
        <v>VIDEO</v>
      </c>
      <c r="AA177" s="19" t="str">
        <f>HYPERLINK("https://ssdweb.co/ssdweb/CERTH/670445240.pdf","CERTI")</f>
        <v>CERTI</v>
      </c>
    </row>
    <row r="178" spans="1:27" ht="15" x14ac:dyDescent="0.25">
      <c r="A178" s="2">
        <v>173</v>
      </c>
      <c r="B178" s="39">
        <v>941050507</v>
      </c>
      <c r="C178" s="28" t="str">
        <f>HYPERLINK("https://pld.live/RapDetail.aspx?STONELIST=941050507","DNA")</f>
        <v>DNA</v>
      </c>
      <c r="D178" s="18" t="s">
        <v>4563</v>
      </c>
      <c r="E178" s="18" t="s">
        <v>2186</v>
      </c>
      <c r="F178" s="2" t="s">
        <v>7987</v>
      </c>
      <c r="G178" s="2" t="s">
        <v>861</v>
      </c>
      <c r="H178" s="14">
        <v>3.01</v>
      </c>
      <c r="I178" s="2" t="s">
        <v>4699</v>
      </c>
      <c r="J178" s="2" t="s">
        <v>3942</v>
      </c>
      <c r="K178" s="2" t="s">
        <v>3390</v>
      </c>
      <c r="L178" s="2" t="s">
        <v>5221</v>
      </c>
      <c r="M178" s="2" t="s">
        <v>5221</v>
      </c>
      <c r="N178" s="2" t="s">
        <v>2317</v>
      </c>
      <c r="O178" s="14">
        <v>33500</v>
      </c>
      <c r="P178" s="14">
        <v>99.53</v>
      </c>
      <c r="Q178" s="14">
        <v>157.44999999999999</v>
      </c>
      <c r="R178" s="14">
        <v>473.92</v>
      </c>
      <c r="S178" s="2" t="s">
        <v>2542</v>
      </c>
      <c r="T178" s="2">
        <v>1.01</v>
      </c>
      <c r="U178" s="2">
        <v>62.3</v>
      </c>
      <c r="V178" s="2">
        <v>58</v>
      </c>
      <c r="W178" s="2" t="s">
        <v>7862</v>
      </c>
      <c r="X178" s="2" t="s">
        <v>5405</v>
      </c>
      <c r="Y178" s="2">
        <v>100835</v>
      </c>
      <c r="Z178" s="19" t="str">
        <f>HYPERLINK("https://ssdweb.co/ssdweb/hd/Vision360.html?d=941050507&amp;zoomslide=1&amp;z=1941050507&amp;ISCONFIRM=0","VIDEO")</f>
        <v>VIDEO</v>
      </c>
      <c r="AA178" s="19" t="str">
        <f>HYPERLINK("https://ssdweb.co/ssdweb/CERTH/671437464.pdf","CERTI")</f>
        <v>CERTI</v>
      </c>
    </row>
    <row r="179" spans="1:27" ht="15" x14ac:dyDescent="0.25">
      <c r="A179" s="2">
        <v>174</v>
      </c>
      <c r="B179" s="39">
        <v>927070634</v>
      </c>
      <c r="C179" s="28" t="str">
        <f>HYPERLINK("https://pld.live/RapDetail.aspx?STONELIST=927070634","DNA")</f>
        <v>DNA</v>
      </c>
      <c r="D179" s="18" t="s">
        <v>4563</v>
      </c>
      <c r="E179" s="18" t="s">
        <v>2186</v>
      </c>
      <c r="F179" s="2" t="s">
        <v>7987</v>
      </c>
      <c r="G179" s="2" t="s">
        <v>861</v>
      </c>
      <c r="H179" s="14">
        <v>3.01</v>
      </c>
      <c r="I179" s="2" t="s">
        <v>4699</v>
      </c>
      <c r="J179" s="2" t="s">
        <v>3942</v>
      </c>
      <c r="K179" s="2" t="s">
        <v>5221</v>
      </c>
      <c r="L179" s="2" t="s">
        <v>5221</v>
      </c>
      <c r="M179" s="2" t="s">
        <v>5221</v>
      </c>
      <c r="N179" s="2" t="s">
        <v>2317</v>
      </c>
      <c r="O179" s="14">
        <v>33500</v>
      </c>
      <c r="P179" s="14">
        <v>99.53</v>
      </c>
      <c r="Q179" s="14">
        <v>157.44999999999999</v>
      </c>
      <c r="R179" s="14">
        <v>473.92</v>
      </c>
      <c r="S179" s="2" t="s">
        <v>7341</v>
      </c>
      <c r="T179" s="2">
        <v>1.01</v>
      </c>
      <c r="U179" s="2">
        <v>63.3</v>
      </c>
      <c r="V179" s="2">
        <v>59</v>
      </c>
      <c r="W179" s="2" t="s">
        <v>7862</v>
      </c>
      <c r="X179" s="2" t="s">
        <v>5405</v>
      </c>
      <c r="Y179" s="2">
        <v>100835</v>
      </c>
      <c r="Z179" s="19" t="str">
        <f>HYPERLINK("https://ssdweb.co/ssdweb/hd/Vision360.html?d=927070634&amp;zoomslide=1&amp;z=1927070634&amp;ISCONFIRM=0","VIDEO")</f>
        <v>VIDEO</v>
      </c>
      <c r="AA179" s="19" t="str">
        <f>HYPERLINK("https://ssdweb.co/ssdweb/CERTH/662473920.pdf","CERTI")</f>
        <v>CERTI</v>
      </c>
    </row>
    <row r="180" spans="1:27" ht="15" x14ac:dyDescent="0.25">
      <c r="A180" s="2">
        <v>175</v>
      </c>
      <c r="B180" s="39">
        <v>941120435</v>
      </c>
      <c r="C180" s="28" t="str">
        <f>HYPERLINK("https://pld.live/RapDetail.aspx?STONELIST=941120435","DNA")</f>
        <v>DNA</v>
      </c>
      <c r="D180" s="18" t="s">
        <v>4563</v>
      </c>
      <c r="E180" s="18" t="s">
        <v>2186</v>
      </c>
      <c r="F180" s="2" t="s">
        <v>7987</v>
      </c>
      <c r="G180" s="2" t="s">
        <v>861</v>
      </c>
      <c r="H180" s="14">
        <v>3.01</v>
      </c>
      <c r="I180" s="2" t="s">
        <v>4699</v>
      </c>
      <c r="J180" s="2" t="s">
        <v>13</v>
      </c>
      <c r="K180" s="2" t="s">
        <v>3390</v>
      </c>
      <c r="L180" s="2" t="s">
        <v>5221</v>
      </c>
      <c r="M180" s="2" t="s">
        <v>5221</v>
      </c>
      <c r="N180" s="2" t="s">
        <v>2317</v>
      </c>
      <c r="O180" s="14">
        <v>29500</v>
      </c>
      <c r="P180" s="14">
        <v>99.49</v>
      </c>
      <c r="Q180" s="14">
        <v>150.44999999999999</v>
      </c>
      <c r="R180" s="14">
        <v>452.85</v>
      </c>
      <c r="S180" s="2" t="s">
        <v>4853</v>
      </c>
      <c r="T180" s="2">
        <v>1.01</v>
      </c>
      <c r="U180" s="2">
        <v>62.1</v>
      </c>
      <c r="V180" s="2">
        <v>58</v>
      </c>
      <c r="W180" s="2" t="s">
        <v>7862</v>
      </c>
      <c r="X180" s="2" t="s">
        <v>5405</v>
      </c>
      <c r="Y180" s="2">
        <v>88795</v>
      </c>
      <c r="Z180" s="19" t="str">
        <f>HYPERLINK("https://ssdweb.co/ssdweb/hd/Vision360.html?d=941120435&amp;zoomslide=1&amp;z=1941120435&amp;ISCONFIRM=0","VIDEO")</f>
        <v>VIDEO</v>
      </c>
      <c r="AA180" s="19" t="str">
        <f>HYPERLINK("https://ssdweb.co/ssdweb/CERTH/674504120.pdf","CERTI")</f>
        <v>CERTI</v>
      </c>
    </row>
    <row r="181" spans="1:27" ht="15" x14ac:dyDescent="0.25">
      <c r="A181" s="2">
        <v>176</v>
      </c>
      <c r="B181" s="39">
        <v>941060409</v>
      </c>
      <c r="C181" s="28" t="str">
        <f>HYPERLINK("https://pld.live/RapDetail.aspx?STONELIST=941060409","DNA")</f>
        <v>DNA</v>
      </c>
      <c r="D181" s="18" t="s">
        <v>4563</v>
      </c>
      <c r="E181" s="18" t="s">
        <v>2186</v>
      </c>
      <c r="F181" s="2" t="s">
        <v>7987</v>
      </c>
      <c r="G181" s="2" t="s">
        <v>861</v>
      </c>
      <c r="H181" s="14">
        <v>3.01</v>
      </c>
      <c r="I181" s="2" t="s">
        <v>4699</v>
      </c>
      <c r="J181" s="2" t="s">
        <v>13</v>
      </c>
      <c r="K181" s="2" t="s">
        <v>3390</v>
      </c>
      <c r="L181" s="2" t="s">
        <v>5221</v>
      </c>
      <c r="M181" s="2" t="s">
        <v>5221</v>
      </c>
      <c r="N181" s="2" t="s">
        <v>2317</v>
      </c>
      <c r="O181" s="14">
        <v>29500</v>
      </c>
      <c r="P181" s="14">
        <v>99.49</v>
      </c>
      <c r="Q181" s="14">
        <v>150.44999999999999</v>
      </c>
      <c r="R181" s="14">
        <v>452.85</v>
      </c>
      <c r="S181" s="2" t="s">
        <v>2736</v>
      </c>
      <c r="T181" s="2">
        <v>1.01</v>
      </c>
      <c r="U181" s="2">
        <v>61.6</v>
      </c>
      <c r="V181" s="2">
        <v>58</v>
      </c>
      <c r="W181" s="2" t="s">
        <v>7862</v>
      </c>
      <c r="X181" s="2" t="s">
        <v>5405</v>
      </c>
      <c r="Y181" s="2">
        <v>88795</v>
      </c>
      <c r="Z181" s="19" t="str">
        <f>HYPERLINK("https://ssdweb.co/ssdweb/hd/Vision360.html?d=941060409&amp;zoomslide=1&amp;z=1941060409&amp;ISCONFIRM=0","VIDEO")</f>
        <v>VIDEO</v>
      </c>
      <c r="AA181" s="19" t="str">
        <f>HYPERLINK("https://ssdweb.co/ssdweb/CERTH/671437465.pdf","CERTI")</f>
        <v>CERTI</v>
      </c>
    </row>
    <row r="182" spans="1:27" ht="15" x14ac:dyDescent="0.25">
      <c r="A182" s="2">
        <v>177</v>
      </c>
      <c r="B182" s="39">
        <v>941090559</v>
      </c>
      <c r="C182" s="28" t="str">
        <f>HYPERLINK("https://pld.live/RapDetail.aspx?STONELIST=941090559","DNA")</f>
        <v>DNA</v>
      </c>
      <c r="D182" s="18" t="s">
        <v>4563</v>
      </c>
      <c r="E182" s="18" t="s">
        <v>2186</v>
      </c>
      <c r="F182" s="2" t="s">
        <v>7987</v>
      </c>
      <c r="G182" s="2" t="s">
        <v>861</v>
      </c>
      <c r="H182" s="14">
        <v>3.01</v>
      </c>
      <c r="I182" s="2" t="s">
        <v>4699</v>
      </c>
      <c r="J182" s="2" t="s">
        <v>13</v>
      </c>
      <c r="K182" s="2" t="s">
        <v>5221</v>
      </c>
      <c r="L182" s="2" t="s">
        <v>5221</v>
      </c>
      <c r="M182" s="2" t="s">
        <v>5221</v>
      </c>
      <c r="N182" s="2" t="s">
        <v>2317</v>
      </c>
      <c r="O182" s="14">
        <v>29500</v>
      </c>
      <c r="P182" s="14">
        <v>99.49</v>
      </c>
      <c r="Q182" s="14">
        <v>150.44999999999999</v>
      </c>
      <c r="R182" s="14">
        <v>452.85</v>
      </c>
      <c r="S182" s="2" t="s">
        <v>1925</v>
      </c>
      <c r="T182" s="2">
        <v>1.01</v>
      </c>
      <c r="U182" s="2">
        <v>62.7</v>
      </c>
      <c r="V182" s="2">
        <v>58</v>
      </c>
      <c r="W182" s="2" t="s">
        <v>7862</v>
      </c>
      <c r="X182" s="2" t="s">
        <v>5405</v>
      </c>
      <c r="Y182" s="2">
        <v>88795</v>
      </c>
      <c r="Z182" s="19" t="str">
        <f>HYPERLINK("https://ssdweb.co/ssdweb/hd/Vision360.html?d=941090559&amp;zoomslide=1&amp;z=1941090559&amp;ISCONFIRM=0","VIDEO")</f>
        <v>VIDEO</v>
      </c>
      <c r="AA182" s="19" t="str">
        <f>HYPERLINK("https://ssdweb.co/ssdweb/CERTH/671477277.pdf","CERTI")</f>
        <v>CERTI</v>
      </c>
    </row>
    <row r="183" spans="1:27" ht="15" x14ac:dyDescent="0.25">
      <c r="A183" s="2">
        <v>178</v>
      </c>
      <c r="B183" s="39">
        <v>941130292</v>
      </c>
      <c r="C183" s="28" t="str">
        <f>HYPERLINK("https://pld.live/RapDetail.aspx?STONELIST=941130292","DNA")</f>
        <v>DNA</v>
      </c>
      <c r="D183" s="18" t="s">
        <v>4563</v>
      </c>
      <c r="E183" s="18" t="s">
        <v>2186</v>
      </c>
      <c r="F183" s="2" t="s">
        <v>7987</v>
      </c>
      <c r="G183" s="2" t="s">
        <v>861</v>
      </c>
      <c r="H183" s="14">
        <v>3.01</v>
      </c>
      <c r="I183" s="2" t="s">
        <v>4699</v>
      </c>
      <c r="J183" s="2" t="s">
        <v>5144</v>
      </c>
      <c r="K183" s="2" t="s">
        <v>5221</v>
      </c>
      <c r="L183" s="2" t="s">
        <v>5221</v>
      </c>
      <c r="M183" s="2" t="s">
        <v>5221</v>
      </c>
      <c r="N183" s="2" t="s">
        <v>2317</v>
      </c>
      <c r="O183" s="14">
        <v>24500</v>
      </c>
      <c r="P183" s="14">
        <v>99.42</v>
      </c>
      <c r="Q183" s="14">
        <v>142.1</v>
      </c>
      <c r="R183" s="14">
        <v>427.72</v>
      </c>
      <c r="S183" s="2" t="s">
        <v>8034</v>
      </c>
      <c r="T183" s="2">
        <v>1.01</v>
      </c>
      <c r="U183" s="2">
        <v>63.2</v>
      </c>
      <c r="V183" s="2">
        <v>56</v>
      </c>
      <c r="W183" s="2" t="s">
        <v>7862</v>
      </c>
      <c r="X183" s="2" t="s">
        <v>5405</v>
      </c>
      <c r="Y183" s="2">
        <v>73745</v>
      </c>
      <c r="Z183" s="19" t="str">
        <f>HYPERLINK("https://ssdweb.co/ssdweb/hd/Vision360.html?d=941130292&amp;zoomslide=1&amp;z=1941130292&amp;ISCONFIRM=0","VIDEO")</f>
        <v>VIDEO</v>
      </c>
      <c r="AA183" s="19" t="str">
        <f>HYPERLINK("https://ssdweb.co/ssdweb/CERTH/674504124.pdf","CERTI")</f>
        <v>CERTI</v>
      </c>
    </row>
    <row r="184" spans="1:27" ht="15" x14ac:dyDescent="0.25">
      <c r="A184" s="2">
        <v>179</v>
      </c>
      <c r="B184" s="39">
        <v>926380219</v>
      </c>
      <c r="C184" s="28" t="str">
        <f>HYPERLINK("https://pld.live/RapDetail.aspx?STONELIST=926380219","DNA")</f>
        <v>DNA</v>
      </c>
      <c r="D184" s="18" t="s">
        <v>4563</v>
      </c>
      <c r="E184" s="18" t="s">
        <v>2186</v>
      </c>
      <c r="F184" s="2" t="s">
        <v>7987</v>
      </c>
      <c r="G184" s="2" t="s">
        <v>861</v>
      </c>
      <c r="H184" s="14">
        <v>3.01</v>
      </c>
      <c r="I184" s="2" t="s">
        <v>1505</v>
      </c>
      <c r="J184" s="2" t="s">
        <v>5144</v>
      </c>
      <c r="K184" s="2" t="s">
        <v>5221</v>
      </c>
      <c r="L184" s="2" t="s">
        <v>5221</v>
      </c>
      <c r="M184" s="2" t="s">
        <v>5221</v>
      </c>
      <c r="N184" s="2" t="s">
        <v>2317</v>
      </c>
      <c r="O184" s="14">
        <v>18500</v>
      </c>
      <c r="P184" s="14">
        <v>99.36</v>
      </c>
      <c r="Q184" s="14">
        <v>118.4</v>
      </c>
      <c r="R184" s="14">
        <v>356.38</v>
      </c>
      <c r="S184" s="2" t="s">
        <v>6079</v>
      </c>
      <c r="T184" s="2">
        <v>1.01</v>
      </c>
      <c r="U184" s="2">
        <v>59.1</v>
      </c>
      <c r="V184" s="2">
        <v>62</v>
      </c>
      <c r="W184" s="2" t="s">
        <v>7862</v>
      </c>
      <c r="X184" s="2" t="s">
        <v>5405</v>
      </c>
      <c r="Y184" s="2">
        <v>55685</v>
      </c>
      <c r="Z184" s="19" t="str">
        <f>HYPERLINK("https://ssdweb.co/ssdweb/hd/Vision360.html?d=926380219&amp;zoomslide=1&amp;z=1926380219&amp;ISCONFIRM=0","VIDEO")</f>
        <v>VIDEO</v>
      </c>
      <c r="AA184" s="19" t="str">
        <f>HYPERLINK("https://ssdweb.co/ssdweb/CERTH/642443661.pdf","CERTI")</f>
        <v>CERTI</v>
      </c>
    </row>
    <row r="185" spans="1:27" ht="15" x14ac:dyDescent="0.25">
      <c r="A185" s="2">
        <v>180</v>
      </c>
      <c r="B185" s="39">
        <v>821117261</v>
      </c>
      <c r="C185" s="28" t="str">
        <f>HYPERLINK("https://pld.live/RapDetail.aspx?STONELIST=821117261","DNA")</f>
        <v>DNA</v>
      </c>
      <c r="D185" s="18" t="s">
        <v>4563</v>
      </c>
      <c r="E185" s="18" t="s">
        <v>2186</v>
      </c>
      <c r="F185" s="2" t="s">
        <v>7987</v>
      </c>
      <c r="G185" s="2" t="s">
        <v>861</v>
      </c>
      <c r="H185" s="14">
        <v>3</v>
      </c>
      <c r="I185" s="2" t="s">
        <v>267</v>
      </c>
      <c r="J185" s="2" t="s">
        <v>3942</v>
      </c>
      <c r="K185" s="2" t="s">
        <v>3390</v>
      </c>
      <c r="L185" s="2" t="s">
        <v>5221</v>
      </c>
      <c r="M185" s="2" t="s">
        <v>5221</v>
      </c>
      <c r="N185" s="2" t="s">
        <v>2317</v>
      </c>
      <c r="O185" s="14">
        <v>41000</v>
      </c>
      <c r="P185" s="14">
        <v>99.52</v>
      </c>
      <c r="Q185" s="14">
        <v>196.8</v>
      </c>
      <c r="R185" s="14">
        <v>590.4</v>
      </c>
      <c r="S185" s="2" t="s">
        <v>7066</v>
      </c>
      <c r="T185" s="2">
        <v>1.01</v>
      </c>
      <c r="U185" s="2">
        <v>61.4</v>
      </c>
      <c r="V185" s="2">
        <v>58</v>
      </c>
      <c r="W185" s="2" t="s">
        <v>7862</v>
      </c>
      <c r="X185" s="2" t="s">
        <v>5405</v>
      </c>
      <c r="Y185" s="2">
        <v>123000</v>
      </c>
      <c r="Z185" s="19" t="str">
        <f>HYPERLINK("https://ssdweb.co/ssdweb/hd/Vision360.html?d=821117261&amp;zoomslide=1&amp;z=1821117261&amp;ISCONFIRM=0","VIDEO")</f>
        <v>VIDEO</v>
      </c>
      <c r="AA185" s="19" t="str">
        <f>HYPERLINK("https://ssdweb.co/ssdweb/CERTH/677511082.pdf","CERTI")</f>
        <v>CERTI</v>
      </c>
    </row>
    <row r="186" spans="1:27" ht="15" x14ac:dyDescent="0.25">
      <c r="A186" s="2">
        <v>181</v>
      </c>
      <c r="B186" s="39">
        <v>927020572</v>
      </c>
      <c r="C186" s="28" t="str">
        <f>HYPERLINK("https://pld.live/RapDetail.aspx?STONELIST=927020572","DNA")</f>
        <v>DNA</v>
      </c>
      <c r="D186" s="18" t="s">
        <v>4563</v>
      </c>
      <c r="E186" s="18" t="s">
        <v>2186</v>
      </c>
      <c r="F186" s="2" t="s">
        <v>7987</v>
      </c>
      <c r="G186" s="2" t="s">
        <v>861</v>
      </c>
      <c r="H186" s="14">
        <v>3</v>
      </c>
      <c r="I186" s="2" t="s">
        <v>4761</v>
      </c>
      <c r="J186" s="2" t="s">
        <v>3942</v>
      </c>
      <c r="K186" s="2" t="s">
        <v>3390</v>
      </c>
      <c r="L186" s="2" t="s">
        <v>5221</v>
      </c>
      <c r="M186" s="2" t="s">
        <v>5221</v>
      </c>
      <c r="N186" s="2" t="s">
        <v>2317</v>
      </c>
      <c r="O186" s="14">
        <v>37000</v>
      </c>
      <c r="P186" s="14">
        <v>99.54</v>
      </c>
      <c r="Q186" s="14">
        <v>170.2</v>
      </c>
      <c r="R186" s="14">
        <v>510.6</v>
      </c>
      <c r="S186" s="2" t="s">
        <v>7857</v>
      </c>
      <c r="T186" s="2">
        <v>1.01</v>
      </c>
      <c r="U186" s="2">
        <v>62</v>
      </c>
      <c r="V186" s="2">
        <v>56</v>
      </c>
      <c r="W186" s="2" t="s">
        <v>7862</v>
      </c>
      <c r="X186" s="2" t="s">
        <v>5405</v>
      </c>
      <c r="Y186" s="2">
        <v>111000</v>
      </c>
      <c r="Z186" s="19" t="str">
        <f>HYPERLINK("https://ssdweb.co/ssdweb/hd/Vision360.html?d=927020572&amp;zoomslide=1&amp;z=1927020572&amp;ISCONFIRM=0","VIDEO")</f>
        <v>VIDEO</v>
      </c>
      <c r="AA186" s="19" t="str">
        <f>HYPERLINK("https://ssdweb.co/ssdweb/CERTH/662417167.pdf","CERTI")</f>
        <v>CERTI</v>
      </c>
    </row>
    <row r="187" spans="1:27" ht="15" x14ac:dyDescent="0.25">
      <c r="A187" s="2">
        <v>182</v>
      </c>
      <c r="B187" s="39">
        <v>926930822</v>
      </c>
      <c r="C187" s="28" t="str">
        <f>HYPERLINK("https://pld.live/RapDetail.aspx?STONELIST=926930822","DNA")</f>
        <v>DNA</v>
      </c>
      <c r="D187" s="18" t="s">
        <v>4563</v>
      </c>
      <c r="E187" s="18" t="s">
        <v>2186</v>
      </c>
      <c r="F187" s="2" t="s">
        <v>7987</v>
      </c>
      <c r="G187" s="2" t="s">
        <v>861</v>
      </c>
      <c r="H187" s="14">
        <v>3</v>
      </c>
      <c r="I187" s="2" t="s">
        <v>4761</v>
      </c>
      <c r="J187" s="2" t="s">
        <v>3942</v>
      </c>
      <c r="K187" s="2" t="s">
        <v>5221</v>
      </c>
      <c r="L187" s="2" t="s">
        <v>5221</v>
      </c>
      <c r="M187" s="2" t="s">
        <v>5221</v>
      </c>
      <c r="N187" s="2" t="s">
        <v>2317</v>
      </c>
      <c r="O187" s="14">
        <v>37000</v>
      </c>
      <c r="P187" s="14">
        <v>99.54</v>
      </c>
      <c r="Q187" s="14">
        <v>170.2</v>
      </c>
      <c r="R187" s="14">
        <v>510.6</v>
      </c>
      <c r="S187" s="2" t="s">
        <v>4974</v>
      </c>
      <c r="T187" s="2">
        <v>1.01</v>
      </c>
      <c r="U187" s="2">
        <v>62.1</v>
      </c>
      <c r="V187" s="2">
        <v>59</v>
      </c>
      <c r="W187" s="2" t="s">
        <v>7862</v>
      </c>
      <c r="X187" s="2" t="s">
        <v>5405</v>
      </c>
      <c r="Y187" s="2">
        <v>111000</v>
      </c>
      <c r="Z187" s="19" t="str">
        <f>HYPERLINK("https://ssdweb.co/ssdweb/hd/Vision360.html?d=926930822&amp;zoomslide=1&amp;z=1926930822&amp;ISCONFIRM=0","VIDEO")</f>
        <v>VIDEO</v>
      </c>
      <c r="AA187" s="19" t="str">
        <f>HYPERLINK("https://ssdweb.co/ssdweb/CERTH/660489725.pdf","CERTI")</f>
        <v>CERTI</v>
      </c>
    </row>
    <row r="188" spans="1:27" ht="15" x14ac:dyDescent="0.25">
      <c r="A188" s="2">
        <v>183</v>
      </c>
      <c r="B188" s="39">
        <v>927080709</v>
      </c>
      <c r="C188" s="28" t="str">
        <f>HYPERLINK("https://pld.live/RapDetail.aspx?STONELIST=927080709","DNA")</f>
        <v>DNA</v>
      </c>
      <c r="D188" s="18" t="s">
        <v>4563</v>
      </c>
      <c r="E188" s="18" t="s">
        <v>2186</v>
      </c>
      <c r="F188" s="2" t="s">
        <v>7987</v>
      </c>
      <c r="G188" s="2" t="s">
        <v>861</v>
      </c>
      <c r="H188" s="14">
        <v>3</v>
      </c>
      <c r="I188" s="2" t="s">
        <v>4761</v>
      </c>
      <c r="J188" s="2" t="s">
        <v>13</v>
      </c>
      <c r="K188" s="2" t="s">
        <v>3390</v>
      </c>
      <c r="L188" s="2" t="s">
        <v>5221</v>
      </c>
      <c r="M188" s="2" t="s">
        <v>5221</v>
      </c>
      <c r="N188" s="2" t="s">
        <v>2317</v>
      </c>
      <c r="O188" s="14">
        <v>32000</v>
      </c>
      <c r="P188" s="14">
        <v>99.5</v>
      </c>
      <c r="Q188" s="14">
        <v>160</v>
      </c>
      <c r="R188" s="14">
        <v>480</v>
      </c>
      <c r="S188" s="2" t="s">
        <v>2369</v>
      </c>
      <c r="T188" s="2">
        <v>1</v>
      </c>
      <c r="U188" s="2">
        <v>62.5</v>
      </c>
      <c r="V188" s="2">
        <v>56</v>
      </c>
      <c r="W188" s="2" t="s">
        <v>7862</v>
      </c>
      <c r="X188" s="2" t="s">
        <v>5405</v>
      </c>
      <c r="Y188" s="2">
        <v>96000</v>
      </c>
      <c r="Z188" s="19" t="str">
        <f>HYPERLINK("https://ssdweb.co/ssdweb/hd/Vision360.html?d=927080709&amp;zoomslide=1&amp;z=1927080709&amp;ISCONFIRM=0","VIDEO")</f>
        <v>VIDEO</v>
      </c>
      <c r="AA188" s="19" t="str">
        <f>HYPERLINK("https://ssdweb.co/ssdweb/CERTH/662473925.pdf","CERTI")</f>
        <v>CERTI</v>
      </c>
    </row>
    <row r="189" spans="1:27" ht="15" x14ac:dyDescent="0.25">
      <c r="A189" s="2">
        <v>184</v>
      </c>
      <c r="B189" s="39">
        <v>926930889</v>
      </c>
      <c r="C189" s="28" t="str">
        <f>HYPERLINK("https://pld.live/RapDetail.aspx?STONELIST=926930889","DNA")</f>
        <v>DNA</v>
      </c>
      <c r="D189" s="18" t="s">
        <v>4563</v>
      </c>
      <c r="E189" s="18" t="s">
        <v>2186</v>
      </c>
      <c r="F189" s="2" t="s">
        <v>7987</v>
      </c>
      <c r="G189" s="2" t="s">
        <v>861</v>
      </c>
      <c r="H189" s="14">
        <v>3</v>
      </c>
      <c r="I189" s="2" t="s">
        <v>4761</v>
      </c>
      <c r="J189" s="2" t="s">
        <v>13</v>
      </c>
      <c r="K189" s="2" t="s">
        <v>5721</v>
      </c>
      <c r="L189" s="2" t="s">
        <v>5221</v>
      </c>
      <c r="M189" s="2" t="s">
        <v>5221</v>
      </c>
      <c r="N189" s="2" t="s">
        <v>2317</v>
      </c>
      <c r="O189" s="14">
        <v>32000</v>
      </c>
      <c r="P189" s="14">
        <v>99.51</v>
      </c>
      <c r="Q189" s="14">
        <v>156.80000000000001</v>
      </c>
      <c r="R189" s="14">
        <v>470.4</v>
      </c>
      <c r="S189" s="2" t="s">
        <v>4540</v>
      </c>
      <c r="T189" s="2">
        <v>1.01</v>
      </c>
      <c r="U189" s="2">
        <v>62.9</v>
      </c>
      <c r="V189" s="2">
        <v>54</v>
      </c>
      <c r="W189" s="2" t="s">
        <v>7862</v>
      </c>
      <c r="X189" s="2" t="s">
        <v>5405</v>
      </c>
      <c r="Y189" s="2">
        <v>96000</v>
      </c>
      <c r="Z189" s="19" t="str">
        <f>HYPERLINK("https://ssdweb.co/ssdweb/hd/Vision360.html?d=926930889&amp;zoomslide=1&amp;z=1926930889&amp;ISCONFIRM=0","VIDEO")</f>
        <v>VIDEO</v>
      </c>
      <c r="AA189" s="19" t="str">
        <f>HYPERLINK("https://ssdweb.co/ssdweb/CERTH/660440566.pdf","CERTI")</f>
        <v>CERTI</v>
      </c>
    </row>
    <row r="190" spans="1:27" ht="15" x14ac:dyDescent="0.25">
      <c r="A190" s="2">
        <v>185</v>
      </c>
      <c r="B190" s="39">
        <v>941050583</v>
      </c>
      <c r="C190" s="28" t="str">
        <f>HYPERLINK("https://pld.live/RapDetail.aspx?STONELIST=941050583","DNA")</f>
        <v>DNA</v>
      </c>
      <c r="D190" s="18" t="s">
        <v>4563</v>
      </c>
      <c r="E190" s="18" t="s">
        <v>2186</v>
      </c>
      <c r="F190" s="2" t="s">
        <v>7987</v>
      </c>
      <c r="G190" s="2" t="s">
        <v>861</v>
      </c>
      <c r="H190" s="14">
        <v>3</v>
      </c>
      <c r="I190" s="2" t="s">
        <v>4761</v>
      </c>
      <c r="J190" s="2" t="s">
        <v>5144</v>
      </c>
      <c r="K190" s="2" t="s">
        <v>3390</v>
      </c>
      <c r="L190" s="2" t="s">
        <v>5221</v>
      </c>
      <c r="M190" s="2" t="s">
        <v>5221</v>
      </c>
      <c r="N190" s="2" t="s">
        <v>2317</v>
      </c>
      <c r="O190" s="14">
        <v>26500</v>
      </c>
      <c r="P190" s="14">
        <v>99.43</v>
      </c>
      <c r="Q190" s="14">
        <v>151.05000000000001</v>
      </c>
      <c r="R190" s="14">
        <v>453.15</v>
      </c>
      <c r="S190" s="2" t="s">
        <v>4183</v>
      </c>
      <c r="T190" s="2">
        <v>1.01</v>
      </c>
      <c r="U190" s="2">
        <v>61.1</v>
      </c>
      <c r="V190" s="2">
        <v>59</v>
      </c>
      <c r="W190" s="2" t="s">
        <v>7862</v>
      </c>
      <c r="X190" s="2" t="s">
        <v>5405</v>
      </c>
      <c r="Y190" s="2">
        <v>79500</v>
      </c>
      <c r="Z190" s="19" t="str">
        <f>HYPERLINK("https://ssdweb.co/ssdweb/hd/Vision360.html?d=941050583&amp;zoomslide=1&amp;z=1941050583&amp;ISCONFIRM=0","VIDEO")</f>
        <v>VIDEO</v>
      </c>
      <c r="AA190" s="19" t="str">
        <f>HYPERLINK("https://ssdweb.co/ssdweb/CERTH/674504125.pdf","CERTI")</f>
        <v>CERTI</v>
      </c>
    </row>
    <row r="191" spans="1:27" ht="15" x14ac:dyDescent="0.25">
      <c r="A191" s="2">
        <v>186</v>
      </c>
      <c r="B191" s="39">
        <v>941130400</v>
      </c>
      <c r="C191" s="28" t="str">
        <f>HYPERLINK("https://pld.live/RapDetail.aspx?STONELIST=941130400","DNA")</f>
        <v>DNA</v>
      </c>
      <c r="D191" s="18" t="s">
        <v>4563</v>
      </c>
      <c r="E191" s="18" t="s">
        <v>2186</v>
      </c>
      <c r="F191" s="2" t="s">
        <v>7987</v>
      </c>
      <c r="G191" s="2" t="s">
        <v>861</v>
      </c>
      <c r="H191" s="14">
        <v>3</v>
      </c>
      <c r="I191" s="2" t="s">
        <v>4699</v>
      </c>
      <c r="J191" s="2" t="s">
        <v>13</v>
      </c>
      <c r="K191" s="2" t="s">
        <v>3390</v>
      </c>
      <c r="L191" s="2" t="s">
        <v>5221</v>
      </c>
      <c r="M191" s="2" t="s">
        <v>5221</v>
      </c>
      <c r="N191" s="2" t="s">
        <v>2317</v>
      </c>
      <c r="O191" s="14">
        <v>29500</v>
      </c>
      <c r="P191" s="14">
        <v>99.49</v>
      </c>
      <c r="Q191" s="14">
        <v>150.44999999999999</v>
      </c>
      <c r="R191" s="14">
        <v>451.35</v>
      </c>
      <c r="S191" s="2" t="s">
        <v>6740</v>
      </c>
      <c r="T191" s="2">
        <v>1.01</v>
      </c>
      <c r="U191" s="2">
        <v>61.9</v>
      </c>
      <c r="V191" s="2">
        <v>58</v>
      </c>
      <c r="W191" s="2" t="s">
        <v>7862</v>
      </c>
      <c r="X191" s="2" t="s">
        <v>5405</v>
      </c>
      <c r="Y191" s="2">
        <v>88500</v>
      </c>
      <c r="Z191" s="19" t="str">
        <f>HYPERLINK("https://ssdweb.co/ssdweb/hd/Vision360.html?d=941130400&amp;zoomslide=1&amp;z=1941130400&amp;ISCONFIRM=0","VIDEO")</f>
        <v>VIDEO</v>
      </c>
      <c r="AA191" s="19" t="str">
        <f>HYPERLINK("https://ssdweb.co/ssdweb/CERTH/674532628.pdf","CERTI")</f>
        <v>CERTI</v>
      </c>
    </row>
    <row r="192" spans="1:27" ht="15" x14ac:dyDescent="0.25">
      <c r="A192" s="2">
        <v>187</v>
      </c>
      <c r="B192" s="39">
        <v>941050164</v>
      </c>
      <c r="C192" s="28" t="str">
        <f>HYPERLINK("https://pld.live/RapDetail.aspx?STONELIST=941050164","DNA")</f>
        <v>DNA</v>
      </c>
      <c r="D192" s="18" t="s">
        <v>4563</v>
      </c>
      <c r="E192" s="18" t="s">
        <v>2186</v>
      </c>
      <c r="F192" s="2" t="s">
        <v>7987</v>
      </c>
      <c r="G192" s="2" t="s">
        <v>861</v>
      </c>
      <c r="H192" s="14">
        <v>3</v>
      </c>
      <c r="I192" s="2" t="s">
        <v>4699</v>
      </c>
      <c r="J192" s="2" t="s">
        <v>13</v>
      </c>
      <c r="K192" s="2" t="s">
        <v>3390</v>
      </c>
      <c r="L192" s="2" t="s">
        <v>5221</v>
      </c>
      <c r="M192" s="2" t="s">
        <v>5221</v>
      </c>
      <c r="N192" s="2" t="s">
        <v>2317</v>
      </c>
      <c r="O192" s="14">
        <v>29500</v>
      </c>
      <c r="P192" s="14">
        <v>99.49</v>
      </c>
      <c r="Q192" s="14">
        <v>150.44999999999999</v>
      </c>
      <c r="R192" s="14">
        <v>451.35</v>
      </c>
      <c r="S192" s="2" t="s">
        <v>3444</v>
      </c>
      <c r="T192" s="2">
        <v>1.01</v>
      </c>
      <c r="U192" s="2">
        <v>62.3</v>
      </c>
      <c r="V192" s="2">
        <v>59</v>
      </c>
      <c r="W192" s="2" t="s">
        <v>7862</v>
      </c>
      <c r="X192" s="2" t="s">
        <v>5405</v>
      </c>
      <c r="Y192" s="2">
        <v>88500</v>
      </c>
      <c r="Z192" s="19" t="str">
        <f>HYPERLINK("https://ssdweb.co/ssdweb/hd/Vision360.html?d=941050164&amp;zoomslide=1&amp;z=1941050164&amp;ISCONFIRM=0","VIDEO")</f>
        <v>VIDEO</v>
      </c>
      <c r="AA192" s="19" t="str">
        <f>HYPERLINK("https://ssdweb.co/ssdweb/CERTH/669458297.pdf","CERTI")</f>
        <v>CERTI</v>
      </c>
    </row>
    <row r="193" spans="1:27" ht="15" x14ac:dyDescent="0.25">
      <c r="A193" s="2">
        <v>188</v>
      </c>
      <c r="B193" s="39">
        <v>831020682</v>
      </c>
      <c r="C193" s="28" t="str">
        <f>HYPERLINK("https://pld.live/RapDetail.aspx?STONELIST=831020682","DNA")</f>
        <v>DNA</v>
      </c>
      <c r="D193" s="18" t="s">
        <v>4563</v>
      </c>
      <c r="E193" s="18" t="s">
        <v>2186</v>
      </c>
      <c r="F193" s="2" t="s">
        <v>7987</v>
      </c>
      <c r="G193" s="2" t="s">
        <v>861</v>
      </c>
      <c r="H193" s="14">
        <v>3</v>
      </c>
      <c r="I193" s="2" t="s">
        <v>6587</v>
      </c>
      <c r="J193" s="2" t="s">
        <v>3942</v>
      </c>
      <c r="K193" s="2" t="s">
        <v>5221</v>
      </c>
      <c r="L193" s="2" t="s">
        <v>5221</v>
      </c>
      <c r="M193" s="2" t="s">
        <v>5221</v>
      </c>
      <c r="N193" s="2" t="s">
        <v>2317</v>
      </c>
      <c r="O193" s="14">
        <v>28000</v>
      </c>
      <c r="P193" s="14">
        <v>99.53</v>
      </c>
      <c r="Q193" s="14">
        <v>131.6</v>
      </c>
      <c r="R193" s="14">
        <v>394.8</v>
      </c>
      <c r="S193" s="2" t="s">
        <v>3726</v>
      </c>
      <c r="T193" s="2">
        <v>1.01</v>
      </c>
      <c r="U193" s="2">
        <v>60.5</v>
      </c>
      <c r="V193" s="2">
        <v>60</v>
      </c>
      <c r="W193" s="2" t="s">
        <v>8016</v>
      </c>
      <c r="X193" s="2" t="s">
        <v>5405</v>
      </c>
      <c r="Y193" s="2">
        <v>84000</v>
      </c>
      <c r="Z193" s="19" t="str">
        <f>HYPERLINK("https://ssdweb.co/ssdweb/hd/Vision360.html?d=831020682&amp;zoomslide=1&amp;z=1831020682&amp;ISCONFIRM=0","VIDEO")</f>
        <v>VIDEO</v>
      </c>
      <c r="AA193" s="19" t="str">
        <f>HYPERLINK("https://ssdweb.co/ssdweb/CERTH/564371127.pdf","CERTI")</f>
        <v>CERTI</v>
      </c>
    </row>
    <row r="194" spans="1:27" ht="15" x14ac:dyDescent="0.25">
      <c r="A194" s="2">
        <v>189</v>
      </c>
      <c r="B194" s="39">
        <v>926910621</v>
      </c>
      <c r="C194" s="28" t="str">
        <f>HYPERLINK("https://pld.live/RapDetail.aspx?STONELIST=926910621","DNA")</f>
        <v>DNA</v>
      </c>
      <c r="D194" s="18" t="s">
        <v>2694</v>
      </c>
      <c r="E194" s="18" t="s">
        <v>2186</v>
      </c>
      <c r="F194" s="2" t="s">
        <v>7987</v>
      </c>
      <c r="G194" s="2" t="s">
        <v>861</v>
      </c>
      <c r="H194" s="14">
        <v>2.91</v>
      </c>
      <c r="I194" s="2" t="s">
        <v>4699</v>
      </c>
      <c r="J194" s="2" t="s">
        <v>13</v>
      </c>
      <c r="K194" s="2" t="s">
        <v>3390</v>
      </c>
      <c r="L194" s="2" t="s">
        <v>5221</v>
      </c>
      <c r="M194" s="2" t="s">
        <v>5221</v>
      </c>
      <c r="N194" s="2" t="s">
        <v>2317</v>
      </c>
      <c r="O194" s="14">
        <v>17500</v>
      </c>
      <c r="P194" s="14">
        <v>99.18</v>
      </c>
      <c r="Q194" s="14">
        <v>143.5</v>
      </c>
      <c r="R194" s="14">
        <v>417.59</v>
      </c>
      <c r="S194" s="2" t="s">
        <v>6364</v>
      </c>
      <c r="T194" s="2">
        <v>1.01</v>
      </c>
      <c r="U194" s="2">
        <v>62.2</v>
      </c>
      <c r="V194" s="2">
        <v>56</v>
      </c>
      <c r="W194" s="2" t="s">
        <v>7862</v>
      </c>
      <c r="X194" s="2" t="s">
        <v>5405</v>
      </c>
      <c r="Y194" s="2">
        <v>50925</v>
      </c>
      <c r="Z194" s="19" t="str">
        <f>HYPERLINK("https://ssdweb.co/ssdweb/hd/Vision360.html?d=926910621&amp;zoomslide=1&amp;z=1926910621&amp;ISCONFIRM=0","VIDEO")</f>
        <v>VIDEO</v>
      </c>
      <c r="AA194" s="19" t="str">
        <f>HYPERLINK("https://ssdweb.co/ssdweb/CERTH/666408401.pdf","CERTI")</f>
        <v>CERTI</v>
      </c>
    </row>
    <row r="195" spans="1:27" ht="15" x14ac:dyDescent="0.25">
      <c r="A195" s="2">
        <v>190</v>
      </c>
      <c r="B195" s="39">
        <v>926470296</v>
      </c>
      <c r="C195" s="28" t="str">
        <f>HYPERLINK("https://pld.live/RapDetail.aspx?STONELIST=926470296","DNA")</f>
        <v>DNA</v>
      </c>
      <c r="D195" s="18" t="s">
        <v>2694</v>
      </c>
      <c r="E195" s="18" t="s">
        <v>2186</v>
      </c>
      <c r="F195" s="2" t="s">
        <v>7987</v>
      </c>
      <c r="G195" s="2" t="s">
        <v>861</v>
      </c>
      <c r="H195" s="14">
        <v>2.91</v>
      </c>
      <c r="I195" s="2" t="s">
        <v>6587</v>
      </c>
      <c r="J195" s="2" t="s">
        <v>5144</v>
      </c>
      <c r="K195" s="2" t="s">
        <v>5221</v>
      </c>
      <c r="L195" s="2" t="s">
        <v>5221</v>
      </c>
      <c r="M195" s="2" t="s">
        <v>5721</v>
      </c>
      <c r="N195" s="2" t="s">
        <v>2317</v>
      </c>
      <c r="O195" s="14">
        <v>13500</v>
      </c>
      <c r="P195" s="14">
        <v>99.06</v>
      </c>
      <c r="Q195" s="14">
        <v>126.9</v>
      </c>
      <c r="R195" s="14">
        <v>369.28</v>
      </c>
      <c r="S195" s="2" t="s">
        <v>69</v>
      </c>
      <c r="T195" s="2">
        <v>1.01</v>
      </c>
      <c r="U195" s="2">
        <v>61.8</v>
      </c>
      <c r="V195" s="2">
        <v>55</v>
      </c>
      <c r="W195" s="2" t="s">
        <v>7862</v>
      </c>
      <c r="X195" s="2" t="s">
        <v>5405</v>
      </c>
      <c r="Y195" s="2">
        <v>39285</v>
      </c>
      <c r="Z195" s="19" t="str">
        <f>HYPERLINK("https://ssdweb.co/ssdweb/hd/Vision360.html?d=926470296&amp;zoomslide=1&amp;z=1926470296&amp;ISCONFIRM=0","VIDEO")</f>
        <v>VIDEO</v>
      </c>
      <c r="AA195" s="19" t="str">
        <f>HYPERLINK("https://ssdweb.co/ssdweb/CERTH/645461701.pdf","CERTI")</f>
        <v>CERTI</v>
      </c>
    </row>
    <row r="196" spans="1:27" ht="15" x14ac:dyDescent="0.25">
      <c r="A196" s="2">
        <v>191</v>
      </c>
      <c r="B196" s="39">
        <v>924250344</v>
      </c>
      <c r="C196" s="28" t="str">
        <f>HYPERLINK("https://pld.live/RapDetail.aspx?STONELIST=924250344","DNA")</f>
        <v>DNA</v>
      </c>
      <c r="D196" s="18" t="s">
        <v>2694</v>
      </c>
      <c r="E196" s="18" t="s">
        <v>2186</v>
      </c>
      <c r="F196" s="2" t="s">
        <v>7987</v>
      </c>
      <c r="G196" s="2" t="s">
        <v>861</v>
      </c>
      <c r="H196" s="14">
        <v>2.9</v>
      </c>
      <c r="I196" s="2" t="s">
        <v>6587</v>
      </c>
      <c r="J196" s="2" t="s">
        <v>13</v>
      </c>
      <c r="K196" s="2" t="s">
        <v>3390</v>
      </c>
      <c r="L196" s="2" t="s">
        <v>5221</v>
      </c>
      <c r="M196" s="2" t="s">
        <v>5221</v>
      </c>
      <c r="N196" s="2" t="s">
        <v>2317</v>
      </c>
      <c r="O196" s="14">
        <v>15000</v>
      </c>
      <c r="P196" s="14">
        <v>99.17</v>
      </c>
      <c r="Q196" s="14">
        <v>124.5</v>
      </c>
      <c r="R196" s="14">
        <v>361.05</v>
      </c>
      <c r="S196" s="2" t="s">
        <v>4280</v>
      </c>
      <c r="T196" s="2">
        <v>1</v>
      </c>
      <c r="U196" s="2">
        <v>62.4</v>
      </c>
      <c r="V196" s="2">
        <v>56</v>
      </c>
      <c r="W196" s="2" t="s">
        <v>7862</v>
      </c>
      <c r="X196" s="2" t="s">
        <v>5405</v>
      </c>
      <c r="Y196" s="2">
        <v>43500</v>
      </c>
      <c r="Z196" s="19" t="str">
        <f>HYPERLINK("https://ssdweb.co/ssdweb/hd/Vision360.html?d=924250344&amp;zoomslide=1&amp;z=1924250344&amp;ISCONFIRM=0","VIDEO")</f>
        <v>VIDEO</v>
      </c>
      <c r="AA196" s="19" t="str">
        <f>HYPERLINK("https://ssdweb.co/ssdweb/CERTH/579394841.pdf","CERTI")</f>
        <v>CERTI</v>
      </c>
    </row>
    <row r="197" spans="1:27" ht="15" x14ac:dyDescent="0.25">
      <c r="A197" s="2">
        <v>192</v>
      </c>
      <c r="B197" s="39">
        <v>831020622</v>
      </c>
      <c r="C197" s="28" t="str">
        <f>HYPERLINK("https://pld.live/RapDetail.aspx?STONELIST=831020622","DNA")</f>
        <v>DNA</v>
      </c>
      <c r="D197" s="18" t="s">
        <v>2694</v>
      </c>
      <c r="E197" s="18" t="s">
        <v>2186</v>
      </c>
      <c r="F197" s="2" t="s">
        <v>5597</v>
      </c>
      <c r="G197" s="2" t="s">
        <v>861</v>
      </c>
      <c r="H197" s="14">
        <v>2.9</v>
      </c>
      <c r="I197" s="2" t="s">
        <v>6587</v>
      </c>
      <c r="J197" s="2" t="s">
        <v>13</v>
      </c>
      <c r="K197" s="2" t="s">
        <v>5221</v>
      </c>
      <c r="L197" s="2" t="s">
        <v>5221</v>
      </c>
      <c r="M197" s="2" t="s">
        <v>5221</v>
      </c>
      <c r="N197" s="2" t="s">
        <v>2317</v>
      </c>
      <c r="O197" s="14">
        <v>15000</v>
      </c>
      <c r="P197" s="14">
        <v>98.51</v>
      </c>
      <c r="Q197" s="14">
        <v>223.5</v>
      </c>
      <c r="R197" s="14">
        <v>648.15</v>
      </c>
      <c r="S197" s="2" t="s">
        <v>214</v>
      </c>
      <c r="T197" s="2">
        <v>1.01</v>
      </c>
      <c r="U197" s="2">
        <v>62.3</v>
      </c>
      <c r="V197" s="2">
        <v>59</v>
      </c>
      <c r="W197" s="2" t="s">
        <v>7862</v>
      </c>
      <c r="X197" s="2" t="s">
        <v>5405</v>
      </c>
      <c r="Y197" s="2">
        <v>43500</v>
      </c>
      <c r="Z197" s="19" t="str">
        <f>HYPERLINK("https://ssdweb.co/ssdweb/hd/Vision360.html?d=831020622&amp;zoomslide=1&amp;z=1831020622&amp;ISCONFIRM=0","VIDEO")</f>
        <v>VIDEO</v>
      </c>
      <c r="AA197" s="19" t="str">
        <f>HYPERLINK("https://ssdweb.co/ssdweb/CERTH/5456529178.pdf","CERTI")</f>
        <v>CERTI</v>
      </c>
    </row>
    <row r="198" spans="1:27" ht="15" x14ac:dyDescent="0.25">
      <c r="A198" s="2">
        <v>193</v>
      </c>
      <c r="B198" s="39">
        <v>941220612</v>
      </c>
      <c r="C198" s="28" t="str">
        <f>HYPERLINK("https://pld.live/RapDetail.aspx?STONELIST=941220612","DNA")</f>
        <v>DNA</v>
      </c>
      <c r="D198" s="18" t="s">
        <v>2694</v>
      </c>
      <c r="E198" s="18" t="s">
        <v>2186</v>
      </c>
      <c r="F198" s="2" t="s">
        <v>7987</v>
      </c>
      <c r="G198" s="2" t="s">
        <v>861</v>
      </c>
      <c r="H198" s="14">
        <v>2.85</v>
      </c>
      <c r="I198" s="2" t="s">
        <v>4761</v>
      </c>
      <c r="J198" s="2" t="s">
        <v>13</v>
      </c>
      <c r="K198" s="2" t="s">
        <v>3390</v>
      </c>
      <c r="L198" s="2" t="s">
        <v>5221</v>
      </c>
      <c r="M198" s="2" t="s">
        <v>5221</v>
      </c>
      <c r="N198" s="2" t="s">
        <v>2317</v>
      </c>
      <c r="O198" s="14">
        <v>19000</v>
      </c>
      <c r="P198" s="14">
        <v>99.18</v>
      </c>
      <c r="Q198" s="14">
        <v>155.80000000000001</v>
      </c>
      <c r="R198" s="14">
        <v>444.03</v>
      </c>
      <c r="S198" s="2" t="s">
        <v>7610</v>
      </c>
      <c r="T198" s="2">
        <v>1.01</v>
      </c>
      <c r="U198" s="2">
        <v>60.6</v>
      </c>
      <c r="V198" s="2">
        <v>59</v>
      </c>
      <c r="W198" s="2" t="s">
        <v>7862</v>
      </c>
      <c r="X198" s="2" t="s">
        <v>5405</v>
      </c>
      <c r="Y198" s="2">
        <v>54150</v>
      </c>
      <c r="Z198" s="19" t="str">
        <f>HYPERLINK("https://ssdweb.co/ssdweb/hd/Vision360.html?d=941220612&amp;zoomslide=1&amp;z=1941220612&amp;ISCONFIRM=0","VIDEO")</f>
        <v>VIDEO</v>
      </c>
      <c r="AA198" s="19" t="str">
        <f>HYPERLINK("https://ssdweb.co/ssdweb/CERTH/681569649.pdf","CERTI")</f>
        <v>CERTI</v>
      </c>
    </row>
    <row r="199" spans="1:27" ht="15" x14ac:dyDescent="0.25">
      <c r="A199" s="2">
        <v>194</v>
      </c>
      <c r="B199" s="39">
        <v>9414500342</v>
      </c>
      <c r="C199" s="28" t="str">
        <f>HYPERLINK("https://pld.live/RapDetail.aspx?STONELIST=9414500342","DNA")</f>
        <v>DNA</v>
      </c>
      <c r="D199" s="18" t="s">
        <v>2694</v>
      </c>
      <c r="E199" s="18" t="s">
        <v>2186</v>
      </c>
      <c r="F199" s="2" t="s">
        <v>7987</v>
      </c>
      <c r="G199" s="2" t="s">
        <v>861</v>
      </c>
      <c r="H199" s="14">
        <v>2.85</v>
      </c>
      <c r="I199" s="2" t="s">
        <v>4761</v>
      </c>
      <c r="J199" s="2" t="s">
        <v>13</v>
      </c>
      <c r="K199" s="2" t="s">
        <v>3390</v>
      </c>
      <c r="L199" s="2" t="s">
        <v>5221</v>
      </c>
      <c r="M199" s="2" t="s">
        <v>5221</v>
      </c>
      <c r="N199" s="2" t="s">
        <v>2317</v>
      </c>
      <c r="O199" s="14">
        <v>19000</v>
      </c>
      <c r="P199" s="14">
        <v>99.18</v>
      </c>
      <c r="Q199" s="14">
        <v>155.80000000000001</v>
      </c>
      <c r="R199" s="14">
        <v>444.03</v>
      </c>
      <c r="S199" s="2" t="s">
        <v>153</v>
      </c>
      <c r="T199" s="2">
        <v>1.01</v>
      </c>
      <c r="U199" s="2">
        <v>60.6</v>
      </c>
      <c r="V199" s="2">
        <v>59</v>
      </c>
      <c r="W199" s="2" t="s">
        <v>7862</v>
      </c>
      <c r="X199" s="2" t="s">
        <v>5405</v>
      </c>
      <c r="Y199" s="2">
        <v>54150</v>
      </c>
      <c r="Z199" s="19" t="str">
        <f>HYPERLINK("https://ssdweb.co/ssdweb/hd/Vision360.html?d=9414500342&amp;zoomslide=1&amp;z=19414500342&amp;ISCONFIRM=0","VIDEO")</f>
        <v>VIDEO</v>
      </c>
      <c r="AA199" s="19" t="str">
        <f>HYPERLINK("https://ssdweb.co/ssdweb/CERTH/694579617.pdf","CERTI")</f>
        <v>CERTI</v>
      </c>
    </row>
    <row r="200" spans="1:27" ht="15" x14ac:dyDescent="0.25">
      <c r="A200" s="2">
        <v>195</v>
      </c>
      <c r="B200" s="39">
        <v>927000517</v>
      </c>
      <c r="C200" s="28" t="str">
        <f>HYPERLINK("https://pld.live/RapDetail.aspx?STONELIST=927000517","DNA")</f>
        <v>DNA</v>
      </c>
      <c r="D200" s="18" t="s">
        <v>2694</v>
      </c>
      <c r="E200" s="18" t="s">
        <v>2186</v>
      </c>
      <c r="F200" s="2" t="s">
        <v>7987</v>
      </c>
      <c r="G200" s="2" t="s">
        <v>861</v>
      </c>
      <c r="H200" s="14">
        <v>2.84</v>
      </c>
      <c r="I200" s="2" t="s">
        <v>6587</v>
      </c>
      <c r="J200" s="2" t="s">
        <v>3942</v>
      </c>
      <c r="K200" s="2" t="s">
        <v>3390</v>
      </c>
      <c r="L200" s="2" t="s">
        <v>5221</v>
      </c>
      <c r="M200" s="2" t="s">
        <v>5221</v>
      </c>
      <c r="N200" s="2" t="s">
        <v>2317</v>
      </c>
      <c r="O200" s="14">
        <v>16500</v>
      </c>
      <c r="P200" s="14">
        <v>99.13</v>
      </c>
      <c r="Q200" s="14">
        <v>143.55000000000001</v>
      </c>
      <c r="R200" s="14">
        <v>407.68</v>
      </c>
      <c r="S200" s="2" t="s">
        <v>3764</v>
      </c>
      <c r="T200" s="2">
        <v>1.01</v>
      </c>
      <c r="U200" s="2">
        <v>61</v>
      </c>
      <c r="V200" s="2">
        <v>58</v>
      </c>
      <c r="W200" s="2" t="s">
        <v>7862</v>
      </c>
      <c r="X200" s="2" t="s">
        <v>5405</v>
      </c>
      <c r="Y200" s="2">
        <v>46860</v>
      </c>
      <c r="Z200" s="19" t="str">
        <f>HYPERLINK("https://ssdweb.co/ssdweb/hd/Vision360.html?d=927000517&amp;zoomslide=1&amp;z=1927000517&amp;ISCONFIRM=0","VIDEO")</f>
        <v>VIDEO</v>
      </c>
      <c r="AA200" s="19" t="str">
        <f>HYPERLINK("https://ssdweb.co/ssdweb/CERTH/660490587.pdf","CERTI")</f>
        <v>CERTI</v>
      </c>
    </row>
    <row r="201" spans="1:27" ht="15" x14ac:dyDescent="0.25">
      <c r="A201" s="2">
        <v>196</v>
      </c>
      <c r="B201" s="39">
        <v>926380305</v>
      </c>
      <c r="C201" s="28" t="str">
        <f>HYPERLINK("https://pld.live/RapDetail.aspx?STONELIST=926380305","DNA")</f>
        <v>DNA</v>
      </c>
      <c r="D201" s="18" t="s">
        <v>2694</v>
      </c>
      <c r="E201" s="18" t="s">
        <v>2186</v>
      </c>
      <c r="F201" s="2" t="s">
        <v>7987</v>
      </c>
      <c r="G201" s="2" t="s">
        <v>861</v>
      </c>
      <c r="H201" s="14">
        <v>2.84</v>
      </c>
      <c r="I201" s="2" t="s">
        <v>6587</v>
      </c>
      <c r="J201" s="2" t="s">
        <v>5144</v>
      </c>
      <c r="K201" s="2" t="s">
        <v>3390</v>
      </c>
      <c r="L201" s="2" t="s">
        <v>5221</v>
      </c>
      <c r="M201" s="2" t="s">
        <v>5221</v>
      </c>
      <c r="N201" s="2" t="s">
        <v>2317</v>
      </c>
      <c r="O201" s="14">
        <v>13500</v>
      </c>
      <c r="P201" s="14">
        <v>99.04</v>
      </c>
      <c r="Q201" s="14">
        <v>129.6</v>
      </c>
      <c r="R201" s="14">
        <v>368.06</v>
      </c>
      <c r="S201" s="2" t="s">
        <v>5756</v>
      </c>
      <c r="T201" s="2">
        <v>1.01</v>
      </c>
      <c r="U201" s="2">
        <v>62.1</v>
      </c>
      <c r="V201" s="2">
        <v>57</v>
      </c>
      <c r="W201" s="2" t="s">
        <v>7862</v>
      </c>
      <c r="X201" s="2" t="s">
        <v>5405</v>
      </c>
      <c r="Y201" s="2">
        <v>38340</v>
      </c>
      <c r="Z201" s="19" t="str">
        <f>HYPERLINK("https://ssdweb.co/ssdweb/hd/Vision360.html?d=926380305&amp;zoomslide=1&amp;z=1926380305&amp;ISCONFIRM=0","VIDEO")</f>
        <v>VIDEO</v>
      </c>
      <c r="AA201" s="19" t="str">
        <f>HYPERLINK("https://ssdweb.co/ssdweb/CERTH/642497703.pdf","CERTI")</f>
        <v>CERTI</v>
      </c>
    </row>
    <row r="202" spans="1:27" ht="15" x14ac:dyDescent="0.25">
      <c r="A202" s="2">
        <v>197</v>
      </c>
      <c r="B202" s="39">
        <v>831020549</v>
      </c>
      <c r="C202" s="28" t="str">
        <f>HYPERLINK("https://pld.live/RapDetail.aspx?STONELIST=831020549","DNA")</f>
        <v>DNA</v>
      </c>
      <c r="D202" s="18" t="s">
        <v>2694</v>
      </c>
      <c r="E202" s="18" t="s">
        <v>2186</v>
      </c>
      <c r="F202" s="2" t="s">
        <v>5597</v>
      </c>
      <c r="G202" s="2" t="s">
        <v>861</v>
      </c>
      <c r="H202" s="14">
        <v>2.82</v>
      </c>
      <c r="I202" s="2" t="s">
        <v>4699</v>
      </c>
      <c r="J202" s="2" t="s">
        <v>13</v>
      </c>
      <c r="K202" s="2" t="s">
        <v>5221</v>
      </c>
      <c r="L202" s="2" t="s">
        <v>5221</v>
      </c>
      <c r="M202" s="2" t="s">
        <v>5221</v>
      </c>
      <c r="N202" s="2" t="s">
        <v>2317</v>
      </c>
      <c r="O202" s="14">
        <v>17500</v>
      </c>
      <c r="P202" s="14">
        <v>98.7</v>
      </c>
      <c r="Q202" s="14">
        <v>227.5</v>
      </c>
      <c r="R202" s="14">
        <v>641.54999999999995</v>
      </c>
      <c r="S202" s="2" t="s">
        <v>7505</v>
      </c>
      <c r="T202" s="2">
        <v>1</v>
      </c>
      <c r="U202" s="2">
        <v>60.1</v>
      </c>
      <c r="V202" s="2">
        <v>59</v>
      </c>
      <c r="W202" s="2" t="s">
        <v>7862</v>
      </c>
      <c r="X202" s="2" t="s">
        <v>5405</v>
      </c>
      <c r="Y202" s="2">
        <v>49350</v>
      </c>
      <c r="Z202" s="19" t="str">
        <f>HYPERLINK("https://ssdweb.co/ssdweb/hd/Vision360.html?d=831020549&amp;zoomslide=1&amp;z=1831020549&amp;ISCONFIRM=0","VIDEO")</f>
        <v>VIDEO</v>
      </c>
      <c r="AA202" s="19" t="str">
        <f>HYPERLINK("https://ssdweb.co/ssdweb/CERTH/6455552973.pdf","CERTI")</f>
        <v>CERTI</v>
      </c>
    </row>
    <row r="203" spans="1:27" ht="15" x14ac:dyDescent="0.25">
      <c r="A203" s="2">
        <v>198</v>
      </c>
      <c r="B203" s="39">
        <v>831020407</v>
      </c>
      <c r="C203" s="28" t="str">
        <f>HYPERLINK("https://pld.live/RapDetail.aspx?STONELIST=831020407","DNA")</f>
        <v>DNA</v>
      </c>
      <c r="D203" s="18" t="s">
        <v>2694</v>
      </c>
      <c r="E203" s="18" t="s">
        <v>2186</v>
      </c>
      <c r="F203" s="2" t="s">
        <v>7987</v>
      </c>
      <c r="G203" s="2" t="s">
        <v>861</v>
      </c>
      <c r="H203" s="14">
        <v>2.81</v>
      </c>
      <c r="I203" s="2" t="s">
        <v>6587</v>
      </c>
      <c r="J203" s="2" t="s">
        <v>13</v>
      </c>
      <c r="K203" s="2" t="s">
        <v>3390</v>
      </c>
      <c r="L203" s="2" t="s">
        <v>5221</v>
      </c>
      <c r="M203" s="2" t="s">
        <v>5221</v>
      </c>
      <c r="N203" s="2" t="s">
        <v>2317</v>
      </c>
      <c r="O203" s="14">
        <v>15000</v>
      </c>
      <c r="P203" s="14">
        <v>99.12</v>
      </c>
      <c r="Q203" s="14">
        <v>132</v>
      </c>
      <c r="R203" s="14">
        <v>370.92</v>
      </c>
      <c r="S203" s="2" t="s">
        <v>6173</v>
      </c>
      <c r="T203" s="2">
        <v>1</v>
      </c>
      <c r="U203" s="2">
        <v>62.4</v>
      </c>
      <c r="V203" s="2">
        <v>58</v>
      </c>
      <c r="W203" s="2" t="s">
        <v>7862</v>
      </c>
      <c r="X203" s="2" t="s">
        <v>5405</v>
      </c>
      <c r="Y203" s="2">
        <v>42150</v>
      </c>
      <c r="Z203" s="19" t="str">
        <f>HYPERLINK("https://ssdweb.co/ssdweb/hd/Vision360.html?d=831020407&amp;zoomslide=1&amp;z=1831020407&amp;ISCONFIRM=0","VIDEO")</f>
        <v>VIDEO</v>
      </c>
      <c r="AA203" s="19" t="str">
        <f>HYPERLINK("https://ssdweb.co/ssdweb/CERTH/605330586.pdf","CERTI")</f>
        <v>CERTI</v>
      </c>
    </row>
    <row r="204" spans="1:27" ht="15" x14ac:dyDescent="0.25">
      <c r="A204" s="2">
        <v>199</v>
      </c>
      <c r="B204" s="39">
        <v>941310054</v>
      </c>
      <c r="C204" s="28" t="str">
        <f>HYPERLINK("https://pld.live/RapDetail.aspx?STONELIST=941310054","DNA")</f>
        <v>DNA</v>
      </c>
      <c r="D204" s="18" t="s">
        <v>2694</v>
      </c>
      <c r="E204" s="18" t="s">
        <v>2186</v>
      </c>
      <c r="F204" s="2" t="s">
        <v>7987</v>
      </c>
      <c r="G204" s="2" t="s">
        <v>861</v>
      </c>
      <c r="H204" s="14">
        <v>2.8</v>
      </c>
      <c r="I204" s="2" t="s">
        <v>4761</v>
      </c>
      <c r="J204" s="2" t="s">
        <v>13</v>
      </c>
      <c r="K204" s="2" t="s">
        <v>3390</v>
      </c>
      <c r="L204" s="2" t="s">
        <v>5221</v>
      </c>
      <c r="M204" s="2" t="s">
        <v>5221</v>
      </c>
      <c r="N204" s="2" t="s">
        <v>2317</v>
      </c>
      <c r="O204" s="14">
        <v>19000</v>
      </c>
      <c r="P204" s="14">
        <v>99.18</v>
      </c>
      <c r="Q204" s="14">
        <v>155.80000000000001</v>
      </c>
      <c r="R204" s="14">
        <v>436.24</v>
      </c>
      <c r="S204" s="2" t="s">
        <v>3083</v>
      </c>
      <c r="T204" s="2">
        <v>1</v>
      </c>
      <c r="U204" s="2">
        <v>60.9</v>
      </c>
      <c r="V204" s="2">
        <v>59</v>
      </c>
      <c r="W204" s="2" t="s">
        <v>7862</v>
      </c>
      <c r="X204" s="2" t="s">
        <v>5405</v>
      </c>
      <c r="Y204" s="2">
        <v>53200</v>
      </c>
      <c r="Z204" s="19" t="str">
        <f>HYPERLINK("https://ssdweb.co/ssdweb/hd/Vision360.html?d=941310054&amp;zoomslide=1&amp;z=1941310054&amp;ISCONFIRM=0","VIDEO")</f>
        <v>VIDEO</v>
      </c>
      <c r="AA204" s="19" t="str">
        <f>HYPERLINK("https://ssdweb.co/ssdweb/CERTH/685590674.pdf","CERTI")</f>
        <v>CERTI</v>
      </c>
    </row>
    <row r="205" spans="1:27" ht="15" x14ac:dyDescent="0.25">
      <c r="A205" s="2">
        <v>200</v>
      </c>
      <c r="B205" s="39">
        <v>924350041</v>
      </c>
      <c r="C205" s="28" t="str">
        <f>HYPERLINK("https://pld.live/RapDetail.aspx?STONELIST=924350041","DNA")</f>
        <v>DNA</v>
      </c>
      <c r="D205" s="18" t="s">
        <v>2694</v>
      </c>
      <c r="E205" s="18" t="s">
        <v>2186</v>
      </c>
      <c r="F205" s="2" t="s">
        <v>5597</v>
      </c>
      <c r="G205" s="2" t="s">
        <v>861</v>
      </c>
      <c r="H205" s="14">
        <v>2.77</v>
      </c>
      <c r="I205" s="2" t="s">
        <v>4699</v>
      </c>
      <c r="J205" s="2" t="s">
        <v>13</v>
      </c>
      <c r="K205" s="2" t="s">
        <v>5221</v>
      </c>
      <c r="L205" s="2" t="s">
        <v>5221</v>
      </c>
      <c r="M205" s="2" t="s">
        <v>5221</v>
      </c>
      <c r="N205" s="2" t="s">
        <v>2317</v>
      </c>
      <c r="O205" s="14">
        <v>17500</v>
      </c>
      <c r="P205" s="14">
        <v>98.7</v>
      </c>
      <c r="Q205" s="14">
        <v>227.5</v>
      </c>
      <c r="R205" s="14">
        <v>630.17999999999995</v>
      </c>
      <c r="S205" s="2" t="s">
        <v>6982</v>
      </c>
      <c r="T205" s="2">
        <v>1.01</v>
      </c>
      <c r="U205" s="2">
        <v>61.7</v>
      </c>
      <c r="V205" s="2">
        <v>59</v>
      </c>
      <c r="W205" s="2" t="s">
        <v>7862</v>
      </c>
      <c r="X205" s="2" t="s">
        <v>5405</v>
      </c>
      <c r="Y205" s="2">
        <v>48475</v>
      </c>
      <c r="Z205" s="19" t="str">
        <f>HYPERLINK("https://ssdweb.co/ssdweb/hd/Vision360.html?d=924350041&amp;zoomslide=1&amp;z=1924350041&amp;ISCONFIRM=0","VIDEO")</f>
        <v>VIDEO</v>
      </c>
      <c r="AA205" s="19" t="str">
        <f>HYPERLINK("https://ssdweb.co/ssdweb/CERTH/6462917394.pdf","CERTI")</f>
        <v>CERTI</v>
      </c>
    </row>
    <row r="206" spans="1:27" ht="15" x14ac:dyDescent="0.25">
      <c r="A206" s="2">
        <v>201</v>
      </c>
      <c r="B206" s="39">
        <v>925010022</v>
      </c>
      <c r="C206" s="28" t="str">
        <f>HYPERLINK("https://pld.live/RapDetail.aspx?STONELIST=925010022","DNA")</f>
        <v>DNA</v>
      </c>
      <c r="D206" s="18" t="s">
        <v>2694</v>
      </c>
      <c r="E206" s="18" t="s">
        <v>2186</v>
      </c>
      <c r="F206" s="2" t="s">
        <v>7987</v>
      </c>
      <c r="G206" s="2" t="s">
        <v>861</v>
      </c>
      <c r="H206" s="14">
        <v>2.76</v>
      </c>
      <c r="I206" s="2" t="s">
        <v>6845</v>
      </c>
      <c r="J206" s="2" t="s">
        <v>13</v>
      </c>
      <c r="K206" s="2" t="s">
        <v>5721</v>
      </c>
      <c r="L206" s="2" t="s">
        <v>5221</v>
      </c>
      <c r="M206" s="2" t="s">
        <v>5221</v>
      </c>
      <c r="N206" s="2" t="s">
        <v>2317</v>
      </c>
      <c r="O206" s="14">
        <v>6100</v>
      </c>
      <c r="P206" s="14">
        <v>96.72</v>
      </c>
      <c r="Q206" s="14">
        <v>200.08</v>
      </c>
      <c r="R206" s="14">
        <v>552.22</v>
      </c>
      <c r="S206" s="2" t="s">
        <v>6208</v>
      </c>
      <c r="T206" s="2">
        <v>1.01</v>
      </c>
      <c r="U206" s="2">
        <v>63.5</v>
      </c>
      <c r="V206" s="2">
        <v>60</v>
      </c>
      <c r="W206" s="2" t="s">
        <v>7862</v>
      </c>
      <c r="X206" s="2" t="s">
        <v>5405</v>
      </c>
      <c r="Y206" s="2">
        <v>16836</v>
      </c>
      <c r="Z206" s="19" t="str">
        <f>HYPERLINK("https://ssdweb.co/ssdweb/hd/Vision360.html?d=925010022&amp;zoomslide=1&amp;z=1925010022&amp;ISCONFIRM=0","VIDEO")</f>
        <v>VIDEO</v>
      </c>
      <c r="AA206" s="19" t="str">
        <f>HYPERLINK("https://ssdweb.co/ssdweb/CERTH/613350040.pdf","CERTI")</f>
        <v>CERTI</v>
      </c>
    </row>
    <row r="207" spans="1:27" ht="15" x14ac:dyDescent="0.25">
      <c r="A207" s="2">
        <v>202</v>
      </c>
      <c r="B207" s="39">
        <v>926450549</v>
      </c>
      <c r="C207" s="28" t="str">
        <f>HYPERLINK("https://pld.live/RapDetail.aspx?STONELIST=926450549","DNA")</f>
        <v>DNA</v>
      </c>
      <c r="D207" s="18" t="s">
        <v>2694</v>
      </c>
      <c r="E207" s="18" t="s">
        <v>2186</v>
      </c>
      <c r="F207" s="2" t="s">
        <v>7987</v>
      </c>
      <c r="G207" s="2" t="s">
        <v>861</v>
      </c>
      <c r="H207" s="14">
        <v>2.74</v>
      </c>
      <c r="I207" s="2" t="s">
        <v>6587</v>
      </c>
      <c r="J207" s="2" t="s">
        <v>3942</v>
      </c>
      <c r="K207" s="2" t="s">
        <v>3390</v>
      </c>
      <c r="L207" s="2" t="s">
        <v>5221</v>
      </c>
      <c r="M207" s="2" t="s">
        <v>5221</v>
      </c>
      <c r="N207" s="2" t="s">
        <v>2317</v>
      </c>
      <c r="O207" s="14">
        <v>16500</v>
      </c>
      <c r="P207" s="14">
        <v>99.13</v>
      </c>
      <c r="Q207" s="14">
        <v>143.55000000000001</v>
      </c>
      <c r="R207" s="14">
        <v>393.33</v>
      </c>
      <c r="S207" s="2" t="s">
        <v>3892</v>
      </c>
      <c r="T207" s="2">
        <v>1.01</v>
      </c>
      <c r="U207" s="2">
        <v>60.9</v>
      </c>
      <c r="V207" s="2">
        <v>56</v>
      </c>
      <c r="W207" s="2" t="s">
        <v>7862</v>
      </c>
      <c r="X207" s="2" t="s">
        <v>5405</v>
      </c>
      <c r="Y207" s="2">
        <v>45210</v>
      </c>
      <c r="Z207" s="19" t="str">
        <f>HYPERLINK("https://ssdweb.co/ssdweb/hd/Vision360.html?d=926450549&amp;zoomslide=1&amp;z=1926450549&amp;ISCONFIRM=0","VIDEO")</f>
        <v>VIDEO</v>
      </c>
      <c r="AA207" s="19" t="str">
        <f>HYPERLINK("https://ssdweb.co/ssdweb/CERTH/645461714.pdf","CERTI")</f>
        <v>CERTI</v>
      </c>
    </row>
    <row r="208" spans="1:27" ht="15" x14ac:dyDescent="0.25">
      <c r="A208" s="2">
        <v>203</v>
      </c>
      <c r="B208" s="39">
        <v>924250455</v>
      </c>
      <c r="C208" s="28" t="str">
        <f>HYPERLINK("https://pld.live/RapDetail.aspx?STONELIST=924250455","DNA")</f>
        <v>DNA</v>
      </c>
      <c r="D208" s="18" t="s">
        <v>2694</v>
      </c>
      <c r="E208" s="18" t="s">
        <v>2186</v>
      </c>
      <c r="F208" s="2" t="s">
        <v>5597</v>
      </c>
      <c r="G208" s="2" t="s">
        <v>861</v>
      </c>
      <c r="H208" s="14">
        <v>2.73</v>
      </c>
      <c r="I208" s="2" t="s">
        <v>4699</v>
      </c>
      <c r="J208" s="2" t="s">
        <v>13</v>
      </c>
      <c r="K208" s="2" t="s">
        <v>5221</v>
      </c>
      <c r="L208" s="2" t="s">
        <v>5221</v>
      </c>
      <c r="M208" s="2" t="s">
        <v>5221</v>
      </c>
      <c r="N208" s="2" t="s">
        <v>2317</v>
      </c>
      <c r="O208" s="14">
        <v>17500</v>
      </c>
      <c r="P208" s="14">
        <v>98.7</v>
      </c>
      <c r="Q208" s="14">
        <v>227.5</v>
      </c>
      <c r="R208" s="14">
        <v>621.08000000000004</v>
      </c>
      <c r="S208" s="2" t="s">
        <v>708</v>
      </c>
      <c r="T208" s="2">
        <v>1</v>
      </c>
      <c r="U208" s="2">
        <v>60.1</v>
      </c>
      <c r="V208" s="2">
        <v>59</v>
      </c>
      <c r="W208" s="2" t="s">
        <v>7862</v>
      </c>
      <c r="X208" s="2" t="s">
        <v>5405</v>
      </c>
      <c r="Y208" s="2">
        <v>47775</v>
      </c>
      <c r="Z208" s="19" t="str">
        <f>HYPERLINK("https://ssdweb.co/ssdweb/hd/Vision360.html?d=924250455&amp;zoomslide=1&amp;z=1924250455&amp;ISCONFIRM=0","VIDEO")</f>
        <v>VIDEO</v>
      </c>
      <c r="AA208" s="19" t="str">
        <f>HYPERLINK("https://ssdweb.co/ssdweb/CERTH/2467603718.pdf","CERTI")</f>
        <v>CERTI</v>
      </c>
    </row>
    <row r="209" spans="1:27" ht="15" x14ac:dyDescent="0.25">
      <c r="A209" s="2">
        <v>204</v>
      </c>
      <c r="B209" s="39">
        <v>941360342</v>
      </c>
      <c r="C209" s="28" t="str">
        <f>HYPERLINK("https://pld.live/RapDetail.aspx?STONELIST=941360342","DNA")</f>
        <v>DNA</v>
      </c>
      <c r="D209" s="18" t="s">
        <v>2694</v>
      </c>
      <c r="E209" s="18" t="s">
        <v>2186</v>
      </c>
      <c r="F209" s="2" t="s">
        <v>7987</v>
      </c>
      <c r="G209" s="2" t="s">
        <v>861</v>
      </c>
      <c r="H209" s="14">
        <v>2.71</v>
      </c>
      <c r="I209" s="2" t="s">
        <v>4761</v>
      </c>
      <c r="J209" s="2" t="s">
        <v>3942</v>
      </c>
      <c r="K209" s="2" t="s">
        <v>3390</v>
      </c>
      <c r="L209" s="2" t="s">
        <v>5221</v>
      </c>
      <c r="M209" s="2" t="s">
        <v>5221</v>
      </c>
      <c r="N209" s="2" t="s">
        <v>2317</v>
      </c>
      <c r="O209" s="14">
        <v>21000</v>
      </c>
      <c r="P209" s="14">
        <v>99.16</v>
      </c>
      <c r="Q209" s="14">
        <v>176.4</v>
      </c>
      <c r="R209" s="14">
        <v>478.04</v>
      </c>
      <c r="S209" s="2" t="s">
        <v>1857</v>
      </c>
      <c r="T209" s="2">
        <v>1</v>
      </c>
      <c r="U209" s="2">
        <v>62.3</v>
      </c>
      <c r="V209" s="2">
        <v>57</v>
      </c>
      <c r="W209" s="2" t="s">
        <v>7862</v>
      </c>
      <c r="X209" s="2" t="s">
        <v>5405</v>
      </c>
      <c r="Y209" s="2">
        <v>56910</v>
      </c>
      <c r="Z209" s="19" t="str">
        <f>HYPERLINK("https://ssdweb.co/ssdweb/hd/Vision360.html?d=941360342&amp;zoomslide=1&amp;z=1941360342&amp;ISCONFIRM=0","VIDEO")</f>
        <v>VIDEO</v>
      </c>
      <c r="AA209" s="19" t="str">
        <f>HYPERLINK("https://ssdweb.co/ssdweb/CERTH/685590671.pdf","CERTI")</f>
        <v>CERTI</v>
      </c>
    </row>
    <row r="210" spans="1:27" ht="15" x14ac:dyDescent="0.25">
      <c r="A210" s="2">
        <v>205</v>
      </c>
      <c r="B210" s="39">
        <v>925560017</v>
      </c>
      <c r="C210" s="28" t="str">
        <f>HYPERLINK("https://pld.live/RapDetail.aspx?STONELIST=925560017","DNA")</f>
        <v>DNA</v>
      </c>
      <c r="D210" s="18" t="s">
        <v>2694</v>
      </c>
      <c r="E210" s="18" t="s">
        <v>2186</v>
      </c>
      <c r="F210" s="2" t="s">
        <v>7987</v>
      </c>
      <c r="G210" s="2" t="s">
        <v>861</v>
      </c>
      <c r="H210" s="14">
        <v>2.71</v>
      </c>
      <c r="I210" s="2" t="s">
        <v>6587</v>
      </c>
      <c r="J210" s="2" t="s">
        <v>5144</v>
      </c>
      <c r="K210" s="2" t="s">
        <v>3390</v>
      </c>
      <c r="L210" s="2" t="s">
        <v>5221</v>
      </c>
      <c r="M210" s="2" t="s">
        <v>5221</v>
      </c>
      <c r="N210" s="2" t="s">
        <v>2317</v>
      </c>
      <c r="O210" s="14">
        <v>13500</v>
      </c>
      <c r="P210" s="14">
        <v>99.06</v>
      </c>
      <c r="Q210" s="14">
        <v>126.9</v>
      </c>
      <c r="R210" s="14">
        <v>343.9</v>
      </c>
      <c r="S210" s="2" t="s">
        <v>5587</v>
      </c>
      <c r="T210" s="2">
        <v>1.01</v>
      </c>
      <c r="U210" s="2">
        <v>62.3</v>
      </c>
      <c r="V210" s="2">
        <v>57</v>
      </c>
      <c r="W210" s="2" t="s">
        <v>8016</v>
      </c>
      <c r="X210" s="2" t="s">
        <v>5405</v>
      </c>
      <c r="Y210" s="2">
        <v>36585</v>
      </c>
      <c r="Z210" s="19" t="str">
        <f>HYPERLINK("https://ssdweb.co/ssdweb/hd/Vision360.html?d=925560017&amp;zoomslide=1&amp;z=1925560017&amp;ISCONFIRM=0","VIDEO")</f>
        <v>VIDEO</v>
      </c>
      <c r="AA210" s="19" t="str">
        <f>HYPERLINK("https://ssdweb.co/ssdweb/CERTH/620403235.pdf","CERTI")</f>
        <v>CERTI</v>
      </c>
    </row>
    <row r="211" spans="1:27" ht="15" x14ac:dyDescent="0.25">
      <c r="A211" s="2">
        <v>206</v>
      </c>
      <c r="B211" s="39">
        <v>924250685</v>
      </c>
      <c r="C211" s="28" t="str">
        <f>HYPERLINK("https://pld.live/RapDetail.aspx?STONELIST=924250685","DNA")</f>
        <v>DNA</v>
      </c>
      <c r="D211" s="18" t="s">
        <v>2694</v>
      </c>
      <c r="E211" s="18" t="s">
        <v>2186</v>
      </c>
      <c r="F211" s="2" t="s">
        <v>5597</v>
      </c>
      <c r="G211" s="2" t="s">
        <v>861</v>
      </c>
      <c r="H211" s="14">
        <v>2.7</v>
      </c>
      <c r="I211" s="2" t="s">
        <v>4699</v>
      </c>
      <c r="J211" s="2" t="s">
        <v>13</v>
      </c>
      <c r="K211" s="2" t="s">
        <v>5221</v>
      </c>
      <c r="L211" s="2" t="s">
        <v>5221</v>
      </c>
      <c r="M211" s="2" t="s">
        <v>5221</v>
      </c>
      <c r="N211" s="2" t="s">
        <v>2317</v>
      </c>
      <c r="O211" s="14">
        <v>17500</v>
      </c>
      <c r="P211" s="14">
        <v>98.7</v>
      </c>
      <c r="Q211" s="14">
        <v>227.5</v>
      </c>
      <c r="R211" s="14">
        <v>614.25</v>
      </c>
      <c r="S211" s="2" t="s">
        <v>741</v>
      </c>
      <c r="T211" s="2">
        <v>1.01</v>
      </c>
      <c r="U211" s="2">
        <v>60.9</v>
      </c>
      <c r="V211" s="2">
        <v>58</v>
      </c>
      <c r="W211" s="2" t="s">
        <v>7862</v>
      </c>
      <c r="X211" s="2" t="s">
        <v>5405</v>
      </c>
      <c r="Y211" s="2">
        <v>47250</v>
      </c>
      <c r="Z211" s="19" t="str">
        <f>HYPERLINK("https://ssdweb.co/ssdweb/hd/Vision360.html?d=924250685&amp;zoomslide=1&amp;z=1924250685&amp;ISCONFIRM=0","VIDEO")</f>
        <v>VIDEO</v>
      </c>
      <c r="AA211" s="19" t="str">
        <f>HYPERLINK("https://ssdweb.co/ssdweb/CERTH/6461636251.pdf","CERTI")</f>
        <v>CERTI</v>
      </c>
    </row>
    <row r="212" spans="1:27" ht="15" x14ac:dyDescent="0.25">
      <c r="A212" s="2">
        <v>207</v>
      </c>
      <c r="B212" s="39">
        <v>831020620</v>
      </c>
      <c r="C212" s="28" t="str">
        <f>HYPERLINK("https://pld.live/RapDetail.aspx?STONELIST=831020620","DNA")</f>
        <v>DNA</v>
      </c>
      <c r="D212" s="18" t="s">
        <v>2694</v>
      </c>
      <c r="E212" s="18" t="s">
        <v>2186</v>
      </c>
      <c r="F212" s="2" t="s">
        <v>5597</v>
      </c>
      <c r="G212" s="2" t="s">
        <v>861</v>
      </c>
      <c r="H212" s="14">
        <v>2.7</v>
      </c>
      <c r="I212" s="2" t="s">
        <v>6587</v>
      </c>
      <c r="J212" s="2" t="s">
        <v>13</v>
      </c>
      <c r="K212" s="2" t="s">
        <v>5221</v>
      </c>
      <c r="L212" s="2" t="s">
        <v>5221</v>
      </c>
      <c r="M212" s="2" t="s">
        <v>5221</v>
      </c>
      <c r="N212" s="2" t="s">
        <v>2317</v>
      </c>
      <c r="O212" s="14">
        <v>15000</v>
      </c>
      <c r="P212" s="14">
        <v>98.51</v>
      </c>
      <c r="Q212" s="14">
        <v>223.5</v>
      </c>
      <c r="R212" s="14">
        <v>603.45000000000005</v>
      </c>
      <c r="S212" s="2" t="s">
        <v>4771</v>
      </c>
      <c r="T212" s="2">
        <v>1.01</v>
      </c>
      <c r="U212" s="2">
        <v>60.5</v>
      </c>
      <c r="V212" s="2">
        <v>59</v>
      </c>
      <c r="W212" s="2" t="s">
        <v>7862</v>
      </c>
      <c r="X212" s="2" t="s">
        <v>5405</v>
      </c>
      <c r="Y212" s="2">
        <v>40500</v>
      </c>
      <c r="Z212" s="19" t="str">
        <f>HYPERLINK("https://ssdweb.co/ssdweb/hd/Vision360.html?d=831020620&amp;zoomslide=1&amp;z=1831020620&amp;ISCONFIRM=0","VIDEO")</f>
        <v>VIDEO</v>
      </c>
      <c r="AA212" s="19" t="str">
        <f>HYPERLINK("https://ssdweb.co/ssdweb/CERTH/2464603810.pdf","CERTI")</f>
        <v>CERTI</v>
      </c>
    </row>
    <row r="213" spans="1:27" ht="15" x14ac:dyDescent="0.25">
      <c r="A213" s="2">
        <v>208</v>
      </c>
      <c r="B213" s="39">
        <v>831020621</v>
      </c>
      <c r="C213" s="28" t="str">
        <f>HYPERLINK("https://pld.live/RapDetail.aspx?STONELIST=831020621","DNA")</f>
        <v>DNA</v>
      </c>
      <c r="D213" s="18" t="s">
        <v>2694</v>
      </c>
      <c r="E213" s="18" t="s">
        <v>2186</v>
      </c>
      <c r="F213" s="2" t="s">
        <v>5597</v>
      </c>
      <c r="G213" s="2" t="s">
        <v>861</v>
      </c>
      <c r="H213" s="14">
        <v>2.7</v>
      </c>
      <c r="I213" s="2" t="s">
        <v>6587</v>
      </c>
      <c r="J213" s="2" t="s">
        <v>13</v>
      </c>
      <c r="K213" s="2" t="s">
        <v>5221</v>
      </c>
      <c r="L213" s="2" t="s">
        <v>5221</v>
      </c>
      <c r="M213" s="2" t="s">
        <v>5221</v>
      </c>
      <c r="N213" s="2" t="s">
        <v>2317</v>
      </c>
      <c r="O213" s="14">
        <v>15000</v>
      </c>
      <c r="P213" s="14">
        <v>98.51</v>
      </c>
      <c r="Q213" s="14">
        <v>223.5</v>
      </c>
      <c r="R213" s="14">
        <v>603.45000000000005</v>
      </c>
      <c r="S213" s="2" t="s">
        <v>3778</v>
      </c>
      <c r="T213" s="2">
        <v>1.01</v>
      </c>
      <c r="U213" s="2">
        <v>60.6</v>
      </c>
      <c r="V213" s="2">
        <v>59</v>
      </c>
      <c r="W213" s="2" t="s">
        <v>7862</v>
      </c>
      <c r="X213" s="2" t="s">
        <v>5405</v>
      </c>
      <c r="Y213" s="2">
        <v>40500</v>
      </c>
      <c r="Z213" s="19" t="str">
        <f>HYPERLINK("https://ssdweb.co/ssdweb/hd/Vision360.html?d=831020621&amp;zoomslide=1&amp;z=1831020621&amp;ISCONFIRM=0","VIDEO")</f>
        <v>VIDEO</v>
      </c>
      <c r="AA213" s="19" t="str">
        <f>HYPERLINK("https://ssdweb.co/ssdweb/CERTH/2464656673.pdf","CERTI")</f>
        <v>CERTI</v>
      </c>
    </row>
    <row r="214" spans="1:27" ht="15" x14ac:dyDescent="0.25">
      <c r="A214" s="2">
        <v>209</v>
      </c>
      <c r="B214" s="39">
        <v>924300602</v>
      </c>
      <c r="C214" s="28" t="str">
        <f>HYPERLINK("https://pld.live/RapDetail.aspx?STONELIST=924300602","DNA")</f>
        <v>DNA</v>
      </c>
      <c r="D214" s="18" t="s">
        <v>4032</v>
      </c>
      <c r="E214" s="18" t="s">
        <v>2186</v>
      </c>
      <c r="F214" s="2" t="s">
        <v>7987</v>
      </c>
      <c r="G214" s="2" t="s">
        <v>861</v>
      </c>
      <c r="H214" s="14">
        <v>2.68</v>
      </c>
      <c r="I214" s="2" t="s">
        <v>1505</v>
      </c>
      <c r="J214" s="2" t="s">
        <v>13</v>
      </c>
      <c r="K214" s="2" t="s">
        <v>3390</v>
      </c>
      <c r="L214" s="2" t="s">
        <v>5221</v>
      </c>
      <c r="M214" s="2" t="s">
        <v>5221</v>
      </c>
      <c r="N214" s="2" t="s">
        <v>2317</v>
      </c>
      <c r="O214" s="14">
        <v>12500</v>
      </c>
      <c r="P214" s="14">
        <v>99.08</v>
      </c>
      <c r="Q214" s="14">
        <v>115</v>
      </c>
      <c r="R214" s="14">
        <v>308.2</v>
      </c>
      <c r="S214" s="2" t="s">
        <v>1050</v>
      </c>
      <c r="T214" s="2">
        <v>1</v>
      </c>
      <c r="U214" s="2">
        <v>61.9</v>
      </c>
      <c r="V214" s="2">
        <v>59</v>
      </c>
      <c r="W214" s="2" t="s">
        <v>8016</v>
      </c>
      <c r="X214" s="2" t="s">
        <v>5405</v>
      </c>
      <c r="Y214" s="2">
        <v>33500</v>
      </c>
      <c r="Z214" s="19" t="str">
        <f>HYPERLINK("https://ssdweb.co/ssdweb/hd/Vision360.html?d=924300602&amp;zoomslide=1&amp;z=1924300602&amp;ISCONFIRM=0","VIDEO")</f>
        <v>VIDEO</v>
      </c>
      <c r="AA214" s="19" t="str">
        <f>HYPERLINK("https://ssdweb.co/ssdweb/CERTH/586381200.pdf","CERTI")</f>
        <v>CERTI</v>
      </c>
    </row>
    <row r="215" spans="1:27" ht="15" x14ac:dyDescent="0.25">
      <c r="A215" s="2">
        <v>210</v>
      </c>
      <c r="B215" s="39">
        <v>924190602</v>
      </c>
      <c r="C215" s="28" t="str">
        <f>HYPERLINK("https://pld.live/RapDetail.aspx?STONELIST=924190602","DNA")</f>
        <v>DNA</v>
      </c>
      <c r="D215" s="18" t="s">
        <v>4032</v>
      </c>
      <c r="E215" s="18" t="s">
        <v>2186</v>
      </c>
      <c r="F215" s="2" t="s">
        <v>5597</v>
      </c>
      <c r="G215" s="2" t="s">
        <v>861</v>
      </c>
      <c r="H215" s="14">
        <v>2.65</v>
      </c>
      <c r="I215" s="2" t="s">
        <v>4761</v>
      </c>
      <c r="J215" s="2" t="s">
        <v>13</v>
      </c>
      <c r="K215" s="2" t="s">
        <v>5221</v>
      </c>
      <c r="L215" s="2" t="s">
        <v>5221</v>
      </c>
      <c r="M215" s="2" t="s">
        <v>5221</v>
      </c>
      <c r="N215" s="2" t="s">
        <v>2317</v>
      </c>
      <c r="O215" s="14">
        <v>19000</v>
      </c>
      <c r="P215" s="14">
        <v>98.73</v>
      </c>
      <c r="Q215" s="14">
        <v>241.3</v>
      </c>
      <c r="R215" s="14">
        <v>639.45000000000005</v>
      </c>
      <c r="S215" s="2" t="s">
        <v>3569</v>
      </c>
      <c r="T215" s="2">
        <v>1</v>
      </c>
      <c r="U215" s="2">
        <v>61.1</v>
      </c>
      <c r="V215" s="2">
        <v>59</v>
      </c>
      <c r="W215" s="2" t="s">
        <v>7862</v>
      </c>
      <c r="X215" s="2" t="s">
        <v>5405</v>
      </c>
      <c r="Y215" s="2">
        <v>50350</v>
      </c>
      <c r="Z215" s="19" t="str">
        <f>HYPERLINK("https://ssdweb.co/ssdweb/hd/Vision360.html?d=924190602&amp;zoomslide=1&amp;z=1924190602&amp;ISCONFIRM=0","VIDEO")</f>
        <v>VIDEO</v>
      </c>
      <c r="AA215" s="19" t="str">
        <f>HYPERLINK("https://ssdweb.co/ssdweb/CERTH/2467529843.pdf","CERTI")</f>
        <v>CERTI</v>
      </c>
    </row>
    <row r="216" spans="1:27" ht="15" x14ac:dyDescent="0.25">
      <c r="A216" s="2">
        <v>211</v>
      </c>
      <c r="B216" s="39">
        <v>926380299</v>
      </c>
      <c r="C216" s="28" t="str">
        <f>HYPERLINK("https://pld.live/RapDetail.aspx?STONELIST=926380299","DNA")</f>
        <v>DNA</v>
      </c>
      <c r="D216" s="18" t="s">
        <v>4032</v>
      </c>
      <c r="E216" s="18" t="s">
        <v>2186</v>
      </c>
      <c r="F216" s="2" t="s">
        <v>7987</v>
      </c>
      <c r="G216" s="2" t="s">
        <v>861</v>
      </c>
      <c r="H216" s="14">
        <v>2.65</v>
      </c>
      <c r="I216" s="2" t="s">
        <v>4699</v>
      </c>
      <c r="J216" s="2" t="s">
        <v>13</v>
      </c>
      <c r="K216" s="2" t="s">
        <v>3390</v>
      </c>
      <c r="L216" s="2" t="s">
        <v>5221</v>
      </c>
      <c r="M216" s="2" t="s">
        <v>5221</v>
      </c>
      <c r="N216" s="2" t="s">
        <v>2317</v>
      </c>
      <c r="O216" s="14">
        <v>17500</v>
      </c>
      <c r="P216" s="14">
        <v>99.17</v>
      </c>
      <c r="Q216" s="14">
        <v>145.25</v>
      </c>
      <c r="R216" s="14">
        <v>384.91</v>
      </c>
      <c r="S216" s="2" t="s">
        <v>8094</v>
      </c>
      <c r="T216" s="2">
        <v>1</v>
      </c>
      <c r="U216" s="2">
        <v>60.7</v>
      </c>
      <c r="V216" s="2">
        <v>59</v>
      </c>
      <c r="W216" s="2" t="s">
        <v>8016</v>
      </c>
      <c r="X216" s="2" t="s">
        <v>5405</v>
      </c>
      <c r="Y216" s="2">
        <v>46375</v>
      </c>
      <c r="Z216" s="19" t="str">
        <f>HYPERLINK("https://ssdweb.co/ssdweb/hd/Vision360.html?d=926380299&amp;zoomslide=1&amp;z=1926380299&amp;ISCONFIRM=0","VIDEO")</f>
        <v>VIDEO</v>
      </c>
      <c r="AA216" s="19" t="str">
        <f>HYPERLINK("https://ssdweb.co/ssdweb/CERTH/642497697.pdf","CERTI")</f>
        <v>CERTI</v>
      </c>
    </row>
    <row r="217" spans="1:27" ht="15" x14ac:dyDescent="0.25">
      <c r="A217" s="2">
        <v>212</v>
      </c>
      <c r="B217" s="39">
        <v>926360224</v>
      </c>
      <c r="C217" s="28" t="str">
        <f>HYPERLINK("https://pld.live/RapDetail.aspx?STONELIST=926360224","DNA")</f>
        <v>DNA</v>
      </c>
      <c r="D217" s="18" t="s">
        <v>4032</v>
      </c>
      <c r="E217" s="18" t="s">
        <v>2186</v>
      </c>
      <c r="F217" s="2" t="s">
        <v>7987</v>
      </c>
      <c r="G217" s="2" t="s">
        <v>861</v>
      </c>
      <c r="H217" s="14">
        <v>2.64</v>
      </c>
      <c r="I217" s="2" t="s">
        <v>4699</v>
      </c>
      <c r="J217" s="2" t="s">
        <v>5144</v>
      </c>
      <c r="K217" s="2" t="s">
        <v>3390</v>
      </c>
      <c r="L217" s="2" t="s">
        <v>5221</v>
      </c>
      <c r="M217" s="2" t="s">
        <v>5221</v>
      </c>
      <c r="N217" s="2" t="s">
        <v>2317</v>
      </c>
      <c r="O217" s="14">
        <v>15000</v>
      </c>
      <c r="P217" s="14">
        <v>99.07</v>
      </c>
      <c r="Q217" s="14">
        <v>139.5</v>
      </c>
      <c r="R217" s="14">
        <v>368.28</v>
      </c>
      <c r="S217" s="2" t="s">
        <v>5239</v>
      </c>
      <c r="T217" s="2">
        <v>1</v>
      </c>
      <c r="U217" s="2">
        <v>62.1</v>
      </c>
      <c r="V217" s="2">
        <v>57</v>
      </c>
      <c r="W217" s="2" t="s">
        <v>7862</v>
      </c>
      <c r="X217" s="2" t="s">
        <v>5405</v>
      </c>
      <c r="Y217" s="2">
        <v>39600</v>
      </c>
      <c r="Z217" s="19" t="str">
        <f>HYPERLINK("https://ssdweb.co/ssdweb/hd/Vision360.html?d=926360224&amp;zoomslide=1&amp;z=1926360224&amp;ISCONFIRM=0","VIDEO")</f>
        <v>VIDEO</v>
      </c>
      <c r="AA217" s="19" t="str">
        <f>HYPERLINK("https://ssdweb.co/ssdweb/CERTH/641474126.pdf","CERTI")</f>
        <v>CERTI</v>
      </c>
    </row>
    <row r="218" spans="1:27" ht="15" x14ac:dyDescent="0.25">
      <c r="A218" s="2">
        <v>213</v>
      </c>
      <c r="B218" s="39">
        <v>831020681</v>
      </c>
      <c r="C218" s="28" t="str">
        <f>HYPERLINK("https://pld.live/RapDetail.aspx?STONELIST=831020681","DNA")</f>
        <v>DNA</v>
      </c>
      <c r="D218" s="18" t="s">
        <v>4032</v>
      </c>
      <c r="E218" s="18" t="s">
        <v>2186</v>
      </c>
      <c r="F218" s="2" t="s">
        <v>7987</v>
      </c>
      <c r="G218" s="2" t="s">
        <v>861</v>
      </c>
      <c r="H218" s="14">
        <v>2.64</v>
      </c>
      <c r="I218" s="2" t="s">
        <v>6587</v>
      </c>
      <c r="J218" s="2" t="s">
        <v>13</v>
      </c>
      <c r="K218" s="2" t="s">
        <v>3390</v>
      </c>
      <c r="L218" s="2" t="s">
        <v>5221</v>
      </c>
      <c r="M218" s="2" t="s">
        <v>5221</v>
      </c>
      <c r="N218" s="2" t="s">
        <v>2317</v>
      </c>
      <c r="O218" s="14">
        <v>15000</v>
      </c>
      <c r="P218" s="14">
        <v>99.13</v>
      </c>
      <c r="Q218" s="14">
        <v>130.5</v>
      </c>
      <c r="R218" s="14">
        <v>344.52</v>
      </c>
      <c r="S218" s="2" t="s">
        <v>668</v>
      </c>
      <c r="T218" s="2">
        <v>1.01</v>
      </c>
      <c r="U218" s="2">
        <v>59.6</v>
      </c>
      <c r="V218" s="2">
        <v>59</v>
      </c>
      <c r="W218" s="2" t="s">
        <v>8016</v>
      </c>
      <c r="X218" s="2" t="s">
        <v>5405</v>
      </c>
      <c r="Y218" s="2">
        <v>39600</v>
      </c>
      <c r="Z218" s="19" t="str">
        <f>HYPERLINK("https://ssdweb.co/ssdweb/hd/Vision360.html?d=831020681&amp;zoomslide=1&amp;z=1831020681&amp;ISCONFIRM=0","VIDEO")</f>
        <v>VIDEO</v>
      </c>
      <c r="AA218" s="19" t="str">
        <f>HYPERLINK("https://ssdweb.co/ssdweb/CERTH/564370880.pdf","CERTI")</f>
        <v>CERTI</v>
      </c>
    </row>
    <row r="219" spans="1:27" ht="15" x14ac:dyDescent="0.25">
      <c r="A219" s="2">
        <v>214</v>
      </c>
      <c r="B219" s="39">
        <v>925560031</v>
      </c>
      <c r="C219" s="28" t="str">
        <f>HYPERLINK("https://pld.live/RapDetail.aspx?STONELIST=925560031","DNA")</f>
        <v>DNA</v>
      </c>
      <c r="D219" s="18" t="s">
        <v>4032</v>
      </c>
      <c r="E219" s="18" t="s">
        <v>2186</v>
      </c>
      <c r="F219" s="2" t="s">
        <v>7987</v>
      </c>
      <c r="G219" s="2" t="s">
        <v>861</v>
      </c>
      <c r="H219" s="14">
        <v>2.63</v>
      </c>
      <c r="I219" s="2" t="s">
        <v>1505</v>
      </c>
      <c r="J219" s="2" t="s">
        <v>13</v>
      </c>
      <c r="K219" s="2" t="s">
        <v>5221</v>
      </c>
      <c r="L219" s="2" t="s">
        <v>5221</v>
      </c>
      <c r="M219" s="2" t="s">
        <v>5221</v>
      </c>
      <c r="N219" s="2" t="s">
        <v>2317</v>
      </c>
      <c r="O219" s="14">
        <v>12500</v>
      </c>
      <c r="P219" s="14">
        <v>99.08</v>
      </c>
      <c r="Q219" s="14">
        <v>115</v>
      </c>
      <c r="R219" s="14">
        <v>302.45</v>
      </c>
      <c r="S219" s="2" t="s">
        <v>5532</v>
      </c>
      <c r="T219" s="2">
        <v>1.01</v>
      </c>
      <c r="U219" s="2">
        <v>59.1</v>
      </c>
      <c r="V219" s="2">
        <v>61</v>
      </c>
      <c r="W219" s="2" t="s">
        <v>8016</v>
      </c>
      <c r="X219" s="2" t="s">
        <v>5405</v>
      </c>
      <c r="Y219" s="2">
        <v>32875</v>
      </c>
      <c r="Z219" s="19" t="str">
        <f>HYPERLINK("https://ssdweb.co/ssdweb/hd/Vision360.html?d=925560031&amp;zoomslide=1&amp;z=1925560031&amp;ISCONFIRM=0","VIDEO")</f>
        <v>VIDEO</v>
      </c>
      <c r="AA219" s="19" t="str">
        <f>HYPERLINK("https://ssdweb.co/ssdweb/CERTH/621475639.pdf","CERTI")</f>
        <v>CERTI</v>
      </c>
    </row>
    <row r="220" spans="1:27" ht="15" x14ac:dyDescent="0.25">
      <c r="A220" s="2">
        <v>215</v>
      </c>
      <c r="B220" s="39">
        <v>831020680</v>
      </c>
      <c r="C220" s="28" t="str">
        <f>HYPERLINK("https://pld.live/RapDetail.aspx?STONELIST=831020680","DNA")</f>
        <v>DNA</v>
      </c>
      <c r="D220" s="18" t="s">
        <v>4032</v>
      </c>
      <c r="E220" s="18" t="s">
        <v>2186</v>
      </c>
      <c r="F220" s="2" t="s">
        <v>7987</v>
      </c>
      <c r="G220" s="2" t="s">
        <v>861</v>
      </c>
      <c r="H220" s="14">
        <v>2.62</v>
      </c>
      <c r="I220" s="2" t="s">
        <v>6587</v>
      </c>
      <c r="J220" s="2" t="s">
        <v>3942</v>
      </c>
      <c r="K220" s="2" t="s">
        <v>3390</v>
      </c>
      <c r="L220" s="2" t="s">
        <v>5221</v>
      </c>
      <c r="M220" s="2" t="s">
        <v>5221</v>
      </c>
      <c r="N220" s="2" t="s">
        <v>2317</v>
      </c>
      <c r="O220" s="14">
        <v>16500</v>
      </c>
      <c r="P220" s="14">
        <v>99.15</v>
      </c>
      <c r="Q220" s="14">
        <v>140.25</v>
      </c>
      <c r="R220" s="14">
        <v>367.46</v>
      </c>
      <c r="S220" s="2" t="s">
        <v>4351</v>
      </c>
      <c r="T220" s="2">
        <v>1.01</v>
      </c>
      <c r="U220" s="2">
        <v>62.3</v>
      </c>
      <c r="V220" s="2">
        <v>58</v>
      </c>
      <c r="W220" s="2" t="s">
        <v>8016</v>
      </c>
      <c r="X220" s="2" t="s">
        <v>5405</v>
      </c>
      <c r="Y220" s="2">
        <v>43230</v>
      </c>
      <c r="Z220" s="19" t="str">
        <f>HYPERLINK("https://ssdweb.co/ssdweb/hd/Vision360.html?d=831020680&amp;zoomslide=1&amp;z=1831020680&amp;ISCONFIRM=0","VIDEO")</f>
        <v>VIDEO</v>
      </c>
      <c r="AA220" s="19" t="str">
        <f>HYPERLINK("https://ssdweb.co/ssdweb/CERTH/569323264.pdf","CERTI")</f>
        <v>CERTI</v>
      </c>
    </row>
    <row r="221" spans="1:27" ht="15" x14ac:dyDescent="0.25">
      <c r="A221" s="2">
        <v>216</v>
      </c>
      <c r="B221" s="39">
        <v>831020714</v>
      </c>
      <c r="C221" s="28" t="str">
        <f>HYPERLINK("https://pld.live/RapDetail.aspx?STONELIST=831020714","DNA")</f>
        <v>DNA</v>
      </c>
      <c r="D221" s="18" t="s">
        <v>4032</v>
      </c>
      <c r="E221" s="18" t="s">
        <v>2186</v>
      </c>
      <c r="F221" s="2" t="s">
        <v>7987</v>
      </c>
      <c r="G221" s="2" t="s">
        <v>861</v>
      </c>
      <c r="H221" s="14">
        <v>2.61</v>
      </c>
      <c r="I221" s="2" t="s">
        <v>6587</v>
      </c>
      <c r="J221" s="2" t="s">
        <v>13</v>
      </c>
      <c r="K221" s="2" t="s">
        <v>3390</v>
      </c>
      <c r="L221" s="2" t="s">
        <v>5221</v>
      </c>
      <c r="M221" s="2" t="s">
        <v>5221</v>
      </c>
      <c r="N221" s="2" t="s">
        <v>2317</v>
      </c>
      <c r="O221" s="14">
        <v>15000</v>
      </c>
      <c r="P221" s="14">
        <v>99.13</v>
      </c>
      <c r="Q221" s="14">
        <v>130.5</v>
      </c>
      <c r="R221" s="14">
        <v>340.61</v>
      </c>
      <c r="S221" s="2" t="s">
        <v>1698</v>
      </c>
      <c r="T221" s="2">
        <v>1.01</v>
      </c>
      <c r="U221" s="2">
        <v>61.4</v>
      </c>
      <c r="V221" s="2">
        <v>59</v>
      </c>
      <c r="W221" s="2" t="s">
        <v>8016</v>
      </c>
      <c r="X221" s="2" t="s">
        <v>5405</v>
      </c>
      <c r="Y221" s="2">
        <v>39150</v>
      </c>
      <c r="Z221" s="19" t="str">
        <f>HYPERLINK("https://ssdweb.co/ssdweb/hd/Vision360.html?d=831020714&amp;zoomslide=1&amp;z=1831020714&amp;ISCONFIRM=0","VIDEO")</f>
        <v>VIDEO</v>
      </c>
      <c r="AA221" s="19" t="str">
        <f>HYPERLINK("https://ssdweb.co/ssdweb/CERTH/598316374.pdf","CERTI")</f>
        <v>CERTI</v>
      </c>
    </row>
    <row r="222" spans="1:27" ht="15" x14ac:dyDescent="0.25">
      <c r="A222" s="2">
        <v>217</v>
      </c>
      <c r="B222" s="39">
        <v>926450491</v>
      </c>
      <c r="C222" s="28" t="str">
        <f>HYPERLINK("https://pld.live/RapDetail.aspx?STONELIST=926450491","DNA")</f>
        <v>DNA</v>
      </c>
      <c r="D222" s="18" t="s">
        <v>4032</v>
      </c>
      <c r="E222" s="18" t="s">
        <v>2186</v>
      </c>
      <c r="F222" s="2" t="s">
        <v>7987</v>
      </c>
      <c r="G222" s="2" t="s">
        <v>861</v>
      </c>
      <c r="H222" s="14">
        <v>2.61</v>
      </c>
      <c r="I222" s="2" t="s">
        <v>6845</v>
      </c>
      <c r="J222" s="2" t="s">
        <v>13</v>
      </c>
      <c r="K222" s="2" t="s">
        <v>3390</v>
      </c>
      <c r="L222" s="2" t="s">
        <v>5221</v>
      </c>
      <c r="M222" s="2" t="s">
        <v>5221</v>
      </c>
      <c r="N222" s="2" t="s">
        <v>2317</v>
      </c>
      <c r="O222" s="14">
        <v>5600</v>
      </c>
      <c r="P222" s="14">
        <v>96.07</v>
      </c>
      <c r="Q222" s="14">
        <v>220.08</v>
      </c>
      <c r="R222" s="14">
        <v>574.41</v>
      </c>
      <c r="S222" s="2" t="s">
        <v>2813</v>
      </c>
      <c r="T222" s="2">
        <v>1</v>
      </c>
      <c r="U222" s="2">
        <v>62</v>
      </c>
      <c r="V222" s="2">
        <v>59</v>
      </c>
      <c r="W222" s="2" t="s">
        <v>7862</v>
      </c>
      <c r="X222" s="2" t="s">
        <v>5405</v>
      </c>
      <c r="Y222" s="2">
        <v>14616</v>
      </c>
      <c r="Z222" s="19" t="str">
        <f>HYPERLINK("https://ssdweb.co/ssdweb/hd/Vision360.html?d=926450491&amp;zoomslide=1&amp;z=1926450491&amp;ISCONFIRM=0","VIDEO")</f>
        <v>VIDEO</v>
      </c>
      <c r="AA222" s="19" t="str">
        <f>HYPERLINK("https://ssdweb.co/ssdweb/CERTH/647475675.pdf","CERTI")</f>
        <v>CERTI</v>
      </c>
    </row>
    <row r="223" spans="1:27" ht="15" x14ac:dyDescent="0.25">
      <c r="A223" s="2">
        <v>218</v>
      </c>
      <c r="B223" s="39">
        <v>924190344</v>
      </c>
      <c r="C223" s="28" t="str">
        <f>HYPERLINK("https://pld.live/RapDetail.aspx?STONELIST=924190344","DNA")</f>
        <v>DNA</v>
      </c>
      <c r="D223" s="18" t="s">
        <v>4032</v>
      </c>
      <c r="E223" s="18" t="s">
        <v>2186</v>
      </c>
      <c r="F223" s="2" t="s">
        <v>7987</v>
      </c>
      <c r="G223" s="2" t="s">
        <v>861</v>
      </c>
      <c r="H223" s="14">
        <v>2.6</v>
      </c>
      <c r="I223" s="2" t="s">
        <v>1505</v>
      </c>
      <c r="J223" s="2" t="s">
        <v>13</v>
      </c>
      <c r="K223" s="2" t="s">
        <v>3390</v>
      </c>
      <c r="L223" s="2" t="s">
        <v>5221</v>
      </c>
      <c r="M223" s="2" t="s">
        <v>5221</v>
      </c>
      <c r="N223" s="2" t="s">
        <v>2317</v>
      </c>
      <c r="O223" s="14">
        <v>12500</v>
      </c>
      <c r="P223" s="14">
        <v>99.08</v>
      </c>
      <c r="Q223" s="14">
        <v>115</v>
      </c>
      <c r="R223" s="14">
        <v>299</v>
      </c>
      <c r="S223" s="2" t="s">
        <v>1030</v>
      </c>
      <c r="T223" s="2">
        <v>1</v>
      </c>
      <c r="U223" s="2">
        <v>62.3</v>
      </c>
      <c r="V223" s="2">
        <v>59</v>
      </c>
      <c r="W223" s="2" t="s">
        <v>8016</v>
      </c>
      <c r="X223" s="2" t="s">
        <v>5405</v>
      </c>
      <c r="Y223" s="2">
        <v>32500</v>
      </c>
      <c r="Z223" s="19" t="str">
        <f>HYPERLINK("https://ssdweb.co/ssdweb/hd/Vision360.html?d=924190344&amp;zoomslide=1&amp;z=1924190344&amp;ISCONFIRM=0","VIDEO")</f>
        <v>VIDEO</v>
      </c>
      <c r="AA223" s="19" t="str">
        <f>HYPERLINK("https://ssdweb.co/ssdweb/CERTH/577305217.pdf","CERTI")</f>
        <v>CERTI</v>
      </c>
    </row>
    <row r="224" spans="1:27" ht="15" x14ac:dyDescent="0.25">
      <c r="A224" s="2">
        <v>219</v>
      </c>
      <c r="B224" s="39">
        <v>831020713</v>
      </c>
      <c r="C224" s="28" t="str">
        <f>HYPERLINK("https://pld.live/RapDetail.aspx?STONELIST=831020713","DNA")</f>
        <v>DNA</v>
      </c>
      <c r="D224" s="18" t="s">
        <v>4032</v>
      </c>
      <c r="E224" s="18" t="s">
        <v>2186</v>
      </c>
      <c r="F224" s="2" t="s">
        <v>5597</v>
      </c>
      <c r="G224" s="2" t="s">
        <v>861</v>
      </c>
      <c r="H224" s="14">
        <v>2.57</v>
      </c>
      <c r="I224" s="2" t="s">
        <v>6587</v>
      </c>
      <c r="J224" s="2" t="s">
        <v>3942</v>
      </c>
      <c r="K224" s="2" t="s">
        <v>5221</v>
      </c>
      <c r="L224" s="2" t="s">
        <v>5221</v>
      </c>
      <c r="M224" s="2" t="s">
        <v>5221</v>
      </c>
      <c r="N224" s="2" t="s">
        <v>2317</v>
      </c>
      <c r="O224" s="14">
        <v>16500</v>
      </c>
      <c r="P224" s="14">
        <v>98.6</v>
      </c>
      <c r="Q224" s="14">
        <v>231</v>
      </c>
      <c r="R224" s="14">
        <v>593.66999999999996</v>
      </c>
      <c r="S224" s="2" t="s">
        <v>5701</v>
      </c>
      <c r="T224" s="2">
        <v>1.01</v>
      </c>
      <c r="U224" s="2">
        <v>62.5</v>
      </c>
      <c r="V224" s="2">
        <v>58</v>
      </c>
      <c r="W224" s="2" t="s">
        <v>7862</v>
      </c>
      <c r="X224" s="2" t="s">
        <v>5405</v>
      </c>
      <c r="Y224" s="2">
        <v>42405</v>
      </c>
      <c r="Z224" s="19" t="str">
        <f>HYPERLINK("https://ssdweb.co/ssdweb/hd/Vision360.html?d=831020713&amp;zoomslide=1&amp;z=1831020713&amp;ISCONFIRM=0","VIDEO")</f>
        <v>VIDEO</v>
      </c>
      <c r="AA224" s="19" t="str">
        <f>HYPERLINK("https://ssdweb.co/ssdweb/CERTH/5453869195.pdf","CERTI")</f>
        <v>CERTI</v>
      </c>
    </row>
    <row r="225" spans="1:27" ht="15" x14ac:dyDescent="0.25">
      <c r="A225" s="2">
        <v>220</v>
      </c>
      <c r="B225" s="39">
        <v>831020663</v>
      </c>
      <c r="C225" s="28" t="str">
        <f>HYPERLINK("https://pld.live/RapDetail.aspx?STONELIST=831020663","DNA")</f>
        <v>DNA</v>
      </c>
      <c r="D225" s="18" t="s">
        <v>4032</v>
      </c>
      <c r="E225" s="18" t="s">
        <v>2186</v>
      </c>
      <c r="F225" s="2" t="s">
        <v>5597</v>
      </c>
      <c r="G225" s="2" t="s">
        <v>861</v>
      </c>
      <c r="H225" s="14">
        <v>2.56</v>
      </c>
      <c r="I225" s="2" t="s">
        <v>4761</v>
      </c>
      <c r="J225" s="2" t="s">
        <v>13</v>
      </c>
      <c r="K225" s="2" t="s">
        <v>5221</v>
      </c>
      <c r="L225" s="2" t="s">
        <v>5221</v>
      </c>
      <c r="M225" s="2" t="s">
        <v>5221</v>
      </c>
      <c r="N225" s="2" t="s">
        <v>2317</v>
      </c>
      <c r="O225" s="14">
        <v>19000</v>
      </c>
      <c r="P225" s="14">
        <v>98.73</v>
      </c>
      <c r="Q225" s="14">
        <v>241.3</v>
      </c>
      <c r="R225" s="14">
        <v>617.73</v>
      </c>
      <c r="S225" s="2" t="s">
        <v>1804</v>
      </c>
      <c r="T225" s="2">
        <v>1</v>
      </c>
      <c r="U225" s="2">
        <v>62.5</v>
      </c>
      <c r="V225" s="2">
        <v>56</v>
      </c>
      <c r="W225" s="2" t="s">
        <v>7862</v>
      </c>
      <c r="X225" s="2" t="s">
        <v>5405</v>
      </c>
      <c r="Y225" s="2">
        <v>48640</v>
      </c>
      <c r="Z225" s="19" t="str">
        <f>HYPERLINK("https://ssdweb.co/ssdweb/hd/Vision360.html?d=831020663&amp;zoomslide=1&amp;z=1831020663&amp;ISCONFIRM=0","VIDEO")</f>
        <v>VIDEO</v>
      </c>
      <c r="AA225" s="19" t="str">
        <f>HYPERLINK("https://ssdweb.co/ssdweb/CERTH/6462395640.pdf","CERTI")</f>
        <v>CERTI</v>
      </c>
    </row>
    <row r="226" spans="1:27" ht="15" x14ac:dyDescent="0.25">
      <c r="A226" s="2">
        <v>221</v>
      </c>
      <c r="B226" s="39">
        <v>941380380</v>
      </c>
      <c r="C226" s="28" t="str">
        <f>HYPERLINK("https://pld.live/RapDetail.aspx?STONELIST=941380380","DNA")</f>
        <v>DNA</v>
      </c>
      <c r="D226" s="18" t="s">
        <v>4032</v>
      </c>
      <c r="E226" s="18" t="s">
        <v>2186</v>
      </c>
      <c r="F226" s="2" t="s">
        <v>7987</v>
      </c>
      <c r="G226" s="2" t="s">
        <v>861</v>
      </c>
      <c r="H226" s="14">
        <v>2.5499999999999998</v>
      </c>
      <c r="I226" s="2" t="s">
        <v>4761</v>
      </c>
      <c r="J226" s="2" t="s">
        <v>3942</v>
      </c>
      <c r="K226" s="2" t="s">
        <v>3390</v>
      </c>
      <c r="L226" s="2" t="s">
        <v>5221</v>
      </c>
      <c r="M226" s="2" t="s">
        <v>5221</v>
      </c>
      <c r="N226" s="2" t="s">
        <v>2317</v>
      </c>
      <c r="O226" s="14">
        <v>21000</v>
      </c>
      <c r="P226" s="14">
        <v>99.16</v>
      </c>
      <c r="Q226" s="14">
        <v>176.4</v>
      </c>
      <c r="R226" s="14">
        <v>449.82</v>
      </c>
      <c r="S226" s="2" t="s">
        <v>1359</v>
      </c>
      <c r="T226" s="2">
        <v>1</v>
      </c>
      <c r="U226" s="2">
        <v>61.5</v>
      </c>
      <c r="V226" s="2">
        <v>57</v>
      </c>
      <c r="W226" s="2" t="s">
        <v>7862</v>
      </c>
      <c r="X226" s="2" t="s">
        <v>5405</v>
      </c>
      <c r="Y226" s="2">
        <v>53550</v>
      </c>
      <c r="Z226" s="19" t="str">
        <f>HYPERLINK("https://ssdweb.co/ssdweb/hd/Vision360.html?d=941380380&amp;zoomslide=1&amp;z=1941380380&amp;ISCONFIRM=0","VIDEO")</f>
        <v>VIDEO</v>
      </c>
      <c r="AA226" s="19" t="str">
        <f>HYPERLINK("https://ssdweb.co/ssdweb/CERTH/692534097.pdf","CERTI")</f>
        <v>CERTI</v>
      </c>
    </row>
    <row r="227" spans="1:27" ht="15" x14ac:dyDescent="0.25">
      <c r="A227" s="2">
        <v>222</v>
      </c>
      <c r="B227" s="39">
        <v>941200221</v>
      </c>
      <c r="C227" s="28" t="str">
        <f>HYPERLINK("https://pld.live/RapDetail.aspx?STONELIST=941200221","DNA")</f>
        <v>DNA</v>
      </c>
      <c r="D227" s="18" t="s">
        <v>4032</v>
      </c>
      <c r="E227" s="18" t="s">
        <v>2186</v>
      </c>
      <c r="F227" s="2" t="s">
        <v>7987</v>
      </c>
      <c r="G227" s="2" t="s">
        <v>861</v>
      </c>
      <c r="H227" s="14">
        <v>2.5499999999999998</v>
      </c>
      <c r="I227" s="2" t="s">
        <v>4699</v>
      </c>
      <c r="J227" s="2" t="s">
        <v>13</v>
      </c>
      <c r="K227" s="2" t="s">
        <v>3390</v>
      </c>
      <c r="L227" s="2" t="s">
        <v>5221</v>
      </c>
      <c r="M227" s="2" t="s">
        <v>5221</v>
      </c>
      <c r="N227" s="2" t="s">
        <v>2317</v>
      </c>
      <c r="O227" s="14">
        <v>17500</v>
      </c>
      <c r="P227" s="14">
        <v>99.15</v>
      </c>
      <c r="Q227" s="14">
        <v>148.75</v>
      </c>
      <c r="R227" s="14">
        <v>379.31</v>
      </c>
      <c r="S227" s="2" t="s">
        <v>3836</v>
      </c>
      <c r="T227" s="2">
        <v>1.01</v>
      </c>
      <c r="U227" s="2">
        <v>62.2</v>
      </c>
      <c r="V227" s="2">
        <v>58</v>
      </c>
      <c r="W227" s="2" t="s">
        <v>7862</v>
      </c>
      <c r="X227" s="2" t="s">
        <v>5405</v>
      </c>
      <c r="Y227" s="2">
        <v>44625</v>
      </c>
      <c r="Z227" s="19" t="str">
        <f>HYPERLINK("https://ssdweb.co/ssdweb/hd/Vision360.html?d=941200221&amp;zoomslide=1&amp;z=1941200221&amp;ISCONFIRM=0","VIDEO")</f>
        <v>VIDEO</v>
      </c>
      <c r="AA227" s="19" t="str">
        <f>HYPERLINK("https://ssdweb.co/ssdweb/CERTH/678550328.pdf","CERTI")</f>
        <v>CERTI</v>
      </c>
    </row>
    <row r="228" spans="1:27" ht="15" x14ac:dyDescent="0.25">
      <c r="A228" s="2">
        <v>223</v>
      </c>
      <c r="B228" s="39">
        <v>925590015</v>
      </c>
      <c r="C228" s="28" t="str">
        <f>HYPERLINK("https://pld.live/RapDetail.aspx?STONELIST=925590015","DNA")</f>
        <v>DNA</v>
      </c>
      <c r="D228" s="18" t="s">
        <v>4032</v>
      </c>
      <c r="E228" s="18" t="s">
        <v>2186</v>
      </c>
      <c r="F228" s="2" t="s">
        <v>7987</v>
      </c>
      <c r="G228" s="2" t="s">
        <v>861</v>
      </c>
      <c r="H228" s="14">
        <v>2.5499999999999998</v>
      </c>
      <c r="I228" s="2" t="s">
        <v>1066</v>
      </c>
      <c r="J228" s="2" t="s">
        <v>13</v>
      </c>
      <c r="K228" s="2" t="s">
        <v>3390</v>
      </c>
      <c r="L228" s="2" t="s">
        <v>5221</v>
      </c>
      <c r="M228" s="2" t="s">
        <v>5221</v>
      </c>
      <c r="N228" s="2" t="s">
        <v>924</v>
      </c>
      <c r="O228" s="14">
        <v>6100</v>
      </c>
      <c r="P228" s="14">
        <v>95.08</v>
      </c>
      <c r="Q228" s="14">
        <v>300.12</v>
      </c>
      <c r="R228" s="14">
        <v>765.31</v>
      </c>
      <c r="S228" s="2" t="s">
        <v>3681</v>
      </c>
      <c r="T228" s="2">
        <v>1.01</v>
      </c>
      <c r="U228" s="2">
        <v>62.5</v>
      </c>
      <c r="V228" s="2">
        <v>57</v>
      </c>
      <c r="W228" s="2" t="s">
        <v>7862</v>
      </c>
      <c r="X228" s="2" t="s">
        <v>5405</v>
      </c>
      <c r="Y228" s="2">
        <v>15555</v>
      </c>
      <c r="Z228" s="19" t="str">
        <f>HYPERLINK("https://ssdweb.co/ssdweb/hd/Vision360.html?d=925590015&amp;zoomslide=1&amp;z=1925590015&amp;ISCONFIRM=0","VIDEO")</f>
        <v>VIDEO</v>
      </c>
      <c r="AA228" s="19" t="str">
        <f>HYPERLINK("https://ssdweb.co/ssdweb/CERTH/625432403.pdf","CERTI")</f>
        <v>CERTI</v>
      </c>
    </row>
    <row r="229" spans="1:27" ht="15" x14ac:dyDescent="0.25">
      <c r="A229" s="2">
        <v>224</v>
      </c>
      <c r="B229" s="39">
        <v>941400482</v>
      </c>
      <c r="C229" s="28" t="str">
        <f>HYPERLINK("https://pld.live/RapDetail.aspx?STONELIST=941400482","DNA")</f>
        <v>DNA</v>
      </c>
      <c r="D229" s="18" t="s">
        <v>4032</v>
      </c>
      <c r="E229" s="18" t="s">
        <v>5128</v>
      </c>
      <c r="F229" s="2" t="s">
        <v>7987</v>
      </c>
      <c r="G229" s="2" t="s">
        <v>861</v>
      </c>
      <c r="H229" s="14">
        <v>2.54</v>
      </c>
      <c r="I229" s="2" t="s">
        <v>267</v>
      </c>
      <c r="J229" s="2" t="s">
        <v>6555</v>
      </c>
      <c r="K229" s="2" t="s">
        <v>3390</v>
      </c>
      <c r="L229" s="2" t="s">
        <v>5221</v>
      </c>
      <c r="M229" s="2" t="s">
        <v>5221</v>
      </c>
      <c r="N229" s="2" t="s">
        <v>2317</v>
      </c>
      <c r="O229" s="14">
        <v>27500</v>
      </c>
      <c r="P229" s="14">
        <v>98.64</v>
      </c>
      <c r="Q229" s="14">
        <v>374</v>
      </c>
      <c r="R229" s="14">
        <v>949.96</v>
      </c>
      <c r="S229" s="2" t="s">
        <v>5205</v>
      </c>
      <c r="T229" s="2">
        <v>1.01</v>
      </c>
      <c r="U229" s="2">
        <v>60.8</v>
      </c>
      <c r="V229" s="2">
        <v>59</v>
      </c>
      <c r="W229" s="2" t="s">
        <v>7862</v>
      </c>
      <c r="X229" s="2" t="s">
        <v>5405</v>
      </c>
      <c r="Y229" s="2">
        <v>69850</v>
      </c>
      <c r="Z229" s="19" t="str">
        <f>HYPERLINK("https://ssdweb.co/ssdweb/hd/Vision360.html?d=941400482&amp;zoomslide=1&amp;z=1941400482&amp;ISCONFIRM=0","VIDEO")</f>
        <v>VIDEO</v>
      </c>
      <c r="AA229" s="19" t="str">
        <f>HYPERLINK("https://ssdweb.co/ssdweb/CERTH/689543232.pdf","CERTI")</f>
        <v>CERTI</v>
      </c>
    </row>
    <row r="230" spans="1:27" ht="15" x14ac:dyDescent="0.25">
      <c r="A230" s="2">
        <v>225</v>
      </c>
      <c r="B230" s="39">
        <v>926050314</v>
      </c>
      <c r="C230" s="28" t="str">
        <f>HYPERLINK("https://pld.live/RapDetail.aspx?STONELIST=926050314","DNA")</f>
        <v>DNA</v>
      </c>
      <c r="D230" s="18" t="s">
        <v>4032</v>
      </c>
      <c r="E230" s="18" t="s">
        <v>2186</v>
      </c>
      <c r="F230" s="2" t="s">
        <v>5597</v>
      </c>
      <c r="G230" s="2" t="s">
        <v>861</v>
      </c>
      <c r="H230" s="14">
        <v>2.54</v>
      </c>
      <c r="I230" s="2" t="s">
        <v>4761</v>
      </c>
      <c r="J230" s="2" t="s">
        <v>13</v>
      </c>
      <c r="K230" s="2" t="s">
        <v>5221</v>
      </c>
      <c r="L230" s="2" t="s">
        <v>5221</v>
      </c>
      <c r="M230" s="2" t="s">
        <v>5221</v>
      </c>
      <c r="N230" s="2" t="s">
        <v>2317</v>
      </c>
      <c r="O230" s="14">
        <v>19000</v>
      </c>
      <c r="P230" s="14">
        <v>98.72</v>
      </c>
      <c r="Q230" s="14">
        <v>243.2</v>
      </c>
      <c r="R230" s="14">
        <v>617.73</v>
      </c>
      <c r="S230" s="2" t="s">
        <v>4142</v>
      </c>
      <c r="T230" s="2">
        <v>1</v>
      </c>
      <c r="U230" s="2">
        <v>62.2</v>
      </c>
      <c r="V230" s="2">
        <v>57</v>
      </c>
      <c r="W230" s="2" t="s">
        <v>7862</v>
      </c>
      <c r="X230" s="2" t="s">
        <v>5405</v>
      </c>
      <c r="Y230" s="2">
        <v>48260</v>
      </c>
      <c r="Z230" s="19" t="str">
        <f>HYPERLINK("https://ssdweb.co/ssdweb/hd/Vision360.html?d=926050314&amp;zoomslide=1&amp;z=1926050314&amp;ISCONFIRM=0","VIDEO")</f>
        <v>VIDEO</v>
      </c>
      <c r="AA230" s="19" t="str">
        <f>HYPERLINK("https://ssdweb.co/ssdweb/CERTH/1493273524.pdf","CERTI")</f>
        <v>CERTI</v>
      </c>
    </row>
    <row r="231" spans="1:27" ht="15" x14ac:dyDescent="0.25">
      <c r="A231" s="2">
        <v>226</v>
      </c>
      <c r="B231" s="39">
        <v>941431250</v>
      </c>
      <c r="C231" s="28" t="str">
        <f>HYPERLINK("https://pld.live/RapDetail.aspx?STONELIST=941431250","DNA")</f>
        <v>DNA</v>
      </c>
      <c r="D231" s="18" t="s">
        <v>4032</v>
      </c>
      <c r="E231" s="18" t="s">
        <v>5128</v>
      </c>
      <c r="F231" s="2" t="s">
        <v>7987</v>
      </c>
      <c r="G231" s="2" t="s">
        <v>861</v>
      </c>
      <c r="H231" s="14">
        <v>2.54</v>
      </c>
      <c r="I231" s="2" t="s">
        <v>4699</v>
      </c>
      <c r="J231" s="2" t="s">
        <v>13</v>
      </c>
      <c r="K231" s="2" t="s">
        <v>3390</v>
      </c>
      <c r="L231" s="2" t="s">
        <v>5221</v>
      </c>
      <c r="M231" s="2" t="s">
        <v>5221</v>
      </c>
      <c r="N231" s="2" t="s">
        <v>2317</v>
      </c>
      <c r="O231" s="14">
        <v>17500</v>
      </c>
      <c r="P231" s="14">
        <v>99.15</v>
      </c>
      <c r="Q231" s="14">
        <v>148.75</v>
      </c>
      <c r="R231" s="14">
        <v>377.83</v>
      </c>
      <c r="S231" s="2" t="s">
        <v>5205</v>
      </c>
      <c r="T231" s="2">
        <v>1.01</v>
      </c>
      <c r="U231" s="2">
        <v>60.8</v>
      </c>
      <c r="V231" s="2">
        <v>58</v>
      </c>
      <c r="W231" s="2" t="s">
        <v>7862</v>
      </c>
      <c r="X231" s="2" t="s">
        <v>5405</v>
      </c>
      <c r="Y231" s="2">
        <v>44450</v>
      </c>
      <c r="Z231" s="19" t="str">
        <f>HYPERLINK("https://ssdweb.co/ssdweb/hd/Vision360.html?d=941431250&amp;zoomslide=1&amp;z=1941431250&amp;ISCONFIRM=0","VIDEO")</f>
        <v>VIDEO</v>
      </c>
      <c r="AA231" s="19" t="str">
        <f>HYPERLINK("https://ssdweb.co/ssdweb/CERTH/692534101.pdf","CERTI")</f>
        <v>CERTI</v>
      </c>
    </row>
    <row r="232" spans="1:27" ht="15" x14ac:dyDescent="0.25">
      <c r="A232" s="2">
        <v>227</v>
      </c>
      <c r="B232" s="39">
        <v>941250494</v>
      </c>
      <c r="C232" s="28" t="str">
        <f>HYPERLINK("https://pld.live/RapDetail.aspx?STONELIST=941250494","DNA")</f>
        <v>DNA</v>
      </c>
      <c r="D232" s="18" t="s">
        <v>4032</v>
      </c>
      <c r="E232" s="18" t="s">
        <v>2186</v>
      </c>
      <c r="F232" s="2" t="s">
        <v>7987</v>
      </c>
      <c r="G232" s="2" t="s">
        <v>861</v>
      </c>
      <c r="H232" s="14">
        <v>2.52</v>
      </c>
      <c r="I232" s="2" t="s">
        <v>4761</v>
      </c>
      <c r="J232" s="2" t="s">
        <v>13</v>
      </c>
      <c r="K232" s="2" t="s">
        <v>3390</v>
      </c>
      <c r="L232" s="2" t="s">
        <v>5221</v>
      </c>
      <c r="M232" s="2" t="s">
        <v>5221</v>
      </c>
      <c r="N232" s="2" t="s">
        <v>2317</v>
      </c>
      <c r="O232" s="14">
        <v>19000</v>
      </c>
      <c r="P232" s="14">
        <v>99.18</v>
      </c>
      <c r="Q232" s="14">
        <v>155.80000000000001</v>
      </c>
      <c r="R232" s="14">
        <v>392.62</v>
      </c>
      <c r="S232" s="2" t="s">
        <v>410</v>
      </c>
      <c r="T232" s="2">
        <v>1</v>
      </c>
      <c r="U232" s="2">
        <v>62.2</v>
      </c>
      <c r="V232" s="2">
        <v>54</v>
      </c>
      <c r="W232" s="2" t="s">
        <v>7862</v>
      </c>
      <c r="X232" s="2" t="s">
        <v>5405</v>
      </c>
      <c r="Y232" s="2">
        <v>47880</v>
      </c>
      <c r="Z232" s="19" t="str">
        <f>HYPERLINK("https://ssdweb.co/ssdweb/hd/Vision360.html?d=941250494&amp;zoomslide=1&amp;z=1941250494&amp;ISCONFIRM=0","VIDEO")</f>
        <v>VIDEO</v>
      </c>
      <c r="AA232" s="19" t="str">
        <f>HYPERLINK("https://ssdweb.co/ssdweb/CERTH/681569648.pdf","CERTI")</f>
        <v>CERTI</v>
      </c>
    </row>
    <row r="233" spans="1:27" ht="15" x14ac:dyDescent="0.25">
      <c r="A233" s="2">
        <v>228</v>
      </c>
      <c r="B233" s="39">
        <v>941420684</v>
      </c>
      <c r="C233" s="28" t="str">
        <f>HYPERLINK("https://pld.live/RapDetail.aspx?STONELIST=941420684","DNA")</f>
        <v>DNA</v>
      </c>
      <c r="D233" s="18" t="s">
        <v>4032</v>
      </c>
      <c r="E233" s="18" t="s">
        <v>5128</v>
      </c>
      <c r="F233" s="2" t="s">
        <v>7987</v>
      </c>
      <c r="G233" s="2" t="s">
        <v>861</v>
      </c>
      <c r="H233" s="14">
        <v>2.52</v>
      </c>
      <c r="I233" s="2" t="s">
        <v>4761</v>
      </c>
      <c r="J233" s="2" t="s">
        <v>13</v>
      </c>
      <c r="K233" s="2" t="s">
        <v>3390</v>
      </c>
      <c r="L233" s="2" t="s">
        <v>5221</v>
      </c>
      <c r="M233" s="2" t="s">
        <v>5221</v>
      </c>
      <c r="N233" s="2" t="s">
        <v>2317</v>
      </c>
      <c r="O233" s="14">
        <v>19000</v>
      </c>
      <c r="P233" s="14">
        <v>99.18</v>
      </c>
      <c r="Q233" s="14">
        <v>155.80000000000001</v>
      </c>
      <c r="R233" s="14">
        <v>392.62</v>
      </c>
      <c r="S233" s="2" t="s">
        <v>6480</v>
      </c>
      <c r="T233" s="2">
        <v>1</v>
      </c>
      <c r="U233" s="2">
        <v>62.1</v>
      </c>
      <c r="V233" s="2">
        <v>58</v>
      </c>
      <c r="W233" s="2" t="s">
        <v>7862</v>
      </c>
      <c r="X233" s="2" t="s">
        <v>5405</v>
      </c>
      <c r="Y233" s="2">
        <v>47880</v>
      </c>
      <c r="Z233" s="19" t="str">
        <f>HYPERLINK("https://ssdweb.co/ssdweb/hd/Vision360.html?d=941420684&amp;zoomslide=1&amp;z=1941420684&amp;ISCONFIRM=0","VIDEO")</f>
        <v>VIDEO</v>
      </c>
      <c r="AA233" s="19" t="str">
        <f>HYPERLINK("https://ssdweb.co/ssdweb/CERTH/694508419.pdf","CERTI")</f>
        <v>CERTI</v>
      </c>
    </row>
    <row r="234" spans="1:27" ht="15" x14ac:dyDescent="0.25">
      <c r="A234" s="2">
        <v>229</v>
      </c>
      <c r="B234" s="39">
        <v>831020712</v>
      </c>
      <c r="C234" s="28" t="str">
        <f>HYPERLINK("https://pld.live/RapDetail.aspx?STONELIST=831020712","DNA")</f>
        <v>DNA</v>
      </c>
      <c r="D234" s="18" t="s">
        <v>4032</v>
      </c>
      <c r="E234" s="18" t="s">
        <v>2186</v>
      </c>
      <c r="F234" s="2" t="s">
        <v>5597</v>
      </c>
      <c r="G234" s="2" t="s">
        <v>861</v>
      </c>
      <c r="H234" s="14">
        <v>2.52</v>
      </c>
      <c r="I234" s="2" t="s">
        <v>4699</v>
      </c>
      <c r="J234" s="2" t="s">
        <v>13</v>
      </c>
      <c r="K234" s="2" t="s">
        <v>5221</v>
      </c>
      <c r="L234" s="2" t="s">
        <v>5221</v>
      </c>
      <c r="M234" s="2" t="s">
        <v>5221</v>
      </c>
      <c r="N234" s="2" t="s">
        <v>2317</v>
      </c>
      <c r="O234" s="14">
        <v>17500</v>
      </c>
      <c r="P234" s="14">
        <v>98.7</v>
      </c>
      <c r="Q234" s="14">
        <v>227.5</v>
      </c>
      <c r="R234" s="14">
        <v>573.29999999999995</v>
      </c>
      <c r="S234" s="2" t="s">
        <v>5769</v>
      </c>
      <c r="T234" s="2">
        <v>1.01</v>
      </c>
      <c r="U234" s="2">
        <v>61.9</v>
      </c>
      <c r="V234" s="2">
        <v>59</v>
      </c>
      <c r="W234" s="2" t="s">
        <v>7862</v>
      </c>
      <c r="X234" s="2" t="s">
        <v>5405</v>
      </c>
      <c r="Y234" s="2">
        <v>44100</v>
      </c>
      <c r="Z234" s="19" t="str">
        <f>HYPERLINK("https://ssdweb.co/ssdweb/hd/Vision360.html?d=831020712&amp;zoomslide=1&amp;z=1831020712&amp;ISCONFIRM=0","VIDEO")</f>
        <v>VIDEO</v>
      </c>
      <c r="AA234" s="19" t="str">
        <f>HYPERLINK("https://ssdweb.co/ssdweb/CERTH/6471046837.pdf","CERTI")</f>
        <v>CERTI</v>
      </c>
    </row>
    <row r="235" spans="1:27" ht="15" x14ac:dyDescent="0.25">
      <c r="A235" s="2">
        <v>230</v>
      </c>
      <c r="B235" s="39">
        <v>941400261</v>
      </c>
      <c r="C235" s="28" t="str">
        <f>HYPERLINK("https://pld.live/RapDetail.aspx?STONELIST=941400261","DNA")</f>
        <v>DNA</v>
      </c>
      <c r="D235" s="18" t="s">
        <v>4032</v>
      </c>
      <c r="E235" s="18" t="s">
        <v>5128</v>
      </c>
      <c r="F235" s="2" t="s">
        <v>7987</v>
      </c>
      <c r="G235" s="2" t="s">
        <v>861</v>
      </c>
      <c r="H235" s="14">
        <v>2.5099999999999998</v>
      </c>
      <c r="I235" s="2" t="s">
        <v>267</v>
      </c>
      <c r="J235" s="2" t="s">
        <v>3942</v>
      </c>
      <c r="K235" s="2" t="s">
        <v>3390</v>
      </c>
      <c r="L235" s="2" t="s">
        <v>5221</v>
      </c>
      <c r="M235" s="2" t="s">
        <v>5221</v>
      </c>
      <c r="N235" s="2" t="s">
        <v>2317</v>
      </c>
      <c r="O235" s="14">
        <v>23500</v>
      </c>
      <c r="P235" s="14">
        <v>99.2</v>
      </c>
      <c r="Q235" s="14">
        <v>188</v>
      </c>
      <c r="R235" s="14">
        <v>471.88</v>
      </c>
      <c r="S235" s="2" t="s">
        <v>6754</v>
      </c>
      <c r="T235" s="2">
        <v>1</v>
      </c>
      <c r="U235" s="2">
        <v>61.8</v>
      </c>
      <c r="V235" s="2">
        <v>58</v>
      </c>
      <c r="W235" s="2" t="s">
        <v>7862</v>
      </c>
      <c r="X235" s="2" t="s">
        <v>5405</v>
      </c>
      <c r="Y235" s="2">
        <v>58985</v>
      </c>
      <c r="Z235" s="19" t="str">
        <f>HYPERLINK("https://ssdweb.co/ssdweb/hd/Vision360.html?d=941400261&amp;zoomslide=1&amp;z=1941400261&amp;ISCONFIRM=0","VIDEO")</f>
        <v>VIDEO</v>
      </c>
      <c r="AA235" s="19" t="str">
        <f>HYPERLINK("https://ssdweb.co/ssdweb/CERTH/687560939.pdf","CERTI")</f>
        <v>CERTI</v>
      </c>
    </row>
    <row r="236" spans="1:27" ht="15" x14ac:dyDescent="0.25">
      <c r="A236" s="2">
        <v>231</v>
      </c>
      <c r="B236" s="39">
        <v>831020023</v>
      </c>
      <c r="C236" s="28" t="str">
        <f>HYPERLINK("https://pld.live/RapDetail.aspx?STONELIST=831020023","DNA")</f>
        <v>DNA</v>
      </c>
      <c r="D236" s="18" t="s">
        <v>4032</v>
      </c>
      <c r="E236" s="18" t="s">
        <v>2186</v>
      </c>
      <c r="F236" s="2" t="s">
        <v>5597</v>
      </c>
      <c r="G236" s="2" t="s">
        <v>861</v>
      </c>
      <c r="H236" s="14">
        <v>2.5099999999999998</v>
      </c>
      <c r="I236" s="2" t="s">
        <v>1505</v>
      </c>
      <c r="J236" s="2" t="s">
        <v>13</v>
      </c>
      <c r="K236" s="2" t="s">
        <v>5221</v>
      </c>
      <c r="L236" s="2" t="s">
        <v>5221</v>
      </c>
      <c r="M236" s="2" t="s">
        <v>5221</v>
      </c>
      <c r="N236" s="2" t="s">
        <v>2317</v>
      </c>
      <c r="O236" s="14">
        <v>12500</v>
      </c>
      <c r="P236" s="14">
        <v>98.29</v>
      </c>
      <c r="Q236" s="14">
        <v>213.75</v>
      </c>
      <c r="R236" s="14">
        <v>536.51</v>
      </c>
      <c r="S236" s="2" t="s">
        <v>6172</v>
      </c>
      <c r="T236" s="2">
        <v>1.01</v>
      </c>
      <c r="U236" s="2">
        <v>60.1</v>
      </c>
      <c r="V236" s="2">
        <v>59</v>
      </c>
      <c r="W236" s="2" t="s">
        <v>7862</v>
      </c>
      <c r="X236" s="2" t="s">
        <v>5405</v>
      </c>
      <c r="Y236" s="2">
        <v>31375</v>
      </c>
      <c r="Z236" s="19" t="str">
        <f>HYPERLINK("https://ssdweb.co/ssdweb/hd/Vision360.html?d=831020023&amp;zoomslide=1&amp;z=1831020023&amp;ISCONFIRM=0","VIDEO")</f>
        <v>VIDEO</v>
      </c>
      <c r="AA236" s="19" t="str">
        <f>HYPERLINK("https://ssdweb.co/ssdweb/CERTH/1459623158.pdf","CERTI")</f>
        <v>CERTI</v>
      </c>
    </row>
    <row r="237" spans="1:27" ht="15" x14ac:dyDescent="0.25">
      <c r="A237" s="2">
        <v>232</v>
      </c>
      <c r="B237" s="39">
        <v>941400397</v>
      </c>
      <c r="C237" s="28" t="str">
        <f>HYPERLINK("https://pld.live/RapDetail.aspx?STONELIST=941400397","DNA")</f>
        <v>DNA</v>
      </c>
      <c r="D237" s="18" t="s">
        <v>4032</v>
      </c>
      <c r="E237" s="18" t="s">
        <v>5128</v>
      </c>
      <c r="F237" s="2" t="s">
        <v>7987</v>
      </c>
      <c r="G237" s="2" t="s">
        <v>861</v>
      </c>
      <c r="H237" s="14">
        <v>2.5</v>
      </c>
      <c r="I237" s="2" t="s">
        <v>4761</v>
      </c>
      <c r="J237" s="2" t="s">
        <v>3942</v>
      </c>
      <c r="K237" s="2" t="s">
        <v>3390</v>
      </c>
      <c r="L237" s="2" t="s">
        <v>5221</v>
      </c>
      <c r="M237" s="2" t="s">
        <v>5221</v>
      </c>
      <c r="N237" s="2" t="s">
        <v>2317</v>
      </c>
      <c r="O237" s="14">
        <v>21000</v>
      </c>
      <c r="P237" s="14">
        <v>99.16</v>
      </c>
      <c r="Q237" s="14">
        <v>176.4</v>
      </c>
      <c r="R237" s="14">
        <v>441</v>
      </c>
      <c r="S237" s="2" t="s">
        <v>7696</v>
      </c>
      <c r="T237" s="2">
        <v>1</v>
      </c>
      <c r="U237" s="2">
        <v>59.3</v>
      </c>
      <c r="V237" s="2">
        <v>59</v>
      </c>
      <c r="W237" s="2" t="s">
        <v>7862</v>
      </c>
      <c r="X237" s="2" t="s">
        <v>5405</v>
      </c>
      <c r="Y237" s="2">
        <v>52500</v>
      </c>
      <c r="Z237" s="19" t="str">
        <f>HYPERLINK("https://ssdweb.co/ssdweb/hd/Vision360.html?d=941400397&amp;zoomslide=1&amp;z=1941400397&amp;ISCONFIRM=0","VIDEO")</f>
        <v>VIDEO</v>
      </c>
      <c r="AA237" s="19" t="str">
        <f>HYPERLINK("https://ssdweb.co/ssdweb/CERTH/687591672.pdf","CERTI")</f>
        <v>CERTI</v>
      </c>
    </row>
    <row r="238" spans="1:27" ht="15" x14ac:dyDescent="0.25">
      <c r="A238" s="2">
        <v>233</v>
      </c>
      <c r="B238" s="39">
        <v>831020711</v>
      </c>
      <c r="C238" s="28" t="str">
        <f>HYPERLINK("https://pld.live/RapDetail.aspx?STONELIST=831020711","DNA")</f>
        <v>DNA</v>
      </c>
      <c r="D238" s="18" t="s">
        <v>4032</v>
      </c>
      <c r="E238" s="18" t="s">
        <v>2186</v>
      </c>
      <c r="F238" s="2" t="s">
        <v>5597</v>
      </c>
      <c r="G238" s="2" t="s">
        <v>861</v>
      </c>
      <c r="H238" s="14">
        <v>2.5</v>
      </c>
      <c r="I238" s="2" t="s">
        <v>4699</v>
      </c>
      <c r="J238" s="2" t="s">
        <v>13</v>
      </c>
      <c r="K238" s="2" t="s">
        <v>5221</v>
      </c>
      <c r="L238" s="2" t="s">
        <v>5221</v>
      </c>
      <c r="M238" s="2" t="s">
        <v>5221</v>
      </c>
      <c r="N238" s="2" t="s">
        <v>2317</v>
      </c>
      <c r="O238" s="14">
        <v>17500</v>
      </c>
      <c r="P238" s="14">
        <v>98.7</v>
      </c>
      <c r="Q238" s="14">
        <v>227.5</v>
      </c>
      <c r="R238" s="14">
        <v>568.75</v>
      </c>
      <c r="S238" s="2" t="s">
        <v>896</v>
      </c>
      <c r="T238" s="2">
        <v>1.01</v>
      </c>
      <c r="U238" s="2">
        <v>61.2</v>
      </c>
      <c r="V238" s="2">
        <v>59</v>
      </c>
      <c r="W238" s="2" t="s">
        <v>7862</v>
      </c>
      <c r="X238" s="2" t="s">
        <v>5405</v>
      </c>
      <c r="Y238" s="2">
        <v>43750</v>
      </c>
      <c r="Z238" s="19" t="str">
        <f>HYPERLINK("https://ssdweb.co/ssdweb/hd/Vision360.html?d=831020711&amp;zoomslide=1&amp;z=1831020711&amp;ISCONFIRM=0","VIDEO")</f>
        <v>VIDEO</v>
      </c>
      <c r="AA238" s="19" t="str">
        <f>HYPERLINK("https://ssdweb.co/ssdweb/CERTH/2468636893.pdf","CERTI")</f>
        <v>CERTI</v>
      </c>
    </row>
    <row r="239" spans="1:27" ht="15" x14ac:dyDescent="0.25">
      <c r="A239" s="2">
        <v>234</v>
      </c>
      <c r="B239" s="39">
        <v>926010182</v>
      </c>
      <c r="C239" s="28" t="str">
        <f>HYPERLINK("https://pld.live/RapDetail.aspx?STONELIST=926010182","DNA")</f>
        <v>DNA</v>
      </c>
      <c r="D239" s="18" t="s">
        <v>4032</v>
      </c>
      <c r="E239" s="18" t="s">
        <v>2186</v>
      </c>
      <c r="F239" s="2" t="s">
        <v>7987</v>
      </c>
      <c r="G239" s="2" t="s">
        <v>861</v>
      </c>
      <c r="H239" s="14">
        <v>2.5</v>
      </c>
      <c r="I239" s="2" t="s">
        <v>1066</v>
      </c>
      <c r="J239" s="2" t="s">
        <v>13</v>
      </c>
      <c r="K239" s="2" t="s">
        <v>3390</v>
      </c>
      <c r="L239" s="2" t="s">
        <v>5221</v>
      </c>
      <c r="M239" s="2" t="s">
        <v>5221</v>
      </c>
      <c r="N239" s="2" t="s">
        <v>924</v>
      </c>
      <c r="O239" s="14">
        <v>6100</v>
      </c>
      <c r="P239" s="14">
        <v>95.08</v>
      </c>
      <c r="Q239" s="14">
        <v>300.12</v>
      </c>
      <c r="R239" s="14">
        <v>750.3</v>
      </c>
      <c r="S239" s="2" t="s">
        <v>6116</v>
      </c>
      <c r="T239" s="2">
        <v>1.01</v>
      </c>
      <c r="U239" s="2">
        <v>62.3</v>
      </c>
      <c r="V239" s="2">
        <v>59</v>
      </c>
      <c r="W239" s="2" t="s">
        <v>7862</v>
      </c>
      <c r="X239" s="2" t="s">
        <v>5405</v>
      </c>
      <c r="Y239" s="2">
        <v>15250</v>
      </c>
      <c r="Z239" s="19" t="str">
        <f>HYPERLINK("https://ssdweb.co/ssdweb/hd/Vision360.html?d=926010182&amp;zoomslide=1&amp;z=1926010182&amp;ISCONFIRM=0","VIDEO")</f>
        <v>VIDEO</v>
      </c>
      <c r="AA239" s="19" t="str">
        <f>HYPERLINK("https://ssdweb.co/ssdweb/CERTH/636470027.pdf","CERTI")</f>
        <v>CERTI</v>
      </c>
    </row>
    <row r="240" spans="1:27" ht="15" x14ac:dyDescent="0.25">
      <c r="A240" s="2">
        <v>235</v>
      </c>
      <c r="B240" s="39">
        <v>923290263</v>
      </c>
      <c r="C240" s="28" t="str">
        <f>HYPERLINK("https://pld.live/RapDetail.aspx?STONELIST=923290263","DNA")</f>
        <v>DNA</v>
      </c>
      <c r="D240" s="18" t="s">
        <v>5154</v>
      </c>
      <c r="E240" s="18" t="s">
        <v>2186</v>
      </c>
      <c r="F240" s="2" t="s">
        <v>5597</v>
      </c>
      <c r="G240" s="2" t="s">
        <v>861</v>
      </c>
      <c r="H240" s="14">
        <v>2.44</v>
      </c>
      <c r="I240" s="2" t="s">
        <v>4699</v>
      </c>
      <c r="J240" s="2" t="s">
        <v>13</v>
      </c>
      <c r="K240" s="2" t="s">
        <v>5221</v>
      </c>
      <c r="L240" s="2" t="s">
        <v>5221</v>
      </c>
      <c r="M240" s="2" t="s">
        <v>5221</v>
      </c>
      <c r="N240" s="2" t="s">
        <v>2317</v>
      </c>
      <c r="O240" s="14">
        <v>17500</v>
      </c>
      <c r="P240" s="14">
        <v>98.77</v>
      </c>
      <c r="Q240" s="14">
        <v>215.25</v>
      </c>
      <c r="R240" s="14">
        <v>525.21</v>
      </c>
      <c r="S240" s="2" t="s">
        <v>913</v>
      </c>
      <c r="T240" s="2">
        <v>1.01</v>
      </c>
      <c r="U240" s="2">
        <v>62.4</v>
      </c>
      <c r="V240" s="2">
        <v>59</v>
      </c>
      <c r="W240" s="2" t="s">
        <v>7862</v>
      </c>
      <c r="X240" s="2" t="s">
        <v>5405</v>
      </c>
      <c r="Y240" s="2">
        <v>42700</v>
      </c>
      <c r="Z240" s="19" t="str">
        <f>HYPERLINK("https://ssdweb.co/ssdweb/hd/Vision360.html?d=923290263&amp;zoomslide=1&amp;z=1923290263&amp;ISCONFIRM=0","VIDEO")</f>
        <v>VIDEO</v>
      </c>
      <c r="AA240" s="19" t="str">
        <f>HYPERLINK("https://ssdweb.co/ssdweb/CERTH/2444717712.pdf","CERTI")</f>
        <v>CERTI</v>
      </c>
    </row>
    <row r="241" spans="1:27" ht="15" x14ac:dyDescent="0.25">
      <c r="A241" s="2">
        <v>236</v>
      </c>
      <c r="B241" s="39">
        <v>941400533</v>
      </c>
      <c r="C241" s="28" t="str">
        <f>HYPERLINK("https://pld.live/RapDetail.aspx?STONELIST=941400533","DNA")</f>
        <v>DNA</v>
      </c>
      <c r="D241" s="18" t="s">
        <v>5154</v>
      </c>
      <c r="E241" s="18" t="s">
        <v>5128</v>
      </c>
      <c r="F241" s="2" t="s">
        <v>7987</v>
      </c>
      <c r="G241" s="2" t="s">
        <v>861</v>
      </c>
      <c r="H241" s="14">
        <v>2.4300000000000002</v>
      </c>
      <c r="I241" s="2" t="s">
        <v>267</v>
      </c>
      <c r="J241" s="2" t="s">
        <v>13</v>
      </c>
      <c r="K241" s="2" t="s">
        <v>3390</v>
      </c>
      <c r="L241" s="2" t="s">
        <v>5221</v>
      </c>
      <c r="M241" s="2" t="s">
        <v>5221</v>
      </c>
      <c r="N241" s="2" t="s">
        <v>2317</v>
      </c>
      <c r="O241" s="14">
        <v>20500</v>
      </c>
      <c r="P241" s="14">
        <v>99.18</v>
      </c>
      <c r="Q241" s="14">
        <v>168.1</v>
      </c>
      <c r="R241" s="14">
        <v>408.48</v>
      </c>
      <c r="S241" s="2" t="s">
        <v>5483</v>
      </c>
      <c r="T241" s="2">
        <v>1.01</v>
      </c>
      <c r="U241" s="2">
        <v>61.6</v>
      </c>
      <c r="V241" s="2">
        <v>57</v>
      </c>
      <c r="W241" s="2" t="s">
        <v>7862</v>
      </c>
      <c r="X241" s="2" t="s">
        <v>5405</v>
      </c>
      <c r="Y241" s="2">
        <v>49815</v>
      </c>
      <c r="Z241" s="19" t="str">
        <f>HYPERLINK("https://ssdweb.co/ssdweb/hd/Vision360.html?d=941400533&amp;zoomslide=1&amp;z=1941400533&amp;ISCONFIRM=0","VIDEO")</f>
        <v>VIDEO</v>
      </c>
      <c r="AA241" s="19" t="str">
        <f>HYPERLINK("https://ssdweb.co/ssdweb/CERTH/692505670.pdf","CERTI")</f>
        <v>CERTI</v>
      </c>
    </row>
    <row r="242" spans="1:27" ht="15" x14ac:dyDescent="0.25">
      <c r="A242" s="2">
        <v>237</v>
      </c>
      <c r="B242" s="39">
        <v>925000070</v>
      </c>
      <c r="C242" s="28" t="str">
        <f>HYPERLINK("https://pld.live/RapDetail.aspx?STONELIST=925000070","DNA")</f>
        <v>DNA</v>
      </c>
      <c r="D242" s="18" t="s">
        <v>5154</v>
      </c>
      <c r="E242" s="18" t="s">
        <v>2186</v>
      </c>
      <c r="F242" s="2" t="s">
        <v>7987</v>
      </c>
      <c r="G242" s="2" t="s">
        <v>861</v>
      </c>
      <c r="H242" s="14">
        <v>2.41</v>
      </c>
      <c r="I242" s="2" t="s">
        <v>4761</v>
      </c>
      <c r="J242" s="2" t="s">
        <v>6555</v>
      </c>
      <c r="K242" s="2" t="s">
        <v>3390</v>
      </c>
      <c r="L242" s="2" t="s">
        <v>5221</v>
      </c>
      <c r="M242" s="2" t="s">
        <v>5221</v>
      </c>
      <c r="N242" s="2" t="s">
        <v>2317</v>
      </c>
      <c r="O242" s="14">
        <v>24500</v>
      </c>
      <c r="P242" s="14">
        <v>98.84</v>
      </c>
      <c r="Q242" s="14">
        <v>284.2</v>
      </c>
      <c r="R242" s="14">
        <v>684.92</v>
      </c>
      <c r="S242" s="2" t="s">
        <v>4766</v>
      </c>
      <c r="T242" s="2">
        <v>1</v>
      </c>
      <c r="U242" s="2">
        <v>62.3</v>
      </c>
      <c r="V242" s="2">
        <v>59</v>
      </c>
      <c r="W242" s="2" t="s">
        <v>8016</v>
      </c>
      <c r="X242" s="2" t="s">
        <v>5405</v>
      </c>
      <c r="Y242" s="2">
        <v>59045</v>
      </c>
      <c r="Z242" s="19" t="str">
        <f>HYPERLINK("https://ssdweb.co/ssdweb/hd/Vision360.html?d=925000070&amp;zoomslide=1&amp;z=1925000070&amp;ISCONFIRM=0","VIDEO")</f>
        <v>VIDEO</v>
      </c>
      <c r="AA242" s="19" t="str">
        <f>HYPERLINK("https://ssdweb.co/ssdweb/CERTH/602361206.pdf","CERTI")</f>
        <v>CERTI</v>
      </c>
    </row>
    <row r="243" spans="1:27" ht="15" x14ac:dyDescent="0.25">
      <c r="A243" s="2">
        <v>238</v>
      </c>
      <c r="B243" s="39">
        <v>926560307</v>
      </c>
      <c r="C243" s="28" t="str">
        <f>HYPERLINK("https://pld.live/RapDetail.aspx?STONELIST=926560307","DNA")</f>
        <v>DNA</v>
      </c>
      <c r="D243" s="18" t="s">
        <v>5154</v>
      </c>
      <c r="E243" s="18" t="s">
        <v>2186</v>
      </c>
      <c r="F243" s="2" t="s">
        <v>7987</v>
      </c>
      <c r="G243" s="2" t="s">
        <v>861</v>
      </c>
      <c r="H243" s="14">
        <v>2.41</v>
      </c>
      <c r="I243" s="2" t="s">
        <v>6587</v>
      </c>
      <c r="J243" s="2" t="s">
        <v>13</v>
      </c>
      <c r="K243" s="2" t="s">
        <v>3390</v>
      </c>
      <c r="L243" s="2" t="s">
        <v>5221</v>
      </c>
      <c r="M243" s="2" t="s">
        <v>5221</v>
      </c>
      <c r="N243" s="2" t="s">
        <v>2317</v>
      </c>
      <c r="O243" s="14">
        <v>15000</v>
      </c>
      <c r="P243" s="14">
        <v>99.13</v>
      </c>
      <c r="Q243" s="14">
        <v>130.5</v>
      </c>
      <c r="R243" s="14">
        <v>314.51</v>
      </c>
      <c r="S243" s="2" t="s">
        <v>5543</v>
      </c>
      <c r="T243" s="2">
        <v>1</v>
      </c>
      <c r="U243" s="2">
        <v>62.5</v>
      </c>
      <c r="V243" s="2">
        <v>57</v>
      </c>
      <c r="W243" s="2" t="s">
        <v>7862</v>
      </c>
      <c r="X243" s="2" t="s">
        <v>5405</v>
      </c>
      <c r="Y243" s="2">
        <v>36150</v>
      </c>
      <c r="Z243" s="19" t="str">
        <f>HYPERLINK("https://ssdweb.co/ssdweb/hd/Vision360.html?d=926560307&amp;zoomslide=1&amp;z=1926560307&amp;ISCONFIRM=0","VIDEO")</f>
        <v>VIDEO</v>
      </c>
      <c r="AA243" s="19" t="str">
        <f>HYPERLINK("https://ssdweb.co/ssdweb/CERTH/647475481.pdf","CERTI")</f>
        <v>CERTI</v>
      </c>
    </row>
    <row r="244" spans="1:27" ht="15" x14ac:dyDescent="0.25">
      <c r="A244" s="2">
        <v>239</v>
      </c>
      <c r="B244" s="39">
        <v>924350018</v>
      </c>
      <c r="C244" s="28" t="str">
        <f>HYPERLINK("https://pld.live/RapDetail.aspx?STONELIST=924350018","DNA")</f>
        <v>DNA</v>
      </c>
      <c r="D244" s="18" t="s">
        <v>5154</v>
      </c>
      <c r="E244" s="18" t="s">
        <v>2186</v>
      </c>
      <c r="F244" s="2" t="s">
        <v>5597</v>
      </c>
      <c r="G244" s="2" t="s">
        <v>861</v>
      </c>
      <c r="H244" s="14">
        <v>2.41</v>
      </c>
      <c r="I244" s="2" t="s">
        <v>6587</v>
      </c>
      <c r="J244" s="2" t="s">
        <v>13</v>
      </c>
      <c r="K244" s="2" t="s">
        <v>5221</v>
      </c>
      <c r="L244" s="2" t="s">
        <v>5221</v>
      </c>
      <c r="M244" s="2" t="s">
        <v>5221</v>
      </c>
      <c r="N244" s="2" t="s">
        <v>2317</v>
      </c>
      <c r="O244" s="14">
        <v>15000</v>
      </c>
      <c r="P244" s="14">
        <v>98.59</v>
      </c>
      <c r="Q244" s="14">
        <v>211.5</v>
      </c>
      <c r="R244" s="14">
        <v>509.72</v>
      </c>
      <c r="S244" s="2" t="s">
        <v>2030</v>
      </c>
      <c r="T244" s="2">
        <v>1.01</v>
      </c>
      <c r="U244" s="2">
        <v>61.1</v>
      </c>
      <c r="V244" s="2">
        <v>58</v>
      </c>
      <c r="W244" s="2" t="s">
        <v>7862</v>
      </c>
      <c r="X244" s="2" t="s">
        <v>5405</v>
      </c>
      <c r="Y244" s="2">
        <v>36150</v>
      </c>
      <c r="Z244" s="19" t="str">
        <f>HYPERLINK("https://ssdweb.co/ssdweb/hd/Vision360.html?d=924350018&amp;zoomslide=1&amp;z=1924350018&amp;ISCONFIRM=0","VIDEO")</f>
        <v>VIDEO</v>
      </c>
      <c r="AA244" s="19" t="str">
        <f>HYPERLINK("https://ssdweb.co/ssdweb/CERTH/6465917370.pdf","CERTI")</f>
        <v>CERTI</v>
      </c>
    </row>
    <row r="245" spans="1:27" ht="15" x14ac:dyDescent="0.25">
      <c r="A245" s="2">
        <v>240</v>
      </c>
      <c r="B245" s="39">
        <v>924190541</v>
      </c>
      <c r="C245" s="28" t="str">
        <f>HYPERLINK("https://pld.live/RapDetail.aspx?STONELIST=924190541","DNA")</f>
        <v>DNA</v>
      </c>
      <c r="D245" s="18" t="s">
        <v>5154</v>
      </c>
      <c r="E245" s="18" t="s">
        <v>2186</v>
      </c>
      <c r="F245" s="2" t="s">
        <v>7987</v>
      </c>
      <c r="G245" s="2" t="s">
        <v>861</v>
      </c>
      <c r="H245" s="14">
        <v>2.4</v>
      </c>
      <c r="I245" s="2" t="s">
        <v>4699</v>
      </c>
      <c r="J245" s="2" t="s">
        <v>13</v>
      </c>
      <c r="K245" s="2" t="s">
        <v>3390</v>
      </c>
      <c r="L245" s="2" t="s">
        <v>5221</v>
      </c>
      <c r="M245" s="2" t="s">
        <v>5221</v>
      </c>
      <c r="N245" s="2" t="s">
        <v>2317</v>
      </c>
      <c r="O245" s="14">
        <v>17500</v>
      </c>
      <c r="P245" s="14">
        <v>99.2</v>
      </c>
      <c r="Q245" s="14">
        <v>140</v>
      </c>
      <c r="R245" s="14">
        <v>336</v>
      </c>
      <c r="S245" s="2" t="s">
        <v>131</v>
      </c>
      <c r="T245" s="2">
        <v>1</v>
      </c>
      <c r="U245" s="2">
        <v>60.9</v>
      </c>
      <c r="V245" s="2">
        <v>59</v>
      </c>
      <c r="W245" s="2" t="s">
        <v>7862</v>
      </c>
      <c r="X245" s="2" t="s">
        <v>5405</v>
      </c>
      <c r="Y245" s="2">
        <v>42000</v>
      </c>
      <c r="Z245" s="19" t="str">
        <f>HYPERLINK("https://ssdweb.co/ssdweb/hd/Vision360.html?d=924190541&amp;zoomslide=1&amp;z=1924190541&amp;ISCONFIRM=0","VIDEO")</f>
        <v>VIDEO</v>
      </c>
      <c r="AA245" s="19" t="str">
        <f>HYPERLINK("https://ssdweb.co/ssdweb/CERTH/578331560.pdf","CERTI")</f>
        <v>CERTI</v>
      </c>
    </row>
    <row r="246" spans="1:27" ht="15" x14ac:dyDescent="0.25">
      <c r="A246" s="2">
        <v>241</v>
      </c>
      <c r="B246" s="39">
        <v>925680181</v>
      </c>
      <c r="C246" s="28" t="str">
        <f>HYPERLINK("https://pld.live/RapDetail.aspx?STONELIST=925680181","DNA")</f>
        <v>DNA</v>
      </c>
      <c r="D246" s="18" t="s">
        <v>5154</v>
      </c>
      <c r="E246" s="18" t="s">
        <v>2186</v>
      </c>
      <c r="F246" s="2" t="s">
        <v>7987</v>
      </c>
      <c r="G246" s="2" t="s">
        <v>861</v>
      </c>
      <c r="H246" s="14">
        <v>2.39</v>
      </c>
      <c r="I246" s="2" t="s">
        <v>4699</v>
      </c>
      <c r="J246" s="2" t="s">
        <v>13</v>
      </c>
      <c r="K246" s="2" t="s">
        <v>3390</v>
      </c>
      <c r="L246" s="2" t="s">
        <v>5221</v>
      </c>
      <c r="M246" s="2" t="s">
        <v>5221</v>
      </c>
      <c r="N246" s="2" t="s">
        <v>2317</v>
      </c>
      <c r="O246" s="14">
        <v>17500</v>
      </c>
      <c r="P246" s="14">
        <v>99.2</v>
      </c>
      <c r="Q246" s="14">
        <v>140</v>
      </c>
      <c r="R246" s="14">
        <v>334.6</v>
      </c>
      <c r="S246" s="2" t="s">
        <v>464</v>
      </c>
      <c r="T246" s="2">
        <v>1</v>
      </c>
      <c r="U246" s="2">
        <v>60.1</v>
      </c>
      <c r="V246" s="2">
        <v>59</v>
      </c>
      <c r="W246" s="2" t="s">
        <v>7862</v>
      </c>
      <c r="X246" s="2" t="s">
        <v>5405</v>
      </c>
      <c r="Y246" s="2">
        <v>41825</v>
      </c>
      <c r="Z246" s="19" t="str">
        <f>HYPERLINK("https://ssdweb.co/ssdweb/hd/Vision360.html?d=925680181&amp;zoomslide=1&amp;z=1925680181&amp;ISCONFIRM=0","VIDEO")</f>
        <v>VIDEO</v>
      </c>
      <c r="AA246" s="19" t="str">
        <f>HYPERLINK("https://ssdweb.co/ssdweb/CERTH/626457423.pdf","CERTI")</f>
        <v>CERTI</v>
      </c>
    </row>
    <row r="247" spans="1:27" ht="15" x14ac:dyDescent="0.25">
      <c r="A247" s="2">
        <v>242</v>
      </c>
      <c r="B247" s="39">
        <v>924730132</v>
      </c>
      <c r="C247" s="28" t="str">
        <f>HYPERLINK("https://pld.live/RapDetail.aspx?STONELIST=924730132","DNA")</f>
        <v>DNA</v>
      </c>
      <c r="D247" s="18" t="s">
        <v>5154</v>
      </c>
      <c r="E247" s="18" t="s">
        <v>5128</v>
      </c>
      <c r="F247" s="2" t="s">
        <v>7987</v>
      </c>
      <c r="G247" s="2" t="s">
        <v>861</v>
      </c>
      <c r="H247" s="14">
        <v>2.38</v>
      </c>
      <c r="I247" s="2" t="s">
        <v>4761</v>
      </c>
      <c r="J247" s="2" t="s">
        <v>6555</v>
      </c>
      <c r="K247" s="2" t="s">
        <v>3390</v>
      </c>
      <c r="L247" s="2" t="s">
        <v>5221</v>
      </c>
      <c r="M247" s="2" t="s">
        <v>5221</v>
      </c>
      <c r="N247" s="2" t="s">
        <v>2317</v>
      </c>
      <c r="O247" s="14">
        <v>24500</v>
      </c>
      <c r="P247" s="14">
        <v>98.83</v>
      </c>
      <c r="Q247" s="14">
        <v>286.64999999999998</v>
      </c>
      <c r="R247" s="14">
        <v>682.23</v>
      </c>
      <c r="S247" s="2" t="s">
        <v>6481</v>
      </c>
      <c r="T247" s="2">
        <v>1.01</v>
      </c>
      <c r="U247" s="2">
        <v>62.4</v>
      </c>
      <c r="V247" s="2">
        <v>58</v>
      </c>
      <c r="W247" s="2" t="s">
        <v>7862</v>
      </c>
      <c r="X247" s="2" t="s">
        <v>5405</v>
      </c>
      <c r="Y247" s="2">
        <v>58310</v>
      </c>
      <c r="Z247" s="19" t="str">
        <f>HYPERLINK("https://ssdweb.co/ssdweb/hd/Vision360.html?d=924730132&amp;zoomslide=1&amp;z=1924730132&amp;ISCONFIRM=0","VIDEO")</f>
        <v>VIDEO</v>
      </c>
      <c r="AA247" s="19" t="str">
        <f>HYPERLINK("https://ssdweb.co/ssdweb/CERTH/598373919.pdf","CERTI")</f>
        <v>CERTI</v>
      </c>
    </row>
    <row r="248" spans="1:27" ht="15" x14ac:dyDescent="0.25">
      <c r="A248" s="2">
        <v>243</v>
      </c>
      <c r="B248" s="39">
        <v>925360304</v>
      </c>
      <c r="C248" s="28" t="str">
        <f>HYPERLINK("https://pld.live/RapDetail.aspx?STONELIST=925360304","DNA")</f>
        <v>DNA</v>
      </c>
      <c r="D248" s="18" t="s">
        <v>5154</v>
      </c>
      <c r="E248" s="18" t="s">
        <v>5128</v>
      </c>
      <c r="F248" s="2" t="s">
        <v>7987</v>
      </c>
      <c r="G248" s="2" t="s">
        <v>861</v>
      </c>
      <c r="H248" s="14">
        <v>2.37</v>
      </c>
      <c r="I248" s="2" t="s">
        <v>4761</v>
      </c>
      <c r="J248" s="2" t="s">
        <v>3942</v>
      </c>
      <c r="K248" s="2" t="s">
        <v>3390</v>
      </c>
      <c r="L248" s="2" t="s">
        <v>5221</v>
      </c>
      <c r="M248" s="2" t="s">
        <v>5221</v>
      </c>
      <c r="N248" s="2" t="s">
        <v>2317</v>
      </c>
      <c r="O248" s="14">
        <v>21000</v>
      </c>
      <c r="P248" s="14">
        <v>99.2</v>
      </c>
      <c r="Q248" s="14">
        <v>168</v>
      </c>
      <c r="R248" s="14">
        <v>398.16</v>
      </c>
      <c r="S248" s="2" t="s">
        <v>6716</v>
      </c>
      <c r="T248" s="2">
        <v>1.01</v>
      </c>
      <c r="U248" s="2">
        <v>61.9</v>
      </c>
      <c r="V248" s="2">
        <v>58</v>
      </c>
      <c r="W248" s="2" t="s">
        <v>7862</v>
      </c>
      <c r="X248" s="2" t="s">
        <v>5405</v>
      </c>
      <c r="Y248" s="2">
        <v>49770</v>
      </c>
      <c r="Z248" s="19" t="str">
        <f>HYPERLINK("https://ssdweb.co/ssdweb/hd/Vision360.html?d=925360304&amp;zoomslide=1&amp;z=1925360304&amp;ISCONFIRM=0","VIDEO")</f>
        <v>VIDEO</v>
      </c>
      <c r="AA248" s="19" t="str">
        <f>HYPERLINK("https://ssdweb.co/ssdweb/CERTH/616403468.pdf","CERTI")</f>
        <v>CERTI</v>
      </c>
    </row>
    <row r="249" spans="1:27" ht="15" x14ac:dyDescent="0.25">
      <c r="A249" s="2">
        <v>244</v>
      </c>
      <c r="B249" s="39">
        <v>924250499</v>
      </c>
      <c r="C249" s="28" t="str">
        <f>HYPERLINK("https://pld.live/RapDetail.aspx?STONELIST=924250499","DNA")</f>
        <v>DNA</v>
      </c>
      <c r="D249" s="18" t="s">
        <v>5154</v>
      </c>
      <c r="E249" s="18" t="s">
        <v>2186</v>
      </c>
      <c r="F249" s="2" t="s">
        <v>5597</v>
      </c>
      <c r="G249" s="2" t="s">
        <v>861</v>
      </c>
      <c r="H249" s="14">
        <v>2.37</v>
      </c>
      <c r="I249" s="2" t="s">
        <v>4699</v>
      </c>
      <c r="J249" s="2" t="s">
        <v>13</v>
      </c>
      <c r="K249" s="2" t="s">
        <v>5221</v>
      </c>
      <c r="L249" s="2" t="s">
        <v>5221</v>
      </c>
      <c r="M249" s="2" t="s">
        <v>5221</v>
      </c>
      <c r="N249" s="2" t="s">
        <v>2317</v>
      </c>
      <c r="O249" s="14">
        <v>17500</v>
      </c>
      <c r="P249" s="14">
        <v>98.77</v>
      </c>
      <c r="Q249" s="14">
        <v>215.25</v>
      </c>
      <c r="R249" s="14">
        <v>510.14</v>
      </c>
      <c r="S249" s="2" t="s">
        <v>6241</v>
      </c>
      <c r="T249" s="2">
        <v>1.01</v>
      </c>
      <c r="U249" s="2">
        <v>60.6</v>
      </c>
      <c r="V249" s="2">
        <v>59</v>
      </c>
      <c r="W249" s="2" t="s">
        <v>7862</v>
      </c>
      <c r="X249" s="2" t="s">
        <v>5405</v>
      </c>
      <c r="Y249" s="2">
        <v>41475</v>
      </c>
      <c r="Z249" s="19" t="str">
        <f>HYPERLINK("https://ssdweb.co/ssdweb/hd/Vision360.html?d=924250499&amp;zoomslide=1&amp;z=1924250499&amp;ISCONFIRM=0","VIDEO")</f>
        <v>VIDEO</v>
      </c>
      <c r="AA249" s="19" t="str">
        <f>HYPERLINK("https://ssdweb.co/ssdweb/CERTH/2467944848.pdf","CERTI")</f>
        <v>CERTI</v>
      </c>
    </row>
    <row r="250" spans="1:27" ht="15" x14ac:dyDescent="0.25">
      <c r="A250" s="2">
        <v>245</v>
      </c>
      <c r="B250" s="39">
        <v>924830090</v>
      </c>
      <c r="C250" s="28" t="str">
        <f>HYPERLINK("https://pld.live/RapDetail.aspx?STONELIST=924830090","DNA")</f>
        <v>DNA</v>
      </c>
      <c r="D250" s="18" t="s">
        <v>5154</v>
      </c>
      <c r="E250" s="18" t="s">
        <v>5128</v>
      </c>
      <c r="F250" s="2" t="s">
        <v>7987</v>
      </c>
      <c r="G250" s="2" t="s">
        <v>861</v>
      </c>
      <c r="H250" s="14">
        <v>2.36</v>
      </c>
      <c r="I250" s="2" t="s">
        <v>1505</v>
      </c>
      <c r="J250" s="2" t="s">
        <v>3942</v>
      </c>
      <c r="K250" s="2" t="s">
        <v>3390</v>
      </c>
      <c r="L250" s="2" t="s">
        <v>5221</v>
      </c>
      <c r="M250" s="2" t="s">
        <v>5221</v>
      </c>
      <c r="N250" s="2" t="s">
        <v>2317</v>
      </c>
      <c r="O250" s="14">
        <v>13500</v>
      </c>
      <c r="P250" s="14">
        <v>99.08</v>
      </c>
      <c r="Q250" s="14">
        <v>124.2</v>
      </c>
      <c r="R250" s="14">
        <v>293.11</v>
      </c>
      <c r="S250" s="2" t="s">
        <v>2823</v>
      </c>
      <c r="T250" s="2">
        <v>1.01</v>
      </c>
      <c r="U250" s="2">
        <v>62.1</v>
      </c>
      <c r="V250" s="2">
        <v>59</v>
      </c>
      <c r="W250" s="2" t="s">
        <v>4336</v>
      </c>
      <c r="X250" s="2" t="s">
        <v>5405</v>
      </c>
      <c r="Y250" s="2">
        <v>31860</v>
      </c>
      <c r="Z250" s="19" t="str">
        <f>HYPERLINK("https://ssdweb.co/ssdweb/hd/Vision360.html?d=924830090&amp;zoomslide=1&amp;z=1924830090&amp;ISCONFIRM=0","VIDEO")</f>
        <v>VIDEO</v>
      </c>
      <c r="AA250" s="19" t="str">
        <f>HYPERLINK("https://ssdweb.co/ssdweb/CERTH/601323387.pdf","CERTI")</f>
        <v>CERTI</v>
      </c>
    </row>
    <row r="251" spans="1:27" ht="15" x14ac:dyDescent="0.25">
      <c r="A251" s="2">
        <v>246</v>
      </c>
      <c r="B251" s="39">
        <v>924480014</v>
      </c>
      <c r="C251" s="28" t="str">
        <f>HYPERLINK("https://pld.live/RapDetail.aspx?STONELIST=924480014","DNA")</f>
        <v>DNA</v>
      </c>
      <c r="D251" s="18" t="s">
        <v>5154</v>
      </c>
      <c r="E251" s="18" t="s">
        <v>2186</v>
      </c>
      <c r="F251" s="2" t="s">
        <v>7987</v>
      </c>
      <c r="G251" s="2" t="s">
        <v>861</v>
      </c>
      <c r="H251" s="14">
        <v>2.35</v>
      </c>
      <c r="I251" s="2" t="s">
        <v>7289</v>
      </c>
      <c r="J251" s="2" t="s">
        <v>13</v>
      </c>
      <c r="K251" s="2" t="s">
        <v>5221</v>
      </c>
      <c r="L251" s="2" t="s">
        <v>5221</v>
      </c>
      <c r="M251" s="2" t="s">
        <v>5221</v>
      </c>
      <c r="N251" s="2" t="s">
        <v>2317</v>
      </c>
      <c r="O251" s="14">
        <v>6100</v>
      </c>
      <c r="P251" s="14">
        <v>96.39</v>
      </c>
      <c r="Q251" s="14">
        <v>220.21</v>
      </c>
      <c r="R251" s="14">
        <v>517.49</v>
      </c>
      <c r="S251" s="2" t="s">
        <v>3999</v>
      </c>
      <c r="T251" s="2">
        <v>1.01</v>
      </c>
      <c r="U251" s="2">
        <v>62.1</v>
      </c>
      <c r="V251" s="2">
        <v>59</v>
      </c>
      <c r="W251" s="2" t="s">
        <v>7862</v>
      </c>
      <c r="X251" s="2" t="s">
        <v>5405</v>
      </c>
      <c r="Y251" s="2">
        <v>14335</v>
      </c>
      <c r="Z251" s="19" t="str">
        <f>HYPERLINK("https://ssdweb.co/ssdweb/hd/Vision360.html?d=924480014&amp;zoomslide=1&amp;z=1924480014&amp;ISCONFIRM=0","VIDEO")</f>
        <v>VIDEO</v>
      </c>
      <c r="AA251" s="19" t="str">
        <f>HYPERLINK("https://ssdweb.co/ssdweb/CERTH/598326657.pdf","CERTI")</f>
        <v>CERTI</v>
      </c>
    </row>
    <row r="252" spans="1:27" ht="15" x14ac:dyDescent="0.25">
      <c r="A252" s="2">
        <v>247</v>
      </c>
      <c r="B252" s="39">
        <v>924190665</v>
      </c>
      <c r="C252" s="28" t="str">
        <f>HYPERLINK("https://pld.live/RapDetail.aspx?STONELIST=924190665","DNA")</f>
        <v>DNA</v>
      </c>
      <c r="D252" s="18" t="s">
        <v>5154</v>
      </c>
      <c r="E252" s="18" t="s">
        <v>2186</v>
      </c>
      <c r="F252" s="2" t="s">
        <v>5597</v>
      </c>
      <c r="G252" s="2" t="s">
        <v>861</v>
      </c>
      <c r="H252" s="14">
        <v>2.34</v>
      </c>
      <c r="I252" s="2" t="s">
        <v>4761</v>
      </c>
      <c r="J252" s="2" t="s">
        <v>13</v>
      </c>
      <c r="K252" s="2" t="s">
        <v>5221</v>
      </c>
      <c r="L252" s="2" t="s">
        <v>5221</v>
      </c>
      <c r="M252" s="2" t="s">
        <v>5221</v>
      </c>
      <c r="N252" s="2" t="s">
        <v>2317</v>
      </c>
      <c r="O252" s="14">
        <v>19000</v>
      </c>
      <c r="P252" s="14">
        <v>98.77</v>
      </c>
      <c r="Q252" s="14">
        <v>233.7</v>
      </c>
      <c r="R252" s="14">
        <v>546.86</v>
      </c>
      <c r="S252" s="2" t="s">
        <v>3130</v>
      </c>
      <c r="T252" s="2">
        <v>1.01</v>
      </c>
      <c r="U252" s="2">
        <v>61.4</v>
      </c>
      <c r="V252" s="2">
        <v>59</v>
      </c>
      <c r="W252" s="2" t="s">
        <v>7862</v>
      </c>
      <c r="X252" s="2" t="s">
        <v>5405</v>
      </c>
      <c r="Y252" s="2">
        <v>44460</v>
      </c>
      <c r="Z252" s="19" t="str">
        <f>HYPERLINK("https://ssdweb.co/ssdweb/hd/Vision360.html?d=924190665&amp;zoomslide=1&amp;z=1924190665&amp;ISCONFIRM=0","VIDEO")</f>
        <v>VIDEO</v>
      </c>
      <c r="AA252" s="19" t="str">
        <f>HYPERLINK("https://ssdweb.co/ssdweb/CERTH/6465529769.pdf","CERTI")</f>
        <v>CERTI</v>
      </c>
    </row>
    <row r="253" spans="1:27" ht="15" x14ac:dyDescent="0.25">
      <c r="A253" s="2">
        <v>248</v>
      </c>
      <c r="B253" s="39">
        <v>923350465</v>
      </c>
      <c r="C253" s="28" t="str">
        <f>HYPERLINK("https://pld.live/RapDetail.aspx?STONELIST=923350465","DNA")</f>
        <v>DNA</v>
      </c>
      <c r="D253" s="18" t="s">
        <v>5154</v>
      </c>
      <c r="E253" s="18" t="s">
        <v>2186</v>
      </c>
      <c r="F253" s="2" t="s">
        <v>5597</v>
      </c>
      <c r="G253" s="2" t="s">
        <v>861</v>
      </c>
      <c r="H253" s="14">
        <v>2.33</v>
      </c>
      <c r="I253" s="2" t="s">
        <v>4699</v>
      </c>
      <c r="J253" s="2" t="s">
        <v>13</v>
      </c>
      <c r="K253" s="2" t="s">
        <v>5221</v>
      </c>
      <c r="L253" s="2" t="s">
        <v>5221</v>
      </c>
      <c r="M253" s="2" t="s">
        <v>5221</v>
      </c>
      <c r="N253" s="2" t="s">
        <v>2317</v>
      </c>
      <c r="O253" s="14">
        <v>17500</v>
      </c>
      <c r="P253" s="14">
        <v>98.77</v>
      </c>
      <c r="Q253" s="14">
        <v>215.25</v>
      </c>
      <c r="R253" s="14">
        <v>501.53</v>
      </c>
      <c r="S253" s="2" t="s">
        <v>2221</v>
      </c>
      <c r="T253" s="2">
        <v>1.01</v>
      </c>
      <c r="U253" s="2">
        <v>62.4</v>
      </c>
      <c r="V253" s="2">
        <v>58</v>
      </c>
      <c r="W253" s="2" t="s">
        <v>7862</v>
      </c>
      <c r="X253" s="2" t="s">
        <v>5405</v>
      </c>
      <c r="Y253" s="2">
        <v>40775</v>
      </c>
      <c r="Z253" s="19" t="str">
        <f>HYPERLINK("https://ssdweb.co/ssdweb/hd/Vision360.html?d=923350465&amp;zoomslide=1&amp;z=1923350465&amp;ISCONFIRM=0","VIDEO")</f>
        <v>VIDEO</v>
      </c>
      <c r="AA253" s="19" t="str">
        <f>HYPERLINK("https://ssdweb.co/ssdweb/CERTH/6445585826.pdf","CERTI")</f>
        <v>CERTI</v>
      </c>
    </row>
    <row r="254" spans="1:27" ht="15" x14ac:dyDescent="0.25">
      <c r="A254" s="2">
        <v>249</v>
      </c>
      <c r="B254" s="39">
        <v>831020399</v>
      </c>
      <c r="C254" s="28" t="str">
        <f>HYPERLINK("https://pld.live/RapDetail.aspx?STONELIST=831020399","DNA")</f>
        <v>DNA</v>
      </c>
      <c r="D254" s="18" t="s">
        <v>5154</v>
      </c>
      <c r="E254" s="18" t="s">
        <v>2186</v>
      </c>
      <c r="F254" s="2" t="s">
        <v>5597</v>
      </c>
      <c r="G254" s="2" t="s">
        <v>861</v>
      </c>
      <c r="H254" s="14">
        <v>2.3199999999999998</v>
      </c>
      <c r="I254" s="2" t="s">
        <v>4699</v>
      </c>
      <c r="J254" s="2" t="s">
        <v>13</v>
      </c>
      <c r="K254" s="2" t="s">
        <v>5221</v>
      </c>
      <c r="L254" s="2" t="s">
        <v>5221</v>
      </c>
      <c r="M254" s="2" t="s">
        <v>5221</v>
      </c>
      <c r="N254" s="2" t="s">
        <v>2317</v>
      </c>
      <c r="O254" s="14">
        <v>17500</v>
      </c>
      <c r="P254" s="14">
        <v>98.77</v>
      </c>
      <c r="Q254" s="14">
        <v>215.25</v>
      </c>
      <c r="R254" s="14">
        <v>499.38</v>
      </c>
      <c r="S254" s="2" t="s">
        <v>3825</v>
      </c>
      <c r="T254" s="2">
        <v>1.01</v>
      </c>
      <c r="U254" s="2">
        <v>61.1</v>
      </c>
      <c r="V254" s="2">
        <v>58</v>
      </c>
      <c r="W254" s="2" t="s">
        <v>7862</v>
      </c>
      <c r="X254" s="2" t="s">
        <v>5405</v>
      </c>
      <c r="Y254" s="2">
        <v>40600</v>
      </c>
      <c r="Z254" s="19" t="str">
        <f>HYPERLINK("https://ssdweb.co/ssdweb/hd/Vision360.html?d=831020399&amp;zoomslide=1&amp;z=1831020399&amp;ISCONFIRM=0","VIDEO")</f>
        <v>VIDEO</v>
      </c>
      <c r="AA254" s="19" t="str">
        <f>HYPERLINK("https://ssdweb.co/ssdweb/CERTH/3455448751.pdf","CERTI")</f>
        <v>CERTI</v>
      </c>
    </row>
    <row r="255" spans="1:27" ht="15" x14ac:dyDescent="0.25">
      <c r="A255" s="2">
        <v>250</v>
      </c>
      <c r="B255" s="39">
        <v>831020539</v>
      </c>
      <c r="C255" s="28" t="str">
        <f>HYPERLINK("https://pld.live/RapDetail.aspx?STONELIST=831020539","DNA")</f>
        <v>DNA</v>
      </c>
      <c r="D255" s="18" t="s">
        <v>5154</v>
      </c>
      <c r="E255" s="18" t="s">
        <v>2186</v>
      </c>
      <c r="F255" s="2" t="s">
        <v>5597</v>
      </c>
      <c r="G255" s="2" t="s">
        <v>861</v>
      </c>
      <c r="H255" s="14">
        <v>2.3199999999999998</v>
      </c>
      <c r="I255" s="2" t="s">
        <v>4699</v>
      </c>
      <c r="J255" s="2" t="s">
        <v>13</v>
      </c>
      <c r="K255" s="2" t="s">
        <v>5221</v>
      </c>
      <c r="L255" s="2" t="s">
        <v>5221</v>
      </c>
      <c r="M255" s="2" t="s">
        <v>5221</v>
      </c>
      <c r="N255" s="2" t="s">
        <v>2317</v>
      </c>
      <c r="O255" s="14">
        <v>17500</v>
      </c>
      <c r="P255" s="14">
        <v>98.77</v>
      </c>
      <c r="Q255" s="14">
        <v>215.25</v>
      </c>
      <c r="R255" s="14">
        <v>499.38</v>
      </c>
      <c r="S255" s="2" t="s">
        <v>3511</v>
      </c>
      <c r="T255" s="2">
        <v>1.01</v>
      </c>
      <c r="U255" s="2">
        <v>60.3</v>
      </c>
      <c r="V255" s="2">
        <v>59</v>
      </c>
      <c r="W255" s="2" t="s">
        <v>7862</v>
      </c>
      <c r="X255" s="2" t="s">
        <v>5405</v>
      </c>
      <c r="Y255" s="2">
        <v>40600</v>
      </c>
      <c r="Z255" s="19" t="str">
        <f>HYPERLINK("https://ssdweb.co/ssdweb/hd/Vision360.html?d=831020539&amp;zoomslide=1&amp;z=1831020539&amp;ISCONFIRM=0","VIDEO")</f>
        <v>VIDEO</v>
      </c>
      <c r="AA255" s="19" t="str">
        <f>HYPERLINK("https://ssdweb.co/ssdweb/CERTH/5466944846.pdf","CERTI")</f>
        <v>CERTI</v>
      </c>
    </row>
    <row r="256" spans="1:27" ht="15" x14ac:dyDescent="0.25">
      <c r="A256" s="2">
        <v>251</v>
      </c>
      <c r="B256" s="39">
        <v>831020679</v>
      </c>
      <c r="C256" s="28" t="str">
        <f>HYPERLINK("https://pld.live/RapDetail.aspx?STONELIST=831020679","DNA")</f>
        <v>DNA</v>
      </c>
      <c r="D256" s="18" t="s">
        <v>5154</v>
      </c>
      <c r="E256" s="18" t="s">
        <v>2186</v>
      </c>
      <c r="F256" s="2" t="s">
        <v>7987</v>
      </c>
      <c r="G256" s="2" t="s">
        <v>861</v>
      </c>
      <c r="H256" s="14">
        <v>2.31</v>
      </c>
      <c r="I256" s="2" t="s">
        <v>6587</v>
      </c>
      <c r="J256" s="2" t="s">
        <v>13</v>
      </c>
      <c r="K256" s="2" t="s">
        <v>5221</v>
      </c>
      <c r="L256" s="2" t="s">
        <v>5221</v>
      </c>
      <c r="M256" s="2" t="s">
        <v>5221</v>
      </c>
      <c r="N256" s="2" t="s">
        <v>2317</v>
      </c>
      <c r="O256" s="14">
        <v>15000</v>
      </c>
      <c r="P256" s="14">
        <v>99.15</v>
      </c>
      <c r="Q256" s="14">
        <v>127.5</v>
      </c>
      <c r="R256" s="14">
        <v>294.52999999999997</v>
      </c>
      <c r="S256" s="2" t="s">
        <v>2804</v>
      </c>
      <c r="T256" s="2">
        <v>1.01</v>
      </c>
      <c r="U256" s="2">
        <v>59.4</v>
      </c>
      <c r="V256" s="2">
        <v>59.5</v>
      </c>
      <c r="W256" s="2" t="s">
        <v>7862</v>
      </c>
      <c r="X256" s="2" t="s">
        <v>5405</v>
      </c>
      <c r="Y256" s="2">
        <v>34650</v>
      </c>
      <c r="Z256" s="19" t="str">
        <f>HYPERLINK("https://ssdweb.co/ssdweb/hd/Vision360.html?d=831020679&amp;zoomslide=1&amp;z=1831020679&amp;ISCONFIRM=0","VIDEO")</f>
        <v>VIDEO</v>
      </c>
      <c r="AA256" s="19" t="str">
        <f>HYPERLINK("https://ssdweb.co/ssdweb/CERTH/524227640.pdf","CERTI")</f>
        <v>CERTI</v>
      </c>
    </row>
    <row r="257" spans="1:27" ht="15" x14ac:dyDescent="0.25">
      <c r="A257" s="2">
        <v>252</v>
      </c>
      <c r="B257" s="39">
        <v>924250443</v>
      </c>
      <c r="C257" s="28" t="str">
        <f>HYPERLINK("https://pld.live/RapDetail.aspx?STONELIST=924250443","DNA")</f>
        <v>DNA</v>
      </c>
      <c r="D257" s="18" t="s">
        <v>5154</v>
      </c>
      <c r="E257" s="18" t="s">
        <v>2186</v>
      </c>
      <c r="F257" s="2" t="s">
        <v>5597</v>
      </c>
      <c r="G257" s="2" t="s">
        <v>861</v>
      </c>
      <c r="H257" s="14">
        <v>2.2999999999999998</v>
      </c>
      <c r="I257" s="2" t="s">
        <v>4699</v>
      </c>
      <c r="J257" s="2" t="s">
        <v>13</v>
      </c>
      <c r="K257" s="2" t="s">
        <v>5221</v>
      </c>
      <c r="L257" s="2" t="s">
        <v>5221</v>
      </c>
      <c r="M257" s="2" t="s">
        <v>5221</v>
      </c>
      <c r="N257" s="2" t="s">
        <v>2317</v>
      </c>
      <c r="O257" s="14">
        <v>17500</v>
      </c>
      <c r="P257" s="14">
        <v>98.77</v>
      </c>
      <c r="Q257" s="14">
        <v>215.25</v>
      </c>
      <c r="R257" s="14">
        <v>495.08</v>
      </c>
      <c r="S257" s="2" t="s">
        <v>315</v>
      </c>
      <c r="T257" s="2">
        <v>1</v>
      </c>
      <c r="U257" s="2">
        <v>61</v>
      </c>
      <c r="V257" s="2">
        <v>59</v>
      </c>
      <c r="W257" s="2" t="s">
        <v>7862</v>
      </c>
      <c r="X257" s="2" t="s">
        <v>5405</v>
      </c>
      <c r="Y257" s="2">
        <v>40250</v>
      </c>
      <c r="Z257" s="19" t="str">
        <f>HYPERLINK("https://ssdweb.co/ssdweb/hd/Vision360.html?d=924250443&amp;zoomslide=1&amp;z=1924250443&amp;ISCONFIRM=0","VIDEO")</f>
        <v>VIDEO</v>
      </c>
      <c r="AA257" s="19" t="str">
        <f>HYPERLINK("https://ssdweb.co/ssdweb/CERTH/1463944838.pdf","CERTI")</f>
        <v>CERTI</v>
      </c>
    </row>
    <row r="258" spans="1:27" ht="15" x14ac:dyDescent="0.25">
      <c r="A258" s="2">
        <v>253</v>
      </c>
      <c r="B258" s="39">
        <v>923750214</v>
      </c>
      <c r="C258" s="28" t="str">
        <f>HYPERLINK("https://pld.live/RapDetail.aspx?STONELIST=923750214","DNA")</f>
        <v>DNA</v>
      </c>
      <c r="D258" s="18" t="s">
        <v>5154</v>
      </c>
      <c r="E258" s="18" t="s">
        <v>2186</v>
      </c>
      <c r="F258" s="2" t="s">
        <v>5597</v>
      </c>
      <c r="G258" s="2" t="s">
        <v>861</v>
      </c>
      <c r="H258" s="14">
        <v>2.2999999999999998</v>
      </c>
      <c r="I258" s="2" t="s">
        <v>4699</v>
      </c>
      <c r="J258" s="2" t="s">
        <v>13</v>
      </c>
      <c r="K258" s="2" t="s">
        <v>5221</v>
      </c>
      <c r="L258" s="2" t="s">
        <v>5221</v>
      </c>
      <c r="M258" s="2" t="s">
        <v>5221</v>
      </c>
      <c r="N258" s="2" t="s">
        <v>2317</v>
      </c>
      <c r="O258" s="14">
        <v>17500</v>
      </c>
      <c r="P258" s="14">
        <v>98.77</v>
      </c>
      <c r="Q258" s="14">
        <v>215.25</v>
      </c>
      <c r="R258" s="14">
        <v>495.08</v>
      </c>
      <c r="S258" s="2" t="s">
        <v>1819</v>
      </c>
      <c r="T258" s="2">
        <v>1</v>
      </c>
      <c r="U258" s="2">
        <v>62.2</v>
      </c>
      <c r="V258" s="2">
        <v>57</v>
      </c>
      <c r="W258" s="2" t="s">
        <v>7862</v>
      </c>
      <c r="X258" s="2" t="s">
        <v>5405</v>
      </c>
      <c r="Y258" s="2">
        <v>40250</v>
      </c>
      <c r="Z258" s="19" t="str">
        <f>HYPERLINK("https://ssdweb.co/ssdweb/hd/Vision360.html?d=923750214&amp;zoomslide=1&amp;z=1923750214&amp;ISCONFIRM=0","VIDEO")</f>
        <v>VIDEO</v>
      </c>
      <c r="AA258" s="19" t="str">
        <f>HYPERLINK("https://ssdweb.co/ssdweb/CERTH/3455448745.pdf","CERTI")</f>
        <v>CERTI</v>
      </c>
    </row>
    <row r="259" spans="1:27" ht="15" x14ac:dyDescent="0.25">
      <c r="A259" s="2">
        <v>254</v>
      </c>
      <c r="B259" s="39">
        <v>925920812</v>
      </c>
      <c r="C259" s="28" t="str">
        <f>HYPERLINK("https://pld.live/RapDetail.aspx?STONELIST=925920812","DNA")</f>
        <v>DNA</v>
      </c>
      <c r="D259" s="18" t="s">
        <v>5154</v>
      </c>
      <c r="E259" s="18" t="s">
        <v>5128</v>
      </c>
      <c r="F259" s="2" t="s">
        <v>7987</v>
      </c>
      <c r="G259" s="2" t="s">
        <v>861</v>
      </c>
      <c r="H259" s="14">
        <v>2.2999999999999998</v>
      </c>
      <c r="I259" s="2" t="s">
        <v>4699</v>
      </c>
      <c r="J259" s="2" t="s">
        <v>5144</v>
      </c>
      <c r="K259" s="2" t="s">
        <v>3390</v>
      </c>
      <c r="L259" s="2" t="s">
        <v>5221</v>
      </c>
      <c r="M259" s="2" t="s">
        <v>5221</v>
      </c>
      <c r="N259" s="2" t="s">
        <v>2317</v>
      </c>
      <c r="O259" s="14">
        <v>15000</v>
      </c>
      <c r="P259" s="14">
        <v>99.11</v>
      </c>
      <c r="Q259" s="14">
        <v>133.5</v>
      </c>
      <c r="R259" s="14">
        <v>307.05</v>
      </c>
      <c r="S259" s="2" t="s">
        <v>6014</v>
      </c>
      <c r="T259" s="2">
        <v>1</v>
      </c>
      <c r="U259" s="2">
        <v>62.3</v>
      </c>
      <c r="V259" s="2">
        <v>58</v>
      </c>
      <c r="W259" s="2" t="s">
        <v>4336</v>
      </c>
      <c r="X259" s="2" t="s">
        <v>5405</v>
      </c>
      <c r="Y259" s="2">
        <v>34500</v>
      </c>
      <c r="Z259" s="19" t="str">
        <f>HYPERLINK("https://ssdweb.co/ssdweb/hd/Vision360.html?d=925920812&amp;zoomslide=1&amp;z=1925920812&amp;ISCONFIRM=0","VIDEO")</f>
        <v>VIDEO</v>
      </c>
      <c r="AA259" s="19" t="str">
        <f>HYPERLINK("https://ssdweb.co/ssdweb/CERTH/631464216.pdf","CERTI")</f>
        <v>CERTI</v>
      </c>
    </row>
    <row r="260" spans="1:27" ht="15" x14ac:dyDescent="0.25">
      <c r="A260" s="2">
        <v>255</v>
      </c>
      <c r="B260" s="39">
        <v>924300566</v>
      </c>
      <c r="C260" s="28" t="str">
        <f>HYPERLINK("https://pld.live/RapDetail.aspx?STONELIST=924300566","DNA")</f>
        <v>DNA</v>
      </c>
      <c r="D260" s="18" t="s">
        <v>3658</v>
      </c>
      <c r="E260" s="18" t="s">
        <v>2186</v>
      </c>
      <c r="F260" s="2" t="s">
        <v>5597</v>
      </c>
      <c r="G260" s="2" t="s">
        <v>861</v>
      </c>
      <c r="H260" s="14">
        <v>2.29</v>
      </c>
      <c r="I260" s="2" t="s">
        <v>4761</v>
      </c>
      <c r="J260" s="2" t="s">
        <v>13</v>
      </c>
      <c r="K260" s="2" t="s">
        <v>5221</v>
      </c>
      <c r="L260" s="2" t="s">
        <v>5221</v>
      </c>
      <c r="M260" s="2" t="s">
        <v>5221</v>
      </c>
      <c r="N260" s="2" t="s">
        <v>2317</v>
      </c>
      <c r="O260" s="14">
        <v>19000</v>
      </c>
      <c r="P260" s="14">
        <v>98.77</v>
      </c>
      <c r="Q260" s="14">
        <v>233.7</v>
      </c>
      <c r="R260" s="14">
        <v>535.16999999999996</v>
      </c>
      <c r="S260" s="2" t="s">
        <v>76</v>
      </c>
      <c r="T260" s="2">
        <v>1</v>
      </c>
      <c r="U260" s="2">
        <v>61.3</v>
      </c>
      <c r="V260" s="2">
        <v>59</v>
      </c>
      <c r="W260" s="2" t="s">
        <v>7862</v>
      </c>
      <c r="X260" s="2" t="s">
        <v>5405</v>
      </c>
      <c r="Y260" s="2">
        <v>43510</v>
      </c>
      <c r="Z260" s="19" t="str">
        <f>HYPERLINK("https://ssdweb.co/ssdweb/hd/Vision360.html?d=924300566&amp;zoomslide=1&amp;z=1924300566&amp;ISCONFIRM=0","VIDEO")</f>
        <v>VIDEO</v>
      </c>
      <c r="AA260" s="19" t="str">
        <f>HYPERLINK("https://ssdweb.co/ssdweb/CERTH/6465917478.pdf","CERTI")</f>
        <v>CERTI</v>
      </c>
    </row>
    <row r="261" spans="1:27" ht="15" x14ac:dyDescent="0.25">
      <c r="A261" s="2">
        <v>256</v>
      </c>
      <c r="B261" s="39">
        <v>924380457</v>
      </c>
      <c r="C261" s="28" t="str">
        <f>HYPERLINK("https://pld.live/RapDetail.aspx?STONELIST=924380457","DNA")</f>
        <v>DNA</v>
      </c>
      <c r="D261" s="18" t="s">
        <v>3658</v>
      </c>
      <c r="E261" s="18" t="s">
        <v>2186</v>
      </c>
      <c r="F261" s="2" t="s">
        <v>5597</v>
      </c>
      <c r="G261" s="2" t="s">
        <v>861</v>
      </c>
      <c r="H261" s="14">
        <v>2.2799999999999998</v>
      </c>
      <c r="I261" s="2" t="s">
        <v>6587</v>
      </c>
      <c r="J261" s="2" t="s">
        <v>5144</v>
      </c>
      <c r="K261" s="2" t="s">
        <v>5221</v>
      </c>
      <c r="L261" s="2" t="s">
        <v>5221</v>
      </c>
      <c r="M261" s="2" t="s">
        <v>5221</v>
      </c>
      <c r="N261" s="2" t="s">
        <v>2317</v>
      </c>
      <c r="O261" s="14">
        <v>13500</v>
      </c>
      <c r="P261" s="14">
        <v>98.46</v>
      </c>
      <c r="Q261" s="14">
        <v>207.9</v>
      </c>
      <c r="R261" s="14">
        <v>474.01</v>
      </c>
      <c r="S261" s="2" t="s">
        <v>7402</v>
      </c>
      <c r="T261" s="2">
        <v>1.01</v>
      </c>
      <c r="U261" s="2">
        <v>60.7</v>
      </c>
      <c r="V261" s="2">
        <v>59</v>
      </c>
      <c r="W261" s="2" t="s">
        <v>7862</v>
      </c>
      <c r="X261" s="2" t="s">
        <v>5405</v>
      </c>
      <c r="Y261" s="2">
        <v>30780</v>
      </c>
      <c r="Z261" s="19" t="str">
        <f>HYPERLINK("https://ssdweb.co/ssdweb/hd/Vision360.html?d=924380457&amp;zoomslide=1&amp;z=1924380457&amp;ISCONFIRM=0","VIDEO")</f>
        <v>VIDEO</v>
      </c>
      <c r="AA261" s="19" t="str">
        <f>HYPERLINK("https://ssdweb.co/ssdweb/CERTH/7472244348.pdf","CERTI")</f>
        <v>CERTI</v>
      </c>
    </row>
    <row r="262" spans="1:27" ht="15" x14ac:dyDescent="0.25">
      <c r="A262" s="2">
        <v>257</v>
      </c>
      <c r="B262" s="39">
        <v>925000125</v>
      </c>
      <c r="C262" s="28" t="str">
        <f>HYPERLINK("https://pld.live/RapDetail.aspx?STONELIST=925000125","DNA")</f>
        <v>DNA</v>
      </c>
      <c r="D262" s="18" t="s">
        <v>3658</v>
      </c>
      <c r="E262" s="18" t="s">
        <v>2186</v>
      </c>
      <c r="F262" s="2" t="s">
        <v>7987</v>
      </c>
      <c r="G262" s="2" t="s">
        <v>861</v>
      </c>
      <c r="H262" s="14">
        <v>2.27</v>
      </c>
      <c r="I262" s="2" t="s">
        <v>4761</v>
      </c>
      <c r="J262" s="2" t="s">
        <v>7032</v>
      </c>
      <c r="K262" s="2" t="s">
        <v>3390</v>
      </c>
      <c r="L262" s="2" t="s">
        <v>5221</v>
      </c>
      <c r="M262" s="2" t="s">
        <v>5221</v>
      </c>
      <c r="N262" s="2" t="s">
        <v>2317</v>
      </c>
      <c r="O262" s="14">
        <v>27000</v>
      </c>
      <c r="P262" s="14">
        <v>97.57</v>
      </c>
      <c r="Q262" s="14">
        <v>656.1</v>
      </c>
      <c r="R262" s="14">
        <v>1489.35</v>
      </c>
      <c r="S262" s="2" t="s">
        <v>4656</v>
      </c>
      <c r="T262" s="2">
        <v>1</v>
      </c>
      <c r="U262" s="2">
        <v>62.4</v>
      </c>
      <c r="V262" s="2">
        <v>57</v>
      </c>
      <c r="W262" s="2" t="s">
        <v>7862</v>
      </c>
      <c r="X262" s="2" t="s">
        <v>5405</v>
      </c>
      <c r="Y262" s="2">
        <v>61290</v>
      </c>
      <c r="Z262" s="19" t="str">
        <f>HYPERLINK("https://ssdweb.co/ssdweb/hd/Vision360.html?d=925000125&amp;zoomslide=1&amp;z=1925000125&amp;ISCONFIRM=0","VIDEO")</f>
        <v>VIDEO</v>
      </c>
      <c r="AA262" s="19" t="str">
        <f>HYPERLINK("https://ssdweb.co/ssdweb/CERTH/602361255.pdf","CERTI")</f>
        <v>CERTI</v>
      </c>
    </row>
    <row r="263" spans="1:27" ht="15" x14ac:dyDescent="0.25">
      <c r="A263" s="2">
        <v>258</v>
      </c>
      <c r="B263" s="39">
        <v>831020699</v>
      </c>
      <c r="C263" s="28" t="str">
        <f>HYPERLINK("https://pld.live/RapDetail.aspx?STONELIST=831020699","DNA")</f>
        <v>DNA</v>
      </c>
      <c r="D263" s="18" t="s">
        <v>3658</v>
      </c>
      <c r="E263" s="18" t="s">
        <v>2186</v>
      </c>
      <c r="F263" s="2" t="s">
        <v>7987</v>
      </c>
      <c r="G263" s="2" t="s">
        <v>861</v>
      </c>
      <c r="H263" s="14">
        <v>2.27</v>
      </c>
      <c r="I263" s="2" t="s">
        <v>4761</v>
      </c>
      <c r="J263" s="2" t="s">
        <v>13</v>
      </c>
      <c r="K263" s="2" t="s">
        <v>3390</v>
      </c>
      <c r="L263" s="2" t="s">
        <v>5221</v>
      </c>
      <c r="M263" s="2" t="s">
        <v>5221</v>
      </c>
      <c r="N263" s="2" t="s">
        <v>2317</v>
      </c>
      <c r="O263" s="14">
        <v>19000</v>
      </c>
      <c r="P263" s="14">
        <v>99.23</v>
      </c>
      <c r="Q263" s="14">
        <v>146.30000000000001</v>
      </c>
      <c r="R263" s="14">
        <v>332.1</v>
      </c>
      <c r="S263" s="2" t="s">
        <v>5046</v>
      </c>
      <c r="T263" s="2">
        <v>1.01</v>
      </c>
      <c r="U263" s="2">
        <v>62.4</v>
      </c>
      <c r="V263" s="2">
        <v>58</v>
      </c>
      <c r="W263" s="2" t="s">
        <v>7862</v>
      </c>
      <c r="X263" s="2" t="s">
        <v>5405</v>
      </c>
      <c r="Y263" s="2">
        <v>43130</v>
      </c>
      <c r="Z263" s="19" t="str">
        <f>HYPERLINK("https://ssdweb.co/ssdweb/hd/Vision360.html?d=831020699&amp;zoomslide=1&amp;z=1831020699&amp;ISCONFIRM=0","VIDEO")</f>
        <v>VIDEO</v>
      </c>
      <c r="AA263" s="19" t="str">
        <f>HYPERLINK("https://ssdweb.co/ssdweb/CERTH/585327244.pdf","CERTI")</f>
        <v>CERTI</v>
      </c>
    </row>
    <row r="264" spans="1:27" ht="15" x14ac:dyDescent="0.25">
      <c r="A264" s="2">
        <v>259</v>
      </c>
      <c r="B264" s="39">
        <v>831010814</v>
      </c>
      <c r="C264" s="28" t="str">
        <f>HYPERLINK("https://pld.live/RapDetail.aspx?STONELIST=831010814","DNA")</f>
        <v>DNA</v>
      </c>
      <c r="D264" s="18" t="s">
        <v>3658</v>
      </c>
      <c r="E264" s="18" t="s">
        <v>5128</v>
      </c>
      <c r="F264" s="2" t="s">
        <v>7987</v>
      </c>
      <c r="G264" s="2" t="s">
        <v>861</v>
      </c>
      <c r="H264" s="14">
        <v>2.25</v>
      </c>
      <c r="I264" s="2" t="s">
        <v>4761</v>
      </c>
      <c r="J264" s="2" t="s">
        <v>3942</v>
      </c>
      <c r="K264" s="2" t="s">
        <v>3390</v>
      </c>
      <c r="L264" s="2" t="s">
        <v>5221</v>
      </c>
      <c r="M264" s="2" t="s">
        <v>5221</v>
      </c>
      <c r="N264" s="2" t="s">
        <v>2317</v>
      </c>
      <c r="O264" s="14">
        <v>21000</v>
      </c>
      <c r="P264" s="14">
        <v>99.2</v>
      </c>
      <c r="Q264" s="14">
        <v>168</v>
      </c>
      <c r="R264" s="14">
        <v>378</v>
      </c>
      <c r="S264" s="2" t="s">
        <v>495</v>
      </c>
      <c r="T264" s="2">
        <v>1.01</v>
      </c>
      <c r="U264" s="2">
        <v>62.5</v>
      </c>
      <c r="V264" s="2">
        <v>58</v>
      </c>
      <c r="W264" s="2" t="s">
        <v>4336</v>
      </c>
      <c r="X264" s="2" t="s">
        <v>5405</v>
      </c>
      <c r="Y264" s="2">
        <v>47250</v>
      </c>
      <c r="Z264" s="19" t="str">
        <f>HYPERLINK("https://ssdweb.co/ssdweb/hd/Vision360.html?d=831010814&amp;zoomslide=1&amp;z=1831010814&amp;ISCONFIRM=0","VIDEO")</f>
        <v>VIDEO</v>
      </c>
      <c r="AA264" s="19" t="str">
        <f>HYPERLINK("https://ssdweb.co/ssdweb/CERTH/598312847.pdf","CERTI")</f>
        <v>CERTI</v>
      </c>
    </row>
    <row r="265" spans="1:27" ht="15" x14ac:dyDescent="0.25">
      <c r="A265" s="2">
        <v>260</v>
      </c>
      <c r="B265" s="39">
        <v>925000130</v>
      </c>
      <c r="C265" s="28" t="str">
        <f>HYPERLINK("https://pld.live/RapDetail.aspx?STONELIST=925000130","DNA")</f>
        <v>DNA</v>
      </c>
      <c r="D265" s="18" t="s">
        <v>3658</v>
      </c>
      <c r="E265" s="18" t="s">
        <v>2186</v>
      </c>
      <c r="F265" s="2" t="s">
        <v>5597</v>
      </c>
      <c r="G265" s="2" t="s">
        <v>861</v>
      </c>
      <c r="H265" s="14">
        <v>2.2400000000000002</v>
      </c>
      <c r="I265" s="2" t="s">
        <v>4761</v>
      </c>
      <c r="J265" s="2" t="s">
        <v>5144</v>
      </c>
      <c r="K265" s="2" t="s">
        <v>5221</v>
      </c>
      <c r="L265" s="2" t="s">
        <v>5221</v>
      </c>
      <c r="M265" s="2" t="s">
        <v>5221</v>
      </c>
      <c r="N265" s="2" t="s">
        <v>2317</v>
      </c>
      <c r="O265" s="14">
        <v>16000</v>
      </c>
      <c r="P265" s="14">
        <v>98.58</v>
      </c>
      <c r="Q265" s="14">
        <v>227.2</v>
      </c>
      <c r="R265" s="14">
        <v>508.93</v>
      </c>
      <c r="S265" s="2" t="s">
        <v>755</v>
      </c>
      <c r="T265" s="2">
        <v>1.01</v>
      </c>
      <c r="U265" s="2">
        <v>61.5</v>
      </c>
      <c r="V265" s="2">
        <v>58</v>
      </c>
      <c r="W265" s="2" t="s">
        <v>7862</v>
      </c>
      <c r="X265" s="2" t="s">
        <v>5405</v>
      </c>
      <c r="Y265" s="2">
        <v>35840</v>
      </c>
      <c r="Z265" s="19" t="str">
        <f>HYPERLINK("https://ssdweb.co/ssdweb/hd/Vision360.html?d=925000130&amp;zoomslide=1&amp;z=1925000130&amp;ISCONFIRM=0","VIDEO")</f>
        <v>VIDEO</v>
      </c>
      <c r="AA265" s="19" t="str">
        <f>HYPERLINK("https://ssdweb.co/ssdweb/CERTH/7471836512.pdf","CERTI")</f>
        <v>CERTI</v>
      </c>
    </row>
    <row r="266" spans="1:27" ht="15" x14ac:dyDescent="0.25">
      <c r="A266" s="2">
        <v>261</v>
      </c>
      <c r="B266" s="39">
        <v>925770420</v>
      </c>
      <c r="C266" s="28" t="str">
        <f>HYPERLINK("https://pld.live/RapDetail.aspx?STONELIST=925770420","DNA")</f>
        <v>DNA</v>
      </c>
      <c r="D266" s="18" t="s">
        <v>3658</v>
      </c>
      <c r="E266" s="18" t="s">
        <v>5128</v>
      </c>
      <c r="F266" s="2" t="s">
        <v>7987</v>
      </c>
      <c r="G266" s="2" t="s">
        <v>861</v>
      </c>
      <c r="H266" s="14">
        <v>2.2400000000000002</v>
      </c>
      <c r="I266" s="2" t="s">
        <v>4761</v>
      </c>
      <c r="J266" s="2" t="s">
        <v>444</v>
      </c>
      <c r="K266" s="2" t="s">
        <v>3390</v>
      </c>
      <c r="L266" s="2" t="s">
        <v>5221</v>
      </c>
      <c r="M266" s="2" t="s">
        <v>5221</v>
      </c>
      <c r="N266" s="2" t="s">
        <v>2317</v>
      </c>
      <c r="O266" s="14">
        <v>13200</v>
      </c>
      <c r="P266" s="14">
        <v>99.02</v>
      </c>
      <c r="Q266" s="14">
        <v>129.36000000000001</v>
      </c>
      <c r="R266" s="14">
        <v>289.77</v>
      </c>
      <c r="S266" s="2" t="s">
        <v>6502</v>
      </c>
      <c r="T266" s="2">
        <v>1.01</v>
      </c>
      <c r="U266" s="2">
        <v>62.3</v>
      </c>
      <c r="V266" s="2">
        <v>57</v>
      </c>
      <c r="W266" s="2" t="s">
        <v>7862</v>
      </c>
      <c r="X266" s="2" t="s">
        <v>5405</v>
      </c>
      <c r="Y266" s="2">
        <v>29568</v>
      </c>
      <c r="Z266" s="19" t="str">
        <f>HYPERLINK("https://ssdweb.co/ssdweb/hd/Vision360.html?d=925770420&amp;zoomslide=1&amp;z=1925770420&amp;ISCONFIRM=0","VIDEO")</f>
        <v>VIDEO</v>
      </c>
      <c r="AA266" s="19" t="str">
        <f>HYPERLINK("https://ssdweb.co/ssdweb/CERTH/624420482.pdf","CERTI")</f>
        <v>CERTI</v>
      </c>
    </row>
    <row r="267" spans="1:27" ht="15" x14ac:dyDescent="0.25">
      <c r="A267" s="2">
        <v>262</v>
      </c>
      <c r="B267" s="39">
        <v>924250412</v>
      </c>
      <c r="C267" s="28" t="str">
        <f>HYPERLINK("https://pld.live/RapDetail.aspx?STONELIST=924250412","DNA")</f>
        <v>DNA</v>
      </c>
      <c r="D267" s="18" t="s">
        <v>3658</v>
      </c>
      <c r="E267" s="18" t="s">
        <v>2186</v>
      </c>
      <c r="F267" s="2" t="s">
        <v>5597</v>
      </c>
      <c r="G267" s="2" t="s">
        <v>861</v>
      </c>
      <c r="H267" s="14">
        <v>2.2400000000000002</v>
      </c>
      <c r="I267" s="2" t="s">
        <v>4699</v>
      </c>
      <c r="J267" s="2" t="s">
        <v>13</v>
      </c>
      <c r="K267" s="2" t="s">
        <v>5221</v>
      </c>
      <c r="L267" s="2" t="s">
        <v>5221</v>
      </c>
      <c r="M267" s="2" t="s">
        <v>5221</v>
      </c>
      <c r="N267" s="2" t="s">
        <v>2317</v>
      </c>
      <c r="O267" s="14">
        <v>17500</v>
      </c>
      <c r="P267" s="14">
        <v>98.77</v>
      </c>
      <c r="Q267" s="14">
        <v>215.25</v>
      </c>
      <c r="R267" s="14">
        <v>482.16</v>
      </c>
      <c r="S267" s="2" t="s">
        <v>3640</v>
      </c>
      <c r="T267" s="2">
        <v>1.01</v>
      </c>
      <c r="U267" s="2">
        <v>62.4</v>
      </c>
      <c r="V267" s="2">
        <v>59</v>
      </c>
      <c r="W267" s="2" t="s">
        <v>7862</v>
      </c>
      <c r="X267" s="2" t="s">
        <v>5405</v>
      </c>
      <c r="Y267" s="2">
        <v>39200</v>
      </c>
      <c r="Z267" s="19" t="str">
        <f>HYPERLINK("https://ssdweb.co/ssdweb/hd/Vision360.html?d=924250412&amp;zoomslide=1&amp;z=1924250412&amp;ISCONFIRM=0","VIDEO")</f>
        <v>VIDEO</v>
      </c>
      <c r="AA267" s="19" t="str">
        <f>HYPERLINK("https://ssdweb.co/ssdweb/CERTH/1467944839.pdf","CERTI")</f>
        <v>CERTI</v>
      </c>
    </row>
    <row r="268" spans="1:27" ht="15" x14ac:dyDescent="0.25">
      <c r="A268" s="2">
        <v>263</v>
      </c>
      <c r="B268" s="39">
        <v>831010643</v>
      </c>
      <c r="C268" s="28" t="str">
        <f>HYPERLINK("https://pld.live/RapDetail.aspx?STONELIST=831010643","DNA")</f>
        <v>DNA</v>
      </c>
      <c r="D268" s="18" t="s">
        <v>3658</v>
      </c>
      <c r="E268" s="18" t="s">
        <v>5128</v>
      </c>
      <c r="F268" s="2" t="s">
        <v>7987</v>
      </c>
      <c r="G268" s="2" t="s">
        <v>861</v>
      </c>
      <c r="H268" s="14">
        <v>2.2200000000000002</v>
      </c>
      <c r="I268" s="2" t="s">
        <v>4761</v>
      </c>
      <c r="J268" s="2" t="s">
        <v>5144</v>
      </c>
      <c r="K268" s="2" t="s">
        <v>3390</v>
      </c>
      <c r="L268" s="2" t="s">
        <v>5221</v>
      </c>
      <c r="M268" s="2" t="s">
        <v>5221</v>
      </c>
      <c r="N268" s="2" t="s">
        <v>2317</v>
      </c>
      <c r="O268" s="14">
        <v>16000</v>
      </c>
      <c r="P268" s="14">
        <v>99.14</v>
      </c>
      <c r="Q268" s="14">
        <v>137.6</v>
      </c>
      <c r="R268" s="14">
        <v>305.47000000000003</v>
      </c>
      <c r="S268" s="2" t="s">
        <v>4824</v>
      </c>
      <c r="T268" s="2">
        <v>1.01</v>
      </c>
      <c r="U268" s="2">
        <v>60.9</v>
      </c>
      <c r="V268" s="2">
        <v>59</v>
      </c>
      <c r="W268" s="2" t="s">
        <v>7862</v>
      </c>
      <c r="X268" s="2" t="s">
        <v>5405</v>
      </c>
      <c r="Y268" s="2">
        <v>35520</v>
      </c>
      <c r="Z268" s="19" t="str">
        <f>HYPERLINK("https://ssdweb.co/ssdweb/hd/Vision360.html?d=831010643&amp;zoomslide=1&amp;z=1831010643&amp;ISCONFIRM=0","VIDEO")</f>
        <v>VIDEO</v>
      </c>
      <c r="AA268" s="19" t="str">
        <f>HYPERLINK("https://ssdweb.co/ssdweb/CERTH/598352536.pdf","CERTI")</f>
        <v>CERTI</v>
      </c>
    </row>
    <row r="269" spans="1:27" ht="15" x14ac:dyDescent="0.25">
      <c r="A269" s="2">
        <v>264</v>
      </c>
      <c r="B269" s="39">
        <v>926560308</v>
      </c>
      <c r="C269" s="28" t="str">
        <f>HYPERLINK("https://pld.live/RapDetail.aspx?STONELIST=926560308","DNA")</f>
        <v>DNA</v>
      </c>
      <c r="D269" s="18" t="s">
        <v>3658</v>
      </c>
      <c r="E269" s="18" t="s">
        <v>2186</v>
      </c>
      <c r="F269" s="2" t="s">
        <v>7987</v>
      </c>
      <c r="G269" s="2" t="s">
        <v>861</v>
      </c>
      <c r="H269" s="14">
        <v>2.2200000000000002</v>
      </c>
      <c r="I269" s="2" t="s">
        <v>4699</v>
      </c>
      <c r="J269" s="2" t="s">
        <v>13</v>
      </c>
      <c r="K269" s="2" t="s">
        <v>3390</v>
      </c>
      <c r="L269" s="2" t="s">
        <v>5221</v>
      </c>
      <c r="M269" s="2" t="s">
        <v>5221</v>
      </c>
      <c r="N269" s="2" t="s">
        <v>2317</v>
      </c>
      <c r="O269" s="14">
        <v>17500</v>
      </c>
      <c r="P269" s="14">
        <v>99.18</v>
      </c>
      <c r="Q269" s="14">
        <v>143.5</v>
      </c>
      <c r="R269" s="14">
        <v>318.57</v>
      </c>
      <c r="S269" s="2" t="s">
        <v>5422</v>
      </c>
      <c r="T269" s="2">
        <v>1.01</v>
      </c>
      <c r="U269" s="2">
        <v>62.4</v>
      </c>
      <c r="V269" s="2">
        <v>57</v>
      </c>
      <c r="W269" s="2" t="s">
        <v>7862</v>
      </c>
      <c r="X269" s="2" t="s">
        <v>5405</v>
      </c>
      <c r="Y269" s="2">
        <v>38850</v>
      </c>
      <c r="Z269" s="19" t="str">
        <f>HYPERLINK("https://ssdweb.co/ssdweb/hd/Vision360.html?d=926560308&amp;zoomslide=1&amp;z=1926560308&amp;ISCONFIRM=0","VIDEO")</f>
        <v>VIDEO</v>
      </c>
      <c r="AA269" s="19" t="str">
        <f>HYPERLINK("https://ssdweb.co/ssdweb/CERTH/647475480.pdf","CERTI")</f>
        <v>CERTI</v>
      </c>
    </row>
    <row r="270" spans="1:27" ht="15" x14ac:dyDescent="0.25">
      <c r="A270" s="2">
        <v>265</v>
      </c>
      <c r="B270" s="39">
        <v>924350042</v>
      </c>
      <c r="C270" s="28" t="str">
        <f>HYPERLINK("https://pld.live/RapDetail.aspx?STONELIST=924350042","DNA")</f>
        <v>DNA</v>
      </c>
      <c r="D270" s="18" t="s">
        <v>3658</v>
      </c>
      <c r="E270" s="18" t="s">
        <v>2186</v>
      </c>
      <c r="F270" s="2" t="s">
        <v>5597</v>
      </c>
      <c r="G270" s="2" t="s">
        <v>861</v>
      </c>
      <c r="H270" s="14">
        <v>2.2200000000000002</v>
      </c>
      <c r="I270" s="2" t="s">
        <v>6587</v>
      </c>
      <c r="J270" s="2" t="s">
        <v>13</v>
      </c>
      <c r="K270" s="2" t="s">
        <v>5221</v>
      </c>
      <c r="L270" s="2" t="s">
        <v>5221</v>
      </c>
      <c r="M270" s="2" t="s">
        <v>5221</v>
      </c>
      <c r="N270" s="2" t="s">
        <v>2317</v>
      </c>
      <c r="O270" s="14">
        <v>15000</v>
      </c>
      <c r="P270" s="14">
        <v>98.59</v>
      </c>
      <c r="Q270" s="14">
        <v>211.5</v>
      </c>
      <c r="R270" s="14">
        <v>469.53</v>
      </c>
      <c r="S270" s="2" t="s">
        <v>6310</v>
      </c>
      <c r="T270" s="2">
        <v>1</v>
      </c>
      <c r="U270" s="2">
        <v>61.4</v>
      </c>
      <c r="V270" s="2">
        <v>58</v>
      </c>
      <c r="W270" s="2" t="s">
        <v>7862</v>
      </c>
      <c r="X270" s="2" t="s">
        <v>5405</v>
      </c>
      <c r="Y270" s="2">
        <v>33300</v>
      </c>
      <c r="Z270" s="19" t="str">
        <f>HYPERLINK("https://ssdweb.co/ssdweb/hd/Vision360.html?d=924350042&amp;zoomslide=1&amp;z=1924350042&amp;ISCONFIRM=0","VIDEO")</f>
        <v>VIDEO</v>
      </c>
      <c r="AA270" s="19" t="str">
        <f>HYPERLINK("https://ssdweb.co/ssdweb/CERTH/2466917393.pdf","CERTI")</f>
        <v>CERTI</v>
      </c>
    </row>
    <row r="271" spans="1:27" ht="15" x14ac:dyDescent="0.25">
      <c r="A271" s="2">
        <v>266</v>
      </c>
      <c r="B271" s="39">
        <v>925070065</v>
      </c>
      <c r="C271" s="28" t="str">
        <f>HYPERLINK("https://pld.live/RapDetail.aspx?STONELIST=925070065","DNA")</f>
        <v>DNA</v>
      </c>
      <c r="D271" s="18" t="s">
        <v>3658</v>
      </c>
      <c r="E271" s="18" t="s">
        <v>2186</v>
      </c>
      <c r="F271" s="2" t="s">
        <v>5597</v>
      </c>
      <c r="G271" s="2" t="s">
        <v>861</v>
      </c>
      <c r="H271" s="14">
        <v>2.21</v>
      </c>
      <c r="I271" s="2" t="s">
        <v>4761</v>
      </c>
      <c r="J271" s="2" t="s">
        <v>13</v>
      </c>
      <c r="K271" s="2" t="s">
        <v>5221</v>
      </c>
      <c r="L271" s="2" t="s">
        <v>5221</v>
      </c>
      <c r="M271" s="2" t="s">
        <v>5221</v>
      </c>
      <c r="N271" s="2" t="s">
        <v>2317</v>
      </c>
      <c r="O271" s="14">
        <v>19000</v>
      </c>
      <c r="P271" s="14">
        <v>98.77</v>
      </c>
      <c r="Q271" s="14">
        <v>233.7</v>
      </c>
      <c r="R271" s="14">
        <v>516.48</v>
      </c>
      <c r="S271" s="2" t="s">
        <v>2638</v>
      </c>
      <c r="T271" s="2">
        <v>1</v>
      </c>
      <c r="U271" s="2">
        <v>61.6</v>
      </c>
      <c r="V271" s="2">
        <v>59</v>
      </c>
      <c r="W271" s="2" t="s">
        <v>7862</v>
      </c>
      <c r="X271" s="2" t="s">
        <v>5405</v>
      </c>
      <c r="Y271" s="2">
        <v>41990</v>
      </c>
      <c r="Z271" s="19" t="str">
        <f>HYPERLINK("https://ssdweb.co/ssdweb/hd/Vision360.html?d=925070065&amp;zoomslide=1&amp;z=1925070065&amp;ISCONFIRM=0","VIDEO")</f>
        <v>VIDEO</v>
      </c>
      <c r="AA271" s="19" t="str">
        <f>HYPERLINK("https://ssdweb.co/ssdweb/CERTH/1475853492.pdf","CERTI")</f>
        <v>CERTI</v>
      </c>
    </row>
    <row r="272" spans="1:27" ht="15" x14ac:dyDescent="0.25">
      <c r="A272" s="2">
        <v>267</v>
      </c>
      <c r="B272" s="39">
        <v>925541843</v>
      </c>
      <c r="C272" s="28" t="str">
        <f>HYPERLINK("https://pld.live/RapDetail.aspx?STONELIST=925541843","DNA")</f>
        <v>DNA</v>
      </c>
      <c r="D272" s="18" t="s">
        <v>3658</v>
      </c>
      <c r="E272" s="18" t="s">
        <v>5128</v>
      </c>
      <c r="F272" s="2" t="s">
        <v>5597</v>
      </c>
      <c r="G272" s="2" t="s">
        <v>861</v>
      </c>
      <c r="H272" s="14">
        <v>2.21</v>
      </c>
      <c r="I272" s="2" t="s">
        <v>4761</v>
      </c>
      <c r="J272" s="2" t="s">
        <v>13</v>
      </c>
      <c r="K272" s="2" t="s">
        <v>5221</v>
      </c>
      <c r="L272" s="2" t="s">
        <v>5221</v>
      </c>
      <c r="M272" s="2" t="s">
        <v>5221</v>
      </c>
      <c r="N272" s="2" t="s">
        <v>2317</v>
      </c>
      <c r="O272" s="14">
        <v>19000</v>
      </c>
      <c r="P272" s="14">
        <v>98.77</v>
      </c>
      <c r="Q272" s="14">
        <v>233.7</v>
      </c>
      <c r="R272" s="14">
        <v>516.48</v>
      </c>
      <c r="S272" s="2" t="s">
        <v>2973</v>
      </c>
      <c r="T272" s="2">
        <v>1.01</v>
      </c>
      <c r="U272" s="2">
        <v>62.1</v>
      </c>
      <c r="V272" s="2">
        <v>58</v>
      </c>
      <c r="W272" s="2" t="s">
        <v>7862</v>
      </c>
      <c r="X272" s="2" t="s">
        <v>5405</v>
      </c>
      <c r="Y272" s="2">
        <v>41990</v>
      </c>
      <c r="Z272" s="19" t="str">
        <f>HYPERLINK("https://ssdweb.co/ssdweb/hd/Vision360.html?d=925541843&amp;zoomslide=1&amp;z=1925541843&amp;ISCONFIRM=0","VIDEO")</f>
        <v>VIDEO</v>
      </c>
      <c r="AA272" s="19" t="str">
        <f>HYPERLINK("https://ssdweb.co/ssdweb/CERTH/1483437441.pdf","CERTI")</f>
        <v>CERTI</v>
      </c>
    </row>
    <row r="273" spans="1:27" ht="15" x14ac:dyDescent="0.25">
      <c r="A273" s="2">
        <v>268</v>
      </c>
      <c r="B273" s="39">
        <v>925070046</v>
      </c>
      <c r="C273" s="28" t="str">
        <f>HYPERLINK("https://pld.live/RapDetail.aspx?STONELIST=925070046","DNA")</f>
        <v>DNA</v>
      </c>
      <c r="D273" s="18" t="s">
        <v>3658</v>
      </c>
      <c r="E273" s="18" t="s">
        <v>2186</v>
      </c>
      <c r="F273" s="2" t="s">
        <v>5597</v>
      </c>
      <c r="G273" s="2" t="s">
        <v>861</v>
      </c>
      <c r="H273" s="14">
        <v>2.21</v>
      </c>
      <c r="I273" s="2" t="s">
        <v>4761</v>
      </c>
      <c r="J273" s="2" t="s">
        <v>5144</v>
      </c>
      <c r="K273" s="2" t="s">
        <v>5221</v>
      </c>
      <c r="L273" s="2" t="s">
        <v>5221</v>
      </c>
      <c r="M273" s="2" t="s">
        <v>5221</v>
      </c>
      <c r="N273" s="2" t="s">
        <v>2317</v>
      </c>
      <c r="O273" s="14">
        <v>16000</v>
      </c>
      <c r="P273" s="14">
        <v>98.58</v>
      </c>
      <c r="Q273" s="14">
        <v>227.2</v>
      </c>
      <c r="R273" s="14">
        <v>502.11</v>
      </c>
      <c r="S273" s="2" t="s">
        <v>5968</v>
      </c>
      <c r="T273" s="2">
        <v>1</v>
      </c>
      <c r="U273" s="2">
        <v>60.6</v>
      </c>
      <c r="V273" s="2">
        <v>59</v>
      </c>
      <c r="W273" s="2" t="s">
        <v>7862</v>
      </c>
      <c r="X273" s="2" t="s">
        <v>5405</v>
      </c>
      <c r="Y273" s="2">
        <v>35360</v>
      </c>
      <c r="Z273" s="19" t="str">
        <f>HYPERLINK("https://ssdweb.co/ssdweb/hd/Vision360.html?d=925070046&amp;zoomslide=1&amp;z=1925070046&amp;ISCONFIRM=0","VIDEO")</f>
        <v>VIDEO</v>
      </c>
      <c r="AA273" s="19" t="str">
        <f>HYPERLINK("https://ssdweb.co/ssdweb/CERTH/6472853441.pdf","CERTI")</f>
        <v>CERTI</v>
      </c>
    </row>
    <row r="274" spans="1:27" ht="15" x14ac:dyDescent="0.25">
      <c r="A274" s="2">
        <v>269</v>
      </c>
      <c r="B274" s="39">
        <v>831020039</v>
      </c>
      <c r="C274" s="28" t="str">
        <f>HYPERLINK("https://pld.live/RapDetail.aspx?STONELIST=831020039","DNA")</f>
        <v>DNA</v>
      </c>
      <c r="D274" s="18" t="s">
        <v>3658</v>
      </c>
      <c r="E274" s="18" t="s">
        <v>2186</v>
      </c>
      <c r="F274" s="2" t="s">
        <v>5597</v>
      </c>
      <c r="G274" s="2" t="s">
        <v>861</v>
      </c>
      <c r="H274" s="14">
        <v>2.21</v>
      </c>
      <c r="I274" s="2" t="s">
        <v>1505</v>
      </c>
      <c r="J274" s="2" t="s">
        <v>13</v>
      </c>
      <c r="K274" s="2" t="s">
        <v>5221</v>
      </c>
      <c r="L274" s="2" t="s">
        <v>5221</v>
      </c>
      <c r="M274" s="2" t="s">
        <v>5221</v>
      </c>
      <c r="N274" s="2" t="s">
        <v>2317</v>
      </c>
      <c r="O274" s="14">
        <v>12500</v>
      </c>
      <c r="P274" s="14">
        <v>98.34</v>
      </c>
      <c r="Q274" s="14">
        <v>207.5</v>
      </c>
      <c r="R274" s="14">
        <v>458.58</v>
      </c>
      <c r="S274" s="2" t="s">
        <v>4087</v>
      </c>
      <c r="T274" s="2">
        <v>1.01</v>
      </c>
      <c r="U274" s="2">
        <v>60.5</v>
      </c>
      <c r="V274" s="2">
        <v>58</v>
      </c>
      <c r="W274" s="2" t="s">
        <v>7862</v>
      </c>
      <c r="X274" s="2" t="s">
        <v>5405</v>
      </c>
      <c r="Y274" s="2">
        <v>27625</v>
      </c>
      <c r="Z274" s="19" t="str">
        <f>HYPERLINK("https://ssdweb.co/ssdweb/hd/Vision360.html?d=831020039&amp;zoomslide=1&amp;z=1831020039&amp;ISCONFIRM=0","VIDEO")</f>
        <v>VIDEO</v>
      </c>
      <c r="AA274" s="19" t="str">
        <f>HYPERLINK("https://ssdweb.co/ssdweb/CERTH/6455529084.pdf","CERTI")</f>
        <v>CERTI</v>
      </c>
    </row>
    <row r="275" spans="1:27" ht="15" x14ac:dyDescent="0.25">
      <c r="A275" s="2">
        <v>270</v>
      </c>
      <c r="B275" s="39">
        <v>925730490</v>
      </c>
      <c r="C275" s="28" t="str">
        <f>HYPERLINK("https://pld.live/RapDetail.aspx?STONELIST=925730490","DNA")</f>
        <v>DNA</v>
      </c>
      <c r="D275" s="18" t="s">
        <v>3658</v>
      </c>
      <c r="E275" s="18" t="s">
        <v>5128</v>
      </c>
      <c r="F275" s="2" t="s">
        <v>7987</v>
      </c>
      <c r="G275" s="2" t="s">
        <v>861</v>
      </c>
      <c r="H275" s="14">
        <v>2.2000000000000002</v>
      </c>
      <c r="I275" s="2" t="s">
        <v>267</v>
      </c>
      <c r="J275" s="2" t="s">
        <v>6555</v>
      </c>
      <c r="K275" s="2" t="s">
        <v>3390</v>
      </c>
      <c r="L275" s="2" t="s">
        <v>5221</v>
      </c>
      <c r="M275" s="2" t="s">
        <v>5221</v>
      </c>
      <c r="N275" s="2" t="s">
        <v>2317</v>
      </c>
      <c r="O275" s="14">
        <v>27500</v>
      </c>
      <c r="P275" s="14">
        <v>98.76</v>
      </c>
      <c r="Q275" s="14">
        <v>341</v>
      </c>
      <c r="R275" s="14">
        <v>750.2</v>
      </c>
      <c r="S275" s="2" t="s">
        <v>7882</v>
      </c>
      <c r="T275" s="2">
        <v>1.01</v>
      </c>
      <c r="U275" s="2">
        <v>60.2</v>
      </c>
      <c r="V275" s="2">
        <v>60</v>
      </c>
      <c r="W275" s="2" t="s">
        <v>7862</v>
      </c>
      <c r="X275" s="2" t="s">
        <v>5405</v>
      </c>
      <c r="Y275" s="2">
        <v>60500</v>
      </c>
      <c r="Z275" s="19" t="str">
        <f>HYPERLINK("https://ssdweb.co/ssdweb/hd/Vision360.html?d=925730490&amp;zoomslide=1&amp;z=1925730490&amp;ISCONFIRM=0","VIDEO")</f>
        <v>VIDEO</v>
      </c>
      <c r="AA275" s="19" t="str">
        <f>HYPERLINK("https://ssdweb.co/ssdweb/CERTH/623446115.pdf","CERTI")</f>
        <v>CERTI</v>
      </c>
    </row>
    <row r="276" spans="1:27" ht="15" x14ac:dyDescent="0.25">
      <c r="A276" s="2">
        <v>271</v>
      </c>
      <c r="B276" s="39">
        <v>831010787</v>
      </c>
      <c r="C276" s="28" t="str">
        <f>HYPERLINK("https://pld.live/RapDetail.aspx?STONELIST=831010787","DNA")</f>
        <v>DNA</v>
      </c>
      <c r="D276" s="18" t="s">
        <v>3658</v>
      </c>
      <c r="E276" s="18" t="s">
        <v>5128</v>
      </c>
      <c r="F276" s="2" t="s">
        <v>7987</v>
      </c>
      <c r="G276" s="2" t="s">
        <v>861</v>
      </c>
      <c r="H276" s="14">
        <v>2.2000000000000002</v>
      </c>
      <c r="I276" s="2" t="s">
        <v>4761</v>
      </c>
      <c r="J276" s="2" t="s">
        <v>3942</v>
      </c>
      <c r="K276" s="2" t="s">
        <v>3390</v>
      </c>
      <c r="L276" s="2" t="s">
        <v>5221</v>
      </c>
      <c r="M276" s="2" t="s">
        <v>5221</v>
      </c>
      <c r="N276" s="2" t="s">
        <v>2317</v>
      </c>
      <c r="O276" s="14">
        <v>21000</v>
      </c>
      <c r="P276" s="14">
        <v>99.2</v>
      </c>
      <c r="Q276" s="14">
        <v>168</v>
      </c>
      <c r="R276" s="14">
        <v>369.6</v>
      </c>
      <c r="S276" s="2" t="s">
        <v>316</v>
      </c>
      <c r="T276" s="2">
        <v>1.01</v>
      </c>
      <c r="U276" s="2">
        <v>61.4</v>
      </c>
      <c r="V276" s="2">
        <v>58.5</v>
      </c>
      <c r="W276" s="2" t="s">
        <v>7862</v>
      </c>
      <c r="X276" s="2" t="s">
        <v>5405</v>
      </c>
      <c r="Y276" s="2">
        <v>46200</v>
      </c>
      <c r="Z276" s="19" t="str">
        <f>HYPERLINK("https://ssdweb.co/ssdweb/hd/Vision360.html?d=831010787&amp;zoomslide=1&amp;z=1831010787&amp;ISCONFIRM=0","VIDEO")</f>
        <v>VIDEO</v>
      </c>
      <c r="AA276" s="19" t="str">
        <f>HYPERLINK("https://ssdweb.co/ssdweb/CERTH/570336687.pdf","CERTI")</f>
        <v>CERTI</v>
      </c>
    </row>
    <row r="277" spans="1:27" ht="15" x14ac:dyDescent="0.25">
      <c r="A277" s="2">
        <v>272</v>
      </c>
      <c r="B277" s="39">
        <v>831010700</v>
      </c>
      <c r="C277" s="28" t="str">
        <f>HYPERLINK("https://pld.live/RapDetail.aspx?STONELIST=831010700","DNA")</f>
        <v>DNA</v>
      </c>
      <c r="D277" s="18" t="s">
        <v>3658</v>
      </c>
      <c r="E277" s="18" t="s">
        <v>5128</v>
      </c>
      <c r="F277" s="2" t="s">
        <v>7987</v>
      </c>
      <c r="G277" s="2" t="s">
        <v>861</v>
      </c>
      <c r="H277" s="14">
        <v>2.2000000000000002</v>
      </c>
      <c r="I277" s="2" t="s">
        <v>4761</v>
      </c>
      <c r="J277" s="2" t="s">
        <v>5144</v>
      </c>
      <c r="K277" s="2" t="s">
        <v>3390</v>
      </c>
      <c r="L277" s="2" t="s">
        <v>5221</v>
      </c>
      <c r="M277" s="2" t="s">
        <v>5221</v>
      </c>
      <c r="N277" s="2" t="s">
        <v>2317</v>
      </c>
      <c r="O277" s="14">
        <v>16000</v>
      </c>
      <c r="P277" s="14">
        <v>99.14</v>
      </c>
      <c r="Q277" s="14">
        <v>137.6</v>
      </c>
      <c r="R277" s="14">
        <v>302.72000000000003</v>
      </c>
      <c r="S277" s="2" t="s">
        <v>477</v>
      </c>
      <c r="T277" s="2">
        <v>1.01</v>
      </c>
      <c r="U277" s="2">
        <v>60.8</v>
      </c>
      <c r="V277" s="2">
        <v>59</v>
      </c>
      <c r="W277" s="2" t="s">
        <v>7862</v>
      </c>
      <c r="X277" s="2" t="s">
        <v>5405</v>
      </c>
      <c r="Y277" s="2">
        <v>35200</v>
      </c>
      <c r="Z277" s="19" t="str">
        <f>HYPERLINK("https://ssdweb.co/ssdweb/hd/Vision360.html?d=831010700&amp;zoomslide=1&amp;z=1831010700&amp;ISCONFIRM=0","VIDEO")</f>
        <v>VIDEO</v>
      </c>
      <c r="AA277" s="19" t="str">
        <f>HYPERLINK("https://ssdweb.co/ssdweb/CERTH/600345107.pdf","CERTI")</f>
        <v>CERTI</v>
      </c>
    </row>
    <row r="278" spans="1:27" ht="15" x14ac:dyDescent="0.25">
      <c r="A278" s="2">
        <v>273</v>
      </c>
      <c r="B278" s="39">
        <v>925000109</v>
      </c>
      <c r="C278" s="28" t="str">
        <f>HYPERLINK("https://pld.live/RapDetail.aspx?STONELIST=925000109","DNA")</f>
        <v>DNA</v>
      </c>
      <c r="D278" s="18" t="s">
        <v>3658</v>
      </c>
      <c r="E278" s="18" t="s">
        <v>2186</v>
      </c>
      <c r="F278" s="2" t="s">
        <v>5597</v>
      </c>
      <c r="G278" s="2" t="s">
        <v>861</v>
      </c>
      <c r="H278" s="14">
        <v>2.2000000000000002</v>
      </c>
      <c r="I278" s="2" t="s">
        <v>4761</v>
      </c>
      <c r="J278" s="2" t="s">
        <v>5144</v>
      </c>
      <c r="K278" s="2" t="s">
        <v>5221</v>
      </c>
      <c r="L278" s="2" t="s">
        <v>5221</v>
      </c>
      <c r="M278" s="2" t="s">
        <v>5221</v>
      </c>
      <c r="N278" s="2" t="s">
        <v>2317</v>
      </c>
      <c r="O278" s="14">
        <v>16000</v>
      </c>
      <c r="P278" s="14">
        <v>98.58</v>
      </c>
      <c r="Q278" s="14">
        <v>227.2</v>
      </c>
      <c r="R278" s="14">
        <v>499.84</v>
      </c>
      <c r="S278" s="2" t="s">
        <v>4551</v>
      </c>
      <c r="T278" s="2">
        <v>1</v>
      </c>
      <c r="U278" s="2">
        <v>60.4</v>
      </c>
      <c r="V278" s="2">
        <v>59</v>
      </c>
      <c r="W278" s="2" t="s">
        <v>7862</v>
      </c>
      <c r="X278" s="2" t="s">
        <v>5405</v>
      </c>
      <c r="Y278" s="2">
        <v>35200</v>
      </c>
      <c r="Z278" s="19" t="str">
        <f>HYPERLINK("https://ssdweb.co/ssdweb/hd/Vision360.html?d=925000109&amp;zoomslide=1&amp;z=1925000109&amp;ISCONFIRM=0","VIDEO")</f>
        <v>VIDEO</v>
      </c>
      <c r="AA278" s="19" t="str">
        <f>HYPERLINK("https://ssdweb.co/ssdweb/CERTH/2476828480.pdf","CERTI")</f>
        <v>CERTI</v>
      </c>
    </row>
    <row r="279" spans="1:27" ht="15" x14ac:dyDescent="0.25">
      <c r="A279" s="2">
        <v>274</v>
      </c>
      <c r="B279" s="39">
        <v>831020616</v>
      </c>
      <c r="C279" s="28" t="str">
        <f>HYPERLINK("https://pld.live/RapDetail.aspx?STONELIST=831020616","DNA")</f>
        <v>DNA</v>
      </c>
      <c r="D279" s="18" t="s">
        <v>3658</v>
      </c>
      <c r="E279" s="18" t="s">
        <v>2186</v>
      </c>
      <c r="F279" s="2" t="s">
        <v>7987</v>
      </c>
      <c r="G279" s="2" t="s">
        <v>861</v>
      </c>
      <c r="H279" s="14">
        <v>2.2000000000000002</v>
      </c>
      <c r="I279" s="2" t="s">
        <v>4761</v>
      </c>
      <c r="J279" s="2" t="s">
        <v>5144</v>
      </c>
      <c r="K279" s="2" t="s">
        <v>5221</v>
      </c>
      <c r="L279" s="2" t="s">
        <v>5221</v>
      </c>
      <c r="M279" s="2" t="s">
        <v>5221</v>
      </c>
      <c r="N279" s="2" t="s">
        <v>2317</v>
      </c>
      <c r="O279" s="14">
        <v>16000</v>
      </c>
      <c r="P279" s="14">
        <v>99.14</v>
      </c>
      <c r="Q279" s="14">
        <v>137.6</v>
      </c>
      <c r="R279" s="14">
        <v>302.72000000000003</v>
      </c>
      <c r="S279" s="2" t="s">
        <v>6158</v>
      </c>
      <c r="T279" s="2">
        <v>1.01</v>
      </c>
      <c r="U279" s="2">
        <v>60.8</v>
      </c>
      <c r="V279" s="2">
        <v>62</v>
      </c>
      <c r="W279" s="2" t="s">
        <v>7862</v>
      </c>
      <c r="X279" s="2" t="s">
        <v>5405</v>
      </c>
      <c r="Y279" s="2">
        <v>35200</v>
      </c>
      <c r="Z279" s="19" t="str">
        <f>HYPERLINK("https://ssdweb.co/ssdweb/hd/Vision360.html?d=831020616&amp;zoomslide=1&amp;z=1831020616&amp;ISCONFIRM=0","VIDEO")</f>
        <v>VIDEO</v>
      </c>
      <c r="AA279" s="19" t="str">
        <f>HYPERLINK("https://ssdweb.co/ssdweb/CERTH/605330676.pdf","CERTI")</f>
        <v>CERTI</v>
      </c>
    </row>
    <row r="280" spans="1:27" ht="15" x14ac:dyDescent="0.25">
      <c r="A280" s="2">
        <v>275</v>
      </c>
      <c r="B280" s="39">
        <v>924190435</v>
      </c>
      <c r="C280" s="28" t="str">
        <f>HYPERLINK("https://pld.live/RapDetail.aspx?STONELIST=924190435","DNA")</f>
        <v>DNA</v>
      </c>
      <c r="D280" s="18" t="s">
        <v>3658</v>
      </c>
      <c r="E280" s="18" t="s">
        <v>2186</v>
      </c>
      <c r="F280" s="2" t="s">
        <v>5597</v>
      </c>
      <c r="G280" s="2" t="s">
        <v>861</v>
      </c>
      <c r="H280" s="14">
        <v>2.2000000000000002</v>
      </c>
      <c r="I280" s="2" t="s">
        <v>4699</v>
      </c>
      <c r="J280" s="2" t="s">
        <v>13</v>
      </c>
      <c r="K280" s="2" t="s">
        <v>5221</v>
      </c>
      <c r="L280" s="2" t="s">
        <v>5221</v>
      </c>
      <c r="M280" s="2" t="s">
        <v>5221</v>
      </c>
      <c r="N280" s="2" t="s">
        <v>2317</v>
      </c>
      <c r="O280" s="14">
        <v>17500</v>
      </c>
      <c r="P280" s="14">
        <v>98.77</v>
      </c>
      <c r="Q280" s="14">
        <v>215.25</v>
      </c>
      <c r="R280" s="14">
        <v>473.55</v>
      </c>
      <c r="S280" s="2" t="s">
        <v>5316</v>
      </c>
      <c r="T280" s="2">
        <v>1</v>
      </c>
      <c r="U280" s="2">
        <v>62.4</v>
      </c>
      <c r="V280" s="2">
        <v>57</v>
      </c>
      <c r="W280" s="2" t="s">
        <v>7862</v>
      </c>
      <c r="X280" s="2" t="s">
        <v>5405</v>
      </c>
      <c r="Y280" s="2">
        <v>38500</v>
      </c>
      <c r="Z280" s="19" t="str">
        <f>HYPERLINK("https://ssdweb.co/ssdweb/hd/Vision360.html?d=924190435&amp;zoomslide=1&amp;z=1924190435&amp;ISCONFIRM=0","VIDEO")</f>
        <v>VIDEO</v>
      </c>
      <c r="AA280" s="19" t="str">
        <f>HYPERLINK("https://ssdweb.co/ssdweb/CERTH/2468481195.pdf","CERTI")</f>
        <v>CERTI</v>
      </c>
    </row>
    <row r="281" spans="1:27" ht="15" x14ac:dyDescent="0.25">
      <c r="A281" s="2">
        <v>276</v>
      </c>
      <c r="B281" s="39">
        <v>925560046</v>
      </c>
      <c r="C281" s="28" t="str">
        <f>HYPERLINK("https://pld.live/RapDetail.aspx?STONELIST=925560046","DNA")</f>
        <v>DNA</v>
      </c>
      <c r="D281" s="18" t="s">
        <v>3658</v>
      </c>
      <c r="E281" s="18" t="s">
        <v>2186</v>
      </c>
      <c r="F281" s="2" t="s">
        <v>7987</v>
      </c>
      <c r="G281" s="2" t="s">
        <v>861</v>
      </c>
      <c r="H281" s="14">
        <v>2.2000000000000002</v>
      </c>
      <c r="I281" s="2" t="s">
        <v>6845</v>
      </c>
      <c r="J281" s="2" t="s">
        <v>5144</v>
      </c>
      <c r="K281" s="2" t="s">
        <v>3390</v>
      </c>
      <c r="L281" s="2" t="s">
        <v>5221</v>
      </c>
      <c r="M281" s="2" t="s">
        <v>5221</v>
      </c>
      <c r="N281" s="2" t="s">
        <v>2317</v>
      </c>
      <c r="O281" s="14">
        <v>5700</v>
      </c>
      <c r="P281" s="14">
        <v>96.67</v>
      </c>
      <c r="Q281" s="14">
        <v>189.81</v>
      </c>
      <c r="R281" s="14">
        <v>417.58</v>
      </c>
      <c r="S281" s="2" t="s">
        <v>4720</v>
      </c>
      <c r="T281" s="2">
        <v>1</v>
      </c>
      <c r="U281" s="2">
        <v>60.4</v>
      </c>
      <c r="V281" s="2">
        <v>60</v>
      </c>
      <c r="W281" s="2" t="s">
        <v>7862</v>
      </c>
      <c r="X281" s="2" t="s">
        <v>5405</v>
      </c>
      <c r="Y281" s="2">
        <v>12540</v>
      </c>
      <c r="Z281" s="19" t="str">
        <f>HYPERLINK("https://ssdweb.co/ssdweb/hd/Vision360.html?d=925560046&amp;zoomslide=1&amp;z=1925560046&amp;ISCONFIRM=0","VIDEO")</f>
        <v>VIDEO</v>
      </c>
      <c r="AA281" s="19" t="str">
        <f>HYPERLINK("https://ssdweb.co/ssdweb/CERTH/625432400.pdf","CERTI")</f>
        <v>CERTI</v>
      </c>
    </row>
    <row r="282" spans="1:27" ht="15" x14ac:dyDescent="0.25">
      <c r="A282" s="2">
        <v>277</v>
      </c>
      <c r="B282" s="39">
        <v>925960973</v>
      </c>
      <c r="C282" s="28" t="str">
        <f>HYPERLINK("https://pld.live/RapDetail.aspx?STONELIST=925960973","DNA")</f>
        <v>DNA</v>
      </c>
      <c r="D282" s="18" t="s">
        <v>3658</v>
      </c>
      <c r="E282" s="18" t="s">
        <v>5128</v>
      </c>
      <c r="F282" s="2" t="s">
        <v>7987</v>
      </c>
      <c r="G282" s="2" t="s">
        <v>861</v>
      </c>
      <c r="H282" s="14">
        <v>2.1800000000000002</v>
      </c>
      <c r="I282" s="2" t="s">
        <v>267</v>
      </c>
      <c r="J282" s="2" t="s">
        <v>5144</v>
      </c>
      <c r="K282" s="2" t="s">
        <v>3390</v>
      </c>
      <c r="L282" s="2" t="s">
        <v>5221</v>
      </c>
      <c r="M282" s="2" t="s">
        <v>5221</v>
      </c>
      <c r="N282" s="2" t="s">
        <v>2317</v>
      </c>
      <c r="O282" s="14">
        <v>17500</v>
      </c>
      <c r="P282" s="14">
        <v>99.14</v>
      </c>
      <c r="Q282" s="14">
        <v>150.5</v>
      </c>
      <c r="R282" s="14">
        <v>328.09</v>
      </c>
      <c r="S282" s="2" t="s">
        <v>7989</v>
      </c>
      <c r="T282" s="2">
        <v>1</v>
      </c>
      <c r="U282" s="2">
        <v>61.4</v>
      </c>
      <c r="V282" s="2">
        <v>59</v>
      </c>
      <c r="W282" s="2" t="s">
        <v>7862</v>
      </c>
      <c r="X282" s="2" t="s">
        <v>5405</v>
      </c>
      <c r="Y282" s="2">
        <v>38150</v>
      </c>
      <c r="Z282" s="19" t="str">
        <f>HYPERLINK("https://ssdweb.co/ssdweb/hd/Vision360.html?d=925960973&amp;zoomslide=1&amp;z=1925960973&amp;ISCONFIRM=0","VIDEO")</f>
        <v>VIDEO</v>
      </c>
      <c r="AA282" s="19" t="str">
        <f>HYPERLINK("https://ssdweb.co/ssdweb/CERTH/631464222.pdf","CERTI")</f>
        <v>CERTI</v>
      </c>
    </row>
    <row r="283" spans="1:27" ht="15" x14ac:dyDescent="0.25">
      <c r="A283" s="2">
        <v>278</v>
      </c>
      <c r="B283" s="39">
        <v>831020389</v>
      </c>
      <c r="C283" s="28" t="str">
        <f>HYPERLINK("https://pld.live/RapDetail.aspx?STONELIST=831020389","DNA")</f>
        <v>DNA</v>
      </c>
      <c r="D283" s="18" t="s">
        <v>3658</v>
      </c>
      <c r="E283" s="18" t="s">
        <v>2186</v>
      </c>
      <c r="F283" s="2" t="s">
        <v>5597</v>
      </c>
      <c r="G283" s="2" t="s">
        <v>861</v>
      </c>
      <c r="H283" s="14">
        <v>2.1800000000000002</v>
      </c>
      <c r="I283" s="2" t="s">
        <v>6587</v>
      </c>
      <c r="J283" s="2" t="s">
        <v>13</v>
      </c>
      <c r="K283" s="2" t="s">
        <v>5221</v>
      </c>
      <c r="L283" s="2" t="s">
        <v>5221</v>
      </c>
      <c r="M283" s="2" t="s">
        <v>5221</v>
      </c>
      <c r="N283" s="2" t="s">
        <v>2317</v>
      </c>
      <c r="O283" s="14">
        <v>15000</v>
      </c>
      <c r="P283" s="14">
        <v>98.6</v>
      </c>
      <c r="Q283" s="14">
        <v>210</v>
      </c>
      <c r="R283" s="14">
        <v>457.8</v>
      </c>
      <c r="S283" s="2" t="s">
        <v>4495</v>
      </c>
      <c r="T283" s="2">
        <v>1</v>
      </c>
      <c r="U283" s="2">
        <v>62.9</v>
      </c>
      <c r="V283" s="2">
        <v>56</v>
      </c>
      <c r="W283" s="2" t="s">
        <v>8016</v>
      </c>
      <c r="X283" s="2" t="s">
        <v>5405</v>
      </c>
      <c r="Y283" s="2">
        <v>32700</v>
      </c>
      <c r="Z283" s="19" t="str">
        <f>HYPERLINK("https://ssdweb.co/ssdweb/hd/Vision360.html?d=831020389&amp;zoomslide=1&amp;z=1831020389&amp;ISCONFIRM=0","VIDEO")</f>
        <v>VIDEO</v>
      </c>
      <c r="AA283" s="19" t="str">
        <f>HYPERLINK("https://ssdweb.co/ssdweb/CERTH/2416007318.pdf","CERTI")</f>
        <v>CERTI</v>
      </c>
    </row>
    <row r="284" spans="1:27" ht="15" x14ac:dyDescent="0.25">
      <c r="A284" s="2">
        <v>279</v>
      </c>
      <c r="B284" s="39">
        <v>924190441</v>
      </c>
      <c r="C284" s="28" t="str">
        <f>HYPERLINK("https://pld.live/RapDetail.aspx?STONELIST=924190441","DNA")</f>
        <v>DNA</v>
      </c>
      <c r="D284" s="18" t="s">
        <v>3658</v>
      </c>
      <c r="E284" s="18" t="s">
        <v>2186</v>
      </c>
      <c r="F284" s="2" t="s">
        <v>5597</v>
      </c>
      <c r="G284" s="2" t="s">
        <v>861</v>
      </c>
      <c r="H284" s="14">
        <v>2.17</v>
      </c>
      <c r="I284" s="2" t="s">
        <v>4761</v>
      </c>
      <c r="J284" s="2" t="s">
        <v>13</v>
      </c>
      <c r="K284" s="2" t="s">
        <v>5221</v>
      </c>
      <c r="L284" s="2" t="s">
        <v>5221</v>
      </c>
      <c r="M284" s="2" t="s">
        <v>5221</v>
      </c>
      <c r="N284" s="2" t="s">
        <v>2317</v>
      </c>
      <c r="O284" s="14">
        <v>19000</v>
      </c>
      <c r="P284" s="14">
        <v>98.77</v>
      </c>
      <c r="Q284" s="14">
        <v>233.7</v>
      </c>
      <c r="R284" s="14">
        <v>507.13</v>
      </c>
      <c r="S284" s="2" t="s">
        <v>3675</v>
      </c>
      <c r="T284" s="2">
        <v>1</v>
      </c>
      <c r="U284" s="2">
        <v>61.9</v>
      </c>
      <c r="V284" s="2">
        <v>58</v>
      </c>
      <c r="W284" s="2" t="s">
        <v>7862</v>
      </c>
      <c r="X284" s="2" t="s">
        <v>5405</v>
      </c>
      <c r="Y284" s="2">
        <v>41230</v>
      </c>
      <c r="Z284" s="19" t="str">
        <f>HYPERLINK("https://ssdweb.co/ssdweb/hd/Vision360.html?d=924190441&amp;zoomslide=1&amp;z=1924190441&amp;ISCONFIRM=0","VIDEO")</f>
        <v>VIDEO</v>
      </c>
      <c r="AA284" s="19" t="str">
        <f>HYPERLINK("https://ssdweb.co/ssdweb/CERTH/1465480734.pdf","CERTI")</f>
        <v>CERTI</v>
      </c>
    </row>
    <row r="285" spans="1:27" ht="15" x14ac:dyDescent="0.25">
      <c r="A285" s="2">
        <v>280</v>
      </c>
      <c r="B285" s="39">
        <v>831020729</v>
      </c>
      <c r="C285" s="28" t="str">
        <f>HYPERLINK("https://pld.live/RapDetail.aspx?STONELIST=831020729","DNA")</f>
        <v>DNA</v>
      </c>
      <c r="D285" s="18" t="s">
        <v>3658</v>
      </c>
      <c r="E285" s="18" t="s">
        <v>2186</v>
      </c>
      <c r="F285" s="2" t="s">
        <v>7987</v>
      </c>
      <c r="G285" s="2" t="s">
        <v>861</v>
      </c>
      <c r="H285" s="14">
        <v>2.11</v>
      </c>
      <c r="I285" s="2" t="s">
        <v>267</v>
      </c>
      <c r="J285" s="2" t="s">
        <v>444</v>
      </c>
      <c r="K285" s="2" t="s">
        <v>3390</v>
      </c>
      <c r="L285" s="2" t="s">
        <v>5221</v>
      </c>
      <c r="M285" s="2" t="s">
        <v>5221</v>
      </c>
      <c r="N285" s="2" t="s">
        <v>2317</v>
      </c>
      <c r="O285" s="14">
        <v>14100</v>
      </c>
      <c r="P285" s="14">
        <v>98.99</v>
      </c>
      <c r="Q285" s="14">
        <v>142.41</v>
      </c>
      <c r="R285" s="14">
        <v>300.49</v>
      </c>
      <c r="S285" s="2" t="s">
        <v>4851</v>
      </c>
      <c r="T285" s="2">
        <v>1</v>
      </c>
      <c r="U285" s="2">
        <v>62</v>
      </c>
      <c r="V285" s="2">
        <v>59</v>
      </c>
      <c r="W285" s="2" t="s">
        <v>7862</v>
      </c>
      <c r="X285" s="2" t="s">
        <v>5405</v>
      </c>
      <c r="Y285" s="2">
        <v>29751</v>
      </c>
      <c r="Z285" s="19" t="str">
        <f>HYPERLINK("https://ssdweb.co/ssdweb/hd/Vision360.html?d=831020729&amp;zoomslide=1&amp;z=1831020729&amp;ISCONFIRM=0","VIDEO")</f>
        <v>VIDEO</v>
      </c>
      <c r="AA285" s="19" t="str">
        <f>HYPERLINK("https://ssdweb.co/ssdweb/CERTH/597388378.pdf","CERTI")</f>
        <v>CERTI</v>
      </c>
    </row>
    <row r="286" spans="1:27" ht="15" x14ac:dyDescent="0.25">
      <c r="A286" s="2">
        <v>281</v>
      </c>
      <c r="B286" s="39">
        <v>925000030</v>
      </c>
      <c r="C286" s="28" t="str">
        <f>HYPERLINK("https://pld.live/RapDetail.aspx?STONELIST=925000030","DNA")</f>
        <v>DNA</v>
      </c>
      <c r="D286" s="18" t="s">
        <v>3658</v>
      </c>
      <c r="E286" s="18" t="s">
        <v>2186</v>
      </c>
      <c r="F286" s="2" t="s">
        <v>5597</v>
      </c>
      <c r="G286" s="2" t="s">
        <v>861</v>
      </c>
      <c r="H286" s="14">
        <v>2.11</v>
      </c>
      <c r="I286" s="2" t="s">
        <v>4761</v>
      </c>
      <c r="J286" s="2" t="s">
        <v>3942</v>
      </c>
      <c r="K286" s="2" t="s">
        <v>5221</v>
      </c>
      <c r="L286" s="2" t="s">
        <v>5221</v>
      </c>
      <c r="M286" s="2" t="s">
        <v>5221</v>
      </c>
      <c r="N286" s="2" t="s">
        <v>2317</v>
      </c>
      <c r="O286" s="14">
        <v>21000</v>
      </c>
      <c r="P286" s="14">
        <v>98.85</v>
      </c>
      <c r="Q286" s="14">
        <v>241.5</v>
      </c>
      <c r="R286" s="14">
        <v>509.57</v>
      </c>
      <c r="S286" s="2" t="s">
        <v>1951</v>
      </c>
      <c r="T286" s="2">
        <v>1</v>
      </c>
      <c r="U286" s="2">
        <v>62.3</v>
      </c>
      <c r="V286" s="2">
        <v>58</v>
      </c>
      <c r="W286" s="2" t="s">
        <v>7862</v>
      </c>
      <c r="X286" s="2" t="s">
        <v>5405</v>
      </c>
      <c r="Y286" s="2">
        <v>44310</v>
      </c>
      <c r="Z286" s="19" t="str">
        <f>HYPERLINK("https://ssdweb.co/ssdweb/hd/Vision360.html?d=925000030&amp;zoomslide=1&amp;z=1925000030&amp;ISCONFIRM=0","VIDEO")</f>
        <v>VIDEO</v>
      </c>
      <c r="AA286" s="19" t="str">
        <f>HYPERLINK("https://ssdweb.co/ssdweb/CERTH/6475836509.pdf","CERTI")</f>
        <v>CERTI</v>
      </c>
    </row>
    <row r="287" spans="1:27" ht="15" x14ac:dyDescent="0.25">
      <c r="A287" s="2">
        <v>282</v>
      </c>
      <c r="B287" s="39">
        <v>924800081</v>
      </c>
      <c r="C287" s="28" t="str">
        <f>HYPERLINK("https://pld.live/RapDetail.aspx?STONELIST=924800081","DNA")</f>
        <v>DNA</v>
      </c>
      <c r="D287" s="18" t="s">
        <v>3658</v>
      </c>
      <c r="E287" s="18" t="s">
        <v>2186</v>
      </c>
      <c r="F287" s="2" t="s">
        <v>5597</v>
      </c>
      <c r="G287" s="2" t="s">
        <v>861</v>
      </c>
      <c r="H287" s="14">
        <v>2.11</v>
      </c>
      <c r="I287" s="2" t="s">
        <v>4761</v>
      </c>
      <c r="J287" s="2" t="s">
        <v>5144</v>
      </c>
      <c r="K287" s="2" t="s">
        <v>5221</v>
      </c>
      <c r="L287" s="2" t="s">
        <v>5221</v>
      </c>
      <c r="M287" s="2" t="s">
        <v>5221</v>
      </c>
      <c r="N287" s="2" t="s">
        <v>2317</v>
      </c>
      <c r="O287" s="14">
        <v>16000</v>
      </c>
      <c r="P287" s="14">
        <v>98.58</v>
      </c>
      <c r="Q287" s="14">
        <v>227.2</v>
      </c>
      <c r="R287" s="14">
        <v>479.39</v>
      </c>
      <c r="S287" s="2" t="s">
        <v>332</v>
      </c>
      <c r="T287" s="2">
        <v>1</v>
      </c>
      <c r="U287" s="2">
        <v>61.9</v>
      </c>
      <c r="V287" s="2">
        <v>57</v>
      </c>
      <c r="W287" s="2" t="s">
        <v>7862</v>
      </c>
      <c r="X287" s="2" t="s">
        <v>5405</v>
      </c>
      <c r="Y287" s="2">
        <v>33760</v>
      </c>
      <c r="Z287" s="19" t="str">
        <f>HYPERLINK("https://ssdweb.co/ssdweb/hd/Vision360.html?d=924800081&amp;zoomslide=1&amp;z=1924800081&amp;ISCONFIRM=0","VIDEO")</f>
        <v>VIDEO</v>
      </c>
      <c r="AA287" s="19" t="str">
        <f>HYPERLINK("https://ssdweb.co/ssdweb/CERTH/6472520869.pdf","CERTI")</f>
        <v>CERTI</v>
      </c>
    </row>
    <row r="288" spans="1:27" ht="15" x14ac:dyDescent="0.25">
      <c r="A288" s="2">
        <v>283</v>
      </c>
      <c r="B288" s="39">
        <v>831020697</v>
      </c>
      <c r="C288" s="28" t="str">
        <f>HYPERLINK("https://pld.live/RapDetail.aspx?STONELIST=831020697","DNA")</f>
        <v>DNA</v>
      </c>
      <c r="D288" s="18" t="s">
        <v>3658</v>
      </c>
      <c r="E288" s="18" t="s">
        <v>2186</v>
      </c>
      <c r="F288" s="2" t="s">
        <v>7987</v>
      </c>
      <c r="G288" s="2" t="s">
        <v>861</v>
      </c>
      <c r="H288" s="14">
        <v>2.1</v>
      </c>
      <c r="I288" s="2" t="s">
        <v>267</v>
      </c>
      <c r="J288" s="2" t="s">
        <v>13</v>
      </c>
      <c r="K288" s="2" t="s">
        <v>3390</v>
      </c>
      <c r="L288" s="2" t="s">
        <v>5221</v>
      </c>
      <c r="M288" s="2" t="s">
        <v>5221</v>
      </c>
      <c r="N288" s="2" t="s">
        <v>2317</v>
      </c>
      <c r="O288" s="14">
        <v>20500</v>
      </c>
      <c r="P288" s="14">
        <v>99.2</v>
      </c>
      <c r="Q288" s="14">
        <v>164</v>
      </c>
      <c r="R288" s="14">
        <v>344.4</v>
      </c>
      <c r="S288" s="2" t="s">
        <v>168</v>
      </c>
      <c r="T288" s="2">
        <v>1</v>
      </c>
      <c r="U288" s="2">
        <v>61.8</v>
      </c>
      <c r="V288" s="2">
        <v>59</v>
      </c>
      <c r="W288" s="2" t="s">
        <v>7862</v>
      </c>
      <c r="X288" s="2" t="s">
        <v>5405</v>
      </c>
      <c r="Y288" s="2">
        <v>43050</v>
      </c>
      <c r="Z288" s="19" t="str">
        <f>HYPERLINK("https://ssdweb.co/ssdweb/hd/Vision360.html?d=831020697&amp;zoomslide=1&amp;z=1831020697&amp;ISCONFIRM=0","VIDEO")</f>
        <v>VIDEO</v>
      </c>
      <c r="AA288" s="19" t="str">
        <f>HYPERLINK("https://ssdweb.co/ssdweb/CERTH/597389619.pdf","CERTI")</f>
        <v>CERTI</v>
      </c>
    </row>
    <row r="289" spans="1:27" ht="15" x14ac:dyDescent="0.25">
      <c r="A289" s="2">
        <v>284</v>
      </c>
      <c r="B289" s="39">
        <v>831020698</v>
      </c>
      <c r="C289" s="28" t="str">
        <f>HYPERLINK("https://pld.live/RapDetail.aspx?STONELIST=831020698","DNA")</f>
        <v>DNA</v>
      </c>
      <c r="D289" s="18" t="s">
        <v>3658</v>
      </c>
      <c r="E289" s="18" t="s">
        <v>2186</v>
      </c>
      <c r="F289" s="2" t="s">
        <v>7987</v>
      </c>
      <c r="G289" s="2" t="s">
        <v>861</v>
      </c>
      <c r="H289" s="14">
        <v>2.1</v>
      </c>
      <c r="I289" s="2" t="s">
        <v>267</v>
      </c>
      <c r="J289" s="2" t="s">
        <v>13</v>
      </c>
      <c r="K289" s="2" t="s">
        <v>3390</v>
      </c>
      <c r="L289" s="2" t="s">
        <v>5221</v>
      </c>
      <c r="M289" s="2" t="s">
        <v>5221</v>
      </c>
      <c r="N289" s="2" t="s">
        <v>2317</v>
      </c>
      <c r="O289" s="14">
        <v>20500</v>
      </c>
      <c r="P289" s="14">
        <v>99.2</v>
      </c>
      <c r="Q289" s="14">
        <v>164</v>
      </c>
      <c r="R289" s="14">
        <v>344.4</v>
      </c>
      <c r="S289" s="2" t="s">
        <v>6175</v>
      </c>
      <c r="T289" s="2">
        <v>1</v>
      </c>
      <c r="U289" s="2">
        <v>61.7</v>
      </c>
      <c r="V289" s="2">
        <v>57</v>
      </c>
      <c r="W289" s="2" t="s">
        <v>7862</v>
      </c>
      <c r="X289" s="2" t="s">
        <v>5405</v>
      </c>
      <c r="Y289" s="2">
        <v>43050</v>
      </c>
      <c r="Z289" s="19" t="str">
        <f>HYPERLINK("https://ssdweb.co/ssdweb/hd/Vision360.html?d=831020698&amp;zoomslide=1&amp;z=1831020698&amp;ISCONFIRM=0","VIDEO")</f>
        <v>VIDEO</v>
      </c>
      <c r="AA289" s="19" t="str">
        <f>HYPERLINK("https://ssdweb.co/ssdweb/CERTH/598313591.pdf","CERTI")</f>
        <v>CERTI</v>
      </c>
    </row>
    <row r="290" spans="1:27" ht="15" x14ac:dyDescent="0.25">
      <c r="A290" s="2">
        <v>285</v>
      </c>
      <c r="B290" s="39">
        <v>925971222</v>
      </c>
      <c r="C290" s="28" t="str">
        <f>HYPERLINK("https://pld.live/RapDetail.aspx?STONELIST=925971222","DNA")</f>
        <v>DNA</v>
      </c>
      <c r="D290" s="18" t="s">
        <v>3658</v>
      </c>
      <c r="E290" s="18" t="s">
        <v>5128</v>
      </c>
      <c r="F290" s="2" t="s">
        <v>7987</v>
      </c>
      <c r="G290" s="2" t="s">
        <v>861</v>
      </c>
      <c r="H290" s="14">
        <v>2.1</v>
      </c>
      <c r="I290" s="2" t="s">
        <v>4761</v>
      </c>
      <c r="J290" s="2" t="s">
        <v>444</v>
      </c>
      <c r="K290" s="2" t="s">
        <v>3390</v>
      </c>
      <c r="L290" s="2" t="s">
        <v>5221</v>
      </c>
      <c r="M290" s="2" t="s">
        <v>5221</v>
      </c>
      <c r="N290" s="2" t="s">
        <v>2317</v>
      </c>
      <c r="O290" s="14">
        <v>13200</v>
      </c>
      <c r="P290" s="14">
        <v>99</v>
      </c>
      <c r="Q290" s="14">
        <v>132</v>
      </c>
      <c r="R290" s="14">
        <v>277.2</v>
      </c>
      <c r="S290" s="2" t="s">
        <v>3650</v>
      </c>
      <c r="T290" s="2">
        <v>1</v>
      </c>
      <c r="U290" s="2">
        <v>61.4</v>
      </c>
      <c r="V290" s="2">
        <v>57</v>
      </c>
      <c r="W290" s="2" t="s">
        <v>7862</v>
      </c>
      <c r="X290" s="2" t="s">
        <v>5405</v>
      </c>
      <c r="Y290" s="2">
        <v>27720</v>
      </c>
      <c r="Z290" s="19" t="str">
        <f>HYPERLINK("https://ssdweb.co/ssdweb/hd/Vision360.html?d=925971222&amp;zoomslide=1&amp;z=1925971222&amp;ISCONFIRM=0","VIDEO")</f>
        <v>VIDEO</v>
      </c>
      <c r="AA290" s="19" t="str">
        <f>HYPERLINK("https://ssdweb.co/ssdweb/CERTH/631464336.pdf","CERTI")</f>
        <v>CERTI</v>
      </c>
    </row>
    <row r="291" spans="1:27" ht="15" x14ac:dyDescent="0.25">
      <c r="A291" s="2">
        <v>286</v>
      </c>
      <c r="B291" s="39">
        <v>831020277</v>
      </c>
      <c r="C291" s="28" t="str">
        <f>HYPERLINK("https://pld.live/RapDetail.aspx?STONELIST=831020277","DNA")</f>
        <v>DNA</v>
      </c>
      <c r="D291" s="18" t="s">
        <v>3658</v>
      </c>
      <c r="E291" s="18" t="s">
        <v>2186</v>
      </c>
      <c r="F291" s="2" t="s">
        <v>5597</v>
      </c>
      <c r="G291" s="2" t="s">
        <v>861</v>
      </c>
      <c r="H291" s="14">
        <v>2.1</v>
      </c>
      <c r="I291" s="2" t="s">
        <v>4761</v>
      </c>
      <c r="J291" s="2" t="s">
        <v>444</v>
      </c>
      <c r="K291" s="2" t="s">
        <v>5221</v>
      </c>
      <c r="L291" s="2" t="s">
        <v>5221</v>
      </c>
      <c r="M291" s="2" t="s">
        <v>5221</v>
      </c>
      <c r="N291" s="2" t="s">
        <v>2317</v>
      </c>
      <c r="O291" s="14">
        <v>13200</v>
      </c>
      <c r="P291" s="14">
        <v>98.36</v>
      </c>
      <c r="Q291" s="14">
        <v>216.48</v>
      </c>
      <c r="R291" s="14">
        <v>454.61</v>
      </c>
      <c r="S291" s="2" t="s">
        <v>3181</v>
      </c>
      <c r="T291" s="2">
        <v>1</v>
      </c>
      <c r="U291" s="2">
        <v>61.8</v>
      </c>
      <c r="V291" s="2">
        <v>57</v>
      </c>
      <c r="W291" s="2" t="s">
        <v>7862</v>
      </c>
      <c r="X291" s="2" t="s">
        <v>5405</v>
      </c>
      <c r="Y291" s="2">
        <v>27720</v>
      </c>
      <c r="Z291" s="19" t="str">
        <f>HYPERLINK("https://ssdweb.co/ssdweb/hd/Vision360.html?d=831020277&amp;zoomslide=1&amp;z=1831020277&amp;ISCONFIRM=0","VIDEO")</f>
        <v>VIDEO</v>
      </c>
      <c r="AA291" s="19" t="str">
        <f>HYPERLINK("https://ssdweb.co/ssdweb/CERTH/6472520863.pdf","CERTI")</f>
        <v>CERTI</v>
      </c>
    </row>
    <row r="292" spans="1:27" ht="15" x14ac:dyDescent="0.25">
      <c r="A292" s="2">
        <v>287</v>
      </c>
      <c r="B292" s="39">
        <v>926930722</v>
      </c>
      <c r="C292" s="28" t="str">
        <f>HYPERLINK("https://pld.live/RapDetail.aspx?STONELIST=926930722","DNA")</f>
        <v>DNA</v>
      </c>
      <c r="D292" s="18" t="s">
        <v>3658</v>
      </c>
      <c r="E292" s="18" t="s">
        <v>2186</v>
      </c>
      <c r="F292" s="2" t="s">
        <v>7987</v>
      </c>
      <c r="G292" s="2" t="s">
        <v>861</v>
      </c>
      <c r="H292" s="14">
        <v>2.1</v>
      </c>
      <c r="I292" s="2" t="s">
        <v>4699</v>
      </c>
      <c r="J292" s="2" t="s">
        <v>13</v>
      </c>
      <c r="K292" s="2" t="s">
        <v>3390</v>
      </c>
      <c r="L292" s="2" t="s">
        <v>5221</v>
      </c>
      <c r="M292" s="2" t="s">
        <v>5221</v>
      </c>
      <c r="N292" s="2" t="s">
        <v>2317</v>
      </c>
      <c r="O292" s="14">
        <v>17500</v>
      </c>
      <c r="P292" s="14">
        <v>99.19</v>
      </c>
      <c r="Q292" s="14">
        <v>141.75</v>
      </c>
      <c r="R292" s="14">
        <v>297.68</v>
      </c>
      <c r="S292" s="2" t="s">
        <v>6723</v>
      </c>
      <c r="T292" s="2">
        <v>1.01</v>
      </c>
      <c r="U292" s="2">
        <v>61.9</v>
      </c>
      <c r="V292" s="2">
        <v>57</v>
      </c>
      <c r="W292" s="2" t="s">
        <v>8016</v>
      </c>
      <c r="X292" s="2" t="s">
        <v>5405</v>
      </c>
      <c r="Y292" s="2">
        <v>36750</v>
      </c>
      <c r="Z292" s="19" t="str">
        <f>HYPERLINK("https://ssdweb.co/ssdweb/hd/Vision360.html?d=926930722&amp;zoomslide=1&amp;z=1926930722&amp;ISCONFIRM=0","VIDEO")</f>
        <v>VIDEO</v>
      </c>
      <c r="AA292" s="19" t="str">
        <f>HYPERLINK("https://ssdweb.co/ssdweb/CERTH/660489685.pdf","CERTI")</f>
        <v>CERTI</v>
      </c>
    </row>
    <row r="293" spans="1:27" ht="15" x14ac:dyDescent="0.25">
      <c r="A293" s="2">
        <v>288</v>
      </c>
      <c r="B293" s="39">
        <v>831010833</v>
      </c>
      <c r="C293" s="28" t="str">
        <f>HYPERLINK("https://pld.live/RapDetail.aspx?STONELIST=831010833","DNA")</f>
        <v>DNA</v>
      </c>
      <c r="D293" s="18" t="s">
        <v>3658</v>
      </c>
      <c r="E293" s="18" t="s">
        <v>5128</v>
      </c>
      <c r="F293" s="2" t="s">
        <v>7987</v>
      </c>
      <c r="G293" s="2" t="s">
        <v>861</v>
      </c>
      <c r="H293" s="14">
        <v>2.1</v>
      </c>
      <c r="I293" s="2" t="s">
        <v>6587</v>
      </c>
      <c r="J293" s="2" t="s">
        <v>3942</v>
      </c>
      <c r="K293" s="2" t="s">
        <v>3390</v>
      </c>
      <c r="L293" s="2" t="s">
        <v>5221</v>
      </c>
      <c r="M293" s="2" t="s">
        <v>5221</v>
      </c>
      <c r="N293" s="2" t="s">
        <v>2317</v>
      </c>
      <c r="O293" s="14">
        <v>16500</v>
      </c>
      <c r="P293" s="14">
        <v>99.18</v>
      </c>
      <c r="Q293" s="14">
        <v>135.30000000000001</v>
      </c>
      <c r="R293" s="14">
        <v>284.13</v>
      </c>
      <c r="S293" s="2" t="s">
        <v>7915</v>
      </c>
      <c r="T293" s="2">
        <v>1</v>
      </c>
      <c r="U293" s="2">
        <v>60.4</v>
      </c>
      <c r="V293" s="2">
        <v>57</v>
      </c>
      <c r="W293" s="2" t="s">
        <v>4336</v>
      </c>
      <c r="X293" s="2" t="s">
        <v>5405</v>
      </c>
      <c r="Y293" s="2">
        <v>34650</v>
      </c>
      <c r="Z293" s="19" t="str">
        <f>HYPERLINK("https://ssdweb.co/ssdweb/hd/Vision360.html?d=831010833&amp;zoomslide=1&amp;z=1831010833&amp;ISCONFIRM=0","VIDEO")</f>
        <v>VIDEO</v>
      </c>
      <c r="AA293" s="19" t="str">
        <f>HYPERLINK("https://ssdweb.co/ssdweb/CERTH/614319479.pdf","CERTI")</f>
        <v>CERTI</v>
      </c>
    </row>
    <row r="294" spans="1:27" ht="15" x14ac:dyDescent="0.25">
      <c r="A294" s="2">
        <v>289</v>
      </c>
      <c r="B294" s="39">
        <v>941360373</v>
      </c>
      <c r="C294" s="28" t="str">
        <f>HYPERLINK("https://pld.live/RapDetail.aspx?STONELIST=941360373","DNA")</f>
        <v>DNA</v>
      </c>
      <c r="D294" s="18" t="s">
        <v>3658</v>
      </c>
      <c r="E294" s="18" t="s">
        <v>2186</v>
      </c>
      <c r="F294" s="2" t="s">
        <v>7987</v>
      </c>
      <c r="G294" s="2" t="s">
        <v>861</v>
      </c>
      <c r="H294" s="14">
        <v>2.09</v>
      </c>
      <c r="I294" s="2" t="s">
        <v>4761</v>
      </c>
      <c r="J294" s="2" t="s">
        <v>3942</v>
      </c>
      <c r="K294" s="2" t="s">
        <v>3390</v>
      </c>
      <c r="L294" s="2" t="s">
        <v>5221</v>
      </c>
      <c r="M294" s="2" t="s">
        <v>5221</v>
      </c>
      <c r="N294" s="2" t="s">
        <v>2317</v>
      </c>
      <c r="O294" s="14">
        <v>21000</v>
      </c>
      <c r="P294" s="14">
        <v>99.18</v>
      </c>
      <c r="Q294" s="14">
        <v>172.2</v>
      </c>
      <c r="R294" s="14">
        <v>359.9</v>
      </c>
      <c r="S294" s="2" t="s">
        <v>4162</v>
      </c>
      <c r="T294" s="2">
        <v>1</v>
      </c>
      <c r="U294" s="2">
        <v>60.3</v>
      </c>
      <c r="V294" s="2">
        <v>58</v>
      </c>
      <c r="W294" s="2" t="s">
        <v>7862</v>
      </c>
      <c r="X294" s="2" t="s">
        <v>5405</v>
      </c>
      <c r="Y294" s="2">
        <v>43890</v>
      </c>
      <c r="Z294" s="19" t="str">
        <f>HYPERLINK("https://ssdweb.co/ssdweb/hd/Vision360.html?d=941360373&amp;zoomslide=1&amp;z=1941360373&amp;ISCONFIRM=0","VIDEO")</f>
        <v>VIDEO</v>
      </c>
      <c r="AA294" s="19" t="str">
        <f>HYPERLINK("https://ssdweb.co/ssdweb/CERTH/687560955.pdf","CERTI")</f>
        <v>CERTI</v>
      </c>
    </row>
    <row r="295" spans="1:27" ht="15" x14ac:dyDescent="0.25">
      <c r="A295" s="2">
        <v>290</v>
      </c>
      <c r="B295" s="39">
        <v>831010701</v>
      </c>
      <c r="C295" s="28" t="str">
        <f>HYPERLINK("https://pld.live/RapDetail.aspx?STONELIST=831010701","DNA")</f>
        <v>DNA</v>
      </c>
      <c r="D295" s="18" t="s">
        <v>3658</v>
      </c>
      <c r="E295" s="18" t="s">
        <v>5128</v>
      </c>
      <c r="F295" s="2" t="s">
        <v>7987</v>
      </c>
      <c r="G295" s="2" t="s">
        <v>861</v>
      </c>
      <c r="H295" s="14">
        <v>2.09</v>
      </c>
      <c r="I295" s="2" t="s">
        <v>4699</v>
      </c>
      <c r="J295" s="2" t="s">
        <v>5144</v>
      </c>
      <c r="K295" s="2" t="s">
        <v>3390</v>
      </c>
      <c r="L295" s="2" t="s">
        <v>5221</v>
      </c>
      <c r="M295" s="2" t="s">
        <v>5221</v>
      </c>
      <c r="N295" s="2" t="s">
        <v>2317</v>
      </c>
      <c r="O295" s="14">
        <v>15000</v>
      </c>
      <c r="P295" s="14">
        <v>99.13</v>
      </c>
      <c r="Q295" s="14">
        <v>130.5</v>
      </c>
      <c r="R295" s="14">
        <v>272.75</v>
      </c>
      <c r="S295" s="2" t="s">
        <v>7630</v>
      </c>
      <c r="T295" s="2">
        <v>1</v>
      </c>
      <c r="U295" s="2">
        <v>62</v>
      </c>
      <c r="V295" s="2">
        <v>59</v>
      </c>
      <c r="W295" s="2" t="s">
        <v>4336</v>
      </c>
      <c r="X295" s="2" t="s">
        <v>5405</v>
      </c>
      <c r="Y295" s="2">
        <v>31350</v>
      </c>
      <c r="Z295" s="19" t="str">
        <f>HYPERLINK("https://ssdweb.co/ssdweb/hd/Vision360.html?d=831010701&amp;zoomslide=1&amp;z=1831010701&amp;ISCONFIRM=0","VIDEO")</f>
        <v>VIDEO</v>
      </c>
      <c r="AA295" s="19" t="str">
        <f>HYPERLINK("https://ssdweb.co/ssdweb/CERTH/600304739.pdf","CERTI")</f>
        <v>CERTI</v>
      </c>
    </row>
    <row r="296" spans="1:27" ht="15" x14ac:dyDescent="0.25">
      <c r="A296" s="2">
        <v>291</v>
      </c>
      <c r="B296" s="39">
        <v>925501213</v>
      </c>
      <c r="C296" s="28" t="str">
        <f>HYPERLINK("https://pld.live/RapDetail.aspx?STONELIST=925501213","DNA")</f>
        <v>DNA</v>
      </c>
      <c r="D296" s="18" t="s">
        <v>3658</v>
      </c>
      <c r="E296" s="18" t="s">
        <v>5128</v>
      </c>
      <c r="F296" s="2" t="s">
        <v>7987</v>
      </c>
      <c r="G296" s="2" t="s">
        <v>861</v>
      </c>
      <c r="H296" s="14">
        <v>2.08</v>
      </c>
      <c r="I296" s="2" t="s">
        <v>267</v>
      </c>
      <c r="J296" s="2" t="s">
        <v>6555</v>
      </c>
      <c r="K296" s="2" t="s">
        <v>3390</v>
      </c>
      <c r="L296" s="2" t="s">
        <v>5221</v>
      </c>
      <c r="M296" s="2" t="s">
        <v>5221</v>
      </c>
      <c r="N296" s="2" t="s">
        <v>2317</v>
      </c>
      <c r="O296" s="14">
        <v>27500</v>
      </c>
      <c r="P296" s="14">
        <v>98.76</v>
      </c>
      <c r="Q296" s="14">
        <v>341</v>
      </c>
      <c r="R296" s="14">
        <v>709.28</v>
      </c>
      <c r="S296" s="2" t="s">
        <v>4812</v>
      </c>
      <c r="T296" s="2">
        <v>1</v>
      </c>
      <c r="U296" s="2">
        <v>60.7</v>
      </c>
      <c r="V296" s="2">
        <v>59</v>
      </c>
      <c r="W296" s="2" t="s">
        <v>7862</v>
      </c>
      <c r="X296" s="2" t="s">
        <v>5405</v>
      </c>
      <c r="Y296" s="2">
        <v>57200</v>
      </c>
      <c r="Z296" s="19" t="str">
        <f>HYPERLINK("https://ssdweb.co/ssdweb/hd/Vision360.html?d=925501213&amp;zoomslide=1&amp;z=1925501213&amp;ISCONFIRM=0","VIDEO")</f>
        <v>VIDEO</v>
      </c>
      <c r="AA296" s="19" t="str">
        <f>HYPERLINK("https://ssdweb.co/ssdweb/CERTH/617476192.pdf","CERTI")</f>
        <v>CERTI</v>
      </c>
    </row>
    <row r="297" spans="1:27" ht="15" x14ac:dyDescent="0.25">
      <c r="A297" s="2">
        <v>292</v>
      </c>
      <c r="B297" s="39">
        <v>925981138</v>
      </c>
      <c r="C297" s="28" t="str">
        <f>HYPERLINK("https://pld.live/RapDetail.aspx?STONELIST=925981138","DNA")</f>
        <v>DNA</v>
      </c>
      <c r="D297" s="18" t="s">
        <v>3658</v>
      </c>
      <c r="E297" s="18" t="s">
        <v>5128</v>
      </c>
      <c r="F297" s="2" t="s">
        <v>7987</v>
      </c>
      <c r="G297" s="2" t="s">
        <v>861</v>
      </c>
      <c r="H297" s="14">
        <v>2.08</v>
      </c>
      <c r="I297" s="2" t="s">
        <v>267</v>
      </c>
      <c r="J297" s="2" t="s">
        <v>444</v>
      </c>
      <c r="K297" s="2" t="s">
        <v>3390</v>
      </c>
      <c r="L297" s="2" t="s">
        <v>5221</v>
      </c>
      <c r="M297" s="2" t="s">
        <v>5221</v>
      </c>
      <c r="N297" s="2" t="s">
        <v>2317</v>
      </c>
      <c r="O297" s="14">
        <v>14100</v>
      </c>
      <c r="P297" s="14">
        <v>98.98</v>
      </c>
      <c r="Q297" s="14">
        <v>143.82</v>
      </c>
      <c r="R297" s="14">
        <v>299.14999999999998</v>
      </c>
      <c r="S297" s="2" t="s">
        <v>1126</v>
      </c>
      <c r="T297" s="2">
        <v>1</v>
      </c>
      <c r="U297" s="2">
        <v>61.9</v>
      </c>
      <c r="V297" s="2">
        <v>60</v>
      </c>
      <c r="W297" s="2" t="s">
        <v>7862</v>
      </c>
      <c r="X297" s="2" t="s">
        <v>5405</v>
      </c>
      <c r="Y297" s="2">
        <v>29328</v>
      </c>
      <c r="Z297" s="19" t="str">
        <f>HYPERLINK("https://ssdweb.co/ssdweb/hd/Vision360.html?d=925981138&amp;zoomslide=1&amp;z=1925981138&amp;ISCONFIRM=0","VIDEO")</f>
        <v>VIDEO</v>
      </c>
      <c r="AA297" s="19" t="str">
        <f>HYPERLINK("https://ssdweb.co/ssdweb/CERTH/631464342.pdf","CERTI")</f>
        <v>CERTI</v>
      </c>
    </row>
    <row r="298" spans="1:27" ht="15" x14ac:dyDescent="0.25">
      <c r="A298" s="2">
        <v>293</v>
      </c>
      <c r="B298" s="39">
        <v>831020710</v>
      </c>
      <c r="C298" s="28" t="str">
        <f>HYPERLINK("https://pld.live/RapDetail.aspx?STONELIST=831020710","DNA")</f>
        <v>DNA</v>
      </c>
      <c r="D298" s="18" t="s">
        <v>3658</v>
      </c>
      <c r="E298" s="18" t="s">
        <v>2186</v>
      </c>
      <c r="F298" s="2" t="s">
        <v>5597</v>
      </c>
      <c r="G298" s="2" t="s">
        <v>861</v>
      </c>
      <c r="H298" s="14">
        <v>2.0699999999999998</v>
      </c>
      <c r="I298" s="2" t="s">
        <v>267</v>
      </c>
      <c r="J298" s="2" t="s">
        <v>5144</v>
      </c>
      <c r="K298" s="2" t="s">
        <v>5221</v>
      </c>
      <c r="L298" s="2" t="s">
        <v>5221</v>
      </c>
      <c r="M298" s="2" t="s">
        <v>5221</v>
      </c>
      <c r="N298" s="2" t="s">
        <v>2317</v>
      </c>
      <c r="O298" s="14">
        <v>17500</v>
      </c>
      <c r="P298" s="14">
        <v>98.63</v>
      </c>
      <c r="Q298" s="14">
        <v>239.75</v>
      </c>
      <c r="R298" s="14">
        <v>496.28</v>
      </c>
      <c r="S298" s="2" t="s">
        <v>3273</v>
      </c>
      <c r="T298" s="2">
        <v>1</v>
      </c>
      <c r="U298" s="2">
        <v>62.2</v>
      </c>
      <c r="V298" s="2">
        <v>56</v>
      </c>
      <c r="W298" s="2" t="s">
        <v>7862</v>
      </c>
      <c r="X298" s="2" t="s">
        <v>5405</v>
      </c>
      <c r="Y298" s="2">
        <v>36225</v>
      </c>
      <c r="Z298" s="19" t="str">
        <f>HYPERLINK("https://ssdweb.co/ssdweb/hd/Vision360.html?d=831020710&amp;zoomslide=1&amp;z=1831020710&amp;ISCONFIRM=0","VIDEO")</f>
        <v>VIDEO</v>
      </c>
      <c r="AA298" s="19" t="str">
        <f>HYPERLINK("https://ssdweb.co/ssdweb/CERTH/7478459067.pdf","CERTI")</f>
        <v>CERTI</v>
      </c>
    </row>
    <row r="299" spans="1:27" ht="15" x14ac:dyDescent="0.25">
      <c r="A299" s="2">
        <v>294</v>
      </c>
      <c r="B299" s="39">
        <v>924660101</v>
      </c>
      <c r="C299" s="28" t="str">
        <f>HYPERLINK("https://pld.live/RapDetail.aspx?STONELIST=924660101","DNA")</f>
        <v>DNA</v>
      </c>
      <c r="D299" s="18" t="s">
        <v>3658</v>
      </c>
      <c r="E299" s="18" t="s">
        <v>5128</v>
      </c>
      <c r="F299" s="2" t="s">
        <v>5597</v>
      </c>
      <c r="G299" s="2" t="s">
        <v>861</v>
      </c>
      <c r="H299" s="14">
        <v>2.0699999999999998</v>
      </c>
      <c r="I299" s="2" t="s">
        <v>4761</v>
      </c>
      <c r="J299" s="2" t="s">
        <v>444</v>
      </c>
      <c r="K299" s="2" t="s">
        <v>5221</v>
      </c>
      <c r="L299" s="2" t="s">
        <v>5221</v>
      </c>
      <c r="M299" s="2" t="s">
        <v>5221</v>
      </c>
      <c r="N299" s="2" t="s">
        <v>2317</v>
      </c>
      <c r="O299" s="14">
        <v>13200</v>
      </c>
      <c r="P299" s="14">
        <v>98.36</v>
      </c>
      <c r="Q299" s="14">
        <v>216.48</v>
      </c>
      <c r="R299" s="14">
        <v>448.11</v>
      </c>
      <c r="S299" s="2" t="s">
        <v>7097</v>
      </c>
      <c r="T299" s="2">
        <v>1</v>
      </c>
      <c r="U299" s="2">
        <v>59.6</v>
      </c>
      <c r="V299" s="2">
        <v>59</v>
      </c>
      <c r="W299" s="2" t="s">
        <v>7862</v>
      </c>
      <c r="X299" s="2" t="s">
        <v>5405</v>
      </c>
      <c r="Y299" s="2">
        <v>27324</v>
      </c>
      <c r="Z299" s="19" t="str">
        <f>HYPERLINK("https://ssdweb.co/ssdweb/hd/Vision360.html?d=924660101&amp;zoomslide=1&amp;z=1924660101&amp;ISCONFIRM=0","VIDEO")</f>
        <v>VIDEO</v>
      </c>
      <c r="AA299" s="19" t="str">
        <f>HYPERLINK("https://ssdweb.co/ssdweb/CERTH/1479552824.pdf","CERTI")</f>
        <v>CERTI</v>
      </c>
    </row>
    <row r="300" spans="1:27" ht="15" x14ac:dyDescent="0.25">
      <c r="A300" s="2">
        <v>295</v>
      </c>
      <c r="B300" s="39">
        <v>927010686</v>
      </c>
      <c r="C300" s="28" t="str">
        <f>HYPERLINK("https://pld.live/RapDetail.aspx?STONELIST=927010686","DNA")</f>
        <v>DNA</v>
      </c>
      <c r="D300" s="18" t="s">
        <v>3658</v>
      </c>
      <c r="E300" s="18" t="s">
        <v>2186</v>
      </c>
      <c r="F300" s="2" t="s">
        <v>7987</v>
      </c>
      <c r="G300" s="2" t="s">
        <v>861</v>
      </c>
      <c r="H300" s="14">
        <v>2.06</v>
      </c>
      <c r="I300" s="2" t="s">
        <v>4761</v>
      </c>
      <c r="J300" s="2" t="s">
        <v>13</v>
      </c>
      <c r="K300" s="2" t="s">
        <v>3390</v>
      </c>
      <c r="L300" s="2" t="s">
        <v>5221</v>
      </c>
      <c r="M300" s="2" t="s">
        <v>5221</v>
      </c>
      <c r="N300" s="2" t="s">
        <v>2317</v>
      </c>
      <c r="O300" s="14">
        <v>19000</v>
      </c>
      <c r="P300" s="14">
        <v>99.22</v>
      </c>
      <c r="Q300" s="14">
        <v>148.19999999999999</v>
      </c>
      <c r="R300" s="14">
        <v>305.29000000000002</v>
      </c>
      <c r="S300" s="2" t="s">
        <v>3430</v>
      </c>
      <c r="T300" s="2">
        <v>1.01</v>
      </c>
      <c r="U300" s="2">
        <v>61.8</v>
      </c>
      <c r="V300" s="2">
        <v>58</v>
      </c>
      <c r="W300" s="2" t="s">
        <v>7862</v>
      </c>
      <c r="X300" s="2" t="s">
        <v>5405</v>
      </c>
      <c r="Y300" s="2">
        <v>39140</v>
      </c>
      <c r="Z300" s="19" t="str">
        <f>HYPERLINK("https://ssdweb.co/ssdweb/hd/Vision360.html?d=927010686&amp;zoomslide=1&amp;z=1927010686&amp;ISCONFIRM=0","VIDEO")</f>
        <v>VIDEO</v>
      </c>
      <c r="AA300" s="19" t="str">
        <f>HYPERLINK("https://ssdweb.co/ssdweb/CERTH/668437154.pdf","CERTI")</f>
        <v>CERTI</v>
      </c>
    </row>
    <row r="301" spans="1:27" ht="15" x14ac:dyDescent="0.25">
      <c r="A301" s="2">
        <v>296</v>
      </c>
      <c r="B301" s="39">
        <v>925310033</v>
      </c>
      <c r="C301" s="28" t="str">
        <f>HYPERLINK("https://pld.live/RapDetail.aspx?STONELIST=925310033","DNA")</f>
        <v>DNA</v>
      </c>
      <c r="D301" s="18" t="s">
        <v>3658</v>
      </c>
      <c r="E301" s="18" t="s">
        <v>5128</v>
      </c>
      <c r="F301" s="2" t="s">
        <v>5597</v>
      </c>
      <c r="G301" s="2" t="s">
        <v>861</v>
      </c>
      <c r="H301" s="14">
        <v>2.06</v>
      </c>
      <c r="I301" s="2" t="s">
        <v>4761</v>
      </c>
      <c r="J301" s="2" t="s">
        <v>13</v>
      </c>
      <c r="K301" s="2" t="s">
        <v>5221</v>
      </c>
      <c r="L301" s="2" t="s">
        <v>5221</v>
      </c>
      <c r="M301" s="2" t="s">
        <v>5221</v>
      </c>
      <c r="N301" s="2" t="s">
        <v>2317</v>
      </c>
      <c r="O301" s="14">
        <v>19000</v>
      </c>
      <c r="P301" s="14">
        <v>98.77</v>
      </c>
      <c r="Q301" s="14">
        <v>233.7</v>
      </c>
      <c r="R301" s="14">
        <v>481.42</v>
      </c>
      <c r="S301" s="2" t="s">
        <v>897</v>
      </c>
      <c r="T301" s="2">
        <v>1</v>
      </c>
      <c r="U301" s="2">
        <v>59.5</v>
      </c>
      <c r="V301" s="2">
        <v>59</v>
      </c>
      <c r="W301" s="2" t="s">
        <v>7862</v>
      </c>
      <c r="X301" s="2" t="s">
        <v>5405</v>
      </c>
      <c r="Y301" s="2">
        <v>39140</v>
      </c>
      <c r="Z301" s="19" t="str">
        <f>HYPERLINK("https://ssdweb.co/ssdweb/hd/Vision360.html?d=925310033&amp;zoomslide=1&amp;z=1925310033&amp;ISCONFIRM=0","VIDEO")</f>
        <v>VIDEO</v>
      </c>
      <c r="AA301" s="19" t="str">
        <f>HYPERLINK("https://ssdweb.co/ssdweb/CERTH/7481198523.pdf","CERTI")</f>
        <v>CERTI</v>
      </c>
    </row>
    <row r="302" spans="1:27" ht="15" x14ac:dyDescent="0.25">
      <c r="A302" s="2">
        <v>297</v>
      </c>
      <c r="B302" s="39">
        <v>927010713</v>
      </c>
      <c r="C302" s="28" t="str">
        <f>HYPERLINK("https://pld.live/RapDetail.aspx?STONELIST=927010713","DNA")</f>
        <v>DNA</v>
      </c>
      <c r="D302" s="18" t="s">
        <v>3658</v>
      </c>
      <c r="E302" s="18" t="s">
        <v>2186</v>
      </c>
      <c r="F302" s="2" t="s">
        <v>7987</v>
      </c>
      <c r="G302" s="2" t="s">
        <v>861</v>
      </c>
      <c r="H302" s="14">
        <v>2.06</v>
      </c>
      <c r="I302" s="2" t="s">
        <v>4699</v>
      </c>
      <c r="J302" s="2" t="s">
        <v>3942</v>
      </c>
      <c r="K302" s="2" t="s">
        <v>3390</v>
      </c>
      <c r="L302" s="2" t="s">
        <v>5221</v>
      </c>
      <c r="M302" s="2" t="s">
        <v>5221</v>
      </c>
      <c r="N302" s="2" t="s">
        <v>2317</v>
      </c>
      <c r="O302" s="14">
        <v>19500</v>
      </c>
      <c r="P302" s="14">
        <v>99.25</v>
      </c>
      <c r="Q302" s="14">
        <v>146.25</v>
      </c>
      <c r="R302" s="14">
        <v>301.27999999999997</v>
      </c>
      <c r="S302" s="2" t="s">
        <v>7587</v>
      </c>
      <c r="T302" s="2">
        <v>1</v>
      </c>
      <c r="U302" s="2">
        <v>60.4</v>
      </c>
      <c r="V302" s="2">
        <v>59</v>
      </c>
      <c r="W302" s="2" t="s">
        <v>7862</v>
      </c>
      <c r="X302" s="2" t="s">
        <v>5405</v>
      </c>
      <c r="Y302" s="2">
        <v>40170</v>
      </c>
      <c r="Z302" s="19" t="str">
        <f>HYPERLINK("https://ssdweb.co/ssdweb/hd/Vision360.html?d=927010713&amp;zoomslide=1&amp;z=1927010713&amp;ISCONFIRM=0","VIDEO")</f>
        <v>VIDEO</v>
      </c>
      <c r="AA302" s="19" t="str">
        <f>HYPERLINK("https://ssdweb.co/ssdweb/CERTH/666408398.pdf","CERTI")</f>
        <v>CERTI</v>
      </c>
    </row>
    <row r="303" spans="1:27" ht="15" x14ac:dyDescent="0.25">
      <c r="A303" s="2">
        <v>298</v>
      </c>
      <c r="B303" s="39">
        <v>941360360</v>
      </c>
      <c r="C303" s="28" t="str">
        <f>HYPERLINK("https://pld.live/RapDetail.aspx?STONELIST=941360360","DNA")</f>
        <v>DNA</v>
      </c>
      <c r="D303" s="18" t="s">
        <v>3658</v>
      </c>
      <c r="E303" s="18" t="s">
        <v>2186</v>
      </c>
      <c r="F303" s="2" t="s">
        <v>7987</v>
      </c>
      <c r="G303" s="2" t="s">
        <v>861</v>
      </c>
      <c r="H303" s="14">
        <v>2.0499999999999998</v>
      </c>
      <c r="I303" s="2" t="s">
        <v>267</v>
      </c>
      <c r="J303" s="2" t="s">
        <v>13</v>
      </c>
      <c r="K303" s="2" t="s">
        <v>3390</v>
      </c>
      <c r="L303" s="2" t="s">
        <v>5221</v>
      </c>
      <c r="M303" s="2" t="s">
        <v>5221</v>
      </c>
      <c r="N303" s="2" t="s">
        <v>2317</v>
      </c>
      <c r="O303" s="14">
        <v>20500</v>
      </c>
      <c r="P303" s="14">
        <v>99.18</v>
      </c>
      <c r="Q303" s="14">
        <v>168.1</v>
      </c>
      <c r="R303" s="14">
        <v>344.61</v>
      </c>
      <c r="S303" s="2" t="s">
        <v>5732</v>
      </c>
      <c r="T303" s="2">
        <v>1.01</v>
      </c>
      <c r="U303" s="2">
        <v>60.7</v>
      </c>
      <c r="V303" s="2">
        <v>58</v>
      </c>
      <c r="W303" s="2" t="s">
        <v>7862</v>
      </c>
      <c r="X303" s="2" t="s">
        <v>5405</v>
      </c>
      <c r="Y303" s="2">
        <v>42025</v>
      </c>
      <c r="Z303" s="19" t="str">
        <f>HYPERLINK("https://ssdweb.co/ssdweb/hd/Vision360.html?d=941360360&amp;zoomslide=1&amp;z=1941360360&amp;ISCONFIRM=0","VIDEO")</f>
        <v>VIDEO</v>
      </c>
      <c r="AA303" s="19" t="str">
        <f>HYPERLINK("https://ssdweb.co/ssdweb/CERTH/687560954.pdf","CERTI")</f>
        <v>CERTI</v>
      </c>
    </row>
    <row r="304" spans="1:27" ht="15" x14ac:dyDescent="0.25">
      <c r="A304" s="2">
        <v>299</v>
      </c>
      <c r="B304" s="39">
        <v>925850519</v>
      </c>
      <c r="C304" s="28" t="str">
        <f>HYPERLINK("https://pld.live/RapDetail.aspx?STONELIST=925850519","DNA")</f>
        <v>DNA</v>
      </c>
      <c r="D304" s="18" t="s">
        <v>3658</v>
      </c>
      <c r="E304" s="18" t="s">
        <v>5128</v>
      </c>
      <c r="F304" s="2" t="s">
        <v>5597</v>
      </c>
      <c r="G304" s="2" t="s">
        <v>861</v>
      </c>
      <c r="H304" s="14">
        <v>2.0499999999999998</v>
      </c>
      <c r="I304" s="2" t="s">
        <v>4761</v>
      </c>
      <c r="J304" s="2" t="s">
        <v>3942</v>
      </c>
      <c r="K304" s="2" t="s">
        <v>5221</v>
      </c>
      <c r="L304" s="2" t="s">
        <v>5221</v>
      </c>
      <c r="M304" s="2" t="s">
        <v>5221</v>
      </c>
      <c r="N304" s="2" t="s">
        <v>2317</v>
      </c>
      <c r="O304" s="14">
        <v>21000</v>
      </c>
      <c r="P304" s="14">
        <v>98.85</v>
      </c>
      <c r="Q304" s="14">
        <v>241.5</v>
      </c>
      <c r="R304" s="14">
        <v>495.08</v>
      </c>
      <c r="S304" s="2" t="s">
        <v>3922</v>
      </c>
      <c r="T304" s="2">
        <v>1</v>
      </c>
      <c r="U304" s="2">
        <v>62.1</v>
      </c>
      <c r="V304" s="2">
        <v>58</v>
      </c>
      <c r="W304" s="2" t="s">
        <v>7862</v>
      </c>
      <c r="X304" s="2" t="s">
        <v>5405</v>
      </c>
      <c r="Y304" s="2">
        <v>43050</v>
      </c>
      <c r="Z304" s="19" t="str">
        <f>HYPERLINK("https://ssdweb.co/ssdweb/hd/Vision360.html?d=925850519&amp;zoomslide=1&amp;z=1925850519&amp;ISCONFIRM=0","VIDEO")</f>
        <v>VIDEO</v>
      </c>
      <c r="AA304" s="19" t="str">
        <f>HYPERLINK("https://ssdweb.co/ssdweb/CERTH/7488902601.pdf","CERTI")</f>
        <v>CERTI</v>
      </c>
    </row>
    <row r="305" spans="1:27" ht="15" x14ac:dyDescent="0.25">
      <c r="A305" s="2">
        <v>300</v>
      </c>
      <c r="B305" s="39">
        <v>925360231</v>
      </c>
      <c r="C305" s="28" t="str">
        <f>HYPERLINK("https://pld.live/RapDetail.aspx?STONELIST=925360231","DNA")</f>
        <v>DNA</v>
      </c>
      <c r="D305" s="18" t="s">
        <v>3658</v>
      </c>
      <c r="E305" s="18" t="s">
        <v>5128</v>
      </c>
      <c r="F305" s="2" t="s">
        <v>5597</v>
      </c>
      <c r="G305" s="2" t="s">
        <v>861</v>
      </c>
      <c r="H305" s="14">
        <v>2.0499999999999998</v>
      </c>
      <c r="I305" s="2" t="s">
        <v>4761</v>
      </c>
      <c r="J305" s="2" t="s">
        <v>13</v>
      </c>
      <c r="K305" s="2" t="s">
        <v>5221</v>
      </c>
      <c r="L305" s="2" t="s">
        <v>5221</v>
      </c>
      <c r="M305" s="2" t="s">
        <v>5221</v>
      </c>
      <c r="N305" s="2" t="s">
        <v>2317</v>
      </c>
      <c r="O305" s="14">
        <v>19000</v>
      </c>
      <c r="P305" s="14">
        <v>98.77</v>
      </c>
      <c r="Q305" s="14">
        <v>233.7</v>
      </c>
      <c r="R305" s="14">
        <v>479.09</v>
      </c>
      <c r="S305" s="2" t="s">
        <v>3350</v>
      </c>
      <c r="T305" s="2">
        <v>1</v>
      </c>
      <c r="U305" s="2">
        <v>60.7</v>
      </c>
      <c r="V305" s="2">
        <v>59</v>
      </c>
      <c r="W305" s="2" t="s">
        <v>7862</v>
      </c>
      <c r="X305" s="2" t="s">
        <v>5405</v>
      </c>
      <c r="Y305" s="2">
        <v>38950</v>
      </c>
      <c r="Z305" s="19" t="str">
        <f>HYPERLINK("https://ssdweb.co/ssdweb/hd/Vision360.html?d=925360231&amp;zoomslide=1&amp;z=1925360231&amp;ISCONFIRM=0","VIDEO")</f>
        <v>VIDEO</v>
      </c>
      <c r="AA305" s="19" t="str">
        <f>HYPERLINK("https://ssdweb.co/ssdweb/CERTH/1489288001.pdf","CERTI")</f>
        <v>CERTI</v>
      </c>
    </row>
    <row r="306" spans="1:27" ht="15" x14ac:dyDescent="0.25">
      <c r="A306" s="2">
        <v>301</v>
      </c>
      <c r="B306" s="39">
        <v>821115888</v>
      </c>
      <c r="C306" s="28" t="str">
        <f>HYPERLINK("https://pld.live/RapDetail.aspx?STONELIST=821115888","DNA")</f>
        <v>DNA</v>
      </c>
      <c r="D306" s="18" t="s">
        <v>3658</v>
      </c>
      <c r="E306" s="18" t="s">
        <v>2186</v>
      </c>
      <c r="F306" s="2" t="s">
        <v>7987</v>
      </c>
      <c r="G306" s="2" t="s">
        <v>861</v>
      </c>
      <c r="H306" s="14">
        <v>2.04</v>
      </c>
      <c r="I306" s="2" t="s">
        <v>4699</v>
      </c>
      <c r="J306" s="2" t="s">
        <v>5144</v>
      </c>
      <c r="K306" s="2" t="s">
        <v>3390</v>
      </c>
      <c r="L306" s="2" t="s">
        <v>5221</v>
      </c>
      <c r="M306" s="2" t="s">
        <v>5221</v>
      </c>
      <c r="N306" s="2" t="s">
        <v>2317</v>
      </c>
      <c r="O306" s="14">
        <v>15000</v>
      </c>
      <c r="P306" s="14">
        <v>99.1</v>
      </c>
      <c r="Q306" s="14">
        <v>135</v>
      </c>
      <c r="R306" s="14">
        <v>275.39999999999998</v>
      </c>
      <c r="S306" s="2" t="s">
        <v>2628</v>
      </c>
      <c r="T306" s="2">
        <v>1.01</v>
      </c>
      <c r="U306" s="2">
        <v>62.1</v>
      </c>
      <c r="V306" s="2">
        <v>58</v>
      </c>
      <c r="W306" s="2" t="s">
        <v>7862</v>
      </c>
      <c r="X306" s="2" t="s">
        <v>5405</v>
      </c>
      <c r="Y306" s="2">
        <v>30600</v>
      </c>
      <c r="Z306" s="19" t="str">
        <f>HYPERLINK("https://ssdweb.co/ssdweb/hd/Vision360.html?d=821115888&amp;zoomslide=1&amp;z=1821115888&amp;ISCONFIRM=0","VIDEO")</f>
        <v>VIDEO</v>
      </c>
      <c r="AA306" s="19" t="str">
        <f>HYPERLINK("https://ssdweb.co/ssdweb/CERTH/647475804.pdf","CERTI")</f>
        <v>CERTI</v>
      </c>
    </row>
    <row r="307" spans="1:27" ht="15" x14ac:dyDescent="0.25">
      <c r="A307" s="2">
        <v>302</v>
      </c>
      <c r="B307" s="39">
        <v>926540069</v>
      </c>
      <c r="C307" s="28" t="str">
        <f>HYPERLINK("https://pld.live/RapDetail.aspx?STONELIST=926540069","DNA")</f>
        <v>DNA</v>
      </c>
      <c r="D307" s="18" t="s">
        <v>3658</v>
      </c>
      <c r="E307" s="18" t="s">
        <v>2186</v>
      </c>
      <c r="F307" s="2" t="s">
        <v>7987</v>
      </c>
      <c r="G307" s="2" t="s">
        <v>861</v>
      </c>
      <c r="H307" s="14">
        <v>2.04</v>
      </c>
      <c r="I307" s="2" t="s">
        <v>1066</v>
      </c>
      <c r="J307" s="2" t="s">
        <v>13</v>
      </c>
      <c r="K307" s="2" t="s">
        <v>3390</v>
      </c>
      <c r="L307" s="2" t="s">
        <v>5221</v>
      </c>
      <c r="M307" s="2" t="s">
        <v>5221</v>
      </c>
      <c r="N307" s="2" t="s">
        <v>924</v>
      </c>
      <c r="O307" s="14">
        <v>5400</v>
      </c>
      <c r="P307" s="14">
        <v>94.44</v>
      </c>
      <c r="Q307" s="14">
        <v>300.24</v>
      </c>
      <c r="R307" s="14">
        <v>612.49</v>
      </c>
      <c r="S307" s="2" t="s">
        <v>703</v>
      </c>
      <c r="T307" s="2">
        <v>1</v>
      </c>
      <c r="U307" s="2">
        <v>62</v>
      </c>
      <c r="V307" s="2">
        <v>57</v>
      </c>
      <c r="W307" s="2" t="s">
        <v>7862</v>
      </c>
      <c r="X307" s="2" t="s">
        <v>5405</v>
      </c>
      <c r="Y307" s="2">
        <v>11016</v>
      </c>
      <c r="Z307" s="19" t="str">
        <f>HYPERLINK("https://ssdweb.co/ssdweb/hd/Vision360.html?d=926540069&amp;zoomslide=1&amp;z=1926540069&amp;ISCONFIRM=0","VIDEO")</f>
        <v>VIDEO</v>
      </c>
      <c r="AA307" s="19" t="str">
        <f>HYPERLINK("https://ssdweb.co/ssdweb/CERTH/651466435.pdf","CERTI")</f>
        <v>CERTI</v>
      </c>
    </row>
    <row r="308" spans="1:27" ht="15" x14ac:dyDescent="0.25">
      <c r="A308" s="2">
        <v>303</v>
      </c>
      <c r="B308" s="39">
        <v>941400472</v>
      </c>
      <c r="C308" s="28" t="str">
        <f>HYPERLINK("https://pld.live/RapDetail.aspx?STONELIST=941400472","DNA")</f>
        <v>DNA</v>
      </c>
      <c r="D308" s="18" t="s">
        <v>3658</v>
      </c>
      <c r="E308" s="18" t="s">
        <v>5128</v>
      </c>
      <c r="F308" s="2" t="s">
        <v>7987</v>
      </c>
      <c r="G308" s="2" t="s">
        <v>861</v>
      </c>
      <c r="H308" s="14">
        <v>2.0299999999999998</v>
      </c>
      <c r="I308" s="2" t="s">
        <v>267</v>
      </c>
      <c r="J308" s="2" t="s">
        <v>3942</v>
      </c>
      <c r="K308" s="2" t="s">
        <v>3390</v>
      </c>
      <c r="L308" s="2" t="s">
        <v>5221</v>
      </c>
      <c r="M308" s="2" t="s">
        <v>5221</v>
      </c>
      <c r="N308" s="2" t="s">
        <v>2317</v>
      </c>
      <c r="O308" s="14">
        <v>23500</v>
      </c>
      <c r="P308" s="14">
        <v>99.23</v>
      </c>
      <c r="Q308" s="14">
        <v>180.95</v>
      </c>
      <c r="R308" s="14">
        <v>367.33</v>
      </c>
      <c r="S308" s="2" t="s">
        <v>1996</v>
      </c>
      <c r="T308" s="2">
        <v>1</v>
      </c>
      <c r="U308" s="2">
        <v>60.3</v>
      </c>
      <c r="V308" s="2">
        <v>59</v>
      </c>
      <c r="W308" s="2" t="s">
        <v>7862</v>
      </c>
      <c r="X308" s="2" t="s">
        <v>5405</v>
      </c>
      <c r="Y308" s="2">
        <v>47705</v>
      </c>
      <c r="Z308" s="19" t="str">
        <f>HYPERLINK("https://ssdweb.co/ssdweb/hd/Vision360.html?d=941400472&amp;zoomslide=1&amp;z=1941400472&amp;ISCONFIRM=0","VIDEO")</f>
        <v>VIDEO</v>
      </c>
      <c r="AA308" s="19" t="str">
        <f>HYPERLINK("https://ssdweb.co/ssdweb/CERTH/687591662.pdf","CERTI")</f>
        <v>CERTI</v>
      </c>
    </row>
    <row r="309" spans="1:27" ht="15" x14ac:dyDescent="0.25">
      <c r="A309" s="2">
        <v>304</v>
      </c>
      <c r="B309" s="39">
        <v>941430230</v>
      </c>
      <c r="C309" s="28" t="str">
        <f>HYPERLINK("https://pld.live/RapDetail.aspx?STONELIST=941430230","DNA")</f>
        <v>DNA</v>
      </c>
      <c r="D309" s="18" t="s">
        <v>3658</v>
      </c>
      <c r="E309" s="18" t="s">
        <v>5128</v>
      </c>
      <c r="F309" s="2" t="s">
        <v>7987</v>
      </c>
      <c r="G309" s="2" t="s">
        <v>861</v>
      </c>
      <c r="H309" s="14">
        <v>2.0299999999999998</v>
      </c>
      <c r="I309" s="2" t="s">
        <v>267</v>
      </c>
      <c r="J309" s="2" t="s">
        <v>3942</v>
      </c>
      <c r="K309" s="2" t="s">
        <v>3390</v>
      </c>
      <c r="L309" s="2" t="s">
        <v>5221</v>
      </c>
      <c r="M309" s="2" t="s">
        <v>5221</v>
      </c>
      <c r="N309" s="2" t="s">
        <v>2317</v>
      </c>
      <c r="O309" s="14">
        <v>23500</v>
      </c>
      <c r="P309" s="14">
        <v>99.23</v>
      </c>
      <c r="Q309" s="14">
        <v>180.95</v>
      </c>
      <c r="R309" s="14">
        <v>367.33</v>
      </c>
      <c r="S309" s="2" t="s">
        <v>6222</v>
      </c>
      <c r="T309" s="2">
        <v>1.01</v>
      </c>
      <c r="U309" s="2">
        <v>61.3</v>
      </c>
      <c r="V309" s="2">
        <v>58</v>
      </c>
      <c r="W309" s="2" t="s">
        <v>7862</v>
      </c>
      <c r="X309" s="2" t="s">
        <v>5405</v>
      </c>
      <c r="Y309" s="2">
        <v>47705</v>
      </c>
      <c r="Z309" s="19" t="str">
        <f>HYPERLINK("https://ssdweb.co/ssdweb/hd/Vision360.html?d=941430230&amp;zoomslide=1&amp;z=1941430230&amp;ISCONFIRM=0","VIDEO")</f>
        <v>VIDEO</v>
      </c>
      <c r="AA309" s="19" t="str">
        <f>HYPERLINK("https://ssdweb.co/ssdweb/CERTH/689543241.pdf","CERTI")</f>
        <v>CERTI</v>
      </c>
    </row>
    <row r="310" spans="1:27" ht="15" x14ac:dyDescent="0.25">
      <c r="A310" s="2">
        <v>305</v>
      </c>
      <c r="B310" s="39">
        <v>941420559</v>
      </c>
      <c r="C310" s="28" t="str">
        <f>HYPERLINK("https://pld.live/RapDetail.aspx?STONELIST=941420559","DNA")</f>
        <v>DNA</v>
      </c>
      <c r="D310" s="18" t="s">
        <v>3658</v>
      </c>
      <c r="E310" s="18" t="s">
        <v>5128</v>
      </c>
      <c r="F310" s="2" t="s">
        <v>7987</v>
      </c>
      <c r="G310" s="2" t="s">
        <v>861</v>
      </c>
      <c r="H310" s="14">
        <v>2.0299999999999998</v>
      </c>
      <c r="I310" s="2" t="s">
        <v>267</v>
      </c>
      <c r="J310" s="2" t="s">
        <v>3942</v>
      </c>
      <c r="K310" s="2" t="s">
        <v>3390</v>
      </c>
      <c r="L310" s="2" t="s">
        <v>5221</v>
      </c>
      <c r="M310" s="2" t="s">
        <v>5221</v>
      </c>
      <c r="N310" s="2" t="s">
        <v>2317</v>
      </c>
      <c r="O310" s="14">
        <v>23500</v>
      </c>
      <c r="P310" s="14">
        <v>99.23</v>
      </c>
      <c r="Q310" s="14">
        <v>180.95</v>
      </c>
      <c r="R310" s="14">
        <v>367.33</v>
      </c>
      <c r="S310" s="2" t="s">
        <v>5476</v>
      </c>
      <c r="T310" s="2">
        <v>1.01</v>
      </c>
      <c r="U310" s="2">
        <v>61.1</v>
      </c>
      <c r="V310" s="2">
        <v>57</v>
      </c>
      <c r="W310" s="2" t="s">
        <v>7862</v>
      </c>
      <c r="X310" s="2" t="s">
        <v>5405</v>
      </c>
      <c r="Y310" s="2">
        <v>47705</v>
      </c>
      <c r="Z310" s="19" t="str">
        <f>HYPERLINK("https://ssdweb.co/ssdweb/hd/Vision360.html?d=941420559&amp;zoomslide=1&amp;z=1941420559&amp;ISCONFIRM=0","VIDEO")</f>
        <v>VIDEO</v>
      </c>
      <c r="AA310" s="19" t="str">
        <f>HYPERLINK("https://ssdweb.co/ssdweb/CERTH/689543238.pdf","CERTI")</f>
        <v>CERTI</v>
      </c>
    </row>
    <row r="311" spans="1:27" ht="15" x14ac:dyDescent="0.25">
      <c r="A311" s="2">
        <v>306</v>
      </c>
      <c r="B311" s="39">
        <v>941400429</v>
      </c>
      <c r="C311" s="28" t="str">
        <f>HYPERLINK("https://pld.live/RapDetail.aspx?STONELIST=941400429","DNA")</f>
        <v>DNA</v>
      </c>
      <c r="D311" s="18" t="s">
        <v>3658</v>
      </c>
      <c r="E311" s="18" t="s">
        <v>5128</v>
      </c>
      <c r="F311" s="2" t="s">
        <v>7987</v>
      </c>
      <c r="G311" s="2" t="s">
        <v>861</v>
      </c>
      <c r="H311" s="14">
        <v>2.0299999999999998</v>
      </c>
      <c r="I311" s="2" t="s">
        <v>267</v>
      </c>
      <c r="J311" s="2" t="s">
        <v>3942</v>
      </c>
      <c r="K311" s="2" t="s">
        <v>3390</v>
      </c>
      <c r="L311" s="2" t="s">
        <v>5221</v>
      </c>
      <c r="M311" s="2" t="s">
        <v>5221</v>
      </c>
      <c r="N311" s="2" t="s">
        <v>2317</v>
      </c>
      <c r="O311" s="14">
        <v>23500</v>
      </c>
      <c r="P311" s="14">
        <v>99.23</v>
      </c>
      <c r="Q311" s="14">
        <v>180.95</v>
      </c>
      <c r="R311" s="14">
        <v>367.33</v>
      </c>
      <c r="S311" s="2" t="s">
        <v>2496</v>
      </c>
      <c r="T311" s="2">
        <v>1</v>
      </c>
      <c r="U311" s="2">
        <v>60.6</v>
      </c>
      <c r="V311" s="2">
        <v>59</v>
      </c>
      <c r="W311" s="2" t="s">
        <v>7862</v>
      </c>
      <c r="X311" s="2" t="s">
        <v>5405</v>
      </c>
      <c r="Y311" s="2">
        <v>47705</v>
      </c>
      <c r="Z311" s="19" t="str">
        <f>HYPERLINK("https://ssdweb.co/ssdweb/hd/Vision360.html?d=941400429&amp;zoomslide=1&amp;z=1941400429&amp;ISCONFIRM=0","VIDEO")</f>
        <v>VIDEO</v>
      </c>
      <c r="AA311" s="19" t="str">
        <f>HYPERLINK("https://ssdweb.co/ssdweb/CERTH/687591687.pdf","CERTI")</f>
        <v>CERTI</v>
      </c>
    </row>
    <row r="312" spans="1:27" ht="15" x14ac:dyDescent="0.25">
      <c r="A312" s="2">
        <v>307</v>
      </c>
      <c r="B312" s="39">
        <v>9415200005</v>
      </c>
      <c r="C312" s="28" t="str">
        <f>HYPERLINK("https://pld.live/RapDetail.aspx?STONELIST=9415200005","DNA")</f>
        <v>DNA</v>
      </c>
      <c r="D312" s="18" t="s">
        <v>3658</v>
      </c>
      <c r="E312" s="18" t="s">
        <v>2186</v>
      </c>
      <c r="F312" s="2" t="s">
        <v>7987</v>
      </c>
      <c r="G312" s="2" t="s">
        <v>861</v>
      </c>
      <c r="H312" s="14">
        <v>2.0299999999999998</v>
      </c>
      <c r="I312" s="2" t="s">
        <v>267</v>
      </c>
      <c r="J312" s="2" t="s">
        <v>3942</v>
      </c>
      <c r="K312" s="2" t="s">
        <v>3390</v>
      </c>
      <c r="L312" s="2" t="s">
        <v>5221</v>
      </c>
      <c r="M312" s="2" t="s">
        <v>5221</v>
      </c>
      <c r="N312" s="2" t="s">
        <v>2317</v>
      </c>
      <c r="O312" s="14">
        <v>23500</v>
      </c>
      <c r="P312" s="14">
        <v>99.23</v>
      </c>
      <c r="Q312" s="14">
        <v>180.95</v>
      </c>
      <c r="R312" s="14">
        <v>367.33</v>
      </c>
      <c r="S312" s="2" t="s">
        <v>3474</v>
      </c>
      <c r="T312" s="2">
        <v>1</v>
      </c>
      <c r="U312" s="2">
        <v>61.5</v>
      </c>
      <c r="V312" s="2">
        <v>58</v>
      </c>
      <c r="W312" s="2" t="s">
        <v>7862</v>
      </c>
      <c r="X312" s="2" t="s">
        <v>5405</v>
      </c>
      <c r="Y312" s="2">
        <v>47705</v>
      </c>
      <c r="Z312" s="19" t="str">
        <f>HYPERLINK("https://ssdweb.co/ssdweb/hd/Vision360.html?d=9415200005&amp;zoomslide=1&amp;z=19415200005&amp;ISCONFIRM=0","VIDEO")</f>
        <v>VIDEO</v>
      </c>
      <c r="AA312" s="19" t="str">
        <f>HYPERLINK("https://ssdweb.co/ssdweb/CERTH/694579637.pdf","CERTI")</f>
        <v>CERTI</v>
      </c>
    </row>
    <row r="313" spans="1:27" ht="15" x14ac:dyDescent="0.25">
      <c r="A313" s="2">
        <v>308</v>
      </c>
      <c r="B313" s="39">
        <v>941400469</v>
      </c>
      <c r="C313" s="28" t="str">
        <f>HYPERLINK("https://pld.live/RapDetail.aspx?STONELIST=941400469","DNA")</f>
        <v>DNA</v>
      </c>
      <c r="D313" s="18" t="s">
        <v>3658</v>
      </c>
      <c r="E313" s="18" t="s">
        <v>5128</v>
      </c>
      <c r="F313" s="2" t="s">
        <v>7987</v>
      </c>
      <c r="G313" s="2" t="s">
        <v>861</v>
      </c>
      <c r="H313" s="14">
        <v>2.0299999999999998</v>
      </c>
      <c r="I313" s="2" t="s">
        <v>267</v>
      </c>
      <c r="J313" s="2" t="s">
        <v>13</v>
      </c>
      <c r="K313" s="2" t="s">
        <v>3390</v>
      </c>
      <c r="L313" s="2" t="s">
        <v>5221</v>
      </c>
      <c r="M313" s="2" t="s">
        <v>5221</v>
      </c>
      <c r="N313" s="2" t="s">
        <v>2317</v>
      </c>
      <c r="O313" s="14">
        <v>20500</v>
      </c>
      <c r="P313" s="14">
        <v>99.18</v>
      </c>
      <c r="Q313" s="14">
        <v>168.1</v>
      </c>
      <c r="R313" s="14">
        <v>341.24</v>
      </c>
      <c r="S313" s="2" t="s">
        <v>3797</v>
      </c>
      <c r="T313" s="2">
        <v>1</v>
      </c>
      <c r="U313" s="2">
        <v>60</v>
      </c>
      <c r="V313" s="2">
        <v>59</v>
      </c>
      <c r="W313" s="2" t="s">
        <v>7862</v>
      </c>
      <c r="X313" s="2" t="s">
        <v>5405</v>
      </c>
      <c r="Y313" s="2">
        <v>41615</v>
      </c>
      <c r="Z313" s="19" t="str">
        <f>HYPERLINK("https://ssdweb.co/ssdweb/hd/Vision360.html?d=941400469&amp;zoomslide=1&amp;z=1941400469&amp;ISCONFIRM=0","VIDEO")</f>
        <v>VIDEO</v>
      </c>
      <c r="AA313" s="19" t="str">
        <f>HYPERLINK("https://ssdweb.co/ssdweb/CERTH/687591660.pdf","CERTI")</f>
        <v>CERTI</v>
      </c>
    </row>
    <row r="314" spans="1:27" ht="15" x14ac:dyDescent="0.25">
      <c r="A314" s="2">
        <v>309</v>
      </c>
      <c r="B314" s="39">
        <v>941400415</v>
      </c>
      <c r="C314" s="28" t="str">
        <f>HYPERLINK("https://pld.live/RapDetail.aspx?STONELIST=941400415","DNA")</f>
        <v>DNA</v>
      </c>
      <c r="D314" s="18" t="s">
        <v>3658</v>
      </c>
      <c r="E314" s="18" t="s">
        <v>5128</v>
      </c>
      <c r="F314" s="2" t="s">
        <v>7987</v>
      </c>
      <c r="G314" s="2" t="s">
        <v>861</v>
      </c>
      <c r="H314" s="14">
        <v>2.0299999999999998</v>
      </c>
      <c r="I314" s="2" t="s">
        <v>267</v>
      </c>
      <c r="J314" s="2" t="s">
        <v>13</v>
      </c>
      <c r="K314" s="2" t="s">
        <v>3390</v>
      </c>
      <c r="L314" s="2" t="s">
        <v>5221</v>
      </c>
      <c r="M314" s="2" t="s">
        <v>5221</v>
      </c>
      <c r="N314" s="2" t="s">
        <v>2317</v>
      </c>
      <c r="O314" s="14">
        <v>20500</v>
      </c>
      <c r="P314" s="14">
        <v>99.18</v>
      </c>
      <c r="Q314" s="14">
        <v>168.1</v>
      </c>
      <c r="R314" s="14">
        <v>341.24</v>
      </c>
      <c r="S314" s="2" t="s">
        <v>5360</v>
      </c>
      <c r="T314" s="2">
        <v>1</v>
      </c>
      <c r="U314" s="2">
        <v>60.8</v>
      </c>
      <c r="V314" s="2">
        <v>58</v>
      </c>
      <c r="W314" s="2" t="s">
        <v>7862</v>
      </c>
      <c r="X314" s="2" t="s">
        <v>5405</v>
      </c>
      <c r="Y314" s="2">
        <v>41615</v>
      </c>
      <c r="Z314" s="19" t="str">
        <f>HYPERLINK("https://ssdweb.co/ssdweb/hd/Vision360.html?d=941400415&amp;zoomslide=1&amp;z=1941400415&amp;ISCONFIRM=0","VIDEO")</f>
        <v>VIDEO</v>
      </c>
      <c r="AA314" s="19" t="str">
        <f>HYPERLINK("https://ssdweb.co/ssdweb/CERTH/687591676.pdf","CERTI")</f>
        <v>CERTI</v>
      </c>
    </row>
    <row r="315" spans="1:27" ht="15" x14ac:dyDescent="0.25">
      <c r="A315" s="2">
        <v>310</v>
      </c>
      <c r="B315" s="39">
        <v>941400341</v>
      </c>
      <c r="C315" s="28" t="str">
        <f>HYPERLINK("https://pld.live/RapDetail.aspx?STONELIST=941400341","DNA")</f>
        <v>DNA</v>
      </c>
      <c r="D315" s="18" t="s">
        <v>3658</v>
      </c>
      <c r="E315" s="18" t="s">
        <v>5128</v>
      </c>
      <c r="F315" s="2" t="s">
        <v>7987</v>
      </c>
      <c r="G315" s="2" t="s">
        <v>861</v>
      </c>
      <c r="H315" s="14">
        <v>2.0299999999999998</v>
      </c>
      <c r="I315" s="2" t="s">
        <v>267</v>
      </c>
      <c r="J315" s="2" t="s">
        <v>13</v>
      </c>
      <c r="K315" s="2" t="s">
        <v>3390</v>
      </c>
      <c r="L315" s="2" t="s">
        <v>5221</v>
      </c>
      <c r="M315" s="2" t="s">
        <v>5221</v>
      </c>
      <c r="N315" s="2" t="s">
        <v>2317</v>
      </c>
      <c r="O315" s="14">
        <v>20500</v>
      </c>
      <c r="P315" s="14">
        <v>99.18</v>
      </c>
      <c r="Q315" s="14">
        <v>168.1</v>
      </c>
      <c r="R315" s="14">
        <v>341.24</v>
      </c>
      <c r="S315" s="2" t="s">
        <v>5079</v>
      </c>
      <c r="T315" s="2">
        <v>1</v>
      </c>
      <c r="U315" s="2">
        <v>61.7</v>
      </c>
      <c r="V315" s="2">
        <v>57</v>
      </c>
      <c r="W315" s="2" t="s">
        <v>7862</v>
      </c>
      <c r="X315" s="2" t="s">
        <v>5405</v>
      </c>
      <c r="Y315" s="2">
        <v>41615</v>
      </c>
      <c r="Z315" s="19" t="str">
        <f>HYPERLINK("https://ssdweb.co/ssdweb/hd/Vision360.html?d=941400341&amp;zoomslide=1&amp;z=1941400341&amp;ISCONFIRM=0","VIDEO")</f>
        <v>VIDEO</v>
      </c>
      <c r="AA315" s="19" t="str">
        <f>HYPERLINK("https://ssdweb.co/ssdweb/CERTH/687591641.pdf","CERTI")</f>
        <v>CERTI</v>
      </c>
    </row>
    <row r="316" spans="1:27" ht="15" x14ac:dyDescent="0.25">
      <c r="A316" s="2">
        <v>311</v>
      </c>
      <c r="B316" s="39">
        <v>941400304</v>
      </c>
      <c r="C316" s="28" t="str">
        <f>HYPERLINK("https://pld.live/RapDetail.aspx?STONELIST=941400304","DNA")</f>
        <v>DNA</v>
      </c>
      <c r="D316" s="18" t="s">
        <v>3658</v>
      </c>
      <c r="E316" s="18" t="s">
        <v>5128</v>
      </c>
      <c r="F316" s="2" t="s">
        <v>7987</v>
      </c>
      <c r="G316" s="2" t="s">
        <v>861</v>
      </c>
      <c r="H316" s="14">
        <v>2.0299999999999998</v>
      </c>
      <c r="I316" s="2" t="s">
        <v>4761</v>
      </c>
      <c r="J316" s="2" t="s">
        <v>3942</v>
      </c>
      <c r="K316" s="2" t="s">
        <v>3390</v>
      </c>
      <c r="L316" s="2" t="s">
        <v>5221</v>
      </c>
      <c r="M316" s="2" t="s">
        <v>5221</v>
      </c>
      <c r="N316" s="2" t="s">
        <v>2317</v>
      </c>
      <c r="O316" s="14">
        <v>21000</v>
      </c>
      <c r="P316" s="14">
        <v>99.18</v>
      </c>
      <c r="Q316" s="14">
        <v>172.2</v>
      </c>
      <c r="R316" s="14">
        <v>349.57</v>
      </c>
      <c r="S316" s="2" t="s">
        <v>876</v>
      </c>
      <c r="T316" s="2">
        <v>1</v>
      </c>
      <c r="U316" s="2">
        <v>62.1</v>
      </c>
      <c r="V316" s="2">
        <v>58</v>
      </c>
      <c r="W316" s="2" t="s">
        <v>7862</v>
      </c>
      <c r="X316" s="2" t="s">
        <v>5405</v>
      </c>
      <c r="Y316" s="2">
        <v>42630</v>
      </c>
      <c r="Z316" s="19" t="str">
        <f>HYPERLINK("https://ssdweb.co/ssdweb/hd/Vision360.html?d=941400304&amp;zoomslide=1&amp;z=1941400304&amp;ISCONFIRM=0","VIDEO")</f>
        <v>VIDEO</v>
      </c>
      <c r="AA316" s="19" t="str">
        <f>HYPERLINK("https://ssdweb.co/ssdweb/CERTH/687591658.pdf","CERTI")</f>
        <v>CERTI</v>
      </c>
    </row>
    <row r="317" spans="1:27" ht="15" x14ac:dyDescent="0.25">
      <c r="A317" s="2">
        <v>312</v>
      </c>
      <c r="B317" s="39">
        <v>941430411</v>
      </c>
      <c r="C317" s="28" t="str">
        <f>HYPERLINK("https://pld.live/RapDetail.aspx?STONELIST=941430411","DNA")</f>
        <v>DNA</v>
      </c>
      <c r="D317" s="18" t="s">
        <v>3658</v>
      </c>
      <c r="E317" s="18" t="s">
        <v>5128</v>
      </c>
      <c r="F317" s="2" t="s">
        <v>7987</v>
      </c>
      <c r="G317" s="2" t="s">
        <v>861</v>
      </c>
      <c r="H317" s="14">
        <v>2.0299999999999998</v>
      </c>
      <c r="I317" s="2" t="s">
        <v>4761</v>
      </c>
      <c r="J317" s="2" t="s">
        <v>3942</v>
      </c>
      <c r="K317" s="2" t="s">
        <v>3390</v>
      </c>
      <c r="L317" s="2" t="s">
        <v>5221</v>
      </c>
      <c r="M317" s="2" t="s">
        <v>5221</v>
      </c>
      <c r="N317" s="2" t="s">
        <v>2317</v>
      </c>
      <c r="O317" s="14">
        <v>21000</v>
      </c>
      <c r="P317" s="14">
        <v>99.18</v>
      </c>
      <c r="Q317" s="14">
        <v>172.2</v>
      </c>
      <c r="R317" s="14">
        <v>349.57</v>
      </c>
      <c r="S317" s="2" t="s">
        <v>5088</v>
      </c>
      <c r="T317" s="2">
        <v>1.01</v>
      </c>
      <c r="U317" s="2">
        <v>61.9</v>
      </c>
      <c r="V317" s="2">
        <v>57</v>
      </c>
      <c r="W317" s="2" t="s">
        <v>7862</v>
      </c>
      <c r="X317" s="2" t="s">
        <v>5405</v>
      </c>
      <c r="Y317" s="2">
        <v>42630</v>
      </c>
      <c r="Z317" s="19" t="str">
        <f>HYPERLINK("https://ssdweb.co/ssdweb/hd/Vision360.html?d=941430411&amp;zoomslide=1&amp;z=1941430411&amp;ISCONFIRM=0","VIDEO")</f>
        <v>VIDEO</v>
      </c>
      <c r="AA317" s="19" t="str">
        <f>HYPERLINK("https://ssdweb.co/ssdweb/CERTH/689543242.pdf","CERTI")</f>
        <v>CERTI</v>
      </c>
    </row>
    <row r="318" spans="1:27" ht="15" x14ac:dyDescent="0.25">
      <c r="A318" s="2">
        <v>313</v>
      </c>
      <c r="B318" s="39">
        <v>941420389</v>
      </c>
      <c r="C318" s="28" t="str">
        <f>HYPERLINK("https://pld.live/RapDetail.aspx?STONELIST=941420389","DNA")</f>
        <v>DNA</v>
      </c>
      <c r="D318" s="18" t="s">
        <v>3658</v>
      </c>
      <c r="E318" s="18" t="s">
        <v>5128</v>
      </c>
      <c r="F318" s="2" t="s">
        <v>7987</v>
      </c>
      <c r="G318" s="2" t="s">
        <v>861</v>
      </c>
      <c r="H318" s="14">
        <v>2.0299999999999998</v>
      </c>
      <c r="I318" s="2" t="s">
        <v>4761</v>
      </c>
      <c r="J318" s="2" t="s">
        <v>3942</v>
      </c>
      <c r="K318" s="2" t="s">
        <v>3390</v>
      </c>
      <c r="L318" s="2" t="s">
        <v>5221</v>
      </c>
      <c r="M318" s="2" t="s">
        <v>5221</v>
      </c>
      <c r="N318" s="2" t="s">
        <v>2317</v>
      </c>
      <c r="O318" s="14">
        <v>21000</v>
      </c>
      <c r="P318" s="14">
        <v>99.18</v>
      </c>
      <c r="Q318" s="14">
        <v>172.2</v>
      </c>
      <c r="R318" s="14">
        <v>349.57</v>
      </c>
      <c r="S318" s="2" t="s">
        <v>3922</v>
      </c>
      <c r="T318" s="2">
        <v>1</v>
      </c>
      <c r="U318" s="2">
        <v>62.1</v>
      </c>
      <c r="V318" s="2">
        <v>56</v>
      </c>
      <c r="W318" s="2" t="s">
        <v>7862</v>
      </c>
      <c r="X318" s="2" t="s">
        <v>5405</v>
      </c>
      <c r="Y318" s="2">
        <v>42630</v>
      </c>
      <c r="Z318" s="19" t="str">
        <f>HYPERLINK("https://ssdweb.co/ssdweb/hd/Vision360.html?d=941420389&amp;zoomslide=1&amp;z=1941420389&amp;ISCONFIRM=0","VIDEO")</f>
        <v>VIDEO</v>
      </c>
      <c r="AA318" s="19" t="str">
        <f>HYPERLINK("https://ssdweb.co/ssdweb/CERTH/689543237.pdf","CERTI")</f>
        <v>CERTI</v>
      </c>
    </row>
    <row r="319" spans="1:27" ht="15" x14ac:dyDescent="0.25">
      <c r="A319" s="2">
        <v>314</v>
      </c>
      <c r="B319" s="39">
        <v>927000557</v>
      </c>
      <c r="C319" s="28" t="str">
        <f>HYPERLINK("https://pld.live/RapDetail.aspx?STONELIST=927000557","DNA")</f>
        <v>DNA</v>
      </c>
      <c r="D319" s="18" t="s">
        <v>3658</v>
      </c>
      <c r="E319" s="18" t="s">
        <v>2186</v>
      </c>
      <c r="F319" s="2" t="s">
        <v>7987</v>
      </c>
      <c r="G319" s="2" t="s">
        <v>861</v>
      </c>
      <c r="H319" s="14">
        <v>2.0299999999999998</v>
      </c>
      <c r="I319" s="2" t="s">
        <v>4761</v>
      </c>
      <c r="J319" s="2" t="s">
        <v>13</v>
      </c>
      <c r="K319" s="2" t="s">
        <v>3390</v>
      </c>
      <c r="L319" s="2" t="s">
        <v>5221</v>
      </c>
      <c r="M319" s="2" t="s">
        <v>5221</v>
      </c>
      <c r="N319" s="2" t="s">
        <v>2317</v>
      </c>
      <c r="O319" s="14">
        <v>19000</v>
      </c>
      <c r="P319" s="14">
        <v>99.22</v>
      </c>
      <c r="Q319" s="14">
        <v>148.19999999999999</v>
      </c>
      <c r="R319" s="14">
        <v>300.85000000000002</v>
      </c>
      <c r="S319" s="2" t="s">
        <v>2901</v>
      </c>
      <c r="T319" s="2">
        <v>1</v>
      </c>
      <c r="U319" s="2">
        <v>61.5</v>
      </c>
      <c r="V319" s="2">
        <v>59</v>
      </c>
      <c r="W319" s="2" t="s">
        <v>7862</v>
      </c>
      <c r="X319" s="2" t="s">
        <v>5405</v>
      </c>
      <c r="Y319" s="2">
        <v>38570</v>
      </c>
      <c r="Z319" s="19" t="str">
        <f>HYPERLINK("https://ssdweb.co/ssdweb/hd/Vision360.html?d=927000557&amp;zoomslide=1&amp;z=1927000557&amp;ISCONFIRM=0","VIDEO")</f>
        <v>VIDEO</v>
      </c>
      <c r="AA319" s="19" t="str">
        <f>HYPERLINK("https://ssdweb.co/ssdweb/CERTH/662417132.pdf","CERTI")</f>
        <v>CERTI</v>
      </c>
    </row>
    <row r="320" spans="1:27" ht="15" x14ac:dyDescent="0.25">
      <c r="A320" s="2">
        <v>315</v>
      </c>
      <c r="B320" s="39">
        <v>941390199</v>
      </c>
      <c r="C320" s="28" t="str">
        <f>HYPERLINK("https://pld.live/RapDetail.aspx?STONELIST=941390199","DNA")</f>
        <v>DNA</v>
      </c>
      <c r="D320" s="18" t="s">
        <v>3658</v>
      </c>
      <c r="E320" s="18" t="s">
        <v>2186</v>
      </c>
      <c r="F320" s="2" t="s">
        <v>7987</v>
      </c>
      <c r="G320" s="2" t="s">
        <v>861</v>
      </c>
      <c r="H320" s="14">
        <v>2.0299999999999998</v>
      </c>
      <c r="I320" s="2" t="s">
        <v>4761</v>
      </c>
      <c r="J320" s="2" t="s">
        <v>13</v>
      </c>
      <c r="K320" s="2" t="s">
        <v>3390</v>
      </c>
      <c r="L320" s="2" t="s">
        <v>5221</v>
      </c>
      <c r="M320" s="2" t="s">
        <v>5221</v>
      </c>
      <c r="N320" s="2" t="s">
        <v>2317</v>
      </c>
      <c r="O320" s="14">
        <v>19000</v>
      </c>
      <c r="P320" s="14">
        <v>99.21</v>
      </c>
      <c r="Q320" s="14">
        <v>150.1</v>
      </c>
      <c r="R320" s="14">
        <v>304.7</v>
      </c>
      <c r="S320" s="2" t="s">
        <v>574</v>
      </c>
      <c r="T320" s="2">
        <v>1.01</v>
      </c>
      <c r="U320" s="2">
        <v>59.9</v>
      </c>
      <c r="V320" s="2">
        <v>59</v>
      </c>
      <c r="W320" s="2" t="s">
        <v>7862</v>
      </c>
      <c r="X320" s="2" t="s">
        <v>5405</v>
      </c>
      <c r="Y320" s="2">
        <v>38570</v>
      </c>
      <c r="Z320" s="19" t="str">
        <f>HYPERLINK("https://ssdweb.co/ssdweb/hd/Vision360.html?d=941390199&amp;zoomslide=1&amp;z=1941390199&amp;ISCONFIRM=0","VIDEO")</f>
        <v>VIDEO</v>
      </c>
      <c r="AA320" s="19" t="str">
        <f>HYPERLINK("https://ssdweb.co/ssdweb/CERTH/687591654.pdf","CERTI")</f>
        <v>CERTI</v>
      </c>
    </row>
    <row r="321" spans="1:27" ht="15" x14ac:dyDescent="0.25">
      <c r="A321" s="2">
        <v>316</v>
      </c>
      <c r="B321" s="39">
        <v>941390097</v>
      </c>
      <c r="C321" s="28" t="str">
        <f>HYPERLINK("https://pld.live/RapDetail.aspx?STONELIST=941390097","DNA")</f>
        <v>DNA</v>
      </c>
      <c r="D321" s="18" t="s">
        <v>3658</v>
      </c>
      <c r="E321" s="18" t="s">
        <v>2186</v>
      </c>
      <c r="F321" s="2" t="s">
        <v>7987</v>
      </c>
      <c r="G321" s="2" t="s">
        <v>861</v>
      </c>
      <c r="H321" s="14">
        <v>2.0299999999999998</v>
      </c>
      <c r="I321" s="2" t="s">
        <v>4761</v>
      </c>
      <c r="J321" s="2" t="s">
        <v>13</v>
      </c>
      <c r="K321" s="2" t="s">
        <v>3390</v>
      </c>
      <c r="L321" s="2" t="s">
        <v>5221</v>
      </c>
      <c r="M321" s="2" t="s">
        <v>5221</v>
      </c>
      <c r="N321" s="2" t="s">
        <v>2317</v>
      </c>
      <c r="O321" s="14">
        <v>19000</v>
      </c>
      <c r="P321" s="14">
        <v>99.21</v>
      </c>
      <c r="Q321" s="14">
        <v>150.1</v>
      </c>
      <c r="R321" s="14">
        <v>304.7</v>
      </c>
      <c r="S321" s="2" t="s">
        <v>7624</v>
      </c>
      <c r="T321" s="2">
        <v>1</v>
      </c>
      <c r="U321" s="2">
        <v>61.9</v>
      </c>
      <c r="V321" s="2">
        <v>58</v>
      </c>
      <c r="W321" s="2" t="s">
        <v>7862</v>
      </c>
      <c r="X321" s="2" t="s">
        <v>5405</v>
      </c>
      <c r="Y321" s="2">
        <v>38570</v>
      </c>
      <c r="Z321" s="19" t="str">
        <f>HYPERLINK("https://ssdweb.co/ssdweb/hd/Vision360.html?d=941390097&amp;zoomslide=1&amp;z=1941390097&amp;ISCONFIRM=0","VIDEO")</f>
        <v>VIDEO</v>
      </c>
      <c r="AA321" s="19" t="str">
        <f>HYPERLINK("https://ssdweb.co/ssdweb/CERTH/691509959.pdf","CERTI")</f>
        <v>CERTI</v>
      </c>
    </row>
    <row r="322" spans="1:27" ht="15" x14ac:dyDescent="0.25">
      <c r="A322" s="2">
        <v>317</v>
      </c>
      <c r="B322" s="39">
        <v>941450090</v>
      </c>
      <c r="C322" s="28" t="str">
        <f>HYPERLINK("https://pld.live/RapDetail.aspx?STONELIST=941450090","DNA")</f>
        <v>DNA</v>
      </c>
      <c r="D322" s="18" t="s">
        <v>3658</v>
      </c>
      <c r="E322" s="18" t="s">
        <v>2186</v>
      </c>
      <c r="F322" s="2" t="s">
        <v>7987</v>
      </c>
      <c r="G322" s="2" t="s">
        <v>861</v>
      </c>
      <c r="H322" s="14">
        <v>2.0299999999999998</v>
      </c>
      <c r="I322" s="2" t="s">
        <v>4761</v>
      </c>
      <c r="J322" s="2" t="s">
        <v>5144</v>
      </c>
      <c r="K322" s="2" t="s">
        <v>3390</v>
      </c>
      <c r="L322" s="2" t="s">
        <v>5221</v>
      </c>
      <c r="M322" s="2" t="s">
        <v>5221</v>
      </c>
      <c r="N322" s="2" t="s">
        <v>2317</v>
      </c>
      <c r="O322" s="14">
        <v>16000</v>
      </c>
      <c r="P322" s="14">
        <v>99.11</v>
      </c>
      <c r="Q322" s="14">
        <v>142.4</v>
      </c>
      <c r="R322" s="14">
        <v>289.07</v>
      </c>
      <c r="S322" s="2" t="s">
        <v>876</v>
      </c>
      <c r="T322" s="2">
        <v>1</v>
      </c>
      <c r="U322" s="2">
        <v>62.1</v>
      </c>
      <c r="V322" s="2">
        <v>57</v>
      </c>
      <c r="W322" s="2" t="s">
        <v>7862</v>
      </c>
      <c r="X322" s="2" t="s">
        <v>5405</v>
      </c>
      <c r="Y322" s="2">
        <v>32480</v>
      </c>
      <c r="Z322" s="19" t="str">
        <f>HYPERLINK("https://ssdweb.co/ssdweb/hd/Vision360.html?d=941450090&amp;zoomslide=1&amp;z=1941450090&amp;ISCONFIRM=0","VIDEO")</f>
        <v>VIDEO</v>
      </c>
      <c r="AA322" s="19" t="str">
        <f>HYPERLINK("https://ssdweb.co/ssdweb/CERTH/692534103.pdf","CERTI")</f>
        <v>CERTI</v>
      </c>
    </row>
    <row r="323" spans="1:27" ht="15" x14ac:dyDescent="0.25">
      <c r="A323" s="2">
        <v>318</v>
      </c>
      <c r="B323" s="39">
        <v>941420955</v>
      </c>
      <c r="C323" s="28" t="str">
        <f>HYPERLINK("https://pld.live/RapDetail.aspx?STONELIST=941420955","DNA")</f>
        <v>DNA</v>
      </c>
      <c r="D323" s="18" t="s">
        <v>3658</v>
      </c>
      <c r="E323" s="18" t="s">
        <v>5128</v>
      </c>
      <c r="F323" s="2" t="s">
        <v>7987</v>
      </c>
      <c r="G323" s="2" t="s">
        <v>861</v>
      </c>
      <c r="H323" s="14">
        <v>2.02</v>
      </c>
      <c r="I323" s="2" t="s">
        <v>267</v>
      </c>
      <c r="J323" s="2" t="s">
        <v>6555</v>
      </c>
      <c r="K323" s="2" t="s">
        <v>3390</v>
      </c>
      <c r="L323" s="2" t="s">
        <v>5221</v>
      </c>
      <c r="M323" s="2" t="s">
        <v>5221</v>
      </c>
      <c r="N323" s="2" t="s">
        <v>2317</v>
      </c>
      <c r="O323" s="14">
        <v>27500</v>
      </c>
      <c r="P323" s="14">
        <v>98.75</v>
      </c>
      <c r="Q323" s="14">
        <v>343.75</v>
      </c>
      <c r="R323" s="14">
        <v>694.38</v>
      </c>
      <c r="S323" s="2" t="s">
        <v>1728</v>
      </c>
      <c r="T323" s="2">
        <v>1</v>
      </c>
      <c r="U323" s="2">
        <v>61</v>
      </c>
      <c r="V323" s="2">
        <v>59</v>
      </c>
      <c r="W323" s="2" t="s">
        <v>7862</v>
      </c>
      <c r="X323" s="2" t="s">
        <v>5405</v>
      </c>
      <c r="Y323" s="2">
        <v>55550</v>
      </c>
      <c r="Z323" s="19" t="str">
        <f>HYPERLINK("https://ssdweb.co/ssdweb/hd/Vision360.html?d=941420955&amp;zoomslide=1&amp;z=1941420955&amp;ISCONFIRM=0","VIDEO")</f>
        <v>VIDEO</v>
      </c>
      <c r="AA323" s="19" t="str">
        <f>HYPERLINK("https://ssdweb.co/ssdweb/CERTH/691509965.pdf","CERTI")</f>
        <v>CERTI</v>
      </c>
    </row>
    <row r="324" spans="1:27" ht="15" x14ac:dyDescent="0.25">
      <c r="A324" s="2">
        <v>319</v>
      </c>
      <c r="B324" s="39">
        <v>941390263</v>
      </c>
      <c r="C324" s="28" t="str">
        <f>HYPERLINK("https://pld.live/RapDetail.aspx?STONELIST=941390263","DNA")</f>
        <v>DNA</v>
      </c>
      <c r="D324" s="18" t="s">
        <v>3658</v>
      </c>
      <c r="E324" s="18" t="s">
        <v>2186</v>
      </c>
      <c r="F324" s="2" t="s">
        <v>7987</v>
      </c>
      <c r="G324" s="2" t="s">
        <v>861</v>
      </c>
      <c r="H324" s="14">
        <v>2.02</v>
      </c>
      <c r="I324" s="2" t="s">
        <v>267</v>
      </c>
      <c r="J324" s="2" t="s">
        <v>6555</v>
      </c>
      <c r="K324" s="2" t="s">
        <v>3390</v>
      </c>
      <c r="L324" s="2" t="s">
        <v>5221</v>
      </c>
      <c r="M324" s="2" t="s">
        <v>5221</v>
      </c>
      <c r="N324" s="2" t="s">
        <v>2317</v>
      </c>
      <c r="O324" s="14">
        <v>27500</v>
      </c>
      <c r="P324" s="14">
        <v>98.75</v>
      </c>
      <c r="Q324" s="14">
        <v>343.75</v>
      </c>
      <c r="R324" s="14">
        <v>694.38</v>
      </c>
      <c r="S324" s="2" t="s">
        <v>5991</v>
      </c>
      <c r="T324" s="2">
        <v>1</v>
      </c>
      <c r="U324" s="2">
        <v>61.5</v>
      </c>
      <c r="V324" s="2">
        <v>57</v>
      </c>
      <c r="W324" s="2" t="s">
        <v>7862</v>
      </c>
      <c r="X324" s="2" t="s">
        <v>5405</v>
      </c>
      <c r="Y324" s="2">
        <v>55550</v>
      </c>
      <c r="Z324" s="19" t="str">
        <f>HYPERLINK("https://ssdweb.co/ssdweb/hd/Vision360.html?d=941390263&amp;zoomslide=1&amp;z=1941390263&amp;ISCONFIRM=0","VIDEO")</f>
        <v>VIDEO</v>
      </c>
      <c r="AA324" s="19" t="str">
        <f>HYPERLINK("https://ssdweb.co/ssdweb/CERTH/689543228.pdf","CERTI")</f>
        <v>CERTI</v>
      </c>
    </row>
    <row r="325" spans="1:27" ht="15" x14ac:dyDescent="0.25">
      <c r="A325" s="2">
        <v>320</v>
      </c>
      <c r="B325" s="39">
        <v>941390250</v>
      </c>
      <c r="C325" s="28" t="str">
        <f>HYPERLINK("https://pld.live/RapDetail.aspx?STONELIST=941390250","DNA")</f>
        <v>DNA</v>
      </c>
      <c r="D325" s="18" t="s">
        <v>3658</v>
      </c>
      <c r="E325" s="18" t="s">
        <v>2186</v>
      </c>
      <c r="F325" s="2" t="s">
        <v>7987</v>
      </c>
      <c r="G325" s="2" t="s">
        <v>861</v>
      </c>
      <c r="H325" s="14">
        <v>2.02</v>
      </c>
      <c r="I325" s="2" t="s">
        <v>267</v>
      </c>
      <c r="J325" s="2" t="s">
        <v>3942</v>
      </c>
      <c r="K325" s="2" t="s">
        <v>3390</v>
      </c>
      <c r="L325" s="2" t="s">
        <v>5221</v>
      </c>
      <c r="M325" s="2" t="s">
        <v>5221</v>
      </c>
      <c r="N325" s="2" t="s">
        <v>2317</v>
      </c>
      <c r="O325" s="14">
        <v>23500</v>
      </c>
      <c r="P325" s="14">
        <v>99.23</v>
      </c>
      <c r="Q325" s="14">
        <v>180.95</v>
      </c>
      <c r="R325" s="14">
        <v>365.52</v>
      </c>
      <c r="S325" s="2" t="s">
        <v>6056</v>
      </c>
      <c r="T325" s="2">
        <v>1</v>
      </c>
      <c r="U325" s="2">
        <v>60</v>
      </c>
      <c r="V325" s="2">
        <v>59</v>
      </c>
      <c r="W325" s="2" t="s">
        <v>7862</v>
      </c>
      <c r="X325" s="2" t="s">
        <v>5405</v>
      </c>
      <c r="Y325" s="2">
        <v>47470</v>
      </c>
      <c r="Z325" s="19" t="str">
        <f>HYPERLINK("https://ssdweb.co/ssdweb/hd/Vision360.html?d=941390250&amp;zoomslide=1&amp;z=1941390250&amp;ISCONFIRM=0","VIDEO")</f>
        <v>VIDEO</v>
      </c>
      <c r="AA325" s="19" t="str">
        <f>HYPERLINK("https://ssdweb.co/ssdweb/CERTH/689543227.pdf","CERTI")</f>
        <v>CERTI</v>
      </c>
    </row>
    <row r="326" spans="1:27" ht="15" x14ac:dyDescent="0.25">
      <c r="A326" s="2">
        <v>321</v>
      </c>
      <c r="B326" s="39">
        <v>941430593</v>
      </c>
      <c r="C326" s="28" t="str">
        <f>HYPERLINK("https://pld.live/RapDetail.aspx?STONELIST=941430593","DNA")</f>
        <v>DNA</v>
      </c>
      <c r="D326" s="18" t="s">
        <v>3658</v>
      </c>
      <c r="E326" s="18" t="s">
        <v>5128</v>
      </c>
      <c r="F326" s="2" t="s">
        <v>7987</v>
      </c>
      <c r="G326" s="2" t="s">
        <v>861</v>
      </c>
      <c r="H326" s="14">
        <v>2.02</v>
      </c>
      <c r="I326" s="2" t="s">
        <v>267</v>
      </c>
      <c r="J326" s="2" t="s">
        <v>3942</v>
      </c>
      <c r="K326" s="2" t="s">
        <v>3390</v>
      </c>
      <c r="L326" s="2" t="s">
        <v>5221</v>
      </c>
      <c r="M326" s="2" t="s">
        <v>5221</v>
      </c>
      <c r="N326" s="2" t="s">
        <v>2317</v>
      </c>
      <c r="O326" s="14">
        <v>23500</v>
      </c>
      <c r="P326" s="14">
        <v>99.23</v>
      </c>
      <c r="Q326" s="14">
        <v>180.95</v>
      </c>
      <c r="R326" s="14">
        <v>365.52</v>
      </c>
      <c r="S326" s="2" t="s">
        <v>6362</v>
      </c>
      <c r="T326" s="2">
        <v>1.01</v>
      </c>
      <c r="U326" s="2">
        <v>62</v>
      </c>
      <c r="V326" s="2">
        <v>58</v>
      </c>
      <c r="W326" s="2" t="s">
        <v>7862</v>
      </c>
      <c r="X326" s="2" t="s">
        <v>5405</v>
      </c>
      <c r="Y326" s="2">
        <v>47470</v>
      </c>
      <c r="Z326" s="19" t="str">
        <f>HYPERLINK("https://ssdweb.co/ssdweb/hd/Vision360.html?d=941430593&amp;zoomslide=1&amp;z=1941430593&amp;ISCONFIRM=0","VIDEO")</f>
        <v>VIDEO</v>
      </c>
      <c r="AA326" s="19" t="str">
        <f>HYPERLINK("https://ssdweb.co/ssdweb/CERTH/691509968.pdf","CERTI")</f>
        <v>CERTI</v>
      </c>
    </row>
    <row r="327" spans="1:27" ht="15" x14ac:dyDescent="0.25">
      <c r="A327" s="2">
        <v>322</v>
      </c>
      <c r="B327" s="39">
        <v>941430462</v>
      </c>
      <c r="C327" s="28" t="str">
        <f>HYPERLINK("https://pld.live/RapDetail.aspx?STONELIST=941430462","DNA")</f>
        <v>DNA</v>
      </c>
      <c r="D327" s="18" t="s">
        <v>3658</v>
      </c>
      <c r="E327" s="18" t="s">
        <v>5128</v>
      </c>
      <c r="F327" s="2" t="s">
        <v>7987</v>
      </c>
      <c r="G327" s="2" t="s">
        <v>861</v>
      </c>
      <c r="H327" s="14">
        <v>2.02</v>
      </c>
      <c r="I327" s="2" t="s">
        <v>267</v>
      </c>
      <c r="J327" s="2" t="s">
        <v>3942</v>
      </c>
      <c r="K327" s="2" t="s">
        <v>3390</v>
      </c>
      <c r="L327" s="2" t="s">
        <v>5221</v>
      </c>
      <c r="M327" s="2" t="s">
        <v>5221</v>
      </c>
      <c r="N327" s="2" t="s">
        <v>2317</v>
      </c>
      <c r="O327" s="14">
        <v>23500</v>
      </c>
      <c r="P327" s="14">
        <v>99.23</v>
      </c>
      <c r="Q327" s="14">
        <v>180.95</v>
      </c>
      <c r="R327" s="14">
        <v>365.52</v>
      </c>
      <c r="S327" s="2" t="s">
        <v>1781</v>
      </c>
      <c r="T327" s="2">
        <v>1</v>
      </c>
      <c r="U327" s="2">
        <v>60.1</v>
      </c>
      <c r="V327" s="2">
        <v>59</v>
      </c>
      <c r="W327" s="2" t="s">
        <v>7862</v>
      </c>
      <c r="X327" s="2" t="s">
        <v>5405</v>
      </c>
      <c r="Y327" s="2">
        <v>47470</v>
      </c>
      <c r="Z327" s="19" t="str">
        <f>HYPERLINK("https://ssdweb.co/ssdweb/hd/Vision360.html?d=941430462&amp;zoomslide=1&amp;z=1941430462&amp;ISCONFIRM=0","VIDEO")</f>
        <v>VIDEO</v>
      </c>
      <c r="AA327" s="19" t="str">
        <f>HYPERLINK("https://ssdweb.co/ssdweb/CERTH/691509967.pdf","CERTI")</f>
        <v>CERTI</v>
      </c>
    </row>
    <row r="328" spans="1:27" ht="15" x14ac:dyDescent="0.25">
      <c r="A328" s="2">
        <v>323</v>
      </c>
      <c r="B328" s="39">
        <v>941400116</v>
      </c>
      <c r="C328" s="28" t="str">
        <f>HYPERLINK("https://pld.live/RapDetail.aspx?STONELIST=941400116","DNA")</f>
        <v>DNA</v>
      </c>
      <c r="D328" s="18" t="s">
        <v>3658</v>
      </c>
      <c r="E328" s="18" t="s">
        <v>5128</v>
      </c>
      <c r="F328" s="2" t="s">
        <v>7987</v>
      </c>
      <c r="G328" s="2" t="s">
        <v>861</v>
      </c>
      <c r="H328" s="14">
        <v>2.02</v>
      </c>
      <c r="I328" s="2" t="s">
        <v>267</v>
      </c>
      <c r="J328" s="2" t="s">
        <v>3942</v>
      </c>
      <c r="K328" s="2" t="s">
        <v>3390</v>
      </c>
      <c r="L328" s="2" t="s">
        <v>5221</v>
      </c>
      <c r="M328" s="2" t="s">
        <v>5221</v>
      </c>
      <c r="N328" s="2" t="s">
        <v>2317</v>
      </c>
      <c r="O328" s="14">
        <v>23500</v>
      </c>
      <c r="P328" s="14">
        <v>99.23</v>
      </c>
      <c r="Q328" s="14">
        <v>180.95</v>
      </c>
      <c r="R328" s="14">
        <v>365.52</v>
      </c>
      <c r="S328" s="2" t="s">
        <v>1176</v>
      </c>
      <c r="T328" s="2">
        <v>1</v>
      </c>
      <c r="U328" s="2">
        <v>62</v>
      </c>
      <c r="V328" s="2">
        <v>58</v>
      </c>
      <c r="W328" s="2" t="s">
        <v>7862</v>
      </c>
      <c r="X328" s="2" t="s">
        <v>5405</v>
      </c>
      <c r="Y328" s="2">
        <v>47470</v>
      </c>
      <c r="Z328" s="19" t="str">
        <f>HYPERLINK("https://ssdweb.co/ssdweb/hd/Vision360.html?d=941400116&amp;zoomslide=1&amp;z=1941400116&amp;ISCONFIRM=0","VIDEO")</f>
        <v>VIDEO</v>
      </c>
      <c r="AA328" s="19" t="str">
        <f>HYPERLINK("https://ssdweb.co/ssdweb/CERTH/685590668.pdf","CERTI")</f>
        <v>CERTI</v>
      </c>
    </row>
    <row r="329" spans="1:27" ht="15" x14ac:dyDescent="0.25">
      <c r="A329" s="2">
        <v>324</v>
      </c>
      <c r="B329" s="39">
        <v>941400231</v>
      </c>
      <c r="C329" s="28" t="str">
        <f>HYPERLINK("https://pld.live/RapDetail.aspx?STONELIST=941400231","DNA")</f>
        <v>DNA</v>
      </c>
      <c r="D329" s="18" t="s">
        <v>3658</v>
      </c>
      <c r="E329" s="18" t="s">
        <v>5128</v>
      </c>
      <c r="F329" s="2" t="s">
        <v>7987</v>
      </c>
      <c r="G329" s="2" t="s">
        <v>861</v>
      </c>
      <c r="H329" s="14">
        <v>2.02</v>
      </c>
      <c r="I329" s="2" t="s">
        <v>267</v>
      </c>
      <c r="J329" s="2" t="s">
        <v>3942</v>
      </c>
      <c r="K329" s="2" t="s">
        <v>3390</v>
      </c>
      <c r="L329" s="2" t="s">
        <v>5221</v>
      </c>
      <c r="M329" s="2" t="s">
        <v>5221</v>
      </c>
      <c r="N329" s="2" t="s">
        <v>2317</v>
      </c>
      <c r="O329" s="14">
        <v>23500</v>
      </c>
      <c r="P329" s="14">
        <v>99.23</v>
      </c>
      <c r="Q329" s="14">
        <v>180.95</v>
      </c>
      <c r="R329" s="14">
        <v>365.52</v>
      </c>
      <c r="S329" s="2" t="s">
        <v>8099</v>
      </c>
      <c r="T329" s="2">
        <v>1.01</v>
      </c>
      <c r="U329" s="2">
        <v>62.1</v>
      </c>
      <c r="V329" s="2">
        <v>58</v>
      </c>
      <c r="W329" s="2" t="s">
        <v>7862</v>
      </c>
      <c r="X329" s="2" t="s">
        <v>5405</v>
      </c>
      <c r="Y329" s="2">
        <v>47470</v>
      </c>
      <c r="Z329" s="19" t="str">
        <f>HYPERLINK("https://ssdweb.co/ssdweb/hd/Vision360.html?d=941400231&amp;zoomslide=1&amp;z=1941400231&amp;ISCONFIRM=0","VIDEO")</f>
        <v>VIDEO</v>
      </c>
      <c r="AA329" s="19" t="str">
        <f>HYPERLINK("https://ssdweb.co/ssdweb/CERTH/687560938.pdf","CERTI")</f>
        <v>CERTI</v>
      </c>
    </row>
    <row r="330" spans="1:27" ht="15" x14ac:dyDescent="0.25">
      <c r="A330" s="2">
        <v>325</v>
      </c>
      <c r="B330" s="39">
        <v>941390157</v>
      </c>
      <c r="C330" s="28" t="str">
        <f>HYPERLINK("https://pld.live/RapDetail.aspx?STONELIST=941390157","DNA")</f>
        <v>DNA</v>
      </c>
      <c r="D330" s="18" t="s">
        <v>3658</v>
      </c>
      <c r="E330" s="18" t="s">
        <v>2186</v>
      </c>
      <c r="F330" s="2" t="s">
        <v>7987</v>
      </c>
      <c r="G330" s="2" t="s">
        <v>861</v>
      </c>
      <c r="H330" s="14">
        <v>2.02</v>
      </c>
      <c r="I330" s="2" t="s">
        <v>267</v>
      </c>
      <c r="J330" s="2" t="s">
        <v>13</v>
      </c>
      <c r="K330" s="2" t="s">
        <v>3390</v>
      </c>
      <c r="L330" s="2" t="s">
        <v>5221</v>
      </c>
      <c r="M330" s="2" t="s">
        <v>5221</v>
      </c>
      <c r="N330" s="2" t="s">
        <v>2317</v>
      </c>
      <c r="O330" s="14">
        <v>20500</v>
      </c>
      <c r="P330" s="14">
        <v>99.18</v>
      </c>
      <c r="Q330" s="14">
        <v>168.1</v>
      </c>
      <c r="R330" s="14">
        <v>339.56</v>
      </c>
      <c r="S330" s="2" t="s">
        <v>3865</v>
      </c>
      <c r="T330" s="2">
        <v>1</v>
      </c>
      <c r="U330" s="2">
        <v>60.9</v>
      </c>
      <c r="V330" s="2">
        <v>59</v>
      </c>
      <c r="W330" s="2" t="s">
        <v>7862</v>
      </c>
      <c r="X330" s="2" t="s">
        <v>5405</v>
      </c>
      <c r="Y330" s="2">
        <v>41410</v>
      </c>
      <c r="Z330" s="19" t="str">
        <f>HYPERLINK("https://ssdweb.co/ssdweb/hd/Vision360.html?d=941390157&amp;zoomslide=1&amp;z=1941390157&amp;ISCONFIRM=0","VIDEO")</f>
        <v>VIDEO</v>
      </c>
      <c r="AA330" s="19" t="str">
        <f>HYPERLINK("https://ssdweb.co/ssdweb/CERTH/687591653.pdf","CERTI")</f>
        <v>CERTI</v>
      </c>
    </row>
    <row r="331" spans="1:27" ht="15" x14ac:dyDescent="0.25">
      <c r="A331" s="2">
        <v>326</v>
      </c>
      <c r="B331" s="39">
        <v>941430412</v>
      </c>
      <c r="C331" s="28" t="str">
        <f>HYPERLINK("https://pld.live/RapDetail.aspx?STONELIST=941430412","DNA")</f>
        <v>DNA</v>
      </c>
      <c r="D331" s="18" t="s">
        <v>3658</v>
      </c>
      <c r="E331" s="18" t="s">
        <v>5128</v>
      </c>
      <c r="F331" s="2" t="s">
        <v>7987</v>
      </c>
      <c r="G331" s="2" t="s">
        <v>861</v>
      </c>
      <c r="H331" s="14">
        <v>2.02</v>
      </c>
      <c r="I331" s="2" t="s">
        <v>267</v>
      </c>
      <c r="J331" s="2" t="s">
        <v>13</v>
      </c>
      <c r="K331" s="2" t="s">
        <v>3390</v>
      </c>
      <c r="L331" s="2" t="s">
        <v>5221</v>
      </c>
      <c r="M331" s="2" t="s">
        <v>5221</v>
      </c>
      <c r="N331" s="2" t="s">
        <v>2317</v>
      </c>
      <c r="O331" s="14">
        <v>20500</v>
      </c>
      <c r="P331" s="14">
        <v>99.18</v>
      </c>
      <c r="Q331" s="14">
        <v>168.1</v>
      </c>
      <c r="R331" s="14">
        <v>339.56</v>
      </c>
      <c r="S331" s="2" t="s">
        <v>6930</v>
      </c>
      <c r="T331" s="2">
        <v>1.01</v>
      </c>
      <c r="U331" s="2">
        <v>61.7</v>
      </c>
      <c r="V331" s="2">
        <v>58</v>
      </c>
      <c r="W331" s="2" t="s">
        <v>7862</v>
      </c>
      <c r="X331" s="2" t="s">
        <v>5405</v>
      </c>
      <c r="Y331" s="2">
        <v>41410</v>
      </c>
      <c r="Z331" s="19" t="str">
        <f>HYPERLINK("https://ssdweb.co/ssdweb/hd/Vision360.html?d=941430412&amp;zoomslide=1&amp;z=1941430412&amp;ISCONFIRM=0","VIDEO")</f>
        <v>VIDEO</v>
      </c>
      <c r="AA331" s="19" t="str">
        <f>HYPERLINK("https://ssdweb.co/ssdweb/CERTH/691509966.pdf","CERTI")</f>
        <v>CERTI</v>
      </c>
    </row>
    <row r="332" spans="1:27" ht="15" x14ac:dyDescent="0.25">
      <c r="A332" s="2">
        <v>327</v>
      </c>
      <c r="B332" s="39">
        <v>941400286</v>
      </c>
      <c r="C332" s="28" t="str">
        <f>HYPERLINK("https://pld.live/RapDetail.aspx?STONELIST=941400286","DNA")</f>
        <v>DNA</v>
      </c>
      <c r="D332" s="18" t="s">
        <v>3658</v>
      </c>
      <c r="E332" s="18" t="s">
        <v>5128</v>
      </c>
      <c r="F332" s="2" t="s">
        <v>7987</v>
      </c>
      <c r="G332" s="2" t="s">
        <v>861</v>
      </c>
      <c r="H332" s="14">
        <v>2.02</v>
      </c>
      <c r="I332" s="2" t="s">
        <v>267</v>
      </c>
      <c r="J332" s="2" t="s">
        <v>13</v>
      </c>
      <c r="K332" s="2" t="s">
        <v>3390</v>
      </c>
      <c r="L332" s="2" t="s">
        <v>5221</v>
      </c>
      <c r="M332" s="2" t="s">
        <v>5221</v>
      </c>
      <c r="N332" s="2" t="s">
        <v>2317</v>
      </c>
      <c r="O332" s="14">
        <v>20500</v>
      </c>
      <c r="P332" s="14">
        <v>99.18</v>
      </c>
      <c r="Q332" s="14">
        <v>168.1</v>
      </c>
      <c r="R332" s="14">
        <v>339.56</v>
      </c>
      <c r="S332" s="2" t="s">
        <v>7583</v>
      </c>
      <c r="T332" s="2">
        <v>1.01</v>
      </c>
      <c r="U332" s="2">
        <v>59.9</v>
      </c>
      <c r="V332" s="2">
        <v>58</v>
      </c>
      <c r="W332" s="2" t="s">
        <v>7862</v>
      </c>
      <c r="X332" s="2" t="s">
        <v>5405</v>
      </c>
      <c r="Y332" s="2">
        <v>41410</v>
      </c>
      <c r="Z332" s="19" t="str">
        <f>HYPERLINK("https://ssdweb.co/ssdweb/hd/Vision360.html?d=941400286&amp;zoomslide=1&amp;z=1941400286&amp;ISCONFIRM=0","VIDEO")</f>
        <v>VIDEO</v>
      </c>
      <c r="AA332" s="19" t="str">
        <f>HYPERLINK("https://ssdweb.co/ssdweb/CERTH/691509962.pdf","CERTI")</f>
        <v>CERTI</v>
      </c>
    </row>
    <row r="333" spans="1:27" ht="15" x14ac:dyDescent="0.25">
      <c r="A333" s="2">
        <v>328</v>
      </c>
      <c r="B333" s="39">
        <v>941420662</v>
      </c>
      <c r="C333" s="28" t="str">
        <f>HYPERLINK("https://pld.live/RapDetail.aspx?STONELIST=941420662","DNA")</f>
        <v>DNA</v>
      </c>
      <c r="D333" s="18" t="s">
        <v>3658</v>
      </c>
      <c r="E333" s="18" t="s">
        <v>5128</v>
      </c>
      <c r="F333" s="2" t="s">
        <v>7987</v>
      </c>
      <c r="G333" s="2" t="s">
        <v>861</v>
      </c>
      <c r="H333" s="14">
        <v>2.02</v>
      </c>
      <c r="I333" s="2" t="s">
        <v>267</v>
      </c>
      <c r="J333" s="2" t="s">
        <v>13</v>
      </c>
      <c r="K333" s="2" t="s">
        <v>3390</v>
      </c>
      <c r="L333" s="2" t="s">
        <v>5221</v>
      </c>
      <c r="M333" s="2" t="s">
        <v>5221</v>
      </c>
      <c r="N333" s="2" t="s">
        <v>2317</v>
      </c>
      <c r="O333" s="14">
        <v>20500</v>
      </c>
      <c r="P333" s="14">
        <v>99.18</v>
      </c>
      <c r="Q333" s="14">
        <v>168.1</v>
      </c>
      <c r="R333" s="14">
        <v>339.56</v>
      </c>
      <c r="S333" s="2" t="s">
        <v>4973</v>
      </c>
      <c r="T333" s="2">
        <v>1.01</v>
      </c>
      <c r="U333" s="2">
        <v>61.2</v>
      </c>
      <c r="V333" s="2">
        <v>57</v>
      </c>
      <c r="W333" s="2" t="s">
        <v>7862</v>
      </c>
      <c r="X333" s="2" t="s">
        <v>5405</v>
      </c>
      <c r="Y333" s="2">
        <v>41410</v>
      </c>
      <c r="Z333" s="19" t="str">
        <f>HYPERLINK("https://ssdweb.co/ssdweb/hd/Vision360.html?d=941420662&amp;zoomslide=1&amp;z=1941420662&amp;ISCONFIRM=0","VIDEO")</f>
        <v>VIDEO</v>
      </c>
      <c r="AA333" s="19" t="str">
        <f>HYPERLINK("https://ssdweb.co/ssdweb/CERTH/691509963.pdf","CERTI")</f>
        <v>CERTI</v>
      </c>
    </row>
    <row r="334" spans="1:27" ht="15" x14ac:dyDescent="0.25">
      <c r="A334" s="2">
        <v>329</v>
      </c>
      <c r="B334" s="39">
        <v>941390201</v>
      </c>
      <c r="C334" s="28" t="str">
        <f>HYPERLINK("https://pld.live/RapDetail.aspx?STONELIST=941390201","DNA")</f>
        <v>DNA</v>
      </c>
      <c r="D334" s="18" t="s">
        <v>3658</v>
      </c>
      <c r="E334" s="18" t="s">
        <v>2186</v>
      </c>
      <c r="F334" s="2" t="s">
        <v>7987</v>
      </c>
      <c r="G334" s="2" t="s">
        <v>861</v>
      </c>
      <c r="H334" s="14">
        <v>2.02</v>
      </c>
      <c r="I334" s="2" t="s">
        <v>267</v>
      </c>
      <c r="J334" s="2" t="s">
        <v>13</v>
      </c>
      <c r="K334" s="2" t="s">
        <v>3390</v>
      </c>
      <c r="L334" s="2" t="s">
        <v>5221</v>
      </c>
      <c r="M334" s="2" t="s">
        <v>5221</v>
      </c>
      <c r="N334" s="2" t="s">
        <v>2317</v>
      </c>
      <c r="O334" s="14">
        <v>20500</v>
      </c>
      <c r="P334" s="14">
        <v>99.18</v>
      </c>
      <c r="Q334" s="14">
        <v>168.1</v>
      </c>
      <c r="R334" s="14">
        <v>339.56</v>
      </c>
      <c r="S334" s="2" t="s">
        <v>5980</v>
      </c>
      <c r="T334" s="2">
        <v>1</v>
      </c>
      <c r="U334" s="2">
        <v>62.3</v>
      </c>
      <c r="V334" s="2">
        <v>58</v>
      </c>
      <c r="W334" s="2" t="s">
        <v>7862</v>
      </c>
      <c r="X334" s="2" t="s">
        <v>5405</v>
      </c>
      <c r="Y334" s="2">
        <v>41410</v>
      </c>
      <c r="Z334" s="19" t="str">
        <f>HYPERLINK("https://ssdweb.co/ssdweb/hd/Vision360.html?d=941390201&amp;zoomslide=1&amp;z=1941390201&amp;ISCONFIRM=0","VIDEO")</f>
        <v>VIDEO</v>
      </c>
      <c r="AA334" s="19" t="str">
        <f>HYPERLINK("https://ssdweb.co/ssdweb/CERTH/687591655.pdf","CERTI")</f>
        <v>CERTI</v>
      </c>
    </row>
    <row r="335" spans="1:27" ht="15" x14ac:dyDescent="0.25">
      <c r="A335" s="2">
        <v>330</v>
      </c>
      <c r="B335" s="39">
        <v>941400423</v>
      </c>
      <c r="C335" s="28" t="str">
        <f>HYPERLINK("https://pld.live/RapDetail.aspx?STONELIST=941400423","DNA")</f>
        <v>DNA</v>
      </c>
      <c r="D335" s="18" t="s">
        <v>3658</v>
      </c>
      <c r="E335" s="18" t="s">
        <v>5128</v>
      </c>
      <c r="F335" s="2" t="s">
        <v>7987</v>
      </c>
      <c r="G335" s="2" t="s">
        <v>861</v>
      </c>
      <c r="H335" s="14">
        <v>2.02</v>
      </c>
      <c r="I335" s="2" t="s">
        <v>4761</v>
      </c>
      <c r="J335" s="2" t="s">
        <v>6555</v>
      </c>
      <c r="K335" s="2" t="s">
        <v>3390</v>
      </c>
      <c r="L335" s="2" t="s">
        <v>5221</v>
      </c>
      <c r="M335" s="2" t="s">
        <v>5221</v>
      </c>
      <c r="N335" s="2" t="s">
        <v>2317</v>
      </c>
      <c r="O335" s="14">
        <v>24500</v>
      </c>
      <c r="P335" s="14">
        <v>98.82</v>
      </c>
      <c r="Q335" s="14">
        <v>289.10000000000002</v>
      </c>
      <c r="R335" s="14">
        <v>583.98</v>
      </c>
      <c r="S335" s="2" t="s">
        <v>6445</v>
      </c>
      <c r="T335" s="2">
        <v>1</v>
      </c>
      <c r="U335" s="2">
        <v>61.6</v>
      </c>
      <c r="V335" s="2">
        <v>57</v>
      </c>
      <c r="W335" s="2" t="s">
        <v>7862</v>
      </c>
      <c r="X335" s="2" t="s">
        <v>5405</v>
      </c>
      <c r="Y335" s="2">
        <v>49490</v>
      </c>
      <c r="Z335" s="19" t="str">
        <f>HYPERLINK("https://ssdweb.co/ssdweb/hd/Vision360.html?d=941400423&amp;zoomslide=1&amp;z=1941400423&amp;ISCONFIRM=0","VIDEO")</f>
        <v>VIDEO</v>
      </c>
      <c r="AA335" s="19" t="str">
        <f>HYPERLINK("https://ssdweb.co/ssdweb/CERTH/687591682.pdf","CERTI")</f>
        <v>CERTI</v>
      </c>
    </row>
    <row r="336" spans="1:27" ht="15" x14ac:dyDescent="0.25">
      <c r="A336" s="2">
        <v>331</v>
      </c>
      <c r="B336" s="39">
        <v>941400421</v>
      </c>
      <c r="C336" s="28" t="str">
        <f>HYPERLINK("https://pld.live/RapDetail.aspx?STONELIST=941400421","DNA")</f>
        <v>DNA</v>
      </c>
      <c r="D336" s="18" t="s">
        <v>3658</v>
      </c>
      <c r="E336" s="18" t="s">
        <v>5128</v>
      </c>
      <c r="F336" s="2" t="s">
        <v>7987</v>
      </c>
      <c r="G336" s="2" t="s">
        <v>861</v>
      </c>
      <c r="H336" s="14">
        <v>2.02</v>
      </c>
      <c r="I336" s="2" t="s">
        <v>4761</v>
      </c>
      <c r="J336" s="2" t="s">
        <v>6555</v>
      </c>
      <c r="K336" s="2" t="s">
        <v>3390</v>
      </c>
      <c r="L336" s="2" t="s">
        <v>5221</v>
      </c>
      <c r="M336" s="2" t="s">
        <v>5221</v>
      </c>
      <c r="N336" s="2" t="s">
        <v>2317</v>
      </c>
      <c r="O336" s="14">
        <v>24500</v>
      </c>
      <c r="P336" s="14">
        <v>98.82</v>
      </c>
      <c r="Q336" s="14">
        <v>289.10000000000002</v>
      </c>
      <c r="R336" s="14">
        <v>583.98</v>
      </c>
      <c r="S336" s="2" t="s">
        <v>1001</v>
      </c>
      <c r="T336" s="2">
        <v>1</v>
      </c>
      <c r="U336" s="2">
        <v>60.4</v>
      </c>
      <c r="V336" s="2">
        <v>59</v>
      </c>
      <c r="W336" s="2" t="s">
        <v>7862</v>
      </c>
      <c r="X336" s="2" t="s">
        <v>5405</v>
      </c>
      <c r="Y336" s="2">
        <v>49490</v>
      </c>
      <c r="Z336" s="19" t="str">
        <f>HYPERLINK("https://ssdweb.co/ssdweb/hd/Vision360.html?d=941400421&amp;zoomslide=1&amp;z=1941400421&amp;ISCONFIRM=0","VIDEO")</f>
        <v>VIDEO</v>
      </c>
      <c r="AA336" s="19" t="str">
        <f>HYPERLINK("https://ssdweb.co/ssdweb/CERTH/687591678.pdf","CERTI")</f>
        <v>CERTI</v>
      </c>
    </row>
    <row r="337" spans="1:27" ht="15" x14ac:dyDescent="0.25">
      <c r="A337" s="2">
        <v>332</v>
      </c>
      <c r="B337" s="39">
        <v>926910506</v>
      </c>
      <c r="C337" s="28" t="str">
        <f>HYPERLINK("https://pld.live/RapDetail.aspx?STONELIST=926910506","DNA")</f>
        <v>DNA</v>
      </c>
      <c r="D337" s="18" t="s">
        <v>3658</v>
      </c>
      <c r="E337" s="18" t="s">
        <v>2186</v>
      </c>
      <c r="F337" s="2" t="s">
        <v>7987</v>
      </c>
      <c r="G337" s="2" t="s">
        <v>861</v>
      </c>
      <c r="H337" s="14">
        <v>2.02</v>
      </c>
      <c r="I337" s="2" t="s">
        <v>4761</v>
      </c>
      <c r="J337" s="2" t="s">
        <v>3942</v>
      </c>
      <c r="K337" s="2" t="s">
        <v>3390</v>
      </c>
      <c r="L337" s="2" t="s">
        <v>5221</v>
      </c>
      <c r="M337" s="2" t="s">
        <v>5221</v>
      </c>
      <c r="N337" s="2" t="s">
        <v>2317</v>
      </c>
      <c r="O337" s="14">
        <v>21000</v>
      </c>
      <c r="P337" s="14">
        <v>99.19</v>
      </c>
      <c r="Q337" s="14">
        <v>170.1</v>
      </c>
      <c r="R337" s="14">
        <v>343.6</v>
      </c>
      <c r="S337" s="2" t="s">
        <v>3075</v>
      </c>
      <c r="T337" s="2">
        <v>1.01</v>
      </c>
      <c r="U337" s="2">
        <v>62.1</v>
      </c>
      <c r="V337" s="2">
        <v>57</v>
      </c>
      <c r="W337" s="2" t="s">
        <v>7862</v>
      </c>
      <c r="X337" s="2" t="s">
        <v>5405</v>
      </c>
      <c r="Y337" s="2">
        <v>42420</v>
      </c>
      <c r="Z337" s="19" t="str">
        <f>HYPERLINK("https://ssdweb.co/ssdweb/hd/Vision360.html?d=926910506&amp;zoomslide=1&amp;z=1926910506&amp;ISCONFIRM=0","VIDEO")</f>
        <v>VIDEO</v>
      </c>
      <c r="AA337" s="19" t="str">
        <f>HYPERLINK("https://ssdweb.co/ssdweb/CERTH/660489678.pdf","CERTI")</f>
        <v>CERTI</v>
      </c>
    </row>
    <row r="338" spans="1:27" ht="15" x14ac:dyDescent="0.25">
      <c r="A338" s="2">
        <v>333</v>
      </c>
      <c r="B338" s="39">
        <v>941431263</v>
      </c>
      <c r="C338" s="28" t="str">
        <f>HYPERLINK("https://pld.live/RapDetail.aspx?STONELIST=941431263","DNA")</f>
        <v>DNA</v>
      </c>
      <c r="D338" s="18" t="s">
        <v>3658</v>
      </c>
      <c r="E338" s="18" t="s">
        <v>5128</v>
      </c>
      <c r="F338" s="2" t="s">
        <v>7987</v>
      </c>
      <c r="G338" s="2" t="s">
        <v>861</v>
      </c>
      <c r="H338" s="14">
        <v>2.02</v>
      </c>
      <c r="I338" s="2" t="s">
        <v>4761</v>
      </c>
      <c r="J338" s="2" t="s">
        <v>3942</v>
      </c>
      <c r="K338" s="2" t="s">
        <v>3390</v>
      </c>
      <c r="L338" s="2" t="s">
        <v>5221</v>
      </c>
      <c r="M338" s="2" t="s">
        <v>5221</v>
      </c>
      <c r="N338" s="2" t="s">
        <v>2317</v>
      </c>
      <c r="O338" s="14">
        <v>21000</v>
      </c>
      <c r="P338" s="14">
        <v>99.18</v>
      </c>
      <c r="Q338" s="14">
        <v>172.2</v>
      </c>
      <c r="R338" s="14">
        <v>347.84</v>
      </c>
      <c r="S338" s="2" t="s">
        <v>4197</v>
      </c>
      <c r="T338" s="2">
        <v>1</v>
      </c>
      <c r="U338" s="2">
        <v>61.8</v>
      </c>
      <c r="V338" s="2">
        <v>58</v>
      </c>
      <c r="W338" s="2" t="s">
        <v>7862</v>
      </c>
      <c r="X338" s="2" t="s">
        <v>5405</v>
      </c>
      <c r="Y338" s="2">
        <v>42420</v>
      </c>
      <c r="Z338" s="19" t="str">
        <f>HYPERLINK("https://ssdweb.co/ssdweb/hd/Vision360.html?d=941431263&amp;zoomslide=1&amp;z=1941431263&amp;ISCONFIRM=0","VIDEO")</f>
        <v>VIDEO</v>
      </c>
      <c r="AA338" s="19" t="str">
        <f>HYPERLINK("https://ssdweb.co/ssdweb/CERTH/692534102.pdf","CERTI")</f>
        <v>CERTI</v>
      </c>
    </row>
    <row r="339" spans="1:27" ht="15" x14ac:dyDescent="0.25">
      <c r="A339" s="2">
        <v>334</v>
      </c>
      <c r="B339" s="39">
        <v>941110083</v>
      </c>
      <c r="C339" s="28" t="str">
        <f>HYPERLINK("https://pld.live/RapDetail.aspx?STONELIST=941110083","DNA")</f>
        <v>DNA</v>
      </c>
      <c r="D339" s="18" t="s">
        <v>3658</v>
      </c>
      <c r="E339" s="18" t="s">
        <v>2186</v>
      </c>
      <c r="F339" s="2" t="s">
        <v>7987</v>
      </c>
      <c r="G339" s="2" t="s">
        <v>861</v>
      </c>
      <c r="H339" s="14">
        <v>2.02</v>
      </c>
      <c r="I339" s="2" t="s">
        <v>4761</v>
      </c>
      <c r="J339" s="2" t="s">
        <v>3942</v>
      </c>
      <c r="K339" s="2" t="s">
        <v>3390</v>
      </c>
      <c r="L339" s="2" t="s">
        <v>5221</v>
      </c>
      <c r="M339" s="2" t="s">
        <v>5221</v>
      </c>
      <c r="N339" s="2" t="s">
        <v>2317</v>
      </c>
      <c r="O339" s="14">
        <v>21000</v>
      </c>
      <c r="P339" s="14">
        <v>99.18</v>
      </c>
      <c r="Q339" s="14">
        <v>172.2</v>
      </c>
      <c r="R339" s="14">
        <v>347.84</v>
      </c>
      <c r="S339" s="2" t="s">
        <v>2980</v>
      </c>
      <c r="T339" s="2">
        <v>1</v>
      </c>
      <c r="U339" s="2">
        <v>62</v>
      </c>
      <c r="V339" s="2">
        <v>58</v>
      </c>
      <c r="W339" s="2" t="s">
        <v>7862</v>
      </c>
      <c r="X339" s="2" t="s">
        <v>5405</v>
      </c>
      <c r="Y339" s="2">
        <v>42420</v>
      </c>
      <c r="Z339" s="19" t="str">
        <f>HYPERLINK("https://ssdweb.co/ssdweb/hd/Vision360.html?d=941110083&amp;zoomslide=1&amp;z=1941110083&amp;ISCONFIRM=0","VIDEO")</f>
        <v>VIDEO</v>
      </c>
      <c r="AA339" s="19" t="str">
        <f>HYPERLINK("https://ssdweb.co/ssdweb/CERTH/671437456.pdf","CERTI")</f>
        <v>CERTI</v>
      </c>
    </row>
    <row r="340" spans="1:27" ht="15" x14ac:dyDescent="0.25">
      <c r="A340" s="2">
        <v>335</v>
      </c>
      <c r="B340" s="39">
        <v>941380307</v>
      </c>
      <c r="C340" s="28" t="str">
        <f>HYPERLINK("https://pld.live/RapDetail.aspx?STONELIST=941380307","DNA")</f>
        <v>DNA</v>
      </c>
      <c r="D340" s="18" t="s">
        <v>3658</v>
      </c>
      <c r="E340" s="18" t="s">
        <v>2186</v>
      </c>
      <c r="F340" s="2" t="s">
        <v>7987</v>
      </c>
      <c r="G340" s="2" t="s">
        <v>861</v>
      </c>
      <c r="H340" s="14">
        <v>2.02</v>
      </c>
      <c r="I340" s="2" t="s">
        <v>4761</v>
      </c>
      <c r="J340" s="2" t="s">
        <v>3942</v>
      </c>
      <c r="K340" s="2" t="s">
        <v>3390</v>
      </c>
      <c r="L340" s="2" t="s">
        <v>5221</v>
      </c>
      <c r="M340" s="2" t="s">
        <v>5221</v>
      </c>
      <c r="N340" s="2" t="s">
        <v>2317</v>
      </c>
      <c r="O340" s="14">
        <v>21000</v>
      </c>
      <c r="P340" s="14">
        <v>99.18</v>
      </c>
      <c r="Q340" s="14">
        <v>172.2</v>
      </c>
      <c r="R340" s="14">
        <v>347.84</v>
      </c>
      <c r="S340" s="2" t="s">
        <v>1213</v>
      </c>
      <c r="T340" s="2">
        <v>1</v>
      </c>
      <c r="U340" s="2">
        <v>61.8</v>
      </c>
      <c r="V340" s="2">
        <v>58</v>
      </c>
      <c r="W340" s="2" t="s">
        <v>7862</v>
      </c>
      <c r="X340" s="2" t="s">
        <v>5405</v>
      </c>
      <c r="Y340" s="2">
        <v>42420</v>
      </c>
      <c r="Z340" s="19" t="str">
        <f>HYPERLINK("https://ssdweb.co/ssdweb/hd/Vision360.html?d=941380307&amp;zoomslide=1&amp;z=1941380307&amp;ISCONFIRM=0","VIDEO")</f>
        <v>VIDEO</v>
      </c>
      <c r="AA340" s="19" t="str">
        <f>HYPERLINK("https://ssdweb.co/ssdweb/CERTH/692505669.pdf","CERTI")</f>
        <v>CERTI</v>
      </c>
    </row>
    <row r="341" spans="1:27" ht="15" x14ac:dyDescent="0.25">
      <c r="A341" s="2">
        <v>336</v>
      </c>
      <c r="B341" s="39">
        <v>941400470</v>
      </c>
      <c r="C341" s="28" t="str">
        <f>HYPERLINK("https://pld.live/RapDetail.aspx?STONELIST=941400470","DNA")</f>
        <v>DNA</v>
      </c>
      <c r="D341" s="18" t="s">
        <v>3658</v>
      </c>
      <c r="E341" s="18" t="s">
        <v>5128</v>
      </c>
      <c r="F341" s="2" t="s">
        <v>7987</v>
      </c>
      <c r="G341" s="2" t="s">
        <v>861</v>
      </c>
      <c r="H341" s="14">
        <v>2.02</v>
      </c>
      <c r="I341" s="2" t="s">
        <v>4761</v>
      </c>
      <c r="J341" s="2" t="s">
        <v>3942</v>
      </c>
      <c r="K341" s="2" t="s">
        <v>3390</v>
      </c>
      <c r="L341" s="2" t="s">
        <v>5221</v>
      </c>
      <c r="M341" s="2" t="s">
        <v>5221</v>
      </c>
      <c r="N341" s="2" t="s">
        <v>2317</v>
      </c>
      <c r="O341" s="14">
        <v>21000</v>
      </c>
      <c r="P341" s="14">
        <v>99.18</v>
      </c>
      <c r="Q341" s="14">
        <v>172.2</v>
      </c>
      <c r="R341" s="14">
        <v>347.84</v>
      </c>
      <c r="S341" s="2" t="s">
        <v>1205</v>
      </c>
      <c r="T341" s="2">
        <v>1.01</v>
      </c>
      <c r="U341" s="2">
        <v>62.3</v>
      </c>
      <c r="V341" s="2">
        <v>56</v>
      </c>
      <c r="W341" s="2" t="s">
        <v>7862</v>
      </c>
      <c r="X341" s="2" t="s">
        <v>5405</v>
      </c>
      <c r="Y341" s="2">
        <v>42420</v>
      </c>
      <c r="Z341" s="19" t="str">
        <f>HYPERLINK("https://ssdweb.co/ssdweb/hd/Vision360.html?d=941400470&amp;zoomslide=1&amp;z=1941400470&amp;ISCONFIRM=0","VIDEO")</f>
        <v>VIDEO</v>
      </c>
      <c r="AA341" s="19" t="str">
        <f>HYPERLINK("https://ssdweb.co/ssdweb/CERTH/687591661.pdf","CERTI")</f>
        <v>CERTI</v>
      </c>
    </row>
    <row r="342" spans="1:27" ht="15" x14ac:dyDescent="0.25">
      <c r="A342" s="2">
        <v>337</v>
      </c>
      <c r="B342" s="39">
        <v>941360358</v>
      </c>
      <c r="C342" s="28" t="str">
        <f>HYPERLINK("https://pld.live/RapDetail.aspx?STONELIST=941360358","DNA")</f>
        <v>DNA</v>
      </c>
      <c r="D342" s="18" t="s">
        <v>3658</v>
      </c>
      <c r="E342" s="18" t="s">
        <v>2186</v>
      </c>
      <c r="F342" s="2" t="s">
        <v>7987</v>
      </c>
      <c r="G342" s="2" t="s">
        <v>861</v>
      </c>
      <c r="H342" s="14">
        <v>2.02</v>
      </c>
      <c r="I342" s="2" t="s">
        <v>4761</v>
      </c>
      <c r="J342" s="2" t="s">
        <v>3942</v>
      </c>
      <c r="K342" s="2" t="s">
        <v>3390</v>
      </c>
      <c r="L342" s="2" t="s">
        <v>5221</v>
      </c>
      <c r="M342" s="2" t="s">
        <v>5221</v>
      </c>
      <c r="N342" s="2" t="s">
        <v>2317</v>
      </c>
      <c r="O342" s="14">
        <v>21000</v>
      </c>
      <c r="P342" s="14">
        <v>99.18</v>
      </c>
      <c r="Q342" s="14">
        <v>172.2</v>
      </c>
      <c r="R342" s="14">
        <v>347.84</v>
      </c>
      <c r="S342" s="2" t="s">
        <v>2662</v>
      </c>
      <c r="T342" s="2">
        <v>1</v>
      </c>
      <c r="U342" s="2">
        <v>60.6</v>
      </c>
      <c r="V342" s="2">
        <v>58</v>
      </c>
      <c r="W342" s="2" t="s">
        <v>7862</v>
      </c>
      <c r="X342" s="2" t="s">
        <v>5405</v>
      </c>
      <c r="Y342" s="2">
        <v>42420</v>
      </c>
      <c r="Z342" s="19" t="str">
        <f>HYPERLINK("https://ssdweb.co/ssdweb/hd/Vision360.html?d=941360358&amp;zoomslide=1&amp;z=1941360358&amp;ISCONFIRM=0","VIDEO")</f>
        <v>VIDEO</v>
      </c>
      <c r="AA342" s="19" t="str">
        <f>HYPERLINK("https://ssdweb.co/ssdweb/CERTH/687560953.pdf","CERTI")</f>
        <v>CERTI</v>
      </c>
    </row>
    <row r="343" spans="1:27" ht="15" x14ac:dyDescent="0.25">
      <c r="A343" s="2">
        <v>338</v>
      </c>
      <c r="B343" s="39">
        <v>941420950</v>
      </c>
      <c r="C343" s="28" t="str">
        <f>HYPERLINK("https://pld.live/RapDetail.aspx?STONELIST=941420950","DNA")</f>
        <v>DNA</v>
      </c>
      <c r="D343" s="18" t="s">
        <v>3658</v>
      </c>
      <c r="E343" s="18" t="s">
        <v>5128</v>
      </c>
      <c r="F343" s="2" t="s">
        <v>7987</v>
      </c>
      <c r="G343" s="2" t="s">
        <v>861</v>
      </c>
      <c r="H343" s="14">
        <v>2.02</v>
      </c>
      <c r="I343" s="2" t="s">
        <v>4761</v>
      </c>
      <c r="J343" s="2" t="s">
        <v>13</v>
      </c>
      <c r="K343" s="2" t="s">
        <v>3390</v>
      </c>
      <c r="L343" s="2" t="s">
        <v>5221</v>
      </c>
      <c r="M343" s="2" t="s">
        <v>5221</v>
      </c>
      <c r="N343" s="2" t="s">
        <v>2317</v>
      </c>
      <c r="O343" s="14">
        <v>19000</v>
      </c>
      <c r="P343" s="14">
        <v>99.21</v>
      </c>
      <c r="Q343" s="14">
        <v>150.1</v>
      </c>
      <c r="R343" s="14">
        <v>303.2</v>
      </c>
      <c r="S343" s="2" t="s">
        <v>7381</v>
      </c>
      <c r="T343" s="2">
        <v>1</v>
      </c>
      <c r="U343" s="2">
        <v>61.5</v>
      </c>
      <c r="V343" s="2">
        <v>59</v>
      </c>
      <c r="W343" s="2" t="s">
        <v>7862</v>
      </c>
      <c r="X343" s="2" t="s">
        <v>5405</v>
      </c>
      <c r="Y343" s="2">
        <v>38380</v>
      </c>
      <c r="Z343" s="19" t="str">
        <f>HYPERLINK("https://ssdweb.co/ssdweb/hd/Vision360.html?d=941420950&amp;zoomslide=1&amp;z=1941420950&amp;ISCONFIRM=0","VIDEO")</f>
        <v>VIDEO</v>
      </c>
      <c r="AA343" s="19" t="str">
        <f>HYPERLINK("https://ssdweb.co/ssdweb/CERTH/689543239.pdf","CERTI")</f>
        <v>CERTI</v>
      </c>
    </row>
    <row r="344" spans="1:27" ht="15" x14ac:dyDescent="0.25">
      <c r="A344" s="2">
        <v>339</v>
      </c>
      <c r="B344" s="39">
        <v>941120547</v>
      </c>
      <c r="C344" s="28" t="str">
        <f>HYPERLINK("https://pld.live/RapDetail.aspx?STONELIST=941120547","DNA")</f>
        <v>DNA</v>
      </c>
      <c r="D344" s="18" t="s">
        <v>3658</v>
      </c>
      <c r="E344" s="18" t="s">
        <v>2186</v>
      </c>
      <c r="F344" s="2" t="s">
        <v>7987</v>
      </c>
      <c r="G344" s="2" t="s">
        <v>861</v>
      </c>
      <c r="H344" s="14">
        <v>2.02</v>
      </c>
      <c r="I344" s="2" t="s">
        <v>4761</v>
      </c>
      <c r="J344" s="2" t="s">
        <v>13</v>
      </c>
      <c r="K344" s="2" t="s">
        <v>3390</v>
      </c>
      <c r="L344" s="2" t="s">
        <v>5221</v>
      </c>
      <c r="M344" s="2" t="s">
        <v>5221</v>
      </c>
      <c r="N344" s="2" t="s">
        <v>2317</v>
      </c>
      <c r="O344" s="14">
        <v>19000</v>
      </c>
      <c r="P344" s="14">
        <v>99.21</v>
      </c>
      <c r="Q344" s="14">
        <v>150.1</v>
      </c>
      <c r="R344" s="14">
        <v>303.2</v>
      </c>
      <c r="S344" s="2" t="s">
        <v>3469</v>
      </c>
      <c r="T344" s="2">
        <v>1.01</v>
      </c>
      <c r="U344" s="2">
        <v>61.1</v>
      </c>
      <c r="V344" s="2">
        <v>57</v>
      </c>
      <c r="W344" s="2" t="s">
        <v>7862</v>
      </c>
      <c r="X344" s="2" t="s">
        <v>5405</v>
      </c>
      <c r="Y344" s="2">
        <v>38380</v>
      </c>
      <c r="Z344" s="19" t="str">
        <f>HYPERLINK("https://ssdweb.co/ssdweb/hd/Vision360.html?d=941120547&amp;zoomslide=1&amp;z=1941120547&amp;ISCONFIRM=0","VIDEO")</f>
        <v>VIDEO</v>
      </c>
      <c r="AA344" s="19" t="str">
        <f>HYPERLINK("https://ssdweb.co/ssdweb/CERTH/674532523.pdf","CERTI")</f>
        <v>CERTI</v>
      </c>
    </row>
    <row r="345" spans="1:27" ht="15" x14ac:dyDescent="0.25">
      <c r="A345" s="2">
        <v>340</v>
      </c>
      <c r="B345" s="39">
        <v>941400233</v>
      </c>
      <c r="C345" s="28" t="str">
        <f>HYPERLINK("https://pld.live/RapDetail.aspx?STONELIST=941400233","DNA")</f>
        <v>DNA</v>
      </c>
      <c r="D345" s="18" t="s">
        <v>3658</v>
      </c>
      <c r="E345" s="18" t="s">
        <v>5128</v>
      </c>
      <c r="F345" s="2" t="s">
        <v>7987</v>
      </c>
      <c r="G345" s="2" t="s">
        <v>861</v>
      </c>
      <c r="H345" s="14">
        <v>2.02</v>
      </c>
      <c r="I345" s="2" t="s">
        <v>4761</v>
      </c>
      <c r="J345" s="2" t="s">
        <v>13</v>
      </c>
      <c r="K345" s="2" t="s">
        <v>3390</v>
      </c>
      <c r="L345" s="2" t="s">
        <v>5221</v>
      </c>
      <c r="M345" s="2" t="s">
        <v>5221</v>
      </c>
      <c r="N345" s="2" t="s">
        <v>2317</v>
      </c>
      <c r="O345" s="14">
        <v>19000</v>
      </c>
      <c r="P345" s="14">
        <v>99.21</v>
      </c>
      <c r="Q345" s="14">
        <v>150.1</v>
      </c>
      <c r="R345" s="14">
        <v>303.2</v>
      </c>
      <c r="S345" s="2" t="s">
        <v>3041</v>
      </c>
      <c r="T345" s="2">
        <v>1.01</v>
      </c>
      <c r="U345" s="2">
        <v>60.8</v>
      </c>
      <c r="V345" s="2">
        <v>58</v>
      </c>
      <c r="W345" s="2" t="s">
        <v>7862</v>
      </c>
      <c r="X345" s="2" t="s">
        <v>5405</v>
      </c>
      <c r="Y345" s="2">
        <v>38380</v>
      </c>
      <c r="Z345" s="19" t="str">
        <f>HYPERLINK("https://ssdweb.co/ssdweb/hd/Vision360.html?d=941400233&amp;zoomslide=1&amp;z=1941400233&amp;ISCONFIRM=0","VIDEO")</f>
        <v>VIDEO</v>
      </c>
      <c r="AA345" s="19" t="str">
        <f>HYPERLINK("https://ssdweb.co/ssdweb/CERTH/691509961.pdf","CERTI")</f>
        <v>CERTI</v>
      </c>
    </row>
    <row r="346" spans="1:27" ht="15" x14ac:dyDescent="0.25">
      <c r="A346" s="2">
        <v>341</v>
      </c>
      <c r="B346" s="39">
        <v>821130343</v>
      </c>
      <c r="C346" s="28" t="str">
        <f>HYPERLINK("https://pld.live/RapDetail.aspx?STONELIST=821130343","DNA")</f>
        <v>DNA</v>
      </c>
      <c r="D346" s="18" t="s">
        <v>3658</v>
      </c>
      <c r="E346" s="18" t="s">
        <v>1253</v>
      </c>
      <c r="F346" s="2" t="s">
        <v>7987</v>
      </c>
      <c r="G346" s="2" t="s">
        <v>861</v>
      </c>
      <c r="H346" s="14">
        <v>2.02</v>
      </c>
      <c r="I346" s="2" t="s">
        <v>4761</v>
      </c>
      <c r="J346" s="2" t="s">
        <v>13</v>
      </c>
      <c r="K346" s="2" t="s">
        <v>5721</v>
      </c>
      <c r="L346" s="2" t="s">
        <v>5721</v>
      </c>
      <c r="M346" s="2" t="s">
        <v>5721</v>
      </c>
      <c r="N346" s="2" t="s">
        <v>2317</v>
      </c>
      <c r="O346" s="14">
        <v>19000</v>
      </c>
      <c r="P346" s="14">
        <v>99.25</v>
      </c>
      <c r="Q346" s="14">
        <v>142.5</v>
      </c>
      <c r="R346" s="14">
        <v>287.85000000000002</v>
      </c>
      <c r="S346" s="2" t="s">
        <v>7832</v>
      </c>
      <c r="T346" s="2">
        <v>1.01</v>
      </c>
      <c r="U346" s="2">
        <v>61.4</v>
      </c>
      <c r="V346" s="2">
        <v>60</v>
      </c>
      <c r="W346" s="2" t="s">
        <v>7862</v>
      </c>
      <c r="X346" s="2" t="s">
        <v>5405</v>
      </c>
      <c r="Y346" s="2">
        <v>38380</v>
      </c>
      <c r="Z346" s="19" t="str">
        <f>HYPERLINK("https://ssdweb.co/ssdweb/hd/Vision360.html?d=821130343&amp;zoomslide=1&amp;z=1821130343&amp;ISCONFIRM=0","VIDEO")</f>
        <v>VIDEO</v>
      </c>
      <c r="AA346" s="19" t="str">
        <f>HYPERLINK("https://ssdweb.co/ssdweb/CERTH/659463188.pdf","CERTI")</f>
        <v>CERTI</v>
      </c>
    </row>
    <row r="347" spans="1:27" ht="15" x14ac:dyDescent="0.25">
      <c r="A347" s="2">
        <v>342</v>
      </c>
      <c r="B347" s="39">
        <v>821130324</v>
      </c>
      <c r="C347" s="28" t="str">
        <f>HYPERLINK("https://pld.live/RapDetail.aspx?STONELIST=821130324","DNA")</f>
        <v>DNA</v>
      </c>
      <c r="D347" s="18" t="s">
        <v>3658</v>
      </c>
      <c r="E347" s="18" t="s">
        <v>1253</v>
      </c>
      <c r="F347" s="2" t="s">
        <v>7987</v>
      </c>
      <c r="G347" s="2" t="s">
        <v>861</v>
      </c>
      <c r="H347" s="14">
        <v>2.02</v>
      </c>
      <c r="I347" s="2" t="s">
        <v>4761</v>
      </c>
      <c r="J347" s="2" t="s">
        <v>13</v>
      </c>
      <c r="K347" s="2" t="s">
        <v>5721</v>
      </c>
      <c r="L347" s="2" t="s">
        <v>5721</v>
      </c>
      <c r="M347" s="2" t="s">
        <v>5721</v>
      </c>
      <c r="N347" s="2" t="s">
        <v>2317</v>
      </c>
      <c r="O347" s="14">
        <v>19000</v>
      </c>
      <c r="P347" s="14">
        <v>99.25</v>
      </c>
      <c r="Q347" s="14">
        <v>142.5</v>
      </c>
      <c r="R347" s="14">
        <v>287.85000000000002</v>
      </c>
      <c r="S347" s="2" t="s">
        <v>6034</v>
      </c>
      <c r="T347" s="2">
        <v>1</v>
      </c>
      <c r="U347" s="2">
        <v>60.6</v>
      </c>
      <c r="V347" s="2">
        <v>65</v>
      </c>
      <c r="W347" s="2" t="s">
        <v>7862</v>
      </c>
      <c r="X347" s="2" t="s">
        <v>5405</v>
      </c>
      <c r="Y347" s="2">
        <v>38380</v>
      </c>
      <c r="Z347" s="19" t="str">
        <f>HYPERLINK("https://ssdweb.co/ssdweb/hd/Vision360.html?d=821130324&amp;zoomslide=1&amp;z=1821130324&amp;ISCONFIRM=0","VIDEO")</f>
        <v>VIDEO</v>
      </c>
      <c r="AA347" s="19" t="str">
        <f>HYPERLINK("https://ssdweb.co/ssdweb/CERTH/659463164.pdf","CERTI")</f>
        <v>CERTI</v>
      </c>
    </row>
    <row r="348" spans="1:27" ht="15" x14ac:dyDescent="0.25">
      <c r="A348" s="2">
        <v>343</v>
      </c>
      <c r="B348" s="39">
        <v>831010832</v>
      </c>
      <c r="C348" s="28" t="str">
        <f>HYPERLINK("https://pld.live/RapDetail.aspx?STONELIST=831010832","DNA")</f>
        <v>DNA</v>
      </c>
      <c r="D348" s="18" t="s">
        <v>3658</v>
      </c>
      <c r="E348" s="18" t="s">
        <v>5128</v>
      </c>
      <c r="F348" s="2" t="s">
        <v>7987</v>
      </c>
      <c r="G348" s="2" t="s">
        <v>861</v>
      </c>
      <c r="H348" s="14">
        <v>2.02</v>
      </c>
      <c r="I348" s="2" t="s">
        <v>4699</v>
      </c>
      <c r="J348" s="2" t="s">
        <v>3942</v>
      </c>
      <c r="K348" s="2" t="s">
        <v>3390</v>
      </c>
      <c r="L348" s="2" t="s">
        <v>5221</v>
      </c>
      <c r="M348" s="2" t="s">
        <v>5221</v>
      </c>
      <c r="N348" s="2" t="s">
        <v>2317</v>
      </c>
      <c r="O348" s="14">
        <v>19500</v>
      </c>
      <c r="P348" s="14">
        <v>99.27</v>
      </c>
      <c r="Q348" s="14">
        <v>142.35</v>
      </c>
      <c r="R348" s="14">
        <v>287.55</v>
      </c>
      <c r="S348" s="2" t="s">
        <v>6799</v>
      </c>
      <c r="T348" s="2">
        <v>1</v>
      </c>
      <c r="U348" s="2">
        <v>59.1</v>
      </c>
      <c r="V348" s="2">
        <v>59</v>
      </c>
      <c r="W348" s="2" t="s">
        <v>4336</v>
      </c>
      <c r="X348" s="2" t="s">
        <v>5405</v>
      </c>
      <c r="Y348" s="2">
        <v>39390</v>
      </c>
      <c r="Z348" s="19" t="str">
        <f>HYPERLINK("https://ssdweb.co/ssdweb/hd/Vision360.html?d=831010832&amp;zoomslide=1&amp;z=1831010832&amp;ISCONFIRM=0","VIDEO")</f>
        <v>VIDEO</v>
      </c>
      <c r="AA348" s="19" t="str">
        <f>HYPERLINK("https://ssdweb.co/ssdweb/CERTH/615342922.pdf","CERTI")</f>
        <v>CERTI</v>
      </c>
    </row>
    <row r="349" spans="1:27" ht="15" x14ac:dyDescent="0.25">
      <c r="A349" s="2">
        <v>344</v>
      </c>
      <c r="B349" s="39">
        <v>941400342</v>
      </c>
      <c r="C349" s="28" t="str">
        <f>HYPERLINK("https://pld.live/RapDetail.aspx?STONELIST=941400342","DNA")</f>
        <v>DNA</v>
      </c>
      <c r="D349" s="18" t="s">
        <v>3658</v>
      </c>
      <c r="E349" s="18" t="s">
        <v>5128</v>
      </c>
      <c r="F349" s="2" t="s">
        <v>7987</v>
      </c>
      <c r="G349" s="2" t="s">
        <v>861</v>
      </c>
      <c r="H349" s="14">
        <v>2.02</v>
      </c>
      <c r="I349" s="2" t="s">
        <v>4699</v>
      </c>
      <c r="J349" s="2" t="s">
        <v>3942</v>
      </c>
      <c r="K349" s="2" t="s">
        <v>3390</v>
      </c>
      <c r="L349" s="2" t="s">
        <v>5221</v>
      </c>
      <c r="M349" s="2" t="s">
        <v>5221</v>
      </c>
      <c r="N349" s="2" t="s">
        <v>2317</v>
      </c>
      <c r="O349" s="14">
        <v>19500</v>
      </c>
      <c r="P349" s="14">
        <v>99.24</v>
      </c>
      <c r="Q349" s="14">
        <v>148.19999999999999</v>
      </c>
      <c r="R349" s="14">
        <v>299.36</v>
      </c>
      <c r="S349" s="2" t="s">
        <v>2535</v>
      </c>
      <c r="T349" s="2">
        <v>1</v>
      </c>
      <c r="U349" s="2">
        <v>60.4</v>
      </c>
      <c r="V349" s="2">
        <v>58</v>
      </c>
      <c r="W349" s="2" t="s">
        <v>7862</v>
      </c>
      <c r="X349" s="2" t="s">
        <v>5405</v>
      </c>
      <c r="Y349" s="2">
        <v>39390</v>
      </c>
      <c r="Z349" s="19" t="str">
        <f>HYPERLINK("https://ssdweb.co/ssdweb/hd/Vision360.html?d=941400342&amp;zoomslide=1&amp;z=1941400342&amp;ISCONFIRM=0","VIDEO")</f>
        <v>VIDEO</v>
      </c>
      <c r="AA349" s="19" t="str">
        <f>HYPERLINK("https://ssdweb.co/ssdweb/CERTH/687591642.pdf","CERTI")</f>
        <v>CERTI</v>
      </c>
    </row>
    <row r="350" spans="1:27" ht="15" x14ac:dyDescent="0.25">
      <c r="A350" s="2">
        <v>345</v>
      </c>
      <c r="B350" s="39">
        <v>941120312</v>
      </c>
      <c r="C350" s="28" t="str">
        <f>HYPERLINK("https://pld.live/RapDetail.aspx?STONELIST=941120312","DNA")</f>
        <v>DNA</v>
      </c>
      <c r="D350" s="18" t="s">
        <v>3658</v>
      </c>
      <c r="E350" s="18" t="s">
        <v>2186</v>
      </c>
      <c r="F350" s="2" t="s">
        <v>7987</v>
      </c>
      <c r="G350" s="2" t="s">
        <v>861</v>
      </c>
      <c r="H350" s="14">
        <v>2.02</v>
      </c>
      <c r="I350" s="2" t="s">
        <v>4699</v>
      </c>
      <c r="J350" s="2" t="s">
        <v>3942</v>
      </c>
      <c r="K350" s="2" t="s">
        <v>3390</v>
      </c>
      <c r="L350" s="2" t="s">
        <v>5221</v>
      </c>
      <c r="M350" s="2" t="s">
        <v>5221</v>
      </c>
      <c r="N350" s="2" t="s">
        <v>2317</v>
      </c>
      <c r="O350" s="14">
        <v>19500</v>
      </c>
      <c r="P350" s="14">
        <v>99.24</v>
      </c>
      <c r="Q350" s="14">
        <v>148.19999999999999</v>
      </c>
      <c r="R350" s="14">
        <v>299.36</v>
      </c>
      <c r="S350" s="2" t="s">
        <v>7167</v>
      </c>
      <c r="T350" s="2">
        <v>1.01</v>
      </c>
      <c r="U350" s="2">
        <v>60.3</v>
      </c>
      <c r="V350" s="2">
        <v>58</v>
      </c>
      <c r="W350" s="2" t="s">
        <v>7862</v>
      </c>
      <c r="X350" s="2" t="s">
        <v>5405</v>
      </c>
      <c r="Y350" s="2">
        <v>39390</v>
      </c>
      <c r="Z350" s="19" t="str">
        <f>HYPERLINK("https://ssdweb.co/ssdweb/hd/Vision360.html?d=941120312&amp;zoomslide=1&amp;z=1941120312&amp;ISCONFIRM=0","VIDEO")</f>
        <v>VIDEO</v>
      </c>
      <c r="AA350" s="19" t="str">
        <f>HYPERLINK("https://ssdweb.co/ssdweb/CERTH/674504118.pdf","CERTI")</f>
        <v>CERTI</v>
      </c>
    </row>
    <row r="351" spans="1:27" ht="15" x14ac:dyDescent="0.25">
      <c r="A351" s="2">
        <v>346</v>
      </c>
      <c r="B351" s="39">
        <v>926960797</v>
      </c>
      <c r="C351" s="28" t="str">
        <f>HYPERLINK("https://pld.live/RapDetail.aspx?STONELIST=926960797","DNA")</f>
        <v>DNA</v>
      </c>
      <c r="D351" s="18" t="s">
        <v>3658</v>
      </c>
      <c r="E351" s="18" t="s">
        <v>5128</v>
      </c>
      <c r="F351" s="2" t="s">
        <v>7987</v>
      </c>
      <c r="G351" s="2" t="s">
        <v>861</v>
      </c>
      <c r="H351" s="14">
        <v>2.02</v>
      </c>
      <c r="I351" s="2" t="s">
        <v>4699</v>
      </c>
      <c r="J351" s="2" t="s">
        <v>13</v>
      </c>
      <c r="K351" s="2" t="s">
        <v>3390</v>
      </c>
      <c r="L351" s="2" t="s">
        <v>5221</v>
      </c>
      <c r="M351" s="2" t="s">
        <v>5221</v>
      </c>
      <c r="N351" s="2" t="s">
        <v>2317</v>
      </c>
      <c r="O351" s="14">
        <v>17500</v>
      </c>
      <c r="P351" s="14">
        <v>99.19</v>
      </c>
      <c r="Q351" s="14">
        <v>141.75</v>
      </c>
      <c r="R351" s="14">
        <v>286.33999999999997</v>
      </c>
      <c r="S351" s="2" t="s">
        <v>103</v>
      </c>
      <c r="T351" s="2">
        <v>1</v>
      </c>
      <c r="U351" s="2">
        <v>61.9</v>
      </c>
      <c r="V351" s="2">
        <v>58</v>
      </c>
      <c r="W351" s="2" t="s">
        <v>4336</v>
      </c>
      <c r="X351" s="2" t="s">
        <v>5405</v>
      </c>
      <c r="Y351" s="2">
        <v>35350</v>
      </c>
      <c r="Z351" s="19" t="str">
        <f>HYPERLINK("https://ssdweb.co/ssdweb/hd/Vision360.html?d=926960797&amp;zoomslide=1&amp;z=1926960797&amp;ISCONFIRM=0","VIDEO")</f>
        <v>VIDEO</v>
      </c>
      <c r="AA351" s="19" t="str">
        <f>HYPERLINK("https://ssdweb.co/ssdweb/CERTH/659436971.pdf","CERTI")</f>
        <v>CERTI</v>
      </c>
    </row>
    <row r="352" spans="1:27" ht="15" x14ac:dyDescent="0.25">
      <c r="A352" s="2">
        <v>347</v>
      </c>
      <c r="B352" s="39">
        <v>941110115</v>
      </c>
      <c r="C352" s="28" t="str">
        <f>HYPERLINK("https://pld.live/RapDetail.aspx?STONELIST=941110115","DNA")</f>
        <v>DNA</v>
      </c>
      <c r="D352" s="18" t="s">
        <v>3658</v>
      </c>
      <c r="E352" s="18" t="s">
        <v>2186</v>
      </c>
      <c r="F352" s="2" t="s">
        <v>7987</v>
      </c>
      <c r="G352" s="2" t="s">
        <v>861</v>
      </c>
      <c r="H352" s="14">
        <v>2.02</v>
      </c>
      <c r="I352" s="2" t="s">
        <v>4699</v>
      </c>
      <c r="J352" s="2" t="s">
        <v>13</v>
      </c>
      <c r="K352" s="2" t="s">
        <v>3390</v>
      </c>
      <c r="L352" s="2" t="s">
        <v>5221</v>
      </c>
      <c r="M352" s="2" t="s">
        <v>5221</v>
      </c>
      <c r="N352" s="2" t="s">
        <v>2317</v>
      </c>
      <c r="O352" s="14">
        <v>17500</v>
      </c>
      <c r="P352" s="14">
        <v>99.18</v>
      </c>
      <c r="Q352" s="14">
        <v>143.5</v>
      </c>
      <c r="R352" s="14">
        <v>289.87</v>
      </c>
      <c r="S352" s="2" t="s">
        <v>1213</v>
      </c>
      <c r="T352" s="2">
        <v>1</v>
      </c>
      <c r="U352" s="2">
        <v>61.6</v>
      </c>
      <c r="V352" s="2">
        <v>58</v>
      </c>
      <c r="W352" s="2" t="s">
        <v>7862</v>
      </c>
      <c r="X352" s="2" t="s">
        <v>5405</v>
      </c>
      <c r="Y352" s="2">
        <v>35350</v>
      </c>
      <c r="Z352" s="19" t="str">
        <f>HYPERLINK("https://ssdweb.co/ssdweb/hd/Vision360.html?d=941110115&amp;zoomslide=1&amp;z=1941110115&amp;ISCONFIRM=0","VIDEO")</f>
        <v>VIDEO</v>
      </c>
      <c r="AA352" s="19" t="str">
        <f>HYPERLINK("https://ssdweb.co/ssdweb/CERTH/671477254.pdf","CERTI")</f>
        <v>CERTI</v>
      </c>
    </row>
    <row r="353" spans="1:27" ht="15" x14ac:dyDescent="0.25">
      <c r="A353" s="2">
        <v>348</v>
      </c>
      <c r="B353" s="39">
        <v>941080478</v>
      </c>
      <c r="C353" s="28" t="str">
        <f>HYPERLINK("https://pld.live/RapDetail.aspx?STONELIST=941080478","DNA")</f>
        <v>DNA</v>
      </c>
      <c r="D353" s="18" t="s">
        <v>3658</v>
      </c>
      <c r="E353" s="18" t="s">
        <v>2186</v>
      </c>
      <c r="F353" s="2" t="s">
        <v>7987</v>
      </c>
      <c r="G353" s="2" t="s">
        <v>861</v>
      </c>
      <c r="H353" s="14">
        <v>2.02</v>
      </c>
      <c r="I353" s="2" t="s">
        <v>4699</v>
      </c>
      <c r="J353" s="2" t="s">
        <v>13</v>
      </c>
      <c r="K353" s="2" t="s">
        <v>3390</v>
      </c>
      <c r="L353" s="2" t="s">
        <v>5221</v>
      </c>
      <c r="M353" s="2" t="s">
        <v>5221</v>
      </c>
      <c r="N353" s="2" t="s">
        <v>2317</v>
      </c>
      <c r="O353" s="14">
        <v>17500</v>
      </c>
      <c r="P353" s="14">
        <v>99.18</v>
      </c>
      <c r="Q353" s="14">
        <v>143.5</v>
      </c>
      <c r="R353" s="14">
        <v>289.87</v>
      </c>
      <c r="S353" s="2" t="s">
        <v>3617</v>
      </c>
      <c r="T353" s="2">
        <v>1.01</v>
      </c>
      <c r="U353" s="2">
        <v>61.8</v>
      </c>
      <c r="V353" s="2">
        <v>57</v>
      </c>
      <c r="W353" s="2" t="s">
        <v>7862</v>
      </c>
      <c r="X353" s="2" t="s">
        <v>5405</v>
      </c>
      <c r="Y353" s="2">
        <v>35350</v>
      </c>
      <c r="Z353" s="19" t="str">
        <f>HYPERLINK("https://ssdweb.co/ssdweb/hd/Vision360.html?d=941080478&amp;zoomslide=1&amp;z=1941080478&amp;ISCONFIRM=0","VIDEO")</f>
        <v>VIDEO</v>
      </c>
      <c r="AA353" s="19" t="str">
        <f>HYPERLINK("https://ssdweb.co/ssdweb/CERTH/670445216.pdf","CERTI")</f>
        <v>CERTI</v>
      </c>
    </row>
    <row r="354" spans="1:27" ht="15" x14ac:dyDescent="0.25">
      <c r="A354" s="2">
        <v>349</v>
      </c>
      <c r="B354" s="39">
        <v>821130332</v>
      </c>
      <c r="C354" s="28" t="str">
        <f>HYPERLINK("https://pld.live/RapDetail.aspx?STONELIST=821130332","DNA")</f>
        <v>DNA</v>
      </c>
      <c r="D354" s="18" t="s">
        <v>3658</v>
      </c>
      <c r="E354" s="18" t="s">
        <v>1253</v>
      </c>
      <c r="F354" s="2" t="s">
        <v>7987</v>
      </c>
      <c r="G354" s="2" t="s">
        <v>861</v>
      </c>
      <c r="H354" s="14">
        <v>2.02</v>
      </c>
      <c r="I354" s="2" t="s">
        <v>4699</v>
      </c>
      <c r="J354" s="2" t="s">
        <v>5144</v>
      </c>
      <c r="K354" s="2" t="s">
        <v>5721</v>
      </c>
      <c r="L354" s="2" t="s">
        <v>5721</v>
      </c>
      <c r="M354" s="2" t="s">
        <v>5721</v>
      </c>
      <c r="N354" s="2" t="s">
        <v>2317</v>
      </c>
      <c r="O354" s="14">
        <v>15000</v>
      </c>
      <c r="P354" s="14">
        <v>99.14</v>
      </c>
      <c r="Q354" s="14">
        <v>129</v>
      </c>
      <c r="R354" s="14">
        <v>260.58</v>
      </c>
      <c r="S354" s="2" t="s">
        <v>1581</v>
      </c>
      <c r="T354" s="2">
        <v>1</v>
      </c>
      <c r="U354" s="2">
        <v>61.4</v>
      </c>
      <c r="V354" s="2">
        <v>58</v>
      </c>
      <c r="W354" s="2" t="s">
        <v>7862</v>
      </c>
      <c r="X354" s="2" t="s">
        <v>5405</v>
      </c>
      <c r="Y354" s="2">
        <v>30300</v>
      </c>
      <c r="Z354" s="19" t="str">
        <f>HYPERLINK("https://ssdweb.co/ssdweb/hd/Vision360.html?d=821130332&amp;zoomslide=1&amp;z=1821130332&amp;ISCONFIRM=0","VIDEO")</f>
        <v>VIDEO</v>
      </c>
      <c r="AA354" s="19" t="str">
        <f>HYPERLINK("https://ssdweb.co/ssdweb/CERTH/659463170.pdf","CERTI")</f>
        <v>CERTI</v>
      </c>
    </row>
    <row r="355" spans="1:27" ht="15" x14ac:dyDescent="0.25">
      <c r="A355" s="2">
        <v>350</v>
      </c>
      <c r="B355" s="39">
        <v>831020662</v>
      </c>
      <c r="C355" s="28" t="str">
        <f>HYPERLINK("https://pld.live/RapDetail.aspx?STONELIST=831020662","DNA")</f>
        <v>DNA</v>
      </c>
      <c r="D355" s="18" t="s">
        <v>3658</v>
      </c>
      <c r="E355" s="18" t="s">
        <v>2186</v>
      </c>
      <c r="F355" s="2" t="s">
        <v>5597</v>
      </c>
      <c r="G355" s="2" t="s">
        <v>861</v>
      </c>
      <c r="H355" s="14">
        <v>2.02</v>
      </c>
      <c r="I355" s="2" t="s">
        <v>6587</v>
      </c>
      <c r="J355" s="2" t="s">
        <v>13</v>
      </c>
      <c r="K355" s="2" t="s">
        <v>5221</v>
      </c>
      <c r="L355" s="2" t="s">
        <v>5221</v>
      </c>
      <c r="M355" s="2" t="s">
        <v>5221</v>
      </c>
      <c r="N355" s="2" t="s">
        <v>2317</v>
      </c>
      <c r="O355" s="14">
        <v>15000</v>
      </c>
      <c r="P355" s="14">
        <v>98.59</v>
      </c>
      <c r="Q355" s="14">
        <v>211.5</v>
      </c>
      <c r="R355" s="14">
        <v>427.23</v>
      </c>
      <c r="S355" s="2" t="s">
        <v>4169</v>
      </c>
      <c r="T355" s="2">
        <v>1</v>
      </c>
      <c r="U355" s="2">
        <v>60.8</v>
      </c>
      <c r="V355" s="2">
        <v>57</v>
      </c>
      <c r="W355" s="2" t="s">
        <v>7862</v>
      </c>
      <c r="X355" s="2" t="s">
        <v>5405</v>
      </c>
      <c r="Y355" s="2">
        <v>30300</v>
      </c>
      <c r="Z355" s="19" t="str">
        <f>HYPERLINK("https://ssdweb.co/ssdweb/hd/Vision360.html?d=831020662&amp;zoomslide=1&amp;z=1831020662&amp;ISCONFIRM=0","VIDEO")</f>
        <v>VIDEO</v>
      </c>
      <c r="AA355" s="19" t="str">
        <f>HYPERLINK("https://ssdweb.co/ssdweb/CERTH/7461347669.pdf","CERTI")</f>
        <v>CERTI</v>
      </c>
    </row>
    <row r="356" spans="1:27" ht="15" x14ac:dyDescent="0.25">
      <c r="A356" s="2">
        <v>351</v>
      </c>
      <c r="B356" s="39">
        <v>831020709</v>
      </c>
      <c r="C356" s="28" t="str">
        <f>HYPERLINK("https://pld.live/RapDetail.aspx?STONELIST=831020709","DNA")</f>
        <v>DNA</v>
      </c>
      <c r="D356" s="18" t="s">
        <v>3658</v>
      </c>
      <c r="E356" s="18" t="s">
        <v>2186</v>
      </c>
      <c r="F356" s="2" t="s">
        <v>5597</v>
      </c>
      <c r="G356" s="2" t="s">
        <v>861</v>
      </c>
      <c r="H356" s="14">
        <v>2.02</v>
      </c>
      <c r="I356" s="2" t="s">
        <v>6587</v>
      </c>
      <c r="J356" s="2" t="s">
        <v>13</v>
      </c>
      <c r="K356" s="2" t="s">
        <v>5221</v>
      </c>
      <c r="L356" s="2" t="s">
        <v>5221</v>
      </c>
      <c r="M356" s="2" t="s">
        <v>5221</v>
      </c>
      <c r="N356" s="2" t="s">
        <v>2317</v>
      </c>
      <c r="O356" s="14">
        <v>15000</v>
      </c>
      <c r="P356" s="14">
        <v>98.59</v>
      </c>
      <c r="Q356" s="14">
        <v>211.5</v>
      </c>
      <c r="R356" s="14">
        <v>427.23</v>
      </c>
      <c r="S356" s="2" t="s">
        <v>2147</v>
      </c>
      <c r="T356" s="2">
        <v>1</v>
      </c>
      <c r="U356" s="2">
        <v>59.5</v>
      </c>
      <c r="V356" s="2">
        <v>59</v>
      </c>
      <c r="W356" s="2" t="s">
        <v>7862</v>
      </c>
      <c r="X356" s="2" t="s">
        <v>5405</v>
      </c>
      <c r="Y356" s="2">
        <v>30300</v>
      </c>
      <c r="Z356" s="19" t="str">
        <f>HYPERLINK("https://ssdweb.co/ssdweb/hd/Vision360.html?d=831020709&amp;zoomslide=1&amp;z=1831020709&amp;ISCONFIRM=0","VIDEO")</f>
        <v>VIDEO</v>
      </c>
      <c r="AA356" s="19" t="str">
        <f>HYPERLINK("https://ssdweb.co/ssdweb/CERTH/1453489825.pdf","CERTI")</f>
        <v>CERTI</v>
      </c>
    </row>
    <row r="357" spans="1:27" ht="15" x14ac:dyDescent="0.25">
      <c r="A357" s="2">
        <v>352</v>
      </c>
      <c r="B357" s="39">
        <v>927170001</v>
      </c>
      <c r="C357" s="28" t="str">
        <f>HYPERLINK("https://pld.live/RapDetail.aspx?STONELIST=927170001","DNA")</f>
        <v>DNA</v>
      </c>
      <c r="D357" s="18" t="s">
        <v>3658</v>
      </c>
      <c r="E357" s="18" t="s">
        <v>2186</v>
      </c>
      <c r="F357" s="2" t="s">
        <v>7987</v>
      </c>
      <c r="G357" s="2" t="s">
        <v>861</v>
      </c>
      <c r="H357" s="14">
        <v>2.02</v>
      </c>
      <c r="I357" s="2" t="s">
        <v>1505</v>
      </c>
      <c r="J357" s="2" t="s">
        <v>3942</v>
      </c>
      <c r="K357" s="2" t="s">
        <v>3390</v>
      </c>
      <c r="L357" s="2" t="s">
        <v>5221</v>
      </c>
      <c r="M357" s="2" t="s">
        <v>5221</v>
      </c>
      <c r="N357" s="2" t="s">
        <v>2317</v>
      </c>
      <c r="O357" s="14">
        <v>13500</v>
      </c>
      <c r="P357" s="14">
        <v>99.05</v>
      </c>
      <c r="Q357" s="14">
        <v>128.25</v>
      </c>
      <c r="R357" s="14">
        <v>259.07</v>
      </c>
      <c r="S357" s="2" t="s">
        <v>3894</v>
      </c>
      <c r="T357" s="2">
        <v>1</v>
      </c>
      <c r="U357" s="2">
        <v>62</v>
      </c>
      <c r="V357" s="2">
        <v>58</v>
      </c>
      <c r="W357" s="2" t="s">
        <v>7862</v>
      </c>
      <c r="X357" s="2" t="s">
        <v>5405</v>
      </c>
      <c r="Y357" s="2">
        <v>27270</v>
      </c>
      <c r="Z357" s="19" t="str">
        <f>HYPERLINK("https://ssdweb.co/ssdweb/hd/Vision360.html?d=927170001&amp;zoomslide=1&amp;z=1927170001&amp;ISCONFIRM=0","VIDEO")</f>
        <v>VIDEO</v>
      </c>
      <c r="AA357" s="19" t="str">
        <f>HYPERLINK("https://ssdweb.co/ssdweb/CERTH/667433069.pdf","CERTI")</f>
        <v>CERTI</v>
      </c>
    </row>
    <row r="358" spans="1:27" ht="15" x14ac:dyDescent="0.25">
      <c r="A358" s="2">
        <v>353</v>
      </c>
      <c r="B358" s="39">
        <v>941400363</v>
      </c>
      <c r="C358" s="28" t="str">
        <f>HYPERLINK("https://pld.live/RapDetail.aspx?STONELIST=941400363","DNA")</f>
        <v>DNA</v>
      </c>
      <c r="D358" s="18" t="s">
        <v>3658</v>
      </c>
      <c r="E358" s="18" t="s">
        <v>5128</v>
      </c>
      <c r="F358" s="2" t="s">
        <v>7987</v>
      </c>
      <c r="G358" s="2" t="s">
        <v>861</v>
      </c>
      <c r="H358" s="14">
        <v>2.0099999999999998</v>
      </c>
      <c r="I358" s="2" t="s">
        <v>267</v>
      </c>
      <c r="J358" s="2" t="s">
        <v>3942</v>
      </c>
      <c r="K358" s="2" t="s">
        <v>3390</v>
      </c>
      <c r="L358" s="2" t="s">
        <v>5221</v>
      </c>
      <c r="M358" s="2" t="s">
        <v>5221</v>
      </c>
      <c r="N358" s="2" t="s">
        <v>2317</v>
      </c>
      <c r="O358" s="14">
        <v>23500</v>
      </c>
      <c r="P358" s="14">
        <v>99.23</v>
      </c>
      <c r="Q358" s="14">
        <v>180.95</v>
      </c>
      <c r="R358" s="14">
        <v>363.71</v>
      </c>
      <c r="S358" s="2" t="s">
        <v>7440</v>
      </c>
      <c r="T358" s="2">
        <v>1.01</v>
      </c>
      <c r="U358" s="2">
        <v>61.9</v>
      </c>
      <c r="V358" s="2">
        <v>60</v>
      </c>
      <c r="W358" s="2" t="s">
        <v>7862</v>
      </c>
      <c r="X358" s="2" t="s">
        <v>5405</v>
      </c>
      <c r="Y358" s="2">
        <v>47235</v>
      </c>
      <c r="Z358" s="19" t="str">
        <f>HYPERLINK("https://ssdweb.co/ssdweb/hd/Vision360.html?d=941400363&amp;zoomslide=1&amp;z=1941400363&amp;ISCONFIRM=0","VIDEO")</f>
        <v>VIDEO</v>
      </c>
      <c r="AA358" s="19" t="str">
        <f>HYPERLINK("https://ssdweb.co/ssdweb/CERTH/687591647.pdf","CERTI")</f>
        <v>CERTI</v>
      </c>
    </row>
    <row r="359" spans="1:27" ht="15" x14ac:dyDescent="0.25">
      <c r="A359" s="2">
        <v>354</v>
      </c>
      <c r="B359" s="39">
        <v>831010813</v>
      </c>
      <c r="C359" s="28" t="str">
        <f>HYPERLINK("https://pld.live/RapDetail.aspx?STONELIST=831010813","DNA")</f>
        <v>DNA</v>
      </c>
      <c r="D359" s="18" t="s">
        <v>3658</v>
      </c>
      <c r="E359" s="18" t="s">
        <v>5128</v>
      </c>
      <c r="F359" s="2" t="s">
        <v>7987</v>
      </c>
      <c r="G359" s="2" t="s">
        <v>861</v>
      </c>
      <c r="H359" s="14">
        <v>2.0099999999999998</v>
      </c>
      <c r="I359" s="2" t="s">
        <v>267</v>
      </c>
      <c r="J359" s="2" t="s">
        <v>13</v>
      </c>
      <c r="K359" s="2" t="s">
        <v>3390</v>
      </c>
      <c r="L359" s="2" t="s">
        <v>5221</v>
      </c>
      <c r="M359" s="2" t="s">
        <v>5221</v>
      </c>
      <c r="N359" s="2" t="s">
        <v>2317</v>
      </c>
      <c r="O359" s="14">
        <v>20500</v>
      </c>
      <c r="P359" s="14">
        <v>99.2</v>
      </c>
      <c r="Q359" s="14">
        <v>164</v>
      </c>
      <c r="R359" s="14">
        <v>329.64</v>
      </c>
      <c r="S359" s="2" t="s">
        <v>3862</v>
      </c>
      <c r="T359" s="2">
        <v>1</v>
      </c>
      <c r="U359" s="2">
        <v>60.4</v>
      </c>
      <c r="V359" s="2">
        <v>58</v>
      </c>
      <c r="W359" s="2" t="s">
        <v>7862</v>
      </c>
      <c r="X359" s="2" t="s">
        <v>5405</v>
      </c>
      <c r="Y359" s="2">
        <v>41205</v>
      </c>
      <c r="Z359" s="19" t="str">
        <f>HYPERLINK("https://ssdweb.co/ssdweb/hd/Vision360.html?d=831010813&amp;zoomslide=1&amp;z=1831010813&amp;ISCONFIRM=0","VIDEO")</f>
        <v>VIDEO</v>
      </c>
      <c r="AA359" s="19" t="str">
        <f>HYPERLINK("https://ssdweb.co/ssdweb/CERTH/598375588.pdf","CERTI")</f>
        <v>CERTI</v>
      </c>
    </row>
    <row r="360" spans="1:27" ht="15" x14ac:dyDescent="0.25">
      <c r="A360" s="2">
        <v>355</v>
      </c>
      <c r="B360" s="39">
        <v>941400422</v>
      </c>
      <c r="C360" s="28" t="str">
        <f>HYPERLINK("https://pld.live/RapDetail.aspx?STONELIST=941400422","DNA")</f>
        <v>DNA</v>
      </c>
      <c r="D360" s="18" t="s">
        <v>3658</v>
      </c>
      <c r="E360" s="18" t="s">
        <v>5128</v>
      </c>
      <c r="F360" s="2" t="s">
        <v>7987</v>
      </c>
      <c r="G360" s="2" t="s">
        <v>861</v>
      </c>
      <c r="H360" s="14">
        <v>2.0099999999999998</v>
      </c>
      <c r="I360" s="2" t="s">
        <v>267</v>
      </c>
      <c r="J360" s="2" t="s">
        <v>13</v>
      </c>
      <c r="K360" s="2" t="s">
        <v>3390</v>
      </c>
      <c r="L360" s="2" t="s">
        <v>5221</v>
      </c>
      <c r="M360" s="2" t="s">
        <v>5221</v>
      </c>
      <c r="N360" s="2" t="s">
        <v>2317</v>
      </c>
      <c r="O360" s="14">
        <v>20500</v>
      </c>
      <c r="P360" s="14">
        <v>99.18</v>
      </c>
      <c r="Q360" s="14">
        <v>168.1</v>
      </c>
      <c r="R360" s="14">
        <v>337.88</v>
      </c>
      <c r="S360" s="2" t="s">
        <v>4683</v>
      </c>
      <c r="T360" s="2">
        <v>1</v>
      </c>
      <c r="U360" s="2">
        <v>61.7</v>
      </c>
      <c r="V360" s="2">
        <v>56</v>
      </c>
      <c r="W360" s="2" t="s">
        <v>7862</v>
      </c>
      <c r="X360" s="2" t="s">
        <v>5405</v>
      </c>
      <c r="Y360" s="2">
        <v>41205</v>
      </c>
      <c r="Z360" s="19" t="str">
        <f>HYPERLINK("https://ssdweb.co/ssdweb/hd/Vision360.html?d=941400422&amp;zoomslide=1&amp;z=1941400422&amp;ISCONFIRM=0","VIDEO")</f>
        <v>VIDEO</v>
      </c>
      <c r="AA360" s="19" t="str">
        <f>HYPERLINK("https://ssdweb.co/ssdweb/CERTH/687591679.pdf","CERTI")</f>
        <v>CERTI</v>
      </c>
    </row>
    <row r="361" spans="1:27" ht="15" x14ac:dyDescent="0.25">
      <c r="A361" s="2">
        <v>356</v>
      </c>
      <c r="B361" s="39">
        <v>941110084</v>
      </c>
      <c r="C361" s="28" t="str">
        <f>HYPERLINK("https://pld.live/RapDetail.aspx?STONELIST=941110084","DNA")</f>
        <v>DNA</v>
      </c>
      <c r="D361" s="18" t="s">
        <v>3658</v>
      </c>
      <c r="E361" s="18" t="s">
        <v>2186</v>
      </c>
      <c r="F361" s="2" t="s">
        <v>7987</v>
      </c>
      <c r="G361" s="2" t="s">
        <v>861</v>
      </c>
      <c r="H361" s="14">
        <v>2.0099999999999998</v>
      </c>
      <c r="I361" s="2" t="s">
        <v>267</v>
      </c>
      <c r="J361" s="2" t="s">
        <v>13</v>
      </c>
      <c r="K361" s="2" t="s">
        <v>3390</v>
      </c>
      <c r="L361" s="2" t="s">
        <v>5221</v>
      </c>
      <c r="M361" s="2" t="s">
        <v>5221</v>
      </c>
      <c r="N361" s="2" t="s">
        <v>2317</v>
      </c>
      <c r="O361" s="14">
        <v>20500</v>
      </c>
      <c r="P361" s="14">
        <v>99.18</v>
      </c>
      <c r="Q361" s="14">
        <v>168.1</v>
      </c>
      <c r="R361" s="14">
        <v>337.88</v>
      </c>
      <c r="S361" s="2" t="s">
        <v>3164</v>
      </c>
      <c r="T361" s="2">
        <v>1</v>
      </c>
      <c r="U361" s="2">
        <v>61</v>
      </c>
      <c r="V361" s="2">
        <v>58</v>
      </c>
      <c r="W361" s="2" t="s">
        <v>7862</v>
      </c>
      <c r="X361" s="2" t="s">
        <v>5405</v>
      </c>
      <c r="Y361" s="2">
        <v>41205</v>
      </c>
      <c r="Z361" s="19" t="str">
        <f>HYPERLINK("https://ssdweb.co/ssdweb/hd/Vision360.html?d=941110084&amp;zoomslide=1&amp;z=1941110084&amp;ISCONFIRM=0","VIDEO")</f>
        <v>VIDEO</v>
      </c>
      <c r="AA361" s="19" t="str">
        <f>HYPERLINK("https://ssdweb.co/ssdweb/CERTH/671437457.pdf","CERTI")</f>
        <v>CERTI</v>
      </c>
    </row>
    <row r="362" spans="1:27" ht="15" x14ac:dyDescent="0.25">
      <c r="A362" s="2">
        <v>357</v>
      </c>
      <c r="B362" s="39">
        <v>941421267</v>
      </c>
      <c r="C362" s="28" t="str">
        <f>HYPERLINK("https://pld.live/RapDetail.aspx?STONELIST=941421267","DNA")</f>
        <v>DNA</v>
      </c>
      <c r="D362" s="18" t="s">
        <v>3658</v>
      </c>
      <c r="E362" s="18" t="s">
        <v>5128</v>
      </c>
      <c r="F362" s="2" t="s">
        <v>7987</v>
      </c>
      <c r="G362" s="2" t="s">
        <v>861</v>
      </c>
      <c r="H362" s="14">
        <v>2.0099999999999998</v>
      </c>
      <c r="I362" s="2" t="s">
        <v>267</v>
      </c>
      <c r="J362" s="2" t="s">
        <v>13</v>
      </c>
      <c r="K362" s="2" t="s">
        <v>3390</v>
      </c>
      <c r="L362" s="2" t="s">
        <v>5221</v>
      </c>
      <c r="M362" s="2" t="s">
        <v>5221</v>
      </c>
      <c r="N362" s="2" t="s">
        <v>2317</v>
      </c>
      <c r="O362" s="14">
        <v>20500</v>
      </c>
      <c r="P362" s="14">
        <v>99.18</v>
      </c>
      <c r="Q362" s="14">
        <v>168.1</v>
      </c>
      <c r="R362" s="14">
        <v>337.88</v>
      </c>
      <c r="S362" s="2" t="s">
        <v>5120</v>
      </c>
      <c r="T362" s="2">
        <v>1</v>
      </c>
      <c r="U362" s="2">
        <v>61.4</v>
      </c>
      <c r="V362" s="2">
        <v>57</v>
      </c>
      <c r="W362" s="2" t="s">
        <v>7862</v>
      </c>
      <c r="X362" s="2" t="s">
        <v>5405</v>
      </c>
      <c r="Y362" s="2">
        <v>41205</v>
      </c>
      <c r="Z362" s="19" t="str">
        <f>HYPERLINK("https://ssdweb.co/ssdweb/hd/Vision360.html?d=941421267&amp;zoomslide=1&amp;z=1941421267&amp;ISCONFIRM=0","VIDEO")</f>
        <v>VIDEO</v>
      </c>
      <c r="AA362" s="19" t="str">
        <f>HYPERLINK("https://ssdweb.co/ssdweb/CERTH/692534098.pdf","CERTI")</f>
        <v>CERTI</v>
      </c>
    </row>
    <row r="363" spans="1:27" ht="15" x14ac:dyDescent="0.25">
      <c r="A363" s="2">
        <v>358</v>
      </c>
      <c r="B363" s="39">
        <v>941400328</v>
      </c>
      <c r="C363" s="28" t="str">
        <f>HYPERLINK("https://pld.live/RapDetail.aspx?STONELIST=941400328","DNA")</f>
        <v>DNA</v>
      </c>
      <c r="D363" s="18" t="s">
        <v>3658</v>
      </c>
      <c r="E363" s="18" t="s">
        <v>5128</v>
      </c>
      <c r="F363" s="2" t="s">
        <v>7987</v>
      </c>
      <c r="G363" s="2" t="s">
        <v>861</v>
      </c>
      <c r="H363" s="14">
        <v>2.0099999999999998</v>
      </c>
      <c r="I363" s="2" t="s">
        <v>267</v>
      </c>
      <c r="J363" s="2" t="s">
        <v>13</v>
      </c>
      <c r="K363" s="2" t="s">
        <v>3390</v>
      </c>
      <c r="L363" s="2" t="s">
        <v>5221</v>
      </c>
      <c r="M363" s="2" t="s">
        <v>5221</v>
      </c>
      <c r="N363" s="2" t="s">
        <v>2317</v>
      </c>
      <c r="O363" s="14">
        <v>20500</v>
      </c>
      <c r="P363" s="14">
        <v>99.18</v>
      </c>
      <c r="Q363" s="14">
        <v>168.1</v>
      </c>
      <c r="R363" s="14">
        <v>337.88</v>
      </c>
      <c r="S363" s="2" t="s">
        <v>2834</v>
      </c>
      <c r="T363" s="2">
        <v>1</v>
      </c>
      <c r="U363" s="2">
        <v>60.2</v>
      </c>
      <c r="V363" s="2">
        <v>60</v>
      </c>
      <c r="W363" s="2" t="s">
        <v>7862</v>
      </c>
      <c r="X363" s="2" t="s">
        <v>5405</v>
      </c>
      <c r="Y363" s="2">
        <v>41205</v>
      </c>
      <c r="Z363" s="19" t="str">
        <f>HYPERLINK("https://ssdweb.co/ssdweb/hd/Vision360.html?d=941400328&amp;zoomslide=1&amp;z=1941400328&amp;ISCONFIRM=0","VIDEO")</f>
        <v>VIDEO</v>
      </c>
      <c r="AA363" s="19" t="str">
        <f>HYPERLINK("https://ssdweb.co/ssdweb/CERTH/687591659.pdf","CERTI")</f>
        <v>CERTI</v>
      </c>
    </row>
    <row r="364" spans="1:27" ht="15" x14ac:dyDescent="0.25">
      <c r="A364" s="2">
        <v>359</v>
      </c>
      <c r="B364" s="39">
        <v>925310287</v>
      </c>
      <c r="C364" s="28" t="str">
        <f>HYPERLINK("https://pld.live/RapDetail.aspx?STONELIST=925310287","DNA")</f>
        <v>DNA</v>
      </c>
      <c r="D364" s="18" t="s">
        <v>3658</v>
      </c>
      <c r="E364" s="18" t="s">
        <v>5128</v>
      </c>
      <c r="F364" s="2" t="s">
        <v>5597</v>
      </c>
      <c r="G364" s="2" t="s">
        <v>861</v>
      </c>
      <c r="H364" s="14">
        <v>2.0099999999999998</v>
      </c>
      <c r="I364" s="2" t="s">
        <v>267</v>
      </c>
      <c r="J364" s="2" t="s">
        <v>13</v>
      </c>
      <c r="K364" s="2" t="s">
        <v>5221</v>
      </c>
      <c r="L364" s="2" t="s">
        <v>5221</v>
      </c>
      <c r="M364" s="2" t="s">
        <v>5221</v>
      </c>
      <c r="N364" s="2" t="s">
        <v>2317</v>
      </c>
      <c r="O364" s="14">
        <v>20500</v>
      </c>
      <c r="P364" s="14">
        <v>98.78</v>
      </c>
      <c r="Q364" s="14">
        <v>250.1</v>
      </c>
      <c r="R364" s="14">
        <v>502.7</v>
      </c>
      <c r="S364" s="2" t="s">
        <v>2484</v>
      </c>
      <c r="T364" s="2">
        <v>1.01</v>
      </c>
      <c r="U364" s="2">
        <v>62.2</v>
      </c>
      <c r="V364" s="2">
        <v>57</v>
      </c>
      <c r="W364" s="2" t="s">
        <v>7862</v>
      </c>
      <c r="X364" s="2" t="s">
        <v>5405</v>
      </c>
      <c r="Y364" s="2">
        <v>41205</v>
      </c>
      <c r="Z364" s="19" t="str">
        <f>HYPERLINK("https://ssdweb.co/ssdweb/hd/Vision360.html?d=925310287&amp;zoomslide=1&amp;z=1925310287&amp;ISCONFIRM=0","VIDEO")</f>
        <v>VIDEO</v>
      </c>
      <c r="AA364" s="19" t="str">
        <f>HYPERLINK("https://ssdweb.co/ssdweb/CERTH/2484274551.pdf","CERTI")</f>
        <v>CERTI</v>
      </c>
    </row>
    <row r="365" spans="1:27" ht="15" x14ac:dyDescent="0.25">
      <c r="A365" s="2">
        <v>360</v>
      </c>
      <c r="B365" s="39">
        <v>926960730</v>
      </c>
      <c r="C365" s="28" t="str">
        <f>HYPERLINK("https://pld.live/RapDetail.aspx?STONELIST=926960730","DNA")</f>
        <v>DNA</v>
      </c>
      <c r="D365" s="18" t="s">
        <v>3658</v>
      </c>
      <c r="E365" s="18" t="s">
        <v>5128</v>
      </c>
      <c r="F365" s="2" t="s">
        <v>7987</v>
      </c>
      <c r="G365" s="2" t="s">
        <v>861</v>
      </c>
      <c r="H365" s="14">
        <v>2.0099999999999998</v>
      </c>
      <c r="I365" s="2" t="s">
        <v>267</v>
      </c>
      <c r="J365" s="2" t="s">
        <v>5144</v>
      </c>
      <c r="K365" s="2" t="s">
        <v>3390</v>
      </c>
      <c r="L365" s="2" t="s">
        <v>5221</v>
      </c>
      <c r="M365" s="2" t="s">
        <v>5221</v>
      </c>
      <c r="N365" s="2" t="s">
        <v>2317</v>
      </c>
      <c r="O365" s="14">
        <v>17500</v>
      </c>
      <c r="P365" s="14">
        <v>99.13</v>
      </c>
      <c r="Q365" s="14">
        <v>152.25</v>
      </c>
      <c r="R365" s="14">
        <v>306.02</v>
      </c>
      <c r="S365" s="2" t="s">
        <v>624</v>
      </c>
      <c r="T365" s="2">
        <v>1</v>
      </c>
      <c r="U365" s="2">
        <v>62.1</v>
      </c>
      <c r="V365" s="2">
        <v>58</v>
      </c>
      <c r="W365" s="2" t="s">
        <v>7862</v>
      </c>
      <c r="X365" s="2" t="s">
        <v>5405</v>
      </c>
      <c r="Y365" s="2">
        <v>35175</v>
      </c>
      <c r="Z365" s="19" t="str">
        <f>HYPERLINK("https://ssdweb.co/ssdweb/hd/Vision360.html?d=926960730&amp;zoomslide=1&amp;z=1926960730&amp;ISCONFIRM=0","VIDEO")</f>
        <v>VIDEO</v>
      </c>
      <c r="AA365" s="19" t="str">
        <f>HYPERLINK("https://ssdweb.co/ssdweb/CERTH/659436964.pdf","CERTI")</f>
        <v>CERTI</v>
      </c>
    </row>
    <row r="366" spans="1:27" ht="15" x14ac:dyDescent="0.25">
      <c r="A366" s="2">
        <v>361</v>
      </c>
      <c r="B366" s="39">
        <v>9414500410</v>
      </c>
      <c r="C366" s="28" t="str">
        <f>HYPERLINK("https://pld.live/RapDetail.aspx?STONELIST=9414500410","DNA")</f>
        <v>DNA</v>
      </c>
      <c r="D366" s="18" t="s">
        <v>3658</v>
      </c>
      <c r="E366" s="18" t="s">
        <v>2186</v>
      </c>
      <c r="F366" s="2" t="s">
        <v>7987</v>
      </c>
      <c r="G366" s="2" t="s">
        <v>861</v>
      </c>
      <c r="H366" s="14">
        <v>2.0099999999999998</v>
      </c>
      <c r="I366" s="2" t="s">
        <v>4761</v>
      </c>
      <c r="J366" s="2" t="s">
        <v>13</v>
      </c>
      <c r="K366" s="2" t="s">
        <v>3390</v>
      </c>
      <c r="L366" s="2" t="s">
        <v>5221</v>
      </c>
      <c r="M366" s="2" t="s">
        <v>5221</v>
      </c>
      <c r="N366" s="2" t="s">
        <v>2317</v>
      </c>
      <c r="O366" s="14">
        <v>19000</v>
      </c>
      <c r="P366" s="14">
        <v>99.21</v>
      </c>
      <c r="Q366" s="14">
        <v>150.1</v>
      </c>
      <c r="R366" s="14">
        <v>301.7</v>
      </c>
      <c r="S366" s="2" t="s">
        <v>7412</v>
      </c>
      <c r="T366" s="2">
        <v>1.01</v>
      </c>
      <c r="U366" s="2">
        <v>60.2</v>
      </c>
      <c r="V366" s="2">
        <v>57</v>
      </c>
      <c r="W366" s="2" t="s">
        <v>7862</v>
      </c>
      <c r="X366" s="2" t="s">
        <v>5405</v>
      </c>
      <c r="Y366" s="2">
        <v>38190</v>
      </c>
      <c r="Z366" s="19" t="str">
        <f>HYPERLINK("https://ssdweb.co/ssdweb/hd/Vision360.html?d=9414500410&amp;zoomslide=1&amp;z=19414500410&amp;ISCONFIRM=0","VIDEO")</f>
        <v>VIDEO</v>
      </c>
      <c r="AA366" s="19" t="str">
        <f>HYPERLINK("https://ssdweb.co/ssdweb/CERTH/694579629.pdf","CERTI")</f>
        <v>CERTI</v>
      </c>
    </row>
    <row r="367" spans="1:27" ht="15" x14ac:dyDescent="0.25">
      <c r="A367" s="2">
        <v>362</v>
      </c>
      <c r="B367" s="39">
        <v>821130323</v>
      </c>
      <c r="C367" s="28" t="str">
        <f>HYPERLINK("https://pld.live/RapDetail.aspx?STONELIST=821130323","DNA")</f>
        <v>DNA</v>
      </c>
      <c r="D367" s="18" t="s">
        <v>3658</v>
      </c>
      <c r="E367" s="18" t="s">
        <v>1253</v>
      </c>
      <c r="F367" s="2" t="s">
        <v>7987</v>
      </c>
      <c r="G367" s="2" t="s">
        <v>861</v>
      </c>
      <c r="H367" s="14">
        <v>2.0099999999999998</v>
      </c>
      <c r="I367" s="2" t="s">
        <v>4761</v>
      </c>
      <c r="J367" s="2" t="s">
        <v>13</v>
      </c>
      <c r="K367" s="2" t="s">
        <v>5721</v>
      </c>
      <c r="L367" s="2" t="s">
        <v>5721</v>
      </c>
      <c r="M367" s="2" t="s">
        <v>5721</v>
      </c>
      <c r="N367" s="2" t="s">
        <v>2317</v>
      </c>
      <c r="O367" s="14">
        <v>19000</v>
      </c>
      <c r="P367" s="14">
        <v>99.25</v>
      </c>
      <c r="Q367" s="14">
        <v>142.5</v>
      </c>
      <c r="R367" s="14">
        <v>286.43</v>
      </c>
      <c r="S367" s="2" t="s">
        <v>1221</v>
      </c>
      <c r="T367" s="2">
        <v>1.01</v>
      </c>
      <c r="U367" s="2">
        <v>63</v>
      </c>
      <c r="V367" s="2">
        <v>58</v>
      </c>
      <c r="W367" s="2" t="s">
        <v>7862</v>
      </c>
      <c r="X367" s="2" t="s">
        <v>5405</v>
      </c>
      <c r="Y367" s="2">
        <v>38190</v>
      </c>
      <c r="Z367" s="19" t="str">
        <f>HYPERLINK("https://ssdweb.co/ssdweb/hd/Vision360.html?d=821130323&amp;zoomslide=1&amp;z=1821130323&amp;ISCONFIRM=0","VIDEO")</f>
        <v>VIDEO</v>
      </c>
      <c r="AA367" s="19" t="str">
        <f>HYPERLINK("https://ssdweb.co/ssdweb/CERTH/659463165.pdf","CERTI")</f>
        <v>CERTI</v>
      </c>
    </row>
    <row r="368" spans="1:27" ht="15" x14ac:dyDescent="0.25">
      <c r="A368" s="2">
        <v>363</v>
      </c>
      <c r="B368" s="39">
        <v>925310007</v>
      </c>
      <c r="C368" s="28" t="str">
        <f>HYPERLINK("https://pld.live/RapDetail.aspx?STONELIST=925310007","DNA")</f>
        <v>DNA</v>
      </c>
      <c r="D368" s="18" t="s">
        <v>3658</v>
      </c>
      <c r="E368" s="18" t="s">
        <v>5128</v>
      </c>
      <c r="F368" s="2" t="s">
        <v>7987</v>
      </c>
      <c r="G368" s="2" t="s">
        <v>861</v>
      </c>
      <c r="H368" s="14">
        <v>2.0099999999999998</v>
      </c>
      <c r="I368" s="2" t="s">
        <v>4699</v>
      </c>
      <c r="J368" s="2" t="s">
        <v>7032</v>
      </c>
      <c r="K368" s="2" t="s">
        <v>5221</v>
      </c>
      <c r="L368" s="2" t="s">
        <v>5221</v>
      </c>
      <c r="M368" s="2" t="s">
        <v>5221</v>
      </c>
      <c r="N368" s="2" t="s">
        <v>2317</v>
      </c>
      <c r="O368" s="14">
        <v>24500</v>
      </c>
      <c r="P368" s="14">
        <v>97.65</v>
      </c>
      <c r="Q368" s="14">
        <v>575.75</v>
      </c>
      <c r="R368" s="14">
        <v>1157.26</v>
      </c>
      <c r="S368" s="2" t="s">
        <v>2275</v>
      </c>
      <c r="T368" s="2">
        <v>1.01</v>
      </c>
      <c r="U368" s="2">
        <v>63</v>
      </c>
      <c r="V368" s="2">
        <v>60</v>
      </c>
      <c r="W368" s="2" t="s">
        <v>7862</v>
      </c>
      <c r="X368" s="2" t="s">
        <v>5405</v>
      </c>
      <c r="Y368" s="2">
        <v>49245</v>
      </c>
      <c r="Z368" s="19" t="str">
        <f>HYPERLINK("https://ssdweb.co/ssdweb/hd/Vision360.html?d=925310007&amp;zoomslide=1&amp;z=1925310007&amp;ISCONFIRM=0","VIDEO")</f>
        <v>VIDEO</v>
      </c>
      <c r="AA368" s="19" t="str">
        <f>HYPERLINK("https://ssdweb.co/ssdweb/CERTH/611396948.pdf","CERTI")</f>
        <v>CERTI</v>
      </c>
    </row>
    <row r="369" spans="1:27" ht="15" x14ac:dyDescent="0.25">
      <c r="A369" s="2">
        <v>364</v>
      </c>
      <c r="B369" s="39">
        <v>941421238</v>
      </c>
      <c r="C369" s="28" t="str">
        <f>HYPERLINK("https://pld.live/RapDetail.aspx?STONELIST=941421238","DNA")</f>
        <v>DNA</v>
      </c>
      <c r="D369" s="18" t="s">
        <v>3658</v>
      </c>
      <c r="E369" s="18" t="s">
        <v>5128</v>
      </c>
      <c r="F369" s="2" t="s">
        <v>7987</v>
      </c>
      <c r="G369" s="2" t="s">
        <v>861</v>
      </c>
      <c r="H369" s="14">
        <v>2</v>
      </c>
      <c r="I369" s="2" t="s">
        <v>267</v>
      </c>
      <c r="J369" s="2" t="s">
        <v>3942</v>
      </c>
      <c r="K369" s="2" t="s">
        <v>3390</v>
      </c>
      <c r="L369" s="2" t="s">
        <v>5221</v>
      </c>
      <c r="M369" s="2" t="s">
        <v>5221</v>
      </c>
      <c r="N369" s="2" t="s">
        <v>2317</v>
      </c>
      <c r="O369" s="14">
        <v>23500</v>
      </c>
      <c r="P369" s="14">
        <v>99.23</v>
      </c>
      <c r="Q369" s="14">
        <v>180.95</v>
      </c>
      <c r="R369" s="14">
        <v>361.9</v>
      </c>
      <c r="S369" s="2" t="s">
        <v>3076</v>
      </c>
      <c r="T369" s="2">
        <v>1</v>
      </c>
      <c r="U369" s="2">
        <v>59.2</v>
      </c>
      <c r="V369" s="2">
        <v>60</v>
      </c>
      <c r="W369" s="2" t="s">
        <v>7862</v>
      </c>
      <c r="X369" s="2" t="s">
        <v>5405</v>
      </c>
      <c r="Y369" s="2">
        <v>47000</v>
      </c>
      <c r="Z369" s="19" t="str">
        <f>HYPERLINK("https://ssdweb.co/ssdweb/hd/Vision360.html?d=941421238&amp;zoomslide=1&amp;z=1941421238&amp;ISCONFIRM=0","VIDEO")</f>
        <v>VIDEO</v>
      </c>
      <c r="AA369" s="19" t="str">
        <f>HYPERLINK("https://ssdweb.co/ssdweb/CERTH/692505671.pdf","CERTI")</f>
        <v>CERTI</v>
      </c>
    </row>
    <row r="370" spans="1:27" ht="15" x14ac:dyDescent="0.25">
      <c r="A370" s="2">
        <v>365</v>
      </c>
      <c r="B370" s="39">
        <v>941431165</v>
      </c>
      <c r="C370" s="28" t="str">
        <f>HYPERLINK("https://pld.live/RapDetail.aspx?STONELIST=941431165","DNA")</f>
        <v>DNA</v>
      </c>
      <c r="D370" s="18" t="s">
        <v>3658</v>
      </c>
      <c r="E370" s="18" t="s">
        <v>5128</v>
      </c>
      <c r="F370" s="2" t="s">
        <v>7987</v>
      </c>
      <c r="G370" s="2" t="s">
        <v>861</v>
      </c>
      <c r="H370" s="14">
        <v>2</v>
      </c>
      <c r="I370" s="2" t="s">
        <v>267</v>
      </c>
      <c r="J370" s="2" t="s">
        <v>3942</v>
      </c>
      <c r="K370" s="2" t="s">
        <v>3390</v>
      </c>
      <c r="L370" s="2" t="s">
        <v>5221</v>
      </c>
      <c r="M370" s="2" t="s">
        <v>5221</v>
      </c>
      <c r="N370" s="2" t="s">
        <v>2317</v>
      </c>
      <c r="O370" s="14">
        <v>23500</v>
      </c>
      <c r="P370" s="14">
        <v>99.23</v>
      </c>
      <c r="Q370" s="14">
        <v>180.95</v>
      </c>
      <c r="R370" s="14">
        <v>361.9</v>
      </c>
      <c r="S370" s="2" t="s">
        <v>1152</v>
      </c>
      <c r="T370" s="2">
        <v>1.01</v>
      </c>
      <c r="U370" s="2">
        <v>62.1</v>
      </c>
      <c r="V370" s="2">
        <v>56</v>
      </c>
      <c r="W370" s="2" t="s">
        <v>7862</v>
      </c>
      <c r="X370" s="2" t="s">
        <v>5405</v>
      </c>
      <c r="Y370" s="2">
        <v>47000</v>
      </c>
      <c r="Z370" s="19" t="str">
        <f>HYPERLINK("https://ssdweb.co/ssdweb/hd/Vision360.html?d=941431165&amp;zoomslide=1&amp;z=1941431165&amp;ISCONFIRM=0","VIDEO")</f>
        <v>VIDEO</v>
      </c>
      <c r="AA370" s="19" t="str">
        <f>HYPERLINK("https://ssdweb.co/ssdweb/CERTH/692505674.pdf","CERTI")</f>
        <v>CERTI</v>
      </c>
    </row>
    <row r="371" spans="1:27" ht="15" x14ac:dyDescent="0.25">
      <c r="A371" s="2">
        <v>366</v>
      </c>
      <c r="B371" s="39">
        <v>821130290</v>
      </c>
      <c r="C371" s="28" t="str">
        <f>HYPERLINK("https://pld.live/RapDetail.aspx?STONELIST=821130290","DNA")</f>
        <v>DNA</v>
      </c>
      <c r="D371" s="18" t="s">
        <v>3658</v>
      </c>
      <c r="E371" s="18" t="s">
        <v>1253</v>
      </c>
      <c r="F371" s="2" t="s">
        <v>7987</v>
      </c>
      <c r="G371" s="2" t="s">
        <v>861</v>
      </c>
      <c r="H371" s="14">
        <v>2</v>
      </c>
      <c r="I371" s="2" t="s">
        <v>267</v>
      </c>
      <c r="J371" s="2" t="s">
        <v>3942</v>
      </c>
      <c r="K371" s="2" t="s">
        <v>5721</v>
      </c>
      <c r="L371" s="2" t="s">
        <v>5221</v>
      </c>
      <c r="M371" s="2" t="s">
        <v>5721</v>
      </c>
      <c r="N371" s="2" t="s">
        <v>2317</v>
      </c>
      <c r="O371" s="14">
        <v>23500</v>
      </c>
      <c r="P371" s="14">
        <v>99.26</v>
      </c>
      <c r="Q371" s="14">
        <v>173.9</v>
      </c>
      <c r="R371" s="14">
        <v>347.8</v>
      </c>
      <c r="S371" s="2" t="s">
        <v>290</v>
      </c>
      <c r="T371" s="2">
        <v>1</v>
      </c>
      <c r="U371" s="2">
        <v>60.4</v>
      </c>
      <c r="V371" s="2">
        <v>58</v>
      </c>
      <c r="W371" s="2" t="s">
        <v>7862</v>
      </c>
      <c r="X371" s="2" t="s">
        <v>5405</v>
      </c>
      <c r="Y371" s="2">
        <v>47000</v>
      </c>
      <c r="Z371" s="19" t="str">
        <f>HYPERLINK("https://ssdweb.co/ssdweb/hd/Vision360.html?d=821130290&amp;zoomslide=1&amp;z=1821130290&amp;ISCONFIRM=0","VIDEO")</f>
        <v>VIDEO</v>
      </c>
      <c r="AA371" s="19" t="str">
        <f>HYPERLINK("https://ssdweb.co/ssdweb/CERTH/659463184.pdf","CERTI")</f>
        <v>CERTI</v>
      </c>
    </row>
    <row r="372" spans="1:27" ht="15" x14ac:dyDescent="0.25">
      <c r="A372" s="2">
        <v>367</v>
      </c>
      <c r="B372" s="39">
        <v>941420951</v>
      </c>
      <c r="C372" s="28" t="str">
        <f>HYPERLINK("https://pld.live/RapDetail.aspx?STONELIST=941420951","DNA")</f>
        <v>DNA</v>
      </c>
      <c r="D372" s="18" t="s">
        <v>3658</v>
      </c>
      <c r="E372" s="18" t="s">
        <v>5128</v>
      </c>
      <c r="F372" s="2" t="s">
        <v>7987</v>
      </c>
      <c r="G372" s="2" t="s">
        <v>861</v>
      </c>
      <c r="H372" s="14">
        <v>2</v>
      </c>
      <c r="I372" s="2" t="s">
        <v>267</v>
      </c>
      <c r="J372" s="2" t="s">
        <v>13</v>
      </c>
      <c r="K372" s="2" t="s">
        <v>5221</v>
      </c>
      <c r="L372" s="2" t="s">
        <v>5221</v>
      </c>
      <c r="M372" s="2" t="s">
        <v>5221</v>
      </c>
      <c r="N372" s="2" t="s">
        <v>2317</v>
      </c>
      <c r="O372" s="14">
        <v>20500</v>
      </c>
      <c r="P372" s="14">
        <v>99.18</v>
      </c>
      <c r="Q372" s="14">
        <v>168.1</v>
      </c>
      <c r="R372" s="14">
        <v>336.2</v>
      </c>
      <c r="S372" s="2" t="s">
        <v>8012</v>
      </c>
      <c r="T372" s="2">
        <v>1.01</v>
      </c>
      <c r="U372" s="2">
        <v>60</v>
      </c>
      <c r="V372" s="2">
        <v>59</v>
      </c>
      <c r="W372" s="2" t="s">
        <v>7862</v>
      </c>
      <c r="X372" s="2" t="s">
        <v>5405</v>
      </c>
      <c r="Y372" s="2">
        <v>41000</v>
      </c>
      <c r="Z372" s="19" t="str">
        <f>HYPERLINK("https://ssdweb.co/ssdweb/hd/Vision360.html?d=941420951&amp;zoomslide=1&amp;z=1941420951&amp;ISCONFIRM=0","VIDEO")</f>
        <v>VIDEO</v>
      </c>
      <c r="AA372" s="19" t="str">
        <f>HYPERLINK("https://ssdweb.co/ssdweb/CERTH/689543240.pdf","CERTI")</f>
        <v>CERTI</v>
      </c>
    </row>
    <row r="373" spans="1:27" ht="15" x14ac:dyDescent="0.25">
      <c r="A373" s="2">
        <v>368</v>
      </c>
      <c r="B373" s="39">
        <v>831010812</v>
      </c>
      <c r="C373" s="28" t="str">
        <f>HYPERLINK("https://pld.live/RapDetail.aspx?STONELIST=831010812","DNA")</f>
        <v>DNA</v>
      </c>
      <c r="D373" s="18" t="s">
        <v>3658</v>
      </c>
      <c r="E373" s="18" t="s">
        <v>5128</v>
      </c>
      <c r="F373" s="2" t="s">
        <v>7987</v>
      </c>
      <c r="G373" s="2" t="s">
        <v>861</v>
      </c>
      <c r="H373" s="14">
        <v>2</v>
      </c>
      <c r="I373" s="2" t="s">
        <v>267</v>
      </c>
      <c r="J373" s="2" t="s">
        <v>5144</v>
      </c>
      <c r="K373" s="2" t="s">
        <v>3390</v>
      </c>
      <c r="L373" s="2" t="s">
        <v>5221</v>
      </c>
      <c r="M373" s="2" t="s">
        <v>5221</v>
      </c>
      <c r="N373" s="2" t="s">
        <v>2317</v>
      </c>
      <c r="O373" s="14">
        <v>17500</v>
      </c>
      <c r="P373" s="14">
        <v>99.15</v>
      </c>
      <c r="Q373" s="14">
        <v>148.75</v>
      </c>
      <c r="R373" s="14">
        <v>297.5</v>
      </c>
      <c r="S373" s="2" t="s">
        <v>111</v>
      </c>
      <c r="T373" s="2">
        <v>1.01</v>
      </c>
      <c r="U373" s="2">
        <v>62.5</v>
      </c>
      <c r="V373" s="2">
        <v>56</v>
      </c>
      <c r="W373" s="2" t="s">
        <v>7862</v>
      </c>
      <c r="X373" s="2" t="s">
        <v>5405</v>
      </c>
      <c r="Y373" s="2">
        <v>35000</v>
      </c>
      <c r="Z373" s="19" t="str">
        <f>HYPERLINK("https://ssdweb.co/ssdweb/hd/Vision360.html?d=831010812&amp;zoomslide=1&amp;z=1831010812&amp;ISCONFIRM=0","VIDEO")</f>
        <v>VIDEO</v>
      </c>
      <c r="AA373" s="19" t="str">
        <f>HYPERLINK("https://ssdweb.co/ssdweb/CERTH/598386168.pdf","CERTI")</f>
        <v>CERTI</v>
      </c>
    </row>
    <row r="374" spans="1:27" ht="15" x14ac:dyDescent="0.25">
      <c r="A374" s="2">
        <v>369</v>
      </c>
      <c r="B374" s="39">
        <v>941420917</v>
      </c>
      <c r="C374" s="28" t="str">
        <f>HYPERLINK("https://pld.live/RapDetail.aspx?STONELIST=941420917","DNA")</f>
        <v>DNA</v>
      </c>
      <c r="D374" s="18" t="s">
        <v>3658</v>
      </c>
      <c r="E374" s="18" t="s">
        <v>5128</v>
      </c>
      <c r="F374" s="2" t="s">
        <v>7987</v>
      </c>
      <c r="G374" s="2" t="s">
        <v>861</v>
      </c>
      <c r="H374" s="14">
        <v>2</v>
      </c>
      <c r="I374" s="2" t="s">
        <v>267</v>
      </c>
      <c r="J374" s="2" t="s">
        <v>5144</v>
      </c>
      <c r="K374" s="2" t="s">
        <v>3390</v>
      </c>
      <c r="L374" s="2" t="s">
        <v>5221</v>
      </c>
      <c r="M374" s="2" t="s">
        <v>5221</v>
      </c>
      <c r="N374" s="2" t="s">
        <v>2317</v>
      </c>
      <c r="O374" s="14">
        <v>17500</v>
      </c>
      <c r="P374" s="14">
        <v>99.13</v>
      </c>
      <c r="Q374" s="14">
        <v>152.25</v>
      </c>
      <c r="R374" s="14">
        <v>304.5</v>
      </c>
      <c r="S374" s="2" t="s">
        <v>4708</v>
      </c>
      <c r="T374" s="2">
        <v>1.01</v>
      </c>
      <c r="U374" s="2">
        <v>60.1</v>
      </c>
      <c r="V374" s="2">
        <v>58</v>
      </c>
      <c r="W374" s="2" t="s">
        <v>7862</v>
      </c>
      <c r="X374" s="2" t="s">
        <v>5405</v>
      </c>
      <c r="Y374" s="2">
        <v>35000</v>
      </c>
      <c r="Z374" s="19" t="str">
        <f>HYPERLINK("https://ssdweb.co/ssdweb/hd/Vision360.html?d=941420917&amp;zoomslide=1&amp;z=1941420917&amp;ISCONFIRM=0","VIDEO")</f>
        <v>VIDEO</v>
      </c>
      <c r="AA374" s="19" t="str">
        <f>HYPERLINK("https://ssdweb.co/ssdweb/CERTH/691509964.pdf","CERTI")</f>
        <v>CERTI</v>
      </c>
    </row>
    <row r="375" spans="1:27" ht="15" x14ac:dyDescent="0.25">
      <c r="A375" s="2">
        <v>370</v>
      </c>
      <c r="B375" s="39">
        <v>926470161</v>
      </c>
      <c r="C375" s="28" t="str">
        <f>HYPERLINK("https://pld.live/RapDetail.aspx?STONELIST=926470161","DNA")</f>
        <v>DNA</v>
      </c>
      <c r="D375" s="18" t="s">
        <v>3658</v>
      </c>
      <c r="E375" s="18" t="s">
        <v>2186</v>
      </c>
      <c r="F375" s="2" t="s">
        <v>7987</v>
      </c>
      <c r="G375" s="2" t="s">
        <v>861</v>
      </c>
      <c r="H375" s="14">
        <v>2</v>
      </c>
      <c r="I375" s="2" t="s">
        <v>4761</v>
      </c>
      <c r="J375" s="2" t="s">
        <v>13</v>
      </c>
      <c r="K375" s="2" t="s">
        <v>3390</v>
      </c>
      <c r="L375" s="2" t="s">
        <v>5221</v>
      </c>
      <c r="M375" s="2" t="s">
        <v>5221</v>
      </c>
      <c r="N375" s="2" t="s">
        <v>2317</v>
      </c>
      <c r="O375" s="14">
        <v>19000</v>
      </c>
      <c r="P375" s="14">
        <v>99.22</v>
      </c>
      <c r="Q375" s="14">
        <v>148.19999999999999</v>
      </c>
      <c r="R375" s="14">
        <v>296.39999999999998</v>
      </c>
      <c r="S375" s="2" t="s">
        <v>581</v>
      </c>
      <c r="T375" s="2">
        <v>1</v>
      </c>
      <c r="U375" s="2">
        <v>61.9</v>
      </c>
      <c r="V375" s="2">
        <v>57</v>
      </c>
      <c r="W375" s="2" t="s">
        <v>7862</v>
      </c>
      <c r="X375" s="2" t="s">
        <v>5405</v>
      </c>
      <c r="Y375" s="2">
        <v>38000</v>
      </c>
      <c r="Z375" s="19" t="str">
        <f>HYPERLINK("https://ssdweb.co/ssdweb/hd/Vision360.html?d=926470161&amp;zoomslide=1&amp;z=1926470161&amp;ISCONFIRM=0","VIDEO")</f>
        <v>VIDEO</v>
      </c>
      <c r="AA375" s="19" t="str">
        <f>HYPERLINK("https://ssdweb.co/ssdweb/CERTH/646472675.pdf","CERTI")</f>
        <v>CERTI</v>
      </c>
    </row>
    <row r="376" spans="1:27" ht="15" x14ac:dyDescent="0.25">
      <c r="A376" s="2">
        <v>371</v>
      </c>
      <c r="B376" s="39">
        <v>941431166</v>
      </c>
      <c r="C376" s="28" t="str">
        <f>HYPERLINK("https://pld.live/RapDetail.aspx?STONELIST=941431166","DNA")</f>
        <v>DNA</v>
      </c>
      <c r="D376" s="18" t="s">
        <v>3658</v>
      </c>
      <c r="E376" s="18" t="s">
        <v>5128</v>
      </c>
      <c r="F376" s="2" t="s">
        <v>7987</v>
      </c>
      <c r="G376" s="2" t="s">
        <v>861</v>
      </c>
      <c r="H376" s="14">
        <v>2</v>
      </c>
      <c r="I376" s="2" t="s">
        <v>4761</v>
      </c>
      <c r="J376" s="2" t="s">
        <v>13</v>
      </c>
      <c r="K376" s="2" t="s">
        <v>3390</v>
      </c>
      <c r="L376" s="2" t="s">
        <v>5221</v>
      </c>
      <c r="M376" s="2" t="s">
        <v>5221</v>
      </c>
      <c r="N376" s="2" t="s">
        <v>2317</v>
      </c>
      <c r="O376" s="14">
        <v>19000</v>
      </c>
      <c r="P376" s="14">
        <v>99.21</v>
      </c>
      <c r="Q376" s="14">
        <v>150.1</v>
      </c>
      <c r="R376" s="14">
        <v>300.2</v>
      </c>
      <c r="S376" s="2" t="s">
        <v>257</v>
      </c>
      <c r="T376" s="2">
        <v>1</v>
      </c>
      <c r="U376" s="2">
        <v>61.6</v>
      </c>
      <c r="V376" s="2">
        <v>56</v>
      </c>
      <c r="W376" s="2" t="s">
        <v>7862</v>
      </c>
      <c r="X376" s="2" t="s">
        <v>5405</v>
      </c>
      <c r="Y376" s="2">
        <v>38000</v>
      </c>
      <c r="Z376" s="19" t="str">
        <f>HYPERLINK("https://ssdweb.co/ssdweb/hd/Vision360.html?d=941431166&amp;zoomslide=1&amp;z=1941431166&amp;ISCONFIRM=0","VIDEO")</f>
        <v>VIDEO</v>
      </c>
      <c r="AA376" s="19" t="str">
        <f>HYPERLINK("https://ssdweb.co/ssdweb/CERTH/692505675.pdf","CERTI")</f>
        <v>CERTI</v>
      </c>
    </row>
    <row r="377" spans="1:27" ht="15" x14ac:dyDescent="0.25">
      <c r="A377" s="2">
        <v>372</v>
      </c>
      <c r="B377" s="39">
        <v>941390370</v>
      </c>
      <c r="C377" s="28" t="str">
        <f>HYPERLINK("https://pld.live/RapDetail.aspx?STONELIST=941390370","DNA")</f>
        <v>DNA</v>
      </c>
      <c r="D377" s="18" t="s">
        <v>3658</v>
      </c>
      <c r="E377" s="18" t="s">
        <v>2186</v>
      </c>
      <c r="F377" s="2" t="s">
        <v>7987</v>
      </c>
      <c r="G377" s="2" t="s">
        <v>861</v>
      </c>
      <c r="H377" s="14">
        <v>2</v>
      </c>
      <c r="I377" s="2" t="s">
        <v>4761</v>
      </c>
      <c r="J377" s="2" t="s">
        <v>13</v>
      </c>
      <c r="K377" s="2" t="s">
        <v>3390</v>
      </c>
      <c r="L377" s="2" t="s">
        <v>5221</v>
      </c>
      <c r="M377" s="2" t="s">
        <v>5221</v>
      </c>
      <c r="N377" s="2" t="s">
        <v>2317</v>
      </c>
      <c r="O377" s="14">
        <v>19000</v>
      </c>
      <c r="P377" s="14">
        <v>99.21</v>
      </c>
      <c r="Q377" s="14">
        <v>150.1</v>
      </c>
      <c r="R377" s="14">
        <v>300.2</v>
      </c>
      <c r="S377" s="2" t="s">
        <v>4704</v>
      </c>
      <c r="T377" s="2">
        <v>1.01</v>
      </c>
      <c r="U377" s="2">
        <v>60.7</v>
      </c>
      <c r="V377" s="2">
        <v>60</v>
      </c>
      <c r="W377" s="2" t="s">
        <v>7862</v>
      </c>
      <c r="X377" s="2" t="s">
        <v>5405</v>
      </c>
      <c r="Y377" s="2">
        <v>38000</v>
      </c>
      <c r="Z377" s="19" t="str">
        <f>HYPERLINK("https://ssdweb.co/ssdweb/hd/Vision360.html?d=941390370&amp;zoomslide=1&amp;z=1941390370&amp;ISCONFIRM=0","VIDEO")</f>
        <v>VIDEO</v>
      </c>
      <c r="AA377" s="19" t="str">
        <f>HYPERLINK("https://ssdweb.co/ssdweb/CERTH/691509960.pdf","CERTI")</f>
        <v>CERTI</v>
      </c>
    </row>
    <row r="378" spans="1:27" ht="15" x14ac:dyDescent="0.25">
      <c r="A378" s="2">
        <v>373</v>
      </c>
      <c r="B378" s="39">
        <v>821130334</v>
      </c>
      <c r="C378" s="28" t="str">
        <f>HYPERLINK("https://pld.live/RapDetail.aspx?STONELIST=821130334","DNA")</f>
        <v>DNA</v>
      </c>
      <c r="D378" s="18" t="s">
        <v>3658</v>
      </c>
      <c r="E378" s="18" t="s">
        <v>1253</v>
      </c>
      <c r="F378" s="2" t="s">
        <v>7987</v>
      </c>
      <c r="G378" s="2" t="s">
        <v>861</v>
      </c>
      <c r="H378" s="14">
        <v>2</v>
      </c>
      <c r="I378" s="2" t="s">
        <v>4761</v>
      </c>
      <c r="J378" s="2" t="s">
        <v>13</v>
      </c>
      <c r="K378" s="2" t="s">
        <v>5721</v>
      </c>
      <c r="L378" s="2" t="s">
        <v>5721</v>
      </c>
      <c r="M378" s="2" t="s">
        <v>5721</v>
      </c>
      <c r="N378" s="2" t="s">
        <v>2317</v>
      </c>
      <c r="O378" s="14">
        <v>19000</v>
      </c>
      <c r="P378" s="14">
        <v>99.25</v>
      </c>
      <c r="Q378" s="14">
        <v>142.5</v>
      </c>
      <c r="R378" s="14">
        <v>285</v>
      </c>
      <c r="S378" s="2" t="s">
        <v>4886</v>
      </c>
      <c r="T378" s="2">
        <v>1.01</v>
      </c>
      <c r="U378" s="2">
        <v>59.2</v>
      </c>
      <c r="V378" s="2">
        <v>64</v>
      </c>
      <c r="W378" s="2" t="s">
        <v>7862</v>
      </c>
      <c r="X378" s="2" t="s">
        <v>5405</v>
      </c>
      <c r="Y378" s="2">
        <v>38000</v>
      </c>
      <c r="Z378" s="19" t="str">
        <f>HYPERLINK("https://ssdweb.co/ssdweb/hd/Vision360.html?d=821130334&amp;zoomslide=1&amp;z=1821130334&amp;ISCONFIRM=0","VIDEO")</f>
        <v>VIDEO</v>
      </c>
      <c r="AA378" s="19" t="str">
        <f>HYPERLINK("https://ssdweb.co/ssdweb/CERTH/659463171.pdf","CERTI")</f>
        <v>CERTI</v>
      </c>
    </row>
    <row r="379" spans="1:27" ht="15" x14ac:dyDescent="0.25">
      <c r="A379" s="2">
        <v>374</v>
      </c>
      <c r="B379" s="39">
        <v>925861871</v>
      </c>
      <c r="C379" s="28" t="str">
        <f>HYPERLINK("https://pld.live/RapDetail.aspx?STONELIST=925861871","DNA")</f>
        <v>DNA</v>
      </c>
      <c r="D379" s="18" t="s">
        <v>3658</v>
      </c>
      <c r="E379" s="18" t="s">
        <v>5128</v>
      </c>
      <c r="F379" s="2" t="s">
        <v>5597</v>
      </c>
      <c r="G379" s="2" t="s">
        <v>861</v>
      </c>
      <c r="H379" s="14">
        <v>2</v>
      </c>
      <c r="I379" s="2" t="s">
        <v>4761</v>
      </c>
      <c r="J379" s="2" t="s">
        <v>5144</v>
      </c>
      <c r="K379" s="2" t="s">
        <v>5221</v>
      </c>
      <c r="L379" s="2" t="s">
        <v>5221</v>
      </c>
      <c r="M379" s="2" t="s">
        <v>5221</v>
      </c>
      <c r="N379" s="2" t="s">
        <v>2317</v>
      </c>
      <c r="O379" s="14">
        <v>16000</v>
      </c>
      <c r="P379" s="14">
        <v>98.56</v>
      </c>
      <c r="Q379" s="14">
        <v>230.4</v>
      </c>
      <c r="R379" s="14">
        <v>460.8</v>
      </c>
      <c r="S379" s="2" t="s">
        <v>6042</v>
      </c>
      <c r="T379" s="2">
        <v>1</v>
      </c>
      <c r="U379" s="2">
        <v>62.5</v>
      </c>
      <c r="V379" s="2">
        <v>57</v>
      </c>
      <c r="W379" s="2" t="s">
        <v>7862</v>
      </c>
      <c r="X379" s="2" t="s">
        <v>5405</v>
      </c>
      <c r="Y379" s="2">
        <v>32000</v>
      </c>
      <c r="Z379" s="19" t="str">
        <f>HYPERLINK("https://ssdweb.co/ssdweb/hd/Vision360.html?d=925861871&amp;zoomslide=1&amp;z=1925861871&amp;ISCONFIRM=0","VIDEO")</f>
        <v>VIDEO</v>
      </c>
      <c r="AA379" s="19" t="str">
        <f>HYPERLINK("https://ssdweb.co/ssdweb/CERTH/7481994873.pdf","CERTI")</f>
        <v>CERTI</v>
      </c>
    </row>
    <row r="380" spans="1:27" ht="15" x14ac:dyDescent="0.25">
      <c r="A380" s="2">
        <v>375</v>
      </c>
      <c r="B380" s="39">
        <v>941360345</v>
      </c>
      <c r="C380" s="28" t="str">
        <f>HYPERLINK("https://pld.live/RapDetail.aspx?STONELIST=941360345","DNA")</f>
        <v>DNA</v>
      </c>
      <c r="D380" s="18" t="s">
        <v>3658</v>
      </c>
      <c r="E380" s="18" t="s">
        <v>2186</v>
      </c>
      <c r="F380" s="2" t="s">
        <v>7987</v>
      </c>
      <c r="G380" s="2" t="s">
        <v>861</v>
      </c>
      <c r="H380" s="14">
        <v>2</v>
      </c>
      <c r="I380" s="2" t="s">
        <v>4761</v>
      </c>
      <c r="J380" s="2" t="s">
        <v>5144</v>
      </c>
      <c r="K380" s="2" t="s">
        <v>5221</v>
      </c>
      <c r="L380" s="2" t="s">
        <v>5221</v>
      </c>
      <c r="M380" s="2" t="s">
        <v>5221</v>
      </c>
      <c r="N380" s="2" t="s">
        <v>2317</v>
      </c>
      <c r="O380" s="14">
        <v>16000</v>
      </c>
      <c r="P380" s="14">
        <v>99.11</v>
      </c>
      <c r="Q380" s="14">
        <v>142.4</v>
      </c>
      <c r="R380" s="14">
        <v>284.8</v>
      </c>
      <c r="S380" s="2" t="s">
        <v>2716</v>
      </c>
      <c r="T380" s="2">
        <v>1</v>
      </c>
      <c r="U380" s="2">
        <v>60.9</v>
      </c>
      <c r="V380" s="2">
        <v>59</v>
      </c>
      <c r="W380" s="2" t="s">
        <v>7862</v>
      </c>
      <c r="X380" s="2" t="s">
        <v>5405</v>
      </c>
      <c r="Y380" s="2">
        <v>32000</v>
      </c>
      <c r="Z380" s="19" t="str">
        <f>HYPERLINK("https://ssdweb.co/ssdweb/hd/Vision360.html?d=941360345&amp;zoomslide=1&amp;z=1941360345&amp;ISCONFIRM=0","VIDEO")</f>
        <v>VIDEO</v>
      </c>
      <c r="AA380" s="19" t="str">
        <f>HYPERLINK("https://ssdweb.co/ssdweb/CERTH/691509957.pdf","CERTI")</f>
        <v>CERTI</v>
      </c>
    </row>
    <row r="381" spans="1:27" ht="15" x14ac:dyDescent="0.25">
      <c r="A381" s="2">
        <v>376</v>
      </c>
      <c r="B381" s="39">
        <v>941400463</v>
      </c>
      <c r="C381" s="28" t="str">
        <f>HYPERLINK("https://pld.live/RapDetail.aspx?STONELIST=941400463","DNA")</f>
        <v>DNA</v>
      </c>
      <c r="D381" s="18" t="s">
        <v>3658</v>
      </c>
      <c r="E381" s="18" t="s">
        <v>5128</v>
      </c>
      <c r="F381" s="2" t="s">
        <v>7987</v>
      </c>
      <c r="G381" s="2" t="s">
        <v>861</v>
      </c>
      <c r="H381" s="14">
        <v>2</v>
      </c>
      <c r="I381" s="2" t="s">
        <v>4699</v>
      </c>
      <c r="J381" s="2" t="s">
        <v>3942</v>
      </c>
      <c r="K381" s="2" t="s">
        <v>3390</v>
      </c>
      <c r="L381" s="2" t="s">
        <v>5221</v>
      </c>
      <c r="M381" s="2" t="s">
        <v>5221</v>
      </c>
      <c r="N381" s="2" t="s">
        <v>2317</v>
      </c>
      <c r="O381" s="14">
        <v>19500</v>
      </c>
      <c r="P381" s="14">
        <v>99.24</v>
      </c>
      <c r="Q381" s="14">
        <v>148.19999999999999</v>
      </c>
      <c r="R381" s="14">
        <v>296.39999999999998</v>
      </c>
      <c r="S381" s="2" t="s">
        <v>5590</v>
      </c>
      <c r="T381" s="2">
        <v>1.01</v>
      </c>
      <c r="U381" s="2">
        <v>60.3</v>
      </c>
      <c r="V381" s="2">
        <v>59</v>
      </c>
      <c r="W381" s="2" t="s">
        <v>7862</v>
      </c>
      <c r="X381" s="2" t="s">
        <v>5405</v>
      </c>
      <c r="Y381" s="2">
        <v>39000</v>
      </c>
      <c r="Z381" s="19" t="str">
        <f>HYPERLINK("https://ssdweb.co/ssdweb/hd/Vision360.html?d=941400463&amp;zoomslide=1&amp;z=1941400463&amp;ISCONFIRM=0","VIDEO")</f>
        <v>VIDEO</v>
      </c>
      <c r="AA381" s="19" t="str">
        <f>HYPERLINK("https://ssdweb.co/ssdweb/CERTH/687591689.pdf","CERTI")</f>
        <v>CERTI</v>
      </c>
    </row>
    <row r="382" spans="1:27" ht="15" x14ac:dyDescent="0.25">
      <c r="A382" s="2">
        <v>377</v>
      </c>
      <c r="B382" s="39">
        <v>821130345</v>
      </c>
      <c r="C382" s="28" t="str">
        <f>HYPERLINK("https://pld.live/RapDetail.aspx?STONELIST=821130345","DNA")</f>
        <v>DNA</v>
      </c>
      <c r="D382" s="18" t="s">
        <v>3658</v>
      </c>
      <c r="E382" s="18" t="s">
        <v>1253</v>
      </c>
      <c r="F382" s="2" t="s">
        <v>7987</v>
      </c>
      <c r="G382" s="2" t="s">
        <v>861</v>
      </c>
      <c r="H382" s="14">
        <v>2</v>
      </c>
      <c r="I382" s="2" t="s">
        <v>4699</v>
      </c>
      <c r="J382" s="2" t="s">
        <v>3942</v>
      </c>
      <c r="K382" s="2" t="s">
        <v>5721</v>
      </c>
      <c r="L382" s="2" t="s">
        <v>5721</v>
      </c>
      <c r="M382" s="2" t="s">
        <v>5721</v>
      </c>
      <c r="N382" s="2" t="s">
        <v>2317</v>
      </c>
      <c r="O382" s="14">
        <v>19500</v>
      </c>
      <c r="P382" s="14">
        <v>99.28</v>
      </c>
      <c r="Q382" s="14">
        <v>140.4</v>
      </c>
      <c r="R382" s="14">
        <v>280.8</v>
      </c>
      <c r="S382" s="2" t="s">
        <v>3203</v>
      </c>
      <c r="T382" s="2">
        <v>1.01</v>
      </c>
      <c r="U382" s="2">
        <v>63.3</v>
      </c>
      <c r="V382" s="2">
        <v>61</v>
      </c>
      <c r="W382" s="2" t="s">
        <v>7862</v>
      </c>
      <c r="X382" s="2" t="s">
        <v>5405</v>
      </c>
      <c r="Y382" s="2">
        <v>39000</v>
      </c>
      <c r="Z382" s="19" t="str">
        <f>HYPERLINK("https://ssdweb.co/ssdweb/hd/Vision360.html?d=821130345&amp;zoomslide=1&amp;z=1821130345&amp;ISCONFIRM=0","VIDEO")</f>
        <v>VIDEO</v>
      </c>
      <c r="AA382" s="19" t="str">
        <f>HYPERLINK("https://ssdweb.co/ssdweb/CERTH/659463187.pdf","CERTI")</f>
        <v>CERTI</v>
      </c>
    </row>
    <row r="383" spans="1:27" ht="15" x14ac:dyDescent="0.25">
      <c r="A383" s="2">
        <v>378</v>
      </c>
      <c r="B383" s="39">
        <v>941400494</v>
      </c>
      <c r="C383" s="28" t="str">
        <f>HYPERLINK("https://pld.live/RapDetail.aspx?STONELIST=941400494","DNA")</f>
        <v>DNA</v>
      </c>
      <c r="D383" s="18" t="s">
        <v>3658</v>
      </c>
      <c r="E383" s="18" t="s">
        <v>5128</v>
      </c>
      <c r="F383" s="2" t="s">
        <v>7987</v>
      </c>
      <c r="G383" s="2" t="s">
        <v>861</v>
      </c>
      <c r="H383" s="14">
        <v>2</v>
      </c>
      <c r="I383" s="2" t="s">
        <v>4699</v>
      </c>
      <c r="J383" s="2" t="s">
        <v>13</v>
      </c>
      <c r="K383" s="2" t="s">
        <v>3390</v>
      </c>
      <c r="L383" s="2" t="s">
        <v>5221</v>
      </c>
      <c r="M383" s="2" t="s">
        <v>5221</v>
      </c>
      <c r="N383" s="2" t="s">
        <v>2317</v>
      </c>
      <c r="O383" s="14">
        <v>17500</v>
      </c>
      <c r="P383" s="14">
        <v>99.19</v>
      </c>
      <c r="Q383" s="14">
        <v>141.75</v>
      </c>
      <c r="R383" s="14">
        <v>283.5</v>
      </c>
      <c r="S383" s="2" t="s">
        <v>393</v>
      </c>
      <c r="T383" s="2">
        <v>1.01</v>
      </c>
      <c r="U383" s="2">
        <v>62</v>
      </c>
      <c r="V383" s="2">
        <v>58</v>
      </c>
      <c r="W383" s="2" t="s">
        <v>4336</v>
      </c>
      <c r="X383" s="2" t="s">
        <v>5405</v>
      </c>
      <c r="Y383" s="2">
        <v>35000</v>
      </c>
      <c r="Z383" s="19" t="str">
        <f>HYPERLINK("https://ssdweb.co/ssdweb/hd/Vision360.html?d=941400494&amp;zoomslide=1&amp;z=1941400494&amp;ISCONFIRM=0","VIDEO")</f>
        <v>VIDEO</v>
      </c>
      <c r="AA383" s="19" t="str">
        <f>HYPERLINK("https://ssdweb.co/ssdweb/CERTH/689543234.pdf","CERTI")</f>
        <v>CERTI</v>
      </c>
    </row>
    <row r="384" spans="1:27" ht="15" x14ac:dyDescent="0.25">
      <c r="A384" s="2">
        <v>379</v>
      </c>
      <c r="B384" s="39">
        <v>941150099</v>
      </c>
      <c r="C384" s="28" t="str">
        <f>HYPERLINK("https://pld.live/RapDetail.aspx?STONELIST=941150099","DNA")</f>
        <v>DNA</v>
      </c>
      <c r="D384" s="18" t="s">
        <v>6675</v>
      </c>
      <c r="E384" s="18" t="s">
        <v>2186</v>
      </c>
      <c r="F384" s="2" t="s">
        <v>7987</v>
      </c>
      <c r="G384" s="2" t="s">
        <v>861</v>
      </c>
      <c r="H384" s="14">
        <v>1.95</v>
      </c>
      <c r="I384" s="2" t="s">
        <v>4761</v>
      </c>
      <c r="J384" s="2" t="s">
        <v>13</v>
      </c>
      <c r="K384" s="2" t="s">
        <v>3390</v>
      </c>
      <c r="L384" s="2" t="s">
        <v>5221</v>
      </c>
      <c r="M384" s="2" t="s">
        <v>5221</v>
      </c>
      <c r="N384" s="2" t="s">
        <v>2317</v>
      </c>
      <c r="O384" s="14">
        <v>12200</v>
      </c>
      <c r="P384" s="14">
        <v>98.9</v>
      </c>
      <c r="Q384" s="14">
        <v>134.19999999999999</v>
      </c>
      <c r="R384" s="14">
        <v>261.69</v>
      </c>
      <c r="S384" s="2" t="s">
        <v>4754</v>
      </c>
      <c r="T384" s="2">
        <v>1</v>
      </c>
      <c r="U384" s="2">
        <v>59.4</v>
      </c>
      <c r="V384" s="2">
        <v>59</v>
      </c>
      <c r="W384" s="2" t="s">
        <v>7862</v>
      </c>
      <c r="X384" s="2" t="s">
        <v>5405</v>
      </c>
      <c r="Y384" s="2">
        <v>23790</v>
      </c>
      <c r="Z384" s="19" t="str">
        <f>HYPERLINK("https://ssdweb.co/ssdweb/hd/Vision360.html?d=941150099&amp;zoomslide=1&amp;z=1941150099&amp;ISCONFIRM=0","VIDEO")</f>
        <v>VIDEO</v>
      </c>
      <c r="AA384" s="19" t="str">
        <f>HYPERLINK("https://ssdweb.co/ssdweb/CERTH/678550319.pdf","CERTI")</f>
        <v>CERTI</v>
      </c>
    </row>
    <row r="385" spans="1:27" ht="15" x14ac:dyDescent="0.25">
      <c r="A385" s="2">
        <v>380</v>
      </c>
      <c r="B385" s="39">
        <v>926020668</v>
      </c>
      <c r="C385" s="28" t="str">
        <f>HYPERLINK("https://pld.live/RapDetail.aspx?STONELIST=926020668","DNA")</f>
        <v>DNA</v>
      </c>
      <c r="D385" s="18" t="s">
        <v>6675</v>
      </c>
      <c r="E385" s="18" t="s">
        <v>5128</v>
      </c>
      <c r="F385" s="2" t="s">
        <v>5597</v>
      </c>
      <c r="G385" s="2" t="s">
        <v>861</v>
      </c>
      <c r="H385" s="14">
        <v>1.94</v>
      </c>
      <c r="I385" s="2" t="s">
        <v>267</v>
      </c>
      <c r="J385" s="2" t="s">
        <v>5144</v>
      </c>
      <c r="K385" s="2" t="s">
        <v>5221</v>
      </c>
      <c r="L385" s="2" t="s">
        <v>5221</v>
      </c>
      <c r="M385" s="2" t="s">
        <v>5221</v>
      </c>
      <c r="N385" s="2" t="s">
        <v>2317</v>
      </c>
      <c r="O385" s="14">
        <v>12000</v>
      </c>
      <c r="P385" s="14">
        <v>97.89</v>
      </c>
      <c r="Q385" s="14">
        <v>253.2</v>
      </c>
      <c r="R385" s="14">
        <v>491.21</v>
      </c>
      <c r="S385" s="2" t="s">
        <v>6774</v>
      </c>
      <c r="T385" s="2">
        <v>1.01</v>
      </c>
      <c r="U385" s="2">
        <v>61.5</v>
      </c>
      <c r="V385" s="2">
        <v>59</v>
      </c>
      <c r="W385" s="2" t="s">
        <v>7862</v>
      </c>
      <c r="X385" s="2" t="s">
        <v>5405</v>
      </c>
      <c r="Y385" s="2">
        <v>23280</v>
      </c>
      <c r="Z385" s="19" t="str">
        <f>HYPERLINK("https://ssdweb.co/ssdweb/hd/Vision360.html?d=926020668&amp;zoomslide=1&amp;z=1926020668&amp;ISCONFIRM=0","VIDEO")</f>
        <v>VIDEO</v>
      </c>
      <c r="AA385" s="19" t="str">
        <f>HYPERLINK("https://ssdweb.co/ssdweb/CERTH/2496138698.pdf","CERTI")</f>
        <v>CERTI</v>
      </c>
    </row>
    <row r="386" spans="1:27" ht="15" x14ac:dyDescent="0.25">
      <c r="A386" s="2">
        <v>381</v>
      </c>
      <c r="B386" s="39">
        <v>941110572</v>
      </c>
      <c r="C386" s="28" t="str">
        <f>HYPERLINK("https://pld.live/RapDetail.aspx?STONELIST=941110572","DNA")</f>
        <v>DNA</v>
      </c>
      <c r="D386" s="18" t="s">
        <v>6675</v>
      </c>
      <c r="E386" s="18" t="s">
        <v>2186</v>
      </c>
      <c r="F386" s="2" t="s">
        <v>7987</v>
      </c>
      <c r="G386" s="2" t="s">
        <v>861</v>
      </c>
      <c r="H386" s="14">
        <v>1.94</v>
      </c>
      <c r="I386" s="2" t="s">
        <v>4761</v>
      </c>
      <c r="J386" s="2" t="s">
        <v>3942</v>
      </c>
      <c r="K386" s="2" t="s">
        <v>3390</v>
      </c>
      <c r="L386" s="2" t="s">
        <v>5221</v>
      </c>
      <c r="M386" s="2" t="s">
        <v>5221</v>
      </c>
      <c r="N386" s="2" t="s">
        <v>2317</v>
      </c>
      <c r="O386" s="14">
        <v>14300</v>
      </c>
      <c r="P386" s="14">
        <v>99.01</v>
      </c>
      <c r="Q386" s="14">
        <v>141.57</v>
      </c>
      <c r="R386" s="14">
        <v>274.64999999999998</v>
      </c>
      <c r="S386" s="2" t="s">
        <v>2886</v>
      </c>
      <c r="T386" s="2">
        <v>1</v>
      </c>
      <c r="U386" s="2">
        <v>61.4</v>
      </c>
      <c r="V386" s="2">
        <v>58</v>
      </c>
      <c r="W386" s="2" t="s">
        <v>7862</v>
      </c>
      <c r="X386" s="2" t="s">
        <v>5405</v>
      </c>
      <c r="Y386" s="2">
        <v>27742</v>
      </c>
      <c r="Z386" s="19" t="str">
        <f>HYPERLINK("https://ssdweb.co/ssdweb/hd/Vision360.html?d=941110572&amp;zoomslide=1&amp;z=1941110572&amp;ISCONFIRM=0","VIDEO")</f>
        <v>VIDEO</v>
      </c>
      <c r="AA386" s="19" t="str">
        <f>HYPERLINK("https://ssdweb.co/ssdweb/CERTH/677510600.pdf","CERTI")</f>
        <v>CERTI</v>
      </c>
    </row>
    <row r="387" spans="1:27" ht="15" x14ac:dyDescent="0.25">
      <c r="A387" s="2">
        <v>382</v>
      </c>
      <c r="B387" s="39">
        <v>925921054</v>
      </c>
      <c r="C387" s="28" t="str">
        <f>HYPERLINK("https://pld.live/RapDetail.aspx?STONELIST=925921054","DNA")</f>
        <v>DNA</v>
      </c>
      <c r="D387" s="18" t="s">
        <v>6675</v>
      </c>
      <c r="E387" s="18" t="s">
        <v>5128</v>
      </c>
      <c r="F387" s="2" t="s">
        <v>7987</v>
      </c>
      <c r="G387" s="2" t="s">
        <v>861</v>
      </c>
      <c r="H387" s="14">
        <v>1.94</v>
      </c>
      <c r="I387" s="2" t="s">
        <v>6587</v>
      </c>
      <c r="J387" s="2" t="s">
        <v>13</v>
      </c>
      <c r="K387" s="2" t="s">
        <v>3390</v>
      </c>
      <c r="L387" s="2" t="s">
        <v>5221</v>
      </c>
      <c r="M387" s="2" t="s">
        <v>5221</v>
      </c>
      <c r="N387" s="2" t="s">
        <v>2317</v>
      </c>
      <c r="O387" s="14">
        <v>9900</v>
      </c>
      <c r="P387" s="14">
        <v>98.81</v>
      </c>
      <c r="Q387" s="14">
        <v>117.81</v>
      </c>
      <c r="R387" s="14">
        <v>228.55</v>
      </c>
      <c r="S387" s="2" t="s">
        <v>4529</v>
      </c>
      <c r="T387" s="2">
        <v>1.01</v>
      </c>
      <c r="U387" s="2">
        <v>62.3</v>
      </c>
      <c r="V387" s="2">
        <v>58</v>
      </c>
      <c r="W387" s="2" t="s">
        <v>7862</v>
      </c>
      <c r="X387" s="2" t="s">
        <v>5405</v>
      </c>
      <c r="Y387" s="2">
        <v>19206</v>
      </c>
      <c r="Z387" s="19" t="str">
        <f>HYPERLINK("https://ssdweb.co/ssdweb/hd/Vision360.html?d=925921054&amp;zoomslide=1&amp;z=1925921054&amp;ISCONFIRM=0","VIDEO")</f>
        <v>VIDEO</v>
      </c>
      <c r="AA387" s="19" t="str">
        <f>HYPERLINK("https://ssdweb.co/ssdweb/CERTH/629497521.pdf","CERTI")</f>
        <v>CERTI</v>
      </c>
    </row>
    <row r="388" spans="1:27" ht="15" x14ac:dyDescent="0.25">
      <c r="A388" s="2">
        <v>383</v>
      </c>
      <c r="B388" s="39">
        <v>831020612</v>
      </c>
      <c r="C388" s="28" t="str">
        <f>HYPERLINK("https://pld.live/RapDetail.aspx?STONELIST=831020612","DNA")</f>
        <v>DNA</v>
      </c>
      <c r="D388" s="18" t="s">
        <v>6675</v>
      </c>
      <c r="E388" s="18" t="s">
        <v>2186</v>
      </c>
      <c r="F388" s="2" t="s">
        <v>5597</v>
      </c>
      <c r="G388" s="2" t="s">
        <v>861</v>
      </c>
      <c r="H388" s="14">
        <v>1.93</v>
      </c>
      <c r="I388" s="2" t="s">
        <v>4699</v>
      </c>
      <c r="J388" s="2" t="s">
        <v>5144</v>
      </c>
      <c r="K388" s="2" t="s">
        <v>5221</v>
      </c>
      <c r="L388" s="2" t="s">
        <v>5221</v>
      </c>
      <c r="M388" s="2" t="s">
        <v>5221</v>
      </c>
      <c r="N388" s="2" t="s">
        <v>2317</v>
      </c>
      <c r="O388" s="14">
        <v>10300</v>
      </c>
      <c r="P388" s="14">
        <v>97.87</v>
      </c>
      <c r="Q388" s="14">
        <v>219.39</v>
      </c>
      <c r="R388" s="14">
        <v>423.42</v>
      </c>
      <c r="S388" s="2" t="s">
        <v>6087</v>
      </c>
      <c r="T388" s="2">
        <v>1.01</v>
      </c>
      <c r="U388" s="2">
        <v>62.5</v>
      </c>
      <c r="V388" s="2">
        <v>56</v>
      </c>
      <c r="W388" s="2" t="s">
        <v>7862</v>
      </c>
      <c r="X388" s="2" t="s">
        <v>5405</v>
      </c>
      <c r="Y388" s="2">
        <v>19879</v>
      </c>
      <c r="Z388" s="19" t="str">
        <f>HYPERLINK("https://ssdweb.co/ssdweb/hd/Vision360.html?d=831020612&amp;zoomslide=1&amp;z=1831020612&amp;ISCONFIRM=0","VIDEO")</f>
        <v>VIDEO</v>
      </c>
      <c r="AA388" s="19" t="str">
        <f>HYPERLINK("https://ssdweb.co/ssdweb/CERTH/2464396990.pdf","CERTI")</f>
        <v>CERTI</v>
      </c>
    </row>
    <row r="389" spans="1:27" ht="15" x14ac:dyDescent="0.25">
      <c r="A389" s="2">
        <v>384</v>
      </c>
      <c r="B389" s="39">
        <v>831010752</v>
      </c>
      <c r="C389" s="28" t="str">
        <f>HYPERLINK("https://pld.live/RapDetail.aspx?STONELIST=831010752","DNA")</f>
        <v>DNA</v>
      </c>
      <c r="D389" s="18" t="s">
        <v>6675</v>
      </c>
      <c r="E389" s="18" t="s">
        <v>5128</v>
      </c>
      <c r="F389" s="2" t="s">
        <v>7987</v>
      </c>
      <c r="G389" s="2" t="s">
        <v>861</v>
      </c>
      <c r="H389" s="14">
        <v>1.92</v>
      </c>
      <c r="I389" s="2" t="s">
        <v>267</v>
      </c>
      <c r="J389" s="2" t="s">
        <v>5144</v>
      </c>
      <c r="K389" s="2" t="s">
        <v>3390</v>
      </c>
      <c r="L389" s="2" t="s">
        <v>5221</v>
      </c>
      <c r="M389" s="2" t="s">
        <v>5221</v>
      </c>
      <c r="N389" s="2" t="s">
        <v>2317</v>
      </c>
      <c r="O389" s="14">
        <v>12000</v>
      </c>
      <c r="P389" s="14">
        <v>98.88</v>
      </c>
      <c r="Q389" s="14">
        <v>134.4</v>
      </c>
      <c r="R389" s="14">
        <v>258.05</v>
      </c>
      <c r="S389" s="2" t="s">
        <v>3582</v>
      </c>
      <c r="T389" s="2">
        <v>1.01</v>
      </c>
      <c r="U389" s="2">
        <v>62.4</v>
      </c>
      <c r="V389" s="2">
        <v>58</v>
      </c>
      <c r="W389" s="2" t="s">
        <v>7862</v>
      </c>
      <c r="X389" s="2" t="s">
        <v>5405</v>
      </c>
      <c r="Y389" s="2">
        <v>23040</v>
      </c>
      <c r="Z389" s="19" t="str">
        <f>HYPERLINK("https://ssdweb.co/ssdweb/hd/Vision360.html?d=831010752&amp;zoomslide=1&amp;z=1831010752&amp;ISCONFIRM=0","VIDEO")</f>
        <v>VIDEO</v>
      </c>
      <c r="AA389" s="19" t="str">
        <f>HYPERLINK("https://ssdweb.co/ssdweb/CERTH/628463042.pdf","CERTI")</f>
        <v>CERTI</v>
      </c>
    </row>
    <row r="390" spans="1:27" ht="15" x14ac:dyDescent="0.25">
      <c r="A390" s="2">
        <v>385</v>
      </c>
      <c r="B390" s="39">
        <v>925951091</v>
      </c>
      <c r="C390" s="28" t="str">
        <f>HYPERLINK("https://pld.live/RapDetail.aspx?STONELIST=925951091","DNA")</f>
        <v>DNA</v>
      </c>
      <c r="D390" s="18" t="s">
        <v>6675</v>
      </c>
      <c r="E390" s="18" t="s">
        <v>5128</v>
      </c>
      <c r="F390" s="2" t="s">
        <v>7987</v>
      </c>
      <c r="G390" s="2" t="s">
        <v>861</v>
      </c>
      <c r="H390" s="14">
        <v>1.92</v>
      </c>
      <c r="I390" s="2" t="s">
        <v>4761</v>
      </c>
      <c r="J390" s="2" t="s">
        <v>5144</v>
      </c>
      <c r="K390" s="2" t="s">
        <v>3390</v>
      </c>
      <c r="L390" s="2" t="s">
        <v>5221</v>
      </c>
      <c r="M390" s="2" t="s">
        <v>5221</v>
      </c>
      <c r="N390" s="2" t="s">
        <v>2317</v>
      </c>
      <c r="O390" s="14">
        <v>11000</v>
      </c>
      <c r="P390" s="14">
        <v>98.82</v>
      </c>
      <c r="Q390" s="14">
        <v>129.80000000000001</v>
      </c>
      <c r="R390" s="14">
        <v>249.22</v>
      </c>
      <c r="S390" s="2" t="s">
        <v>3080</v>
      </c>
      <c r="T390" s="2">
        <v>1.01</v>
      </c>
      <c r="U390" s="2">
        <v>62.3</v>
      </c>
      <c r="V390" s="2">
        <v>57</v>
      </c>
      <c r="W390" s="2" t="s">
        <v>7862</v>
      </c>
      <c r="X390" s="2" t="s">
        <v>5405</v>
      </c>
      <c r="Y390" s="2">
        <v>21120</v>
      </c>
      <c r="Z390" s="19" t="str">
        <f>HYPERLINK("https://ssdweb.co/ssdweb/hd/Vision360.html?d=925951091&amp;zoomslide=1&amp;z=1925951091&amp;ISCONFIRM=0","VIDEO")</f>
        <v>VIDEO</v>
      </c>
      <c r="AA390" s="19" t="str">
        <f>HYPERLINK("https://ssdweb.co/ssdweb/CERTH/631464266.pdf","CERTI")</f>
        <v>CERTI</v>
      </c>
    </row>
    <row r="391" spans="1:27" ht="15" x14ac:dyDescent="0.25">
      <c r="A391" s="2">
        <v>386</v>
      </c>
      <c r="B391" s="39">
        <v>941360461</v>
      </c>
      <c r="C391" s="28" t="str">
        <f>HYPERLINK("https://pld.live/RapDetail.aspx?STONELIST=941360461","DNA")</f>
        <v>DNA</v>
      </c>
      <c r="D391" s="18" t="s">
        <v>6675</v>
      </c>
      <c r="E391" s="18" t="s">
        <v>2186</v>
      </c>
      <c r="F391" s="2" t="s">
        <v>7987</v>
      </c>
      <c r="G391" s="2" t="s">
        <v>861</v>
      </c>
      <c r="H391" s="14">
        <v>1.91</v>
      </c>
      <c r="I391" s="2" t="s">
        <v>4761</v>
      </c>
      <c r="J391" s="2" t="s">
        <v>5144</v>
      </c>
      <c r="K391" s="2" t="s">
        <v>3390</v>
      </c>
      <c r="L391" s="2" t="s">
        <v>5221</v>
      </c>
      <c r="M391" s="2" t="s">
        <v>5221</v>
      </c>
      <c r="N391" s="2" t="s">
        <v>2317</v>
      </c>
      <c r="O391" s="14">
        <v>11000</v>
      </c>
      <c r="P391" s="14">
        <v>98.8</v>
      </c>
      <c r="Q391" s="14">
        <v>132</v>
      </c>
      <c r="R391" s="14">
        <v>252.12</v>
      </c>
      <c r="S391" s="2" t="s">
        <v>3634</v>
      </c>
      <c r="T391" s="2">
        <v>1.01</v>
      </c>
      <c r="U391" s="2">
        <v>60</v>
      </c>
      <c r="V391" s="2">
        <v>59</v>
      </c>
      <c r="W391" s="2" t="s">
        <v>7862</v>
      </c>
      <c r="X391" s="2" t="s">
        <v>5405</v>
      </c>
      <c r="Y391" s="2">
        <v>21010</v>
      </c>
      <c r="Z391" s="19" t="str">
        <f>HYPERLINK("https://ssdweb.co/ssdweb/hd/Vision360.html?d=941360461&amp;zoomslide=1&amp;z=1941360461&amp;ISCONFIRM=0","VIDEO")</f>
        <v>VIDEO</v>
      </c>
      <c r="AA391" s="19" t="str">
        <f>HYPERLINK("https://ssdweb.co/ssdweb/CERTH/691509958.pdf","CERTI")</f>
        <v>CERTI</v>
      </c>
    </row>
    <row r="392" spans="1:27" ht="15" x14ac:dyDescent="0.25">
      <c r="A392" s="2">
        <v>387</v>
      </c>
      <c r="B392" s="39">
        <v>925110183</v>
      </c>
      <c r="C392" s="28" t="str">
        <f>HYPERLINK("https://pld.live/RapDetail.aspx?STONELIST=925110183","DNA")</f>
        <v>DNA</v>
      </c>
      <c r="D392" s="18" t="s">
        <v>6675</v>
      </c>
      <c r="E392" s="18" t="s">
        <v>5128</v>
      </c>
      <c r="F392" s="2" t="s">
        <v>7987</v>
      </c>
      <c r="G392" s="2" t="s">
        <v>861</v>
      </c>
      <c r="H392" s="14">
        <v>1.91</v>
      </c>
      <c r="I392" s="2" t="s">
        <v>4761</v>
      </c>
      <c r="J392" s="2" t="s">
        <v>5144</v>
      </c>
      <c r="K392" s="2" t="s">
        <v>3390</v>
      </c>
      <c r="L392" s="2" t="s">
        <v>5221</v>
      </c>
      <c r="M392" s="2" t="s">
        <v>5221</v>
      </c>
      <c r="N392" s="2" t="s">
        <v>2317</v>
      </c>
      <c r="O392" s="14">
        <v>11000</v>
      </c>
      <c r="P392" s="14">
        <v>98.84</v>
      </c>
      <c r="Q392" s="14">
        <v>127.6</v>
      </c>
      <c r="R392" s="14">
        <v>243.72</v>
      </c>
      <c r="S392" s="2" t="s">
        <v>4216</v>
      </c>
      <c r="T392" s="2">
        <v>1.01</v>
      </c>
      <c r="U392" s="2">
        <v>61.6</v>
      </c>
      <c r="V392" s="2">
        <v>57</v>
      </c>
      <c r="W392" s="2" t="s">
        <v>7862</v>
      </c>
      <c r="X392" s="2" t="s">
        <v>5405</v>
      </c>
      <c r="Y392" s="2">
        <v>21010</v>
      </c>
      <c r="Z392" s="19" t="str">
        <f>HYPERLINK("https://ssdweb.co/ssdweb/hd/Vision360.html?d=925110183&amp;zoomslide=1&amp;z=1925110183&amp;ISCONFIRM=0","VIDEO")</f>
        <v>VIDEO</v>
      </c>
      <c r="AA392" s="19" t="str">
        <f>HYPERLINK("https://ssdweb.co/ssdweb/CERTH/606329973.pdf","CERTI")</f>
        <v>CERTI</v>
      </c>
    </row>
    <row r="393" spans="1:27" ht="15" x14ac:dyDescent="0.25">
      <c r="A393" s="2">
        <v>388</v>
      </c>
      <c r="B393" s="39">
        <v>925550922</v>
      </c>
      <c r="C393" s="28" t="str">
        <f>HYPERLINK("https://pld.live/RapDetail.aspx?STONELIST=925550922","DNA")</f>
        <v>DNA</v>
      </c>
      <c r="D393" s="18" t="s">
        <v>6675</v>
      </c>
      <c r="E393" s="18" t="s">
        <v>5128</v>
      </c>
      <c r="F393" s="2" t="s">
        <v>7987</v>
      </c>
      <c r="G393" s="2" t="s">
        <v>861</v>
      </c>
      <c r="H393" s="14">
        <v>1.9</v>
      </c>
      <c r="I393" s="2" t="s">
        <v>4761</v>
      </c>
      <c r="J393" s="2" t="s">
        <v>3942</v>
      </c>
      <c r="K393" s="2" t="s">
        <v>5221</v>
      </c>
      <c r="L393" s="2" t="s">
        <v>5221</v>
      </c>
      <c r="M393" s="2" t="s">
        <v>5221</v>
      </c>
      <c r="N393" s="2" t="s">
        <v>2317</v>
      </c>
      <c r="O393" s="14">
        <v>14300</v>
      </c>
      <c r="P393" s="14">
        <v>99.03</v>
      </c>
      <c r="Q393" s="14">
        <v>138.71</v>
      </c>
      <c r="R393" s="14">
        <v>263.55</v>
      </c>
      <c r="S393" s="2" t="s">
        <v>6016</v>
      </c>
      <c r="T393" s="2">
        <v>1.01</v>
      </c>
      <c r="U393" s="2">
        <v>63</v>
      </c>
      <c r="V393" s="2">
        <v>61</v>
      </c>
      <c r="W393" s="2" t="s">
        <v>7862</v>
      </c>
      <c r="X393" s="2" t="s">
        <v>5405</v>
      </c>
      <c r="Y393" s="2">
        <v>27170</v>
      </c>
      <c r="Z393" s="19" t="str">
        <f>HYPERLINK("https://ssdweb.co/ssdweb/hd/Vision360.html?d=925550922&amp;zoomslide=1&amp;z=1925550922&amp;ISCONFIRM=0","VIDEO")</f>
        <v>VIDEO</v>
      </c>
      <c r="AA393" s="19" t="str">
        <f>HYPERLINK("https://ssdweb.co/ssdweb/CERTH/619424179.pdf","CERTI")</f>
        <v>CERTI</v>
      </c>
    </row>
    <row r="394" spans="1:27" ht="15" x14ac:dyDescent="0.25">
      <c r="A394" s="2">
        <v>389</v>
      </c>
      <c r="B394" s="39">
        <v>831020508</v>
      </c>
      <c r="C394" s="28" t="str">
        <f>HYPERLINK("https://pld.live/RapDetail.aspx?STONELIST=831020508","DNA")</f>
        <v>DNA</v>
      </c>
      <c r="D394" s="18" t="s">
        <v>6675</v>
      </c>
      <c r="E394" s="18" t="s">
        <v>2186</v>
      </c>
      <c r="F394" s="2" t="s">
        <v>5597</v>
      </c>
      <c r="G394" s="2" t="s">
        <v>861</v>
      </c>
      <c r="H394" s="14">
        <v>1.9</v>
      </c>
      <c r="I394" s="2" t="s">
        <v>4699</v>
      </c>
      <c r="J394" s="2" t="s">
        <v>13</v>
      </c>
      <c r="K394" s="2" t="s">
        <v>5221</v>
      </c>
      <c r="L394" s="2" t="s">
        <v>5221</v>
      </c>
      <c r="M394" s="2" t="s">
        <v>5221</v>
      </c>
      <c r="N394" s="2" t="s">
        <v>2317</v>
      </c>
      <c r="O394" s="14">
        <v>11400</v>
      </c>
      <c r="P394" s="14">
        <v>97.96</v>
      </c>
      <c r="Q394" s="14">
        <v>232.56</v>
      </c>
      <c r="R394" s="14">
        <v>441.86</v>
      </c>
      <c r="S394" s="2" t="s">
        <v>2432</v>
      </c>
      <c r="T394" s="2">
        <v>1.01</v>
      </c>
      <c r="U394" s="2">
        <v>62.3</v>
      </c>
      <c r="V394" s="2">
        <v>58</v>
      </c>
      <c r="W394" s="2" t="s">
        <v>7862</v>
      </c>
      <c r="X394" s="2" t="s">
        <v>5405</v>
      </c>
      <c r="Y394" s="2">
        <v>21660</v>
      </c>
      <c r="Z394" s="19" t="str">
        <f>HYPERLINK("https://ssdweb.co/ssdweb/hd/Vision360.html?d=831020508&amp;zoomslide=1&amp;z=1831020508&amp;ISCONFIRM=0","VIDEO")</f>
        <v>VIDEO</v>
      </c>
      <c r="AA394" s="19" t="str">
        <f>HYPERLINK("https://ssdweb.co/ssdweb/CERTH/5453997338.pdf","CERTI")</f>
        <v>CERTI</v>
      </c>
    </row>
    <row r="395" spans="1:27" ht="15" x14ac:dyDescent="0.25">
      <c r="A395" s="2">
        <v>390</v>
      </c>
      <c r="B395" s="39">
        <v>831020510</v>
      </c>
      <c r="C395" s="28" t="str">
        <f>HYPERLINK("https://pld.live/RapDetail.aspx?STONELIST=831020510","DNA")</f>
        <v>DNA</v>
      </c>
      <c r="D395" s="18" t="s">
        <v>6675</v>
      </c>
      <c r="E395" s="18" t="s">
        <v>2186</v>
      </c>
      <c r="F395" s="2" t="s">
        <v>7987</v>
      </c>
      <c r="G395" s="2" t="s">
        <v>861</v>
      </c>
      <c r="H395" s="14">
        <v>1.9</v>
      </c>
      <c r="I395" s="2" t="s">
        <v>1505</v>
      </c>
      <c r="J395" s="2" t="s">
        <v>13</v>
      </c>
      <c r="K395" s="2" t="s">
        <v>5221</v>
      </c>
      <c r="L395" s="2" t="s">
        <v>5221</v>
      </c>
      <c r="M395" s="2" t="s">
        <v>5221</v>
      </c>
      <c r="N395" s="2" t="s">
        <v>2317</v>
      </c>
      <c r="O395" s="14">
        <v>8100</v>
      </c>
      <c r="P395" s="14">
        <v>98.68</v>
      </c>
      <c r="Q395" s="14">
        <v>106.92</v>
      </c>
      <c r="R395" s="14">
        <v>203.15</v>
      </c>
      <c r="S395" s="2" t="s">
        <v>7089</v>
      </c>
      <c r="T395" s="2">
        <v>1</v>
      </c>
      <c r="U395" s="2">
        <v>62.7</v>
      </c>
      <c r="V395" s="2">
        <v>54</v>
      </c>
      <c r="W395" s="2" t="s">
        <v>8016</v>
      </c>
      <c r="X395" s="2" t="s">
        <v>5405</v>
      </c>
      <c r="Y395" s="2">
        <v>15390</v>
      </c>
      <c r="Z395" s="19" t="str">
        <f>HYPERLINK("https://ssdweb.co/ssdweb/hd/Vision360.html?d=831020510&amp;zoomslide=1&amp;z=1831020510&amp;ISCONFIRM=0","VIDEO")</f>
        <v>VIDEO</v>
      </c>
      <c r="AA395" s="19" t="str">
        <f>HYPERLINK("https://ssdweb.co/ssdweb/CERTH/539235929.pdf","CERTI")</f>
        <v>CERTI</v>
      </c>
    </row>
    <row r="396" spans="1:27" ht="15" x14ac:dyDescent="0.25">
      <c r="A396" s="2">
        <v>391</v>
      </c>
      <c r="B396" s="39">
        <v>831010631</v>
      </c>
      <c r="C396" s="28" t="str">
        <f>HYPERLINK("https://pld.live/RapDetail.aspx?STONELIST=831010631","DNA")</f>
        <v>DNA</v>
      </c>
      <c r="D396" s="18" t="s">
        <v>5313</v>
      </c>
      <c r="E396" s="18" t="s">
        <v>5128</v>
      </c>
      <c r="F396" s="2" t="s">
        <v>7987</v>
      </c>
      <c r="G396" s="2" t="s">
        <v>861</v>
      </c>
      <c r="H396" s="14">
        <v>1.87</v>
      </c>
      <c r="I396" s="2" t="s">
        <v>267</v>
      </c>
      <c r="J396" s="2" t="s">
        <v>5144</v>
      </c>
      <c r="K396" s="2" t="s">
        <v>3390</v>
      </c>
      <c r="L396" s="2" t="s">
        <v>5221</v>
      </c>
      <c r="M396" s="2" t="s">
        <v>5221</v>
      </c>
      <c r="N396" s="2" t="s">
        <v>2317</v>
      </c>
      <c r="O396" s="14">
        <v>12000</v>
      </c>
      <c r="P396" s="14">
        <v>98.96</v>
      </c>
      <c r="Q396" s="14">
        <v>124.8</v>
      </c>
      <c r="R396" s="14">
        <v>233.38</v>
      </c>
      <c r="S396" s="2" t="s">
        <v>6875</v>
      </c>
      <c r="T396" s="2">
        <v>1.01</v>
      </c>
      <c r="U396" s="2">
        <v>62.4</v>
      </c>
      <c r="V396" s="2">
        <v>58</v>
      </c>
      <c r="W396" s="2" t="s">
        <v>7862</v>
      </c>
      <c r="X396" s="2" t="s">
        <v>5405</v>
      </c>
      <c r="Y396" s="2">
        <v>22440</v>
      </c>
      <c r="Z396" s="19" t="str">
        <f>HYPERLINK("https://ssdweb.co/ssdweb/hd/Vision360.html?d=831010631&amp;zoomslide=1&amp;z=1831010631&amp;ISCONFIRM=0","VIDEO")</f>
        <v>VIDEO</v>
      </c>
      <c r="AA396" s="19" t="str">
        <f>HYPERLINK("https://ssdweb.co/ssdweb/CERTH/619469627.pdf","CERTI")</f>
        <v>CERTI</v>
      </c>
    </row>
    <row r="397" spans="1:27" ht="15" x14ac:dyDescent="0.25">
      <c r="A397" s="2">
        <v>392</v>
      </c>
      <c r="B397" s="39">
        <v>925960926</v>
      </c>
      <c r="C397" s="28" t="str">
        <f>HYPERLINK("https://pld.live/RapDetail.aspx?STONELIST=925960926","DNA")</f>
        <v>DNA</v>
      </c>
      <c r="D397" s="18" t="s">
        <v>5313</v>
      </c>
      <c r="E397" s="18" t="s">
        <v>5128</v>
      </c>
      <c r="F397" s="2" t="s">
        <v>7987</v>
      </c>
      <c r="G397" s="2" t="s">
        <v>861</v>
      </c>
      <c r="H397" s="14">
        <v>1.86</v>
      </c>
      <c r="I397" s="2" t="s">
        <v>4699</v>
      </c>
      <c r="J397" s="2" t="s">
        <v>5144</v>
      </c>
      <c r="K397" s="2" t="s">
        <v>3390</v>
      </c>
      <c r="L397" s="2" t="s">
        <v>5221</v>
      </c>
      <c r="M397" s="2" t="s">
        <v>5221</v>
      </c>
      <c r="N397" s="2" t="s">
        <v>2317</v>
      </c>
      <c r="O397" s="14">
        <v>10300</v>
      </c>
      <c r="P397" s="14">
        <v>98.87</v>
      </c>
      <c r="Q397" s="14">
        <v>116.39</v>
      </c>
      <c r="R397" s="14">
        <v>216.49</v>
      </c>
      <c r="S397" s="2" t="s">
        <v>3248</v>
      </c>
      <c r="T397" s="2">
        <v>1.01</v>
      </c>
      <c r="U397" s="2">
        <v>62.5</v>
      </c>
      <c r="V397" s="2">
        <v>58</v>
      </c>
      <c r="W397" s="2" t="s">
        <v>7862</v>
      </c>
      <c r="X397" s="2" t="s">
        <v>5405</v>
      </c>
      <c r="Y397" s="2">
        <v>19158</v>
      </c>
      <c r="Z397" s="19" t="str">
        <f>HYPERLINK("https://ssdweb.co/ssdweb/hd/Vision360.html?d=925960926&amp;zoomslide=1&amp;z=1925960926&amp;ISCONFIRM=0","VIDEO")</f>
        <v>VIDEO</v>
      </c>
      <c r="AA397" s="19" t="str">
        <f>HYPERLINK("https://ssdweb.co/ssdweb/CERTH/631464221.pdf","CERTI")</f>
        <v>CERTI</v>
      </c>
    </row>
    <row r="398" spans="1:27" ht="15" x14ac:dyDescent="0.25">
      <c r="A398" s="2">
        <v>393</v>
      </c>
      <c r="B398" s="39">
        <v>925851270</v>
      </c>
      <c r="C398" s="28" t="str">
        <f>HYPERLINK("https://pld.live/RapDetail.aspx?STONELIST=925851270","DNA")</f>
        <v>DNA</v>
      </c>
      <c r="D398" s="18" t="s">
        <v>5313</v>
      </c>
      <c r="E398" s="18" t="s">
        <v>5128</v>
      </c>
      <c r="F398" s="2" t="s">
        <v>7987</v>
      </c>
      <c r="G398" s="2" t="s">
        <v>861</v>
      </c>
      <c r="H398" s="14">
        <v>1.85</v>
      </c>
      <c r="I398" s="2" t="s">
        <v>267</v>
      </c>
      <c r="J398" s="2" t="s">
        <v>5144</v>
      </c>
      <c r="K398" s="2" t="s">
        <v>3390</v>
      </c>
      <c r="L398" s="2" t="s">
        <v>5221</v>
      </c>
      <c r="M398" s="2" t="s">
        <v>5221</v>
      </c>
      <c r="N398" s="2" t="s">
        <v>2317</v>
      </c>
      <c r="O398" s="14">
        <v>12000</v>
      </c>
      <c r="P398" s="14">
        <v>98.94</v>
      </c>
      <c r="Q398" s="14">
        <v>127.2</v>
      </c>
      <c r="R398" s="14">
        <v>235.32</v>
      </c>
      <c r="S398" s="2" t="s">
        <v>5320</v>
      </c>
      <c r="T398" s="2">
        <v>1.01</v>
      </c>
      <c r="U398" s="2">
        <v>62.2</v>
      </c>
      <c r="V398" s="2">
        <v>55</v>
      </c>
      <c r="W398" s="2" t="s">
        <v>7862</v>
      </c>
      <c r="X398" s="2" t="s">
        <v>5405</v>
      </c>
      <c r="Y398" s="2">
        <v>22200</v>
      </c>
      <c r="Z398" s="19" t="str">
        <f>HYPERLINK("https://ssdweb.co/ssdweb/hd/Vision360.html?d=925851270&amp;zoomslide=1&amp;z=1925851270&amp;ISCONFIRM=0","VIDEO")</f>
        <v>VIDEO</v>
      </c>
      <c r="AA398" s="19" t="str">
        <f>HYPERLINK("https://ssdweb.co/ssdweb/CERTH/631464366.pdf","CERTI")</f>
        <v>CERTI</v>
      </c>
    </row>
    <row r="399" spans="1:27" ht="15" x14ac:dyDescent="0.25">
      <c r="A399" s="2">
        <v>394</v>
      </c>
      <c r="B399" s="39">
        <v>925951282</v>
      </c>
      <c r="C399" s="28" t="str">
        <f>HYPERLINK("https://pld.live/RapDetail.aspx?STONELIST=925951282","DNA")</f>
        <v>DNA</v>
      </c>
      <c r="D399" s="18" t="s">
        <v>5313</v>
      </c>
      <c r="E399" s="18" t="s">
        <v>5128</v>
      </c>
      <c r="F399" s="2" t="s">
        <v>5597</v>
      </c>
      <c r="G399" s="2" t="s">
        <v>861</v>
      </c>
      <c r="H399" s="14">
        <v>1.84</v>
      </c>
      <c r="I399" s="2" t="s">
        <v>267</v>
      </c>
      <c r="J399" s="2" t="s">
        <v>3942</v>
      </c>
      <c r="K399" s="2" t="s">
        <v>5221</v>
      </c>
      <c r="L399" s="2" t="s">
        <v>5221</v>
      </c>
      <c r="M399" s="2" t="s">
        <v>5221</v>
      </c>
      <c r="N399" s="2" t="s">
        <v>2317</v>
      </c>
      <c r="O399" s="14">
        <v>15400</v>
      </c>
      <c r="P399" s="14">
        <v>98.23</v>
      </c>
      <c r="Q399" s="14">
        <v>272.58</v>
      </c>
      <c r="R399" s="14">
        <v>501.55</v>
      </c>
      <c r="S399" s="2" t="s">
        <v>1587</v>
      </c>
      <c r="T399" s="2">
        <v>1.01</v>
      </c>
      <c r="U399" s="2">
        <v>62.5</v>
      </c>
      <c r="V399" s="2">
        <v>56</v>
      </c>
      <c r="W399" s="2" t="s">
        <v>7862</v>
      </c>
      <c r="X399" s="2" t="s">
        <v>5405</v>
      </c>
      <c r="Y399" s="2">
        <v>28336</v>
      </c>
      <c r="Z399" s="19" t="str">
        <f>HYPERLINK("https://ssdweb.co/ssdweb/hd/Vision360.html?d=925951282&amp;zoomslide=1&amp;z=1925951282&amp;ISCONFIRM=0","VIDEO")</f>
        <v>VIDEO</v>
      </c>
      <c r="AA399" s="19" t="str">
        <f>HYPERLINK("https://ssdweb.co/ssdweb/CERTH/2497107990.pdf","CERTI")</f>
        <v>CERTI</v>
      </c>
    </row>
    <row r="400" spans="1:27" ht="15" x14ac:dyDescent="0.25">
      <c r="A400" s="2">
        <v>395</v>
      </c>
      <c r="B400" s="39">
        <v>925981087</v>
      </c>
      <c r="C400" s="28" t="str">
        <f>HYPERLINK("https://pld.live/RapDetail.aspx?STONELIST=925981087","DNA")</f>
        <v>DNA</v>
      </c>
      <c r="D400" s="18" t="s">
        <v>5313</v>
      </c>
      <c r="E400" s="18" t="s">
        <v>5128</v>
      </c>
      <c r="F400" s="2" t="s">
        <v>5597</v>
      </c>
      <c r="G400" s="2" t="s">
        <v>861</v>
      </c>
      <c r="H400" s="14">
        <v>1.84</v>
      </c>
      <c r="I400" s="2" t="s">
        <v>267</v>
      </c>
      <c r="J400" s="2" t="s">
        <v>3942</v>
      </c>
      <c r="K400" s="2" t="s">
        <v>5221</v>
      </c>
      <c r="L400" s="2" t="s">
        <v>5221</v>
      </c>
      <c r="M400" s="2" t="s">
        <v>5221</v>
      </c>
      <c r="N400" s="2" t="s">
        <v>2317</v>
      </c>
      <c r="O400" s="14">
        <v>15400</v>
      </c>
      <c r="P400" s="14">
        <v>98.23</v>
      </c>
      <c r="Q400" s="14">
        <v>272.58</v>
      </c>
      <c r="R400" s="14">
        <v>501.55</v>
      </c>
      <c r="S400" s="2" t="s">
        <v>4052</v>
      </c>
      <c r="T400" s="2">
        <v>1</v>
      </c>
      <c r="U400" s="2">
        <v>62.4</v>
      </c>
      <c r="V400" s="2">
        <v>57</v>
      </c>
      <c r="W400" s="2" t="s">
        <v>7862</v>
      </c>
      <c r="X400" s="2" t="s">
        <v>5405</v>
      </c>
      <c r="Y400" s="2">
        <v>28336</v>
      </c>
      <c r="Z400" s="19" t="str">
        <f>HYPERLINK("https://ssdweb.co/ssdweb/hd/Vision360.html?d=925981087&amp;zoomslide=1&amp;z=1925981087&amp;ISCONFIRM=0","VIDEO")</f>
        <v>VIDEO</v>
      </c>
      <c r="AA400" s="19" t="str">
        <f>HYPERLINK("https://ssdweb.co/ssdweb/CERTH/2498108010.pdf","CERTI")</f>
        <v>CERTI</v>
      </c>
    </row>
    <row r="401" spans="1:27" ht="15" x14ac:dyDescent="0.25">
      <c r="A401" s="2">
        <v>396</v>
      </c>
      <c r="B401" s="39">
        <v>925310247</v>
      </c>
      <c r="C401" s="28" t="str">
        <f>HYPERLINK("https://pld.live/RapDetail.aspx?STONELIST=925310247","DNA")</f>
        <v>DNA</v>
      </c>
      <c r="D401" s="18" t="s">
        <v>5313</v>
      </c>
      <c r="E401" s="18" t="s">
        <v>5128</v>
      </c>
      <c r="F401" s="2" t="s">
        <v>7987</v>
      </c>
      <c r="G401" s="2" t="s">
        <v>861</v>
      </c>
      <c r="H401" s="14">
        <v>1.84</v>
      </c>
      <c r="I401" s="2" t="s">
        <v>267</v>
      </c>
      <c r="J401" s="2" t="s">
        <v>13</v>
      </c>
      <c r="K401" s="2" t="s">
        <v>5221</v>
      </c>
      <c r="L401" s="2" t="s">
        <v>5221</v>
      </c>
      <c r="M401" s="2" t="s">
        <v>5221</v>
      </c>
      <c r="N401" s="2" t="s">
        <v>2317</v>
      </c>
      <c r="O401" s="14">
        <v>13400</v>
      </c>
      <c r="P401" s="14">
        <v>99.04</v>
      </c>
      <c r="Q401" s="14">
        <v>128.63999999999999</v>
      </c>
      <c r="R401" s="14">
        <v>236.7</v>
      </c>
      <c r="S401" s="2" t="s">
        <v>4570</v>
      </c>
      <c r="T401" s="2">
        <v>1</v>
      </c>
      <c r="U401" s="2">
        <v>62.6</v>
      </c>
      <c r="V401" s="2">
        <v>57</v>
      </c>
      <c r="W401" s="2" t="s">
        <v>7862</v>
      </c>
      <c r="X401" s="2" t="s">
        <v>5405</v>
      </c>
      <c r="Y401" s="2">
        <v>24656</v>
      </c>
      <c r="Z401" s="19" t="str">
        <f>HYPERLINK("https://ssdweb.co/ssdweb/hd/Vision360.html?d=925310247&amp;zoomslide=1&amp;z=1925310247&amp;ISCONFIRM=0","VIDEO")</f>
        <v>VIDEO</v>
      </c>
      <c r="AA401" s="19" t="str">
        <f>HYPERLINK("https://ssdweb.co/ssdweb/CERTH/614338930.pdf","CERTI")</f>
        <v>CERTI</v>
      </c>
    </row>
    <row r="402" spans="1:27" ht="15" x14ac:dyDescent="0.25">
      <c r="A402" s="2">
        <v>397</v>
      </c>
      <c r="B402" s="39">
        <v>925000176</v>
      </c>
      <c r="C402" s="28" t="str">
        <f>HYPERLINK("https://pld.live/RapDetail.aspx?STONELIST=925000176","DNA")</f>
        <v>DNA</v>
      </c>
      <c r="D402" s="18" t="s">
        <v>5313</v>
      </c>
      <c r="E402" s="18" t="s">
        <v>2186</v>
      </c>
      <c r="F402" s="2" t="s">
        <v>7987</v>
      </c>
      <c r="G402" s="2" t="s">
        <v>861</v>
      </c>
      <c r="H402" s="14">
        <v>1.84</v>
      </c>
      <c r="I402" s="2" t="s">
        <v>4761</v>
      </c>
      <c r="J402" s="2" t="s">
        <v>444</v>
      </c>
      <c r="K402" s="2" t="s">
        <v>3390</v>
      </c>
      <c r="L402" s="2" t="s">
        <v>5221</v>
      </c>
      <c r="M402" s="2" t="s">
        <v>5221</v>
      </c>
      <c r="N402" s="2" t="s">
        <v>2317</v>
      </c>
      <c r="O402" s="14">
        <v>8900</v>
      </c>
      <c r="P402" s="14">
        <v>98.72</v>
      </c>
      <c r="Q402" s="14">
        <v>113.92</v>
      </c>
      <c r="R402" s="14">
        <v>209.61</v>
      </c>
      <c r="S402" s="2" t="s">
        <v>1840</v>
      </c>
      <c r="T402" s="2">
        <v>1.01</v>
      </c>
      <c r="U402" s="2">
        <v>60</v>
      </c>
      <c r="V402" s="2">
        <v>59</v>
      </c>
      <c r="W402" s="2" t="s">
        <v>7862</v>
      </c>
      <c r="X402" s="2" t="s">
        <v>5405</v>
      </c>
      <c r="Y402" s="2">
        <v>16376</v>
      </c>
      <c r="Z402" s="19" t="str">
        <f>HYPERLINK("https://ssdweb.co/ssdweb/hd/Vision360.html?d=925000176&amp;zoomslide=1&amp;z=1925000176&amp;ISCONFIRM=0","VIDEO")</f>
        <v>VIDEO</v>
      </c>
      <c r="AA402" s="19" t="str">
        <f>HYPERLINK("https://ssdweb.co/ssdweb/CERTH/605330647.pdf","CERTI")</f>
        <v>CERTI</v>
      </c>
    </row>
    <row r="403" spans="1:27" ht="15" x14ac:dyDescent="0.25">
      <c r="A403" s="2">
        <v>398</v>
      </c>
      <c r="B403" s="39">
        <v>925310307</v>
      </c>
      <c r="C403" s="28" t="str">
        <f>HYPERLINK("https://pld.live/RapDetail.aspx?STONELIST=925310307","DNA")</f>
        <v>DNA</v>
      </c>
      <c r="D403" s="18" t="s">
        <v>5313</v>
      </c>
      <c r="E403" s="18" t="s">
        <v>5128</v>
      </c>
      <c r="F403" s="2" t="s">
        <v>7987</v>
      </c>
      <c r="G403" s="2" t="s">
        <v>861</v>
      </c>
      <c r="H403" s="14">
        <v>1.84</v>
      </c>
      <c r="I403" s="2" t="s">
        <v>4761</v>
      </c>
      <c r="J403" s="2" t="s">
        <v>444</v>
      </c>
      <c r="K403" s="2" t="s">
        <v>3390</v>
      </c>
      <c r="L403" s="2" t="s">
        <v>5221</v>
      </c>
      <c r="M403" s="2" t="s">
        <v>5221</v>
      </c>
      <c r="N403" s="2" t="s">
        <v>2317</v>
      </c>
      <c r="O403" s="14">
        <v>8900</v>
      </c>
      <c r="P403" s="14">
        <v>98.72</v>
      </c>
      <c r="Q403" s="14">
        <v>113.92</v>
      </c>
      <c r="R403" s="14">
        <v>209.61</v>
      </c>
      <c r="S403" s="2" t="s">
        <v>31</v>
      </c>
      <c r="T403" s="2">
        <v>1.01</v>
      </c>
      <c r="U403" s="2">
        <v>61.4</v>
      </c>
      <c r="V403" s="2">
        <v>57</v>
      </c>
      <c r="W403" s="2" t="s">
        <v>7862</v>
      </c>
      <c r="X403" s="2" t="s">
        <v>5405</v>
      </c>
      <c r="Y403" s="2">
        <v>16376</v>
      </c>
      <c r="Z403" s="19" t="str">
        <f>HYPERLINK("https://ssdweb.co/ssdweb/hd/Vision360.html?d=925310307&amp;zoomslide=1&amp;z=1925310307&amp;ISCONFIRM=0","VIDEO")</f>
        <v>VIDEO</v>
      </c>
      <c r="AA403" s="19" t="str">
        <f>HYPERLINK("https://ssdweb.co/ssdweb/CERTH/615342923.pdf","CERTI")</f>
        <v>CERTI</v>
      </c>
    </row>
    <row r="404" spans="1:27" ht="15" x14ac:dyDescent="0.25">
      <c r="A404" s="2">
        <v>399</v>
      </c>
      <c r="B404" s="39">
        <v>925951252</v>
      </c>
      <c r="C404" s="28" t="str">
        <f>HYPERLINK("https://pld.live/RapDetail.aspx?STONELIST=925951252","DNA")</f>
        <v>DNA</v>
      </c>
      <c r="D404" s="18" t="s">
        <v>5313</v>
      </c>
      <c r="E404" s="18" t="s">
        <v>5128</v>
      </c>
      <c r="F404" s="2" t="s">
        <v>5597</v>
      </c>
      <c r="G404" s="2" t="s">
        <v>861</v>
      </c>
      <c r="H404" s="14">
        <v>1.82</v>
      </c>
      <c r="I404" s="2" t="s">
        <v>267</v>
      </c>
      <c r="J404" s="2" t="s">
        <v>6555</v>
      </c>
      <c r="K404" s="2" t="s">
        <v>5221</v>
      </c>
      <c r="L404" s="2" t="s">
        <v>5221</v>
      </c>
      <c r="M404" s="2" t="s">
        <v>5221</v>
      </c>
      <c r="N404" s="2" t="s">
        <v>2317</v>
      </c>
      <c r="O404" s="14">
        <v>18700</v>
      </c>
      <c r="P404" s="14">
        <v>97.9</v>
      </c>
      <c r="Q404" s="14">
        <v>392.7</v>
      </c>
      <c r="R404" s="14">
        <v>714.71</v>
      </c>
      <c r="S404" s="2" t="s">
        <v>1755</v>
      </c>
      <c r="T404" s="2">
        <v>1.01</v>
      </c>
      <c r="U404" s="2">
        <v>62.1</v>
      </c>
      <c r="V404" s="2">
        <v>58</v>
      </c>
      <c r="W404" s="2" t="s">
        <v>7862</v>
      </c>
      <c r="X404" s="2" t="s">
        <v>5405</v>
      </c>
      <c r="Y404" s="2">
        <v>34034</v>
      </c>
      <c r="Z404" s="19" t="str">
        <f>HYPERLINK("https://ssdweb.co/ssdweb/hd/Vision360.html?d=925951252&amp;zoomslide=1&amp;z=1925951252&amp;ISCONFIRM=0","VIDEO")</f>
        <v>VIDEO</v>
      </c>
      <c r="AA404" s="19" t="str">
        <f>HYPERLINK("https://ssdweb.co/ssdweb/CERTH/6492108187.pdf","CERTI")</f>
        <v>CERTI</v>
      </c>
    </row>
    <row r="405" spans="1:27" ht="15" x14ac:dyDescent="0.25">
      <c r="A405" s="2">
        <v>400</v>
      </c>
      <c r="B405" s="39">
        <v>831020611</v>
      </c>
      <c r="C405" s="28" t="str">
        <f>HYPERLINK("https://pld.live/RapDetail.aspx?STONELIST=831020611","DNA")</f>
        <v>DNA</v>
      </c>
      <c r="D405" s="18" t="s">
        <v>5313</v>
      </c>
      <c r="E405" s="18" t="s">
        <v>2186</v>
      </c>
      <c r="F405" s="2" t="s">
        <v>5597</v>
      </c>
      <c r="G405" s="2" t="s">
        <v>861</v>
      </c>
      <c r="H405" s="14">
        <v>1.82</v>
      </c>
      <c r="I405" s="2" t="s">
        <v>4699</v>
      </c>
      <c r="J405" s="2" t="s">
        <v>13</v>
      </c>
      <c r="K405" s="2" t="s">
        <v>5221</v>
      </c>
      <c r="L405" s="2" t="s">
        <v>5221</v>
      </c>
      <c r="M405" s="2" t="s">
        <v>5221</v>
      </c>
      <c r="N405" s="2" t="s">
        <v>2317</v>
      </c>
      <c r="O405" s="14">
        <v>11400</v>
      </c>
      <c r="P405" s="14">
        <v>97.93</v>
      </c>
      <c r="Q405" s="14">
        <v>235.98</v>
      </c>
      <c r="R405" s="14">
        <v>429.48</v>
      </c>
      <c r="S405" s="2" t="s">
        <v>1676</v>
      </c>
      <c r="T405" s="2">
        <v>1</v>
      </c>
      <c r="U405" s="2">
        <v>60</v>
      </c>
      <c r="V405" s="2">
        <v>59</v>
      </c>
      <c r="W405" s="2" t="s">
        <v>7862</v>
      </c>
      <c r="X405" s="2" t="s">
        <v>5405</v>
      </c>
      <c r="Y405" s="2">
        <v>20748</v>
      </c>
      <c r="Z405" s="19" t="str">
        <f>HYPERLINK("https://ssdweb.co/ssdweb/hd/Vision360.html?d=831020611&amp;zoomslide=1&amp;z=1831020611&amp;ISCONFIRM=0","VIDEO")</f>
        <v>VIDEO</v>
      </c>
      <c r="AA405" s="19" t="str">
        <f>HYPERLINK("https://ssdweb.co/ssdweb/CERTH/7458528301.pdf","CERTI")</f>
        <v>CERTI</v>
      </c>
    </row>
    <row r="406" spans="1:27" ht="15" x14ac:dyDescent="0.25">
      <c r="A406" s="2">
        <v>401</v>
      </c>
      <c r="B406" s="39">
        <v>831020506</v>
      </c>
      <c r="C406" s="28" t="str">
        <f>HYPERLINK("https://pld.live/RapDetail.aspx?STONELIST=831020506","DNA")</f>
        <v>DNA</v>
      </c>
      <c r="D406" s="18" t="s">
        <v>5313</v>
      </c>
      <c r="E406" s="18" t="s">
        <v>2186</v>
      </c>
      <c r="F406" s="2" t="s">
        <v>5597</v>
      </c>
      <c r="G406" s="2" t="s">
        <v>861</v>
      </c>
      <c r="H406" s="14">
        <v>1.8</v>
      </c>
      <c r="I406" s="2" t="s">
        <v>267</v>
      </c>
      <c r="J406" s="2" t="s">
        <v>13</v>
      </c>
      <c r="K406" s="2" t="s">
        <v>5221</v>
      </c>
      <c r="L406" s="2" t="s">
        <v>5221</v>
      </c>
      <c r="M406" s="2" t="s">
        <v>5221</v>
      </c>
      <c r="N406" s="2" t="s">
        <v>2317</v>
      </c>
      <c r="O406" s="14">
        <v>13400</v>
      </c>
      <c r="P406" s="14">
        <v>98</v>
      </c>
      <c r="Q406" s="14">
        <v>268</v>
      </c>
      <c r="R406" s="14">
        <v>482.4</v>
      </c>
      <c r="S406" s="2" t="s">
        <v>6242</v>
      </c>
      <c r="T406" s="2">
        <v>1.01</v>
      </c>
      <c r="U406" s="2">
        <v>61.9</v>
      </c>
      <c r="V406" s="2">
        <v>59</v>
      </c>
      <c r="W406" s="2" t="s">
        <v>7862</v>
      </c>
      <c r="X406" s="2" t="s">
        <v>5405</v>
      </c>
      <c r="Y406" s="2">
        <v>24120</v>
      </c>
      <c r="Z406" s="19" t="str">
        <f>HYPERLINK("https://ssdweb.co/ssdweb/hd/Vision360.html?d=831020506&amp;zoomslide=1&amp;z=1831020506&amp;ISCONFIRM=0","VIDEO")</f>
        <v>VIDEO</v>
      </c>
      <c r="AA406" s="19" t="str">
        <f>HYPERLINK("https://ssdweb.co/ssdweb/CERTH/7452752695.pdf","CERTI")</f>
        <v>CERTI</v>
      </c>
    </row>
    <row r="407" spans="1:27" ht="15" x14ac:dyDescent="0.25">
      <c r="A407" s="2">
        <v>402</v>
      </c>
      <c r="B407" s="39">
        <v>941340073</v>
      </c>
      <c r="C407" s="28" t="str">
        <f>HYPERLINK("https://pld.live/RapDetail.aspx?STONELIST=941340073","DNA")</f>
        <v>DNA</v>
      </c>
      <c r="D407" s="18" t="s">
        <v>5313</v>
      </c>
      <c r="E407" s="18" t="s">
        <v>2186</v>
      </c>
      <c r="F407" s="2" t="s">
        <v>7987</v>
      </c>
      <c r="G407" s="2" t="s">
        <v>861</v>
      </c>
      <c r="H407" s="14">
        <v>1.8</v>
      </c>
      <c r="I407" s="2" t="s">
        <v>4761</v>
      </c>
      <c r="J407" s="2" t="s">
        <v>3942</v>
      </c>
      <c r="K407" s="2" t="s">
        <v>3390</v>
      </c>
      <c r="L407" s="2" t="s">
        <v>5221</v>
      </c>
      <c r="M407" s="2" t="s">
        <v>5221</v>
      </c>
      <c r="N407" s="2" t="s">
        <v>2317</v>
      </c>
      <c r="O407" s="14">
        <v>14300</v>
      </c>
      <c r="P407" s="14">
        <v>99.03</v>
      </c>
      <c r="Q407" s="14">
        <v>138.71</v>
      </c>
      <c r="R407" s="14">
        <v>249.68</v>
      </c>
      <c r="S407" s="2" t="s">
        <v>2608</v>
      </c>
      <c r="T407" s="2">
        <v>1</v>
      </c>
      <c r="U407" s="2">
        <v>61.2</v>
      </c>
      <c r="V407" s="2">
        <v>59</v>
      </c>
      <c r="W407" s="2" t="s">
        <v>7862</v>
      </c>
      <c r="X407" s="2" t="s">
        <v>5405</v>
      </c>
      <c r="Y407" s="2">
        <v>25740</v>
      </c>
      <c r="Z407" s="19" t="str">
        <f>HYPERLINK("https://ssdweb.co/ssdweb/hd/Vision360.html?d=941340073&amp;zoomslide=1&amp;z=1941340073&amp;ISCONFIRM=0","VIDEO")</f>
        <v>VIDEO</v>
      </c>
      <c r="AA407" s="19" t="str">
        <f>HYPERLINK("https://ssdweb.co/ssdweb/CERTH/687560909.pdf","CERTI")</f>
        <v>CERTI</v>
      </c>
    </row>
    <row r="408" spans="1:27" ht="15" x14ac:dyDescent="0.25">
      <c r="A408" s="2">
        <v>403</v>
      </c>
      <c r="B408" s="39">
        <v>925240026</v>
      </c>
      <c r="C408" s="28" t="str">
        <f>HYPERLINK("https://pld.live/RapDetail.aspx?STONELIST=925240026","DNA")</f>
        <v>DNA</v>
      </c>
      <c r="D408" s="18" t="s">
        <v>5313</v>
      </c>
      <c r="E408" s="18" t="s">
        <v>5128</v>
      </c>
      <c r="F408" s="2" t="s">
        <v>5597</v>
      </c>
      <c r="G408" s="2" t="s">
        <v>861</v>
      </c>
      <c r="H408" s="14">
        <v>1.77</v>
      </c>
      <c r="I408" s="2" t="s">
        <v>267</v>
      </c>
      <c r="J408" s="2" t="s">
        <v>3942</v>
      </c>
      <c r="K408" s="2" t="s">
        <v>5221</v>
      </c>
      <c r="L408" s="2" t="s">
        <v>5221</v>
      </c>
      <c r="M408" s="2" t="s">
        <v>5221</v>
      </c>
      <c r="N408" s="2" t="s">
        <v>2317</v>
      </c>
      <c r="O408" s="14">
        <v>15400</v>
      </c>
      <c r="P408" s="14">
        <v>98.39</v>
      </c>
      <c r="Q408" s="14">
        <v>247.94</v>
      </c>
      <c r="R408" s="14">
        <v>438.85</v>
      </c>
      <c r="S408" s="2" t="s">
        <v>3989</v>
      </c>
      <c r="T408" s="2">
        <v>1.01</v>
      </c>
      <c r="U408" s="2">
        <v>61.9</v>
      </c>
      <c r="V408" s="2">
        <v>58</v>
      </c>
      <c r="W408" s="2" t="s">
        <v>7862</v>
      </c>
      <c r="X408" s="2" t="s">
        <v>5405</v>
      </c>
      <c r="Y408" s="2">
        <v>27258</v>
      </c>
      <c r="Z408" s="19" t="str">
        <f>HYPERLINK("https://ssdweb.co/ssdweb/hd/Vision360.html?d=925240026&amp;zoomslide=1&amp;z=1925240026&amp;ISCONFIRM=0","VIDEO")</f>
        <v>VIDEO</v>
      </c>
      <c r="AA408" s="19" t="str">
        <f>HYPERLINK("https://ssdweb.co/ssdweb/CERTH/6485198811.pdf","CERTI")</f>
        <v>CERTI</v>
      </c>
    </row>
    <row r="409" spans="1:27" ht="15" x14ac:dyDescent="0.25">
      <c r="A409" s="2">
        <v>404</v>
      </c>
      <c r="B409" s="39">
        <v>925730747</v>
      </c>
      <c r="C409" s="28" t="str">
        <f>HYPERLINK("https://pld.live/RapDetail.aspx?STONELIST=925730747","DNA")</f>
        <v>DNA</v>
      </c>
      <c r="D409" s="18" t="s">
        <v>5313</v>
      </c>
      <c r="E409" s="18" t="s">
        <v>5128</v>
      </c>
      <c r="F409" s="2" t="s">
        <v>5597</v>
      </c>
      <c r="G409" s="2" t="s">
        <v>861</v>
      </c>
      <c r="H409" s="14">
        <v>1.76</v>
      </c>
      <c r="I409" s="2" t="s">
        <v>267</v>
      </c>
      <c r="J409" s="2" t="s">
        <v>3942</v>
      </c>
      <c r="K409" s="2" t="s">
        <v>5221</v>
      </c>
      <c r="L409" s="2" t="s">
        <v>5221</v>
      </c>
      <c r="M409" s="2" t="s">
        <v>5221</v>
      </c>
      <c r="N409" s="2" t="s">
        <v>2317</v>
      </c>
      <c r="O409" s="14">
        <v>15400</v>
      </c>
      <c r="P409" s="14">
        <v>98.39</v>
      </c>
      <c r="Q409" s="14">
        <v>247.94</v>
      </c>
      <c r="R409" s="14">
        <v>436.37</v>
      </c>
      <c r="S409" s="2" t="s">
        <v>4798</v>
      </c>
      <c r="T409" s="2">
        <v>1.01</v>
      </c>
      <c r="U409" s="2">
        <v>62.4</v>
      </c>
      <c r="V409" s="2">
        <v>56</v>
      </c>
      <c r="W409" s="2" t="s">
        <v>7862</v>
      </c>
      <c r="X409" s="2" t="s">
        <v>5405</v>
      </c>
      <c r="Y409" s="2">
        <v>27104</v>
      </c>
      <c r="Z409" s="19" t="str">
        <f>HYPERLINK("https://ssdweb.co/ssdweb/hd/Vision360.html?d=925730747&amp;zoomslide=1&amp;z=1925730747&amp;ISCONFIRM=0","VIDEO")</f>
        <v>VIDEO</v>
      </c>
      <c r="AA409" s="19" t="str">
        <f>HYPERLINK("https://ssdweb.co/ssdweb/CERTH/7486716638.pdf","CERTI")</f>
        <v>CERTI</v>
      </c>
    </row>
    <row r="410" spans="1:27" ht="15" x14ac:dyDescent="0.25">
      <c r="A410" s="2">
        <v>405</v>
      </c>
      <c r="B410" s="39">
        <v>925731432</v>
      </c>
      <c r="C410" s="28" t="str">
        <f>HYPERLINK("https://pld.live/RapDetail.aspx?STONELIST=925731432","DNA")</f>
        <v>DNA</v>
      </c>
      <c r="D410" s="18" t="s">
        <v>5313</v>
      </c>
      <c r="E410" s="18" t="s">
        <v>5128</v>
      </c>
      <c r="F410" s="2" t="s">
        <v>7987</v>
      </c>
      <c r="G410" s="2" t="s">
        <v>861</v>
      </c>
      <c r="H410" s="14">
        <v>1.76</v>
      </c>
      <c r="I410" s="2" t="s">
        <v>4699</v>
      </c>
      <c r="J410" s="2" t="s">
        <v>3942</v>
      </c>
      <c r="K410" s="2" t="s">
        <v>3390</v>
      </c>
      <c r="L410" s="2" t="s">
        <v>5221</v>
      </c>
      <c r="M410" s="2" t="s">
        <v>5221</v>
      </c>
      <c r="N410" s="2" t="s">
        <v>2317</v>
      </c>
      <c r="O410" s="14">
        <v>13200</v>
      </c>
      <c r="P410" s="14">
        <v>99.05</v>
      </c>
      <c r="Q410" s="14">
        <v>125.4</v>
      </c>
      <c r="R410" s="14">
        <v>220.7</v>
      </c>
      <c r="S410" s="2" t="s">
        <v>4905</v>
      </c>
      <c r="T410" s="2">
        <v>1.01</v>
      </c>
      <c r="U410" s="2">
        <v>62.2</v>
      </c>
      <c r="V410" s="2">
        <v>59</v>
      </c>
      <c r="W410" s="2" t="s">
        <v>4336</v>
      </c>
      <c r="X410" s="2" t="s">
        <v>5405</v>
      </c>
      <c r="Y410" s="2">
        <v>23232</v>
      </c>
      <c r="Z410" s="19" t="str">
        <f>HYPERLINK("https://ssdweb.co/ssdweb/hd/Vision360.html?d=925731432&amp;zoomslide=1&amp;z=1925731432&amp;ISCONFIRM=0","VIDEO")</f>
        <v>VIDEO</v>
      </c>
      <c r="AA410" s="19" t="str">
        <f>HYPERLINK("https://ssdweb.co/ssdweb/CERTH/624420477.pdf","CERTI")</f>
        <v>CERTI</v>
      </c>
    </row>
    <row r="411" spans="1:27" ht="15" x14ac:dyDescent="0.25">
      <c r="A411" s="2">
        <v>406</v>
      </c>
      <c r="B411" s="39">
        <v>925861526</v>
      </c>
      <c r="C411" s="28" t="str">
        <f>HYPERLINK("https://pld.live/RapDetail.aspx?STONELIST=925861526","DNA")</f>
        <v>DNA</v>
      </c>
      <c r="D411" s="18" t="s">
        <v>5313</v>
      </c>
      <c r="E411" s="18" t="s">
        <v>5128</v>
      </c>
      <c r="F411" s="2" t="s">
        <v>7987</v>
      </c>
      <c r="G411" s="2" t="s">
        <v>861</v>
      </c>
      <c r="H411" s="14">
        <v>1.75</v>
      </c>
      <c r="I411" s="2" t="s">
        <v>4699</v>
      </c>
      <c r="J411" s="2" t="s">
        <v>5144</v>
      </c>
      <c r="K411" s="2" t="s">
        <v>3390</v>
      </c>
      <c r="L411" s="2" t="s">
        <v>5221</v>
      </c>
      <c r="M411" s="2" t="s">
        <v>5221</v>
      </c>
      <c r="N411" s="2" t="s">
        <v>2317</v>
      </c>
      <c r="O411" s="14">
        <v>10300</v>
      </c>
      <c r="P411" s="14">
        <v>98.86</v>
      </c>
      <c r="Q411" s="14">
        <v>117.42</v>
      </c>
      <c r="R411" s="14">
        <v>205.49</v>
      </c>
      <c r="S411" s="2" t="s">
        <v>8015</v>
      </c>
      <c r="T411" s="2">
        <v>1.01</v>
      </c>
      <c r="U411" s="2">
        <v>62.4</v>
      </c>
      <c r="V411" s="2">
        <v>57</v>
      </c>
      <c r="W411" s="2" t="s">
        <v>4336</v>
      </c>
      <c r="X411" s="2" t="s">
        <v>5405</v>
      </c>
      <c r="Y411" s="2">
        <v>18025</v>
      </c>
      <c r="Z411" s="19" t="str">
        <f>HYPERLINK("https://ssdweb.co/ssdweb/hd/Vision360.html?d=925861526&amp;zoomslide=1&amp;z=1925861526&amp;ISCONFIRM=0","VIDEO")</f>
        <v>VIDEO</v>
      </c>
      <c r="AA411" s="19" t="str">
        <f>HYPERLINK("https://ssdweb.co/ssdweb/CERTH/631464352.pdf","CERTI")</f>
        <v>CERTI</v>
      </c>
    </row>
    <row r="412" spans="1:27" ht="15" x14ac:dyDescent="0.25">
      <c r="A412" s="2">
        <v>407</v>
      </c>
      <c r="B412" s="39">
        <v>925541722</v>
      </c>
      <c r="C412" s="28" t="str">
        <f>HYPERLINK("https://pld.live/RapDetail.aspx?STONELIST=925541722","DNA")</f>
        <v>DNA</v>
      </c>
      <c r="D412" s="18" t="s">
        <v>5313</v>
      </c>
      <c r="E412" s="18" t="s">
        <v>5128</v>
      </c>
      <c r="F412" s="2" t="s">
        <v>7987</v>
      </c>
      <c r="G412" s="2" t="s">
        <v>861</v>
      </c>
      <c r="H412" s="14">
        <v>1.74</v>
      </c>
      <c r="I412" s="2" t="s">
        <v>4699</v>
      </c>
      <c r="J412" s="2" t="s">
        <v>7032</v>
      </c>
      <c r="K412" s="2" t="s">
        <v>3390</v>
      </c>
      <c r="L412" s="2" t="s">
        <v>5221</v>
      </c>
      <c r="M412" s="2" t="s">
        <v>5221</v>
      </c>
      <c r="N412" s="2" t="s">
        <v>2317</v>
      </c>
      <c r="O412" s="14">
        <v>16400</v>
      </c>
      <c r="P412" s="14">
        <v>98.33</v>
      </c>
      <c r="Q412" s="14">
        <v>273.88</v>
      </c>
      <c r="R412" s="14">
        <v>476.55</v>
      </c>
      <c r="S412" s="2" t="s">
        <v>3909</v>
      </c>
      <c r="T412" s="2">
        <v>1.01</v>
      </c>
      <c r="U412" s="2">
        <v>62.4</v>
      </c>
      <c r="V412" s="2">
        <v>58</v>
      </c>
      <c r="W412" s="2" t="s">
        <v>4336</v>
      </c>
      <c r="X412" s="2" t="s">
        <v>5405</v>
      </c>
      <c r="Y412" s="2">
        <v>28536</v>
      </c>
      <c r="Z412" s="19" t="str">
        <f>HYPERLINK("https://ssdweb.co/ssdweb/hd/Vision360.html?d=925541722&amp;zoomslide=1&amp;z=1925541722&amp;ISCONFIRM=0","VIDEO")</f>
        <v>VIDEO</v>
      </c>
      <c r="AA412" s="19" t="str">
        <f>HYPERLINK("https://ssdweb.co/ssdweb/CERTH/618480943.pdf","CERTI")</f>
        <v>CERTI</v>
      </c>
    </row>
    <row r="413" spans="1:27" ht="15" x14ac:dyDescent="0.25">
      <c r="A413" s="2">
        <v>408</v>
      </c>
      <c r="B413" s="39">
        <v>831010843</v>
      </c>
      <c r="C413" s="28" t="str">
        <f>HYPERLINK("https://pld.live/RapDetail.aspx?STONELIST=831010843","DNA")</f>
        <v>DNA</v>
      </c>
      <c r="D413" s="18" t="s">
        <v>5313</v>
      </c>
      <c r="E413" s="18" t="s">
        <v>5128</v>
      </c>
      <c r="F413" s="2" t="s">
        <v>7987</v>
      </c>
      <c r="G413" s="2" t="s">
        <v>861</v>
      </c>
      <c r="H413" s="14">
        <v>1.74</v>
      </c>
      <c r="I413" s="2" t="s">
        <v>4699</v>
      </c>
      <c r="J413" s="2" t="s">
        <v>3942</v>
      </c>
      <c r="K413" s="2" t="s">
        <v>3390</v>
      </c>
      <c r="L413" s="2" t="s">
        <v>5221</v>
      </c>
      <c r="M413" s="2" t="s">
        <v>5221</v>
      </c>
      <c r="N413" s="2" t="s">
        <v>2317</v>
      </c>
      <c r="O413" s="14">
        <v>13200</v>
      </c>
      <c r="P413" s="14">
        <v>99.05</v>
      </c>
      <c r="Q413" s="14">
        <v>125.4</v>
      </c>
      <c r="R413" s="14">
        <v>218.2</v>
      </c>
      <c r="S413" s="2" t="s">
        <v>4490</v>
      </c>
      <c r="T413" s="2">
        <v>1.01</v>
      </c>
      <c r="U413" s="2">
        <v>62</v>
      </c>
      <c r="V413" s="2">
        <v>58</v>
      </c>
      <c r="W413" s="2" t="s">
        <v>7862</v>
      </c>
      <c r="X413" s="2" t="s">
        <v>5405</v>
      </c>
      <c r="Y413" s="2">
        <v>22968</v>
      </c>
      <c r="Z413" s="19" t="str">
        <f>HYPERLINK("https://ssdweb.co/ssdweb/hd/Vision360.html?d=831010843&amp;zoomslide=1&amp;z=1831010843&amp;ISCONFIRM=0","VIDEO")</f>
        <v>VIDEO</v>
      </c>
      <c r="AA413" s="19" t="str">
        <f>HYPERLINK("https://ssdweb.co/ssdweb/CERTH/619424087.pdf","CERTI")</f>
        <v>CERTI</v>
      </c>
    </row>
    <row r="414" spans="1:27" ht="15" x14ac:dyDescent="0.25">
      <c r="A414" s="2">
        <v>409</v>
      </c>
      <c r="B414" s="39">
        <v>831020665</v>
      </c>
      <c r="C414" s="28" t="str">
        <f>HYPERLINK("https://pld.live/RapDetail.aspx?STONELIST=831020665","DNA")</f>
        <v>DNA</v>
      </c>
      <c r="D414" s="18" t="s">
        <v>5313</v>
      </c>
      <c r="E414" s="18" t="s">
        <v>2186</v>
      </c>
      <c r="F414" s="2" t="s">
        <v>7987</v>
      </c>
      <c r="G414" s="2" t="s">
        <v>861</v>
      </c>
      <c r="H414" s="14">
        <v>1.74</v>
      </c>
      <c r="I414" s="2" t="s">
        <v>6587</v>
      </c>
      <c r="J414" s="2" t="s">
        <v>13</v>
      </c>
      <c r="K414" s="2" t="s">
        <v>3390</v>
      </c>
      <c r="L414" s="2" t="s">
        <v>5221</v>
      </c>
      <c r="M414" s="2" t="s">
        <v>5221</v>
      </c>
      <c r="N414" s="2" t="s">
        <v>2317</v>
      </c>
      <c r="O414" s="14">
        <v>9900</v>
      </c>
      <c r="P414" s="14">
        <v>98.89</v>
      </c>
      <c r="Q414" s="14">
        <v>109.89</v>
      </c>
      <c r="R414" s="14">
        <v>191.21</v>
      </c>
      <c r="S414" s="2" t="s">
        <v>7024</v>
      </c>
      <c r="T414" s="2">
        <v>1.01</v>
      </c>
      <c r="U414" s="2">
        <v>60.9</v>
      </c>
      <c r="V414" s="2">
        <v>59.5</v>
      </c>
      <c r="W414" s="2" t="s">
        <v>7862</v>
      </c>
      <c r="X414" s="2" t="s">
        <v>5405</v>
      </c>
      <c r="Y414" s="2">
        <v>17226</v>
      </c>
      <c r="Z414" s="19" t="str">
        <f>HYPERLINK("https://ssdweb.co/ssdweb/hd/Vision360.html?d=831020665&amp;zoomslide=1&amp;z=1831020665&amp;ISCONFIRM=0","VIDEO")</f>
        <v>VIDEO</v>
      </c>
      <c r="AA414" s="19" t="str">
        <f>HYPERLINK("https://ssdweb.co/ssdweb/CERTH/572338539.pdf","CERTI")</f>
        <v>CERTI</v>
      </c>
    </row>
    <row r="415" spans="1:27" ht="15" x14ac:dyDescent="0.25">
      <c r="A415" s="2">
        <v>410</v>
      </c>
      <c r="B415" s="39">
        <v>925180071</v>
      </c>
      <c r="C415" s="28" t="str">
        <f>HYPERLINK("https://pld.live/RapDetail.aspx?STONELIST=925180071","DNA")</f>
        <v>DNA</v>
      </c>
      <c r="D415" s="18" t="s">
        <v>5313</v>
      </c>
      <c r="E415" s="18" t="s">
        <v>5128</v>
      </c>
      <c r="F415" s="2" t="s">
        <v>5597</v>
      </c>
      <c r="G415" s="2" t="s">
        <v>861</v>
      </c>
      <c r="H415" s="14">
        <v>1.73</v>
      </c>
      <c r="I415" s="2" t="s">
        <v>267</v>
      </c>
      <c r="J415" s="2" t="s">
        <v>13</v>
      </c>
      <c r="K415" s="2" t="s">
        <v>5221</v>
      </c>
      <c r="L415" s="2" t="s">
        <v>5221</v>
      </c>
      <c r="M415" s="2" t="s">
        <v>5221</v>
      </c>
      <c r="N415" s="2" t="s">
        <v>2317</v>
      </c>
      <c r="O415" s="14">
        <v>13400</v>
      </c>
      <c r="P415" s="14">
        <v>98.23</v>
      </c>
      <c r="Q415" s="14">
        <v>237.18</v>
      </c>
      <c r="R415" s="14">
        <v>410.32</v>
      </c>
      <c r="S415" s="2" t="s">
        <v>1500</v>
      </c>
      <c r="T415" s="2">
        <v>1.01</v>
      </c>
      <c r="U415" s="2">
        <v>62.5</v>
      </c>
      <c r="V415" s="2">
        <v>56</v>
      </c>
      <c r="W415" s="2" t="s">
        <v>7862</v>
      </c>
      <c r="X415" s="2" t="s">
        <v>5405</v>
      </c>
      <c r="Y415" s="2">
        <v>23182</v>
      </c>
      <c r="Z415" s="19" t="str">
        <f>HYPERLINK("https://ssdweb.co/ssdweb/hd/Vision360.html?d=925180071&amp;zoomslide=1&amp;z=1925180071&amp;ISCONFIRM=0","VIDEO")</f>
        <v>VIDEO</v>
      </c>
      <c r="AA415" s="19" t="str">
        <f>HYPERLINK("https://ssdweb.co/ssdweb/CERTH/1485175502.pdf","CERTI")</f>
        <v>CERTI</v>
      </c>
    </row>
    <row r="416" spans="1:27" ht="15" x14ac:dyDescent="0.25">
      <c r="A416" s="2">
        <v>411</v>
      </c>
      <c r="B416" s="39">
        <v>925951088</v>
      </c>
      <c r="C416" s="28" t="str">
        <f>HYPERLINK("https://pld.live/RapDetail.aspx?STONELIST=925951088","DNA")</f>
        <v>DNA</v>
      </c>
      <c r="D416" s="18" t="s">
        <v>5313</v>
      </c>
      <c r="E416" s="18" t="s">
        <v>5128</v>
      </c>
      <c r="F416" s="2" t="s">
        <v>7987</v>
      </c>
      <c r="G416" s="2" t="s">
        <v>861</v>
      </c>
      <c r="H416" s="14">
        <v>1.73</v>
      </c>
      <c r="I416" s="2" t="s">
        <v>267</v>
      </c>
      <c r="J416" s="2" t="s">
        <v>444</v>
      </c>
      <c r="K416" s="2" t="s">
        <v>3390</v>
      </c>
      <c r="L416" s="2" t="s">
        <v>5221</v>
      </c>
      <c r="M416" s="2" t="s">
        <v>5221</v>
      </c>
      <c r="N416" s="2" t="s">
        <v>2317</v>
      </c>
      <c r="O416" s="14">
        <v>9600</v>
      </c>
      <c r="P416" s="14">
        <v>98.74</v>
      </c>
      <c r="Q416" s="14">
        <v>120.96</v>
      </c>
      <c r="R416" s="14">
        <v>209.26</v>
      </c>
      <c r="S416" s="2" t="s">
        <v>3645</v>
      </c>
      <c r="T416" s="2">
        <v>1</v>
      </c>
      <c r="U416" s="2">
        <v>61.4</v>
      </c>
      <c r="V416" s="2">
        <v>59</v>
      </c>
      <c r="W416" s="2" t="s">
        <v>8016</v>
      </c>
      <c r="X416" s="2" t="s">
        <v>5405</v>
      </c>
      <c r="Y416" s="2">
        <v>16608</v>
      </c>
      <c r="Z416" s="19" t="str">
        <f>HYPERLINK("https://ssdweb.co/ssdweb/hd/Vision360.html?d=925951088&amp;zoomslide=1&amp;z=1925951088&amp;ISCONFIRM=0","VIDEO")</f>
        <v>VIDEO</v>
      </c>
      <c r="AA416" s="19" t="str">
        <f>HYPERLINK("https://ssdweb.co/ssdweb/CERTH/631464265.pdf","CERTI")</f>
        <v>CERTI</v>
      </c>
    </row>
    <row r="417" spans="1:27" ht="15" x14ac:dyDescent="0.25">
      <c r="A417" s="2">
        <v>412</v>
      </c>
      <c r="B417" s="39">
        <v>924830152</v>
      </c>
      <c r="C417" s="28" t="str">
        <f>HYPERLINK("https://pld.live/RapDetail.aspx?STONELIST=924830152","DNA")</f>
        <v>DNA</v>
      </c>
      <c r="D417" s="18" t="s">
        <v>5313</v>
      </c>
      <c r="E417" s="18" t="s">
        <v>5128</v>
      </c>
      <c r="F417" s="2" t="s">
        <v>7987</v>
      </c>
      <c r="G417" s="2" t="s">
        <v>861</v>
      </c>
      <c r="H417" s="14">
        <v>1.73</v>
      </c>
      <c r="I417" s="2" t="s">
        <v>4761</v>
      </c>
      <c r="J417" s="2" t="s">
        <v>7032</v>
      </c>
      <c r="K417" s="2" t="s">
        <v>3390</v>
      </c>
      <c r="L417" s="2" t="s">
        <v>5221</v>
      </c>
      <c r="M417" s="2" t="s">
        <v>5221</v>
      </c>
      <c r="N417" s="2" t="s">
        <v>2317</v>
      </c>
      <c r="O417" s="14">
        <v>18800</v>
      </c>
      <c r="P417" s="14">
        <v>98.56</v>
      </c>
      <c r="Q417" s="14">
        <v>270.72000000000003</v>
      </c>
      <c r="R417" s="14">
        <v>468.35</v>
      </c>
      <c r="S417" s="2" t="s">
        <v>7420</v>
      </c>
      <c r="T417" s="2">
        <v>1</v>
      </c>
      <c r="U417" s="2">
        <v>62.5</v>
      </c>
      <c r="V417" s="2">
        <v>57</v>
      </c>
      <c r="W417" s="2" t="s">
        <v>7862</v>
      </c>
      <c r="X417" s="2" t="s">
        <v>5405</v>
      </c>
      <c r="Y417" s="2">
        <v>32524</v>
      </c>
      <c r="Z417" s="19" t="str">
        <f>HYPERLINK("https://ssdweb.co/ssdweb/hd/Vision360.html?d=924830152&amp;zoomslide=1&amp;z=1924830152&amp;ISCONFIRM=0","VIDEO")</f>
        <v>VIDEO</v>
      </c>
      <c r="AA417" s="19" t="str">
        <f>HYPERLINK("https://ssdweb.co/ssdweb/CERTH/600304691.pdf","CERTI")</f>
        <v>CERTI</v>
      </c>
    </row>
    <row r="418" spans="1:27" ht="15" x14ac:dyDescent="0.25">
      <c r="A418" s="2">
        <v>413</v>
      </c>
      <c r="B418" s="39">
        <v>925951079</v>
      </c>
      <c r="C418" s="28" t="str">
        <f>HYPERLINK("https://pld.live/RapDetail.aspx?STONELIST=925951079","DNA")</f>
        <v>DNA</v>
      </c>
      <c r="D418" s="18" t="s">
        <v>5313</v>
      </c>
      <c r="E418" s="18" t="s">
        <v>5128</v>
      </c>
      <c r="F418" s="2" t="s">
        <v>7987</v>
      </c>
      <c r="G418" s="2" t="s">
        <v>861</v>
      </c>
      <c r="H418" s="14">
        <v>1.72</v>
      </c>
      <c r="I418" s="2" t="s">
        <v>267</v>
      </c>
      <c r="J418" s="2" t="s">
        <v>5144</v>
      </c>
      <c r="K418" s="2" t="s">
        <v>3390</v>
      </c>
      <c r="L418" s="2" t="s">
        <v>5221</v>
      </c>
      <c r="M418" s="2" t="s">
        <v>5221</v>
      </c>
      <c r="N418" s="2" t="s">
        <v>2317</v>
      </c>
      <c r="O418" s="14">
        <v>12000</v>
      </c>
      <c r="P418" s="14">
        <v>98.92</v>
      </c>
      <c r="Q418" s="14">
        <v>129.6</v>
      </c>
      <c r="R418" s="14">
        <v>222.91</v>
      </c>
      <c r="S418" s="2" t="s">
        <v>5016</v>
      </c>
      <c r="T418" s="2">
        <v>1.01</v>
      </c>
      <c r="U418" s="2">
        <v>62.2</v>
      </c>
      <c r="V418" s="2">
        <v>57</v>
      </c>
      <c r="W418" s="2" t="s">
        <v>7862</v>
      </c>
      <c r="X418" s="2" t="s">
        <v>5405</v>
      </c>
      <c r="Y418" s="2">
        <v>20640</v>
      </c>
      <c r="Z418" s="19" t="str">
        <f>HYPERLINK("https://ssdweb.co/ssdweb/hd/Vision360.html?d=925951079&amp;zoomslide=1&amp;z=1925951079&amp;ISCONFIRM=0","VIDEO")</f>
        <v>VIDEO</v>
      </c>
      <c r="AA418" s="19" t="str">
        <f>HYPERLINK("https://ssdweb.co/ssdweb/CERTH/628463285.pdf","CERTI")</f>
        <v>CERTI</v>
      </c>
    </row>
    <row r="419" spans="1:27" ht="15" x14ac:dyDescent="0.25">
      <c r="A419" s="2">
        <v>414</v>
      </c>
      <c r="B419" s="39">
        <v>925800965</v>
      </c>
      <c r="C419" s="28" t="str">
        <f>HYPERLINK("https://pld.live/RapDetail.aspx?STONELIST=925800965","DNA")</f>
        <v>DNA</v>
      </c>
      <c r="D419" s="18" t="s">
        <v>5313</v>
      </c>
      <c r="E419" s="18" t="s">
        <v>5128</v>
      </c>
      <c r="F419" s="2" t="s">
        <v>7987</v>
      </c>
      <c r="G419" s="2" t="s">
        <v>861</v>
      </c>
      <c r="H419" s="14">
        <v>1.72</v>
      </c>
      <c r="I419" s="2" t="s">
        <v>267</v>
      </c>
      <c r="J419" s="2" t="s">
        <v>5144</v>
      </c>
      <c r="K419" s="2" t="s">
        <v>3390</v>
      </c>
      <c r="L419" s="2" t="s">
        <v>5221</v>
      </c>
      <c r="M419" s="2" t="s">
        <v>5221</v>
      </c>
      <c r="N419" s="2" t="s">
        <v>2317</v>
      </c>
      <c r="O419" s="14">
        <v>12000</v>
      </c>
      <c r="P419" s="14">
        <v>98.92</v>
      </c>
      <c r="Q419" s="14">
        <v>129.6</v>
      </c>
      <c r="R419" s="14">
        <v>222.91</v>
      </c>
      <c r="S419" s="2" t="s">
        <v>7827</v>
      </c>
      <c r="T419" s="2">
        <v>1.01</v>
      </c>
      <c r="U419" s="2">
        <v>62.4</v>
      </c>
      <c r="V419" s="2">
        <v>57</v>
      </c>
      <c r="W419" s="2" t="s">
        <v>7862</v>
      </c>
      <c r="X419" s="2" t="s">
        <v>5405</v>
      </c>
      <c r="Y419" s="2">
        <v>20640</v>
      </c>
      <c r="Z419" s="19" t="str">
        <f>HYPERLINK("https://ssdweb.co/ssdweb/hd/Vision360.html?d=925800965&amp;zoomslide=1&amp;z=1925800965&amp;ISCONFIRM=0","VIDEO")</f>
        <v>VIDEO</v>
      </c>
      <c r="AA419" s="19" t="str">
        <f>HYPERLINK("https://ssdweb.co/ssdweb/CERTH/626457347.pdf","CERTI")</f>
        <v>CERTI</v>
      </c>
    </row>
    <row r="420" spans="1:27" ht="15" x14ac:dyDescent="0.25">
      <c r="A420" s="2">
        <v>415</v>
      </c>
      <c r="B420" s="39">
        <v>925851229</v>
      </c>
      <c r="C420" s="28" t="str">
        <f>HYPERLINK("https://pld.live/RapDetail.aspx?STONELIST=925851229","DNA")</f>
        <v>DNA</v>
      </c>
      <c r="D420" s="18" t="s">
        <v>5313</v>
      </c>
      <c r="E420" s="18" t="s">
        <v>5128</v>
      </c>
      <c r="F420" s="2" t="s">
        <v>7987</v>
      </c>
      <c r="G420" s="2" t="s">
        <v>861</v>
      </c>
      <c r="H420" s="14">
        <v>1.72</v>
      </c>
      <c r="I420" s="2" t="s">
        <v>267</v>
      </c>
      <c r="J420" s="2" t="s">
        <v>5144</v>
      </c>
      <c r="K420" s="2" t="s">
        <v>3390</v>
      </c>
      <c r="L420" s="2" t="s">
        <v>5221</v>
      </c>
      <c r="M420" s="2" t="s">
        <v>5221</v>
      </c>
      <c r="N420" s="2" t="s">
        <v>2317</v>
      </c>
      <c r="O420" s="14">
        <v>12000</v>
      </c>
      <c r="P420" s="14">
        <v>98.9</v>
      </c>
      <c r="Q420" s="14">
        <v>132</v>
      </c>
      <c r="R420" s="14">
        <v>227.04</v>
      </c>
      <c r="S420" s="2" t="s">
        <v>6986</v>
      </c>
      <c r="T420" s="2">
        <v>1.01</v>
      </c>
      <c r="U420" s="2">
        <v>60.5</v>
      </c>
      <c r="V420" s="2">
        <v>59</v>
      </c>
      <c r="W420" s="2" t="s">
        <v>7862</v>
      </c>
      <c r="X420" s="2" t="s">
        <v>5405</v>
      </c>
      <c r="Y420" s="2">
        <v>20640</v>
      </c>
      <c r="Z420" s="19" t="str">
        <f>HYPERLINK("https://ssdweb.co/ssdweb/hd/Vision360.html?d=925851229&amp;zoomslide=1&amp;z=1925851229&amp;ISCONFIRM=0","VIDEO")</f>
        <v>VIDEO</v>
      </c>
      <c r="AA420" s="19" t="str">
        <f>HYPERLINK("https://ssdweb.co/ssdweb/CERTH/631464365.pdf","CERTI")</f>
        <v>CERTI</v>
      </c>
    </row>
    <row r="421" spans="1:27" ht="15" x14ac:dyDescent="0.25">
      <c r="A421" s="2">
        <v>416</v>
      </c>
      <c r="B421" s="39">
        <v>925300123</v>
      </c>
      <c r="C421" s="28" t="str">
        <f>HYPERLINK("https://pld.live/RapDetail.aspx?STONELIST=925300123","DNA")</f>
        <v>DNA</v>
      </c>
      <c r="D421" s="18" t="s">
        <v>5313</v>
      </c>
      <c r="E421" s="18" t="s">
        <v>5128</v>
      </c>
      <c r="F421" s="2" t="s">
        <v>7987</v>
      </c>
      <c r="G421" s="2" t="s">
        <v>861</v>
      </c>
      <c r="H421" s="14">
        <v>1.72</v>
      </c>
      <c r="I421" s="2" t="s">
        <v>4761</v>
      </c>
      <c r="J421" s="2" t="s">
        <v>7032</v>
      </c>
      <c r="K421" s="2" t="s">
        <v>3390</v>
      </c>
      <c r="L421" s="2" t="s">
        <v>5221</v>
      </c>
      <c r="M421" s="2" t="s">
        <v>5221</v>
      </c>
      <c r="N421" s="2" t="s">
        <v>2317</v>
      </c>
      <c r="O421" s="14">
        <v>18800</v>
      </c>
      <c r="P421" s="14">
        <v>98.56</v>
      </c>
      <c r="Q421" s="14">
        <v>270.72000000000003</v>
      </c>
      <c r="R421" s="14">
        <v>465.64</v>
      </c>
      <c r="S421" s="2" t="s">
        <v>2172</v>
      </c>
      <c r="T421" s="2">
        <v>1.01</v>
      </c>
      <c r="U421" s="2">
        <v>61.9</v>
      </c>
      <c r="V421" s="2">
        <v>58</v>
      </c>
      <c r="W421" s="2" t="s">
        <v>7862</v>
      </c>
      <c r="X421" s="2" t="s">
        <v>5405</v>
      </c>
      <c r="Y421" s="2">
        <v>32336</v>
      </c>
      <c r="Z421" s="19" t="str">
        <f>HYPERLINK("https://ssdweb.co/ssdweb/hd/Vision360.html?d=925300123&amp;zoomslide=1&amp;z=1925300123&amp;ISCONFIRM=0","VIDEO")</f>
        <v>VIDEO</v>
      </c>
      <c r="AA421" s="19" t="str">
        <f>HYPERLINK("https://ssdweb.co/ssdweb/CERTH/613393232.pdf","CERTI")</f>
        <v>CERTI</v>
      </c>
    </row>
    <row r="422" spans="1:27" ht="15" x14ac:dyDescent="0.25">
      <c r="A422" s="2">
        <v>417</v>
      </c>
      <c r="B422" s="39">
        <v>831020734</v>
      </c>
      <c r="C422" s="28" t="str">
        <f>HYPERLINK("https://pld.live/RapDetail.aspx?STONELIST=831020734","DNA")</f>
        <v>DNA</v>
      </c>
      <c r="D422" s="18" t="s">
        <v>5313</v>
      </c>
      <c r="E422" s="18" t="s">
        <v>2186</v>
      </c>
      <c r="F422" s="2" t="s">
        <v>7987</v>
      </c>
      <c r="G422" s="2" t="s">
        <v>861</v>
      </c>
      <c r="H422" s="14">
        <v>1.72</v>
      </c>
      <c r="I422" s="2" t="s">
        <v>4761</v>
      </c>
      <c r="J422" s="2" t="s">
        <v>13</v>
      </c>
      <c r="K422" s="2" t="s">
        <v>3390</v>
      </c>
      <c r="L422" s="2" t="s">
        <v>5221</v>
      </c>
      <c r="M422" s="2" t="s">
        <v>5221</v>
      </c>
      <c r="N422" s="2" t="s">
        <v>2317</v>
      </c>
      <c r="O422" s="14">
        <v>12200</v>
      </c>
      <c r="P422" s="14">
        <v>99.03</v>
      </c>
      <c r="Q422" s="14">
        <v>118.34</v>
      </c>
      <c r="R422" s="14">
        <v>203.54</v>
      </c>
      <c r="S422" s="2" t="s">
        <v>3305</v>
      </c>
      <c r="T422" s="2">
        <v>1</v>
      </c>
      <c r="U422" s="2">
        <v>61</v>
      </c>
      <c r="V422" s="2">
        <v>59</v>
      </c>
      <c r="W422" s="2" t="s">
        <v>7862</v>
      </c>
      <c r="X422" s="2" t="s">
        <v>5405</v>
      </c>
      <c r="Y422" s="2">
        <v>20984</v>
      </c>
      <c r="Z422" s="19" t="str">
        <f>HYPERLINK("https://ssdweb.co/ssdweb/hd/Vision360.html?d=831020734&amp;zoomslide=1&amp;z=1831020734&amp;ISCONFIRM=0","VIDEO")</f>
        <v>VIDEO</v>
      </c>
      <c r="AA422" s="19" t="str">
        <f>HYPERLINK("https://ssdweb.co/ssdweb/CERTH/623449342.pdf","CERTI")</f>
        <v>CERTI</v>
      </c>
    </row>
    <row r="423" spans="1:27" ht="15" x14ac:dyDescent="0.25">
      <c r="A423" s="2">
        <v>418</v>
      </c>
      <c r="B423" s="39">
        <v>925720369</v>
      </c>
      <c r="C423" s="28" t="str">
        <f>HYPERLINK("https://pld.live/RapDetail.aspx?STONELIST=925720369","DNA")</f>
        <v>DNA</v>
      </c>
      <c r="D423" s="18" t="s">
        <v>5313</v>
      </c>
      <c r="E423" s="18" t="s">
        <v>5128</v>
      </c>
      <c r="F423" s="2" t="s">
        <v>7987</v>
      </c>
      <c r="G423" s="2" t="s">
        <v>861</v>
      </c>
      <c r="H423" s="14">
        <v>1.72</v>
      </c>
      <c r="I423" s="2" t="s">
        <v>4761</v>
      </c>
      <c r="J423" s="2" t="s">
        <v>5144</v>
      </c>
      <c r="K423" s="2" t="s">
        <v>3390</v>
      </c>
      <c r="L423" s="2" t="s">
        <v>5221</v>
      </c>
      <c r="M423" s="2" t="s">
        <v>5221</v>
      </c>
      <c r="N423" s="2" t="s">
        <v>2317</v>
      </c>
      <c r="O423" s="14">
        <v>11000</v>
      </c>
      <c r="P423" s="14">
        <v>98.91</v>
      </c>
      <c r="Q423" s="14">
        <v>119.9</v>
      </c>
      <c r="R423" s="14">
        <v>206.23</v>
      </c>
      <c r="S423" s="2" t="s">
        <v>3254</v>
      </c>
      <c r="T423" s="2">
        <v>1.01</v>
      </c>
      <c r="U423" s="2">
        <v>61.7</v>
      </c>
      <c r="V423" s="2">
        <v>58</v>
      </c>
      <c r="W423" s="2" t="s">
        <v>7862</v>
      </c>
      <c r="X423" s="2" t="s">
        <v>5405</v>
      </c>
      <c r="Y423" s="2">
        <v>18920</v>
      </c>
      <c r="Z423" s="19" t="str">
        <f>HYPERLINK("https://ssdweb.co/ssdweb/hd/Vision360.html?d=925720369&amp;zoomslide=1&amp;z=1925720369&amp;ISCONFIRM=0","VIDEO")</f>
        <v>VIDEO</v>
      </c>
      <c r="AA423" s="19" t="str">
        <f>HYPERLINK("https://ssdweb.co/ssdweb/CERTH/621420323.pdf","CERTI")</f>
        <v>CERTI</v>
      </c>
    </row>
    <row r="424" spans="1:27" ht="15" x14ac:dyDescent="0.25">
      <c r="A424" s="2">
        <v>419</v>
      </c>
      <c r="B424" s="39">
        <v>925120323</v>
      </c>
      <c r="C424" s="28" t="str">
        <f>HYPERLINK("https://pld.live/RapDetail.aspx?STONELIST=925120323","DNA")</f>
        <v>DNA</v>
      </c>
      <c r="D424" s="18" t="s">
        <v>5313</v>
      </c>
      <c r="E424" s="18" t="s">
        <v>5128</v>
      </c>
      <c r="F424" s="2" t="s">
        <v>5597</v>
      </c>
      <c r="G424" s="2" t="s">
        <v>861</v>
      </c>
      <c r="H424" s="14">
        <v>1.71</v>
      </c>
      <c r="I424" s="2" t="s">
        <v>267</v>
      </c>
      <c r="J424" s="2" t="s">
        <v>6555</v>
      </c>
      <c r="K424" s="2" t="s">
        <v>5221</v>
      </c>
      <c r="L424" s="2" t="s">
        <v>5221</v>
      </c>
      <c r="M424" s="2" t="s">
        <v>5221</v>
      </c>
      <c r="N424" s="2" t="s">
        <v>2317</v>
      </c>
      <c r="O424" s="14">
        <v>18700</v>
      </c>
      <c r="P424" s="14">
        <v>98.08</v>
      </c>
      <c r="Q424" s="14">
        <v>359.04</v>
      </c>
      <c r="R424" s="14">
        <v>613.96</v>
      </c>
      <c r="S424" s="2" t="s">
        <v>3308</v>
      </c>
      <c r="T424" s="2">
        <v>1.01</v>
      </c>
      <c r="U424" s="2">
        <v>62.5</v>
      </c>
      <c r="V424" s="2">
        <v>58</v>
      </c>
      <c r="W424" s="2" t="s">
        <v>7862</v>
      </c>
      <c r="X424" s="2" t="s">
        <v>5405</v>
      </c>
      <c r="Y424" s="2">
        <v>31977</v>
      </c>
      <c r="Z424" s="19" t="str">
        <f>HYPERLINK("https://ssdweb.co/ssdweb/hd/Vision360.html?d=925120323&amp;zoomslide=1&amp;z=1925120323&amp;ISCONFIRM=0","VIDEO")</f>
        <v>VIDEO</v>
      </c>
      <c r="AA424" s="19" t="str">
        <f>HYPERLINK("https://ssdweb.co/ssdweb/CERTH/1488187609.pdf","CERTI")</f>
        <v>CERTI</v>
      </c>
    </row>
    <row r="425" spans="1:27" ht="15" x14ac:dyDescent="0.25">
      <c r="A425" s="2">
        <v>420</v>
      </c>
      <c r="B425" s="39">
        <v>925961061</v>
      </c>
      <c r="C425" s="28" t="str">
        <f>HYPERLINK("https://pld.live/RapDetail.aspx?STONELIST=925961061","DNA")</f>
        <v>DNA</v>
      </c>
      <c r="D425" s="18" t="s">
        <v>5313</v>
      </c>
      <c r="E425" s="18" t="s">
        <v>5128</v>
      </c>
      <c r="F425" s="2" t="s">
        <v>7987</v>
      </c>
      <c r="G425" s="2" t="s">
        <v>861</v>
      </c>
      <c r="H425" s="14">
        <v>1.71</v>
      </c>
      <c r="I425" s="2" t="s">
        <v>267</v>
      </c>
      <c r="J425" s="2" t="s">
        <v>5144</v>
      </c>
      <c r="K425" s="2" t="s">
        <v>3390</v>
      </c>
      <c r="L425" s="2" t="s">
        <v>5221</v>
      </c>
      <c r="M425" s="2" t="s">
        <v>5221</v>
      </c>
      <c r="N425" s="2" t="s">
        <v>2317</v>
      </c>
      <c r="O425" s="14">
        <v>12000</v>
      </c>
      <c r="P425" s="14">
        <v>98.9</v>
      </c>
      <c r="Q425" s="14">
        <v>132</v>
      </c>
      <c r="R425" s="14">
        <v>225.72</v>
      </c>
      <c r="S425" s="2" t="s">
        <v>3308</v>
      </c>
      <c r="T425" s="2">
        <v>1.01</v>
      </c>
      <c r="U425" s="2">
        <v>62.4</v>
      </c>
      <c r="V425" s="2">
        <v>56</v>
      </c>
      <c r="W425" s="2" t="s">
        <v>7862</v>
      </c>
      <c r="X425" s="2" t="s">
        <v>5405</v>
      </c>
      <c r="Y425" s="2">
        <v>20520</v>
      </c>
      <c r="Z425" s="19" t="str">
        <f>HYPERLINK("https://ssdweb.co/ssdweb/hd/Vision360.html?d=925961061&amp;zoomslide=1&amp;z=1925961061&amp;ISCONFIRM=0","VIDEO")</f>
        <v>VIDEO</v>
      </c>
      <c r="AA425" s="19" t="str">
        <f>HYPERLINK("https://ssdweb.co/ssdweb/CERTH/631464224.pdf","CERTI")</f>
        <v>CERTI</v>
      </c>
    </row>
    <row r="426" spans="1:27" ht="15" x14ac:dyDescent="0.25">
      <c r="A426" s="2">
        <v>421</v>
      </c>
      <c r="B426" s="39">
        <v>925861790</v>
      </c>
      <c r="C426" s="28" t="str">
        <f>HYPERLINK("https://pld.live/RapDetail.aspx?STONELIST=925861790","DNA")</f>
        <v>DNA</v>
      </c>
      <c r="D426" s="18" t="s">
        <v>5313</v>
      </c>
      <c r="E426" s="18" t="s">
        <v>5128</v>
      </c>
      <c r="F426" s="2" t="s">
        <v>7987</v>
      </c>
      <c r="G426" s="2" t="s">
        <v>861</v>
      </c>
      <c r="H426" s="14">
        <v>1.71</v>
      </c>
      <c r="I426" s="2" t="s">
        <v>267</v>
      </c>
      <c r="J426" s="2" t="s">
        <v>444</v>
      </c>
      <c r="K426" s="2" t="s">
        <v>3390</v>
      </c>
      <c r="L426" s="2" t="s">
        <v>5221</v>
      </c>
      <c r="M426" s="2" t="s">
        <v>5221</v>
      </c>
      <c r="N426" s="2" t="s">
        <v>2317</v>
      </c>
      <c r="O426" s="14">
        <v>9600</v>
      </c>
      <c r="P426" s="14">
        <v>98.73</v>
      </c>
      <c r="Q426" s="14">
        <v>121.92</v>
      </c>
      <c r="R426" s="14">
        <v>208.48</v>
      </c>
      <c r="S426" s="2" t="s">
        <v>4240</v>
      </c>
      <c r="T426" s="2">
        <v>1.01</v>
      </c>
      <c r="U426" s="2">
        <v>62.1</v>
      </c>
      <c r="V426" s="2">
        <v>58</v>
      </c>
      <c r="W426" s="2" t="s">
        <v>7862</v>
      </c>
      <c r="X426" s="2" t="s">
        <v>5405</v>
      </c>
      <c r="Y426" s="2">
        <v>16416</v>
      </c>
      <c r="Z426" s="19" t="str">
        <f>HYPERLINK("https://ssdweb.co/ssdweb/hd/Vision360.html?d=925861790&amp;zoomslide=1&amp;z=1925861790&amp;ISCONFIRM=0","VIDEO")</f>
        <v>VIDEO</v>
      </c>
      <c r="AA426" s="19" t="str">
        <f>HYPERLINK("https://ssdweb.co/ssdweb/CERTH/631464357.pdf","CERTI")</f>
        <v>CERTI</v>
      </c>
    </row>
    <row r="427" spans="1:27" ht="15" x14ac:dyDescent="0.25">
      <c r="A427" s="2">
        <v>422</v>
      </c>
      <c r="B427" s="39">
        <v>924390253</v>
      </c>
      <c r="C427" s="28" t="str">
        <f>HYPERLINK("https://pld.live/RapDetail.aspx?STONELIST=924390253","DNA")</f>
        <v>DNA</v>
      </c>
      <c r="D427" s="18" t="s">
        <v>5313</v>
      </c>
      <c r="E427" s="18" t="s">
        <v>5128</v>
      </c>
      <c r="F427" s="2" t="s">
        <v>7987</v>
      </c>
      <c r="G427" s="2" t="s">
        <v>861</v>
      </c>
      <c r="H427" s="14">
        <v>1.71</v>
      </c>
      <c r="I427" s="2" t="s">
        <v>4761</v>
      </c>
      <c r="J427" s="2" t="s">
        <v>7032</v>
      </c>
      <c r="K427" s="2" t="s">
        <v>3390</v>
      </c>
      <c r="L427" s="2" t="s">
        <v>5221</v>
      </c>
      <c r="M427" s="2" t="s">
        <v>5221</v>
      </c>
      <c r="N427" s="2" t="s">
        <v>2317</v>
      </c>
      <c r="O427" s="14">
        <v>18800</v>
      </c>
      <c r="P427" s="14">
        <v>98.56</v>
      </c>
      <c r="Q427" s="14">
        <v>270.72000000000003</v>
      </c>
      <c r="R427" s="14">
        <v>462.93</v>
      </c>
      <c r="S427" s="2" t="s">
        <v>5998</v>
      </c>
      <c r="T427" s="2">
        <v>1.01</v>
      </c>
      <c r="U427" s="2">
        <v>61.7</v>
      </c>
      <c r="V427" s="2">
        <v>59</v>
      </c>
      <c r="W427" s="2" t="s">
        <v>7862</v>
      </c>
      <c r="X427" s="2" t="s">
        <v>5405</v>
      </c>
      <c r="Y427" s="2">
        <v>32148</v>
      </c>
      <c r="Z427" s="19" t="str">
        <f>HYPERLINK("https://ssdweb.co/ssdweb/hd/Vision360.html?d=924390253&amp;zoomslide=1&amp;z=1924390253&amp;ISCONFIRM=0","VIDEO")</f>
        <v>VIDEO</v>
      </c>
      <c r="AA427" s="19" t="str">
        <f>HYPERLINK("https://ssdweb.co/ssdweb/CERTH/589306555.pdf","CERTI")</f>
        <v>CERTI</v>
      </c>
    </row>
    <row r="428" spans="1:27" ht="15" x14ac:dyDescent="0.25">
      <c r="A428" s="2">
        <v>423</v>
      </c>
      <c r="B428" s="39">
        <v>831020504</v>
      </c>
      <c r="C428" s="28" t="str">
        <f>HYPERLINK("https://pld.live/RapDetail.aspx?STONELIST=831020504","DNA")</f>
        <v>DNA</v>
      </c>
      <c r="D428" s="18" t="s">
        <v>5313</v>
      </c>
      <c r="E428" s="18" t="s">
        <v>2186</v>
      </c>
      <c r="F428" s="2" t="s">
        <v>5597</v>
      </c>
      <c r="G428" s="2" t="s">
        <v>861</v>
      </c>
      <c r="H428" s="14">
        <v>1.71</v>
      </c>
      <c r="I428" s="2" t="s">
        <v>4761</v>
      </c>
      <c r="J428" s="2" t="s">
        <v>13</v>
      </c>
      <c r="K428" s="2" t="s">
        <v>5221</v>
      </c>
      <c r="L428" s="2" t="s">
        <v>5221</v>
      </c>
      <c r="M428" s="2" t="s">
        <v>5221</v>
      </c>
      <c r="N428" s="2" t="s">
        <v>2317</v>
      </c>
      <c r="O428" s="14">
        <v>12200</v>
      </c>
      <c r="P428" s="14">
        <v>98.1</v>
      </c>
      <c r="Q428" s="14">
        <v>231.8</v>
      </c>
      <c r="R428" s="14">
        <v>396.38</v>
      </c>
      <c r="S428" s="2" t="s">
        <v>6304</v>
      </c>
      <c r="T428" s="2">
        <v>1</v>
      </c>
      <c r="U428" s="2">
        <v>62.1</v>
      </c>
      <c r="V428" s="2">
        <v>57</v>
      </c>
      <c r="W428" s="2" t="s">
        <v>7862</v>
      </c>
      <c r="X428" s="2" t="s">
        <v>5405</v>
      </c>
      <c r="Y428" s="2">
        <v>20862</v>
      </c>
      <c r="Z428" s="19" t="str">
        <f>HYPERLINK("https://ssdweb.co/ssdweb/hd/Vision360.html?d=831020504&amp;zoomslide=1&amp;z=1831020504&amp;ISCONFIRM=0","VIDEO")</f>
        <v>VIDEO</v>
      </c>
      <c r="AA428" s="19" t="str">
        <f>HYPERLINK("https://ssdweb.co/ssdweb/CERTH/1419002031.pdf","CERTI")</f>
        <v>CERTI</v>
      </c>
    </row>
    <row r="429" spans="1:27" ht="15" x14ac:dyDescent="0.25">
      <c r="A429" s="2">
        <v>424</v>
      </c>
      <c r="B429" s="39">
        <v>925861202</v>
      </c>
      <c r="C429" s="28" t="str">
        <f>HYPERLINK("https://pld.live/RapDetail.aspx?STONELIST=925861202","DNA")</f>
        <v>DNA</v>
      </c>
      <c r="D429" s="18" t="s">
        <v>5313</v>
      </c>
      <c r="E429" s="18" t="s">
        <v>5128</v>
      </c>
      <c r="F429" s="2" t="s">
        <v>7987</v>
      </c>
      <c r="G429" s="2" t="s">
        <v>861</v>
      </c>
      <c r="H429" s="14">
        <v>1.71</v>
      </c>
      <c r="I429" s="2" t="s">
        <v>4761</v>
      </c>
      <c r="J429" s="2" t="s">
        <v>444</v>
      </c>
      <c r="K429" s="2" t="s">
        <v>3390</v>
      </c>
      <c r="L429" s="2" t="s">
        <v>5221</v>
      </c>
      <c r="M429" s="2" t="s">
        <v>5221</v>
      </c>
      <c r="N429" s="2" t="s">
        <v>2317</v>
      </c>
      <c r="O429" s="14">
        <v>8900</v>
      </c>
      <c r="P429" s="14">
        <v>98.71</v>
      </c>
      <c r="Q429" s="14">
        <v>114.81</v>
      </c>
      <c r="R429" s="14">
        <v>196.33</v>
      </c>
      <c r="S429" s="2" t="s">
        <v>7983</v>
      </c>
      <c r="T429" s="2">
        <v>1</v>
      </c>
      <c r="U429" s="2">
        <v>61.7</v>
      </c>
      <c r="V429" s="2">
        <v>57</v>
      </c>
      <c r="W429" s="2" t="s">
        <v>7862</v>
      </c>
      <c r="X429" s="2" t="s">
        <v>5405</v>
      </c>
      <c r="Y429" s="2">
        <v>15219</v>
      </c>
      <c r="Z429" s="19" t="str">
        <f>HYPERLINK("https://ssdweb.co/ssdweb/hd/Vision360.html?d=925861202&amp;zoomslide=1&amp;z=1925861202&amp;ISCONFIRM=0","VIDEO")</f>
        <v>VIDEO</v>
      </c>
      <c r="AA429" s="19" t="str">
        <f>HYPERLINK("https://ssdweb.co/ssdweb/CERTH/631464349.pdf","CERTI")</f>
        <v>CERTI</v>
      </c>
    </row>
    <row r="430" spans="1:27" ht="15" x14ac:dyDescent="0.25">
      <c r="A430" s="2">
        <v>425</v>
      </c>
      <c r="B430" s="39">
        <v>925951127</v>
      </c>
      <c r="C430" s="28" t="str">
        <f>HYPERLINK("https://pld.live/RapDetail.aspx?STONELIST=925951127","DNA")</f>
        <v>DNA</v>
      </c>
      <c r="D430" s="18" t="s">
        <v>5313</v>
      </c>
      <c r="E430" s="18" t="s">
        <v>5128</v>
      </c>
      <c r="F430" s="2" t="s">
        <v>7987</v>
      </c>
      <c r="G430" s="2" t="s">
        <v>861</v>
      </c>
      <c r="H430" s="14">
        <v>1.71</v>
      </c>
      <c r="I430" s="2" t="s">
        <v>4699</v>
      </c>
      <c r="J430" s="2" t="s">
        <v>444</v>
      </c>
      <c r="K430" s="2" t="s">
        <v>3390</v>
      </c>
      <c r="L430" s="2" t="s">
        <v>5221</v>
      </c>
      <c r="M430" s="2" t="s">
        <v>5221</v>
      </c>
      <c r="N430" s="2" t="s">
        <v>2317</v>
      </c>
      <c r="O430" s="14">
        <v>8400</v>
      </c>
      <c r="P430" s="14">
        <v>98.73</v>
      </c>
      <c r="Q430" s="14">
        <v>106.68</v>
      </c>
      <c r="R430" s="14">
        <v>182.42</v>
      </c>
      <c r="S430" s="2" t="s">
        <v>7135</v>
      </c>
      <c r="T430" s="2">
        <v>1</v>
      </c>
      <c r="U430" s="2">
        <v>62.5</v>
      </c>
      <c r="V430" s="2">
        <v>57</v>
      </c>
      <c r="W430" s="2" t="s">
        <v>8016</v>
      </c>
      <c r="X430" s="2" t="s">
        <v>5405</v>
      </c>
      <c r="Y430" s="2">
        <v>14364</v>
      </c>
      <c r="Z430" s="19" t="str">
        <f>HYPERLINK("https://ssdweb.co/ssdweb/hd/Vision360.html?d=925951127&amp;zoomslide=1&amp;z=1925951127&amp;ISCONFIRM=0","VIDEO")</f>
        <v>VIDEO</v>
      </c>
      <c r="AA430" s="19" t="str">
        <f>HYPERLINK("https://ssdweb.co/ssdweb/CERTH/631464267.pdf","CERTI")</f>
        <v>CERTI</v>
      </c>
    </row>
    <row r="431" spans="1:27" ht="15" x14ac:dyDescent="0.25">
      <c r="A431" s="2">
        <v>426</v>
      </c>
      <c r="B431" s="39">
        <v>831020678</v>
      </c>
      <c r="C431" s="28" t="str">
        <f>HYPERLINK("https://pld.live/RapDetail.aspx?STONELIST=831020678","DNA")</f>
        <v>DNA</v>
      </c>
      <c r="D431" s="18" t="s">
        <v>5313</v>
      </c>
      <c r="E431" s="18" t="s">
        <v>2186</v>
      </c>
      <c r="F431" s="2" t="s">
        <v>7987</v>
      </c>
      <c r="G431" s="2" t="s">
        <v>861</v>
      </c>
      <c r="H431" s="14">
        <v>1.71</v>
      </c>
      <c r="I431" s="2" t="s">
        <v>6587</v>
      </c>
      <c r="J431" s="2" t="s">
        <v>5144</v>
      </c>
      <c r="K431" s="2" t="s">
        <v>3390</v>
      </c>
      <c r="L431" s="2" t="s">
        <v>5221</v>
      </c>
      <c r="M431" s="2" t="s">
        <v>5221</v>
      </c>
      <c r="N431" s="2" t="s">
        <v>2317</v>
      </c>
      <c r="O431" s="14">
        <v>8900</v>
      </c>
      <c r="P431" s="14">
        <v>98.8</v>
      </c>
      <c r="Q431" s="14">
        <v>106.8</v>
      </c>
      <c r="R431" s="14">
        <v>182.63</v>
      </c>
      <c r="S431" s="2" t="s">
        <v>6049</v>
      </c>
      <c r="T431" s="2">
        <v>1.01</v>
      </c>
      <c r="U431" s="2">
        <v>61.8</v>
      </c>
      <c r="V431" s="2">
        <v>59</v>
      </c>
      <c r="W431" s="2" t="s">
        <v>8016</v>
      </c>
      <c r="X431" s="2" t="s">
        <v>5405</v>
      </c>
      <c r="Y431" s="2">
        <v>15219</v>
      </c>
      <c r="Z431" s="19" t="str">
        <f>HYPERLINK("https://ssdweb.co/ssdweb/hd/Vision360.html?d=831020678&amp;zoomslide=1&amp;z=1831020678&amp;ISCONFIRM=0","VIDEO")</f>
        <v>VIDEO</v>
      </c>
      <c r="AA431" s="19" t="str">
        <f>HYPERLINK("https://ssdweb.co/ssdweb/CERTH/564370896.pdf","CERTI")</f>
        <v>CERTI</v>
      </c>
    </row>
    <row r="432" spans="1:27" ht="15" x14ac:dyDescent="0.25">
      <c r="A432" s="2">
        <v>427</v>
      </c>
      <c r="B432" s="39">
        <v>831010824</v>
      </c>
      <c r="C432" s="28" t="str">
        <f>HYPERLINK("https://pld.live/RapDetail.aspx?STONELIST=831010824","DNA")</f>
        <v>DNA</v>
      </c>
      <c r="D432" s="18" t="s">
        <v>5313</v>
      </c>
      <c r="E432" s="18" t="s">
        <v>5128</v>
      </c>
      <c r="F432" s="2" t="s">
        <v>5597</v>
      </c>
      <c r="G432" s="2" t="s">
        <v>861</v>
      </c>
      <c r="H432" s="14">
        <v>1.7</v>
      </c>
      <c r="I432" s="2" t="s">
        <v>267</v>
      </c>
      <c r="J432" s="2" t="s">
        <v>5144</v>
      </c>
      <c r="K432" s="2" t="s">
        <v>5221</v>
      </c>
      <c r="L432" s="2" t="s">
        <v>5221</v>
      </c>
      <c r="M432" s="2" t="s">
        <v>5221</v>
      </c>
      <c r="N432" s="2" t="s">
        <v>2317</v>
      </c>
      <c r="O432" s="14">
        <v>12000</v>
      </c>
      <c r="P432" s="14">
        <v>98.16</v>
      </c>
      <c r="Q432" s="14">
        <v>220.8</v>
      </c>
      <c r="R432" s="14">
        <v>375.36</v>
      </c>
      <c r="S432" s="2" t="s">
        <v>2407</v>
      </c>
      <c r="T432" s="2">
        <v>1.01</v>
      </c>
      <c r="U432" s="2">
        <v>60.6</v>
      </c>
      <c r="V432" s="2">
        <v>59</v>
      </c>
      <c r="W432" s="2" t="s">
        <v>7862</v>
      </c>
      <c r="X432" s="2" t="s">
        <v>5405</v>
      </c>
      <c r="Y432" s="2">
        <v>20400</v>
      </c>
      <c r="Z432" s="19" t="str">
        <f>HYPERLINK("https://ssdweb.co/ssdweb/hd/Vision360.html?d=831010824&amp;zoomslide=1&amp;z=1831010824&amp;ISCONFIRM=0","VIDEO")</f>
        <v>VIDEO</v>
      </c>
      <c r="AA432" s="19" t="str">
        <f>HYPERLINK("https://ssdweb.co/ssdweb/CERTH/2426108797.pdf","CERTI")</f>
        <v>CERTI</v>
      </c>
    </row>
    <row r="433" spans="1:27" ht="15" x14ac:dyDescent="0.25">
      <c r="A433" s="2">
        <v>428</v>
      </c>
      <c r="B433" s="39">
        <v>831010629</v>
      </c>
      <c r="C433" s="28" t="str">
        <f>HYPERLINK("https://pld.live/RapDetail.aspx?STONELIST=831010629","DNA")</f>
        <v>DNA</v>
      </c>
      <c r="D433" s="18" t="s">
        <v>5313</v>
      </c>
      <c r="E433" s="18" t="s">
        <v>5128</v>
      </c>
      <c r="F433" s="2" t="s">
        <v>5597</v>
      </c>
      <c r="G433" s="2" t="s">
        <v>861</v>
      </c>
      <c r="H433" s="14">
        <v>1.7</v>
      </c>
      <c r="I433" s="2" t="s">
        <v>4761</v>
      </c>
      <c r="J433" s="2" t="s">
        <v>5144</v>
      </c>
      <c r="K433" s="2" t="s">
        <v>5221</v>
      </c>
      <c r="L433" s="2" t="s">
        <v>5221</v>
      </c>
      <c r="M433" s="2" t="s">
        <v>5221</v>
      </c>
      <c r="N433" s="2" t="s">
        <v>2317</v>
      </c>
      <c r="O433" s="14">
        <v>11000</v>
      </c>
      <c r="P433" s="14">
        <v>98.04</v>
      </c>
      <c r="Q433" s="14">
        <v>215.6</v>
      </c>
      <c r="R433" s="14">
        <v>366.52</v>
      </c>
      <c r="S433" s="2" t="s">
        <v>7675</v>
      </c>
      <c r="T433" s="2">
        <v>1.01</v>
      </c>
      <c r="U433" s="2">
        <v>62</v>
      </c>
      <c r="V433" s="2">
        <v>58</v>
      </c>
      <c r="W433" s="2" t="s">
        <v>7862</v>
      </c>
      <c r="X433" s="2" t="s">
        <v>5405</v>
      </c>
      <c r="Y433" s="2">
        <v>18700</v>
      </c>
      <c r="Z433" s="19" t="str">
        <f>HYPERLINK("https://ssdweb.co/ssdweb/hd/Vision360.html?d=831010629&amp;zoomslide=1&amp;z=1831010629&amp;ISCONFIRM=0","VIDEO")</f>
        <v>VIDEO</v>
      </c>
      <c r="AA433" s="19" t="str">
        <f>HYPERLINK("https://ssdweb.co/ssdweb/CERTH/2456695611.pdf","CERTI")</f>
        <v>CERTI</v>
      </c>
    </row>
    <row r="434" spans="1:27" ht="15" x14ac:dyDescent="0.25">
      <c r="A434" s="2">
        <v>429</v>
      </c>
      <c r="B434" s="39">
        <v>924700082</v>
      </c>
      <c r="C434" s="28" t="str">
        <f>HYPERLINK("https://pld.live/RapDetail.aspx?STONELIST=924700082","DNA")</f>
        <v>DNA</v>
      </c>
      <c r="D434" s="18" t="s">
        <v>5313</v>
      </c>
      <c r="E434" s="18" t="s">
        <v>5128</v>
      </c>
      <c r="F434" s="2" t="s">
        <v>7987</v>
      </c>
      <c r="G434" s="2" t="s">
        <v>861</v>
      </c>
      <c r="H434" s="14">
        <v>1.7</v>
      </c>
      <c r="I434" s="2" t="s">
        <v>4699</v>
      </c>
      <c r="J434" s="2" t="s">
        <v>7032</v>
      </c>
      <c r="K434" s="2" t="s">
        <v>3390</v>
      </c>
      <c r="L434" s="2" t="s">
        <v>5221</v>
      </c>
      <c r="M434" s="2" t="s">
        <v>5221</v>
      </c>
      <c r="N434" s="2" t="s">
        <v>2317</v>
      </c>
      <c r="O434" s="14">
        <v>16400</v>
      </c>
      <c r="P434" s="14">
        <v>98.33</v>
      </c>
      <c r="Q434" s="14">
        <v>273.88</v>
      </c>
      <c r="R434" s="14">
        <v>465.6</v>
      </c>
      <c r="S434" s="2" t="s">
        <v>7277</v>
      </c>
      <c r="T434" s="2">
        <v>1.01</v>
      </c>
      <c r="U434" s="2">
        <v>61.2</v>
      </c>
      <c r="V434" s="2">
        <v>60</v>
      </c>
      <c r="W434" s="2" t="s">
        <v>4336</v>
      </c>
      <c r="X434" s="2" t="s">
        <v>5405</v>
      </c>
      <c r="Y434" s="2">
        <v>27880</v>
      </c>
      <c r="Z434" s="19" t="str">
        <f>HYPERLINK("https://ssdweb.co/ssdweb/hd/Vision360.html?d=924700082&amp;zoomslide=1&amp;z=1924700082&amp;ISCONFIRM=0","VIDEO")</f>
        <v>VIDEO</v>
      </c>
      <c r="AA434" s="19" t="str">
        <f>HYPERLINK("https://ssdweb.co/ssdweb/CERTH/601323366.pdf","CERTI")</f>
        <v>CERTI</v>
      </c>
    </row>
    <row r="435" spans="1:27" ht="15" x14ac:dyDescent="0.25">
      <c r="A435" s="2">
        <v>430</v>
      </c>
      <c r="B435" s="39">
        <v>925440040</v>
      </c>
      <c r="C435" s="28" t="str">
        <f>HYPERLINK("https://pld.live/RapDetail.aspx?STONELIST=925440040","DNA")</f>
        <v>DNA</v>
      </c>
      <c r="D435" s="18" t="s">
        <v>5313</v>
      </c>
      <c r="E435" s="18" t="s">
        <v>2186</v>
      </c>
      <c r="F435" s="2" t="s">
        <v>7987</v>
      </c>
      <c r="G435" s="2" t="s">
        <v>861</v>
      </c>
      <c r="H435" s="14">
        <v>1.7</v>
      </c>
      <c r="I435" s="2" t="s">
        <v>1505</v>
      </c>
      <c r="J435" s="2" t="s">
        <v>3942</v>
      </c>
      <c r="K435" s="2" t="s">
        <v>5221</v>
      </c>
      <c r="L435" s="2" t="s">
        <v>5221</v>
      </c>
      <c r="M435" s="2" t="s">
        <v>5221</v>
      </c>
      <c r="N435" s="2" t="s">
        <v>2317</v>
      </c>
      <c r="O435" s="14">
        <v>9100</v>
      </c>
      <c r="P435" s="14">
        <v>98.77</v>
      </c>
      <c r="Q435" s="14">
        <v>111.93</v>
      </c>
      <c r="R435" s="14">
        <v>190.28</v>
      </c>
      <c r="S435" s="2" t="s">
        <v>5878</v>
      </c>
      <c r="T435" s="2">
        <v>1.01</v>
      </c>
      <c r="U435" s="2">
        <v>62.6</v>
      </c>
      <c r="V435" s="2">
        <v>58</v>
      </c>
      <c r="W435" s="2" t="s">
        <v>8016</v>
      </c>
      <c r="X435" s="2" t="s">
        <v>5405</v>
      </c>
      <c r="Y435" s="2">
        <v>15470</v>
      </c>
      <c r="Z435" s="19" t="str">
        <f>HYPERLINK("https://ssdweb.co/ssdweb/hd/Vision360.html?d=925440040&amp;zoomslide=1&amp;z=1925440040&amp;ISCONFIRM=0","VIDEO")</f>
        <v>VIDEO</v>
      </c>
      <c r="AA435" s="19" t="str">
        <f>HYPERLINK("https://ssdweb.co/ssdweb/CERTH/620403274.pdf","CERTI")</f>
        <v>CERTI</v>
      </c>
    </row>
    <row r="436" spans="1:27" ht="15" x14ac:dyDescent="0.25">
      <c r="A436" s="2">
        <v>431</v>
      </c>
      <c r="B436" s="39">
        <v>925520903</v>
      </c>
      <c r="C436" s="28" t="str">
        <f>HYPERLINK("https://pld.live/RapDetail.aspx?STONELIST=925520903","DNA")</f>
        <v>DNA</v>
      </c>
      <c r="D436" s="18" t="s">
        <v>711</v>
      </c>
      <c r="E436" s="18" t="s">
        <v>5128</v>
      </c>
      <c r="F436" s="2" t="s">
        <v>7987</v>
      </c>
      <c r="G436" s="2" t="s">
        <v>861</v>
      </c>
      <c r="H436" s="14">
        <v>1.69</v>
      </c>
      <c r="I436" s="2" t="s">
        <v>267</v>
      </c>
      <c r="J436" s="2" t="s">
        <v>5144</v>
      </c>
      <c r="K436" s="2" t="s">
        <v>3390</v>
      </c>
      <c r="L436" s="2" t="s">
        <v>5221</v>
      </c>
      <c r="M436" s="2" t="s">
        <v>5221</v>
      </c>
      <c r="N436" s="2" t="s">
        <v>2317</v>
      </c>
      <c r="O436" s="14">
        <v>12000</v>
      </c>
      <c r="P436" s="14">
        <v>98.93</v>
      </c>
      <c r="Q436" s="14">
        <v>128.4</v>
      </c>
      <c r="R436" s="14">
        <v>217</v>
      </c>
      <c r="S436" s="2" t="s">
        <v>4350</v>
      </c>
      <c r="T436" s="2">
        <v>1.01</v>
      </c>
      <c r="U436" s="2">
        <v>61</v>
      </c>
      <c r="V436" s="2">
        <v>60</v>
      </c>
      <c r="W436" s="2" t="s">
        <v>7862</v>
      </c>
      <c r="X436" s="2" t="s">
        <v>5405</v>
      </c>
      <c r="Y436" s="2">
        <v>20280</v>
      </c>
      <c r="Z436" s="19" t="str">
        <f>HYPERLINK("https://ssdweb.co/ssdweb/hd/Vision360.html?d=925520903&amp;zoomslide=1&amp;z=1925520903&amp;ISCONFIRM=0","VIDEO")</f>
        <v>VIDEO</v>
      </c>
      <c r="AA436" s="19" t="str">
        <f>HYPERLINK("https://ssdweb.co/ssdweb/CERTH/617426380.pdf","CERTI")</f>
        <v>CERTI</v>
      </c>
    </row>
    <row r="437" spans="1:27" ht="15" x14ac:dyDescent="0.25">
      <c r="A437" s="2">
        <v>432</v>
      </c>
      <c r="B437" s="39">
        <v>925620956</v>
      </c>
      <c r="C437" s="28" t="str">
        <f>HYPERLINK("https://pld.live/RapDetail.aspx?STONELIST=925620956","DNA")</f>
        <v>DNA</v>
      </c>
      <c r="D437" s="18" t="s">
        <v>711</v>
      </c>
      <c r="E437" s="18" t="s">
        <v>5128</v>
      </c>
      <c r="F437" s="2" t="s">
        <v>7987</v>
      </c>
      <c r="G437" s="2" t="s">
        <v>861</v>
      </c>
      <c r="H437" s="14">
        <v>1.68</v>
      </c>
      <c r="I437" s="2" t="s">
        <v>267</v>
      </c>
      <c r="J437" s="2" t="s">
        <v>5144</v>
      </c>
      <c r="K437" s="2" t="s">
        <v>3390</v>
      </c>
      <c r="L437" s="2" t="s">
        <v>5221</v>
      </c>
      <c r="M437" s="2" t="s">
        <v>5221</v>
      </c>
      <c r="N437" s="2" t="s">
        <v>2317</v>
      </c>
      <c r="O437" s="14">
        <v>12000</v>
      </c>
      <c r="P437" s="14">
        <v>98.93</v>
      </c>
      <c r="Q437" s="14">
        <v>128.4</v>
      </c>
      <c r="R437" s="14">
        <v>215.71</v>
      </c>
      <c r="S437" s="2" t="s">
        <v>7110</v>
      </c>
      <c r="T437" s="2">
        <v>1.01</v>
      </c>
      <c r="U437" s="2">
        <v>62.4</v>
      </c>
      <c r="V437" s="2">
        <v>56</v>
      </c>
      <c r="W437" s="2" t="s">
        <v>7862</v>
      </c>
      <c r="X437" s="2" t="s">
        <v>5405</v>
      </c>
      <c r="Y437" s="2">
        <v>20160</v>
      </c>
      <c r="Z437" s="19" t="str">
        <f>HYPERLINK("https://ssdweb.co/ssdweb/hd/Vision360.html?d=925620956&amp;zoomslide=1&amp;z=1925620956&amp;ISCONFIRM=0","VIDEO")</f>
        <v>VIDEO</v>
      </c>
      <c r="AA437" s="19" t="str">
        <f>HYPERLINK("https://ssdweb.co/ssdweb/CERTH/620403239.pdf","CERTI")</f>
        <v>CERTI</v>
      </c>
    </row>
    <row r="438" spans="1:27" ht="15" x14ac:dyDescent="0.25">
      <c r="A438" s="2">
        <v>433</v>
      </c>
      <c r="B438" s="39">
        <v>926071779</v>
      </c>
      <c r="C438" s="28" t="str">
        <f>HYPERLINK("https://pld.live/RapDetail.aspx?STONELIST=926071779","DNA")</f>
        <v>DNA</v>
      </c>
      <c r="D438" s="18" t="s">
        <v>711</v>
      </c>
      <c r="E438" s="18" t="s">
        <v>5128</v>
      </c>
      <c r="F438" s="2" t="s">
        <v>7987</v>
      </c>
      <c r="G438" s="2" t="s">
        <v>861</v>
      </c>
      <c r="H438" s="14">
        <v>1.67</v>
      </c>
      <c r="I438" s="2" t="s">
        <v>4761</v>
      </c>
      <c r="J438" s="2" t="s">
        <v>13</v>
      </c>
      <c r="K438" s="2" t="s">
        <v>3390</v>
      </c>
      <c r="L438" s="2" t="s">
        <v>5221</v>
      </c>
      <c r="M438" s="2" t="s">
        <v>5221</v>
      </c>
      <c r="N438" s="2" t="s">
        <v>2317</v>
      </c>
      <c r="O438" s="14">
        <v>12200</v>
      </c>
      <c r="P438" s="14">
        <v>98.84</v>
      </c>
      <c r="Q438" s="14">
        <v>141.52000000000001</v>
      </c>
      <c r="R438" s="14">
        <v>236.34</v>
      </c>
      <c r="S438" s="2" t="s">
        <v>6859</v>
      </c>
      <c r="T438" s="2">
        <v>1</v>
      </c>
      <c r="U438" s="2">
        <v>59.6</v>
      </c>
      <c r="V438" s="2">
        <v>59</v>
      </c>
      <c r="W438" s="2" t="s">
        <v>4336</v>
      </c>
      <c r="X438" s="2" t="s">
        <v>5405</v>
      </c>
      <c r="Y438" s="2">
        <v>20374</v>
      </c>
      <c r="Z438" s="19" t="str">
        <f>HYPERLINK("https://ssdweb.co/ssdweb/hd/Vision360.html?d=926071779&amp;zoomslide=1&amp;z=1926071779&amp;ISCONFIRM=0","VIDEO")</f>
        <v>VIDEO</v>
      </c>
      <c r="AA438" s="19" t="str">
        <f>HYPERLINK("https://ssdweb.co/ssdweb/CERTH/631464125.pdf","CERTI")</f>
        <v>CERTI</v>
      </c>
    </row>
    <row r="439" spans="1:27" ht="15" x14ac:dyDescent="0.25">
      <c r="A439" s="2">
        <v>434</v>
      </c>
      <c r="B439" s="39">
        <v>926041232</v>
      </c>
      <c r="C439" s="28" t="str">
        <f>HYPERLINK("https://pld.live/RapDetail.aspx?STONELIST=926041232","DNA")</f>
        <v>DNA</v>
      </c>
      <c r="D439" s="18" t="s">
        <v>711</v>
      </c>
      <c r="E439" s="18" t="s">
        <v>5128</v>
      </c>
      <c r="F439" s="2" t="s">
        <v>7987</v>
      </c>
      <c r="G439" s="2" t="s">
        <v>861</v>
      </c>
      <c r="H439" s="14">
        <v>1.67</v>
      </c>
      <c r="I439" s="2" t="s">
        <v>4699</v>
      </c>
      <c r="J439" s="2" t="s">
        <v>5144</v>
      </c>
      <c r="K439" s="2" t="s">
        <v>3390</v>
      </c>
      <c r="L439" s="2" t="s">
        <v>5221</v>
      </c>
      <c r="M439" s="2" t="s">
        <v>5221</v>
      </c>
      <c r="N439" s="2" t="s">
        <v>2317</v>
      </c>
      <c r="O439" s="14">
        <v>10300</v>
      </c>
      <c r="P439" s="14">
        <v>98.8</v>
      </c>
      <c r="Q439" s="14">
        <v>123.6</v>
      </c>
      <c r="R439" s="14">
        <v>206.41</v>
      </c>
      <c r="S439" s="2" t="s">
        <v>3066</v>
      </c>
      <c r="T439" s="2">
        <v>1</v>
      </c>
      <c r="U439" s="2">
        <v>60</v>
      </c>
      <c r="V439" s="2">
        <v>60</v>
      </c>
      <c r="W439" s="2" t="s">
        <v>4336</v>
      </c>
      <c r="X439" s="2" t="s">
        <v>5405</v>
      </c>
      <c r="Y439" s="2">
        <v>17201</v>
      </c>
      <c r="Z439" s="19" t="str">
        <f>HYPERLINK("https://ssdweb.co/ssdweb/hd/Vision360.html?d=926041232&amp;zoomslide=1&amp;z=1926041232&amp;ISCONFIRM=0","VIDEO")</f>
        <v>VIDEO</v>
      </c>
      <c r="AA439" s="19" t="str">
        <f>HYPERLINK("https://ssdweb.co/ssdweb/CERTH/631464245.pdf","CERTI")</f>
        <v>CERTI</v>
      </c>
    </row>
    <row r="440" spans="1:27" ht="15" x14ac:dyDescent="0.25">
      <c r="A440" s="2">
        <v>435</v>
      </c>
      <c r="B440" s="39">
        <v>926201169</v>
      </c>
      <c r="C440" s="28" t="str">
        <f>HYPERLINK("https://pld.live/RapDetail.aspx?STONELIST=926201169","DNA")</f>
        <v>DNA</v>
      </c>
      <c r="D440" s="18" t="s">
        <v>711</v>
      </c>
      <c r="E440" s="18" t="s">
        <v>5128</v>
      </c>
      <c r="F440" s="2" t="s">
        <v>7987</v>
      </c>
      <c r="G440" s="2" t="s">
        <v>861</v>
      </c>
      <c r="H440" s="14">
        <v>1.66</v>
      </c>
      <c r="I440" s="2" t="s">
        <v>267</v>
      </c>
      <c r="J440" s="2" t="s">
        <v>6555</v>
      </c>
      <c r="K440" s="2" t="s">
        <v>3390</v>
      </c>
      <c r="L440" s="2" t="s">
        <v>5221</v>
      </c>
      <c r="M440" s="2" t="s">
        <v>5221</v>
      </c>
      <c r="N440" s="2" t="s">
        <v>2317</v>
      </c>
      <c r="O440" s="14">
        <v>18700</v>
      </c>
      <c r="P440" s="14">
        <v>99.05</v>
      </c>
      <c r="Q440" s="14">
        <v>177.65</v>
      </c>
      <c r="R440" s="14">
        <v>294.89999999999998</v>
      </c>
      <c r="S440" s="2" t="s">
        <v>3648</v>
      </c>
      <c r="T440" s="2">
        <v>1.01</v>
      </c>
      <c r="U440" s="2">
        <v>62.4</v>
      </c>
      <c r="V440" s="2">
        <v>57</v>
      </c>
      <c r="W440" s="2" t="s">
        <v>7862</v>
      </c>
      <c r="X440" s="2" t="s">
        <v>5405</v>
      </c>
      <c r="Y440" s="2">
        <v>31042</v>
      </c>
      <c r="Z440" s="19" t="str">
        <f>HYPERLINK("https://ssdweb.co/ssdweb/hd/Vision360.html?d=926201169&amp;zoomslide=1&amp;z=1926201169&amp;ISCONFIRM=0","VIDEO")</f>
        <v>VIDEO</v>
      </c>
      <c r="AA440" s="19" t="str">
        <f>HYPERLINK("https://ssdweb.co/ssdweb/CERTH/638463197.pdf","CERTI")</f>
        <v>CERTI</v>
      </c>
    </row>
    <row r="441" spans="1:27" ht="15" x14ac:dyDescent="0.25">
      <c r="A441" s="2">
        <v>436</v>
      </c>
      <c r="B441" s="39">
        <v>831010618</v>
      </c>
      <c r="C441" s="28" t="str">
        <f>HYPERLINK("https://pld.live/RapDetail.aspx?STONELIST=831010618","DNA")</f>
        <v>DNA</v>
      </c>
      <c r="D441" s="18" t="s">
        <v>711</v>
      </c>
      <c r="E441" s="18" t="s">
        <v>5128</v>
      </c>
      <c r="F441" s="2" t="s">
        <v>7987</v>
      </c>
      <c r="G441" s="2" t="s">
        <v>861</v>
      </c>
      <c r="H441" s="14">
        <v>1.66</v>
      </c>
      <c r="I441" s="2" t="s">
        <v>267</v>
      </c>
      <c r="J441" s="2" t="s">
        <v>3942</v>
      </c>
      <c r="K441" s="2" t="s">
        <v>3390</v>
      </c>
      <c r="L441" s="2" t="s">
        <v>5221</v>
      </c>
      <c r="M441" s="2" t="s">
        <v>5221</v>
      </c>
      <c r="N441" s="2" t="s">
        <v>2317</v>
      </c>
      <c r="O441" s="14">
        <v>15400</v>
      </c>
      <c r="P441" s="14">
        <v>99.01</v>
      </c>
      <c r="Q441" s="14">
        <v>152.46</v>
      </c>
      <c r="R441" s="14">
        <v>253.08</v>
      </c>
      <c r="S441" s="2" t="s">
        <v>1246</v>
      </c>
      <c r="T441" s="2">
        <v>1.01</v>
      </c>
      <c r="U441" s="2">
        <v>62.3</v>
      </c>
      <c r="V441" s="2">
        <v>58</v>
      </c>
      <c r="W441" s="2" t="s">
        <v>7862</v>
      </c>
      <c r="X441" s="2" t="s">
        <v>5405</v>
      </c>
      <c r="Y441" s="2">
        <v>25564</v>
      </c>
      <c r="Z441" s="19" t="str">
        <f>HYPERLINK("https://ssdweb.co/ssdweb/hd/Vision360.html?d=831010618&amp;zoomslide=1&amp;z=1831010618&amp;ISCONFIRM=0","VIDEO")</f>
        <v>VIDEO</v>
      </c>
      <c r="AA441" s="19" t="str">
        <f>HYPERLINK("https://ssdweb.co/ssdweb/CERTH/619424047.pdf","CERTI")</f>
        <v>CERTI</v>
      </c>
    </row>
    <row r="442" spans="1:27" ht="15" x14ac:dyDescent="0.25">
      <c r="A442" s="2">
        <v>437</v>
      </c>
      <c r="B442" s="39">
        <v>831010622</v>
      </c>
      <c r="C442" s="28" t="str">
        <f>HYPERLINK("https://pld.live/RapDetail.aspx?STONELIST=831010622","DNA")</f>
        <v>DNA</v>
      </c>
      <c r="D442" s="18" t="s">
        <v>711</v>
      </c>
      <c r="E442" s="18" t="s">
        <v>5128</v>
      </c>
      <c r="F442" s="2" t="s">
        <v>7987</v>
      </c>
      <c r="G442" s="2" t="s">
        <v>861</v>
      </c>
      <c r="H442" s="14">
        <v>1.66</v>
      </c>
      <c r="I442" s="2" t="s">
        <v>267</v>
      </c>
      <c r="J442" s="2" t="s">
        <v>13</v>
      </c>
      <c r="K442" s="2" t="s">
        <v>3390</v>
      </c>
      <c r="L442" s="2" t="s">
        <v>5221</v>
      </c>
      <c r="M442" s="2" t="s">
        <v>5221</v>
      </c>
      <c r="N442" s="2" t="s">
        <v>2317</v>
      </c>
      <c r="O442" s="14">
        <v>13400</v>
      </c>
      <c r="P442" s="14">
        <v>98.93</v>
      </c>
      <c r="Q442" s="14">
        <v>143.38</v>
      </c>
      <c r="R442" s="14">
        <v>238.01</v>
      </c>
      <c r="S442" s="2" t="s">
        <v>5781</v>
      </c>
      <c r="T442" s="2">
        <v>1.01</v>
      </c>
      <c r="U442" s="2">
        <v>62.4</v>
      </c>
      <c r="V442" s="2">
        <v>58</v>
      </c>
      <c r="W442" s="2" t="s">
        <v>7862</v>
      </c>
      <c r="X442" s="2" t="s">
        <v>5405</v>
      </c>
      <c r="Y442" s="2">
        <v>22244</v>
      </c>
      <c r="Z442" s="19" t="str">
        <f>HYPERLINK("https://ssdweb.co/ssdweb/hd/Vision360.html?d=831010622&amp;zoomslide=1&amp;z=1831010622&amp;ISCONFIRM=0","VIDEO")</f>
        <v>VIDEO</v>
      </c>
      <c r="AA442" s="19" t="str">
        <f>HYPERLINK("https://ssdweb.co/ssdweb/CERTH/613393247.pdf","CERTI")</f>
        <v>CERTI</v>
      </c>
    </row>
    <row r="443" spans="1:27" ht="15" x14ac:dyDescent="0.25">
      <c r="A443" s="2">
        <v>438</v>
      </c>
      <c r="B443" s="39">
        <v>831010623</v>
      </c>
      <c r="C443" s="28" t="str">
        <f>HYPERLINK("https://pld.live/RapDetail.aspx?STONELIST=831010623","DNA")</f>
        <v>DNA</v>
      </c>
      <c r="D443" s="18" t="s">
        <v>711</v>
      </c>
      <c r="E443" s="18" t="s">
        <v>5128</v>
      </c>
      <c r="F443" s="2" t="s">
        <v>7987</v>
      </c>
      <c r="G443" s="2" t="s">
        <v>861</v>
      </c>
      <c r="H443" s="14">
        <v>1.66</v>
      </c>
      <c r="I443" s="2" t="s">
        <v>267</v>
      </c>
      <c r="J443" s="2" t="s">
        <v>13</v>
      </c>
      <c r="K443" s="2" t="s">
        <v>3390</v>
      </c>
      <c r="L443" s="2" t="s">
        <v>5221</v>
      </c>
      <c r="M443" s="2" t="s">
        <v>5221</v>
      </c>
      <c r="N443" s="2" t="s">
        <v>2317</v>
      </c>
      <c r="O443" s="14">
        <v>13400</v>
      </c>
      <c r="P443" s="14">
        <v>98.93</v>
      </c>
      <c r="Q443" s="14">
        <v>143.38</v>
      </c>
      <c r="R443" s="14">
        <v>238.01</v>
      </c>
      <c r="S443" s="2" t="s">
        <v>7856</v>
      </c>
      <c r="T443" s="2">
        <v>1</v>
      </c>
      <c r="U443" s="2">
        <v>61.2</v>
      </c>
      <c r="V443" s="2">
        <v>60</v>
      </c>
      <c r="W443" s="2" t="s">
        <v>7862</v>
      </c>
      <c r="X443" s="2" t="s">
        <v>5405</v>
      </c>
      <c r="Y443" s="2">
        <v>22244</v>
      </c>
      <c r="Z443" s="19" t="str">
        <f>HYPERLINK("https://ssdweb.co/ssdweb/hd/Vision360.html?d=831010623&amp;zoomslide=1&amp;z=1831010623&amp;ISCONFIRM=0","VIDEO")</f>
        <v>VIDEO</v>
      </c>
      <c r="AA443" s="19" t="str">
        <f>HYPERLINK("https://ssdweb.co/ssdweb/CERTH/618455209.pdf","CERTI")</f>
        <v>CERTI</v>
      </c>
    </row>
    <row r="444" spans="1:27" ht="15" x14ac:dyDescent="0.25">
      <c r="A444" s="2">
        <v>439</v>
      </c>
      <c r="B444" s="39">
        <v>925801750</v>
      </c>
      <c r="C444" s="28" t="str">
        <f>HYPERLINK("https://pld.live/RapDetail.aspx?STONELIST=925801750","DNA")</f>
        <v>DNA</v>
      </c>
      <c r="D444" s="18" t="s">
        <v>711</v>
      </c>
      <c r="E444" s="18" t="s">
        <v>5128</v>
      </c>
      <c r="F444" s="2" t="s">
        <v>7987</v>
      </c>
      <c r="G444" s="2" t="s">
        <v>861</v>
      </c>
      <c r="H444" s="14">
        <v>1.66</v>
      </c>
      <c r="I444" s="2" t="s">
        <v>267</v>
      </c>
      <c r="J444" s="2" t="s">
        <v>5144</v>
      </c>
      <c r="K444" s="2" t="s">
        <v>3390</v>
      </c>
      <c r="L444" s="2" t="s">
        <v>5221</v>
      </c>
      <c r="M444" s="2" t="s">
        <v>5221</v>
      </c>
      <c r="N444" s="2" t="s">
        <v>2317</v>
      </c>
      <c r="O444" s="14">
        <v>12000</v>
      </c>
      <c r="P444" s="14">
        <v>98.93</v>
      </c>
      <c r="Q444" s="14">
        <v>128.4</v>
      </c>
      <c r="R444" s="14">
        <v>213.14</v>
      </c>
      <c r="S444" s="2" t="s">
        <v>4978</v>
      </c>
      <c r="T444" s="2">
        <v>1.01</v>
      </c>
      <c r="U444" s="2">
        <v>60.9</v>
      </c>
      <c r="V444" s="2">
        <v>59</v>
      </c>
      <c r="W444" s="2" t="s">
        <v>7862</v>
      </c>
      <c r="X444" s="2" t="s">
        <v>5405</v>
      </c>
      <c r="Y444" s="2">
        <v>19920</v>
      </c>
      <c r="Z444" s="19" t="str">
        <f>HYPERLINK("https://ssdweb.co/ssdweb/hd/Vision360.html?d=925801750&amp;zoomslide=1&amp;z=1925801750&amp;ISCONFIRM=0","VIDEO")</f>
        <v>VIDEO</v>
      </c>
      <c r="AA444" s="19" t="str">
        <f>HYPERLINK("https://ssdweb.co/ssdweb/CERTH/626427561.pdf","CERTI")</f>
        <v>CERTI</v>
      </c>
    </row>
    <row r="445" spans="1:27" ht="15" x14ac:dyDescent="0.25">
      <c r="A445" s="2">
        <v>440</v>
      </c>
      <c r="B445" s="39">
        <v>831010831</v>
      </c>
      <c r="C445" s="28" t="str">
        <f>HYPERLINK("https://pld.live/RapDetail.aspx?STONELIST=831010831","DNA")</f>
        <v>DNA</v>
      </c>
      <c r="D445" s="18" t="s">
        <v>711</v>
      </c>
      <c r="E445" s="18" t="s">
        <v>5128</v>
      </c>
      <c r="F445" s="2" t="s">
        <v>7987</v>
      </c>
      <c r="G445" s="2" t="s">
        <v>861</v>
      </c>
      <c r="H445" s="14">
        <v>1.66</v>
      </c>
      <c r="I445" s="2" t="s">
        <v>267</v>
      </c>
      <c r="J445" s="2" t="s">
        <v>444</v>
      </c>
      <c r="K445" s="2" t="s">
        <v>3390</v>
      </c>
      <c r="L445" s="2" t="s">
        <v>5221</v>
      </c>
      <c r="M445" s="2" t="s">
        <v>5221</v>
      </c>
      <c r="N445" s="2" t="s">
        <v>2317</v>
      </c>
      <c r="O445" s="14">
        <v>9600</v>
      </c>
      <c r="P445" s="14">
        <v>98.72</v>
      </c>
      <c r="Q445" s="14">
        <v>122.88</v>
      </c>
      <c r="R445" s="14">
        <v>203.98</v>
      </c>
      <c r="S445" s="2" t="s">
        <v>6433</v>
      </c>
      <c r="T445" s="2">
        <v>1.01</v>
      </c>
      <c r="U445" s="2">
        <v>62.5</v>
      </c>
      <c r="V445" s="2">
        <v>55</v>
      </c>
      <c r="W445" s="2" t="s">
        <v>7862</v>
      </c>
      <c r="X445" s="2" t="s">
        <v>5405</v>
      </c>
      <c r="Y445" s="2">
        <v>15936</v>
      </c>
      <c r="Z445" s="19" t="str">
        <f>HYPERLINK("https://ssdweb.co/ssdweb/hd/Vision360.html?d=831010831&amp;zoomslide=1&amp;z=1831010831&amp;ISCONFIRM=0","VIDEO")</f>
        <v>VIDEO</v>
      </c>
      <c r="AA445" s="19" t="str">
        <f>HYPERLINK("https://ssdweb.co/ssdweb/CERTH/607366202.pdf","CERTI")</f>
        <v>CERTI</v>
      </c>
    </row>
    <row r="446" spans="1:27" ht="15" x14ac:dyDescent="0.25">
      <c r="A446" s="2">
        <v>441</v>
      </c>
      <c r="B446" s="39">
        <v>926041279</v>
      </c>
      <c r="C446" s="28" t="str">
        <f>HYPERLINK("https://pld.live/RapDetail.aspx?STONELIST=926041279","DNA")</f>
        <v>DNA</v>
      </c>
      <c r="D446" s="18" t="s">
        <v>711</v>
      </c>
      <c r="E446" s="18" t="s">
        <v>5128</v>
      </c>
      <c r="F446" s="2" t="s">
        <v>7987</v>
      </c>
      <c r="G446" s="2" t="s">
        <v>861</v>
      </c>
      <c r="H446" s="14">
        <v>1.65</v>
      </c>
      <c r="I446" s="2" t="s">
        <v>4699</v>
      </c>
      <c r="J446" s="2" t="s">
        <v>5144</v>
      </c>
      <c r="K446" s="2" t="s">
        <v>3390</v>
      </c>
      <c r="L446" s="2" t="s">
        <v>5221</v>
      </c>
      <c r="M446" s="2" t="s">
        <v>5221</v>
      </c>
      <c r="N446" s="2" t="s">
        <v>2317</v>
      </c>
      <c r="O446" s="14">
        <v>10300</v>
      </c>
      <c r="P446" s="14">
        <v>98.8</v>
      </c>
      <c r="Q446" s="14">
        <v>123.6</v>
      </c>
      <c r="R446" s="14">
        <v>203.94</v>
      </c>
      <c r="S446" s="2" t="s">
        <v>438</v>
      </c>
      <c r="T446" s="2">
        <v>1.01</v>
      </c>
      <c r="U446" s="2">
        <v>61.4</v>
      </c>
      <c r="V446" s="2">
        <v>57</v>
      </c>
      <c r="W446" s="2" t="s">
        <v>4336</v>
      </c>
      <c r="X446" s="2" t="s">
        <v>5405</v>
      </c>
      <c r="Y446" s="2">
        <v>16995</v>
      </c>
      <c r="Z446" s="19" t="str">
        <f>HYPERLINK("https://ssdweb.co/ssdweb/hd/Vision360.html?d=926041279&amp;zoomslide=1&amp;z=1926041279&amp;ISCONFIRM=0","VIDEO")</f>
        <v>VIDEO</v>
      </c>
      <c r="AA446" s="19" t="str">
        <f>HYPERLINK("https://ssdweb.co/ssdweb/CERTH/631464246.pdf","CERTI")</f>
        <v>CERTI</v>
      </c>
    </row>
    <row r="447" spans="1:27" ht="15" x14ac:dyDescent="0.25">
      <c r="A447" s="2">
        <v>442</v>
      </c>
      <c r="B447" s="39">
        <v>924700172</v>
      </c>
      <c r="C447" s="28" t="str">
        <f>HYPERLINK("https://pld.live/RapDetail.aspx?STONELIST=924700172","DNA")</f>
        <v>DNA</v>
      </c>
      <c r="D447" s="18" t="s">
        <v>711</v>
      </c>
      <c r="E447" s="18" t="s">
        <v>5128</v>
      </c>
      <c r="F447" s="2" t="s">
        <v>7987</v>
      </c>
      <c r="G447" s="2" t="s">
        <v>861</v>
      </c>
      <c r="H447" s="14">
        <v>1.64</v>
      </c>
      <c r="I447" s="2" t="s">
        <v>267</v>
      </c>
      <c r="J447" s="2" t="s">
        <v>6555</v>
      </c>
      <c r="K447" s="2" t="s">
        <v>3390</v>
      </c>
      <c r="L447" s="2" t="s">
        <v>5221</v>
      </c>
      <c r="M447" s="2" t="s">
        <v>5221</v>
      </c>
      <c r="N447" s="2" t="s">
        <v>2317</v>
      </c>
      <c r="O447" s="14">
        <v>18700</v>
      </c>
      <c r="P447" s="14">
        <v>99.06</v>
      </c>
      <c r="Q447" s="14">
        <v>175.78</v>
      </c>
      <c r="R447" s="14">
        <v>288.27999999999997</v>
      </c>
      <c r="S447" s="2" t="s">
        <v>4795</v>
      </c>
      <c r="T447" s="2">
        <v>1.01</v>
      </c>
      <c r="U447" s="2">
        <v>61.8</v>
      </c>
      <c r="V447" s="2">
        <v>59</v>
      </c>
      <c r="W447" s="2" t="s">
        <v>7862</v>
      </c>
      <c r="X447" s="2" t="s">
        <v>5405</v>
      </c>
      <c r="Y447" s="2">
        <v>30668</v>
      </c>
      <c r="Z447" s="19" t="str">
        <f>HYPERLINK("https://ssdweb.co/ssdweb/hd/Vision360.html?d=924700172&amp;zoomslide=1&amp;z=1924700172&amp;ISCONFIRM=0","VIDEO")</f>
        <v>VIDEO</v>
      </c>
      <c r="AA447" s="19" t="str">
        <f>HYPERLINK("https://ssdweb.co/ssdweb/CERTH/598375586.pdf","CERTI")</f>
        <v>CERTI</v>
      </c>
    </row>
    <row r="448" spans="1:27" ht="15" x14ac:dyDescent="0.25">
      <c r="A448" s="2">
        <v>443</v>
      </c>
      <c r="B448" s="39">
        <v>831010007</v>
      </c>
      <c r="C448" s="28" t="str">
        <f>HYPERLINK("https://pld.live/RapDetail.aspx?STONELIST=831010007","DNA")</f>
        <v>DNA</v>
      </c>
      <c r="D448" s="18" t="s">
        <v>711</v>
      </c>
      <c r="E448" s="18" t="s">
        <v>5128</v>
      </c>
      <c r="F448" s="2" t="s">
        <v>5597</v>
      </c>
      <c r="G448" s="2" t="s">
        <v>861</v>
      </c>
      <c r="H448" s="14">
        <v>1.64</v>
      </c>
      <c r="I448" s="2" t="s">
        <v>267</v>
      </c>
      <c r="J448" s="2" t="s">
        <v>3942</v>
      </c>
      <c r="K448" s="2" t="s">
        <v>5221</v>
      </c>
      <c r="L448" s="2" t="s">
        <v>5221</v>
      </c>
      <c r="M448" s="2" t="s">
        <v>5221</v>
      </c>
      <c r="N448" s="2" t="s">
        <v>2317</v>
      </c>
      <c r="O448" s="14">
        <v>15400</v>
      </c>
      <c r="P448" s="14">
        <v>98.19</v>
      </c>
      <c r="Q448" s="14">
        <v>278.74</v>
      </c>
      <c r="R448" s="14">
        <v>457.13</v>
      </c>
      <c r="S448" s="2" t="s">
        <v>7042</v>
      </c>
      <c r="T448" s="2">
        <v>1.01</v>
      </c>
      <c r="U448" s="2">
        <v>59.3</v>
      </c>
      <c r="V448" s="2">
        <v>59</v>
      </c>
      <c r="W448" s="2" t="s">
        <v>7862</v>
      </c>
      <c r="X448" s="2" t="s">
        <v>5405</v>
      </c>
      <c r="Y448" s="2">
        <v>25256</v>
      </c>
      <c r="Z448" s="19" t="str">
        <f>HYPERLINK("https://ssdweb.co/ssdweb/hd/Vision360.html?d=831010007&amp;zoomslide=1&amp;z=1831010007&amp;ISCONFIRM=0","VIDEO")</f>
        <v>VIDEO</v>
      </c>
      <c r="AA448" s="19" t="str">
        <f>HYPERLINK("https://ssdweb.co/ssdweb/CERTH/7451695598.pdf","CERTI")</f>
        <v>CERTI</v>
      </c>
    </row>
    <row r="449" spans="1:27" ht="15" x14ac:dyDescent="0.25">
      <c r="A449" s="2">
        <v>444</v>
      </c>
      <c r="B449" s="39">
        <v>925542398</v>
      </c>
      <c r="C449" s="28" t="str">
        <f>HYPERLINK("https://pld.live/RapDetail.aspx?STONELIST=925542398","DNA")</f>
        <v>DNA</v>
      </c>
      <c r="D449" s="18" t="s">
        <v>711</v>
      </c>
      <c r="E449" s="18" t="s">
        <v>5128</v>
      </c>
      <c r="F449" s="2" t="s">
        <v>7987</v>
      </c>
      <c r="G449" s="2" t="s">
        <v>861</v>
      </c>
      <c r="H449" s="14">
        <v>1.63</v>
      </c>
      <c r="I449" s="2" t="s">
        <v>267</v>
      </c>
      <c r="J449" s="2" t="s">
        <v>13</v>
      </c>
      <c r="K449" s="2" t="s">
        <v>3390</v>
      </c>
      <c r="L449" s="2" t="s">
        <v>5221</v>
      </c>
      <c r="M449" s="2" t="s">
        <v>5221</v>
      </c>
      <c r="N449" s="2" t="s">
        <v>2317</v>
      </c>
      <c r="O449" s="14">
        <v>13400</v>
      </c>
      <c r="P449" s="14">
        <v>98.93</v>
      </c>
      <c r="Q449" s="14">
        <v>143.38</v>
      </c>
      <c r="R449" s="14">
        <v>233.71</v>
      </c>
      <c r="S449" s="2" t="s">
        <v>4276</v>
      </c>
      <c r="T449" s="2">
        <v>1</v>
      </c>
      <c r="U449" s="2">
        <v>62.5</v>
      </c>
      <c r="V449" s="2">
        <v>58</v>
      </c>
      <c r="W449" s="2" t="s">
        <v>7862</v>
      </c>
      <c r="X449" s="2" t="s">
        <v>5405</v>
      </c>
      <c r="Y449" s="2">
        <v>21842</v>
      </c>
      <c r="Z449" s="19" t="str">
        <f>HYPERLINK("https://ssdweb.co/ssdweb/hd/Vision360.html?d=925542398&amp;zoomslide=1&amp;z=1925542398&amp;ISCONFIRM=0","VIDEO")</f>
        <v>VIDEO</v>
      </c>
      <c r="AA449" s="19" t="str">
        <f>HYPERLINK("https://ssdweb.co/ssdweb/CERTH/619453425.pdf","CERTI")</f>
        <v>CERTI</v>
      </c>
    </row>
    <row r="450" spans="1:27" ht="15" x14ac:dyDescent="0.25">
      <c r="A450" s="2">
        <v>445</v>
      </c>
      <c r="B450" s="39">
        <v>831010830</v>
      </c>
      <c r="C450" s="28" t="str">
        <f>HYPERLINK("https://pld.live/RapDetail.aspx?STONELIST=831010830","DNA")</f>
        <v>DNA</v>
      </c>
      <c r="D450" s="18" t="s">
        <v>711</v>
      </c>
      <c r="E450" s="18" t="s">
        <v>5128</v>
      </c>
      <c r="F450" s="2" t="s">
        <v>7987</v>
      </c>
      <c r="G450" s="2" t="s">
        <v>861</v>
      </c>
      <c r="H450" s="14">
        <v>1.63</v>
      </c>
      <c r="I450" s="2" t="s">
        <v>267</v>
      </c>
      <c r="J450" s="2" t="s">
        <v>5144</v>
      </c>
      <c r="K450" s="2" t="s">
        <v>3390</v>
      </c>
      <c r="L450" s="2" t="s">
        <v>5221</v>
      </c>
      <c r="M450" s="2" t="s">
        <v>5221</v>
      </c>
      <c r="N450" s="2" t="s">
        <v>2317</v>
      </c>
      <c r="O450" s="14">
        <v>12000</v>
      </c>
      <c r="P450" s="14">
        <v>98.93</v>
      </c>
      <c r="Q450" s="14">
        <v>128.4</v>
      </c>
      <c r="R450" s="14">
        <v>209.29</v>
      </c>
      <c r="S450" s="2" t="s">
        <v>2551</v>
      </c>
      <c r="T450" s="2">
        <v>1.01</v>
      </c>
      <c r="U450" s="2">
        <v>60.9</v>
      </c>
      <c r="V450" s="2">
        <v>58</v>
      </c>
      <c r="W450" s="2" t="s">
        <v>7862</v>
      </c>
      <c r="X450" s="2" t="s">
        <v>5405</v>
      </c>
      <c r="Y450" s="2">
        <v>19560</v>
      </c>
      <c r="Z450" s="19" t="str">
        <f>HYPERLINK("https://ssdweb.co/ssdweb/hd/Vision360.html?d=831010830&amp;zoomslide=1&amp;z=1831010830&amp;ISCONFIRM=0","VIDEO")</f>
        <v>VIDEO</v>
      </c>
      <c r="AA450" s="19" t="str">
        <f>HYPERLINK("https://ssdweb.co/ssdweb/CERTH/598312825.pdf","CERTI")</f>
        <v>CERTI</v>
      </c>
    </row>
    <row r="451" spans="1:27" ht="15" x14ac:dyDescent="0.25">
      <c r="A451" s="2">
        <v>446</v>
      </c>
      <c r="B451" s="39">
        <v>925560077</v>
      </c>
      <c r="C451" s="28" t="str">
        <f>HYPERLINK("https://pld.live/RapDetail.aspx?STONELIST=925560077","DNA")</f>
        <v>DNA</v>
      </c>
      <c r="D451" s="18" t="s">
        <v>711</v>
      </c>
      <c r="E451" s="18" t="s">
        <v>2186</v>
      </c>
      <c r="F451" s="2" t="s">
        <v>7987</v>
      </c>
      <c r="G451" s="2" t="s">
        <v>861</v>
      </c>
      <c r="H451" s="14">
        <v>1.63</v>
      </c>
      <c r="I451" s="2" t="s">
        <v>1505</v>
      </c>
      <c r="J451" s="2" t="s">
        <v>5144</v>
      </c>
      <c r="K451" s="2" t="s">
        <v>5221</v>
      </c>
      <c r="L451" s="2" t="s">
        <v>5221</v>
      </c>
      <c r="M451" s="2" t="s">
        <v>5221</v>
      </c>
      <c r="N451" s="2" t="s">
        <v>2317</v>
      </c>
      <c r="O451" s="14">
        <v>7400</v>
      </c>
      <c r="P451" s="14">
        <v>98.5</v>
      </c>
      <c r="Q451" s="14">
        <v>111</v>
      </c>
      <c r="R451" s="14">
        <v>180.93</v>
      </c>
      <c r="S451" s="2" t="s">
        <v>4621</v>
      </c>
      <c r="T451" s="2">
        <v>1.01</v>
      </c>
      <c r="U451" s="2">
        <v>59.1</v>
      </c>
      <c r="V451" s="2">
        <v>60</v>
      </c>
      <c r="W451" s="2" t="s">
        <v>8016</v>
      </c>
      <c r="X451" s="2" t="s">
        <v>5405</v>
      </c>
      <c r="Y451" s="2">
        <v>12062</v>
      </c>
      <c r="Z451" s="19" t="str">
        <f>HYPERLINK("https://ssdweb.co/ssdweb/hd/Vision360.html?d=925560077&amp;zoomslide=1&amp;z=1925560077&amp;ISCONFIRM=0","VIDEO")</f>
        <v>VIDEO</v>
      </c>
      <c r="AA451" s="19" t="str">
        <f>HYPERLINK("https://ssdweb.co/ssdweb/CERTH/621448191.pdf","CERTI")</f>
        <v>CERTI</v>
      </c>
    </row>
    <row r="452" spans="1:27" ht="15" x14ac:dyDescent="0.25">
      <c r="A452" s="2">
        <v>447</v>
      </c>
      <c r="B452" s="39">
        <v>925621525</v>
      </c>
      <c r="C452" s="28" t="str">
        <f>HYPERLINK("https://pld.live/RapDetail.aspx?STONELIST=925621525","DNA")</f>
        <v>DNA</v>
      </c>
      <c r="D452" s="18" t="s">
        <v>711</v>
      </c>
      <c r="E452" s="18" t="s">
        <v>5128</v>
      </c>
      <c r="F452" s="2" t="s">
        <v>7987</v>
      </c>
      <c r="G452" s="2" t="s">
        <v>861</v>
      </c>
      <c r="H452" s="14">
        <v>1.62</v>
      </c>
      <c r="I452" s="2" t="s">
        <v>267</v>
      </c>
      <c r="J452" s="2" t="s">
        <v>13</v>
      </c>
      <c r="K452" s="2" t="s">
        <v>3390</v>
      </c>
      <c r="L452" s="2" t="s">
        <v>5221</v>
      </c>
      <c r="M452" s="2" t="s">
        <v>5221</v>
      </c>
      <c r="N452" s="2" t="s">
        <v>2317</v>
      </c>
      <c r="O452" s="14">
        <v>13400</v>
      </c>
      <c r="P452" s="14">
        <v>98.93</v>
      </c>
      <c r="Q452" s="14">
        <v>143.38</v>
      </c>
      <c r="R452" s="14">
        <v>232.28</v>
      </c>
      <c r="S452" s="2" t="s">
        <v>5163</v>
      </c>
      <c r="T452" s="2">
        <v>1.01</v>
      </c>
      <c r="U452" s="2">
        <v>62.1</v>
      </c>
      <c r="V452" s="2">
        <v>58</v>
      </c>
      <c r="W452" s="2" t="s">
        <v>7862</v>
      </c>
      <c r="X452" s="2" t="s">
        <v>5405</v>
      </c>
      <c r="Y452" s="2">
        <v>21708</v>
      </c>
      <c r="Z452" s="19" t="str">
        <f>HYPERLINK("https://ssdweb.co/ssdweb/hd/Vision360.html?d=925621525&amp;zoomslide=1&amp;z=1925621525&amp;ISCONFIRM=0","VIDEO")</f>
        <v>VIDEO</v>
      </c>
      <c r="AA452" s="19" t="str">
        <f>HYPERLINK("https://ssdweb.co/ssdweb/CERTH/620449026.pdf","CERTI")</f>
        <v>CERTI</v>
      </c>
    </row>
    <row r="453" spans="1:27" ht="15" x14ac:dyDescent="0.25">
      <c r="A453" s="2">
        <v>448</v>
      </c>
      <c r="B453" s="39">
        <v>926100925</v>
      </c>
      <c r="C453" s="28" t="str">
        <f>HYPERLINK("https://pld.live/RapDetail.aspx?STONELIST=926100925","DNA")</f>
        <v>DNA</v>
      </c>
      <c r="D453" s="18" t="s">
        <v>711</v>
      </c>
      <c r="E453" s="18" t="s">
        <v>5128</v>
      </c>
      <c r="F453" s="2" t="s">
        <v>7987</v>
      </c>
      <c r="G453" s="2" t="s">
        <v>861</v>
      </c>
      <c r="H453" s="14">
        <v>1.62</v>
      </c>
      <c r="I453" s="2" t="s">
        <v>4699</v>
      </c>
      <c r="J453" s="2" t="s">
        <v>3942</v>
      </c>
      <c r="K453" s="2" t="s">
        <v>3390</v>
      </c>
      <c r="L453" s="2" t="s">
        <v>5221</v>
      </c>
      <c r="M453" s="2" t="s">
        <v>5221</v>
      </c>
      <c r="N453" s="2" t="s">
        <v>2317</v>
      </c>
      <c r="O453" s="14">
        <v>13200</v>
      </c>
      <c r="P453" s="14">
        <v>98.9</v>
      </c>
      <c r="Q453" s="14">
        <v>145.19999999999999</v>
      </c>
      <c r="R453" s="14">
        <v>235.22</v>
      </c>
      <c r="S453" s="2" t="s">
        <v>7442</v>
      </c>
      <c r="T453" s="2">
        <v>1.01</v>
      </c>
      <c r="U453" s="2">
        <v>62.2</v>
      </c>
      <c r="V453" s="2">
        <v>59</v>
      </c>
      <c r="W453" s="2" t="s">
        <v>4336</v>
      </c>
      <c r="X453" s="2" t="s">
        <v>5405</v>
      </c>
      <c r="Y453" s="2">
        <v>21384</v>
      </c>
      <c r="Z453" s="19" t="str">
        <f>HYPERLINK("https://ssdweb.co/ssdweb/hd/Vision360.html?d=926100925&amp;zoomslide=1&amp;z=1926100925&amp;ISCONFIRM=0","VIDEO")</f>
        <v>VIDEO</v>
      </c>
      <c r="AA453" s="19" t="str">
        <f>HYPERLINK("https://ssdweb.co/ssdweb/CERTH/632488431.pdf","CERTI")</f>
        <v>CERTI</v>
      </c>
    </row>
    <row r="454" spans="1:27" ht="15" x14ac:dyDescent="0.25">
      <c r="A454" s="2">
        <v>449</v>
      </c>
      <c r="B454" s="39">
        <v>926101371</v>
      </c>
      <c r="C454" s="28" t="str">
        <f>HYPERLINK("https://pld.live/RapDetail.aspx?STONELIST=926101371","DNA")</f>
        <v>DNA</v>
      </c>
      <c r="D454" s="18" t="s">
        <v>711</v>
      </c>
      <c r="E454" s="18" t="s">
        <v>5128</v>
      </c>
      <c r="F454" s="2" t="s">
        <v>7987</v>
      </c>
      <c r="G454" s="2" t="s">
        <v>861</v>
      </c>
      <c r="H454" s="14">
        <v>1.61</v>
      </c>
      <c r="I454" s="2" t="s">
        <v>267</v>
      </c>
      <c r="J454" s="2" t="s">
        <v>3942</v>
      </c>
      <c r="K454" s="2" t="s">
        <v>3390</v>
      </c>
      <c r="L454" s="2" t="s">
        <v>5221</v>
      </c>
      <c r="M454" s="2" t="s">
        <v>5221</v>
      </c>
      <c r="N454" s="2" t="s">
        <v>2317</v>
      </c>
      <c r="O454" s="14">
        <v>15400</v>
      </c>
      <c r="P454" s="14">
        <v>98.99</v>
      </c>
      <c r="Q454" s="14">
        <v>155.54</v>
      </c>
      <c r="R454" s="14">
        <v>250.42</v>
      </c>
      <c r="S454" s="2" t="s">
        <v>7991</v>
      </c>
      <c r="T454" s="2">
        <v>1.01</v>
      </c>
      <c r="U454" s="2">
        <v>61</v>
      </c>
      <c r="V454" s="2">
        <v>59</v>
      </c>
      <c r="W454" s="2" t="s">
        <v>7862</v>
      </c>
      <c r="X454" s="2" t="s">
        <v>5405</v>
      </c>
      <c r="Y454" s="2">
        <v>24794</v>
      </c>
      <c r="Z454" s="19" t="str">
        <f>HYPERLINK("https://ssdweb.co/ssdweb/hd/Vision360.html?d=926101371&amp;zoomslide=1&amp;z=1926101371&amp;ISCONFIRM=0","VIDEO")</f>
        <v>VIDEO</v>
      </c>
      <c r="AA454" s="19" t="str">
        <f>HYPERLINK("https://ssdweb.co/ssdweb/CERTH/632421469.pdf","CERTI")</f>
        <v>CERTI</v>
      </c>
    </row>
    <row r="455" spans="1:27" ht="15" x14ac:dyDescent="0.25">
      <c r="A455" s="2">
        <v>450</v>
      </c>
      <c r="B455" s="39">
        <v>831010602</v>
      </c>
      <c r="C455" s="28" t="str">
        <f>HYPERLINK("https://pld.live/RapDetail.aspx?STONELIST=831010602","DNA")</f>
        <v>DNA</v>
      </c>
      <c r="D455" s="18" t="s">
        <v>711</v>
      </c>
      <c r="E455" s="18" t="s">
        <v>5128</v>
      </c>
      <c r="F455" s="2" t="s">
        <v>5597</v>
      </c>
      <c r="G455" s="2" t="s">
        <v>861</v>
      </c>
      <c r="H455" s="14">
        <v>1.61</v>
      </c>
      <c r="I455" s="2" t="s">
        <v>267</v>
      </c>
      <c r="J455" s="2" t="s">
        <v>13</v>
      </c>
      <c r="K455" s="2" t="s">
        <v>5221</v>
      </c>
      <c r="L455" s="2" t="s">
        <v>5221</v>
      </c>
      <c r="M455" s="2" t="s">
        <v>5221</v>
      </c>
      <c r="N455" s="2" t="s">
        <v>2317</v>
      </c>
      <c r="O455" s="14">
        <v>13400</v>
      </c>
      <c r="P455" s="14">
        <v>98.07</v>
      </c>
      <c r="Q455" s="14">
        <v>258.62</v>
      </c>
      <c r="R455" s="14">
        <v>416.38</v>
      </c>
      <c r="S455" s="2" t="s">
        <v>3379</v>
      </c>
      <c r="T455" s="2">
        <v>1.01</v>
      </c>
      <c r="U455" s="2">
        <v>61.9</v>
      </c>
      <c r="V455" s="2">
        <v>58</v>
      </c>
      <c r="W455" s="2" t="s">
        <v>7862</v>
      </c>
      <c r="X455" s="2" t="s">
        <v>5405</v>
      </c>
      <c r="Y455" s="2">
        <v>21574</v>
      </c>
      <c r="Z455" s="19" t="str">
        <f>HYPERLINK("https://ssdweb.co/ssdweb/hd/Vision360.html?d=831010602&amp;zoomslide=1&amp;z=1831010602&amp;ISCONFIRM=0","VIDEO")</f>
        <v>VIDEO</v>
      </c>
      <c r="AA455" s="19" t="str">
        <f>HYPERLINK("https://ssdweb.co/ssdweb/CERTH/6452488016.pdf","CERTI")</f>
        <v>CERTI</v>
      </c>
    </row>
    <row r="456" spans="1:27" ht="15" x14ac:dyDescent="0.25">
      <c r="A456" s="2">
        <v>451</v>
      </c>
      <c r="B456" s="39">
        <v>925971224</v>
      </c>
      <c r="C456" s="28" t="str">
        <f>HYPERLINK("https://pld.live/RapDetail.aspx?STONELIST=925971224","DNA")</f>
        <v>DNA</v>
      </c>
      <c r="D456" s="18" t="s">
        <v>711</v>
      </c>
      <c r="E456" s="18" t="s">
        <v>5128</v>
      </c>
      <c r="F456" s="2" t="s">
        <v>7987</v>
      </c>
      <c r="G456" s="2" t="s">
        <v>861</v>
      </c>
      <c r="H456" s="14">
        <v>1.61</v>
      </c>
      <c r="I456" s="2" t="s">
        <v>267</v>
      </c>
      <c r="J456" s="2" t="s">
        <v>5144</v>
      </c>
      <c r="K456" s="2" t="s">
        <v>3390</v>
      </c>
      <c r="L456" s="2" t="s">
        <v>5221</v>
      </c>
      <c r="M456" s="2" t="s">
        <v>5221</v>
      </c>
      <c r="N456" s="2" t="s">
        <v>2317</v>
      </c>
      <c r="O456" s="14">
        <v>12000</v>
      </c>
      <c r="P456" s="14">
        <v>98.91</v>
      </c>
      <c r="Q456" s="14">
        <v>130.80000000000001</v>
      </c>
      <c r="R456" s="14">
        <v>210.59</v>
      </c>
      <c r="S456" s="2" t="s">
        <v>6646</v>
      </c>
      <c r="T456" s="2">
        <v>1.01</v>
      </c>
      <c r="U456" s="2">
        <v>62.2</v>
      </c>
      <c r="V456" s="2">
        <v>58</v>
      </c>
      <c r="W456" s="2" t="s">
        <v>7862</v>
      </c>
      <c r="X456" s="2" t="s">
        <v>5405</v>
      </c>
      <c r="Y456" s="2">
        <v>19320</v>
      </c>
      <c r="Z456" s="19" t="str">
        <f>HYPERLINK("https://ssdweb.co/ssdweb/hd/Vision360.html?d=925971224&amp;zoomslide=1&amp;z=1925971224&amp;ISCONFIRM=0","VIDEO")</f>
        <v>VIDEO</v>
      </c>
      <c r="AA456" s="19" t="str">
        <f>HYPERLINK("https://ssdweb.co/ssdweb/CERTH/631464337.pdf","CERTI")</f>
        <v>CERTI</v>
      </c>
    </row>
    <row r="457" spans="1:27" ht="15" x14ac:dyDescent="0.25">
      <c r="A457" s="2">
        <v>452</v>
      </c>
      <c r="B457" s="39">
        <v>925540674</v>
      </c>
      <c r="C457" s="28" t="str">
        <f>HYPERLINK("https://pld.live/RapDetail.aspx?STONELIST=925540674","DNA")</f>
        <v>DNA</v>
      </c>
      <c r="D457" s="18" t="s">
        <v>711</v>
      </c>
      <c r="E457" s="18" t="s">
        <v>5128</v>
      </c>
      <c r="F457" s="2" t="s">
        <v>5597</v>
      </c>
      <c r="G457" s="2" t="s">
        <v>861</v>
      </c>
      <c r="H457" s="14">
        <v>1.6</v>
      </c>
      <c r="I457" s="2" t="s">
        <v>267</v>
      </c>
      <c r="J457" s="2" t="s">
        <v>13</v>
      </c>
      <c r="K457" s="2" t="s">
        <v>5221</v>
      </c>
      <c r="L457" s="2" t="s">
        <v>5221</v>
      </c>
      <c r="M457" s="2" t="s">
        <v>5221</v>
      </c>
      <c r="N457" s="2" t="s">
        <v>2317</v>
      </c>
      <c r="O457" s="14">
        <v>13400</v>
      </c>
      <c r="P457" s="14">
        <v>98.07</v>
      </c>
      <c r="Q457" s="14">
        <v>258.62</v>
      </c>
      <c r="R457" s="14">
        <v>413.79</v>
      </c>
      <c r="S457" s="2" t="s">
        <v>7984</v>
      </c>
      <c r="T457" s="2">
        <v>1</v>
      </c>
      <c r="U457" s="2">
        <v>62.3</v>
      </c>
      <c r="V457" s="2">
        <v>58</v>
      </c>
      <c r="W457" s="2" t="s">
        <v>7862</v>
      </c>
      <c r="X457" s="2" t="s">
        <v>5405</v>
      </c>
      <c r="Y457" s="2">
        <v>21440</v>
      </c>
      <c r="Z457" s="19" t="str">
        <f>HYPERLINK("https://ssdweb.co/ssdweb/hd/Vision360.html?d=925540674&amp;zoomslide=1&amp;z=1925540674&amp;ISCONFIRM=0","VIDEO")</f>
        <v>VIDEO</v>
      </c>
      <c r="AA457" s="19" t="str">
        <f>HYPERLINK("https://ssdweb.co/ssdweb/CERTH/2488386976.pdf","CERTI")</f>
        <v>CERTI</v>
      </c>
    </row>
    <row r="458" spans="1:27" ht="15" x14ac:dyDescent="0.25">
      <c r="A458" s="2">
        <v>453</v>
      </c>
      <c r="B458" s="39">
        <v>925521314</v>
      </c>
      <c r="C458" s="28" t="str">
        <f>HYPERLINK("https://pld.live/RapDetail.aspx?STONELIST=925521314","DNA")</f>
        <v>DNA</v>
      </c>
      <c r="D458" s="18" t="s">
        <v>711</v>
      </c>
      <c r="E458" s="18" t="s">
        <v>5128</v>
      </c>
      <c r="F458" s="2" t="s">
        <v>7987</v>
      </c>
      <c r="G458" s="2" t="s">
        <v>861</v>
      </c>
      <c r="H458" s="14">
        <v>1.6</v>
      </c>
      <c r="I458" s="2" t="s">
        <v>4699</v>
      </c>
      <c r="J458" s="2" t="s">
        <v>3942</v>
      </c>
      <c r="K458" s="2" t="s">
        <v>3390</v>
      </c>
      <c r="L458" s="2" t="s">
        <v>5221</v>
      </c>
      <c r="M458" s="2" t="s">
        <v>5221</v>
      </c>
      <c r="N458" s="2" t="s">
        <v>2317</v>
      </c>
      <c r="O458" s="14">
        <v>13200</v>
      </c>
      <c r="P458" s="14">
        <v>98.92</v>
      </c>
      <c r="Q458" s="14">
        <v>142.56</v>
      </c>
      <c r="R458" s="14">
        <v>228.1</v>
      </c>
      <c r="S458" s="2" t="s">
        <v>367</v>
      </c>
      <c r="T458" s="2">
        <v>1.01</v>
      </c>
      <c r="U458" s="2">
        <v>62.4</v>
      </c>
      <c r="V458" s="2">
        <v>58</v>
      </c>
      <c r="W458" s="2" t="s">
        <v>4336</v>
      </c>
      <c r="X458" s="2" t="s">
        <v>5405</v>
      </c>
      <c r="Y458" s="2">
        <v>21120</v>
      </c>
      <c r="Z458" s="19" t="str">
        <f>HYPERLINK("https://ssdweb.co/ssdweb/hd/Vision360.html?d=925521314&amp;zoomslide=1&amp;z=1925521314&amp;ISCONFIRM=0","VIDEO")</f>
        <v>VIDEO</v>
      </c>
      <c r="AA458" s="19" t="str">
        <f>HYPERLINK("https://ssdweb.co/ssdweb/CERTH/618480985.pdf","CERTI")</f>
        <v>CERTI</v>
      </c>
    </row>
    <row r="459" spans="1:27" ht="15" x14ac:dyDescent="0.25">
      <c r="A459" s="2">
        <v>454</v>
      </c>
      <c r="B459" s="39">
        <v>925950896</v>
      </c>
      <c r="C459" s="28" t="str">
        <f>HYPERLINK("https://pld.live/RapDetail.aspx?STONELIST=925950896","DNA")</f>
        <v>DNA</v>
      </c>
      <c r="D459" s="18" t="s">
        <v>711</v>
      </c>
      <c r="E459" s="18" t="s">
        <v>5128</v>
      </c>
      <c r="F459" s="2" t="s">
        <v>7987</v>
      </c>
      <c r="G459" s="2" t="s">
        <v>861</v>
      </c>
      <c r="H459" s="14">
        <v>1.6</v>
      </c>
      <c r="I459" s="2" t="s">
        <v>4699</v>
      </c>
      <c r="J459" s="2" t="s">
        <v>5144</v>
      </c>
      <c r="K459" s="2" t="s">
        <v>3390</v>
      </c>
      <c r="L459" s="2" t="s">
        <v>5221</v>
      </c>
      <c r="M459" s="2" t="s">
        <v>5221</v>
      </c>
      <c r="N459" s="2" t="s">
        <v>2317</v>
      </c>
      <c r="O459" s="14">
        <v>10300</v>
      </c>
      <c r="P459" s="14">
        <v>98.8</v>
      </c>
      <c r="Q459" s="14">
        <v>123.6</v>
      </c>
      <c r="R459" s="14">
        <v>197.76</v>
      </c>
      <c r="S459" s="2" t="s">
        <v>2529</v>
      </c>
      <c r="T459" s="2">
        <v>1.01</v>
      </c>
      <c r="U459" s="2">
        <v>62.2</v>
      </c>
      <c r="V459" s="2">
        <v>59</v>
      </c>
      <c r="W459" s="2" t="s">
        <v>8016</v>
      </c>
      <c r="X459" s="2" t="s">
        <v>5405</v>
      </c>
      <c r="Y459" s="2">
        <v>16480</v>
      </c>
      <c r="Z459" s="19" t="str">
        <f>HYPERLINK("https://ssdweb.co/ssdweb/hd/Vision360.html?d=925950896&amp;zoomslide=1&amp;z=1925950896&amp;ISCONFIRM=0","VIDEO")</f>
        <v>VIDEO</v>
      </c>
      <c r="AA459" s="19" t="str">
        <f>HYPERLINK("https://ssdweb.co/ssdweb/CERTH/631464260.pdf","CERTI")</f>
        <v>CERTI</v>
      </c>
    </row>
    <row r="460" spans="1:27" ht="15" x14ac:dyDescent="0.25">
      <c r="A460" s="2">
        <v>455</v>
      </c>
      <c r="B460" s="39">
        <v>927070573</v>
      </c>
      <c r="C460" s="28" t="str">
        <f>HYPERLINK("https://pld.live/RapDetail.aspx?STONELIST=927070573","DNA")</f>
        <v>DNA</v>
      </c>
      <c r="D460" s="18" t="s">
        <v>711</v>
      </c>
      <c r="E460" s="18" t="s">
        <v>2186</v>
      </c>
      <c r="F460" s="2" t="s">
        <v>7987</v>
      </c>
      <c r="G460" s="2" t="s">
        <v>861</v>
      </c>
      <c r="H460" s="14">
        <v>1.59</v>
      </c>
      <c r="I460" s="2" t="s">
        <v>267</v>
      </c>
      <c r="J460" s="2" t="s">
        <v>3942</v>
      </c>
      <c r="K460" s="2" t="s">
        <v>3390</v>
      </c>
      <c r="L460" s="2" t="s">
        <v>5221</v>
      </c>
      <c r="M460" s="2" t="s">
        <v>5221</v>
      </c>
      <c r="N460" s="2" t="s">
        <v>2317</v>
      </c>
      <c r="O460" s="14">
        <v>15400</v>
      </c>
      <c r="P460" s="14">
        <v>98.98</v>
      </c>
      <c r="Q460" s="14">
        <v>157.08000000000001</v>
      </c>
      <c r="R460" s="14">
        <v>249.76</v>
      </c>
      <c r="S460" s="2" t="s">
        <v>4088</v>
      </c>
      <c r="T460" s="2">
        <v>1</v>
      </c>
      <c r="U460" s="2">
        <v>61.4</v>
      </c>
      <c r="V460" s="2">
        <v>59</v>
      </c>
      <c r="W460" s="2" t="s">
        <v>7862</v>
      </c>
      <c r="X460" s="2" t="s">
        <v>5405</v>
      </c>
      <c r="Y460" s="2">
        <v>24486</v>
      </c>
      <c r="Z460" s="19" t="str">
        <f>HYPERLINK("https://ssdweb.co/ssdweb/hd/Vision360.html?d=927070573&amp;zoomslide=1&amp;z=1927070573&amp;ISCONFIRM=0","VIDEO")</f>
        <v>VIDEO</v>
      </c>
      <c r="AA460" s="19" t="str">
        <f>HYPERLINK("https://ssdweb.co/ssdweb/CERTH/689587061.pdf","CERTI")</f>
        <v>CERTI</v>
      </c>
    </row>
    <row r="461" spans="1:27" ht="15" x14ac:dyDescent="0.25">
      <c r="A461" s="2">
        <v>456</v>
      </c>
      <c r="B461" s="39">
        <v>925300027</v>
      </c>
      <c r="C461" s="28" t="str">
        <f>HYPERLINK("https://pld.live/RapDetail.aspx?STONELIST=925300027","DNA")</f>
        <v>DNA</v>
      </c>
      <c r="D461" s="18" t="s">
        <v>711</v>
      </c>
      <c r="E461" s="18" t="s">
        <v>5128</v>
      </c>
      <c r="F461" s="2" t="s">
        <v>5597</v>
      </c>
      <c r="G461" s="2" t="s">
        <v>861</v>
      </c>
      <c r="H461" s="14">
        <v>1.59</v>
      </c>
      <c r="I461" s="2" t="s">
        <v>267</v>
      </c>
      <c r="J461" s="2" t="s">
        <v>3942</v>
      </c>
      <c r="K461" s="2" t="s">
        <v>5221</v>
      </c>
      <c r="L461" s="2" t="s">
        <v>5221</v>
      </c>
      <c r="M461" s="2" t="s">
        <v>5221</v>
      </c>
      <c r="N461" s="2" t="s">
        <v>2317</v>
      </c>
      <c r="O461" s="14">
        <v>15400</v>
      </c>
      <c r="P461" s="14">
        <v>98.19</v>
      </c>
      <c r="Q461" s="14">
        <v>278.74</v>
      </c>
      <c r="R461" s="14">
        <v>443.2</v>
      </c>
      <c r="S461" s="2" t="s">
        <v>1877</v>
      </c>
      <c r="T461" s="2">
        <v>1</v>
      </c>
      <c r="U461" s="2">
        <v>60</v>
      </c>
      <c r="V461" s="2">
        <v>58</v>
      </c>
      <c r="W461" s="2" t="s">
        <v>7862</v>
      </c>
      <c r="X461" s="2" t="s">
        <v>5405</v>
      </c>
      <c r="Y461" s="2">
        <v>24486</v>
      </c>
      <c r="Z461" s="19" t="str">
        <f>HYPERLINK("https://ssdweb.co/ssdweb/hd/Vision360.html?d=925300027&amp;zoomslide=1&amp;z=1925300027&amp;ISCONFIRM=0","VIDEO")</f>
        <v>VIDEO</v>
      </c>
      <c r="AA461" s="19" t="str">
        <f>HYPERLINK("https://ssdweb.co/ssdweb/CERTH/6482187622.pdf","CERTI")</f>
        <v>CERTI</v>
      </c>
    </row>
    <row r="462" spans="1:27" ht="15" x14ac:dyDescent="0.25">
      <c r="A462" s="2">
        <v>457</v>
      </c>
      <c r="B462" s="39">
        <v>925360258</v>
      </c>
      <c r="C462" s="28" t="str">
        <f>HYPERLINK("https://pld.live/RapDetail.aspx?STONELIST=925360258","DNA")</f>
        <v>DNA</v>
      </c>
      <c r="D462" s="18" t="s">
        <v>711</v>
      </c>
      <c r="E462" s="18" t="s">
        <v>5128</v>
      </c>
      <c r="F462" s="2" t="s">
        <v>5597</v>
      </c>
      <c r="G462" s="2" t="s">
        <v>861</v>
      </c>
      <c r="H462" s="14">
        <v>1.59</v>
      </c>
      <c r="I462" s="2" t="s">
        <v>267</v>
      </c>
      <c r="J462" s="2" t="s">
        <v>13</v>
      </c>
      <c r="K462" s="2" t="s">
        <v>5221</v>
      </c>
      <c r="L462" s="2" t="s">
        <v>5221</v>
      </c>
      <c r="M462" s="2" t="s">
        <v>5221</v>
      </c>
      <c r="N462" s="2" t="s">
        <v>2317</v>
      </c>
      <c r="O462" s="14">
        <v>13400</v>
      </c>
      <c r="P462" s="14">
        <v>98.07</v>
      </c>
      <c r="Q462" s="14">
        <v>258.62</v>
      </c>
      <c r="R462" s="14">
        <v>411.21</v>
      </c>
      <c r="S462" s="2" t="s">
        <v>3023</v>
      </c>
      <c r="T462" s="2">
        <v>1.01</v>
      </c>
      <c r="U462" s="2">
        <v>60.4</v>
      </c>
      <c r="V462" s="2">
        <v>57</v>
      </c>
      <c r="W462" s="2" t="s">
        <v>7862</v>
      </c>
      <c r="X462" s="2" t="s">
        <v>5405</v>
      </c>
      <c r="Y462" s="2">
        <v>21306</v>
      </c>
      <c r="Z462" s="19" t="str">
        <f>HYPERLINK("https://ssdweb.co/ssdweb/hd/Vision360.html?d=925360258&amp;zoomslide=1&amp;z=1925360258&amp;ISCONFIRM=0","VIDEO")</f>
        <v>VIDEO</v>
      </c>
      <c r="AA462" s="19" t="str">
        <f>HYPERLINK("https://ssdweb.co/ssdweb/CERTH/6485301740.pdf","CERTI")</f>
        <v>CERTI</v>
      </c>
    </row>
    <row r="463" spans="1:27" ht="15" x14ac:dyDescent="0.25">
      <c r="A463" s="2">
        <v>458</v>
      </c>
      <c r="B463" s="39">
        <v>926040841</v>
      </c>
      <c r="C463" s="28" t="str">
        <f>HYPERLINK("https://pld.live/RapDetail.aspx?STONELIST=926040841","DNA")</f>
        <v>DNA</v>
      </c>
      <c r="D463" s="18" t="s">
        <v>711</v>
      </c>
      <c r="E463" s="18" t="s">
        <v>5128</v>
      </c>
      <c r="F463" s="2" t="s">
        <v>7987</v>
      </c>
      <c r="G463" s="2" t="s">
        <v>861</v>
      </c>
      <c r="H463" s="14">
        <v>1.59</v>
      </c>
      <c r="I463" s="2" t="s">
        <v>267</v>
      </c>
      <c r="J463" s="2" t="s">
        <v>5144</v>
      </c>
      <c r="K463" s="2" t="s">
        <v>3390</v>
      </c>
      <c r="L463" s="2" t="s">
        <v>5221</v>
      </c>
      <c r="M463" s="2" t="s">
        <v>5221</v>
      </c>
      <c r="N463" s="2" t="s">
        <v>2317</v>
      </c>
      <c r="O463" s="14">
        <v>12000</v>
      </c>
      <c r="P463" s="14">
        <v>98.93</v>
      </c>
      <c r="Q463" s="14">
        <v>128.4</v>
      </c>
      <c r="R463" s="14">
        <v>204.16</v>
      </c>
      <c r="S463" s="2" t="s">
        <v>7723</v>
      </c>
      <c r="T463" s="2">
        <v>1.01</v>
      </c>
      <c r="U463" s="2">
        <v>59.9</v>
      </c>
      <c r="V463" s="2">
        <v>59</v>
      </c>
      <c r="W463" s="2" t="s">
        <v>7862</v>
      </c>
      <c r="X463" s="2" t="s">
        <v>5405</v>
      </c>
      <c r="Y463" s="2">
        <v>19080</v>
      </c>
      <c r="Z463" s="19" t="str">
        <f>HYPERLINK("https://ssdweb.co/ssdweb/hd/Vision360.html?d=926040841&amp;zoomslide=1&amp;z=1926040841&amp;ISCONFIRM=0","VIDEO")</f>
        <v>VIDEO</v>
      </c>
      <c r="AA463" s="19" t="str">
        <f>HYPERLINK("https://ssdweb.co/ssdweb/CERTH/630447889.pdf","CERTI")</f>
        <v>CERTI</v>
      </c>
    </row>
    <row r="464" spans="1:27" ht="15" x14ac:dyDescent="0.25">
      <c r="A464" s="2">
        <v>459</v>
      </c>
      <c r="B464" s="39">
        <v>926020666</v>
      </c>
      <c r="C464" s="28" t="str">
        <f>HYPERLINK("https://pld.live/RapDetail.aspx?STONELIST=926020666","DNA")</f>
        <v>DNA</v>
      </c>
      <c r="D464" s="18" t="s">
        <v>711</v>
      </c>
      <c r="E464" s="18" t="s">
        <v>5128</v>
      </c>
      <c r="F464" s="2" t="s">
        <v>7987</v>
      </c>
      <c r="G464" s="2" t="s">
        <v>861</v>
      </c>
      <c r="H464" s="14">
        <v>1.59</v>
      </c>
      <c r="I464" s="2" t="s">
        <v>267</v>
      </c>
      <c r="J464" s="2" t="s">
        <v>5144</v>
      </c>
      <c r="K464" s="2" t="s">
        <v>3390</v>
      </c>
      <c r="L464" s="2" t="s">
        <v>5221</v>
      </c>
      <c r="M464" s="2" t="s">
        <v>5221</v>
      </c>
      <c r="N464" s="2" t="s">
        <v>2317</v>
      </c>
      <c r="O464" s="14">
        <v>12000</v>
      </c>
      <c r="P464" s="14">
        <v>98.93</v>
      </c>
      <c r="Q464" s="14">
        <v>128.4</v>
      </c>
      <c r="R464" s="14">
        <v>204.16</v>
      </c>
      <c r="S464" s="2" t="s">
        <v>372</v>
      </c>
      <c r="T464" s="2">
        <v>1.01</v>
      </c>
      <c r="U464" s="2">
        <v>60.4</v>
      </c>
      <c r="V464" s="2">
        <v>56</v>
      </c>
      <c r="W464" s="2" t="s">
        <v>7862</v>
      </c>
      <c r="X464" s="2" t="s">
        <v>5405</v>
      </c>
      <c r="Y464" s="2">
        <v>19080</v>
      </c>
      <c r="Z464" s="19" t="str">
        <f>HYPERLINK("https://ssdweb.co/ssdweb/hd/Vision360.html?d=926020666&amp;zoomslide=1&amp;z=1926020666&amp;ISCONFIRM=0","VIDEO")</f>
        <v>VIDEO</v>
      </c>
      <c r="AA464" s="19" t="str">
        <f>HYPERLINK("https://ssdweb.co/ssdweb/CERTH/629497375.pdf","CERTI")</f>
        <v>CERTI</v>
      </c>
    </row>
    <row r="465" spans="1:27" ht="15" x14ac:dyDescent="0.25">
      <c r="A465" s="2">
        <v>460</v>
      </c>
      <c r="B465" s="39">
        <v>925270081</v>
      </c>
      <c r="C465" s="28" t="str">
        <f>HYPERLINK("https://pld.live/RapDetail.aspx?STONELIST=925270081","DNA")</f>
        <v>DNA</v>
      </c>
      <c r="D465" s="18" t="s">
        <v>711</v>
      </c>
      <c r="E465" s="18" t="s">
        <v>5128</v>
      </c>
      <c r="F465" s="2" t="s">
        <v>5597</v>
      </c>
      <c r="G465" s="2" t="s">
        <v>861</v>
      </c>
      <c r="H465" s="14">
        <v>1.59</v>
      </c>
      <c r="I465" s="2" t="s">
        <v>267</v>
      </c>
      <c r="J465" s="2" t="s">
        <v>5144</v>
      </c>
      <c r="K465" s="2" t="s">
        <v>5221</v>
      </c>
      <c r="L465" s="2" t="s">
        <v>5221</v>
      </c>
      <c r="M465" s="2" t="s">
        <v>5221</v>
      </c>
      <c r="N465" s="2" t="s">
        <v>2317</v>
      </c>
      <c r="O465" s="14">
        <v>12000</v>
      </c>
      <c r="P465" s="14">
        <v>98.04</v>
      </c>
      <c r="Q465" s="14">
        <v>235.2</v>
      </c>
      <c r="R465" s="14">
        <v>373.97</v>
      </c>
      <c r="S465" s="2" t="s">
        <v>7127</v>
      </c>
      <c r="T465" s="2">
        <v>1.01</v>
      </c>
      <c r="U465" s="2">
        <v>61.2</v>
      </c>
      <c r="V465" s="2">
        <v>59</v>
      </c>
      <c r="W465" s="2" t="s">
        <v>7862</v>
      </c>
      <c r="X465" s="2" t="s">
        <v>5405</v>
      </c>
      <c r="Y465" s="2">
        <v>19080</v>
      </c>
      <c r="Z465" s="19" t="str">
        <f>HYPERLINK("https://ssdweb.co/ssdweb/hd/Vision360.html?d=925270081&amp;zoomslide=1&amp;z=1925270081&amp;ISCONFIRM=0","VIDEO")</f>
        <v>VIDEO</v>
      </c>
      <c r="AA465" s="19" t="str">
        <f>HYPERLINK("https://ssdweb.co/ssdweb/CERTH/2487198801.pdf","CERTI")</f>
        <v>CERTI</v>
      </c>
    </row>
    <row r="466" spans="1:27" ht="15" x14ac:dyDescent="0.25">
      <c r="A466" s="2">
        <v>461</v>
      </c>
      <c r="B466" s="39">
        <v>925551488</v>
      </c>
      <c r="C466" s="28" t="str">
        <f>HYPERLINK("https://pld.live/RapDetail.aspx?STONELIST=925551488","DNA")</f>
        <v>DNA</v>
      </c>
      <c r="D466" s="18" t="s">
        <v>711</v>
      </c>
      <c r="E466" s="18" t="s">
        <v>5128</v>
      </c>
      <c r="F466" s="2" t="s">
        <v>5597</v>
      </c>
      <c r="G466" s="2" t="s">
        <v>861</v>
      </c>
      <c r="H466" s="14">
        <v>1.59</v>
      </c>
      <c r="I466" s="2" t="s">
        <v>267</v>
      </c>
      <c r="J466" s="2" t="s">
        <v>5144</v>
      </c>
      <c r="K466" s="2" t="s">
        <v>5221</v>
      </c>
      <c r="L466" s="2" t="s">
        <v>5221</v>
      </c>
      <c r="M466" s="2" t="s">
        <v>5221</v>
      </c>
      <c r="N466" s="2" t="s">
        <v>2317</v>
      </c>
      <c r="O466" s="14">
        <v>12000</v>
      </c>
      <c r="P466" s="14">
        <v>98.04</v>
      </c>
      <c r="Q466" s="14">
        <v>235.2</v>
      </c>
      <c r="R466" s="14">
        <v>373.97</v>
      </c>
      <c r="S466" s="2" t="s">
        <v>1854</v>
      </c>
      <c r="T466" s="2">
        <v>1</v>
      </c>
      <c r="U466" s="2">
        <v>62.1</v>
      </c>
      <c r="V466" s="2">
        <v>56</v>
      </c>
      <c r="W466" s="2" t="s">
        <v>7862</v>
      </c>
      <c r="X466" s="2" t="s">
        <v>5405</v>
      </c>
      <c r="Y466" s="2">
        <v>19080</v>
      </c>
      <c r="Z466" s="19" t="str">
        <f>HYPERLINK("https://ssdweb.co/ssdweb/hd/Vision360.html?d=925551488&amp;zoomslide=1&amp;z=1925551488&amp;ISCONFIRM=0","VIDEO")</f>
        <v>VIDEO</v>
      </c>
      <c r="AA466" s="19" t="str">
        <f>HYPERLINK("https://ssdweb.co/ssdweb/CERTH/2486486393.pdf","CERTI")</f>
        <v>CERTI</v>
      </c>
    </row>
    <row r="467" spans="1:27" ht="15" x14ac:dyDescent="0.25">
      <c r="A467" s="2">
        <v>462</v>
      </c>
      <c r="B467" s="39">
        <v>924760113</v>
      </c>
      <c r="C467" s="28" t="str">
        <f>HYPERLINK("https://pld.live/RapDetail.aspx?STONELIST=924760113","DNA")</f>
        <v>DNA</v>
      </c>
      <c r="D467" s="18" t="s">
        <v>711</v>
      </c>
      <c r="E467" s="18" t="s">
        <v>5128</v>
      </c>
      <c r="F467" s="2" t="s">
        <v>7987</v>
      </c>
      <c r="G467" s="2" t="s">
        <v>861</v>
      </c>
      <c r="H467" s="14">
        <v>1.59</v>
      </c>
      <c r="I467" s="2" t="s">
        <v>4761</v>
      </c>
      <c r="J467" s="2" t="s">
        <v>7032</v>
      </c>
      <c r="K467" s="2" t="s">
        <v>3390</v>
      </c>
      <c r="L467" s="2" t="s">
        <v>5221</v>
      </c>
      <c r="M467" s="2" t="s">
        <v>5221</v>
      </c>
      <c r="N467" s="2" t="s">
        <v>2317</v>
      </c>
      <c r="O467" s="14">
        <v>18800</v>
      </c>
      <c r="P467" s="14">
        <v>98.43</v>
      </c>
      <c r="Q467" s="14">
        <v>295.16000000000003</v>
      </c>
      <c r="R467" s="14">
        <v>469.3</v>
      </c>
      <c r="S467" s="2" t="s">
        <v>931</v>
      </c>
      <c r="T467" s="2">
        <v>1.01</v>
      </c>
      <c r="U467" s="2">
        <v>60.1</v>
      </c>
      <c r="V467" s="2">
        <v>59</v>
      </c>
      <c r="W467" s="2" t="s">
        <v>7862</v>
      </c>
      <c r="X467" s="2" t="s">
        <v>5405</v>
      </c>
      <c r="Y467" s="2">
        <v>29892</v>
      </c>
      <c r="Z467" s="19" t="str">
        <f>HYPERLINK("https://ssdweb.co/ssdweb/hd/Vision360.html?d=924760113&amp;zoomslide=1&amp;z=1924760113&amp;ISCONFIRM=0","VIDEO")</f>
        <v>VIDEO</v>
      </c>
      <c r="AA467" s="19" t="str">
        <f>HYPERLINK("https://ssdweb.co/ssdweb/CERTH/601323606.pdf","CERTI")</f>
        <v>CERTI</v>
      </c>
    </row>
    <row r="468" spans="1:27" ht="15" x14ac:dyDescent="0.25">
      <c r="A468" s="2">
        <v>463</v>
      </c>
      <c r="B468" s="39">
        <v>831010612</v>
      </c>
      <c r="C468" s="28" t="str">
        <f>HYPERLINK("https://pld.live/RapDetail.aspx?STONELIST=831010612","DNA")</f>
        <v>DNA</v>
      </c>
      <c r="D468" s="18" t="s">
        <v>711</v>
      </c>
      <c r="E468" s="18" t="s">
        <v>5128</v>
      </c>
      <c r="F468" s="2" t="s">
        <v>7987</v>
      </c>
      <c r="G468" s="2" t="s">
        <v>861</v>
      </c>
      <c r="H468" s="14">
        <v>1.59</v>
      </c>
      <c r="I468" s="2" t="s">
        <v>4761</v>
      </c>
      <c r="J468" s="2" t="s">
        <v>444</v>
      </c>
      <c r="K468" s="2" t="s">
        <v>3390</v>
      </c>
      <c r="L468" s="2" t="s">
        <v>5221</v>
      </c>
      <c r="M468" s="2" t="s">
        <v>5221</v>
      </c>
      <c r="N468" s="2" t="s">
        <v>2317</v>
      </c>
      <c r="O468" s="14">
        <v>8900</v>
      </c>
      <c r="P468" s="14">
        <v>98.67</v>
      </c>
      <c r="Q468" s="14">
        <v>118.37</v>
      </c>
      <c r="R468" s="14">
        <v>188.21</v>
      </c>
      <c r="S468" s="2" t="s">
        <v>7769</v>
      </c>
      <c r="T468" s="2">
        <v>1</v>
      </c>
      <c r="U468" s="2">
        <v>60.5</v>
      </c>
      <c r="V468" s="2">
        <v>57</v>
      </c>
      <c r="W468" s="2" t="s">
        <v>7862</v>
      </c>
      <c r="X468" s="2" t="s">
        <v>5405</v>
      </c>
      <c r="Y468" s="2">
        <v>14151</v>
      </c>
      <c r="Z468" s="19" t="str">
        <f>HYPERLINK("https://ssdweb.co/ssdweb/hd/Vision360.html?d=831010612&amp;zoomslide=1&amp;z=1831010612&amp;ISCONFIRM=0","VIDEO")</f>
        <v>VIDEO</v>
      </c>
      <c r="AA468" s="19" t="str">
        <f>HYPERLINK("https://ssdweb.co/ssdweb/CERTH/600344412.pdf","CERTI")</f>
        <v>CERTI</v>
      </c>
    </row>
    <row r="469" spans="1:27" ht="15" x14ac:dyDescent="0.25">
      <c r="A469" s="2">
        <v>464</v>
      </c>
      <c r="B469" s="39">
        <v>925920858</v>
      </c>
      <c r="C469" s="28" t="str">
        <f>HYPERLINK("https://pld.live/RapDetail.aspx?STONELIST=925920858","DNA")</f>
        <v>DNA</v>
      </c>
      <c r="D469" s="18" t="s">
        <v>711</v>
      </c>
      <c r="E469" s="18" t="s">
        <v>5128</v>
      </c>
      <c r="F469" s="2" t="s">
        <v>7987</v>
      </c>
      <c r="G469" s="2" t="s">
        <v>861</v>
      </c>
      <c r="H469" s="14">
        <v>1.58</v>
      </c>
      <c r="I469" s="2" t="s">
        <v>267</v>
      </c>
      <c r="J469" s="2" t="s">
        <v>13</v>
      </c>
      <c r="K469" s="2" t="s">
        <v>3390</v>
      </c>
      <c r="L469" s="2" t="s">
        <v>5221</v>
      </c>
      <c r="M469" s="2" t="s">
        <v>5221</v>
      </c>
      <c r="N469" s="2" t="s">
        <v>2317</v>
      </c>
      <c r="O469" s="14">
        <v>13400</v>
      </c>
      <c r="P469" s="14">
        <v>98.93</v>
      </c>
      <c r="Q469" s="14">
        <v>143.38</v>
      </c>
      <c r="R469" s="14">
        <v>226.54</v>
      </c>
      <c r="S469" s="2" t="s">
        <v>579</v>
      </c>
      <c r="T469" s="2">
        <v>1.01</v>
      </c>
      <c r="U469" s="2">
        <v>60.1</v>
      </c>
      <c r="V469" s="2">
        <v>60</v>
      </c>
      <c r="W469" s="2" t="s">
        <v>7862</v>
      </c>
      <c r="X469" s="2" t="s">
        <v>5405</v>
      </c>
      <c r="Y469" s="2">
        <v>21172</v>
      </c>
      <c r="Z469" s="19" t="str">
        <f>HYPERLINK("https://ssdweb.co/ssdweb/hd/Vision360.html?d=925920858&amp;zoomslide=1&amp;z=1925920858&amp;ISCONFIRM=0","VIDEO")</f>
        <v>VIDEO</v>
      </c>
      <c r="AA469" s="19" t="str">
        <f>HYPERLINK("https://ssdweb.co/ssdweb/CERTH/628463200.pdf","CERTI")</f>
        <v>CERTI</v>
      </c>
    </row>
    <row r="470" spans="1:27" ht="15" x14ac:dyDescent="0.25">
      <c r="A470" s="2">
        <v>465</v>
      </c>
      <c r="B470" s="39">
        <v>925961209</v>
      </c>
      <c r="C470" s="28" t="str">
        <f>HYPERLINK("https://pld.live/RapDetail.aspx?STONELIST=925961209","DNA")</f>
        <v>DNA</v>
      </c>
      <c r="D470" s="18" t="s">
        <v>711</v>
      </c>
      <c r="E470" s="18" t="s">
        <v>5128</v>
      </c>
      <c r="F470" s="2" t="s">
        <v>7987</v>
      </c>
      <c r="G470" s="2" t="s">
        <v>861</v>
      </c>
      <c r="H470" s="14">
        <v>1.58</v>
      </c>
      <c r="I470" s="2" t="s">
        <v>267</v>
      </c>
      <c r="J470" s="2" t="s">
        <v>13</v>
      </c>
      <c r="K470" s="2" t="s">
        <v>3390</v>
      </c>
      <c r="L470" s="2" t="s">
        <v>5221</v>
      </c>
      <c r="M470" s="2" t="s">
        <v>5221</v>
      </c>
      <c r="N470" s="2" t="s">
        <v>2317</v>
      </c>
      <c r="O470" s="14">
        <v>13400</v>
      </c>
      <c r="P470" s="14">
        <v>98.93</v>
      </c>
      <c r="Q470" s="14">
        <v>143.38</v>
      </c>
      <c r="R470" s="14">
        <v>226.54</v>
      </c>
      <c r="S470" s="2" t="s">
        <v>8085</v>
      </c>
      <c r="T470" s="2">
        <v>1.01</v>
      </c>
      <c r="U470" s="2">
        <v>61.9</v>
      </c>
      <c r="V470" s="2">
        <v>59</v>
      </c>
      <c r="W470" s="2" t="s">
        <v>7862</v>
      </c>
      <c r="X470" s="2" t="s">
        <v>5405</v>
      </c>
      <c r="Y470" s="2">
        <v>21172</v>
      </c>
      <c r="Z470" s="19" t="str">
        <f>HYPERLINK("https://ssdweb.co/ssdweb/hd/Vision360.html?d=925961209&amp;zoomslide=1&amp;z=1925961209&amp;ISCONFIRM=0","VIDEO")</f>
        <v>VIDEO</v>
      </c>
      <c r="AA470" s="19" t="str">
        <f>HYPERLINK("https://ssdweb.co/ssdweb/CERTH/629453060.pdf","CERTI")</f>
        <v>CERTI</v>
      </c>
    </row>
    <row r="471" spans="1:27" ht="15" x14ac:dyDescent="0.25">
      <c r="A471" s="2">
        <v>466</v>
      </c>
      <c r="B471" s="39">
        <v>925961265</v>
      </c>
      <c r="C471" s="28" t="str">
        <f>HYPERLINK("https://pld.live/RapDetail.aspx?STONELIST=925961265","DNA")</f>
        <v>DNA</v>
      </c>
      <c r="D471" s="18" t="s">
        <v>711</v>
      </c>
      <c r="E471" s="18" t="s">
        <v>5128</v>
      </c>
      <c r="F471" s="2" t="s">
        <v>7987</v>
      </c>
      <c r="G471" s="2" t="s">
        <v>861</v>
      </c>
      <c r="H471" s="14">
        <v>1.58</v>
      </c>
      <c r="I471" s="2" t="s">
        <v>267</v>
      </c>
      <c r="J471" s="2" t="s">
        <v>13</v>
      </c>
      <c r="K471" s="2" t="s">
        <v>3390</v>
      </c>
      <c r="L471" s="2" t="s">
        <v>5221</v>
      </c>
      <c r="M471" s="2" t="s">
        <v>5221</v>
      </c>
      <c r="N471" s="2" t="s">
        <v>2317</v>
      </c>
      <c r="O471" s="14">
        <v>13400</v>
      </c>
      <c r="P471" s="14">
        <v>98.93</v>
      </c>
      <c r="Q471" s="14">
        <v>143.38</v>
      </c>
      <c r="R471" s="14">
        <v>226.54</v>
      </c>
      <c r="S471" s="2" t="s">
        <v>7055</v>
      </c>
      <c r="T471" s="2">
        <v>1.01</v>
      </c>
      <c r="U471" s="2">
        <v>62.4</v>
      </c>
      <c r="V471" s="2">
        <v>59</v>
      </c>
      <c r="W471" s="2" t="s">
        <v>7862</v>
      </c>
      <c r="X471" s="2" t="s">
        <v>5405</v>
      </c>
      <c r="Y471" s="2">
        <v>21172</v>
      </c>
      <c r="Z471" s="19" t="str">
        <f>HYPERLINK("https://ssdweb.co/ssdweb/hd/Vision360.html?d=925961265&amp;zoomslide=1&amp;z=1925961265&amp;ISCONFIRM=0","VIDEO")</f>
        <v>VIDEO</v>
      </c>
      <c r="AA471" s="19" t="str">
        <f>HYPERLINK("https://ssdweb.co/ssdweb/CERTH/629453325.pdf","CERTI")</f>
        <v>CERTI</v>
      </c>
    </row>
    <row r="472" spans="1:27" ht="15" x14ac:dyDescent="0.25">
      <c r="A472" s="2">
        <v>467</v>
      </c>
      <c r="B472" s="39">
        <v>926400549</v>
      </c>
      <c r="C472" s="28" t="str">
        <f>HYPERLINK("https://pld.live/RapDetail.aspx?STONELIST=926400549","DNA")</f>
        <v>DNA</v>
      </c>
      <c r="D472" s="18" t="s">
        <v>711</v>
      </c>
      <c r="E472" s="18" t="s">
        <v>5128</v>
      </c>
      <c r="F472" s="2" t="s">
        <v>7987</v>
      </c>
      <c r="G472" s="2" t="s">
        <v>861</v>
      </c>
      <c r="H472" s="14">
        <v>1.58</v>
      </c>
      <c r="I472" s="2" t="s">
        <v>267</v>
      </c>
      <c r="J472" s="2" t="s">
        <v>13</v>
      </c>
      <c r="K472" s="2" t="s">
        <v>3390</v>
      </c>
      <c r="L472" s="2" t="s">
        <v>5221</v>
      </c>
      <c r="M472" s="2" t="s">
        <v>5221</v>
      </c>
      <c r="N472" s="2" t="s">
        <v>2317</v>
      </c>
      <c r="O472" s="14">
        <v>13400</v>
      </c>
      <c r="P472" s="14">
        <v>98.9</v>
      </c>
      <c r="Q472" s="14">
        <v>147.4</v>
      </c>
      <c r="R472" s="14">
        <v>232.89</v>
      </c>
      <c r="S472" s="2" t="s">
        <v>3243</v>
      </c>
      <c r="T472" s="2">
        <v>1.01</v>
      </c>
      <c r="U472" s="2">
        <v>62</v>
      </c>
      <c r="V472" s="2">
        <v>59</v>
      </c>
      <c r="W472" s="2" t="s">
        <v>7862</v>
      </c>
      <c r="X472" s="2" t="s">
        <v>5405</v>
      </c>
      <c r="Y472" s="2">
        <v>21172</v>
      </c>
      <c r="Z472" s="19" t="str">
        <f>HYPERLINK("https://ssdweb.co/ssdweb/hd/Vision360.html?d=926400549&amp;zoomslide=1&amp;z=1926400549&amp;ISCONFIRM=0","VIDEO")</f>
        <v>VIDEO</v>
      </c>
      <c r="AA472" s="19" t="str">
        <f>HYPERLINK("https://ssdweb.co/ssdweb/CERTH/689587058.pdf","CERTI")</f>
        <v>CERTI</v>
      </c>
    </row>
    <row r="473" spans="1:27" ht="15" x14ac:dyDescent="0.25">
      <c r="A473" s="2">
        <v>468</v>
      </c>
      <c r="B473" s="39">
        <v>925721478</v>
      </c>
      <c r="C473" s="28" t="str">
        <f>HYPERLINK("https://pld.live/RapDetail.aspx?STONELIST=925721478","DNA")</f>
        <v>DNA</v>
      </c>
      <c r="D473" s="18" t="s">
        <v>711</v>
      </c>
      <c r="E473" s="18" t="s">
        <v>5128</v>
      </c>
      <c r="F473" s="2" t="s">
        <v>7987</v>
      </c>
      <c r="G473" s="2" t="s">
        <v>861</v>
      </c>
      <c r="H473" s="14">
        <v>1.58</v>
      </c>
      <c r="I473" s="2" t="s">
        <v>267</v>
      </c>
      <c r="J473" s="2" t="s">
        <v>13</v>
      </c>
      <c r="K473" s="2" t="s">
        <v>3390</v>
      </c>
      <c r="L473" s="2" t="s">
        <v>5221</v>
      </c>
      <c r="M473" s="2" t="s">
        <v>5221</v>
      </c>
      <c r="N473" s="2" t="s">
        <v>2317</v>
      </c>
      <c r="O473" s="14">
        <v>13400</v>
      </c>
      <c r="P473" s="14">
        <v>98.93</v>
      </c>
      <c r="Q473" s="14">
        <v>143.38</v>
      </c>
      <c r="R473" s="14">
        <v>226.54</v>
      </c>
      <c r="S473" s="2" t="s">
        <v>706</v>
      </c>
      <c r="T473" s="2">
        <v>1.01</v>
      </c>
      <c r="U473" s="2">
        <v>62.2</v>
      </c>
      <c r="V473" s="2">
        <v>57</v>
      </c>
      <c r="W473" s="2" t="s">
        <v>7862</v>
      </c>
      <c r="X473" s="2" t="s">
        <v>5405</v>
      </c>
      <c r="Y473" s="2">
        <v>21172</v>
      </c>
      <c r="Z473" s="19" t="str">
        <f>HYPERLINK("https://ssdweb.co/ssdweb/hd/Vision360.html?d=925721478&amp;zoomslide=1&amp;z=1925721478&amp;ISCONFIRM=0","VIDEO")</f>
        <v>VIDEO</v>
      </c>
      <c r="AA473" s="19" t="str">
        <f>HYPERLINK("https://ssdweb.co/ssdweb/CERTH/623446031.pdf","CERTI")</f>
        <v>CERTI</v>
      </c>
    </row>
    <row r="474" spans="1:27" ht="15" x14ac:dyDescent="0.25">
      <c r="A474" s="2">
        <v>469</v>
      </c>
      <c r="B474" s="39">
        <v>925520660</v>
      </c>
      <c r="C474" s="28" t="str">
        <f>HYPERLINK("https://pld.live/RapDetail.aspx?STONELIST=925520660","DNA")</f>
        <v>DNA</v>
      </c>
      <c r="D474" s="18" t="s">
        <v>711</v>
      </c>
      <c r="E474" s="18" t="s">
        <v>5128</v>
      </c>
      <c r="F474" s="2" t="s">
        <v>5597</v>
      </c>
      <c r="G474" s="2" t="s">
        <v>861</v>
      </c>
      <c r="H474" s="14">
        <v>1.58</v>
      </c>
      <c r="I474" s="2" t="s">
        <v>267</v>
      </c>
      <c r="J474" s="2" t="s">
        <v>13</v>
      </c>
      <c r="K474" s="2" t="s">
        <v>5221</v>
      </c>
      <c r="L474" s="2" t="s">
        <v>5221</v>
      </c>
      <c r="M474" s="2" t="s">
        <v>5221</v>
      </c>
      <c r="N474" s="2" t="s">
        <v>2317</v>
      </c>
      <c r="O474" s="14">
        <v>13400</v>
      </c>
      <c r="P474" s="14">
        <v>98.07</v>
      </c>
      <c r="Q474" s="14">
        <v>258.62</v>
      </c>
      <c r="R474" s="14">
        <v>408.62</v>
      </c>
      <c r="S474" s="2" t="s">
        <v>2891</v>
      </c>
      <c r="T474" s="2">
        <v>1.01</v>
      </c>
      <c r="U474" s="2">
        <v>62.4</v>
      </c>
      <c r="V474" s="2">
        <v>58</v>
      </c>
      <c r="W474" s="2" t="s">
        <v>7862</v>
      </c>
      <c r="X474" s="2" t="s">
        <v>5405</v>
      </c>
      <c r="Y474" s="2">
        <v>21172</v>
      </c>
      <c r="Z474" s="19" t="str">
        <f>HYPERLINK("https://ssdweb.co/ssdweb/hd/Vision360.html?d=925520660&amp;zoomslide=1&amp;z=1925520660&amp;ISCONFIRM=0","VIDEO")</f>
        <v>VIDEO</v>
      </c>
      <c r="AA474" s="19" t="str">
        <f>HYPERLINK("https://ssdweb.co/ssdweb/CERTH/1483387261.pdf","CERTI")</f>
        <v>CERTI</v>
      </c>
    </row>
    <row r="475" spans="1:27" ht="15" x14ac:dyDescent="0.25">
      <c r="A475" s="2">
        <v>470</v>
      </c>
      <c r="B475" s="39">
        <v>926100930</v>
      </c>
      <c r="C475" s="28" t="str">
        <f>HYPERLINK("https://pld.live/RapDetail.aspx?STONELIST=926100930","DNA")</f>
        <v>DNA</v>
      </c>
      <c r="D475" s="18" t="s">
        <v>711</v>
      </c>
      <c r="E475" s="18" t="s">
        <v>5128</v>
      </c>
      <c r="F475" s="2" t="s">
        <v>7987</v>
      </c>
      <c r="G475" s="2" t="s">
        <v>861</v>
      </c>
      <c r="H475" s="14">
        <v>1.58</v>
      </c>
      <c r="I475" s="2" t="s">
        <v>267</v>
      </c>
      <c r="J475" s="2" t="s">
        <v>13</v>
      </c>
      <c r="K475" s="2" t="s">
        <v>5221</v>
      </c>
      <c r="L475" s="2" t="s">
        <v>5221</v>
      </c>
      <c r="M475" s="2" t="s">
        <v>5221</v>
      </c>
      <c r="N475" s="2" t="s">
        <v>2317</v>
      </c>
      <c r="O475" s="14">
        <v>13400</v>
      </c>
      <c r="P475" s="14">
        <v>98.92</v>
      </c>
      <c r="Q475" s="14">
        <v>144.72</v>
      </c>
      <c r="R475" s="14">
        <v>228.66</v>
      </c>
      <c r="S475" s="2" t="s">
        <v>6663</v>
      </c>
      <c r="T475" s="2">
        <v>1.01</v>
      </c>
      <c r="U475" s="2">
        <v>62.2</v>
      </c>
      <c r="V475" s="2">
        <v>57</v>
      </c>
      <c r="W475" s="2" t="s">
        <v>7862</v>
      </c>
      <c r="X475" s="2" t="s">
        <v>5405</v>
      </c>
      <c r="Y475" s="2">
        <v>21172</v>
      </c>
      <c r="Z475" s="19" t="str">
        <f>HYPERLINK("https://ssdweb.co/ssdweb/hd/Vision360.html?d=926100930&amp;zoomslide=1&amp;z=1926100930&amp;ISCONFIRM=0","VIDEO")</f>
        <v>VIDEO</v>
      </c>
      <c r="AA475" s="19" t="str">
        <f>HYPERLINK("https://ssdweb.co/ssdweb/CERTH/632488435.pdf","CERTI")</f>
        <v>CERTI</v>
      </c>
    </row>
    <row r="476" spans="1:27" ht="15" x14ac:dyDescent="0.25">
      <c r="A476" s="2">
        <v>471</v>
      </c>
      <c r="B476" s="39">
        <v>925861281</v>
      </c>
      <c r="C476" s="28" t="str">
        <f>HYPERLINK("https://pld.live/RapDetail.aspx?STONELIST=925861281","DNA")</f>
        <v>DNA</v>
      </c>
      <c r="D476" s="18" t="s">
        <v>711</v>
      </c>
      <c r="E476" s="18" t="s">
        <v>5128</v>
      </c>
      <c r="F476" s="2" t="s">
        <v>7987</v>
      </c>
      <c r="G476" s="2" t="s">
        <v>861</v>
      </c>
      <c r="H476" s="14">
        <v>1.58</v>
      </c>
      <c r="I476" s="2" t="s">
        <v>267</v>
      </c>
      <c r="J476" s="2" t="s">
        <v>5144</v>
      </c>
      <c r="K476" s="2" t="s">
        <v>3390</v>
      </c>
      <c r="L476" s="2" t="s">
        <v>5221</v>
      </c>
      <c r="M476" s="2" t="s">
        <v>5221</v>
      </c>
      <c r="N476" s="2" t="s">
        <v>2317</v>
      </c>
      <c r="O476" s="14">
        <v>12000</v>
      </c>
      <c r="P476" s="14">
        <v>98.93</v>
      </c>
      <c r="Q476" s="14">
        <v>128.4</v>
      </c>
      <c r="R476" s="14">
        <v>202.87</v>
      </c>
      <c r="S476" s="2" t="s">
        <v>1633</v>
      </c>
      <c r="T476" s="2">
        <v>1</v>
      </c>
      <c r="U476" s="2">
        <v>60.6</v>
      </c>
      <c r="V476" s="2">
        <v>58</v>
      </c>
      <c r="W476" s="2" t="s">
        <v>7862</v>
      </c>
      <c r="X476" s="2" t="s">
        <v>5405</v>
      </c>
      <c r="Y476" s="2">
        <v>18960</v>
      </c>
      <c r="Z476" s="19" t="str">
        <f>HYPERLINK("https://ssdweb.co/ssdweb/hd/Vision360.html?d=925861281&amp;zoomslide=1&amp;z=1925861281&amp;ISCONFIRM=0","VIDEO")</f>
        <v>VIDEO</v>
      </c>
      <c r="AA476" s="19" t="str">
        <f>HYPERLINK("https://ssdweb.co/ssdweb/CERTH/627471659.pdf","CERTI")</f>
        <v>CERTI</v>
      </c>
    </row>
    <row r="477" spans="1:27" ht="15" x14ac:dyDescent="0.25">
      <c r="A477" s="2">
        <v>472</v>
      </c>
      <c r="B477" s="39">
        <v>925270283</v>
      </c>
      <c r="C477" s="28" t="str">
        <f>HYPERLINK("https://pld.live/RapDetail.aspx?STONELIST=925270283","DNA")</f>
        <v>DNA</v>
      </c>
      <c r="D477" s="18" t="s">
        <v>711</v>
      </c>
      <c r="E477" s="18" t="s">
        <v>5128</v>
      </c>
      <c r="F477" s="2" t="s">
        <v>5597</v>
      </c>
      <c r="G477" s="2" t="s">
        <v>861</v>
      </c>
      <c r="H477" s="14">
        <v>1.58</v>
      </c>
      <c r="I477" s="2" t="s">
        <v>267</v>
      </c>
      <c r="J477" s="2" t="s">
        <v>5144</v>
      </c>
      <c r="K477" s="2" t="s">
        <v>5221</v>
      </c>
      <c r="L477" s="2" t="s">
        <v>5221</v>
      </c>
      <c r="M477" s="2" t="s">
        <v>5221</v>
      </c>
      <c r="N477" s="2" t="s">
        <v>2317</v>
      </c>
      <c r="O477" s="14">
        <v>12000</v>
      </c>
      <c r="P477" s="14">
        <v>98.04</v>
      </c>
      <c r="Q477" s="14">
        <v>235.2</v>
      </c>
      <c r="R477" s="14">
        <v>371.62</v>
      </c>
      <c r="S477" s="2" t="s">
        <v>2220</v>
      </c>
      <c r="T477" s="2">
        <v>1.01</v>
      </c>
      <c r="U477" s="2">
        <v>62</v>
      </c>
      <c r="V477" s="2">
        <v>56</v>
      </c>
      <c r="W477" s="2" t="s">
        <v>7862</v>
      </c>
      <c r="X477" s="2" t="s">
        <v>5405</v>
      </c>
      <c r="Y477" s="2">
        <v>18960</v>
      </c>
      <c r="Z477" s="19" t="str">
        <f>HYPERLINK("https://ssdweb.co/ssdweb/hd/Vision360.html?d=925270283&amp;zoomslide=1&amp;z=1925270283&amp;ISCONFIRM=0","VIDEO")</f>
        <v>VIDEO</v>
      </c>
      <c r="AA477" s="19" t="str">
        <f>HYPERLINK("https://ssdweb.co/ssdweb/CERTH/1489225215.pdf","CERTI")</f>
        <v>CERTI</v>
      </c>
    </row>
    <row r="478" spans="1:27" ht="15" x14ac:dyDescent="0.25">
      <c r="A478" s="2">
        <v>473</v>
      </c>
      <c r="B478" s="39">
        <v>926041291</v>
      </c>
      <c r="C478" s="28" t="str">
        <f>HYPERLINK("https://pld.live/RapDetail.aspx?STONELIST=926041291","DNA")</f>
        <v>DNA</v>
      </c>
      <c r="D478" s="18" t="s">
        <v>711</v>
      </c>
      <c r="E478" s="18" t="s">
        <v>5128</v>
      </c>
      <c r="F478" s="2" t="s">
        <v>7987</v>
      </c>
      <c r="G478" s="2" t="s">
        <v>861</v>
      </c>
      <c r="H478" s="14">
        <v>1.58</v>
      </c>
      <c r="I478" s="2" t="s">
        <v>267</v>
      </c>
      <c r="J478" s="2" t="s">
        <v>444</v>
      </c>
      <c r="K478" s="2" t="s">
        <v>3390</v>
      </c>
      <c r="L478" s="2" t="s">
        <v>5221</v>
      </c>
      <c r="M478" s="2" t="s">
        <v>5221</v>
      </c>
      <c r="N478" s="2" t="s">
        <v>2317</v>
      </c>
      <c r="O478" s="14">
        <v>9600</v>
      </c>
      <c r="P478" s="14">
        <v>98.7</v>
      </c>
      <c r="Q478" s="14">
        <v>124.8</v>
      </c>
      <c r="R478" s="14">
        <v>197.18</v>
      </c>
      <c r="S478" s="2" t="s">
        <v>6611</v>
      </c>
      <c r="T478" s="2">
        <v>1.01</v>
      </c>
      <c r="U478" s="2">
        <v>62.3</v>
      </c>
      <c r="V478" s="2">
        <v>58</v>
      </c>
      <c r="W478" s="2" t="s">
        <v>7862</v>
      </c>
      <c r="X478" s="2" t="s">
        <v>5405</v>
      </c>
      <c r="Y478" s="2">
        <v>15168</v>
      </c>
      <c r="Z478" s="19" t="str">
        <f>HYPERLINK("https://ssdweb.co/ssdweb/hd/Vision360.html?d=926041291&amp;zoomslide=1&amp;z=1926041291&amp;ISCONFIRM=0","VIDEO")</f>
        <v>VIDEO</v>
      </c>
      <c r="AA478" s="19" t="str">
        <f>HYPERLINK("https://ssdweb.co/ssdweb/CERTH/631464370.pdf","CERTI")</f>
        <v>CERTI</v>
      </c>
    </row>
    <row r="479" spans="1:27" ht="15" x14ac:dyDescent="0.25">
      <c r="A479" s="2">
        <v>474</v>
      </c>
      <c r="B479" s="39">
        <v>925520410</v>
      </c>
      <c r="C479" s="28" t="str">
        <f>HYPERLINK("https://pld.live/RapDetail.aspx?STONELIST=925520410","DNA")</f>
        <v>DNA</v>
      </c>
      <c r="D479" s="18" t="s">
        <v>711</v>
      </c>
      <c r="E479" s="18" t="s">
        <v>5128</v>
      </c>
      <c r="F479" s="2" t="s">
        <v>7987</v>
      </c>
      <c r="G479" s="2" t="s">
        <v>861</v>
      </c>
      <c r="H479" s="14">
        <v>1.58</v>
      </c>
      <c r="I479" s="2" t="s">
        <v>4761</v>
      </c>
      <c r="J479" s="2" t="s">
        <v>6555</v>
      </c>
      <c r="K479" s="2" t="s">
        <v>3390</v>
      </c>
      <c r="L479" s="2" t="s">
        <v>5221</v>
      </c>
      <c r="M479" s="2" t="s">
        <v>5221</v>
      </c>
      <c r="N479" s="2" t="s">
        <v>2317</v>
      </c>
      <c r="O479" s="14">
        <v>17300</v>
      </c>
      <c r="P479" s="14">
        <v>99.13</v>
      </c>
      <c r="Q479" s="14">
        <v>150.51</v>
      </c>
      <c r="R479" s="14">
        <v>237.81</v>
      </c>
      <c r="S479" s="2" t="s">
        <v>5270</v>
      </c>
      <c r="T479" s="2">
        <v>1.01</v>
      </c>
      <c r="U479" s="2">
        <v>62</v>
      </c>
      <c r="V479" s="2">
        <v>59</v>
      </c>
      <c r="W479" s="2" t="s">
        <v>4336</v>
      </c>
      <c r="X479" s="2" t="s">
        <v>5405</v>
      </c>
      <c r="Y479" s="2">
        <v>27334</v>
      </c>
      <c r="Z479" s="19" t="str">
        <f>HYPERLINK("https://ssdweb.co/ssdweb/hd/Vision360.html?d=925520410&amp;zoomslide=1&amp;z=1925520410&amp;ISCONFIRM=0","VIDEO")</f>
        <v>VIDEO</v>
      </c>
      <c r="AA479" s="19" t="str">
        <f>HYPERLINK("https://ssdweb.co/ssdweb/CERTH/617485843.pdf","CERTI")</f>
        <v>CERTI</v>
      </c>
    </row>
    <row r="480" spans="1:27" ht="15" x14ac:dyDescent="0.25">
      <c r="A480" s="2">
        <v>475</v>
      </c>
      <c r="B480" s="39">
        <v>926201101</v>
      </c>
      <c r="C480" s="28" t="str">
        <f>HYPERLINK("https://pld.live/RapDetail.aspx?STONELIST=926201101","DNA")</f>
        <v>DNA</v>
      </c>
      <c r="D480" s="18" t="s">
        <v>711</v>
      </c>
      <c r="E480" s="18" t="s">
        <v>5128</v>
      </c>
      <c r="F480" s="2" t="s">
        <v>7987</v>
      </c>
      <c r="G480" s="2" t="s">
        <v>861</v>
      </c>
      <c r="H480" s="14">
        <v>1.58</v>
      </c>
      <c r="I480" s="2" t="s">
        <v>4761</v>
      </c>
      <c r="J480" s="2" t="s">
        <v>5144</v>
      </c>
      <c r="K480" s="2" t="s">
        <v>3390</v>
      </c>
      <c r="L480" s="2" t="s">
        <v>5221</v>
      </c>
      <c r="M480" s="2" t="s">
        <v>5221</v>
      </c>
      <c r="N480" s="2" t="s">
        <v>2317</v>
      </c>
      <c r="O480" s="14">
        <v>11000</v>
      </c>
      <c r="P480" s="14">
        <v>98.83</v>
      </c>
      <c r="Q480" s="14">
        <v>128.69999999999999</v>
      </c>
      <c r="R480" s="14">
        <v>203.35</v>
      </c>
      <c r="S480" s="2" t="s">
        <v>640</v>
      </c>
      <c r="T480" s="2">
        <v>1.01</v>
      </c>
      <c r="U480" s="2">
        <v>62.3</v>
      </c>
      <c r="V480" s="2">
        <v>57</v>
      </c>
      <c r="W480" s="2" t="s">
        <v>7862</v>
      </c>
      <c r="X480" s="2" t="s">
        <v>5405</v>
      </c>
      <c r="Y480" s="2">
        <v>17380</v>
      </c>
      <c r="Z480" s="19" t="str">
        <f>HYPERLINK("https://ssdweb.co/ssdweb/hd/Vision360.html?d=926201101&amp;zoomslide=1&amp;z=1926201101&amp;ISCONFIRM=0","VIDEO")</f>
        <v>VIDEO</v>
      </c>
      <c r="AA480" s="19" t="str">
        <f>HYPERLINK("https://ssdweb.co/ssdweb/CERTH/638463305.pdf","CERTI")</f>
        <v>CERTI</v>
      </c>
    </row>
    <row r="481" spans="1:27" ht="15" x14ac:dyDescent="0.25">
      <c r="A481" s="2">
        <v>476</v>
      </c>
      <c r="B481" s="39">
        <v>924700111</v>
      </c>
      <c r="C481" s="28" t="str">
        <f>HYPERLINK("https://pld.live/RapDetail.aspx?STONELIST=924700111","DNA")</f>
        <v>DNA</v>
      </c>
      <c r="D481" s="18" t="s">
        <v>711</v>
      </c>
      <c r="E481" s="18" t="s">
        <v>5128</v>
      </c>
      <c r="F481" s="2" t="s">
        <v>5597</v>
      </c>
      <c r="G481" s="2" t="s">
        <v>861</v>
      </c>
      <c r="H481" s="14">
        <v>1.58</v>
      </c>
      <c r="I481" s="2" t="s">
        <v>4761</v>
      </c>
      <c r="J481" s="2" t="s">
        <v>444</v>
      </c>
      <c r="K481" s="2" t="s">
        <v>5221</v>
      </c>
      <c r="L481" s="2" t="s">
        <v>5221</v>
      </c>
      <c r="M481" s="2" t="s">
        <v>5221</v>
      </c>
      <c r="N481" s="2" t="s">
        <v>2317</v>
      </c>
      <c r="O481" s="14">
        <v>8900</v>
      </c>
      <c r="P481" s="14">
        <v>97.69</v>
      </c>
      <c r="Q481" s="14">
        <v>205.59</v>
      </c>
      <c r="R481" s="14">
        <v>324.83</v>
      </c>
      <c r="S481" s="2" t="s">
        <v>5037</v>
      </c>
      <c r="T481" s="2">
        <v>1.01</v>
      </c>
      <c r="U481" s="2">
        <v>61.4</v>
      </c>
      <c r="V481" s="2">
        <v>58</v>
      </c>
      <c r="W481" s="2" t="s">
        <v>7862</v>
      </c>
      <c r="X481" s="2" t="s">
        <v>5405</v>
      </c>
      <c r="Y481" s="2">
        <v>14062</v>
      </c>
      <c r="Z481" s="19" t="str">
        <f>HYPERLINK("https://ssdweb.co/ssdweb/hd/Vision360.html?d=924700111&amp;zoomslide=1&amp;z=1924700111&amp;ISCONFIRM=0","VIDEO")</f>
        <v>VIDEO</v>
      </c>
      <c r="AA481" s="19" t="str">
        <f>HYPERLINK("https://ssdweb.co/ssdweb/CERTH/1479519240.pdf","CERTI")</f>
        <v>CERTI</v>
      </c>
    </row>
    <row r="482" spans="1:27" ht="15" x14ac:dyDescent="0.25">
      <c r="A482" s="2">
        <v>477</v>
      </c>
      <c r="B482" s="39">
        <v>926020675</v>
      </c>
      <c r="C482" s="28" t="str">
        <f>HYPERLINK("https://pld.live/RapDetail.aspx?STONELIST=926020675","DNA")</f>
        <v>DNA</v>
      </c>
      <c r="D482" s="18" t="s">
        <v>711</v>
      </c>
      <c r="E482" s="18" t="s">
        <v>5128</v>
      </c>
      <c r="F482" s="2" t="s">
        <v>7987</v>
      </c>
      <c r="G482" s="2" t="s">
        <v>861</v>
      </c>
      <c r="H482" s="14">
        <v>1.58</v>
      </c>
      <c r="I482" s="2" t="s">
        <v>4699</v>
      </c>
      <c r="J482" s="2" t="s">
        <v>7032</v>
      </c>
      <c r="K482" s="2" t="s">
        <v>3390</v>
      </c>
      <c r="L482" s="2" t="s">
        <v>5221</v>
      </c>
      <c r="M482" s="2" t="s">
        <v>5221</v>
      </c>
      <c r="N482" s="2" t="s">
        <v>2317</v>
      </c>
      <c r="O482" s="14">
        <v>16400</v>
      </c>
      <c r="P482" s="14">
        <v>98.38</v>
      </c>
      <c r="Q482" s="14">
        <v>265.68</v>
      </c>
      <c r="R482" s="14">
        <v>419.77</v>
      </c>
      <c r="S482" s="2" t="s">
        <v>7297</v>
      </c>
      <c r="T482" s="2">
        <v>1.01</v>
      </c>
      <c r="U482" s="2">
        <v>62.4</v>
      </c>
      <c r="V482" s="2">
        <v>56</v>
      </c>
      <c r="W482" s="2" t="s">
        <v>7862</v>
      </c>
      <c r="X482" s="2" t="s">
        <v>5405</v>
      </c>
      <c r="Y482" s="2">
        <v>25912</v>
      </c>
      <c r="Z482" s="19" t="str">
        <f>HYPERLINK("https://ssdweb.co/ssdweb/hd/Vision360.html?d=926020675&amp;zoomslide=1&amp;z=1926020675&amp;ISCONFIRM=0","VIDEO")</f>
        <v>VIDEO</v>
      </c>
      <c r="AA482" s="19" t="str">
        <f>HYPERLINK("https://ssdweb.co/ssdweb/CERTH/629497495.pdf","CERTI")</f>
        <v>CERTI</v>
      </c>
    </row>
    <row r="483" spans="1:27" ht="15" x14ac:dyDescent="0.25">
      <c r="A483" s="2">
        <v>478</v>
      </c>
      <c r="B483" s="39">
        <v>925310313</v>
      </c>
      <c r="C483" s="28" t="str">
        <f>HYPERLINK("https://pld.live/RapDetail.aspx?STONELIST=925310313","DNA")</f>
        <v>DNA</v>
      </c>
      <c r="D483" s="18" t="s">
        <v>711</v>
      </c>
      <c r="E483" s="18" t="s">
        <v>5128</v>
      </c>
      <c r="F483" s="2" t="s">
        <v>5597</v>
      </c>
      <c r="G483" s="2" t="s">
        <v>861</v>
      </c>
      <c r="H483" s="14">
        <v>1.57</v>
      </c>
      <c r="I483" s="2" t="s">
        <v>267</v>
      </c>
      <c r="J483" s="2" t="s">
        <v>13</v>
      </c>
      <c r="K483" s="2" t="s">
        <v>5221</v>
      </c>
      <c r="L483" s="2" t="s">
        <v>5221</v>
      </c>
      <c r="M483" s="2" t="s">
        <v>5221</v>
      </c>
      <c r="N483" s="2" t="s">
        <v>2317</v>
      </c>
      <c r="O483" s="14">
        <v>13400</v>
      </c>
      <c r="P483" s="14">
        <v>98.07</v>
      </c>
      <c r="Q483" s="14">
        <v>258.62</v>
      </c>
      <c r="R483" s="14">
        <v>406.03</v>
      </c>
      <c r="S483" s="2" t="s">
        <v>7817</v>
      </c>
      <c r="T483" s="2">
        <v>1</v>
      </c>
      <c r="U483" s="2">
        <v>62</v>
      </c>
      <c r="V483" s="2">
        <v>58</v>
      </c>
      <c r="W483" s="2" t="s">
        <v>7862</v>
      </c>
      <c r="X483" s="2" t="s">
        <v>5405</v>
      </c>
      <c r="Y483" s="2">
        <v>21038</v>
      </c>
      <c r="Z483" s="19" t="str">
        <f>HYPERLINK("https://ssdweb.co/ssdweb/hd/Vision360.html?d=925310313&amp;zoomslide=1&amp;z=1925310313&amp;ISCONFIRM=0","VIDEO")</f>
        <v>VIDEO</v>
      </c>
      <c r="AA483" s="19" t="str">
        <f>HYPERLINK("https://ssdweb.co/ssdweb/CERTH/1488287377.pdf","CERTI")</f>
        <v>CERTI</v>
      </c>
    </row>
    <row r="484" spans="1:27" ht="15" x14ac:dyDescent="0.25">
      <c r="A484" s="2">
        <v>479</v>
      </c>
      <c r="B484" s="39">
        <v>925621372</v>
      </c>
      <c r="C484" s="28" t="str">
        <f>HYPERLINK("https://pld.live/RapDetail.aspx?STONELIST=925621372","DNA")</f>
        <v>DNA</v>
      </c>
      <c r="D484" s="18" t="s">
        <v>711</v>
      </c>
      <c r="E484" s="18" t="s">
        <v>5128</v>
      </c>
      <c r="F484" s="2" t="s">
        <v>5597</v>
      </c>
      <c r="G484" s="2" t="s">
        <v>861</v>
      </c>
      <c r="H484" s="14">
        <v>1.57</v>
      </c>
      <c r="I484" s="2" t="s">
        <v>267</v>
      </c>
      <c r="J484" s="2" t="s">
        <v>13</v>
      </c>
      <c r="K484" s="2" t="s">
        <v>5221</v>
      </c>
      <c r="L484" s="2" t="s">
        <v>5221</v>
      </c>
      <c r="M484" s="2" t="s">
        <v>5221</v>
      </c>
      <c r="N484" s="2" t="s">
        <v>2317</v>
      </c>
      <c r="O484" s="14">
        <v>13400</v>
      </c>
      <c r="P484" s="14">
        <v>98.07</v>
      </c>
      <c r="Q484" s="14">
        <v>258.62</v>
      </c>
      <c r="R484" s="14">
        <v>406.03</v>
      </c>
      <c r="S484" s="2" t="s">
        <v>2618</v>
      </c>
      <c r="T484" s="2">
        <v>1.01</v>
      </c>
      <c r="U484" s="2">
        <v>62.5</v>
      </c>
      <c r="V484" s="2">
        <v>58</v>
      </c>
      <c r="W484" s="2" t="s">
        <v>7862</v>
      </c>
      <c r="X484" s="2" t="s">
        <v>5405</v>
      </c>
      <c r="Y484" s="2">
        <v>21038</v>
      </c>
      <c r="Z484" s="19" t="str">
        <f>HYPERLINK("https://ssdweb.co/ssdweb/hd/Vision360.html?d=925621372&amp;zoomslide=1&amp;z=1925621372&amp;ISCONFIRM=0","VIDEO")</f>
        <v>VIDEO</v>
      </c>
      <c r="AA484" s="19" t="str">
        <f>HYPERLINK("https://ssdweb.co/ssdweb/CERTH/7486537237.pdf","CERTI")</f>
        <v>CERTI</v>
      </c>
    </row>
    <row r="485" spans="1:27" ht="15" x14ac:dyDescent="0.25">
      <c r="A485" s="2">
        <v>480</v>
      </c>
      <c r="B485" s="39">
        <v>925801211</v>
      </c>
      <c r="C485" s="28" t="str">
        <f>HYPERLINK("https://pld.live/RapDetail.aspx?STONELIST=925801211","DNA")</f>
        <v>DNA</v>
      </c>
      <c r="D485" s="18" t="s">
        <v>711</v>
      </c>
      <c r="E485" s="18" t="s">
        <v>5128</v>
      </c>
      <c r="F485" s="2" t="s">
        <v>7987</v>
      </c>
      <c r="G485" s="2" t="s">
        <v>861</v>
      </c>
      <c r="H485" s="14">
        <v>1.57</v>
      </c>
      <c r="I485" s="2" t="s">
        <v>267</v>
      </c>
      <c r="J485" s="2" t="s">
        <v>5144</v>
      </c>
      <c r="K485" s="2" t="s">
        <v>3390</v>
      </c>
      <c r="L485" s="2" t="s">
        <v>5221</v>
      </c>
      <c r="M485" s="2" t="s">
        <v>5221</v>
      </c>
      <c r="N485" s="2" t="s">
        <v>2317</v>
      </c>
      <c r="O485" s="14">
        <v>12000</v>
      </c>
      <c r="P485" s="14">
        <v>98.91</v>
      </c>
      <c r="Q485" s="14">
        <v>130.80000000000001</v>
      </c>
      <c r="R485" s="14">
        <v>205.36</v>
      </c>
      <c r="S485" s="2" t="s">
        <v>2919</v>
      </c>
      <c r="T485" s="2">
        <v>1.01</v>
      </c>
      <c r="U485" s="2">
        <v>61.3</v>
      </c>
      <c r="V485" s="2">
        <v>57</v>
      </c>
      <c r="W485" s="2" t="s">
        <v>7862</v>
      </c>
      <c r="X485" s="2" t="s">
        <v>5405</v>
      </c>
      <c r="Y485" s="2">
        <v>18840</v>
      </c>
      <c r="Z485" s="19" t="str">
        <f>HYPERLINK("https://ssdweb.co/ssdweb/hd/Vision360.html?d=925801211&amp;zoomslide=1&amp;z=1925801211&amp;ISCONFIRM=0","VIDEO")</f>
        <v>VIDEO</v>
      </c>
      <c r="AA485" s="19" t="str">
        <f>HYPERLINK("https://ssdweb.co/ssdweb/CERTH/631464359.pdf","CERTI")</f>
        <v>CERTI</v>
      </c>
    </row>
    <row r="486" spans="1:27" ht="15" x14ac:dyDescent="0.25">
      <c r="A486" s="2">
        <v>481</v>
      </c>
      <c r="B486" s="39">
        <v>925920996</v>
      </c>
      <c r="C486" s="28" t="str">
        <f>HYPERLINK("https://pld.live/RapDetail.aspx?STONELIST=925920996","DNA")</f>
        <v>DNA</v>
      </c>
      <c r="D486" s="18" t="s">
        <v>711</v>
      </c>
      <c r="E486" s="18" t="s">
        <v>5128</v>
      </c>
      <c r="F486" s="2" t="s">
        <v>7987</v>
      </c>
      <c r="G486" s="2" t="s">
        <v>861</v>
      </c>
      <c r="H486" s="14">
        <v>1.57</v>
      </c>
      <c r="I486" s="2" t="s">
        <v>267</v>
      </c>
      <c r="J486" s="2" t="s">
        <v>5144</v>
      </c>
      <c r="K486" s="2" t="s">
        <v>3390</v>
      </c>
      <c r="L486" s="2" t="s">
        <v>5221</v>
      </c>
      <c r="M486" s="2" t="s">
        <v>5221</v>
      </c>
      <c r="N486" s="2" t="s">
        <v>2317</v>
      </c>
      <c r="O486" s="14">
        <v>12000</v>
      </c>
      <c r="P486" s="14">
        <v>98.91</v>
      </c>
      <c r="Q486" s="14">
        <v>130.80000000000001</v>
      </c>
      <c r="R486" s="14">
        <v>205.36</v>
      </c>
      <c r="S486" s="2" t="s">
        <v>2173</v>
      </c>
      <c r="T486" s="2">
        <v>1</v>
      </c>
      <c r="U486" s="2">
        <v>62.1</v>
      </c>
      <c r="V486" s="2">
        <v>58</v>
      </c>
      <c r="W486" s="2" t="s">
        <v>7862</v>
      </c>
      <c r="X486" s="2" t="s">
        <v>5405</v>
      </c>
      <c r="Y486" s="2">
        <v>18840</v>
      </c>
      <c r="Z486" s="19" t="str">
        <f>HYPERLINK("https://ssdweb.co/ssdweb/hd/Vision360.html?d=925920996&amp;zoomslide=1&amp;z=1925920996&amp;ISCONFIRM=0","VIDEO")</f>
        <v>VIDEO</v>
      </c>
      <c r="AA486" s="19" t="str">
        <f>HYPERLINK("https://ssdweb.co/ssdweb/CERTH/631464218.pdf","CERTI")</f>
        <v>CERTI</v>
      </c>
    </row>
    <row r="487" spans="1:27" ht="15" x14ac:dyDescent="0.25">
      <c r="A487" s="2">
        <v>482</v>
      </c>
      <c r="B487" s="39">
        <v>925621377</v>
      </c>
      <c r="C487" s="28" t="str">
        <f>HYPERLINK("https://pld.live/RapDetail.aspx?STONELIST=925621377","DNA")</f>
        <v>DNA</v>
      </c>
      <c r="D487" s="18" t="s">
        <v>711</v>
      </c>
      <c r="E487" s="18" t="s">
        <v>5128</v>
      </c>
      <c r="F487" s="2" t="s">
        <v>5597</v>
      </c>
      <c r="G487" s="2" t="s">
        <v>861</v>
      </c>
      <c r="H487" s="14">
        <v>1.57</v>
      </c>
      <c r="I487" s="2" t="s">
        <v>267</v>
      </c>
      <c r="J487" s="2" t="s">
        <v>5144</v>
      </c>
      <c r="K487" s="2" t="s">
        <v>5221</v>
      </c>
      <c r="L487" s="2" t="s">
        <v>5221</v>
      </c>
      <c r="M487" s="2" t="s">
        <v>5221</v>
      </c>
      <c r="N487" s="2" t="s">
        <v>2317</v>
      </c>
      <c r="O487" s="14">
        <v>12000</v>
      </c>
      <c r="P487" s="14">
        <v>98.04</v>
      </c>
      <c r="Q487" s="14">
        <v>235.2</v>
      </c>
      <c r="R487" s="14">
        <v>369.26</v>
      </c>
      <c r="S487" s="2" t="s">
        <v>3194</v>
      </c>
      <c r="T487" s="2">
        <v>1</v>
      </c>
      <c r="U487" s="2">
        <v>61.1</v>
      </c>
      <c r="V487" s="2">
        <v>59</v>
      </c>
      <c r="W487" s="2" t="s">
        <v>7862</v>
      </c>
      <c r="X487" s="2" t="s">
        <v>5405</v>
      </c>
      <c r="Y487" s="2">
        <v>18840</v>
      </c>
      <c r="Z487" s="19" t="str">
        <f>HYPERLINK("https://ssdweb.co/ssdweb/hd/Vision360.html?d=925621377&amp;zoomslide=1&amp;z=1925621377&amp;ISCONFIRM=0","VIDEO")</f>
        <v>VIDEO</v>
      </c>
      <c r="AA487" s="19" t="str">
        <f>HYPERLINK("https://ssdweb.co/ssdweb/CERTH/6485537236.pdf","CERTI")</f>
        <v>CERTI</v>
      </c>
    </row>
    <row r="488" spans="1:27" ht="15" x14ac:dyDescent="0.25">
      <c r="A488" s="2">
        <v>483</v>
      </c>
      <c r="B488" s="39">
        <v>925180117</v>
      </c>
      <c r="C488" s="28" t="str">
        <f>HYPERLINK("https://pld.live/RapDetail.aspx?STONELIST=925180117","DNA")</f>
        <v>DNA</v>
      </c>
      <c r="D488" s="18" t="s">
        <v>711</v>
      </c>
      <c r="E488" s="18" t="s">
        <v>5128</v>
      </c>
      <c r="F488" s="2" t="s">
        <v>7987</v>
      </c>
      <c r="G488" s="2" t="s">
        <v>861</v>
      </c>
      <c r="H488" s="14">
        <v>1.57</v>
      </c>
      <c r="I488" s="2" t="s">
        <v>267</v>
      </c>
      <c r="J488" s="2" t="s">
        <v>444</v>
      </c>
      <c r="K488" s="2" t="s">
        <v>3390</v>
      </c>
      <c r="L488" s="2" t="s">
        <v>5221</v>
      </c>
      <c r="M488" s="2" t="s">
        <v>5221</v>
      </c>
      <c r="N488" s="2" t="s">
        <v>2317</v>
      </c>
      <c r="O488" s="14">
        <v>9600</v>
      </c>
      <c r="P488" s="14">
        <v>98.72</v>
      </c>
      <c r="Q488" s="14">
        <v>122.88</v>
      </c>
      <c r="R488" s="14">
        <v>192.92</v>
      </c>
      <c r="S488" s="2" t="s">
        <v>2891</v>
      </c>
      <c r="T488" s="2">
        <v>1.01</v>
      </c>
      <c r="U488" s="2">
        <v>62.4</v>
      </c>
      <c r="V488" s="2">
        <v>56</v>
      </c>
      <c r="W488" s="2" t="s">
        <v>7862</v>
      </c>
      <c r="X488" s="2" t="s">
        <v>5405</v>
      </c>
      <c r="Y488" s="2">
        <v>15072</v>
      </c>
      <c r="Z488" s="19" t="str">
        <f>HYPERLINK("https://ssdweb.co/ssdweb/hd/Vision360.html?d=925180117&amp;zoomslide=1&amp;z=1925180117&amp;ISCONFIRM=0","VIDEO")</f>
        <v>VIDEO</v>
      </c>
      <c r="AA488" s="19" t="str">
        <f>HYPERLINK("https://ssdweb.co/ssdweb/CERTH/612322046.pdf","CERTI")</f>
        <v>CERTI</v>
      </c>
    </row>
    <row r="489" spans="1:27" ht="15" x14ac:dyDescent="0.25">
      <c r="A489" s="2">
        <v>484</v>
      </c>
      <c r="B489" s="39">
        <v>926900708</v>
      </c>
      <c r="C489" s="28" t="str">
        <f>HYPERLINK("https://pld.live/RapDetail.aspx?STONELIST=926900708","DNA")</f>
        <v>DNA</v>
      </c>
      <c r="D489" s="18" t="s">
        <v>711</v>
      </c>
      <c r="E489" s="18" t="s">
        <v>5128</v>
      </c>
      <c r="F489" s="2" t="s">
        <v>7987</v>
      </c>
      <c r="G489" s="2" t="s">
        <v>861</v>
      </c>
      <c r="H489" s="14">
        <v>1.57</v>
      </c>
      <c r="I489" s="2" t="s">
        <v>4761</v>
      </c>
      <c r="J489" s="2" t="s">
        <v>3942</v>
      </c>
      <c r="K489" s="2" t="s">
        <v>3390</v>
      </c>
      <c r="L489" s="2" t="s">
        <v>5221</v>
      </c>
      <c r="M489" s="2" t="s">
        <v>5221</v>
      </c>
      <c r="N489" s="2" t="s">
        <v>2317</v>
      </c>
      <c r="O489" s="14">
        <v>14300</v>
      </c>
      <c r="P489" s="14">
        <v>98.93</v>
      </c>
      <c r="Q489" s="14">
        <v>153.01</v>
      </c>
      <c r="R489" s="14">
        <v>240.23</v>
      </c>
      <c r="S489" s="2" t="s">
        <v>2313</v>
      </c>
      <c r="T489" s="2">
        <v>1</v>
      </c>
      <c r="U489" s="2">
        <v>61.4</v>
      </c>
      <c r="V489" s="2">
        <v>57</v>
      </c>
      <c r="W489" s="2" t="s">
        <v>7862</v>
      </c>
      <c r="X489" s="2" t="s">
        <v>5405</v>
      </c>
      <c r="Y489" s="2">
        <v>22451</v>
      </c>
      <c r="Z489" s="19" t="str">
        <f>HYPERLINK("https://ssdweb.co/ssdweb/hd/Vision360.html?d=926900708&amp;zoomslide=1&amp;z=1926900708&amp;ISCONFIRM=0","VIDEO")</f>
        <v>VIDEO</v>
      </c>
      <c r="AA489" s="19" t="str">
        <f>HYPERLINK("https://ssdweb.co/ssdweb/CERTH/689587059.pdf","CERTI")</f>
        <v>CERTI</v>
      </c>
    </row>
    <row r="490" spans="1:27" ht="15" x14ac:dyDescent="0.25">
      <c r="A490" s="2">
        <v>485</v>
      </c>
      <c r="B490" s="39">
        <v>831020733</v>
      </c>
      <c r="C490" s="28" t="str">
        <f>HYPERLINK("https://pld.live/RapDetail.aspx?STONELIST=831020733","DNA")</f>
        <v>DNA</v>
      </c>
      <c r="D490" s="18" t="s">
        <v>711</v>
      </c>
      <c r="E490" s="18" t="s">
        <v>2186</v>
      </c>
      <c r="F490" s="2" t="s">
        <v>7987</v>
      </c>
      <c r="G490" s="2" t="s">
        <v>861</v>
      </c>
      <c r="H490" s="14">
        <v>1.57</v>
      </c>
      <c r="I490" s="2" t="s">
        <v>4761</v>
      </c>
      <c r="J490" s="2" t="s">
        <v>3942</v>
      </c>
      <c r="K490" s="2" t="s">
        <v>3390</v>
      </c>
      <c r="L490" s="2" t="s">
        <v>5221</v>
      </c>
      <c r="M490" s="2" t="s">
        <v>5221</v>
      </c>
      <c r="N490" s="2" t="s">
        <v>2317</v>
      </c>
      <c r="O490" s="14">
        <v>14300</v>
      </c>
      <c r="P490" s="14">
        <v>98.96</v>
      </c>
      <c r="Q490" s="14">
        <v>148.72</v>
      </c>
      <c r="R490" s="14">
        <v>233.49</v>
      </c>
      <c r="S490" s="2" t="s">
        <v>3030</v>
      </c>
      <c r="T490" s="2">
        <v>1</v>
      </c>
      <c r="U490" s="2">
        <v>62.3</v>
      </c>
      <c r="V490" s="2">
        <v>58</v>
      </c>
      <c r="W490" s="2" t="s">
        <v>7862</v>
      </c>
      <c r="X490" s="2" t="s">
        <v>5405</v>
      </c>
      <c r="Y490" s="2">
        <v>22451</v>
      </c>
      <c r="Z490" s="19" t="str">
        <f>HYPERLINK("https://ssdweb.co/ssdweb/hd/Vision360.html?d=831020733&amp;zoomslide=1&amp;z=1831020733&amp;ISCONFIRM=0","VIDEO")</f>
        <v>VIDEO</v>
      </c>
      <c r="AA490" s="19" t="str">
        <f>HYPERLINK("https://ssdweb.co/ssdweb/CERTH/619443817.pdf","CERTI")</f>
        <v>CERTI</v>
      </c>
    </row>
    <row r="491" spans="1:27" ht="15" x14ac:dyDescent="0.25">
      <c r="A491" s="2">
        <v>486</v>
      </c>
      <c r="B491" s="39">
        <v>925621524</v>
      </c>
      <c r="C491" s="28" t="str">
        <f>HYPERLINK("https://pld.live/RapDetail.aspx?STONELIST=925621524","DNA")</f>
        <v>DNA</v>
      </c>
      <c r="D491" s="18" t="s">
        <v>711</v>
      </c>
      <c r="E491" s="18" t="s">
        <v>5128</v>
      </c>
      <c r="F491" s="2" t="s">
        <v>7987</v>
      </c>
      <c r="G491" s="2" t="s">
        <v>861</v>
      </c>
      <c r="H491" s="14">
        <v>1.57</v>
      </c>
      <c r="I491" s="2" t="s">
        <v>4761</v>
      </c>
      <c r="J491" s="2" t="s">
        <v>444</v>
      </c>
      <c r="K491" s="2" t="s">
        <v>3390</v>
      </c>
      <c r="L491" s="2" t="s">
        <v>5221</v>
      </c>
      <c r="M491" s="2" t="s">
        <v>5221</v>
      </c>
      <c r="N491" s="2" t="s">
        <v>2317</v>
      </c>
      <c r="O491" s="14">
        <v>8900</v>
      </c>
      <c r="P491" s="14">
        <v>98.67</v>
      </c>
      <c r="Q491" s="14">
        <v>118.37</v>
      </c>
      <c r="R491" s="14">
        <v>185.84</v>
      </c>
      <c r="S491" s="2" t="s">
        <v>2575</v>
      </c>
      <c r="T491" s="2">
        <v>1.01</v>
      </c>
      <c r="U491" s="2">
        <v>61.6</v>
      </c>
      <c r="V491" s="2">
        <v>59</v>
      </c>
      <c r="W491" s="2" t="s">
        <v>7862</v>
      </c>
      <c r="X491" s="2" t="s">
        <v>5405</v>
      </c>
      <c r="Y491" s="2">
        <v>13973</v>
      </c>
      <c r="Z491" s="19" t="str">
        <f>HYPERLINK("https://ssdweb.co/ssdweb/hd/Vision360.html?d=925621524&amp;zoomslide=1&amp;z=1925621524&amp;ISCONFIRM=0","VIDEO")</f>
        <v>VIDEO</v>
      </c>
      <c r="AA491" s="19" t="str">
        <f>HYPERLINK("https://ssdweb.co/ssdweb/CERTH/620449023.pdf","CERTI")</f>
        <v>CERTI</v>
      </c>
    </row>
    <row r="492" spans="1:27" ht="15" x14ac:dyDescent="0.25">
      <c r="A492" s="2">
        <v>487</v>
      </c>
      <c r="B492" s="39">
        <v>925721648</v>
      </c>
      <c r="C492" s="28" t="str">
        <f>HYPERLINK("https://pld.live/RapDetail.aspx?STONELIST=925721648","DNA")</f>
        <v>DNA</v>
      </c>
      <c r="D492" s="18" t="s">
        <v>711</v>
      </c>
      <c r="E492" s="18" t="s">
        <v>5128</v>
      </c>
      <c r="F492" s="2" t="s">
        <v>7987</v>
      </c>
      <c r="G492" s="2" t="s">
        <v>861</v>
      </c>
      <c r="H492" s="14">
        <v>1.57</v>
      </c>
      <c r="I492" s="2" t="s">
        <v>4761</v>
      </c>
      <c r="J492" s="2" t="s">
        <v>444</v>
      </c>
      <c r="K492" s="2" t="s">
        <v>3390</v>
      </c>
      <c r="L492" s="2" t="s">
        <v>5221</v>
      </c>
      <c r="M492" s="2" t="s">
        <v>5221</v>
      </c>
      <c r="N492" s="2" t="s">
        <v>2317</v>
      </c>
      <c r="O492" s="14">
        <v>8900</v>
      </c>
      <c r="P492" s="14">
        <v>98.67</v>
      </c>
      <c r="Q492" s="14">
        <v>118.37</v>
      </c>
      <c r="R492" s="14">
        <v>185.84</v>
      </c>
      <c r="S492" s="2" t="s">
        <v>5462</v>
      </c>
      <c r="T492" s="2">
        <v>1</v>
      </c>
      <c r="U492" s="2">
        <v>60.6</v>
      </c>
      <c r="V492" s="2">
        <v>58</v>
      </c>
      <c r="W492" s="2" t="s">
        <v>7862</v>
      </c>
      <c r="X492" s="2" t="s">
        <v>5405</v>
      </c>
      <c r="Y492" s="2">
        <v>13973</v>
      </c>
      <c r="Z492" s="19" t="str">
        <f>HYPERLINK("https://ssdweb.co/ssdweb/hd/Vision360.html?d=925721648&amp;zoomslide=1&amp;z=1925721648&amp;ISCONFIRM=0","VIDEO")</f>
        <v>VIDEO</v>
      </c>
      <c r="AA492" s="19" t="str">
        <f>HYPERLINK("https://ssdweb.co/ssdweb/CERTH/623449256.pdf","CERTI")</f>
        <v>CERTI</v>
      </c>
    </row>
    <row r="493" spans="1:27" ht="15" x14ac:dyDescent="0.25">
      <c r="A493" s="2">
        <v>488</v>
      </c>
      <c r="B493" s="39">
        <v>924760060</v>
      </c>
      <c r="C493" s="28" t="str">
        <f>HYPERLINK("https://pld.live/RapDetail.aspx?STONELIST=924760060","DNA")</f>
        <v>DNA</v>
      </c>
      <c r="D493" s="18" t="s">
        <v>711</v>
      </c>
      <c r="E493" s="18" t="s">
        <v>5128</v>
      </c>
      <c r="F493" s="2" t="s">
        <v>7987</v>
      </c>
      <c r="G493" s="2" t="s">
        <v>861</v>
      </c>
      <c r="H493" s="14">
        <v>1.57</v>
      </c>
      <c r="I493" s="2" t="s">
        <v>4699</v>
      </c>
      <c r="J493" s="2" t="s">
        <v>7032</v>
      </c>
      <c r="K493" s="2" t="s">
        <v>3390</v>
      </c>
      <c r="L493" s="2" t="s">
        <v>5221</v>
      </c>
      <c r="M493" s="2" t="s">
        <v>5221</v>
      </c>
      <c r="N493" s="2" t="s">
        <v>2317</v>
      </c>
      <c r="O493" s="14">
        <v>16400</v>
      </c>
      <c r="P493" s="14">
        <v>98.38</v>
      </c>
      <c r="Q493" s="14">
        <v>265.68</v>
      </c>
      <c r="R493" s="14">
        <v>417.12</v>
      </c>
      <c r="S493" s="2" t="s">
        <v>7937</v>
      </c>
      <c r="T493" s="2">
        <v>1.01</v>
      </c>
      <c r="U493" s="2">
        <v>61.8</v>
      </c>
      <c r="V493" s="2">
        <v>58</v>
      </c>
      <c r="W493" s="2" t="s">
        <v>4336</v>
      </c>
      <c r="X493" s="2" t="s">
        <v>5405</v>
      </c>
      <c r="Y493" s="2">
        <v>25748</v>
      </c>
      <c r="Z493" s="19" t="str">
        <f>HYPERLINK("https://ssdweb.co/ssdweb/hd/Vision360.html?d=924760060&amp;zoomslide=1&amp;z=1924760060&amp;ISCONFIRM=0","VIDEO")</f>
        <v>VIDEO</v>
      </c>
      <c r="AA493" s="19" t="str">
        <f>HYPERLINK("https://ssdweb.co/ssdweb/CERTH/598379356.pdf","CERTI")</f>
        <v>CERTI</v>
      </c>
    </row>
    <row r="494" spans="1:27" ht="15" x14ac:dyDescent="0.25">
      <c r="A494" s="2">
        <v>489</v>
      </c>
      <c r="B494" s="39">
        <v>941370239</v>
      </c>
      <c r="C494" s="28" t="str">
        <f>HYPERLINK("https://pld.live/RapDetail.aspx?STONELIST=941370239","DNA")</f>
        <v>DNA</v>
      </c>
      <c r="D494" s="18" t="s">
        <v>711</v>
      </c>
      <c r="E494" s="18" t="s">
        <v>5128</v>
      </c>
      <c r="F494" s="2" t="s">
        <v>7987</v>
      </c>
      <c r="G494" s="2" t="s">
        <v>861</v>
      </c>
      <c r="H494" s="14">
        <v>1.56</v>
      </c>
      <c r="I494" s="2" t="s">
        <v>267</v>
      </c>
      <c r="J494" s="2" t="s">
        <v>3942</v>
      </c>
      <c r="K494" s="2" t="s">
        <v>3390</v>
      </c>
      <c r="L494" s="2" t="s">
        <v>5221</v>
      </c>
      <c r="M494" s="2" t="s">
        <v>5221</v>
      </c>
      <c r="N494" s="2" t="s">
        <v>2317</v>
      </c>
      <c r="O494" s="14">
        <v>15400</v>
      </c>
      <c r="P494" s="14">
        <v>98.98</v>
      </c>
      <c r="Q494" s="14">
        <v>157.08000000000001</v>
      </c>
      <c r="R494" s="14">
        <v>245.04</v>
      </c>
      <c r="S494" s="2" t="s">
        <v>7591</v>
      </c>
      <c r="T494" s="2">
        <v>1</v>
      </c>
      <c r="U494" s="2">
        <v>60.5</v>
      </c>
      <c r="V494" s="2">
        <v>60</v>
      </c>
      <c r="W494" s="2" t="s">
        <v>7862</v>
      </c>
      <c r="X494" s="2" t="s">
        <v>5405</v>
      </c>
      <c r="Y494" s="2">
        <v>24024</v>
      </c>
      <c r="Z494" s="19" t="str">
        <f>HYPERLINK("https://ssdweb.co/ssdweb/hd/Vision360.html?d=941370239&amp;zoomslide=1&amp;z=1941370239&amp;ISCONFIRM=0","VIDEO")</f>
        <v>VIDEO</v>
      </c>
      <c r="AA494" s="19" t="str">
        <f>HYPERLINK("https://ssdweb.co/ssdweb/CERTH/691577943.pdf","CERTI")</f>
        <v>CERTI</v>
      </c>
    </row>
    <row r="495" spans="1:27" ht="15" x14ac:dyDescent="0.25">
      <c r="A495" s="2">
        <v>490</v>
      </c>
      <c r="B495" s="39">
        <v>831010809</v>
      </c>
      <c r="C495" s="28" t="str">
        <f>HYPERLINK("https://pld.live/RapDetail.aspx?STONELIST=831010809","DNA")</f>
        <v>DNA</v>
      </c>
      <c r="D495" s="18" t="s">
        <v>711</v>
      </c>
      <c r="E495" s="18" t="s">
        <v>5128</v>
      </c>
      <c r="F495" s="2" t="s">
        <v>5597</v>
      </c>
      <c r="G495" s="2" t="s">
        <v>861</v>
      </c>
      <c r="H495" s="14">
        <v>1.56</v>
      </c>
      <c r="I495" s="2" t="s">
        <v>267</v>
      </c>
      <c r="J495" s="2" t="s">
        <v>3942</v>
      </c>
      <c r="K495" s="2" t="s">
        <v>5221</v>
      </c>
      <c r="L495" s="2" t="s">
        <v>5221</v>
      </c>
      <c r="M495" s="2" t="s">
        <v>5221</v>
      </c>
      <c r="N495" s="2" t="s">
        <v>2317</v>
      </c>
      <c r="O495" s="14">
        <v>15400</v>
      </c>
      <c r="P495" s="14">
        <v>98.19</v>
      </c>
      <c r="Q495" s="14">
        <v>278.74</v>
      </c>
      <c r="R495" s="14">
        <v>434.83</v>
      </c>
      <c r="S495" s="2" t="s">
        <v>5873</v>
      </c>
      <c r="T495" s="2">
        <v>1.01</v>
      </c>
      <c r="U495" s="2">
        <v>59.9</v>
      </c>
      <c r="V495" s="2">
        <v>59</v>
      </c>
      <c r="W495" s="2" t="s">
        <v>7862</v>
      </c>
      <c r="X495" s="2" t="s">
        <v>5405</v>
      </c>
      <c r="Y495" s="2">
        <v>24024</v>
      </c>
      <c r="Z495" s="19" t="str">
        <f>HYPERLINK("https://ssdweb.co/ssdweb/hd/Vision360.html?d=831010809&amp;zoomslide=1&amp;z=1831010809&amp;ISCONFIRM=0","VIDEO")</f>
        <v>VIDEO</v>
      </c>
      <c r="AA495" s="19" t="str">
        <f>HYPERLINK("https://ssdweb.co/ssdweb/CERTH/7456862272.pdf","CERTI")</f>
        <v>CERTI</v>
      </c>
    </row>
    <row r="496" spans="1:27" ht="15" x14ac:dyDescent="0.25">
      <c r="A496" s="2">
        <v>491</v>
      </c>
      <c r="B496" s="39">
        <v>941280036</v>
      </c>
      <c r="C496" s="28" t="str">
        <f>HYPERLINK("https://pld.live/RapDetail.aspx?STONELIST=941280036","DNA")</f>
        <v>DNA</v>
      </c>
      <c r="D496" s="18" t="s">
        <v>711</v>
      </c>
      <c r="E496" s="18" t="s">
        <v>2186</v>
      </c>
      <c r="F496" s="2" t="s">
        <v>7987</v>
      </c>
      <c r="G496" s="2" t="s">
        <v>861</v>
      </c>
      <c r="H496" s="14">
        <v>1.56</v>
      </c>
      <c r="I496" s="2" t="s">
        <v>267</v>
      </c>
      <c r="J496" s="2" t="s">
        <v>13</v>
      </c>
      <c r="K496" s="2" t="s">
        <v>3390</v>
      </c>
      <c r="L496" s="2" t="s">
        <v>5221</v>
      </c>
      <c r="M496" s="2" t="s">
        <v>5221</v>
      </c>
      <c r="N496" s="2" t="s">
        <v>2317</v>
      </c>
      <c r="O496" s="14">
        <v>13400</v>
      </c>
      <c r="P496" s="14">
        <v>98.9</v>
      </c>
      <c r="Q496" s="14">
        <v>147.4</v>
      </c>
      <c r="R496" s="14">
        <v>229.94</v>
      </c>
      <c r="S496" s="2" t="s">
        <v>1624</v>
      </c>
      <c r="T496" s="2">
        <v>1.01</v>
      </c>
      <c r="U496" s="2">
        <v>62.2</v>
      </c>
      <c r="V496" s="2">
        <v>58</v>
      </c>
      <c r="W496" s="2" t="s">
        <v>7862</v>
      </c>
      <c r="X496" s="2" t="s">
        <v>5405</v>
      </c>
      <c r="Y496" s="2">
        <v>20904</v>
      </c>
      <c r="Z496" s="19" t="str">
        <f>HYPERLINK("https://ssdweb.co/ssdweb/hd/Vision360.html?d=941280036&amp;zoomslide=1&amp;z=1941280036&amp;ISCONFIRM=0","VIDEO")</f>
        <v>VIDEO</v>
      </c>
      <c r="AA496" s="19" t="str">
        <f>HYPERLINK("https://ssdweb.co/ssdweb/CERTH/691577941.pdf","CERTI")</f>
        <v>CERTI</v>
      </c>
    </row>
    <row r="497" spans="1:27" ht="15" x14ac:dyDescent="0.25">
      <c r="A497" s="2">
        <v>492</v>
      </c>
      <c r="B497" s="39">
        <v>925862004</v>
      </c>
      <c r="C497" s="28" t="str">
        <f>HYPERLINK("https://pld.live/RapDetail.aspx?STONELIST=925862004","DNA")</f>
        <v>DNA</v>
      </c>
      <c r="D497" s="18" t="s">
        <v>711</v>
      </c>
      <c r="E497" s="18" t="s">
        <v>5128</v>
      </c>
      <c r="F497" s="2" t="s">
        <v>5597</v>
      </c>
      <c r="G497" s="2" t="s">
        <v>861</v>
      </c>
      <c r="H497" s="14">
        <v>1.56</v>
      </c>
      <c r="I497" s="2" t="s">
        <v>267</v>
      </c>
      <c r="J497" s="2" t="s">
        <v>13</v>
      </c>
      <c r="K497" s="2" t="s">
        <v>5221</v>
      </c>
      <c r="L497" s="2" t="s">
        <v>5221</v>
      </c>
      <c r="M497" s="2" t="s">
        <v>5221</v>
      </c>
      <c r="N497" s="2" t="s">
        <v>2317</v>
      </c>
      <c r="O497" s="14">
        <v>13400</v>
      </c>
      <c r="P497" s="14">
        <v>98.07</v>
      </c>
      <c r="Q497" s="14">
        <v>258.62</v>
      </c>
      <c r="R497" s="14">
        <v>403.45</v>
      </c>
      <c r="S497" s="2" t="s">
        <v>3661</v>
      </c>
      <c r="T497" s="2">
        <v>1.01</v>
      </c>
      <c r="U497" s="2">
        <v>61.5</v>
      </c>
      <c r="V497" s="2">
        <v>56</v>
      </c>
      <c r="W497" s="2" t="s">
        <v>7862</v>
      </c>
      <c r="X497" s="2" t="s">
        <v>5405</v>
      </c>
      <c r="Y497" s="2">
        <v>20904</v>
      </c>
      <c r="Z497" s="19" t="str">
        <f>HYPERLINK("https://ssdweb.co/ssdweb/hd/Vision360.html?d=925862004&amp;zoomslide=1&amp;z=1925862004&amp;ISCONFIRM=0","VIDEO")</f>
        <v>VIDEO</v>
      </c>
      <c r="AA497" s="19" t="str">
        <f>HYPERLINK("https://ssdweb.co/ssdweb/CERTH/5496058248.pdf","CERTI")</f>
        <v>CERTI</v>
      </c>
    </row>
    <row r="498" spans="1:27" ht="15" x14ac:dyDescent="0.25">
      <c r="A498" s="2">
        <v>493</v>
      </c>
      <c r="B498" s="39">
        <v>925801083</v>
      </c>
      <c r="C498" s="28" t="str">
        <f>HYPERLINK("https://pld.live/RapDetail.aspx?STONELIST=925801083","DNA")</f>
        <v>DNA</v>
      </c>
      <c r="D498" s="18" t="s">
        <v>711</v>
      </c>
      <c r="E498" s="18" t="s">
        <v>5128</v>
      </c>
      <c r="F498" s="2" t="s">
        <v>7987</v>
      </c>
      <c r="G498" s="2" t="s">
        <v>861</v>
      </c>
      <c r="H498" s="14">
        <v>1.56</v>
      </c>
      <c r="I498" s="2" t="s">
        <v>267</v>
      </c>
      <c r="J498" s="2" t="s">
        <v>5144</v>
      </c>
      <c r="K498" s="2" t="s">
        <v>3390</v>
      </c>
      <c r="L498" s="2" t="s">
        <v>5221</v>
      </c>
      <c r="M498" s="2" t="s">
        <v>5221</v>
      </c>
      <c r="N498" s="2" t="s">
        <v>2317</v>
      </c>
      <c r="O498" s="14">
        <v>12000</v>
      </c>
      <c r="P498" s="14">
        <v>98.93</v>
      </c>
      <c r="Q498" s="14">
        <v>128.4</v>
      </c>
      <c r="R498" s="14">
        <v>200.3</v>
      </c>
      <c r="S498" s="2" t="s">
        <v>6951</v>
      </c>
      <c r="T498" s="2">
        <v>1.01</v>
      </c>
      <c r="U498" s="2">
        <v>62</v>
      </c>
      <c r="V498" s="2">
        <v>58</v>
      </c>
      <c r="W498" s="2" t="s">
        <v>7862</v>
      </c>
      <c r="X498" s="2" t="s">
        <v>5405</v>
      </c>
      <c r="Y498" s="2">
        <v>18720</v>
      </c>
      <c r="Z498" s="19" t="str">
        <f>HYPERLINK("https://ssdweb.co/ssdweb/hd/Vision360.html?d=925801083&amp;zoomslide=1&amp;z=1925801083&amp;ISCONFIRM=0","VIDEO")</f>
        <v>VIDEO</v>
      </c>
      <c r="AA498" s="19" t="str">
        <f>HYPERLINK("https://ssdweb.co/ssdweb/CERTH/626457246.pdf","CERTI")</f>
        <v>CERTI</v>
      </c>
    </row>
    <row r="499" spans="1:27" ht="15" x14ac:dyDescent="0.25">
      <c r="A499" s="2">
        <v>494</v>
      </c>
      <c r="B499" s="39">
        <v>925961264</v>
      </c>
      <c r="C499" s="28" t="str">
        <f>HYPERLINK("https://pld.live/RapDetail.aspx?STONELIST=925961264","DNA")</f>
        <v>DNA</v>
      </c>
      <c r="D499" s="18" t="s">
        <v>711</v>
      </c>
      <c r="E499" s="18" t="s">
        <v>5128</v>
      </c>
      <c r="F499" s="2" t="s">
        <v>7987</v>
      </c>
      <c r="G499" s="2" t="s">
        <v>861</v>
      </c>
      <c r="H499" s="14">
        <v>1.56</v>
      </c>
      <c r="I499" s="2" t="s">
        <v>4761</v>
      </c>
      <c r="J499" s="2" t="s">
        <v>444</v>
      </c>
      <c r="K499" s="2" t="s">
        <v>3390</v>
      </c>
      <c r="L499" s="2" t="s">
        <v>5221</v>
      </c>
      <c r="M499" s="2" t="s">
        <v>5221</v>
      </c>
      <c r="N499" s="2" t="s">
        <v>2317</v>
      </c>
      <c r="O499" s="14">
        <v>8900</v>
      </c>
      <c r="P499" s="14">
        <v>98.65</v>
      </c>
      <c r="Q499" s="14">
        <v>120.15</v>
      </c>
      <c r="R499" s="14">
        <v>187.43</v>
      </c>
      <c r="S499" s="2" t="s">
        <v>4329</v>
      </c>
      <c r="T499" s="2">
        <v>1</v>
      </c>
      <c r="U499" s="2">
        <v>61.6</v>
      </c>
      <c r="V499" s="2">
        <v>57</v>
      </c>
      <c r="W499" s="2" t="s">
        <v>7862</v>
      </c>
      <c r="X499" s="2" t="s">
        <v>5405</v>
      </c>
      <c r="Y499" s="2">
        <v>13884</v>
      </c>
      <c r="Z499" s="19" t="str">
        <f>HYPERLINK("https://ssdweb.co/ssdweb/hd/Vision360.html?d=925961264&amp;zoomslide=1&amp;z=1925961264&amp;ISCONFIRM=0","VIDEO")</f>
        <v>VIDEO</v>
      </c>
      <c r="AA499" s="19" t="str">
        <f>HYPERLINK("https://ssdweb.co/ssdweb/CERTH/631464330.pdf","CERTI")</f>
        <v>CERTI</v>
      </c>
    </row>
    <row r="500" spans="1:27" ht="15" x14ac:dyDescent="0.25">
      <c r="A500" s="2">
        <v>495</v>
      </c>
      <c r="B500" s="39">
        <v>925360155</v>
      </c>
      <c r="C500" s="28" t="str">
        <f>HYPERLINK("https://pld.live/RapDetail.aspx?STONELIST=925360155","DNA")</f>
        <v>DNA</v>
      </c>
      <c r="D500" s="18" t="s">
        <v>711</v>
      </c>
      <c r="E500" s="18" t="s">
        <v>5128</v>
      </c>
      <c r="F500" s="2" t="s">
        <v>5597</v>
      </c>
      <c r="G500" s="2" t="s">
        <v>861</v>
      </c>
      <c r="H500" s="14">
        <v>1.56</v>
      </c>
      <c r="I500" s="2" t="s">
        <v>4761</v>
      </c>
      <c r="J500" s="2" t="s">
        <v>444</v>
      </c>
      <c r="K500" s="2" t="s">
        <v>5221</v>
      </c>
      <c r="L500" s="2" t="s">
        <v>5221</v>
      </c>
      <c r="M500" s="2" t="s">
        <v>5221</v>
      </c>
      <c r="N500" s="2" t="s">
        <v>2317</v>
      </c>
      <c r="O500" s="14">
        <v>8900</v>
      </c>
      <c r="P500" s="14">
        <v>97.69</v>
      </c>
      <c r="Q500" s="14">
        <v>205.59</v>
      </c>
      <c r="R500" s="14">
        <v>320.72000000000003</v>
      </c>
      <c r="S500" s="2" t="s">
        <v>1151</v>
      </c>
      <c r="T500" s="2">
        <v>1.01</v>
      </c>
      <c r="U500" s="2">
        <v>60.5</v>
      </c>
      <c r="V500" s="2">
        <v>59</v>
      </c>
      <c r="W500" s="2" t="s">
        <v>7862</v>
      </c>
      <c r="X500" s="2" t="s">
        <v>5405</v>
      </c>
      <c r="Y500" s="2">
        <v>13884</v>
      </c>
      <c r="Z500" s="19" t="str">
        <f>HYPERLINK("https://ssdweb.co/ssdweb/hd/Vision360.html?d=925360155&amp;zoomslide=1&amp;z=1925360155&amp;ISCONFIRM=0","VIDEO")</f>
        <v>VIDEO</v>
      </c>
      <c r="AA500" s="19" t="str">
        <f>HYPERLINK("https://ssdweb.co/ssdweb/CERTH/1485277664.pdf","CERTI")</f>
        <v>CERTI</v>
      </c>
    </row>
    <row r="501" spans="1:27" ht="15" x14ac:dyDescent="0.25">
      <c r="A501" s="2">
        <v>496</v>
      </c>
      <c r="B501" s="39">
        <v>926071759</v>
      </c>
      <c r="C501" s="28" t="str">
        <f>HYPERLINK("https://pld.live/RapDetail.aspx?STONELIST=926071759","DNA")</f>
        <v>DNA</v>
      </c>
      <c r="D501" s="18" t="s">
        <v>711</v>
      </c>
      <c r="E501" s="18" t="s">
        <v>5128</v>
      </c>
      <c r="F501" s="2" t="s">
        <v>7987</v>
      </c>
      <c r="G501" s="2" t="s">
        <v>861</v>
      </c>
      <c r="H501" s="14">
        <v>1.56</v>
      </c>
      <c r="I501" s="2" t="s">
        <v>4699</v>
      </c>
      <c r="J501" s="2" t="s">
        <v>6555</v>
      </c>
      <c r="K501" s="2" t="s">
        <v>3390</v>
      </c>
      <c r="L501" s="2" t="s">
        <v>5221</v>
      </c>
      <c r="M501" s="2" t="s">
        <v>5221</v>
      </c>
      <c r="N501" s="2" t="s">
        <v>2317</v>
      </c>
      <c r="O501" s="14">
        <v>15300</v>
      </c>
      <c r="P501" s="14">
        <v>99.03</v>
      </c>
      <c r="Q501" s="14">
        <v>148.41</v>
      </c>
      <c r="R501" s="14">
        <v>231.52</v>
      </c>
      <c r="S501" s="2" t="s">
        <v>6316</v>
      </c>
      <c r="T501" s="2">
        <v>1</v>
      </c>
      <c r="U501" s="2">
        <v>61.3</v>
      </c>
      <c r="V501" s="2">
        <v>58</v>
      </c>
      <c r="W501" s="2" t="s">
        <v>4336</v>
      </c>
      <c r="X501" s="2" t="s">
        <v>5405</v>
      </c>
      <c r="Y501" s="2">
        <v>23868</v>
      </c>
      <c r="Z501" s="19" t="str">
        <f>HYPERLINK("https://ssdweb.co/ssdweb/hd/Vision360.html?d=926071759&amp;zoomslide=1&amp;z=1926071759&amp;ISCONFIRM=0","VIDEO")</f>
        <v>VIDEO</v>
      </c>
      <c r="AA501" s="19" t="str">
        <f>HYPERLINK("https://ssdweb.co/ssdweb/CERTH/631464318.pdf","CERTI")</f>
        <v>CERTI</v>
      </c>
    </row>
    <row r="502" spans="1:27" ht="15" x14ac:dyDescent="0.25">
      <c r="A502" s="2">
        <v>497</v>
      </c>
      <c r="B502" s="39">
        <v>925951250</v>
      </c>
      <c r="C502" s="28" t="str">
        <f>HYPERLINK("https://pld.live/RapDetail.aspx?STONELIST=925951250","DNA")</f>
        <v>DNA</v>
      </c>
      <c r="D502" s="18" t="s">
        <v>711</v>
      </c>
      <c r="E502" s="18" t="s">
        <v>5128</v>
      </c>
      <c r="F502" s="2" t="s">
        <v>5597</v>
      </c>
      <c r="G502" s="2" t="s">
        <v>861</v>
      </c>
      <c r="H502" s="14">
        <v>1.55</v>
      </c>
      <c r="I502" s="2" t="s">
        <v>267</v>
      </c>
      <c r="J502" s="2" t="s">
        <v>3942</v>
      </c>
      <c r="K502" s="2" t="s">
        <v>5221</v>
      </c>
      <c r="L502" s="2" t="s">
        <v>5221</v>
      </c>
      <c r="M502" s="2" t="s">
        <v>5221</v>
      </c>
      <c r="N502" s="2" t="s">
        <v>2317</v>
      </c>
      <c r="O502" s="14">
        <v>15400</v>
      </c>
      <c r="P502" s="14">
        <v>98.18</v>
      </c>
      <c r="Q502" s="14">
        <v>280.27999999999997</v>
      </c>
      <c r="R502" s="14">
        <v>434.43</v>
      </c>
      <c r="S502" s="2" t="s">
        <v>6547</v>
      </c>
      <c r="T502" s="2">
        <v>1.01</v>
      </c>
      <c r="U502" s="2">
        <v>61.7</v>
      </c>
      <c r="V502" s="2">
        <v>59</v>
      </c>
      <c r="W502" s="2" t="s">
        <v>7862</v>
      </c>
      <c r="X502" s="2" t="s">
        <v>5405</v>
      </c>
      <c r="Y502" s="2">
        <v>23870</v>
      </c>
      <c r="Z502" s="19" t="str">
        <f>HYPERLINK("https://ssdweb.co/ssdweb/hd/Vision360.html?d=925951250&amp;zoomslide=1&amp;z=1925951250&amp;ISCONFIRM=0","VIDEO")</f>
        <v>VIDEO</v>
      </c>
      <c r="AA502" s="19" t="str">
        <f>HYPERLINK("https://ssdweb.co/ssdweb/CERTH/3495108034.pdf","CERTI")</f>
        <v>CERTI</v>
      </c>
    </row>
    <row r="503" spans="1:27" ht="15" x14ac:dyDescent="0.25">
      <c r="A503" s="2">
        <v>498</v>
      </c>
      <c r="B503" s="39">
        <v>925270184</v>
      </c>
      <c r="C503" s="28" t="str">
        <f>HYPERLINK("https://pld.live/RapDetail.aspx?STONELIST=925270184","DNA")</f>
        <v>DNA</v>
      </c>
      <c r="D503" s="18" t="s">
        <v>711</v>
      </c>
      <c r="E503" s="18" t="s">
        <v>5128</v>
      </c>
      <c r="F503" s="2" t="s">
        <v>5597</v>
      </c>
      <c r="G503" s="2" t="s">
        <v>861</v>
      </c>
      <c r="H503" s="14">
        <v>1.55</v>
      </c>
      <c r="I503" s="2" t="s">
        <v>267</v>
      </c>
      <c r="J503" s="2" t="s">
        <v>3942</v>
      </c>
      <c r="K503" s="2" t="s">
        <v>5221</v>
      </c>
      <c r="L503" s="2" t="s">
        <v>5221</v>
      </c>
      <c r="M503" s="2" t="s">
        <v>5221</v>
      </c>
      <c r="N503" s="2" t="s">
        <v>2317</v>
      </c>
      <c r="O503" s="14">
        <v>15400</v>
      </c>
      <c r="P503" s="14">
        <v>98.19</v>
      </c>
      <c r="Q503" s="14">
        <v>278.74</v>
      </c>
      <c r="R503" s="14">
        <v>432.05</v>
      </c>
      <c r="S503" s="2" t="s">
        <v>4604</v>
      </c>
      <c r="T503" s="2">
        <v>1.01</v>
      </c>
      <c r="U503" s="2">
        <v>59.6</v>
      </c>
      <c r="V503" s="2">
        <v>58</v>
      </c>
      <c r="W503" s="2" t="s">
        <v>7862</v>
      </c>
      <c r="X503" s="2" t="s">
        <v>5405</v>
      </c>
      <c r="Y503" s="2">
        <v>23870</v>
      </c>
      <c r="Z503" s="19" t="str">
        <f>HYPERLINK("https://ssdweb.co/ssdweb/hd/Vision360.html?d=925270184&amp;zoomslide=1&amp;z=1925270184&amp;ISCONFIRM=0","VIDEO")</f>
        <v>VIDEO</v>
      </c>
      <c r="AA503" s="19" t="str">
        <f>HYPERLINK("https://ssdweb.co/ssdweb/CERTH/2486198827.pdf","CERTI")</f>
        <v>CERTI</v>
      </c>
    </row>
    <row r="504" spans="1:27" ht="15" x14ac:dyDescent="0.25">
      <c r="A504" s="2">
        <v>499</v>
      </c>
      <c r="B504" s="39">
        <v>925961352</v>
      </c>
      <c r="C504" s="28" t="str">
        <f>HYPERLINK("https://pld.live/RapDetail.aspx?STONELIST=925961352","DNA")</f>
        <v>DNA</v>
      </c>
      <c r="D504" s="18" t="s">
        <v>711</v>
      </c>
      <c r="E504" s="18" t="s">
        <v>5128</v>
      </c>
      <c r="F504" s="2" t="s">
        <v>5597</v>
      </c>
      <c r="G504" s="2" t="s">
        <v>861</v>
      </c>
      <c r="H504" s="14">
        <v>1.55</v>
      </c>
      <c r="I504" s="2" t="s">
        <v>267</v>
      </c>
      <c r="J504" s="2" t="s">
        <v>3942</v>
      </c>
      <c r="K504" s="2" t="s">
        <v>5221</v>
      </c>
      <c r="L504" s="2" t="s">
        <v>5221</v>
      </c>
      <c r="M504" s="2" t="s">
        <v>5221</v>
      </c>
      <c r="N504" s="2" t="s">
        <v>2317</v>
      </c>
      <c r="O504" s="14">
        <v>15400</v>
      </c>
      <c r="P504" s="14">
        <v>98.18</v>
      </c>
      <c r="Q504" s="14">
        <v>280.27999999999997</v>
      </c>
      <c r="R504" s="14">
        <v>434.43</v>
      </c>
      <c r="S504" s="2" t="s">
        <v>321</v>
      </c>
      <c r="T504" s="2">
        <v>1.01</v>
      </c>
      <c r="U504" s="2">
        <v>60.6</v>
      </c>
      <c r="V504" s="2">
        <v>59</v>
      </c>
      <c r="W504" s="2" t="s">
        <v>7862</v>
      </c>
      <c r="X504" s="2" t="s">
        <v>5405</v>
      </c>
      <c r="Y504" s="2">
        <v>23870</v>
      </c>
      <c r="Z504" s="19" t="str">
        <f>HYPERLINK("https://ssdweb.co/ssdweb/hd/Vision360.html?d=925961352&amp;zoomslide=1&amp;z=1925961352&amp;ISCONFIRM=0","VIDEO")</f>
        <v>VIDEO</v>
      </c>
      <c r="AA504" s="19" t="str">
        <f>HYPERLINK("https://ssdweb.co/ssdweb/CERTH/1495138437.pdf","CERTI")</f>
        <v>CERTI</v>
      </c>
    </row>
    <row r="505" spans="1:27" ht="15" x14ac:dyDescent="0.25">
      <c r="A505" s="2">
        <v>500</v>
      </c>
      <c r="B505" s="39">
        <v>926020657</v>
      </c>
      <c r="C505" s="28" t="str">
        <f>HYPERLINK("https://pld.live/RapDetail.aspx?STONELIST=926020657","DNA")</f>
        <v>DNA</v>
      </c>
      <c r="D505" s="18" t="s">
        <v>711</v>
      </c>
      <c r="E505" s="18" t="s">
        <v>5128</v>
      </c>
      <c r="F505" s="2" t="s">
        <v>5597</v>
      </c>
      <c r="G505" s="2" t="s">
        <v>861</v>
      </c>
      <c r="H505" s="14">
        <v>1.55</v>
      </c>
      <c r="I505" s="2" t="s">
        <v>267</v>
      </c>
      <c r="J505" s="2" t="s">
        <v>3942</v>
      </c>
      <c r="K505" s="2" t="s">
        <v>5221</v>
      </c>
      <c r="L505" s="2" t="s">
        <v>5221</v>
      </c>
      <c r="M505" s="2" t="s">
        <v>5221</v>
      </c>
      <c r="N505" s="2" t="s">
        <v>2317</v>
      </c>
      <c r="O505" s="14">
        <v>15400</v>
      </c>
      <c r="P505" s="14">
        <v>98.18</v>
      </c>
      <c r="Q505" s="14">
        <v>280.27999999999997</v>
      </c>
      <c r="R505" s="14">
        <v>434.43</v>
      </c>
      <c r="S505" s="2" t="s">
        <v>6335</v>
      </c>
      <c r="T505" s="2">
        <v>1</v>
      </c>
      <c r="U505" s="2">
        <v>60.7</v>
      </c>
      <c r="V505" s="2">
        <v>59</v>
      </c>
      <c r="W505" s="2" t="s">
        <v>7862</v>
      </c>
      <c r="X505" s="2" t="s">
        <v>5405</v>
      </c>
      <c r="Y505" s="2">
        <v>23870</v>
      </c>
      <c r="Z505" s="19" t="str">
        <f>HYPERLINK("https://ssdweb.co/ssdweb/hd/Vision360.html?d=926020657&amp;zoomslide=1&amp;z=1926020657&amp;ISCONFIRM=0","VIDEO")</f>
        <v>VIDEO</v>
      </c>
      <c r="AA505" s="19" t="str">
        <f>HYPERLINK("https://ssdweb.co/ssdweb/CERTH/1495138688.pdf","CERTI")</f>
        <v>CERTI</v>
      </c>
    </row>
    <row r="506" spans="1:27" ht="15" x14ac:dyDescent="0.25">
      <c r="A506" s="2">
        <v>501</v>
      </c>
      <c r="B506" s="39">
        <v>925920903</v>
      </c>
      <c r="C506" s="28" t="str">
        <f>HYPERLINK("https://pld.live/RapDetail.aspx?STONELIST=925920903","DNA")</f>
        <v>DNA</v>
      </c>
      <c r="D506" s="18" t="s">
        <v>711</v>
      </c>
      <c r="E506" s="18" t="s">
        <v>5128</v>
      </c>
      <c r="F506" s="2" t="s">
        <v>7987</v>
      </c>
      <c r="G506" s="2" t="s">
        <v>861</v>
      </c>
      <c r="H506" s="14">
        <v>1.55</v>
      </c>
      <c r="I506" s="2" t="s">
        <v>267</v>
      </c>
      <c r="J506" s="2" t="s">
        <v>13</v>
      </c>
      <c r="K506" s="2" t="s">
        <v>5221</v>
      </c>
      <c r="L506" s="2" t="s">
        <v>5221</v>
      </c>
      <c r="M506" s="2" t="s">
        <v>5221</v>
      </c>
      <c r="N506" s="2" t="s">
        <v>2317</v>
      </c>
      <c r="O506" s="14">
        <v>13400</v>
      </c>
      <c r="P506" s="14">
        <v>98.93</v>
      </c>
      <c r="Q506" s="14">
        <v>143.38</v>
      </c>
      <c r="R506" s="14">
        <v>222.24</v>
      </c>
      <c r="S506" s="2" t="s">
        <v>3995</v>
      </c>
      <c r="T506" s="2">
        <v>1.01</v>
      </c>
      <c r="U506" s="2">
        <v>62.2</v>
      </c>
      <c r="V506" s="2">
        <v>57</v>
      </c>
      <c r="W506" s="2" t="s">
        <v>7862</v>
      </c>
      <c r="X506" s="2" t="s">
        <v>5405</v>
      </c>
      <c r="Y506" s="2">
        <v>20770</v>
      </c>
      <c r="Z506" s="19" t="str">
        <f>HYPERLINK("https://ssdweb.co/ssdweb/hd/Vision360.html?d=925920903&amp;zoomslide=1&amp;z=1925920903&amp;ISCONFIRM=0","VIDEO")</f>
        <v>VIDEO</v>
      </c>
      <c r="AA506" s="19" t="str">
        <f>HYPERLINK("https://ssdweb.co/ssdweb/CERTH/628463016.pdf","CERTI")</f>
        <v>CERTI</v>
      </c>
    </row>
    <row r="507" spans="1:27" ht="15" x14ac:dyDescent="0.25">
      <c r="A507" s="2">
        <v>502</v>
      </c>
      <c r="B507" s="39">
        <v>925861272</v>
      </c>
      <c r="C507" s="28" t="str">
        <f>HYPERLINK("https://pld.live/RapDetail.aspx?STONELIST=925861272","DNA")</f>
        <v>DNA</v>
      </c>
      <c r="D507" s="18" t="s">
        <v>711</v>
      </c>
      <c r="E507" s="18" t="s">
        <v>5128</v>
      </c>
      <c r="F507" s="2" t="s">
        <v>7987</v>
      </c>
      <c r="G507" s="2" t="s">
        <v>861</v>
      </c>
      <c r="H507" s="14">
        <v>1.55</v>
      </c>
      <c r="I507" s="2" t="s">
        <v>267</v>
      </c>
      <c r="J507" s="2" t="s">
        <v>5144</v>
      </c>
      <c r="K507" s="2" t="s">
        <v>3390</v>
      </c>
      <c r="L507" s="2" t="s">
        <v>5221</v>
      </c>
      <c r="M507" s="2" t="s">
        <v>5221</v>
      </c>
      <c r="N507" s="2" t="s">
        <v>2317</v>
      </c>
      <c r="O507" s="14">
        <v>12000</v>
      </c>
      <c r="P507" s="14">
        <v>98.93</v>
      </c>
      <c r="Q507" s="14">
        <v>128.4</v>
      </c>
      <c r="R507" s="14">
        <v>199.02</v>
      </c>
      <c r="S507" s="2" t="s">
        <v>977</v>
      </c>
      <c r="T507" s="2">
        <v>1.01</v>
      </c>
      <c r="U507" s="2">
        <v>61.9</v>
      </c>
      <c r="V507" s="2">
        <v>58</v>
      </c>
      <c r="W507" s="2" t="s">
        <v>7862</v>
      </c>
      <c r="X507" s="2" t="s">
        <v>5405</v>
      </c>
      <c r="Y507" s="2">
        <v>18600</v>
      </c>
      <c r="Z507" s="19" t="str">
        <f>HYPERLINK("https://ssdweb.co/ssdweb/hd/Vision360.html?d=925861272&amp;zoomslide=1&amp;z=1925861272&amp;ISCONFIRM=0","VIDEO")</f>
        <v>VIDEO</v>
      </c>
      <c r="AA507" s="19" t="str">
        <f>HYPERLINK("https://ssdweb.co/ssdweb/CERTH/627471655.pdf","CERTI")</f>
        <v>CERTI</v>
      </c>
    </row>
    <row r="508" spans="1:27" ht="15" x14ac:dyDescent="0.25">
      <c r="A508" s="2">
        <v>503</v>
      </c>
      <c r="B508" s="39">
        <v>925770493</v>
      </c>
      <c r="C508" s="28" t="str">
        <f>HYPERLINK("https://pld.live/RapDetail.aspx?STONELIST=925770493","DNA")</f>
        <v>DNA</v>
      </c>
      <c r="D508" s="18" t="s">
        <v>711</v>
      </c>
      <c r="E508" s="18" t="s">
        <v>5128</v>
      </c>
      <c r="F508" s="2" t="s">
        <v>7987</v>
      </c>
      <c r="G508" s="2" t="s">
        <v>861</v>
      </c>
      <c r="H508" s="14">
        <v>1.55</v>
      </c>
      <c r="I508" s="2" t="s">
        <v>267</v>
      </c>
      <c r="J508" s="2" t="s">
        <v>5144</v>
      </c>
      <c r="K508" s="2" t="s">
        <v>3390</v>
      </c>
      <c r="L508" s="2" t="s">
        <v>5221</v>
      </c>
      <c r="M508" s="2" t="s">
        <v>5221</v>
      </c>
      <c r="N508" s="2" t="s">
        <v>2317</v>
      </c>
      <c r="O508" s="14">
        <v>12000</v>
      </c>
      <c r="P508" s="14">
        <v>98.93</v>
      </c>
      <c r="Q508" s="14">
        <v>128.4</v>
      </c>
      <c r="R508" s="14">
        <v>199.02</v>
      </c>
      <c r="S508" s="2" t="s">
        <v>850</v>
      </c>
      <c r="T508" s="2">
        <v>1.01</v>
      </c>
      <c r="U508" s="2">
        <v>61.1</v>
      </c>
      <c r="V508" s="2">
        <v>60</v>
      </c>
      <c r="W508" s="2" t="s">
        <v>7862</v>
      </c>
      <c r="X508" s="2" t="s">
        <v>5405</v>
      </c>
      <c r="Y508" s="2">
        <v>18600</v>
      </c>
      <c r="Z508" s="19" t="str">
        <f>HYPERLINK("https://ssdweb.co/ssdweb/hd/Vision360.html?d=925770493&amp;zoomslide=1&amp;z=1925770493&amp;ISCONFIRM=0","VIDEO")</f>
        <v>VIDEO</v>
      </c>
      <c r="AA508" s="19" t="str">
        <f>HYPERLINK("https://ssdweb.co/ssdweb/CERTH/624420587.pdf","CERTI")</f>
        <v>CERTI</v>
      </c>
    </row>
    <row r="509" spans="1:27" ht="15" x14ac:dyDescent="0.25">
      <c r="A509" s="2">
        <v>504</v>
      </c>
      <c r="B509" s="39">
        <v>925971230</v>
      </c>
      <c r="C509" s="28" t="str">
        <f>HYPERLINK("https://pld.live/RapDetail.aspx?STONELIST=925971230","DNA")</f>
        <v>DNA</v>
      </c>
      <c r="D509" s="18" t="s">
        <v>711</v>
      </c>
      <c r="E509" s="18" t="s">
        <v>5128</v>
      </c>
      <c r="F509" s="2" t="s">
        <v>7987</v>
      </c>
      <c r="G509" s="2" t="s">
        <v>861</v>
      </c>
      <c r="H509" s="14">
        <v>1.55</v>
      </c>
      <c r="I509" s="2" t="s">
        <v>267</v>
      </c>
      <c r="J509" s="2" t="s">
        <v>5144</v>
      </c>
      <c r="K509" s="2" t="s">
        <v>3390</v>
      </c>
      <c r="L509" s="2" t="s">
        <v>5221</v>
      </c>
      <c r="M509" s="2" t="s">
        <v>5221</v>
      </c>
      <c r="N509" s="2" t="s">
        <v>2317</v>
      </c>
      <c r="O509" s="14">
        <v>12000</v>
      </c>
      <c r="P509" s="14">
        <v>98.91</v>
      </c>
      <c r="Q509" s="14">
        <v>130.80000000000001</v>
      </c>
      <c r="R509" s="14">
        <v>202.74</v>
      </c>
      <c r="S509" s="2" t="s">
        <v>3908</v>
      </c>
      <c r="T509" s="2">
        <v>1.01</v>
      </c>
      <c r="U509" s="2">
        <v>61.3</v>
      </c>
      <c r="V509" s="2">
        <v>59</v>
      </c>
      <c r="W509" s="2" t="s">
        <v>7862</v>
      </c>
      <c r="X509" s="2" t="s">
        <v>5405</v>
      </c>
      <c r="Y509" s="2">
        <v>18600</v>
      </c>
      <c r="Z509" s="19" t="str">
        <f>HYPERLINK("https://ssdweb.co/ssdweb/hd/Vision360.html?d=925971230&amp;zoomslide=1&amp;z=1925971230&amp;ISCONFIRM=0","VIDEO")</f>
        <v>VIDEO</v>
      </c>
      <c r="AA509" s="19" t="str">
        <f>HYPERLINK("https://ssdweb.co/ssdweb/CERTH/631464338.pdf","CERTI")</f>
        <v>CERTI</v>
      </c>
    </row>
    <row r="510" spans="1:27" ht="15" x14ac:dyDescent="0.25">
      <c r="A510" s="2">
        <v>505</v>
      </c>
      <c r="B510" s="39">
        <v>925230041</v>
      </c>
      <c r="C510" s="28" t="str">
        <f>HYPERLINK("https://pld.live/RapDetail.aspx?STONELIST=925230041","DNA")</f>
        <v>DNA</v>
      </c>
      <c r="D510" s="18" t="s">
        <v>711</v>
      </c>
      <c r="E510" s="18" t="s">
        <v>5128</v>
      </c>
      <c r="F510" s="2" t="s">
        <v>5597</v>
      </c>
      <c r="G510" s="2" t="s">
        <v>861</v>
      </c>
      <c r="H510" s="14">
        <v>1.55</v>
      </c>
      <c r="I510" s="2" t="s">
        <v>267</v>
      </c>
      <c r="J510" s="2" t="s">
        <v>5144</v>
      </c>
      <c r="K510" s="2" t="s">
        <v>5221</v>
      </c>
      <c r="L510" s="2" t="s">
        <v>5221</v>
      </c>
      <c r="M510" s="2" t="s">
        <v>5221</v>
      </c>
      <c r="N510" s="2" t="s">
        <v>2317</v>
      </c>
      <c r="O510" s="14">
        <v>12000</v>
      </c>
      <c r="P510" s="14">
        <v>98.04</v>
      </c>
      <c r="Q510" s="14">
        <v>235.2</v>
      </c>
      <c r="R510" s="14">
        <v>364.56</v>
      </c>
      <c r="S510" s="2" t="s">
        <v>3568</v>
      </c>
      <c r="T510" s="2">
        <v>1</v>
      </c>
      <c r="U510" s="2">
        <v>60.8</v>
      </c>
      <c r="V510" s="2">
        <v>59</v>
      </c>
      <c r="W510" s="2" t="s">
        <v>7862</v>
      </c>
      <c r="X510" s="2" t="s">
        <v>5405</v>
      </c>
      <c r="Y510" s="2">
        <v>18600</v>
      </c>
      <c r="Z510" s="19" t="str">
        <f>HYPERLINK("https://ssdweb.co/ssdweb/hd/Vision360.html?d=925230041&amp;zoomslide=1&amp;z=1925230041&amp;ISCONFIRM=0","VIDEO")</f>
        <v>VIDEO</v>
      </c>
      <c r="AA510" s="19" t="str">
        <f>HYPERLINK("https://ssdweb.co/ssdweb/CERTH/6482198855.pdf","CERTI")</f>
        <v>CERTI</v>
      </c>
    </row>
    <row r="511" spans="1:27" ht="15" x14ac:dyDescent="0.25">
      <c r="A511" s="2">
        <v>506</v>
      </c>
      <c r="B511" s="39">
        <v>925621749</v>
      </c>
      <c r="C511" s="28" t="str">
        <f>HYPERLINK("https://pld.live/RapDetail.aspx?STONELIST=925621749","DNA")</f>
        <v>DNA</v>
      </c>
      <c r="D511" s="18" t="s">
        <v>711</v>
      </c>
      <c r="E511" s="18" t="s">
        <v>5128</v>
      </c>
      <c r="F511" s="2" t="s">
        <v>5597</v>
      </c>
      <c r="G511" s="2" t="s">
        <v>861</v>
      </c>
      <c r="H511" s="14">
        <v>1.55</v>
      </c>
      <c r="I511" s="2" t="s">
        <v>267</v>
      </c>
      <c r="J511" s="2" t="s">
        <v>5144</v>
      </c>
      <c r="K511" s="2" t="s">
        <v>5221</v>
      </c>
      <c r="L511" s="2" t="s">
        <v>5221</v>
      </c>
      <c r="M511" s="2" t="s">
        <v>5221</v>
      </c>
      <c r="N511" s="2" t="s">
        <v>2317</v>
      </c>
      <c r="O511" s="14">
        <v>12000</v>
      </c>
      <c r="P511" s="14">
        <v>98.04</v>
      </c>
      <c r="Q511" s="14">
        <v>235.2</v>
      </c>
      <c r="R511" s="14">
        <v>364.56</v>
      </c>
      <c r="S511" s="2" t="s">
        <v>698</v>
      </c>
      <c r="T511" s="2">
        <v>1.01</v>
      </c>
      <c r="U511" s="2">
        <v>61.2</v>
      </c>
      <c r="V511" s="2">
        <v>57</v>
      </c>
      <c r="W511" s="2" t="s">
        <v>7862</v>
      </c>
      <c r="X511" s="2" t="s">
        <v>5405</v>
      </c>
      <c r="Y511" s="2">
        <v>18600</v>
      </c>
      <c r="Z511" s="19" t="str">
        <f>HYPERLINK("https://ssdweb.co/ssdweb/hd/Vision360.html?d=925621749&amp;zoomslide=1&amp;z=1925621749&amp;ISCONFIRM=0","VIDEO")</f>
        <v>VIDEO</v>
      </c>
      <c r="AA511" s="19" t="str">
        <f>HYPERLINK("https://ssdweb.co/ssdweb/CERTH/2484692235.pdf","CERTI")</f>
        <v>CERTI</v>
      </c>
    </row>
    <row r="512" spans="1:27" ht="15" x14ac:dyDescent="0.25">
      <c r="A512" s="2">
        <v>507</v>
      </c>
      <c r="B512" s="39">
        <v>926020652</v>
      </c>
      <c r="C512" s="28" t="str">
        <f>HYPERLINK("https://pld.live/RapDetail.aspx?STONELIST=926020652","DNA")</f>
        <v>DNA</v>
      </c>
      <c r="D512" s="18" t="s">
        <v>711</v>
      </c>
      <c r="E512" s="18" t="s">
        <v>5128</v>
      </c>
      <c r="F512" s="2" t="s">
        <v>7987</v>
      </c>
      <c r="G512" s="2" t="s">
        <v>861</v>
      </c>
      <c r="H512" s="14">
        <v>1.55</v>
      </c>
      <c r="I512" s="2" t="s">
        <v>267</v>
      </c>
      <c r="J512" s="2" t="s">
        <v>444</v>
      </c>
      <c r="K512" s="2" t="s">
        <v>3390</v>
      </c>
      <c r="L512" s="2" t="s">
        <v>5221</v>
      </c>
      <c r="M512" s="2" t="s">
        <v>5221</v>
      </c>
      <c r="N512" s="2" t="s">
        <v>2317</v>
      </c>
      <c r="O512" s="14">
        <v>9600</v>
      </c>
      <c r="P512" s="14">
        <v>98.7</v>
      </c>
      <c r="Q512" s="14">
        <v>124.8</v>
      </c>
      <c r="R512" s="14">
        <v>193.44</v>
      </c>
      <c r="S512" s="2" t="s">
        <v>2552</v>
      </c>
      <c r="T512" s="2">
        <v>1.01</v>
      </c>
      <c r="U512" s="2">
        <v>60</v>
      </c>
      <c r="V512" s="2">
        <v>59</v>
      </c>
      <c r="W512" s="2" t="s">
        <v>7862</v>
      </c>
      <c r="X512" s="2" t="s">
        <v>5405</v>
      </c>
      <c r="Y512" s="2">
        <v>14880</v>
      </c>
      <c r="Z512" s="19" t="str">
        <f>HYPERLINK("https://ssdweb.co/ssdweb/hd/Vision360.html?d=926020652&amp;zoomslide=1&amp;z=1926020652&amp;ISCONFIRM=0","VIDEO")</f>
        <v>VIDEO</v>
      </c>
      <c r="AA512" s="19" t="str">
        <f>HYPERLINK("https://ssdweb.co/ssdweb/CERTH/631464233.pdf","CERTI")</f>
        <v>CERTI</v>
      </c>
    </row>
    <row r="513" spans="1:27" ht="15" x14ac:dyDescent="0.25">
      <c r="A513" s="2">
        <v>508</v>
      </c>
      <c r="B513" s="39">
        <v>831010610</v>
      </c>
      <c r="C513" s="28" t="str">
        <f>HYPERLINK("https://pld.live/RapDetail.aspx?STONELIST=831010610","DNA")</f>
        <v>DNA</v>
      </c>
      <c r="D513" s="18" t="s">
        <v>711</v>
      </c>
      <c r="E513" s="18" t="s">
        <v>5128</v>
      </c>
      <c r="F513" s="2" t="s">
        <v>5597</v>
      </c>
      <c r="G513" s="2" t="s">
        <v>861</v>
      </c>
      <c r="H513" s="14">
        <v>1.55</v>
      </c>
      <c r="I513" s="2" t="s">
        <v>267</v>
      </c>
      <c r="J513" s="2" t="s">
        <v>444</v>
      </c>
      <c r="K513" s="2" t="s">
        <v>5221</v>
      </c>
      <c r="L513" s="2" t="s">
        <v>5221</v>
      </c>
      <c r="M513" s="2" t="s">
        <v>5221</v>
      </c>
      <c r="N513" s="2" t="s">
        <v>2317</v>
      </c>
      <c r="O513" s="14">
        <v>9600</v>
      </c>
      <c r="P513" s="14">
        <v>97.84</v>
      </c>
      <c r="Q513" s="14">
        <v>207.36</v>
      </c>
      <c r="R513" s="14">
        <v>321.41000000000003</v>
      </c>
      <c r="S513" s="2" t="s">
        <v>1556</v>
      </c>
      <c r="T513" s="2">
        <v>1.01</v>
      </c>
      <c r="U513" s="2">
        <v>62.5</v>
      </c>
      <c r="V513" s="2">
        <v>57</v>
      </c>
      <c r="W513" s="2" t="s">
        <v>7862</v>
      </c>
      <c r="X513" s="2" t="s">
        <v>5405</v>
      </c>
      <c r="Y513" s="2">
        <v>14880</v>
      </c>
      <c r="Z513" s="19" t="str">
        <f>HYPERLINK("https://ssdweb.co/ssdweb/hd/Vision360.html?d=831010610&amp;zoomslide=1&amp;z=1831010610&amp;ISCONFIRM=0","VIDEO")</f>
        <v>VIDEO</v>
      </c>
      <c r="AA513" s="19" t="str">
        <f>HYPERLINK("https://ssdweb.co/ssdweb/CERTH/2474519311.pdf","CERTI")</f>
        <v>CERTI</v>
      </c>
    </row>
    <row r="514" spans="1:27" ht="15" x14ac:dyDescent="0.25">
      <c r="A514" s="2">
        <v>509</v>
      </c>
      <c r="B514" s="39">
        <v>926171629</v>
      </c>
      <c r="C514" s="28" t="str">
        <f>HYPERLINK("https://pld.live/RapDetail.aspx?STONELIST=926171629","DNA")</f>
        <v>DNA</v>
      </c>
      <c r="D514" s="18" t="s">
        <v>711</v>
      </c>
      <c r="E514" s="18" t="s">
        <v>5128</v>
      </c>
      <c r="F514" s="2" t="s">
        <v>7987</v>
      </c>
      <c r="G514" s="2" t="s">
        <v>861</v>
      </c>
      <c r="H514" s="14">
        <v>1.55</v>
      </c>
      <c r="I514" s="2" t="s">
        <v>4761</v>
      </c>
      <c r="J514" s="2" t="s">
        <v>6555</v>
      </c>
      <c r="K514" s="2" t="s">
        <v>3390</v>
      </c>
      <c r="L514" s="2" t="s">
        <v>5221</v>
      </c>
      <c r="M514" s="2" t="s">
        <v>5221</v>
      </c>
      <c r="N514" s="2" t="s">
        <v>2317</v>
      </c>
      <c r="O514" s="14">
        <v>17300</v>
      </c>
      <c r="P514" s="14">
        <v>99.12</v>
      </c>
      <c r="Q514" s="14">
        <v>152.24</v>
      </c>
      <c r="R514" s="14">
        <v>235.97</v>
      </c>
      <c r="S514" s="2" t="s">
        <v>423</v>
      </c>
      <c r="T514" s="2">
        <v>1.01</v>
      </c>
      <c r="U514" s="2">
        <v>62.1</v>
      </c>
      <c r="V514" s="2">
        <v>57</v>
      </c>
      <c r="W514" s="2" t="s">
        <v>4336</v>
      </c>
      <c r="X514" s="2" t="s">
        <v>5405</v>
      </c>
      <c r="Y514" s="2">
        <v>26815</v>
      </c>
      <c r="Z514" s="19" t="str">
        <f>HYPERLINK("https://ssdweb.co/ssdweb/hd/Vision360.html?d=926171629&amp;zoomslide=1&amp;z=1926171629&amp;ISCONFIRM=0","VIDEO")</f>
        <v>VIDEO</v>
      </c>
      <c r="AA514" s="19" t="str">
        <f>HYPERLINK("https://ssdweb.co/ssdweb/CERTH/637467747.pdf","CERTI")</f>
        <v>CERTI</v>
      </c>
    </row>
    <row r="515" spans="1:27" ht="15" x14ac:dyDescent="0.25">
      <c r="A515" s="2">
        <v>510</v>
      </c>
      <c r="B515" s="39">
        <v>925190060</v>
      </c>
      <c r="C515" s="28" t="str">
        <f>HYPERLINK("https://pld.live/RapDetail.aspx?STONELIST=925190060","DNA")</f>
        <v>DNA</v>
      </c>
      <c r="D515" s="18" t="s">
        <v>711</v>
      </c>
      <c r="E515" s="18" t="s">
        <v>5128</v>
      </c>
      <c r="F515" s="2" t="s">
        <v>5597</v>
      </c>
      <c r="G515" s="2" t="s">
        <v>861</v>
      </c>
      <c r="H515" s="14">
        <v>1.55</v>
      </c>
      <c r="I515" s="2" t="s">
        <v>4761</v>
      </c>
      <c r="J515" s="2" t="s">
        <v>13</v>
      </c>
      <c r="K515" s="2" t="s">
        <v>5221</v>
      </c>
      <c r="L515" s="2" t="s">
        <v>5221</v>
      </c>
      <c r="M515" s="2" t="s">
        <v>5221</v>
      </c>
      <c r="N515" s="2" t="s">
        <v>2317</v>
      </c>
      <c r="O515" s="14">
        <v>12200</v>
      </c>
      <c r="P515" s="14">
        <v>97.98</v>
      </c>
      <c r="Q515" s="14">
        <v>246.44</v>
      </c>
      <c r="R515" s="14">
        <v>381.98</v>
      </c>
      <c r="S515" s="2" t="s">
        <v>7554</v>
      </c>
      <c r="T515" s="2">
        <v>1.01</v>
      </c>
      <c r="U515" s="2">
        <v>62.1</v>
      </c>
      <c r="V515" s="2">
        <v>59</v>
      </c>
      <c r="W515" s="2" t="s">
        <v>7862</v>
      </c>
      <c r="X515" s="2" t="s">
        <v>5405</v>
      </c>
      <c r="Y515" s="2">
        <v>18910</v>
      </c>
      <c r="Z515" s="19" t="str">
        <f>HYPERLINK("https://ssdweb.co/ssdweb/hd/Vision360.html?d=925190060&amp;zoomslide=1&amp;z=1925190060&amp;ISCONFIRM=0","VIDEO")</f>
        <v>VIDEO</v>
      </c>
      <c r="AA515" s="19" t="str">
        <f>HYPERLINK("https://ssdweb.co/ssdweb/CERTH/7483175518.pdf","CERTI")</f>
        <v>CERTI</v>
      </c>
    </row>
    <row r="516" spans="1:27" ht="15" x14ac:dyDescent="0.25">
      <c r="A516" s="2">
        <v>511</v>
      </c>
      <c r="B516" s="39">
        <v>925890582</v>
      </c>
      <c r="C516" s="28" t="str">
        <f>HYPERLINK("https://pld.live/RapDetail.aspx?STONELIST=925890582","DNA")</f>
        <v>DNA</v>
      </c>
      <c r="D516" s="18" t="s">
        <v>711</v>
      </c>
      <c r="E516" s="18" t="s">
        <v>5128</v>
      </c>
      <c r="F516" s="2" t="s">
        <v>5597</v>
      </c>
      <c r="G516" s="2" t="s">
        <v>861</v>
      </c>
      <c r="H516" s="14">
        <v>1.55</v>
      </c>
      <c r="I516" s="2" t="s">
        <v>4761</v>
      </c>
      <c r="J516" s="2" t="s">
        <v>5144</v>
      </c>
      <c r="K516" s="2" t="s">
        <v>5221</v>
      </c>
      <c r="L516" s="2" t="s">
        <v>5221</v>
      </c>
      <c r="M516" s="2" t="s">
        <v>5221</v>
      </c>
      <c r="N516" s="2" t="s">
        <v>2317</v>
      </c>
      <c r="O516" s="14">
        <v>11000</v>
      </c>
      <c r="P516" s="14">
        <v>97.95</v>
      </c>
      <c r="Q516" s="14">
        <v>225.5</v>
      </c>
      <c r="R516" s="14">
        <v>349.53</v>
      </c>
      <c r="S516" s="2" t="s">
        <v>4583</v>
      </c>
      <c r="T516" s="2">
        <v>1</v>
      </c>
      <c r="U516" s="2">
        <v>62.3</v>
      </c>
      <c r="V516" s="2">
        <v>56</v>
      </c>
      <c r="W516" s="2" t="s">
        <v>7862</v>
      </c>
      <c r="X516" s="2" t="s">
        <v>5405</v>
      </c>
      <c r="Y516" s="2">
        <v>17050</v>
      </c>
      <c r="Z516" s="19" t="str">
        <f>HYPERLINK("https://ssdweb.co/ssdweb/hd/Vision360.html?d=925890582&amp;zoomslide=1&amp;z=1925890582&amp;ISCONFIRM=0","VIDEO")</f>
        <v>VIDEO</v>
      </c>
      <c r="AA516" s="19" t="str">
        <f>HYPERLINK("https://ssdweb.co/ssdweb/CERTH/2494058172.pdf","CERTI")</f>
        <v>CERTI</v>
      </c>
    </row>
    <row r="517" spans="1:27" ht="15" x14ac:dyDescent="0.25">
      <c r="A517" s="2">
        <v>512</v>
      </c>
      <c r="B517" s="39">
        <v>925951187</v>
      </c>
      <c r="C517" s="28" t="str">
        <f>HYPERLINK("https://pld.live/RapDetail.aspx?STONELIST=925951187","DNA")</f>
        <v>DNA</v>
      </c>
      <c r="D517" s="18" t="s">
        <v>711</v>
      </c>
      <c r="E517" s="18" t="s">
        <v>5128</v>
      </c>
      <c r="F517" s="2" t="s">
        <v>7987</v>
      </c>
      <c r="G517" s="2" t="s">
        <v>861</v>
      </c>
      <c r="H517" s="14">
        <v>1.55</v>
      </c>
      <c r="I517" s="2" t="s">
        <v>4699</v>
      </c>
      <c r="J517" s="2" t="s">
        <v>444</v>
      </c>
      <c r="K517" s="2" t="s">
        <v>3390</v>
      </c>
      <c r="L517" s="2" t="s">
        <v>5221</v>
      </c>
      <c r="M517" s="2" t="s">
        <v>5221</v>
      </c>
      <c r="N517" s="2" t="s">
        <v>2317</v>
      </c>
      <c r="O517" s="14">
        <v>8400</v>
      </c>
      <c r="P517" s="14">
        <v>98.64</v>
      </c>
      <c r="Q517" s="14">
        <v>114.24</v>
      </c>
      <c r="R517" s="14">
        <v>177.07</v>
      </c>
      <c r="S517" s="2" t="s">
        <v>4412</v>
      </c>
      <c r="T517" s="2">
        <v>1.01</v>
      </c>
      <c r="U517" s="2">
        <v>61.8</v>
      </c>
      <c r="V517" s="2">
        <v>58</v>
      </c>
      <c r="W517" s="2" t="s">
        <v>7862</v>
      </c>
      <c r="X517" s="2" t="s">
        <v>5405</v>
      </c>
      <c r="Y517" s="2">
        <v>13020</v>
      </c>
      <c r="Z517" s="19" t="str">
        <f>HYPERLINK("https://ssdweb.co/ssdweb/hd/Vision360.html?d=925951187&amp;zoomslide=1&amp;z=1925951187&amp;ISCONFIRM=0","VIDEO")</f>
        <v>VIDEO</v>
      </c>
      <c r="AA517" s="19" t="str">
        <f>HYPERLINK("https://ssdweb.co/ssdweb/CERTH/631464219.pdf","CERTI")</f>
        <v>CERTI</v>
      </c>
    </row>
    <row r="518" spans="1:27" ht="15" x14ac:dyDescent="0.25">
      <c r="A518" s="2">
        <v>513</v>
      </c>
      <c r="B518" s="39">
        <v>926071923</v>
      </c>
      <c r="C518" s="28" t="str">
        <f>HYPERLINK("https://pld.live/RapDetail.aspx?STONELIST=926071923","DNA")</f>
        <v>DNA</v>
      </c>
      <c r="D518" s="18" t="s">
        <v>711</v>
      </c>
      <c r="E518" s="18" t="s">
        <v>5128</v>
      </c>
      <c r="F518" s="2" t="s">
        <v>7987</v>
      </c>
      <c r="G518" s="2" t="s">
        <v>861</v>
      </c>
      <c r="H518" s="14">
        <v>1.55</v>
      </c>
      <c r="I518" s="2" t="s">
        <v>4699</v>
      </c>
      <c r="J518" s="2" t="s">
        <v>444</v>
      </c>
      <c r="K518" s="2" t="s">
        <v>3390</v>
      </c>
      <c r="L518" s="2" t="s">
        <v>5221</v>
      </c>
      <c r="M518" s="2" t="s">
        <v>5221</v>
      </c>
      <c r="N518" s="2" t="s">
        <v>2317</v>
      </c>
      <c r="O518" s="14">
        <v>8400</v>
      </c>
      <c r="P518" s="14">
        <v>98.64</v>
      </c>
      <c r="Q518" s="14">
        <v>114.24</v>
      </c>
      <c r="R518" s="14">
        <v>177.07</v>
      </c>
      <c r="S518" s="2" t="s">
        <v>1093</v>
      </c>
      <c r="T518" s="2">
        <v>1.01</v>
      </c>
      <c r="U518" s="2">
        <v>61.2</v>
      </c>
      <c r="V518" s="2">
        <v>57</v>
      </c>
      <c r="W518" s="2" t="s">
        <v>7862</v>
      </c>
      <c r="X518" s="2" t="s">
        <v>5405</v>
      </c>
      <c r="Y518" s="2">
        <v>13020</v>
      </c>
      <c r="Z518" s="19" t="str">
        <f>HYPERLINK("https://ssdweb.co/ssdweb/hd/Vision360.html?d=926071923&amp;zoomslide=1&amp;z=1926071923&amp;ISCONFIRM=0","VIDEO")</f>
        <v>VIDEO</v>
      </c>
      <c r="AA518" s="19" t="str">
        <f>HYPERLINK("https://ssdweb.co/ssdweb/CERTH/632403867.pdf","CERTI")</f>
        <v>CERTI</v>
      </c>
    </row>
    <row r="519" spans="1:27" ht="15" x14ac:dyDescent="0.25">
      <c r="A519" s="2">
        <v>514</v>
      </c>
      <c r="B519" s="39">
        <v>926101114</v>
      </c>
      <c r="C519" s="28" t="str">
        <f>HYPERLINK("https://pld.live/RapDetail.aspx?STONELIST=926101114","DNA")</f>
        <v>DNA</v>
      </c>
      <c r="D519" s="18" t="s">
        <v>711</v>
      </c>
      <c r="E519" s="18" t="s">
        <v>5128</v>
      </c>
      <c r="F519" s="2" t="s">
        <v>7987</v>
      </c>
      <c r="G519" s="2" t="s">
        <v>861</v>
      </c>
      <c r="H519" s="14">
        <v>1.54</v>
      </c>
      <c r="I519" s="2" t="s">
        <v>267</v>
      </c>
      <c r="J519" s="2" t="s">
        <v>5144</v>
      </c>
      <c r="K519" s="2" t="s">
        <v>3390</v>
      </c>
      <c r="L519" s="2" t="s">
        <v>5221</v>
      </c>
      <c r="M519" s="2" t="s">
        <v>5221</v>
      </c>
      <c r="N519" s="2" t="s">
        <v>2317</v>
      </c>
      <c r="O519" s="14">
        <v>12000</v>
      </c>
      <c r="P519" s="14">
        <v>98.91</v>
      </c>
      <c r="Q519" s="14">
        <v>130.80000000000001</v>
      </c>
      <c r="R519" s="14">
        <v>201.43</v>
      </c>
      <c r="S519" s="2" t="s">
        <v>2316</v>
      </c>
      <c r="T519" s="2">
        <v>1.01</v>
      </c>
      <c r="U519" s="2">
        <v>62</v>
      </c>
      <c r="V519" s="2">
        <v>58</v>
      </c>
      <c r="W519" s="2" t="s">
        <v>7862</v>
      </c>
      <c r="X519" s="2" t="s">
        <v>5405</v>
      </c>
      <c r="Y519" s="2">
        <v>18480</v>
      </c>
      <c r="Z519" s="19" t="str">
        <f>HYPERLINK("https://ssdweb.co/ssdweb/hd/Vision360.html?d=926101114&amp;zoomslide=1&amp;z=1926101114&amp;ISCONFIRM=0","VIDEO")</f>
        <v>VIDEO</v>
      </c>
      <c r="AA519" s="19" t="str">
        <f>HYPERLINK("https://ssdweb.co/ssdweb/CERTH/632488485.pdf","CERTI")</f>
        <v>CERTI</v>
      </c>
    </row>
    <row r="520" spans="1:27" ht="15" x14ac:dyDescent="0.25">
      <c r="A520" s="2">
        <v>515</v>
      </c>
      <c r="B520" s="39">
        <v>926171649</v>
      </c>
      <c r="C520" s="28" t="str">
        <f>HYPERLINK("https://pld.live/RapDetail.aspx?STONELIST=926171649","DNA")</f>
        <v>DNA</v>
      </c>
      <c r="D520" s="18" t="s">
        <v>711</v>
      </c>
      <c r="E520" s="18" t="s">
        <v>5128</v>
      </c>
      <c r="F520" s="2" t="s">
        <v>7987</v>
      </c>
      <c r="G520" s="2" t="s">
        <v>861</v>
      </c>
      <c r="H520" s="14">
        <v>1.54</v>
      </c>
      <c r="I520" s="2" t="s">
        <v>4761</v>
      </c>
      <c r="J520" s="2" t="s">
        <v>6555</v>
      </c>
      <c r="K520" s="2" t="s">
        <v>3390</v>
      </c>
      <c r="L520" s="2" t="s">
        <v>5221</v>
      </c>
      <c r="M520" s="2" t="s">
        <v>5221</v>
      </c>
      <c r="N520" s="2" t="s">
        <v>2317</v>
      </c>
      <c r="O520" s="14">
        <v>17300</v>
      </c>
      <c r="P520" s="14">
        <v>99.12</v>
      </c>
      <c r="Q520" s="14">
        <v>152.24</v>
      </c>
      <c r="R520" s="14">
        <v>234.45</v>
      </c>
      <c r="S520" s="2" t="s">
        <v>5649</v>
      </c>
      <c r="T520" s="2">
        <v>1.01</v>
      </c>
      <c r="U520" s="2">
        <v>62.1</v>
      </c>
      <c r="V520" s="2">
        <v>59</v>
      </c>
      <c r="W520" s="2" t="s">
        <v>4336</v>
      </c>
      <c r="X520" s="2" t="s">
        <v>5405</v>
      </c>
      <c r="Y520" s="2">
        <v>26642</v>
      </c>
      <c r="Z520" s="19" t="str">
        <f>HYPERLINK("https://ssdweb.co/ssdweb/hd/Vision360.html?d=926171649&amp;zoomslide=1&amp;z=1926171649&amp;ISCONFIRM=0","VIDEO")</f>
        <v>VIDEO</v>
      </c>
      <c r="AA520" s="19" t="str">
        <f>HYPERLINK("https://ssdweb.co/ssdweb/CERTH/637467808.pdf","CERTI")</f>
        <v>CERTI</v>
      </c>
    </row>
    <row r="521" spans="1:27" ht="15" x14ac:dyDescent="0.25">
      <c r="A521" s="2">
        <v>516</v>
      </c>
      <c r="B521" s="39">
        <v>926171589</v>
      </c>
      <c r="C521" s="28" t="str">
        <f>HYPERLINK("https://pld.live/RapDetail.aspx?STONELIST=926171589","DNA")</f>
        <v>DNA</v>
      </c>
      <c r="D521" s="18" t="s">
        <v>711</v>
      </c>
      <c r="E521" s="18" t="s">
        <v>5128</v>
      </c>
      <c r="F521" s="2" t="s">
        <v>7987</v>
      </c>
      <c r="G521" s="2" t="s">
        <v>861</v>
      </c>
      <c r="H521" s="14">
        <v>1.54</v>
      </c>
      <c r="I521" s="2" t="s">
        <v>4761</v>
      </c>
      <c r="J521" s="2" t="s">
        <v>6555</v>
      </c>
      <c r="K521" s="2" t="s">
        <v>3390</v>
      </c>
      <c r="L521" s="2" t="s">
        <v>5221</v>
      </c>
      <c r="M521" s="2" t="s">
        <v>5221</v>
      </c>
      <c r="N521" s="2" t="s">
        <v>2317</v>
      </c>
      <c r="O521" s="14">
        <v>17300</v>
      </c>
      <c r="P521" s="14">
        <v>99.12</v>
      </c>
      <c r="Q521" s="14">
        <v>152.24</v>
      </c>
      <c r="R521" s="14">
        <v>234.45</v>
      </c>
      <c r="S521" s="2" t="s">
        <v>1016</v>
      </c>
      <c r="T521" s="2">
        <v>1.01</v>
      </c>
      <c r="U521" s="2">
        <v>62.4</v>
      </c>
      <c r="V521" s="2">
        <v>58</v>
      </c>
      <c r="W521" s="2" t="s">
        <v>4336</v>
      </c>
      <c r="X521" s="2" t="s">
        <v>5405</v>
      </c>
      <c r="Y521" s="2">
        <v>26642</v>
      </c>
      <c r="Z521" s="19" t="str">
        <f>HYPERLINK("https://ssdweb.co/ssdweb/hd/Vision360.html?d=926171589&amp;zoomslide=1&amp;z=1926171589&amp;ISCONFIRM=0","VIDEO")</f>
        <v>VIDEO</v>
      </c>
      <c r="AA521" s="19" t="str">
        <f>HYPERLINK("https://ssdweb.co/ssdweb/CERTH/636430080.pdf","CERTI")</f>
        <v>CERTI</v>
      </c>
    </row>
    <row r="522" spans="1:27" ht="15" x14ac:dyDescent="0.25">
      <c r="A522" s="2">
        <v>517</v>
      </c>
      <c r="B522" s="39">
        <v>925801682</v>
      </c>
      <c r="C522" s="28" t="str">
        <f>HYPERLINK("https://pld.live/RapDetail.aspx?STONELIST=925801682","DNA")</f>
        <v>DNA</v>
      </c>
      <c r="D522" s="18" t="s">
        <v>711</v>
      </c>
      <c r="E522" s="18" t="s">
        <v>5128</v>
      </c>
      <c r="F522" s="2" t="s">
        <v>7987</v>
      </c>
      <c r="G522" s="2" t="s">
        <v>861</v>
      </c>
      <c r="H522" s="14">
        <v>1.53</v>
      </c>
      <c r="I522" s="2" t="s">
        <v>267</v>
      </c>
      <c r="J522" s="2" t="s">
        <v>7032</v>
      </c>
      <c r="K522" s="2" t="s">
        <v>3390</v>
      </c>
      <c r="L522" s="2" t="s">
        <v>5221</v>
      </c>
      <c r="M522" s="2" t="s">
        <v>5221</v>
      </c>
      <c r="N522" s="2" t="s">
        <v>2317</v>
      </c>
      <c r="O522" s="14">
        <v>21000</v>
      </c>
      <c r="P522" s="14">
        <v>97.77</v>
      </c>
      <c r="Q522" s="14">
        <v>468.3</v>
      </c>
      <c r="R522" s="14">
        <v>716.5</v>
      </c>
      <c r="S522" s="2" t="s">
        <v>7756</v>
      </c>
      <c r="T522" s="2">
        <v>1.01</v>
      </c>
      <c r="U522" s="2">
        <v>62.2</v>
      </c>
      <c r="V522" s="2">
        <v>58</v>
      </c>
      <c r="W522" s="2" t="s">
        <v>7862</v>
      </c>
      <c r="X522" s="2" t="s">
        <v>5405</v>
      </c>
      <c r="Y522" s="2">
        <v>32130</v>
      </c>
      <c r="Z522" s="19" t="str">
        <f>HYPERLINK("https://ssdweb.co/ssdweb/hd/Vision360.html?d=925801682&amp;zoomslide=1&amp;z=1925801682&amp;ISCONFIRM=0","VIDEO")</f>
        <v>VIDEO</v>
      </c>
      <c r="AA522" s="19" t="str">
        <f>HYPERLINK("https://ssdweb.co/ssdweb/CERTH/647451828.pdf","CERTI")</f>
        <v>CERTI</v>
      </c>
    </row>
    <row r="523" spans="1:27" ht="15" x14ac:dyDescent="0.25">
      <c r="A523" s="2">
        <v>518</v>
      </c>
      <c r="B523" s="39">
        <v>941400281</v>
      </c>
      <c r="C523" s="28" t="str">
        <f>HYPERLINK("https://pld.live/RapDetail.aspx?STONELIST=941400281","DNA")</f>
        <v>DNA</v>
      </c>
      <c r="D523" s="18" t="s">
        <v>711</v>
      </c>
      <c r="E523" s="18" t="s">
        <v>5128</v>
      </c>
      <c r="F523" s="2" t="s">
        <v>7987</v>
      </c>
      <c r="G523" s="2" t="s">
        <v>861</v>
      </c>
      <c r="H523" s="14">
        <v>1.53</v>
      </c>
      <c r="I523" s="2" t="s">
        <v>267</v>
      </c>
      <c r="J523" s="2" t="s">
        <v>13</v>
      </c>
      <c r="K523" s="2" t="s">
        <v>3390</v>
      </c>
      <c r="L523" s="2" t="s">
        <v>5221</v>
      </c>
      <c r="M523" s="2" t="s">
        <v>5221</v>
      </c>
      <c r="N523" s="2" t="s">
        <v>2317</v>
      </c>
      <c r="O523" s="14">
        <v>13400</v>
      </c>
      <c r="P523" s="14">
        <v>98.9</v>
      </c>
      <c r="Q523" s="14">
        <v>147.4</v>
      </c>
      <c r="R523" s="14">
        <v>225.52</v>
      </c>
      <c r="S523" s="2" t="s">
        <v>3395</v>
      </c>
      <c r="T523" s="2">
        <v>1</v>
      </c>
      <c r="U523" s="2">
        <v>61.6</v>
      </c>
      <c r="V523" s="2">
        <v>59</v>
      </c>
      <c r="W523" s="2" t="s">
        <v>7862</v>
      </c>
      <c r="X523" s="2" t="s">
        <v>5405</v>
      </c>
      <c r="Y523" s="2">
        <v>20502</v>
      </c>
      <c r="Z523" s="19" t="str">
        <f>HYPERLINK("https://ssdweb.co/ssdweb/hd/Vision360.html?d=941400281&amp;zoomslide=1&amp;z=1941400281&amp;ISCONFIRM=0","VIDEO")</f>
        <v>VIDEO</v>
      </c>
      <c r="AA523" s="19" t="str">
        <f>HYPERLINK("https://ssdweb.co/ssdweb/CERTH/687560943.pdf","CERTI")</f>
        <v>CERTI</v>
      </c>
    </row>
    <row r="524" spans="1:27" ht="15" x14ac:dyDescent="0.25">
      <c r="A524" s="2">
        <v>519</v>
      </c>
      <c r="B524" s="39">
        <v>925520055</v>
      </c>
      <c r="C524" s="28" t="str">
        <f>HYPERLINK("https://pld.live/RapDetail.aspx?STONELIST=925520055","DNA")</f>
        <v>DNA</v>
      </c>
      <c r="D524" s="18" t="s">
        <v>711</v>
      </c>
      <c r="E524" s="18" t="s">
        <v>5128</v>
      </c>
      <c r="F524" s="2" t="s">
        <v>5597</v>
      </c>
      <c r="G524" s="2" t="s">
        <v>861</v>
      </c>
      <c r="H524" s="14">
        <v>1.53</v>
      </c>
      <c r="I524" s="2" t="s">
        <v>267</v>
      </c>
      <c r="J524" s="2" t="s">
        <v>13</v>
      </c>
      <c r="K524" s="2" t="s">
        <v>5221</v>
      </c>
      <c r="L524" s="2" t="s">
        <v>5221</v>
      </c>
      <c r="M524" s="2" t="s">
        <v>5221</v>
      </c>
      <c r="N524" s="2" t="s">
        <v>2317</v>
      </c>
      <c r="O524" s="14">
        <v>13400</v>
      </c>
      <c r="P524" s="14">
        <v>98.07</v>
      </c>
      <c r="Q524" s="14">
        <v>258.62</v>
      </c>
      <c r="R524" s="14">
        <v>395.69</v>
      </c>
      <c r="S524" s="2" t="s">
        <v>1748</v>
      </c>
      <c r="T524" s="2">
        <v>1</v>
      </c>
      <c r="U524" s="2">
        <v>61.4</v>
      </c>
      <c r="V524" s="2">
        <v>58</v>
      </c>
      <c r="W524" s="2" t="s">
        <v>7862</v>
      </c>
      <c r="X524" s="2" t="s">
        <v>5405</v>
      </c>
      <c r="Y524" s="2">
        <v>20502</v>
      </c>
      <c r="Z524" s="19" t="str">
        <f>HYPERLINK("https://ssdweb.co/ssdweb/hd/Vision360.html?d=925520055&amp;zoomslide=1&amp;z=1925520055&amp;ISCONFIRM=0","VIDEO")</f>
        <v>VIDEO</v>
      </c>
      <c r="AA524" s="19" t="str">
        <f>HYPERLINK("https://ssdweb.co/ssdweb/CERTH/3485339444.pdf","CERTI")</f>
        <v>CERTI</v>
      </c>
    </row>
    <row r="525" spans="1:27" ht="15" x14ac:dyDescent="0.25">
      <c r="A525" s="2">
        <v>520</v>
      </c>
      <c r="B525" s="39">
        <v>941190210</v>
      </c>
      <c r="C525" s="28" t="str">
        <f>HYPERLINK("https://pld.live/RapDetail.aspx?STONELIST=941190210","DNA")</f>
        <v>DNA</v>
      </c>
      <c r="D525" s="18" t="s">
        <v>711</v>
      </c>
      <c r="E525" s="18" t="s">
        <v>5128</v>
      </c>
      <c r="F525" s="2" t="s">
        <v>7987</v>
      </c>
      <c r="G525" s="2" t="s">
        <v>861</v>
      </c>
      <c r="H525" s="14">
        <v>1.53</v>
      </c>
      <c r="I525" s="2" t="s">
        <v>267</v>
      </c>
      <c r="J525" s="2" t="s">
        <v>5144</v>
      </c>
      <c r="K525" s="2" t="s">
        <v>3390</v>
      </c>
      <c r="L525" s="2" t="s">
        <v>5221</v>
      </c>
      <c r="M525" s="2" t="s">
        <v>5221</v>
      </c>
      <c r="N525" s="2" t="s">
        <v>2317</v>
      </c>
      <c r="O525" s="14">
        <v>12000</v>
      </c>
      <c r="P525" s="14">
        <v>98.89</v>
      </c>
      <c r="Q525" s="14">
        <v>133.19999999999999</v>
      </c>
      <c r="R525" s="14">
        <v>203.8</v>
      </c>
      <c r="S525" s="2" t="s">
        <v>3011</v>
      </c>
      <c r="T525" s="2">
        <v>1</v>
      </c>
      <c r="U525" s="2">
        <v>61.3</v>
      </c>
      <c r="V525" s="2">
        <v>58</v>
      </c>
      <c r="W525" s="2" t="s">
        <v>7862</v>
      </c>
      <c r="X525" s="2" t="s">
        <v>5405</v>
      </c>
      <c r="Y525" s="2">
        <v>18360</v>
      </c>
      <c r="Z525" s="19" t="str">
        <f>HYPERLINK("https://ssdweb.co/ssdweb/hd/Vision360.html?d=941190210&amp;zoomslide=1&amp;z=1941190210&amp;ISCONFIRM=0","VIDEO")</f>
        <v>VIDEO</v>
      </c>
      <c r="AA525" s="19" t="str">
        <f>HYPERLINK("https://ssdweb.co/ssdweb/CERTH/675596734.pdf","CERTI")</f>
        <v>CERTI</v>
      </c>
    </row>
    <row r="526" spans="1:27" ht="15" x14ac:dyDescent="0.25">
      <c r="A526" s="2">
        <v>521</v>
      </c>
      <c r="B526" s="39">
        <v>925621378</v>
      </c>
      <c r="C526" s="28" t="str">
        <f>HYPERLINK("https://pld.live/RapDetail.aspx?STONELIST=925621378","DNA")</f>
        <v>DNA</v>
      </c>
      <c r="D526" s="18" t="s">
        <v>711</v>
      </c>
      <c r="E526" s="18" t="s">
        <v>5128</v>
      </c>
      <c r="F526" s="2" t="s">
        <v>5597</v>
      </c>
      <c r="G526" s="2" t="s">
        <v>861</v>
      </c>
      <c r="H526" s="14">
        <v>1.53</v>
      </c>
      <c r="I526" s="2" t="s">
        <v>267</v>
      </c>
      <c r="J526" s="2" t="s">
        <v>5144</v>
      </c>
      <c r="K526" s="2" t="s">
        <v>5221</v>
      </c>
      <c r="L526" s="2" t="s">
        <v>5221</v>
      </c>
      <c r="M526" s="2" t="s">
        <v>5221</v>
      </c>
      <c r="N526" s="2" t="s">
        <v>2317</v>
      </c>
      <c r="O526" s="14">
        <v>12000</v>
      </c>
      <c r="P526" s="14">
        <v>98.04</v>
      </c>
      <c r="Q526" s="14">
        <v>235.2</v>
      </c>
      <c r="R526" s="14">
        <v>359.86</v>
      </c>
      <c r="S526" s="2" t="s">
        <v>977</v>
      </c>
      <c r="T526" s="2">
        <v>1.01</v>
      </c>
      <c r="U526" s="2">
        <v>61.8</v>
      </c>
      <c r="V526" s="2">
        <v>59</v>
      </c>
      <c r="W526" s="2" t="s">
        <v>7862</v>
      </c>
      <c r="X526" s="2" t="s">
        <v>5405</v>
      </c>
      <c r="Y526" s="2">
        <v>18360</v>
      </c>
      <c r="Z526" s="19" t="str">
        <f>HYPERLINK("https://ssdweb.co/ssdweb/hd/Vision360.html?d=925621378&amp;zoomslide=1&amp;z=1925621378&amp;ISCONFIRM=0","VIDEO")</f>
        <v>VIDEO</v>
      </c>
      <c r="AA526" s="19" t="str">
        <f>HYPERLINK("https://ssdweb.co/ssdweb/CERTH/5483537246.pdf","CERTI")</f>
        <v>CERTI</v>
      </c>
    </row>
    <row r="527" spans="1:27" ht="15" x14ac:dyDescent="0.25">
      <c r="A527" s="2">
        <v>522</v>
      </c>
      <c r="B527" s="39">
        <v>924700024</v>
      </c>
      <c r="C527" s="28" t="str">
        <f>HYPERLINK("https://pld.live/RapDetail.aspx?STONELIST=924700024","DNA")</f>
        <v>DNA</v>
      </c>
      <c r="D527" s="18" t="s">
        <v>711</v>
      </c>
      <c r="E527" s="18" t="s">
        <v>5128</v>
      </c>
      <c r="F527" s="2" t="s">
        <v>7987</v>
      </c>
      <c r="G527" s="2" t="s">
        <v>861</v>
      </c>
      <c r="H527" s="14">
        <v>1.53</v>
      </c>
      <c r="I527" s="2" t="s">
        <v>4761</v>
      </c>
      <c r="J527" s="2" t="s">
        <v>7032</v>
      </c>
      <c r="K527" s="2" t="s">
        <v>3390</v>
      </c>
      <c r="L527" s="2" t="s">
        <v>5221</v>
      </c>
      <c r="M527" s="2" t="s">
        <v>5221</v>
      </c>
      <c r="N527" s="2" t="s">
        <v>2317</v>
      </c>
      <c r="O527" s="14">
        <v>18800</v>
      </c>
      <c r="P527" s="14">
        <v>98.43</v>
      </c>
      <c r="Q527" s="14">
        <v>295.16000000000003</v>
      </c>
      <c r="R527" s="14">
        <v>451.59</v>
      </c>
      <c r="S527" s="2" t="s">
        <v>6280</v>
      </c>
      <c r="T527" s="2">
        <v>1.01</v>
      </c>
      <c r="U527" s="2">
        <v>60.8</v>
      </c>
      <c r="V527" s="2">
        <v>59</v>
      </c>
      <c r="W527" s="2" t="s">
        <v>7862</v>
      </c>
      <c r="X527" s="2" t="s">
        <v>5405</v>
      </c>
      <c r="Y527" s="2">
        <v>28764</v>
      </c>
      <c r="Z527" s="19" t="str">
        <f>HYPERLINK("https://ssdweb.co/ssdweb/hd/Vision360.html?d=924700024&amp;zoomslide=1&amp;z=1924700024&amp;ISCONFIRM=0","VIDEO")</f>
        <v>VIDEO</v>
      </c>
      <c r="AA527" s="19" t="str">
        <f>HYPERLINK("https://ssdweb.co/ssdweb/CERTH/597362184.pdf","CERTI")</f>
        <v>CERTI</v>
      </c>
    </row>
    <row r="528" spans="1:27" ht="15" x14ac:dyDescent="0.25">
      <c r="A528" s="2">
        <v>523</v>
      </c>
      <c r="B528" s="39">
        <v>941400414</v>
      </c>
      <c r="C528" s="28" t="str">
        <f>HYPERLINK("https://pld.live/RapDetail.aspx?STONELIST=941400414","DNA")</f>
        <v>DNA</v>
      </c>
      <c r="D528" s="18" t="s">
        <v>711</v>
      </c>
      <c r="E528" s="18" t="s">
        <v>5128</v>
      </c>
      <c r="F528" s="2" t="s">
        <v>7987</v>
      </c>
      <c r="G528" s="2" t="s">
        <v>861</v>
      </c>
      <c r="H528" s="14">
        <v>1.53</v>
      </c>
      <c r="I528" s="2" t="s">
        <v>4761</v>
      </c>
      <c r="J528" s="2" t="s">
        <v>6555</v>
      </c>
      <c r="K528" s="2" t="s">
        <v>3390</v>
      </c>
      <c r="L528" s="2" t="s">
        <v>5221</v>
      </c>
      <c r="M528" s="2" t="s">
        <v>5221</v>
      </c>
      <c r="N528" s="2" t="s">
        <v>2317</v>
      </c>
      <c r="O528" s="14">
        <v>17300</v>
      </c>
      <c r="P528" s="14">
        <v>99.1</v>
      </c>
      <c r="Q528" s="14">
        <v>155.69999999999999</v>
      </c>
      <c r="R528" s="14">
        <v>238.22</v>
      </c>
      <c r="S528" s="2" t="s">
        <v>7054</v>
      </c>
      <c r="T528" s="2">
        <v>1</v>
      </c>
      <c r="U528" s="2">
        <v>62</v>
      </c>
      <c r="V528" s="2">
        <v>58</v>
      </c>
      <c r="W528" s="2" t="s">
        <v>7862</v>
      </c>
      <c r="X528" s="2" t="s">
        <v>5405</v>
      </c>
      <c r="Y528" s="2">
        <v>26469</v>
      </c>
      <c r="Z528" s="19" t="str">
        <f>HYPERLINK("https://ssdweb.co/ssdweb/hd/Vision360.html?d=941400414&amp;zoomslide=1&amp;z=1941400414&amp;ISCONFIRM=0","VIDEO")</f>
        <v>VIDEO</v>
      </c>
      <c r="AA528" s="19" t="str">
        <f>HYPERLINK("https://ssdweb.co/ssdweb/CERTH/687591675.pdf","CERTI")</f>
        <v>CERTI</v>
      </c>
    </row>
    <row r="529" spans="1:27" ht="15" x14ac:dyDescent="0.25">
      <c r="A529" s="2">
        <v>524</v>
      </c>
      <c r="B529" s="39">
        <v>926040840</v>
      </c>
      <c r="C529" s="28" t="str">
        <f>HYPERLINK("https://pld.live/RapDetail.aspx?STONELIST=926040840","DNA")</f>
        <v>DNA</v>
      </c>
      <c r="D529" s="18" t="s">
        <v>711</v>
      </c>
      <c r="E529" s="18" t="s">
        <v>5128</v>
      </c>
      <c r="F529" s="2" t="s">
        <v>5597</v>
      </c>
      <c r="G529" s="2" t="s">
        <v>861</v>
      </c>
      <c r="H529" s="14">
        <v>1.53</v>
      </c>
      <c r="I529" s="2" t="s">
        <v>4761</v>
      </c>
      <c r="J529" s="2" t="s">
        <v>3942</v>
      </c>
      <c r="K529" s="2" t="s">
        <v>5221</v>
      </c>
      <c r="L529" s="2" t="s">
        <v>5221</v>
      </c>
      <c r="M529" s="2" t="s">
        <v>5221</v>
      </c>
      <c r="N529" s="2" t="s">
        <v>2317</v>
      </c>
      <c r="O529" s="14">
        <v>14300</v>
      </c>
      <c r="P529" s="14">
        <v>98.15</v>
      </c>
      <c r="Q529" s="14">
        <v>264.55</v>
      </c>
      <c r="R529" s="14">
        <v>404.76</v>
      </c>
      <c r="S529" s="2" t="s">
        <v>3011</v>
      </c>
      <c r="T529" s="2">
        <v>1</v>
      </c>
      <c r="U529" s="2">
        <v>61.3</v>
      </c>
      <c r="V529" s="2">
        <v>56</v>
      </c>
      <c r="W529" s="2" t="s">
        <v>7862</v>
      </c>
      <c r="X529" s="2" t="s">
        <v>5405</v>
      </c>
      <c r="Y529" s="2">
        <v>21879</v>
      </c>
      <c r="Z529" s="19" t="str">
        <f>HYPERLINK("https://ssdweb.co/ssdweb/hd/Vision360.html?d=926040840&amp;zoomslide=1&amp;z=1926040840&amp;ISCONFIRM=0","VIDEO")</f>
        <v>VIDEO</v>
      </c>
      <c r="AA529" s="19" t="str">
        <f>HYPERLINK("https://ssdweb.co/ssdweb/CERTH/2496161932.pdf","CERTI")</f>
        <v>CERTI</v>
      </c>
    </row>
    <row r="530" spans="1:27" ht="15" x14ac:dyDescent="0.25">
      <c r="A530" s="2">
        <v>525</v>
      </c>
      <c r="B530" s="39">
        <v>927130122</v>
      </c>
      <c r="C530" s="28" t="str">
        <f>HYPERLINK("https://pld.live/RapDetail.aspx?STONELIST=927130122","DNA")</f>
        <v>DNA</v>
      </c>
      <c r="D530" s="18" t="s">
        <v>711</v>
      </c>
      <c r="E530" s="18" t="s">
        <v>5128</v>
      </c>
      <c r="F530" s="2" t="s">
        <v>7987</v>
      </c>
      <c r="G530" s="2" t="s">
        <v>861</v>
      </c>
      <c r="H530" s="14">
        <v>1.53</v>
      </c>
      <c r="I530" s="2" t="s">
        <v>4761</v>
      </c>
      <c r="J530" s="2" t="s">
        <v>5144</v>
      </c>
      <c r="K530" s="2" t="s">
        <v>5221</v>
      </c>
      <c r="L530" s="2" t="s">
        <v>5221</v>
      </c>
      <c r="M530" s="2" t="s">
        <v>5721</v>
      </c>
      <c r="N530" s="2" t="s">
        <v>2317</v>
      </c>
      <c r="O530" s="14">
        <v>11000</v>
      </c>
      <c r="P530" s="14">
        <v>98.83</v>
      </c>
      <c r="Q530" s="14">
        <v>128.69999999999999</v>
      </c>
      <c r="R530" s="14">
        <v>196.91</v>
      </c>
      <c r="S530" s="2" t="s">
        <v>353</v>
      </c>
      <c r="T530" s="2">
        <v>1.01</v>
      </c>
      <c r="U530" s="2">
        <v>63.5</v>
      </c>
      <c r="V530" s="2">
        <v>56</v>
      </c>
      <c r="W530" s="2" t="s">
        <v>7862</v>
      </c>
      <c r="X530" s="2" t="s">
        <v>5405</v>
      </c>
      <c r="Y530" s="2">
        <v>16830</v>
      </c>
      <c r="Z530" s="19" t="str">
        <f>HYPERLINK("https://ssdweb.co/ssdweb/hd/Vision360.html?d=927130122&amp;zoomslide=1&amp;z=1927130122&amp;ISCONFIRM=0","VIDEO")</f>
        <v>VIDEO</v>
      </c>
      <c r="AA530" s="19" t="str">
        <f>HYPERLINK("https://ssdweb.co/ssdweb/CERTH/662473907.pdf","CERTI")</f>
        <v>CERTI</v>
      </c>
    </row>
    <row r="531" spans="1:27" ht="15" x14ac:dyDescent="0.25">
      <c r="A531" s="2">
        <v>526</v>
      </c>
      <c r="B531" s="39">
        <v>941400465</v>
      </c>
      <c r="C531" s="28" t="str">
        <f>HYPERLINK("https://pld.live/RapDetail.aspx?STONELIST=941400465","DNA")</f>
        <v>DNA</v>
      </c>
      <c r="D531" s="18" t="s">
        <v>711</v>
      </c>
      <c r="E531" s="18" t="s">
        <v>5128</v>
      </c>
      <c r="F531" s="2" t="s">
        <v>7987</v>
      </c>
      <c r="G531" s="2" t="s">
        <v>861</v>
      </c>
      <c r="H531" s="14">
        <v>1.52</v>
      </c>
      <c r="I531" s="2" t="s">
        <v>267</v>
      </c>
      <c r="J531" s="2" t="s">
        <v>6555</v>
      </c>
      <c r="K531" s="2" t="s">
        <v>3390</v>
      </c>
      <c r="L531" s="2" t="s">
        <v>5221</v>
      </c>
      <c r="M531" s="2" t="s">
        <v>5221</v>
      </c>
      <c r="N531" s="2" t="s">
        <v>2317</v>
      </c>
      <c r="O531" s="14">
        <v>18700</v>
      </c>
      <c r="P531" s="14">
        <v>99.04</v>
      </c>
      <c r="Q531" s="14">
        <v>179.52</v>
      </c>
      <c r="R531" s="14">
        <v>272.87</v>
      </c>
      <c r="S531" s="2" t="s">
        <v>3470</v>
      </c>
      <c r="T531" s="2">
        <v>1.01</v>
      </c>
      <c r="U531" s="2">
        <v>61.1</v>
      </c>
      <c r="V531" s="2">
        <v>58</v>
      </c>
      <c r="W531" s="2" t="s">
        <v>7862</v>
      </c>
      <c r="X531" s="2" t="s">
        <v>5405</v>
      </c>
      <c r="Y531" s="2">
        <v>28424</v>
      </c>
      <c r="Z531" s="19" t="str">
        <f>HYPERLINK("https://ssdweb.co/ssdweb/hd/Vision360.html?d=941400465&amp;zoomslide=1&amp;z=1941400465&amp;ISCONFIRM=0","VIDEO")</f>
        <v>VIDEO</v>
      </c>
      <c r="AA531" s="19" t="str">
        <f>HYPERLINK("https://ssdweb.co/ssdweb/CERTH/687591690.pdf","CERTI")</f>
        <v>CERTI</v>
      </c>
    </row>
    <row r="532" spans="1:27" ht="15" x14ac:dyDescent="0.25">
      <c r="A532" s="2">
        <v>527</v>
      </c>
      <c r="B532" s="39">
        <v>941400206</v>
      </c>
      <c r="C532" s="28" t="str">
        <f>HYPERLINK("https://pld.live/RapDetail.aspx?STONELIST=941400206","DNA")</f>
        <v>DNA</v>
      </c>
      <c r="D532" s="18" t="s">
        <v>711</v>
      </c>
      <c r="E532" s="18" t="s">
        <v>5128</v>
      </c>
      <c r="F532" s="2" t="s">
        <v>7987</v>
      </c>
      <c r="G532" s="2" t="s">
        <v>861</v>
      </c>
      <c r="H532" s="14">
        <v>1.52</v>
      </c>
      <c r="I532" s="2" t="s">
        <v>267</v>
      </c>
      <c r="J532" s="2" t="s">
        <v>3942</v>
      </c>
      <c r="K532" s="2" t="s">
        <v>3390</v>
      </c>
      <c r="L532" s="2" t="s">
        <v>5221</v>
      </c>
      <c r="M532" s="2" t="s">
        <v>5221</v>
      </c>
      <c r="N532" s="2" t="s">
        <v>2317</v>
      </c>
      <c r="O532" s="14">
        <v>15400</v>
      </c>
      <c r="P532" s="14">
        <v>98.98</v>
      </c>
      <c r="Q532" s="14">
        <v>157.08000000000001</v>
      </c>
      <c r="R532" s="14">
        <v>238.76</v>
      </c>
      <c r="S532" s="2" t="s">
        <v>1336</v>
      </c>
      <c r="T532" s="2">
        <v>1</v>
      </c>
      <c r="U532" s="2">
        <v>60</v>
      </c>
      <c r="V532" s="2">
        <v>59</v>
      </c>
      <c r="W532" s="2" t="s">
        <v>7862</v>
      </c>
      <c r="X532" s="2" t="s">
        <v>5405</v>
      </c>
      <c r="Y532" s="2">
        <v>23408</v>
      </c>
      <c r="Z532" s="19" t="str">
        <f>HYPERLINK("https://ssdweb.co/ssdweb/hd/Vision360.html?d=941400206&amp;zoomslide=1&amp;z=1941400206&amp;ISCONFIRM=0","VIDEO")</f>
        <v>VIDEO</v>
      </c>
      <c r="AA532" s="19" t="str">
        <f>HYPERLINK("https://ssdweb.co/ssdweb/CERTH/687560931.pdf","CERTI")</f>
        <v>CERTI</v>
      </c>
    </row>
    <row r="533" spans="1:27" ht="15" x14ac:dyDescent="0.25">
      <c r="A533" s="2">
        <v>528</v>
      </c>
      <c r="B533" s="39">
        <v>941400164</v>
      </c>
      <c r="C533" s="28" t="str">
        <f>HYPERLINK("https://pld.live/RapDetail.aspx?STONELIST=941400164","DNA")</f>
        <v>DNA</v>
      </c>
      <c r="D533" s="18" t="s">
        <v>711</v>
      </c>
      <c r="E533" s="18" t="s">
        <v>5128</v>
      </c>
      <c r="F533" s="2" t="s">
        <v>7987</v>
      </c>
      <c r="G533" s="2" t="s">
        <v>861</v>
      </c>
      <c r="H533" s="14">
        <v>1.52</v>
      </c>
      <c r="I533" s="2" t="s">
        <v>267</v>
      </c>
      <c r="J533" s="2" t="s">
        <v>3942</v>
      </c>
      <c r="K533" s="2" t="s">
        <v>3390</v>
      </c>
      <c r="L533" s="2" t="s">
        <v>5221</v>
      </c>
      <c r="M533" s="2" t="s">
        <v>5221</v>
      </c>
      <c r="N533" s="2" t="s">
        <v>2317</v>
      </c>
      <c r="O533" s="14">
        <v>15400</v>
      </c>
      <c r="P533" s="14">
        <v>98.98</v>
      </c>
      <c r="Q533" s="14">
        <v>157.08000000000001</v>
      </c>
      <c r="R533" s="14">
        <v>238.76</v>
      </c>
      <c r="S533" s="2" t="s">
        <v>7963</v>
      </c>
      <c r="T533" s="2">
        <v>1</v>
      </c>
      <c r="U533" s="2">
        <v>61</v>
      </c>
      <c r="V533" s="2">
        <v>59</v>
      </c>
      <c r="W533" s="2" t="s">
        <v>7862</v>
      </c>
      <c r="X533" s="2" t="s">
        <v>5405</v>
      </c>
      <c r="Y533" s="2">
        <v>23408</v>
      </c>
      <c r="Z533" s="19" t="str">
        <f>HYPERLINK("https://ssdweb.co/ssdweb/hd/Vision360.html?d=941400164&amp;zoomslide=1&amp;z=1941400164&amp;ISCONFIRM=0","VIDEO")</f>
        <v>VIDEO</v>
      </c>
      <c r="AA533" s="19" t="str">
        <f>HYPERLINK("https://ssdweb.co/ssdweb/CERTH/687560960.pdf","CERTI")</f>
        <v>CERTI</v>
      </c>
    </row>
    <row r="534" spans="1:27" ht="15" x14ac:dyDescent="0.25">
      <c r="A534" s="2">
        <v>529</v>
      </c>
      <c r="B534" s="39">
        <v>941400263</v>
      </c>
      <c r="C534" s="28" t="str">
        <f>HYPERLINK("https://pld.live/RapDetail.aspx?STONELIST=941400263","DNA")</f>
        <v>DNA</v>
      </c>
      <c r="D534" s="18" t="s">
        <v>711</v>
      </c>
      <c r="E534" s="18" t="s">
        <v>5128</v>
      </c>
      <c r="F534" s="2" t="s">
        <v>7987</v>
      </c>
      <c r="G534" s="2" t="s">
        <v>861</v>
      </c>
      <c r="H534" s="14">
        <v>1.52</v>
      </c>
      <c r="I534" s="2" t="s">
        <v>267</v>
      </c>
      <c r="J534" s="2" t="s">
        <v>3942</v>
      </c>
      <c r="K534" s="2" t="s">
        <v>3390</v>
      </c>
      <c r="L534" s="2" t="s">
        <v>5221</v>
      </c>
      <c r="M534" s="2" t="s">
        <v>5221</v>
      </c>
      <c r="N534" s="2" t="s">
        <v>2317</v>
      </c>
      <c r="O534" s="14">
        <v>15400</v>
      </c>
      <c r="P534" s="14">
        <v>98.98</v>
      </c>
      <c r="Q534" s="14">
        <v>157.08000000000001</v>
      </c>
      <c r="R534" s="14">
        <v>238.76</v>
      </c>
      <c r="S534" s="2" t="s">
        <v>1016</v>
      </c>
      <c r="T534" s="2">
        <v>1.01</v>
      </c>
      <c r="U534" s="2">
        <v>62.3</v>
      </c>
      <c r="V534" s="2">
        <v>57</v>
      </c>
      <c r="W534" s="2" t="s">
        <v>7862</v>
      </c>
      <c r="X534" s="2" t="s">
        <v>5405</v>
      </c>
      <c r="Y534" s="2">
        <v>23408</v>
      </c>
      <c r="Z534" s="19" t="str">
        <f>HYPERLINK("https://ssdweb.co/ssdweb/hd/Vision360.html?d=941400263&amp;zoomslide=1&amp;z=1941400263&amp;ISCONFIRM=0","VIDEO")</f>
        <v>VIDEO</v>
      </c>
      <c r="AA534" s="19" t="str">
        <f>HYPERLINK("https://ssdweb.co/ssdweb/CERTH/687560940.pdf","CERTI")</f>
        <v>CERTI</v>
      </c>
    </row>
    <row r="535" spans="1:27" ht="15" x14ac:dyDescent="0.25">
      <c r="A535" s="2">
        <v>530</v>
      </c>
      <c r="B535" s="39">
        <v>941400290</v>
      </c>
      <c r="C535" s="28" t="str">
        <f>HYPERLINK("https://pld.live/RapDetail.aspx?STONELIST=941400290","DNA")</f>
        <v>DNA</v>
      </c>
      <c r="D535" s="18" t="s">
        <v>711</v>
      </c>
      <c r="E535" s="18" t="s">
        <v>5128</v>
      </c>
      <c r="F535" s="2" t="s">
        <v>7987</v>
      </c>
      <c r="G535" s="2" t="s">
        <v>861</v>
      </c>
      <c r="H535" s="14">
        <v>1.52</v>
      </c>
      <c r="I535" s="2" t="s">
        <v>267</v>
      </c>
      <c r="J535" s="2" t="s">
        <v>3942</v>
      </c>
      <c r="K535" s="2" t="s">
        <v>3390</v>
      </c>
      <c r="L535" s="2" t="s">
        <v>5221</v>
      </c>
      <c r="M535" s="2" t="s">
        <v>5221</v>
      </c>
      <c r="N535" s="2" t="s">
        <v>2317</v>
      </c>
      <c r="O535" s="14">
        <v>15400</v>
      </c>
      <c r="P535" s="14">
        <v>98.98</v>
      </c>
      <c r="Q535" s="14">
        <v>157.08000000000001</v>
      </c>
      <c r="R535" s="14">
        <v>238.76</v>
      </c>
      <c r="S535" s="2" t="s">
        <v>2316</v>
      </c>
      <c r="T535" s="2">
        <v>1.01</v>
      </c>
      <c r="U535" s="2">
        <v>62</v>
      </c>
      <c r="V535" s="2">
        <v>58</v>
      </c>
      <c r="W535" s="2" t="s">
        <v>7862</v>
      </c>
      <c r="X535" s="2" t="s">
        <v>5405</v>
      </c>
      <c r="Y535" s="2">
        <v>23408</v>
      </c>
      <c r="Z535" s="19" t="str">
        <f>HYPERLINK("https://ssdweb.co/ssdweb/hd/Vision360.html?d=941400290&amp;zoomslide=1&amp;z=1941400290&amp;ISCONFIRM=0","VIDEO")</f>
        <v>VIDEO</v>
      </c>
      <c r="AA535" s="19" t="str">
        <f>HYPERLINK("https://ssdweb.co/ssdweb/CERTH/687560947.pdf","CERTI")</f>
        <v>CERTI</v>
      </c>
    </row>
    <row r="536" spans="1:27" ht="15" x14ac:dyDescent="0.25">
      <c r="A536" s="2">
        <v>531</v>
      </c>
      <c r="B536" s="39">
        <v>941400343</v>
      </c>
      <c r="C536" s="28" t="str">
        <f>HYPERLINK("https://pld.live/RapDetail.aspx?STONELIST=941400343","DNA")</f>
        <v>DNA</v>
      </c>
      <c r="D536" s="18" t="s">
        <v>711</v>
      </c>
      <c r="E536" s="18" t="s">
        <v>5128</v>
      </c>
      <c r="F536" s="2" t="s">
        <v>7987</v>
      </c>
      <c r="G536" s="2" t="s">
        <v>861</v>
      </c>
      <c r="H536" s="14">
        <v>1.52</v>
      </c>
      <c r="I536" s="2" t="s">
        <v>267</v>
      </c>
      <c r="J536" s="2" t="s">
        <v>3942</v>
      </c>
      <c r="K536" s="2" t="s">
        <v>3390</v>
      </c>
      <c r="L536" s="2" t="s">
        <v>5221</v>
      </c>
      <c r="M536" s="2" t="s">
        <v>5221</v>
      </c>
      <c r="N536" s="2" t="s">
        <v>2317</v>
      </c>
      <c r="O536" s="14">
        <v>15400</v>
      </c>
      <c r="P536" s="14">
        <v>98.98</v>
      </c>
      <c r="Q536" s="14">
        <v>157.08000000000001</v>
      </c>
      <c r="R536" s="14">
        <v>238.76</v>
      </c>
      <c r="S536" s="2" t="s">
        <v>3121</v>
      </c>
      <c r="T536" s="2">
        <v>1</v>
      </c>
      <c r="U536" s="2">
        <v>61.8</v>
      </c>
      <c r="V536" s="2">
        <v>58</v>
      </c>
      <c r="W536" s="2" t="s">
        <v>7862</v>
      </c>
      <c r="X536" s="2" t="s">
        <v>5405</v>
      </c>
      <c r="Y536" s="2">
        <v>23408</v>
      </c>
      <c r="Z536" s="19" t="str">
        <f>HYPERLINK("https://ssdweb.co/ssdweb/hd/Vision360.html?d=941400343&amp;zoomslide=1&amp;z=1941400343&amp;ISCONFIRM=0","VIDEO")</f>
        <v>VIDEO</v>
      </c>
      <c r="AA536" s="19" t="str">
        <f>HYPERLINK("https://ssdweb.co/ssdweb/CERTH/687591643.pdf","CERTI")</f>
        <v>CERTI</v>
      </c>
    </row>
    <row r="537" spans="1:27" ht="15" x14ac:dyDescent="0.25">
      <c r="A537" s="2">
        <v>532</v>
      </c>
      <c r="B537" s="39">
        <v>941190370</v>
      </c>
      <c r="C537" s="28" t="str">
        <f>HYPERLINK("https://pld.live/RapDetail.aspx?STONELIST=941190370","DNA")</f>
        <v>DNA</v>
      </c>
      <c r="D537" s="18" t="s">
        <v>711</v>
      </c>
      <c r="E537" s="18" t="s">
        <v>5128</v>
      </c>
      <c r="F537" s="2" t="s">
        <v>7987</v>
      </c>
      <c r="G537" s="2" t="s">
        <v>861</v>
      </c>
      <c r="H537" s="14">
        <v>1.52</v>
      </c>
      <c r="I537" s="2" t="s">
        <v>267</v>
      </c>
      <c r="J537" s="2" t="s">
        <v>3942</v>
      </c>
      <c r="K537" s="2" t="s">
        <v>5221</v>
      </c>
      <c r="L537" s="2" t="s">
        <v>5221</v>
      </c>
      <c r="M537" s="2" t="s">
        <v>5221</v>
      </c>
      <c r="N537" s="2" t="s">
        <v>2317</v>
      </c>
      <c r="O537" s="14">
        <v>15400</v>
      </c>
      <c r="P537" s="14">
        <v>98.98</v>
      </c>
      <c r="Q537" s="14">
        <v>157.08000000000001</v>
      </c>
      <c r="R537" s="14">
        <v>238.76</v>
      </c>
      <c r="S537" s="2" t="s">
        <v>2480</v>
      </c>
      <c r="T537" s="2">
        <v>1.01</v>
      </c>
      <c r="U537" s="2">
        <v>58.4</v>
      </c>
      <c r="V537" s="2">
        <v>62</v>
      </c>
      <c r="W537" s="2" t="s">
        <v>7862</v>
      </c>
      <c r="X537" s="2" t="s">
        <v>5405</v>
      </c>
      <c r="Y537" s="2">
        <v>23408</v>
      </c>
      <c r="Z537" s="19" t="str">
        <f>HYPERLINK("https://ssdweb.co/ssdweb/hd/Vision360.html?d=941190370&amp;zoomslide=1&amp;z=1941190370&amp;ISCONFIRM=0","VIDEO")</f>
        <v>VIDEO</v>
      </c>
      <c r="AA537" s="19" t="str">
        <f>HYPERLINK("https://ssdweb.co/ssdweb/CERTH/677510608.pdf","CERTI")</f>
        <v>CERTI</v>
      </c>
    </row>
    <row r="538" spans="1:27" ht="15" x14ac:dyDescent="0.25">
      <c r="A538" s="2">
        <v>533</v>
      </c>
      <c r="B538" s="39">
        <v>925720298</v>
      </c>
      <c r="C538" s="28" t="str">
        <f>HYPERLINK("https://pld.live/RapDetail.aspx?STONELIST=925720298","DNA")</f>
        <v>DNA</v>
      </c>
      <c r="D538" s="18" t="s">
        <v>711</v>
      </c>
      <c r="E538" s="18" t="s">
        <v>5128</v>
      </c>
      <c r="F538" s="2" t="s">
        <v>5597</v>
      </c>
      <c r="G538" s="2" t="s">
        <v>861</v>
      </c>
      <c r="H538" s="14">
        <v>1.52</v>
      </c>
      <c r="I538" s="2" t="s">
        <v>267</v>
      </c>
      <c r="J538" s="2" t="s">
        <v>3942</v>
      </c>
      <c r="K538" s="2" t="s">
        <v>5221</v>
      </c>
      <c r="L538" s="2" t="s">
        <v>5221</v>
      </c>
      <c r="M538" s="2" t="s">
        <v>5221</v>
      </c>
      <c r="N538" s="2" t="s">
        <v>2317</v>
      </c>
      <c r="O538" s="14">
        <v>15400</v>
      </c>
      <c r="P538" s="14">
        <v>98.19</v>
      </c>
      <c r="Q538" s="14">
        <v>278.74</v>
      </c>
      <c r="R538" s="14">
        <v>423.68</v>
      </c>
      <c r="S538" s="2" t="s">
        <v>3464</v>
      </c>
      <c r="T538" s="2">
        <v>1.01</v>
      </c>
      <c r="U538" s="2">
        <v>62</v>
      </c>
      <c r="V538" s="2">
        <v>59</v>
      </c>
      <c r="W538" s="2" t="s">
        <v>7862</v>
      </c>
      <c r="X538" s="2" t="s">
        <v>5405</v>
      </c>
      <c r="Y538" s="2">
        <v>23408</v>
      </c>
      <c r="Z538" s="19" t="str">
        <f>HYPERLINK("https://ssdweb.co/ssdweb/hd/Vision360.html?d=925720298&amp;zoomslide=1&amp;z=1925720298&amp;ISCONFIRM=0","VIDEO")</f>
        <v>VIDEO</v>
      </c>
      <c r="AA538" s="19" t="str">
        <f>HYPERLINK("https://ssdweb.co/ssdweb/CERTH/6482571208.pdf","CERTI")</f>
        <v>CERTI</v>
      </c>
    </row>
    <row r="539" spans="1:27" ht="15" x14ac:dyDescent="0.25">
      <c r="A539" s="2">
        <v>534</v>
      </c>
      <c r="B539" s="39">
        <v>925270083</v>
      </c>
      <c r="C539" s="28" t="str">
        <f>HYPERLINK("https://pld.live/RapDetail.aspx?STONELIST=925270083","DNA")</f>
        <v>DNA</v>
      </c>
      <c r="D539" s="18" t="s">
        <v>711</v>
      </c>
      <c r="E539" s="18" t="s">
        <v>5128</v>
      </c>
      <c r="F539" s="2" t="s">
        <v>5597</v>
      </c>
      <c r="G539" s="2" t="s">
        <v>861</v>
      </c>
      <c r="H539" s="14">
        <v>1.52</v>
      </c>
      <c r="I539" s="2" t="s">
        <v>267</v>
      </c>
      <c r="J539" s="2" t="s">
        <v>13</v>
      </c>
      <c r="K539" s="2" t="s">
        <v>5221</v>
      </c>
      <c r="L539" s="2" t="s">
        <v>5221</v>
      </c>
      <c r="M539" s="2" t="s">
        <v>5221</v>
      </c>
      <c r="N539" s="2" t="s">
        <v>2317</v>
      </c>
      <c r="O539" s="14">
        <v>13400</v>
      </c>
      <c r="P539" s="14">
        <v>98.07</v>
      </c>
      <c r="Q539" s="14">
        <v>258.62</v>
      </c>
      <c r="R539" s="14">
        <v>393.1</v>
      </c>
      <c r="S539" s="2" t="s">
        <v>621</v>
      </c>
      <c r="T539" s="2">
        <v>1</v>
      </c>
      <c r="U539" s="2">
        <v>61.6</v>
      </c>
      <c r="V539" s="2">
        <v>56</v>
      </c>
      <c r="W539" s="2" t="s">
        <v>7862</v>
      </c>
      <c r="X539" s="2" t="s">
        <v>5405</v>
      </c>
      <c r="Y539" s="2">
        <v>20368</v>
      </c>
      <c r="Z539" s="19" t="str">
        <f>HYPERLINK("https://ssdweb.co/ssdweb/hd/Vision360.html?d=925270083&amp;zoomslide=1&amp;z=1925270083&amp;ISCONFIRM=0","VIDEO")</f>
        <v>VIDEO</v>
      </c>
      <c r="AA539" s="19" t="str">
        <f>HYPERLINK("https://ssdweb.co/ssdweb/CERTH/6482198784.pdf","CERTI")</f>
        <v>CERTI</v>
      </c>
    </row>
    <row r="540" spans="1:27" ht="15" x14ac:dyDescent="0.25">
      <c r="A540" s="2">
        <v>535</v>
      </c>
      <c r="B540" s="39">
        <v>941190457</v>
      </c>
      <c r="C540" s="28" t="str">
        <f>HYPERLINK("https://pld.live/RapDetail.aspx?STONELIST=941190457","DNA")</f>
        <v>DNA</v>
      </c>
      <c r="D540" s="18" t="s">
        <v>711</v>
      </c>
      <c r="E540" s="18" t="s">
        <v>5128</v>
      </c>
      <c r="F540" s="2" t="s">
        <v>7987</v>
      </c>
      <c r="G540" s="2" t="s">
        <v>861</v>
      </c>
      <c r="H540" s="14">
        <v>1.52</v>
      </c>
      <c r="I540" s="2" t="s">
        <v>267</v>
      </c>
      <c r="J540" s="2" t="s">
        <v>5144</v>
      </c>
      <c r="K540" s="2" t="s">
        <v>3390</v>
      </c>
      <c r="L540" s="2" t="s">
        <v>5221</v>
      </c>
      <c r="M540" s="2" t="s">
        <v>5221</v>
      </c>
      <c r="N540" s="2" t="s">
        <v>2317</v>
      </c>
      <c r="O540" s="14">
        <v>12000</v>
      </c>
      <c r="P540" s="14">
        <v>98.89</v>
      </c>
      <c r="Q540" s="14">
        <v>133.19999999999999</v>
      </c>
      <c r="R540" s="14">
        <v>202.46</v>
      </c>
      <c r="S540" s="2" t="s">
        <v>5649</v>
      </c>
      <c r="T540" s="2">
        <v>1.01</v>
      </c>
      <c r="U540" s="2">
        <v>62.1</v>
      </c>
      <c r="V540" s="2">
        <v>58</v>
      </c>
      <c r="W540" s="2" t="s">
        <v>7862</v>
      </c>
      <c r="X540" s="2" t="s">
        <v>5405</v>
      </c>
      <c r="Y540" s="2">
        <v>18240</v>
      </c>
      <c r="Z540" s="19" t="str">
        <f>HYPERLINK("https://ssdweb.co/ssdweb/hd/Vision360.html?d=941190457&amp;zoomslide=1&amp;z=1941190457&amp;ISCONFIRM=0","VIDEO")</f>
        <v>VIDEO</v>
      </c>
      <c r="AA540" s="19" t="str">
        <f>HYPERLINK("https://ssdweb.co/ssdweb/CERTH/677510633.pdf","CERTI")</f>
        <v>CERTI</v>
      </c>
    </row>
    <row r="541" spans="1:27" ht="15" x14ac:dyDescent="0.25">
      <c r="A541" s="2">
        <v>536</v>
      </c>
      <c r="B541" s="39">
        <v>941400480</v>
      </c>
      <c r="C541" s="28" t="str">
        <f>HYPERLINK("https://pld.live/RapDetail.aspx?STONELIST=941400480","DNA")</f>
        <v>DNA</v>
      </c>
      <c r="D541" s="18" t="s">
        <v>711</v>
      </c>
      <c r="E541" s="18" t="s">
        <v>5128</v>
      </c>
      <c r="F541" s="2" t="s">
        <v>7987</v>
      </c>
      <c r="G541" s="2" t="s">
        <v>861</v>
      </c>
      <c r="H541" s="14">
        <v>1.52</v>
      </c>
      <c r="I541" s="2" t="s">
        <v>267</v>
      </c>
      <c r="J541" s="2" t="s">
        <v>5144</v>
      </c>
      <c r="K541" s="2" t="s">
        <v>3390</v>
      </c>
      <c r="L541" s="2" t="s">
        <v>5221</v>
      </c>
      <c r="M541" s="2" t="s">
        <v>5221</v>
      </c>
      <c r="N541" s="2" t="s">
        <v>2317</v>
      </c>
      <c r="O541" s="14">
        <v>12000</v>
      </c>
      <c r="P541" s="14">
        <v>98.89</v>
      </c>
      <c r="Q541" s="14">
        <v>133.19999999999999</v>
      </c>
      <c r="R541" s="14">
        <v>202.46</v>
      </c>
      <c r="S541" s="2" t="s">
        <v>6493</v>
      </c>
      <c r="T541" s="2">
        <v>1</v>
      </c>
      <c r="U541" s="2">
        <v>60.7</v>
      </c>
      <c r="V541" s="2">
        <v>60</v>
      </c>
      <c r="W541" s="2" t="s">
        <v>7862</v>
      </c>
      <c r="X541" s="2" t="s">
        <v>5405</v>
      </c>
      <c r="Y541" s="2">
        <v>18240</v>
      </c>
      <c r="Z541" s="19" t="str">
        <f>HYPERLINK("https://ssdweb.co/ssdweb/hd/Vision360.html?d=941400480&amp;zoomslide=1&amp;z=1941400480&amp;ISCONFIRM=0","VIDEO")</f>
        <v>VIDEO</v>
      </c>
      <c r="AA541" s="19" t="str">
        <f>HYPERLINK("https://ssdweb.co/ssdweb/CERTH/689543231.pdf","CERTI")</f>
        <v>CERTI</v>
      </c>
    </row>
    <row r="542" spans="1:27" ht="15" x14ac:dyDescent="0.25">
      <c r="A542" s="2">
        <v>537</v>
      </c>
      <c r="B542" s="39">
        <v>926960694</v>
      </c>
      <c r="C542" s="28" t="str">
        <f>HYPERLINK("https://pld.live/RapDetail.aspx?STONELIST=926960694","DNA")</f>
        <v>DNA</v>
      </c>
      <c r="D542" s="18" t="s">
        <v>711</v>
      </c>
      <c r="E542" s="18" t="s">
        <v>5128</v>
      </c>
      <c r="F542" s="2" t="s">
        <v>7987</v>
      </c>
      <c r="G542" s="2" t="s">
        <v>861</v>
      </c>
      <c r="H542" s="14">
        <v>1.52</v>
      </c>
      <c r="I542" s="2" t="s">
        <v>267</v>
      </c>
      <c r="J542" s="2" t="s">
        <v>5144</v>
      </c>
      <c r="K542" s="2" t="s">
        <v>5221</v>
      </c>
      <c r="L542" s="2" t="s">
        <v>5221</v>
      </c>
      <c r="M542" s="2" t="s">
        <v>5221</v>
      </c>
      <c r="N542" s="2" t="s">
        <v>2317</v>
      </c>
      <c r="O542" s="14">
        <v>12000</v>
      </c>
      <c r="P542" s="14">
        <v>98.9</v>
      </c>
      <c r="Q542" s="14">
        <v>132</v>
      </c>
      <c r="R542" s="14">
        <v>200.64</v>
      </c>
      <c r="S542" s="2" t="s">
        <v>6830</v>
      </c>
      <c r="T542" s="2">
        <v>1.01</v>
      </c>
      <c r="U542" s="2">
        <v>62.8</v>
      </c>
      <c r="V542" s="2">
        <v>58</v>
      </c>
      <c r="W542" s="2" t="s">
        <v>7862</v>
      </c>
      <c r="X542" s="2" t="s">
        <v>5405</v>
      </c>
      <c r="Y542" s="2">
        <v>18240</v>
      </c>
      <c r="Z542" s="19" t="str">
        <f>HYPERLINK("https://ssdweb.co/ssdweb/hd/Vision360.html?d=926960694&amp;zoomslide=1&amp;z=1926960694&amp;ISCONFIRM=0","VIDEO")</f>
        <v>VIDEO</v>
      </c>
      <c r="AA542" s="19" t="str">
        <f>HYPERLINK("https://ssdweb.co/ssdweb/CERTH/659437012.pdf","CERTI")</f>
        <v>CERTI</v>
      </c>
    </row>
    <row r="543" spans="1:27" ht="15" x14ac:dyDescent="0.25">
      <c r="A543" s="2">
        <v>538</v>
      </c>
      <c r="B543" s="39">
        <v>925620566</v>
      </c>
      <c r="C543" s="28" t="str">
        <f>HYPERLINK("https://pld.live/RapDetail.aspx?STONELIST=925620566","DNA")</f>
        <v>DNA</v>
      </c>
      <c r="D543" s="18" t="s">
        <v>711</v>
      </c>
      <c r="E543" s="18" t="s">
        <v>5128</v>
      </c>
      <c r="F543" s="2" t="s">
        <v>5597</v>
      </c>
      <c r="G543" s="2" t="s">
        <v>861</v>
      </c>
      <c r="H543" s="14">
        <v>1.52</v>
      </c>
      <c r="I543" s="2" t="s">
        <v>267</v>
      </c>
      <c r="J543" s="2" t="s">
        <v>5144</v>
      </c>
      <c r="K543" s="2" t="s">
        <v>5221</v>
      </c>
      <c r="L543" s="2" t="s">
        <v>5221</v>
      </c>
      <c r="M543" s="2" t="s">
        <v>5221</v>
      </c>
      <c r="N543" s="2" t="s">
        <v>2317</v>
      </c>
      <c r="O543" s="14">
        <v>12000</v>
      </c>
      <c r="P543" s="14">
        <v>98.04</v>
      </c>
      <c r="Q543" s="14">
        <v>235.2</v>
      </c>
      <c r="R543" s="14">
        <v>357.5</v>
      </c>
      <c r="S543" s="2" t="s">
        <v>6837</v>
      </c>
      <c r="T543" s="2">
        <v>1.01</v>
      </c>
      <c r="U543" s="2">
        <v>62.6</v>
      </c>
      <c r="V543" s="2">
        <v>57</v>
      </c>
      <c r="W543" s="2" t="s">
        <v>7862</v>
      </c>
      <c r="X543" s="2" t="s">
        <v>5405</v>
      </c>
      <c r="Y543" s="2">
        <v>18240</v>
      </c>
      <c r="Z543" s="19" t="str">
        <f>HYPERLINK("https://ssdweb.co/ssdweb/hd/Vision360.html?d=925620566&amp;zoomslide=1&amp;z=1925620566&amp;ISCONFIRM=0","VIDEO")</f>
        <v>VIDEO</v>
      </c>
      <c r="AA543" s="19" t="str">
        <f>HYPERLINK("https://ssdweb.co/ssdweb/CERTH/2484490202.pdf","CERTI")</f>
        <v>CERTI</v>
      </c>
    </row>
    <row r="544" spans="1:27" ht="15" x14ac:dyDescent="0.25">
      <c r="A544" s="2">
        <v>539</v>
      </c>
      <c r="B544" s="39">
        <v>927052029</v>
      </c>
      <c r="C544" s="28" t="str">
        <f>HYPERLINK("https://pld.live/RapDetail.aspx?STONELIST=927052029","DNA")</f>
        <v>DNA</v>
      </c>
      <c r="D544" s="18" t="s">
        <v>711</v>
      </c>
      <c r="E544" s="18" t="s">
        <v>5128</v>
      </c>
      <c r="F544" s="2" t="s">
        <v>7987</v>
      </c>
      <c r="G544" s="2" t="s">
        <v>861</v>
      </c>
      <c r="H544" s="14">
        <v>1.52</v>
      </c>
      <c r="I544" s="2" t="s">
        <v>267</v>
      </c>
      <c r="J544" s="2" t="s">
        <v>5144</v>
      </c>
      <c r="K544" s="2" t="s">
        <v>5221</v>
      </c>
      <c r="L544" s="2" t="s">
        <v>5221</v>
      </c>
      <c r="M544" s="2" t="s">
        <v>5221</v>
      </c>
      <c r="N544" s="2" t="s">
        <v>2317</v>
      </c>
      <c r="O544" s="14">
        <v>12000</v>
      </c>
      <c r="P544" s="14">
        <v>98.9</v>
      </c>
      <c r="Q544" s="14">
        <v>132</v>
      </c>
      <c r="R544" s="14">
        <v>200.64</v>
      </c>
      <c r="S544" s="2" t="s">
        <v>7236</v>
      </c>
      <c r="T544" s="2">
        <v>1.01</v>
      </c>
      <c r="U544" s="2">
        <v>58.4</v>
      </c>
      <c r="V544" s="2">
        <v>62</v>
      </c>
      <c r="W544" s="2" t="s">
        <v>7862</v>
      </c>
      <c r="X544" s="2" t="s">
        <v>5405</v>
      </c>
      <c r="Y544" s="2">
        <v>18240</v>
      </c>
      <c r="Z544" s="19" t="str">
        <f>HYPERLINK("https://ssdweb.co/ssdweb/hd/Vision360.html?d=927052029&amp;zoomslide=1&amp;z=1927052029&amp;ISCONFIRM=0","VIDEO")</f>
        <v>VIDEO</v>
      </c>
      <c r="AA544" s="19" t="str">
        <f>HYPERLINK("https://ssdweb.co/ssdweb/CERTH/662473911.pdf","CERTI")</f>
        <v>CERTI</v>
      </c>
    </row>
    <row r="545" spans="1:27" ht="15" x14ac:dyDescent="0.25">
      <c r="A545" s="2">
        <v>540</v>
      </c>
      <c r="B545" s="39">
        <v>941400280</v>
      </c>
      <c r="C545" s="28" t="str">
        <f>HYPERLINK("https://pld.live/RapDetail.aspx?STONELIST=941400280","DNA")</f>
        <v>DNA</v>
      </c>
      <c r="D545" s="18" t="s">
        <v>711</v>
      </c>
      <c r="E545" s="18" t="s">
        <v>5128</v>
      </c>
      <c r="F545" s="2" t="s">
        <v>7987</v>
      </c>
      <c r="G545" s="2" t="s">
        <v>861</v>
      </c>
      <c r="H545" s="14">
        <v>1.52</v>
      </c>
      <c r="I545" s="2" t="s">
        <v>4761</v>
      </c>
      <c r="J545" s="2" t="s">
        <v>6555</v>
      </c>
      <c r="K545" s="2" t="s">
        <v>3390</v>
      </c>
      <c r="L545" s="2" t="s">
        <v>5221</v>
      </c>
      <c r="M545" s="2" t="s">
        <v>5221</v>
      </c>
      <c r="N545" s="2" t="s">
        <v>2317</v>
      </c>
      <c r="O545" s="14">
        <v>17300</v>
      </c>
      <c r="P545" s="14">
        <v>99.1</v>
      </c>
      <c r="Q545" s="14">
        <v>155.69999999999999</v>
      </c>
      <c r="R545" s="14">
        <v>236.66</v>
      </c>
      <c r="S545" s="2" t="s">
        <v>626</v>
      </c>
      <c r="T545" s="2">
        <v>1</v>
      </c>
      <c r="U545" s="2">
        <v>60.8</v>
      </c>
      <c r="V545" s="2">
        <v>59</v>
      </c>
      <c r="W545" s="2" t="s">
        <v>7862</v>
      </c>
      <c r="X545" s="2" t="s">
        <v>5405</v>
      </c>
      <c r="Y545" s="2">
        <v>26296</v>
      </c>
      <c r="Z545" s="19" t="str">
        <f>HYPERLINK("https://ssdweb.co/ssdweb/hd/Vision360.html?d=941400280&amp;zoomslide=1&amp;z=1941400280&amp;ISCONFIRM=0","VIDEO")</f>
        <v>VIDEO</v>
      </c>
      <c r="AA545" s="19" t="str">
        <f>HYPERLINK("https://ssdweb.co/ssdweb/CERTH/687560942.pdf","CERTI")</f>
        <v>CERTI</v>
      </c>
    </row>
    <row r="546" spans="1:27" ht="15" x14ac:dyDescent="0.25">
      <c r="A546" s="2">
        <v>541</v>
      </c>
      <c r="B546" s="39">
        <v>941400120</v>
      </c>
      <c r="C546" s="28" t="str">
        <f>HYPERLINK("https://pld.live/RapDetail.aspx?STONELIST=941400120","DNA")</f>
        <v>DNA</v>
      </c>
      <c r="D546" s="18" t="s">
        <v>711</v>
      </c>
      <c r="E546" s="18" t="s">
        <v>5128</v>
      </c>
      <c r="F546" s="2" t="s">
        <v>7987</v>
      </c>
      <c r="G546" s="2" t="s">
        <v>861</v>
      </c>
      <c r="H546" s="14">
        <v>1.52</v>
      </c>
      <c r="I546" s="2" t="s">
        <v>4761</v>
      </c>
      <c r="J546" s="2" t="s">
        <v>6555</v>
      </c>
      <c r="K546" s="2" t="s">
        <v>3390</v>
      </c>
      <c r="L546" s="2" t="s">
        <v>5221</v>
      </c>
      <c r="M546" s="2" t="s">
        <v>5221</v>
      </c>
      <c r="N546" s="2" t="s">
        <v>2317</v>
      </c>
      <c r="O546" s="14">
        <v>17300</v>
      </c>
      <c r="P546" s="14">
        <v>99.1</v>
      </c>
      <c r="Q546" s="14">
        <v>155.69999999999999</v>
      </c>
      <c r="R546" s="14">
        <v>236.66</v>
      </c>
      <c r="S546" s="2" t="s">
        <v>4752</v>
      </c>
      <c r="T546" s="2">
        <v>1.01</v>
      </c>
      <c r="U546" s="2">
        <v>60.3</v>
      </c>
      <c r="V546" s="2">
        <v>59</v>
      </c>
      <c r="W546" s="2" t="s">
        <v>7862</v>
      </c>
      <c r="X546" s="2" t="s">
        <v>5405</v>
      </c>
      <c r="Y546" s="2">
        <v>26296</v>
      </c>
      <c r="Z546" s="19" t="str">
        <f>HYPERLINK("https://ssdweb.co/ssdweb/hd/Vision360.html?d=941400120&amp;zoomslide=1&amp;z=1941400120&amp;ISCONFIRM=0","VIDEO")</f>
        <v>VIDEO</v>
      </c>
      <c r="AA546" s="19" t="str">
        <f>HYPERLINK("https://ssdweb.co/ssdweb/CERTH/687560959.pdf","CERTI")</f>
        <v>CERTI</v>
      </c>
    </row>
    <row r="547" spans="1:27" ht="15" x14ac:dyDescent="0.25">
      <c r="A547" s="2">
        <v>542</v>
      </c>
      <c r="B547" s="39">
        <v>926201173</v>
      </c>
      <c r="C547" s="28" t="str">
        <f>HYPERLINK("https://pld.live/RapDetail.aspx?STONELIST=926201173","DNA")</f>
        <v>DNA</v>
      </c>
      <c r="D547" s="18" t="s">
        <v>711</v>
      </c>
      <c r="E547" s="18" t="s">
        <v>5128</v>
      </c>
      <c r="F547" s="2" t="s">
        <v>7987</v>
      </c>
      <c r="G547" s="2" t="s">
        <v>861</v>
      </c>
      <c r="H547" s="14">
        <v>1.52</v>
      </c>
      <c r="I547" s="2" t="s">
        <v>4761</v>
      </c>
      <c r="J547" s="2" t="s">
        <v>6555</v>
      </c>
      <c r="K547" s="2" t="s">
        <v>5221</v>
      </c>
      <c r="L547" s="2" t="s">
        <v>5221</v>
      </c>
      <c r="M547" s="2" t="s">
        <v>5221</v>
      </c>
      <c r="N547" s="2" t="s">
        <v>2317</v>
      </c>
      <c r="O547" s="14">
        <v>17300</v>
      </c>
      <c r="P547" s="14">
        <v>99.12</v>
      </c>
      <c r="Q547" s="14">
        <v>152.24</v>
      </c>
      <c r="R547" s="14">
        <v>231.4</v>
      </c>
      <c r="S547" s="2" t="s">
        <v>6282</v>
      </c>
      <c r="T547" s="2">
        <v>1.01</v>
      </c>
      <c r="U547" s="2">
        <v>62.4</v>
      </c>
      <c r="V547" s="2">
        <v>57</v>
      </c>
      <c r="W547" s="2" t="s">
        <v>7862</v>
      </c>
      <c r="X547" s="2" t="s">
        <v>5405</v>
      </c>
      <c r="Y547" s="2">
        <v>26296</v>
      </c>
      <c r="Z547" s="19" t="str">
        <f>HYPERLINK("https://ssdweb.co/ssdweb/hd/Vision360.html?d=926201173&amp;zoomslide=1&amp;z=1926201173&amp;ISCONFIRM=0","VIDEO")</f>
        <v>VIDEO</v>
      </c>
      <c r="AA547" s="19" t="str">
        <f>HYPERLINK("https://ssdweb.co/ssdweb/CERTH/638463341.pdf","CERTI")</f>
        <v>CERTI</v>
      </c>
    </row>
    <row r="548" spans="1:27" ht="15" x14ac:dyDescent="0.25">
      <c r="A548" s="2">
        <v>543</v>
      </c>
      <c r="B548" s="39">
        <v>941400230</v>
      </c>
      <c r="C548" s="28" t="str">
        <f>HYPERLINK("https://pld.live/RapDetail.aspx?STONELIST=941400230","DNA")</f>
        <v>DNA</v>
      </c>
      <c r="D548" s="18" t="s">
        <v>711</v>
      </c>
      <c r="E548" s="18" t="s">
        <v>5128</v>
      </c>
      <c r="F548" s="2" t="s">
        <v>7987</v>
      </c>
      <c r="G548" s="2" t="s">
        <v>861</v>
      </c>
      <c r="H548" s="14">
        <v>1.52</v>
      </c>
      <c r="I548" s="2" t="s">
        <v>4761</v>
      </c>
      <c r="J548" s="2" t="s">
        <v>3942</v>
      </c>
      <c r="K548" s="2" t="s">
        <v>3390</v>
      </c>
      <c r="L548" s="2" t="s">
        <v>5221</v>
      </c>
      <c r="M548" s="2" t="s">
        <v>5221</v>
      </c>
      <c r="N548" s="2" t="s">
        <v>2317</v>
      </c>
      <c r="O548" s="14">
        <v>14300</v>
      </c>
      <c r="P548" s="14">
        <v>98.93</v>
      </c>
      <c r="Q548" s="14">
        <v>153.01</v>
      </c>
      <c r="R548" s="14">
        <v>232.58</v>
      </c>
      <c r="S548" s="2" t="s">
        <v>4166</v>
      </c>
      <c r="T548" s="2">
        <v>1.01</v>
      </c>
      <c r="U548" s="2">
        <v>61.2</v>
      </c>
      <c r="V548" s="2">
        <v>59</v>
      </c>
      <c r="W548" s="2" t="s">
        <v>7862</v>
      </c>
      <c r="X548" s="2" t="s">
        <v>5405</v>
      </c>
      <c r="Y548" s="2">
        <v>21736</v>
      </c>
      <c r="Z548" s="19" t="str">
        <f>HYPERLINK("https://ssdweb.co/ssdweb/hd/Vision360.html?d=941400230&amp;zoomslide=1&amp;z=1941400230&amp;ISCONFIRM=0","VIDEO")</f>
        <v>VIDEO</v>
      </c>
      <c r="AA548" s="19" t="str">
        <f>HYPERLINK("https://ssdweb.co/ssdweb/CERTH/687560937.pdf","CERTI")</f>
        <v>CERTI</v>
      </c>
    </row>
    <row r="549" spans="1:27" ht="15" x14ac:dyDescent="0.25">
      <c r="A549" s="2">
        <v>544</v>
      </c>
      <c r="B549" s="39">
        <v>941400264</v>
      </c>
      <c r="C549" s="28" t="str">
        <f>HYPERLINK("https://pld.live/RapDetail.aspx?STONELIST=941400264","DNA")</f>
        <v>DNA</v>
      </c>
      <c r="D549" s="18" t="s">
        <v>711</v>
      </c>
      <c r="E549" s="18" t="s">
        <v>5128</v>
      </c>
      <c r="F549" s="2" t="s">
        <v>7987</v>
      </c>
      <c r="G549" s="2" t="s">
        <v>861</v>
      </c>
      <c r="H549" s="14">
        <v>1.52</v>
      </c>
      <c r="I549" s="2" t="s">
        <v>4761</v>
      </c>
      <c r="J549" s="2" t="s">
        <v>3942</v>
      </c>
      <c r="K549" s="2" t="s">
        <v>3390</v>
      </c>
      <c r="L549" s="2" t="s">
        <v>5221</v>
      </c>
      <c r="M549" s="2" t="s">
        <v>5221</v>
      </c>
      <c r="N549" s="2" t="s">
        <v>2317</v>
      </c>
      <c r="O549" s="14">
        <v>14300</v>
      </c>
      <c r="P549" s="14">
        <v>98.93</v>
      </c>
      <c r="Q549" s="14">
        <v>153.01</v>
      </c>
      <c r="R549" s="14">
        <v>232.58</v>
      </c>
      <c r="S549" s="2" t="s">
        <v>5126</v>
      </c>
      <c r="T549" s="2">
        <v>1</v>
      </c>
      <c r="U549" s="2">
        <v>61.3</v>
      </c>
      <c r="V549" s="2">
        <v>59</v>
      </c>
      <c r="W549" s="2" t="s">
        <v>7862</v>
      </c>
      <c r="X549" s="2" t="s">
        <v>5405</v>
      </c>
      <c r="Y549" s="2">
        <v>21736</v>
      </c>
      <c r="Z549" s="19" t="str">
        <f>HYPERLINK("https://ssdweb.co/ssdweb/hd/Vision360.html?d=941400264&amp;zoomslide=1&amp;z=1941400264&amp;ISCONFIRM=0","VIDEO")</f>
        <v>VIDEO</v>
      </c>
      <c r="AA549" s="19" t="str">
        <f>HYPERLINK("https://ssdweb.co/ssdweb/CERTH/687560941.pdf","CERTI")</f>
        <v>CERTI</v>
      </c>
    </row>
    <row r="550" spans="1:27" ht="15" x14ac:dyDescent="0.25">
      <c r="A550" s="2">
        <v>545</v>
      </c>
      <c r="B550" s="39">
        <v>941400358</v>
      </c>
      <c r="C550" s="28" t="str">
        <f>HYPERLINK("https://pld.live/RapDetail.aspx?STONELIST=941400358","DNA")</f>
        <v>DNA</v>
      </c>
      <c r="D550" s="18" t="s">
        <v>711</v>
      </c>
      <c r="E550" s="18" t="s">
        <v>5128</v>
      </c>
      <c r="F550" s="2" t="s">
        <v>7987</v>
      </c>
      <c r="G550" s="2" t="s">
        <v>861</v>
      </c>
      <c r="H550" s="14">
        <v>1.52</v>
      </c>
      <c r="I550" s="2" t="s">
        <v>4761</v>
      </c>
      <c r="J550" s="2" t="s">
        <v>3942</v>
      </c>
      <c r="K550" s="2" t="s">
        <v>3390</v>
      </c>
      <c r="L550" s="2" t="s">
        <v>5221</v>
      </c>
      <c r="M550" s="2" t="s">
        <v>5221</v>
      </c>
      <c r="N550" s="2" t="s">
        <v>2317</v>
      </c>
      <c r="O550" s="14">
        <v>14300</v>
      </c>
      <c r="P550" s="14">
        <v>98.93</v>
      </c>
      <c r="Q550" s="14">
        <v>153.01</v>
      </c>
      <c r="R550" s="14">
        <v>232.58</v>
      </c>
      <c r="S550" s="2" t="s">
        <v>462</v>
      </c>
      <c r="T550" s="2">
        <v>1</v>
      </c>
      <c r="U550" s="2">
        <v>60.7</v>
      </c>
      <c r="V550" s="2">
        <v>59</v>
      </c>
      <c r="W550" s="2" t="s">
        <v>7862</v>
      </c>
      <c r="X550" s="2" t="s">
        <v>5405</v>
      </c>
      <c r="Y550" s="2">
        <v>21736</v>
      </c>
      <c r="Z550" s="19" t="str">
        <f>HYPERLINK("https://ssdweb.co/ssdweb/hd/Vision360.html?d=941400358&amp;zoomslide=1&amp;z=1941400358&amp;ISCONFIRM=0","VIDEO")</f>
        <v>VIDEO</v>
      </c>
      <c r="AA550" s="19" t="str">
        <f>HYPERLINK("https://ssdweb.co/ssdweb/CERTH/687591646.pdf","CERTI")</f>
        <v>CERTI</v>
      </c>
    </row>
    <row r="551" spans="1:27" ht="15" x14ac:dyDescent="0.25">
      <c r="A551" s="2">
        <v>546</v>
      </c>
      <c r="B551" s="39">
        <v>941160161</v>
      </c>
      <c r="C551" s="28" t="str">
        <f>HYPERLINK("https://pld.live/RapDetail.aspx?STONELIST=941160161","DNA")</f>
        <v>DNA</v>
      </c>
      <c r="D551" s="18" t="s">
        <v>711</v>
      </c>
      <c r="E551" s="18" t="s">
        <v>5128</v>
      </c>
      <c r="F551" s="2" t="s">
        <v>7987</v>
      </c>
      <c r="G551" s="2" t="s">
        <v>861</v>
      </c>
      <c r="H551" s="14">
        <v>1.52</v>
      </c>
      <c r="I551" s="2" t="s">
        <v>4761</v>
      </c>
      <c r="J551" s="2" t="s">
        <v>13</v>
      </c>
      <c r="K551" s="2" t="s">
        <v>3390</v>
      </c>
      <c r="L551" s="2" t="s">
        <v>5221</v>
      </c>
      <c r="M551" s="2" t="s">
        <v>5221</v>
      </c>
      <c r="N551" s="2" t="s">
        <v>2317</v>
      </c>
      <c r="O551" s="14">
        <v>12200</v>
      </c>
      <c r="P551" s="14">
        <v>98.81</v>
      </c>
      <c r="Q551" s="14">
        <v>145.18</v>
      </c>
      <c r="R551" s="14">
        <v>220.67</v>
      </c>
      <c r="S551" s="2" t="s">
        <v>1434</v>
      </c>
      <c r="T551" s="2">
        <v>1</v>
      </c>
      <c r="U551" s="2">
        <v>61.3</v>
      </c>
      <c r="V551" s="2">
        <v>58</v>
      </c>
      <c r="W551" s="2" t="s">
        <v>7862</v>
      </c>
      <c r="X551" s="2" t="s">
        <v>5405</v>
      </c>
      <c r="Y551" s="2">
        <v>18544</v>
      </c>
      <c r="Z551" s="19" t="str">
        <f>HYPERLINK("https://ssdweb.co/ssdweb/hd/Vision360.html?d=941160161&amp;zoomslide=1&amp;z=1941160161&amp;ISCONFIRM=0","VIDEO")</f>
        <v>VIDEO</v>
      </c>
      <c r="AA551" s="19" t="str">
        <f>HYPERLINK("https://ssdweb.co/ssdweb/CERTH/671477257.pdf","CERTI")</f>
        <v>CERTI</v>
      </c>
    </row>
    <row r="552" spans="1:27" ht="15" x14ac:dyDescent="0.25">
      <c r="A552" s="2">
        <v>547</v>
      </c>
      <c r="B552" s="39">
        <v>927051773</v>
      </c>
      <c r="C552" s="28" t="str">
        <f>HYPERLINK("https://pld.live/RapDetail.aspx?STONELIST=927051773","DNA")</f>
        <v>DNA</v>
      </c>
      <c r="D552" s="18" t="s">
        <v>711</v>
      </c>
      <c r="E552" s="18" t="s">
        <v>5128</v>
      </c>
      <c r="F552" s="2" t="s">
        <v>7987</v>
      </c>
      <c r="G552" s="2" t="s">
        <v>861</v>
      </c>
      <c r="H552" s="14">
        <v>1.52</v>
      </c>
      <c r="I552" s="2" t="s">
        <v>4761</v>
      </c>
      <c r="J552" s="2" t="s">
        <v>5144</v>
      </c>
      <c r="K552" s="2" t="s">
        <v>3390</v>
      </c>
      <c r="L552" s="2" t="s">
        <v>5221</v>
      </c>
      <c r="M552" s="2" t="s">
        <v>5221</v>
      </c>
      <c r="N552" s="2" t="s">
        <v>2317</v>
      </c>
      <c r="O552" s="14">
        <v>11000</v>
      </c>
      <c r="P552" s="14">
        <v>98.82</v>
      </c>
      <c r="Q552" s="14">
        <v>129.80000000000001</v>
      </c>
      <c r="R552" s="14">
        <v>197.3</v>
      </c>
      <c r="S552" s="2" t="s">
        <v>6252</v>
      </c>
      <c r="T552" s="2">
        <v>1.01</v>
      </c>
      <c r="U552" s="2">
        <v>61.5</v>
      </c>
      <c r="V552" s="2">
        <v>59</v>
      </c>
      <c r="W552" s="2" t="s">
        <v>7862</v>
      </c>
      <c r="X552" s="2" t="s">
        <v>5405</v>
      </c>
      <c r="Y552" s="2">
        <v>16720</v>
      </c>
      <c r="Z552" s="19" t="str">
        <f>HYPERLINK("https://ssdweb.co/ssdweb/hd/Vision360.html?d=927051773&amp;zoomslide=1&amp;z=1927051773&amp;ISCONFIRM=0","VIDEO")</f>
        <v>VIDEO</v>
      </c>
      <c r="AA552" s="19" t="str">
        <f>HYPERLINK("https://ssdweb.co/ssdweb/CERTH/662473910.pdf","CERTI")</f>
        <v>CERTI</v>
      </c>
    </row>
    <row r="553" spans="1:27" ht="15" x14ac:dyDescent="0.25">
      <c r="A553" s="2">
        <v>548</v>
      </c>
      <c r="B553" s="39">
        <v>924700057</v>
      </c>
      <c r="C553" s="28" t="str">
        <f>HYPERLINK("https://pld.live/RapDetail.aspx?STONELIST=924700057","DNA")</f>
        <v>DNA</v>
      </c>
      <c r="D553" s="18" t="s">
        <v>711</v>
      </c>
      <c r="E553" s="18" t="s">
        <v>5128</v>
      </c>
      <c r="F553" s="2" t="s">
        <v>5597</v>
      </c>
      <c r="G553" s="2" t="s">
        <v>861</v>
      </c>
      <c r="H553" s="14">
        <v>1.52</v>
      </c>
      <c r="I553" s="2" t="s">
        <v>4699</v>
      </c>
      <c r="J553" s="2" t="s">
        <v>7032</v>
      </c>
      <c r="K553" s="2" t="s">
        <v>5221</v>
      </c>
      <c r="L553" s="2" t="s">
        <v>5221</v>
      </c>
      <c r="M553" s="2" t="s">
        <v>5221</v>
      </c>
      <c r="N553" s="2" t="s">
        <v>2317</v>
      </c>
      <c r="O553" s="14">
        <v>16400</v>
      </c>
      <c r="P553" s="14">
        <v>96.91</v>
      </c>
      <c r="Q553" s="14">
        <v>506.76</v>
      </c>
      <c r="R553" s="14">
        <v>770.28</v>
      </c>
      <c r="S553" s="2" t="s">
        <v>6012</v>
      </c>
      <c r="T553" s="2">
        <v>1</v>
      </c>
      <c r="U553" s="2">
        <v>62.1</v>
      </c>
      <c r="V553" s="2">
        <v>58</v>
      </c>
      <c r="W553" s="2" t="s">
        <v>7862</v>
      </c>
      <c r="X553" s="2" t="s">
        <v>5405</v>
      </c>
      <c r="Y553" s="2">
        <v>24928</v>
      </c>
      <c r="Z553" s="19" t="str">
        <f>HYPERLINK("https://ssdweb.co/ssdweb/hd/Vision360.html?d=924700057&amp;zoomslide=1&amp;z=1924700057&amp;ISCONFIRM=0","VIDEO")</f>
        <v>VIDEO</v>
      </c>
      <c r="AA553" s="19" t="str">
        <f>HYPERLINK("https://ssdweb.co/ssdweb/CERTH/1475497468.pdf","CERTI")</f>
        <v>CERTI</v>
      </c>
    </row>
    <row r="554" spans="1:27" ht="15" x14ac:dyDescent="0.25">
      <c r="A554" s="2">
        <v>549</v>
      </c>
      <c r="B554" s="39">
        <v>941400289</v>
      </c>
      <c r="C554" s="28" t="str">
        <f>HYPERLINK("https://pld.live/RapDetail.aspx?STONELIST=941400289","DNA")</f>
        <v>DNA</v>
      </c>
      <c r="D554" s="18" t="s">
        <v>711</v>
      </c>
      <c r="E554" s="18" t="s">
        <v>5128</v>
      </c>
      <c r="F554" s="2" t="s">
        <v>7987</v>
      </c>
      <c r="G554" s="2" t="s">
        <v>861</v>
      </c>
      <c r="H554" s="14">
        <v>1.51</v>
      </c>
      <c r="I554" s="2" t="s">
        <v>267</v>
      </c>
      <c r="J554" s="2" t="s">
        <v>3942</v>
      </c>
      <c r="K554" s="2" t="s">
        <v>3390</v>
      </c>
      <c r="L554" s="2" t="s">
        <v>5221</v>
      </c>
      <c r="M554" s="2" t="s">
        <v>5221</v>
      </c>
      <c r="N554" s="2" t="s">
        <v>2317</v>
      </c>
      <c r="O554" s="14">
        <v>15400</v>
      </c>
      <c r="P554" s="14">
        <v>98.98</v>
      </c>
      <c r="Q554" s="14">
        <v>157.08000000000001</v>
      </c>
      <c r="R554" s="14">
        <v>237.19</v>
      </c>
      <c r="S554" s="2" t="s">
        <v>2422</v>
      </c>
      <c r="T554" s="2">
        <v>1.01</v>
      </c>
      <c r="U554" s="2">
        <v>61.2</v>
      </c>
      <c r="V554" s="2">
        <v>59</v>
      </c>
      <c r="W554" s="2" t="s">
        <v>7862</v>
      </c>
      <c r="X554" s="2" t="s">
        <v>5405</v>
      </c>
      <c r="Y554" s="2">
        <v>23254</v>
      </c>
      <c r="Z554" s="19" t="str">
        <f>HYPERLINK("https://ssdweb.co/ssdweb/hd/Vision360.html?d=941400289&amp;zoomslide=1&amp;z=1941400289&amp;ISCONFIRM=0","VIDEO")</f>
        <v>VIDEO</v>
      </c>
      <c r="AA554" s="19" t="str">
        <f>HYPERLINK("https://ssdweb.co/ssdweb/CERTH/687560946.pdf","CERTI")</f>
        <v>CERTI</v>
      </c>
    </row>
    <row r="555" spans="1:27" ht="15" x14ac:dyDescent="0.25">
      <c r="A555" s="2">
        <v>550</v>
      </c>
      <c r="B555" s="39">
        <v>9414301333</v>
      </c>
      <c r="C555" s="28" t="str">
        <f>HYPERLINK("https://pld.live/RapDetail.aspx?STONELIST=9414301333","DNA")</f>
        <v>DNA</v>
      </c>
      <c r="D555" s="18" t="s">
        <v>711</v>
      </c>
      <c r="E555" s="18" t="s">
        <v>5128</v>
      </c>
      <c r="F555" s="2" t="s">
        <v>7987</v>
      </c>
      <c r="G555" s="2" t="s">
        <v>861</v>
      </c>
      <c r="H555" s="14">
        <v>1.51</v>
      </c>
      <c r="I555" s="2" t="s">
        <v>267</v>
      </c>
      <c r="J555" s="2" t="s">
        <v>3942</v>
      </c>
      <c r="K555" s="2" t="s">
        <v>3390</v>
      </c>
      <c r="L555" s="2" t="s">
        <v>5221</v>
      </c>
      <c r="M555" s="2" t="s">
        <v>5221</v>
      </c>
      <c r="N555" s="2" t="s">
        <v>2317</v>
      </c>
      <c r="O555" s="14">
        <v>15400</v>
      </c>
      <c r="P555" s="14">
        <v>98.98</v>
      </c>
      <c r="Q555" s="14">
        <v>157.08000000000001</v>
      </c>
      <c r="R555" s="14">
        <v>237.19</v>
      </c>
      <c r="S555" s="2" t="s">
        <v>6563</v>
      </c>
      <c r="T555" s="2">
        <v>1.01</v>
      </c>
      <c r="U555" s="2">
        <v>61.6</v>
      </c>
      <c r="V555" s="2">
        <v>58</v>
      </c>
      <c r="W555" s="2" t="s">
        <v>7862</v>
      </c>
      <c r="X555" s="2" t="s">
        <v>5405</v>
      </c>
      <c r="Y555" s="2">
        <v>23254</v>
      </c>
      <c r="Z555" s="19" t="str">
        <f>HYPERLINK("https://ssdweb.co/ssdweb/hd/Vision360.html?d=9414301333&amp;zoomslide=1&amp;z=19414301333&amp;ISCONFIRM=0","VIDEO")</f>
        <v>VIDEO</v>
      </c>
      <c r="AA555" s="19" t="str">
        <f>HYPERLINK("https://ssdweb.co/ssdweb/CERTH/694579612.pdf","CERTI")</f>
        <v>CERTI</v>
      </c>
    </row>
    <row r="556" spans="1:27" ht="15" x14ac:dyDescent="0.25">
      <c r="A556" s="2">
        <v>551</v>
      </c>
      <c r="B556" s="39">
        <v>924730084</v>
      </c>
      <c r="C556" s="28" t="str">
        <f>HYPERLINK("https://pld.live/RapDetail.aspx?STONELIST=924730084","DNA")</f>
        <v>DNA</v>
      </c>
      <c r="D556" s="18" t="s">
        <v>711</v>
      </c>
      <c r="E556" s="18" t="s">
        <v>5128</v>
      </c>
      <c r="F556" s="2" t="s">
        <v>5597</v>
      </c>
      <c r="G556" s="2" t="s">
        <v>861</v>
      </c>
      <c r="H556" s="14">
        <v>1.51</v>
      </c>
      <c r="I556" s="2" t="s">
        <v>267</v>
      </c>
      <c r="J556" s="2" t="s">
        <v>3942</v>
      </c>
      <c r="K556" s="2" t="s">
        <v>5221</v>
      </c>
      <c r="L556" s="2" t="s">
        <v>5221</v>
      </c>
      <c r="M556" s="2" t="s">
        <v>5221</v>
      </c>
      <c r="N556" s="2" t="s">
        <v>2317</v>
      </c>
      <c r="O556" s="14">
        <v>15400</v>
      </c>
      <c r="P556" s="14">
        <v>98.19</v>
      </c>
      <c r="Q556" s="14">
        <v>278.74</v>
      </c>
      <c r="R556" s="14">
        <v>420.9</v>
      </c>
      <c r="S556" s="2" t="s">
        <v>2988</v>
      </c>
      <c r="T556" s="2">
        <v>1.01</v>
      </c>
      <c r="U556" s="2">
        <v>61.7</v>
      </c>
      <c r="V556" s="2">
        <v>59</v>
      </c>
      <c r="W556" s="2" t="s">
        <v>7862</v>
      </c>
      <c r="X556" s="2" t="s">
        <v>5405</v>
      </c>
      <c r="Y556" s="2">
        <v>23254</v>
      </c>
      <c r="Z556" s="19" t="str">
        <f>HYPERLINK("https://ssdweb.co/ssdweb/hd/Vision360.html?d=924730084&amp;zoomslide=1&amp;z=1924730084&amp;ISCONFIRM=0","VIDEO")</f>
        <v>VIDEO</v>
      </c>
      <c r="AA556" s="19" t="str">
        <f>HYPERLINK("https://ssdweb.co/ssdweb/CERTH/1478519285.pdf","CERTI")</f>
        <v>CERTI</v>
      </c>
    </row>
    <row r="557" spans="1:27" ht="15" x14ac:dyDescent="0.25">
      <c r="A557" s="2">
        <v>552</v>
      </c>
      <c r="B557" s="39">
        <v>927130204</v>
      </c>
      <c r="C557" s="28" t="str">
        <f>HYPERLINK("https://pld.live/RapDetail.aspx?STONELIST=927130204","DNA")</f>
        <v>DNA</v>
      </c>
      <c r="D557" s="18" t="s">
        <v>711</v>
      </c>
      <c r="E557" s="18" t="s">
        <v>5128</v>
      </c>
      <c r="F557" s="2" t="s">
        <v>7987</v>
      </c>
      <c r="G557" s="2" t="s">
        <v>861</v>
      </c>
      <c r="H557" s="14">
        <v>1.51</v>
      </c>
      <c r="I557" s="2" t="s">
        <v>267</v>
      </c>
      <c r="J557" s="2" t="s">
        <v>3942</v>
      </c>
      <c r="K557" s="2" t="s">
        <v>5221</v>
      </c>
      <c r="L557" s="2" t="s">
        <v>5221</v>
      </c>
      <c r="M557" s="2" t="s">
        <v>5721</v>
      </c>
      <c r="N557" s="2" t="s">
        <v>2317</v>
      </c>
      <c r="O557" s="14">
        <v>15400</v>
      </c>
      <c r="P557" s="14">
        <v>98.99</v>
      </c>
      <c r="Q557" s="14">
        <v>155.54</v>
      </c>
      <c r="R557" s="14">
        <v>234.87</v>
      </c>
      <c r="S557" s="2" t="s">
        <v>2303</v>
      </c>
      <c r="T557" s="2">
        <v>1.01</v>
      </c>
      <c r="U557" s="2">
        <v>61.8</v>
      </c>
      <c r="V557" s="2">
        <v>58</v>
      </c>
      <c r="W557" s="2" t="s">
        <v>7862</v>
      </c>
      <c r="X557" s="2" t="s">
        <v>5405</v>
      </c>
      <c r="Y557" s="2">
        <v>23254</v>
      </c>
      <c r="Z557" s="19" t="str">
        <f>HYPERLINK("https://ssdweb.co/ssdweb/hd/Vision360.html?d=927130204&amp;zoomslide=1&amp;z=1927130204&amp;ISCONFIRM=0","VIDEO")</f>
        <v>VIDEO</v>
      </c>
      <c r="AA557" s="19" t="str">
        <f>HYPERLINK("https://ssdweb.co/ssdweb/CERTH/662473908.pdf","CERTI")</f>
        <v>CERTI</v>
      </c>
    </row>
    <row r="558" spans="1:27" ht="15" x14ac:dyDescent="0.25">
      <c r="A558" s="2">
        <v>553</v>
      </c>
      <c r="B558" s="39">
        <v>941400478</v>
      </c>
      <c r="C558" s="28" t="str">
        <f>HYPERLINK("https://pld.live/RapDetail.aspx?STONELIST=941400478","DNA")</f>
        <v>DNA</v>
      </c>
      <c r="D558" s="18" t="s">
        <v>711</v>
      </c>
      <c r="E558" s="18" t="s">
        <v>5128</v>
      </c>
      <c r="F558" s="2" t="s">
        <v>7987</v>
      </c>
      <c r="G558" s="2" t="s">
        <v>861</v>
      </c>
      <c r="H558" s="14">
        <v>1.51</v>
      </c>
      <c r="I558" s="2" t="s">
        <v>267</v>
      </c>
      <c r="J558" s="2" t="s">
        <v>13</v>
      </c>
      <c r="K558" s="2" t="s">
        <v>3390</v>
      </c>
      <c r="L558" s="2" t="s">
        <v>5221</v>
      </c>
      <c r="M558" s="2" t="s">
        <v>5221</v>
      </c>
      <c r="N558" s="2" t="s">
        <v>2317</v>
      </c>
      <c r="O558" s="14">
        <v>13400</v>
      </c>
      <c r="P558" s="14">
        <v>98.9</v>
      </c>
      <c r="Q558" s="14">
        <v>147.4</v>
      </c>
      <c r="R558" s="14">
        <v>222.57</v>
      </c>
      <c r="S558" s="2" t="s">
        <v>7611</v>
      </c>
      <c r="T558" s="2">
        <v>1.01</v>
      </c>
      <c r="U558" s="2">
        <v>62.2</v>
      </c>
      <c r="V558" s="2">
        <v>58</v>
      </c>
      <c r="W558" s="2" t="s">
        <v>7862</v>
      </c>
      <c r="X558" s="2" t="s">
        <v>5405</v>
      </c>
      <c r="Y558" s="2">
        <v>20234</v>
      </c>
      <c r="Z558" s="19" t="str">
        <f>HYPERLINK("https://ssdweb.co/ssdweb/hd/Vision360.html?d=941400478&amp;zoomslide=1&amp;z=1941400478&amp;ISCONFIRM=0","VIDEO")</f>
        <v>VIDEO</v>
      </c>
      <c r="AA558" s="19" t="str">
        <f>HYPERLINK("https://ssdweb.co/ssdweb/CERTH/687591665.pdf","CERTI")</f>
        <v>CERTI</v>
      </c>
    </row>
    <row r="559" spans="1:27" ht="15" x14ac:dyDescent="0.25">
      <c r="A559" s="2">
        <v>554</v>
      </c>
      <c r="B559" s="39">
        <v>926201175</v>
      </c>
      <c r="C559" s="28" t="str">
        <f>HYPERLINK("https://pld.live/RapDetail.aspx?STONELIST=926201175","DNA")</f>
        <v>DNA</v>
      </c>
      <c r="D559" s="18" t="s">
        <v>711</v>
      </c>
      <c r="E559" s="18" t="s">
        <v>5128</v>
      </c>
      <c r="F559" s="2" t="s">
        <v>7987</v>
      </c>
      <c r="G559" s="2" t="s">
        <v>861</v>
      </c>
      <c r="H559" s="14">
        <v>1.51</v>
      </c>
      <c r="I559" s="2" t="s">
        <v>267</v>
      </c>
      <c r="J559" s="2" t="s">
        <v>13</v>
      </c>
      <c r="K559" s="2" t="s">
        <v>5221</v>
      </c>
      <c r="L559" s="2" t="s">
        <v>5721</v>
      </c>
      <c r="M559" s="2" t="s">
        <v>5221</v>
      </c>
      <c r="N559" s="2" t="s">
        <v>2317</v>
      </c>
      <c r="O559" s="14">
        <v>13400</v>
      </c>
      <c r="P559" s="14">
        <v>98.93</v>
      </c>
      <c r="Q559" s="14">
        <v>143.38</v>
      </c>
      <c r="R559" s="14">
        <v>216.5</v>
      </c>
      <c r="S559" s="2" t="s">
        <v>3528</v>
      </c>
      <c r="T559" s="2">
        <v>1.01</v>
      </c>
      <c r="U559" s="2">
        <v>62.4</v>
      </c>
      <c r="V559" s="2">
        <v>57</v>
      </c>
      <c r="W559" s="2" t="s">
        <v>7862</v>
      </c>
      <c r="X559" s="2" t="s">
        <v>5405</v>
      </c>
      <c r="Y559" s="2">
        <v>20234</v>
      </c>
      <c r="Z559" s="19" t="str">
        <f>HYPERLINK("https://ssdweb.co/ssdweb/hd/Vision360.html?d=926201175&amp;zoomslide=1&amp;z=1926201175&amp;ISCONFIRM=0","VIDEO")</f>
        <v>VIDEO</v>
      </c>
      <c r="AA559" s="19" t="str">
        <f>HYPERLINK("https://ssdweb.co/ssdweb/CERTH/647451870.pdf","CERTI")</f>
        <v>CERTI</v>
      </c>
    </row>
    <row r="560" spans="1:27" ht="15" x14ac:dyDescent="0.25">
      <c r="A560" s="2">
        <v>555</v>
      </c>
      <c r="B560" s="39">
        <v>926630907</v>
      </c>
      <c r="C560" s="28" t="str">
        <f>HYPERLINK("https://pld.live/RapDetail.aspx?STONELIST=926630907","DNA")</f>
        <v>DNA</v>
      </c>
      <c r="D560" s="18" t="s">
        <v>711</v>
      </c>
      <c r="E560" s="18" t="s">
        <v>5128</v>
      </c>
      <c r="F560" s="2" t="s">
        <v>7987</v>
      </c>
      <c r="G560" s="2" t="s">
        <v>861</v>
      </c>
      <c r="H560" s="14">
        <v>1.51</v>
      </c>
      <c r="I560" s="2" t="s">
        <v>267</v>
      </c>
      <c r="J560" s="2" t="s">
        <v>5144</v>
      </c>
      <c r="K560" s="2" t="s">
        <v>5221</v>
      </c>
      <c r="L560" s="2" t="s">
        <v>5221</v>
      </c>
      <c r="M560" s="2" t="s">
        <v>5221</v>
      </c>
      <c r="N560" s="2" t="s">
        <v>2317</v>
      </c>
      <c r="O560" s="14">
        <v>12000</v>
      </c>
      <c r="P560" s="14">
        <v>98.91</v>
      </c>
      <c r="Q560" s="14">
        <v>130.80000000000001</v>
      </c>
      <c r="R560" s="14">
        <v>197.51</v>
      </c>
      <c r="S560" s="2" t="s">
        <v>1574</v>
      </c>
      <c r="T560" s="2">
        <v>1.01</v>
      </c>
      <c r="U560" s="2">
        <v>60.1</v>
      </c>
      <c r="V560" s="2">
        <v>59</v>
      </c>
      <c r="W560" s="2" t="s">
        <v>7862</v>
      </c>
      <c r="X560" s="2" t="s">
        <v>5405</v>
      </c>
      <c r="Y560" s="2">
        <v>18120</v>
      </c>
      <c r="Z560" s="19" t="str">
        <f>HYPERLINK("https://ssdweb.co/ssdweb/hd/Vision360.html?d=926630907&amp;zoomslide=1&amp;z=1926630907&amp;ISCONFIRM=0","VIDEO")</f>
        <v>VIDEO</v>
      </c>
      <c r="AA560" s="19" t="str">
        <f>HYPERLINK("https://ssdweb.co/ssdweb/CERTH/647451826.pdf","CERTI")</f>
        <v>CERTI</v>
      </c>
    </row>
    <row r="561" spans="1:27" ht="15" x14ac:dyDescent="0.25">
      <c r="A561" s="2">
        <v>556</v>
      </c>
      <c r="B561" s="39">
        <v>926201165</v>
      </c>
      <c r="C561" s="28" t="str">
        <f>HYPERLINK("https://pld.live/RapDetail.aspx?STONELIST=926201165","DNA")</f>
        <v>DNA</v>
      </c>
      <c r="D561" s="18" t="s">
        <v>711</v>
      </c>
      <c r="E561" s="18" t="s">
        <v>5128</v>
      </c>
      <c r="F561" s="2" t="s">
        <v>7987</v>
      </c>
      <c r="G561" s="2" t="s">
        <v>861</v>
      </c>
      <c r="H561" s="14">
        <v>1.51</v>
      </c>
      <c r="I561" s="2" t="s">
        <v>267</v>
      </c>
      <c r="J561" s="2" t="s">
        <v>5144</v>
      </c>
      <c r="K561" s="2" t="s">
        <v>5221</v>
      </c>
      <c r="L561" s="2" t="s">
        <v>5221</v>
      </c>
      <c r="M561" s="2" t="s">
        <v>5221</v>
      </c>
      <c r="N561" s="2" t="s">
        <v>2317</v>
      </c>
      <c r="O561" s="14">
        <v>12000</v>
      </c>
      <c r="P561" s="14">
        <v>98.91</v>
      </c>
      <c r="Q561" s="14">
        <v>130.80000000000001</v>
      </c>
      <c r="R561" s="14">
        <v>197.51</v>
      </c>
      <c r="S561" s="2" t="s">
        <v>1939</v>
      </c>
      <c r="T561" s="2">
        <v>1.01</v>
      </c>
      <c r="U561" s="2">
        <v>62.9</v>
      </c>
      <c r="V561" s="2">
        <v>55</v>
      </c>
      <c r="W561" s="2" t="s">
        <v>7862</v>
      </c>
      <c r="X561" s="2" t="s">
        <v>5405</v>
      </c>
      <c r="Y561" s="2">
        <v>18120</v>
      </c>
      <c r="Z561" s="19" t="str">
        <f>HYPERLINK("https://ssdweb.co/ssdweb/hd/Vision360.html?d=926201165&amp;zoomslide=1&amp;z=1926201165&amp;ISCONFIRM=0","VIDEO")</f>
        <v>VIDEO</v>
      </c>
      <c r="AA561" s="19" t="str">
        <f>HYPERLINK("https://ssdweb.co/ssdweb/CERTH/638463193.pdf","CERTI")</f>
        <v>CERTI</v>
      </c>
    </row>
    <row r="562" spans="1:27" ht="15" x14ac:dyDescent="0.25">
      <c r="A562" s="2">
        <v>557</v>
      </c>
      <c r="B562" s="39">
        <v>926101603</v>
      </c>
      <c r="C562" s="28" t="str">
        <f>HYPERLINK("https://pld.live/RapDetail.aspx?STONELIST=926101603","DNA")</f>
        <v>DNA</v>
      </c>
      <c r="D562" s="18" t="s">
        <v>711</v>
      </c>
      <c r="E562" s="18" t="s">
        <v>5128</v>
      </c>
      <c r="F562" s="2" t="s">
        <v>7987</v>
      </c>
      <c r="G562" s="2" t="s">
        <v>861</v>
      </c>
      <c r="H562" s="14">
        <v>1.51</v>
      </c>
      <c r="I562" s="2" t="s">
        <v>267</v>
      </c>
      <c r="J562" s="2" t="s">
        <v>5144</v>
      </c>
      <c r="K562" s="2" t="s">
        <v>5221</v>
      </c>
      <c r="L562" s="2" t="s">
        <v>5221</v>
      </c>
      <c r="M562" s="2" t="s">
        <v>5221</v>
      </c>
      <c r="N562" s="2" t="s">
        <v>2317</v>
      </c>
      <c r="O562" s="14">
        <v>12000</v>
      </c>
      <c r="P562" s="14">
        <v>98.91</v>
      </c>
      <c r="Q562" s="14">
        <v>130.80000000000001</v>
      </c>
      <c r="R562" s="14">
        <v>197.51</v>
      </c>
      <c r="S562" s="2" t="s">
        <v>7441</v>
      </c>
      <c r="T562" s="2">
        <v>1.01</v>
      </c>
      <c r="U562" s="2">
        <v>63.5</v>
      </c>
      <c r="V562" s="2">
        <v>59</v>
      </c>
      <c r="W562" s="2" t="s">
        <v>7862</v>
      </c>
      <c r="X562" s="2" t="s">
        <v>5405</v>
      </c>
      <c r="Y562" s="2">
        <v>18120</v>
      </c>
      <c r="Z562" s="19" t="str">
        <f>HYPERLINK("https://ssdweb.co/ssdweb/hd/Vision360.html?d=926101603&amp;zoomslide=1&amp;z=1926101603&amp;ISCONFIRM=0","VIDEO")</f>
        <v>VIDEO</v>
      </c>
      <c r="AA562" s="19" t="str">
        <f>HYPERLINK("https://ssdweb.co/ssdweb/CERTH/632421445.pdf","CERTI")</f>
        <v>CERTI</v>
      </c>
    </row>
    <row r="563" spans="1:27" ht="15" x14ac:dyDescent="0.25">
      <c r="A563" s="2">
        <v>558</v>
      </c>
      <c r="B563" s="39">
        <v>926171655</v>
      </c>
      <c r="C563" s="28" t="str">
        <f>HYPERLINK("https://pld.live/RapDetail.aspx?STONELIST=926171655","DNA")</f>
        <v>DNA</v>
      </c>
      <c r="D563" s="18" t="s">
        <v>711</v>
      </c>
      <c r="E563" s="18" t="s">
        <v>5128</v>
      </c>
      <c r="F563" s="2" t="s">
        <v>7987</v>
      </c>
      <c r="G563" s="2" t="s">
        <v>861</v>
      </c>
      <c r="H563" s="14">
        <v>1.51</v>
      </c>
      <c r="I563" s="2" t="s">
        <v>267</v>
      </c>
      <c r="J563" s="2" t="s">
        <v>444</v>
      </c>
      <c r="K563" s="2" t="s">
        <v>3390</v>
      </c>
      <c r="L563" s="2" t="s">
        <v>5221</v>
      </c>
      <c r="M563" s="2" t="s">
        <v>5221</v>
      </c>
      <c r="N563" s="2" t="s">
        <v>2317</v>
      </c>
      <c r="O563" s="14">
        <v>9600</v>
      </c>
      <c r="P563" s="14">
        <v>98.7</v>
      </c>
      <c r="Q563" s="14">
        <v>124.8</v>
      </c>
      <c r="R563" s="14">
        <v>188.45</v>
      </c>
      <c r="S563" s="2" t="s">
        <v>6559</v>
      </c>
      <c r="T563" s="2">
        <v>1.01</v>
      </c>
      <c r="U563" s="2">
        <v>62.4</v>
      </c>
      <c r="V563" s="2">
        <v>57</v>
      </c>
      <c r="W563" s="2" t="s">
        <v>7862</v>
      </c>
      <c r="X563" s="2" t="s">
        <v>5405</v>
      </c>
      <c r="Y563" s="2">
        <v>14496</v>
      </c>
      <c r="Z563" s="19" t="str">
        <f>HYPERLINK("https://ssdweb.co/ssdweb/hd/Vision360.html?d=926171655&amp;zoomslide=1&amp;z=1926171655&amp;ISCONFIRM=0","VIDEO")</f>
        <v>VIDEO</v>
      </c>
      <c r="AA563" s="19" t="str">
        <f>HYPERLINK("https://ssdweb.co/ssdweb/CERTH/647451865.pdf","CERTI")</f>
        <v>CERTI</v>
      </c>
    </row>
    <row r="564" spans="1:27" ht="15" x14ac:dyDescent="0.25">
      <c r="A564" s="2">
        <v>559</v>
      </c>
      <c r="B564" s="39">
        <v>926400541</v>
      </c>
      <c r="C564" s="28" t="str">
        <f>HYPERLINK("https://pld.live/RapDetail.aspx?STONELIST=926400541","DNA")</f>
        <v>DNA</v>
      </c>
      <c r="D564" s="18" t="s">
        <v>711</v>
      </c>
      <c r="E564" s="18" t="s">
        <v>5128</v>
      </c>
      <c r="F564" s="2" t="s">
        <v>7987</v>
      </c>
      <c r="G564" s="2" t="s">
        <v>861</v>
      </c>
      <c r="H564" s="14">
        <v>1.51</v>
      </c>
      <c r="I564" s="2" t="s">
        <v>4761</v>
      </c>
      <c r="J564" s="2" t="s">
        <v>6555</v>
      </c>
      <c r="K564" s="2" t="s">
        <v>5221</v>
      </c>
      <c r="L564" s="2" t="s">
        <v>5221</v>
      </c>
      <c r="M564" s="2" t="s">
        <v>5221</v>
      </c>
      <c r="N564" s="2" t="s">
        <v>2317</v>
      </c>
      <c r="O564" s="14">
        <v>17300</v>
      </c>
      <c r="P564" s="14">
        <v>99.12</v>
      </c>
      <c r="Q564" s="14">
        <v>152.24</v>
      </c>
      <c r="R564" s="14">
        <v>229.88</v>
      </c>
      <c r="S564" s="2" t="s">
        <v>3537</v>
      </c>
      <c r="T564" s="2">
        <v>1</v>
      </c>
      <c r="U564" s="2">
        <v>58.3</v>
      </c>
      <c r="V564" s="2">
        <v>61</v>
      </c>
      <c r="W564" s="2" t="s">
        <v>7862</v>
      </c>
      <c r="X564" s="2" t="s">
        <v>5405</v>
      </c>
      <c r="Y564" s="2">
        <v>26123</v>
      </c>
      <c r="Z564" s="19" t="str">
        <f>HYPERLINK("https://ssdweb.co/ssdweb/hd/Vision360.html?d=926400541&amp;zoomslide=1&amp;z=1926400541&amp;ISCONFIRM=0","VIDEO")</f>
        <v>VIDEO</v>
      </c>
      <c r="AA564" s="19" t="str">
        <f>HYPERLINK("https://ssdweb.co/ssdweb/CERTH/642460614.pdf","CERTI")</f>
        <v>CERTI</v>
      </c>
    </row>
    <row r="565" spans="1:27" ht="15" x14ac:dyDescent="0.25">
      <c r="A565" s="2">
        <v>560</v>
      </c>
      <c r="B565" s="39">
        <v>925300048</v>
      </c>
      <c r="C565" s="28" t="str">
        <f>HYPERLINK("https://pld.live/RapDetail.aspx?STONELIST=925300048","DNA")</f>
        <v>DNA</v>
      </c>
      <c r="D565" s="18" t="s">
        <v>711</v>
      </c>
      <c r="E565" s="18" t="s">
        <v>5128</v>
      </c>
      <c r="F565" s="2" t="s">
        <v>7987</v>
      </c>
      <c r="G565" s="2" t="s">
        <v>861</v>
      </c>
      <c r="H565" s="14">
        <v>1.51</v>
      </c>
      <c r="I565" s="2" t="s">
        <v>4761</v>
      </c>
      <c r="J565" s="2" t="s">
        <v>6555</v>
      </c>
      <c r="K565" s="2" t="s">
        <v>5221</v>
      </c>
      <c r="L565" s="2" t="s">
        <v>5221</v>
      </c>
      <c r="M565" s="2" t="s">
        <v>5221</v>
      </c>
      <c r="N565" s="2" t="s">
        <v>2317</v>
      </c>
      <c r="O565" s="14">
        <v>17300</v>
      </c>
      <c r="P565" s="14">
        <v>99.13</v>
      </c>
      <c r="Q565" s="14">
        <v>150.51</v>
      </c>
      <c r="R565" s="14">
        <v>227.27</v>
      </c>
      <c r="S565" s="2" t="s">
        <v>4358</v>
      </c>
      <c r="T565" s="2">
        <v>1.01</v>
      </c>
      <c r="U565" s="2">
        <v>59</v>
      </c>
      <c r="V565" s="2">
        <v>61</v>
      </c>
      <c r="W565" s="2" t="s">
        <v>7862</v>
      </c>
      <c r="X565" s="2" t="s">
        <v>5405</v>
      </c>
      <c r="Y565" s="2">
        <v>26123</v>
      </c>
      <c r="Z565" s="19" t="str">
        <f>HYPERLINK("https://ssdweb.co/ssdweb/hd/Vision360.html?d=925300048&amp;zoomslide=1&amp;z=1925300048&amp;ISCONFIRM=0","VIDEO")</f>
        <v>VIDEO</v>
      </c>
      <c r="AA565" s="19" t="str">
        <f>HYPERLINK("https://ssdweb.co/ssdweb/CERTH/613355504.pdf","CERTI")</f>
        <v>CERTI</v>
      </c>
    </row>
    <row r="566" spans="1:27" ht="15" x14ac:dyDescent="0.25">
      <c r="A566" s="2">
        <v>561</v>
      </c>
      <c r="B566" s="39">
        <v>941360299</v>
      </c>
      <c r="C566" s="28" t="str">
        <f>HYPERLINK("https://pld.live/RapDetail.aspx?STONELIST=941360299","DNA")</f>
        <v>DNA</v>
      </c>
      <c r="D566" s="18" t="s">
        <v>711</v>
      </c>
      <c r="E566" s="18" t="s">
        <v>2186</v>
      </c>
      <c r="F566" s="2" t="s">
        <v>7987</v>
      </c>
      <c r="G566" s="2" t="s">
        <v>861</v>
      </c>
      <c r="H566" s="14">
        <v>1.51</v>
      </c>
      <c r="I566" s="2" t="s">
        <v>4761</v>
      </c>
      <c r="J566" s="2" t="s">
        <v>13</v>
      </c>
      <c r="K566" s="2" t="s">
        <v>3390</v>
      </c>
      <c r="L566" s="2" t="s">
        <v>5221</v>
      </c>
      <c r="M566" s="2" t="s">
        <v>5221</v>
      </c>
      <c r="N566" s="2" t="s">
        <v>2317</v>
      </c>
      <c r="O566" s="14">
        <v>12200</v>
      </c>
      <c r="P566" s="14">
        <v>98.81</v>
      </c>
      <c r="Q566" s="14">
        <v>145.18</v>
      </c>
      <c r="R566" s="14">
        <v>219.22</v>
      </c>
      <c r="S566" s="2" t="s">
        <v>5252</v>
      </c>
      <c r="T566" s="2">
        <v>1.01</v>
      </c>
      <c r="U566" s="2">
        <v>62.1</v>
      </c>
      <c r="V566" s="2">
        <v>59</v>
      </c>
      <c r="W566" s="2" t="s">
        <v>7862</v>
      </c>
      <c r="X566" s="2" t="s">
        <v>5405</v>
      </c>
      <c r="Y566" s="2">
        <v>18422</v>
      </c>
      <c r="Z566" s="19" t="str">
        <f>HYPERLINK("https://ssdweb.co/ssdweb/hd/Vision360.html?d=941360299&amp;zoomslide=1&amp;z=1941360299&amp;ISCONFIRM=0","VIDEO")</f>
        <v>VIDEO</v>
      </c>
      <c r="AA566" s="19" t="str">
        <f>HYPERLINK("https://ssdweb.co/ssdweb/CERTH/685590673.pdf","CERTI")</f>
        <v>CERTI</v>
      </c>
    </row>
    <row r="567" spans="1:27" ht="15" x14ac:dyDescent="0.25">
      <c r="A567" s="2">
        <v>562</v>
      </c>
      <c r="B567" s="39">
        <v>821121894</v>
      </c>
      <c r="C567" s="28" t="str">
        <f>HYPERLINK("https://pld.live/RapDetail.aspx?STONELIST=821121894","DNA")</f>
        <v>DNA</v>
      </c>
      <c r="D567" s="18" t="s">
        <v>711</v>
      </c>
      <c r="E567" s="18" t="s">
        <v>5128</v>
      </c>
      <c r="F567" s="2" t="s">
        <v>5597</v>
      </c>
      <c r="G567" s="2" t="s">
        <v>861</v>
      </c>
      <c r="H567" s="14">
        <v>1.51</v>
      </c>
      <c r="I567" s="2" t="s">
        <v>4761</v>
      </c>
      <c r="J567" s="2" t="s">
        <v>13</v>
      </c>
      <c r="K567" s="2" t="s">
        <v>5221</v>
      </c>
      <c r="L567" s="2" t="s">
        <v>5221</v>
      </c>
      <c r="M567" s="2" t="s">
        <v>5221</v>
      </c>
      <c r="N567" s="2" t="s">
        <v>2317</v>
      </c>
      <c r="O567" s="14">
        <v>12200</v>
      </c>
      <c r="P567" s="14">
        <v>97.98</v>
      </c>
      <c r="Q567" s="14">
        <v>246.44</v>
      </c>
      <c r="R567" s="14">
        <v>372.12</v>
      </c>
      <c r="S567" s="2" t="s">
        <v>6252</v>
      </c>
      <c r="T567" s="2">
        <v>1.01</v>
      </c>
      <c r="U567" s="2">
        <v>61.6</v>
      </c>
      <c r="V567" s="2">
        <v>59</v>
      </c>
      <c r="W567" s="2" t="s">
        <v>7862</v>
      </c>
      <c r="X567" s="2" t="s">
        <v>5405</v>
      </c>
      <c r="Y567" s="2">
        <v>18422</v>
      </c>
      <c r="Z567" s="19" t="str">
        <f>HYPERLINK("https://ssdweb.co/ssdweb/hd/Vision360.html?d=821121894&amp;zoomslide=1&amp;z=1821121894&amp;ISCONFIRM=0","VIDEO")</f>
        <v>VIDEO</v>
      </c>
      <c r="AA567" s="19" t="str">
        <f>HYPERLINK("https://ssdweb.co/ssdweb/CERTH/5476152453.pdf","CERTI")</f>
        <v>CERTI</v>
      </c>
    </row>
    <row r="568" spans="1:27" ht="15" x14ac:dyDescent="0.25">
      <c r="A568" s="2">
        <v>563</v>
      </c>
      <c r="B568" s="39">
        <v>927101137</v>
      </c>
      <c r="C568" s="28" t="str">
        <f>HYPERLINK("https://pld.live/RapDetail.aspx?STONELIST=927101137","DNA")</f>
        <v>DNA</v>
      </c>
      <c r="D568" s="18" t="s">
        <v>711</v>
      </c>
      <c r="E568" s="18" t="s">
        <v>5128</v>
      </c>
      <c r="F568" s="2" t="s">
        <v>7987</v>
      </c>
      <c r="G568" s="2" t="s">
        <v>861</v>
      </c>
      <c r="H568" s="14">
        <v>1.51</v>
      </c>
      <c r="I568" s="2" t="s">
        <v>4761</v>
      </c>
      <c r="J568" s="2" t="s">
        <v>5144</v>
      </c>
      <c r="K568" s="2" t="s">
        <v>5221</v>
      </c>
      <c r="L568" s="2" t="s">
        <v>5221</v>
      </c>
      <c r="M568" s="2" t="s">
        <v>5221</v>
      </c>
      <c r="N568" s="2" t="s">
        <v>2317</v>
      </c>
      <c r="O568" s="14">
        <v>11000</v>
      </c>
      <c r="P568" s="14">
        <v>98.82</v>
      </c>
      <c r="Q568" s="14">
        <v>129.80000000000001</v>
      </c>
      <c r="R568" s="14">
        <v>196</v>
      </c>
      <c r="S568" s="2" t="s">
        <v>3476</v>
      </c>
      <c r="T568" s="2">
        <v>1</v>
      </c>
      <c r="U568" s="2">
        <v>62.6</v>
      </c>
      <c r="V568" s="2">
        <v>59</v>
      </c>
      <c r="W568" s="2" t="s">
        <v>7862</v>
      </c>
      <c r="X568" s="2" t="s">
        <v>5405</v>
      </c>
      <c r="Y568" s="2">
        <v>16610</v>
      </c>
      <c r="Z568" s="19" t="str">
        <f>HYPERLINK("https://ssdweb.co/ssdweb/hd/Vision360.html?d=927101137&amp;zoomslide=1&amp;z=1927101137&amp;ISCONFIRM=0","VIDEO")</f>
        <v>VIDEO</v>
      </c>
      <c r="AA568" s="19" t="str">
        <f>HYPERLINK("https://ssdweb.co/ssdweb/CERTH/662473879.pdf","CERTI")</f>
        <v>CERTI</v>
      </c>
    </row>
    <row r="569" spans="1:27" ht="15" x14ac:dyDescent="0.25">
      <c r="A569" s="2">
        <v>564</v>
      </c>
      <c r="B569" s="39">
        <v>927092161</v>
      </c>
      <c r="C569" s="28" t="str">
        <f>HYPERLINK("https://pld.live/RapDetail.aspx?STONELIST=927092161","DNA")</f>
        <v>DNA</v>
      </c>
      <c r="D569" s="18" t="s">
        <v>711</v>
      </c>
      <c r="E569" s="18" t="s">
        <v>5128</v>
      </c>
      <c r="F569" s="2" t="s">
        <v>7987</v>
      </c>
      <c r="G569" s="2" t="s">
        <v>861</v>
      </c>
      <c r="H569" s="14">
        <v>1.51</v>
      </c>
      <c r="I569" s="2" t="s">
        <v>4761</v>
      </c>
      <c r="J569" s="2" t="s">
        <v>5144</v>
      </c>
      <c r="K569" s="2" t="s">
        <v>5221</v>
      </c>
      <c r="L569" s="2" t="s">
        <v>5221</v>
      </c>
      <c r="M569" s="2" t="s">
        <v>5721</v>
      </c>
      <c r="N569" s="2" t="s">
        <v>2317</v>
      </c>
      <c r="O569" s="14">
        <v>11000</v>
      </c>
      <c r="P569" s="14">
        <v>98.83</v>
      </c>
      <c r="Q569" s="14">
        <v>128.69999999999999</v>
      </c>
      <c r="R569" s="14">
        <v>194.34</v>
      </c>
      <c r="S569" s="2" t="s">
        <v>3463</v>
      </c>
      <c r="T569" s="2">
        <v>1.01</v>
      </c>
      <c r="U569" s="2">
        <v>58.6</v>
      </c>
      <c r="V569" s="2">
        <v>62</v>
      </c>
      <c r="W569" s="2" t="s">
        <v>7862</v>
      </c>
      <c r="X569" s="2" t="s">
        <v>5405</v>
      </c>
      <c r="Y569" s="2">
        <v>16610</v>
      </c>
      <c r="Z569" s="19" t="str">
        <f>HYPERLINK("https://ssdweb.co/ssdweb/hd/Vision360.html?d=927092161&amp;zoomslide=1&amp;z=1927092161&amp;ISCONFIRM=0","VIDEO")</f>
        <v>VIDEO</v>
      </c>
      <c r="AA569" s="19" t="str">
        <f>HYPERLINK("https://ssdweb.co/ssdweb/CERTH/662473876.pdf","CERTI")</f>
        <v>CERTI</v>
      </c>
    </row>
    <row r="570" spans="1:27" ht="15" x14ac:dyDescent="0.25">
      <c r="A570" s="2">
        <v>565</v>
      </c>
      <c r="B570" s="39">
        <v>926071491</v>
      </c>
      <c r="C570" s="28" t="str">
        <f>HYPERLINK("https://pld.live/RapDetail.aspx?STONELIST=926071491","DNA")</f>
        <v>DNA</v>
      </c>
      <c r="D570" s="18" t="s">
        <v>711</v>
      </c>
      <c r="E570" s="18" t="s">
        <v>5128</v>
      </c>
      <c r="F570" s="2" t="s">
        <v>7987</v>
      </c>
      <c r="G570" s="2" t="s">
        <v>861</v>
      </c>
      <c r="H570" s="14">
        <v>1.51</v>
      </c>
      <c r="I570" s="2" t="s">
        <v>4699</v>
      </c>
      <c r="J570" s="2" t="s">
        <v>6555</v>
      </c>
      <c r="K570" s="2" t="s">
        <v>5221</v>
      </c>
      <c r="L570" s="2" t="s">
        <v>5221</v>
      </c>
      <c r="M570" s="2" t="s">
        <v>5221</v>
      </c>
      <c r="N570" s="2" t="s">
        <v>2317</v>
      </c>
      <c r="O570" s="14">
        <v>15300</v>
      </c>
      <c r="P570" s="14">
        <v>99.03</v>
      </c>
      <c r="Q570" s="14">
        <v>148.41</v>
      </c>
      <c r="R570" s="14">
        <v>224.1</v>
      </c>
      <c r="S570" s="2" t="s">
        <v>2155</v>
      </c>
      <c r="T570" s="2">
        <v>1.01</v>
      </c>
      <c r="U570" s="2">
        <v>63.2</v>
      </c>
      <c r="V570" s="2">
        <v>59</v>
      </c>
      <c r="W570" s="2" t="s">
        <v>4336</v>
      </c>
      <c r="X570" s="2" t="s">
        <v>5405</v>
      </c>
      <c r="Y570" s="2">
        <v>23103</v>
      </c>
      <c r="Z570" s="19" t="str">
        <f>HYPERLINK("https://ssdweb.co/ssdweb/hd/Vision360.html?d=926071491&amp;zoomslide=1&amp;z=1926071491&amp;ISCONFIRM=0","VIDEO")</f>
        <v>VIDEO</v>
      </c>
      <c r="AA570" s="19" t="str">
        <f>HYPERLINK("https://ssdweb.co/ssdweb/CERTH/631464322.pdf","CERTI")</f>
        <v>CERTI</v>
      </c>
    </row>
    <row r="571" spans="1:27" ht="15" x14ac:dyDescent="0.25">
      <c r="A571" s="2">
        <v>566</v>
      </c>
      <c r="B571" s="39">
        <v>941431179</v>
      </c>
      <c r="C571" s="28" t="str">
        <f>HYPERLINK("https://pld.live/RapDetail.aspx?STONELIST=941431179","DNA")</f>
        <v>DNA</v>
      </c>
      <c r="D571" s="18" t="s">
        <v>711</v>
      </c>
      <c r="E571" s="18" t="s">
        <v>5128</v>
      </c>
      <c r="F571" s="2" t="s">
        <v>7987</v>
      </c>
      <c r="G571" s="2" t="s">
        <v>861</v>
      </c>
      <c r="H571" s="14">
        <v>1.5</v>
      </c>
      <c r="I571" s="2" t="s">
        <v>267</v>
      </c>
      <c r="J571" s="2" t="s">
        <v>3942</v>
      </c>
      <c r="K571" s="2" t="s">
        <v>3390</v>
      </c>
      <c r="L571" s="2" t="s">
        <v>5221</v>
      </c>
      <c r="M571" s="2" t="s">
        <v>5221</v>
      </c>
      <c r="N571" s="2" t="s">
        <v>2317</v>
      </c>
      <c r="O571" s="14">
        <v>15400</v>
      </c>
      <c r="P571" s="14">
        <v>98.98</v>
      </c>
      <c r="Q571" s="14">
        <v>157.08000000000001</v>
      </c>
      <c r="R571" s="14">
        <v>235.62</v>
      </c>
      <c r="S571" s="2" t="s">
        <v>4411</v>
      </c>
      <c r="T571" s="2">
        <v>1</v>
      </c>
      <c r="U571" s="2">
        <v>61.2</v>
      </c>
      <c r="V571" s="2">
        <v>60</v>
      </c>
      <c r="W571" s="2" t="s">
        <v>7862</v>
      </c>
      <c r="X571" s="2" t="s">
        <v>5405</v>
      </c>
      <c r="Y571" s="2">
        <v>23100</v>
      </c>
      <c r="Z571" s="19" t="str">
        <f>HYPERLINK("https://ssdweb.co/ssdweb/hd/Vision360.html?d=941431179&amp;zoomslide=1&amp;z=1941431179&amp;ISCONFIRM=0","VIDEO")</f>
        <v>VIDEO</v>
      </c>
      <c r="AA571" s="19" t="str">
        <f>HYPERLINK("https://ssdweb.co/ssdweb/CERTH/692505676.pdf","CERTI")</f>
        <v>CERTI</v>
      </c>
    </row>
    <row r="572" spans="1:27" ht="15" x14ac:dyDescent="0.25">
      <c r="A572" s="2">
        <v>567</v>
      </c>
      <c r="B572" s="39">
        <v>941360384</v>
      </c>
      <c r="C572" s="28" t="str">
        <f>HYPERLINK("https://pld.live/RapDetail.aspx?STONELIST=941360384","DNA")</f>
        <v>DNA</v>
      </c>
      <c r="D572" s="18" t="s">
        <v>711</v>
      </c>
      <c r="E572" s="18" t="s">
        <v>2186</v>
      </c>
      <c r="F572" s="2" t="s">
        <v>7987</v>
      </c>
      <c r="G572" s="2" t="s">
        <v>861</v>
      </c>
      <c r="H572" s="14">
        <v>1.5</v>
      </c>
      <c r="I572" s="2" t="s">
        <v>267</v>
      </c>
      <c r="J572" s="2" t="s">
        <v>3942</v>
      </c>
      <c r="K572" s="2" t="s">
        <v>5221</v>
      </c>
      <c r="L572" s="2" t="s">
        <v>5221</v>
      </c>
      <c r="M572" s="2" t="s">
        <v>5221</v>
      </c>
      <c r="N572" s="2" t="s">
        <v>2317</v>
      </c>
      <c r="O572" s="14">
        <v>15400</v>
      </c>
      <c r="P572" s="14">
        <v>98.98</v>
      </c>
      <c r="Q572" s="14">
        <v>157.08000000000001</v>
      </c>
      <c r="R572" s="14">
        <v>235.62</v>
      </c>
      <c r="S572" s="2" t="s">
        <v>4891</v>
      </c>
      <c r="T572" s="2">
        <v>1.01</v>
      </c>
      <c r="U572" s="2">
        <v>63.4</v>
      </c>
      <c r="V572" s="2">
        <v>60</v>
      </c>
      <c r="W572" s="2" t="s">
        <v>7862</v>
      </c>
      <c r="X572" s="2" t="s">
        <v>5405</v>
      </c>
      <c r="Y572" s="2">
        <v>23100</v>
      </c>
      <c r="Z572" s="19" t="str">
        <f>HYPERLINK("https://ssdweb.co/ssdweb/hd/Vision360.html?d=941360384&amp;zoomslide=1&amp;z=1941360384&amp;ISCONFIRM=0","VIDEO")</f>
        <v>VIDEO</v>
      </c>
      <c r="AA572" s="19" t="str">
        <f>HYPERLINK("https://ssdweb.co/ssdweb/CERTH/687560956.pdf","CERTI")</f>
        <v>CERTI</v>
      </c>
    </row>
    <row r="573" spans="1:27" ht="15" x14ac:dyDescent="0.25">
      <c r="A573" s="2">
        <v>568</v>
      </c>
      <c r="B573" s="39">
        <v>927000523</v>
      </c>
      <c r="C573" s="28" t="str">
        <f>HYPERLINK("https://pld.live/RapDetail.aspx?STONELIST=927000523","DNA")</f>
        <v>DNA</v>
      </c>
      <c r="D573" s="18" t="s">
        <v>711</v>
      </c>
      <c r="E573" s="18" t="s">
        <v>2186</v>
      </c>
      <c r="F573" s="2" t="s">
        <v>7987</v>
      </c>
      <c r="G573" s="2" t="s">
        <v>861</v>
      </c>
      <c r="H573" s="14">
        <v>1.5</v>
      </c>
      <c r="I573" s="2" t="s">
        <v>267</v>
      </c>
      <c r="J573" s="2" t="s">
        <v>13</v>
      </c>
      <c r="K573" s="2" t="s">
        <v>3390</v>
      </c>
      <c r="L573" s="2" t="s">
        <v>5221</v>
      </c>
      <c r="M573" s="2" t="s">
        <v>5221</v>
      </c>
      <c r="N573" s="2" t="s">
        <v>2317</v>
      </c>
      <c r="O573" s="14">
        <v>13400</v>
      </c>
      <c r="P573" s="14">
        <v>98.9</v>
      </c>
      <c r="Q573" s="14">
        <v>147.4</v>
      </c>
      <c r="R573" s="14">
        <v>221.1</v>
      </c>
      <c r="S573" s="2" t="s">
        <v>3176</v>
      </c>
      <c r="T573" s="2">
        <v>1.01</v>
      </c>
      <c r="U573" s="2">
        <v>59.9</v>
      </c>
      <c r="V573" s="2">
        <v>59</v>
      </c>
      <c r="W573" s="2" t="s">
        <v>7862</v>
      </c>
      <c r="X573" s="2" t="s">
        <v>5405</v>
      </c>
      <c r="Y573" s="2">
        <v>20100</v>
      </c>
      <c r="Z573" s="19" t="str">
        <f>HYPERLINK("https://ssdweb.co/ssdweb/hd/Vision360.html?d=927000523&amp;zoomslide=1&amp;z=1927000523&amp;ISCONFIRM=0","VIDEO")</f>
        <v>VIDEO</v>
      </c>
      <c r="AA573" s="19" t="str">
        <f>HYPERLINK("https://ssdweb.co/ssdweb/CERTH/671411258.pdf","CERTI")</f>
        <v>CERTI</v>
      </c>
    </row>
    <row r="574" spans="1:27" ht="15" x14ac:dyDescent="0.25">
      <c r="A574" s="2">
        <v>569</v>
      </c>
      <c r="B574" s="39">
        <v>926201184</v>
      </c>
      <c r="C574" s="28" t="str">
        <f>HYPERLINK("https://pld.live/RapDetail.aspx?STONELIST=926201184","DNA")</f>
        <v>DNA</v>
      </c>
      <c r="D574" s="18" t="s">
        <v>711</v>
      </c>
      <c r="E574" s="18" t="s">
        <v>5128</v>
      </c>
      <c r="F574" s="2" t="s">
        <v>7987</v>
      </c>
      <c r="G574" s="2" t="s">
        <v>861</v>
      </c>
      <c r="H574" s="14">
        <v>1.5</v>
      </c>
      <c r="I574" s="2" t="s">
        <v>267</v>
      </c>
      <c r="J574" s="2" t="s">
        <v>13</v>
      </c>
      <c r="K574" s="2" t="s">
        <v>5221</v>
      </c>
      <c r="L574" s="2" t="s">
        <v>5221</v>
      </c>
      <c r="M574" s="2" t="s">
        <v>5221</v>
      </c>
      <c r="N574" s="2" t="s">
        <v>2317</v>
      </c>
      <c r="O574" s="14">
        <v>13400</v>
      </c>
      <c r="P574" s="14">
        <v>98.92</v>
      </c>
      <c r="Q574" s="14">
        <v>144.72</v>
      </c>
      <c r="R574" s="14">
        <v>217.08</v>
      </c>
      <c r="S574" s="2" t="s">
        <v>1088</v>
      </c>
      <c r="T574" s="2">
        <v>1</v>
      </c>
      <c r="U574" s="2">
        <v>63.3</v>
      </c>
      <c r="V574" s="2">
        <v>57</v>
      </c>
      <c r="W574" s="2" t="s">
        <v>7862</v>
      </c>
      <c r="X574" s="2" t="s">
        <v>5405</v>
      </c>
      <c r="Y574" s="2">
        <v>20100</v>
      </c>
      <c r="Z574" s="19" t="str">
        <f>HYPERLINK("https://ssdweb.co/ssdweb/hd/Vision360.html?d=926201184&amp;zoomslide=1&amp;z=1926201184&amp;ISCONFIRM=0","VIDEO")</f>
        <v>VIDEO</v>
      </c>
      <c r="AA574" s="19" t="str">
        <f>HYPERLINK("https://ssdweb.co/ssdweb/CERTH/640400351.pdf","CERTI")</f>
        <v>CERTI</v>
      </c>
    </row>
    <row r="575" spans="1:27" ht="15" x14ac:dyDescent="0.25">
      <c r="A575" s="2">
        <v>570</v>
      </c>
      <c r="B575" s="39">
        <v>831010751</v>
      </c>
      <c r="C575" s="28" t="str">
        <f>HYPERLINK("https://pld.live/RapDetail.aspx?STONELIST=831010751","DNA")</f>
        <v>DNA</v>
      </c>
      <c r="D575" s="18" t="s">
        <v>711</v>
      </c>
      <c r="E575" s="18" t="s">
        <v>5128</v>
      </c>
      <c r="F575" s="2" t="s">
        <v>7987</v>
      </c>
      <c r="G575" s="2" t="s">
        <v>861</v>
      </c>
      <c r="H575" s="14">
        <v>1.5</v>
      </c>
      <c r="I575" s="2" t="s">
        <v>267</v>
      </c>
      <c r="J575" s="2" t="s">
        <v>13</v>
      </c>
      <c r="K575" s="2" t="s">
        <v>5221</v>
      </c>
      <c r="L575" s="2" t="s">
        <v>5221</v>
      </c>
      <c r="M575" s="2" t="s">
        <v>5221</v>
      </c>
      <c r="N575" s="2" t="s">
        <v>2317</v>
      </c>
      <c r="O575" s="14">
        <v>13400</v>
      </c>
      <c r="P575" s="14">
        <v>98.93</v>
      </c>
      <c r="Q575" s="14">
        <v>143.38</v>
      </c>
      <c r="R575" s="14">
        <v>215.07</v>
      </c>
      <c r="S575" s="2" t="s">
        <v>3293</v>
      </c>
      <c r="T575" s="2">
        <v>1.01</v>
      </c>
      <c r="U575" s="2">
        <v>63.5</v>
      </c>
      <c r="V575" s="2">
        <v>57</v>
      </c>
      <c r="W575" s="2" t="s">
        <v>7862</v>
      </c>
      <c r="X575" s="2" t="s">
        <v>5405</v>
      </c>
      <c r="Y575" s="2">
        <v>20100</v>
      </c>
      <c r="Z575" s="19" t="str">
        <f>HYPERLINK("https://ssdweb.co/ssdweb/hd/Vision360.html?d=831010751&amp;zoomslide=1&amp;z=1831010751&amp;ISCONFIRM=0","VIDEO")</f>
        <v>VIDEO</v>
      </c>
      <c r="AA575" s="19" t="str">
        <f>HYPERLINK("https://ssdweb.co/ssdweb/CERTH/629497480.pdf","CERTI")</f>
        <v>CERTI</v>
      </c>
    </row>
    <row r="576" spans="1:27" ht="15" x14ac:dyDescent="0.25">
      <c r="A576" s="2">
        <v>571</v>
      </c>
      <c r="B576" s="39">
        <v>941140499</v>
      </c>
      <c r="C576" s="28" t="str">
        <f>HYPERLINK("https://pld.live/RapDetail.aspx?STONELIST=941140499","DNA")</f>
        <v>DNA</v>
      </c>
      <c r="D576" s="18" t="s">
        <v>711</v>
      </c>
      <c r="E576" s="18" t="s">
        <v>5128</v>
      </c>
      <c r="F576" s="2" t="s">
        <v>7987</v>
      </c>
      <c r="G576" s="2" t="s">
        <v>861</v>
      </c>
      <c r="H576" s="14">
        <v>1.5</v>
      </c>
      <c r="I576" s="2" t="s">
        <v>267</v>
      </c>
      <c r="J576" s="2" t="s">
        <v>13</v>
      </c>
      <c r="K576" s="2" t="s">
        <v>5221</v>
      </c>
      <c r="L576" s="2" t="s">
        <v>5221</v>
      </c>
      <c r="M576" s="2" t="s">
        <v>5721</v>
      </c>
      <c r="N576" s="2" t="s">
        <v>2317</v>
      </c>
      <c r="O576" s="14">
        <v>13400</v>
      </c>
      <c r="P576" s="14">
        <v>98.91</v>
      </c>
      <c r="Q576" s="14">
        <v>146.06</v>
      </c>
      <c r="R576" s="14">
        <v>219.09</v>
      </c>
      <c r="S576" s="2" t="s">
        <v>1049</v>
      </c>
      <c r="T576" s="2">
        <v>1.01</v>
      </c>
      <c r="U576" s="2">
        <v>60.8</v>
      </c>
      <c r="V576" s="2">
        <v>61</v>
      </c>
      <c r="W576" s="2" t="s">
        <v>7862</v>
      </c>
      <c r="X576" s="2" t="s">
        <v>5405</v>
      </c>
      <c r="Y576" s="2">
        <v>20100</v>
      </c>
      <c r="Z576" s="19" t="str">
        <f>HYPERLINK("https://ssdweb.co/ssdweb/hd/Vision360.html?d=941140499&amp;zoomslide=1&amp;z=1941140499&amp;ISCONFIRM=0","VIDEO")</f>
        <v>VIDEO</v>
      </c>
      <c r="AA576" s="19" t="str">
        <f>HYPERLINK("https://ssdweb.co/ssdweb/CERTH/674504107.pdf","CERTI")</f>
        <v>CERTI</v>
      </c>
    </row>
    <row r="577" spans="1:27" ht="15" x14ac:dyDescent="0.25">
      <c r="A577" s="2">
        <v>572</v>
      </c>
      <c r="B577" s="39">
        <v>926201157</v>
      </c>
      <c r="C577" s="28" t="str">
        <f>HYPERLINK("https://pld.live/RapDetail.aspx?STONELIST=926201157","DNA")</f>
        <v>DNA</v>
      </c>
      <c r="D577" s="18" t="s">
        <v>711</v>
      </c>
      <c r="E577" s="18" t="s">
        <v>5128</v>
      </c>
      <c r="F577" s="2" t="s">
        <v>7987</v>
      </c>
      <c r="G577" s="2" t="s">
        <v>861</v>
      </c>
      <c r="H577" s="14">
        <v>1.5</v>
      </c>
      <c r="I577" s="2" t="s">
        <v>267</v>
      </c>
      <c r="J577" s="2" t="s">
        <v>5144</v>
      </c>
      <c r="K577" s="2" t="s">
        <v>3390</v>
      </c>
      <c r="L577" s="2" t="s">
        <v>5221</v>
      </c>
      <c r="M577" s="2" t="s">
        <v>5221</v>
      </c>
      <c r="N577" s="2" t="s">
        <v>2317</v>
      </c>
      <c r="O577" s="14">
        <v>12000</v>
      </c>
      <c r="P577" s="14">
        <v>98.91</v>
      </c>
      <c r="Q577" s="14">
        <v>130.80000000000001</v>
      </c>
      <c r="R577" s="14">
        <v>196.2</v>
      </c>
      <c r="S577" s="2" t="s">
        <v>6712</v>
      </c>
      <c r="T577" s="2">
        <v>1.01</v>
      </c>
      <c r="U577" s="2">
        <v>60</v>
      </c>
      <c r="V577" s="2">
        <v>59</v>
      </c>
      <c r="W577" s="2" t="s">
        <v>7862</v>
      </c>
      <c r="X577" s="2" t="s">
        <v>5405</v>
      </c>
      <c r="Y577" s="2">
        <v>18000</v>
      </c>
      <c r="Z577" s="19" t="str">
        <f>HYPERLINK("https://ssdweb.co/ssdweb/hd/Vision360.html?d=926201157&amp;zoomslide=1&amp;z=1926201157&amp;ISCONFIRM=0","VIDEO")</f>
        <v>VIDEO</v>
      </c>
      <c r="AA577" s="19" t="str">
        <f>HYPERLINK("https://ssdweb.co/ssdweb/CERTH/647451869.pdf","CERTI")</f>
        <v>CERTI</v>
      </c>
    </row>
    <row r="578" spans="1:27" ht="15" x14ac:dyDescent="0.25">
      <c r="A578" s="2">
        <v>573</v>
      </c>
      <c r="B578" s="39">
        <v>9415100070</v>
      </c>
      <c r="C578" s="28" t="str">
        <f>HYPERLINK("https://pld.live/RapDetail.aspx?STONELIST=9415100070","DNA")</f>
        <v>DNA</v>
      </c>
      <c r="D578" s="18" t="s">
        <v>711</v>
      </c>
      <c r="E578" s="18" t="s">
        <v>2186</v>
      </c>
      <c r="F578" s="2" t="s">
        <v>7987</v>
      </c>
      <c r="G578" s="2" t="s">
        <v>861</v>
      </c>
      <c r="H578" s="14">
        <v>1.5</v>
      </c>
      <c r="I578" s="2" t="s">
        <v>267</v>
      </c>
      <c r="J578" s="2" t="s">
        <v>5144</v>
      </c>
      <c r="K578" s="2" t="s">
        <v>5221</v>
      </c>
      <c r="L578" s="2" t="s">
        <v>5221</v>
      </c>
      <c r="M578" s="2" t="s">
        <v>5221</v>
      </c>
      <c r="N578" s="2" t="s">
        <v>2317</v>
      </c>
      <c r="O578" s="14">
        <v>12000</v>
      </c>
      <c r="P578" s="14">
        <v>98.89</v>
      </c>
      <c r="Q578" s="14">
        <v>133.19999999999999</v>
      </c>
      <c r="R578" s="14">
        <v>199.8</v>
      </c>
      <c r="S578" s="2" t="s">
        <v>4705</v>
      </c>
      <c r="T578" s="2">
        <v>1.01</v>
      </c>
      <c r="U578" s="2">
        <v>61.9</v>
      </c>
      <c r="V578" s="2">
        <v>60</v>
      </c>
      <c r="W578" s="2" t="s">
        <v>7862</v>
      </c>
      <c r="X578" s="2" t="s">
        <v>5405</v>
      </c>
      <c r="Y578" s="2">
        <v>18000</v>
      </c>
      <c r="Z578" s="19" t="str">
        <f>HYPERLINK("https://ssdweb.co/ssdweb/hd/Vision360.html?d=9415100070&amp;zoomslide=1&amp;z=19415100070&amp;ISCONFIRM=0","VIDEO")</f>
        <v>VIDEO</v>
      </c>
      <c r="AA578" s="19" t="str">
        <f>HYPERLINK("https://ssdweb.co/ssdweb/CERTH/694579633.pdf","CERTI")</f>
        <v>CERTI</v>
      </c>
    </row>
    <row r="579" spans="1:27" ht="15" x14ac:dyDescent="0.25">
      <c r="A579" s="2">
        <v>574</v>
      </c>
      <c r="B579" s="39">
        <v>926101604</v>
      </c>
      <c r="C579" s="28" t="str">
        <f>HYPERLINK("https://pld.live/RapDetail.aspx?STONELIST=926101604","DNA")</f>
        <v>DNA</v>
      </c>
      <c r="D579" s="18" t="s">
        <v>711</v>
      </c>
      <c r="E579" s="18" t="s">
        <v>5128</v>
      </c>
      <c r="F579" s="2" t="s">
        <v>7987</v>
      </c>
      <c r="G579" s="2" t="s">
        <v>861</v>
      </c>
      <c r="H579" s="14">
        <v>1.5</v>
      </c>
      <c r="I579" s="2" t="s">
        <v>267</v>
      </c>
      <c r="J579" s="2" t="s">
        <v>5144</v>
      </c>
      <c r="K579" s="2" t="s">
        <v>5221</v>
      </c>
      <c r="L579" s="2" t="s">
        <v>5221</v>
      </c>
      <c r="M579" s="2" t="s">
        <v>5221</v>
      </c>
      <c r="N579" s="2" t="s">
        <v>2317</v>
      </c>
      <c r="O579" s="14">
        <v>12000</v>
      </c>
      <c r="P579" s="14">
        <v>98.91</v>
      </c>
      <c r="Q579" s="14">
        <v>130.80000000000001</v>
      </c>
      <c r="R579" s="14">
        <v>196.2</v>
      </c>
      <c r="S579" s="2" t="s">
        <v>7947</v>
      </c>
      <c r="T579" s="2">
        <v>1.01</v>
      </c>
      <c r="U579" s="2">
        <v>63.2</v>
      </c>
      <c r="V579" s="2">
        <v>56</v>
      </c>
      <c r="W579" s="2" t="s">
        <v>7862</v>
      </c>
      <c r="X579" s="2" t="s">
        <v>5405</v>
      </c>
      <c r="Y579" s="2">
        <v>18000</v>
      </c>
      <c r="Z579" s="19" t="str">
        <f>HYPERLINK("https://ssdweb.co/ssdweb/hd/Vision360.html?d=926101604&amp;zoomslide=1&amp;z=1926101604&amp;ISCONFIRM=0","VIDEO")</f>
        <v>VIDEO</v>
      </c>
      <c r="AA579" s="19" t="str">
        <f>HYPERLINK("https://ssdweb.co/ssdweb/CERTH/647451824.pdf","CERTI")</f>
        <v>CERTI</v>
      </c>
    </row>
    <row r="580" spans="1:27" ht="15" x14ac:dyDescent="0.25">
      <c r="A580" s="2">
        <v>575</v>
      </c>
      <c r="B580" s="39">
        <v>831010829</v>
      </c>
      <c r="C580" s="28" t="str">
        <f>HYPERLINK("https://pld.live/RapDetail.aspx?STONELIST=831010829","DNA")</f>
        <v>DNA</v>
      </c>
      <c r="D580" s="18" t="s">
        <v>711</v>
      </c>
      <c r="E580" s="18" t="s">
        <v>5128</v>
      </c>
      <c r="F580" s="2" t="s">
        <v>7987</v>
      </c>
      <c r="G580" s="2" t="s">
        <v>861</v>
      </c>
      <c r="H580" s="14">
        <v>1.5</v>
      </c>
      <c r="I580" s="2" t="s">
        <v>267</v>
      </c>
      <c r="J580" s="2" t="s">
        <v>444</v>
      </c>
      <c r="K580" s="2" t="s">
        <v>5221</v>
      </c>
      <c r="L580" s="2" t="s">
        <v>5221</v>
      </c>
      <c r="M580" s="2" t="s">
        <v>5221</v>
      </c>
      <c r="N580" s="2" t="s">
        <v>2317</v>
      </c>
      <c r="O580" s="14">
        <v>9600</v>
      </c>
      <c r="P580" s="14">
        <v>98.72</v>
      </c>
      <c r="Q580" s="14">
        <v>122.88</v>
      </c>
      <c r="R580" s="14">
        <v>184.32</v>
      </c>
      <c r="S580" s="2" t="s">
        <v>4137</v>
      </c>
      <c r="T580" s="2">
        <v>1.01</v>
      </c>
      <c r="U580" s="2">
        <v>58.4</v>
      </c>
      <c r="V580" s="2">
        <v>61</v>
      </c>
      <c r="W580" s="2" t="s">
        <v>7862</v>
      </c>
      <c r="X580" s="2" t="s">
        <v>5405</v>
      </c>
      <c r="Y580" s="2">
        <v>14400</v>
      </c>
      <c r="Z580" s="19" t="str">
        <f>HYPERLINK("https://ssdweb.co/ssdweb/hd/Vision360.html?d=831010829&amp;zoomslide=1&amp;z=1831010829&amp;ISCONFIRM=0","VIDEO")</f>
        <v>VIDEO</v>
      </c>
      <c r="AA580" s="19" t="str">
        <f>HYPERLINK("https://ssdweb.co/ssdweb/CERTH/607366165.pdf","CERTI")</f>
        <v>CERTI</v>
      </c>
    </row>
    <row r="581" spans="1:27" ht="15" x14ac:dyDescent="0.25">
      <c r="A581" s="2">
        <v>576</v>
      </c>
      <c r="B581" s="39">
        <v>941400396</v>
      </c>
      <c r="C581" s="28" t="str">
        <f>HYPERLINK("https://pld.live/RapDetail.aspx?STONELIST=941400396","DNA")</f>
        <v>DNA</v>
      </c>
      <c r="D581" s="18" t="s">
        <v>711</v>
      </c>
      <c r="E581" s="18" t="s">
        <v>5128</v>
      </c>
      <c r="F581" s="2" t="s">
        <v>7987</v>
      </c>
      <c r="G581" s="2" t="s">
        <v>861</v>
      </c>
      <c r="H581" s="14">
        <v>1.5</v>
      </c>
      <c r="I581" s="2" t="s">
        <v>4761</v>
      </c>
      <c r="J581" s="2" t="s">
        <v>13</v>
      </c>
      <c r="K581" s="2" t="s">
        <v>5221</v>
      </c>
      <c r="L581" s="2" t="s">
        <v>5221</v>
      </c>
      <c r="M581" s="2" t="s">
        <v>5221</v>
      </c>
      <c r="N581" s="2" t="s">
        <v>2317</v>
      </c>
      <c r="O581" s="14">
        <v>12200</v>
      </c>
      <c r="P581" s="14">
        <v>98.81</v>
      </c>
      <c r="Q581" s="14">
        <v>145.18</v>
      </c>
      <c r="R581" s="14">
        <v>217.77</v>
      </c>
      <c r="S581" s="2" t="s">
        <v>3035</v>
      </c>
      <c r="T581" s="2">
        <v>1.01</v>
      </c>
      <c r="U581" s="2">
        <v>62.6</v>
      </c>
      <c r="V581" s="2">
        <v>56</v>
      </c>
      <c r="W581" s="2" t="s">
        <v>7862</v>
      </c>
      <c r="X581" s="2" t="s">
        <v>5405</v>
      </c>
      <c r="Y581" s="2">
        <v>18300</v>
      </c>
      <c r="Z581" s="19" t="str">
        <f>HYPERLINK("https://ssdweb.co/ssdweb/hd/Vision360.html?d=941400396&amp;zoomslide=1&amp;z=1941400396&amp;ISCONFIRM=0","VIDEO")</f>
        <v>VIDEO</v>
      </c>
      <c r="AA581" s="19" t="str">
        <f>HYPERLINK("https://ssdweb.co/ssdweb/CERTH/687591671.pdf","CERTI")</f>
        <v>CERTI</v>
      </c>
    </row>
    <row r="582" spans="1:27" ht="15" x14ac:dyDescent="0.25">
      <c r="A582" s="2">
        <v>577</v>
      </c>
      <c r="B582" s="39">
        <v>925521426</v>
      </c>
      <c r="C582" s="28" t="str">
        <f>HYPERLINK("https://pld.live/RapDetail.aspx?STONELIST=925521426","DNA")</f>
        <v>DNA</v>
      </c>
      <c r="D582" s="18" t="s">
        <v>711</v>
      </c>
      <c r="E582" s="18" t="s">
        <v>5128</v>
      </c>
      <c r="F582" s="2" t="s">
        <v>7987</v>
      </c>
      <c r="G582" s="2" t="s">
        <v>861</v>
      </c>
      <c r="H582" s="14">
        <v>1.5</v>
      </c>
      <c r="I582" s="2" t="s">
        <v>4699</v>
      </c>
      <c r="J582" s="2" t="s">
        <v>3942</v>
      </c>
      <c r="K582" s="2" t="s">
        <v>5221</v>
      </c>
      <c r="L582" s="2" t="s">
        <v>5221</v>
      </c>
      <c r="M582" s="2" t="s">
        <v>5221</v>
      </c>
      <c r="N582" s="2" t="s">
        <v>2317</v>
      </c>
      <c r="O582" s="14">
        <v>13200</v>
      </c>
      <c r="P582" s="14">
        <v>98.92</v>
      </c>
      <c r="Q582" s="14">
        <v>142.56</v>
      </c>
      <c r="R582" s="14">
        <v>213.84</v>
      </c>
      <c r="S582" s="2" t="s">
        <v>6339</v>
      </c>
      <c r="T582" s="2">
        <v>1.01</v>
      </c>
      <c r="U582" s="2">
        <v>63.1</v>
      </c>
      <c r="V582" s="2">
        <v>61</v>
      </c>
      <c r="W582" s="2" t="s">
        <v>4336</v>
      </c>
      <c r="X582" s="2" t="s">
        <v>5405</v>
      </c>
      <c r="Y582" s="2">
        <v>19800</v>
      </c>
      <c r="Z582" s="19" t="str">
        <f>HYPERLINK("https://ssdweb.co/ssdweb/hd/Vision360.html?d=925521426&amp;zoomslide=1&amp;z=1925521426&amp;ISCONFIRM=0","VIDEO")</f>
        <v>VIDEO</v>
      </c>
      <c r="AA582" s="19" t="str">
        <f>HYPERLINK("https://ssdweb.co/ssdweb/CERTH/618480876.pdf","CERTI")</f>
        <v>CERTI</v>
      </c>
    </row>
    <row r="583" spans="1:27" ht="15" x14ac:dyDescent="0.25">
      <c r="A583" s="2">
        <v>578</v>
      </c>
      <c r="B583" s="39">
        <v>926171660</v>
      </c>
      <c r="C583" s="28" t="str">
        <f>HYPERLINK("https://pld.live/RapDetail.aspx?STONELIST=926171660","DNA")</f>
        <v>DNA</v>
      </c>
      <c r="D583" s="18" t="s">
        <v>711</v>
      </c>
      <c r="E583" s="18" t="s">
        <v>5128</v>
      </c>
      <c r="F583" s="2" t="s">
        <v>7987</v>
      </c>
      <c r="G583" s="2" t="s">
        <v>861</v>
      </c>
      <c r="H583" s="14">
        <v>1.5</v>
      </c>
      <c r="I583" s="2" t="s">
        <v>4699</v>
      </c>
      <c r="J583" s="2" t="s">
        <v>444</v>
      </c>
      <c r="K583" s="2" t="s">
        <v>5721</v>
      </c>
      <c r="L583" s="2" t="s">
        <v>5221</v>
      </c>
      <c r="M583" s="2" t="s">
        <v>5221</v>
      </c>
      <c r="N583" s="2" t="s">
        <v>2317</v>
      </c>
      <c r="O583" s="14">
        <v>8400</v>
      </c>
      <c r="P583" s="14">
        <v>98.65</v>
      </c>
      <c r="Q583" s="14">
        <v>113.4</v>
      </c>
      <c r="R583" s="14">
        <v>170.1</v>
      </c>
      <c r="S583" s="2" t="s">
        <v>4630</v>
      </c>
      <c r="T583" s="2">
        <v>1.01</v>
      </c>
      <c r="U583" s="2">
        <v>61</v>
      </c>
      <c r="V583" s="2">
        <v>61</v>
      </c>
      <c r="W583" s="2" t="s">
        <v>7862</v>
      </c>
      <c r="X583" s="2" t="s">
        <v>5405</v>
      </c>
      <c r="Y583" s="2">
        <v>12600</v>
      </c>
      <c r="Z583" s="19" t="str">
        <f>HYPERLINK("https://ssdweb.co/ssdweb/hd/Vision360.html?d=926171660&amp;zoomslide=1&amp;z=1926171660&amp;ISCONFIRM=0","VIDEO")</f>
        <v>VIDEO</v>
      </c>
      <c r="AA583" s="19" t="str">
        <f>HYPERLINK("https://ssdweb.co/ssdweb/CERTH/647451864.pdf","CERTI")</f>
        <v>CERTI</v>
      </c>
    </row>
    <row r="584" spans="1:27" ht="15" x14ac:dyDescent="0.25">
      <c r="A584" s="2">
        <v>579</v>
      </c>
      <c r="B584" s="39">
        <v>926201108</v>
      </c>
      <c r="C584" s="28" t="str">
        <f>HYPERLINK("https://pld.live/RapDetail.aspx?STONELIST=926201108","DNA")</f>
        <v>DNA</v>
      </c>
      <c r="D584" s="18" t="s">
        <v>5281</v>
      </c>
      <c r="E584" s="18" t="s">
        <v>5128</v>
      </c>
      <c r="F584" s="2" t="s">
        <v>7987</v>
      </c>
      <c r="G584" s="2" t="s">
        <v>861</v>
      </c>
      <c r="H584" s="14">
        <v>1.47</v>
      </c>
      <c r="I584" s="2" t="s">
        <v>267</v>
      </c>
      <c r="J584" s="2" t="s">
        <v>13</v>
      </c>
      <c r="K584" s="2" t="s">
        <v>3390</v>
      </c>
      <c r="L584" s="2" t="s">
        <v>5221</v>
      </c>
      <c r="M584" s="2" t="s">
        <v>5221</v>
      </c>
      <c r="N584" s="2" t="s">
        <v>2317</v>
      </c>
      <c r="O584" s="14">
        <v>8700</v>
      </c>
      <c r="P584" s="14">
        <v>98.59</v>
      </c>
      <c r="Q584" s="14">
        <v>122.67</v>
      </c>
      <c r="R584" s="14">
        <v>180.32</v>
      </c>
      <c r="S584" s="2" t="s">
        <v>2205</v>
      </c>
      <c r="T584" s="2">
        <v>1.01</v>
      </c>
      <c r="U584" s="2">
        <v>62.4</v>
      </c>
      <c r="V584" s="2">
        <v>57</v>
      </c>
      <c r="W584" s="2" t="s">
        <v>7862</v>
      </c>
      <c r="X584" s="2" t="s">
        <v>5405</v>
      </c>
      <c r="Y584" s="2">
        <v>12789</v>
      </c>
      <c r="Z584" s="19" t="str">
        <f>HYPERLINK("https://ssdweb.co/ssdweb/hd/Vision360.html?d=926201108&amp;zoomslide=1&amp;z=1926201108&amp;ISCONFIRM=0","VIDEO")</f>
        <v>VIDEO</v>
      </c>
      <c r="AA584" s="19" t="str">
        <f>HYPERLINK("https://ssdweb.co/ssdweb/CERTH/638400120.pdf","CERTI")</f>
        <v>CERTI</v>
      </c>
    </row>
    <row r="585" spans="1:27" ht="15" x14ac:dyDescent="0.25">
      <c r="A585" s="2">
        <v>580</v>
      </c>
      <c r="B585" s="39">
        <v>821127368</v>
      </c>
      <c r="C585" s="28" t="str">
        <f>HYPERLINK("https://pld.live/RapDetail.aspx?STONELIST=821127368","DNA")</f>
        <v>DNA</v>
      </c>
      <c r="D585" s="18" t="s">
        <v>5281</v>
      </c>
      <c r="E585" s="18" t="s">
        <v>5128</v>
      </c>
      <c r="F585" s="2" t="s">
        <v>7987</v>
      </c>
      <c r="G585" s="2" t="s">
        <v>861</v>
      </c>
      <c r="H585" s="14">
        <v>1.47</v>
      </c>
      <c r="I585" s="2" t="s">
        <v>4761</v>
      </c>
      <c r="J585" s="2" t="s">
        <v>13</v>
      </c>
      <c r="K585" s="2" t="s">
        <v>3390</v>
      </c>
      <c r="L585" s="2" t="s">
        <v>5221</v>
      </c>
      <c r="M585" s="2" t="s">
        <v>5221</v>
      </c>
      <c r="N585" s="2" t="s">
        <v>2317</v>
      </c>
      <c r="O585" s="14">
        <v>7900</v>
      </c>
      <c r="P585" s="14">
        <v>98.52</v>
      </c>
      <c r="Q585" s="14">
        <v>116.92</v>
      </c>
      <c r="R585" s="14">
        <v>171.87</v>
      </c>
      <c r="S585" s="2" t="s">
        <v>472</v>
      </c>
      <c r="T585" s="2">
        <v>1.01</v>
      </c>
      <c r="U585" s="2">
        <v>61.6</v>
      </c>
      <c r="V585" s="2">
        <v>59</v>
      </c>
      <c r="W585" s="2" t="s">
        <v>7862</v>
      </c>
      <c r="X585" s="2" t="s">
        <v>5405</v>
      </c>
      <c r="Y585" s="2">
        <v>11613</v>
      </c>
      <c r="Z585" s="19" t="str">
        <f>HYPERLINK("https://ssdweb.co/ssdweb/hd/Vision360.html?d=821127368&amp;zoomslide=1&amp;z=1821127368&amp;ISCONFIRM=0","VIDEO")</f>
        <v>VIDEO</v>
      </c>
      <c r="AA585" s="19" t="str">
        <f>HYPERLINK("https://ssdweb.co/ssdweb/CERTH/625468120.pdf","CERTI")</f>
        <v>CERTI</v>
      </c>
    </row>
    <row r="586" spans="1:27" ht="15" x14ac:dyDescent="0.25">
      <c r="A586" s="2">
        <v>581</v>
      </c>
      <c r="B586" s="39">
        <v>925862020</v>
      </c>
      <c r="C586" s="28" t="str">
        <f>HYPERLINK("https://pld.live/RapDetail.aspx?STONELIST=925862020","DNA")</f>
        <v>DNA</v>
      </c>
      <c r="D586" s="18" t="s">
        <v>5281</v>
      </c>
      <c r="E586" s="18" t="s">
        <v>5128</v>
      </c>
      <c r="F586" s="2" t="s">
        <v>7987</v>
      </c>
      <c r="G586" s="2" t="s">
        <v>861</v>
      </c>
      <c r="H586" s="14">
        <v>1.46</v>
      </c>
      <c r="I586" s="2" t="s">
        <v>267</v>
      </c>
      <c r="J586" s="2" t="s">
        <v>3942</v>
      </c>
      <c r="K586" s="2" t="s">
        <v>5221</v>
      </c>
      <c r="L586" s="2" t="s">
        <v>5721</v>
      </c>
      <c r="M586" s="2" t="s">
        <v>5221</v>
      </c>
      <c r="N586" s="2" t="s">
        <v>2317</v>
      </c>
      <c r="O586" s="14">
        <v>10200</v>
      </c>
      <c r="P586" s="14">
        <v>98.67</v>
      </c>
      <c r="Q586" s="14">
        <v>135.66</v>
      </c>
      <c r="R586" s="14">
        <v>198.06</v>
      </c>
      <c r="S586" s="2" t="s">
        <v>7160</v>
      </c>
      <c r="T586" s="2">
        <v>1.01</v>
      </c>
      <c r="U586" s="2">
        <v>63.5</v>
      </c>
      <c r="V586" s="2">
        <v>55</v>
      </c>
      <c r="W586" s="2" t="s">
        <v>7862</v>
      </c>
      <c r="X586" s="2" t="s">
        <v>5405</v>
      </c>
      <c r="Y586" s="2">
        <v>14892</v>
      </c>
      <c r="Z586" s="19" t="str">
        <f>HYPERLINK("https://ssdweb.co/ssdweb/hd/Vision360.html?d=925862020&amp;zoomslide=1&amp;z=1925862020&amp;ISCONFIRM=0","VIDEO")</f>
        <v>VIDEO</v>
      </c>
      <c r="AA586" s="19" t="str">
        <f>HYPERLINK("https://ssdweb.co/ssdweb/CERTH/628463234.pdf","CERTI")</f>
        <v>CERTI</v>
      </c>
    </row>
    <row r="587" spans="1:27" ht="15" x14ac:dyDescent="0.25">
      <c r="A587" s="2">
        <v>582</v>
      </c>
      <c r="B587" s="39">
        <v>926101733</v>
      </c>
      <c r="C587" s="28" t="str">
        <f>HYPERLINK("https://pld.live/RapDetail.aspx?STONELIST=926101733","DNA")</f>
        <v>DNA</v>
      </c>
      <c r="D587" s="18" t="s">
        <v>5281</v>
      </c>
      <c r="E587" s="18" t="s">
        <v>5128</v>
      </c>
      <c r="F587" s="2" t="s">
        <v>7987</v>
      </c>
      <c r="G587" s="2" t="s">
        <v>861</v>
      </c>
      <c r="H587" s="14">
        <v>1.45</v>
      </c>
      <c r="I587" s="2" t="s">
        <v>267</v>
      </c>
      <c r="J587" s="2" t="s">
        <v>13</v>
      </c>
      <c r="K587" s="2" t="s">
        <v>3390</v>
      </c>
      <c r="L587" s="2" t="s">
        <v>5221</v>
      </c>
      <c r="M587" s="2" t="s">
        <v>5221</v>
      </c>
      <c r="N587" s="2" t="s">
        <v>2317</v>
      </c>
      <c r="O587" s="14">
        <v>8700</v>
      </c>
      <c r="P587" s="14">
        <v>98.59</v>
      </c>
      <c r="Q587" s="14">
        <v>122.67</v>
      </c>
      <c r="R587" s="14">
        <v>177.87</v>
      </c>
      <c r="S587" s="2" t="s">
        <v>6417</v>
      </c>
      <c r="T587" s="2">
        <v>1.01</v>
      </c>
      <c r="U587" s="2">
        <v>62.4</v>
      </c>
      <c r="V587" s="2">
        <v>56</v>
      </c>
      <c r="W587" s="2" t="s">
        <v>7862</v>
      </c>
      <c r="X587" s="2" t="s">
        <v>5405</v>
      </c>
      <c r="Y587" s="2">
        <v>12615</v>
      </c>
      <c r="Z587" s="19" t="str">
        <f>HYPERLINK("https://ssdweb.co/ssdweb/hd/Vision360.html?d=926101733&amp;zoomslide=1&amp;z=1926101733&amp;ISCONFIRM=0","VIDEO")</f>
        <v>VIDEO</v>
      </c>
      <c r="AA587" s="19" t="str">
        <f>HYPERLINK("https://ssdweb.co/ssdweb/CERTH/633431978.pdf","CERTI")</f>
        <v>CERTI</v>
      </c>
    </row>
    <row r="588" spans="1:27" ht="15" x14ac:dyDescent="0.25">
      <c r="A588" s="2">
        <v>583</v>
      </c>
      <c r="B588" s="39">
        <v>925551679</v>
      </c>
      <c r="C588" s="28" t="str">
        <f>HYPERLINK("https://pld.live/RapDetail.aspx?STONELIST=925551679","DNA")</f>
        <v>DNA</v>
      </c>
      <c r="D588" s="18" t="s">
        <v>5281</v>
      </c>
      <c r="E588" s="18" t="s">
        <v>5128</v>
      </c>
      <c r="F588" s="2" t="s">
        <v>5597</v>
      </c>
      <c r="G588" s="2" t="s">
        <v>861</v>
      </c>
      <c r="H588" s="14">
        <v>1.44</v>
      </c>
      <c r="I588" s="2" t="s">
        <v>267</v>
      </c>
      <c r="J588" s="2" t="s">
        <v>5144</v>
      </c>
      <c r="K588" s="2" t="s">
        <v>5221</v>
      </c>
      <c r="L588" s="2" t="s">
        <v>5221</v>
      </c>
      <c r="M588" s="2" t="s">
        <v>5221</v>
      </c>
      <c r="N588" s="2" t="s">
        <v>2317</v>
      </c>
      <c r="O588" s="14">
        <v>7300</v>
      </c>
      <c r="P588" s="14">
        <v>97.18</v>
      </c>
      <c r="Q588" s="14">
        <v>205.86</v>
      </c>
      <c r="R588" s="14">
        <v>296.44</v>
      </c>
      <c r="S588" s="2" t="s">
        <v>6717</v>
      </c>
      <c r="T588" s="2">
        <v>1.01</v>
      </c>
      <c r="U588" s="2">
        <v>62.5</v>
      </c>
      <c r="V588" s="2">
        <v>56</v>
      </c>
      <c r="W588" s="2" t="s">
        <v>7862</v>
      </c>
      <c r="X588" s="2" t="s">
        <v>5405</v>
      </c>
      <c r="Y588" s="2">
        <v>10512</v>
      </c>
      <c r="Z588" s="19" t="str">
        <f>HYPERLINK("https://ssdweb.co/ssdweb/hd/Vision360.html?d=925551679&amp;zoomslide=1&amp;z=1925551679&amp;ISCONFIRM=0","VIDEO")</f>
        <v>VIDEO</v>
      </c>
      <c r="AA588" s="19" t="str">
        <f>HYPERLINK("https://ssdweb.co/ssdweb/CERTH/1487485135.pdf","CERTI")</f>
        <v>CERTI</v>
      </c>
    </row>
    <row r="589" spans="1:27" ht="15" x14ac:dyDescent="0.25">
      <c r="A589" s="2">
        <v>584</v>
      </c>
      <c r="B589" s="39">
        <v>831010693</v>
      </c>
      <c r="C589" s="28" t="str">
        <f>HYPERLINK("https://pld.live/RapDetail.aspx?STONELIST=831010693","DNA")</f>
        <v>DNA</v>
      </c>
      <c r="D589" s="18" t="s">
        <v>5281</v>
      </c>
      <c r="E589" s="18" t="s">
        <v>5128</v>
      </c>
      <c r="F589" s="2" t="s">
        <v>7987</v>
      </c>
      <c r="G589" s="2" t="s">
        <v>861</v>
      </c>
      <c r="H589" s="14">
        <v>1.43</v>
      </c>
      <c r="I589" s="2" t="s">
        <v>267</v>
      </c>
      <c r="J589" s="2" t="s">
        <v>13</v>
      </c>
      <c r="K589" s="2" t="s">
        <v>5221</v>
      </c>
      <c r="L589" s="2" t="s">
        <v>5221</v>
      </c>
      <c r="M589" s="2" t="s">
        <v>5221</v>
      </c>
      <c r="N589" s="2" t="s">
        <v>2317</v>
      </c>
      <c r="O589" s="14">
        <v>8700</v>
      </c>
      <c r="P589" s="14">
        <v>98.61</v>
      </c>
      <c r="Q589" s="14">
        <v>120.93</v>
      </c>
      <c r="R589" s="14">
        <v>172.93</v>
      </c>
      <c r="S589" s="2" t="s">
        <v>1651</v>
      </c>
      <c r="T589" s="2">
        <v>1.01</v>
      </c>
      <c r="U589" s="2">
        <v>62.9</v>
      </c>
      <c r="V589" s="2">
        <v>57</v>
      </c>
      <c r="W589" s="2" t="s">
        <v>7862</v>
      </c>
      <c r="X589" s="2" t="s">
        <v>5405</v>
      </c>
      <c r="Y589" s="2">
        <v>12441</v>
      </c>
      <c r="Z589" s="19" t="str">
        <f>HYPERLINK("https://ssdweb.co/ssdweb/hd/Vision360.html?d=831010693&amp;zoomslide=1&amp;z=1831010693&amp;ISCONFIRM=0","VIDEO")</f>
        <v>VIDEO</v>
      </c>
      <c r="AA589" s="19" t="str">
        <f>HYPERLINK("https://ssdweb.co/ssdweb/CERTH/524227680.pdf","CERTI")</f>
        <v>CERTI</v>
      </c>
    </row>
    <row r="590" spans="1:27" ht="15" x14ac:dyDescent="0.25">
      <c r="A590" s="2">
        <v>585</v>
      </c>
      <c r="B590" s="39">
        <v>926901023</v>
      </c>
      <c r="C590" s="28" t="str">
        <f>HYPERLINK("https://pld.live/RapDetail.aspx?STONELIST=926901023","DNA")</f>
        <v>DNA</v>
      </c>
      <c r="D590" s="18" t="s">
        <v>5281</v>
      </c>
      <c r="E590" s="18" t="s">
        <v>5128</v>
      </c>
      <c r="F590" s="2" t="s">
        <v>7987</v>
      </c>
      <c r="G590" s="2" t="s">
        <v>861</v>
      </c>
      <c r="H590" s="14">
        <v>1.42</v>
      </c>
      <c r="I590" s="2" t="s">
        <v>267</v>
      </c>
      <c r="J590" s="2" t="s">
        <v>6555</v>
      </c>
      <c r="K590" s="2" t="s">
        <v>3390</v>
      </c>
      <c r="L590" s="2" t="s">
        <v>5221</v>
      </c>
      <c r="M590" s="2" t="s">
        <v>5221</v>
      </c>
      <c r="N590" s="2" t="s">
        <v>2317</v>
      </c>
      <c r="O590" s="14">
        <v>12800</v>
      </c>
      <c r="P590" s="14">
        <v>98.71</v>
      </c>
      <c r="Q590" s="14">
        <v>165.12</v>
      </c>
      <c r="R590" s="14">
        <v>234.47</v>
      </c>
      <c r="S590" s="2" t="s">
        <v>1072</v>
      </c>
      <c r="T590" s="2">
        <v>1.01</v>
      </c>
      <c r="U590" s="2">
        <v>61.9</v>
      </c>
      <c r="V590" s="2">
        <v>58</v>
      </c>
      <c r="W590" s="2" t="s">
        <v>7862</v>
      </c>
      <c r="X590" s="2" t="s">
        <v>5405</v>
      </c>
      <c r="Y590" s="2">
        <v>18176</v>
      </c>
      <c r="Z590" s="19" t="str">
        <f>HYPERLINK("https://ssdweb.co/ssdweb/hd/Vision360.html?d=926901023&amp;zoomslide=1&amp;z=1926901023&amp;ISCONFIRM=0","VIDEO")</f>
        <v>VIDEO</v>
      </c>
      <c r="AA590" s="19" t="str">
        <f>HYPERLINK("https://ssdweb.co/ssdweb/CERTH/689587060.pdf","CERTI")</f>
        <v>CERTI</v>
      </c>
    </row>
    <row r="591" spans="1:27" ht="15" x14ac:dyDescent="0.25">
      <c r="A591" s="2">
        <v>586</v>
      </c>
      <c r="B591" s="39">
        <v>925721649</v>
      </c>
      <c r="C591" s="28" t="str">
        <f>HYPERLINK("https://pld.live/RapDetail.aspx?STONELIST=925721649","DNA")</f>
        <v>DNA</v>
      </c>
      <c r="D591" s="18" t="s">
        <v>5281</v>
      </c>
      <c r="E591" s="18" t="s">
        <v>5128</v>
      </c>
      <c r="F591" s="2" t="s">
        <v>7987</v>
      </c>
      <c r="G591" s="2" t="s">
        <v>861</v>
      </c>
      <c r="H591" s="14">
        <v>1.42</v>
      </c>
      <c r="I591" s="2" t="s">
        <v>267</v>
      </c>
      <c r="J591" s="2" t="s">
        <v>13</v>
      </c>
      <c r="K591" s="2" t="s">
        <v>3390</v>
      </c>
      <c r="L591" s="2" t="s">
        <v>5221</v>
      </c>
      <c r="M591" s="2" t="s">
        <v>5221</v>
      </c>
      <c r="N591" s="2" t="s">
        <v>2317</v>
      </c>
      <c r="O591" s="14">
        <v>8700</v>
      </c>
      <c r="P591" s="14">
        <v>98.61</v>
      </c>
      <c r="Q591" s="14">
        <v>120.93</v>
      </c>
      <c r="R591" s="14">
        <v>171.72</v>
      </c>
      <c r="S591" s="2" t="s">
        <v>5682</v>
      </c>
      <c r="T591" s="2">
        <v>1.01</v>
      </c>
      <c r="U591" s="2">
        <v>61.6</v>
      </c>
      <c r="V591" s="2">
        <v>59</v>
      </c>
      <c r="W591" s="2" t="s">
        <v>7862</v>
      </c>
      <c r="X591" s="2" t="s">
        <v>5405</v>
      </c>
      <c r="Y591" s="2">
        <v>12354</v>
      </c>
      <c r="Z591" s="19" t="str">
        <f>HYPERLINK("https://ssdweb.co/ssdweb/hd/Vision360.html?d=925721649&amp;zoomslide=1&amp;z=1925721649&amp;ISCONFIRM=0","VIDEO")</f>
        <v>VIDEO</v>
      </c>
      <c r="AA591" s="19" t="str">
        <f>HYPERLINK("https://ssdweb.co/ssdweb/CERTH/623446112.pdf","CERTI")</f>
        <v>CERTI</v>
      </c>
    </row>
    <row r="592" spans="1:27" ht="15" x14ac:dyDescent="0.25">
      <c r="A592" s="2">
        <v>587</v>
      </c>
      <c r="B592" s="39">
        <v>925540264</v>
      </c>
      <c r="C592" s="28" t="str">
        <f>HYPERLINK("https://pld.live/RapDetail.aspx?STONELIST=925540264","DNA")</f>
        <v>DNA</v>
      </c>
      <c r="D592" s="18" t="s">
        <v>5281</v>
      </c>
      <c r="E592" s="18" t="s">
        <v>5128</v>
      </c>
      <c r="F592" s="2" t="s">
        <v>5597</v>
      </c>
      <c r="G592" s="2" t="s">
        <v>861</v>
      </c>
      <c r="H592" s="14">
        <v>1.42</v>
      </c>
      <c r="I592" s="2" t="s">
        <v>267</v>
      </c>
      <c r="J592" s="2" t="s">
        <v>13</v>
      </c>
      <c r="K592" s="2" t="s">
        <v>5221</v>
      </c>
      <c r="L592" s="2" t="s">
        <v>5221</v>
      </c>
      <c r="M592" s="2" t="s">
        <v>5221</v>
      </c>
      <c r="N592" s="2" t="s">
        <v>2317</v>
      </c>
      <c r="O592" s="14">
        <v>8700</v>
      </c>
      <c r="P592" s="14">
        <v>97.52</v>
      </c>
      <c r="Q592" s="14">
        <v>215.76</v>
      </c>
      <c r="R592" s="14">
        <v>306.38</v>
      </c>
      <c r="S592" s="2" t="s">
        <v>6571</v>
      </c>
      <c r="T592" s="2">
        <v>1</v>
      </c>
      <c r="U592" s="2">
        <v>62.4</v>
      </c>
      <c r="V592" s="2">
        <v>56</v>
      </c>
      <c r="W592" s="2" t="s">
        <v>7862</v>
      </c>
      <c r="X592" s="2" t="s">
        <v>5405</v>
      </c>
      <c r="Y592" s="2">
        <v>12354</v>
      </c>
      <c r="Z592" s="19" t="str">
        <f>HYPERLINK("https://ssdweb.co/ssdweb/hd/Vision360.html?d=925540264&amp;zoomslide=1&amp;z=1925540264&amp;ISCONFIRM=0","VIDEO")</f>
        <v>VIDEO</v>
      </c>
      <c r="AA592" s="19" t="str">
        <f>HYPERLINK("https://ssdweb.co/ssdweb/CERTH/3485387283.pdf","CERTI")</f>
        <v>CERTI</v>
      </c>
    </row>
    <row r="593" spans="1:27" ht="15" x14ac:dyDescent="0.25">
      <c r="A593" s="2">
        <v>588</v>
      </c>
      <c r="B593" s="39">
        <v>925621481</v>
      </c>
      <c r="C593" s="28" t="str">
        <f>HYPERLINK("https://pld.live/RapDetail.aspx?STONELIST=925621481","DNA")</f>
        <v>DNA</v>
      </c>
      <c r="D593" s="18" t="s">
        <v>5281</v>
      </c>
      <c r="E593" s="18" t="s">
        <v>5128</v>
      </c>
      <c r="F593" s="2" t="s">
        <v>5597</v>
      </c>
      <c r="G593" s="2" t="s">
        <v>861</v>
      </c>
      <c r="H593" s="14">
        <v>1.42</v>
      </c>
      <c r="I593" s="2" t="s">
        <v>267</v>
      </c>
      <c r="J593" s="2" t="s">
        <v>13</v>
      </c>
      <c r="K593" s="2" t="s">
        <v>5221</v>
      </c>
      <c r="L593" s="2" t="s">
        <v>5221</v>
      </c>
      <c r="M593" s="2" t="s">
        <v>5221</v>
      </c>
      <c r="N593" s="2" t="s">
        <v>2317</v>
      </c>
      <c r="O593" s="14">
        <v>8700</v>
      </c>
      <c r="P593" s="14">
        <v>97.52</v>
      </c>
      <c r="Q593" s="14">
        <v>215.76</v>
      </c>
      <c r="R593" s="14">
        <v>306.38</v>
      </c>
      <c r="S593" s="2" t="s">
        <v>731</v>
      </c>
      <c r="T593" s="2">
        <v>1.01</v>
      </c>
      <c r="U593" s="2">
        <v>62.4</v>
      </c>
      <c r="V593" s="2">
        <v>55</v>
      </c>
      <c r="W593" s="2" t="s">
        <v>7862</v>
      </c>
      <c r="X593" s="2" t="s">
        <v>5405</v>
      </c>
      <c r="Y593" s="2">
        <v>12354</v>
      </c>
      <c r="Z593" s="19" t="str">
        <f>HYPERLINK("https://ssdweb.co/ssdweb/hd/Vision360.html?d=925621481&amp;zoomslide=1&amp;z=1925621481&amp;ISCONFIRM=0","VIDEO")</f>
        <v>VIDEO</v>
      </c>
      <c r="AA593" s="19" t="str">
        <f>HYPERLINK("https://ssdweb.co/ssdweb/CERTH/2487536978.pdf","CERTI")</f>
        <v>CERTI</v>
      </c>
    </row>
    <row r="594" spans="1:27" ht="15" x14ac:dyDescent="0.25">
      <c r="A594" s="2">
        <v>589</v>
      </c>
      <c r="B594" s="39">
        <v>925801678</v>
      </c>
      <c r="C594" s="28" t="str">
        <f>HYPERLINK("https://pld.live/RapDetail.aspx?STONELIST=925801678","DNA")</f>
        <v>DNA</v>
      </c>
      <c r="D594" s="18" t="s">
        <v>5281</v>
      </c>
      <c r="E594" s="18" t="s">
        <v>5128</v>
      </c>
      <c r="F594" s="2" t="s">
        <v>7987</v>
      </c>
      <c r="G594" s="2" t="s">
        <v>861</v>
      </c>
      <c r="H594" s="14">
        <v>1.42</v>
      </c>
      <c r="I594" s="2" t="s">
        <v>4761</v>
      </c>
      <c r="J594" s="2" t="s">
        <v>3942</v>
      </c>
      <c r="K594" s="2" t="s">
        <v>3390</v>
      </c>
      <c r="L594" s="2" t="s">
        <v>5221</v>
      </c>
      <c r="M594" s="2" t="s">
        <v>5221</v>
      </c>
      <c r="N594" s="2" t="s">
        <v>2317</v>
      </c>
      <c r="O594" s="14">
        <v>9300</v>
      </c>
      <c r="P594" s="14">
        <v>98.63</v>
      </c>
      <c r="Q594" s="14">
        <v>127.41</v>
      </c>
      <c r="R594" s="14">
        <v>180.92</v>
      </c>
      <c r="S594" s="2" t="s">
        <v>27</v>
      </c>
      <c r="T594" s="2">
        <v>1.01</v>
      </c>
      <c r="U594" s="2">
        <v>62</v>
      </c>
      <c r="V594" s="2">
        <v>56</v>
      </c>
      <c r="W594" s="2" t="s">
        <v>7862</v>
      </c>
      <c r="X594" s="2" t="s">
        <v>5405</v>
      </c>
      <c r="Y594" s="2">
        <v>13206</v>
      </c>
      <c r="Z594" s="19" t="str">
        <f>HYPERLINK("https://ssdweb.co/ssdweb/hd/Vision360.html?d=925801678&amp;zoomslide=1&amp;z=1925801678&amp;ISCONFIRM=0","VIDEO")</f>
        <v>VIDEO</v>
      </c>
      <c r="AA594" s="19" t="str">
        <f>HYPERLINK("https://ssdweb.co/ssdweb/CERTH/626427564.pdf","CERTI")</f>
        <v>CERTI</v>
      </c>
    </row>
    <row r="595" spans="1:27" ht="15" x14ac:dyDescent="0.25">
      <c r="A595" s="2">
        <v>590</v>
      </c>
      <c r="B595" s="39">
        <v>925551580</v>
      </c>
      <c r="C595" s="28" t="str">
        <f>HYPERLINK("https://pld.live/RapDetail.aspx?STONELIST=925551580","DNA")</f>
        <v>DNA</v>
      </c>
      <c r="D595" s="18" t="s">
        <v>5281</v>
      </c>
      <c r="E595" s="18" t="s">
        <v>5128</v>
      </c>
      <c r="F595" s="2" t="s">
        <v>7987</v>
      </c>
      <c r="G595" s="2" t="s">
        <v>861</v>
      </c>
      <c r="H595" s="14">
        <v>1.42</v>
      </c>
      <c r="I595" s="2" t="s">
        <v>4761</v>
      </c>
      <c r="J595" s="2" t="s">
        <v>13</v>
      </c>
      <c r="K595" s="2" t="s">
        <v>3390</v>
      </c>
      <c r="L595" s="2" t="s">
        <v>5221</v>
      </c>
      <c r="M595" s="2" t="s">
        <v>5221</v>
      </c>
      <c r="N595" s="2" t="s">
        <v>2317</v>
      </c>
      <c r="O595" s="14">
        <v>7900</v>
      </c>
      <c r="P595" s="14">
        <v>98.52</v>
      </c>
      <c r="Q595" s="14">
        <v>116.92</v>
      </c>
      <c r="R595" s="14">
        <v>166.03</v>
      </c>
      <c r="S595" s="2" t="s">
        <v>4478</v>
      </c>
      <c r="T595" s="2">
        <v>1.01</v>
      </c>
      <c r="U595" s="2">
        <v>61.1</v>
      </c>
      <c r="V595" s="2">
        <v>58</v>
      </c>
      <c r="W595" s="2" t="s">
        <v>7862</v>
      </c>
      <c r="X595" s="2" t="s">
        <v>5405</v>
      </c>
      <c r="Y595" s="2">
        <v>11218</v>
      </c>
      <c r="Z595" s="19" t="str">
        <f>HYPERLINK("https://ssdweb.co/ssdweb/hd/Vision360.html?d=925551580&amp;zoomslide=1&amp;z=1925551580&amp;ISCONFIRM=0","VIDEO")</f>
        <v>VIDEO</v>
      </c>
      <c r="AA595" s="19" t="str">
        <f>HYPERLINK("https://ssdweb.co/ssdweb/CERTH/619453503.pdf","CERTI")</f>
        <v>CERTI</v>
      </c>
    </row>
    <row r="596" spans="1:27" ht="15" x14ac:dyDescent="0.25">
      <c r="A596" s="2">
        <v>591</v>
      </c>
      <c r="B596" s="39">
        <v>926041223</v>
      </c>
      <c r="C596" s="28" t="str">
        <f>HYPERLINK("https://pld.live/RapDetail.aspx?STONELIST=926041223","DNA")</f>
        <v>DNA</v>
      </c>
      <c r="D596" s="18" t="s">
        <v>5281</v>
      </c>
      <c r="E596" s="18" t="s">
        <v>5128</v>
      </c>
      <c r="F596" s="2" t="s">
        <v>7987</v>
      </c>
      <c r="G596" s="2" t="s">
        <v>861</v>
      </c>
      <c r="H596" s="14">
        <v>1.42</v>
      </c>
      <c r="I596" s="2" t="s">
        <v>4699</v>
      </c>
      <c r="J596" s="2" t="s">
        <v>3942</v>
      </c>
      <c r="K596" s="2" t="s">
        <v>3390</v>
      </c>
      <c r="L596" s="2" t="s">
        <v>5221</v>
      </c>
      <c r="M596" s="2" t="s">
        <v>5221</v>
      </c>
      <c r="N596" s="2" t="s">
        <v>2317</v>
      </c>
      <c r="O596" s="14">
        <v>8400</v>
      </c>
      <c r="P596" s="14">
        <v>98.57</v>
      </c>
      <c r="Q596" s="14">
        <v>120.12</v>
      </c>
      <c r="R596" s="14">
        <v>170.57</v>
      </c>
      <c r="S596" s="2" t="s">
        <v>1403</v>
      </c>
      <c r="T596" s="2">
        <v>1.01</v>
      </c>
      <c r="U596" s="2">
        <v>60.6</v>
      </c>
      <c r="V596" s="2">
        <v>59</v>
      </c>
      <c r="W596" s="2" t="s">
        <v>7862</v>
      </c>
      <c r="X596" s="2" t="s">
        <v>5405</v>
      </c>
      <c r="Y596" s="2">
        <v>11928</v>
      </c>
      <c r="Z596" s="19" t="str">
        <f>HYPERLINK("https://ssdweb.co/ssdweb/hd/Vision360.html?d=926041223&amp;zoomslide=1&amp;z=1926041223&amp;ISCONFIRM=0","VIDEO")</f>
        <v>VIDEO</v>
      </c>
      <c r="AA596" s="19" t="str">
        <f>HYPERLINK("https://ssdweb.co/ssdweb/CERTH/631430343.pdf","CERTI")</f>
        <v>CERTI</v>
      </c>
    </row>
    <row r="597" spans="1:27" ht="15" x14ac:dyDescent="0.25">
      <c r="A597" s="2">
        <v>592</v>
      </c>
      <c r="B597" s="39">
        <v>831010469</v>
      </c>
      <c r="C597" s="28" t="str">
        <f>HYPERLINK("https://pld.live/RapDetail.aspx?STONELIST=831010469","DNA")</f>
        <v>DNA</v>
      </c>
      <c r="D597" s="18" t="s">
        <v>5281</v>
      </c>
      <c r="E597" s="18" t="s">
        <v>5128</v>
      </c>
      <c r="F597" s="2" t="s">
        <v>5597</v>
      </c>
      <c r="G597" s="2" t="s">
        <v>861</v>
      </c>
      <c r="H597" s="14">
        <v>1.41</v>
      </c>
      <c r="I597" s="2" t="s">
        <v>267</v>
      </c>
      <c r="J597" s="2" t="s">
        <v>3942</v>
      </c>
      <c r="K597" s="2" t="s">
        <v>5221</v>
      </c>
      <c r="L597" s="2" t="s">
        <v>5221</v>
      </c>
      <c r="M597" s="2" t="s">
        <v>5221</v>
      </c>
      <c r="N597" s="2" t="s">
        <v>2317</v>
      </c>
      <c r="O597" s="14">
        <v>10200</v>
      </c>
      <c r="P597" s="14">
        <v>97.8</v>
      </c>
      <c r="Q597" s="14">
        <v>224.4</v>
      </c>
      <c r="R597" s="14">
        <v>316.39999999999998</v>
      </c>
      <c r="S597" s="2" t="s">
        <v>2867</v>
      </c>
      <c r="T597" s="2">
        <v>1.01</v>
      </c>
      <c r="U597" s="2">
        <v>61.2</v>
      </c>
      <c r="V597" s="2">
        <v>59</v>
      </c>
      <c r="W597" s="2" t="s">
        <v>7862</v>
      </c>
      <c r="X597" s="2" t="s">
        <v>5405</v>
      </c>
      <c r="Y597" s="2">
        <v>14382</v>
      </c>
      <c r="Z597" s="19" t="str">
        <f>HYPERLINK("https://ssdweb.co/ssdweb/hd/Vision360.html?d=831010469&amp;zoomslide=1&amp;z=1831010469&amp;ISCONFIRM=0","VIDEO")</f>
        <v>VIDEO</v>
      </c>
      <c r="AA597" s="19" t="str">
        <f>HYPERLINK("https://ssdweb.co/ssdweb/CERTH/2466394893.pdf","CERTI")</f>
        <v>CERTI</v>
      </c>
    </row>
    <row r="598" spans="1:27" ht="15" x14ac:dyDescent="0.25">
      <c r="A598" s="2">
        <v>593</v>
      </c>
      <c r="B598" s="39">
        <v>925310377</v>
      </c>
      <c r="C598" s="28" t="str">
        <f>HYPERLINK("https://pld.live/RapDetail.aspx?STONELIST=925310377","DNA")</f>
        <v>DNA</v>
      </c>
      <c r="D598" s="18" t="s">
        <v>5281</v>
      </c>
      <c r="E598" s="18" t="s">
        <v>5128</v>
      </c>
      <c r="F598" s="2" t="s">
        <v>7987</v>
      </c>
      <c r="G598" s="2" t="s">
        <v>861</v>
      </c>
      <c r="H598" s="14">
        <v>1.41</v>
      </c>
      <c r="I598" s="2" t="s">
        <v>267</v>
      </c>
      <c r="J598" s="2" t="s">
        <v>5144</v>
      </c>
      <c r="K598" s="2" t="s">
        <v>3390</v>
      </c>
      <c r="L598" s="2" t="s">
        <v>5221</v>
      </c>
      <c r="M598" s="2" t="s">
        <v>5221</v>
      </c>
      <c r="N598" s="2" t="s">
        <v>2317</v>
      </c>
      <c r="O598" s="14">
        <v>7300</v>
      </c>
      <c r="P598" s="14">
        <v>98.4</v>
      </c>
      <c r="Q598" s="14">
        <v>116.8</v>
      </c>
      <c r="R598" s="14">
        <v>164.69</v>
      </c>
      <c r="S598" s="2" t="s">
        <v>1508</v>
      </c>
      <c r="T598" s="2">
        <v>1.01</v>
      </c>
      <c r="U598" s="2">
        <v>60</v>
      </c>
      <c r="V598" s="2">
        <v>57</v>
      </c>
      <c r="W598" s="2" t="s">
        <v>7862</v>
      </c>
      <c r="X598" s="2" t="s">
        <v>5405</v>
      </c>
      <c r="Y598" s="2">
        <v>10293</v>
      </c>
      <c r="Z598" s="19" t="str">
        <f>HYPERLINK("https://ssdweb.co/ssdweb/hd/Vision360.html?d=925310377&amp;zoomslide=1&amp;z=1925310377&amp;ISCONFIRM=0","VIDEO")</f>
        <v>VIDEO</v>
      </c>
      <c r="AA598" s="19" t="str">
        <f>HYPERLINK("https://ssdweb.co/ssdweb/CERTH/617476208.pdf","CERTI")</f>
        <v>CERTI</v>
      </c>
    </row>
    <row r="599" spans="1:27" ht="15" x14ac:dyDescent="0.25">
      <c r="A599" s="2">
        <v>594</v>
      </c>
      <c r="B599" s="39">
        <v>925720101</v>
      </c>
      <c r="C599" s="28" t="str">
        <f>HYPERLINK("https://pld.live/RapDetail.aspx?STONELIST=925720101","DNA")</f>
        <v>DNA</v>
      </c>
      <c r="D599" s="18" t="s">
        <v>5281</v>
      </c>
      <c r="E599" s="18" t="s">
        <v>5128</v>
      </c>
      <c r="F599" s="2" t="s">
        <v>7987</v>
      </c>
      <c r="G599" s="2" t="s">
        <v>861</v>
      </c>
      <c r="H599" s="14">
        <v>1.41</v>
      </c>
      <c r="I599" s="2" t="s">
        <v>4761</v>
      </c>
      <c r="J599" s="2" t="s">
        <v>3942</v>
      </c>
      <c r="K599" s="2" t="s">
        <v>3390</v>
      </c>
      <c r="L599" s="2" t="s">
        <v>5221</v>
      </c>
      <c r="M599" s="2" t="s">
        <v>5221</v>
      </c>
      <c r="N599" s="2" t="s">
        <v>2317</v>
      </c>
      <c r="O599" s="14">
        <v>9300</v>
      </c>
      <c r="P599" s="14">
        <v>98.63</v>
      </c>
      <c r="Q599" s="14">
        <v>127.41</v>
      </c>
      <c r="R599" s="14">
        <v>179.65</v>
      </c>
      <c r="S599" s="2" t="s">
        <v>480</v>
      </c>
      <c r="T599" s="2">
        <v>1</v>
      </c>
      <c r="U599" s="2">
        <v>61.4</v>
      </c>
      <c r="V599" s="2">
        <v>58</v>
      </c>
      <c r="W599" s="2" t="s">
        <v>7862</v>
      </c>
      <c r="X599" s="2" t="s">
        <v>5405</v>
      </c>
      <c r="Y599" s="2">
        <v>13113</v>
      </c>
      <c r="Z599" s="19" t="str">
        <f>HYPERLINK("https://ssdweb.co/ssdweb/hd/Vision360.html?d=925720101&amp;zoomslide=1&amp;z=1925720101&amp;ISCONFIRM=0","VIDEO")</f>
        <v>VIDEO</v>
      </c>
      <c r="AA599" s="19" t="str">
        <f>HYPERLINK("https://ssdweb.co/ssdweb/CERTH/620448932.pdf","CERTI")</f>
        <v>CERTI</v>
      </c>
    </row>
    <row r="600" spans="1:27" ht="15" x14ac:dyDescent="0.25">
      <c r="A600" s="2">
        <v>595</v>
      </c>
      <c r="B600" s="39">
        <v>925722106</v>
      </c>
      <c r="C600" s="28" t="str">
        <f>HYPERLINK("https://pld.live/RapDetail.aspx?STONELIST=925722106","DNA")</f>
        <v>DNA</v>
      </c>
      <c r="D600" s="18" t="s">
        <v>5281</v>
      </c>
      <c r="E600" s="18" t="s">
        <v>5128</v>
      </c>
      <c r="F600" s="2" t="s">
        <v>7987</v>
      </c>
      <c r="G600" s="2" t="s">
        <v>861</v>
      </c>
      <c r="H600" s="14">
        <v>1.41</v>
      </c>
      <c r="I600" s="2" t="s">
        <v>4761</v>
      </c>
      <c r="J600" s="2" t="s">
        <v>13</v>
      </c>
      <c r="K600" s="2" t="s">
        <v>3390</v>
      </c>
      <c r="L600" s="2" t="s">
        <v>5221</v>
      </c>
      <c r="M600" s="2" t="s">
        <v>5221</v>
      </c>
      <c r="N600" s="2" t="s">
        <v>2317</v>
      </c>
      <c r="O600" s="14">
        <v>7900</v>
      </c>
      <c r="P600" s="14">
        <v>98.52</v>
      </c>
      <c r="Q600" s="14">
        <v>116.92</v>
      </c>
      <c r="R600" s="14">
        <v>164.86</v>
      </c>
      <c r="S600" s="2" t="s">
        <v>651</v>
      </c>
      <c r="T600" s="2">
        <v>1.01</v>
      </c>
      <c r="U600" s="2">
        <v>62</v>
      </c>
      <c r="V600" s="2">
        <v>56</v>
      </c>
      <c r="W600" s="2" t="s">
        <v>7862</v>
      </c>
      <c r="X600" s="2" t="s">
        <v>5405</v>
      </c>
      <c r="Y600" s="2">
        <v>11139</v>
      </c>
      <c r="Z600" s="19" t="str">
        <f>HYPERLINK("https://ssdweb.co/ssdweb/hd/Vision360.html?d=925722106&amp;zoomslide=1&amp;z=1925722106&amp;ISCONFIRM=0","VIDEO")</f>
        <v>VIDEO</v>
      </c>
      <c r="AA600" s="19" t="str">
        <f>HYPERLINK("https://ssdweb.co/ssdweb/CERTH/626457432.pdf","CERTI")</f>
        <v>CERTI</v>
      </c>
    </row>
    <row r="601" spans="1:27" ht="15" x14ac:dyDescent="0.25">
      <c r="A601" s="2">
        <v>596</v>
      </c>
      <c r="B601" s="39">
        <v>925621695</v>
      </c>
      <c r="C601" s="28" t="str">
        <f>HYPERLINK("https://pld.live/RapDetail.aspx?STONELIST=925621695","DNA")</f>
        <v>DNA</v>
      </c>
      <c r="D601" s="18" t="s">
        <v>5281</v>
      </c>
      <c r="E601" s="18" t="s">
        <v>5128</v>
      </c>
      <c r="F601" s="2" t="s">
        <v>7987</v>
      </c>
      <c r="G601" s="2" t="s">
        <v>861</v>
      </c>
      <c r="H601" s="14">
        <v>1.41</v>
      </c>
      <c r="I601" s="2" t="s">
        <v>4761</v>
      </c>
      <c r="J601" s="2" t="s">
        <v>5144</v>
      </c>
      <c r="K601" s="2" t="s">
        <v>3390</v>
      </c>
      <c r="L601" s="2" t="s">
        <v>5221</v>
      </c>
      <c r="M601" s="2" t="s">
        <v>5221</v>
      </c>
      <c r="N601" s="2" t="s">
        <v>2317</v>
      </c>
      <c r="O601" s="14">
        <v>6600</v>
      </c>
      <c r="P601" s="14">
        <v>98.27</v>
      </c>
      <c r="Q601" s="14">
        <v>114.18</v>
      </c>
      <c r="R601" s="14">
        <v>160.99</v>
      </c>
      <c r="S601" s="2" t="s">
        <v>3798</v>
      </c>
      <c r="T601" s="2">
        <v>1.01</v>
      </c>
      <c r="U601" s="2">
        <v>62.2</v>
      </c>
      <c r="V601" s="2">
        <v>58</v>
      </c>
      <c r="W601" s="2" t="s">
        <v>7862</v>
      </c>
      <c r="X601" s="2" t="s">
        <v>5405</v>
      </c>
      <c r="Y601" s="2">
        <v>9306</v>
      </c>
      <c r="Z601" s="19" t="str">
        <f>HYPERLINK("https://ssdweb.co/ssdweb/hd/Vision360.html?d=925621695&amp;zoomslide=1&amp;z=1925621695&amp;ISCONFIRM=0","VIDEO")</f>
        <v>VIDEO</v>
      </c>
      <c r="AA601" s="19" t="str">
        <f>HYPERLINK("https://ssdweb.co/ssdweb/CERTH/621496737.pdf","CERTI")</f>
        <v>CERTI</v>
      </c>
    </row>
    <row r="602" spans="1:27" ht="15" x14ac:dyDescent="0.25">
      <c r="A602" s="2">
        <v>597</v>
      </c>
      <c r="B602" s="39">
        <v>924690114</v>
      </c>
      <c r="C602" s="28" t="str">
        <f>HYPERLINK("https://pld.live/RapDetail.aspx?STONELIST=924690114","DNA")</f>
        <v>DNA</v>
      </c>
      <c r="D602" s="18" t="s">
        <v>5281</v>
      </c>
      <c r="E602" s="18" t="s">
        <v>5128</v>
      </c>
      <c r="F602" s="2" t="s">
        <v>7987</v>
      </c>
      <c r="G602" s="2" t="s">
        <v>861</v>
      </c>
      <c r="H602" s="14">
        <v>1.41</v>
      </c>
      <c r="I602" s="2" t="s">
        <v>4699</v>
      </c>
      <c r="J602" s="2" t="s">
        <v>7032</v>
      </c>
      <c r="K602" s="2" t="s">
        <v>3390</v>
      </c>
      <c r="L602" s="2" t="s">
        <v>5221</v>
      </c>
      <c r="M602" s="2" t="s">
        <v>5221</v>
      </c>
      <c r="N602" s="2" t="s">
        <v>2317</v>
      </c>
      <c r="O602" s="14">
        <v>10700</v>
      </c>
      <c r="P602" s="14">
        <v>98.15</v>
      </c>
      <c r="Q602" s="14">
        <v>197.95</v>
      </c>
      <c r="R602" s="14">
        <v>279.11</v>
      </c>
      <c r="S602" s="2" t="s">
        <v>4924</v>
      </c>
      <c r="T602" s="2">
        <v>1.01</v>
      </c>
      <c r="U602" s="2">
        <v>62.3</v>
      </c>
      <c r="V602" s="2">
        <v>58</v>
      </c>
      <c r="W602" s="2" t="s">
        <v>4336</v>
      </c>
      <c r="X602" s="2" t="s">
        <v>5405</v>
      </c>
      <c r="Y602" s="2">
        <v>15087</v>
      </c>
      <c r="Z602" s="19" t="str">
        <f>HYPERLINK("https://ssdweb.co/ssdweb/hd/Vision360.html?d=924690114&amp;zoomslide=1&amp;z=1924690114&amp;ISCONFIRM=0","VIDEO")</f>
        <v>VIDEO</v>
      </c>
      <c r="AA602" s="19" t="str">
        <f>HYPERLINK("https://ssdweb.co/ssdweb/CERTH/598313522.pdf","CERTI")</f>
        <v>CERTI</v>
      </c>
    </row>
    <row r="603" spans="1:27" ht="15" x14ac:dyDescent="0.25">
      <c r="A603" s="2">
        <v>598</v>
      </c>
      <c r="B603" s="39">
        <v>925550089</v>
      </c>
      <c r="C603" s="28" t="str">
        <f>HYPERLINK("https://pld.live/RapDetail.aspx?STONELIST=925550089","DNA")</f>
        <v>DNA</v>
      </c>
      <c r="D603" s="18" t="s">
        <v>5281</v>
      </c>
      <c r="E603" s="18" t="s">
        <v>5128</v>
      </c>
      <c r="F603" s="2" t="s">
        <v>5597</v>
      </c>
      <c r="G603" s="2" t="s">
        <v>861</v>
      </c>
      <c r="H603" s="14">
        <v>1.4</v>
      </c>
      <c r="I603" s="2" t="s">
        <v>267</v>
      </c>
      <c r="J603" s="2" t="s">
        <v>3942</v>
      </c>
      <c r="K603" s="2" t="s">
        <v>5221</v>
      </c>
      <c r="L603" s="2" t="s">
        <v>5721</v>
      </c>
      <c r="M603" s="2" t="s">
        <v>5221</v>
      </c>
      <c r="N603" s="2" t="s">
        <v>2317</v>
      </c>
      <c r="O603" s="14">
        <v>10200</v>
      </c>
      <c r="P603" s="14">
        <v>97.81</v>
      </c>
      <c r="Q603" s="14">
        <v>223.38</v>
      </c>
      <c r="R603" s="14">
        <v>312.73</v>
      </c>
      <c r="S603" s="2" t="s">
        <v>288</v>
      </c>
      <c r="T603" s="2">
        <v>1.01</v>
      </c>
      <c r="U603" s="2">
        <v>61.5</v>
      </c>
      <c r="V603" s="2">
        <v>59</v>
      </c>
      <c r="W603" s="2" t="s">
        <v>7862</v>
      </c>
      <c r="X603" s="2" t="s">
        <v>5405</v>
      </c>
      <c r="Y603" s="2">
        <v>14280</v>
      </c>
      <c r="Z603" s="19" t="str">
        <f>HYPERLINK("https://ssdweb.co/ssdweb/hd/Vision360.html?d=925550089&amp;zoomslide=1&amp;z=1925550089&amp;ISCONFIRM=0","VIDEO")</f>
        <v>VIDEO</v>
      </c>
      <c r="AA603" s="19" t="str">
        <f>HYPERLINK("https://ssdweb.co/ssdweb/CERTH/2487409892.pdf","CERTI")</f>
        <v>CERTI</v>
      </c>
    </row>
    <row r="604" spans="1:27" ht="15" x14ac:dyDescent="0.25">
      <c r="A604" s="2">
        <v>599</v>
      </c>
      <c r="B604" s="39">
        <v>925890644</v>
      </c>
      <c r="C604" s="28" t="str">
        <f>HYPERLINK("https://pld.live/RapDetail.aspx?STONELIST=925890644","DNA")</f>
        <v>DNA</v>
      </c>
      <c r="D604" s="18" t="s">
        <v>5281</v>
      </c>
      <c r="E604" s="18" t="s">
        <v>5128</v>
      </c>
      <c r="F604" s="2" t="s">
        <v>7987</v>
      </c>
      <c r="G604" s="2" t="s">
        <v>861</v>
      </c>
      <c r="H604" s="14">
        <v>1.4</v>
      </c>
      <c r="I604" s="2" t="s">
        <v>267</v>
      </c>
      <c r="J604" s="2" t="s">
        <v>13</v>
      </c>
      <c r="K604" s="2" t="s">
        <v>3390</v>
      </c>
      <c r="L604" s="2" t="s">
        <v>5221</v>
      </c>
      <c r="M604" s="2" t="s">
        <v>5221</v>
      </c>
      <c r="N604" s="2" t="s">
        <v>2317</v>
      </c>
      <c r="O604" s="14">
        <v>8700</v>
      </c>
      <c r="P604" s="14">
        <v>98.61</v>
      </c>
      <c r="Q604" s="14">
        <v>120.93</v>
      </c>
      <c r="R604" s="14">
        <v>169.3</v>
      </c>
      <c r="S604" s="2" t="s">
        <v>6927</v>
      </c>
      <c r="T604" s="2">
        <v>1.01</v>
      </c>
      <c r="U604" s="2">
        <v>62.4</v>
      </c>
      <c r="V604" s="2">
        <v>57</v>
      </c>
      <c r="W604" s="2" t="s">
        <v>7862</v>
      </c>
      <c r="X604" s="2" t="s">
        <v>5405</v>
      </c>
      <c r="Y604" s="2">
        <v>12180</v>
      </c>
      <c r="Z604" s="19" t="str">
        <f>HYPERLINK("https://ssdweb.co/ssdweb/hd/Vision360.html?d=925890644&amp;zoomslide=1&amp;z=1925890644&amp;ISCONFIRM=0","VIDEO")</f>
        <v>VIDEO</v>
      </c>
      <c r="AA604" s="19" t="str">
        <f>HYPERLINK("https://ssdweb.co/ssdweb/CERTH/628426947.pdf","CERTI")</f>
        <v>CERTI</v>
      </c>
    </row>
    <row r="605" spans="1:27" ht="15" x14ac:dyDescent="0.25">
      <c r="A605" s="2">
        <v>600</v>
      </c>
      <c r="B605" s="39">
        <v>925620972</v>
      </c>
      <c r="C605" s="28" t="str">
        <f>HYPERLINK("https://pld.live/RapDetail.aspx?STONELIST=925620972","DNA")</f>
        <v>DNA</v>
      </c>
      <c r="D605" s="18" t="s">
        <v>5281</v>
      </c>
      <c r="E605" s="18" t="s">
        <v>5128</v>
      </c>
      <c r="F605" s="2" t="s">
        <v>7987</v>
      </c>
      <c r="G605" s="2" t="s">
        <v>861</v>
      </c>
      <c r="H605" s="14">
        <v>1.4</v>
      </c>
      <c r="I605" s="2" t="s">
        <v>267</v>
      </c>
      <c r="J605" s="2" t="s">
        <v>5144</v>
      </c>
      <c r="K605" s="2" t="s">
        <v>3390</v>
      </c>
      <c r="L605" s="2" t="s">
        <v>5221</v>
      </c>
      <c r="M605" s="2" t="s">
        <v>5221</v>
      </c>
      <c r="N605" s="2" t="s">
        <v>2317</v>
      </c>
      <c r="O605" s="14">
        <v>7300</v>
      </c>
      <c r="P605" s="14">
        <v>98.4</v>
      </c>
      <c r="Q605" s="14">
        <v>116.8</v>
      </c>
      <c r="R605" s="14">
        <v>163.52000000000001</v>
      </c>
      <c r="S605" s="2" t="s">
        <v>439</v>
      </c>
      <c r="T605" s="2">
        <v>1</v>
      </c>
      <c r="U605" s="2">
        <v>62</v>
      </c>
      <c r="V605" s="2">
        <v>57</v>
      </c>
      <c r="W605" s="2" t="s">
        <v>7862</v>
      </c>
      <c r="X605" s="2" t="s">
        <v>5405</v>
      </c>
      <c r="Y605" s="2">
        <v>10220</v>
      </c>
      <c r="Z605" s="19" t="str">
        <f>HYPERLINK("https://ssdweb.co/ssdweb/hd/Vision360.html?d=925620972&amp;zoomslide=1&amp;z=1925620972&amp;ISCONFIRM=0","VIDEO")</f>
        <v>VIDEO</v>
      </c>
      <c r="AA605" s="19" t="str">
        <f>HYPERLINK("https://ssdweb.co/ssdweb/CERTH/620403115.pdf","CERTI")</f>
        <v>CERTI</v>
      </c>
    </row>
    <row r="606" spans="1:27" ht="15" x14ac:dyDescent="0.25">
      <c r="A606" s="2">
        <v>601</v>
      </c>
      <c r="B606" s="39">
        <v>924880224</v>
      </c>
      <c r="C606" s="28" t="str">
        <f>HYPERLINK("https://pld.live/RapDetail.aspx?STONELIST=924880224","DNA")</f>
        <v>DNA</v>
      </c>
      <c r="D606" s="18" t="s">
        <v>5281</v>
      </c>
      <c r="E606" s="18" t="s">
        <v>5128</v>
      </c>
      <c r="F606" s="2" t="s">
        <v>7987</v>
      </c>
      <c r="G606" s="2" t="s">
        <v>861</v>
      </c>
      <c r="H606" s="14">
        <v>1.4</v>
      </c>
      <c r="I606" s="2" t="s">
        <v>4761</v>
      </c>
      <c r="J606" s="2" t="s">
        <v>3942</v>
      </c>
      <c r="K606" s="2" t="s">
        <v>5221</v>
      </c>
      <c r="L606" s="2" t="s">
        <v>5221</v>
      </c>
      <c r="M606" s="2" t="s">
        <v>5221</v>
      </c>
      <c r="N606" s="2" t="s">
        <v>2317</v>
      </c>
      <c r="O606" s="14">
        <v>9300</v>
      </c>
      <c r="P606" s="14">
        <v>98.63</v>
      </c>
      <c r="Q606" s="14">
        <v>127.41</v>
      </c>
      <c r="R606" s="14">
        <v>178.37</v>
      </c>
      <c r="S606" s="2" t="s">
        <v>520</v>
      </c>
      <c r="T606" s="2">
        <v>1.01</v>
      </c>
      <c r="U606" s="2">
        <v>63.3</v>
      </c>
      <c r="V606" s="2">
        <v>53</v>
      </c>
      <c r="W606" s="2" t="s">
        <v>7862</v>
      </c>
      <c r="X606" s="2" t="s">
        <v>5405</v>
      </c>
      <c r="Y606" s="2">
        <v>13020</v>
      </c>
      <c r="Z606" s="19" t="str">
        <f>HYPERLINK("https://ssdweb.co/ssdweb/hd/Vision360.html?d=924880224&amp;zoomslide=1&amp;z=1924880224&amp;ISCONFIRM=0","VIDEO")</f>
        <v>VIDEO</v>
      </c>
      <c r="AA606" s="19" t="str">
        <f>HYPERLINK("https://ssdweb.co/ssdweb/CERTH/601323595.pdf","CERTI")</f>
        <v>CERTI</v>
      </c>
    </row>
    <row r="607" spans="1:27" ht="15" x14ac:dyDescent="0.25">
      <c r="A607" s="2">
        <v>602</v>
      </c>
      <c r="B607" s="39">
        <v>831010470</v>
      </c>
      <c r="C607" s="28" t="str">
        <f>HYPERLINK("https://pld.live/RapDetail.aspx?STONELIST=831010470","DNA")</f>
        <v>DNA</v>
      </c>
      <c r="D607" s="18" t="s">
        <v>5281</v>
      </c>
      <c r="E607" s="18" t="s">
        <v>5128</v>
      </c>
      <c r="F607" s="2" t="s">
        <v>5597</v>
      </c>
      <c r="G607" s="2" t="s">
        <v>861</v>
      </c>
      <c r="H607" s="14">
        <v>1.4</v>
      </c>
      <c r="I607" s="2" t="s">
        <v>4761</v>
      </c>
      <c r="J607" s="2" t="s">
        <v>5144</v>
      </c>
      <c r="K607" s="2" t="s">
        <v>5221</v>
      </c>
      <c r="L607" s="2" t="s">
        <v>5221</v>
      </c>
      <c r="M607" s="2" t="s">
        <v>5221</v>
      </c>
      <c r="N607" s="2" t="s">
        <v>2317</v>
      </c>
      <c r="O607" s="14">
        <v>6600</v>
      </c>
      <c r="P607" s="14">
        <v>96.95</v>
      </c>
      <c r="Q607" s="14">
        <v>201.3</v>
      </c>
      <c r="R607" s="14">
        <v>281.82</v>
      </c>
      <c r="S607" s="2" t="s">
        <v>7788</v>
      </c>
      <c r="T607" s="2">
        <v>1.01</v>
      </c>
      <c r="U607" s="2">
        <v>60.6</v>
      </c>
      <c r="V607" s="2">
        <v>58</v>
      </c>
      <c r="W607" s="2" t="s">
        <v>7862</v>
      </c>
      <c r="X607" s="2" t="s">
        <v>5405</v>
      </c>
      <c r="Y607" s="2">
        <v>9240</v>
      </c>
      <c r="Z607" s="19" t="str">
        <f>HYPERLINK("https://ssdweb.co/ssdweb/hd/Vision360.html?d=831010470&amp;zoomslide=1&amp;z=1831010470&amp;ISCONFIRM=0","VIDEO")</f>
        <v>VIDEO</v>
      </c>
      <c r="AA607" s="19" t="str">
        <f>HYPERLINK("https://ssdweb.co/ssdweb/CERTH/5473089308.pdf","CERTI")</f>
        <v>CERTI</v>
      </c>
    </row>
    <row r="608" spans="1:27" ht="15" x14ac:dyDescent="0.25">
      <c r="A608" s="2">
        <v>603</v>
      </c>
      <c r="B608" s="39">
        <v>924770011</v>
      </c>
      <c r="C608" s="28" t="str">
        <f>HYPERLINK("https://pld.live/RapDetail.aspx?STONELIST=924770011","DNA")</f>
        <v>DNA</v>
      </c>
      <c r="D608" s="18" t="s">
        <v>5281</v>
      </c>
      <c r="E608" s="18" t="s">
        <v>5128</v>
      </c>
      <c r="F608" s="2" t="s">
        <v>7987</v>
      </c>
      <c r="G608" s="2" t="s">
        <v>861</v>
      </c>
      <c r="H608" s="14">
        <v>1.4</v>
      </c>
      <c r="I608" s="2" t="s">
        <v>4699</v>
      </c>
      <c r="J608" s="2" t="s">
        <v>7032</v>
      </c>
      <c r="K608" s="2" t="s">
        <v>3390</v>
      </c>
      <c r="L608" s="2" t="s">
        <v>5221</v>
      </c>
      <c r="M608" s="2" t="s">
        <v>5221</v>
      </c>
      <c r="N608" s="2" t="s">
        <v>2317</v>
      </c>
      <c r="O608" s="14">
        <v>10700</v>
      </c>
      <c r="P608" s="14">
        <v>98.15</v>
      </c>
      <c r="Q608" s="14">
        <v>197.95</v>
      </c>
      <c r="R608" s="14">
        <v>277.13</v>
      </c>
      <c r="S608" s="2" t="s">
        <v>690</v>
      </c>
      <c r="T608" s="2">
        <v>1.01</v>
      </c>
      <c r="U608" s="2">
        <v>61</v>
      </c>
      <c r="V608" s="2">
        <v>58</v>
      </c>
      <c r="W608" s="2" t="s">
        <v>4336</v>
      </c>
      <c r="X608" s="2" t="s">
        <v>5405</v>
      </c>
      <c r="Y608" s="2">
        <v>14980</v>
      </c>
      <c r="Z608" s="19" t="str">
        <f>HYPERLINK("https://ssdweb.co/ssdweb/hd/Vision360.html?d=924770011&amp;zoomslide=1&amp;z=1924770011&amp;ISCONFIRM=0","VIDEO")</f>
        <v>VIDEO</v>
      </c>
      <c r="AA608" s="19" t="str">
        <f>HYPERLINK("https://ssdweb.co/ssdweb/CERTH/598388539.pdf","CERTI")</f>
        <v>CERTI</v>
      </c>
    </row>
    <row r="609" spans="1:27" ht="15" x14ac:dyDescent="0.25">
      <c r="A609" s="2">
        <v>604</v>
      </c>
      <c r="B609" s="39">
        <v>941430869</v>
      </c>
      <c r="C609" s="28" t="str">
        <f>HYPERLINK("https://pld.live/RapDetail.aspx?STONELIST=941430869","DNA")</f>
        <v>DNA</v>
      </c>
      <c r="D609" s="18" t="s">
        <v>5235</v>
      </c>
      <c r="E609" s="18" t="s">
        <v>5128</v>
      </c>
      <c r="F609" s="2" t="s">
        <v>7987</v>
      </c>
      <c r="G609" s="2" t="s">
        <v>861</v>
      </c>
      <c r="H609" s="14">
        <v>1.39</v>
      </c>
      <c r="I609" s="2" t="s">
        <v>267</v>
      </c>
      <c r="J609" s="2" t="s">
        <v>13</v>
      </c>
      <c r="K609" s="2" t="s">
        <v>3390</v>
      </c>
      <c r="L609" s="2" t="s">
        <v>5221</v>
      </c>
      <c r="M609" s="2" t="s">
        <v>5221</v>
      </c>
      <c r="N609" s="2" t="s">
        <v>2317</v>
      </c>
      <c r="O609" s="14">
        <v>8700</v>
      </c>
      <c r="P609" s="14">
        <v>98.53</v>
      </c>
      <c r="Q609" s="14">
        <v>127.89</v>
      </c>
      <c r="R609" s="14">
        <v>177.77</v>
      </c>
      <c r="S609" s="2" t="s">
        <v>3104</v>
      </c>
      <c r="T609" s="2">
        <v>1</v>
      </c>
      <c r="U609" s="2">
        <v>60.6</v>
      </c>
      <c r="V609" s="2">
        <v>59</v>
      </c>
      <c r="W609" s="2" t="s">
        <v>7862</v>
      </c>
      <c r="X609" s="2" t="s">
        <v>5405</v>
      </c>
      <c r="Y609" s="2">
        <v>12093</v>
      </c>
      <c r="Z609" s="19" t="str">
        <f>HYPERLINK("https://ssdweb.co/ssdweb/hd/Vision360.html?d=941430869&amp;zoomslide=1&amp;z=1941430869&amp;ISCONFIRM=0","VIDEO")</f>
        <v>VIDEO</v>
      </c>
      <c r="AA609" s="19" t="str">
        <f>HYPERLINK("https://ssdweb.co/ssdweb/CERTH/694508423.pdf","CERTI")</f>
        <v>CERTI</v>
      </c>
    </row>
    <row r="610" spans="1:27" ht="15" x14ac:dyDescent="0.25">
      <c r="A610" s="2">
        <v>605</v>
      </c>
      <c r="B610" s="39">
        <v>926201007</v>
      </c>
      <c r="C610" s="28" t="str">
        <f>HYPERLINK("https://pld.live/RapDetail.aspx?STONELIST=926201007","DNA")</f>
        <v>DNA</v>
      </c>
      <c r="D610" s="18" t="s">
        <v>5235</v>
      </c>
      <c r="E610" s="18" t="s">
        <v>5128</v>
      </c>
      <c r="F610" s="2" t="s">
        <v>7987</v>
      </c>
      <c r="G610" s="2" t="s">
        <v>861</v>
      </c>
      <c r="H610" s="14">
        <v>1.38</v>
      </c>
      <c r="I610" s="2" t="s">
        <v>4761</v>
      </c>
      <c r="J610" s="2" t="s">
        <v>444</v>
      </c>
      <c r="K610" s="2" t="s">
        <v>3390</v>
      </c>
      <c r="L610" s="2" t="s">
        <v>5221</v>
      </c>
      <c r="M610" s="2" t="s">
        <v>5221</v>
      </c>
      <c r="N610" s="2" t="s">
        <v>2317</v>
      </c>
      <c r="O610" s="14">
        <v>5600</v>
      </c>
      <c r="P610" s="14">
        <v>98.05</v>
      </c>
      <c r="Q610" s="14">
        <v>109.2</v>
      </c>
      <c r="R610" s="14">
        <v>150.69999999999999</v>
      </c>
      <c r="S610" s="2" t="s">
        <v>2181</v>
      </c>
      <c r="T610" s="2">
        <v>1</v>
      </c>
      <c r="U610" s="2">
        <v>61.5</v>
      </c>
      <c r="V610" s="2">
        <v>56</v>
      </c>
      <c r="W610" s="2" t="s">
        <v>7862</v>
      </c>
      <c r="X610" s="2" t="s">
        <v>5405</v>
      </c>
      <c r="Y610" s="2">
        <v>7728</v>
      </c>
      <c r="Z610" s="19" t="str">
        <f>HYPERLINK("https://ssdweb.co/ssdweb/hd/Vision360.html?d=926201007&amp;zoomslide=1&amp;z=1926201007&amp;ISCONFIRM=0","VIDEO")</f>
        <v>VIDEO</v>
      </c>
      <c r="AA610" s="19" t="str">
        <f>HYPERLINK("https://ssdweb.co/ssdweb/CERTH/635423910.pdf","CERTI")</f>
        <v>CERTI</v>
      </c>
    </row>
    <row r="611" spans="1:27" ht="15" x14ac:dyDescent="0.25">
      <c r="A611" s="2">
        <v>606</v>
      </c>
      <c r="B611" s="39">
        <v>925620973</v>
      </c>
      <c r="C611" s="28" t="str">
        <f>HYPERLINK("https://pld.live/RapDetail.aspx?STONELIST=925620973","DNA")</f>
        <v>DNA</v>
      </c>
      <c r="D611" s="18" t="s">
        <v>5235</v>
      </c>
      <c r="E611" s="18" t="s">
        <v>5128</v>
      </c>
      <c r="F611" s="2" t="s">
        <v>7987</v>
      </c>
      <c r="G611" s="2" t="s">
        <v>861</v>
      </c>
      <c r="H611" s="14">
        <v>1.37</v>
      </c>
      <c r="I611" s="2" t="s">
        <v>4699</v>
      </c>
      <c r="J611" s="2" t="s">
        <v>444</v>
      </c>
      <c r="K611" s="2" t="s">
        <v>3390</v>
      </c>
      <c r="L611" s="2" t="s">
        <v>5221</v>
      </c>
      <c r="M611" s="2" t="s">
        <v>5221</v>
      </c>
      <c r="N611" s="2" t="s">
        <v>2317</v>
      </c>
      <c r="O611" s="14">
        <v>5200</v>
      </c>
      <c r="P611" s="14">
        <v>98.06</v>
      </c>
      <c r="Q611" s="14">
        <v>100.88</v>
      </c>
      <c r="R611" s="14">
        <v>138.21</v>
      </c>
      <c r="S611" s="2" t="s">
        <v>4413</v>
      </c>
      <c r="T611" s="2">
        <v>1.01</v>
      </c>
      <c r="U611" s="2">
        <v>60.8</v>
      </c>
      <c r="V611" s="2">
        <v>60</v>
      </c>
      <c r="W611" s="2" t="s">
        <v>8016</v>
      </c>
      <c r="X611" s="2" t="s">
        <v>5405</v>
      </c>
      <c r="Y611" s="2">
        <v>7124</v>
      </c>
      <c r="Z611" s="19" t="str">
        <f>HYPERLINK("https://ssdweb.co/ssdweb/hd/Vision360.html?d=925620973&amp;zoomslide=1&amp;z=1925620973&amp;ISCONFIRM=0","VIDEO")</f>
        <v>VIDEO</v>
      </c>
      <c r="AA611" s="19" t="str">
        <f>HYPERLINK("https://ssdweb.co/ssdweb/CERTH/620403254.pdf","CERTI")</f>
        <v>CERTI</v>
      </c>
    </row>
    <row r="612" spans="1:27" ht="15" x14ac:dyDescent="0.25">
      <c r="A612" s="2">
        <v>607</v>
      </c>
      <c r="B612" s="39">
        <v>925620421</v>
      </c>
      <c r="C612" s="28" t="str">
        <f>HYPERLINK("https://pld.live/RapDetail.aspx?STONELIST=925620421","DNA")</f>
        <v>DNA</v>
      </c>
      <c r="D612" s="18" t="s">
        <v>5235</v>
      </c>
      <c r="E612" s="18" t="s">
        <v>5128</v>
      </c>
      <c r="F612" s="2" t="s">
        <v>5597</v>
      </c>
      <c r="G612" s="2" t="s">
        <v>861</v>
      </c>
      <c r="H612" s="14">
        <v>1.33</v>
      </c>
      <c r="I612" s="2" t="s">
        <v>267</v>
      </c>
      <c r="J612" s="2" t="s">
        <v>3942</v>
      </c>
      <c r="K612" s="2" t="s">
        <v>5221</v>
      </c>
      <c r="L612" s="2" t="s">
        <v>5221</v>
      </c>
      <c r="M612" s="2" t="s">
        <v>5221</v>
      </c>
      <c r="N612" s="2" t="s">
        <v>2317</v>
      </c>
      <c r="O612" s="14">
        <v>10200</v>
      </c>
      <c r="P612" s="14">
        <v>97.89</v>
      </c>
      <c r="Q612" s="14">
        <v>215.22</v>
      </c>
      <c r="R612" s="14">
        <v>286.24</v>
      </c>
      <c r="S612" s="2" t="s">
        <v>2525</v>
      </c>
      <c r="T612" s="2">
        <v>1.01</v>
      </c>
      <c r="U612" s="2">
        <v>62.3</v>
      </c>
      <c r="V612" s="2">
        <v>58</v>
      </c>
      <c r="W612" s="2" t="s">
        <v>7862</v>
      </c>
      <c r="X612" s="2" t="s">
        <v>5405</v>
      </c>
      <c r="Y612" s="2">
        <v>13566</v>
      </c>
      <c r="Z612" s="19" t="str">
        <f>HYPERLINK("https://ssdweb.co/ssdweb/hd/Vision360.html?d=925620421&amp;zoomslide=1&amp;z=1925620421&amp;ISCONFIRM=0","VIDEO")</f>
        <v>VIDEO</v>
      </c>
      <c r="AA612" s="19" t="str">
        <f>HYPERLINK("https://ssdweb.co/ssdweb/CERTH/7488485150.pdf","CERTI")</f>
        <v>CERTI</v>
      </c>
    </row>
    <row r="613" spans="1:27" ht="15" x14ac:dyDescent="0.25">
      <c r="A613" s="2">
        <v>608</v>
      </c>
      <c r="B613" s="39">
        <v>925971300</v>
      </c>
      <c r="C613" s="28" t="str">
        <f>HYPERLINK("https://pld.live/RapDetail.aspx?STONELIST=925971300","DNA")</f>
        <v>DNA</v>
      </c>
      <c r="D613" s="18" t="s">
        <v>5235</v>
      </c>
      <c r="E613" s="18" t="s">
        <v>5128</v>
      </c>
      <c r="F613" s="2" t="s">
        <v>7987</v>
      </c>
      <c r="G613" s="2" t="s">
        <v>861</v>
      </c>
      <c r="H613" s="14">
        <v>1.33</v>
      </c>
      <c r="I613" s="2" t="s">
        <v>4761</v>
      </c>
      <c r="J613" s="2" t="s">
        <v>444</v>
      </c>
      <c r="K613" s="2" t="s">
        <v>3390</v>
      </c>
      <c r="L613" s="2" t="s">
        <v>5221</v>
      </c>
      <c r="M613" s="2" t="s">
        <v>5221</v>
      </c>
      <c r="N613" s="2" t="s">
        <v>2317</v>
      </c>
      <c r="O613" s="14">
        <v>5600</v>
      </c>
      <c r="P613" s="14">
        <v>98.05</v>
      </c>
      <c r="Q613" s="14">
        <v>109.2</v>
      </c>
      <c r="R613" s="14">
        <v>145.24</v>
      </c>
      <c r="S613" s="2" t="s">
        <v>2193</v>
      </c>
      <c r="T613" s="2">
        <v>1.01</v>
      </c>
      <c r="U613" s="2">
        <v>61.1</v>
      </c>
      <c r="V613" s="2">
        <v>59</v>
      </c>
      <c r="W613" s="2" t="s">
        <v>7862</v>
      </c>
      <c r="X613" s="2" t="s">
        <v>5405</v>
      </c>
      <c r="Y613" s="2">
        <v>7448</v>
      </c>
      <c r="Z613" s="19" t="str">
        <f>HYPERLINK("https://ssdweb.co/ssdweb/hd/Vision360.html?d=925971300&amp;zoomslide=1&amp;z=1925971300&amp;ISCONFIRM=0","VIDEO")</f>
        <v>VIDEO</v>
      </c>
      <c r="AA613" s="19" t="str">
        <f>HYPERLINK("https://ssdweb.co/ssdweb/CERTH/631464339.pdf","CERTI")</f>
        <v>CERTI</v>
      </c>
    </row>
    <row r="614" spans="1:27" ht="15" x14ac:dyDescent="0.25">
      <c r="A614" s="2">
        <v>609</v>
      </c>
      <c r="B614" s="39">
        <v>831010855</v>
      </c>
      <c r="C614" s="28" t="str">
        <f>HYPERLINK("https://pld.live/RapDetail.aspx?STONELIST=831010855","DNA")</f>
        <v>DNA</v>
      </c>
      <c r="D614" s="18" t="s">
        <v>5235</v>
      </c>
      <c r="E614" s="18" t="s">
        <v>5128</v>
      </c>
      <c r="F614" s="2" t="s">
        <v>7987</v>
      </c>
      <c r="G614" s="2" t="s">
        <v>861</v>
      </c>
      <c r="H614" s="14">
        <v>1.33</v>
      </c>
      <c r="I614" s="2" t="s">
        <v>4699</v>
      </c>
      <c r="J614" s="2" t="s">
        <v>5144</v>
      </c>
      <c r="K614" s="2" t="s">
        <v>3390</v>
      </c>
      <c r="L614" s="2" t="s">
        <v>5221</v>
      </c>
      <c r="M614" s="2" t="s">
        <v>5221</v>
      </c>
      <c r="N614" s="2" t="s">
        <v>2317</v>
      </c>
      <c r="O614" s="14">
        <v>6000</v>
      </c>
      <c r="P614" s="14">
        <v>98.15</v>
      </c>
      <c r="Q614" s="14">
        <v>111</v>
      </c>
      <c r="R614" s="14">
        <v>147.63</v>
      </c>
      <c r="S614" s="2" t="s">
        <v>5035</v>
      </c>
      <c r="T614" s="2">
        <v>1.01</v>
      </c>
      <c r="U614" s="2">
        <v>62.4</v>
      </c>
      <c r="V614" s="2">
        <v>56</v>
      </c>
      <c r="W614" s="2" t="s">
        <v>4336</v>
      </c>
      <c r="X614" s="2" t="s">
        <v>5405</v>
      </c>
      <c r="Y614" s="2">
        <v>7980</v>
      </c>
      <c r="Z614" s="19" t="str">
        <f>HYPERLINK("https://ssdweb.co/ssdweb/hd/Vision360.html?d=831010855&amp;zoomslide=1&amp;z=1831010855&amp;ISCONFIRM=0","VIDEO")</f>
        <v>VIDEO</v>
      </c>
      <c r="AA614" s="19" t="str">
        <f>HYPERLINK("https://ssdweb.co/ssdweb/CERTH/621448130.pdf","CERTI")</f>
        <v>CERTI</v>
      </c>
    </row>
    <row r="615" spans="1:27" ht="15" x14ac:dyDescent="0.25">
      <c r="A615" s="2">
        <v>610</v>
      </c>
      <c r="B615" s="39">
        <v>831010822</v>
      </c>
      <c r="C615" s="28" t="str">
        <f>HYPERLINK("https://pld.live/RapDetail.aspx?STONELIST=831010822","DNA")</f>
        <v>DNA</v>
      </c>
      <c r="D615" s="18" t="s">
        <v>5235</v>
      </c>
      <c r="E615" s="18" t="s">
        <v>5128</v>
      </c>
      <c r="F615" s="2" t="s">
        <v>7987</v>
      </c>
      <c r="G615" s="2" t="s">
        <v>861</v>
      </c>
      <c r="H615" s="14">
        <v>1.32</v>
      </c>
      <c r="I615" s="2" t="s">
        <v>267</v>
      </c>
      <c r="J615" s="2" t="s">
        <v>5144</v>
      </c>
      <c r="K615" s="2" t="s">
        <v>3390</v>
      </c>
      <c r="L615" s="2" t="s">
        <v>5221</v>
      </c>
      <c r="M615" s="2" t="s">
        <v>5221</v>
      </c>
      <c r="N615" s="2" t="s">
        <v>2317</v>
      </c>
      <c r="O615" s="14">
        <v>7300</v>
      </c>
      <c r="P615" s="14">
        <v>98.41</v>
      </c>
      <c r="Q615" s="14">
        <v>116.07</v>
      </c>
      <c r="R615" s="14">
        <v>153.21</v>
      </c>
      <c r="S615" s="2" t="s">
        <v>6336</v>
      </c>
      <c r="T615" s="2">
        <v>1.01</v>
      </c>
      <c r="U615" s="2">
        <v>62.4</v>
      </c>
      <c r="V615" s="2">
        <v>58</v>
      </c>
      <c r="W615" s="2" t="s">
        <v>7862</v>
      </c>
      <c r="X615" s="2" t="s">
        <v>5405</v>
      </c>
      <c r="Y615" s="2">
        <v>9636</v>
      </c>
      <c r="Z615" s="19" t="str">
        <f>HYPERLINK("https://ssdweb.co/ssdweb/hd/Vision360.html?d=831010822&amp;zoomslide=1&amp;z=1831010822&amp;ISCONFIRM=0","VIDEO")</f>
        <v>VIDEO</v>
      </c>
      <c r="AA615" s="19" t="str">
        <f>HYPERLINK("https://ssdweb.co/ssdweb/CERTH/598379396.pdf","CERTI")</f>
        <v>CERTI</v>
      </c>
    </row>
    <row r="616" spans="1:27" ht="15" x14ac:dyDescent="0.25">
      <c r="A616" s="2">
        <v>611</v>
      </c>
      <c r="B616" s="39">
        <v>925860797</v>
      </c>
      <c r="C616" s="28" t="str">
        <f>HYPERLINK("https://pld.live/RapDetail.aspx?STONELIST=925860797","DNA")</f>
        <v>DNA</v>
      </c>
      <c r="D616" s="18" t="s">
        <v>5235</v>
      </c>
      <c r="E616" s="18" t="s">
        <v>5128</v>
      </c>
      <c r="F616" s="2" t="s">
        <v>5597</v>
      </c>
      <c r="G616" s="2" t="s">
        <v>861</v>
      </c>
      <c r="H616" s="14">
        <v>1.31</v>
      </c>
      <c r="I616" s="2" t="s">
        <v>267</v>
      </c>
      <c r="J616" s="2" t="s">
        <v>6555</v>
      </c>
      <c r="K616" s="2" t="s">
        <v>5221</v>
      </c>
      <c r="L616" s="2" t="s">
        <v>5221</v>
      </c>
      <c r="M616" s="2" t="s">
        <v>5221</v>
      </c>
      <c r="N616" s="2" t="s">
        <v>2317</v>
      </c>
      <c r="O616" s="14">
        <v>12800</v>
      </c>
      <c r="P616" s="14">
        <v>98.02</v>
      </c>
      <c r="Q616" s="14">
        <v>253.44</v>
      </c>
      <c r="R616" s="14">
        <v>332.01</v>
      </c>
      <c r="S616" s="2" t="s">
        <v>6696</v>
      </c>
      <c r="T616" s="2">
        <v>1.01</v>
      </c>
      <c r="U616" s="2">
        <v>62.4</v>
      </c>
      <c r="V616" s="2">
        <v>56</v>
      </c>
      <c r="W616" s="2" t="s">
        <v>7862</v>
      </c>
      <c r="X616" s="2" t="s">
        <v>5405</v>
      </c>
      <c r="Y616" s="2">
        <v>16768</v>
      </c>
      <c r="Z616" s="19" t="str">
        <f>HYPERLINK("https://ssdweb.co/ssdweb/hd/Vision360.html?d=925860797&amp;zoomslide=1&amp;z=1925860797&amp;ISCONFIRM=0","VIDEO")</f>
        <v>VIDEO</v>
      </c>
      <c r="AA616" s="19" t="str">
        <f>HYPERLINK("https://ssdweb.co/ssdweb/CERTH/1488903708.pdf","CERTI")</f>
        <v>CERTI</v>
      </c>
    </row>
    <row r="617" spans="1:27" ht="15" x14ac:dyDescent="0.25">
      <c r="A617" s="2">
        <v>612</v>
      </c>
      <c r="B617" s="39">
        <v>926040926</v>
      </c>
      <c r="C617" s="28" t="str">
        <f>HYPERLINK("https://pld.live/RapDetail.aspx?STONELIST=926040926","DNA")</f>
        <v>DNA</v>
      </c>
      <c r="D617" s="18" t="s">
        <v>5235</v>
      </c>
      <c r="E617" s="18" t="s">
        <v>5128</v>
      </c>
      <c r="F617" s="2" t="s">
        <v>5597</v>
      </c>
      <c r="G617" s="2" t="s">
        <v>861</v>
      </c>
      <c r="H617" s="14">
        <v>1.31</v>
      </c>
      <c r="I617" s="2" t="s">
        <v>267</v>
      </c>
      <c r="J617" s="2" t="s">
        <v>6555</v>
      </c>
      <c r="K617" s="2" t="s">
        <v>5221</v>
      </c>
      <c r="L617" s="2" t="s">
        <v>5221</v>
      </c>
      <c r="M617" s="2" t="s">
        <v>5221</v>
      </c>
      <c r="N617" s="2" t="s">
        <v>2317</v>
      </c>
      <c r="O617" s="14">
        <v>12800</v>
      </c>
      <c r="P617" s="14">
        <v>98.01</v>
      </c>
      <c r="Q617" s="14">
        <v>254.72</v>
      </c>
      <c r="R617" s="14">
        <v>333.68</v>
      </c>
      <c r="S617" s="2" t="s">
        <v>75</v>
      </c>
      <c r="T617" s="2">
        <v>1</v>
      </c>
      <c r="U617" s="2">
        <v>61.7</v>
      </c>
      <c r="V617" s="2">
        <v>57</v>
      </c>
      <c r="W617" s="2" t="s">
        <v>7862</v>
      </c>
      <c r="X617" s="2" t="s">
        <v>5405</v>
      </c>
      <c r="Y617" s="2">
        <v>16768</v>
      </c>
      <c r="Z617" s="19" t="str">
        <f>HYPERLINK("https://ssdweb.co/ssdweb/hd/Vision360.html?d=926040926&amp;zoomslide=1&amp;z=1926040926&amp;ISCONFIRM=0","VIDEO")</f>
        <v>VIDEO</v>
      </c>
      <c r="AA617" s="19" t="str">
        <f>HYPERLINK("https://ssdweb.co/ssdweb/CERTH/7498151754.pdf","CERTI")</f>
        <v>CERTI</v>
      </c>
    </row>
    <row r="618" spans="1:27" ht="15" x14ac:dyDescent="0.25">
      <c r="A618" s="2">
        <v>613</v>
      </c>
      <c r="B618" s="39">
        <v>925801834</v>
      </c>
      <c r="C618" s="28" t="str">
        <f>HYPERLINK("https://pld.live/RapDetail.aspx?STONELIST=925801834","DNA")</f>
        <v>DNA</v>
      </c>
      <c r="D618" s="18" t="s">
        <v>5235</v>
      </c>
      <c r="E618" s="18" t="s">
        <v>5128</v>
      </c>
      <c r="F618" s="2" t="s">
        <v>5597</v>
      </c>
      <c r="G618" s="2" t="s">
        <v>861</v>
      </c>
      <c r="H618" s="14">
        <v>1.3</v>
      </c>
      <c r="I618" s="2" t="s">
        <v>4761</v>
      </c>
      <c r="J618" s="2" t="s">
        <v>6555</v>
      </c>
      <c r="K618" s="2" t="s">
        <v>5221</v>
      </c>
      <c r="L618" s="2" t="s">
        <v>5221</v>
      </c>
      <c r="M618" s="2" t="s">
        <v>5221</v>
      </c>
      <c r="N618" s="2" t="s">
        <v>2317</v>
      </c>
      <c r="O618" s="14">
        <v>11100</v>
      </c>
      <c r="P618" s="14">
        <v>97.96</v>
      </c>
      <c r="Q618" s="14">
        <v>226.44</v>
      </c>
      <c r="R618" s="14">
        <v>294.37</v>
      </c>
      <c r="S618" s="2" t="s">
        <v>5768</v>
      </c>
      <c r="T618" s="2">
        <v>1.01</v>
      </c>
      <c r="U618" s="2">
        <v>62.6</v>
      </c>
      <c r="V618" s="2">
        <v>57</v>
      </c>
      <c r="W618" s="2" t="s">
        <v>7862</v>
      </c>
      <c r="X618" s="2" t="s">
        <v>5405</v>
      </c>
      <c r="Y618" s="2">
        <v>14430</v>
      </c>
      <c r="Z618" s="19" t="str">
        <f>HYPERLINK("https://ssdweb.co/ssdweb/hd/Vision360.html?d=925801834&amp;zoomslide=1&amp;z=1925801834&amp;ISCONFIRM=0","VIDEO")</f>
        <v>VIDEO</v>
      </c>
      <c r="AA618" s="19" t="str">
        <f>HYPERLINK("https://ssdweb.co/ssdweb/CERTH/6482903746.pdf","CERTI")</f>
        <v>CERTI</v>
      </c>
    </row>
    <row r="619" spans="1:27" ht="15" x14ac:dyDescent="0.25">
      <c r="A619" s="2">
        <v>614</v>
      </c>
      <c r="B619" s="39">
        <v>925551057</v>
      </c>
      <c r="C619" s="28" t="str">
        <f>HYPERLINK("https://pld.live/RapDetail.aspx?STONELIST=925551057","DNA")</f>
        <v>DNA</v>
      </c>
      <c r="D619" s="18" t="s">
        <v>5235</v>
      </c>
      <c r="E619" s="18" t="s">
        <v>5128</v>
      </c>
      <c r="F619" s="2" t="s">
        <v>7987</v>
      </c>
      <c r="G619" s="2" t="s">
        <v>861</v>
      </c>
      <c r="H619" s="14">
        <v>1.3</v>
      </c>
      <c r="I619" s="2" t="s">
        <v>4761</v>
      </c>
      <c r="J619" s="2" t="s">
        <v>444</v>
      </c>
      <c r="K619" s="2" t="s">
        <v>3390</v>
      </c>
      <c r="L619" s="2" t="s">
        <v>5221</v>
      </c>
      <c r="M619" s="2" t="s">
        <v>5221</v>
      </c>
      <c r="N619" s="2" t="s">
        <v>2317</v>
      </c>
      <c r="O619" s="14">
        <v>5600</v>
      </c>
      <c r="P619" s="14">
        <v>98.09</v>
      </c>
      <c r="Q619" s="14">
        <v>106.96</v>
      </c>
      <c r="R619" s="14">
        <v>139.05000000000001</v>
      </c>
      <c r="S619" s="2" t="s">
        <v>6533</v>
      </c>
      <c r="T619" s="2">
        <v>1.01</v>
      </c>
      <c r="U619" s="2">
        <v>62.4</v>
      </c>
      <c r="V619" s="2">
        <v>57</v>
      </c>
      <c r="W619" s="2" t="s">
        <v>7862</v>
      </c>
      <c r="X619" s="2" t="s">
        <v>5405</v>
      </c>
      <c r="Y619" s="2">
        <v>7280</v>
      </c>
      <c r="Z619" s="19" t="str">
        <f>HYPERLINK("https://ssdweb.co/ssdweb/hd/Vision360.html?d=925551057&amp;zoomslide=1&amp;z=1925551057&amp;ISCONFIRM=0","VIDEO")</f>
        <v>VIDEO</v>
      </c>
      <c r="AA619" s="19" t="str">
        <f>HYPERLINK("https://ssdweb.co/ssdweb/CERTH/619424088.pdf","CERTI")</f>
        <v>CERTI</v>
      </c>
    </row>
    <row r="620" spans="1:27" ht="15" x14ac:dyDescent="0.25">
      <c r="A620" s="2">
        <v>615</v>
      </c>
      <c r="B620" s="39">
        <v>925861859</v>
      </c>
      <c r="C620" s="28" t="str">
        <f>HYPERLINK("https://pld.live/RapDetail.aspx?STONELIST=925861859","DNA")</f>
        <v>DNA</v>
      </c>
      <c r="D620" s="18" t="s">
        <v>5235</v>
      </c>
      <c r="E620" s="18" t="s">
        <v>5128</v>
      </c>
      <c r="F620" s="2" t="s">
        <v>5597</v>
      </c>
      <c r="G620" s="2" t="s">
        <v>861</v>
      </c>
      <c r="H620" s="14">
        <v>1.28</v>
      </c>
      <c r="I620" s="2" t="s">
        <v>267</v>
      </c>
      <c r="J620" s="2" t="s">
        <v>3942</v>
      </c>
      <c r="K620" s="2" t="s">
        <v>5221</v>
      </c>
      <c r="L620" s="2" t="s">
        <v>5221</v>
      </c>
      <c r="M620" s="2" t="s">
        <v>5221</v>
      </c>
      <c r="N620" s="2" t="s">
        <v>2317</v>
      </c>
      <c r="O620" s="14">
        <v>10200</v>
      </c>
      <c r="P620" s="14">
        <v>97.96</v>
      </c>
      <c r="Q620" s="14">
        <v>208.08</v>
      </c>
      <c r="R620" s="14">
        <v>266.33999999999997</v>
      </c>
      <c r="S620" s="2" t="s">
        <v>4662</v>
      </c>
      <c r="T620" s="2">
        <v>1</v>
      </c>
      <c r="U620" s="2">
        <v>62.5</v>
      </c>
      <c r="V620" s="2">
        <v>57</v>
      </c>
      <c r="W620" s="2" t="s">
        <v>7862</v>
      </c>
      <c r="X620" s="2" t="s">
        <v>5405</v>
      </c>
      <c r="Y620" s="2">
        <v>13056</v>
      </c>
      <c r="Z620" s="19" t="str">
        <f>HYPERLINK("https://ssdweb.co/ssdweb/hd/Vision360.html?d=925861859&amp;zoomslide=1&amp;z=1925861859&amp;ISCONFIRM=0","VIDEO")</f>
        <v>VIDEO</v>
      </c>
      <c r="AA620" s="19" t="str">
        <f>HYPERLINK("https://ssdweb.co/ssdweb/CERTH/6485994304.pdf","CERTI")</f>
        <v>CERTI</v>
      </c>
    </row>
    <row r="621" spans="1:27" ht="15" x14ac:dyDescent="0.25">
      <c r="A621" s="2">
        <v>616</v>
      </c>
      <c r="B621" s="39">
        <v>925861434</v>
      </c>
      <c r="C621" s="28" t="str">
        <f>HYPERLINK("https://pld.live/RapDetail.aspx?STONELIST=925861434","DNA")</f>
        <v>DNA</v>
      </c>
      <c r="D621" s="18" t="s">
        <v>5235</v>
      </c>
      <c r="E621" s="18" t="s">
        <v>5128</v>
      </c>
      <c r="F621" s="2" t="s">
        <v>7987</v>
      </c>
      <c r="G621" s="2" t="s">
        <v>861</v>
      </c>
      <c r="H621" s="14">
        <v>1.24</v>
      </c>
      <c r="I621" s="2" t="s">
        <v>267</v>
      </c>
      <c r="J621" s="2" t="s">
        <v>444</v>
      </c>
      <c r="K621" s="2" t="s">
        <v>3390</v>
      </c>
      <c r="L621" s="2" t="s">
        <v>5221</v>
      </c>
      <c r="M621" s="2" t="s">
        <v>5221</v>
      </c>
      <c r="N621" s="2" t="s">
        <v>2317</v>
      </c>
      <c r="O621" s="14">
        <v>6000</v>
      </c>
      <c r="P621" s="14">
        <v>98.13</v>
      </c>
      <c r="Q621" s="14">
        <v>112.2</v>
      </c>
      <c r="R621" s="14">
        <v>139.13</v>
      </c>
      <c r="S621" s="2" t="s">
        <v>5009</v>
      </c>
      <c r="T621" s="2">
        <v>1.01</v>
      </c>
      <c r="U621" s="2">
        <v>62</v>
      </c>
      <c r="V621" s="2">
        <v>57</v>
      </c>
      <c r="W621" s="2" t="s">
        <v>7862</v>
      </c>
      <c r="X621" s="2" t="s">
        <v>5405</v>
      </c>
      <c r="Y621" s="2">
        <v>7440</v>
      </c>
      <c r="Z621" s="19" t="str">
        <f>HYPERLINK("https://ssdweb.co/ssdweb/hd/Vision360.html?d=925861434&amp;zoomslide=1&amp;z=1925861434&amp;ISCONFIRM=0","VIDEO")</f>
        <v>VIDEO</v>
      </c>
      <c r="AA621" s="19" t="str">
        <f>HYPERLINK("https://ssdweb.co/ssdweb/CERTH/631464351.pdf","CERTI")</f>
        <v>CERTI</v>
      </c>
    </row>
    <row r="622" spans="1:27" ht="15" x14ac:dyDescent="0.25">
      <c r="A622" s="2">
        <v>617</v>
      </c>
      <c r="B622" s="39">
        <v>831010675</v>
      </c>
      <c r="C622" s="28" t="str">
        <f>HYPERLINK("https://pld.live/RapDetail.aspx?STONELIST=831010675","DNA")</f>
        <v>DNA</v>
      </c>
      <c r="D622" s="18" t="s">
        <v>5235</v>
      </c>
      <c r="E622" s="18" t="s">
        <v>5128</v>
      </c>
      <c r="F622" s="2" t="s">
        <v>7987</v>
      </c>
      <c r="G622" s="2" t="s">
        <v>861</v>
      </c>
      <c r="H622" s="14">
        <v>1.24</v>
      </c>
      <c r="I622" s="2" t="s">
        <v>267</v>
      </c>
      <c r="J622" s="2" t="s">
        <v>444</v>
      </c>
      <c r="K622" s="2" t="s">
        <v>3390</v>
      </c>
      <c r="L622" s="2" t="s">
        <v>5221</v>
      </c>
      <c r="M622" s="2" t="s">
        <v>5221</v>
      </c>
      <c r="N622" s="2" t="s">
        <v>2317</v>
      </c>
      <c r="O622" s="14">
        <v>6000</v>
      </c>
      <c r="P622" s="14">
        <v>98.17</v>
      </c>
      <c r="Q622" s="14">
        <v>109.8</v>
      </c>
      <c r="R622" s="14">
        <v>136.15</v>
      </c>
      <c r="S622" s="2" t="s">
        <v>2949</v>
      </c>
      <c r="T622" s="2">
        <v>1.01</v>
      </c>
      <c r="U622" s="2">
        <v>62.2</v>
      </c>
      <c r="V622" s="2">
        <v>58</v>
      </c>
      <c r="W622" s="2" t="s">
        <v>7862</v>
      </c>
      <c r="X622" s="2" t="s">
        <v>5405</v>
      </c>
      <c r="Y622" s="2">
        <v>7440</v>
      </c>
      <c r="Z622" s="19" t="str">
        <f>HYPERLINK("https://ssdweb.co/ssdweb/hd/Vision360.html?d=831010675&amp;zoomslide=1&amp;z=1831010675&amp;ISCONFIRM=0","VIDEO")</f>
        <v>VIDEO</v>
      </c>
      <c r="AA622" s="19" t="str">
        <f>HYPERLINK("https://ssdweb.co/ssdweb/CERTH/596330881.pdf","CERTI")</f>
        <v>CERTI</v>
      </c>
    </row>
    <row r="623" spans="1:27" ht="15" x14ac:dyDescent="0.25">
      <c r="A623" s="2">
        <v>618</v>
      </c>
      <c r="B623" s="39">
        <v>924600164</v>
      </c>
      <c r="C623" s="28" t="str">
        <f>HYPERLINK("https://pld.live/RapDetail.aspx?STONELIST=924600164","DNA")</f>
        <v>DNA</v>
      </c>
      <c r="D623" s="18" t="s">
        <v>5235</v>
      </c>
      <c r="E623" s="18" t="s">
        <v>5128</v>
      </c>
      <c r="F623" s="2" t="s">
        <v>5597</v>
      </c>
      <c r="G623" s="2" t="s">
        <v>861</v>
      </c>
      <c r="H623" s="14">
        <v>1.22</v>
      </c>
      <c r="I623" s="2" t="s">
        <v>267</v>
      </c>
      <c r="J623" s="2" t="s">
        <v>3942</v>
      </c>
      <c r="K623" s="2" t="s">
        <v>5221</v>
      </c>
      <c r="L623" s="2" t="s">
        <v>5221</v>
      </c>
      <c r="M623" s="2" t="s">
        <v>5221</v>
      </c>
      <c r="N623" s="2" t="s">
        <v>2317</v>
      </c>
      <c r="O623" s="14">
        <v>10200</v>
      </c>
      <c r="P623" s="14">
        <v>97.96</v>
      </c>
      <c r="Q623" s="14">
        <v>208.08</v>
      </c>
      <c r="R623" s="14">
        <v>253.86</v>
      </c>
      <c r="S623" s="2" t="s">
        <v>5290</v>
      </c>
      <c r="T623" s="2">
        <v>1</v>
      </c>
      <c r="U623" s="2">
        <v>61.8</v>
      </c>
      <c r="V623" s="2">
        <v>58</v>
      </c>
      <c r="W623" s="2" t="s">
        <v>7862</v>
      </c>
      <c r="X623" s="2" t="s">
        <v>5405</v>
      </c>
      <c r="Y623" s="2">
        <v>12444</v>
      </c>
      <c r="Z623" s="19" t="str">
        <f>HYPERLINK("https://ssdweb.co/ssdweb/hd/Vision360.html?d=924600164&amp;zoomslide=1&amp;z=1924600164&amp;ISCONFIRM=0","VIDEO")</f>
        <v>VIDEO</v>
      </c>
      <c r="AA623" s="19" t="str">
        <f>HYPERLINK("https://ssdweb.co/ssdweb/CERTH/6471459770.pdf","CERTI")</f>
        <v>CERTI</v>
      </c>
    </row>
    <row r="624" spans="1:27" ht="15" x14ac:dyDescent="0.25">
      <c r="A624" s="2">
        <v>619</v>
      </c>
      <c r="B624" s="39">
        <v>925861791</v>
      </c>
      <c r="C624" s="28" t="str">
        <f>HYPERLINK("https://pld.live/RapDetail.aspx?STONELIST=925861791","DNA")</f>
        <v>DNA</v>
      </c>
      <c r="D624" s="18" t="s">
        <v>5235</v>
      </c>
      <c r="E624" s="18" t="s">
        <v>5128</v>
      </c>
      <c r="F624" s="2" t="s">
        <v>5597</v>
      </c>
      <c r="G624" s="2" t="s">
        <v>861</v>
      </c>
      <c r="H624" s="14">
        <v>1.22</v>
      </c>
      <c r="I624" s="2" t="s">
        <v>4761</v>
      </c>
      <c r="J624" s="2" t="s">
        <v>3942</v>
      </c>
      <c r="K624" s="2" t="s">
        <v>5221</v>
      </c>
      <c r="L624" s="2" t="s">
        <v>5221</v>
      </c>
      <c r="M624" s="2" t="s">
        <v>5221</v>
      </c>
      <c r="N624" s="2" t="s">
        <v>2317</v>
      </c>
      <c r="O624" s="14">
        <v>9300</v>
      </c>
      <c r="P624" s="14">
        <v>97.83</v>
      </c>
      <c r="Q624" s="14">
        <v>201.81</v>
      </c>
      <c r="R624" s="14">
        <v>246.21</v>
      </c>
      <c r="S624" s="2" t="s">
        <v>3530</v>
      </c>
      <c r="T624" s="2">
        <v>1.01</v>
      </c>
      <c r="U624" s="2">
        <v>62.4</v>
      </c>
      <c r="V624" s="2">
        <v>56</v>
      </c>
      <c r="W624" s="2" t="s">
        <v>7862</v>
      </c>
      <c r="X624" s="2" t="s">
        <v>5405</v>
      </c>
      <c r="Y624" s="2">
        <v>11346</v>
      </c>
      <c r="Z624" s="19" t="str">
        <f>HYPERLINK("https://ssdweb.co/ssdweb/hd/Vision360.html?d=925861791&amp;zoomslide=1&amp;z=1925861791&amp;ISCONFIRM=0","VIDEO")</f>
        <v>VIDEO</v>
      </c>
      <c r="AA624" s="19" t="str">
        <f>HYPERLINK("https://ssdweb.co/ssdweb/CERTH/6482994314.pdf","CERTI")</f>
        <v>CERTI</v>
      </c>
    </row>
    <row r="625" spans="1:27" ht="15" x14ac:dyDescent="0.25">
      <c r="A625" s="2">
        <v>620</v>
      </c>
      <c r="B625" s="39">
        <v>925300259</v>
      </c>
      <c r="C625" s="28" t="str">
        <f>HYPERLINK("https://pld.live/RapDetail.aspx?STONELIST=925300259","DNA")</f>
        <v>DNA</v>
      </c>
      <c r="D625" s="18" t="s">
        <v>5235</v>
      </c>
      <c r="E625" s="18" t="s">
        <v>5128</v>
      </c>
      <c r="F625" s="2" t="s">
        <v>5597</v>
      </c>
      <c r="G625" s="2" t="s">
        <v>861</v>
      </c>
      <c r="H625" s="14">
        <v>1.21</v>
      </c>
      <c r="I625" s="2" t="s">
        <v>267</v>
      </c>
      <c r="J625" s="2" t="s">
        <v>6555</v>
      </c>
      <c r="K625" s="2" t="s">
        <v>5221</v>
      </c>
      <c r="L625" s="2" t="s">
        <v>5221</v>
      </c>
      <c r="M625" s="2" t="s">
        <v>5221</v>
      </c>
      <c r="N625" s="2" t="s">
        <v>2317</v>
      </c>
      <c r="O625" s="14">
        <v>12800</v>
      </c>
      <c r="P625" s="14">
        <v>98.09</v>
      </c>
      <c r="Q625" s="14">
        <v>244.48</v>
      </c>
      <c r="R625" s="14">
        <v>295.82</v>
      </c>
      <c r="S625" s="2" t="s">
        <v>4751</v>
      </c>
      <c r="T625" s="2">
        <v>1.01</v>
      </c>
      <c r="U625" s="2">
        <v>62.5</v>
      </c>
      <c r="V625" s="2">
        <v>56</v>
      </c>
      <c r="W625" s="2" t="s">
        <v>7862</v>
      </c>
      <c r="X625" s="2" t="s">
        <v>5405</v>
      </c>
      <c r="Y625" s="2">
        <v>15488</v>
      </c>
      <c r="Z625" s="19" t="str">
        <f>HYPERLINK("https://ssdweb.co/ssdweb/hd/Vision360.html?d=925300259&amp;zoomslide=1&amp;z=1925300259&amp;ISCONFIRM=0","VIDEO")</f>
        <v>VIDEO</v>
      </c>
      <c r="AA625" s="19" t="str">
        <f>HYPERLINK("https://ssdweb.co/ssdweb/CERTH/7486278446.pdf","CERTI")</f>
        <v>CERTI</v>
      </c>
    </row>
    <row r="626" spans="1:27" ht="15" x14ac:dyDescent="0.25">
      <c r="A626" s="2">
        <v>621</v>
      </c>
      <c r="B626" s="39">
        <v>925890559</v>
      </c>
      <c r="C626" s="28" t="str">
        <f>HYPERLINK("https://pld.live/RapDetail.aspx?STONELIST=925890559","DNA")</f>
        <v>DNA</v>
      </c>
      <c r="D626" s="18" t="s">
        <v>5235</v>
      </c>
      <c r="E626" s="18" t="s">
        <v>5128</v>
      </c>
      <c r="F626" s="2" t="s">
        <v>5597</v>
      </c>
      <c r="G626" s="2" t="s">
        <v>861</v>
      </c>
      <c r="H626" s="14">
        <v>1.21</v>
      </c>
      <c r="I626" s="2" t="s">
        <v>267</v>
      </c>
      <c r="J626" s="2" t="s">
        <v>3942</v>
      </c>
      <c r="K626" s="2" t="s">
        <v>5221</v>
      </c>
      <c r="L626" s="2" t="s">
        <v>5221</v>
      </c>
      <c r="M626" s="2" t="s">
        <v>5221</v>
      </c>
      <c r="N626" s="2" t="s">
        <v>2317</v>
      </c>
      <c r="O626" s="14">
        <v>10200</v>
      </c>
      <c r="P626" s="14">
        <v>97.94</v>
      </c>
      <c r="Q626" s="14">
        <v>210.12</v>
      </c>
      <c r="R626" s="14">
        <v>254.25</v>
      </c>
      <c r="S626" s="2" t="s">
        <v>1735</v>
      </c>
      <c r="T626" s="2">
        <v>1</v>
      </c>
      <c r="U626" s="2">
        <v>62.1</v>
      </c>
      <c r="V626" s="2">
        <v>58</v>
      </c>
      <c r="W626" s="2" t="s">
        <v>7862</v>
      </c>
      <c r="X626" s="2" t="s">
        <v>5405</v>
      </c>
      <c r="Y626" s="2">
        <v>12342</v>
      </c>
      <c r="Z626" s="19" t="str">
        <f>HYPERLINK("https://ssdweb.co/ssdweb/hd/Vision360.html?d=925890559&amp;zoomslide=1&amp;z=1925890559&amp;ISCONFIRM=0","VIDEO")</f>
        <v>VIDEO</v>
      </c>
      <c r="AA626" s="19" t="str">
        <f>HYPERLINK("https://ssdweb.co/ssdweb/CERTH/7492049189.pdf","CERTI")</f>
        <v>CERTI</v>
      </c>
    </row>
    <row r="627" spans="1:27" ht="15" x14ac:dyDescent="0.25">
      <c r="A627" s="2">
        <v>622</v>
      </c>
      <c r="B627" s="39">
        <v>925621363</v>
      </c>
      <c r="C627" s="28" t="str">
        <f>HYPERLINK("https://pld.live/RapDetail.aspx?STONELIST=925621363","DNA")</f>
        <v>DNA</v>
      </c>
      <c r="D627" s="18" t="s">
        <v>5235</v>
      </c>
      <c r="E627" s="18" t="s">
        <v>5128</v>
      </c>
      <c r="F627" s="2" t="s">
        <v>5597</v>
      </c>
      <c r="G627" s="2" t="s">
        <v>861</v>
      </c>
      <c r="H627" s="14">
        <v>1.21</v>
      </c>
      <c r="I627" s="2" t="s">
        <v>267</v>
      </c>
      <c r="J627" s="2" t="s">
        <v>3942</v>
      </c>
      <c r="K627" s="2" t="s">
        <v>5221</v>
      </c>
      <c r="L627" s="2" t="s">
        <v>5221</v>
      </c>
      <c r="M627" s="2" t="s">
        <v>5221</v>
      </c>
      <c r="N627" s="2" t="s">
        <v>2317</v>
      </c>
      <c r="O627" s="14">
        <v>10200</v>
      </c>
      <c r="P627" s="14">
        <v>97.96</v>
      </c>
      <c r="Q627" s="14">
        <v>208.08</v>
      </c>
      <c r="R627" s="14">
        <v>251.78</v>
      </c>
      <c r="S627" s="2" t="s">
        <v>2810</v>
      </c>
      <c r="T627" s="2">
        <v>1</v>
      </c>
      <c r="U627" s="2">
        <v>60.1</v>
      </c>
      <c r="V627" s="2">
        <v>59</v>
      </c>
      <c r="W627" s="2" t="s">
        <v>7862</v>
      </c>
      <c r="X627" s="2" t="s">
        <v>5405</v>
      </c>
      <c r="Y627" s="2">
        <v>12342</v>
      </c>
      <c r="Z627" s="19" t="str">
        <f>HYPERLINK("https://ssdweb.co/ssdweb/hd/Vision360.html?d=925621363&amp;zoomslide=1&amp;z=1925621363&amp;ISCONFIRM=0","VIDEO")</f>
        <v>VIDEO</v>
      </c>
      <c r="AA627" s="19" t="str">
        <f>HYPERLINK("https://ssdweb.co/ssdweb/CERTH/7481535423.pdf","CERTI")</f>
        <v>CERTI</v>
      </c>
    </row>
    <row r="628" spans="1:27" ht="15" x14ac:dyDescent="0.25">
      <c r="A628" s="2">
        <v>623</v>
      </c>
      <c r="B628" s="39">
        <v>925290117</v>
      </c>
      <c r="C628" s="28" t="str">
        <f>HYPERLINK("https://pld.live/RapDetail.aspx?STONELIST=925290117","DNA")</f>
        <v>DNA</v>
      </c>
      <c r="D628" s="18" t="s">
        <v>5235</v>
      </c>
      <c r="E628" s="18" t="s">
        <v>5128</v>
      </c>
      <c r="F628" s="2" t="s">
        <v>5597</v>
      </c>
      <c r="G628" s="2" t="s">
        <v>861</v>
      </c>
      <c r="H628" s="14">
        <v>1.21</v>
      </c>
      <c r="I628" s="2" t="s">
        <v>267</v>
      </c>
      <c r="J628" s="2" t="s">
        <v>3942</v>
      </c>
      <c r="K628" s="2" t="s">
        <v>5221</v>
      </c>
      <c r="L628" s="2" t="s">
        <v>5221</v>
      </c>
      <c r="M628" s="2" t="s">
        <v>5221</v>
      </c>
      <c r="N628" s="2" t="s">
        <v>2317</v>
      </c>
      <c r="O628" s="14">
        <v>10200</v>
      </c>
      <c r="P628" s="14">
        <v>97.96</v>
      </c>
      <c r="Q628" s="14">
        <v>208.08</v>
      </c>
      <c r="R628" s="14">
        <v>251.78</v>
      </c>
      <c r="S628" s="2" t="s">
        <v>2288</v>
      </c>
      <c r="T628" s="2">
        <v>1</v>
      </c>
      <c r="U628" s="2">
        <v>60.4</v>
      </c>
      <c r="V628" s="2">
        <v>59</v>
      </c>
      <c r="W628" s="2" t="s">
        <v>7862</v>
      </c>
      <c r="X628" s="2" t="s">
        <v>5405</v>
      </c>
      <c r="Y628" s="2">
        <v>12342</v>
      </c>
      <c r="Z628" s="19" t="str">
        <f>HYPERLINK("https://ssdweb.co/ssdweb/hd/Vision360.html?d=925290117&amp;zoomslide=1&amp;z=1925290117&amp;ISCONFIRM=0","VIDEO")</f>
        <v>VIDEO</v>
      </c>
      <c r="AA628" s="19" t="str">
        <f>HYPERLINK("https://ssdweb.co/ssdweb/CERTH/1483211051.pdf","CERTI")</f>
        <v>CERTI</v>
      </c>
    </row>
    <row r="629" spans="1:27" ht="15" x14ac:dyDescent="0.25">
      <c r="A629" s="2">
        <v>624</v>
      </c>
      <c r="B629" s="39">
        <v>925971244</v>
      </c>
      <c r="C629" s="28" t="str">
        <f>HYPERLINK("https://pld.live/RapDetail.aspx?STONELIST=925971244","DNA")</f>
        <v>DNA</v>
      </c>
      <c r="D629" s="18" t="s">
        <v>5235</v>
      </c>
      <c r="E629" s="18" t="s">
        <v>5128</v>
      </c>
      <c r="F629" s="2" t="s">
        <v>5597</v>
      </c>
      <c r="G629" s="2" t="s">
        <v>861</v>
      </c>
      <c r="H629" s="14">
        <v>1.21</v>
      </c>
      <c r="I629" s="2" t="s">
        <v>267</v>
      </c>
      <c r="J629" s="2" t="s">
        <v>3942</v>
      </c>
      <c r="K629" s="2" t="s">
        <v>5221</v>
      </c>
      <c r="L629" s="2" t="s">
        <v>5221</v>
      </c>
      <c r="M629" s="2" t="s">
        <v>5221</v>
      </c>
      <c r="N629" s="2" t="s">
        <v>2317</v>
      </c>
      <c r="O629" s="14">
        <v>10200</v>
      </c>
      <c r="P629" s="14">
        <v>97.94</v>
      </c>
      <c r="Q629" s="14">
        <v>210.12</v>
      </c>
      <c r="R629" s="14">
        <v>254.25</v>
      </c>
      <c r="S629" s="2" t="s">
        <v>7018</v>
      </c>
      <c r="T629" s="2">
        <v>1</v>
      </c>
      <c r="U629" s="2">
        <v>60.9</v>
      </c>
      <c r="V629" s="2">
        <v>56</v>
      </c>
      <c r="W629" s="2" t="s">
        <v>7862</v>
      </c>
      <c r="X629" s="2" t="s">
        <v>5405</v>
      </c>
      <c r="Y629" s="2">
        <v>12342</v>
      </c>
      <c r="Z629" s="19" t="str">
        <f>HYPERLINK("https://ssdweb.co/ssdweb/hd/Vision360.html?d=925971244&amp;zoomslide=1&amp;z=1925971244&amp;ISCONFIRM=0","VIDEO")</f>
        <v>VIDEO</v>
      </c>
      <c r="AA629" s="19" t="str">
        <f>HYPERLINK("https://ssdweb.co/ssdweb/CERTH/6495108481.pdf","CERTI")</f>
        <v>CERTI</v>
      </c>
    </row>
    <row r="630" spans="1:27" ht="15" x14ac:dyDescent="0.25">
      <c r="A630" s="2">
        <v>625</v>
      </c>
      <c r="B630" s="39">
        <v>925981114</v>
      </c>
      <c r="C630" s="28" t="str">
        <f>HYPERLINK("https://pld.live/RapDetail.aspx?STONELIST=925981114","DNA")</f>
        <v>DNA</v>
      </c>
      <c r="D630" s="18" t="s">
        <v>5235</v>
      </c>
      <c r="E630" s="18" t="s">
        <v>5128</v>
      </c>
      <c r="F630" s="2" t="s">
        <v>5597</v>
      </c>
      <c r="G630" s="2" t="s">
        <v>861</v>
      </c>
      <c r="H630" s="14">
        <v>1.21</v>
      </c>
      <c r="I630" s="2" t="s">
        <v>267</v>
      </c>
      <c r="J630" s="2" t="s">
        <v>3942</v>
      </c>
      <c r="K630" s="2" t="s">
        <v>5221</v>
      </c>
      <c r="L630" s="2" t="s">
        <v>5221</v>
      </c>
      <c r="M630" s="2" t="s">
        <v>5221</v>
      </c>
      <c r="N630" s="2" t="s">
        <v>2317</v>
      </c>
      <c r="O630" s="14">
        <v>10200</v>
      </c>
      <c r="P630" s="14">
        <v>97.94</v>
      </c>
      <c r="Q630" s="14">
        <v>210.12</v>
      </c>
      <c r="R630" s="14">
        <v>254.25</v>
      </c>
      <c r="S630" s="2" t="s">
        <v>5761</v>
      </c>
      <c r="T630" s="2">
        <v>1</v>
      </c>
      <c r="U630" s="2">
        <v>62.4</v>
      </c>
      <c r="V630" s="2">
        <v>58</v>
      </c>
      <c r="W630" s="2" t="s">
        <v>7862</v>
      </c>
      <c r="X630" s="2" t="s">
        <v>5405</v>
      </c>
      <c r="Y630" s="2">
        <v>12342</v>
      </c>
      <c r="Z630" s="19" t="str">
        <f>HYPERLINK("https://ssdweb.co/ssdweb/hd/Vision360.html?d=925981114&amp;zoomslide=1&amp;z=1925981114&amp;ISCONFIRM=0","VIDEO")</f>
        <v>VIDEO</v>
      </c>
      <c r="AA630" s="19" t="str">
        <f>HYPERLINK("https://ssdweb.co/ssdweb/CERTH/6495108702.pdf","CERTI")</f>
        <v>CERTI</v>
      </c>
    </row>
    <row r="631" spans="1:27" ht="15" x14ac:dyDescent="0.25">
      <c r="A631" s="2">
        <v>626</v>
      </c>
      <c r="B631" s="39">
        <v>925981113</v>
      </c>
      <c r="C631" s="28" t="str">
        <f>HYPERLINK("https://pld.live/RapDetail.aspx?STONELIST=925981113","DNA")</f>
        <v>DNA</v>
      </c>
      <c r="D631" s="18" t="s">
        <v>5235</v>
      </c>
      <c r="E631" s="18" t="s">
        <v>5128</v>
      </c>
      <c r="F631" s="2" t="s">
        <v>7987</v>
      </c>
      <c r="G631" s="2" t="s">
        <v>861</v>
      </c>
      <c r="H631" s="14">
        <v>1.21</v>
      </c>
      <c r="I631" s="2" t="s">
        <v>267</v>
      </c>
      <c r="J631" s="2" t="s">
        <v>3942</v>
      </c>
      <c r="K631" s="2" t="s">
        <v>5221</v>
      </c>
      <c r="L631" s="2" t="s">
        <v>5221</v>
      </c>
      <c r="M631" s="2" t="s">
        <v>5221</v>
      </c>
      <c r="N631" s="2" t="s">
        <v>2317</v>
      </c>
      <c r="O631" s="14">
        <v>10200</v>
      </c>
      <c r="P631" s="14">
        <v>98.79</v>
      </c>
      <c r="Q631" s="14">
        <v>123.42</v>
      </c>
      <c r="R631" s="14">
        <v>149.34</v>
      </c>
      <c r="S631" s="2" t="s">
        <v>1937</v>
      </c>
      <c r="T631" s="2">
        <v>1</v>
      </c>
      <c r="U631" s="2">
        <v>59.3</v>
      </c>
      <c r="V631" s="2">
        <v>61</v>
      </c>
      <c r="W631" s="2" t="s">
        <v>7862</v>
      </c>
      <c r="X631" s="2" t="s">
        <v>5405</v>
      </c>
      <c r="Y631" s="2">
        <v>12342</v>
      </c>
      <c r="Z631" s="19" t="str">
        <f>HYPERLINK("https://ssdweb.co/ssdweb/hd/Vision360.html?d=925981113&amp;zoomslide=1&amp;z=1925981113&amp;ISCONFIRM=0","VIDEO")</f>
        <v>VIDEO</v>
      </c>
      <c r="AA631" s="19" t="str">
        <f>HYPERLINK("https://ssdweb.co/ssdweb/CERTH/629479207.pdf","CERTI")</f>
        <v>CERTI</v>
      </c>
    </row>
    <row r="632" spans="1:27" ht="15" x14ac:dyDescent="0.25">
      <c r="A632" s="2">
        <v>627</v>
      </c>
      <c r="B632" s="39">
        <v>941430636</v>
      </c>
      <c r="C632" s="28" t="str">
        <f>HYPERLINK("https://pld.live/RapDetail.aspx?STONELIST=941430636","DNA")</f>
        <v>DNA</v>
      </c>
      <c r="D632" s="18" t="s">
        <v>5235</v>
      </c>
      <c r="E632" s="18" t="s">
        <v>5128</v>
      </c>
      <c r="F632" s="2" t="s">
        <v>7987</v>
      </c>
      <c r="G632" s="2" t="s">
        <v>861</v>
      </c>
      <c r="H632" s="14">
        <v>1.21</v>
      </c>
      <c r="I632" s="2" t="s">
        <v>267</v>
      </c>
      <c r="J632" s="2" t="s">
        <v>13</v>
      </c>
      <c r="K632" s="2" t="s">
        <v>3390</v>
      </c>
      <c r="L632" s="2" t="s">
        <v>5221</v>
      </c>
      <c r="M632" s="2" t="s">
        <v>5221</v>
      </c>
      <c r="N632" s="2" t="s">
        <v>2317</v>
      </c>
      <c r="O632" s="14">
        <v>8700</v>
      </c>
      <c r="P632" s="14">
        <v>98.55</v>
      </c>
      <c r="Q632" s="14">
        <v>126.15</v>
      </c>
      <c r="R632" s="14">
        <v>152.63999999999999</v>
      </c>
      <c r="S632" s="2" t="s">
        <v>2368</v>
      </c>
      <c r="T632" s="2">
        <v>1.01</v>
      </c>
      <c r="U632" s="2">
        <v>62.3</v>
      </c>
      <c r="V632" s="2">
        <v>57</v>
      </c>
      <c r="W632" s="2" t="s">
        <v>7862</v>
      </c>
      <c r="X632" s="2" t="s">
        <v>5405</v>
      </c>
      <c r="Y632" s="2">
        <v>10527</v>
      </c>
      <c r="Z632" s="19" t="str">
        <f>HYPERLINK("https://ssdweb.co/ssdweb/hd/Vision360.html?d=941430636&amp;zoomslide=1&amp;z=1941430636&amp;ISCONFIRM=0","VIDEO")</f>
        <v>VIDEO</v>
      </c>
      <c r="AA632" s="19" t="str">
        <f>HYPERLINK("https://ssdweb.co/ssdweb/CERTH/694508421.pdf","CERTI")</f>
        <v>CERTI</v>
      </c>
    </row>
    <row r="633" spans="1:27" ht="15" x14ac:dyDescent="0.25">
      <c r="A633" s="2">
        <v>628</v>
      </c>
      <c r="B633" s="39">
        <v>924740103</v>
      </c>
      <c r="C633" s="28" t="str">
        <f>HYPERLINK("https://pld.live/RapDetail.aspx?STONELIST=924740103","DNA")</f>
        <v>DNA</v>
      </c>
      <c r="D633" s="18" t="s">
        <v>5235</v>
      </c>
      <c r="E633" s="18" t="s">
        <v>5128</v>
      </c>
      <c r="F633" s="2" t="s">
        <v>5597</v>
      </c>
      <c r="G633" s="2" t="s">
        <v>861</v>
      </c>
      <c r="H633" s="14">
        <v>1.21</v>
      </c>
      <c r="I633" s="2" t="s">
        <v>4761</v>
      </c>
      <c r="J633" s="2" t="s">
        <v>3942</v>
      </c>
      <c r="K633" s="2" t="s">
        <v>5221</v>
      </c>
      <c r="L633" s="2" t="s">
        <v>5221</v>
      </c>
      <c r="M633" s="2" t="s">
        <v>5221</v>
      </c>
      <c r="N633" s="2" t="s">
        <v>2317</v>
      </c>
      <c r="O633" s="14">
        <v>9300</v>
      </c>
      <c r="P633" s="14">
        <v>97.83</v>
      </c>
      <c r="Q633" s="14">
        <v>201.81</v>
      </c>
      <c r="R633" s="14">
        <v>244.19</v>
      </c>
      <c r="S633" s="2" t="s">
        <v>4779</v>
      </c>
      <c r="T633" s="2">
        <v>1</v>
      </c>
      <c r="U633" s="2">
        <v>62</v>
      </c>
      <c r="V633" s="2">
        <v>58</v>
      </c>
      <c r="W633" s="2" t="s">
        <v>7862</v>
      </c>
      <c r="X633" s="2" t="s">
        <v>5405</v>
      </c>
      <c r="Y633" s="2">
        <v>11253</v>
      </c>
      <c r="Z633" s="19" t="str">
        <f>HYPERLINK("https://ssdweb.co/ssdweb/hd/Vision360.html?d=924740103&amp;zoomslide=1&amp;z=1924740103&amp;ISCONFIRM=0","VIDEO")</f>
        <v>VIDEO</v>
      </c>
      <c r="AA633" s="19" t="str">
        <f>HYPERLINK("https://ssdweb.co/ssdweb/CERTH/6475564734.pdf","CERTI")</f>
        <v>CERTI</v>
      </c>
    </row>
    <row r="634" spans="1:27" ht="15" x14ac:dyDescent="0.25">
      <c r="A634" s="2">
        <v>629</v>
      </c>
      <c r="B634" s="39">
        <v>941430432</v>
      </c>
      <c r="C634" s="28" t="str">
        <f>HYPERLINK("https://pld.live/RapDetail.aspx?STONELIST=941430432","DNA")</f>
        <v>DNA</v>
      </c>
      <c r="D634" s="18" t="s">
        <v>5235</v>
      </c>
      <c r="E634" s="18" t="s">
        <v>5128</v>
      </c>
      <c r="F634" s="2" t="s">
        <v>7987</v>
      </c>
      <c r="G634" s="2" t="s">
        <v>861</v>
      </c>
      <c r="H634" s="14">
        <v>1.21</v>
      </c>
      <c r="I634" s="2" t="s">
        <v>4761</v>
      </c>
      <c r="J634" s="2" t="s">
        <v>13</v>
      </c>
      <c r="K634" s="2" t="s">
        <v>3390</v>
      </c>
      <c r="L634" s="2" t="s">
        <v>5221</v>
      </c>
      <c r="M634" s="2" t="s">
        <v>5221</v>
      </c>
      <c r="N634" s="2" t="s">
        <v>2317</v>
      </c>
      <c r="O634" s="14">
        <v>7900</v>
      </c>
      <c r="P634" s="14">
        <v>98.43</v>
      </c>
      <c r="Q634" s="14">
        <v>124.03</v>
      </c>
      <c r="R634" s="14">
        <v>150.08000000000001</v>
      </c>
      <c r="S634" s="2" t="s">
        <v>1634</v>
      </c>
      <c r="T634" s="2">
        <v>1.01</v>
      </c>
      <c r="U634" s="2">
        <v>61</v>
      </c>
      <c r="V634" s="2">
        <v>59</v>
      </c>
      <c r="W634" s="2" t="s">
        <v>7862</v>
      </c>
      <c r="X634" s="2" t="s">
        <v>5405</v>
      </c>
      <c r="Y634" s="2">
        <v>9559</v>
      </c>
      <c r="Z634" s="19" t="str">
        <f>HYPERLINK("https://ssdweb.co/ssdweb/hd/Vision360.html?d=941430432&amp;zoomslide=1&amp;z=1941430432&amp;ISCONFIRM=0","VIDEO")</f>
        <v>VIDEO</v>
      </c>
      <c r="AA634" s="19" t="str">
        <f>HYPERLINK("https://ssdweb.co/ssdweb/CERTH/694508420.pdf","CERTI")</f>
        <v>CERTI</v>
      </c>
    </row>
    <row r="635" spans="1:27" ht="15" x14ac:dyDescent="0.25">
      <c r="A635" s="2">
        <v>630</v>
      </c>
      <c r="B635" s="39">
        <v>925960877</v>
      </c>
      <c r="C635" s="28" t="str">
        <f>HYPERLINK("https://pld.live/RapDetail.aspx?STONELIST=925960877","DNA")</f>
        <v>DNA</v>
      </c>
      <c r="D635" s="18" t="s">
        <v>5235</v>
      </c>
      <c r="E635" s="18" t="s">
        <v>5128</v>
      </c>
      <c r="F635" s="2" t="s">
        <v>7987</v>
      </c>
      <c r="G635" s="2" t="s">
        <v>861</v>
      </c>
      <c r="H635" s="14">
        <v>1.2</v>
      </c>
      <c r="I635" s="2" t="s">
        <v>267</v>
      </c>
      <c r="J635" s="2" t="s">
        <v>3942</v>
      </c>
      <c r="K635" s="2" t="s">
        <v>5221</v>
      </c>
      <c r="L635" s="2" t="s">
        <v>5221</v>
      </c>
      <c r="M635" s="2" t="s">
        <v>5221</v>
      </c>
      <c r="N635" s="2" t="s">
        <v>2317</v>
      </c>
      <c r="O635" s="14">
        <v>10200</v>
      </c>
      <c r="P635" s="14">
        <v>98.79</v>
      </c>
      <c r="Q635" s="14">
        <v>123.42</v>
      </c>
      <c r="R635" s="14">
        <v>148.1</v>
      </c>
      <c r="S635" s="2" t="s">
        <v>2874</v>
      </c>
      <c r="T635" s="2">
        <v>1</v>
      </c>
      <c r="U635" s="2">
        <v>59.5</v>
      </c>
      <c r="V635" s="2">
        <v>62</v>
      </c>
      <c r="W635" s="2" t="s">
        <v>7862</v>
      </c>
      <c r="X635" s="2" t="s">
        <v>5405</v>
      </c>
      <c r="Y635" s="2">
        <v>12240</v>
      </c>
      <c r="Z635" s="19" t="str">
        <f>HYPERLINK("https://ssdweb.co/ssdweb/hd/Vision360.html?d=925960877&amp;zoomslide=1&amp;z=1925960877&amp;ISCONFIRM=0","VIDEO")</f>
        <v>VIDEO</v>
      </c>
      <c r="AA635" s="19" t="str">
        <f>HYPERLINK("https://ssdweb.co/ssdweb/CERTH/628463202.pdf","CERTI")</f>
        <v>CERTI</v>
      </c>
    </row>
    <row r="636" spans="1:27" ht="15" x14ac:dyDescent="0.25">
      <c r="A636" s="2">
        <v>631</v>
      </c>
      <c r="B636" s="39">
        <v>925861774</v>
      </c>
      <c r="C636" s="28" t="str">
        <f>HYPERLINK("https://pld.live/RapDetail.aspx?STONELIST=925861774","DNA")</f>
        <v>DNA</v>
      </c>
      <c r="D636" s="18" t="s">
        <v>5235</v>
      </c>
      <c r="E636" s="18" t="s">
        <v>5128</v>
      </c>
      <c r="F636" s="2" t="s">
        <v>5597</v>
      </c>
      <c r="G636" s="2" t="s">
        <v>861</v>
      </c>
      <c r="H636" s="14">
        <v>1.2</v>
      </c>
      <c r="I636" s="2" t="s">
        <v>267</v>
      </c>
      <c r="J636" s="2" t="s">
        <v>3942</v>
      </c>
      <c r="K636" s="2" t="s">
        <v>5221</v>
      </c>
      <c r="L636" s="2" t="s">
        <v>5221</v>
      </c>
      <c r="M636" s="2" t="s">
        <v>5221</v>
      </c>
      <c r="N636" s="2" t="s">
        <v>2317</v>
      </c>
      <c r="O636" s="14">
        <v>10200</v>
      </c>
      <c r="P636" s="14">
        <v>97.96</v>
      </c>
      <c r="Q636" s="14">
        <v>208.08</v>
      </c>
      <c r="R636" s="14">
        <v>249.7</v>
      </c>
      <c r="S636" s="2" t="s">
        <v>6762</v>
      </c>
      <c r="T636" s="2">
        <v>1.01</v>
      </c>
      <c r="U636" s="2">
        <v>62.4</v>
      </c>
      <c r="V636" s="2">
        <v>55</v>
      </c>
      <c r="W636" s="2" t="s">
        <v>7862</v>
      </c>
      <c r="X636" s="2" t="s">
        <v>5405</v>
      </c>
      <c r="Y636" s="2">
        <v>12240</v>
      </c>
      <c r="Z636" s="19" t="str">
        <f>HYPERLINK("https://ssdweb.co/ssdweb/hd/Vision360.html?d=925861774&amp;zoomslide=1&amp;z=1925861774&amp;ISCONFIRM=0","VIDEO")</f>
        <v>VIDEO</v>
      </c>
      <c r="AA636" s="19" t="str">
        <f>HYPERLINK("https://ssdweb.co/ssdweb/CERTH/2487994293.pdf","CERTI")</f>
        <v>CERTI</v>
      </c>
    </row>
    <row r="637" spans="1:27" ht="15" x14ac:dyDescent="0.25">
      <c r="A637" s="2">
        <v>632</v>
      </c>
      <c r="B637" s="39">
        <v>941350719</v>
      </c>
      <c r="C637" s="28" t="str">
        <f>HYPERLINK("https://pld.live/RapDetail.aspx?STONELIST=941350719","DNA")</f>
        <v>DNA</v>
      </c>
      <c r="D637" s="18" t="s">
        <v>5235</v>
      </c>
      <c r="E637" s="18" t="s">
        <v>5128</v>
      </c>
      <c r="F637" s="2" t="s">
        <v>7987</v>
      </c>
      <c r="G637" s="2" t="s">
        <v>861</v>
      </c>
      <c r="H637" s="14">
        <v>1.2</v>
      </c>
      <c r="I637" s="2" t="s">
        <v>267</v>
      </c>
      <c r="J637" s="2" t="s">
        <v>13</v>
      </c>
      <c r="K637" s="2" t="s">
        <v>3390</v>
      </c>
      <c r="L637" s="2" t="s">
        <v>5221</v>
      </c>
      <c r="M637" s="2" t="s">
        <v>5221</v>
      </c>
      <c r="N637" s="2" t="s">
        <v>2317</v>
      </c>
      <c r="O637" s="14">
        <v>8700</v>
      </c>
      <c r="P637" s="14">
        <v>98.55</v>
      </c>
      <c r="Q637" s="14">
        <v>126.15</v>
      </c>
      <c r="R637" s="14">
        <v>151.38</v>
      </c>
      <c r="S637" s="2" t="s">
        <v>4432</v>
      </c>
      <c r="T637" s="2">
        <v>1.01</v>
      </c>
      <c r="U637" s="2">
        <v>60</v>
      </c>
      <c r="V637" s="2">
        <v>60</v>
      </c>
      <c r="W637" s="2" t="s">
        <v>7862</v>
      </c>
      <c r="X637" s="2" t="s">
        <v>5405</v>
      </c>
      <c r="Y637" s="2">
        <v>10440</v>
      </c>
      <c r="Z637" s="19" t="str">
        <f>HYPERLINK("https://ssdweb.co/ssdweb/hd/Vision360.html?d=941350719&amp;zoomslide=1&amp;z=1941350719&amp;ISCONFIRM=0","VIDEO")</f>
        <v>VIDEO</v>
      </c>
      <c r="AA637" s="19" t="str">
        <f>HYPERLINK("https://ssdweb.co/ssdweb/CERTH/694508416.pdf","CERTI")</f>
        <v>CERTI</v>
      </c>
    </row>
    <row r="638" spans="1:27" ht="15" x14ac:dyDescent="0.25">
      <c r="A638" s="2">
        <v>633</v>
      </c>
      <c r="B638" s="39">
        <v>941350685</v>
      </c>
      <c r="C638" s="28" t="str">
        <f>HYPERLINK("https://pld.live/RapDetail.aspx?STONELIST=941350685","DNA")</f>
        <v>DNA</v>
      </c>
      <c r="D638" s="18" t="s">
        <v>5235</v>
      </c>
      <c r="E638" s="18" t="s">
        <v>5128</v>
      </c>
      <c r="F638" s="2" t="s">
        <v>7987</v>
      </c>
      <c r="G638" s="2" t="s">
        <v>861</v>
      </c>
      <c r="H638" s="14">
        <v>1.2</v>
      </c>
      <c r="I638" s="2" t="s">
        <v>267</v>
      </c>
      <c r="J638" s="2" t="s">
        <v>13</v>
      </c>
      <c r="K638" s="2" t="s">
        <v>3390</v>
      </c>
      <c r="L638" s="2" t="s">
        <v>5221</v>
      </c>
      <c r="M638" s="2" t="s">
        <v>5221</v>
      </c>
      <c r="N638" s="2" t="s">
        <v>2317</v>
      </c>
      <c r="O638" s="14">
        <v>8700</v>
      </c>
      <c r="P638" s="14">
        <v>98.55</v>
      </c>
      <c r="Q638" s="14">
        <v>126.15</v>
      </c>
      <c r="R638" s="14">
        <v>151.38</v>
      </c>
      <c r="S638" s="2" t="s">
        <v>5935</v>
      </c>
      <c r="T638" s="2">
        <v>1.01</v>
      </c>
      <c r="U638" s="2">
        <v>61.8</v>
      </c>
      <c r="V638" s="2">
        <v>60</v>
      </c>
      <c r="W638" s="2" t="s">
        <v>7862</v>
      </c>
      <c r="X638" s="2" t="s">
        <v>5405</v>
      </c>
      <c r="Y638" s="2">
        <v>10440</v>
      </c>
      <c r="Z638" s="19" t="str">
        <f>HYPERLINK("https://ssdweb.co/ssdweb/hd/Vision360.html?d=941350685&amp;zoomslide=1&amp;z=1941350685&amp;ISCONFIRM=0","VIDEO")</f>
        <v>VIDEO</v>
      </c>
      <c r="AA638" s="19" t="str">
        <f>HYPERLINK("https://ssdweb.co/ssdweb/CERTH/694508415.pdf","CERTI")</f>
        <v>CERTI</v>
      </c>
    </row>
    <row r="639" spans="1:27" ht="15" x14ac:dyDescent="0.25">
      <c r="A639" s="2">
        <v>634</v>
      </c>
      <c r="B639" s="39">
        <v>941430792</v>
      </c>
      <c r="C639" s="28" t="str">
        <f>HYPERLINK("https://pld.live/RapDetail.aspx?STONELIST=941430792","DNA")</f>
        <v>DNA</v>
      </c>
      <c r="D639" s="18" t="s">
        <v>5235</v>
      </c>
      <c r="E639" s="18" t="s">
        <v>5128</v>
      </c>
      <c r="F639" s="2" t="s">
        <v>7987</v>
      </c>
      <c r="G639" s="2" t="s">
        <v>861</v>
      </c>
      <c r="H639" s="14">
        <v>1.2</v>
      </c>
      <c r="I639" s="2" t="s">
        <v>267</v>
      </c>
      <c r="J639" s="2" t="s">
        <v>13</v>
      </c>
      <c r="K639" s="2" t="s">
        <v>3390</v>
      </c>
      <c r="L639" s="2" t="s">
        <v>5221</v>
      </c>
      <c r="M639" s="2" t="s">
        <v>5221</v>
      </c>
      <c r="N639" s="2" t="s">
        <v>2317</v>
      </c>
      <c r="O639" s="14">
        <v>8700</v>
      </c>
      <c r="P639" s="14">
        <v>98.55</v>
      </c>
      <c r="Q639" s="14">
        <v>126.15</v>
      </c>
      <c r="R639" s="14">
        <v>151.38</v>
      </c>
      <c r="S639" s="2" t="s">
        <v>7502</v>
      </c>
      <c r="T639" s="2">
        <v>1.01</v>
      </c>
      <c r="U639" s="2">
        <v>60.7</v>
      </c>
      <c r="V639" s="2">
        <v>59</v>
      </c>
      <c r="W639" s="2" t="s">
        <v>7862</v>
      </c>
      <c r="X639" s="2" t="s">
        <v>5405</v>
      </c>
      <c r="Y639" s="2">
        <v>10440</v>
      </c>
      <c r="Z639" s="19" t="str">
        <f>HYPERLINK("https://ssdweb.co/ssdweb/hd/Vision360.html?d=941430792&amp;zoomslide=1&amp;z=1941430792&amp;ISCONFIRM=0","VIDEO")</f>
        <v>VIDEO</v>
      </c>
      <c r="AA639" s="19" t="str">
        <f>HYPERLINK("https://ssdweb.co/ssdweb/CERTH/694508422.pdf","CERTI")</f>
        <v>CERTI</v>
      </c>
    </row>
    <row r="640" spans="1:27" ht="15" x14ac:dyDescent="0.25">
      <c r="A640" s="2">
        <v>635</v>
      </c>
      <c r="B640" s="39">
        <v>925862042</v>
      </c>
      <c r="C640" s="28" t="str">
        <f>HYPERLINK("https://pld.live/RapDetail.aspx?STONELIST=925862042","DNA")</f>
        <v>DNA</v>
      </c>
      <c r="D640" s="18" t="s">
        <v>5235</v>
      </c>
      <c r="E640" s="18" t="s">
        <v>5128</v>
      </c>
      <c r="F640" s="2" t="s">
        <v>7987</v>
      </c>
      <c r="G640" s="2" t="s">
        <v>861</v>
      </c>
      <c r="H640" s="14">
        <v>1.2</v>
      </c>
      <c r="I640" s="2" t="s">
        <v>267</v>
      </c>
      <c r="J640" s="2" t="s">
        <v>13</v>
      </c>
      <c r="K640" s="2" t="s">
        <v>5221</v>
      </c>
      <c r="L640" s="2" t="s">
        <v>5221</v>
      </c>
      <c r="M640" s="2" t="s">
        <v>5221</v>
      </c>
      <c r="N640" s="2" t="s">
        <v>2317</v>
      </c>
      <c r="O640" s="14">
        <v>8700</v>
      </c>
      <c r="P640" s="14">
        <v>98.6</v>
      </c>
      <c r="Q640" s="14">
        <v>121.8</v>
      </c>
      <c r="R640" s="14">
        <v>146.16</v>
      </c>
      <c r="S640" s="2" t="s">
        <v>209</v>
      </c>
      <c r="T640" s="2">
        <v>1</v>
      </c>
      <c r="U640" s="2">
        <v>61.5</v>
      </c>
      <c r="V640" s="2">
        <v>60</v>
      </c>
      <c r="W640" s="2" t="s">
        <v>7862</v>
      </c>
      <c r="X640" s="2" t="s">
        <v>5405</v>
      </c>
      <c r="Y640" s="2">
        <v>10440</v>
      </c>
      <c r="Z640" s="19" t="str">
        <f>HYPERLINK("https://ssdweb.co/ssdweb/hd/Vision360.html?d=925862042&amp;zoomslide=1&amp;z=1925862042&amp;ISCONFIRM=0","VIDEO")</f>
        <v>VIDEO</v>
      </c>
      <c r="AA640" s="19" t="str">
        <f>HYPERLINK("https://ssdweb.co/ssdweb/CERTH/628463236.pdf","CERTI")</f>
        <v>CERTI</v>
      </c>
    </row>
    <row r="641" spans="1:27" ht="15" x14ac:dyDescent="0.25">
      <c r="A641" s="2">
        <v>636</v>
      </c>
      <c r="B641" s="39">
        <v>926201056</v>
      </c>
      <c r="C641" s="28" t="str">
        <f>HYPERLINK("https://pld.live/RapDetail.aspx?STONELIST=926201056","DNA")</f>
        <v>DNA</v>
      </c>
      <c r="D641" s="18" t="s">
        <v>5235</v>
      </c>
      <c r="E641" s="18" t="s">
        <v>5128</v>
      </c>
      <c r="F641" s="2" t="s">
        <v>7987</v>
      </c>
      <c r="G641" s="2" t="s">
        <v>861</v>
      </c>
      <c r="H641" s="14">
        <v>1.2</v>
      </c>
      <c r="I641" s="2" t="s">
        <v>267</v>
      </c>
      <c r="J641" s="2" t="s">
        <v>13</v>
      </c>
      <c r="K641" s="2" t="s">
        <v>5221</v>
      </c>
      <c r="L641" s="2" t="s">
        <v>5221</v>
      </c>
      <c r="M641" s="2" t="s">
        <v>5221</v>
      </c>
      <c r="N641" s="2" t="s">
        <v>2317</v>
      </c>
      <c r="O641" s="14">
        <v>8700</v>
      </c>
      <c r="P641" s="14">
        <v>98.57</v>
      </c>
      <c r="Q641" s="14">
        <v>124.41</v>
      </c>
      <c r="R641" s="14">
        <v>149.29</v>
      </c>
      <c r="S641" s="2" t="s">
        <v>3342</v>
      </c>
      <c r="T641" s="2">
        <v>1</v>
      </c>
      <c r="U641" s="2">
        <v>63.5</v>
      </c>
      <c r="V641" s="2">
        <v>55</v>
      </c>
      <c r="W641" s="2" t="s">
        <v>7862</v>
      </c>
      <c r="X641" s="2" t="s">
        <v>5405</v>
      </c>
      <c r="Y641" s="2">
        <v>10440</v>
      </c>
      <c r="Z641" s="19" t="str">
        <f>HYPERLINK("https://ssdweb.co/ssdweb/hd/Vision360.html?d=926201056&amp;zoomslide=1&amp;z=1926201056&amp;ISCONFIRM=0","VIDEO")</f>
        <v>VIDEO</v>
      </c>
      <c r="AA641" s="19" t="str">
        <f>HYPERLINK("https://ssdweb.co/ssdweb/CERTH/638463298.pdf","CERTI")</f>
        <v>CERTI</v>
      </c>
    </row>
    <row r="642" spans="1:27" ht="15" x14ac:dyDescent="0.25">
      <c r="A642" s="2">
        <v>637</v>
      </c>
      <c r="B642" s="39">
        <v>941351017</v>
      </c>
      <c r="C642" s="28" t="str">
        <f>HYPERLINK("https://pld.live/RapDetail.aspx?STONELIST=941351017","DNA")</f>
        <v>DNA</v>
      </c>
      <c r="D642" s="18" t="s">
        <v>5235</v>
      </c>
      <c r="E642" s="18" t="s">
        <v>5128</v>
      </c>
      <c r="F642" s="2" t="s">
        <v>7987</v>
      </c>
      <c r="G642" s="2" t="s">
        <v>861</v>
      </c>
      <c r="H642" s="14">
        <v>1.2</v>
      </c>
      <c r="I642" s="2" t="s">
        <v>267</v>
      </c>
      <c r="J642" s="2" t="s">
        <v>13</v>
      </c>
      <c r="K642" s="2" t="s">
        <v>5221</v>
      </c>
      <c r="L642" s="2" t="s">
        <v>5221</v>
      </c>
      <c r="M642" s="2" t="s">
        <v>5221</v>
      </c>
      <c r="N642" s="2" t="s">
        <v>2317</v>
      </c>
      <c r="O642" s="14">
        <v>8700</v>
      </c>
      <c r="P642" s="14">
        <v>98.55</v>
      </c>
      <c r="Q642" s="14">
        <v>126.15</v>
      </c>
      <c r="R642" s="14">
        <v>151.38</v>
      </c>
      <c r="S642" s="2" t="s">
        <v>4821</v>
      </c>
      <c r="T642" s="2">
        <v>1.01</v>
      </c>
      <c r="U642" s="2">
        <v>60</v>
      </c>
      <c r="V642" s="2">
        <v>60</v>
      </c>
      <c r="W642" s="2" t="s">
        <v>7862</v>
      </c>
      <c r="X642" s="2" t="s">
        <v>5405</v>
      </c>
      <c r="Y642" s="2">
        <v>10440</v>
      </c>
      <c r="Z642" s="19" t="str">
        <f>HYPERLINK("https://ssdweb.co/ssdweb/hd/Vision360.html?d=941351017&amp;zoomslide=1&amp;z=1941351017&amp;ISCONFIRM=0","VIDEO")</f>
        <v>VIDEO</v>
      </c>
      <c r="AA642" s="19" t="str">
        <f>HYPERLINK("https://ssdweb.co/ssdweb/CERTH/694508418.pdf","CERTI")</f>
        <v>CERTI</v>
      </c>
    </row>
    <row r="643" spans="1:27" ht="15" x14ac:dyDescent="0.25">
      <c r="A643" s="2">
        <v>638</v>
      </c>
      <c r="B643" s="39">
        <v>831010811</v>
      </c>
      <c r="C643" s="28" t="str">
        <f>HYPERLINK("https://pld.live/RapDetail.aspx?STONELIST=831010811","DNA")</f>
        <v>DNA</v>
      </c>
      <c r="D643" s="18" t="s">
        <v>5235</v>
      </c>
      <c r="E643" s="18" t="s">
        <v>5128</v>
      </c>
      <c r="F643" s="2" t="s">
        <v>7987</v>
      </c>
      <c r="G643" s="2" t="s">
        <v>861</v>
      </c>
      <c r="H643" s="14">
        <v>1.2</v>
      </c>
      <c r="I643" s="2" t="s">
        <v>267</v>
      </c>
      <c r="J643" s="2" t="s">
        <v>5144</v>
      </c>
      <c r="K643" s="2" t="s">
        <v>3390</v>
      </c>
      <c r="L643" s="2" t="s">
        <v>5221</v>
      </c>
      <c r="M643" s="2" t="s">
        <v>5221</v>
      </c>
      <c r="N643" s="2" t="s">
        <v>2317</v>
      </c>
      <c r="O643" s="14">
        <v>7300</v>
      </c>
      <c r="P643" s="14">
        <v>98.38</v>
      </c>
      <c r="Q643" s="14">
        <v>118.26</v>
      </c>
      <c r="R643" s="14">
        <v>141.91</v>
      </c>
      <c r="S643" s="2" t="s">
        <v>6423</v>
      </c>
      <c r="T643" s="2">
        <v>1</v>
      </c>
      <c r="U643" s="2">
        <v>61.2</v>
      </c>
      <c r="V643" s="2">
        <v>59</v>
      </c>
      <c r="W643" s="2" t="s">
        <v>7862</v>
      </c>
      <c r="X643" s="2" t="s">
        <v>5405</v>
      </c>
      <c r="Y643" s="2">
        <v>8760</v>
      </c>
      <c r="Z643" s="19" t="str">
        <f>HYPERLINK("https://ssdweb.co/ssdweb/hd/Vision360.html?d=831010811&amp;zoomslide=1&amp;z=1831010811&amp;ISCONFIRM=0","VIDEO")</f>
        <v>VIDEO</v>
      </c>
      <c r="AA643" s="19" t="str">
        <f>HYPERLINK("https://ssdweb.co/ssdweb/CERTH/596330845.pdf","CERTI")</f>
        <v>CERTI</v>
      </c>
    </row>
    <row r="644" spans="1:27" ht="15" x14ac:dyDescent="0.25">
      <c r="A644" s="2">
        <v>639</v>
      </c>
      <c r="B644" s="39">
        <v>925501705</v>
      </c>
      <c r="C644" s="28" t="str">
        <f>HYPERLINK("https://pld.live/RapDetail.aspx?STONELIST=925501705","DNA")</f>
        <v>DNA</v>
      </c>
      <c r="D644" s="18" t="s">
        <v>5235</v>
      </c>
      <c r="E644" s="18" t="s">
        <v>5128</v>
      </c>
      <c r="F644" s="2" t="s">
        <v>7987</v>
      </c>
      <c r="G644" s="2" t="s">
        <v>861</v>
      </c>
      <c r="H644" s="14">
        <v>1.2</v>
      </c>
      <c r="I644" s="2" t="s">
        <v>267</v>
      </c>
      <c r="J644" s="2" t="s">
        <v>5144</v>
      </c>
      <c r="K644" s="2" t="s">
        <v>5221</v>
      </c>
      <c r="L644" s="2" t="s">
        <v>5221</v>
      </c>
      <c r="M644" s="2" t="s">
        <v>5221</v>
      </c>
      <c r="N644" s="2" t="s">
        <v>2317</v>
      </c>
      <c r="O644" s="14">
        <v>7300</v>
      </c>
      <c r="P644" s="14">
        <v>98.38</v>
      </c>
      <c r="Q644" s="14">
        <v>118.26</v>
      </c>
      <c r="R644" s="14">
        <v>141.91</v>
      </c>
      <c r="S644" s="2" t="s">
        <v>5013</v>
      </c>
      <c r="T644" s="2">
        <v>1.01</v>
      </c>
      <c r="U644" s="2">
        <v>63.3</v>
      </c>
      <c r="V644" s="2">
        <v>56</v>
      </c>
      <c r="W644" s="2" t="s">
        <v>7862</v>
      </c>
      <c r="X644" s="2" t="s">
        <v>5405</v>
      </c>
      <c r="Y644" s="2">
        <v>8760</v>
      </c>
      <c r="Z644" s="19" t="str">
        <f>HYPERLINK("https://ssdweb.co/ssdweb/hd/Vision360.html?d=925501705&amp;zoomslide=1&amp;z=1925501705&amp;ISCONFIRM=0","VIDEO")</f>
        <v>VIDEO</v>
      </c>
      <c r="AA644" s="19" t="str">
        <f>HYPERLINK("https://ssdweb.co/ssdweb/CERTH/617485850.pdf","CERTI")</f>
        <v>CERTI</v>
      </c>
    </row>
    <row r="645" spans="1:27" ht="15" x14ac:dyDescent="0.25">
      <c r="A645" s="2">
        <v>640</v>
      </c>
      <c r="B645" s="39">
        <v>924600158</v>
      </c>
      <c r="C645" s="28" t="str">
        <f>HYPERLINK("https://pld.live/RapDetail.aspx?STONELIST=924600158","DNA")</f>
        <v>DNA</v>
      </c>
      <c r="D645" s="18" t="s">
        <v>5235</v>
      </c>
      <c r="E645" s="18" t="s">
        <v>5128</v>
      </c>
      <c r="F645" s="2" t="s">
        <v>7987</v>
      </c>
      <c r="G645" s="2" t="s">
        <v>861</v>
      </c>
      <c r="H645" s="14">
        <v>1.2</v>
      </c>
      <c r="I645" s="2" t="s">
        <v>4761</v>
      </c>
      <c r="J645" s="2" t="s">
        <v>7032</v>
      </c>
      <c r="K645" s="2" t="s">
        <v>3390</v>
      </c>
      <c r="L645" s="2" t="s">
        <v>5221</v>
      </c>
      <c r="M645" s="2" t="s">
        <v>5221</v>
      </c>
      <c r="N645" s="2" t="s">
        <v>2317</v>
      </c>
      <c r="O645" s="14">
        <v>12500</v>
      </c>
      <c r="P645" s="14">
        <v>98.19</v>
      </c>
      <c r="Q645" s="14">
        <v>226.25</v>
      </c>
      <c r="R645" s="14">
        <v>271.5</v>
      </c>
      <c r="S645" s="2" t="s">
        <v>734</v>
      </c>
      <c r="T645" s="2">
        <v>1.01</v>
      </c>
      <c r="U645" s="2">
        <v>59.3</v>
      </c>
      <c r="V645" s="2">
        <v>59</v>
      </c>
      <c r="W645" s="2" t="s">
        <v>7862</v>
      </c>
      <c r="X645" s="2" t="s">
        <v>5405</v>
      </c>
      <c r="Y645" s="2">
        <v>15000</v>
      </c>
      <c r="Z645" s="19" t="str">
        <f>HYPERLINK("https://ssdweb.co/ssdweb/hd/Vision360.html?d=924600158&amp;zoomslide=1&amp;z=1924600158&amp;ISCONFIRM=0","VIDEO")</f>
        <v>VIDEO</v>
      </c>
      <c r="AA645" s="19" t="str">
        <f>HYPERLINK("https://ssdweb.co/ssdweb/CERTH/596332097.pdf","CERTI")</f>
        <v>CERTI</v>
      </c>
    </row>
    <row r="646" spans="1:27" ht="15" x14ac:dyDescent="0.25">
      <c r="A646" s="2">
        <v>641</v>
      </c>
      <c r="B646" s="39">
        <v>926740968</v>
      </c>
      <c r="C646" s="28" t="str">
        <f>HYPERLINK("https://pld.live/RapDetail.aspx?STONELIST=926740968","DNA")</f>
        <v>DNA</v>
      </c>
      <c r="D646" s="18" t="s">
        <v>5235</v>
      </c>
      <c r="E646" s="18" t="s">
        <v>5128</v>
      </c>
      <c r="F646" s="2" t="s">
        <v>7987</v>
      </c>
      <c r="G646" s="2" t="s">
        <v>861</v>
      </c>
      <c r="H646" s="14">
        <v>1.2</v>
      </c>
      <c r="I646" s="2" t="s">
        <v>4761</v>
      </c>
      <c r="J646" s="2" t="s">
        <v>13</v>
      </c>
      <c r="K646" s="2" t="s">
        <v>3390</v>
      </c>
      <c r="L646" s="2" t="s">
        <v>5221</v>
      </c>
      <c r="M646" s="2" t="s">
        <v>5221</v>
      </c>
      <c r="N646" s="2" t="s">
        <v>2317</v>
      </c>
      <c r="O646" s="14">
        <v>7900</v>
      </c>
      <c r="P646" s="14">
        <v>98.43</v>
      </c>
      <c r="Q646" s="14">
        <v>124.03</v>
      </c>
      <c r="R646" s="14">
        <v>148.84</v>
      </c>
      <c r="S646" s="2" t="s">
        <v>6938</v>
      </c>
      <c r="T646" s="2">
        <v>1.01</v>
      </c>
      <c r="U646" s="2">
        <v>62.5</v>
      </c>
      <c r="V646" s="2">
        <v>58</v>
      </c>
      <c r="W646" s="2" t="s">
        <v>7862</v>
      </c>
      <c r="X646" s="2" t="s">
        <v>5405</v>
      </c>
      <c r="Y646" s="2">
        <v>9480</v>
      </c>
      <c r="Z646" s="19" t="str">
        <f>HYPERLINK("https://ssdweb.co/ssdweb/hd/Vision360.html?d=926740968&amp;zoomslide=1&amp;z=1926740968&amp;ISCONFIRM=0","VIDEO")</f>
        <v>VIDEO</v>
      </c>
      <c r="AA646" s="19" t="str">
        <f>HYPERLINK("https://ssdweb.co/ssdweb/CERTH/670484407.pdf","CERTI")</f>
        <v>CERTI</v>
      </c>
    </row>
    <row r="647" spans="1:27" ht="15" x14ac:dyDescent="0.25">
      <c r="A647" s="2">
        <v>642</v>
      </c>
      <c r="B647" s="39">
        <v>924710048</v>
      </c>
      <c r="C647" s="28" t="str">
        <f>HYPERLINK("https://pld.live/RapDetail.aspx?STONELIST=924710048","DNA")</f>
        <v>DNA</v>
      </c>
      <c r="D647" s="18" t="s">
        <v>5235</v>
      </c>
      <c r="E647" s="18" t="s">
        <v>5128</v>
      </c>
      <c r="F647" s="2" t="s">
        <v>7987</v>
      </c>
      <c r="G647" s="2" t="s">
        <v>861</v>
      </c>
      <c r="H647" s="14">
        <v>1.2</v>
      </c>
      <c r="I647" s="2" t="s">
        <v>4761</v>
      </c>
      <c r="J647" s="2" t="s">
        <v>444</v>
      </c>
      <c r="K647" s="2" t="s">
        <v>3390</v>
      </c>
      <c r="L647" s="2" t="s">
        <v>5221</v>
      </c>
      <c r="M647" s="2" t="s">
        <v>5221</v>
      </c>
      <c r="N647" s="2" t="s">
        <v>2317</v>
      </c>
      <c r="O647" s="14">
        <v>5600</v>
      </c>
      <c r="P647" s="14">
        <v>98.09</v>
      </c>
      <c r="Q647" s="14">
        <v>106.96</v>
      </c>
      <c r="R647" s="14">
        <v>128.35</v>
      </c>
      <c r="S647" s="2" t="s">
        <v>3462</v>
      </c>
      <c r="T647" s="2">
        <v>1</v>
      </c>
      <c r="U647" s="2">
        <v>59.6</v>
      </c>
      <c r="V647" s="2">
        <v>59</v>
      </c>
      <c r="W647" s="2" t="s">
        <v>7862</v>
      </c>
      <c r="X647" s="2" t="s">
        <v>5405</v>
      </c>
      <c r="Y647" s="2">
        <v>6720</v>
      </c>
      <c r="Z647" s="19" t="str">
        <f>HYPERLINK("https://ssdweb.co/ssdweb/hd/Vision360.html?d=924710048&amp;zoomslide=1&amp;z=1924710048&amp;ISCONFIRM=0","VIDEO")</f>
        <v>VIDEO</v>
      </c>
      <c r="AA647" s="19" t="str">
        <f>HYPERLINK("https://ssdweb.co/ssdweb/CERTH/597388385.pdf","CERTI")</f>
        <v>CERTI</v>
      </c>
    </row>
    <row r="648" spans="1:27" ht="15" x14ac:dyDescent="0.25">
      <c r="A648" s="2">
        <v>643</v>
      </c>
      <c r="B648" s="39">
        <v>831010557</v>
      </c>
      <c r="C648" s="28" t="str">
        <f>HYPERLINK("https://pld.live/RapDetail.aspx?STONELIST=831010557","DNA")</f>
        <v>DNA</v>
      </c>
      <c r="D648" s="18" t="s">
        <v>3054</v>
      </c>
      <c r="E648" s="18" t="s">
        <v>5128</v>
      </c>
      <c r="F648" s="2" t="s">
        <v>7987</v>
      </c>
      <c r="G648" s="2" t="s">
        <v>861</v>
      </c>
      <c r="H648" s="14">
        <v>1.19</v>
      </c>
      <c r="I648" s="2" t="s">
        <v>267</v>
      </c>
      <c r="J648" s="2" t="s">
        <v>6555</v>
      </c>
      <c r="K648" s="2" t="s">
        <v>3390</v>
      </c>
      <c r="L648" s="2" t="s">
        <v>5221</v>
      </c>
      <c r="M648" s="2" t="s">
        <v>5221</v>
      </c>
      <c r="N648" s="2" t="s">
        <v>2317</v>
      </c>
      <c r="O648" s="14">
        <v>12800</v>
      </c>
      <c r="P648" s="14">
        <v>98.94</v>
      </c>
      <c r="Q648" s="14">
        <v>135.68</v>
      </c>
      <c r="R648" s="14">
        <v>161.46</v>
      </c>
      <c r="S648" s="2" t="s">
        <v>1347</v>
      </c>
      <c r="T648" s="2">
        <v>1.01</v>
      </c>
      <c r="U648" s="2">
        <v>61.7</v>
      </c>
      <c r="V648" s="2">
        <v>58.5</v>
      </c>
      <c r="W648" s="2" t="s">
        <v>7862</v>
      </c>
      <c r="X648" s="2" t="s">
        <v>5405</v>
      </c>
      <c r="Y648" s="2">
        <v>15232</v>
      </c>
      <c r="Z648" s="19" t="str">
        <f>HYPERLINK("https://ssdweb.co/ssdweb/hd/Vision360.html?d=831010557&amp;zoomslide=1&amp;z=1831010557&amp;ISCONFIRM=0","VIDEO")</f>
        <v>VIDEO</v>
      </c>
      <c r="AA648" s="19" t="str">
        <f>HYPERLINK("https://ssdweb.co/ssdweb/CERTH/551299037.pdf","CERTI")</f>
        <v>CERTI</v>
      </c>
    </row>
    <row r="649" spans="1:27" ht="15" x14ac:dyDescent="0.25">
      <c r="A649" s="2">
        <v>644</v>
      </c>
      <c r="B649" s="39">
        <v>831010468</v>
      </c>
      <c r="C649" s="28" t="str">
        <f>HYPERLINK("https://pld.live/RapDetail.aspx?STONELIST=831010468","DNA")</f>
        <v>DNA</v>
      </c>
      <c r="D649" s="18" t="s">
        <v>3054</v>
      </c>
      <c r="E649" s="18" t="s">
        <v>5128</v>
      </c>
      <c r="F649" s="2" t="s">
        <v>7987</v>
      </c>
      <c r="G649" s="2" t="s">
        <v>861</v>
      </c>
      <c r="H649" s="14">
        <v>1.17</v>
      </c>
      <c r="I649" s="2" t="s">
        <v>4761</v>
      </c>
      <c r="J649" s="2" t="s">
        <v>7032</v>
      </c>
      <c r="K649" s="2" t="s">
        <v>3390</v>
      </c>
      <c r="L649" s="2" t="s">
        <v>5221</v>
      </c>
      <c r="M649" s="2" t="s">
        <v>5221</v>
      </c>
      <c r="N649" s="2" t="s">
        <v>2317</v>
      </c>
      <c r="O649" s="14">
        <v>12500</v>
      </c>
      <c r="P649" s="14">
        <v>98.26</v>
      </c>
      <c r="Q649" s="14">
        <v>217.5</v>
      </c>
      <c r="R649" s="14">
        <v>254.48</v>
      </c>
      <c r="S649" s="2" t="s">
        <v>4160</v>
      </c>
      <c r="T649" s="2">
        <v>1.01</v>
      </c>
      <c r="U649" s="2">
        <v>62.4</v>
      </c>
      <c r="V649" s="2">
        <v>56</v>
      </c>
      <c r="W649" s="2" t="s">
        <v>7862</v>
      </c>
      <c r="X649" s="2" t="s">
        <v>5405</v>
      </c>
      <c r="Y649" s="2">
        <v>14625</v>
      </c>
      <c r="Z649" s="19" t="str">
        <f>HYPERLINK("https://ssdweb.co/ssdweb/hd/Vision360.html?d=831010468&amp;zoomslide=1&amp;z=1831010468&amp;ISCONFIRM=0","VIDEO")</f>
        <v>VIDEO</v>
      </c>
      <c r="AA649" s="19" t="str">
        <f>HYPERLINK("https://ssdweb.co/ssdweb/CERTH/589396682.pdf","CERTI")</f>
        <v>CERTI</v>
      </c>
    </row>
    <row r="650" spans="1:27" ht="15" x14ac:dyDescent="0.25">
      <c r="A650" s="2">
        <v>645</v>
      </c>
      <c r="B650" s="39">
        <v>926071682</v>
      </c>
      <c r="C650" s="28" t="str">
        <f>HYPERLINK("https://pld.live/RapDetail.aspx?STONELIST=926071682","DNA")</f>
        <v>DNA</v>
      </c>
      <c r="D650" s="18" t="s">
        <v>3054</v>
      </c>
      <c r="E650" s="18" t="s">
        <v>5128</v>
      </c>
      <c r="F650" s="2" t="s">
        <v>7987</v>
      </c>
      <c r="G650" s="2" t="s">
        <v>861</v>
      </c>
      <c r="H650" s="14">
        <v>1.1599999999999999</v>
      </c>
      <c r="I650" s="2" t="s">
        <v>267</v>
      </c>
      <c r="J650" s="2" t="s">
        <v>3942</v>
      </c>
      <c r="K650" s="2" t="s">
        <v>3390</v>
      </c>
      <c r="L650" s="2" t="s">
        <v>5221</v>
      </c>
      <c r="M650" s="2" t="s">
        <v>5221</v>
      </c>
      <c r="N650" s="2" t="s">
        <v>2317</v>
      </c>
      <c r="O650" s="14">
        <v>10200</v>
      </c>
      <c r="P650" s="14">
        <v>98.78</v>
      </c>
      <c r="Q650" s="14">
        <v>124.44</v>
      </c>
      <c r="R650" s="14">
        <v>144.35</v>
      </c>
      <c r="S650" s="2" t="s">
        <v>2734</v>
      </c>
      <c r="T650" s="2">
        <v>1</v>
      </c>
      <c r="U650" s="2">
        <v>61.7</v>
      </c>
      <c r="V650" s="2">
        <v>59</v>
      </c>
      <c r="W650" s="2" t="s">
        <v>7862</v>
      </c>
      <c r="X650" s="2" t="s">
        <v>5405</v>
      </c>
      <c r="Y650" s="2">
        <v>11832</v>
      </c>
      <c r="Z650" s="19" t="str">
        <f>HYPERLINK("https://ssdweb.co/ssdweb/hd/Vision360.html?d=926071682&amp;zoomslide=1&amp;z=1926071682&amp;ISCONFIRM=0","VIDEO")</f>
        <v>VIDEO</v>
      </c>
      <c r="AA650" s="19" t="str">
        <f>HYPERLINK("https://ssdweb.co/ssdweb/CERTH/631430148.pdf","CERTI")</f>
        <v>CERTI</v>
      </c>
    </row>
    <row r="651" spans="1:27" ht="15" x14ac:dyDescent="0.25">
      <c r="A651" s="2">
        <v>646</v>
      </c>
      <c r="B651" s="39">
        <v>925950901</v>
      </c>
      <c r="C651" s="28" t="str">
        <f>HYPERLINK("https://pld.live/RapDetail.aspx?STONELIST=925950901","DNA")</f>
        <v>DNA</v>
      </c>
      <c r="D651" s="18" t="s">
        <v>3054</v>
      </c>
      <c r="E651" s="18" t="s">
        <v>5128</v>
      </c>
      <c r="F651" s="2" t="s">
        <v>7987</v>
      </c>
      <c r="G651" s="2" t="s">
        <v>861</v>
      </c>
      <c r="H651" s="14">
        <v>1.1499999999999999</v>
      </c>
      <c r="I651" s="2" t="s">
        <v>267</v>
      </c>
      <c r="J651" s="2" t="s">
        <v>3942</v>
      </c>
      <c r="K651" s="2" t="s">
        <v>3390</v>
      </c>
      <c r="L651" s="2" t="s">
        <v>5221</v>
      </c>
      <c r="M651" s="2" t="s">
        <v>5221</v>
      </c>
      <c r="N651" s="2" t="s">
        <v>2317</v>
      </c>
      <c r="O651" s="14">
        <v>10200</v>
      </c>
      <c r="P651" s="14">
        <v>98.8</v>
      </c>
      <c r="Q651" s="14">
        <v>122.4</v>
      </c>
      <c r="R651" s="14">
        <v>140.76</v>
      </c>
      <c r="S651" s="2" t="s">
        <v>4302</v>
      </c>
      <c r="T651" s="2">
        <v>1</v>
      </c>
      <c r="U651" s="2">
        <v>61.3</v>
      </c>
      <c r="V651" s="2">
        <v>59</v>
      </c>
      <c r="W651" s="2" t="s">
        <v>7862</v>
      </c>
      <c r="X651" s="2" t="s">
        <v>5405</v>
      </c>
      <c r="Y651" s="2">
        <v>11730</v>
      </c>
      <c r="Z651" s="19" t="str">
        <f>HYPERLINK("https://ssdweb.co/ssdweb/hd/Vision360.html?d=925950901&amp;zoomslide=1&amp;z=1925950901&amp;ISCONFIRM=0","VIDEO")</f>
        <v>VIDEO</v>
      </c>
      <c r="AA651" s="19" t="str">
        <f>HYPERLINK("https://ssdweb.co/ssdweb/CERTH/628463255.pdf","CERTI")</f>
        <v>CERTI</v>
      </c>
    </row>
    <row r="652" spans="1:27" ht="15" x14ac:dyDescent="0.25">
      <c r="A652" s="2">
        <v>647</v>
      </c>
      <c r="B652" s="39">
        <v>926071819</v>
      </c>
      <c r="C652" s="28" t="str">
        <f>HYPERLINK("https://pld.live/RapDetail.aspx?STONELIST=926071819","DNA")</f>
        <v>DNA</v>
      </c>
      <c r="D652" s="18" t="s">
        <v>3054</v>
      </c>
      <c r="E652" s="18" t="s">
        <v>5128</v>
      </c>
      <c r="F652" s="2" t="s">
        <v>7987</v>
      </c>
      <c r="G652" s="2" t="s">
        <v>861</v>
      </c>
      <c r="H652" s="14">
        <v>1.1499999999999999</v>
      </c>
      <c r="I652" s="2" t="s">
        <v>267</v>
      </c>
      <c r="J652" s="2" t="s">
        <v>3942</v>
      </c>
      <c r="K652" s="2" t="s">
        <v>3390</v>
      </c>
      <c r="L652" s="2" t="s">
        <v>5221</v>
      </c>
      <c r="M652" s="2" t="s">
        <v>5221</v>
      </c>
      <c r="N652" s="2" t="s">
        <v>2317</v>
      </c>
      <c r="O652" s="14">
        <v>10200</v>
      </c>
      <c r="P652" s="14">
        <v>98.78</v>
      </c>
      <c r="Q652" s="14">
        <v>124.44</v>
      </c>
      <c r="R652" s="14">
        <v>143.11000000000001</v>
      </c>
      <c r="S652" s="2" t="s">
        <v>6391</v>
      </c>
      <c r="T652" s="2">
        <v>1.01</v>
      </c>
      <c r="U652" s="2">
        <v>62.2</v>
      </c>
      <c r="V652" s="2">
        <v>56</v>
      </c>
      <c r="W652" s="2" t="s">
        <v>7862</v>
      </c>
      <c r="X652" s="2" t="s">
        <v>5405</v>
      </c>
      <c r="Y652" s="2">
        <v>11730</v>
      </c>
      <c r="Z652" s="19" t="str">
        <f>HYPERLINK("https://ssdweb.co/ssdweb/hd/Vision360.html?d=926071819&amp;zoomslide=1&amp;z=1926071819&amp;ISCONFIRM=0","VIDEO")</f>
        <v>VIDEO</v>
      </c>
      <c r="AA652" s="19" t="str">
        <f>HYPERLINK("https://ssdweb.co/ssdweb/CERTH/631464081.pdf","CERTI")</f>
        <v>CERTI</v>
      </c>
    </row>
    <row r="653" spans="1:27" ht="15" x14ac:dyDescent="0.25">
      <c r="A653" s="2">
        <v>648</v>
      </c>
      <c r="B653" s="39">
        <v>926101067</v>
      </c>
      <c r="C653" s="28" t="str">
        <f>HYPERLINK("https://pld.live/RapDetail.aspx?STONELIST=926101067","DNA")</f>
        <v>DNA</v>
      </c>
      <c r="D653" s="18" t="s">
        <v>3054</v>
      </c>
      <c r="E653" s="18" t="s">
        <v>5128</v>
      </c>
      <c r="F653" s="2" t="s">
        <v>7987</v>
      </c>
      <c r="G653" s="2" t="s">
        <v>861</v>
      </c>
      <c r="H653" s="14">
        <v>1.1499999999999999</v>
      </c>
      <c r="I653" s="2" t="s">
        <v>267</v>
      </c>
      <c r="J653" s="2" t="s">
        <v>3942</v>
      </c>
      <c r="K653" s="2" t="s">
        <v>3390</v>
      </c>
      <c r="L653" s="2" t="s">
        <v>5221</v>
      </c>
      <c r="M653" s="2" t="s">
        <v>5221</v>
      </c>
      <c r="N653" s="2" t="s">
        <v>2317</v>
      </c>
      <c r="O653" s="14">
        <v>10200</v>
      </c>
      <c r="P653" s="14">
        <v>98.78</v>
      </c>
      <c r="Q653" s="14">
        <v>124.44</v>
      </c>
      <c r="R653" s="14">
        <v>143.11000000000001</v>
      </c>
      <c r="S653" s="2" t="s">
        <v>2213</v>
      </c>
      <c r="T653" s="2">
        <v>1</v>
      </c>
      <c r="U653" s="2">
        <v>61.8</v>
      </c>
      <c r="V653" s="2">
        <v>58</v>
      </c>
      <c r="W653" s="2" t="s">
        <v>7862</v>
      </c>
      <c r="X653" s="2" t="s">
        <v>5405</v>
      </c>
      <c r="Y653" s="2">
        <v>11730</v>
      </c>
      <c r="Z653" s="19" t="str">
        <f>HYPERLINK("https://ssdweb.co/ssdweb/hd/Vision360.html?d=926101067&amp;zoomslide=1&amp;z=1926101067&amp;ISCONFIRM=0","VIDEO")</f>
        <v>VIDEO</v>
      </c>
      <c r="AA653" s="19" t="str">
        <f>HYPERLINK("https://ssdweb.co/ssdweb/CERTH/632488481.pdf","CERTI")</f>
        <v>CERTI</v>
      </c>
    </row>
    <row r="654" spans="1:27" ht="15" x14ac:dyDescent="0.25">
      <c r="A654" s="2">
        <v>649</v>
      </c>
      <c r="B654" s="39">
        <v>926071525</v>
      </c>
      <c r="C654" s="28" t="str">
        <f>HYPERLINK("https://pld.live/RapDetail.aspx?STONELIST=926071525","DNA")</f>
        <v>DNA</v>
      </c>
      <c r="D654" s="18" t="s">
        <v>3054</v>
      </c>
      <c r="E654" s="18" t="s">
        <v>5128</v>
      </c>
      <c r="F654" s="2" t="s">
        <v>7987</v>
      </c>
      <c r="G654" s="2" t="s">
        <v>861</v>
      </c>
      <c r="H654" s="14">
        <v>1.1399999999999999</v>
      </c>
      <c r="I654" s="2" t="s">
        <v>267</v>
      </c>
      <c r="J654" s="2" t="s">
        <v>6555</v>
      </c>
      <c r="K654" s="2" t="s">
        <v>3390</v>
      </c>
      <c r="L654" s="2" t="s">
        <v>5221</v>
      </c>
      <c r="M654" s="2" t="s">
        <v>5221</v>
      </c>
      <c r="N654" s="2" t="s">
        <v>2317</v>
      </c>
      <c r="O654" s="14">
        <v>12800</v>
      </c>
      <c r="P654" s="14">
        <v>98.92</v>
      </c>
      <c r="Q654" s="14">
        <v>138.24</v>
      </c>
      <c r="R654" s="14">
        <v>157.59</v>
      </c>
      <c r="S654" s="2" t="s">
        <v>7826</v>
      </c>
      <c r="T654" s="2">
        <v>1.01</v>
      </c>
      <c r="U654" s="2">
        <v>62.4</v>
      </c>
      <c r="V654" s="2">
        <v>56</v>
      </c>
      <c r="W654" s="2" t="s">
        <v>7862</v>
      </c>
      <c r="X654" s="2" t="s">
        <v>5405</v>
      </c>
      <c r="Y654" s="2">
        <v>14592</v>
      </c>
      <c r="Z654" s="19" t="str">
        <f>HYPERLINK("https://ssdweb.co/ssdweb/hd/Vision360.html?d=926071525&amp;zoomslide=1&amp;z=1926071525&amp;ISCONFIRM=0","VIDEO")</f>
        <v>VIDEO</v>
      </c>
      <c r="AA654" s="19" t="str">
        <f>HYPERLINK("https://ssdweb.co/ssdweb/CERTH/631430141.pdf","CERTI")</f>
        <v>CERTI</v>
      </c>
    </row>
    <row r="655" spans="1:27" ht="15" x14ac:dyDescent="0.25">
      <c r="A655" s="2">
        <v>650</v>
      </c>
      <c r="B655" s="39">
        <v>831010544</v>
      </c>
      <c r="C655" s="28" t="str">
        <f>HYPERLINK("https://pld.live/RapDetail.aspx?STONELIST=831010544","DNA")</f>
        <v>DNA</v>
      </c>
      <c r="D655" s="18" t="s">
        <v>3054</v>
      </c>
      <c r="E655" s="18" t="s">
        <v>5128</v>
      </c>
      <c r="F655" s="2" t="s">
        <v>7987</v>
      </c>
      <c r="G655" s="2" t="s">
        <v>861</v>
      </c>
      <c r="H655" s="14">
        <v>1.1399999999999999</v>
      </c>
      <c r="I655" s="2" t="s">
        <v>267</v>
      </c>
      <c r="J655" s="2" t="s">
        <v>6555</v>
      </c>
      <c r="K655" s="2" t="s">
        <v>5221</v>
      </c>
      <c r="L655" s="2" t="s">
        <v>5221</v>
      </c>
      <c r="M655" s="2" t="s">
        <v>5221</v>
      </c>
      <c r="N655" s="2" t="s">
        <v>2317</v>
      </c>
      <c r="O655" s="14">
        <v>12800</v>
      </c>
      <c r="P655" s="14">
        <v>98.94</v>
      </c>
      <c r="Q655" s="14">
        <v>135.68</v>
      </c>
      <c r="R655" s="14">
        <v>154.68</v>
      </c>
      <c r="S655" s="2" t="s">
        <v>4859</v>
      </c>
      <c r="T655" s="2">
        <v>1.01</v>
      </c>
      <c r="U655" s="2">
        <v>61.8</v>
      </c>
      <c r="V655" s="2">
        <v>59.5</v>
      </c>
      <c r="W655" s="2" t="s">
        <v>7862</v>
      </c>
      <c r="X655" s="2" t="s">
        <v>5405</v>
      </c>
      <c r="Y655" s="2">
        <v>14592</v>
      </c>
      <c r="Z655" s="19" t="str">
        <f>HYPERLINK("https://ssdweb.co/ssdweb/hd/Vision360.html?d=831010544&amp;zoomslide=1&amp;z=1831010544&amp;ISCONFIRM=0","VIDEO")</f>
        <v>VIDEO</v>
      </c>
      <c r="AA655" s="19" t="str">
        <f>HYPERLINK("https://ssdweb.co/ssdweb/CERTH/569323159.pdf","CERTI")</f>
        <v>CERTI</v>
      </c>
    </row>
    <row r="656" spans="1:27" ht="15" x14ac:dyDescent="0.25">
      <c r="A656" s="2">
        <v>651</v>
      </c>
      <c r="B656" s="39">
        <v>925950915</v>
      </c>
      <c r="C656" s="28" t="str">
        <f>HYPERLINK("https://pld.live/RapDetail.aspx?STONELIST=925950915","DNA")</f>
        <v>DNA</v>
      </c>
      <c r="D656" s="18" t="s">
        <v>3054</v>
      </c>
      <c r="E656" s="18" t="s">
        <v>5128</v>
      </c>
      <c r="F656" s="2" t="s">
        <v>7987</v>
      </c>
      <c r="G656" s="2" t="s">
        <v>861</v>
      </c>
      <c r="H656" s="14">
        <v>1.1399999999999999</v>
      </c>
      <c r="I656" s="2" t="s">
        <v>267</v>
      </c>
      <c r="J656" s="2" t="s">
        <v>3942</v>
      </c>
      <c r="K656" s="2" t="s">
        <v>3390</v>
      </c>
      <c r="L656" s="2" t="s">
        <v>5221</v>
      </c>
      <c r="M656" s="2" t="s">
        <v>5221</v>
      </c>
      <c r="N656" s="2" t="s">
        <v>2317</v>
      </c>
      <c r="O656" s="14">
        <v>10200</v>
      </c>
      <c r="P656" s="14">
        <v>98.8</v>
      </c>
      <c r="Q656" s="14">
        <v>122.4</v>
      </c>
      <c r="R656" s="14">
        <v>139.54</v>
      </c>
      <c r="S656" s="2" t="s">
        <v>644</v>
      </c>
      <c r="T656" s="2">
        <v>1</v>
      </c>
      <c r="U656" s="2">
        <v>60.7</v>
      </c>
      <c r="V656" s="2">
        <v>59</v>
      </c>
      <c r="W656" s="2" t="s">
        <v>7862</v>
      </c>
      <c r="X656" s="2" t="s">
        <v>5405</v>
      </c>
      <c r="Y656" s="2">
        <v>11628</v>
      </c>
      <c r="Z656" s="19" t="str">
        <f>HYPERLINK("https://ssdweb.co/ssdweb/hd/Vision360.html?d=925950915&amp;zoomslide=1&amp;z=1925950915&amp;ISCONFIRM=0","VIDEO")</f>
        <v>VIDEO</v>
      </c>
      <c r="AA656" s="19" t="str">
        <f>HYPERLINK("https://ssdweb.co/ssdweb/CERTH/628463000.pdf","CERTI")</f>
        <v>CERTI</v>
      </c>
    </row>
    <row r="657" spans="1:27" ht="15" x14ac:dyDescent="0.25">
      <c r="A657" s="2">
        <v>652</v>
      </c>
      <c r="B657" s="39">
        <v>925951013</v>
      </c>
      <c r="C657" s="28" t="str">
        <f>HYPERLINK("https://pld.live/RapDetail.aspx?STONELIST=925951013","DNA")</f>
        <v>DNA</v>
      </c>
      <c r="D657" s="18" t="s">
        <v>3054</v>
      </c>
      <c r="E657" s="18" t="s">
        <v>5128</v>
      </c>
      <c r="F657" s="2" t="s">
        <v>7987</v>
      </c>
      <c r="G657" s="2" t="s">
        <v>861</v>
      </c>
      <c r="H657" s="14">
        <v>1.1399999999999999</v>
      </c>
      <c r="I657" s="2" t="s">
        <v>267</v>
      </c>
      <c r="J657" s="2" t="s">
        <v>3942</v>
      </c>
      <c r="K657" s="2" t="s">
        <v>3390</v>
      </c>
      <c r="L657" s="2" t="s">
        <v>5221</v>
      </c>
      <c r="M657" s="2" t="s">
        <v>5221</v>
      </c>
      <c r="N657" s="2" t="s">
        <v>2317</v>
      </c>
      <c r="O657" s="14">
        <v>10200</v>
      </c>
      <c r="P657" s="14">
        <v>98.8</v>
      </c>
      <c r="Q657" s="14">
        <v>122.4</v>
      </c>
      <c r="R657" s="14">
        <v>139.54</v>
      </c>
      <c r="S657" s="2" t="s">
        <v>7250</v>
      </c>
      <c r="T657" s="2">
        <v>1.01</v>
      </c>
      <c r="U657" s="2">
        <v>62.2</v>
      </c>
      <c r="V657" s="2">
        <v>58</v>
      </c>
      <c r="W657" s="2" t="s">
        <v>7862</v>
      </c>
      <c r="X657" s="2" t="s">
        <v>5405</v>
      </c>
      <c r="Y657" s="2">
        <v>11628</v>
      </c>
      <c r="Z657" s="19" t="str">
        <f>HYPERLINK("https://ssdweb.co/ssdweb/hd/Vision360.html?d=925951013&amp;zoomslide=1&amp;z=1925951013&amp;ISCONFIRM=0","VIDEO")</f>
        <v>VIDEO</v>
      </c>
      <c r="AA657" s="19" t="str">
        <f>HYPERLINK("https://ssdweb.co/ssdweb/CERTH/628463217.pdf","CERTI")</f>
        <v>CERTI</v>
      </c>
    </row>
    <row r="658" spans="1:27" ht="15" x14ac:dyDescent="0.25">
      <c r="A658" s="2">
        <v>653</v>
      </c>
      <c r="B658" s="39">
        <v>926101379</v>
      </c>
      <c r="C658" s="28" t="str">
        <f>HYPERLINK("https://pld.live/RapDetail.aspx?STONELIST=926101379","DNA")</f>
        <v>DNA</v>
      </c>
      <c r="D658" s="18" t="s">
        <v>3054</v>
      </c>
      <c r="E658" s="18" t="s">
        <v>5128</v>
      </c>
      <c r="F658" s="2" t="s">
        <v>7987</v>
      </c>
      <c r="G658" s="2" t="s">
        <v>861</v>
      </c>
      <c r="H658" s="14">
        <v>1.1399999999999999</v>
      </c>
      <c r="I658" s="2" t="s">
        <v>267</v>
      </c>
      <c r="J658" s="2" t="s">
        <v>3942</v>
      </c>
      <c r="K658" s="2" t="s">
        <v>3390</v>
      </c>
      <c r="L658" s="2" t="s">
        <v>5221</v>
      </c>
      <c r="M658" s="2" t="s">
        <v>5221</v>
      </c>
      <c r="N658" s="2" t="s">
        <v>2317</v>
      </c>
      <c r="O658" s="14">
        <v>10200</v>
      </c>
      <c r="P658" s="14">
        <v>98.78</v>
      </c>
      <c r="Q658" s="14">
        <v>124.44</v>
      </c>
      <c r="R658" s="14">
        <v>141.86000000000001</v>
      </c>
      <c r="S658" s="2" t="s">
        <v>4130</v>
      </c>
      <c r="T658" s="2">
        <v>1</v>
      </c>
      <c r="U658" s="2">
        <v>61.9</v>
      </c>
      <c r="V658" s="2">
        <v>57</v>
      </c>
      <c r="W658" s="2" t="s">
        <v>7862</v>
      </c>
      <c r="X658" s="2" t="s">
        <v>5405</v>
      </c>
      <c r="Y658" s="2">
        <v>11628</v>
      </c>
      <c r="Z658" s="19" t="str">
        <f>HYPERLINK("https://ssdweb.co/ssdweb/hd/Vision360.html?d=926101379&amp;zoomslide=1&amp;z=1926101379&amp;ISCONFIRM=0","VIDEO")</f>
        <v>VIDEO</v>
      </c>
      <c r="AA658" s="19" t="str">
        <f>HYPERLINK("https://ssdweb.co/ssdweb/CERTH/632403894.pdf","CERTI")</f>
        <v>CERTI</v>
      </c>
    </row>
    <row r="659" spans="1:27" ht="15" x14ac:dyDescent="0.25">
      <c r="A659" s="2">
        <v>654</v>
      </c>
      <c r="B659" s="39">
        <v>926071585</v>
      </c>
      <c r="C659" s="28" t="str">
        <f>HYPERLINK("https://pld.live/RapDetail.aspx?STONELIST=926071585","DNA")</f>
        <v>DNA</v>
      </c>
      <c r="D659" s="18" t="s">
        <v>3054</v>
      </c>
      <c r="E659" s="18" t="s">
        <v>5128</v>
      </c>
      <c r="F659" s="2" t="s">
        <v>7987</v>
      </c>
      <c r="G659" s="2" t="s">
        <v>861</v>
      </c>
      <c r="H659" s="14">
        <v>1.1399999999999999</v>
      </c>
      <c r="I659" s="2" t="s">
        <v>267</v>
      </c>
      <c r="J659" s="2" t="s">
        <v>3942</v>
      </c>
      <c r="K659" s="2" t="s">
        <v>3390</v>
      </c>
      <c r="L659" s="2" t="s">
        <v>5221</v>
      </c>
      <c r="M659" s="2" t="s">
        <v>5221</v>
      </c>
      <c r="N659" s="2" t="s">
        <v>2317</v>
      </c>
      <c r="O659" s="14">
        <v>10200</v>
      </c>
      <c r="P659" s="14">
        <v>98.78</v>
      </c>
      <c r="Q659" s="14">
        <v>124.44</v>
      </c>
      <c r="R659" s="14">
        <v>141.86000000000001</v>
      </c>
      <c r="S659" s="2" t="s">
        <v>4539</v>
      </c>
      <c r="T659" s="2">
        <v>1</v>
      </c>
      <c r="U659" s="2">
        <v>62.2</v>
      </c>
      <c r="V659" s="2">
        <v>57</v>
      </c>
      <c r="W659" s="2" t="s">
        <v>7862</v>
      </c>
      <c r="X659" s="2" t="s">
        <v>5405</v>
      </c>
      <c r="Y659" s="2">
        <v>11628</v>
      </c>
      <c r="Z659" s="19" t="str">
        <f>HYPERLINK("https://ssdweb.co/ssdweb/hd/Vision360.html?d=926071585&amp;zoomslide=1&amp;z=1926071585&amp;ISCONFIRM=0","VIDEO")</f>
        <v>VIDEO</v>
      </c>
      <c r="AA659" s="19" t="str">
        <f>HYPERLINK("https://ssdweb.co/ssdweb/CERTH/631430259.pdf","CERTI")</f>
        <v>CERTI</v>
      </c>
    </row>
    <row r="660" spans="1:27" ht="15" x14ac:dyDescent="0.25">
      <c r="A660" s="2">
        <v>655</v>
      </c>
      <c r="B660" s="39">
        <v>925940522</v>
      </c>
      <c r="C660" s="28" t="str">
        <f>HYPERLINK("https://pld.live/RapDetail.aspx?STONELIST=925940522","DNA")</f>
        <v>DNA</v>
      </c>
      <c r="D660" s="18" t="s">
        <v>3054</v>
      </c>
      <c r="E660" s="18" t="s">
        <v>5128</v>
      </c>
      <c r="F660" s="2" t="s">
        <v>7987</v>
      </c>
      <c r="G660" s="2" t="s">
        <v>861</v>
      </c>
      <c r="H660" s="14">
        <v>1.1399999999999999</v>
      </c>
      <c r="I660" s="2" t="s">
        <v>267</v>
      </c>
      <c r="J660" s="2" t="s">
        <v>13</v>
      </c>
      <c r="K660" s="2" t="s">
        <v>3390</v>
      </c>
      <c r="L660" s="2" t="s">
        <v>5221</v>
      </c>
      <c r="M660" s="2" t="s">
        <v>5221</v>
      </c>
      <c r="N660" s="2" t="s">
        <v>2317</v>
      </c>
      <c r="O660" s="14">
        <v>8700</v>
      </c>
      <c r="P660" s="14">
        <v>98.67</v>
      </c>
      <c r="Q660" s="14">
        <v>115.71</v>
      </c>
      <c r="R660" s="14">
        <v>131.91</v>
      </c>
      <c r="S660" s="2" t="s">
        <v>8049</v>
      </c>
      <c r="T660" s="2">
        <v>1.01</v>
      </c>
      <c r="U660" s="2">
        <v>62.3</v>
      </c>
      <c r="V660" s="2">
        <v>57</v>
      </c>
      <c r="W660" s="2" t="s">
        <v>7862</v>
      </c>
      <c r="X660" s="2" t="s">
        <v>5405</v>
      </c>
      <c r="Y660" s="2">
        <v>9918</v>
      </c>
      <c r="Z660" s="19" t="str">
        <f>HYPERLINK("https://ssdweb.co/ssdweb/hd/Vision360.html?d=925940522&amp;zoomslide=1&amp;z=1925940522&amp;ISCONFIRM=0","VIDEO")</f>
        <v>VIDEO</v>
      </c>
      <c r="AA660" s="19" t="str">
        <f>HYPERLINK("https://ssdweb.co/ssdweb/CERTH/628463067.pdf","CERTI")</f>
        <v>CERTI</v>
      </c>
    </row>
    <row r="661" spans="1:27" ht="15" x14ac:dyDescent="0.25">
      <c r="A661" s="2">
        <v>656</v>
      </c>
      <c r="B661" s="39">
        <v>831010786</v>
      </c>
      <c r="C661" s="28" t="str">
        <f>HYPERLINK("https://pld.live/RapDetail.aspx?STONELIST=831010786","DNA")</f>
        <v>DNA</v>
      </c>
      <c r="D661" s="18" t="s">
        <v>3054</v>
      </c>
      <c r="E661" s="18" t="s">
        <v>5128</v>
      </c>
      <c r="F661" s="2" t="s">
        <v>7987</v>
      </c>
      <c r="G661" s="2" t="s">
        <v>861</v>
      </c>
      <c r="H661" s="14">
        <v>1.1399999999999999</v>
      </c>
      <c r="I661" s="2" t="s">
        <v>267</v>
      </c>
      <c r="J661" s="2" t="s">
        <v>13</v>
      </c>
      <c r="K661" s="2" t="s">
        <v>3390</v>
      </c>
      <c r="L661" s="2" t="s">
        <v>5221</v>
      </c>
      <c r="M661" s="2" t="s">
        <v>5221</v>
      </c>
      <c r="N661" s="2" t="s">
        <v>2317</v>
      </c>
      <c r="O661" s="14">
        <v>8700</v>
      </c>
      <c r="P661" s="14">
        <v>98.67</v>
      </c>
      <c r="Q661" s="14">
        <v>115.71</v>
      </c>
      <c r="R661" s="14">
        <v>131.91</v>
      </c>
      <c r="S661" s="2" t="s">
        <v>6391</v>
      </c>
      <c r="T661" s="2">
        <v>1.01</v>
      </c>
      <c r="U661" s="2">
        <v>62.2</v>
      </c>
      <c r="V661" s="2">
        <v>58</v>
      </c>
      <c r="W661" s="2" t="s">
        <v>7862</v>
      </c>
      <c r="X661" s="2" t="s">
        <v>5405</v>
      </c>
      <c r="Y661" s="2">
        <v>9918</v>
      </c>
      <c r="Z661" s="19" t="str">
        <f>HYPERLINK("https://ssdweb.co/ssdweb/hd/Vision360.html?d=831010786&amp;zoomslide=1&amp;z=1831010786&amp;ISCONFIRM=0","VIDEO")</f>
        <v>VIDEO</v>
      </c>
      <c r="AA661" s="19" t="str">
        <f>HYPERLINK("https://ssdweb.co/ssdweb/CERTH/570371635.pdf","CERTI")</f>
        <v>CERTI</v>
      </c>
    </row>
    <row r="662" spans="1:27" ht="15" x14ac:dyDescent="0.25">
      <c r="A662" s="2">
        <v>657</v>
      </c>
      <c r="B662" s="39">
        <v>925520414</v>
      </c>
      <c r="C662" s="28" t="str">
        <f>HYPERLINK("https://pld.live/RapDetail.aspx?STONELIST=925520414","DNA")</f>
        <v>DNA</v>
      </c>
      <c r="D662" s="18" t="s">
        <v>3054</v>
      </c>
      <c r="E662" s="18" t="s">
        <v>5128</v>
      </c>
      <c r="F662" s="2" t="s">
        <v>7987</v>
      </c>
      <c r="G662" s="2" t="s">
        <v>861</v>
      </c>
      <c r="H662" s="14">
        <v>1.1399999999999999</v>
      </c>
      <c r="I662" s="2" t="s">
        <v>267</v>
      </c>
      <c r="J662" s="2" t="s">
        <v>13</v>
      </c>
      <c r="K662" s="2" t="s">
        <v>3390</v>
      </c>
      <c r="L662" s="2" t="s">
        <v>5221</v>
      </c>
      <c r="M662" s="2" t="s">
        <v>5221</v>
      </c>
      <c r="N662" s="2" t="s">
        <v>2317</v>
      </c>
      <c r="O662" s="14">
        <v>8700</v>
      </c>
      <c r="P662" s="14">
        <v>98.67</v>
      </c>
      <c r="Q662" s="14">
        <v>115.71</v>
      </c>
      <c r="R662" s="14">
        <v>131.91</v>
      </c>
      <c r="S662" s="2" t="s">
        <v>1597</v>
      </c>
      <c r="T662" s="2">
        <v>1.01</v>
      </c>
      <c r="U662" s="2">
        <v>62.2</v>
      </c>
      <c r="V662" s="2">
        <v>57</v>
      </c>
      <c r="W662" s="2" t="s">
        <v>7862</v>
      </c>
      <c r="X662" s="2" t="s">
        <v>5405</v>
      </c>
      <c r="Y662" s="2">
        <v>9918</v>
      </c>
      <c r="Z662" s="19" t="str">
        <f>HYPERLINK("https://ssdweb.co/ssdweb/hd/Vision360.html?d=925520414&amp;zoomslide=1&amp;z=1925520414&amp;ISCONFIRM=0","VIDEO")</f>
        <v>VIDEO</v>
      </c>
      <c r="AA662" s="19" t="str">
        <f>HYPERLINK("https://ssdweb.co/ssdweb/CERTH/617485844.pdf","CERTI")</f>
        <v>CERTI</v>
      </c>
    </row>
    <row r="663" spans="1:27" ht="15" x14ac:dyDescent="0.25">
      <c r="A663" s="2">
        <v>658</v>
      </c>
      <c r="B663" s="39">
        <v>831010798</v>
      </c>
      <c r="C663" s="28" t="str">
        <f>HYPERLINK("https://pld.live/RapDetail.aspx?STONELIST=831010798","DNA")</f>
        <v>DNA</v>
      </c>
      <c r="D663" s="18" t="s">
        <v>3054</v>
      </c>
      <c r="E663" s="18" t="s">
        <v>5128</v>
      </c>
      <c r="F663" s="2" t="s">
        <v>7987</v>
      </c>
      <c r="G663" s="2" t="s">
        <v>861</v>
      </c>
      <c r="H663" s="14">
        <v>1.1399999999999999</v>
      </c>
      <c r="I663" s="2" t="s">
        <v>267</v>
      </c>
      <c r="J663" s="2" t="s">
        <v>5144</v>
      </c>
      <c r="K663" s="2" t="s">
        <v>3390</v>
      </c>
      <c r="L663" s="2" t="s">
        <v>5221</v>
      </c>
      <c r="M663" s="2" t="s">
        <v>5221</v>
      </c>
      <c r="N663" s="2" t="s">
        <v>2317</v>
      </c>
      <c r="O663" s="14">
        <v>7300</v>
      </c>
      <c r="P663" s="14">
        <v>98.44</v>
      </c>
      <c r="Q663" s="14">
        <v>113.88</v>
      </c>
      <c r="R663" s="14">
        <v>129.82</v>
      </c>
      <c r="S663" s="2" t="s">
        <v>7137</v>
      </c>
      <c r="T663" s="2">
        <v>1</v>
      </c>
      <c r="U663" s="2">
        <v>61.6</v>
      </c>
      <c r="V663" s="2">
        <v>58.5</v>
      </c>
      <c r="W663" s="2" t="s">
        <v>7862</v>
      </c>
      <c r="X663" s="2" t="s">
        <v>5405</v>
      </c>
      <c r="Y663" s="2">
        <v>8322</v>
      </c>
      <c r="Z663" s="19" t="str">
        <f>HYPERLINK("https://ssdweb.co/ssdweb/hd/Vision360.html?d=831010798&amp;zoomslide=1&amp;z=1831010798&amp;ISCONFIRM=0","VIDEO")</f>
        <v>VIDEO</v>
      </c>
      <c r="AA663" s="19" t="str">
        <f>HYPERLINK("https://ssdweb.co/ssdweb/CERTH/573389008.pdf","CERTI")</f>
        <v>CERTI</v>
      </c>
    </row>
    <row r="664" spans="1:27" ht="15" x14ac:dyDescent="0.25">
      <c r="A664" s="2">
        <v>659</v>
      </c>
      <c r="B664" s="39">
        <v>926101380</v>
      </c>
      <c r="C664" s="28" t="str">
        <f>HYPERLINK("https://pld.live/RapDetail.aspx?STONELIST=926101380","DNA")</f>
        <v>DNA</v>
      </c>
      <c r="D664" s="18" t="s">
        <v>3054</v>
      </c>
      <c r="E664" s="18" t="s">
        <v>5128</v>
      </c>
      <c r="F664" s="2" t="s">
        <v>7987</v>
      </c>
      <c r="G664" s="2" t="s">
        <v>861</v>
      </c>
      <c r="H664" s="14">
        <v>1.1299999999999999</v>
      </c>
      <c r="I664" s="2" t="s">
        <v>267</v>
      </c>
      <c r="J664" s="2" t="s">
        <v>3942</v>
      </c>
      <c r="K664" s="2" t="s">
        <v>3390</v>
      </c>
      <c r="L664" s="2" t="s">
        <v>5221</v>
      </c>
      <c r="M664" s="2" t="s">
        <v>5221</v>
      </c>
      <c r="N664" s="2" t="s">
        <v>2317</v>
      </c>
      <c r="O664" s="14">
        <v>10200</v>
      </c>
      <c r="P664" s="14">
        <v>98.78</v>
      </c>
      <c r="Q664" s="14">
        <v>124.44</v>
      </c>
      <c r="R664" s="14">
        <v>140.62</v>
      </c>
      <c r="S664" s="2" t="s">
        <v>5135</v>
      </c>
      <c r="T664" s="2">
        <v>1</v>
      </c>
      <c r="U664" s="2">
        <v>61.3</v>
      </c>
      <c r="V664" s="2">
        <v>58</v>
      </c>
      <c r="W664" s="2" t="s">
        <v>7862</v>
      </c>
      <c r="X664" s="2" t="s">
        <v>5405</v>
      </c>
      <c r="Y664" s="2">
        <v>11526</v>
      </c>
      <c r="Z664" s="19" t="str">
        <f>HYPERLINK("https://ssdweb.co/ssdweb/hd/Vision360.html?d=926101380&amp;zoomslide=1&amp;z=1926101380&amp;ISCONFIRM=0","VIDEO")</f>
        <v>VIDEO</v>
      </c>
      <c r="AA664" s="19" t="str">
        <f>HYPERLINK("https://ssdweb.co/ssdweb/CERTH/632421432.pdf","CERTI")</f>
        <v>CERTI</v>
      </c>
    </row>
    <row r="665" spans="1:27" ht="15" x14ac:dyDescent="0.25">
      <c r="A665" s="2">
        <v>660</v>
      </c>
      <c r="B665" s="39">
        <v>925950892</v>
      </c>
      <c r="C665" s="28" t="str">
        <f>HYPERLINK("https://pld.live/RapDetail.aspx?STONELIST=925950892","DNA")</f>
        <v>DNA</v>
      </c>
      <c r="D665" s="18" t="s">
        <v>3054</v>
      </c>
      <c r="E665" s="18" t="s">
        <v>5128</v>
      </c>
      <c r="F665" s="2" t="s">
        <v>7987</v>
      </c>
      <c r="G665" s="2" t="s">
        <v>861</v>
      </c>
      <c r="H665" s="14">
        <v>1.1299999999999999</v>
      </c>
      <c r="I665" s="2" t="s">
        <v>267</v>
      </c>
      <c r="J665" s="2" t="s">
        <v>13</v>
      </c>
      <c r="K665" s="2" t="s">
        <v>3390</v>
      </c>
      <c r="L665" s="2" t="s">
        <v>5221</v>
      </c>
      <c r="M665" s="2" t="s">
        <v>5221</v>
      </c>
      <c r="N665" s="2" t="s">
        <v>2317</v>
      </c>
      <c r="O665" s="14">
        <v>8700</v>
      </c>
      <c r="P665" s="14">
        <v>98.67</v>
      </c>
      <c r="Q665" s="14">
        <v>115.71</v>
      </c>
      <c r="R665" s="14">
        <v>130.75</v>
      </c>
      <c r="S665" s="2" t="s">
        <v>4859</v>
      </c>
      <c r="T665" s="2">
        <v>1.01</v>
      </c>
      <c r="U665" s="2">
        <v>61.8</v>
      </c>
      <c r="V665" s="2">
        <v>58</v>
      </c>
      <c r="W665" s="2" t="s">
        <v>7862</v>
      </c>
      <c r="X665" s="2" t="s">
        <v>5405</v>
      </c>
      <c r="Y665" s="2">
        <v>9831</v>
      </c>
      <c r="Z665" s="19" t="str">
        <f>HYPERLINK("https://ssdweb.co/ssdweb/hd/Vision360.html?d=925950892&amp;zoomslide=1&amp;z=1925950892&amp;ISCONFIRM=0","VIDEO")</f>
        <v>VIDEO</v>
      </c>
      <c r="AA665" s="19" t="str">
        <f>HYPERLINK("https://ssdweb.co/ssdweb/CERTH/628463168.pdf","CERTI")</f>
        <v>CERTI</v>
      </c>
    </row>
    <row r="666" spans="1:27" ht="15" x14ac:dyDescent="0.25">
      <c r="A666" s="2">
        <v>661</v>
      </c>
      <c r="B666" s="39">
        <v>925970654</v>
      </c>
      <c r="C666" s="28" t="str">
        <f>HYPERLINK("https://pld.live/RapDetail.aspx?STONELIST=925970654","DNA")</f>
        <v>DNA</v>
      </c>
      <c r="D666" s="18" t="s">
        <v>3054</v>
      </c>
      <c r="E666" s="18" t="s">
        <v>5128</v>
      </c>
      <c r="F666" s="2" t="s">
        <v>7987</v>
      </c>
      <c r="G666" s="2" t="s">
        <v>861</v>
      </c>
      <c r="H666" s="14">
        <v>1.1299999999999999</v>
      </c>
      <c r="I666" s="2" t="s">
        <v>267</v>
      </c>
      <c r="J666" s="2" t="s">
        <v>13</v>
      </c>
      <c r="K666" s="2" t="s">
        <v>3390</v>
      </c>
      <c r="L666" s="2" t="s">
        <v>5221</v>
      </c>
      <c r="M666" s="2" t="s">
        <v>5221</v>
      </c>
      <c r="N666" s="2" t="s">
        <v>2317</v>
      </c>
      <c r="O666" s="14">
        <v>8700</v>
      </c>
      <c r="P666" s="14">
        <v>98.67</v>
      </c>
      <c r="Q666" s="14">
        <v>115.71</v>
      </c>
      <c r="R666" s="14">
        <v>130.75</v>
      </c>
      <c r="S666" s="2" t="s">
        <v>1905</v>
      </c>
      <c r="T666" s="2">
        <v>1</v>
      </c>
      <c r="U666" s="2">
        <v>62.3</v>
      </c>
      <c r="V666" s="2">
        <v>58</v>
      </c>
      <c r="W666" s="2" t="s">
        <v>7862</v>
      </c>
      <c r="X666" s="2" t="s">
        <v>5405</v>
      </c>
      <c r="Y666" s="2">
        <v>9831</v>
      </c>
      <c r="Z666" s="19" t="str">
        <f>HYPERLINK("https://ssdweb.co/ssdweb/hd/Vision360.html?d=925970654&amp;zoomslide=1&amp;z=1925970654&amp;ISCONFIRM=0","VIDEO")</f>
        <v>VIDEO</v>
      </c>
      <c r="AA666" s="19" t="str">
        <f>HYPERLINK("https://ssdweb.co/ssdweb/CERTH/628463114.pdf","CERTI")</f>
        <v>CERTI</v>
      </c>
    </row>
    <row r="667" spans="1:27" ht="15" x14ac:dyDescent="0.25">
      <c r="A667" s="2">
        <v>662</v>
      </c>
      <c r="B667" s="39">
        <v>925861972</v>
      </c>
      <c r="C667" s="28" t="str">
        <f>HYPERLINK("https://pld.live/RapDetail.aspx?STONELIST=925861972","DNA")</f>
        <v>DNA</v>
      </c>
      <c r="D667" s="18" t="s">
        <v>3054</v>
      </c>
      <c r="E667" s="18" t="s">
        <v>5128</v>
      </c>
      <c r="F667" s="2" t="s">
        <v>7987</v>
      </c>
      <c r="G667" s="2" t="s">
        <v>861</v>
      </c>
      <c r="H667" s="14">
        <v>1.1299999999999999</v>
      </c>
      <c r="I667" s="2" t="s">
        <v>4761</v>
      </c>
      <c r="J667" s="2" t="s">
        <v>3942</v>
      </c>
      <c r="K667" s="2" t="s">
        <v>3390</v>
      </c>
      <c r="L667" s="2" t="s">
        <v>5221</v>
      </c>
      <c r="M667" s="2" t="s">
        <v>5221</v>
      </c>
      <c r="N667" s="2" t="s">
        <v>2317</v>
      </c>
      <c r="O667" s="14">
        <v>9300</v>
      </c>
      <c r="P667" s="14">
        <v>98.72</v>
      </c>
      <c r="Q667" s="14">
        <v>119.04</v>
      </c>
      <c r="R667" s="14">
        <v>134.52000000000001</v>
      </c>
      <c r="S667" s="2" t="s">
        <v>2782</v>
      </c>
      <c r="T667" s="2">
        <v>1.01</v>
      </c>
      <c r="U667" s="2">
        <v>61</v>
      </c>
      <c r="V667" s="2">
        <v>60</v>
      </c>
      <c r="W667" s="2" t="s">
        <v>7862</v>
      </c>
      <c r="X667" s="2" t="s">
        <v>5405</v>
      </c>
      <c r="Y667" s="2">
        <v>10509</v>
      </c>
      <c r="Z667" s="19" t="str">
        <f>HYPERLINK("https://ssdweb.co/ssdweb/hd/Vision360.html?d=925861972&amp;zoomslide=1&amp;z=1925861972&amp;ISCONFIRM=0","VIDEO")</f>
        <v>VIDEO</v>
      </c>
      <c r="AA667" s="19" t="str">
        <f>HYPERLINK("https://ssdweb.co/ssdweb/CERTH/628463121.pdf","CERTI")</f>
        <v>CERTI</v>
      </c>
    </row>
    <row r="668" spans="1:27" ht="15" x14ac:dyDescent="0.25">
      <c r="A668" s="2">
        <v>663</v>
      </c>
      <c r="B668" s="39">
        <v>925961016</v>
      </c>
      <c r="C668" s="28" t="str">
        <f>HYPERLINK("https://pld.live/RapDetail.aspx?STONELIST=925961016","DNA")</f>
        <v>DNA</v>
      </c>
      <c r="D668" s="18" t="s">
        <v>3054</v>
      </c>
      <c r="E668" s="18" t="s">
        <v>5128</v>
      </c>
      <c r="F668" s="2" t="s">
        <v>7987</v>
      </c>
      <c r="G668" s="2" t="s">
        <v>861</v>
      </c>
      <c r="H668" s="14">
        <v>1.1299999999999999</v>
      </c>
      <c r="I668" s="2" t="s">
        <v>4761</v>
      </c>
      <c r="J668" s="2" t="s">
        <v>3942</v>
      </c>
      <c r="K668" s="2" t="s">
        <v>3390</v>
      </c>
      <c r="L668" s="2" t="s">
        <v>5221</v>
      </c>
      <c r="M668" s="2" t="s">
        <v>5221</v>
      </c>
      <c r="N668" s="2" t="s">
        <v>2317</v>
      </c>
      <c r="O668" s="14">
        <v>9300</v>
      </c>
      <c r="P668" s="14">
        <v>98.72</v>
      </c>
      <c r="Q668" s="14">
        <v>119.04</v>
      </c>
      <c r="R668" s="14">
        <v>134.52000000000001</v>
      </c>
      <c r="S668" s="2" t="s">
        <v>7485</v>
      </c>
      <c r="T668" s="2">
        <v>1.01</v>
      </c>
      <c r="U668" s="2">
        <v>60.5</v>
      </c>
      <c r="V668" s="2">
        <v>59</v>
      </c>
      <c r="W668" s="2" t="s">
        <v>7862</v>
      </c>
      <c r="X668" s="2" t="s">
        <v>5405</v>
      </c>
      <c r="Y668" s="2">
        <v>10509</v>
      </c>
      <c r="Z668" s="19" t="str">
        <f>HYPERLINK("https://ssdweb.co/ssdweb/hd/Vision360.html?d=925961016&amp;zoomslide=1&amp;z=1925961016&amp;ISCONFIRM=0","VIDEO")</f>
        <v>VIDEO</v>
      </c>
      <c r="AA668" s="19" t="str">
        <f>HYPERLINK("https://ssdweb.co/ssdweb/CERTH/628463215.pdf","CERTI")</f>
        <v>CERTI</v>
      </c>
    </row>
    <row r="669" spans="1:27" ht="15" x14ac:dyDescent="0.25">
      <c r="A669" s="2">
        <v>664</v>
      </c>
      <c r="B669" s="39">
        <v>831010791</v>
      </c>
      <c r="C669" s="28" t="str">
        <f>HYPERLINK("https://pld.live/RapDetail.aspx?STONELIST=831010791","DNA")</f>
        <v>DNA</v>
      </c>
      <c r="D669" s="18" t="s">
        <v>3054</v>
      </c>
      <c r="E669" s="18" t="s">
        <v>5128</v>
      </c>
      <c r="F669" s="2" t="s">
        <v>7987</v>
      </c>
      <c r="G669" s="2" t="s">
        <v>861</v>
      </c>
      <c r="H669" s="14">
        <v>1.1299999999999999</v>
      </c>
      <c r="I669" s="2" t="s">
        <v>4761</v>
      </c>
      <c r="J669" s="2" t="s">
        <v>3942</v>
      </c>
      <c r="K669" s="2" t="s">
        <v>3390</v>
      </c>
      <c r="L669" s="2" t="s">
        <v>5221</v>
      </c>
      <c r="M669" s="2" t="s">
        <v>5221</v>
      </c>
      <c r="N669" s="2" t="s">
        <v>2317</v>
      </c>
      <c r="O669" s="14">
        <v>9300</v>
      </c>
      <c r="P669" s="14">
        <v>98.72</v>
      </c>
      <c r="Q669" s="14">
        <v>119.04</v>
      </c>
      <c r="R669" s="14">
        <v>134.52000000000001</v>
      </c>
      <c r="S669" s="2" t="s">
        <v>2038</v>
      </c>
      <c r="T669" s="2">
        <v>1.01</v>
      </c>
      <c r="U669" s="2">
        <v>62.2</v>
      </c>
      <c r="V669" s="2">
        <v>58.5</v>
      </c>
      <c r="W669" s="2" t="s">
        <v>7862</v>
      </c>
      <c r="X669" s="2" t="s">
        <v>5405</v>
      </c>
      <c r="Y669" s="2">
        <v>10509</v>
      </c>
      <c r="Z669" s="19" t="str">
        <f>HYPERLINK("https://ssdweb.co/ssdweb/hd/Vision360.html?d=831010791&amp;zoomslide=1&amp;z=1831010791&amp;ISCONFIRM=0","VIDEO")</f>
        <v>VIDEO</v>
      </c>
      <c r="AA669" s="19" t="str">
        <f>HYPERLINK("https://ssdweb.co/ssdweb/CERTH/569330533.pdf","CERTI")</f>
        <v>CERTI</v>
      </c>
    </row>
    <row r="670" spans="1:27" ht="15" x14ac:dyDescent="0.25">
      <c r="A670" s="2">
        <v>665</v>
      </c>
      <c r="B670" s="39">
        <v>925430084</v>
      </c>
      <c r="C670" s="28" t="str">
        <f>HYPERLINK("https://pld.live/RapDetail.aspx?STONELIST=925430084","DNA")</f>
        <v>DNA</v>
      </c>
      <c r="D670" s="18" t="s">
        <v>3054</v>
      </c>
      <c r="E670" s="18" t="s">
        <v>2186</v>
      </c>
      <c r="F670" s="2" t="s">
        <v>7987</v>
      </c>
      <c r="G670" s="2" t="s">
        <v>861</v>
      </c>
      <c r="H670" s="14">
        <v>1.1299999999999999</v>
      </c>
      <c r="I670" s="2" t="s">
        <v>4699</v>
      </c>
      <c r="J670" s="2" t="s">
        <v>3942</v>
      </c>
      <c r="K670" s="2" t="s">
        <v>3390</v>
      </c>
      <c r="L670" s="2" t="s">
        <v>5221</v>
      </c>
      <c r="M670" s="2" t="s">
        <v>5221</v>
      </c>
      <c r="N670" s="2" t="s">
        <v>2317</v>
      </c>
      <c r="O670" s="14">
        <v>8400</v>
      </c>
      <c r="P670" s="14">
        <v>98.64</v>
      </c>
      <c r="Q670" s="14">
        <v>114.24</v>
      </c>
      <c r="R670" s="14">
        <v>129.09</v>
      </c>
      <c r="S670" s="2" t="s">
        <v>2935</v>
      </c>
      <c r="T670" s="2">
        <v>1</v>
      </c>
      <c r="U670" s="2">
        <v>60.9</v>
      </c>
      <c r="V670" s="2">
        <v>60</v>
      </c>
      <c r="W670" s="2" t="s">
        <v>8016</v>
      </c>
      <c r="X670" s="2" t="s">
        <v>5405</v>
      </c>
      <c r="Y670" s="2">
        <v>9492</v>
      </c>
      <c r="Z670" s="19" t="str">
        <f>HYPERLINK("https://ssdweb.co/ssdweb/hd/Vision360.html?d=925430084&amp;zoomslide=1&amp;z=1925430084&amp;ISCONFIRM=0","VIDEO")</f>
        <v>VIDEO</v>
      </c>
      <c r="AA670" s="19" t="str">
        <f>HYPERLINK("https://ssdweb.co/ssdweb/CERTH/620403174.pdf","CERTI")</f>
        <v>CERTI</v>
      </c>
    </row>
    <row r="671" spans="1:27" ht="15" x14ac:dyDescent="0.25">
      <c r="A671" s="2">
        <v>666</v>
      </c>
      <c r="B671" s="39">
        <v>926071785</v>
      </c>
      <c r="C671" s="28" t="str">
        <f>HYPERLINK("https://pld.live/RapDetail.aspx?STONELIST=926071785","DNA")</f>
        <v>DNA</v>
      </c>
      <c r="D671" s="18" t="s">
        <v>3054</v>
      </c>
      <c r="E671" s="18" t="s">
        <v>5128</v>
      </c>
      <c r="F671" s="2" t="s">
        <v>7987</v>
      </c>
      <c r="G671" s="2" t="s">
        <v>861</v>
      </c>
      <c r="H671" s="14">
        <v>1.1200000000000001</v>
      </c>
      <c r="I671" s="2" t="s">
        <v>267</v>
      </c>
      <c r="J671" s="2" t="s">
        <v>6555</v>
      </c>
      <c r="K671" s="2" t="s">
        <v>3390</v>
      </c>
      <c r="L671" s="2" t="s">
        <v>5221</v>
      </c>
      <c r="M671" s="2" t="s">
        <v>5221</v>
      </c>
      <c r="N671" s="2" t="s">
        <v>2317</v>
      </c>
      <c r="O671" s="14">
        <v>12800</v>
      </c>
      <c r="P671" s="14">
        <v>98.92</v>
      </c>
      <c r="Q671" s="14">
        <v>138.24</v>
      </c>
      <c r="R671" s="14">
        <v>154.83000000000001</v>
      </c>
      <c r="S671" s="2" t="s">
        <v>4245</v>
      </c>
      <c r="T671" s="2">
        <v>1</v>
      </c>
      <c r="U671" s="2">
        <v>62</v>
      </c>
      <c r="V671" s="2">
        <v>57</v>
      </c>
      <c r="W671" s="2" t="s">
        <v>7862</v>
      </c>
      <c r="X671" s="2" t="s">
        <v>5405</v>
      </c>
      <c r="Y671" s="2">
        <v>14336</v>
      </c>
      <c r="Z671" s="19" t="str">
        <f>HYPERLINK("https://ssdweb.co/ssdweb/hd/Vision360.html?d=926071785&amp;zoomslide=1&amp;z=1926071785&amp;ISCONFIRM=0","VIDEO")</f>
        <v>VIDEO</v>
      </c>
      <c r="AA671" s="19" t="str">
        <f>HYPERLINK("https://ssdweb.co/ssdweb/CERTH/631464281.pdf","CERTI")</f>
        <v>CERTI</v>
      </c>
    </row>
    <row r="672" spans="1:27" ht="15" x14ac:dyDescent="0.25">
      <c r="A672" s="2">
        <v>667</v>
      </c>
      <c r="B672" s="39">
        <v>925961013</v>
      </c>
      <c r="C672" s="28" t="str">
        <f>HYPERLINK("https://pld.live/RapDetail.aspx?STONELIST=925961013","DNA")</f>
        <v>DNA</v>
      </c>
      <c r="D672" s="18" t="s">
        <v>3054</v>
      </c>
      <c r="E672" s="18" t="s">
        <v>5128</v>
      </c>
      <c r="F672" s="2" t="s">
        <v>7987</v>
      </c>
      <c r="G672" s="2" t="s">
        <v>861</v>
      </c>
      <c r="H672" s="14">
        <v>1.1200000000000001</v>
      </c>
      <c r="I672" s="2" t="s">
        <v>267</v>
      </c>
      <c r="J672" s="2" t="s">
        <v>3942</v>
      </c>
      <c r="K672" s="2" t="s">
        <v>3390</v>
      </c>
      <c r="L672" s="2" t="s">
        <v>5221</v>
      </c>
      <c r="M672" s="2" t="s">
        <v>5221</v>
      </c>
      <c r="N672" s="2" t="s">
        <v>2317</v>
      </c>
      <c r="O672" s="14">
        <v>10200</v>
      </c>
      <c r="P672" s="14">
        <v>98.8</v>
      </c>
      <c r="Q672" s="14">
        <v>122.4</v>
      </c>
      <c r="R672" s="14">
        <v>137.09</v>
      </c>
      <c r="S672" s="2" t="s">
        <v>1488</v>
      </c>
      <c r="T672" s="2">
        <v>1.01</v>
      </c>
      <c r="U672" s="2">
        <v>62.1</v>
      </c>
      <c r="V672" s="2">
        <v>56</v>
      </c>
      <c r="W672" s="2" t="s">
        <v>7862</v>
      </c>
      <c r="X672" s="2" t="s">
        <v>5405</v>
      </c>
      <c r="Y672" s="2">
        <v>11424</v>
      </c>
      <c r="Z672" s="19" t="str">
        <f>HYPERLINK("https://ssdweb.co/ssdweb/hd/Vision360.html?d=925961013&amp;zoomslide=1&amp;z=1925961013&amp;ISCONFIRM=0","VIDEO")</f>
        <v>VIDEO</v>
      </c>
      <c r="AA672" s="19" t="str">
        <f>HYPERLINK("https://ssdweb.co/ssdweb/CERTH/628463224.pdf","CERTI")</f>
        <v>CERTI</v>
      </c>
    </row>
    <row r="673" spans="1:27" ht="15" x14ac:dyDescent="0.25">
      <c r="A673" s="2">
        <v>668</v>
      </c>
      <c r="B673" s="39">
        <v>926071768</v>
      </c>
      <c r="C673" s="28" t="str">
        <f>HYPERLINK("https://pld.live/RapDetail.aspx?STONELIST=926071768","DNA")</f>
        <v>DNA</v>
      </c>
      <c r="D673" s="18" t="s">
        <v>3054</v>
      </c>
      <c r="E673" s="18" t="s">
        <v>5128</v>
      </c>
      <c r="F673" s="2" t="s">
        <v>7987</v>
      </c>
      <c r="G673" s="2" t="s">
        <v>861</v>
      </c>
      <c r="H673" s="14">
        <v>1.1200000000000001</v>
      </c>
      <c r="I673" s="2" t="s">
        <v>267</v>
      </c>
      <c r="J673" s="2" t="s">
        <v>3942</v>
      </c>
      <c r="K673" s="2" t="s">
        <v>3390</v>
      </c>
      <c r="L673" s="2" t="s">
        <v>5221</v>
      </c>
      <c r="M673" s="2" t="s">
        <v>5221</v>
      </c>
      <c r="N673" s="2" t="s">
        <v>2317</v>
      </c>
      <c r="O673" s="14">
        <v>10200</v>
      </c>
      <c r="P673" s="14">
        <v>98.78</v>
      </c>
      <c r="Q673" s="14">
        <v>124.44</v>
      </c>
      <c r="R673" s="14">
        <v>139.37</v>
      </c>
      <c r="S673" s="2" t="s">
        <v>3881</v>
      </c>
      <c r="T673" s="2">
        <v>1.01</v>
      </c>
      <c r="U673" s="2">
        <v>62.3</v>
      </c>
      <c r="V673" s="2">
        <v>58</v>
      </c>
      <c r="W673" s="2" t="s">
        <v>7862</v>
      </c>
      <c r="X673" s="2" t="s">
        <v>5405</v>
      </c>
      <c r="Y673" s="2">
        <v>11424</v>
      </c>
      <c r="Z673" s="19" t="str">
        <f>HYPERLINK("https://ssdweb.co/ssdweb/hd/Vision360.html?d=926071768&amp;zoomslide=1&amp;z=1926071768&amp;ISCONFIRM=0","VIDEO")</f>
        <v>VIDEO</v>
      </c>
      <c r="AA673" s="19" t="str">
        <f>HYPERLINK("https://ssdweb.co/ssdweb/CERTH/631464115.pdf","CERTI")</f>
        <v>CERTI</v>
      </c>
    </row>
    <row r="674" spans="1:27" ht="15" x14ac:dyDescent="0.25">
      <c r="A674" s="2">
        <v>669</v>
      </c>
      <c r="B674" s="39">
        <v>926071746</v>
      </c>
      <c r="C674" s="28" t="str">
        <f>HYPERLINK("https://pld.live/RapDetail.aspx?STONELIST=926071746","DNA")</f>
        <v>DNA</v>
      </c>
      <c r="D674" s="18" t="s">
        <v>3054</v>
      </c>
      <c r="E674" s="18" t="s">
        <v>5128</v>
      </c>
      <c r="F674" s="2" t="s">
        <v>7987</v>
      </c>
      <c r="G674" s="2" t="s">
        <v>861</v>
      </c>
      <c r="H674" s="14">
        <v>1.1200000000000001</v>
      </c>
      <c r="I674" s="2" t="s">
        <v>267</v>
      </c>
      <c r="J674" s="2" t="s">
        <v>3942</v>
      </c>
      <c r="K674" s="2" t="s">
        <v>3390</v>
      </c>
      <c r="L674" s="2" t="s">
        <v>5221</v>
      </c>
      <c r="M674" s="2" t="s">
        <v>5221</v>
      </c>
      <c r="N674" s="2" t="s">
        <v>2317</v>
      </c>
      <c r="O674" s="14">
        <v>10200</v>
      </c>
      <c r="P674" s="14">
        <v>98.78</v>
      </c>
      <c r="Q674" s="14">
        <v>124.44</v>
      </c>
      <c r="R674" s="14">
        <v>139.37</v>
      </c>
      <c r="S674" s="2" t="s">
        <v>2918</v>
      </c>
      <c r="T674" s="2">
        <v>1</v>
      </c>
      <c r="U674" s="2">
        <v>62.3</v>
      </c>
      <c r="V674" s="2">
        <v>58</v>
      </c>
      <c r="W674" s="2" t="s">
        <v>7862</v>
      </c>
      <c r="X674" s="2" t="s">
        <v>5405</v>
      </c>
      <c r="Y674" s="2">
        <v>11424</v>
      </c>
      <c r="Z674" s="19" t="str">
        <f>HYPERLINK("https://ssdweb.co/ssdweb/hd/Vision360.html?d=926071746&amp;zoomslide=1&amp;z=1926071746&amp;ISCONFIRM=0","VIDEO")</f>
        <v>VIDEO</v>
      </c>
      <c r="AA674" s="19" t="str">
        <f>HYPERLINK("https://ssdweb.co/ssdweb/CERTH/631464311.pdf","CERTI")</f>
        <v>CERTI</v>
      </c>
    </row>
    <row r="675" spans="1:27" ht="15" x14ac:dyDescent="0.25">
      <c r="A675" s="2">
        <v>670</v>
      </c>
      <c r="B675" s="39">
        <v>925970834</v>
      </c>
      <c r="C675" s="28" t="str">
        <f>HYPERLINK("https://pld.live/RapDetail.aspx?STONELIST=925970834","DNA")</f>
        <v>DNA</v>
      </c>
      <c r="D675" s="18" t="s">
        <v>3054</v>
      </c>
      <c r="E675" s="18" t="s">
        <v>5128</v>
      </c>
      <c r="F675" s="2" t="s">
        <v>7987</v>
      </c>
      <c r="G675" s="2" t="s">
        <v>861</v>
      </c>
      <c r="H675" s="14">
        <v>1.1200000000000001</v>
      </c>
      <c r="I675" s="2" t="s">
        <v>267</v>
      </c>
      <c r="J675" s="2" t="s">
        <v>3942</v>
      </c>
      <c r="K675" s="2" t="s">
        <v>3390</v>
      </c>
      <c r="L675" s="2" t="s">
        <v>5221</v>
      </c>
      <c r="M675" s="2" t="s">
        <v>5221</v>
      </c>
      <c r="N675" s="2" t="s">
        <v>2317</v>
      </c>
      <c r="O675" s="14">
        <v>10200</v>
      </c>
      <c r="P675" s="14">
        <v>98.8</v>
      </c>
      <c r="Q675" s="14">
        <v>122.4</v>
      </c>
      <c r="R675" s="14">
        <v>137.09</v>
      </c>
      <c r="S675" s="2" t="s">
        <v>4245</v>
      </c>
      <c r="T675" s="2">
        <v>1</v>
      </c>
      <c r="U675" s="2">
        <v>62</v>
      </c>
      <c r="V675" s="2">
        <v>58</v>
      </c>
      <c r="W675" s="2" t="s">
        <v>7862</v>
      </c>
      <c r="X675" s="2" t="s">
        <v>5405</v>
      </c>
      <c r="Y675" s="2">
        <v>11424</v>
      </c>
      <c r="Z675" s="19" t="str">
        <f>HYPERLINK("https://ssdweb.co/ssdweb/hd/Vision360.html?d=925970834&amp;zoomslide=1&amp;z=1925970834&amp;ISCONFIRM=0","VIDEO")</f>
        <v>VIDEO</v>
      </c>
      <c r="AA675" s="19" t="str">
        <f>HYPERLINK("https://ssdweb.co/ssdweb/CERTH/628463164.pdf","CERTI")</f>
        <v>CERTI</v>
      </c>
    </row>
    <row r="676" spans="1:27" ht="15" x14ac:dyDescent="0.25">
      <c r="A676" s="2">
        <v>671</v>
      </c>
      <c r="B676" s="39">
        <v>925951085</v>
      </c>
      <c r="C676" s="28" t="str">
        <f>HYPERLINK("https://pld.live/RapDetail.aspx?STONELIST=925951085","DNA")</f>
        <v>DNA</v>
      </c>
      <c r="D676" s="18" t="s">
        <v>3054</v>
      </c>
      <c r="E676" s="18" t="s">
        <v>5128</v>
      </c>
      <c r="F676" s="2" t="s">
        <v>7987</v>
      </c>
      <c r="G676" s="2" t="s">
        <v>861</v>
      </c>
      <c r="H676" s="14">
        <v>1.1200000000000001</v>
      </c>
      <c r="I676" s="2" t="s">
        <v>267</v>
      </c>
      <c r="J676" s="2" t="s">
        <v>3942</v>
      </c>
      <c r="K676" s="2" t="s">
        <v>5221</v>
      </c>
      <c r="L676" s="2" t="s">
        <v>5221</v>
      </c>
      <c r="M676" s="2" t="s">
        <v>5221</v>
      </c>
      <c r="N676" s="2" t="s">
        <v>2317</v>
      </c>
      <c r="O676" s="14">
        <v>10200</v>
      </c>
      <c r="P676" s="14">
        <v>98.8</v>
      </c>
      <c r="Q676" s="14">
        <v>122.4</v>
      </c>
      <c r="R676" s="14">
        <v>137.09</v>
      </c>
      <c r="S676" s="2" t="s">
        <v>6810</v>
      </c>
      <c r="T676" s="2">
        <v>1.01</v>
      </c>
      <c r="U676" s="2">
        <v>62.6</v>
      </c>
      <c r="V676" s="2">
        <v>57</v>
      </c>
      <c r="W676" s="2" t="s">
        <v>7862</v>
      </c>
      <c r="X676" s="2" t="s">
        <v>5405</v>
      </c>
      <c r="Y676" s="2">
        <v>11424</v>
      </c>
      <c r="Z676" s="19" t="str">
        <f>HYPERLINK("https://ssdweb.co/ssdweb/hd/Vision360.html?d=925951085&amp;zoomslide=1&amp;z=1925951085&amp;ISCONFIRM=0","VIDEO")</f>
        <v>VIDEO</v>
      </c>
      <c r="AA676" s="19" t="str">
        <f>HYPERLINK("https://ssdweb.co/ssdweb/CERTH/628463288.pdf","CERTI")</f>
        <v>CERTI</v>
      </c>
    </row>
    <row r="677" spans="1:27" ht="15" x14ac:dyDescent="0.25">
      <c r="A677" s="2">
        <v>672</v>
      </c>
      <c r="B677" s="39">
        <v>926071489</v>
      </c>
      <c r="C677" s="28" t="str">
        <f>HYPERLINK("https://pld.live/RapDetail.aspx?STONELIST=926071489","DNA")</f>
        <v>DNA</v>
      </c>
      <c r="D677" s="18" t="s">
        <v>3054</v>
      </c>
      <c r="E677" s="18" t="s">
        <v>5128</v>
      </c>
      <c r="F677" s="2" t="s">
        <v>7987</v>
      </c>
      <c r="G677" s="2" t="s">
        <v>861</v>
      </c>
      <c r="H677" s="14">
        <v>1.1200000000000001</v>
      </c>
      <c r="I677" s="2" t="s">
        <v>267</v>
      </c>
      <c r="J677" s="2" t="s">
        <v>3942</v>
      </c>
      <c r="K677" s="2" t="s">
        <v>5221</v>
      </c>
      <c r="L677" s="2" t="s">
        <v>5221</v>
      </c>
      <c r="M677" s="2" t="s">
        <v>5221</v>
      </c>
      <c r="N677" s="2" t="s">
        <v>2317</v>
      </c>
      <c r="O677" s="14">
        <v>10200</v>
      </c>
      <c r="P677" s="14">
        <v>98.78</v>
      </c>
      <c r="Q677" s="14">
        <v>124.44</v>
      </c>
      <c r="R677" s="14">
        <v>139.37</v>
      </c>
      <c r="S677" s="2" t="s">
        <v>7603</v>
      </c>
      <c r="T677" s="2">
        <v>1.01</v>
      </c>
      <c r="U677" s="2">
        <v>62.7</v>
      </c>
      <c r="V677" s="2">
        <v>56</v>
      </c>
      <c r="W677" s="2" t="s">
        <v>7862</v>
      </c>
      <c r="X677" s="2" t="s">
        <v>5405</v>
      </c>
      <c r="Y677" s="2">
        <v>11424</v>
      </c>
      <c r="Z677" s="19" t="str">
        <f>HYPERLINK("https://ssdweb.co/ssdweb/hd/Vision360.html?d=926071489&amp;zoomslide=1&amp;z=1926071489&amp;ISCONFIRM=0","VIDEO")</f>
        <v>VIDEO</v>
      </c>
      <c r="AA677" s="19" t="str">
        <f>HYPERLINK("https://ssdweb.co/ssdweb/CERTH/631430107.pdf","CERTI")</f>
        <v>CERTI</v>
      </c>
    </row>
    <row r="678" spans="1:27" ht="15" x14ac:dyDescent="0.25">
      <c r="A678" s="2">
        <v>673</v>
      </c>
      <c r="B678" s="39">
        <v>925960943</v>
      </c>
      <c r="C678" s="28" t="str">
        <f>HYPERLINK("https://pld.live/RapDetail.aspx?STONELIST=925960943","DNA")</f>
        <v>DNA</v>
      </c>
      <c r="D678" s="18" t="s">
        <v>3054</v>
      </c>
      <c r="E678" s="18" t="s">
        <v>5128</v>
      </c>
      <c r="F678" s="2" t="s">
        <v>7987</v>
      </c>
      <c r="G678" s="2" t="s">
        <v>861</v>
      </c>
      <c r="H678" s="14">
        <v>1.1200000000000001</v>
      </c>
      <c r="I678" s="2" t="s">
        <v>4761</v>
      </c>
      <c r="J678" s="2" t="s">
        <v>3942</v>
      </c>
      <c r="K678" s="2" t="s">
        <v>3390</v>
      </c>
      <c r="L678" s="2" t="s">
        <v>5221</v>
      </c>
      <c r="M678" s="2" t="s">
        <v>5221</v>
      </c>
      <c r="N678" s="2" t="s">
        <v>2317</v>
      </c>
      <c r="O678" s="14">
        <v>9300</v>
      </c>
      <c r="P678" s="14">
        <v>98.73</v>
      </c>
      <c r="Q678" s="14">
        <v>118.11</v>
      </c>
      <c r="R678" s="14">
        <v>132.28</v>
      </c>
      <c r="S678" s="2" t="s">
        <v>1913</v>
      </c>
      <c r="T678" s="2">
        <v>1.01</v>
      </c>
      <c r="U678" s="2">
        <v>62.4</v>
      </c>
      <c r="V678" s="2">
        <v>58</v>
      </c>
      <c r="W678" s="2" t="s">
        <v>4336</v>
      </c>
      <c r="X678" s="2" t="s">
        <v>5405</v>
      </c>
      <c r="Y678" s="2">
        <v>10416</v>
      </c>
      <c r="Z678" s="19" t="str">
        <f>HYPERLINK("https://ssdweb.co/ssdweb/hd/Vision360.html?d=925960943&amp;zoomslide=1&amp;z=1925960943&amp;ISCONFIRM=0","VIDEO")</f>
        <v>VIDEO</v>
      </c>
      <c r="AA678" s="19" t="str">
        <f>HYPERLINK("https://ssdweb.co/ssdweb/CERTH/628463045.pdf","CERTI")</f>
        <v>CERTI</v>
      </c>
    </row>
    <row r="679" spans="1:27" ht="15" x14ac:dyDescent="0.25">
      <c r="A679" s="2">
        <v>674</v>
      </c>
      <c r="B679" s="39">
        <v>925862017</v>
      </c>
      <c r="C679" s="28" t="str">
        <f>HYPERLINK("https://pld.live/RapDetail.aspx?STONELIST=925862017","DNA")</f>
        <v>DNA</v>
      </c>
      <c r="D679" s="18" t="s">
        <v>3054</v>
      </c>
      <c r="E679" s="18" t="s">
        <v>5128</v>
      </c>
      <c r="F679" s="2" t="s">
        <v>7987</v>
      </c>
      <c r="G679" s="2" t="s">
        <v>861</v>
      </c>
      <c r="H679" s="14">
        <v>1.1100000000000001</v>
      </c>
      <c r="I679" s="2" t="s">
        <v>267</v>
      </c>
      <c r="J679" s="2" t="s">
        <v>3942</v>
      </c>
      <c r="K679" s="2" t="s">
        <v>3390</v>
      </c>
      <c r="L679" s="2" t="s">
        <v>5221</v>
      </c>
      <c r="M679" s="2" t="s">
        <v>5221</v>
      </c>
      <c r="N679" s="2" t="s">
        <v>2317</v>
      </c>
      <c r="O679" s="14">
        <v>10200</v>
      </c>
      <c r="P679" s="14">
        <v>98.8</v>
      </c>
      <c r="Q679" s="14">
        <v>122.4</v>
      </c>
      <c r="R679" s="14">
        <v>135.86000000000001</v>
      </c>
      <c r="S679" s="2" t="s">
        <v>5080</v>
      </c>
      <c r="T679" s="2">
        <v>1</v>
      </c>
      <c r="U679" s="2">
        <v>61.3</v>
      </c>
      <c r="V679" s="2">
        <v>59</v>
      </c>
      <c r="W679" s="2" t="s">
        <v>7862</v>
      </c>
      <c r="X679" s="2" t="s">
        <v>5405</v>
      </c>
      <c r="Y679" s="2">
        <v>11322</v>
      </c>
      <c r="Z679" s="19" t="str">
        <f>HYPERLINK("https://ssdweb.co/ssdweb/hd/Vision360.html?d=925862017&amp;zoomslide=1&amp;z=1925862017&amp;ISCONFIRM=0","VIDEO")</f>
        <v>VIDEO</v>
      </c>
      <c r="AA679" s="19" t="str">
        <f>HYPERLINK("https://ssdweb.co/ssdweb/CERTH/628463117.pdf","CERTI")</f>
        <v>CERTI</v>
      </c>
    </row>
    <row r="680" spans="1:27" ht="15" x14ac:dyDescent="0.25">
      <c r="A680" s="2">
        <v>675</v>
      </c>
      <c r="B680" s="39">
        <v>925950991</v>
      </c>
      <c r="C680" s="28" t="str">
        <f>HYPERLINK("https://pld.live/RapDetail.aspx?STONELIST=925950991","DNA")</f>
        <v>DNA</v>
      </c>
      <c r="D680" s="18" t="s">
        <v>3054</v>
      </c>
      <c r="E680" s="18" t="s">
        <v>5128</v>
      </c>
      <c r="F680" s="2" t="s">
        <v>7987</v>
      </c>
      <c r="G680" s="2" t="s">
        <v>861</v>
      </c>
      <c r="H680" s="14">
        <v>1.1100000000000001</v>
      </c>
      <c r="I680" s="2" t="s">
        <v>267</v>
      </c>
      <c r="J680" s="2" t="s">
        <v>3942</v>
      </c>
      <c r="K680" s="2" t="s">
        <v>3390</v>
      </c>
      <c r="L680" s="2" t="s">
        <v>5221</v>
      </c>
      <c r="M680" s="2" t="s">
        <v>5221</v>
      </c>
      <c r="N680" s="2" t="s">
        <v>2317</v>
      </c>
      <c r="O680" s="14">
        <v>10200</v>
      </c>
      <c r="P680" s="14">
        <v>98.8</v>
      </c>
      <c r="Q680" s="14">
        <v>122.4</v>
      </c>
      <c r="R680" s="14">
        <v>135.86000000000001</v>
      </c>
      <c r="S680" s="2" t="s">
        <v>7669</v>
      </c>
      <c r="T680" s="2">
        <v>1.01</v>
      </c>
      <c r="U680" s="2">
        <v>60.7</v>
      </c>
      <c r="V680" s="2">
        <v>59</v>
      </c>
      <c r="W680" s="2" t="s">
        <v>7862</v>
      </c>
      <c r="X680" s="2" t="s">
        <v>5405</v>
      </c>
      <c r="Y680" s="2">
        <v>11322</v>
      </c>
      <c r="Z680" s="19" t="str">
        <f>HYPERLINK("https://ssdweb.co/ssdweb/hd/Vision360.html?d=925950991&amp;zoomslide=1&amp;z=1925950991&amp;ISCONFIRM=0","VIDEO")</f>
        <v>VIDEO</v>
      </c>
      <c r="AA680" s="19" t="str">
        <f>HYPERLINK("https://ssdweb.co/ssdweb/CERTH/628463318.pdf","CERTI")</f>
        <v>CERTI</v>
      </c>
    </row>
    <row r="681" spans="1:27" ht="15" x14ac:dyDescent="0.25">
      <c r="A681" s="2">
        <v>676</v>
      </c>
      <c r="B681" s="39">
        <v>831010797</v>
      </c>
      <c r="C681" s="28" t="str">
        <f>HYPERLINK("https://pld.live/RapDetail.aspx?STONELIST=831010797","DNA")</f>
        <v>DNA</v>
      </c>
      <c r="D681" s="18" t="s">
        <v>3054</v>
      </c>
      <c r="E681" s="18" t="s">
        <v>5128</v>
      </c>
      <c r="F681" s="2" t="s">
        <v>7987</v>
      </c>
      <c r="G681" s="2" t="s">
        <v>861</v>
      </c>
      <c r="H681" s="14">
        <v>1.1100000000000001</v>
      </c>
      <c r="I681" s="2" t="s">
        <v>267</v>
      </c>
      <c r="J681" s="2" t="s">
        <v>3942</v>
      </c>
      <c r="K681" s="2" t="s">
        <v>3390</v>
      </c>
      <c r="L681" s="2" t="s">
        <v>5221</v>
      </c>
      <c r="M681" s="2" t="s">
        <v>5221</v>
      </c>
      <c r="N681" s="2" t="s">
        <v>2317</v>
      </c>
      <c r="O681" s="14">
        <v>10200</v>
      </c>
      <c r="P681" s="14">
        <v>98.8</v>
      </c>
      <c r="Q681" s="14">
        <v>122.4</v>
      </c>
      <c r="R681" s="14">
        <v>135.86000000000001</v>
      </c>
      <c r="S681" s="2" t="s">
        <v>3282</v>
      </c>
      <c r="T681" s="2">
        <v>1.01</v>
      </c>
      <c r="U681" s="2">
        <v>62</v>
      </c>
      <c r="V681" s="2">
        <v>57</v>
      </c>
      <c r="W681" s="2" t="s">
        <v>7862</v>
      </c>
      <c r="X681" s="2" t="s">
        <v>5405</v>
      </c>
      <c r="Y681" s="2">
        <v>11322</v>
      </c>
      <c r="Z681" s="19" t="str">
        <f>HYPERLINK("https://ssdweb.co/ssdweb/hd/Vision360.html?d=831010797&amp;zoomslide=1&amp;z=1831010797&amp;ISCONFIRM=0","VIDEO")</f>
        <v>VIDEO</v>
      </c>
      <c r="AA681" s="19" t="str">
        <f>HYPERLINK("https://ssdweb.co/ssdweb/CERTH/589396691.pdf","CERTI")</f>
        <v>CERTI</v>
      </c>
    </row>
    <row r="682" spans="1:27" ht="15" x14ac:dyDescent="0.25">
      <c r="A682" s="2">
        <v>677</v>
      </c>
      <c r="B682" s="39">
        <v>925550602</v>
      </c>
      <c r="C682" s="28" t="str">
        <f>HYPERLINK("https://pld.live/RapDetail.aspx?STONELIST=925550602","DNA")</f>
        <v>DNA</v>
      </c>
      <c r="D682" s="18" t="s">
        <v>3054</v>
      </c>
      <c r="E682" s="18" t="s">
        <v>5128</v>
      </c>
      <c r="F682" s="2" t="s">
        <v>7987</v>
      </c>
      <c r="G682" s="2" t="s">
        <v>861</v>
      </c>
      <c r="H682" s="14">
        <v>1.1100000000000001</v>
      </c>
      <c r="I682" s="2" t="s">
        <v>267</v>
      </c>
      <c r="J682" s="2" t="s">
        <v>3942</v>
      </c>
      <c r="K682" s="2" t="s">
        <v>3390</v>
      </c>
      <c r="L682" s="2" t="s">
        <v>5221</v>
      </c>
      <c r="M682" s="2" t="s">
        <v>5221</v>
      </c>
      <c r="N682" s="2" t="s">
        <v>2317</v>
      </c>
      <c r="O682" s="14">
        <v>10200</v>
      </c>
      <c r="P682" s="14">
        <v>98.8</v>
      </c>
      <c r="Q682" s="14">
        <v>122.4</v>
      </c>
      <c r="R682" s="14">
        <v>135.86000000000001</v>
      </c>
      <c r="S682" s="2" t="s">
        <v>3835</v>
      </c>
      <c r="T682" s="2">
        <v>1.01</v>
      </c>
      <c r="U682" s="2">
        <v>61</v>
      </c>
      <c r="V682" s="2">
        <v>59</v>
      </c>
      <c r="W682" s="2" t="s">
        <v>7862</v>
      </c>
      <c r="X682" s="2" t="s">
        <v>5405</v>
      </c>
      <c r="Y682" s="2">
        <v>11322</v>
      </c>
      <c r="Z682" s="19" t="str">
        <f>HYPERLINK("https://ssdweb.co/ssdweb/hd/Vision360.html?d=925550602&amp;zoomslide=1&amp;z=1925550602&amp;ISCONFIRM=0","VIDEO")</f>
        <v>VIDEO</v>
      </c>
      <c r="AA682" s="19" t="str">
        <f>HYPERLINK("https://ssdweb.co/ssdweb/CERTH/618480857.pdf","CERTI")</f>
        <v>CERTI</v>
      </c>
    </row>
    <row r="683" spans="1:27" ht="15" x14ac:dyDescent="0.25">
      <c r="A683" s="2">
        <v>678</v>
      </c>
      <c r="B683" s="39">
        <v>926101378</v>
      </c>
      <c r="C683" s="28" t="str">
        <f>HYPERLINK("https://pld.live/RapDetail.aspx?STONELIST=926101378","DNA")</f>
        <v>DNA</v>
      </c>
      <c r="D683" s="18" t="s">
        <v>3054</v>
      </c>
      <c r="E683" s="18" t="s">
        <v>5128</v>
      </c>
      <c r="F683" s="2" t="s">
        <v>7987</v>
      </c>
      <c r="G683" s="2" t="s">
        <v>861</v>
      </c>
      <c r="H683" s="14">
        <v>1.1100000000000001</v>
      </c>
      <c r="I683" s="2" t="s">
        <v>267</v>
      </c>
      <c r="J683" s="2" t="s">
        <v>3942</v>
      </c>
      <c r="K683" s="2" t="s">
        <v>3390</v>
      </c>
      <c r="L683" s="2" t="s">
        <v>5221</v>
      </c>
      <c r="M683" s="2" t="s">
        <v>5221</v>
      </c>
      <c r="N683" s="2" t="s">
        <v>2317</v>
      </c>
      <c r="O683" s="14">
        <v>10200</v>
      </c>
      <c r="P683" s="14">
        <v>98.78</v>
      </c>
      <c r="Q683" s="14">
        <v>124.44</v>
      </c>
      <c r="R683" s="14">
        <v>138.13</v>
      </c>
      <c r="S683" s="2" t="s">
        <v>3445</v>
      </c>
      <c r="T683" s="2">
        <v>1</v>
      </c>
      <c r="U683" s="2">
        <v>60</v>
      </c>
      <c r="V683" s="2">
        <v>60</v>
      </c>
      <c r="W683" s="2" t="s">
        <v>7862</v>
      </c>
      <c r="X683" s="2" t="s">
        <v>5405</v>
      </c>
      <c r="Y683" s="2">
        <v>11322</v>
      </c>
      <c r="Z683" s="19" t="str">
        <f>HYPERLINK("https://ssdweb.co/ssdweb/hd/Vision360.html?d=926101378&amp;zoomslide=1&amp;z=1926101378&amp;ISCONFIRM=0","VIDEO")</f>
        <v>VIDEO</v>
      </c>
      <c r="AA683" s="19" t="str">
        <f>HYPERLINK("https://ssdweb.co/ssdweb/CERTH/632403891.pdf","CERTI")</f>
        <v>CERTI</v>
      </c>
    </row>
    <row r="684" spans="1:27" ht="15" x14ac:dyDescent="0.25">
      <c r="A684" s="2">
        <v>679</v>
      </c>
      <c r="B684" s="39">
        <v>926101258</v>
      </c>
      <c r="C684" s="28" t="str">
        <f>HYPERLINK("https://pld.live/RapDetail.aspx?STONELIST=926101258","DNA")</f>
        <v>DNA</v>
      </c>
      <c r="D684" s="18" t="s">
        <v>3054</v>
      </c>
      <c r="E684" s="18" t="s">
        <v>5128</v>
      </c>
      <c r="F684" s="2" t="s">
        <v>7987</v>
      </c>
      <c r="G684" s="2" t="s">
        <v>861</v>
      </c>
      <c r="H684" s="14">
        <v>1.1100000000000001</v>
      </c>
      <c r="I684" s="2" t="s">
        <v>267</v>
      </c>
      <c r="J684" s="2" t="s">
        <v>3942</v>
      </c>
      <c r="K684" s="2" t="s">
        <v>3390</v>
      </c>
      <c r="L684" s="2" t="s">
        <v>5221</v>
      </c>
      <c r="M684" s="2" t="s">
        <v>5221</v>
      </c>
      <c r="N684" s="2" t="s">
        <v>2317</v>
      </c>
      <c r="O684" s="14">
        <v>10200</v>
      </c>
      <c r="P684" s="14">
        <v>98.78</v>
      </c>
      <c r="Q684" s="14">
        <v>124.44</v>
      </c>
      <c r="R684" s="14">
        <v>138.13</v>
      </c>
      <c r="S684" s="2" t="s">
        <v>8026</v>
      </c>
      <c r="T684" s="2">
        <v>1</v>
      </c>
      <c r="U684" s="2">
        <v>61.5</v>
      </c>
      <c r="V684" s="2">
        <v>58</v>
      </c>
      <c r="W684" s="2" t="s">
        <v>7862</v>
      </c>
      <c r="X684" s="2" t="s">
        <v>5405</v>
      </c>
      <c r="Y684" s="2">
        <v>11322</v>
      </c>
      <c r="Z684" s="19" t="str">
        <f>HYPERLINK("https://ssdweb.co/ssdweb/hd/Vision360.html?d=926101258&amp;zoomslide=1&amp;z=1926101258&amp;ISCONFIRM=0","VIDEO")</f>
        <v>VIDEO</v>
      </c>
      <c r="AA684" s="19" t="str">
        <f>HYPERLINK("https://ssdweb.co/ssdweb/CERTH/632421565.pdf","CERTI")</f>
        <v>CERTI</v>
      </c>
    </row>
    <row r="685" spans="1:27" ht="15" x14ac:dyDescent="0.25">
      <c r="A685" s="2">
        <v>680</v>
      </c>
      <c r="B685" s="39">
        <v>926101176</v>
      </c>
      <c r="C685" s="28" t="str">
        <f>HYPERLINK("https://pld.live/RapDetail.aspx?STONELIST=926101176","DNA")</f>
        <v>DNA</v>
      </c>
      <c r="D685" s="18" t="s">
        <v>3054</v>
      </c>
      <c r="E685" s="18" t="s">
        <v>5128</v>
      </c>
      <c r="F685" s="2" t="s">
        <v>7987</v>
      </c>
      <c r="G685" s="2" t="s">
        <v>861</v>
      </c>
      <c r="H685" s="14">
        <v>1.1100000000000001</v>
      </c>
      <c r="I685" s="2" t="s">
        <v>267</v>
      </c>
      <c r="J685" s="2" t="s">
        <v>3942</v>
      </c>
      <c r="K685" s="2" t="s">
        <v>3390</v>
      </c>
      <c r="L685" s="2" t="s">
        <v>5221</v>
      </c>
      <c r="M685" s="2" t="s">
        <v>5221</v>
      </c>
      <c r="N685" s="2" t="s">
        <v>2317</v>
      </c>
      <c r="O685" s="14">
        <v>10200</v>
      </c>
      <c r="P685" s="14">
        <v>98.78</v>
      </c>
      <c r="Q685" s="14">
        <v>124.44</v>
      </c>
      <c r="R685" s="14">
        <v>138.13</v>
      </c>
      <c r="S685" s="2" t="s">
        <v>2125</v>
      </c>
      <c r="T685" s="2">
        <v>1</v>
      </c>
      <c r="U685" s="2">
        <v>61.5</v>
      </c>
      <c r="V685" s="2">
        <v>59</v>
      </c>
      <c r="W685" s="2" t="s">
        <v>7862</v>
      </c>
      <c r="X685" s="2" t="s">
        <v>5405</v>
      </c>
      <c r="Y685" s="2">
        <v>11322</v>
      </c>
      <c r="Z685" s="19" t="str">
        <f>HYPERLINK("https://ssdweb.co/ssdweb/hd/Vision360.html?d=926101176&amp;zoomslide=1&amp;z=1926101176&amp;ISCONFIRM=0","VIDEO")</f>
        <v>VIDEO</v>
      </c>
      <c r="AA685" s="19" t="str">
        <f>HYPERLINK("https://ssdweb.co/ssdweb/CERTH/632488398.pdf","CERTI")</f>
        <v>CERTI</v>
      </c>
    </row>
    <row r="686" spans="1:27" ht="15" x14ac:dyDescent="0.25">
      <c r="A686" s="2">
        <v>681</v>
      </c>
      <c r="B686" s="39">
        <v>926071829</v>
      </c>
      <c r="C686" s="28" t="str">
        <f>HYPERLINK("https://pld.live/RapDetail.aspx?STONELIST=926071829","DNA")</f>
        <v>DNA</v>
      </c>
      <c r="D686" s="18" t="s">
        <v>3054</v>
      </c>
      <c r="E686" s="18" t="s">
        <v>5128</v>
      </c>
      <c r="F686" s="2" t="s">
        <v>7987</v>
      </c>
      <c r="G686" s="2" t="s">
        <v>861</v>
      </c>
      <c r="H686" s="14">
        <v>1.1100000000000001</v>
      </c>
      <c r="I686" s="2" t="s">
        <v>267</v>
      </c>
      <c r="J686" s="2" t="s">
        <v>3942</v>
      </c>
      <c r="K686" s="2" t="s">
        <v>3390</v>
      </c>
      <c r="L686" s="2" t="s">
        <v>5221</v>
      </c>
      <c r="M686" s="2" t="s">
        <v>5221</v>
      </c>
      <c r="N686" s="2" t="s">
        <v>2317</v>
      </c>
      <c r="O686" s="14">
        <v>10200</v>
      </c>
      <c r="P686" s="14">
        <v>98.78</v>
      </c>
      <c r="Q686" s="14">
        <v>124.44</v>
      </c>
      <c r="R686" s="14">
        <v>138.13</v>
      </c>
      <c r="S686" s="2" t="s">
        <v>4500</v>
      </c>
      <c r="T686" s="2">
        <v>1</v>
      </c>
      <c r="U686" s="2">
        <v>60.8</v>
      </c>
      <c r="V686" s="2">
        <v>60</v>
      </c>
      <c r="W686" s="2" t="s">
        <v>7862</v>
      </c>
      <c r="X686" s="2" t="s">
        <v>5405</v>
      </c>
      <c r="Y686" s="2">
        <v>11322</v>
      </c>
      <c r="Z686" s="19" t="str">
        <f>HYPERLINK("https://ssdweb.co/ssdweb/hd/Vision360.html?d=926071829&amp;zoomslide=1&amp;z=1926071829&amp;ISCONFIRM=0","VIDEO")</f>
        <v>VIDEO</v>
      </c>
      <c r="AA686" s="19" t="str">
        <f>HYPERLINK("https://ssdweb.co/ssdweb/CERTH/631464087.pdf","CERTI")</f>
        <v>CERTI</v>
      </c>
    </row>
    <row r="687" spans="1:27" ht="15" x14ac:dyDescent="0.25">
      <c r="A687" s="2">
        <v>682</v>
      </c>
      <c r="B687" s="39">
        <v>926101533</v>
      </c>
      <c r="C687" s="28" t="str">
        <f>HYPERLINK("https://pld.live/RapDetail.aspx?STONELIST=926101533","DNA")</f>
        <v>DNA</v>
      </c>
      <c r="D687" s="18" t="s">
        <v>3054</v>
      </c>
      <c r="E687" s="18" t="s">
        <v>5128</v>
      </c>
      <c r="F687" s="2" t="s">
        <v>7987</v>
      </c>
      <c r="G687" s="2" t="s">
        <v>861</v>
      </c>
      <c r="H687" s="14">
        <v>1.1100000000000001</v>
      </c>
      <c r="I687" s="2" t="s">
        <v>267</v>
      </c>
      <c r="J687" s="2" t="s">
        <v>3942</v>
      </c>
      <c r="K687" s="2" t="s">
        <v>3390</v>
      </c>
      <c r="L687" s="2" t="s">
        <v>5221</v>
      </c>
      <c r="M687" s="2" t="s">
        <v>5221</v>
      </c>
      <c r="N687" s="2" t="s">
        <v>2317</v>
      </c>
      <c r="O687" s="14">
        <v>10200</v>
      </c>
      <c r="P687" s="14">
        <v>98.78</v>
      </c>
      <c r="Q687" s="14">
        <v>124.44</v>
      </c>
      <c r="R687" s="14">
        <v>138.13</v>
      </c>
      <c r="S687" s="2" t="s">
        <v>4418</v>
      </c>
      <c r="T687" s="2">
        <v>1.01</v>
      </c>
      <c r="U687" s="2">
        <v>61.2</v>
      </c>
      <c r="V687" s="2">
        <v>56</v>
      </c>
      <c r="W687" s="2" t="s">
        <v>7862</v>
      </c>
      <c r="X687" s="2" t="s">
        <v>5405</v>
      </c>
      <c r="Y687" s="2">
        <v>11322</v>
      </c>
      <c r="Z687" s="19" t="str">
        <f>HYPERLINK("https://ssdweb.co/ssdweb/hd/Vision360.html?d=926101533&amp;zoomslide=1&amp;z=1926101533&amp;ISCONFIRM=0","VIDEO")</f>
        <v>VIDEO</v>
      </c>
      <c r="AA687" s="19" t="str">
        <f>HYPERLINK("https://ssdweb.co/ssdweb/CERTH/632404748.pdf","CERTI")</f>
        <v>CERTI</v>
      </c>
    </row>
    <row r="688" spans="1:27" ht="15" x14ac:dyDescent="0.25">
      <c r="A688" s="2">
        <v>683</v>
      </c>
      <c r="B688" s="39">
        <v>926100964</v>
      </c>
      <c r="C688" s="28" t="str">
        <f>HYPERLINK("https://pld.live/RapDetail.aspx?STONELIST=926100964","DNA")</f>
        <v>DNA</v>
      </c>
      <c r="D688" s="18" t="s">
        <v>3054</v>
      </c>
      <c r="E688" s="18" t="s">
        <v>5128</v>
      </c>
      <c r="F688" s="2" t="s">
        <v>7987</v>
      </c>
      <c r="G688" s="2" t="s">
        <v>861</v>
      </c>
      <c r="H688" s="14">
        <v>1.1100000000000001</v>
      </c>
      <c r="I688" s="2" t="s">
        <v>267</v>
      </c>
      <c r="J688" s="2" t="s">
        <v>3942</v>
      </c>
      <c r="K688" s="2" t="s">
        <v>3390</v>
      </c>
      <c r="L688" s="2" t="s">
        <v>5221</v>
      </c>
      <c r="M688" s="2" t="s">
        <v>5221</v>
      </c>
      <c r="N688" s="2" t="s">
        <v>2317</v>
      </c>
      <c r="O688" s="14">
        <v>10200</v>
      </c>
      <c r="P688" s="14">
        <v>98.78</v>
      </c>
      <c r="Q688" s="14">
        <v>124.44</v>
      </c>
      <c r="R688" s="14">
        <v>138.13</v>
      </c>
      <c r="S688" s="2" t="s">
        <v>6665</v>
      </c>
      <c r="T688" s="2">
        <v>1</v>
      </c>
      <c r="U688" s="2">
        <v>61.8</v>
      </c>
      <c r="V688" s="2">
        <v>59</v>
      </c>
      <c r="W688" s="2" t="s">
        <v>7862</v>
      </c>
      <c r="X688" s="2" t="s">
        <v>5405</v>
      </c>
      <c r="Y688" s="2">
        <v>11322</v>
      </c>
      <c r="Z688" s="19" t="str">
        <f>HYPERLINK("https://ssdweb.co/ssdweb/hd/Vision360.html?d=926100964&amp;zoomslide=1&amp;z=1926100964&amp;ISCONFIRM=0","VIDEO")</f>
        <v>VIDEO</v>
      </c>
      <c r="AA688" s="19" t="str">
        <f>HYPERLINK("https://ssdweb.co/ssdweb/CERTH/632488265.pdf","CERTI")</f>
        <v>CERTI</v>
      </c>
    </row>
    <row r="689" spans="1:27" ht="15" x14ac:dyDescent="0.25">
      <c r="A689" s="2">
        <v>684</v>
      </c>
      <c r="B689" s="39">
        <v>926100961</v>
      </c>
      <c r="C689" s="28" t="str">
        <f>HYPERLINK("https://pld.live/RapDetail.aspx?STONELIST=926100961","DNA")</f>
        <v>DNA</v>
      </c>
      <c r="D689" s="18" t="s">
        <v>3054</v>
      </c>
      <c r="E689" s="18" t="s">
        <v>5128</v>
      </c>
      <c r="F689" s="2" t="s">
        <v>7987</v>
      </c>
      <c r="G689" s="2" t="s">
        <v>861</v>
      </c>
      <c r="H689" s="14">
        <v>1.1100000000000001</v>
      </c>
      <c r="I689" s="2" t="s">
        <v>267</v>
      </c>
      <c r="J689" s="2" t="s">
        <v>3942</v>
      </c>
      <c r="K689" s="2" t="s">
        <v>3390</v>
      </c>
      <c r="L689" s="2" t="s">
        <v>5221</v>
      </c>
      <c r="M689" s="2" t="s">
        <v>5221</v>
      </c>
      <c r="N689" s="2" t="s">
        <v>2317</v>
      </c>
      <c r="O689" s="14">
        <v>10200</v>
      </c>
      <c r="P689" s="14">
        <v>98.78</v>
      </c>
      <c r="Q689" s="14">
        <v>124.44</v>
      </c>
      <c r="R689" s="14">
        <v>138.13</v>
      </c>
      <c r="S689" s="2" t="s">
        <v>3311</v>
      </c>
      <c r="T689" s="2">
        <v>1.01</v>
      </c>
      <c r="U689" s="2">
        <v>61.7</v>
      </c>
      <c r="V689" s="2">
        <v>58</v>
      </c>
      <c r="W689" s="2" t="s">
        <v>7862</v>
      </c>
      <c r="X689" s="2" t="s">
        <v>5405</v>
      </c>
      <c r="Y689" s="2">
        <v>11322</v>
      </c>
      <c r="Z689" s="19" t="str">
        <f>HYPERLINK("https://ssdweb.co/ssdweb/hd/Vision360.html?d=926100961&amp;zoomslide=1&amp;z=1926100961&amp;ISCONFIRM=0","VIDEO")</f>
        <v>VIDEO</v>
      </c>
      <c r="AA689" s="19" t="str">
        <f>HYPERLINK("https://ssdweb.co/ssdweb/CERTH/632488263.pdf","CERTI")</f>
        <v>CERTI</v>
      </c>
    </row>
    <row r="690" spans="1:27" ht="15" x14ac:dyDescent="0.25">
      <c r="A690" s="2">
        <v>685</v>
      </c>
      <c r="B690" s="39">
        <v>926071748</v>
      </c>
      <c r="C690" s="28" t="str">
        <f>HYPERLINK("https://pld.live/RapDetail.aspx?STONELIST=926071748","DNA")</f>
        <v>DNA</v>
      </c>
      <c r="D690" s="18" t="s">
        <v>3054</v>
      </c>
      <c r="E690" s="18" t="s">
        <v>5128</v>
      </c>
      <c r="F690" s="2" t="s">
        <v>7987</v>
      </c>
      <c r="G690" s="2" t="s">
        <v>861</v>
      </c>
      <c r="H690" s="14">
        <v>1.1100000000000001</v>
      </c>
      <c r="I690" s="2" t="s">
        <v>267</v>
      </c>
      <c r="J690" s="2" t="s">
        <v>13</v>
      </c>
      <c r="K690" s="2" t="s">
        <v>3390</v>
      </c>
      <c r="L690" s="2" t="s">
        <v>5221</v>
      </c>
      <c r="M690" s="2" t="s">
        <v>5221</v>
      </c>
      <c r="N690" s="2" t="s">
        <v>2317</v>
      </c>
      <c r="O690" s="14">
        <v>8700</v>
      </c>
      <c r="P690" s="14">
        <v>98.64</v>
      </c>
      <c r="Q690" s="14">
        <v>118.32</v>
      </c>
      <c r="R690" s="14">
        <v>131.34</v>
      </c>
      <c r="S690" s="2" t="s">
        <v>4249</v>
      </c>
      <c r="T690" s="2">
        <v>1.01</v>
      </c>
      <c r="U690" s="2">
        <v>60.2</v>
      </c>
      <c r="V690" s="2">
        <v>58</v>
      </c>
      <c r="W690" s="2" t="s">
        <v>7862</v>
      </c>
      <c r="X690" s="2" t="s">
        <v>5405</v>
      </c>
      <c r="Y690" s="2">
        <v>9657</v>
      </c>
      <c r="Z690" s="19" t="str">
        <f>HYPERLINK("https://ssdweb.co/ssdweb/hd/Vision360.html?d=926071748&amp;zoomslide=1&amp;z=1926071748&amp;ISCONFIRM=0","VIDEO")</f>
        <v>VIDEO</v>
      </c>
      <c r="AA690" s="19" t="str">
        <f>HYPERLINK("https://ssdweb.co/ssdweb/CERTH/631464313.pdf","CERTI")</f>
        <v>CERTI</v>
      </c>
    </row>
    <row r="691" spans="1:27" ht="15" x14ac:dyDescent="0.25">
      <c r="A691" s="2">
        <v>686</v>
      </c>
      <c r="B691" s="39">
        <v>926101270</v>
      </c>
      <c r="C691" s="28" t="str">
        <f>HYPERLINK("https://pld.live/RapDetail.aspx?STONELIST=926101270","DNA")</f>
        <v>DNA</v>
      </c>
      <c r="D691" s="18" t="s">
        <v>3054</v>
      </c>
      <c r="E691" s="18" t="s">
        <v>5128</v>
      </c>
      <c r="F691" s="2" t="s">
        <v>7987</v>
      </c>
      <c r="G691" s="2" t="s">
        <v>861</v>
      </c>
      <c r="H691" s="14">
        <v>1.1100000000000001</v>
      </c>
      <c r="I691" s="2" t="s">
        <v>267</v>
      </c>
      <c r="J691" s="2" t="s">
        <v>13</v>
      </c>
      <c r="K691" s="2" t="s">
        <v>3390</v>
      </c>
      <c r="L691" s="2" t="s">
        <v>5221</v>
      </c>
      <c r="M691" s="2" t="s">
        <v>5221</v>
      </c>
      <c r="N691" s="2" t="s">
        <v>2317</v>
      </c>
      <c r="O691" s="14">
        <v>8700</v>
      </c>
      <c r="P691" s="14">
        <v>98.64</v>
      </c>
      <c r="Q691" s="14">
        <v>118.32</v>
      </c>
      <c r="R691" s="14">
        <v>131.34</v>
      </c>
      <c r="S691" s="2" t="s">
        <v>5606</v>
      </c>
      <c r="T691" s="2">
        <v>1.01</v>
      </c>
      <c r="U691" s="2">
        <v>62.3</v>
      </c>
      <c r="V691" s="2">
        <v>56</v>
      </c>
      <c r="W691" s="2" t="s">
        <v>7862</v>
      </c>
      <c r="X691" s="2" t="s">
        <v>5405</v>
      </c>
      <c r="Y691" s="2">
        <v>9657</v>
      </c>
      <c r="Z691" s="19" t="str">
        <f>HYPERLINK("https://ssdweb.co/ssdweb/hd/Vision360.html?d=926101270&amp;zoomslide=1&amp;z=1926101270&amp;ISCONFIRM=0","VIDEO")</f>
        <v>VIDEO</v>
      </c>
      <c r="AA691" s="19" t="str">
        <f>HYPERLINK("https://ssdweb.co/ssdweb/CERTH/632404746.pdf","CERTI")</f>
        <v>CERTI</v>
      </c>
    </row>
    <row r="692" spans="1:27" ht="15" x14ac:dyDescent="0.25">
      <c r="A692" s="2">
        <v>687</v>
      </c>
      <c r="B692" s="39">
        <v>926071802</v>
      </c>
      <c r="C692" s="28" t="str">
        <f>HYPERLINK("https://pld.live/RapDetail.aspx?STONELIST=926071802","DNA")</f>
        <v>DNA</v>
      </c>
      <c r="D692" s="18" t="s">
        <v>3054</v>
      </c>
      <c r="E692" s="18" t="s">
        <v>5128</v>
      </c>
      <c r="F692" s="2" t="s">
        <v>7987</v>
      </c>
      <c r="G692" s="2" t="s">
        <v>861</v>
      </c>
      <c r="H692" s="14">
        <v>1.1100000000000001</v>
      </c>
      <c r="I692" s="2" t="s">
        <v>267</v>
      </c>
      <c r="J692" s="2" t="s">
        <v>13</v>
      </c>
      <c r="K692" s="2" t="s">
        <v>5221</v>
      </c>
      <c r="L692" s="2" t="s">
        <v>5221</v>
      </c>
      <c r="M692" s="2" t="s">
        <v>5221</v>
      </c>
      <c r="N692" s="2" t="s">
        <v>2317</v>
      </c>
      <c r="O692" s="14">
        <v>8700</v>
      </c>
      <c r="P692" s="14">
        <v>98.64</v>
      </c>
      <c r="Q692" s="14">
        <v>118.32</v>
      </c>
      <c r="R692" s="14">
        <v>131.34</v>
      </c>
      <c r="S692" s="2" t="s">
        <v>5904</v>
      </c>
      <c r="T692" s="2">
        <v>1.01</v>
      </c>
      <c r="U692" s="2">
        <v>62.3</v>
      </c>
      <c r="V692" s="2">
        <v>59</v>
      </c>
      <c r="W692" s="2" t="s">
        <v>7862</v>
      </c>
      <c r="X692" s="2" t="s">
        <v>5405</v>
      </c>
      <c r="Y692" s="2">
        <v>9657</v>
      </c>
      <c r="Z692" s="19" t="str">
        <f>HYPERLINK("https://ssdweb.co/ssdweb/hd/Vision360.html?d=926071802&amp;zoomslide=1&amp;z=1926071802&amp;ISCONFIRM=0","VIDEO")</f>
        <v>VIDEO</v>
      </c>
      <c r="AA692" s="19" t="str">
        <f>HYPERLINK("https://ssdweb.co/ssdweb/CERTH/631464278.pdf","CERTI")</f>
        <v>CERTI</v>
      </c>
    </row>
    <row r="693" spans="1:27" ht="15" x14ac:dyDescent="0.25">
      <c r="A693" s="2">
        <v>688</v>
      </c>
      <c r="B693" s="39">
        <v>926071919</v>
      </c>
      <c r="C693" s="28" t="str">
        <f>HYPERLINK("https://pld.live/RapDetail.aspx?STONELIST=926071919","DNA")</f>
        <v>DNA</v>
      </c>
      <c r="D693" s="18" t="s">
        <v>3054</v>
      </c>
      <c r="E693" s="18" t="s">
        <v>5128</v>
      </c>
      <c r="F693" s="2" t="s">
        <v>7987</v>
      </c>
      <c r="G693" s="2" t="s">
        <v>861</v>
      </c>
      <c r="H693" s="14">
        <v>1.1100000000000001</v>
      </c>
      <c r="I693" s="2" t="s">
        <v>267</v>
      </c>
      <c r="J693" s="2" t="s">
        <v>5144</v>
      </c>
      <c r="K693" s="2" t="s">
        <v>5221</v>
      </c>
      <c r="L693" s="2" t="s">
        <v>5221</v>
      </c>
      <c r="M693" s="2" t="s">
        <v>5221</v>
      </c>
      <c r="N693" s="2" t="s">
        <v>2317</v>
      </c>
      <c r="O693" s="14">
        <v>7300</v>
      </c>
      <c r="P693" s="14">
        <v>98.41</v>
      </c>
      <c r="Q693" s="14">
        <v>116.07</v>
      </c>
      <c r="R693" s="14">
        <v>128.84</v>
      </c>
      <c r="S693" s="2" t="s">
        <v>3486</v>
      </c>
      <c r="T693" s="2">
        <v>1</v>
      </c>
      <c r="U693" s="2">
        <v>62.6</v>
      </c>
      <c r="V693" s="2">
        <v>56</v>
      </c>
      <c r="W693" s="2" t="s">
        <v>7862</v>
      </c>
      <c r="X693" s="2" t="s">
        <v>5405</v>
      </c>
      <c r="Y693" s="2">
        <v>8103</v>
      </c>
      <c r="Z693" s="19" t="str">
        <f>HYPERLINK("https://ssdweb.co/ssdweb/hd/Vision360.html?d=926071919&amp;zoomslide=1&amp;z=1926071919&amp;ISCONFIRM=0","VIDEO")</f>
        <v>VIDEO</v>
      </c>
      <c r="AA693" s="19" t="str">
        <f>HYPERLINK("https://ssdweb.co/ssdweb/CERTH/632421413.pdf","CERTI")</f>
        <v>CERTI</v>
      </c>
    </row>
    <row r="694" spans="1:27" ht="15" x14ac:dyDescent="0.25">
      <c r="A694" s="2">
        <v>689</v>
      </c>
      <c r="B694" s="39">
        <v>925920784</v>
      </c>
      <c r="C694" s="28" t="str">
        <f>HYPERLINK("https://pld.live/RapDetail.aspx?STONELIST=925920784","DNA")</f>
        <v>DNA</v>
      </c>
      <c r="D694" s="18" t="s">
        <v>3054</v>
      </c>
      <c r="E694" s="18" t="s">
        <v>5128</v>
      </c>
      <c r="F694" s="2" t="s">
        <v>7987</v>
      </c>
      <c r="G694" s="2" t="s">
        <v>861</v>
      </c>
      <c r="H694" s="14">
        <v>1.1100000000000001</v>
      </c>
      <c r="I694" s="2" t="s">
        <v>4761</v>
      </c>
      <c r="J694" s="2" t="s">
        <v>3942</v>
      </c>
      <c r="K694" s="2" t="s">
        <v>3390</v>
      </c>
      <c r="L694" s="2" t="s">
        <v>5221</v>
      </c>
      <c r="M694" s="2" t="s">
        <v>5221</v>
      </c>
      <c r="N694" s="2" t="s">
        <v>2317</v>
      </c>
      <c r="O694" s="14">
        <v>9300</v>
      </c>
      <c r="P694" s="14">
        <v>98.72</v>
      </c>
      <c r="Q694" s="14">
        <v>119.04</v>
      </c>
      <c r="R694" s="14">
        <v>132.13</v>
      </c>
      <c r="S694" s="2" t="s">
        <v>3303</v>
      </c>
      <c r="T694" s="2">
        <v>1</v>
      </c>
      <c r="U694" s="2">
        <v>60.3</v>
      </c>
      <c r="V694" s="2">
        <v>59</v>
      </c>
      <c r="W694" s="2" t="s">
        <v>7862</v>
      </c>
      <c r="X694" s="2" t="s">
        <v>5405</v>
      </c>
      <c r="Y694" s="2">
        <v>10323</v>
      </c>
      <c r="Z694" s="19" t="str">
        <f>HYPERLINK("https://ssdweb.co/ssdweb/hd/Vision360.html?d=925920784&amp;zoomslide=1&amp;z=1925920784&amp;ISCONFIRM=0","VIDEO")</f>
        <v>VIDEO</v>
      </c>
      <c r="AA694" s="19" t="str">
        <f>HYPERLINK("https://ssdweb.co/ssdweb/CERTH/628463240.pdf","CERTI")</f>
        <v>CERTI</v>
      </c>
    </row>
    <row r="695" spans="1:27" ht="15" x14ac:dyDescent="0.25">
      <c r="A695" s="2">
        <v>690</v>
      </c>
      <c r="B695" s="39">
        <v>925430196</v>
      </c>
      <c r="C695" s="28" t="str">
        <f>HYPERLINK("https://pld.live/RapDetail.aspx?STONELIST=925430196","DNA")</f>
        <v>DNA</v>
      </c>
      <c r="D695" s="18" t="s">
        <v>3054</v>
      </c>
      <c r="E695" s="18" t="s">
        <v>2186</v>
      </c>
      <c r="F695" s="2" t="s">
        <v>7987</v>
      </c>
      <c r="G695" s="2" t="s">
        <v>861</v>
      </c>
      <c r="H695" s="14">
        <v>1.1100000000000001</v>
      </c>
      <c r="I695" s="2" t="s">
        <v>4761</v>
      </c>
      <c r="J695" s="2" t="s">
        <v>5144</v>
      </c>
      <c r="K695" s="2" t="s">
        <v>3390</v>
      </c>
      <c r="L695" s="2" t="s">
        <v>5221</v>
      </c>
      <c r="M695" s="2" t="s">
        <v>5221</v>
      </c>
      <c r="N695" s="2" t="s">
        <v>2317</v>
      </c>
      <c r="O695" s="14">
        <v>6600</v>
      </c>
      <c r="P695" s="14">
        <v>98.29</v>
      </c>
      <c r="Q695" s="14">
        <v>112.86</v>
      </c>
      <c r="R695" s="14">
        <v>125.27</v>
      </c>
      <c r="S695" s="2" t="s">
        <v>1300</v>
      </c>
      <c r="T695" s="2">
        <v>1</v>
      </c>
      <c r="U695" s="2">
        <v>61.5</v>
      </c>
      <c r="V695" s="2">
        <v>59</v>
      </c>
      <c r="W695" s="2" t="s">
        <v>7862</v>
      </c>
      <c r="X695" s="2" t="s">
        <v>5405</v>
      </c>
      <c r="Y695" s="2">
        <v>7326</v>
      </c>
      <c r="Z695" s="19" t="str">
        <f>HYPERLINK("https://ssdweb.co/ssdweb/hd/Vision360.html?d=925430196&amp;zoomslide=1&amp;z=1925430196&amp;ISCONFIRM=0","VIDEO")</f>
        <v>VIDEO</v>
      </c>
      <c r="AA695" s="19" t="str">
        <f>HYPERLINK("https://ssdweb.co/ssdweb/CERTH/624499647.pdf","CERTI")</f>
        <v>CERTI</v>
      </c>
    </row>
    <row r="696" spans="1:27" ht="15" x14ac:dyDescent="0.25">
      <c r="A696" s="2">
        <v>691</v>
      </c>
      <c r="B696" s="39">
        <v>925861980</v>
      </c>
      <c r="C696" s="28" t="str">
        <f>HYPERLINK("https://pld.live/RapDetail.aspx?STONELIST=925861980","DNA")</f>
        <v>DNA</v>
      </c>
      <c r="D696" s="18" t="s">
        <v>3054</v>
      </c>
      <c r="E696" s="18" t="s">
        <v>5128</v>
      </c>
      <c r="F696" s="2" t="s">
        <v>7987</v>
      </c>
      <c r="G696" s="2" t="s">
        <v>861</v>
      </c>
      <c r="H696" s="14">
        <v>1.1000000000000001</v>
      </c>
      <c r="I696" s="2" t="s">
        <v>267</v>
      </c>
      <c r="J696" s="2" t="s">
        <v>3942</v>
      </c>
      <c r="K696" s="2" t="s">
        <v>3390</v>
      </c>
      <c r="L696" s="2" t="s">
        <v>5221</v>
      </c>
      <c r="M696" s="2" t="s">
        <v>5221</v>
      </c>
      <c r="N696" s="2" t="s">
        <v>2317</v>
      </c>
      <c r="O696" s="14">
        <v>10200</v>
      </c>
      <c r="P696" s="14">
        <v>98.8</v>
      </c>
      <c r="Q696" s="14">
        <v>122.4</v>
      </c>
      <c r="R696" s="14">
        <v>134.63999999999999</v>
      </c>
      <c r="S696" s="2" t="s">
        <v>617</v>
      </c>
      <c r="T696" s="2">
        <v>1.01</v>
      </c>
      <c r="U696" s="2">
        <v>62.4</v>
      </c>
      <c r="V696" s="2">
        <v>57</v>
      </c>
      <c r="W696" s="2" t="s">
        <v>7862</v>
      </c>
      <c r="X696" s="2" t="s">
        <v>5405</v>
      </c>
      <c r="Y696" s="2">
        <v>11220</v>
      </c>
      <c r="Z696" s="19" t="str">
        <f>HYPERLINK("https://ssdweb.co/ssdweb/hd/Vision360.html?d=925861980&amp;zoomslide=1&amp;z=1925861980&amp;ISCONFIRM=0","VIDEO")</f>
        <v>VIDEO</v>
      </c>
      <c r="AA696" s="19" t="str">
        <f>HYPERLINK("https://ssdweb.co/ssdweb/CERTH/628463120.pdf","CERTI")</f>
        <v>CERTI</v>
      </c>
    </row>
    <row r="697" spans="1:27" ht="15" x14ac:dyDescent="0.25">
      <c r="A697" s="2">
        <v>692</v>
      </c>
      <c r="B697" s="39">
        <v>925801767</v>
      </c>
      <c r="C697" s="28" t="str">
        <f>HYPERLINK("https://pld.live/RapDetail.aspx?STONELIST=925801767","DNA")</f>
        <v>DNA</v>
      </c>
      <c r="D697" s="18" t="s">
        <v>3054</v>
      </c>
      <c r="E697" s="18" t="s">
        <v>5128</v>
      </c>
      <c r="F697" s="2" t="s">
        <v>7987</v>
      </c>
      <c r="G697" s="2" t="s">
        <v>861</v>
      </c>
      <c r="H697" s="14">
        <v>1.1000000000000001</v>
      </c>
      <c r="I697" s="2" t="s">
        <v>267</v>
      </c>
      <c r="J697" s="2" t="s">
        <v>3942</v>
      </c>
      <c r="K697" s="2" t="s">
        <v>3390</v>
      </c>
      <c r="L697" s="2" t="s">
        <v>5221</v>
      </c>
      <c r="M697" s="2" t="s">
        <v>5221</v>
      </c>
      <c r="N697" s="2" t="s">
        <v>2317</v>
      </c>
      <c r="O697" s="14">
        <v>10200</v>
      </c>
      <c r="P697" s="14">
        <v>98.8</v>
      </c>
      <c r="Q697" s="14">
        <v>122.4</v>
      </c>
      <c r="R697" s="14">
        <v>134.63999999999999</v>
      </c>
      <c r="S697" s="2" t="s">
        <v>1916</v>
      </c>
      <c r="T697" s="2">
        <v>1</v>
      </c>
      <c r="U697" s="2">
        <v>62.3</v>
      </c>
      <c r="V697" s="2">
        <v>57</v>
      </c>
      <c r="W697" s="2" t="s">
        <v>7862</v>
      </c>
      <c r="X697" s="2" t="s">
        <v>5405</v>
      </c>
      <c r="Y697" s="2">
        <v>11220</v>
      </c>
      <c r="Z697" s="19" t="str">
        <f>HYPERLINK("https://ssdweb.co/ssdweb/hd/Vision360.html?d=925801767&amp;zoomslide=1&amp;z=1925801767&amp;ISCONFIRM=0","VIDEO")</f>
        <v>VIDEO</v>
      </c>
      <c r="AA697" s="19" t="str">
        <f>HYPERLINK("https://ssdweb.co/ssdweb/CERTH/626499205.pdf","CERTI")</f>
        <v>CERTI</v>
      </c>
    </row>
    <row r="698" spans="1:27" ht="15" x14ac:dyDescent="0.25">
      <c r="A698" s="2">
        <v>693</v>
      </c>
      <c r="B698" s="39">
        <v>925861979</v>
      </c>
      <c r="C698" s="28" t="str">
        <f>HYPERLINK("https://pld.live/RapDetail.aspx?STONELIST=925861979","DNA")</f>
        <v>DNA</v>
      </c>
      <c r="D698" s="18" t="s">
        <v>3054</v>
      </c>
      <c r="E698" s="18" t="s">
        <v>5128</v>
      </c>
      <c r="F698" s="2" t="s">
        <v>7987</v>
      </c>
      <c r="G698" s="2" t="s">
        <v>861</v>
      </c>
      <c r="H698" s="14">
        <v>1.1000000000000001</v>
      </c>
      <c r="I698" s="2" t="s">
        <v>267</v>
      </c>
      <c r="J698" s="2" t="s">
        <v>3942</v>
      </c>
      <c r="K698" s="2" t="s">
        <v>3390</v>
      </c>
      <c r="L698" s="2" t="s">
        <v>5221</v>
      </c>
      <c r="M698" s="2" t="s">
        <v>5221</v>
      </c>
      <c r="N698" s="2" t="s">
        <v>2317</v>
      </c>
      <c r="O698" s="14">
        <v>10200</v>
      </c>
      <c r="P698" s="14">
        <v>98.8</v>
      </c>
      <c r="Q698" s="14">
        <v>122.4</v>
      </c>
      <c r="R698" s="14">
        <v>134.63999999999999</v>
      </c>
      <c r="S698" s="2" t="s">
        <v>2540</v>
      </c>
      <c r="T698" s="2">
        <v>1.01</v>
      </c>
      <c r="U698" s="2">
        <v>61.5</v>
      </c>
      <c r="V698" s="2">
        <v>58</v>
      </c>
      <c r="W698" s="2" t="s">
        <v>7862</v>
      </c>
      <c r="X698" s="2" t="s">
        <v>5405</v>
      </c>
      <c r="Y698" s="2">
        <v>11220</v>
      </c>
      <c r="Z698" s="19" t="str">
        <f>HYPERLINK("https://ssdweb.co/ssdweb/hd/Vision360.html?d=925861979&amp;zoomslide=1&amp;z=1925861979&amp;ISCONFIRM=0","VIDEO")</f>
        <v>VIDEO</v>
      </c>
      <c r="AA698" s="19" t="str">
        <f>HYPERLINK("https://ssdweb.co/ssdweb/CERTH/628463122.pdf","CERTI")</f>
        <v>CERTI</v>
      </c>
    </row>
    <row r="699" spans="1:27" ht="15" x14ac:dyDescent="0.25">
      <c r="A699" s="2">
        <v>694</v>
      </c>
      <c r="B699" s="39">
        <v>925801580</v>
      </c>
      <c r="C699" s="28" t="str">
        <f>HYPERLINK("https://pld.live/RapDetail.aspx?STONELIST=925801580","DNA")</f>
        <v>DNA</v>
      </c>
      <c r="D699" s="18" t="s">
        <v>3054</v>
      </c>
      <c r="E699" s="18" t="s">
        <v>5128</v>
      </c>
      <c r="F699" s="2" t="s">
        <v>7987</v>
      </c>
      <c r="G699" s="2" t="s">
        <v>861</v>
      </c>
      <c r="H699" s="14">
        <v>1.1000000000000001</v>
      </c>
      <c r="I699" s="2" t="s">
        <v>267</v>
      </c>
      <c r="J699" s="2" t="s">
        <v>3942</v>
      </c>
      <c r="K699" s="2" t="s">
        <v>3390</v>
      </c>
      <c r="L699" s="2" t="s">
        <v>5221</v>
      </c>
      <c r="M699" s="2" t="s">
        <v>5221</v>
      </c>
      <c r="N699" s="2" t="s">
        <v>2317</v>
      </c>
      <c r="O699" s="14">
        <v>10200</v>
      </c>
      <c r="P699" s="14">
        <v>98.8</v>
      </c>
      <c r="Q699" s="14">
        <v>122.4</v>
      </c>
      <c r="R699" s="14">
        <v>134.63999999999999</v>
      </c>
      <c r="S699" s="2" t="s">
        <v>617</v>
      </c>
      <c r="T699" s="2">
        <v>1.01</v>
      </c>
      <c r="U699" s="2">
        <v>62.4</v>
      </c>
      <c r="V699" s="2">
        <v>56</v>
      </c>
      <c r="W699" s="2" t="s">
        <v>7862</v>
      </c>
      <c r="X699" s="2" t="s">
        <v>5405</v>
      </c>
      <c r="Y699" s="2">
        <v>11220</v>
      </c>
      <c r="Z699" s="19" t="str">
        <f>HYPERLINK("https://ssdweb.co/ssdweb/hd/Vision360.html?d=925801580&amp;zoomslide=1&amp;z=1925801580&amp;ISCONFIRM=0","VIDEO")</f>
        <v>VIDEO</v>
      </c>
      <c r="AA699" s="19" t="str">
        <f>HYPERLINK("https://ssdweb.co/ssdweb/CERTH/626427600.pdf","CERTI")</f>
        <v>CERTI</v>
      </c>
    </row>
    <row r="700" spans="1:27" ht="15" x14ac:dyDescent="0.25">
      <c r="A700" s="2">
        <v>695</v>
      </c>
      <c r="B700" s="39">
        <v>925801955</v>
      </c>
      <c r="C700" s="28" t="str">
        <f>HYPERLINK("https://pld.live/RapDetail.aspx?STONELIST=925801955","DNA")</f>
        <v>DNA</v>
      </c>
      <c r="D700" s="18" t="s">
        <v>3054</v>
      </c>
      <c r="E700" s="18" t="s">
        <v>5128</v>
      </c>
      <c r="F700" s="2" t="s">
        <v>7987</v>
      </c>
      <c r="G700" s="2" t="s">
        <v>861</v>
      </c>
      <c r="H700" s="14">
        <v>1.1000000000000001</v>
      </c>
      <c r="I700" s="2" t="s">
        <v>267</v>
      </c>
      <c r="J700" s="2" t="s">
        <v>3942</v>
      </c>
      <c r="K700" s="2" t="s">
        <v>3390</v>
      </c>
      <c r="L700" s="2" t="s">
        <v>5221</v>
      </c>
      <c r="M700" s="2" t="s">
        <v>5221</v>
      </c>
      <c r="N700" s="2" t="s">
        <v>2317</v>
      </c>
      <c r="O700" s="14">
        <v>10200</v>
      </c>
      <c r="P700" s="14">
        <v>98.8</v>
      </c>
      <c r="Q700" s="14">
        <v>122.4</v>
      </c>
      <c r="R700" s="14">
        <v>134.63999999999999</v>
      </c>
      <c r="S700" s="2" t="s">
        <v>2323</v>
      </c>
      <c r="T700" s="2">
        <v>1.01</v>
      </c>
      <c r="U700" s="2">
        <v>60.9</v>
      </c>
      <c r="V700" s="2">
        <v>57</v>
      </c>
      <c r="W700" s="2" t="s">
        <v>7862</v>
      </c>
      <c r="X700" s="2" t="s">
        <v>5405</v>
      </c>
      <c r="Y700" s="2">
        <v>11220</v>
      </c>
      <c r="Z700" s="19" t="str">
        <f>HYPERLINK("https://ssdweb.co/ssdweb/hd/Vision360.html?d=925801955&amp;zoomslide=1&amp;z=1925801955&amp;ISCONFIRM=0","VIDEO")</f>
        <v>VIDEO</v>
      </c>
      <c r="AA700" s="19" t="str">
        <f>HYPERLINK("https://ssdweb.co/ssdweb/CERTH/627471606.pdf","CERTI")</f>
        <v>CERTI</v>
      </c>
    </row>
    <row r="701" spans="1:27" ht="15" x14ac:dyDescent="0.25">
      <c r="A701" s="2">
        <v>696</v>
      </c>
      <c r="B701" s="39">
        <v>925830581</v>
      </c>
      <c r="C701" s="28" t="str">
        <f>HYPERLINK("https://pld.live/RapDetail.aspx?STONELIST=925830581","DNA")</f>
        <v>DNA</v>
      </c>
      <c r="D701" s="18" t="s">
        <v>3054</v>
      </c>
      <c r="E701" s="18" t="s">
        <v>5128</v>
      </c>
      <c r="F701" s="2" t="s">
        <v>7987</v>
      </c>
      <c r="G701" s="2" t="s">
        <v>861</v>
      </c>
      <c r="H701" s="14">
        <v>1.1000000000000001</v>
      </c>
      <c r="I701" s="2" t="s">
        <v>267</v>
      </c>
      <c r="J701" s="2" t="s">
        <v>3942</v>
      </c>
      <c r="K701" s="2" t="s">
        <v>3390</v>
      </c>
      <c r="L701" s="2" t="s">
        <v>5221</v>
      </c>
      <c r="M701" s="2" t="s">
        <v>5221</v>
      </c>
      <c r="N701" s="2" t="s">
        <v>2317</v>
      </c>
      <c r="O701" s="14">
        <v>10200</v>
      </c>
      <c r="P701" s="14">
        <v>98.8</v>
      </c>
      <c r="Q701" s="14">
        <v>122.4</v>
      </c>
      <c r="R701" s="14">
        <v>134.63999999999999</v>
      </c>
      <c r="S701" s="2" t="s">
        <v>6064</v>
      </c>
      <c r="T701" s="2">
        <v>1</v>
      </c>
      <c r="U701" s="2">
        <v>62.2</v>
      </c>
      <c r="V701" s="2">
        <v>57</v>
      </c>
      <c r="W701" s="2" t="s">
        <v>7862</v>
      </c>
      <c r="X701" s="2" t="s">
        <v>5405</v>
      </c>
      <c r="Y701" s="2">
        <v>11220</v>
      </c>
      <c r="Z701" s="19" t="str">
        <f>HYPERLINK("https://ssdweb.co/ssdweb/hd/Vision360.html?d=925830581&amp;zoomslide=1&amp;z=1925830581&amp;ISCONFIRM=0","VIDEO")</f>
        <v>VIDEO</v>
      </c>
      <c r="AA701" s="19" t="str">
        <f>HYPERLINK("https://ssdweb.co/ssdweb/CERTH/626427633.pdf","CERTI")</f>
        <v>CERTI</v>
      </c>
    </row>
    <row r="702" spans="1:27" ht="15" x14ac:dyDescent="0.25">
      <c r="A702" s="2">
        <v>697</v>
      </c>
      <c r="B702" s="39">
        <v>925800894</v>
      </c>
      <c r="C702" s="28" t="str">
        <f>HYPERLINK("https://pld.live/RapDetail.aspx?STONELIST=925800894","DNA")</f>
        <v>DNA</v>
      </c>
      <c r="D702" s="18" t="s">
        <v>3054</v>
      </c>
      <c r="E702" s="18" t="s">
        <v>5128</v>
      </c>
      <c r="F702" s="2" t="s">
        <v>7987</v>
      </c>
      <c r="G702" s="2" t="s">
        <v>861</v>
      </c>
      <c r="H702" s="14">
        <v>1.1000000000000001</v>
      </c>
      <c r="I702" s="2" t="s">
        <v>267</v>
      </c>
      <c r="J702" s="2" t="s">
        <v>3942</v>
      </c>
      <c r="K702" s="2" t="s">
        <v>3390</v>
      </c>
      <c r="L702" s="2" t="s">
        <v>5221</v>
      </c>
      <c r="M702" s="2" t="s">
        <v>5221</v>
      </c>
      <c r="N702" s="2" t="s">
        <v>2317</v>
      </c>
      <c r="O702" s="14">
        <v>10200</v>
      </c>
      <c r="P702" s="14">
        <v>98.8</v>
      </c>
      <c r="Q702" s="14">
        <v>122.4</v>
      </c>
      <c r="R702" s="14">
        <v>134.63999999999999</v>
      </c>
      <c r="S702" s="2" t="s">
        <v>2518</v>
      </c>
      <c r="T702" s="2">
        <v>1</v>
      </c>
      <c r="U702" s="2">
        <v>60.5</v>
      </c>
      <c r="V702" s="2">
        <v>60</v>
      </c>
      <c r="W702" s="2" t="s">
        <v>7862</v>
      </c>
      <c r="X702" s="2" t="s">
        <v>5405</v>
      </c>
      <c r="Y702" s="2">
        <v>11220</v>
      </c>
      <c r="Z702" s="19" t="str">
        <f>HYPERLINK("https://ssdweb.co/ssdweb/hd/Vision360.html?d=925800894&amp;zoomslide=1&amp;z=1925800894&amp;ISCONFIRM=0","VIDEO")</f>
        <v>VIDEO</v>
      </c>
      <c r="AA702" s="19" t="str">
        <f>HYPERLINK("https://ssdweb.co/ssdweb/CERTH/626466205.pdf","CERTI")</f>
        <v>CERTI</v>
      </c>
    </row>
    <row r="703" spans="1:27" ht="15" x14ac:dyDescent="0.25">
      <c r="A703" s="2">
        <v>698</v>
      </c>
      <c r="B703" s="39">
        <v>925900396</v>
      </c>
      <c r="C703" s="28" t="str">
        <f>HYPERLINK("https://pld.live/RapDetail.aspx?STONELIST=925900396","DNA")</f>
        <v>DNA</v>
      </c>
      <c r="D703" s="18" t="s">
        <v>3054</v>
      </c>
      <c r="E703" s="18" t="s">
        <v>5128</v>
      </c>
      <c r="F703" s="2" t="s">
        <v>7987</v>
      </c>
      <c r="G703" s="2" t="s">
        <v>861</v>
      </c>
      <c r="H703" s="14">
        <v>1.1000000000000001</v>
      </c>
      <c r="I703" s="2" t="s">
        <v>267</v>
      </c>
      <c r="J703" s="2" t="s">
        <v>3942</v>
      </c>
      <c r="K703" s="2" t="s">
        <v>3390</v>
      </c>
      <c r="L703" s="2" t="s">
        <v>5221</v>
      </c>
      <c r="M703" s="2" t="s">
        <v>5221</v>
      </c>
      <c r="N703" s="2" t="s">
        <v>2317</v>
      </c>
      <c r="O703" s="14">
        <v>10200</v>
      </c>
      <c r="P703" s="14">
        <v>98.8</v>
      </c>
      <c r="Q703" s="14">
        <v>122.4</v>
      </c>
      <c r="R703" s="14">
        <v>134.63999999999999</v>
      </c>
      <c r="S703" s="2" t="s">
        <v>4983</v>
      </c>
      <c r="T703" s="2">
        <v>1</v>
      </c>
      <c r="U703" s="2">
        <v>60.1</v>
      </c>
      <c r="V703" s="2">
        <v>59</v>
      </c>
      <c r="W703" s="2" t="s">
        <v>7862</v>
      </c>
      <c r="X703" s="2" t="s">
        <v>5405</v>
      </c>
      <c r="Y703" s="2">
        <v>11220</v>
      </c>
      <c r="Z703" s="19" t="str">
        <f>HYPERLINK("https://ssdweb.co/ssdweb/hd/Vision360.html?d=925900396&amp;zoomslide=1&amp;z=1925900396&amp;ISCONFIRM=0","VIDEO")</f>
        <v>VIDEO</v>
      </c>
      <c r="AA703" s="19" t="str">
        <f>HYPERLINK("https://ssdweb.co/ssdweb/CERTH/627415054.pdf","CERTI")</f>
        <v>CERTI</v>
      </c>
    </row>
    <row r="704" spans="1:27" ht="15" x14ac:dyDescent="0.25">
      <c r="A704" s="2">
        <v>699</v>
      </c>
      <c r="B704" s="39">
        <v>925732149</v>
      </c>
      <c r="C704" s="28" t="str">
        <f>HYPERLINK("https://pld.live/RapDetail.aspx?STONELIST=925732149","DNA")</f>
        <v>DNA</v>
      </c>
      <c r="D704" s="18" t="s">
        <v>3054</v>
      </c>
      <c r="E704" s="18" t="s">
        <v>5128</v>
      </c>
      <c r="F704" s="2" t="s">
        <v>7987</v>
      </c>
      <c r="G704" s="2" t="s">
        <v>861</v>
      </c>
      <c r="H704" s="14">
        <v>1.1000000000000001</v>
      </c>
      <c r="I704" s="2" t="s">
        <v>267</v>
      </c>
      <c r="J704" s="2" t="s">
        <v>3942</v>
      </c>
      <c r="K704" s="2" t="s">
        <v>3390</v>
      </c>
      <c r="L704" s="2" t="s">
        <v>5221</v>
      </c>
      <c r="M704" s="2" t="s">
        <v>5221</v>
      </c>
      <c r="N704" s="2" t="s">
        <v>2317</v>
      </c>
      <c r="O704" s="14">
        <v>10200</v>
      </c>
      <c r="P704" s="14">
        <v>98.8</v>
      </c>
      <c r="Q704" s="14">
        <v>122.4</v>
      </c>
      <c r="R704" s="14">
        <v>134.63999999999999</v>
      </c>
      <c r="S704" s="2" t="s">
        <v>5910</v>
      </c>
      <c r="T704" s="2">
        <v>1</v>
      </c>
      <c r="U704" s="2">
        <v>61.8</v>
      </c>
      <c r="V704" s="2">
        <v>57</v>
      </c>
      <c r="W704" s="2" t="s">
        <v>7862</v>
      </c>
      <c r="X704" s="2" t="s">
        <v>5405</v>
      </c>
      <c r="Y704" s="2">
        <v>11220</v>
      </c>
      <c r="Z704" s="19" t="str">
        <f>HYPERLINK("https://ssdweb.co/ssdweb/hd/Vision360.html?d=925732149&amp;zoomslide=1&amp;z=1925732149&amp;ISCONFIRM=0","VIDEO")</f>
        <v>VIDEO</v>
      </c>
      <c r="AA704" s="19" t="str">
        <f>HYPERLINK("https://ssdweb.co/ssdweb/CERTH/626457414.pdf","CERTI")</f>
        <v>CERTI</v>
      </c>
    </row>
    <row r="705" spans="1:27" ht="15" x14ac:dyDescent="0.25">
      <c r="A705" s="2">
        <v>700</v>
      </c>
      <c r="B705" s="39">
        <v>925950989</v>
      </c>
      <c r="C705" s="28" t="str">
        <f>HYPERLINK("https://pld.live/RapDetail.aspx?STONELIST=925950989","DNA")</f>
        <v>DNA</v>
      </c>
      <c r="D705" s="18" t="s">
        <v>3054</v>
      </c>
      <c r="E705" s="18" t="s">
        <v>5128</v>
      </c>
      <c r="F705" s="2" t="s">
        <v>7987</v>
      </c>
      <c r="G705" s="2" t="s">
        <v>861</v>
      </c>
      <c r="H705" s="14">
        <v>1.1000000000000001</v>
      </c>
      <c r="I705" s="2" t="s">
        <v>267</v>
      </c>
      <c r="J705" s="2" t="s">
        <v>3942</v>
      </c>
      <c r="K705" s="2" t="s">
        <v>3390</v>
      </c>
      <c r="L705" s="2" t="s">
        <v>5221</v>
      </c>
      <c r="M705" s="2" t="s">
        <v>5221</v>
      </c>
      <c r="N705" s="2" t="s">
        <v>2317</v>
      </c>
      <c r="O705" s="14">
        <v>10200</v>
      </c>
      <c r="P705" s="14">
        <v>98.8</v>
      </c>
      <c r="Q705" s="14">
        <v>122.4</v>
      </c>
      <c r="R705" s="14">
        <v>134.63999999999999</v>
      </c>
      <c r="S705" s="2" t="s">
        <v>1932</v>
      </c>
      <c r="T705" s="2">
        <v>1.01</v>
      </c>
      <c r="U705" s="2">
        <v>60.1</v>
      </c>
      <c r="V705" s="2">
        <v>57</v>
      </c>
      <c r="W705" s="2" t="s">
        <v>7862</v>
      </c>
      <c r="X705" s="2" t="s">
        <v>5405</v>
      </c>
      <c r="Y705" s="2">
        <v>11220</v>
      </c>
      <c r="Z705" s="19" t="str">
        <f>HYPERLINK("https://ssdweb.co/ssdweb/hd/Vision360.html?d=925950989&amp;zoomslide=1&amp;z=1925950989&amp;ISCONFIRM=0","VIDEO")</f>
        <v>VIDEO</v>
      </c>
      <c r="AA705" s="19" t="str">
        <f>HYPERLINK("https://ssdweb.co/ssdweb/CERTH/628463317.pdf","CERTI")</f>
        <v>CERTI</v>
      </c>
    </row>
    <row r="706" spans="1:27" ht="15" x14ac:dyDescent="0.25">
      <c r="A706" s="2">
        <v>701</v>
      </c>
      <c r="B706" s="39">
        <v>821127648</v>
      </c>
      <c r="C706" s="28" t="str">
        <f>HYPERLINK("https://pld.live/RapDetail.aspx?STONELIST=821127648","DNA")</f>
        <v>DNA</v>
      </c>
      <c r="D706" s="18" t="s">
        <v>3054</v>
      </c>
      <c r="E706" s="18" t="s">
        <v>5128</v>
      </c>
      <c r="F706" s="2" t="s">
        <v>7987</v>
      </c>
      <c r="G706" s="2" t="s">
        <v>861</v>
      </c>
      <c r="H706" s="14">
        <v>1.1000000000000001</v>
      </c>
      <c r="I706" s="2" t="s">
        <v>267</v>
      </c>
      <c r="J706" s="2" t="s">
        <v>3942</v>
      </c>
      <c r="K706" s="2" t="s">
        <v>3390</v>
      </c>
      <c r="L706" s="2" t="s">
        <v>5221</v>
      </c>
      <c r="M706" s="2" t="s">
        <v>5221</v>
      </c>
      <c r="N706" s="2" t="s">
        <v>2317</v>
      </c>
      <c r="O706" s="14">
        <v>10200</v>
      </c>
      <c r="P706" s="14">
        <v>98.8</v>
      </c>
      <c r="Q706" s="14">
        <v>122.4</v>
      </c>
      <c r="R706" s="14">
        <v>134.63999999999999</v>
      </c>
      <c r="S706" s="2" t="s">
        <v>1108</v>
      </c>
      <c r="T706" s="2">
        <v>1</v>
      </c>
      <c r="U706" s="2">
        <v>60.5</v>
      </c>
      <c r="V706" s="2">
        <v>58</v>
      </c>
      <c r="W706" s="2" t="s">
        <v>7862</v>
      </c>
      <c r="X706" s="2" t="s">
        <v>5405</v>
      </c>
      <c r="Y706" s="2">
        <v>11220</v>
      </c>
      <c r="Z706" s="19" t="str">
        <f>HYPERLINK("https://ssdweb.co/ssdweb/hd/Vision360.html?d=821127648&amp;zoomslide=1&amp;z=1821127648&amp;ISCONFIRM=0","VIDEO")</f>
        <v>VIDEO</v>
      </c>
      <c r="AA706" s="19" t="str">
        <f>HYPERLINK("https://ssdweb.co/ssdweb/CERTH/624404601.pdf","CERTI")</f>
        <v>CERTI</v>
      </c>
    </row>
    <row r="707" spans="1:27" ht="15" x14ac:dyDescent="0.25">
      <c r="A707" s="2">
        <v>702</v>
      </c>
      <c r="B707" s="39">
        <v>821127652</v>
      </c>
      <c r="C707" s="28" t="str">
        <f>HYPERLINK("https://pld.live/RapDetail.aspx?STONELIST=821127652","DNA")</f>
        <v>DNA</v>
      </c>
      <c r="D707" s="18" t="s">
        <v>3054</v>
      </c>
      <c r="E707" s="18" t="s">
        <v>5128</v>
      </c>
      <c r="F707" s="2" t="s">
        <v>7987</v>
      </c>
      <c r="G707" s="2" t="s">
        <v>861</v>
      </c>
      <c r="H707" s="14">
        <v>1.1000000000000001</v>
      </c>
      <c r="I707" s="2" t="s">
        <v>267</v>
      </c>
      <c r="J707" s="2" t="s">
        <v>3942</v>
      </c>
      <c r="K707" s="2" t="s">
        <v>3390</v>
      </c>
      <c r="L707" s="2" t="s">
        <v>5221</v>
      </c>
      <c r="M707" s="2" t="s">
        <v>5221</v>
      </c>
      <c r="N707" s="2" t="s">
        <v>2317</v>
      </c>
      <c r="O707" s="14">
        <v>10200</v>
      </c>
      <c r="P707" s="14">
        <v>98.8</v>
      </c>
      <c r="Q707" s="14">
        <v>122.4</v>
      </c>
      <c r="R707" s="14">
        <v>134.63999999999999</v>
      </c>
      <c r="S707" s="2" t="s">
        <v>1516</v>
      </c>
      <c r="T707" s="2">
        <v>1</v>
      </c>
      <c r="U707" s="2">
        <v>61</v>
      </c>
      <c r="V707" s="2">
        <v>57</v>
      </c>
      <c r="W707" s="2" t="s">
        <v>7862</v>
      </c>
      <c r="X707" s="2" t="s">
        <v>5405</v>
      </c>
      <c r="Y707" s="2">
        <v>11220</v>
      </c>
      <c r="Z707" s="19" t="str">
        <f>HYPERLINK("https://ssdweb.co/ssdweb/hd/Vision360.html?d=821127652&amp;zoomslide=1&amp;z=1821127652&amp;ISCONFIRM=0","VIDEO")</f>
        <v>VIDEO</v>
      </c>
      <c r="AA707" s="19" t="str">
        <f>HYPERLINK("https://ssdweb.co/ssdweb/CERTH/624404864.pdf","CERTI")</f>
        <v>CERTI</v>
      </c>
    </row>
    <row r="708" spans="1:27" ht="15" x14ac:dyDescent="0.25">
      <c r="A708" s="2">
        <v>703</v>
      </c>
      <c r="B708" s="39">
        <v>821127653</v>
      </c>
      <c r="C708" s="28" t="str">
        <f>HYPERLINK("https://pld.live/RapDetail.aspx?STONELIST=821127653","DNA")</f>
        <v>DNA</v>
      </c>
      <c r="D708" s="18" t="s">
        <v>3054</v>
      </c>
      <c r="E708" s="18" t="s">
        <v>5128</v>
      </c>
      <c r="F708" s="2" t="s">
        <v>7987</v>
      </c>
      <c r="G708" s="2" t="s">
        <v>861</v>
      </c>
      <c r="H708" s="14">
        <v>1.1000000000000001</v>
      </c>
      <c r="I708" s="2" t="s">
        <v>267</v>
      </c>
      <c r="J708" s="2" t="s">
        <v>3942</v>
      </c>
      <c r="K708" s="2" t="s">
        <v>3390</v>
      </c>
      <c r="L708" s="2" t="s">
        <v>5221</v>
      </c>
      <c r="M708" s="2" t="s">
        <v>5221</v>
      </c>
      <c r="N708" s="2" t="s">
        <v>2317</v>
      </c>
      <c r="O708" s="14">
        <v>10200</v>
      </c>
      <c r="P708" s="14">
        <v>98.8</v>
      </c>
      <c r="Q708" s="14">
        <v>122.4</v>
      </c>
      <c r="R708" s="14">
        <v>134.63999999999999</v>
      </c>
      <c r="S708" s="2" t="s">
        <v>883</v>
      </c>
      <c r="T708" s="2">
        <v>1</v>
      </c>
      <c r="U708" s="2">
        <v>60.3</v>
      </c>
      <c r="V708" s="2">
        <v>58</v>
      </c>
      <c r="W708" s="2" t="s">
        <v>7862</v>
      </c>
      <c r="X708" s="2" t="s">
        <v>5405</v>
      </c>
      <c r="Y708" s="2">
        <v>11220</v>
      </c>
      <c r="Z708" s="19" t="str">
        <f>HYPERLINK("https://ssdweb.co/ssdweb/hd/Vision360.html?d=821127653&amp;zoomslide=1&amp;z=1821127653&amp;ISCONFIRM=0","VIDEO")</f>
        <v>VIDEO</v>
      </c>
      <c r="AA708" s="19" t="str">
        <f>HYPERLINK("https://ssdweb.co/ssdweb/CERTH/624404800.pdf","CERTI")</f>
        <v>CERTI</v>
      </c>
    </row>
    <row r="709" spans="1:27" ht="15" x14ac:dyDescent="0.25">
      <c r="A709" s="2">
        <v>704</v>
      </c>
      <c r="B709" s="39">
        <v>821127654</v>
      </c>
      <c r="C709" s="28" t="str">
        <f>HYPERLINK("https://pld.live/RapDetail.aspx?STONELIST=821127654","DNA")</f>
        <v>DNA</v>
      </c>
      <c r="D709" s="18" t="s">
        <v>3054</v>
      </c>
      <c r="E709" s="18" t="s">
        <v>5128</v>
      </c>
      <c r="F709" s="2" t="s">
        <v>7987</v>
      </c>
      <c r="G709" s="2" t="s">
        <v>861</v>
      </c>
      <c r="H709" s="14">
        <v>1.1000000000000001</v>
      </c>
      <c r="I709" s="2" t="s">
        <v>267</v>
      </c>
      <c r="J709" s="2" t="s">
        <v>3942</v>
      </c>
      <c r="K709" s="2" t="s">
        <v>3390</v>
      </c>
      <c r="L709" s="2" t="s">
        <v>5221</v>
      </c>
      <c r="M709" s="2" t="s">
        <v>5221</v>
      </c>
      <c r="N709" s="2" t="s">
        <v>2317</v>
      </c>
      <c r="O709" s="14">
        <v>10200</v>
      </c>
      <c r="P709" s="14">
        <v>98.8</v>
      </c>
      <c r="Q709" s="14">
        <v>122.4</v>
      </c>
      <c r="R709" s="14">
        <v>134.63999999999999</v>
      </c>
      <c r="S709" s="2" t="s">
        <v>3913</v>
      </c>
      <c r="T709" s="2">
        <v>1.01</v>
      </c>
      <c r="U709" s="2">
        <v>61.4</v>
      </c>
      <c r="V709" s="2">
        <v>60</v>
      </c>
      <c r="W709" s="2" t="s">
        <v>7862</v>
      </c>
      <c r="X709" s="2" t="s">
        <v>5405</v>
      </c>
      <c r="Y709" s="2">
        <v>11220</v>
      </c>
      <c r="Z709" s="19" t="str">
        <f>HYPERLINK("https://ssdweb.co/ssdweb/hd/Vision360.html?d=821127654&amp;zoomslide=1&amp;z=1821127654&amp;ISCONFIRM=0","VIDEO")</f>
        <v>VIDEO</v>
      </c>
      <c r="AA709" s="19" t="str">
        <f>HYPERLINK("https://ssdweb.co/ssdweb/CERTH/624404799.pdf","CERTI")</f>
        <v>CERTI</v>
      </c>
    </row>
    <row r="710" spans="1:27" ht="15" x14ac:dyDescent="0.25">
      <c r="A710" s="2">
        <v>705</v>
      </c>
      <c r="B710" s="39">
        <v>821127655</v>
      </c>
      <c r="C710" s="28" t="str">
        <f>HYPERLINK("https://pld.live/RapDetail.aspx?STONELIST=821127655","DNA")</f>
        <v>DNA</v>
      </c>
      <c r="D710" s="18" t="s">
        <v>3054</v>
      </c>
      <c r="E710" s="18" t="s">
        <v>5128</v>
      </c>
      <c r="F710" s="2" t="s">
        <v>7987</v>
      </c>
      <c r="G710" s="2" t="s">
        <v>861</v>
      </c>
      <c r="H710" s="14">
        <v>1.1000000000000001</v>
      </c>
      <c r="I710" s="2" t="s">
        <v>267</v>
      </c>
      <c r="J710" s="2" t="s">
        <v>3942</v>
      </c>
      <c r="K710" s="2" t="s">
        <v>3390</v>
      </c>
      <c r="L710" s="2" t="s">
        <v>5221</v>
      </c>
      <c r="M710" s="2" t="s">
        <v>5221</v>
      </c>
      <c r="N710" s="2" t="s">
        <v>2317</v>
      </c>
      <c r="O710" s="14">
        <v>10200</v>
      </c>
      <c r="P710" s="14">
        <v>98.8</v>
      </c>
      <c r="Q710" s="14">
        <v>122.4</v>
      </c>
      <c r="R710" s="14">
        <v>134.63999999999999</v>
      </c>
      <c r="S710" s="2" t="s">
        <v>3184</v>
      </c>
      <c r="T710" s="2">
        <v>1.01</v>
      </c>
      <c r="U710" s="2">
        <v>62.3</v>
      </c>
      <c r="V710" s="2">
        <v>57</v>
      </c>
      <c r="W710" s="2" t="s">
        <v>7862</v>
      </c>
      <c r="X710" s="2" t="s">
        <v>5405</v>
      </c>
      <c r="Y710" s="2">
        <v>11220</v>
      </c>
      <c r="Z710" s="19" t="str">
        <f>HYPERLINK("https://ssdweb.co/ssdweb/hd/Vision360.html?d=821127655&amp;zoomslide=1&amp;z=1821127655&amp;ISCONFIRM=0","VIDEO")</f>
        <v>VIDEO</v>
      </c>
      <c r="AA710" s="19" t="str">
        <f>HYPERLINK("https://ssdweb.co/ssdweb/CERTH/624404802.pdf","CERTI")</f>
        <v>CERTI</v>
      </c>
    </row>
    <row r="711" spans="1:27" ht="15" x14ac:dyDescent="0.25">
      <c r="A711" s="2">
        <v>706</v>
      </c>
      <c r="B711" s="39">
        <v>821127656</v>
      </c>
      <c r="C711" s="28" t="str">
        <f>HYPERLINK("https://pld.live/RapDetail.aspx?STONELIST=821127656","DNA")</f>
        <v>DNA</v>
      </c>
      <c r="D711" s="18" t="s">
        <v>3054</v>
      </c>
      <c r="E711" s="18" t="s">
        <v>5128</v>
      </c>
      <c r="F711" s="2" t="s">
        <v>7987</v>
      </c>
      <c r="G711" s="2" t="s">
        <v>861</v>
      </c>
      <c r="H711" s="14">
        <v>1.1000000000000001</v>
      </c>
      <c r="I711" s="2" t="s">
        <v>267</v>
      </c>
      <c r="J711" s="2" t="s">
        <v>3942</v>
      </c>
      <c r="K711" s="2" t="s">
        <v>3390</v>
      </c>
      <c r="L711" s="2" t="s">
        <v>5221</v>
      </c>
      <c r="M711" s="2" t="s">
        <v>5221</v>
      </c>
      <c r="N711" s="2" t="s">
        <v>2317</v>
      </c>
      <c r="O711" s="14">
        <v>10200</v>
      </c>
      <c r="P711" s="14">
        <v>98.8</v>
      </c>
      <c r="Q711" s="14">
        <v>122.4</v>
      </c>
      <c r="R711" s="14">
        <v>134.63999999999999</v>
      </c>
      <c r="S711" s="2" t="s">
        <v>4628</v>
      </c>
      <c r="T711" s="2">
        <v>1</v>
      </c>
      <c r="U711" s="2">
        <v>61.3</v>
      </c>
      <c r="V711" s="2">
        <v>56</v>
      </c>
      <c r="W711" s="2" t="s">
        <v>7862</v>
      </c>
      <c r="X711" s="2" t="s">
        <v>5405</v>
      </c>
      <c r="Y711" s="2">
        <v>11220</v>
      </c>
      <c r="Z711" s="19" t="str">
        <f>HYPERLINK("https://ssdweb.co/ssdweb/hd/Vision360.html?d=821127656&amp;zoomslide=1&amp;z=1821127656&amp;ISCONFIRM=0","VIDEO")</f>
        <v>VIDEO</v>
      </c>
      <c r="AA711" s="19" t="str">
        <f>HYPERLINK("https://ssdweb.co/ssdweb/CERTH/624404801.pdf","CERTI")</f>
        <v>CERTI</v>
      </c>
    </row>
    <row r="712" spans="1:27" ht="15" x14ac:dyDescent="0.25">
      <c r="A712" s="2">
        <v>707</v>
      </c>
      <c r="B712" s="39">
        <v>821127657</v>
      </c>
      <c r="C712" s="28" t="str">
        <f>HYPERLINK("https://pld.live/RapDetail.aspx?STONELIST=821127657","DNA")</f>
        <v>DNA</v>
      </c>
      <c r="D712" s="18" t="s">
        <v>3054</v>
      </c>
      <c r="E712" s="18" t="s">
        <v>5128</v>
      </c>
      <c r="F712" s="2" t="s">
        <v>7987</v>
      </c>
      <c r="G712" s="2" t="s">
        <v>861</v>
      </c>
      <c r="H712" s="14">
        <v>1.1000000000000001</v>
      </c>
      <c r="I712" s="2" t="s">
        <v>267</v>
      </c>
      <c r="J712" s="2" t="s">
        <v>3942</v>
      </c>
      <c r="K712" s="2" t="s">
        <v>3390</v>
      </c>
      <c r="L712" s="2" t="s">
        <v>5221</v>
      </c>
      <c r="M712" s="2" t="s">
        <v>5221</v>
      </c>
      <c r="N712" s="2" t="s">
        <v>2317</v>
      </c>
      <c r="O712" s="14">
        <v>10200</v>
      </c>
      <c r="P712" s="14">
        <v>98.8</v>
      </c>
      <c r="Q712" s="14">
        <v>122.4</v>
      </c>
      <c r="R712" s="14">
        <v>134.63999999999999</v>
      </c>
      <c r="S712" s="2" t="s">
        <v>5854</v>
      </c>
      <c r="T712" s="2">
        <v>1.01</v>
      </c>
      <c r="U712" s="2">
        <v>62.3</v>
      </c>
      <c r="V712" s="2">
        <v>57</v>
      </c>
      <c r="W712" s="2" t="s">
        <v>7862</v>
      </c>
      <c r="X712" s="2" t="s">
        <v>5405</v>
      </c>
      <c r="Y712" s="2">
        <v>11220</v>
      </c>
      <c r="Z712" s="19" t="str">
        <f>HYPERLINK("https://ssdweb.co/ssdweb/hd/Vision360.html?d=821127657&amp;zoomslide=1&amp;z=1821127657&amp;ISCONFIRM=0","VIDEO")</f>
        <v>VIDEO</v>
      </c>
      <c r="AA712" s="19" t="str">
        <f>HYPERLINK("https://ssdweb.co/ssdweb/CERTH/624404783.pdf","CERTI")</f>
        <v>CERTI</v>
      </c>
    </row>
    <row r="713" spans="1:27" ht="15" x14ac:dyDescent="0.25">
      <c r="A713" s="2">
        <v>708</v>
      </c>
      <c r="B713" s="39">
        <v>821127659</v>
      </c>
      <c r="C713" s="28" t="str">
        <f>HYPERLINK("https://pld.live/RapDetail.aspx?STONELIST=821127659","DNA")</f>
        <v>DNA</v>
      </c>
      <c r="D713" s="18" t="s">
        <v>3054</v>
      </c>
      <c r="E713" s="18" t="s">
        <v>5128</v>
      </c>
      <c r="F713" s="2" t="s">
        <v>7987</v>
      </c>
      <c r="G713" s="2" t="s">
        <v>861</v>
      </c>
      <c r="H713" s="14">
        <v>1.1000000000000001</v>
      </c>
      <c r="I713" s="2" t="s">
        <v>267</v>
      </c>
      <c r="J713" s="2" t="s">
        <v>3942</v>
      </c>
      <c r="K713" s="2" t="s">
        <v>3390</v>
      </c>
      <c r="L713" s="2" t="s">
        <v>5221</v>
      </c>
      <c r="M713" s="2" t="s">
        <v>5221</v>
      </c>
      <c r="N713" s="2" t="s">
        <v>2317</v>
      </c>
      <c r="O713" s="14">
        <v>10200</v>
      </c>
      <c r="P713" s="14">
        <v>98.8</v>
      </c>
      <c r="Q713" s="14">
        <v>122.4</v>
      </c>
      <c r="R713" s="14">
        <v>134.63999999999999</v>
      </c>
      <c r="S713" s="2" t="s">
        <v>5961</v>
      </c>
      <c r="T713" s="2">
        <v>1.01</v>
      </c>
      <c r="U713" s="2">
        <v>62.3</v>
      </c>
      <c r="V713" s="2">
        <v>55</v>
      </c>
      <c r="W713" s="2" t="s">
        <v>7862</v>
      </c>
      <c r="X713" s="2" t="s">
        <v>5405</v>
      </c>
      <c r="Y713" s="2">
        <v>11220</v>
      </c>
      <c r="Z713" s="19" t="str">
        <f>HYPERLINK("https://ssdweb.co/ssdweb/hd/Vision360.html?d=821127659&amp;zoomslide=1&amp;z=1821127659&amp;ISCONFIRM=0","VIDEO")</f>
        <v>VIDEO</v>
      </c>
      <c r="AA713" s="19" t="str">
        <f>HYPERLINK("https://ssdweb.co/ssdweb/CERTH/624404860.pdf","CERTI")</f>
        <v>CERTI</v>
      </c>
    </row>
    <row r="714" spans="1:27" ht="15" x14ac:dyDescent="0.25">
      <c r="A714" s="2">
        <v>709</v>
      </c>
      <c r="B714" s="39">
        <v>821127660</v>
      </c>
      <c r="C714" s="28" t="str">
        <f>HYPERLINK("https://pld.live/RapDetail.aspx?STONELIST=821127660","DNA")</f>
        <v>DNA</v>
      </c>
      <c r="D714" s="18" t="s">
        <v>3054</v>
      </c>
      <c r="E714" s="18" t="s">
        <v>5128</v>
      </c>
      <c r="F714" s="2" t="s">
        <v>7987</v>
      </c>
      <c r="G714" s="2" t="s">
        <v>861</v>
      </c>
      <c r="H714" s="14">
        <v>1.1000000000000001</v>
      </c>
      <c r="I714" s="2" t="s">
        <v>267</v>
      </c>
      <c r="J714" s="2" t="s">
        <v>3942</v>
      </c>
      <c r="K714" s="2" t="s">
        <v>3390</v>
      </c>
      <c r="L714" s="2" t="s">
        <v>5221</v>
      </c>
      <c r="M714" s="2" t="s">
        <v>5221</v>
      </c>
      <c r="N714" s="2" t="s">
        <v>2317</v>
      </c>
      <c r="O714" s="14">
        <v>10200</v>
      </c>
      <c r="P714" s="14">
        <v>98.8</v>
      </c>
      <c r="Q714" s="14">
        <v>122.4</v>
      </c>
      <c r="R714" s="14">
        <v>134.63999999999999</v>
      </c>
      <c r="S714" s="2" t="s">
        <v>4077</v>
      </c>
      <c r="T714" s="2">
        <v>1</v>
      </c>
      <c r="U714" s="2">
        <v>60.7</v>
      </c>
      <c r="V714" s="2">
        <v>58</v>
      </c>
      <c r="W714" s="2" t="s">
        <v>7862</v>
      </c>
      <c r="X714" s="2" t="s">
        <v>5405</v>
      </c>
      <c r="Y714" s="2">
        <v>11220</v>
      </c>
      <c r="Z714" s="19" t="str">
        <f>HYPERLINK("https://ssdweb.co/ssdweb/hd/Vision360.html?d=821127660&amp;zoomslide=1&amp;z=1821127660&amp;ISCONFIRM=0","VIDEO")</f>
        <v>VIDEO</v>
      </c>
      <c r="AA714" s="19" t="str">
        <f>HYPERLINK("https://ssdweb.co/ssdweb/CERTH/624404859.pdf","CERTI")</f>
        <v>CERTI</v>
      </c>
    </row>
    <row r="715" spans="1:27" ht="15" x14ac:dyDescent="0.25">
      <c r="A715" s="2">
        <v>710</v>
      </c>
      <c r="B715" s="39">
        <v>821127644</v>
      </c>
      <c r="C715" s="28" t="str">
        <f>HYPERLINK("https://pld.live/RapDetail.aspx?STONELIST=821127644","DNA")</f>
        <v>DNA</v>
      </c>
      <c r="D715" s="18" t="s">
        <v>3054</v>
      </c>
      <c r="E715" s="18" t="s">
        <v>5128</v>
      </c>
      <c r="F715" s="2" t="s">
        <v>7987</v>
      </c>
      <c r="G715" s="2" t="s">
        <v>861</v>
      </c>
      <c r="H715" s="14">
        <v>1.1000000000000001</v>
      </c>
      <c r="I715" s="2" t="s">
        <v>267</v>
      </c>
      <c r="J715" s="2" t="s">
        <v>3942</v>
      </c>
      <c r="K715" s="2" t="s">
        <v>3390</v>
      </c>
      <c r="L715" s="2" t="s">
        <v>5221</v>
      </c>
      <c r="M715" s="2" t="s">
        <v>5221</v>
      </c>
      <c r="N715" s="2" t="s">
        <v>2317</v>
      </c>
      <c r="O715" s="14">
        <v>10200</v>
      </c>
      <c r="P715" s="14">
        <v>98.8</v>
      </c>
      <c r="Q715" s="14">
        <v>122.4</v>
      </c>
      <c r="R715" s="14">
        <v>134.63999999999999</v>
      </c>
      <c r="S715" s="2" t="s">
        <v>6058</v>
      </c>
      <c r="T715" s="2">
        <v>1.01</v>
      </c>
      <c r="U715" s="2">
        <v>61.8</v>
      </c>
      <c r="V715" s="2">
        <v>59</v>
      </c>
      <c r="W715" s="2" t="s">
        <v>7862</v>
      </c>
      <c r="X715" s="2" t="s">
        <v>5405</v>
      </c>
      <c r="Y715" s="2">
        <v>11220</v>
      </c>
      <c r="Z715" s="19" t="str">
        <f>HYPERLINK("https://ssdweb.co/ssdweb/hd/Vision360.html?d=821127644&amp;zoomslide=1&amp;z=1821127644&amp;ISCONFIRM=0","VIDEO")</f>
        <v>VIDEO</v>
      </c>
      <c r="AA715" s="19" t="str">
        <f>HYPERLINK("https://ssdweb.co/ssdweb/CERTH/624404781.pdf","CERTI")</f>
        <v>CERTI</v>
      </c>
    </row>
    <row r="716" spans="1:27" ht="15" x14ac:dyDescent="0.25">
      <c r="A716" s="2">
        <v>711</v>
      </c>
      <c r="B716" s="39">
        <v>821127643</v>
      </c>
      <c r="C716" s="28" t="str">
        <f>HYPERLINK("https://pld.live/RapDetail.aspx?STONELIST=821127643","DNA")</f>
        <v>DNA</v>
      </c>
      <c r="D716" s="18" t="s">
        <v>3054</v>
      </c>
      <c r="E716" s="18" t="s">
        <v>5128</v>
      </c>
      <c r="F716" s="2" t="s">
        <v>7987</v>
      </c>
      <c r="G716" s="2" t="s">
        <v>861</v>
      </c>
      <c r="H716" s="14">
        <v>1.1000000000000001</v>
      </c>
      <c r="I716" s="2" t="s">
        <v>267</v>
      </c>
      <c r="J716" s="2" t="s">
        <v>3942</v>
      </c>
      <c r="K716" s="2" t="s">
        <v>3390</v>
      </c>
      <c r="L716" s="2" t="s">
        <v>5221</v>
      </c>
      <c r="M716" s="2" t="s">
        <v>5221</v>
      </c>
      <c r="N716" s="2" t="s">
        <v>2317</v>
      </c>
      <c r="O716" s="14">
        <v>10200</v>
      </c>
      <c r="P716" s="14">
        <v>98.8</v>
      </c>
      <c r="Q716" s="14">
        <v>122.4</v>
      </c>
      <c r="R716" s="14">
        <v>134.63999999999999</v>
      </c>
      <c r="S716" s="2" t="s">
        <v>1304</v>
      </c>
      <c r="T716" s="2">
        <v>1.01</v>
      </c>
      <c r="U716" s="2">
        <v>59.9</v>
      </c>
      <c r="V716" s="2">
        <v>59</v>
      </c>
      <c r="W716" s="2" t="s">
        <v>7862</v>
      </c>
      <c r="X716" s="2" t="s">
        <v>5405</v>
      </c>
      <c r="Y716" s="2">
        <v>11220</v>
      </c>
      <c r="Z716" s="19" t="str">
        <f>HYPERLINK("https://ssdweb.co/ssdweb/hd/Vision360.html?d=821127643&amp;zoomslide=1&amp;z=1821127643&amp;ISCONFIRM=0","VIDEO")</f>
        <v>VIDEO</v>
      </c>
      <c r="AA716" s="19" t="str">
        <f>HYPERLINK("https://ssdweb.co/ssdweb/CERTH/624404745.pdf","CERTI")</f>
        <v>CERTI</v>
      </c>
    </row>
    <row r="717" spans="1:27" ht="15" x14ac:dyDescent="0.25">
      <c r="A717" s="2">
        <v>712</v>
      </c>
      <c r="B717" s="39">
        <v>821127632</v>
      </c>
      <c r="C717" s="28" t="str">
        <f>HYPERLINK("https://pld.live/RapDetail.aspx?STONELIST=821127632","DNA")</f>
        <v>DNA</v>
      </c>
      <c r="D717" s="18" t="s">
        <v>3054</v>
      </c>
      <c r="E717" s="18" t="s">
        <v>5128</v>
      </c>
      <c r="F717" s="2" t="s">
        <v>7987</v>
      </c>
      <c r="G717" s="2" t="s">
        <v>861</v>
      </c>
      <c r="H717" s="14">
        <v>1.1000000000000001</v>
      </c>
      <c r="I717" s="2" t="s">
        <v>267</v>
      </c>
      <c r="J717" s="2" t="s">
        <v>3942</v>
      </c>
      <c r="K717" s="2" t="s">
        <v>3390</v>
      </c>
      <c r="L717" s="2" t="s">
        <v>5221</v>
      </c>
      <c r="M717" s="2" t="s">
        <v>5221</v>
      </c>
      <c r="N717" s="2" t="s">
        <v>2317</v>
      </c>
      <c r="O717" s="14">
        <v>10200</v>
      </c>
      <c r="P717" s="14">
        <v>98.8</v>
      </c>
      <c r="Q717" s="14">
        <v>122.4</v>
      </c>
      <c r="R717" s="14">
        <v>134.63999999999999</v>
      </c>
      <c r="S717" s="2" t="s">
        <v>2168</v>
      </c>
      <c r="T717" s="2">
        <v>1.01</v>
      </c>
      <c r="U717" s="2">
        <v>61.8</v>
      </c>
      <c r="V717" s="2">
        <v>57</v>
      </c>
      <c r="W717" s="2" t="s">
        <v>7862</v>
      </c>
      <c r="X717" s="2" t="s">
        <v>5405</v>
      </c>
      <c r="Y717" s="2">
        <v>11220</v>
      </c>
      <c r="Z717" s="19" t="str">
        <f>HYPERLINK("https://ssdweb.co/ssdweb/hd/Vision360.html?d=821127632&amp;zoomslide=1&amp;z=1821127632&amp;ISCONFIRM=0","VIDEO")</f>
        <v>VIDEO</v>
      </c>
      <c r="AA717" s="19" t="str">
        <f>HYPERLINK("https://ssdweb.co/ssdweb/CERTH/624404742.pdf","CERTI")</f>
        <v>CERTI</v>
      </c>
    </row>
    <row r="718" spans="1:27" ht="15" x14ac:dyDescent="0.25">
      <c r="A718" s="2">
        <v>713</v>
      </c>
      <c r="B718" s="39">
        <v>821127586</v>
      </c>
      <c r="C718" s="28" t="str">
        <f>HYPERLINK("https://pld.live/RapDetail.aspx?STONELIST=821127586","DNA")</f>
        <v>DNA</v>
      </c>
      <c r="D718" s="18" t="s">
        <v>3054</v>
      </c>
      <c r="E718" s="18" t="s">
        <v>5128</v>
      </c>
      <c r="F718" s="2" t="s">
        <v>7987</v>
      </c>
      <c r="G718" s="2" t="s">
        <v>861</v>
      </c>
      <c r="H718" s="14">
        <v>1.1000000000000001</v>
      </c>
      <c r="I718" s="2" t="s">
        <v>267</v>
      </c>
      <c r="J718" s="2" t="s">
        <v>3942</v>
      </c>
      <c r="K718" s="2" t="s">
        <v>3390</v>
      </c>
      <c r="L718" s="2" t="s">
        <v>5221</v>
      </c>
      <c r="M718" s="2" t="s">
        <v>5221</v>
      </c>
      <c r="N718" s="2" t="s">
        <v>2317</v>
      </c>
      <c r="O718" s="14">
        <v>10200</v>
      </c>
      <c r="P718" s="14">
        <v>98.8</v>
      </c>
      <c r="Q718" s="14">
        <v>122.4</v>
      </c>
      <c r="R718" s="14">
        <v>134.63999999999999</v>
      </c>
      <c r="S718" s="2" t="s">
        <v>780</v>
      </c>
      <c r="T718" s="2">
        <v>1.01</v>
      </c>
      <c r="U718" s="2">
        <v>61.7</v>
      </c>
      <c r="V718" s="2">
        <v>58</v>
      </c>
      <c r="W718" s="2" t="s">
        <v>7862</v>
      </c>
      <c r="X718" s="2" t="s">
        <v>5405</v>
      </c>
      <c r="Y718" s="2">
        <v>11220</v>
      </c>
      <c r="Z718" s="19" t="str">
        <f>HYPERLINK("https://ssdweb.co/ssdweb/hd/Vision360.html?d=821127586&amp;zoomslide=1&amp;z=1821127586&amp;ISCONFIRM=0","VIDEO")</f>
        <v>VIDEO</v>
      </c>
      <c r="AA718" s="19" t="str">
        <f>HYPERLINK("https://ssdweb.co/ssdweb/CERTH/626479169.pdf","CERTI")</f>
        <v>CERTI</v>
      </c>
    </row>
    <row r="719" spans="1:27" ht="15" x14ac:dyDescent="0.25">
      <c r="A719" s="2">
        <v>714</v>
      </c>
      <c r="B719" s="39">
        <v>821127584</v>
      </c>
      <c r="C719" s="28" t="str">
        <f>HYPERLINK("https://pld.live/RapDetail.aspx?STONELIST=821127584","DNA")</f>
        <v>DNA</v>
      </c>
      <c r="D719" s="18" t="s">
        <v>3054</v>
      </c>
      <c r="E719" s="18" t="s">
        <v>5128</v>
      </c>
      <c r="F719" s="2" t="s">
        <v>7987</v>
      </c>
      <c r="G719" s="2" t="s">
        <v>861</v>
      </c>
      <c r="H719" s="14">
        <v>1.1000000000000001</v>
      </c>
      <c r="I719" s="2" t="s">
        <v>267</v>
      </c>
      <c r="J719" s="2" t="s">
        <v>3942</v>
      </c>
      <c r="K719" s="2" t="s">
        <v>3390</v>
      </c>
      <c r="L719" s="2" t="s">
        <v>5221</v>
      </c>
      <c r="M719" s="2" t="s">
        <v>5221</v>
      </c>
      <c r="N719" s="2" t="s">
        <v>2317</v>
      </c>
      <c r="O719" s="14">
        <v>10200</v>
      </c>
      <c r="P719" s="14">
        <v>98.78</v>
      </c>
      <c r="Q719" s="14">
        <v>124.44</v>
      </c>
      <c r="R719" s="14">
        <v>136.88</v>
      </c>
      <c r="S719" s="2" t="s">
        <v>369</v>
      </c>
      <c r="T719" s="2">
        <v>1</v>
      </c>
      <c r="U719" s="2">
        <v>60.5</v>
      </c>
      <c r="V719" s="2">
        <v>56</v>
      </c>
      <c r="W719" s="2" t="s">
        <v>7862</v>
      </c>
      <c r="X719" s="2" t="s">
        <v>5405</v>
      </c>
      <c r="Y719" s="2">
        <v>11220</v>
      </c>
      <c r="Z719" s="19" t="str">
        <f>HYPERLINK("https://ssdweb.co/ssdweb/hd/Vision360.html?d=821127584&amp;zoomslide=1&amp;z=1821127584&amp;ISCONFIRM=0","VIDEO")</f>
        <v>VIDEO</v>
      </c>
      <c r="AA719" s="19" t="str">
        <f>HYPERLINK("https://ssdweb.co/ssdweb/CERTH/626479864.pdf","CERTI")</f>
        <v>CERTI</v>
      </c>
    </row>
    <row r="720" spans="1:27" ht="15" x14ac:dyDescent="0.25">
      <c r="A720" s="2">
        <v>715</v>
      </c>
      <c r="B720" s="39">
        <v>821127582</v>
      </c>
      <c r="C720" s="28" t="str">
        <f>HYPERLINK("https://pld.live/RapDetail.aspx?STONELIST=821127582","DNA")</f>
        <v>DNA</v>
      </c>
      <c r="D720" s="18" t="s">
        <v>3054</v>
      </c>
      <c r="E720" s="18" t="s">
        <v>5128</v>
      </c>
      <c r="F720" s="2" t="s">
        <v>7987</v>
      </c>
      <c r="G720" s="2" t="s">
        <v>861</v>
      </c>
      <c r="H720" s="14">
        <v>1.1000000000000001</v>
      </c>
      <c r="I720" s="2" t="s">
        <v>267</v>
      </c>
      <c r="J720" s="2" t="s">
        <v>3942</v>
      </c>
      <c r="K720" s="2" t="s">
        <v>3390</v>
      </c>
      <c r="L720" s="2" t="s">
        <v>5221</v>
      </c>
      <c r="M720" s="2" t="s">
        <v>5221</v>
      </c>
      <c r="N720" s="2" t="s">
        <v>2317</v>
      </c>
      <c r="O720" s="14">
        <v>10200</v>
      </c>
      <c r="P720" s="14">
        <v>98.8</v>
      </c>
      <c r="Q720" s="14">
        <v>122.4</v>
      </c>
      <c r="R720" s="14">
        <v>134.63999999999999</v>
      </c>
      <c r="S720" s="2" t="s">
        <v>752</v>
      </c>
      <c r="T720" s="2">
        <v>1</v>
      </c>
      <c r="U720" s="2">
        <v>60.2</v>
      </c>
      <c r="V720" s="2">
        <v>59</v>
      </c>
      <c r="W720" s="2" t="s">
        <v>7862</v>
      </c>
      <c r="X720" s="2" t="s">
        <v>5405</v>
      </c>
      <c r="Y720" s="2">
        <v>11220</v>
      </c>
      <c r="Z720" s="19" t="str">
        <f>HYPERLINK("https://ssdweb.co/ssdweb/hd/Vision360.html?d=821127582&amp;zoomslide=1&amp;z=1821127582&amp;ISCONFIRM=0","VIDEO")</f>
        <v>VIDEO</v>
      </c>
      <c r="AA720" s="19" t="str">
        <f>HYPERLINK("https://ssdweb.co/ssdweb/CERTH/626479856.pdf","CERTI")</f>
        <v>CERTI</v>
      </c>
    </row>
    <row r="721" spans="1:27" ht="15" x14ac:dyDescent="0.25">
      <c r="A721" s="2">
        <v>716</v>
      </c>
      <c r="B721" s="39">
        <v>821127579</v>
      </c>
      <c r="C721" s="28" t="str">
        <f>HYPERLINK("https://pld.live/RapDetail.aspx?STONELIST=821127579","DNA")</f>
        <v>DNA</v>
      </c>
      <c r="D721" s="18" t="s">
        <v>3054</v>
      </c>
      <c r="E721" s="18" t="s">
        <v>5128</v>
      </c>
      <c r="F721" s="2" t="s">
        <v>7987</v>
      </c>
      <c r="G721" s="2" t="s">
        <v>861</v>
      </c>
      <c r="H721" s="14">
        <v>1.1000000000000001</v>
      </c>
      <c r="I721" s="2" t="s">
        <v>267</v>
      </c>
      <c r="J721" s="2" t="s">
        <v>3942</v>
      </c>
      <c r="K721" s="2" t="s">
        <v>3390</v>
      </c>
      <c r="L721" s="2" t="s">
        <v>5221</v>
      </c>
      <c r="M721" s="2" t="s">
        <v>5221</v>
      </c>
      <c r="N721" s="2" t="s">
        <v>2317</v>
      </c>
      <c r="O721" s="14">
        <v>10200</v>
      </c>
      <c r="P721" s="14">
        <v>98.8</v>
      </c>
      <c r="Q721" s="14">
        <v>122.4</v>
      </c>
      <c r="R721" s="14">
        <v>134.63999999999999</v>
      </c>
      <c r="S721" s="2" t="s">
        <v>193</v>
      </c>
      <c r="T721" s="2">
        <v>1.01</v>
      </c>
      <c r="U721" s="2">
        <v>62.4</v>
      </c>
      <c r="V721" s="2">
        <v>56</v>
      </c>
      <c r="W721" s="2" t="s">
        <v>7862</v>
      </c>
      <c r="X721" s="2" t="s">
        <v>5405</v>
      </c>
      <c r="Y721" s="2">
        <v>11220</v>
      </c>
      <c r="Z721" s="19" t="str">
        <f>HYPERLINK("https://ssdweb.co/ssdweb/hd/Vision360.html?d=821127579&amp;zoomslide=1&amp;z=1821127579&amp;ISCONFIRM=0","VIDEO")</f>
        <v>VIDEO</v>
      </c>
      <c r="AA721" s="19" t="str">
        <f>HYPERLINK("https://ssdweb.co/ssdweb/CERTH/626479859.pdf","CERTI")</f>
        <v>CERTI</v>
      </c>
    </row>
    <row r="722" spans="1:27" ht="15" x14ac:dyDescent="0.25">
      <c r="A722" s="2">
        <v>717</v>
      </c>
      <c r="B722" s="39">
        <v>821127575</v>
      </c>
      <c r="C722" s="28" t="str">
        <f>HYPERLINK("https://pld.live/RapDetail.aspx?STONELIST=821127575","DNA")</f>
        <v>DNA</v>
      </c>
      <c r="D722" s="18" t="s">
        <v>3054</v>
      </c>
      <c r="E722" s="18" t="s">
        <v>5128</v>
      </c>
      <c r="F722" s="2" t="s">
        <v>7987</v>
      </c>
      <c r="G722" s="2" t="s">
        <v>861</v>
      </c>
      <c r="H722" s="14">
        <v>1.1000000000000001</v>
      </c>
      <c r="I722" s="2" t="s">
        <v>267</v>
      </c>
      <c r="J722" s="2" t="s">
        <v>3942</v>
      </c>
      <c r="K722" s="2" t="s">
        <v>3390</v>
      </c>
      <c r="L722" s="2" t="s">
        <v>5221</v>
      </c>
      <c r="M722" s="2" t="s">
        <v>5221</v>
      </c>
      <c r="N722" s="2" t="s">
        <v>2317</v>
      </c>
      <c r="O722" s="14">
        <v>10200</v>
      </c>
      <c r="P722" s="14">
        <v>98.8</v>
      </c>
      <c r="Q722" s="14">
        <v>122.4</v>
      </c>
      <c r="R722" s="14">
        <v>134.63999999999999</v>
      </c>
      <c r="S722" s="2" t="s">
        <v>7812</v>
      </c>
      <c r="T722" s="2">
        <v>1.01</v>
      </c>
      <c r="U722" s="2">
        <v>60.4</v>
      </c>
      <c r="V722" s="2">
        <v>60</v>
      </c>
      <c r="W722" s="2" t="s">
        <v>7862</v>
      </c>
      <c r="X722" s="2" t="s">
        <v>5405</v>
      </c>
      <c r="Y722" s="2">
        <v>11220</v>
      </c>
      <c r="Z722" s="19" t="str">
        <f>HYPERLINK("https://ssdweb.co/ssdweb/hd/Vision360.html?d=821127575&amp;zoomslide=1&amp;z=1821127575&amp;ISCONFIRM=0","VIDEO")</f>
        <v>VIDEO</v>
      </c>
      <c r="AA722" s="19" t="str">
        <f>HYPERLINK("https://ssdweb.co/ssdweb/CERTH/627452599.pdf","CERTI")</f>
        <v>CERTI</v>
      </c>
    </row>
    <row r="723" spans="1:27" ht="15" x14ac:dyDescent="0.25">
      <c r="A723" s="2">
        <v>718</v>
      </c>
      <c r="B723" s="39">
        <v>821127571</v>
      </c>
      <c r="C723" s="28" t="str">
        <f>HYPERLINK("https://pld.live/RapDetail.aspx?STONELIST=821127571","DNA")</f>
        <v>DNA</v>
      </c>
      <c r="D723" s="18" t="s">
        <v>3054</v>
      </c>
      <c r="E723" s="18" t="s">
        <v>5128</v>
      </c>
      <c r="F723" s="2" t="s">
        <v>7987</v>
      </c>
      <c r="G723" s="2" t="s">
        <v>861</v>
      </c>
      <c r="H723" s="14">
        <v>1.1000000000000001</v>
      </c>
      <c r="I723" s="2" t="s">
        <v>267</v>
      </c>
      <c r="J723" s="2" t="s">
        <v>3942</v>
      </c>
      <c r="K723" s="2" t="s">
        <v>3390</v>
      </c>
      <c r="L723" s="2" t="s">
        <v>5221</v>
      </c>
      <c r="M723" s="2" t="s">
        <v>5221</v>
      </c>
      <c r="N723" s="2" t="s">
        <v>2317</v>
      </c>
      <c r="O723" s="14">
        <v>10200</v>
      </c>
      <c r="P723" s="14">
        <v>98.8</v>
      </c>
      <c r="Q723" s="14">
        <v>122.4</v>
      </c>
      <c r="R723" s="14">
        <v>134.63999999999999</v>
      </c>
      <c r="S723" s="2" t="s">
        <v>778</v>
      </c>
      <c r="T723" s="2">
        <v>1.01</v>
      </c>
      <c r="U723" s="2">
        <v>62.2</v>
      </c>
      <c r="V723" s="2">
        <v>56</v>
      </c>
      <c r="W723" s="2" t="s">
        <v>7862</v>
      </c>
      <c r="X723" s="2" t="s">
        <v>5405</v>
      </c>
      <c r="Y723" s="2">
        <v>11220</v>
      </c>
      <c r="Z723" s="19" t="str">
        <f>HYPERLINK("https://ssdweb.co/ssdweb/hd/Vision360.html?d=821127571&amp;zoomslide=1&amp;z=1821127571&amp;ISCONFIRM=0","VIDEO")</f>
        <v>VIDEO</v>
      </c>
      <c r="AA723" s="19" t="str">
        <f>HYPERLINK("https://ssdweb.co/ssdweb/CERTH/626479069.pdf","CERTI")</f>
        <v>CERTI</v>
      </c>
    </row>
    <row r="724" spans="1:27" ht="15" x14ac:dyDescent="0.25">
      <c r="A724" s="2">
        <v>719</v>
      </c>
      <c r="B724" s="39">
        <v>821127567</v>
      </c>
      <c r="C724" s="28" t="str">
        <f>HYPERLINK("https://pld.live/RapDetail.aspx?STONELIST=821127567","DNA")</f>
        <v>DNA</v>
      </c>
      <c r="D724" s="18" t="s">
        <v>3054</v>
      </c>
      <c r="E724" s="18" t="s">
        <v>5128</v>
      </c>
      <c r="F724" s="2" t="s">
        <v>7987</v>
      </c>
      <c r="G724" s="2" t="s">
        <v>861</v>
      </c>
      <c r="H724" s="14">
        <v>1.1000000000000001</v>
      </c>
      <c r="I724" s="2" t="s">
        <v>267</v>
      </c>
      <c r="J724" s="2" t="s">
        <v>3942</v>
      </c>
      <c r="K724" s="2" t="s">
        <v>3390</v>
      </c>
      <c r="L724" s="2" t="s">
        <v>5221</v>
      </c>
      <c r="M724" s="2" t="s">
        <v>5221</v>
      </c>
      <c r="N724" s="2" t="s">
        <v>2317</v>
      </c>
      <c r="O724" s="14">
        <v>10200</v>
      </c>
      <c r="P724" s="14">
        <v>98.8</v>
      </c>
      <c r="Q724" s="14">
        <v>122.4</v>
      </c>
      <c r="R724" s="14">
        <v>134.63999999999999</v>
      </c>
      <c r="S724" s="2" t="s">
        <v>4953</v>
      </c>
      <c r="T724" s="2">
        <v>1.01</v>
      </c>
      <c r="U724" s="2">
        <v>61.6</v>
      </c>
      <c r="V724" s="2">
        <v>59</v>
      </c>
      <c r="W724" s="2" t="s">
        <v>7862</v>
      </c>
      <c r="X724" s="2" t="s">
        <v>5405</v>
      </c>
      <c r="Y724" s="2">
        <v>11220</v>
      </c>
      <c r="Z724" s="19" t="str">
        <f>HYPERLINK("https://ssdweb.co/ssdweb/hd/Vision360.html?d=821127567&amp;zoomslide=1&amp;z=1821127567&amp;ISCONFIRM=0","VIDEO")</f>
        <v>VIDEO</v>
      </c>
      <c r="AA724" s="19" t="str">
        <f>HYPERLINK("https://ssdweb.co/ssdweb/CERTH/626479868.pdf","CERTI")</f>
        <v>CERTI</v>
      </c>
    </row>
    <row r="725" spans="1:27" ht="15" x14ac:dyDescent="0.25">
      <c r="A725" s="2">
        <v>720</v>
      </c>
      <c r="B725" s="39">
        <v>821127561</v>
      </c>
      <c r="C725" s="28" t="str">
        <f>HYPERLINK("https://pld.live/RapDetail.aspx?STONELIST=821127561","DNA")</f>
        <v>DNA</v>
      </c>
      <c r="D725" s="18" t="s">
        <v>3054</v>
      </c>
      <c r="E725" s="18" t="s">
        <v>5128</v>
      </c>
      <c r="F725" s="2" t="s">
        <v>7987</v>
      </c>
      <c r="G725" s="2" t="s">
        <v>861</v>
      </c>
      <c r="H725" s="14">
        <v>1.1000000000000001</v>
      </c>
      <c r="I725" s="2" t="s">
        <v>267</v>
      </c>
      <c r="J725" s="2" t="s">
        <v>3942</v>
      </c>
      <c r="K725" s="2" t="s">
        <v>3390</v>
      </c>
      <c r="L725" s="2" t="s">
        <v>5221</v>
      </c>
      <c r="M725" s="2" t="s">
        <v>5221</v>
      </c>
      <c r="N725" s="2" t="s">
        <v>2317</v>
      </c>
      <c r="O725" s="14">
        <v>10200</v>
      </c>
      <c r="P725" s="14">
        <v>98.8</v>
      </c>
      <c r="Q725" s="14">
        <v>122.4</v>
      </c>
      <c r="R725" s="14">
        <v>134.63999999999999</v>
      </c>
      <c r="S725" s="2" t="s">
        <v>7019</v>
      </c>
      <c r="T725" s="2">
        <v>1.01</v>
      </c>
      <c r="U725" s="2">
        <v>59.6</v>
      </c>
      <c r="V725" s="2">
        <v>59</v>
      </c>
      <c r="W725" s="2" t="s">
        <v>7862</v>
      </c>
      <c r="X725" s="2" t="s">
        <v>5405</v>
      </c>
      <c r="Y725" s="2">
        <v>11220</v>
      </c>
      <c r="Z725" s="19" t="str">
        <f>HYPERLINK("https://ssdweb.co/ssdweb/hd/Vision360.html?d=821127561&amp;zoomslide=1&amp;z=1821127561&amp;ISCONFIRM=0","VIDEO")</f>
        <v>VIDEO</v>
      </c>
      <c r="AA725" s="19" t="str">
        <f>HYPERLINK("https://ssdweb.co/ssdweb/CERTH/626479177.pdf","CERTI")</f>
        <v>CERTI</v>
      </c>
    </row>
    <row r="726" spans="1:27" ht="15" x14ac:dyDescent="0.25">
      <c r="A726" s="2">
        <v>721</v>
      </c>
      <c r="B726" s="39">
        <v>821127553</v>
      </c>
      <c r="C726" s="28" t="str">
        <f>HYPERLINK("https://pld.live/RapDetail.aspx?STONELIST=821127553","DNA")</f>
        <v>DNA</v>
      </c>
      <c r="D726" s="18" t="s">
        <v>3054</v>
      </c>
      <c r="E726" s="18" t="s">
        <v>5128</v>
      </c>
      <c r="F726" s="2" t="s">
        <v>7987</v>
      </c>
      <c r="G726" s="2" t="s">
        <v>861</v>
      </c>
      <c r="H726" s="14">
        <v>1.1000000000000001</v>
      </c>
      <c r="I726" s="2" t="s">
        <v>267</v>
      </c>
      <c r="J726" s="2" t="s">
        <v>3942</v>
      </c>
      <c r="K726" s="2" t="s">
        <v>3390</v>
      </c>
      <c r="L726" s="2" t="s">
        <v>5221</v>
      </c>
      <c r="M726" s="2" t="s">
        <v>5221</v>
      </c>
      <c r="N726" s="2" t="s">
        <v>2317</v>
      </c>
      <c r="O726" s="14">
        <v>10200</v>
      </c>
      <c r="P726" s="14">
        <v>98.8</v>
      </c>
      <c r="Q726" s="14">
        <v>122.4</v>
      </c>
      <c r="R726" s="14">
        <v>134.63999999999999</v>
      </c>
      <c r="S726" s="2" t="s">
        <v>3839</v>
      </c>
      <c r="T726" s="2">
        <v>1</v>
      </c>
      <c r="U726" s="2">
        <v>62</v>
      </c>
      <c r="V726" s="2">
        <v>58</v>
      </c>
      <c r="W726" s="2" t="s">
        <v>7862</v>
      </c>
      <c r="X726" s="2" t="s">
        <v>5405</v>
      </c>
      <c r="Y726" s="2">
        <v>11220</v>
      </c>
      <c r="Z726" s="19" t="str">
        <f>HYPERLINK("https://ssdweb.co/ssdweb/hd/Vision360.html?d=821127553&amp;zoomslide=1&amp;z=1821127553&amp;ISCONFIRM=0","VIDEO")</f>
        <v>VIDEO</v>
      </c>
      <c r="AA726" s="19" t="str">
        <f>HYPERLINK("https://ssdweb.co/ssdweb/CERTH/626479881.pdf","CERTI")</f>
        <v>CERTI</v>
      </c>
    </row>
    <row r="727" spans="1:27" ht="15" x14ac:dyDescent="0.25">
      <c r="A727" s="2">
        <v>722</v>
      </c>
      <c r="B727" s="39">
        <v>831010547</v>
      </c>
      <c r="C727" s="28" t="str">
        <f>HYPERLINK("https://pld.live/RapDetail.aspx?STONELIST=831010547","DNA")</f>
        <v>DNA</v>
      </c>
      <c r="D727" s="18" t="s">
        <v>3054</v>
      </c>
      <c r="E727" s="18" t="s">
        <v>5128</v>
      </c>
      <c r="F727" s="2" t="s">
        <v>7987</v>
      </c>
      <c r="G727" s="2" t="s">
        <v>861</v>
      </c>
      <c r="H727" s="14">
        <v>1.1000000000000001</v>
      </c>
      <c r="I727" s="2" t="s">
        <v>267</v>
      </c>
      <c r="J727" s="2" t="s">
        <v>3942</v>
      </c>
      <c r="K727" s="2" t="s">
        <v>3390</v>
      </c>
      <c r="L727" s="2" t="s">
        <v>5221</v>
      </c>
      <c r="M727" s="2" t="s">
        <v>5221</v>
      </c>
      <c r="N727" s="2" t="s">
        <v>2317</v>
      </c>
      <c r="O727" s="14">
        <v>10200</v>
      </c>
      <c r="P727" s="14">
        <v>98.8</v>
      </c>
      <c r="Q727" s="14">
        <v>122.4</v>
      </c>
      <c r="R727" s="14">
        <v>134.63999999999999</v>
      </c>
      <c r="S727" s="2" t="s">
        <v>3311</v>
      </c>
      <c r="T727" s="2">
        <v>1.01</v>
      </c>
      <c r="U727" s="2">
        <v>61.7</v>
      </c>
      <c r="V727" s="2">
        <v>59</v>
      </c>
      <c r="W727" s="2" t="s">
        <v>7862</v>
      </c>
      <c r="X727" s="2" t="s">
        <v>5405</v>
      </c>
      <c r="Y727" s="2">
        <v>11220</v>
      </c>
      <c r="Z727" s="19" t="str">
        <f>HYPERLINK("https://ssdweb.co/ssdweb/hd/Vision360.html?d=831010547&amp;zoomslide=1&amp;z=1831010547&amp;ISCONFIRM=0","VIDEO")</f>
        <v>VIDEO</v>
      </c>
      <c r="AA727" s="19" t="str">
        <f>HYPERLINK("https://ssdweb.co/ssdweb/CERTH/613393304.pdf","CERTI")</f>
        <v>CERTI</v>
      </c>
    </row>
    <row r="728" spans="1:27" ht="15" x14ac:dyDescent="0.25">
      <c r="A728" s="2">
        <v>723</v>
      </c>
      <c r="B728" s="39">
        <v>925551639</v>
      </c>
      <c r="C728" s="28" t="str">
        <f>HYPERLINK("https://pld.live/RapDetail.aspx?STONELIST=925551639","DNA")</f>
        <v>DNA</v>
      </c>
      <c r="D728" s="18" t="s">
        <v>3054</v>
      </c>
      <c r="E728" s="18" t="s">
        <v>5128</v>
      </c>
      <c r="F728" s="2" t="s">
        <v>7987</v>
      </c>
      <c r="G728" s="2" t="s">
        <v>861</v>
      </c>
      <c r="H728" s="14">
        <v>1.1000000000000001</v>
      </c>
      <c r="I728" s="2" t="s">
        <v>267</v>
      </c>
      <c r="J728" s="2" t="s">
        <v>3942</v>
      </c>
      <c r="K728" s="2" t="s">
        <v>3390</v>
      </c>
      <c r="L728" s="2" t="s">
        <v>5221</v>
      </c>
      <c r="M728" s="2" t="s">
        <v>5221</v>
      </c>
      <c r="N728" s="2" t="s">
        <v>2317</v>
      </c>
      <c r="O728" s="14">
        <v>10200</v>
      </c>
      <c r="P728" s="14">
        <v>98.8</v>
      </c>
      <c r="Q728" s="14">
        <v>122.4</v>
      </c>
      <c r="R728" s="14">
        <v>134.63999999999999</v>
      </c>
      <c r="S728" s="2" t="s">
        <v>4500</v>
      </c>
      <c r="T728" s="2">
        <v>1</v>
      </c>
      <c r="U728" s="2">
        <v>61</v>
      </c>
      <c r="V728" s="2">
        <v>59</v>
      </c>
      <c r="W728" s="2" t="s">
        <v>7862</v>
      </c>
      <c r="X728" s="2" t="s">
        <v>5405</v>
      </c>
      <c r="Y728" s="2">
        <v>11220</v>
      </c>
      <c r="Z728" s="19" t="str">
        <f>HYPERLINK("https://ssdweb.co/ssdweb/hd/Vision360.html?d=925551639&amp;zoomslide=1&amp;z=1925551639&amp;ISCONFIRM=0","VIDEO")</f>
        <v>VIDEO</v>
      </c>
      <c r="AA728" s="19" t="str">
        <f>HYPERLINK("https://ssdweb.co/ssdweb/CERTH/619453507.pdf","CERTI")</f>
        <v>CERTI</v>
      </c>
    </row>
    <row r="729" spans="1:27" ht="15" x14ac:dyDescent="0.25">
      <c r="A729" s="2">
        <v>724</v>
      </c>
      <c r="B729" s="39">
        <v>925551748</v>
      </c>
      <c r="C729" s="28" t="str">
        <f>HYPERLINK("https://pld.live/RapDetail.aspx?STONELIST=925551748","DNA")</f>
        <v>DNA</v>
      </c>
      <c r="D729" s="18" t="s">
        <v>3054</v>
      </c>
      <c r="E729" s="18" t="s">
        <v>5128</v>
      </c>
      <c r="F729" s="2" t="s">
        <v>7987</v>
      </c>
      <c r="G729" s="2" t="s">
        <v>861</v>
      </c>
      <c r="H729" s="14">
        <v>1.1000000000000001</v>
      </c>
      <c r="I729" s="2" t="s">
        <v>267</v>
      </c>
      <c r="J729" s="2" t="s">
        <v>3942</v>
      </c>
      <c r="K729" s="2" t="s">
        <v>3390</v>
      </c>
      <c r="L729" s="2" t="s">
        <v>5221</v>
      </c>
      <c r="M729" s="2" t="s">
        <v>5221</v>
      </c>
      <c r="N729" s="2" t="s">
        <v>2317</v>
      </c>
      <c r="O729" s="14">
        <v>10200</v>
      </c>
      <c r="P729" s="14">
        <v>98.8</v>
      </c>
      <c r="Q729" s="14">
        <v>122.4</v>
      </c>
      <c r="R729" s="14">
        <v>134.63999999999999</v>
      </c>
      <c r="S729" s="2" t="s">
        <v>7210</v>
      </c>
      <c r="T729" s="2">
        <v>1.01</v>
      </c>
      <c r="U729" s="2">
        <v>61.9</v>
      </c>
      <c r="V729" s="2">
        <v>56</v>
      </c>
      <c r="W729" s="2" t="s">
        <v>7862</v>
      </c>
      <c r="X729" s="2" t="s">
        <v>5405</v>
      </c>
      <c r="Y729" s="2">
        <v>11220</v>
      </c>
      <c r="Z729" s="19" t="str">
        <f>HYPERLINK("https://ssdweb.co/ssdweb/hd/Vision360.html?d=925551748&amp;zoomslide=1&amp;z=1925551748&amp;ISCONFIRM=0","VIDEO")</f>
        <v>VIDEO</v>
      </c>
      <c r="AA729" s="19" t="str">
        <f>HYPERLINK("https://ssdweb.co/ssdweb/CERTH/620469787.pdf","CERTI")</f>
        <v>CERTI</v>
      </c>
    </row>
    <row r="730" spans="1:27" ht="15" x14ac:dyDescent="0.25">
      <c r="A730" s="2">
        <v>725</v>
      </c>
      <c r="B730" s="39">
        <v>925620540</v>
      </c>
      <c r="C730" s="28" t="str">
        <f>HYPERLINK("https://pld.live/RapDetail.aspx?STONELIST=925620540","DNA")</f>
        <v>DNA</v>
      </c>
      <c r="D730" s="18" t="s">
        <v>3054</v>
      </c>
      <c r="E730" s="18" t="s">
        <v>5128</v>
      </c>
      <c r="F730" s="2" t="s">
        <v>7987</v>
      </c>
      <c r="G730" s="2" t="s">
        <v>861</v>
      </c>
      <c r="H730" s="14">
        <v>1.1000000000000001</v>
      </c>
      <c r="I730" s="2" t="s">
        <v>267</v>
      </c>
      <c r="J730" s="2" t="s">
        <v>3942</v>
      </c>
      <c r="K730" s="2" t="s">
        <v>3390</v>
      </c>
      <c r="L730" s="2" t="s">
        <v>5221</v>
      </c>
      <c r="M730" s="2" t="s">
        <v>5221</v>
      </c>
      <c r="N730" s="2" t="s">
        <v>2317</v>
      </c>
      <c r="O730" s="14">
        <v>10200</v>
      </c>
      <c r="P730" s="14">
        <v>98.8</v>
      </c>
      <c r="Q730" s="14">
        <v>122.4</v>
      </c>
      <c r="R730" s="14">
        <v>134.63999999999999</v>
      </c>
      <c r="S730" s="2" t="s">
        <v>6300</v>
      </c>
      <c r="T730" s="2">
        <v>1.01</v>
      </c>
      <c r="U730" s="2">
        <v>61.7</v>
      </c>
      <c r="V730" s="2">
        <v>59</v>
      </c>
      <c r="W730" s="2" t="s">
        <v>7862</v>
      </c>
      <c r="X730" s="2" t="s">
        <v>5405</v>
      </c>
      <c r="Y730" s="2">
        <v>11220</v>
      </c>
      <c r="Z730" s="19" t="str">
        <f>HYPERLINK("https://ssdweb.co/ssdweb/hd/Vision360.html?d=925620540&amp;zoomslide=1&amp;z=1925620540&amp;ISCONFIRM=0","VIDEO")</f>
        <v>VIDEO</v>
      </c>
      <c r="AA730" s="19" t="str">
        <f>HYPERLINK("https://ssdweb.co/ssdweb/CERTH/619453351.pdf","CERTI")</f>
        <v>CERTI</v>
      </c>
    </row>
    <row r="731" spans="1:27" ht="15" x14ac:dyDescent="0.25">
      <c r="A731" s="2">
        <v>726</v>
      </c>
      <c r="B731" s="39">
        <v>925551648</v>
      </c>
      <c r="C731" s="28" t="str">
        <f>HYPERLINK("https://pld.live/RapDetail.aspx?STONELIST=925551648","DNA")</f>
        <v>DNA</v>
      </c>
      <c r="D731" s="18" t="s">
        <v>3054</v>
      </c>
      <c r="E731" s="18" t="s">
        <v>5128</v>
      </c>
      <c r="F731" s="2" t="s">
        <v>7987</v>
      </c>
      <c r="G731" s="2" t="s">
        <v>861</v>
      </c>
      <c r="H731" s="14">
        <v>1.1000000000000001</v>
      </c>
      <c r="I731" s="2" t="s">
        <v>267</v>
      </c>
      <c r="J731" s="2" t="s">
        <v>3942</v>
      </c>
      <c r="K731" s="2" t="s">
        <v>3390</v>
      </c>
      <c r="L731" s="2" t="s">
        <v>5221</v>
      </c>
      <c r="M731" s="2" t="s">
        <v>5221</v>
      </c>
      <c r="N731" s="2" t="s">
        <v>2317</v>
      </c>
      <c r="O731" s="14">
        <v>10200</v>
      </c>
      <c r="P731" s="14">
        <v>98.8</v>
      </c>
      <c r="Q731" s="14">
        <v>122.4</v>
      </c>
      <c r="R731" s="14">
        <v>134.63999999999999</v>
      </c>
      <c r="S731" s="2" t="s">
        <v>993</v>
      </c>
      <c r="T731" s="2">
        <v>1.01</v>
      </c>
      <c r="U731" s="2">
        <v>62.3</v>
      </c>
      <c r="V731" s="2">
        <v>57</v>
      </c>
      <c r="W731" s="2" t="s">
        <v>7862</v>
      </c>
      <c r="X731" s="2" t="s">
        <v>5405</v>
      </c>
      <c r="Y731" s="2">
        <v>11220</v>
      </c>
      <c r="Z731" s="19" t="str">
        <f>HYPERLINK("https://ssdweb.co/ssdweb/hd/Vision360.html?d=925551648&amp;zoomslide=1&amp;z=1925551648&amp;ISCONFIRM=0","VIDEO")</f>
        <v>VIDEO</v>
      </c>
      <c r="AA731" s="19" t="str">
        <f>HYPERLINK("https://ssdweb.co/ssdweb/CERTH/619453490.pdf","CERTI")</f>
        <v>CERTI</v>
      </c>
    </row>
    <row r="732" spans="1:27" ht="15" x14ac:dyDescent="0.25">
      <c r="A732" s="2">
        <v>727</v>
      </c>
      <c r="B732" s="39">
        <v>926100906</v>
      </c>
      <c r="C732" s="28" t="str">
        <f>HYPERLINK("https://pld.live/RapDetail.aspx?STONELIST=926100906","DNA")</f>
        <v>DNA</v>
      </c>
      <c r="D732" s="18" t="s">
        <v>3054</v>
      </c>
      <c r="E732" s="18" t="s">
        <v>5128</v>
      </c>
      <c r="F732" s="2" t="s">
        <v>7987</v>
      </c>
      <c r="G732" s="2" t="s">
        <v>861</v>
      </c>
      <c r="H732" s="14">
        <v>1.1000000000000001</v>
      </c>
      <c r="I732" s="2" t="s">
        <v>267</v>
      </c>
      <c r="J732" s="2" t="s">
        <v>3942</v>
      </c>
      <c r="K732" s="2" t="s">
        <v>3390</v>
      </c>
      <c r="L732" s="2" t="s">
        <v>5221</v>
      </c>
      <c r="M732" s="2" t="s">
        <v>5221</v>
      </c>
      <c r="N732" s="2" t="s">
        <v>2317</v>
      </c>
      <c r="O732" s="14">
        <v>10200</v>
      </c>
      <c r="P732" s="14">
        <v>98.78</v>
      </c>
      <c r="Q732" s="14">
        <v>124.44</v>
      </c>
      <c r="R732" s="14">
        <v>136.88</v>
      </c>
      <c r="S732" s="2" t="s">
        <v>2912</v>
      </c>
      <c r="T732" s="2">
        <v>1</v>
      </c>
      <c r="U732" s="2">
        <v>61.4</v>
      </c>
      <c r="V732" s="2">
        <v>60</v>
      </c>
      <c r="W732" s="2" t="s">
        <v>7862</v>
      </c>
      <c r="X732" s="2" t="s">
        <v>5405</v>
      </c>
      <c r="Y732" s="2">
        <v>11220</v>
      </c>
      <c r="Z732" s="19" t="str">
        <f>HYPERLINK("https://ssdweb.co/ssdweb/hd/Vision360.html?d=926100906&amp;zoomslide=1&amp;z=1926100906&amp;ISCONFIRM=0","VIDEO")</f>
        <v>VIDEO</v>
      </c>
      <c r="AA732" s="19" t="str">
        <f>HYPERLINK("https://ssdweb.co/ssdweb/CERTH/631464059.pdf","CERTI")</f>
        <v>CERTI</v>
      </c>
    </row>
    <row r="733" spans="1:27" ht="15" x14ac:dyDescent="0.25">
      <c r="A733" s="2">
        <v>728</v>
      </c>
      <c r="B733" s="39">
        <v>926101512</v>
      </c>
      <c r="C733" s="28" t="str">
        <f>HYPERLINK("https://pld.live/RapDetail.aspx?STONELIST=926101512","DNA")</f>
        <v>DNA</v>
      </c>
      <c r="D733" s="18" t="s">
        <v>3054</v>
      </c>
      <c r="E733" s="18" t="s">
        <v>5128</v>
      </c>
      <c r="F733" s="2" t="s">
        <v>7987</v>
      </c>
      <c r="G733" s="2" t="s">
        <v>861</v>
      </c>
      <c r="H733" s="14">
        <v>1.1000000000000001</v>
      </c>
      <c r="I733" s="2" t="s">
        <v>267</v>
      </c>
      <c r="J733" s="2" t="s">
        <v>3942</v>
      </c>
      <c r="K733" s="2" t="s">
        <v>3390</v>
      </c>
      <c r="L733" s="2" t="s">
        <v>5721</v>
      </c>
      <c r="M733" s="2" t="s">
        <v>5221</v>
      </c>
      <c r="N733" s="2" t="s">
        <v>2317</v>
      </c>
      <c r="O733" s="14">
        <v>10200</v>
      </c>
      <c r="P733" s="14">
        <v>98.81</v>
      </c>
      <c r="Q733" s="14">
        <v>121.38</v>
      </c>
      <c r="R733" s="14">
        <v>133.52000000000001</v>
      </c>
      <c r="S733" s="2" t="s">
        <v>1080</v>
      </c>
      <c r="T733" s="2">
        <v>1.01</v>
      </c>
      <c r="U733" s="2">
        <v>61.8</v>
      </c>
      <c r="V733" s="2">
        <v>57</v>
      </c>
      <c r="W733" s="2" t="s">
        <v>7862</v>
      </c>
      <c r="X733" s="2" t="s">
        <v>5405</v>
      </c>
      <c r="Y733" s="2">
        <v>11220</v>
      </c>
      <c r="Z733" s="19" t="str">
        <f>HYPERLINK("https://ssdweb.co/ssdweb/hd/Vision360.html?d=926101512&amp;zoomslide=1&amp;z=1926101512&amp;ISCONFIRM=0","VIDEO")</f>
        <v>VIDEO</v>
      </c>
      <c r="AA733" s="19" t="str">
        <f>HYPERLINK("https://ssdweb.co/ssdweb/CERTH/632421488.pdf","CERTI")</f>
        <v>CERTI</v>
      </c>
    </row>
    <row r="734" spans="1:27" ht="15" x14ac:dyDescent="0.25">
      <c r="A734" s="2">
        <v>729</v>
      </c>
      <c r="B734" s="39">
        <v>926101066</v>
      </c>
      <c r="C734" s="28" t="str">
        <f>HYPERLINK("https://pld.live/RapDetail.aspx?STONELIST=926101066","DNA")</f>
        <v>DNA</v>
      </c>
      <c r="D734" s="18" t="s">
        <v>3054</v>
      </c>
      <c r="E734" s="18" t="s">
        <v>5128</v>
      </c>
      <c r="F734" s="2" t="s">
        <v>7987</v>
      </c>
      <c r="G734" s="2" t="s">
        <v>861</v>
      </c>
      <c r="H734" s="14">
        <v>1.1000000000000001</v>
      </c>
      <c r="I734" s="2" t="s">
        <v>267</v>
      </c>
      <c r="J734" s="2" t="s">
        <v>3942</v>
      </c>
      <c r="K734" s="2" t="s">
        <v>3390</v>
      </c>
      <c r="L734" s="2" t="s">
        <v>5721</v>
      </c>
      <c r="M734" s="2" t="s">
        <v>5221</v>
      </c>
      <c r="N734" s="2" t="s">
        <v>2317</v>
      </c>
      <c r="O734" s="14">
        <v>10200</v>
      </c>
      <c r="P734" s="14">
        <v>98.81</v>
      </c>
      <c r="Q734" s="14">
        <v>121.38</v>
      </c>
      <c r="R734" s="14">
        <v>133.52000000000001</v>
      </c>
      <c r="S734" s="2" t="s">
        <v>3205</v>
      </c>
      <c r="T734" s="2">
        <v>1</v>
      </c>
      <c r="U734" s="2">
        <v>62.4</v>
      </c>
      <c r="V734" s="2">
        <v>56</v>
      </c>
      <c r="W734" s="2" t="s">
        <v>7862</v>
      </c>
      <c r="X734" s="2" t="s">
        <v>5405</v>
      </c>
      <c r="Y734" s="2">
        <v>11220</v>
      </c>
      <c r="Z734" s="19" t="str">
        <f>HYPERLINK("https://ssdweb.co/ssdweb/hd/Vision360.html?d=926101066&amp;zoomslide=1&amp;z=1926101066&amp;ISCONFIRM=0","VIDEO")</f>
        <v>VIDEO</v>
      </c>
      <c r="AA734" s="19" t="str">
        <f>HYPERLINK("https://ssdweb.co/ssdweb/CERTH/632488480.pdf","CERTI")</f>
        <v>CERTI</v>
      </c>
    </row>
    <row r="735" spans="1:27" ht="15" x14ac:dyDescent="0.25">
      <c r="A735" s="2">
        <v>730</v>
      </c>
      <c r="B735" s="39">
        <v>924810022</v>
      </c>
      <c r="C735" s="28" t="str">
        <f>HYPERLINK("https://pld.live/RapDetail.aspx?STONELIST=924810022","DNA")</f>
        <v>DNA</v>
      </c>
      <c r="D735" s="18" t="s">
        <v>3054</v>
      </c>
      <c r="E735" s="18" t="s">
        <v>2186</v>
      </c>
      <c r="F735" s="2" t="s">
        <v>5597</v>
      </c>
      <c r="G735" s="2" t="s">
        <v>861</v>
      </c>
      <c r="H735" s="14">
        <v>1.1000000000000001</v>
      </c>
      <c r="I735" s="2" t="s">
        <v>267</v>
      </c>
      <c r="J735" s="2" t="s">
        <v>3942</v>
      </c>
      <c r="K735" s="2" t="s">
        <v>5221</v>
      </c>
      <c r="L735" s="2" t="s">
        <v>5221</v>
      </c>
      <c r="M735" s="2" t="s">
        <v>5221</v>
      </c>
      <c r="N735" s="2" t="s">
        <v>2317</v>
      </c>
      <c r="O735" s="14">
        <v>10200</v>
      </c>
      <c r="P735" s="14">
        <v>98.01</v>
      </c>
      <c r="Q735" s="14">
        <v>202.98</v>
      </c>
      <c r="R735" s="14">
        <v>223.28</v>
      </c>
      <c r="S735" s="2" t="s">
        <v>691</v>
      </c>
      <c r="T735" s="2">
        <v>1</v>
      </c>
      <c r="U735" s="2">
        <v>62.6</v>
      </c>
      <c r="V735" s="2">
        <v>56</v>
      </c>
      <c r="W735" s="2" t="s">
        <v>7862</v>
      </c>
      <c r="X735" s="2" t="s">
        <v>5405</v>
      </c>
      <c r="Y735" s="2">
        <v>11220</v>
      </c>
      <c r="Z735" s="19" t="str">
        <f>HYPERLINK("https://ssdweb.co/ssdweb/hd/Vision360.html?d=924810022&amp;zoomslide=1&amp;z=1924810022&amp;ISCONFIRM=0","VIDEO")</f>
        <v>VIDEO</v>
      </c>
      <c r="AA735" s="19" t="str">
        <f>HYPERLINK("https://ssdweb.co/ssdweb/CERTH/2474518547.pdf","CERTI")</f>
        <v>CERTI</v>
      </c>
    </row>
    <row r="736" spans="1:27" ht="15" x14ac:dyDescent="0.25">
      <c r="A736" s="2">
        <v>731</v>
      </c>
      <c r="B736" s="39">
        <v>925951053</v>
      </c>
      <c r="C736" s="28" t="str">
        <f>HYPERLINK("https://pld.live/RapDetail.aspx?STONELIST=925951053","DNA")</f>
        <v>DNA</v>
      </c>
      <c r="D736" s="18" t="s">
        <v>3054</v>
      </c>
      <c r="E736" s="18" t="s">
        <v>5128</v>
      </c>
      <c r="F736" s="2" t="s">
        <v>7987</v>
      </c>
      <c r="G736" s="2" t="s">
        <v>861</v>
      </c>
      <c r="H736" s="14">
        <v>1.1000000000000001</v>
      </c>
      <c r="I736" s="2" t="s">
        <v>267</v>
      </c>
      <c r="J736" s="2" t="s">
        <v>3942</v>
      </c>
      <c r="K736" s="2" t="s">
        <v>5221</v>
      </c>
      <c r="L736" s="2" t="s">
        <v>5221</v>
      </c>
      <c r="M736" s="2" t="s">
        <v>5221</v>
      </c>
      <c r="N736" s="2" t="s">
        <v>2317</v>
      </c>
      <c r="O736" s="14">
        <v>10200</v>
      </c>
      <c r="P736" s="14">
        <v>98.8</v>
      </c>
      <c r="Q736" s="14">
        <v>122.4</v>
      </c>
      <c r="R736" s="14">
        <v>134.63999999999999</v>
      </c>
      <c r="S736" s="2" t="s">
        <v>443</v>
      </c>
      <c r="T736" s="2">
        <v>1.01</v>
      </c>
      <c r="U736" s="2">
        <v>62.8</v>
      </c>
      <c r="V736" s="2">
        <v>56</v>
      </c>
      <c r="W736" s="2" t="s">
        <v>7862</v>
      </c>
      <c r="X736" s="2" t="s">
        <v>5405</v>
      </c>
      <c r="Y736" s="2">
        <v>11220</v>
      </c>
      <c r="Z736" s="19" t="str">
        <f>HYPERLINK("https://ssdweb.co/ssdweb/hd/Vision360.html?d=925951053&amp;zoomslide=1&amp;z=1925951053&amp;ISCONFIRM=0","VIDEO")</f>
        <v>VIDEO</v>
      </c>
      <c r="AA736" s="19" t="str">
        <f>HYPERLINK("https://ssdweb.co/ssdweb/CERTH/628463034.pdf","CERTI")</f>
        <v>CERTI</v>
      </c>
    </row>
    <row r="737" spans="1:27" ht="15" x14ac:dyDescent="0.25">
      <c r="A737" s="2">
        <v>732</v>
      </c>
      <c r="B737" s="39">
        <v>821127663</v>
      </c>
      <c r="C737" s="28" t="str">
        <f>HYPERLINK("https://pld.live/RapDetail.aspx?STONELIST=821127663","DNA")</f>
        <v>DNA</v>
      </c>
      <c r="D737" s="18" t="s">
        <v>3054</v>
      </c>
      <c r="E737" s="18" t="s">
        <v>5128</v>
      </c>
      <c r="F737" s="2" t="s">
        <v>7987</v>
      </c>
      <c r="G737" s="2" t="s">
        <v>861</v>
      </c>
      <c r="H737" s="14">
        <v>1.1000000000000001</v>
      </c>
      <c r="I737" s="2" t="s">
        <v>267</v>
      </c>
      <c r="J737" s="2" t="s">
        <v>3942</v>
      </c>
      <c r="K737" s="2" t="s">
        <v>5221</v>
      </c>
      <c r="L737" s="2" t="s">
        <v>5221</v>
      </c>
      <c r="M737" s="2" t="s">
        <v>5221</v>
      </c>
      <c r="N737" s="2" t="s">
        <v>2317</v>
      </c>
      <c r="O737" s="14">
        <v>10200</v>
      </c>
      <c r="P737" s="14">
        <v>98.8</v>
      </c>
      <c r="Q737" s="14">
        <v>122.4</v>
      </c>
      <c r="R737" s="14">
        <v>134.63999999999999</v>
      </c>
      <c r="S737" s="2" t="s">
        <v>4918</v>
      </c>
      <c r="T737" s="2">
        <v>1</v>
      </c>
      <c r="U737" s="2">
        <v>61.9</v>
      </c>
      <c r="V737" s="2">
        <v>58</v>
      </c>
      <c r="W737" s="2" t="s">
        <v>7862</v>
      </c>
      <c r="X737" s="2" t="s">
        <v>5405</v>
      </c>
      <c r="Y737" s="2">
        <v>11220</v>
      </c>
      <c r="Z737" s="19" t="str">
        <f>HYPERLINK("https://ssdweb.co/ssdweb/hd/Vision360.html?d=821127663&amp;zoomslide=1&amp;z=1821127663&amp;ISCONFIRM=0","VIDEO")</f>
        <v>VIDEO</v>
      </c>
      <c r="AA737" s="19" t="str">
        <f>HYPERLINK("https://ssdweb.co/ssdweb/CERTH/624404779.pdf","CERTI")</f>
        <v>CERTI</v>
      </c>
    </row>
    <row r="738" spans="1:27" ht="15" x14ac:dyDescent="0.25">
      <c r="A738" s="2">
        <v>733</v>
      </c>
      <c r="B738" s="39">
        <v>925520488</v>
      </c>
      <c r="C738" s="28" t="str">
        <f>HYPERLINK("https://pld.live/RapDetail.aspx?STONELIST=925520488","DNA")</f>
        <v>DNA</v>
      </c>
      <c r="D738" s="18" t="s">
        <v>3054</v>
      </c>
      <c r="E738" s="18" t="s">
        <v>5128</v>
      </c>
      <c r="F738" s="2" t="s">
        <v>5597</v>
      </c>
      <c r="G738" s="2" t="s">
        <v>861</v>
      </c>
      <c r="H738" s="14">
        <v>1.1000000000000001</v>
      </c>
      <c r="I738" s="2" t="s">
        <v>267</v>
      </c>
      <c r="J738" s="2" t="s">
        <v>3942</v>
      </c>
      <c r="K738" s="2" t="s">
        <v>5221</v>
      </c>
      <c r="L738" s="2" t="s">
        <v>5221</v>
      </c>
      <c r="M738" s="2" t="s">
        <v>5221</v>
      </c>
      <c r="N738" s="2" t="s">
        <v>2317</v>
      </c>
      <c r="O738" s="14">
        <v>10200</v>
      </c>
      <c r="P738" s="14">
        <v>98.01</v>
      </c>
      <c r="Q738" s="14">
        <v>202.98</v>
      </c>
      <c r="R738" s="14">
        <v>223.28</v>
      </c>
      <c r="S738" s="2" t="s">
        <v>2479</v>
      </c>
      <c r="T738" s="2">
        <v>1</v>
      </c>
      <c r="U738" s="2">
        <v>60.5</v>
      </c>
      <c r="V738" s="2">
        <v>58</v>
      </c>
      <c r="W738" s="2" t="s">
        <v>7862</v>
      </c>
      <c r="X738" s="2" t="s">
        <v>5405</v>
      </c>
      <c r="Y738" s="2">
        <v>11220</v>
      </c>
      <c r="Z738" s="19" t="str">
        <f>HYPERLINK("https://ssdweb.co/ssdweb/hd/Vision360.html?d=925520488&amp;zoomslide=1&amp;z=1925520488&amp;ISCONFIRM=0","VIDEO")</f>
        <v>VIDEO</v>
      </c>
      <c r="AA738" s="19" t="str">
        <f>HYPERLINK("https://ssdweb.co/ssdweb/CERTH/2486386950.pdf","CERTI")</f>
        <v>CERTI</v>
      </c>
    </row>
    <row r="739" spans="1:27" ht="15" x14ac:dyDescent="0.25">
      <c r="A739" s="2">
        <v>734</v>
      </c>
      <c r="B739" s="39">
        <v>925520517</v>
      </c>
      <c r="C739" s="28" t="str">
        <f>HYPERLINK("https://pld.live/RapDetail.aspx?STONELIST=925520517","DNA")</f>
        <v>DNA</v>
      </c>
      <c r="D739" s="18" t="s">
        <v>3054</v>
      </c>
      <c r="E739" s="18" t="s">
        <v>5128</v>
      </c>
      <c r="F739" s="2" t="s">
        <v>5597</v>
      </c>
      <c r="G739" s="2" t="s">
        <v>861</v>
      </c>
      <c r="H739" s="14">
        <v>1.1000000000000001</v>
      </c>
      <c r="I739" s="2" t="s">
        <v>267</v>
      </c>
      <c r="J739" s="2" t="s">
        <v>3942</v>
      </c>
      <c r="K739" s="2" t="s">
        <v>5221</v>
      </c>
      <c r="L739" s="2" t="s">
        <v>5221</v>
      </c>
      <c r="M739" s="2" t="s">
        <v>5221</v>
      </c>
      <c r="N739" s="2" t="s">
        <v>2317</v>
      </c>
      <c r="O739" s="14">
        <v>10200</v>
      </c>
      <c r="P739" s="14">
        <v>98.01</v>
      </c>
      <c r="Q739" s="14">
        <v>202.98</v>
      </c>
      <c r="R739" s="14">
        <v>223.28</v>
      </c>
      <c r="S739" s="2" t="s">
        <v>6408</v>
      </c>
      <c r="T739" s="2">
        <v>1</v>
      </c>
      <c r="U739" s="2">
        <v>61.1</v>
      </c>
      <c r="V739" s="2">
        <v>58</v>
      </c>
      <c r="W739" s="2" t="s">
        <v>7862</v>
      </c>
      <c r="X739" s="2" t="s">
        <v>5405</v>
      </c>
      <c r="Y739" s="2">
        <v>11220</v>
      </c>
      <c r="Z739" s="19" t="str">
        <f>HYPERLINK("https://ssdweb.co/ssdweb/hd/Vision360.html?d=925520517&amp;zoomslide=1&amp;z=1925520517&amp;ISCONFIRM=0","VIDEO")</f>
        <v>VIDEO</v>
      </c>
      <c r="AA739" s="19" t="str">
        <f>HYPERLINK("https://ssdweb.co/ssdweb/CERTH/6485386941.pdf","CERTI")</f>
        <v>CERTI</v>
      </c>
    </row>
    <row r="740" spans="1:27" ht="15" x14ac:dyDescent="0.25">
      <c r="A740" s="2">
        <v>735</v>
      </c>
      <c r="B740" s="39">
        <v>925520750</v>
      </c>
      <c r="C740" s="28" t="str">
        <f>HYPERLINK("https://pld.live/RapDetail.aspx?STONELIST=925520750","DNA")</f>
        <v>DNA</v>
      </c>
      <c r="D740" s="18" t="s">
        <v>3054</v>
      </c>
      <c r="E740" s="18" t="s">
        <v>5128</v>
      </c>
      <c r="F740" s="2" t="s">
        <v>5597</v>
      </c>
      <c r="G740" s="2" t="s">
        <v>861</v>
      </c>
      <c r="H740" s="14">
        <v>1.1000000000000001</v>
      </c>
      <c r="I740" s="2" t="s">
        <v>267</v>
      </c>
      <c r="J740" s="2" t="s">
        <v>3942</v>
      </c>
      <c r="K740" s="2" t="s">
        <v>5221</v>
      </c>
      <c r="L740" s="2" t="s">
        <v>5221</v>
      </c>
      <c r="M740" s="2" t="s">
        <v>5221</v>
      </c>
      <c r="N740" s="2" t="s">
        <v>2317</v>
      </c>
      <c r="O740" s="14">
        <v>10200</v>
      </c>
      <c r="P740" s="14">
        <v>98.01</v>
      </c>
      <c r="Q740" s="14">
        <v>202.98</v>
      </c>
      <c r="R740" s="14">
        <v>223.28</v>
      </c>
      <c r="S740" s="2" t="s">
        <v>2343</v>
      </c>
      <c r="T740" s="2">
        <v>1</v>
      </c>
      <c r="U740" s="2">
        <v>62.3</v>
      </c>
      <c r="V740" s="2">
        <v>57</v>
      </c>
      <c r="W740" s="2" t="s">
        <v>7862</v>
      </c>
      <c r="X740" s="2" t="s">
        <v>5405</v>
      </c>
      <c r="Y740" s="2">
        <v>11220</v>
      </c>
      <c r="Z740" s="19" t="str">
        <f>HYPERLINK("https://ssdweb.co/ssdweb/hd/Vision360.html?d=925520750&amp;zoomslide=1&amp;z=1925520750&amp;ISCONFIRM=0","VIDEO")</f>
        <v>VIDEO</v>
      </c>
      <c r="AA740" s="19" t="str">
        <f>HYPERLINK("https://ssdweb.co/ssdweb/CERTH/2486387021.pdf","CERTI")</f>
        <v>CERTI</v>
      </c>
    </row>
    <row r="741" spans="1:27" ht="15" x14ac:dyDescent="0.25">
      <c r="A741" s="2">
        <v>736</v>
      </c>
      <c r="B741" s="39">
        <v>925621083</v>
      </c>
      <c r="C741" s="28" t="str">
        <f>HYPERLINK("https://pld.live/RapDetail.aspx?STONELIST=925621083","DNA")</f>
        <v>DNA</v>
      </c>
      <c r="D741" s="18" t="s">
        <v>3054</v>
      </c>
      <c r="E741" s="18" t="s">
        <v>5128</v>
      </c>
      <c r="F741" s="2" t="s">
        <v>5597</v>
      </c>
      <c r="G741" s="2" t="s">
        <v>861</v>
      </c>
      <c r="H741" s="14">
        <v>1.1000000000000001</v>
      </c>
      <c r="I741" s="2" t="s">
        <v>267</v>
      </c>
      <c r="J741" s="2" t="s">
        <v>3942</v>
      </c>
      <c r="K741" s="2" t="s">
        <v>5221</v>
      </c>
      <c r="L741" s="2" t="s">
        <v>5221</v>
      </c>
      <c r="M741" s="2" t="s">
        <v>5221</v>
      </c>
      <c r="N741" s="2" t="s">
        <v>2317</v>
      </c>
      <c r="O741" s="14">
        <v>10200</v>
      </c>
      <c r="P741" s="14">
        <v>98.01</v>
      </c>
      <c r="Q741" s="14">
        <v>202.98</v>
      </c>
      <c r="R741" s="14">
        <v>223.28</v>
      </c>
      <c r="S741" s="2" t="s">
        <v>7026</v>
      </c>
      <c r="T741" s="2">
        <v>1.01</v>
      </c>
      <c r="U741" s="2">
        <v>61.3</v>
      </c>
      <c r="V741" s="2">
        <v>59</v>
      </c>
      <c r="W741" s="2" t="s">
        <v>7862</v>
      </c>
      <c r="X741" s="2" t="s">
        <v>5405</v>
      </c>
      <c r="Y741" s="2">
        <v>11220</v>
      </c>
      <c r="Z741" s="19" t="str">
        <f>HYPERLINK("https://ssdweb.co/ssdweb/hd/Vision360.html?d=925621083&amp;zoomslide=1&amp;z=1925621083&amp;ISCONFIRM=0","VIDEO")</f>
        <v>VIDEO</v>
      </c>
      <c r="AA741" s="19" t="str">
        <f>HYPERLINK("https://ssdweb.co/ssdweb/CERTH/1485505978.pdf","CERTI")</f>
        <v>CERTI</v>
      </c>
    </row>
    <row r="742" spans="1:27" ht="15" x14ac:dyDescent="0.25">
      <c r="A742" s="2">
        <v>737</v>
      </c>
      <c r="B742" s="39">
        <v>926101515</v>
      </c>
      <c r="C742" s="28" t="str">
        <f>HYPERLINK("https://pld.live/RapDetail.aspx?STONELIST=926101515","DNA")</f>
        <v>DNA</v>
      </c>
      <c r="D742" s="18" t="s">
        <v>3054</v>
      </c>
      <c r="E742" s="18" t="s">
        <v>5128</v>
      </c>
      <c r="F742" s="2" t="s">
        <v>7987</v>
      </c>
      <c r="G742" s="2" t="s">
        <v>861</v>
      </c>
      <c r="H742" s="14">
        <v>1.1000000000000001</v>
      </c>
      <c r="I742" s="2" t="s">
        <v>267</v>
      </c>
      <c r="J742" s="2" t="s">
        <v>3942</v>
      </c>
      <c r="K742" s="2" t="s">
        <v>5221</v>
      </c>
      <c r="L742" s="2" t="s">
        <v>5221</v>
      </c>
      <c r="M742" s="2" t="s">
        <v>5221</v>
      </c>
      <c r="N742" s="2" t="s">
        <v>2317</v>
      </c>
      <c r="O742" s="14">
        <v>10200</v>
      </c>
      <c r="P742" s="14">
        <v>98.78</v>
      </c>
      <c r="Q742" s="14">
        <v>124.44</v>
      </c>
      <c r="R742" s="14">
        <v>136.88</v>
      </c>
      <c r="S742" s="2" t="s">
        <v>5820</v>
      </c>
      <c r="T742" s="2">
        <v>1.01</v>
      </c>
      <c r="U742" s="2">
        <v>63</v>
      </c>
      <c r="V742" s="2">
        <v>57</v>
      </c>
      <c r="W742" s="2" t="s">
        <v>7862</v>
      </c>
      <c r="X742" s="2" t="s">
        <v>5405</v>
      </c>
      <c r="Y742" s="2">
        <v>11220</v>
      </c>
      <c r="Z742" s="19" t="str">
        <f>HYPERLINK("https://ssdweb.co/ssdweb/hd/Vision360.html?d=926101515&amp;zoomslide=1&amp;z=1926101515&amp;ISCONFIRM=0","VIDEO")</f>
        <v>VIDEO</v>
      </c>
      <c r="AA742" s="19" t="str">
        <f>HYPERLINK("https://ssdweb.co/ssdweb/CERTH/632403921.pdf","CERTI")</f>
        <v>CERTI</v>
      </c>
    </row>
    <row r="743" spans="1:27" ht="15" x14ac:dyDescent="0.25">
      <c r="A743" s="2">
        <v>738</v>
      </c>
      <c r="B743" s="39">
        <v>926100966</v>
      </c>
      <c r="C743" s="28" t="str">
        <f>HYPERLINK("https://pld.live/RapDetail.aspx?STONELIST=926100966","DNA")</f>
        <v>DNA</v>
      </c>
      <c r="D743" s="18" t="s">
        <v>3054</v>
      </c>
      <c r="E743" s="18" t="s">
        <v>5128</v>
      </c>
      <c r="F743" s="2" t="s">
        <v>7987</v>
      </c>
      <c r="G743" s="2" t="s">
        <v>861</v>
      </c>
      <c r="H743" s="14">
        <v>1.1000000000000001</v>
      </c>
      <c r="I743" s="2" t="s">
        <v>267</v>
      </c>
      <c r="J743" s="2" t="s">
        <v>3942</v>
      </c>
      <c r="K743" s="2" t="s">
        <v>5221</v>
      </c>
      <c r="L743" s="2" t="s">
        <v>5221</v>
      </c>
      <c r="M743" s="2" t="s">
        <v>5221</v>
      </c>
      <c r="N743" s="2" t="s">
        <v>2317</v>
      </c>
      <c r="O743" s="14">
        <v>10200</v>
      </c>
      <c r="P743" s="14">
        <v>98.78</v>
      </c>
      <c r="Q743" s="14">
        <v>124.44</v>
      </c>
      <c r="R743" s="14">
        <v>136.88</v>
      </c>
      <c r="S743" s="2" t="s">
        <v>2495</v>
      </c>
      <c r="T743" s="2">
        <v>1.01</v>
      </c>
      <c r="U743" s="2">
        <v>62.7</v>
      </c>
      <c r="V743" s="2">
        <v>56</v>
      </c>
      <c r="W743" s="2" t="s">
        <v>7862</v>
      </c>
      <c r="X743" s="2" t="s">
        <v>5405</v>
      </c>
      <c r="Y743" s="2">
        <v>11220</v>
      </c>
      <c r="Z743" s="19" t="str">
        <f>HYPERLINK("https://ssdweb.co/ssdweb/hd/Vision360.html?d=926100966&amp;zoomslide=1&amp;z=1926100966&amp;ISCONFIRM=0","VIDEO")</f>
        <v>VIDEO</v>
      </c>
      <c r="AA743" s="19" t="str">
        <f>HYPERLINK("https://ssdweb.co/ssdweb/CERTH/632488267.pdf","CERTI")</f>
        <v>CERTI</v>
      </c>
    </row>
    <row r="744" spans="1:27" ht="15" x14ac:dyDescent="0.25">
      <c r="A744" s="2">
        <v>739</v>
      </c>
      <c r="B744" s="39">
        <v>925801472</v>
      </c>
      <c r="C744" s="28" t="str">
        <f>HYPERLINK("https://pld.live/RapDetail.aspx?STONELIST=925801472","DNA")</f>
        <v>DNA</v>
      </c>
      <c r="D744" s="18" t="s">
        <v>3054</v>
      </c>
      <c r="E744" s="18" t="s">
        <v>5128</v>
      </c>
      <c r="F744" s="2" t="s">
        <v>7987</v>
      </c>
      <c r="G744" s="2" t="s">
        <v>861</v>
      </c>
      <c r="H744" s="14">
        <v>1.1000000000000001</v>
      </c>
      <c r="I744" s="2" t="s">
        <v>267</v>
      </c>
      <c r="J744" s="2" t="s">
        <v>13</v>
      </c>
      <c r="K744" s="2" t="s">
        <v>3390</v>
      </c>
      <c r="L744" s="2" t="s">
        <v>5221</v>
      </c>
      <c r="M744" s="2" t="s">
        <v>5221</v>
      </c>
      <c r="N744" s="2" t="s">
        <v>2317</v>
      </c>
      <c r="O744" s="14">
        <v>8700</v>
      </c>
      <c r="P744" s="14">
        <v>98.67</v>
      </c>
      <c r="Q744" s="14">
        <v>115.71</v>
      </c>
      <c r="R744" s="14">
        <v>127.28</v>
      </c>
      <c r="S744" s="2" t="s">
        <v>1707</v>
      </c>
      <c r="T744" s="2">
        <v>1</v>
      </c>
      <c r="U744" s="2">
        <v>61.9</v>
      </c>
      <c r="V744" s="2">
        <v>57</v>
      </c>
      <c r="W744" s="2" t="s">
        <v>7862</v>
      </c>
      <c r="X744" s="2" t="s">
        <v>5405</v>
      </c>
      <c r="Y744" s="2">
        <v>9570</v>
      </c>
      <c r="Z744" s="19" t="str">
        <f>HYPERLINK("https://ssdweb.co/ssdweb/hd/Vision360.html?d=925801472&amp;zoomslide=1&amp;z=1925801472&amp;ISCONFIRM=0","VIDEO")</f>
        <v>VIDEO</v>
      </c>
      <c r="AA744" s="19" t="str">
        <f>HYPERLINK("https://ssdweb.co/ssdweb/CERTH/626415019.pdf","CERTI")</f>
        <v>CERTI</v>
      </c>
    </row>
    <row r="745" spans="1:27" ht="15" x14ac:dyDescent="0.25">
      <c r="A745" s="2">
        <v>740</v>
      </c>
      <c r="B745" s="39">
        <v>925801469</v>
      </c>
      <c r="C745" s="28" t="str">
        <f>HYPERLINK("https://pld.live/RapDetail.aspx?STONELIST=925801469","DNA")</f>
        <v>DNA</v>
      </c>
      <c r="D745" s="18" t="s">
        <v>3054</v>
      </c>
      <c r="E745" s="18" t="s">
        <v>5128</v>
      </c>
      <c r="F745" s="2" t="s">
        <v>7987</v>
      </c>
      <c r="G745" s="2" t="s">
        <v>861</v>
      </c>
      <c r="H745" s="14">
        <v>1.1000000000000001</v>
      </c>
      <c r="I745" s="2" t="s">
        <v>267</v>
      </c>
      <c r="J745" s="2" t="s">
        <v>13</v>
      </c>
      <c r="K745" s="2" t="s">
        <v>3390</v>
      </c>
      <c r="L745" s="2" t="s">
        <v>5221</v>
      </c>
      <c r="M745" s="2" t="s">
        <v>5221</v>
      </c>
      <c r="N745" s="2" t="s">
        <v>2317</v>
      </c>
      <c r="O745" s="14">
        <v>8700</v>
      </c>
      <c r="P745" s="14">
        <v>98.67</v>
      </c>
      <c r="Q745" s="14">
        <v>115.71</v>
      </c>
      <c r="R745" s="14">
        <v>127.28</v>
      </c>
      <c r="S745" s="2" t="s">
        <v>6665</v>
      </c>
      <c r="T745" s="2">
        <v>1</v>
      </c>
      <c r="U745" s="2">
        <v>61.9</v>
      </c>
      <c r="V745" s="2">
        <v>58</v>
      </c>
      <c r="W745" s="2" t="s">
        <v>7862</v>
      </c>
      <c r="X745" s="2" t="s">
        <v>5405</v>
      </c>
      <c r="Y745" s="2">
        <v>9570</v>
      </c>
      <c r="Z745" s="19" t="str">
        <f>HYPERLINK("https://ssdweb.co/ssdweb/hd/Vision360.html?d=925801469&amp;zoomslide=1&amp;z=1925801469&amp;ISCONFIRM=0","VIDEO")</f>
        <v>VIDEO</v>
      </c>
      <c r="AA745" s="19" t="str">
        <f>HYPERLINK("https://ssdweb.co/ssdweb/CERTH/626415017.pdf","CERTI")</f>
        <v>CERTI</v>
      </c>
    </row>
    <row r="746" spans="1:27" ht="15" x14ac:dyDescent="0.25">
      <c r="A746" s="2">
        <v>741</v>
      </c>
      <c r="B746" s="39">
        <v>925800891</v>
      </c>
      <c r="C746" s="28" t="str">
        <f>HYPERLINK("https://pld.live/RapDetail.aspx?STONELIST=925800891","DNA")</f>
        <v>DNA</v>
      </c>
      <c r="D746" s="18" t="s">
        <v>3054</v>
      </c>
      <c r="E746" s="18" t="s">
        <v>5128</v>
      </c>
      <c r="F746" s="2" t="s">
        <v>7987</v>
      </c>
      <c r="G746" s="2" t="s">
        <v>861</v>
      </c>
      <c r="H746" s="14">
        <v>1.1000000000000001</v>
      </c>
      <c r="I746" s="2" t="s">
        <v>267</v>
      </c>
      <c r="J746" s="2" t="s">
        <v>13</v>
      </c>
      <c r="K746" s="2" t="s">
        <v>3390</v>
      </c>
      <c r="L746" s="2" t="s">
        <v>5221</v>
      </c>
      <c r="M746" s="2" t="s">
        <v>5221</v>
      </c>
      <c r="N746" s="2" t="s">
        <v>2317</v>
      </c>
      <c r="O746" s="14">
        <v>8700</v>
      </c>
      <c r="P746" s="14">
        <v>98.67</v>
      </c>
      <c r="Q746" s="14">
        <v>115.71</v>
      </c>
      <c r="R746" s="14">
        <v>127.28</v>
      </c>
      <c r="S746" s="2" t="s">
        <v>3493</v>
      </c>
      <c r="T746" s="2">
        <v>1</v>
      </c>
      <c r="U746" s="2">
        <v>61.2</v>
      </c>
      <c r="V746" s="2">
        <v>59</v>
      </c>
      <c r="W746" s="2" t="s">
        <v>7862</v>
      </c>
      <c r="X746" s="2" t="s">
        <v>5405</v>
      </c>
      <c r="Y746" s="2">
        <v>9570</v>
      </c>
      <c r="Z746" s="19" t="str">
        <f>HYPERLINK("https://ssdweb.co/ssdweb/hd/Vision360.html?d=925800891&amp;zoomslide=1&amp;z=1925800891&amp;ISCONFIRM=0","VIDEO")</f>
        <v>VIDEO</v>
      </c>
      <c r="AA746" s="19" t="str">
        <f>HYPERLINK("https://ssdweb.co/ssdweb/CERTH/626457422.pdf","CERTI")</f>
        <v>CERTI</v>
      </c>
    </row>
    <row r="747" spans="1:27" ht="15" x14ac:dyDescent="0.25">
      <c r="A747" s="2">
        <v>742</v>
      </c>
      <c r="B747" s="39">
        <v>925830615</v>
      </c>
      <c r="C747" s="28" t="str">
        <f>HYPERLINK("https://pld.live/RapDetail.aspx?STONELIST=925830615","DNA")</f>
        <v>DNA</v>
      </c>
      <c r="D747" s="18" t="s">
        <v>3054</v>
      </c>
      <c r="E747" s="18" t="s">
        <v>5128</v>
      </c>
      <c r="F747" s="2" t="s">
        <v>7987</v>
      </c>
      <c r="G747" s="2" t="s">
        <v>861</v>
      </c>
      <c r="H747" s="14">
        <v>1.1000000000000001</v>
      </c>
      <c r="I747" s="2" t="s">
        <v>267</v>
      </c>
      <c r="J747" s="2" t="s">
        <v>13</v>
      </c>
      <c r="K747" s="2" t="s">
        <v>3390</v>
      </c>
      <c r="L747" s="2" t="s">
        <v>5221</v>
      </c>
      <c r="M747" s="2" t="s">
        <v>5221</v>
      </c>
      <c r="N747" s="2" t="s">
        <v>2317</v>
      </c>
      <c r="O747" s="14">
        <v>8700</v>
      </c>
      <c r="P747" s="14">
        <v>98.67</v>
      </c>
      <c r="Q747" s="14">
        <v>115.71</v>
      </c>
      <c r="R747" s="14">
        <v>127.28</v>
      </c>
      <c r="S747" s="2" t="s">
        <v>7251</v>
      </c>
      <c r="T747" s="2">
        <v>1</v>
      </c>
      <c r="U747" s="2">
        <v>60</v>
      </c>
      <c r="V747" s="2">
        <v>59</v>
      </c>
      <c r="W747" s="2" t="s">
        <v>7862</v>
      </c>
      <c r="X747" s="2" t="s">
        <v>5405</v>
      </c>
      <c r="Y747" s="2">
        <v>9570</v>
      </c>
      <c r="Z747" s="19" t="str">
        <f>HYPERLINK("https://ssdweb.co/ssdweb/hd/Vision360.html?d=925830615&amp;zoomslide=1&amp;z=1925830615&amp;ISCONFIRM=0","VIDEO")</f>
        <v>VIDEO</v>
      </c>
      <c r="AA747" s="19" t="str">
        <f>HYPERLINK("https://ssdweb.co/ssdweb/CERTH/626427454.pdf","CERTI")</f>
        <v>CERTI</v>
      </c>
    </row>
    <row r="748" spans="1:27" ht="15" x14ac:dyDescent="0.25">
      <c r="A748" s="2">
        <v>743</v>
      </c>
      <c r="B748" s="39">
        <v>821127672</v>
      </c>
      <c r="C748" s="28" t="str">
        <f>HYPERLINK("https://pld.live/RapDetail.aspx?STONELIST=821127672","DNA")</f>
        <v>DNA</v>
      </c>
      <c r="D748" s="18" t="s">
        <v>3054</v>
      </c>
      <c r="E748" s="18" t="s">
        <v>5128</v>
      </c>
      <c r="F748" s="2" t="s">
        <v>7987</v>
      </c>
      <c r="G748" s="2" t="s">
        <v>861</v>
      </c>
      <c r="H748" s="14">
        <v>1.1000000000000001</v>
      </c>
      <c r="I748" s="2" t="s">
        <v>267</v>
      </c>
      <c r="J748" s="2" t="s">
        <v>13</v>
      </c>
      <c r="K748" s="2" t="s">
        <v>3390</v>
      </c>
      <c r="L748" s="2" t="s">
        <v>5221</v>
      </c>
      <c r="M748" s="2" t="s">
        <v>5221</v>
      </c>
      <c r="N748" s="2" t="s">
        <v>2317</v>
      </c>
      <c r="O748" s="14">
        <v>8700</v>
      </c>
      <c r="P748" s="14">
        <v>98.67</v>
      </c>
      <c r="Q748" s="14">
        <v>115.71</v>
      </c>
      <c r="R748" s="14">
        <v>127.28</v>
      </c>
      <c r="S748" s="2" t="s">
        <v>1323</v>
      </c>
      <c r="T748" s="2">
        <v>1.01</v>
      </c>
      <c r="U748" s="2">
        <v>61.9</v>
      </c>
      <c r="V748" s="2">
        <v>57</v>
      </c>
      <c r="W748" s="2" t="s">
        <v>7862</v>
      </c>
      <c r="X748" s="2" t="s">
        <v>5405</v>
      </c>
      <c r="Y748" s="2">
        <v>9570</v>
      </c>
      <c r="Z748" s="19" t="str">
        <f>HYPERLINK("https://ssdweb.co/ssdweb/hd/Vision360.html?d=821127672&amp;zoomslide=1&amp;z=1821127672&amp;ISCONFIRM=0","VIDEO")</f>
        <v>VIDEO</v>
      </c>
      <c r="AA748" s="19" t="str">
        <f>HYPERLINK("https://ssdweb.co/ssdweb/CERTH/624404803.pdf","CERTI")</f>
        <v>CERTI</v>
      </c>
    </row>
    <row r="749" spans="1:27" ht="15" x14ac:dyDescent="0.25">
      <c r="A749" s="2">
        <v>744</v>
      </c>
      <c r="B749" s="39">
        <v>821127670</v>
      </c>
      <c r="C749" s="28" t="str">
        <f>HYPERLINK("https://pld.live/RapDetail.aspx?STONELIST=821127670","DNA")</f>
        <v>DNA</v>
      </c>
      <c r="D749" s="18" t="s">
        <v>3054</v>
      </c>
      <c r="E749" s="18" t="s">
        <v>5128</v>
      </c>
      <c r="F749" s="2" t="s">
        <v>7987</v>
      </c>
      <c r="G749" s="2" t="s">
        <v>861</v>
      </c>
      <c r="H749" s="14">
        <v>1.1000000000000001</v>
      </c>
      <c r="I749" s="2" t="s">
        <v>267</v>
      </c>
      <c r="J749" s="2" t="s">
        <v>13</v>
      </c>
      <c r="K749" s="2" t="s">
        <v>3390</v>
      </c>
      <c r="L749" s="2" t="s">
        <v>5221</v>
      </c>
      <c r="M749" s="2" t="s">
        <v>5221</v>
      </c>
      <c r="N749" s="2" t="s">
        <v>2317</v>
      </c>
      <c r="O749" s="14">
        <v>8700</v>
      </c>
      <c r="P749" s="14">
        <v>98.67</v>
      </c>
      <c r="Q749" s="14">
        <v>115.71</v>
      </c>
      <c r="R749" s="14">
        <v>127.28</v>
      </c>
      <c r="S749" s="2" t="s">
        <v>6440</v>
      </c>
      <c r="T749" s="2">
        <v>1</v>
      </c>
      <c r="U749" s="2">
        <v>61.1</v>
      </c>
      <c r="V749" s="2">
        <v>59</v>
      </c>
      <c r="W749" s="2" t="s">
        <v>7862</v>
      </c>
      <c r="X749" s="2" t="s">
        <v>5405</v>
      </c>
      <c r="Y749" s="2">
        <v>9570</v>
      </c>
      <c r="Z749" s="19" t="str">
        <f>HYPERLINK("https://ssdweb.co/ssdweb/hd/Vision360.html?d=821127670&amp;zoomslide=1&amp;z=1821127670&amp;ISCONFIRM=0","VIDEO")</f>
        <v>VIDEO</v>
      </c>
      <c r="AA749" s="19" t="str">
        <f>HYPERLINK("https://ssdweb.co/ssdweb/CERTH/624404737.pdf","CERTI")</f>
        <v>CERTI</v>
      </c>
    </row>
    <row r="750" spans="1:27" ht="15" x14ac:dyDescent="0.25">
      <c r="A750" s="2">
        <v>745</v>
      </c>
      <c r="B750" s="39">
        <v>821127522</v>
      </c>
      <c r="C750" s="28" t="str">
        <f>HYPERLINK("https://pld.live/RapDetail.aspx?STONELIST=821127522","DNA")</f>
        <v>DNA</v>
      </c>
      <c r="D750" s="18" t="s">
        <v>3054</v>
      </c>
      <c r="E750" s="18" t="s">
        <v>5128</v>
      </c>
      <c r="F750" s="2" t="s">
        <v>7987</v>
      </c>
      <c r="G750" s="2" t="s">
        <v>861</v>
      </c>
      <c r="H750" s="14">
        <v>1.1000000000000001</v>
      </c>
      <c r="I750" s="2" t="s">
        <v>267</v>
      </c>
      <c r="J750" s="2" t="s">
        <v>13</v>
      </c>
      <c r="K750" s="2" t="s">
        <v>3390</v>
      </c>
      <c r="L750" s="2" t="s">
        <v>5221</v>
      </c>
      <c r="M750" s="2" t="s">
        <v>5221</v>
      </c>
      <c r="N750" s="2" t="s">
        <v>2317</v>
      </c>
      <c r="O750" s="14">
        <v>8700</v>
      </c>
      <c r="P750" s="14">
        <v>98.67</v>
      </c>
      <c r="Q750" s="14">
        <v>115.71</v>
      </c>
      <c r="R750" s="14">
        <v>127.28</v>
      </c>
      <c r="S750" s="2" t="s">
        <v>4648</v>
      </c>
      <c r="T750" s="2">
        <v>1</v>
      </c>
      <c r="U750" s="2">
        <v>60.3</v>
      </c>
      <c r="V750" s="2">
        <v>58</v>
      </c>
      <c r="W750" s="2" t="s">
        <v>7862</v>
      </c>
      <c r="X750" s="2" t="s">
        <v>5405</v>
      </c>
      <c r="Y750" s="2">
        <v>9570</v>
      </c>
      <c r="Z750" s="19" t="str">
        <f>HYPERLINK("https://ssdweb.co/ssdweb/hd/Vision360.html?d=821127522&amp;zoomslide=1&amp;z=1821127522&amp;ISCONFIRM=0","VIDEO")</f>
        <v>VIDEO</v>
      </c>
      <c r="AA750" s="19" t="str">
        <f>HYPERLINK("https://ssdweb.co/ssdweb/CERTH/623466800.pdf","CERTI")</f>
        <v>CERTI</v>
      </c>
    </row>
    <row r="751" spans="1:27" ht="15" x14ac:dyDescent="0.25">
      <c r="A751" s="2">
        <v>746</v>
      </c>
      <c r="B751" s="39">
        <v>821127521</v>
      </c>
      <c r="C751" s="28" t="str">
        <f>HYPERLINK("https://pld.live/RapDetail.aspx?STONELIST=821127521","DNA")</f>
        <v>DNA</v>
      </c>
      <c r="D751" s="18" t="s">
        <v>3054</v>
      </c>
      <c r="E751" s="18" t="s">
        <v>5128</v>
      </c>
      <c r="F751" s="2" t="s">
        <v>7987</v>
      </c>
      <c r="G751" s="2" t="s">
        <v>861</v>
      </c>
      <c r="H751" s="14">
        <v>1.1000000000000001</v>
      </c>
      <c r="I751" s="2" t="s">
        <v>267</v>
      </c>
      <c r="J751" s="2" t="s">
        <v>13</v>
      </c>
      <c r="K751" s="2" t="s">
        <v>3390</v>
      </c>
      <c r="L751" s="2" t="s">
        <v>5221</v>
      </c>
      <c r="M751" s="2" t="s">
        <v>5221</v>
      </c>
      <c r="N751" s="2" t="s">
        <v>2317</v>
      </c>
      <c r="O751" s="14">
        <v>8700</v>
      </c>
      <c r="P751" s="14">
        <v>98.67</v>
      </c>
      <c r="Q751" s="14">
        <v>115.71</v>
      </c>
      <c r="R751" s="14">
        <v>127.28</v>
      </c>
      <c r="S751" s="2" t="s">
        <v>4602</v>
      </c>
      <c r="T751" s="2">
        <v>1.01</v>
      </c>
      <c r="U751" s="2">
        <v>61.3</v>
      </c>
      <c r="V751" s="2">
        <v>59</v>
      </c>
      <c r="W751" s="2" t="s">
        <v>7862</v>
      </c>
      <c r="X751" s="2" t="s">
        <v>5405</v>
      </c>
      <c r="Y751" s="2">
        <v>9570</v>
      </c>
      <c r="Z751" s="19" t="str">
        <f>HYPERLINK("https://ssdweb.co/ssdweb/hd/Vision360.html?d=821127521&amp;zoomslide=1&amp;z=1821127521&amp;ISCONFIRM=0","VIDEO")</f>
        <v>VIDEO</v>
      </c>
      <c r="AA751" s="19" t="str">
        <f>HYPERLINK("https://ssdweb.co/ssdweb/CERTH/623408119.pdf","CERTI")</f>
        <v>CERTI</v>
      </c>
    </row>
    <row r="752" spans="1:27" ht="15" x14ac:dyDescent="0.25">
      <c r="A752" s="2">
        <v>747</v>
      </c>
      <c r="B752" s="39">
        <v>821127488</v>
      </c>
      <c r="C752" s="28" t="str">
        <f>HYPERLINK("https://pld.live/RapDetail.aspx?STONELIST=821127488","DNA")</f>
        <v>DNA</v>
      </c>
      <c r="D752" s="18" t="s">
        <v>3054</v>
      </c>
      <c r="E752" s="18" t="s">
        <v>5128</v>
      </c>
      <c r="F752" s="2" t="s">
        <v>7987</v>
      </c>
      <c r="G752" s="2" t="s">
        <v>861</v>
      </c>
      <c r="H752" s="14">
        <v>1.1000000000000001</v>
      </c>
      <c r="I752" s="2" t="s">
        <v>267</v>
      </c>
      <c r="J752" s="2" t="s">
        <v>13</v>
      </c>
      <c r="K752" s="2" t="s">
        <v>3390</v>
      </c>
      <c r="L752" s="2" t="s">
        <v>5221</v>
      </c>
      <c r="M752" s="2" t="s">
        <v>5221</v>
      </c>
      <c r="N752" s="2" t="s">
        <v>2317</v>
      </c>
      <c r="O752" s="14">
        <v>8700</v>
      </c>
      <c r="P752" s="14">
        <v>98.67</v>
      </c>
      <c r="Q752" s="14">
        <v>115.71</v>
      </c>
      <c r="R752" s="14">
        <v>127.28</v>
      </c>
      <c r="S752" s="2" t="s">
        <v>3969</v>
      </c>
      <c r="T752" s="2">
        <v>1</v>
      </c>
      <c r="U752" s="2">
        <v>59.6</v>
      </c>
      <c r="V752" s="2">
        <v>59</v>
      </c>
      <c r="W752" s="2" t="s">
        <v>7862</v>
      </c>
      <c r="X752" s="2" t="s">
        <v>5405</v>
      </c>
      <c r="Y752" s="2">
        <v>9570</v>
      </c>
      <c r="Z752" s="19" t="str">
        <f>HYPERLINK("https://ssdweb.co/ssdweb/hd/Vision360.html?d=821127488&amp;zoomslide=1&amp;z=1821127488&amp;ISCONFIRM=0","VIDEO")</f>
        <v>VIDEO</v>
      </c>
      <c r="AA752" s="19" t="str">
        <f>HYPERLINK("https://ssdweb.co/ssdweb/CERTH/626480208.pdf","CERTI")</f>
        <v>CERTI</v>
      </c>
    </row>
    <row r="753" spans="1:27" ht="15" x14ac:dyDescent="0.25">
      <c r="A753" s="2">
        <v>748</v>
      </c>
      <c r="B753" s="39">
        <v>821127467</v>
      </c>
      <c r="C753" s="28" t="str">
        <f>HYPERLINK("https://pld.live/RapDetail.aspx?STONELIST=821127467","DNA")</f>
        <v>DNA</v>
      </c>
      <c r="D753" s="18" t="s">
        <v>3054</v>
      </c>
      <c r="E753" s="18" t="s">
        <v>5128</v>
      </c>
      <c r="F753" s="2" t="s">
        <v>7987</v>
      </c>
      <c r="G753" s="2" t="s">
        <v>861</v>
      </c>
      <c r="H753" s="14">
        <v>1.1000000000000001</v>
      </c>
      <c r="I753" s="2" t="s">
        <v>267</v>
      </c>
      <c r="J753" s="2" t="s">
        <v>13</v>
      </c>
      <c r="K753" s="2" t="s">
        <v>3390</v>
      </c>
      <c r="L753" s="2" t="s">
        <v>5221</v>
      </c>
      <c r="M753" s="2" t="s">
        <v>5221</v>
      </c>
      <c r="N753" s="2" t="s">
        <v>2317</v>
      </c>
      <c r="O753" s="14">
        <v>8700</v>
      </c>
      <c r="P753" s="14">
        <v>98.67</v>
      </c>
      <c r="Q753" s="14">
        <v>115.71</v>
      </c>
      <c r="R753" s="14">
        <v>127.28</v>
      </c>
      <c r="S753" s="2" t="s">
        <v>6253</v>
      </c>
      <c r="T753" s="2">
        <v>1</v>
      </c>
      <c r="U753" s="2">
        <v>61.3</v>
      </c>
      <c r="V753" s="2">
        <v>57</v>
      </c>
      <c r="W753" s="2" t="s">
        <v>7862</v>
      </c>
      <c r="X753" s="2" t="s">
        <v>5405</v>
      </c>
      <c r="Y753" s="2">
        <v>9570</v>
      </c>
      <c r="Z753" s="19" t="str">
        <f>HYPERLINK("https://ssdweb.co/ssdweb/hd/Vision360.html?d=821127467&amp;zoomslide=1&amp;z=1821127467&amp;ISCONFIRM=0","VIDEO")</f>
        <v>VIDEO</v>
      </c>
      <c r="AA753" s="19" t="str">
        <f>HYPERLINK("https://ssdweb.co/ssdweb/CERTH/626479017.pdf","CERTI")</f>
        <v>CERTI</v>
      </c>
    </row>
    <row r="754" spans="1:27" ht="15" x14ac:dyDescent="0.25">
      <c r="A754" s="2">
        <v>749</v>
      </c>
      <c r="B754" s="39">
        <v>821127453</v>
      </c>
      <c r="C754" s="28" t="str">
        <f>HYPERLINK("https://pld.live/RapDetail.aspx?STONELIST=821127453","DNA")</f>
        <v>DNA</v>
      </c>
      <c r="D754" s="18" t="s">
        <v>3054</v>
      </c>
      <c r="E754" s="18" t="s">
        <v>5128</v>
      </c>
      <c r="F754" s="2" t="s">
        <v>7987</v>
      </c>
      <c r="G754" s="2" t="s">
        <v>861</v>
      </c>
      <c r="H754" s="14">
        <v>1.1000000000000001</v>
      </c>
      <c r="I754" s="2" t="s">
        <v>267</v>
      </c>
      <c r="J754" s="2" t="s">
        <v>13</v>
      </c>
      <c r="K754" s="2" t="s">
        <v>3390</v>
      </c>
      <c r="L754" s="2" t="s">
        <v>5221</v>
      </c>
      <c r="M754" s="2" t="s">
        <v>5221</v>
      </c>
      <c r="N754" s="2" t="s">
        <v>2317</v>
      </c>
      <c r="O754" s="14">
        <v>8700</v>
      </c>
      <c r="P754" s="14">
        <v>98.67</v>
      </c>
      <c r="Q754" s="14">
        <v>115.71</v>
      </c>
      <c r="R754" s="14">
        <v>127.28</v>
      </c>
      <c r="S754" s="2" t="s">
        <v>3311</v>
      </c>
      <c r="T754" s="2">
        <v>1.01</v>
      </c>
      <c r="U754" s="2">
        <v>61.8</v>
      </c>
      <c r="V754" s="2">
        <v>58</v>
      </c>
      <c r="W754" s="2" t="s">
        <v>7862</v>
      </c>
      <c r="X754" s="2" t="s">
        <v>5405</v>
      </c>
      <c r="Y754" s="2">
        <v>9570</v>
      </c>
      <c r="Z754" s="19" t="str">
        <f>HYPERLINK("https://ssdweb.co/ssdweb/hd/Vision360.html?d=821127453&amp;zoomslide=1&amp;z=1821127453&amp;ISCONFIRM=0","VIDEO")</f>
        <v>VIDEO</v>
      </c>
      <c r="AA754" s="19" t="str">
        <f>HYPERLINK("https://ssdweb.co/ssdweb/CERTH/626479870.pdf","CERTI")</f>
        <v>CERTI</v>
      </c>
    </row>
    <row r="755" spans="1:27" ht="15" x14ac:dyDescent="0.25">
      <c r="A755" s="2">
        <v>750</v>
      </c>
      <c r="B755" s="39">
        <v>821127449</v>
      </c>
      <c r="C755" s="28" t="str">
        <f>HYPERLINK("https://pld.live/RapDetail.aspx?STONELIST=821127449","DNA")</f>
        <v>DNA</v>
      </c>
      <c r="D755" s="18" t="s">
        <v>3054</v>
      </c>
      <c r="E755" s="18" t="s">
        <v>5128</v>
      </c>
      <c r="F755" s="2" t="s">
        <v>7987</v>
      </c>
      <c r="G755" s="2" t="s">
        <v>861</v>
      </c>
      <c r="H755" s="14">
        <v>1.1000000000000001</v>
      </c>
      <c r="I755" s="2" t="s">
        <v>267</v>
      </c>
      <c r="J755" s="2" t="s">
        <v>13</v>
      </c>
      <c r="K755" s="2" t="s">
        <v>3390</v>
      </c>
      <c r="L755" s="2" t="s">
        <v>5221</v>
      </c>
      <c r="M755" s="2" t="s">
        <v>5221</v>
      </c>
      <c r="N755" s="2" t="s">
        <v>2317</v>
      </c>
      <c r="O755" s="14">
        <v>8700</v>
      </c>
      <c r="P755" s="14">
        <v>98.67</v>
      </c>
      <c r="Q755" s="14">
        <v>115.71</v>
      </c>
      <c r="R755" s="14">
        <v>127.28</v>
      </c>
      <c r="S755" s="2" t="s">
        <v>780</v>
      </c>
      <c r="T755" s="2">
        <v>1.01</v>
      </c>
      <c r="U755" s="2">
        <v>61.7</v>
      </c>
      <c r="V755" s="2">
        <v>58</v>
      </c>
      <c r="W755" s="2" t="s">
        <v>7862</v>
      </c>
      <c r="X755" s="2" t="s">
        <v>5405</v>
      </c>
      <c r="Y755" s="2">
        <v>9570</v>
      </c>
      <c r="Z755" s="19" t="str">
        <f>HYPERLINK("https://ssdweb.co/ssdweb/hd/Vision360.html?d=821127449&amp;zoomslide=1&amp;z=1821127449&amp;ISCONFIRM=0","VIDEO")</f>
        <v>VIDEO</v>
      </c>
      <c r="AA755" s="19" t="str">
        <f>HYPERLINK("https://ssdweb.co/ssdweb/CERTH/626478965.pdf","CERTI")</f>
        <v>CERTI</v>
      </c>
    </row>
    <row r="756" spans="1:27" ht="15" x14ac:dyDescent="0.25">
      <c r="A756" s="2">
        <v>751</v>
      </c>
      <c r="B756" s="39">
        <v>821127756</v>
      </c>
      <c r="C756" s="28" t="str">
        <f>HYPERLINK("https://pld.live/RapDetail.aspx?STONELIST=821127756","DNA")</f>
        <v>DNA</v>
      </c>
      <c r="D756" s="18" t="s">
        <v>3054</v>
      </c>
      <c r="E756" s="18" t="s">
        <v>5128</v>
      </c>
      <c r="F756" s="2" t="s">
        <v>7987</v>
      </c>
      <c r="G756" s="2" t="s">
        <v>861</v>
      </c>
      <c r="H756" s="14">
        <v>1.1000000000000001</v>
      </c>
      <c r="I756" s="2" t="s">
        <v>267</v>
      </c>
      <c r="J756" s="2" t="s">
        <v>5144</v>
      </c>
      <c r="K756" s="2" t="s">
        <v>3390</v>
      </c>
      <c r="L756" s="2" t="s">
        <v>5221</v>
      </c>
      <c r="M756" s="2" t="s">
        <v>5221</v>
      </c>
      <c r="N756" s="2" t="s">
        <v>2317</v>
      </c>
      <c r="O756" s="14">
        <v>7300</v>
      </c>
      <c r="P756" s="14">
        <v>98.41</v>
      </c>
      <c r="Q756" s="14">
        <v>116.07</v>
      </c>
      <c r="R756" s="14">
        <v>127.68</v>
      </c>
      <c r="S756" s="2" t="s">
        <v>7772</v>
      </c>
      <c r="T756" s="2">
        <v>1.01</v>
      </c>
      <c r="U756" s="2">
        <v>61.5</v>
      </c>
      <c r="V756" s="2">
        <v>57</v>
      </c>
      <c r="W756" s="2" t="s">
        <v>7862</v>
      </c>
      <c r="X756" s="2" t="s">
        <v>5405</v>
      </c>
      <c r="Y756" s="2">
        <v>8030</v>
      </c>
      <c r="Z756" s="19" t="str">
        <f>HYPERLINK("https://ssdweb.co/ssdweb/hd/Vision360.html?d=821127756&amp;zoomslide=1&amp;z=1821127756&amp;ISCONFIRM=0","VIDEO")</f>
        <v>VIDEO</v>
      </c>
      <c r="AA756" s="19" t="str">
        <f>HYPERLINK("https://ssdweb.co/ssdweb/CERTH/628416198.pdf","CERTI")</f>
        <v>CERTI</v>
      </c>
    </row>
    <row r="757" spans="1:27" ht="15" x14ac:dyDescent="0.25">
      <c r="A757" s="2">
        <v>752</v>
      </c>
      <c r="B757" s="39">
        <v>924820051</v>
      </c>
      <c r="C757" s="28" t="str">
        <f>HYPERLINK("https://pld.live/RapDetail.aspx?STONELIST=924820051","DNA")</f>
        <v>DNA</v>
      </c>
      <c r="D757" s="18" t="s">
        <v>3054</v>
      </c>
      <c r="E757" s="18" t="s">
        <v>2186</v>
      </c>
      <c r="F757" s="2" t="s">
        <v>5597</v>
      </c>
      <c r="G757" s="2" t="s">
        <v>861</v>
      </c>
      <c r="H757" s="14">
        <v>1.1000000000000001</v>
      </c>
      <c r="I757" s="2" t="s">
        <v>267</v>
      </c>
      <c r="J757" s="2" t="s">
        <v>5144</v>
      </c>
      <c r="K757" s="2" t="s">
        <v>5221</v>
      </c>
      <c r="L757" s="2" t="s">
        <v>5721</v>
      </c>
      <c r="M757" s="2" t="s">
        <v>5221</v>
      </c>
      <c r="N757" s="2" t="s">
        <v>2317</v>
      </c>
      <c r="O757" s="14">
        <v>7300</v>
      </c>
      <c r="P757" s="14">
        <v>97.34</v>
      </c>
      <c r="Q757" s="14">
        <v>194.18</v>
      </c>
      <c r="R757" s="14">
        <v>213.6</v>
      </c>
      <c r="S757" s="2" t="s">
        <v>7061</v>
      </c>
      <c r="T757" s="2">
        <v>1</v>
      </c>
      <c r="U757" s="2">
        <v>62.3</v>
      </c>
      <c r="V757" s="2">
        <v>57</v>
      </c>
      <c r="W757" s="2" t="s">
        <v>7862</v>
      </c>
      <c r="X757" s="2" t="s">
        <v>5405</v>
      </c>
      <c r="Y757" s="2">
        <v>8030</v>
      </c>
      <c r="Z757" s="19" t="str">
        <f>HYPERLINK("https://ssdweb.co/ssdweb/hd/Vision360.html?d=924820051&amp;zoomslide=1&amp;z=1924820051&amp;ISCONFIRM=0","VIDEO")</f>
        <v>VIDEO</v>
      </c>
      <c r="AA757" s="19" t="str">
        <f>HYPERLINK("https://ssdweb.co/ssdweb/CERTH/2476549994.pdf","CERTI")</f>
        <v>CERTI</v>
      </c>
    </row>
    <row r="758" spans="1:27" ht="15" x14ac:dyDescent="0.25">
      <c r="A758" s="2">
        <v>753</v>
      </c>
      <c r="B758" s="39">
        <v>925370034</v>
      </c>
      <c r="C758" s="28" t="str">
        <f>HYPERLINK("https://pld.live/RapDetail.aspx?STONELIST=925370034","DNA")</f>
        <v>DNA</v>
      </c>
      <c r="D758" s="18" t="s">
        <v>3054</v>
      </c>
      <c r="E758" s="18" t="s">
        <v>5128</v>
      </c>
      <c r="F758" s="2" t="s">
        <v>7987</v>
      </c>
      <c r="G758" s="2" t="s">
        <v>861</v>
      </c>
      <c r="H758" s="14">
        <v>1.1000000000000001</v>
      </c>
      <c r="I758" s="2" t="s">
        <v>4761</v>
      </c>
      <c r="J758" s="2" t="s">
        <v>7032</v>
      </c>
      <c r="K758" s="2" t="s">
        <v>3390</v>
      </c>
      <c r="L758" s="2" t="s">
        <v>5221</v>
      </c>
      <c r="M758" s="2" t="s">
        <v>5221</v>
      </c>
      <c r="N758" s="2" t="s">
        <v>2317</v>
      </c>
      <c r="O758" s="14">
        <v>12500</v>
      </c>
      <c r="P758" s="14">
        <v>98.26</v>
      </c>
      <c r="Q758" s="14">
        <v>217.5</v>
      </c>
      <c r="R758" s="14">
        <v>239.25</v>
      </c>
      <c r="S758" s="2" t="s">
        <v>7932</v>
      </c>
      <c r="T758" s="2">
        <v>1</v>
      </c>
      <c r="U758" s="2">
        <v>61.8</v>
      </c>
      <c r="V758" s="2">
        <v>58</v>
      </c>
      <c r="W758" s="2" t="s">
        <v>7862</v>
      </c>
      <c r="X758" s="2" t="s">
        <v>5405</v>
      </c>
      <c r="Y758" s="2">
        <v>13750</v>
      </c>
      <c r="Z758" s="19" t="str">
        <f>HYPERLINK("https://ssdweb.co/ssdweb/hd/Vision360.html?d=925370034&amp;zoomslide=1&amp;z=1925370034&amp;ISCONFIRM=0","VIDEO")</f>
        <v>VIDEO</v>
      </c>
      <c r="AA758" s="19" t="str">
        <f>HYPERLINK("https://ssdweb.co/ssdweb/CERTH/615342929.pdf","CERTI")</f>
        <v>CERTI</v>
      </c>
    </row>
    <row r="759" spans="1:27" ht="15" x14ac:dyDescent="0.25">
      <c r="A759" s="2">
        <v>754</v>
      </c>
      <c r="B759" s="39">
        <v>924600072</v>
      </c>
      <c r="C759" s="28" t="str">
        <f>HYPERLINK("https://pld.live/RapDetail.aspx?STONELIST=924600072","DNA")</f>
        <v>DNA</v>
      </c>
      <c r="D759" s="18" t="s">
        <v>3054</v>
      </c>
      <c r="E759" s="18" t="s">
        <v>5128</v>
      </c>
      <c r="F759" s="2" t="s">
        <v>7987</v>
      </c>
      <c r="G759" s="2" t="s">
        <v>861</v>
      </c>
      <c r="H759" s="14">
        <v>1.1000000000000001</v>
      </c>
      <c r="I759" s="2" t="s">
        <v>4761</v>
      </c>
      <c r="J759" s="2" t="s">
        <v>6555</v>
      </c>
      <c r="K759" s="2" t="s">
        <v>3390</v>
      </c>
      <c r="L759" s="2" t="s">
        <v>5221</v>
      </c>
      <c r="M759" s="2" t="s">
        <v>5221</v>
      </c>
      <c r="N759" s="2" t="s">
        <v>2317</v>
      </c>
      <c r="O759" s="14">
        <v>11100</v>
      </c>
      <c r="P759" s="14">
        <v>98.86</v>
      </c>
      <c r="Q759" s="14">
        <v>126.54</v>
      </c>
      <c r="R759" s="14">
        <v>139.19</v>
      </c>
      <c r="S759" s="2" t="s">
        <v>3347</v>
      </c>
      <c r="T759" s="2">
        <v>1.01</v>
      </c>
      <c r="U759" s="2">
        <v>61.3</v>
      </c>
      <c r="V759" s="2">
        <v>59</v>
      </c>
      <c r="W759" s="2" t="s">
        <v>7862</v>
      </c>
      <c r="X759" s="2" t="s">
        <v>5405</v>
      </c>
      <c r="Y759" s="2">
        <v>12210</v>
      </c>
      <c r="Z759" s="19" t="str">
        <f>HYPERLINK("https://ssdweb.co/ssdweb/hd/Vision360.html?d=924600072&amp;zoomslide=1&amp;z=1924600072&amp;ISCONFIRM=0","VIDEO")</f>
        <v>VIDEO</v>
      </c>
      <c r="AA759" s="19" t="str">
        <f>HYPERLINK("https://ssdweb.co/ssdweb/CERTH/595368249.pdf","CERTI")</f>
        <v>CERTI</v>
      </c>
    </row>
    <row r="760" spans="1:27" ht="15" x14ac:dyDescent="0.25">
      <c r="A760" s="2">
        <v>755</v>
      </c>
      <c r="B760" s="39">
        <v>925801726</v>
      </c>
      <c r="C760" s="28" t="str">
        <f>HYPERLINK("https://pld.live/RapDetail.aspx?STONELIST=925801726","DNA")</f>
        <v>DNA</v>
      </c>
      <c r="D760" s="18" t="s">
        <v>3054</v>
      </c>
      <c r="E760" s="18" t="s">
        <v>5128</v>
      </c>
      <c r="F760" s="2" t="s">
        <v>7987</v>
      </c>
      <c r="G760" s="2" t="s">
        <v>861</v>
      </c>
      <c r="H760" s="14">
        <v>1.1000000000000001</v>
      </c>
      <c r="I760" s="2" t="s">
        <v>4761</v>
      </c>
      <c r="J760" s="2" t="s">
        <v>6555</v>
      </c>
      <c r="K760" s="2" t="s">
        <v>3390</v>
      </c>
      <c r="L760" s="2" t="s">
        <v>5221</v>
      </c>
      <c r="M760" s="2" t="s">
        <v>5221</v>
      </c>
      <c r="N760" s="2" t="s">
        <v>2317</v>
      </c>
      <c r="O760" s="14">
        <v>11100</v>
      </c>
      <c r="P760" s="14">
        <v>98.86</v>
      </c>
      <c r="Q760" s="14">
        <v>126.54</v>
      </c>
      <c r="R760" s="14">
        <v>139.19</v>
      </c>
      <c r="S760" s="2" t="s">
        <v>1516</v>
      </c>
      <c r="T760" s="2">
        <v>1</v>
      </c>
      <c r="U760" s="2">
        <v>60.9</v>
      </c>
      <c r="V760" s="2">
        <v>59</v>
      </c>
      <c r="W760" s="2" t="s">
        <v>7862</v>
      </c>
      <c r="X760" s="2" t="s">
        <v>5405</v>
      </c>
      <c r="Y760" s="2">
        <v>12210</v>
      </c>
      <c r="Z760" s="19" t="str">
        <f>HYPERLINK("https://ssdweb.co/ssdweb/hd/Vision360.html?d=925801726&amp;zoomslide=1&amp;z=1925801726&amp;ISCONFIRM=0","VIDEO")</f>
        <v>VIDEO</v>
      </c>
      <c r="AA760" s="19" t="str">
        <f>HYPERLINK("https://ssdweb.co/ssdweb/CERTH/626427488.pdf","CERTI")</f>
        <v>CERTI</v>
      </c>
    </row>
    <row r="761" spans="1:27" ht="15" x14ac:dyDescent="0.25">
      <c r="A761" s="2">
        <v>756</v>
      </c>
      <c r="B761" s="39">
        <v>925800510</v>
      </c>
      <c r="C761" s="28" t="str">
        <f>HYPERLINK("https://pld.live/RapDetail.aspx?STONELIST=925800510","DNA")</f>
        <v>DNA</v>
      </c>
      <c r="D761" s="18" t="s">
        <v>3054</v>
      </c>
      <c r="E761" s="18" t="s">
        <v>5128</v>
      </c>
      <c r="F761" s="2" t="s">
        <v>7987</v>
      </c>
      <c r="G761" s="2" t="s">
        <v>861</v>
      </c>
      <c r="H761" s="14">
        <v>1.1000000000000001</v>
      </c>
      <c r="I761" s="2" t="s">
        <v>4761</v>
      </c>
      <c r="J761" s="2" t="s">
        <v>6555</v>
      </c>
      <c r="K761" s="2" t="s">
        <v>3390</v>
      </c>
      <c r="L761" s="2" t="s">
        <v>5221</v>
      </c>
      <c r="M761" s="2" t="s">
        <v>5221</v>
      </c>
      <c r="N761" s="2" t="s">
        <v>2317</v>
      </c>
      <c r="O761" s="14">
        <v>11100</v>
      </c>
      <c r="P761" s="14">
        <v>98.86</v>
      </c>
      <c r="Q761" s="14">
        <v>126.54</v>
      </c>
      <c r="R761" s="14">
        <v>139.19</v>
      </c>
      <c r="S761" s="2" t="s">
        <v>4196</v>
      </c>
      <c r="T761" s="2">
        <v>1</v>
      </c>
      <c r="U761" s="2">
        <v>62</v>
      </c>
      <c r="V761" s="2">
        <v>59</v>
      </c>
      <c r="W761" s="2" t="s">
        <v>7862</v>
      </c>
      <c r="X761" s="2" t="s">
        <v>5405</v>
      </c>
      <c r="Y761" s="2">
        <v>12210</v>
      </c>
      <c r="Z761" s="19" t="str">
        <f>HYPERLINK("https://ssdweb.co/ssdweb/hd/Vision360.html?d=925800510&amp;zoomslide=1&amp;z=1925800510&amp;ISCONFIRM=0","VIDEO")</f>
        <v>VIDEO</v>
      </c>
      <c r="AA761" s="19" t="str">
        <f>HYPERLINK("https://ssdweb.co/ssdweb/CERTH/625432204.pdf","CERTI")</f>
        <v>CERTI</v>
      </c>
    </row>
    <row r="762" spans="1:27" ht="15" x14ac:dyDescent="0.25">
      <c r="A762" s="2">
        <v>757</v>
      </c>
      <c r="B762" s="39">
        <v>925861938</v>
      </c>
      <c r="C762" s="28" t="str">
        <f>HYPERLINK("https://pld.live/RapDetail.aspx?STONELIST=925861938","DNA")</f>
        <v>DNA</v>
      </c>
      <c r="D762" s="18" t="s">
        <v>3054</v>
      </c>
      <c r="E762" s="18" t="s">
        <v>5128</v>
      </c>
      <c r="F762" s="2" t="s">
        <v>7987</v>
      </c>
      <c r="G762" s="2" t="s">
        <v>861</v>
      </c>
      <c r="H762" s="14">
        <v>1.1000000000000001</v>
      </c>
      <c r="I762" s="2" t="s">
        <v>4761</v>
      </c>
      <c r="J762" s="2" t="s">
        <v>3942</v>
      </c>
      <c r="K762" s="2" t="s">
        <v>3390</v>
      </c>
      <c r="L762" s="2" t="s">
        <v>5221</v>
      </c>
      <c r="M762" s="2" t="s">
        <v>5221</v>
      </c>
      <c r="N762" s="2" t="s">
        <v>2317</v>
      </c>
      <c r="O762" s="14">
        <v>9300</v>
      </c>
      <c r="P762" s="14">
        <v>98.72</v>
      </c>
      <c r="Q762" s="14">
        <v>119.04</v>
      </c>
      <c r="R762" s="14">
        <v>130.94</v>
      </c>
      <c r="S762" s="2" t="s">
        <v>2757</v>
      </c>
      <c r="T762" s="2">
        <v>1.01</v>
      </c>
      <c r="U762" s="2">
        <v>61.2</v>
      </c>
      <c r="V762" s="2">
        <v>60</v>
      </c>
      <c r="W762" s="2" t="s">
        <v>7862</v>
      </c>
      <c r="X762" s="2" t="s">
        <v>5405</v>
      </c>
      <c r="Y762" s="2">
        <v>10230</v>
      </c>
      <c r="Z762" s="19" t="str">
        <f>HYPERLINK("https://ssdweb.co/ssdweb/hd/Vision360.html?d=925861938&amp;zoomslide=1&amp;z=1925861938&amp;ISCONFIRM=0","VIDEO")</f>
        <v>VIDEO</v>
      </c>
      <c r="AA762" s="19" t="str">
        <f>HYPERLINK("https://ssdweb.co/ssdweb/CERTH/628463108.pdf","CERTI")</f>
        <v>CERTI</v>
      </c>
    </row>
    <row r="763" spans="1:27" ht="15" x14ac:dyDescent="0.25">
      <c r="A763" s="2">
        <v>758</v>
      </c>
      <c r="B763" s="39">
        <v>925830694</v>
      </c>
      <c r="C763" s="28" t="str">
        <f>HYPERLINK("https://pld.live/RapDetail.aspx?STONELIST=925830694","DNA")</f>
        <v>DNA</v>
      </c>
      <c r="D763" s="18" t="s">
        <v>3054</v>
      </c>
      <c r="E763" s="18" t="s">
        <v>5128</v>
      </c>
      <c r="F763" s="2" t="s">
        <v>7987</v>
      </c>
      <c r="G763" s="2" t="s">
        <v>861</v>
      </c>
      <c r="H763" s="14">
        <v>1.1000000000000001</v>
      </c>
      <c r="I763" s="2" t="s">
        <v>4761</v>
      </c>
      <c r="J763" s="2" t="s">
        <v>3942</v>
      </c>
      <c r="K763" s="2" t="s">
        <v>3390</v>
      </c>
      <c r="L763" s="2" t="s">
        <v>5221</v>
      </c>
      <c r="M763" s="2" t="s">
        <v>5221</v>
      </c>
      <c r="N763" s="2" t="s">
        <v>2317</v>
      </c>
      <c r="O763" s="14">
        <v>9300</v>
      </c>
      <c r="P763" s="14">
        <v>98.72</v>
      </c>
      <c r="Q763" s="14">
        <v>119.04</v>
      </c>
      <c r="R763" s="14">
        <v>130.94</v>
      </c>
      <c r="S763" s="2" t="s">
        <v>291</v>
      </c>
      <c r="T763" s="2">
        <v>1</v>
      </c>
      <c r="U763" s="2">
        <v>61.3</v>
      </c>
      <c r="V763" s="2">
        <v>57</v>
      </c>
      <c r="W763" s="2" t="s">
        <v>7862</v>
      </c>
      <c r="X763" s="2" t="s">
        <v>5405</v>
      </c>
      <c r="Y763" s="2">
        <v>10230</v>
      </c>
      <c r="Z763" s="19" t="str">
        <f>HYPERLINK("https://ssdweb.co/ssdweb/hd/Vision360.html?d=925830694&amp;zoomslide=1&amp;z=1925830694&amp;ISCONFIRM=0","VIDEO")</f>
        <v>VIDEO</v>
      </c>
      <c r="AA763" s="19" t="str">
        <f>HYPERLINK("https://ssdweb.co/ssdweb/CERTH/627473226.pdf","CERTI")</f>
        <v>CERTI</v>
      </c>
    </row>
    <row r="764" spans="1:27" ht="15" x14ac:dyDescent="0.25">
      <c r="A764" s="2">
        <v>759</v>
      </c>
      <c r="B764" s="39">
        <v>925830671</v>
      </c>
      <c r="C764" s="28" t="str">
        <f>HYPERLINK("https://pld.live/RapDetail.aspx?STONELIST=925830671","DNA")</f>
        <v>DNA</v>
      </c>
      <c r="D764" s="18" t="s">
        <v>3054</v>
      </c>
      <c r="E764" s="18" t="s">
        <v>5128</v>
      </c>
      <c r="F764" s="2" t="s">
        <v>7987</v>
      </c>
      <c r="G764" s="2" t="s">
        <v>861</v>
      </c>
      <c r="H764" s="14">
        <v>1.1000000000000001</v>
      </c>
      <c r="I764" s="2" t="s">
        <v>4761</v>
      </c>
      <c r="J764" s="2" t="s">
        <v>3942</v>
      </c>
      <c r="K764" s="2" t="s">
        <v>3390</v>
      </c>
      <c r="L764" s="2" t="s">
        <v>5221</v>
      </c>
      <c r="M764" s="2" t="s">
        <v>5221</v>
      </c>
      <c r="N764" s="2" t="s">
        <v>2317</v>
      </c>
      <c r="O764" s="14">
        <v>9300</v>
      </c>
      <c r="P764" s="14">
        <v>98.72</v>
      </c>
      <c r="Q764" s="14">
        <v>119.04</v>
      </c>
      <c r="R764" s="14">
        <v>130.94</v>
      </c>
      <c r="S764" s="2" t="s">
        <v>7229</v>
      </c>
      <c r="T764" s="2">
        <v>1.01</v>
      </c>
      <c r="U764" s="2">
        <v>60.5</v>
      </c>
      <c r="V764" s="2">
        <v>57</v>
      </c>
      <c r="W764" s="2" t="s">
        <v>7862</v>
      </c>
      <c r="X764" s="2" t="s">
        <v>5405</v>
      </c>
      <c r="Y764" s="2">
        <v>10230</v>
      </c>
      <c r="Z764" s="19" t="str">
        <f>HYPERLINK("https://ssdweb.co/ssdweb/hd/Vision360.html?d=925830671&amp;zoomslide=1&amp;z=1925830671&amp;ISCONFIRM=0","VIDEO")</f>
        <v>VIDEO</v>
      </c>
      <c r="AA764" s="19" t="str">
        <f>HYPERLINK("https://ssdweb.co/ssdweb/CERTH/627471605.pdf","CERTI")</f>
        <v>CERTI</v>
      </c>
    </row>
    <row r="765" spans="1:27" ht="15" x14ac:dyDescent="0.25">
      <c r="A765" s="2">
        <v>760</v>
      </c>
      <c r="B765" s="39">
        <v>831010828</v>
      </c>
      <c r="C765" s="28" t="str">
        <f>HYPERLINK("https://pld.live/RapDetail.aspx?STONELIST=831010828","DNA")</f>
        <v>DNA</v>
      </c>
      <c r="D765" s="18" t="s">
        <v>3054</v>
      </c>
      <c r="E765" s="18" t="s">
        <v>5128</v>
      </c>
      <c r="F765" s="2" t="s">
        <v>7987</v>
      </c>
      <c r="G765" s="2" t="s">
        <v>861</v>
      </c>
      <c r="H765" s="14">
        <v>1.1000000000000001</v>
      </c>
      <c r="I765" s="2" t="s">
        <v>4761</v>
      </c>
      <c r="J765" s="2" t="s">
        <v>3942</v>
      </c>
      <c r="K765" s="2" t="s">
        <v>3390</v>
      </c>
      <c r="L765" s="2" t="s">
        <v>5221</v>
      </c>
      <c r="M765" s="2" t="s">
        <v>5221</v>
      </c>
      <c r="N765" s="2" t="s">
        <v>2317</v>
      </c>
      <c r="O765" s="14">
        <v>9300</v>
      </c>
      <c r="P765" s="14">
        <v>98.72</v>
      </c>
      <c r="Q765" s="14">
        <v>119.04</v>
      </c>
      <c r="R765" s="14">
        <v>130.94</v>
      </c>
      <c r="S765" s="2" t="s">
        <v>1682</v>
      </c>
      <c r="T765" s="2">
        <v>1</v>
      </c>
      <c r="U765" s="2">
        <v>60.5</v>
      </c>
      <c r="V765" s="2">
        <v>58</v>
      </c>
      <c r="W765" s="2" t="s">
        <v>7862</v>
      </c>
      <c r="X765" s="2" t="s">
        <v>5405</v>
      </c>
      <c r="Y765" s="2">
        <v>10230</v>
      </c>
      <c r="Z765" s="19" t="str">
        <f>HYPERLINK("https://ssdweb.co/ssdweb/hd/Vision360.html?d=831010828&amp;zoomslide=1&amp;z=1831010828&amp;ISCONFIRM=0","VIDEO")</f>
        <v>VIDEO</v>
      </c>
      <c r="AA765" s="19" t="str">
        <f>HYPERLINK("https://ssdweb.co/ssdweb/CERTH/613393307.pdf","CERTI")</f>
        <v>CERTI</v>
      </c>
    </row>
    <row r="766" spans="1:27" ht="15" x14ac:dyDescent="0.25">
      <c r="A766" s="2">
        <v>761</v>
      </c>
      <c r="B766" s="39">
        <v>821127755</v>
      </c>
      <c r="C766" s="28" t="str">
        <f>HYPERLINK("https://pld.live/RapDetail.aspx?STONELIST=821127755","DNA")</f>
        <v>DNA</v>
      </c>
      <c r="D766" s="18" t="s">
        <v>3054</v>
      </c>
      <c r="E766" s="18" t="s">
        <v>5128</v>
      </c>
      <c r="F766" s="2" t="s">
        <v>7987</v>
      </c>
      <c r="G766" s="2" t="s">
        <v>861</v>
      </c>
      <c r="H766" s="14">
        <v>1.1000000000000001</v>
      </c>
      <c r="I766" s="2" t="s">
        <v>4761</v>
      </c>
      <c r="J766" s="2" t="s">
        <v>13</v>
      </c>
      <c r="K766" s="2" t="s">
        <v>3390</v>
      </c>
      <c r="L766" s="2" t="s">
        <v>5221</v>
      </c>
      <c r="M766" s="2" t="s">
        <v>5221</v>
      </c>
      <c r="N766" s="2" t="s">
        <v>2317</v>
      </c>
      <c r="O766" s="14">
        <v>7900</v>
      </c>
      <c r="P766" s="14">
        <v>98.52</v>
      </c>
      <c r="Q766" s="14">
        <v>116.92</v>
      </c>
      <c r="R766" s="14">
        <v>128.61000000000001</v>
      </c>
      <c r="S766" s="2" t="s">
        <v>5788</v>
      </c>
      <c r="T766" s="2">
        <v>1.01</v>
      </c>
      <c r="U766" s="2">
        <v>62.4</v>
      </c>
      <c r="V766" s="2">
        <v>57</v>
      </c>
      <c r="W766" s="2" t="s">
        <v>7862</v>
      </c>
      <c r="X766" s="2" t="s">
        <v>5405</v>
      </c>
      <c r="Y766" s="2">
        <v>8690</v>
      </c>
      <c r="Z766" s="19" t="str">
        <f>HYPERLINK("https://ssdweb.co/ssdweb/hd/Vision360.html?d=821127755&amp;zoomslide=1&amp;z=1821127755&amp;ISCONFIRM=0","VIDEO")</f>
        <v>VIDEO</v>
      </c>
      <c r="AA766" s="19" t="str">
        <f>HYPERLINK("https://ssdweb.co/ssdweb/CERTH/628416195.pdf","CERTI")</f>
        <v>CERTI</v>
      </c>
    </row>
    <row r="767" spans="1:27" ht="15" x14ac:dyDescent="0.25">
      <c r="A767" s="2">
        <v>762</v>
      </c>
      <c r="B767" s="39">
        <v>831020278</v>
      </c>
      <c r="C767" s="28" t="str">
        <f>HYPERLINK("https://pld.live/RapDetail.aspx?STONELIST=831020278","DNA")</f>
        <v>DNA</v>
      </c>
      <c r="D767" s="18" t="s">
        <v>3054</v>
      </c>
      <c r="E767" s="18" t="s">
        <v>2186</v>
      </c>
      <c r="F767" s="2" t="s">
        <v>5597</v>
      </c>
      <c r="G767" s="2" t="s">
        <v>861</v>
      </c>
      <c r="H767" s="14">
        <v>1.1000000000000001</v>
      </c>
      <c r="I767" s="2" t="s">
        <v>4761</v>
      </c>
      <c r="J767" s="2" t="s">
        <v>13</v>
      </c>
      <c r="K767" s="2" t="s">
        <v>5221</v>
      </c>
      <c r="L767" s="2" t="s">
        <v>5221</v>
      </c>
      <c r="M767" s="2" t="s">
        <v>5221</v>
      </c>
      <c r="N767" s="2" t="s">
        <v>2317</v>
      </c>
      <c r="O767" s="14">
        <v>7900</v>
      </c>
      <c r="P767" s="14">
        <v>97.54</v>
      </c>
      <c r="Q767" s="14">
        <v>194.34</v>
      </c>
      <c r="R767" s="14">
        <v>213.77</v>
      </c>
      <c r="S767" s="2" t="s">
        <v>5915</v>
      </c>
      <c r="T767" s="2">
        <v>1</v>
      </c>
      <c r="U767" s="2">
        <v>61.3</v>
      </c>
      <c r="V767" s="2">
        <v>58</v>
      </c>
      <c r="W767" s="2" t="s">
        <v>7862</v>
      </c>
      <c r="X767" s="2" t="s">
        <v>5405</v>
      </c>
      <c r="Y767" s="2">
        <v>8690</v>
      </c>
      <c r="Z767" s="19" t="str">
        <f>HYPERLINK("https://ssdweb.co/ssdweb/hd/Vision360.html?d=831020278&amp;zoomslide=1&amp;z=1831020278&amp;ISCONFIRM=0","VIDEO")</f>
        <v>VIDEO</v>
      </c>
      <c r="AA767" s="19" t="str">
        <f>HYPERLINK("https://ssdweb.co/ssdweb/CERTH/6475518359.pdf","CERTI")</f>
        <v>CERTI</v>
      </c>
    </row>
    <row r="768" spans="1:27" ht="15" x14ac:dyDescent="0.25">
      <c r="A768" s="2">
        <v>763</v>
      </c>
      <c r="B768" s="39">
        <v>925430132</v>
      </c>
      <c r="C768" s="28" t="str">
        <f>HYPERLINK("https://pld.live/RapDetail.aspx?STONELIST=925430132","DNA")</f>
        <v>DNA</v>
      </c>
      <c r="D768" s="18" t="s">
        <v>3054</v>
      </c>
      <c r="E768" s="18" t="s">
        <v>2186</v>
      </c>
      <c r="F768" s="2" t="s">
        <v>5597</v>
      </c>
      <c r="G768" s="2" t="s">
        <v>861</v>
      </c>
      <c r="H768" s="14">
        <v>1.1000000000000001</v>
      </c>
      <c r="I768" s="2" t="s">
        <v>4761</v>
      </c>
      <c r="J768" s="2" t="s">
        <v>13</v>
      </c>
      <c r="K768" s="2" t="s">
        <v>5221</v>
      </c>
      <c r="L768" s="2" t="s">
        <v>5221</v>
      </c>
      <c r="M768" s="2" t="s">
        <v>5221</v>
      </c>
      <c r="N768" s="2" t="s">
        <v>2317</v>
      </c>
      <c r="O768" s="14">
        <v>7900</v>
      </c>
      <c r="P768" s="14">
        <v>97.54</v>
      </c>
      <c r="Q768" s="14">
        <v>194.34</v>
      </c>
      <c r="R768" s="14">
        <v>213.77</v>
      </c>
      <c r="S768" s="2" t="s">
        <v>2758</v>
      </c>
      <c r="T768" s="2">
        <v>1</v>
      </c>
      <c r="U768" s="2">
        <v>61.1</v>
      </c>
      <c r="V768" s="2">
        <v>57</v>
      </c>
      <c r="W768" s="2" t="s">
        <v>7862</v>
      </c>
      <c r="X768" s="2" t="s">
        <v>5405</v>
      </c>
      <c r="Y768" s="2">
        <v>8690</v>
      </c>
      <c r="Z768" s="19" t="str">
        <f>HYPERLINK("https://ssdweb.co/ssdweb/hd/Vision360.html?d=925430132&amp;zoomslide=1&amp;z=1925430132&amp;ISCONFIRM=0","VIDEO")</f>
        <v>VIDEO</v>
      </c>
      <c r="AA768" s="19" t="str">
        <f>HYPERLINK("https://ssdweb.co/ssdweb/CERTH/6482632386.pdf","CERTI")</f>
        <v>CERTI</v>
      </c>
    </row>
    <row r="769" spans="1:27" ht="15" x14ac:dyDescent="0.25">
      <c r="A769" s="2">
        <v>764</v>
      </c>
      <c r="B769" s="39">
        <v>925430141</v>
      </c>
      <c r="C769" s="28" t="str">
        <f>HYPERLINK("https://pld.live/RapDetail.aspx?STONELIST=925430141","DNA")</f>
        <v>DNA</v>
      </c>
      <c r="D769" s="18" t="s">
        <v>3054</v>
      </c>
      <c r="E769" s="18" t="s">
        <v>2186</v>
      </c>
      <c r="F769" s="2" t="s">
        <v>5597</v>
      </c>
      <c r="G769" s="2" t="s">
        <v>861</v>
      </c>
      <c r="H769" s="14">
        <v>1.1000000000000001</v>
      </c>
      <c r="I769" s="2" t="s">
        <v>4761</v>
      </c>
      <c r="J769" s="2" t="s">
        <v>13</v>
      </c>
      <c r="K769" s="2" t="s">
        <v>5221</v>
      </c>
      <c r="L769" s="2" t="s">
        <v>5221</v>
      </c>
      <c r="M769" s="2" t="s">
        <v>5221</v>
      </c>
      <c r="N769" s="2" t="s">
        <v>2317</v>
      </c>
      <c r="O769" s="14">
        <v>7900</v>
      </c>
      <c r="P769" s="14">
        <v>97.54</v>
      </c>
      <c r="Q769" s="14">
        <v>194.34</v>
      </c>
      <c r="R769" s="14">
        <v>213.77</v>
      </c>
      <c r="S769" s="2" t="s">
        <v>5331</v>
      </c>
      <c r="T769" s="2">
        <v>1.01</v>
      </c>
      <c r="U769" s="2">
        <v>59.9</v>
      </c>
      <c r="V769" s="2">
        <v>59</v>
      </c>
      <c r="W769" s="2" t="s">
        <v>7862</v>
      </c>
      <c r="X769" s="2" t="s">
        <v>5405</v>
      </c>
      <c r="Y769" s="2">
        <v>8690</v>
      </c>
      <c r="Z769" s="19" t="str">
        <f>HYPERLINK("https://ssdweb.co/ssdweb/hd/Vision360.html?d=925430141&amp;zoomslide=1&amp;z=1925430141&amp;ISCONFIRM=0","VIDEO")</f>
        <v>VIDEO</v>
      </c>
      <c r="AA769" s="19" t="str">
        <f>HYPERLINK("https://ssdweb.co/ssdweb/CERTH/6481652829.pdf","CERTI")</f>
        <v>CERTI</v>
      </c>
    </row>
    <row r="770" spans="1:27" ht="15" x14ac:dyDescent="0.25">
      <c r="A770" s="2">
        <v>765</v>
      </c>
      <c r="B770" s="39">
        <v>925430155</v>
      </c>
      <c r="C770" s="28" t="str">
        <f>HYPERLINK("https://pld.live/RapDetail.aspx?STONELIST=925430155","DNA")</f>
        <v>DNA</v>
      </c>
      <c r="D770" s="18" t="s">
        <v>3054</v>
      </c>
      <c r="E770" s="18" t="s">
        <v>2186</v>
      </c>
      <c r="F770" s="2" t="s">
        <v>5597</v>
      </c>
      <c r="G770" s="2" t="s">
        <v>861</v>
      </c>
      <c r="H770" s="14">
        <v>1.1000000000000001</v>
      </c>
      <c r="I770" s="2" t="s">
        <v>4761</v>
      </c>
      <c r="J770" s="2" t="s">
        <v>13</v>
      </c>
      <c r="K770" s="2" t="s">
        <v>5221</v>
      </c>
      <c r="L770" s="2" t="s">
        <v>5221</v>
      </c>
      <c r="M770" s="2" t="s">
        <v>5221</v>
      </c>
      <c r="N770" s="2" t="s">
        <v>2317</v>
      </c>
      <c r="O770" s="14">
        <v>7900</v>
      </c>
      <c r="P770" s="14">
        <v>97.54</v>
      </c>
      <c r="Q770" s="14">
        <v>194.34</v>
      </c>
      <c r="R770" s="14">
        <v>213.77</v>
      </c>
      <c r="S770" s="2" t="s">
        <v>2479</v>
      </c>
      <c r="T770" s="2">
        <v>1</v>
      </c>
      <c r="U770" s="2">
        <v>60.5</v>
      </c>
      <c r="V770" s="2">
        <v>58</v>
      </c>
      <c r="W770" s="2" t="s">
        <v>7862</v>
      </c>
      <c r="X770" s="2" t="s">
        <v>5405</v>
      </c>
      <c r="Y770" s="2">
        <v>8690</v>
      </c>
      <c r="Z770" s="19" t="str">
        <f>HYPERLINK("https://ssdweb.co/ssdweb/hd/Vision360.html?d=925430155&amp;zoomslide=1&amp;z=1925430155&amp;ISCONFIRM=0","VIDEO")</f>
        <v>VIDEO</v>
      </c>
      <c r="AA770" s="19" t="str">
        <f>HYPERLINK("https://ssdweb.co/ssdweb/CERTH/5486692832.pdf","CERTI")</f>
        <v>CERTI</v>
      </c>
    </row>
    <row r="771" spans="1:27" ht="15" x14ac:dyDescent="0.25">
      <c r="A771" s="2">
        <v>766</v>
      </c>
      <c r="B771" s="39">
        <v>925960969</v>
      </c>
      <c r="C771" s="28" t="str">
        <f>HYPERLINK("https://pld.live/RapDetail.aspx?STONELIST=925960969","DNA")</f>
        <v>DNA</v>
      </c>
      <c r="D771" s="18" t="s">
        <v>3054</v>
      </c>
      <c r="E771" s="18" t="s">
        <v>5128</v>
      </c>
      <c r="F771" s="2" t="s">
        <v>7987</v>
      </c>
      <c r="G771" s="2" t="s">
        <v>861</v>
      </c>
      <c r="H771" s="14">
        <v>1.1000000000000001</v>
      </c>
      <c r="I771" s="2" t="s">
        <v>4761</v>
      </c>
      <c r="J771" s="2" t="s">
        <v>5144</v>
      </c>
      <c r="K771" s="2" t="s">
        <v>3390</v>
      </c>
      <c r="L771" s="2" t="s">
        <v>5221</v>
      </c>
      <c r="M771" s="2" t="s">
        <v>5221</v>
      </c>
      <c r="N771" s="2" t="s">
        <v>2317</v>
      </c>
      <c r="O771" s="14">
        <v>6600</v>
      </c>
      <c r="P771" s="14">
        <v>98.29</v>
      </c>
      <c r="Q771" s="14">
        <v>112.86</v>
      </c>
      <c r="R771" s="14">
        <v>124.15</v>
      </c>
      <c r="S771" s="2" t="s">
        <v>758</v>
      </c>
      <c r="T771" s="2">
        <v>1.01</v>
      </c>
      <c r="U771" s="2">
        <v>60.6</v>
      </c>
      <c r="V771" s="2">
        <v>60</v>
      </c>
      <c r="W771" s="2" t="s">
        <v>7862</v>
      </c>
      <c r="X771" s="2" t="s">
        <v>5405</v>
      </c>
      <c r="Y771" s="2">
        <v>7260</v>
      </c>
      <c r="Z771" s="19" t="str">
        <f>HYPERLINK("https://ssdweb.co/ssdweb/hd/Vision360.html?d=925960969&amp;zoomslide=1&amp;z=1925960969&amp;ISCONFIRM=0","VIDEO")</f>
        <v>VIDEO</v>
      </c>
      <c r="AA771" s="19" t="str">
        <f>HYPERLINK("https://ssdweb.co/ssdweb/CERTH/628463047.pdf","CERTI")</f>
        <v>CERTI</v>
      </c>
    </row>
    <row r="772" spans="1:27" ht="15" x14ac:dyDescent="0.25">
      <c r="A772" s="2">
        <v>767</v>
      </c>
      <c r="B772" s="39">
        <v>821127718</v>
      </c>
      <c r="C772" s="28" t="str">
        <f>HYPERLINK("https://pld.live/RapDetail.aspx?STONELIST=821127718","DNA")</f>
        <v>DNA</v>
      </c>
      <c r="D772" s="18" t="s">
        <v>3054</v>
      </c>
      <c r="E772" s="18" t="s">
        <v>5128</v>
      </c>
      <c r="F772" s="2" t="s">
        <v>7987</v>
      </c>
      <c r="G772" s="2" t="s">
        <v>861</v>
      </c>
      <c r="H772" s="14">
        <v>1.1000000000000001</v>
      </c>
      <c r="I772" s="2" t="s">
        <v>4699</v>
      </c>
      <c r="J772" s="2" t="s">
        <v>3942</v>
      </c>
      <c r="K772" s="2" t="s">
        <v>3390</v>
      </c>
      <c r="L772" s="2" t="s">
        <v>5221</v>
      </c>
      <c r="M772" s="2" t="s">
        <v>5221</v>
      </c>
      <c r="N772" s="2" t="s">
        <v>2317</v>
      </c>
      <c r="O772" s="14">
        <v>8400</v>
      </c>
      <c r="P772" s="14">
        <v>98.61</v>
      </c>
      <c r="Q772" s="14">
        <v>116.76</v>
      </c>
      <c r="R772" s="14">
        <v>128.44</v>
      </c>
      <c r="S772" s="2" t="s">
        <v>2333</v>
      </c>
      <c r="T772" s="2">
        <v>1</v>
      </c>
      <c r="U772" s="2">
        <v>61.6</v>
      </c>
      <c r="V772" s="2">
        <v>58</v>
      </c>
      <c r="W772" s="2" t="s">
        <v>7862</v>
      </c>
      <c r="X772" s="2" t="s">
        <v>5405</v>
      </c>
      <c r="Y772" s="2">
        <v>9240</v>
      </c>
      <c r="Z772" s="19" t="str">
        <f>HYPERLINK("https://ssdweb.co/ssdweb/hd/Vision360.html?d=821127718&amp;zoomslide=1&amp;z=1821127718&amp;ISCONFIRM=0","VIDEO")</f>
        <v>VIDEO</v>
      </c>
      <c r="AA772" s="19" t="str">
        <f>HYPERLINK("https://ssdweb.co/ssdweb/CERTH/628415675.pdf","CERTI")</f>
        <v>CERTI</v>
      </c>
    </row>
    <row r="773" spans="1:27" ht="15" x14ac:dyDescent="0.25">
      <c r="A773" s="2">
        <v>768</v>
      </c>
      <c r="B773" s="39">
        <v>926101596</v>
      </c>
      <c r="C773" s="28" t="str">
        <f>HYPERLINK("https://pld.live/RapDetail.aspx?STONELIST=926101596","DNA")</f>
        <v>DNA</v>
      </c>
      <c r="D773" s="18" t="s">
        <v>3054</v>
      </c>
      <c r="E773" s="18" t="s">
        <v>5128</v>
      </c>
      <c r="F773" s="2" t="s">
        <v>7987</v>
      </c>
      <c r="G773" s="2" t="s">
        <v>861</v>
      </c>
      <c r="H773" s="14">
        <v>1.1000000000000001</v>
      </c>
      <c r="I773" s="2" t="s">
        <v>4699</v>
      </c>
      <c r="J773" s="2" t="s">
        <v>3942</v>
      </c>
      <c r="K773" s="2" t="s">
        <v>3390</v>
      </c>
      <c r="L773" s="2" t="s">
        <v>5221</v>
      </c>
      <c r="M773" s="2" t="s">
        <v>5221</v>
      </c>
      <c r="N773" s="2" t="s">
        <v>2317</v>
      </c>
      <c r="O773" s="14">
        <v>8400</v>
      </c>
      <c r="P773" s="14">
        <v>98.61</v>
      </c>
      <c r="Q773" s="14">
        <v>116.76</v>
      </c>
      <c r="R773" s="14">
        <v>128.44</v>
      </c>
      <c r="S773" s="2" t="s">
        <v>2976</v>
      </c>
      <c r="T773" s="2">
        <v>1.01</v>
      </c>
      <c r="U773" s="2">
        <v>61.3</v>
      </c>
      <c r="V773" s="2">
        <v>59</v>
      </c>
      <c r="W773" s="2" t="s">
        <v>7862</v>
      </c>
      <c r="X773" s="2" t="s">
        <v>5405</v>
      </c>
      <c r="Y773" s="2">
        <v>9240</v>
      </c>
      <c r="Z773" s="19" t="str">
        <f>HYPERLINK("https://ssdweb.co/ssdweb/hd/Vision360.html?d=926101596&amp;zoomslide=1&amp;z=1926101596&amp;ISCONFIRM=0","VIDEO")</f>
        <v>VIDEO</v>
      </c>
      <c r="AA773" s="19" t="str">
        <f>HYPERLINK("https://ssdweb.co/ssdweb/CERTH/632421442.pdf","CERTI")</f>
        <v>CERTI</v>
      </c>
    </row>
    <row r="774" spans="1:27" ht="15" x14ac:dyDescent="0.25">
      <c r="A774" s="2">
        <v>769</v>
      </c>
      <c r="B774" s="39">
        <v>924710103</v>
      </c>
      <c r="C774" s="28" t="str">
        <f>HYPERLINK("https://pld.live/RapDetail.aspx?STONELIST=924710103","DNA")</f>
        <v>DNA</v>
      </c>
      <c r="D774" s="18" t="s">
        <v>3054</v>
      </c>
      <c r="E774" s="18" t="s">
        <v>5128</v>
      </c>
      <c r="F774" s="2" t="s">
        <v>7987</v>
      </c>
      <c r="G774" s="2" t="s">
        <v>861</v>
      </c>
      <c r="H774" s="14">
        <v>1.1000000000000001</v>
      </c>
      <c r="I774" s="2" t="s">
        <v>6587</v>
      </c>
      <c r="J774" s="2" t="s">
        <v>6555</v>
      </c>
      <c r="K774" s="2" t="s">
        <v>3390</v>
      </c>
      <c r="L774" s="2" t="s">
        <v>5221</v>
      </c>
      <c r="M774" s="2" t="s">
        <v>5221</v>
      </c>
      <c r="N774" s="2" t="s">
        <v>2317</v>
      </c>
      <c r="O774" s="14">
        <v>7700</v>
      </c>
      <c r="P774" s="14">
        <v>98.42</v>
      </c>
      <c r="Q774" s="14">
        <v>121.66</v>
      </c>
      <c r="R774" s="14">
        <v>133.83000000000001</v>
      </c>
      <c r="S774" s="2" t="s">
        <v>6786</v>
      </c>
      <c r="T774" s="2">
        <v>1</v>
      </c>
      <c r="U774" s="2">
        <v>59.5</v>
      </c>
      <c r="V774" s="2">
        <v>59</v>
      </c>
      <c r="W774" s="2" t="s">
        <v>4336</v>
      </c>
      <c r="X774" s="2" t="s">
        <v>5405</v>
      </c>
      <c r="Y774" s="2">
        <v>8470</v>
      </c>
      <c r="Z774" s="19" t="str">
        <f>HYPERLINK("https://ssdweb.co/ssdweb/hd/Vision360.html?d=924710103&amp;zoomslide=1&amp;z=1924710103&amp;ISCONFIRM=0","VIDEO")</f>
        <v>VIDEO</v>
      </c>
      <c r="AA774" s="19" t="str">
        <f>HYPERLINK("https://ssdweb.co/ssdweb/CERTH/601323358.pdf","CERTI")</f>
        <v>CERTI</v>
      </c>
    </row>
    <row r="775" spans="1:27" ht="15" x14ac:dyDescent="0.25">
      <c r="A775" s="2">
        <v>770</v>
      </c>
      <c r="B775" s="39">
        <v>926041109</v>
      </c>
      <c r="C775" s="28" t="str">
        <f>HYPERLINK("https://pld.live/RapDetail.aspx?STONELIST=926041109","DNA")</f>
        <v>DNA</v>
      </c>
      <c r="D775" s="18" t="s">
        <v>3054</v>
      </c>
      <c r="E775" s="18" t="s">
        <v>5128</v>
      </c>
      <c r="F775" s="2" t="s">
        <v>7987</v>
      </c>
      <c r="G775" s="2" t="s">
        <v>861</v>
      </c>
      <c r="H775" s="14">
        <v>1.0900000000000001</v>
      </c>
      <c r="I775" s="2" t="s">
        <v>267</v>
      </c>
      <c r="J775" s="2" t="s">
        <v>7032</v>
      </c>
      <c r="K775" s="2" t="s">
        <v>3390</v>
      </c>
      <c r="L775" s="2" t="s">
        <v>5221</v>
      </c>
      <c r="M775" s="2" t="s">
        <v>5221</v>
      </c>
      <c r="N775" s="2" t="s">
        <v>2317</v>
      </c>
      <c r="O775" s="14">
        <v>16000</v>
      </c>
      <c r="P775" s="14">
        <v>98.51</v>
      </c>
      <c r="Q775" s="14">
        <v>238.4</v>
      </c>
      <c r="R775" s="14">
        <v>259.86</v>
      </c>
      <c r="S775" s="2" t="s">
        <v>3578</v>
      </c>
      <c r="T775" s="2">
        <v>1.01</v>
      </c>
      <c r="U775" s="2">
        <v>61.5</v>
      </c>
      <c r="V775" s="2">
        <v>59</v>
      </c>
      <c r="W775" s="2" t="s">
        <v>7862</v>
      </c>
      <c r="X775" s="2" t="s">
        <v>5405</v>
      </c>
      <c r="Y775" s="2">
        <v>17440</v>
      </c>
      <c r="Z775" s="19" t="str">
        <f>HYPERLINK("https://ssdweb.co/ssdweb/hd/Vision360.html?d=926041109&amp;zoomslide=1&amp;z=1926041109&amp;ISCONFIRM=0","VIDEO")</f>
        <v>VIDEO</v>
      </c>
      <c r="AA775" s="19" t="str">
        <f>HYPERLINK("https://ssdweb.co/ssdweb/CERTH/631404545.pdf","CERTI")</f>
        <v>CERTI</v>
      </c>
    </row>
    <row r="776" spans="1:27" ht="15" x14ac:dyDescent="0.25">
      <c r="A776" s="2">
        <v>771</v>
      </c>
      <c r="B776" s="39">
        <v>925940523</v>
      </c>
      <c r="C776" s="28" t="str">
        <f>HYPERLINK("https://pld.live/RapDetail.aspx?STONELIST=925940523","DNA")</f>
        <v>DNA</v>
      </c>
      <c r="D776" s="18" t="s">
        <v>3054</v>
      </c>
      <c r="E776" s="18" t="s">
        <v>5128</v>
      </c>
      <c r="F776" s="2" t="s">
        <v>7987</v>
      </c>
      <c r="G776" s="2" t="s">
        <v>861</v>
      </c>
      <c r="H776" s="14">
        <v>1.0900000000000001</v>
      </c>
      <c r="I776" s="2" t="s">
        <v>267</v>
      </c>
      <c r="J776" s="2" t="s">
        <v>6555</v>
      </c>
      <c r="K776" s="2" t="s">
        <v>3390</v>
      </c>
      <c r="L776" s="2" t="s">
        <v>5221</v>
      </c>
      <c r="M776" s="2" t="s">
        <v>5221</v>
      </c>
      <c r="N776" s="2" t="s">
        <v>2317</v>
      </c>
      <c r="O776" s="14">
        <v>12800</v>
      </c>
      <c r="P776" s="14">
        <v>98.94</v>
      </c>
      <c r="Q776" s="14">
        <v>135.68</v>
      </c>
      <c r="R776" s="14">
        <v>147.88999999999999</v>
      </c>
      <c r="S776" s="2" t="s">
        <v>513</v>
      </c>
      <c r="T776" s="2">
        <v>1.01</v>
      </c>
      <c r="U776" s="2">
        <v>62.3</v>
      </c>
      <c r="V776" s="2">
        <v>58</v>
      </c>
      <c r="W776" s="2" t="s">
        <v>7862</v>
      </c>
      <c r="X776" s="2" t="s">
        <v>5405</v>
      </c>
      <c r="Y776" s="2">
        <v>13952</v>
      </c>
      <c r="Z776" s="19" t="str">
        <f>HYPERLINK("https://ssdweb.co/ssdweb/hd/Vision360.html?d=925940523&amp;zoomslide=1&amp;z=1925940523&amp;ISCONFIRM=0","VIDEO")</f>
        <v>VIDEO</v>
      </c>
      <c r="AA776" s="19" t="str">
        <f>HYPERLINK("https://ssdweb.co/ssdweb/CERTH/628463068.pdf","CERTI")</f>
        <v>CERTI</v>
      </c>
    </row>
    <row r="777" spans="1:27" ht="15" x14ac:dyDescent="0.25">
      <c r="A777" s="2">
        <v>772</v>
      </c>
      <c r="B777" s="39">
        <v>925940531</v>
      </c>
      <c r="C777" s="28" t="str">
        <f>HYPERLINK("https://pld.live/RapDetail.aspx?STONELIST=925940531","DNA")</f>
        <v>DNA</v>
      </c>
      <c r="D777" s="18" t="s">
        <v>3054</v>
      </c>
      <c r="E777" s="18" t="s">
        <v>5128</v>
      </c>
      <c r="F777" s="2" t="s">
        <v>7987</v>
      </c>
      <c r="G777" s="2" t="s">
        <v>861</v>
      </c>
      <c r="H777" s="14">
        <v>1.0900000000000001</v>
      </c>
      <c r="I777" s="2" t="s">
        <v>267</v>
      </c>
      <c r="J777" s="2" t="s">
        <v>6555</v>
      </c>
      <c r="K777" s="2" t="s">
        <v>3390</v>
      </c>
      <c r="L777" s="2" t="s">
        <v>5221</v>
      </c>
      <c r="M777" s="2" t="s">
        <v>5221</v>
      </c>
      <c r="N777" s="2" t="s">
        <v>2317</v>
      </c>
      <c r="O777" s="14">
        <v>12800</v>
      </c>
      <c r="P777" s="14">
        <v>98.94</v>
      </c>
      <c r="Q777" s="14">
        <v>135.68</v>
      </c>
      <c r="R777" s="14">
        <v>147.88999999999999</v>
      </c>
      <c r="S777" s="2" t="s">
        <v>1462</v>
      </c>
      <c r="T777" s="2">
        <v>1.01</v>
      </c>
      <c r="U777" s="2">
        <v>60.9</v>
      </c>
      <c r="V777" s="2">
        <v>58</v>
      </c>
      <c r="W777" s="2" t="s">
        <v>7862</v>
      </c>
      <c r="X777" s="2" t="s">
        <v>5405</v>
      </c>
      <c r="Y777" s="2">
        <v>13952</v>
      </c>
      <c r="Z777" s="19" t="str">
        <f>HYPERLINK("https://ssdweb.co/ssdweb/hd/Vision360.html?d=925940531&amp;zoomslide=1&amp;z=1925940531&amp;ISCONFIRM=0","VIDEO")</f>
        <v>VIDEO</v>
      </c>
      <c r="AA777" s="19" t="str">
        <f>HYPERLINK("https://ssdweb.co/ssdweb/CERTH/628463070.pdf","CERTI")</f>
        <v>CERTI</v>
      </c>
    </row>
    <row r="778" spans="1:27" ht="15" x14ac:dyDescent="0.25">
      <c r="A778" s="2">
        <v>773</v>
      </c>
      <c r="B778" s="39">
        <v>821127781</v>
      </c>
      <c r="C778" s="28" t="str">
        <f>HYPERLINK("https://pld.live/RapDetail.aspx?STONELIST=821127781","DNA")</f>
        <v>DNA</v>
      </c>
      <c r="D778" s="18" t="s">
        <v>3054</v>
      </c>
      <c r="E778" s="18" t="s">
        <v>5128</v>
      </c>
      <c r="F778" s="2" t="s">
        <v>7987</v>
      </c>
      <c r="G778" s="2" t="s">
        <v>861</v>
      </c>
      <c r="H778" s="14">
        <v>1.0900000000000001</v>
      </c>
      <c r="I778" s="2" t="s">
        <v>267</v>
      </c>
      <c r="J778" s="2" t="s">
        <v>6555</v>
      </c>
      <c r="K778" s="2" t="s">
        <v>3390</v>
      </c>
      <c r="L778" s="2" t="s">
        <v>5221</v>
      </c>
      <c r="M778" s="2" t="s">
        <v>5221</v>
      </c>
      <c r="N778" s="2" t="s">
        <v>2317</v>
      </c>
      <c r="O778" s="14">
        <v>12800</v>
      </c>
      <c r="P778" s="14">
        <v>98.94</v>
      </c>
      <c r="Q778" s="14">
        <v>135.68</v>
      </c>
      <c r="R778" s="14">
        <v>147.88999999999999</v>
      </c>
      <c r="S778" s="2" t="s">
        <v>327</v>
      </c>
      <c r="T778" s="2">
        <v>1</v>
      </c>
      <c r="U778" s="2">
        <v>62.5</v>
      </c>
      <c r="V778" s="2">
        <v>56</v>
      </c>
      <c r="W778" s="2" t="s">
        <v>7862</v>
      </c>
      <c r="X778" s="2" t="s">
        <v>5405</v>
      </c>
      <c r="Y778" s="2">
        <v>13952</v>
      </c>
      <c r="Z778" s="19" t="str">
        <f>HYPERLINK("https://ssdweb.co/ssdweb/hd/Vision360.html?d=821127781&amp;zoomslide=1&amp;z=1821127781&amp;ISCONFIRM=0","VIDEO")</f>
        <v>VIDEO</v>
      </c>
      <c r="AA778" s="19" t="str">
        <f>HYPERLINK("https://ssdweb.co/ssdweb/CERTH/626479185.pdf","CERTI")</f>
        <v>CERTI</v>
      </c>
    </row>
    <row r="779" spans="1:27" ht="15" x14ac:dyDescent="0.25">
      <c r="A779" s="2">
        <v>774</v>
      </c>
      <c r="B779" s="39">
        <v>926020770</v>
      </c>
      <c r="C779" s="28" t="str">
        <f>HYPERLINK("https://pld.live/RapDetail.aspx?STONELIST=926020770","DNA")</f>
        <v>DNA</v>
      </c>
      <c r="D779" s="18" t="s">
        <v>3054</v>
      </c>
      <c r="E779" s="18" t="s">
        <v>5128</v>
      </c>
      <c r="F779" s="2" t="s">
        <v>7987</v>
      </c>
      <c r="G779" s="2" t="s">
        <v>861</v>
      </c>
      <c r="H779" s="14">
        <v>1.0900000000000001</v>
      </c>
      <c r="I779" s="2" t="s">
        <v>267</v>
      </c>
      <c r="J779" s="2" t="s">
        <v>6555</v>
      </c>
      <c r="K779" s="2" t="s">
        <v>3390</v>
      </c>
      <c r="L779" s="2" t="s">
        <v>5221</v>
      </c>
      <c r="M779" s="2" t="s">
        <v>5221</v>
      </c>
      <c r="N779" s="2" t="s">
        <v>2317</v>
      </c>
      <c r="O779" s="14">
        <v>12800</v>
      </c>
      <c r="P779" s="14">
        <v>98.92</v>
      </c>
      <c r="Q779" s="14">
        <v>138.24</v>
      </c>
      <c r="R779" s="14">
        <v>150.68</v>
      </c>
      <c r="S779" s="2" t="s">
        <v>4489</v>
      </c>
      <c r="T779" s="2">
        <v>1</v>
      </c>
      <c r="U779" s="2">
        <v>62.1</v>
      </c>
      <c r="V779" s="2">
        <v>59</v>
      </c>
      <c r="W779" s="2" t="s">
        <v>7862</v>
      </c>
      <c r="X779" s="2" t="s">
        <v>5405</v>
      </c>
      <c r="Y779" s="2">
        <v>13952</v>
      </c>
      <c r="Z779" s="19" t="str">
        <f>HYPERLINK("https://ssdweb.co/ssdweb/hd/Vision360.html?d=926020770&amp;zoomslide=1&amp;z=1926020770&amp;ISCONFIRM=0","VIDEO")</f>
        <v>VIDEO</v>
      </c>
      <c r="AA779" s="19" t="str">
        <f>HYPERLINK("https://ssdweb.co/ssdweb/CERTH/631404650.pdf","CERTI")</f>
        <v>CERTI</v>
      </c>
    </row>
    <row r="780" spans="1:27" ht="15" x14ac:dyDescent="0.25">
      <c r="A780" s="2">
        <v>775</v>
      </c>
      <c r="B780" s="39">
        <v>926071340</v>
      </c>
      <c r="C780" s="28" t="str">
        <f>HYPERLINK("https://pld.live/RapDetail.aspx?STONELIST=926071340","DNA")</f>
        <v>DNA</v>
      </c>
      <c r="D780" s="18" t="s">
        <v>3054</v>
      </c>
      <c r="E780" s="18" t="s">
        <v>5128</v>
      </c>
      <c r="F780" s="2" t="s">
        <v>7987</v>
      </c>
      <c r="G780" s="2" t="s">
        <v>861</v>
      </c>
      <c r="H780" s="14">
        <v>1.0900000000000001</v>
      </c>
      <c r="I780" s="2" t="s">
        <v>267</v>
      </c>
      <c r="J780" s="2" t="s">
        <v>6555</v>
      </c>
      <c r="K780" s="2" t="s">
        <v>3390</v>
      </c>
      <c r="L780" s="2" t="s">
        <v>5221</v>
      </c>
      <c r="M780" s="2" t="s">
        <v>5221</v>
      </c>
      <c r="N780" s="2" t="s">
        <v>2317</v>
      </c>
      <c r="O780" s="14">
        <v>12800</v>
      </c>
      <c r="P780" s="14">
        <v>98.92</v>
      </c>
      <c r="Q780" s="14">
        <v>138.24</v>
      </c>
      <c r="R780" s="14">
        <v>150.68</v>
      </c>
      <c r="S780" s="2" t="s">
        <v>780</v>
      </c>
      <c r="T780" s="2">
        <v>1.01</v>
      </c>
      <c r="U780" s="2">
        <v>61.6</v>
      </c>
      <c r="V780" s="2">
        <v>58</v>
      </c>
      <c r="W780" s="2" t="s">
        <v>7862</v>
      </c>
      <c r="X780" s="2" t="s">
        <v>5405</v>
      </c>
      <c r="Y780" s="2">
        <v>13952</v>
      </c>
      <c r="Z780" s="19" t="str">
        <f>HYPERLINK("https://ssdweb.co/ssdweb/hd/Vision360.html?d=926071340&amp;zoomslide=1&amp;z=1926071340&amp;ISCONFIRM=0","VIDEO")</f>
        <v>VIDEO</v>
      </c>
      <c r="AA780" s="19" t="str">
        <f>HYPERLINK("https://ssdweb.co/ssdweb/CERTH/631404486.pdf","CERTI")</f>
        <v>CERTI</v>
      </c>
    </row>
    <row r="781" spans="1:27" ht="15" x14ac:dyDescent="0.25">
      <c r="A781" s="2">
        <v>776</v>
      </c>
      <c r="B781" s="39">
        <v>925971134</v>
      </c>
      <c r="C781" s="28" t="str">
        <f>HYPERLINK("https://pld.live/RapDetail.aspx?STONELIST=925971134","DNA")</f>
        <v>DNA</v>
      </c>
      <c r="D781" s="18" t="s">
        <v>3054</v>
      </c>
      <c r="E781" s="18" t="s">
        <v>5128</v>
      </c>
      <c r="F781" s="2" t="s">
        <v>7987</v>
      </c>
      <c r="G781" s="2" t="s">
        <v>861</v>
      </c>
      <c r="H781" s="14">
        <v>1.0900000000000001</v>
      </c>
      <c r="I781" s="2" t="s">
        <v>267</v>
      </c>
      <c r="J781" s="2" t="s">
        <v>6555</v>
      </c>
      <c r="K781" s="2" t="s">
        <v>3390</v>
      </c>
      <c r="L781" s="2" t="s">
        <v>5221</v>
      </c>
      <c r="M781" s="2" t="s">
        <v>5221</v>
      </c>
      <c r="N781" s="2" t="s">
        <v>2317</v>
      </c>
      <c r="O781" s="14">
        <v>12800</v>
      </c>
      <c r="P781" s="14">
        <v>98.94</v>
      </c>
      <c r="Q781" s="14">
        <v>135.68</v>
      </c>
      <c r="R781" s="14">
        <v>147.88999999999999</v>
      </c>
      <c r="S781" s="2" t="s">
        <v>5910</v>
      </c>
      <c r="T781" s="2">
        <v>1</v>
      </c>
      <c r="U781" s="2">
        <v>61.8</v>
      </c>
      <c r="V781" s="2">
        <v>58</v>
      </c>
      <c r="W781" s="2" t="s">
        <v>7862</v>
      </c>
      <c r="X781" s="2" t="s">
        <v>5405</v>
      </c>
      <c r="Y781" s="2">
        <v>13952</v>
      </c>
      <c r="Z781" s="19" t="str">
        <f>HYPERLINK("https://ssdweb.co/ssdweb/hd/Vision360.html?d=925971134&amp;zoomslide=1&amp;z=1925971134&amp;ISCONFIRM=0","VIDEO")</f>
        <v>VIDEO</v>
      </c>
      <c r="AA781" s="19" t="str">
        <f>HYPERLINK("https://ssdweb.co/ssdweb/CERTH/629479114.pdf","CERTI")</f>
        <v>CERTI</v>
      </c>
    </row>
    <row r="782" spans="1:27" ht="15" x14ac:dyDescent="0.25">
      <c r="A782" s="2">
        <v>777</v>
      </c>
      <c r="B782" s="39">
        <v>926020648</v>
      </c>
      <c r="C782" s="28" t="str">
        <f>HYPERLINK("https://pld.live/RapDetail.aspx?STONELIST=926020648","DNA")</f>
        <v>DNA</v>
      </c>
      <c r="D782" s="18" t="s">
        <v>3054</v>
      </c>
      <c r="E782" s="18" t="s">
        <v>5128</v>
      </c>
      <c r="F782" s="2" t="s">
        <v>7987</v>
      </c>
      <c r="G782" s="2" t="s">
        <v>861</v>
      </c>
      <c r="H782" s="14">
        <v>1.0900000000000001</v>
      </c>
      <c r="I782" s="2" t="s">
        <v>267</v>
      </c>
      <c r="J782" s="2" t="s">
        <v>6555</v>
      </c>
      <c r="K782" s="2" t="s">
        <v>3390</v>
      </c>
      <c r="L782" s="2" t="s">
        <v>5221</v>
      </c>
      <c r="M782" s="2" t="s">
        <v>5221</v>
      </c>
      <c r="N782" s="2" t="s">
        <v>2317</v>
      </c>
      <c r="O782" s="14">
        <v>12800</v>
      </c>
      <c r="P782" s="14">
        <v>98.92</v>
      </c>
      <c r="Q782" s="14">
        <v>138.24</v>
      </c>
      <c r="R782" s="14">
        <v>150.68</v>
      </c>
      <c r="S782" s="2" t="s">
        <v>7071</v>
      </c>
      <c r="T782" s="2">
        <v>1</v>
      </c>
      <c r="U782" s="2">
        <v>61.4</v>
      </c>
      <c r="V782" s="2">
        <v>58</v>
      </c>
      <c r="W782" s="2" t="s">
        <v>7862</v>
      </c>
      <c r="X782" s="2" t="s">
        <v>5405</v>
      </c>
      <c r="Y782" s="2">
        <v>13952</v>
      </c>
      <c r="Z782" s="19" t="str">
        <f>HYPERLINK("https://ssdweb.co/ssdweb/hd/Vision360.html?d=926020648&amp;zoomslide=1&amp;z=1926020648&amp;ISCONFIRM=0","VIDEO")</f>
        <v>VIDEO</v>
      </c>
      <c r="AA782" s="19" t="str">
        <f>HYPERLINK("https://ssdweb.co/ssdweb/CERTH/629497543.pdf","CERTI")</f>
        <v>CERTI</v>
      </c>
    </row>
    <row r="783" spans="1:27" ht="15" x14ac:dyDescent="0.25">
      <c r="A783" s="2">
        <v>778</v>
      </c>
      <c r="B783" s="39">
        <v>925861338</v>
      </c>
      <c r="C783" s="28" t="str">
        <f>HYPERLINK("https://pld.live/RapDetail.aspx?STONELIST=925861338","DNA")</f>
        <v>DNA</v>
      </c>
      <c r="D783" s="18" t="s">
        <v>3054</v>
      </c>
      <c r="E783" s="18" t="s">
        <v>5128</v>
      </c>
      <c r="F783" s="2" t="s">
        <v>7987</v>
      </c>
      <c r="G783" s="2" t="s">
        <v>861</v>
      </c>
      <c r="H783" s="14">
        <v>1.0900000000000001</v>
      </c>
      <c r="I783" s="2" t="s">
        <v>267</v>
      </c>
      <c r="J783" s="2" t="s">
        <v>6555</v>
      </c>
      <c r="K783" s="2" t="s">
        <v>5221</v>
      </c>
      <c r="L783" s="2" t="s">
        <v>5221</v>
      </c>
      <c r="M783" s="2" t="s">
        <v>5221</v>
      </c>
      <c r="N783" s="2" t="s">
        <v>2317</v>
      </c>
      <c r="O783" s="14">
        <v>12800</v>
      </c>
      <c r="P783" s="14">
        <v>98.94</v>
      </c>
      <c r="Q783" s="14">
        <v>135.68</v>
      </c>
      <c r="R783" s="14">
        <v>147.88999999999999</v>
      </c>
      <c r="S783" s="2" t="s">
        <v>6895</v>
      </c>
      <c r="T783" s="2">
        <v>1</v>
      </c>
      <c r="U783" s="2">
        <v>62.6</v>
      </c>
      <c r="V783" s="2">
        <v>55</v>
      </c>
      <c r="W783" s="2" t="s">
        <v>7862</v>
      </c>
      <c r="X783" s="2" t="s">
        <v>5405</v>
      </c>
      <c r="Y783" s="2">
        <v>13952</v>
      </c>
      <c r="Z783" s="19" t="str">
        <f>HYPERLINK("https://ssdweb.co/ssdweb/hd/Vision360.html?d=925861338&amp;zoomslide=1&amp;z=1925861338&amp;ISCONFIRM=0","VIDEO")</f>
        <v>VIDEO</v>
      </c>
      <c r="AA783" s="19" t="str">
        <f>HYPERLINK("https://ssdweb.co/ssdweb/CERTH/627473193.pdf","CERTI")</f>
        <v>CERTI</v>
      </c>
    </row>
    <row r="784" spans="1:27" ht="15" x14ac:dyDescent="0.25">
      <c r="A784" s="2">
        <v>779</v>
      </c>
      <c r="B784" s="39">
        <v>821127801</v>
      </c>
      <c r="C784" s="28" t="str">
        <f>HYPERLINK("https://pld.live/RapDetail.aspx?STONELIST=821127801","DNA")</f>
        <v>DNA</v>
      </c>
      <c r="D784" s="18" t="s">
        <v>3054</v>
      </c>
      <c r="E784" s="18" t="s">
        <v>5128</v>
      </c>
      <c r="F784" s="2" t="s">
        <v>7987</v>
      </c>
      <c r="G784" s="2" t="s">
        <v>861</v>
      </c>
      <c r="H784" s="14">
        <v>1.0900000000000001</v>
      </c>
      <c r="I784" s="2" t="s">
        <v>267</v>
      </c>
      <c r="J784" s="2" t="s">
        <v>6555</v>
      </c>
      <c r="K784" s="2" t="s">
        <v>5221</v>
      </c>
      <c r="L784" s="2" t="s">
        <v>5221</v>
      </c>
      <c r="M784" s="2" t="s">
        <v>5221</v>
      </c>
      <c r="N784" s="2" t="s">
        <v>2317</v>
      </c>
      <c r="O784" s="14">
        <v>12800</v>
      </c>
      <c r="P784" s="14">
        <v>98.94</v>
      </c>
      <c r="Q784" s="14">
        <v>135.68</v>
      </c>
      <c r="R784" s="14">
        <v>147.88999999999999</v>
      </c>
      <c r="S784" s="2" t="s">
        <v>2253</v>
      </c>
      <c r="T784" s="2">
        <v>1.01</v>
      </c>
      <c r="U784" s="2">
        <v>61.4</v>
      </c>
      <c r="V784" s="2">
        <v>60</v>
      </c>
      <c r="W784" s="2" t="s">
        <v>7862</v>
      </c>
      <c r="X784" s="2" t="s">
        <v>5405</v>
      </c>
      <c r="Y784" s="2">
        <v>13952</v>
      </c>
      <c r="Z784" s="19" t="str">
        <f>HYPERLINK("https://ssdweb.co/ssdweb/hd/Vision360.html?d=821127801&amp;zoomslide=1&amp;z=1821127801&amp;ISCONFIRM=0","VIDEO")</f>
        <v>VIDEO</v>
      </c>
      <c r="AA784" s="19" t="str">
        <f>HYPERLINK("https://ssdweb.co/ssdweb/CERTH/624404863.pdf","CERTI")</f>
        <v>CERTI</v>
      </c>
    </row>
    <row r="785" spans="1:27" ht="15" x14ac:dyDescent="0.25">
      <c r="A785" s="2">
        <v>780</v>
      </c>
      <c r="B785" s="39">
        <v>925960786</v>
      </c>
      <c r="C785" s="28" t="str">
        <f>HYPERLINK("https://pld.live/RapDetail.aspx?STONELIST=925960786","DNA")</f>
        <v>DNA</v>
      </c>
      <c r="D785" s="18" t="s">
        <v>3054</v>
      </c>
      <c r="E785" s="18" t="s">
        <v>5128</v>
      </c>
      <c r="F785" s="2" t="s">
        <v>7987</v>
      </c>
      <c r="G785" s="2" t="s">
        <v>861</v>
      </c>
      <c r="H785" s="14">
        <v>1.0900000000000001</v>
      </c>
      <c r="I785" s="2" t="s">
        <v>267</v>
      </c>
      <c r="J785" s="2" t="s">
        <v>3942</v>
      </c>
      <c r="K785" s="2" t="s">
        <v>3390</v>
      </c>
      <c r="L785" s="2" t="s">
        <v>5221</v>
      </c>
      <c r="M785" s="2" t="s">
        <v>5221</v>
      </c>
      <c r="N785" s="2" t="s">
        <v>2317</v>
      </c>
      <c r="O785" s="14">
        <v>10200</v>
      </c>
      <c r="P785" s="14">
        <v>98.8</v>
      </c>
      <c r="Q785" s="14">
        <v>122.4</v>
      </c>
      <c r="R785" s="14">
        <v>133.41999999999999</v>
      </c>
      <c r="S785" s="2" t="s">
        <v>2698</v>
      </c>
      <c r="T785" s="2">
        <v>1.01</v>
      </c>
      <c r="U785" s="2">
        <v>61.3</v>
      </c>
      <c r="V785" s="2">
        <v>57</v>
      </c>
      <c r="W785" s="2" t="s">
        <v>7862</v>
      </c>
      <c r="X785" s="2" t="s">
        <v>5405</v>
      </c>
      <c r="Y785" s="2">
        <v>11118</v>
      </c>
      <c r="Z785" s="19" t="str">
        <f>HYPERLINK("https://ssdweb.co/ssdweb/hd/Vision360.html?d=925960786&amp;zoomslide=1&amp;z=1925960786&amp;ISCONFIRM=0","VIDEO")</f>
        <v>VIDEO</v>
      </c>
      <c r="AA785" s="19" t="str">
        <f>HYPERLINK("https://ssdweb.co/ssdweb/CERTH/628463179.pdf","CERTI")</f>
        <v>CERTI</v>
      </c>
    </row>
    <row r="786" spans="1:27" ht="15" x14ac:dyDescent="0.25">
      <c r="A786" s="2">
        <v>781</v>
      </c>
      <c r="B786" s="39">
        <v>925961164</v>
      </c>
      <c r="C786" s="28" t="str">
        <f>HYPERLINK("https://pld.live/RapDetail.aspx?STONELIST=925961164","DNA")</f>
        <v>DNA</v>
      </c>
      <c r="D786" s="18" t="s">
        <v>3054</v>
      </c>
      <c r="E786" s="18" t="s">
        <v>5128</v>
      </c>
      <c r="F786" s="2" t="s">
        <v>7987</v>
      </c>
      <c r="G786" s="2" t="s">
        <v>861</v>
      </c>
      <c r="H786" s="14">
        <v>1.0900000000000001</v>
      </c>
      <c r="I786" s="2" t="s">
        <v>267</v>
      </c>
      <c r="J786" s="2" t="s">
        <v>3942</v>
      </c>
      <c r="K786" s="2" t="s">
        <v>3390</v>
      </c>
      <c r="L786" s="2" t="s">
        <v>5221</v>
      </c>
      <c r="M786" s="2" t="s">
        <v>5221</v>
      </c>
      <c r="N786" s="2" t="s">
        <v>2317</v>
      </c>
      <c r="O786" s="14">
        <v>10200</v>
      </c>
      <c r="P786" s="14">
        <v>98.78</v>
      </c>
      <c r="Q786" s="14">
        <v>124.44</v>
      </c>
      <c r="R786" s="14">
        <v>135.63999999999999</v>
      </c>
      <c r="S786" s="2" t="s">
        <v>3988</v>
      </c>
      <c r="T786" s="2">
        <v>1</v>
      </c>
      <c r="U786" s="2">
        <v>62.2</v>
      </c>
      <c r="V786" s="2">
        <v>57</v>
      </c>
      <c r="W786" s="2" t="s">
        <v>7862</v>
      </c>
      <c r="X786" s="2" t="s">
        <v>5405</v>
      </c>
      <c r="Y786" s="2">
        <v>11118</v>
      </c>
      <c r="Z786" s="19" t="str">
        <f>HYPERLINK("https://ssdweb.co/ssdweb/hd/Vision360.html?d=925961164&amp;zoomslide=1&amp;z=1925961164&amp;ISCONFIRM=0","VIDEO")</f>
        <v>VIDEO</v>
      </c>
      <c r="AA786" s="19" t="str">
        <f>HYPERLINK("https://ssdweb.co/ssdweb/CERTH/629453238.pdf","CERTI")</f>
        <v>CERTI</v>
      </c>
    </row>
    <row r="787" spans="1:27" ht="15" x14ac:dyDescent="0.25">
      <c r="A787" s="2">
        <v>782</v>
      </c>
      <c r="B787" s="39">
        <v>925960784</v>
      </c>
      <c r="C787" s="28" t="str">
        <f>HYPERLINK("https://pld.live/RapDetail.aspx?STONELIST=925960784","DNA")</f>
        <v>DNA</v>
      </c>
      <c r="D787" s="18" t="s">
        <v>3054</v>
      </c>
      <c r="E787" s="18" t="s">
        <v>5128</v>
      </c>
      <c r="F787" s="2" t="s">
        <v>7987</v>
      </c>
      <c r="G787" s="2" t="s">
        <v>861</v>
      </c>
      <c r="H787" s="14">
        <v>1.0900000000000001</v>
      </c>
      <c r="I787" s="2" t="s">
        <v>267</v>
      </c>
      <c r="J787" s="2" t="s">
        <v>3942</v>
      </c>
      <c r="K787" s="2" t="s">
        <v>3390</v>
      </c>
      <c r="L787" s="2" t="s">
        <v>5221</v>
      </c>
      <c r="M787" s="2" t="s">
        <v>5221</v>
      </c>
      <c r="N787" s="2" t="s">
        <v>2317</v>
      </c>
      <c r="O787" s="14">
        <v>10200</v>
      </c>
      <c r="P787" s="14">
        <v>98.8</v>
      </c>
      <c r="Q787" s="14">
        <v>122.4</v>
      </c>
      <c r="R787" s="14">
        <v>133.41999999999999</v>
      </c>
      <c r="S787" s="2" t="s">
        <v>3578</v>
      </c>
      <c r="T787" s="2">
        <v>1.01</v>
      </c>
      <c r="U787" s="2">
        <v>61.7</v>
      </c>
      <c r="V787" s="2">
        <v>58</v>
      </c>
      <c r="W787" s="2" t="s">
        <v>7862</v>
      </c>
      <c r="X787" s="2" t="s">
        <v>5405</v>
      </c>
      <c r="Y787" s="2">
        <v>11118</v>
      </c>
      <c r="Z787" s="19" t="str">
        <f>HYPERLINK("https://ssdweb.co/ssdweb/hd/Vision360.html?d=925960784&amp;zoomslide=1&amp;z=1925960784&amp;ISCONFIRM=0","VIDEO")</f>
        <v>VIDEO</v>
      </c>
      <c r="AA787" s="19" t="str">
        <f>HYPERLINK("https://ssdweb.co/ssdweb/CERTH/628463177.pdf","CERTI")</f>
        <v>CERTI</v>
      </c>
    </row>
    <row r="788" spans="1:27" ht="15" x14ac:dyDescent="0.25">
      <c r="A788" s="2">
        <v>783</v>
      </c>
      <c r="B788" s="39">
        <v>925862083</v>
      </c>
      <c r="C788" s="28" t="str">
        <f>HYPERLINK("https://pld.live/RapDetail.aspx?STONELIST=925862083","DNA")</f>
        <v>DNA</v>
      </c>
      <c r="D788" s="18" t="s">
        <v>3054</v>
      </c>
      <c r="E788" s="18" t="s">
        <v>5128</v>
      </c>
      <c r="F788" s="2" t="s">
        <v>7987</v>
      </c>
      <c r="G788" s="2" t="s">
        <v>861</v>
      </c>
      <c r="H788" s="14">
        <v>1.0900000000000001</v>
      </c>
      <c r="I788" s="2" t="s">
        <v>267</v>
      </c>
      <c r="J788" s="2" t="s">
        <v>3942</v>
      </c>
      <c r="K788" s="2" t="s">
        <v>3390</v>
      </c>
      <c r="L788" s="2" t="s">
        <v>5221</v>
      </c>
      <c r="M788" s="2" t="s">
        <v>5221</v>
      </c>
      <c r="N788" s="2" t="s">
        <v>2317</v>
      </c>
      <c r="O788" s="14">
        <v>10200</v>
      </c>
      <c r="P788" s="14">
        <v>98.8</v>
      </c>
      <c r="Q788" s="14">
        <v>122.4</v>
      </c>
      <c r="R788" s="14">
        <v>133.41999999999999</v>
      </c>
      <c r="S788" s="2" t="s">
        <v>7932</v>
      </c>
      <c r="T788" s="2">
        <v>1</v>
      </c>
      <c r="U788" s="2">
        <v>61.9</v>
      </c>
      <c r="V788" s="2">
        <v>56</v>
      </c>
      <c r="W788" s="2" t="s">
        <v>7862</v>
      </c>
      <c r="X788" s="2" t="s">
        <v>5405</v>
      </c>
      <c r="Y788" s="2">
        <v>11118</v>
      </c>
      <c r="Z788" s="19" t="str">
        <f>HYPERLINK("https://ssdweb.co/ssdweb/hd/Vision360.html?d=925862083&amp;zoomslide=1&amp;z=1925862083&amp;ISCONFIRM=0","VIDEO")</f>
        <v>VIDEO</v>
      </c>
      <c r="AA788" s="19" t="str">
        <f>HYPERLINK("https://ssdweb.co/ssdweb/CERTH/629453278.pdf","CERTI")</f>
        <v>CERTI</v>
      </c>
    </row>
    <row r="789" spans="1:27" ht="15" x14ac:dyDescent="0.25">
      <c r="A789" s="2">
        <v>784</v>
      </c>
      <c r="B789" s="39">
        <v>925951283</v>
      </c>
      <c r="C789" s="28" t="str">
        <f>HYPERLINK("https://pld.live/RapDetail.aspx?STONELIST=925951283","DNA")</f>
        <v>DNA</v>
      </c>
      <c r="D789" s="18" t="s">
        <v>3054</v>
      </c>
      <c r="E789" s="18" t="s">
        <v>5128</v>
      </c>
      <c r="F789" s="2" t="s">
        <v>7987</v>
      </c>
      <c r="G789" s="2" t="s">
        <v>861</v>
      </c>
      <c r="H789" s="14">
        <v>1.0900000000000001</v>
      </c>
      <c r="I789" s="2" t="s">
        <v>267</v>
      </c>
      <c r="J789" s="2" t="s">
        <v>3942</v>
      </c>
      <c r="K789" s="2" t="s">
        <v>3390</v>
      </c>
      <c r="L789" s="2" t="s">
        <v>5221</v>
      </c>
      <c r="M789" s="2" t="s">
        <v>5221</v>
      </c>
      <c r="N789" s="2" t="s">
        <v>2317</v>
      </c>
      <c r="O789" s="14">
        <v>10200</v>
      </c>
      <c r="P789" s="14">
        <v>98.8</v>
      </c>
      <c r="Q789" s="14">
        <v>122.4</v>
      </c>
      <c r="R789" s="14">
        <v>133.41999999999999</v>
      </c>
      <c r="S789" s="2" t="s">
        <v>5961</v>
      </c>
      <c r="T789" s="2">
        <v>1.01</v>
      </c>
      <c r="U789" s="2">
        <v>62.1</v>
      </c>
      <c r="V789" s="2">
        <v>58</v>
      </c>
      <c r="W789" s="2" t="s">
        <v>7862</v>
      </c>
      <c r="X789" s="2" t="s">
        <v>5405</v>
      </c>
      <c r="Y789" s="2">
        <v>11118</v>
      </c>
      <c r="Z789" s="19" t="str">
        <f>HYPERLINK("https://ssdweb.co/ssdweb/hd/Vision360.html?d=925951283&amp;zoomslide=1&amp;z=1925951283&amp;ISCONFIRM=0","VIDEO")</f>
        <v>VIDEO</v>
      </c>
      <c r="AA789" s="19" t="str">
        <f>HYPERLINK("https://ssdweb.co/ssdweb/CERTH/629479168.pdf","CERTI")</f>
        <v>CERTI</v>
      </c>
    </row>
    <row r="790" spans="1:27" ht="15" x14ac:dyDescent="0.25">
      <c r="A790" s="2">
        <v>785</v>
      </c>
      <c r="B790" s="39">
        <v>925951206</v>
      </c>
      <c r="C790" s="28" t="str">
        <f>HYPERLINK("https://pld.live/RapDetail.aspx?STONELIST=925951206","DNA")</f>
        <v>DNA</v>
      </c>
      <c r="D790" s="18" t="s">
        <v>3054</v>
      </c>
      <c r="E790" s="18" t="s">
        <v>5128</v>
      </c>
      <c r="F790" s="2" t="s">
        <v>7987</v>
      </c>
      <c r="G790" s="2" t="s">
        <v>861</v>
      </c>
      <c r="H790" s="14">
        <v>1.0900000000000001</v>
      </c>
      <c r="I790" s="2" t="s">
        <v>267</v>
      </c>
      <c r="J790" s="2" t="s">
        <v>3942</v>
      </c>
      <c r="K790" s="2" t="s">
        <v>3390</v>
      </c>
      <c r="L790" s="2" t="s">
        <v>5221</v>
      </c>
      <c r="M790" s="2" t="s">
        <v>5221</v>
      </c>
      <c r="N790" s="2" t="s">
        <v>2317</v>
      </c>
      <c r="O790" s="14">
        <v>10200</v>
      </c>
      <c r="P790" s="14">
        <v>98.8</v>
      </c>
      <c r="Q790" s="14">
        <v>122.4</v>
      </c>
      <c r="R790" s="14">
        <v>133.41999999999999</v>
      </c>
      <c r="S790" s="2" t="s">
        <v>2323</v>
      </c>
      <c r="T790" s="2">
        <v>1.01</v>
      </c>
      <c r="U790" s="2">
        <v>61.1</v>
      </c>
      <c r="V790" s="2">
        <v>59</v>
      </c>
      <c r="W790" s="2" t="s">
        <v>7862</v>
      </c>
      <c r="X790" s="2" t="s">
        <v>5405</v>
      </c>
      <c r="Y790" s="2">
        <v>11118</v>
      </c>
      <c r="Z790" s="19" t="str">
        <f>HYPERLINK("https://ssdweb.co/ssdweb/hd/Vision360.html?d=925951206&amp;zoomslide=1&amp;z=1925951206&amp;ISCONFIRM=0","VIDEO")</f>
        <v>VIDEO</v>
      </c>
      <c r="AA790" s="19" t="str">
        <f>HYPERLINK("https://ssdweb.co/ssdweb/CERTH/629453388.pdf","CERTI")</f>
        <v>CERTI</v>
      </c>
    </row>
    <row r="791" spans="1:27" ht="15" x14ac:dyDescent="0.25">
      <c r="A791" s="2">
        <v>786</v>
      </c>
      <c r="B791" s="39">
        <v>925940534</v>
      </c>
      <c r="C791" s="28" t="str">
        <f>HYPERLINK("https://pld.live/RapDetail.aspx?STONELIST=925940534","DNA")</f>
        <v>DNA</v>
      </c>
      <c r="D791" s="18" t="s">
        <v>3054</v>
      </c>
      <c r="E791" s="18" t="s">
        <v>5128</v>
      </c>
      <c r="F791" s="2" t="s">
        <v>7987</v>
      </c>
      <c r="G791" s="2" t="s">
        <v>861</v>
      </c>
      <c r="H791" s="14">
        <v>1.0900000000000001</v>
      </c>
      <c r="I791" s="2" t="s">
        <v>267</v>
      </c>
      <c r="J791" s="2" t="s">
        <v>3942</v>
      </c>
      <c r="K791" s="2" t="s">
        <v>3390</v>
      </c>
      <c r="L791" s="2" t="s">
        <v>5221</v>
      </c>
      <c r="M791" s="2" t="s">
        <v>5221</v>
      </c>
      <c r="N791" s="2" t="s">
        <v>2317</v>
      </c>
      <c r="O791" s="14">
        <v>10200</v>
      </c>
      <c r="P791" s="14">
        <v>98.8</v>
      </c>
      <c r="Q791" s="14">
        <v>122.4</v>
      </c>
      <c r="R791" s="14">
        <v>133.41999999999999</v>
      </c>
      <c r="S791" s="2" t="s">
        <v>2926</v>
      </c>
      <c r="T791" s="2">
        <v>1</v>
      </c>
      <c r="U791" s="2">
        <v>60.2</v>
      </c>
      <c r="V791" s="2">
        <v>59</v>
      </c>
      <c r="W791" s="2" t="s">
        <v>7862</v>
      </c>
      <c r="X791" s="2" t="s">
        <v>5405</v>
      </c>
      <c r="Y791" s="2">
        <v>11118</v>
      </c>
      <c r="Z791" s="19" t="str">
        <f>HYPERLINK("https://ssdweb.co/ssdweb/hd/Vision360.html?d=925940534&amp;zoomslide=1&amp;z=1925940534&amp;ISCONFIRM=0","VIDEO")</f>
        <v>VIDEO</v>
      </c>
      <c r="AA791" s="19" t="str">
        <f>HYPERLINK("https://ssdweb.co/ssdweb/CERTH/628462994.pdf","CERTI")</f>
        <v>CERTI</v>
      </c>
    </row>
    <row r="792" spans="1:27" ht="15" x14ac:dyDescent="0.25">
      <c r="A792" s="2">
        <v>787</v>
      </c>
      <c r="B792" s="39">
        <v>925951086</v>
      </c>
      <c r="C792" s="28" t="str">
        <f>HYPERLINK("https://pld.live/RapDetail.aspx?STONELIST=925951086","DNA")</f>
        <v>DNA</v>
      </c>
      <c r="D792" s="18" t="s">
        <v>3054</v>
      </c>
      <c r="E792" s="18" t="s">
        <v>5128</v>
      </c>
      <c r="F792" s="2" t="s">
        <v>7987</v>
      </c>
      <c r="G792" s="2" t="s">
        <v>861</v>
      </c>
      <c r="H792" s="14">
        <v>1.0900000000000001</v>
      </c>
      <c r="I792" s="2" t="s">
        <v>267</v>
      </c>
      <c r="J792" s="2" t="s">
        <v>3942</v>
      </c>
      <c r="K792" s="2" t="s">
        <v>3390</v>
      </c>
      <c r="L792" s="2" t="s">
        <v>5221</v>
      </c>
      <c r="M792" s="2" t="s">
        <v>5221</v>
      </c>
      <c r="N792" s="2" t="s">
        <v>2317</v>
      </c>
      <c r="O792" s="14">
        <v>10200</v>
      </c>
      <c r="P792" s="14">
        <v>98.8</v>
      </c>
      <c r="Q792" s="14">
        <v>122.4</v>
      </c>
      <c r="R792" s="14">
        <v>133.41999999999999</v>
      </c>
      <c r="S792" s="2" t="s">
        <v>9</v>
      </c>
      <c r="T792" s="2">
        <v>1</v>
      </c>
      <c r="U792" s="2">
        <v>62.2</v>
      </c>
      <c r="V792" s="2">
        <v>56</v>
      </c>
      <c r="W792" s="2" t="s">
        <v>7862</v>
      </c>
      <c r="X792" s="2" t="s">
        <v>5405</v>
      </c>
      <c r="Y792" s="2">
        <v>11118</v>
      </c>
      <c r="Z792" s="19" t="str">
        <f>HYPERLINK("https://ssdweb.co/ssdweb/hd/Vision360.html?d=925951086&amp;zoomslide=1&amp;z=1925951086&amp;ISCONFIRM=0","VIDEO")</f>
        <v>VIDEO</v>
      </c>
      <c r="AA792" s="19" t="str">
        <f>HYPERLINK("https://ssdweb.co/ssdweb/CERTH/628463289.pdf","CERTI")</f>
        <v>CERTI</v>
      </c>
    </row>
    <row r="793" spans="1:27" ht="15" x14ac:dyDescent="0.25">
      <c r="A793" s="2">
        <v>788</v>
      </c>
      <c r="B793" s="39">
        <v>925951077</v>
      </c>
      <c r="C793" s="28" t="str">
        <f>HYPERLINK("https://pld.live/RapDetail.aspx?STONELIST=925951077","DNA")</f>
        <v>DNA</v>
      </c>
      <c r="D793" s="18" t="s">
        <v>3054</v>
      </c>
      <c r="E793" s="18" t="s">
        <v>5128</v>
      </c>
      <c r="F793" s="2" t="s">
        <v>7987</v>
      </c>
      <c r="G793" s="2" t="s">
        <v>861</v>
      </c>
      <c r="H793" s="14">
        <v>1.0900000000000001</v>
      </c>
      <c r="I793" s="2" t="s">
        <v>267</v>
      </c>
      <c r="J793" s="2" t="s">
        <v>3942</v>
      </c>
      <c r="K793" s="2" t="s">
        <v>3390</v>
      </c>
      <c r="L793" s="2" t="s">
        <v>5221</v>
      </c>
      <c r="M793" s="2" t="s">
        <v>5221</v>
      </c>
      <c r="N793" s="2" t="s">
        <v>2317</v>
      </c>
      <c r="O793" s="14">
        <v>10200</v>
      </c>
      <c r="P793" s="14">
        <v>98.8</v>
      </c>
      <c r="Q793" s="14">
        <v>122.4</v>
      </c>
      <c r="R793" s="14">
        <v>133.41999999999999</v>
      </c>
      <c r="S793" s="2" t="s">
        <v>2869</v>
      </c>
      <c r="T793" s="2">
        <v>1</v>
      </c>
      <c r="U793" s="2">
        <v>61.6</v>
      </c>
      <c r="V793" s="2">
        <v>59</v>
      </c>
      <c r="W793" s="2" t="s">
        <v>7862</v>
      </c>
      <c r="X793" s="2" t="s">
        <v>5405</v>
      </c>
      <c r="Y793" s="2">
        <v>11118</v>
      </c>
      <c r="Z793" s="19" t="str">
        <f>HYPERLINK("https://ssdweb.co/ssdweb/hd/Vision360.html?d=925951077&amp;zoomslide=1&amp;z=1925951077&amp;ISCONFIRM=0","VIDEO")</f>
        <v>VIDEO</v>
      </c>
      <c r="AA793" s="19" t="str">
        <f>HYPERLINK("https://ssdweb.co/ssdweb/CERTH/628463040.pdf","CERTI")</f>
        <v>CERTI</v>
      </c>
    </row>
    <row r="794" spans="1:27" ht="15" x14ac:dyDescent="0.25">
      <c r="A794" s="2">
        <v>789</v>
      </c>
      <c r="B794" s="39">
        <v>925961288</v>
      </c>
      <c r="C794" s="28" t="str">
        <f>HYPERLINK("https://pld.live/RapDetail.aspx?STONELIST=925961288","DNA")</f>
        <v>DNA</v>
      </c>
      <c r="D794" s="18" t="s">
        <v>3054</v>
      </c>
      <c r="E794" s="18" t="s">
        <v>5128</v>
      </c>
      <c r="F794" s="2" t="s">
        <v>7987</v>
      </c>
      <c r="G794" s="2" t="s">
        <v>861</v>
      </c>
      <c r="H794" s="14">
        <v>1.0900000000000001</v>
      </c>
      <c r="I794" s="2" t="s">
        <v>267</v>
      </c>
      <c r="J794" s="2" t="s">
        <v>3942</v>
      </c>
      <c r="K794" s="2" t="s">
        <v>3390</v>
      </c>
      <c r="L794" s="2" t="s">
        <v>5221</v>
      </c>
      <c r="M794" s="2" t="s">
        <v>5221</v>
      </c>
      <c r="N794" s="2" t="s">
        <v>2317</v>
      </c>
      <c r="O794" s="14">
        <v>10200</v>
      </c>
      <c r="P794" s="14">
        <v>98.8</v>
      </c>
      <c r="Q794" s="14">
        <v>122.4</v>
      </c>
      <c r="R794" s="14">
        <v>133.41999999999999</v>
      </c>
      <c r="S794" s="2" t="s">
        <v>138</v>
      </c>
      <c r="T794" s="2">
        <v>1</v>
      </c>
      <c r="U794" s="2">
        <v>60.7</v>
      </c>
      <c r="V794" s="2">
        <v>57</v>
      </c>
      <c r="W794" s="2" t="s">
        <v>7862</v>
      </c>
      <c r="X794" s="2" t="s">
        <v>5405</v>
      </c>
      <c r="Y794" s="2">
        <v>11118</v>
      </c>
      <c r="Z794" s="19" t="str">
        <f>HYPERLINK("https://ssdweb.co/ssdweb/hd/Vision360.html?d=925961288&amp;zoomslide=1&amp;z=1925961288&amp;ISCONFIRM=0","VIDEO")</f>
        <v>VIDEO</v>
      </c>
      <c r="AA794" s="19" t="str">
        <f>HYPERLINK("https://ssdweb.co/ssdweb/CERTH/629479147.pdf","CERTI")</f>
        <v>CERTI</v>
      </c>
    </row>
    <row r="795" spans="1:27" ht="15" x14ac:dyDescent="0.25">
      <c r="A795" s="2">
        <v>790</v>
      </c>
      <c r="B795" s="39">
        <v>925801850</v>
      </c>
      <c r="C795" s="28" t="str">
        <f>HYPERLINK("https://pld.live/RapDetail.aspx?STONELIST=925801850","DNA")</f>
        <v>DNA</v>
      </c>
      <c r="D795" s="18" t="s">
        <v>3054</v>
      </c>
      <c r="E795" s="18" t="s">
        <v>5128</v>
      </c>
      <c r="F795" s="2" t="s">
        <v>7987</v>
      </c>
      <c r="G795" s="2" t="s">
        <v>861</v>
      </c>
      <c r="H795" s="14">
        <v>1.0900000000000001</v>
      </c>
      <c r="I795" s="2" t="s">
        <v>267</v>
      </c>
      <c r="J795" s="2" t="s">
        <v>3942</v>
      </c>
      <c r="K795" s="2" t="s">
        <v>3390</v>
      </c>
      <c r="L795" s="2" t="s">
        <v>5221</v>
      </c>
      <c r="M795" s="2" t="s">
        <v>5221</v>
      </c>
      <c r="N795" s="2" t="s">
        <v>2317</v>
      </c>
      <c r="O795" s="14">
        <v>10200</v>
      </c>
      <c r="P795" s="14">
        <v>98.8</v>
      </c>
      <c r="Q795" s="14">
        <v>122.4</v>
      </c>
      <c r="R795" s="14">
        <v>133.41999999999999</v>
      </c>
      <c r="S795" s="2" t="s">
        <v>7957</v>
      </c>
      <c r="T795" s="2">
        <v>1</v>
      </c>
      <c r="U795" s="2">
        <v>62</v>
      </c>
      <c r="V795" s="2">
        <v>57</v>
      </c>
      <c r="W795" s="2" t="s">
        <v>7862</v>
      </c>
      <c r="X795" s="2" t="s">
        <v>5405</v>
      </c>
      <c r="Y795" s="2">
        <v>11118</v>
      </c>
      <c r="Z795" s="19" t="str">
        <f>HYPERLINK("https://ssdweb.co/ssdweb/hd/Vision360.html?d=925801850&amp;zoomslide=1&amp;z=1925801850&amp;ISCONFIRM=0","VIDEO")</f>
        <v>VIDEO</v>
      </c>
      <c r="AA795" s="19" t="str">
        <f>HYPERLINK("https://ssdweb.co/ssdweb/CERTH/627471572.pdf","CERTI")</f>
        <v>CERTI</v>
      </c>
    </row>
    <row r="796" spans="1:27" ht="15" x14ac:dyDescent="0.25">
      <c r="A796" s="2">
        <v>791</v>
      </c>
      <c r="B796" s="39">
        <v>925801490</v>
      </c>
      <c r="C796" s="28" t="str">
        <f>HYPERLINK("https://pld.live/RapDetail.aspx?STONELIST=925801490","DNA")</f>
        <v>DNA</v>
      </c>
      <c r="D796" s="18" t="s">
        <v>3054</v>
      </c>
      <c r="E796" s="18" t="s">
        <v>5128</v>
      </c>
      <c r="F796" s="2" t="s">
        <v>7987</v>
      </c>
      <c r="G796" s="2" t="s">
        <v>861</v>
      </c>
      <c r="H796" s="14">
        <v>1.0900000000000001</v>
      </c>
      <c r="I796" s="2" t="s">
        <v>267</v>
      </c>
      <c r="J796" s="2" t="s">
        <v>3942</v>
      </c>
      <c r="K796" s="2" t="s">
        <v>3390</v>
      </c>
      <c r="L796" s="2" t="s">
        <v>5221</v>
      </c>
      <c r="M796" s="2" t="s">
        <v>5221</v>
      </c>
      <c r="N796" s="2" t="s">
        <v>2317</v>
      </c>
      <c r="O796" s="14">
        <v>10200</v>
      </c>
      <c r="P796" s="14">
        <v>98.8</v>
      </c>
      <c r="Q796" s="14">
        <v>122.4</v>
      </c>
      <c r="R796" s="14">
        <v>133.41999999999999</v>
      </c>
      <c r="S796" s="2" t="s">
        <v>1163</v>
      </c>
      <c r="T796" s="2">
        <v>1.01</v>
      </c>
      <c r="U796" s="2">
        <v>62.1</v>
      </c>
      <c r="V796" s="2">
        <v>55</v>
      </c>
      <c r="W796" s="2" t="s">
        <v>7862</v>
      </c>
      <c r="X796" s="2" t="s">
        <v>5405</v>
      </c>
      <c r="Y796" s="2">
        <v>11118</v>
      </c>
      <c r="Z796" s="19" t="str">
        <f>HYPERLINK("https://ssdweb.co/ssdweb/hd/Vision360.html?d=925801490&amp;zoomslide=1&amp;z=1925801490&amp;ISCONFIRM=0","VIDEO")</f>
        <v>VIDEO</v>
      </c>
      <c r="AA796" s="19" t="str">
        <f>HYPERLINK("https://ssdweb.co/ssdweb/CERTH/626414903.pdf","CERTI")</f>
        <v>CERTI</v>
      </c>
    </row>
    <row r="797" spans="1:27" ht="15" x14ac:dyDescent="0.25">
      <c r="A797" s="2">
        <v>792</v>
      </c>
      <c r="B797" s="39">
        <v>821127568</v>
      </c>
      <c r="C797" s="28" t="str">
        <f>HYPERLINK("https://pld.live/RapDetail.aspx?STONELIST=821127568","DNA")</f>
        <v>DNA</v>
      </c>
      <c r="D797" s="18" t="s">
        <v>3054</v>
      </c>
      <c r="E797" s="18" t="s">
        <v>5128</v>
      </c>
      <c r="F797" s="2" t="s">
        <v>7987</v>
      </c>
      <c r="G797" s="2" t="s">
        <v>861</v>
      </c>
      <c r="H797" s="14">
        <v>1.0900000000000001</v>
      </c>
      <c r="I797" s="2" t="s">
        <v>267</v>
      </c>
      <c r="J797" s="2" t="s">
        <v>3942</v>
      </c>
      <c r="K797" s="2" t="s">
        <v>3390</v>
      </c>
      <c r="L797" s="2" t="s">
        <v>5221</v>
      </c>
      <c r="M797" s="2" t="s">
        <v>5221</v>
      </c>
      <c r="N797" s="2" t="s">
        <v>2317</v>
      </c>
      <c r="O797" s="14">
        <v>10200</v>
      </c>
      <c r="P797" s="14">
        <v>98.8</v>
      </c>
      <c r="Q797" s="14">
        <v>122.4</v>
      </c>
      <c r="R797" s="14">
        <v>133.41999999999999</v>
      </c>
      <c r="S797" s="2" t="s">
        <v>4648</v>
      </c>
      <c r="T797" s="2">
        <v>1</v>
      </c>
      <c r="U797" s="2">
        <v>60.3</v>
      </c>
      <c r="V797" s="2">
        <v>58</v>
      </c>
      <c r="W797" s="2" t="s">
        <v>7862</v>
      </c>
      <c r="X797" s="2" t="s">
        <v>5405</v>
      </c>
      <c r="Y797" s="2">
        <v>11118</v>
      </c>
      <c r="Z797" s="19" t="str">
        <f>HYPERLINK("https://ssdweb.co/ssdweb/hd/Vision360.html?d=821127568&amp;zoomslide=1&amp;z=1821127568&amp;ISCONFIRM=0","VIDEO")</f>
        <v>VIDEO</v>
      </c>
      <c r="AA797" s="19" t="str">
        <f>HYPERLINK("https://ssdweb.co/ssdweb/CERTH/626479072.pdf","CERTI")</f>
        <v>CERTI</v>
      </c>
    </row>
    <row r="798" spans="1:27" ht="15" x14ac:dyDescent="0.25">
      <c r="A798" s="2">
        <v>793</v>
      </c>
      <c r="B798" s="39">
        <v>821127573</v>
      </c>
      <c r="C798" s="28" t="str">
        <f>HYPERLINK("https://pld.live/RapDetail.aspx?STONELIST=821127573","DNA")</f>
        <v>DNA</v>
      </c>
      <c r="D798" s="18" t="s">
        <v>3054</v>
      </c>
      <c r="E798" s="18" t="s">
        <v>5128</v>
      </c>
      <c r="F798" s="2" t="s">
        <v>7987</v>
      </c>
      <c r="G798" s="2" t="s">
        <v>861</v>
      </c>
      <c r="H798" s="14">
        <v>1.0900000000000001</v>
      </c>
      <c r="I798" s="2" t="s">
        <v>267</v>
      </c>
      <c r="J798" s="2" t="s">
        <v>3942</v>
      </c>
      <c r="K798" s="2" t="s">
        <v>3390</v>
      </c>
      <c r="L798" s="2" t="s">
        <v>5221</v>
      </c>
      <c r="M798" s="2" t="s">
        <v>5221</v>
      </c>
      <c r="N798" s="2" t="s">
        <v>2317</v>
      </c>
      <c r="O798" s="14">
        <v>10200</v>
      </c>
      <c r="P798" s="14">
        <v>98.8</v>
      </c>
      <c r="Q798" s="14">
        <v>122.4</v>
      </c>
      <c r="R798" s="14">
        <v>133.41999999999999</v>
      </c>
      <c r="S798" s="2" t="s">
        <v>236</v>
      </c>
      <c r="T798" s="2">
        <v>1.01</v>
      </c>
      <c r="U798" s="2">
        <v>61.8</v>
      </c>
      <c r="V798" s="2">
        <v>58</v>
      </c>
      <c r="W798" s="2" t="s">
        <v>7862</v>
      </c>
      <c r="X798" s="2" t="s">
        <v>5405</v>
      </c>
      <c r="Y798" s="2">
        <v>11118</v>
      </c>
      <c r="Z798" s="19" t="str">
        <f>HYPERLINK("https://ssdweb.co/ssdweb/hd/Vision360.html?d=821127573&amp;zoomslide=1&amp;z=1821127573&amp;ISCONFIRM=0","VIDEO")</f>
        <v>VIDEO</v>
      </c>
      <c r="AA798" s="19" t="str">
        <f>HYPERLINK("https://ssdweb.co/ssdweb/CERTH/626479053.pdf","CERTI")</f>
        <v>CERTI</v>
      </c>
    </row>
    <row r="799" spans="1:27" ht="15" x14ac:dyDescent="0.25">
      <c r="A799" s="2">
        <v>794</v>
      </c>
      <c r="B799" s="39">
        <v>821127566</v>
      </c>
      <c r="C799" s="28" t="str">
        <f>HYPERLINK("https://pld.live/RapDetail.aspx?STONELIST=821127566","DNA")</f>
        <v>DNA</v>
      </c>
      <c r="D799" s="18" t="s">
        <v>3054</v>
      </c>
      <c r="E799" s="18" t="s">
        <v>5128</v>
      </c>
      <c r="F799" s="2" t="s">
        <v>7987</v>
      </c>
      <c r="G799" s="2" t="s">
        <v>861</v>
      </c>
      <c r="H799" s="14">
        <v>1.0900000000000001</v>
      </c>
      <c r="I799" s="2" t="s">
        <v>267</v>
      </c>
      <c r="J799" s="2" t="s">
        <v>3942</v>
      </c>
      <c r="K799" s="2" t="s">
        <v>3390</v>
      </c>
      <c r="L799" s="2" t="s">
        <v>5221</v>
      </c>
      <c r="M799" s="2" t="s">
        <v>5221</v>
      </c>
      <c r="N799" s="2" t="s">
        <v>2317</v>
      </c>
      <c r="O799" s="14">
        <v>10200</v>
      </c>
      <c r="P799" s="14">
        <v>98.8</v>
      </c>
      <c r="Q799" s="14">
        <v>122.4</v>
      </c>
      <c r="R799" s="14">
        <v>133.41999999999999</v>
      </c>
      <c r="S799" s="2" t="s">
        <v>7057</v>
      </c>
      <c r="T799" s="2">
        <v>1</v>
      </c>
      <c r="U799" s="2">
        <v>61.4</v>
      </c>
      <c r="V799" s="2">
        <v>58</v>
      </c>
      <c r="W799" s="2" t="s">
        <v>7862</v>
      </c>
      <c r="X799" s="2" t="s">
        <v>5405</v>
      </c>
      <c r="Y799" s="2">
        <v>11118</v>
      </c>
      <c r="Z799" s="19" t="str">
        <f>HYPERLINK("https://ssdweb.co/ssdweb/hd/Vision360.html?d=821127566&amp;zoomslide=1&amp;z=1821127566&amp;ISCONFIRM=0","VIDEO")</f>
        <v>VIDEO</v>
      </c>
      <c r="AA799" s="19" t="str">
        <f>HYPERLINK("https://ssdweb.co/ssdweb/CERTH/626479189.pdf","CERTI")</f>
        <v>CERTI</v>
      </c>
    </row>
    <row r="800" spans="1:27" ht="15" x14ac:dyDescent="0.25">
      <c r="A800" s="2">
        <v>795</v>
      </c>
      <c r="B800" s="39">
        <v>821127581</v>
      </c>
      <c r="C800" s="28" t="str">
        <f>HYPERLINK("https://pld.live/RapDetail.aspx?STONELIST=821127581","DNA")</f>
        <v>DNA</v>
      </c>
      <c r="D800" s="18" t="s">
        <v>3054</v>
      </c>
      <c r="E800" s="18" t="s">
        <v>5128</v>
      </c>
      <c r="F800" s="2" t="s">
        <v>7987</v>
      </c>
      <c r="G800" s="2" t="s">
        <v>861</v>
      </c>
      <c r="H800" s="14">
        <v>1.0900000000000001</v>
      </c>
      <c r="I800" s="2" t="s">
        <v>267</v>
      </c>
      <c r="J800" s="2" t="s">
        <v>3942</v>
      </c>
      <c r="K800" s="2" t="s">
        <v>3390</v>
      </c>
      <c r="L800" s="2" t="s">
        <v>5221</v>
      </c>
      <c r="M800" s="2" t="s">
        <v>5221</v>
      </c>
      <c r="N800" s="2" t="s">
        <v>2317</v>
      </c>
      <c r="O800" s="14">
        <v>10200</v>
      </c>
      <c r="P800" s="14">
        <v>98.8</v>
      </c>
      <c r="Q800" s="14">
        <v>122.4</v>
      </c>
      <c r="R800" s="14">
        <v>133.41999999999999</v>
      </c>
      <c r="S800" s="2" t="s">
        <v>4177</v>
      </c>
      <c r="T800" s="2">
        <v>1.01</v>
      </c>
      <c r="U800" s="2">
        <v>61</v>
      </c>
      <c r="V800" s="2">
        <v>58</v>
      </c>
      <c r="W800" s="2" t="s">
        <v>7862</v>
      </c>
      <c r="X800" s="2" t="s">
        <v>5405</v>
      </c>
      <c r="Y800" s="2">
        <v>11118</v>
      </c>
      <c r="Z800" s="19" t="str">
        <f>HYPERLINK("https://ssdweb.co/ssdweb/hd/Vision360.html?d=821127581&amp;zoomslide=1&amp;z=1821127581&amp;ISCONFIRM=0","VIDEO")</f>
        <v>VIDEO</v>
      </c>
      <c r="AA800" s="19" t="str">
        <f>HYPERLINK("https://ssdweb.co/ssdweb/CERTH/626479860.pdf","CERTI")</f>
        <v>CERTI</v>
      </c>
    </row>
    <row r="801" spans="1:27" ht="15" x14ac:dyDescent="0.25">
      <c r="A801" s="2">
        <v>796</v>
      </c>
      <c r="B801" s="39">
        <v>821127558</v>
      </c>
      <c r="C801" s="28" t="str">
        <f>HYPERLINK("https://pld.live/RapDetail.aspx?STONELIST=821127558","DNA")</f>
        <v>DNA</v>
      </c>
      <c r="D801" s="18" t="s">
        <v>3054</v>
      </c>
      <c r="E801" s="18" t="s">
        <v>5128</v>
      </c>
      <c r="F801" s="2" t="s">
        <v>7987</v>
      </c>
      <c r="G801" s="2" t="s">
        <v>861</v>
      </c>
      <c r="H801" s="14">
        <v>1.0900000000000001</v>
      </c>
      <c r="I801" s="2" t="s">
        <v>267</v>
      </c>
      <c r="J801" s="2" t="s">
        <v>3942</v>
      </c>
      <c r="K801" s="2" t="s">
        <v>3390</v>
      </c>
      <c r="L801" s="2" t="s">
        <v>5221</v>
      </c>
      <c r="M801" s="2" t="s">
        <v>5221</v>
      </c>
      <c r="N801" s="2" t="s">
        <v>2317</v>
      </c>
      <c r="O801" s="14">
        <v>10200</v>
      </c>
      <c r="P801" s="14">
        <v>98.8</v>
      </c>
      <c r="Q801" s="14">
        <v>122.4</v>
      </c>
      <c r="R801" s="14">
        <v>133.41999999999999</v>
      </c>
      <c r="S801" s="2" t="s">
        <v>1681</v>
      </c>
      <c r="T801" s="2">
        <v>1.01</v>
      </c>
      <c r="U801" s="2">
        <v>61.9</v>
      </c>
      <c r="V801" s="2">
        <v>57</v>
      </c>
      <c r="W801" s="2" t="s">
        <v>7862</v>
      </c>
      <c r="X801" s="2" t="s">
        <v>5405</v>
      </c>
      <c r="Y801" s="2">
        <v>11118</v>
      </c>
      <c r="Z801" s="19" t="str">
        <f>HYPERLINK("https://ssdweb.co/ssdweb/hd/Vision360.html?d=821127558&amp;zoomslide=1&amp;z=1821127558&amp;ISCONFIRM=0","VIDEO")</f>
        <v>VIDEO</v>
      </c>
      <c r="AA801" s="19" t="str">
        <f>HYPERLINK("https://ssdweb.co/ssdweb/CERTH/626479178.pdf","CERTI")</f>
        <v>CERTI</v>
      </c>
    </row>
    <row r="802" spans="1:27" ht="15" x14ac:dyDescent="0.25">
      <c r="A802" s="2">
        <v>797</v>
      </c>
      <c r="B802" s="39">
        <v>821127594</v>
      </c>
      <c r="C802" s="28" t="str">
        <f>HYPERLINK("https://pld.live/RapDetail.aspx?STONELIST=821127594","DNA")</f>
        <v>DNA</v>
      </c>
      <c r="D802" s="18" t="s">
        <v>3054</v>
      </c>
      <c r="E802" s="18" t="s">
        <v>5128</v>
      </c>
      <c r="F802" s="2" t="s">
        <v>7987</v>
      </c>
      <c r="G802" s="2" t="s">
        <v>861</v>
      </c>
      <c r="H802" s="14">
        <v>1.0900000000000001</v>
      </c>
      <c r="I802" s="2" t="s">
        <v>267</v>
      </c>
      <c r="J802" s="2" t="s">
        <v>3942</v>
      </c>
      <c r="K802" s="2" t="s">
        <v>3390</v>
      </c>
      <c r="L802" s="2" t="s">
        <v>5221</v>
      </c>
      <c r="M802" s="2" t="s">
        <v>5221</v>
      </c>
      <c r="N802" s="2" t="s">
        <v>2317</v>
      </c>
      <c r="O802" s="14">
        <v>10200</v>
      </c>
      <c r="P802" s="14">
        <v>98.8</v>
      </c>
      <c r="Q802" s="14">
        <v>122.4</v>
      </c>
      <c r="R802" s="14">
        <v>133.41999999999999</v>
      </c>
      <c r="S802" s="2" t="s">
        <v>1286</v>
      </c>
      <c r="T802" s="2">
        <v>1.01</v>
      </c>
      <c r="U802" s="2">
        <v>61</v>
      </c>
      <c r="V802" s="2">
        <v>58</v>
      </c>
      <c r="W802" s="2" t="s">
        <v>7862</v>
      </c>
      <c r="X802" s="2" t="s">
        <v>5405</v>
      </c>
      <c r="Y802" s="2">
        <v>11118</v>
      </c>
      <c r="Z802" s="19" t="str">
        <f>HYPERLINK("https://ssdweb.co/ssdweb/hd/Vision360.html?d=821127594&amp;zoomslide=1&amp;z=1821127594&amp;ISCONFIRM=0","VIDEO")</f>
        <v>VIDEO</v>
      </c>
      <c r="AA802" s="19" t="str">
        <f>HYPERLINK("https://ssdweb.co/ssdweb/CERTH/626479087.pdf","CERTI")</f>
        <v>CERTI</v>
      </c>
    </row>
    <row r="803" spans="1:27" ht="15" x14ac:dyDescent="0.25">
      <c r="A803" s="2">
        <v>798</v>
      </c>
      <c r="B803" s="39">
        <v>821127599</v>
      </c>
      <c r="C803" s="28" t="str">
        <f>HYPERLINK("https://pld.live/RapDetail.aspx?STONELIST=821127599","DNA")</f>
        <v>DNA</v>
      </c>
      <c r="D803" s="18" t="s">
        <v>3054</v>
      </c>
      <c r="E803" s="18" t="s">
        <v>5128</v>
      </c>
      <c r="F803" s="2" t="s">
        <v>7987</v>
      </c>
      <c r="G803" s="2" t="s">
        <v>861</v>
      </c>
      <c r="H803" s="14">
        <v>1.0900000000000001</v>
      </c>
      <c r="I803" s="2" t="s">
        <v>267</v>
      </c>
      <c r="J803" s="2" t="s">
        <v>3942</v>
      </c>
      <c r="K803" s="2" t="s">
        <v>3390</v>
      </c>
      <c r="L803" s="2" t="s">
        <v>5221</v>
      </c>
      <c r="M803" s="2" t="s">
        <v>5221</v>
      </c>
      <c r="N803" s="2" t="s">
        <v>2317</v>
      </c>
      <c r="O803" s="14">
        <v>10200</v>
      </c>
      <c r="P803" s="14">
        <v>98.8</v>
      </c>
      <c r="Q803" s="14">
        <v>122.4</v>
      </c>
      <c r="R803" s="14">
        <v>133.41999999999999</v>
      </c>
      <c r="S803" s="2" t="s">
        <v>8108</v>
      </c>
      <c r="T803" s="2">
        <v>1.01</v>
      </c>
      <c r="U803" s="2">
        <v>59.7</v>
      </c>
      <c r="V803" s="2">
        <v>58</v>
      </c>
      <c r="W803" s="2" t="s">
        <v>7862</v>
      </c>
      <c r="X803" s="2" t="s">
        <v>5405</v>
      </c>
      <c r="Y803" s="2">
        <v>11118</v>
      </c>
      <c r="Z803" s="19" t="str">
        <f>HYPERLINK("https://ssdweb.co/ssdweb/hd/Vision360.html?d=821127599&amp;zoomslide=1&amp;z=1821127599&amp;ISCONFIRM=0","VIDEO")</f>
        <v>VIDEO</v>
      </c>
      <c r="AA803" s="19" t="str">
        <f>HYPERLINK("https://ssdweb.co/ssdweb/CERTH/623466799.pdf","CERTI")</f>
        <v>CERTI</v>
      </c>
    </row>
    <row r="804" spans="1:27" ht="15" x14ac:dyDescent="0.25">
      <c r="A804" s="2">
        <v>799</v>
      </c>
      <c r="B804" s="39">
        <v>821127604</v>
      </c>
      <c r="C804" s="28" t="str">
        <f>HYPERLINK("https://pld.live/RapDetail.aspx?STONELIST=821127604","DNA")</f>
        <v>DNA</v>
      </c>
      <c r="D804" s="18" t="s">
        <v>3054</v>
      </c>
      <c r="E804" s="18" t="s">
        <v>5128</v>
      </c>
      <c r="F804" s="2" t="s">
        <v>7987</v>
      </c>
      <c r="G804" s="2" t="s">
        <v>861</v>
      </c>
      <c r="H804" s="14">
        <v>1.0900000000000001</v>
      </c>
      <c r="I804" s="2" t="s">
        <v>267</v>
      </c>
      <c r="J804" s="2" t="s">
        <v>3942</v>
      </c>
      <c r="K804" s="2" t="s">
        <v>3390</v>
      </c>
      <c r="L804" s="2" t="s">
        <v>5221</v>
      </c>
      <c r="M804" s="2" t="s">
        <v>5221</v>
      </c>
      <c r="N804" s="2" t="s">
        <v>2317</v>
      </c>
      <c r="O804" s="14">
        <v>10200</v>
      </c>
      <c r="P804" s="14">
        <v>98.8</v>
      </c>
      <c r="Q804" s="14">
        <v>122.4</v>
      </c>
      <c r="R804" s="14">
        <v>133.41999999999999</v>
      </c>
      <c r="S804" s="2" t="s">
        <v>730</v>
      </c>
      <c r="T804" s="2">
        <v>1</v>
      </c>
      <c r="U804" s="2">
        <v>61.9</v>
      </c>
      <c r="V804" s="2">
        <v>57</v>
      </c>
      <c r="W804" s="2" t="s">
        <v>7862</v>
      </c>
      <c r="X804" s="2" t="s">
        <v>5405</v>
      </c>
      <c r="Y804" s="2">
        <v>11118</v>
      </c>
      <c r="Z804" s="19" t="str">
        <f>HYPERLINK("https://ssdweb.co/ssdweb/hd/Vision360.html?d=821127604&amp;zoomslide=1&amp;z=1821127604&amp;ISCONFIRM=0","VIDEO")</f>
        <v>VIDEO</v>
      </c>
      <c r="AA804" s="19" t="str">
        <f>HYPERLINK("https://ssdweb.co/ssdweb/CERTH/624404882.pdf","CERTI")</f>
        <v>CERTI</v>
      </c>
    </row>
    <row r="805" spans="1:27" ht="15" x14ac:dyDescent="0.25">
      <c r="A805" s="2">
        <v>800</v>
      </c>
      <c r="B805" s="39">
        <v>821127622</v>
      </c>
      <c r="C805" s="28" t="str">
        <f>HYPERLINK("https://pld.live/RapDetail.aspx?STONELIST=821127622","DNA")</f>
        <v>DNA</v>
      </c>
      <c r="D805" s="18" t="s">
        <v>3054</v>
      </c>
      <c r="E805" s="18" t="s">
        <v>5128</v>
      </c>
      <c r="F805" s="2" t="s">
        <v>7987</v>
      </c>
      <c r="G805" s="2" t="s">
        <v>861</v>
      </c>
      <c r="H805" s="14">
        <v>1.0900000000000001</v>
      </c>
      <c r="I805" s="2" t="s">
        <v>267</v>
      </c>
      <c r="J805" s="2" t="s">
        <v>3942</v>
      </c>
      <c r="K805" s="2" t="s">
        <v>3390</v>
      </c>
      <c r="L805" s="2" t="s">
        <v>5221</v>
      </c>
      <c r="M805" s="2" t="s">
        <v>5221</v>
      </c>
      <c r="N805" s="2" t="s">
        <v>2317</v>
      </c>
      <c r="O805" s="14">
        <v>10200</v>
      </c>
      <c r="P805" s="14">
        <v>98.8</v>
      </c>
      <c r="Q805" s="14">
        <v>122.4</v>
      </c>
      <c r="R805" s="14">
        <v>133.41999999999999</v>
      </c>
      <c r="S805" s="2" t="s">
        <v>173</v>
      </c>
      <c r="T805" s="2">
        <v>1</v>
      </c>
      <c r="U805" s="2">
        <v>61.7</v>
      </c>
      <c r="V805" s="2">
        <v>58</v>
      </c>
      <c r="W805" s="2" t="s">
        <v>7862</v>
      </c>
      <c r="X805" s="2" t="s">
        <v>5405</v>
      </c>
      <c r="Y805" s="2">
        <v>11118</v>
      </c>
      <c r="Z805" s="19" t="str">
        <f>HYPERLINK("https://ssdweb.co/ssdweb/hd/Vision360.html?d=821127622&amp;zoomslide=1&amp;z=1821127622&amp;ISCONFIRM=0","VIDEO")</f>
        <v>VIDEO</v>
      </c>
      <c r="AA805" s="19" t="str">
        <f>HYPERLINK("https://ssdweb.co/ssdweb/CERTH/623433037.pdf","CERTI")</f>
        <v>CERTI</v>
      </c>
    </row>
    <row r="806" spans="1:27" ht="15" x14ac:dyDescent="0.25">
      <c r="A806" s="2">
        <v>801</v>
      </c>
      <c r="B806" s="39">
        <v>821127625</v>
      </c>
      <c r="C806" s="28" t="str">
        <f>HYPERLINK("https://pld.live/RapDetail.aspx?STONELIST=821127625","DNA")</f>
        <v>DNA</v>
      </c>
      <c r="D806" s="18" t="s">
        <v>3054</v>
      </c>
      <c r="E806" s="18" t="s">
        <v>5128</v>
      </c>
      <c r="F806" s="2" t="s">
        <v>7987</v>
      </c>
      <c r="G806" s="2" t="s">
        <v>861</v>
      </c>
      <c r="H806" s="14">
        <v>1.0900000000000001</v>
      </c>
      <c r="I806" s="2" t="s">
        <v>267</v>
      </c>
      <c r="J806" s="2" t="s">
        <v>3942</v>
      </c>
      <c r="K806" s="2" t="s">
        <v>3390</v>
      </c>
      <c r="L806" s="2" t="s">
        <v>5221</v>
      </c>
      <c r="M806" s="2" t="s">
        <v>5221</v>
      </c>
      <c r="N806" s="2" t="s">
        <v>2317</v>
      </c>
      <c r="O806" s="14">
        <v>10200</v>
      </c>
      <c r="P806" s="14">
        <v>98.8</v>
      </c>
      <c r="Q806" s="14">
        <v>122.4</v>
      </c>
      <c r="R806" s="14">
        <v>133.41999999999999</v>
      </c>
      <c r="S806" s="2" t="s">
        <v>2333</v>
      </c>
      <c r="T806" s="2">
        <v>1</v>
      </c>
      <c r="U806" s="2">
        <v>61.6</v>
      </c>
      <c r="V806" s="2">
        <v>58</v>
      </c>
      <c r="W806" s="2" t="s">
        <v>7862</v>
      </c>
      <c r="X806" s="2" t="s">
        <v>5405</v>
      </c>
      <c r="Y806" s="2">
        <v>11118</v>
      </c>
      <c r="Z806" s="19" t="str">
        <f>HYPERLINK("https://ssdweb.co/ssdweb/hd/Vision360.html?d=821127625&amp;zoomslide=1&amp;z=1821127625&amp;ISCONFIRM=0","VIDEO")</f>
        <v>VIDEO</v>
      </c>
      <c r="AA806" s="19" t="str">
        <f>HYPERLINK("https://ssdweb.co/ssdweb/CERTH/623433035.pdf","CERTI")</f>
        <v>CERTI</v>
      </c>
    </row>
    <row r="807" spans="1:27" ht="15" x14ac:dyDescent="0.25">
      <c r="A807" s="2">
        <v>802</v>
      </c>
      <c r="B807" s="39">
        <v>821127551</v>
      </c>
      <c r="C807" s="28" t="str">
        <f>HYPERLINK("https://pld.live/RapDetail.aspx?STONELIST=821127551","DNA")</f>
        <v>DNA</v>
      </c>
      <c r="D807" s="18" t="s">
        <v>3054</v>
      </c>
      <c r="E807" s="18" t="s">
        <v>5128</v>
      </c>
      <c r="F807" s="2" t="s">
        <v>7987</v>
      </c>
      <c r="G807" s="2" t="s">
        <v>861</v>
      </c>
      <c r="H807" s="14">
        <v>1.0900000000000001</v>
      </c>
      <c r="I807" s="2" t="s">
        <v>267</v>
      </c>
      <c r="J807" s="2" t="s">
        <v>3942</v>
      </c>
      <c r="K807" s="2" t="s">
        <v>3390</v>
      </c>
      <c r="L807" s="2" t="s">
        <v>5221</v>
      </c>
      <c r="M807" s="2" t="s">
        <v>5221</v>
      </c>
      <c r="N807" s="2" t="s">
        <v>2317</v>
      </c>
      <c r="O807" s="14">
        <v>10200</v>
      </c>
      <c r="P807" s="14">
        <v>98.8</v>
      </c>
      <c r="Q807" s="14">
        <v>122.4</v>
      </c>
      <c r="R807" s="14">
        <v>133.41999999999999</v>
      </c>
      <c r="S807" s="2" t="s">
        <v>6183</v>
      </c>
      <c r="T807" s="2">
        <v>1</v>
      </c>
      <c r="U807" s="2">
        <v>61.5</v>
      </c>
      <c r="V807" s="2">
        <v>59</v>
      </c>
      <c r="W807" s="2" t="s">
        <v>7862</v>
      </c>
      <c r="X807" s="2" t="s">
        <v>5405</v>
      </c>
      <c r="Y807" s="2">
        <v>11118</v>
      </c>
      <c r="Z807" s="19" t="str">
        <f>HYPERLINK("https://ssdweb.co/ssdweb/hd/Vision360.html?d=821127551&amp;zoomslide=1&amp;z=1821127551&amp;ISCONFIRM=0","VIDEO")</f>
        <v>VIDEO</v>
      </c>
      <c r="AA807" s="19" t="str">
        <f>HYPERLINK("https://ssdweb.co/ssdweb/CERTH/626478995.pdf","CERTI")</f>
        <v>CERTI</v>
      </c>
    </row>
    <row r="808" spans="1:27" ht="15" x14ac:dyDescent="0.25">
      <c r="A808" s="2">
        <v>803</v>
      </c>
      <c r="B808" s="39">
        <v>821127680</v>
      </c>
      <c r="C808" s="28" t="str">
        <f>HYPERLINK("https://pld.live/RapDetail.aspx?STONELIST=821127680","DNA")</f>
        <v>DNA</v>
      </c>
      <c r="D808" s="18" t="s">
        <v>3054</v>
      </c>
      <c r="E808" s="18" t="s">
        <v>5128</v>
      </c>
      <c r="F808" s="2" t="s">
        <v>7987</v>
      </c>
      <c r="G808" s="2" t="s">
        <v>861</v>
      </c>
      <c r="H808" s="14">
        <v>1.0900000000000001</v>
      </c>
      <c r="I808" s="2" t="s">
        <v>267</v>
      </c>
      <c r="J808" s="2" t="s">
        <v>3942</v>
      </c>
      <c r="K808" s="2" t="s">
        <v>3390</v>
      </c>
      <c r="L808" s="2" t="s">
        <v>5221</v>
      </c>
      <c r="M808" s="2" t="s">
        <v>5221</v>
      </c>
      <c r="N808" s="2" t="s">
        <v>2317</v>
      </c>
      <c r="O808" s="14">
        <v>10200</v>
      </c>
      <c r="P808" s="14">
        <v>98.8</v>
      </c>
      <c r="Q808" s="14">
        <v>122.4</v>
      </c>
      <c r="R808" s="14">
        <v>133.41999999999999</v>
      </c>
      <c r="S808" s="2" t="s">
        <v>2623</v>
      </c>
      <c r="T808" s="2">
        <v>1</v>
      </c>
      <c r="U808" s="2">
        <v>60.6</v>
      </c>
      <c r="V808" s="2">
        <v>59</v>
      </c>
      <c r="W808" s="2" t="s">
        <v>7862</v>
      </c>
      <c r="X808" s="2" t="s">
        <v>5405</v>
      </c>
      <c r="Y808" s="2">
        <v>11118</v>
      </c>
      <c r="Z808" s="19" t="str">
        <f>HYPERLINK("https://ssdweb.co/ssdweb/hd/Vision360.html?d=821127680&amp;zoomslide=1&amp;z=1821127680&amp;ISCONFIRM=0","VIDEO")</f>
        <v>VIDEO</v>
      </c>
      <c r="AA808" s="19" t="str">
        <f>HYPERLINK("https://ssdweb.co/ssdweb/CERTH/624404593.pdf","CERTI")</f>
        <v>CERTI</v>
      </c>
    </row>
    <row r="809" spans="1:27" ht="15" x14ac:dyDescent="0.25">
      <c r="A809" s="2">
        <v>804</v>
      </c>
      <c r="B809" s="39">
        <v>821127682</v>
      </c>
      <c r="C809" s="28" t="str">
        <f>HYPERLINK("https://pld.live/RapDetail.aspx?STONELIST=821127682","DNA")</f>
        <v>DNA</v>
      </c>
      <c r="D809" s="18" t="s">
        <v>3054</v>
      </c>
      <c r="E809" s="18" t="s">
        <v>5128</v>
      </c>
      <c r="F809" s="2" t="s">
        <v>7987</v>
      </c>
      <c r="G809" s="2" t="s">
        <v>861</v>
      </c>
      <c r="H809" s="14">
        <v>1.0900000000000001</v>
      </c>
      <c r="I809" s="2" t="s">
        <v>267</v>
      </c>
      <c r="J809" s="2" t="s">
        <v>3942</v>
      </c>
      <c r="K809" s="2" t="s">
        <v>3390</v>
      </c>
      <c r="L809" s="2" t="s">
        <v>5221</v>
      </c>
      <c r="M809" s="2" t="s">
        <v>5221</v>
      </c>
      <c r="N809" s="2" t="s">
        <v>2317</v>
      </c>
      <c r="O809" s="14">
        <v>10200</v>
      </c>
      <c r="P809" s="14">
        <v>98.8</v>
      </c>
      <c r="Q809" s="14">
        <v>122.4</v>
      </c>
      <c r="R809" s="14">
        <v>133.41999999999999</v>
      </c>
      <c r="S809" s="2" t="s">
        <v>3794</v>
      </c>
      <c r="T809" s="2">
        <v>1.01</v>
      </c>
      <c r="U809" s="2">
        <v>60.8</v>
      </c>
      <c r="V809" s="2">
        <v>58</v>
      </c>
      <c r="W809" s="2" t="s">
        <v>7862</v>
      </c>
      <c r="X809" s="2" t="s">
        <v>5405</v>
      </c>
      <c r="Y809" s="2">
        <v>11118</v>
      </c>
      <c r="Z809" s="19" t="str">
        <f>HYPERLINK("https://ssdweb.co/ssdweb/hd/Vision360.html?d=821127682&amp;zoomslide=1&amp;z=1821127682&amp;ISCONFIRM=0","VIDEO")</f>
        <v>VIDEO</v>
      </c>
      <c r="AA809" s="19" t="str">
        <f>HYPERLINK("https://ssdweb.co/ssdweb/CERTH/624404740.pdf","CERTI")</f>
        <v>CERTI</v>
      </c>
    </row>
    <row r="810" spans="1:27" ht="15" x14ac:dyDescent="0.25">
      <c r="A810" s="2">
        <v>805</v>
      </c>
      <c r="B810" s="39">
        <v>821127688</v>
      </c>
      <c r="C810" s="28" t="str">
        <f>HYPERLINK("https://pld.live/RapDetail.aspx?STONELIST=821127688","DNA")</f>
        <v>DNA</v>
      </c>
      <c r="D810" s="18" t="s">
        <v>3054</v>
      </c>
      <c r="E810" s="18" t="s">
        <v>5128</v>
      </c>
      <c r="F810" s="2" t="s">
        <v>7987</v>
      </c>
      <c r="G810" s="2" t="s">
        <v>861</v>
      </c>
      <c r="H810" s="14">
        <v>1.0900000000000001</v>
      </c>
      <c r="I810" s="2" t="s">
        <v>267</v>
      </c>
      <c r="J810" s="2" t="s">
        <v>3942</v>
      </c>
      <c r="K810" s="2" t="s">
        <v>3390</v>
      </c>
      <c r="L810" s="2" t="s">
        <v>5221</v>
      </c>
      <c r="M810" s="2" t="s">
        <v>5221</v>
      </c>
      <c r="N810" s="2" t="s">
        <v>2317</v>
      </c>
      <c r="O810" s="14">
        <v>10200</v>
      </c>
      <c r="P810" s="14">
        <v>98.8</v>
      </c>
      <c r="Q810" s="14">
        <v>122.4</v>
      </c>
      <c r="R810" s="14">
        <v>133.41999999999999</v>
      </c>
      <c r="S810" s="2" t="s">
        <v>2926</v>
      </c>
      <c r="T810" s="2">
        <v>1</v>
      </c>
      <c r="U810" s="2">
        <v>60.2</v>
      </c>
      <c r="V810" s="2">
        <v>59</v>
      </c>
      <c r="W810" s="2" t="s">
        <v>7862</v>
      </c>
      <c r="X810" s="2" t="s">
        <v>5405</v>
      </c>
      <c r="Y810" s="2">
        <v>11118</v>
      </c>
      <c r="Z810" s="19" t="str">
        <f>HYPERLINK("https://ssdweb.co/ssdweb/hd/Vision360.html?d=821127688&amp;zoomslide=1&amp;z=1821127688&amp;ISCONFIRM=0","VIDEO")</f>
        <v>VIDEO</v>
      </c>
      <c r="AA810" s="19" t="str">
        <f>HYPERLINK("https://ssdweb.co/ssdweb/CERTH/624404741.pdf","CERTI")</f>
        <v>CERTI</v>
      </c>
    </row>
    <row r="811" spans="1:27" ht="15" x14ac:dyDescent="0.25">
      <c r="A811" s="2">
        <v>806</v>
      </c>
      <c r="B811" s="39">
        <v>821127689</v>
      </c>
      <c r="C811" s="28" t="str">
        <f>HYPERLINK("https://pld.live/RapDetail.aspx?STONELIST=821127689","DNA")</f>
        <v>DNA</v>
      </c>
      <c r="D811" s="18" t="s">
        <v>3054</v>
      </c>
      <c r="E811" s="18" t="s">
        <v>5128</v>
      </c>
      <c r="F811" s="2" t="s">
        <v>7987</v>
      </c>
      <c r="G811" s="2" t="s">
        <v>861</v>
      </c>
      <c r="H811" s="14">
        <v>1.0900000000000001</v>
      </c>
      <c r="I811" s="2" t="s">
        <v>267</v>
      </c>
      <c r="J811" s="2" t="s">
        <v>3942</v>
      </c>
      <c r="K811" s="2" t="s">
        <v>3390</v>
      </c>
      <c r="L811" s="2" t="s">
        <v>5221</v>
      </c>
      <c r="M811" s="2" t="s">
        <v>5221</v>
      </c>
      <c r="N811" s="2" t="s">
        <v>2317</v>
      </c>
      <c r="O811" s="14">
        <v>10200</v>
      </c>
      <c r="P811" s="14">
        <v>98.8</v>
      </c>
      <c r="Q811" s="14">
        <v>122.4</v>
      </c>
      <c r="R811" s="14">
        <v>133.41999999999999</v>
      </c>
      <c r="S811" s="2" t="s">
        <v>2333</v>
      </c>
      <c r="T811" s="2">
        <v>1</v>
      </c>
      <c r="U811" s="2">
        <v>61.7</v>
      </c>
      <c r="V811" s="2">
        <v>56</v>
      </c>
      <c r="W811" s="2" t="s">
        <v>7862</v>
      </c>
      <c r="X811" s="2" t="s">
        <v>5405</v>
      </c>
      <c r="Y811" s="2">
        <v>11118</v>
      </c>
      <c r="Z811" s="19" t="str">
        <f>HYPERLINK("https://ssdweb.co/ssdweb/hd/Vision360.html?d=821127689&amp;zoomslide=1&amp;z=1821127689&amp;ISCONFIRM=0","VIDEO")</f>
        <v>VIDEO</v>
      </c>
      <c r="AA811" s="19" t="str">
        <f>HYPERLINK("https://ssdweb.co/ssdweb/CERTH/623433031.pdf","CERTI")</f>
        <v>CERTI</v>
      </c>
    </row>
    <row r="812" spans="1:27" ht="15" x14ac:dyDescent="0.25">
      <c r="A812" s="2">
        <v>807</v>
      </c>
      <c r="B812" s="39">
        <v>821127702</v>
      </c>
      <c r="C812" s="28" t="str">
        <f>HYPERLINK("https://pld.live/RapDetail.aspx?STONELIST=821127702","DNA")</f>
        <v>DNA</v>
      </c>
      <c r="D812" s="18" t="s">
        <v>3054</v>
      </c>
      <c r="E812" s="18" t="s">
        <v>5128</v>
      </c>
      <c r="F812" s="2" t="s">
        <v>7987</v>
      </c>
      <c r="G812" s="2" t="s">
        <v>861</v>
      </c>
      <c r="H812" s="14">
        <v>1.0900000000000001</v>
      </c>
      <c r="I812" s="2" t="s">
        <v>267</v>
      </c>
      <c r="J812" s="2" t="s">
        <v>3942</v>
      </c>
      <c r="K812" s="2" t="s">
        <v>3390</v>
      </c>
      <c r="L812" s="2" t="s">
        <v>5221</v>
      </c>
      <c r="M812" s="2" t="s">
        <v>5221</v>
      </c>
      <c r="N812" s="2" t="s">
        <v>2317</v>
      </c>
      <c r="O812" s="14">
        <v>10200</v>
      </c>
      <c r="P812" s="14">
        <v>98.8</v>
      </c>
      <c r="Q812" s="14">
        <v>122.4</v>
      </c>
      <c r="R812" s="14">
        <v>133.41999999999999</v>
      </c>
      <c r="S812" s="2" t="s">
        <v>4468</v>
      </c>
      <c r="T812" s="2">
        <v>1.01</v>
      </c>
      <c r="U812" s="2">
        <v>61.9</v>
      </c>
      <c r="V812" s="2">
        <v>57</v>
      </c>
      <c r="W812" s="2" t="s">
        <v>7862</v>
      </c>
      <c r="X812" s="2" t="s">
        <v>5405</v>
      </c>
      <c r="Y812" s="2">
        <v>11118</v>
      </c>
      <c r="Z812" s="19" t="str">
        <f>HYPERLINK("https://ssdweb.co/ssdweb/hd/Vision360.html?d=821127702&amp;zoomslide=1&amp;z=1821127702&amp;ISCONFIRM=0","VIDEO")</f>
        <v>VIDEO</v>
      </c>
      <c r="AA812" s="19" t="str">
        <f>HYPERLINK("https://ssdweb.co/ssdweb/CERTH/624404736.pdf","CERTI")</f>
        <v>CERTI</v>
      </c>
    </row>
    <row r="813" spans="1:27" ht="15" x14ac:dyDescent="0.25">
      <c r="A813" s="2">
        <v>808</v>
      </c>
      <c r="B813" s="39">
        <v>831010796</v>
      </c>
      <c r="C813" s="28" t="str">
        <f>HYPERLINK("https://pld.live/RapDetail.aspx?STONELIST=831010796","DNA")</f>
        <v>DNA</v>
      </c>
      <c r="D813" s="18" t="s">
        <v>3054</v>
      </c>
      <c r="E813" s="18" t="s">
        <v>5128</v>
      </c>
      <c r="F813" s="2" t="s">
        <v>7987</v>
      </c>
      <c r="G813" s="2" t="s">
        <v>861</v>
      </c>
      <c r="H813" s="14">
        <v>1.0900000000000001</v>
      </c>
      <c r="I813" s="2" t="s">
        <v>267</v>
      </c>
      <c r="J813" s="2" t="s">
        <v>3942</v>
      </c>
      <c r="K813" s="2" t="s">
        <v>3390</v>
      </c>
      <c r="L813" s="2" t="s">
        <v>5221</v>
      </c>
      <c r="M813" s="2" t="s">
        <v>5221</v>
      </c>
      <c r="N813" s="2" t="s">
        <v>2317</v>
      </c>
      <c r="O813" s="14">
        <v>10200</v>
      </c>
      <c r="P813" s="14">
        <v>98.8</v>
      </c>
      <c r="Q813" s="14">
        <v>122.4</v>
      </c>
      <c r="R813" s="14">
        <v>133.41999999999999</v>
      </c>
      <c r="S813" s="2" t="s">
        <v>4696</v>
      </c>
      <c r="T813" s="2">
        <v>1.01</v>
      </c>
      <c r="U813" s="2">
        <v>62.4</v>
      </c>
      <c r="V813" s="2">
        <v>56.5</v>
      </c>
      <c r="W813" s="2" t="s">
        <v>7862</v>
      </c>
      <c r="X813" s="2" t="s">
        <v>5405</v>
      </c>
      <c r="Y813" s="2">
        <v>11118</v>
      </c>
      <c r="Z813" s="19" t="str">
        <f>HYPERLINK("https://ssdweb.co/ssdweb/hd/Vision360.html?d=831010796&amp;zoomslide=1&amp;z=1831010796&amp;ISCONFIRM=0","VIDEO")</f>
        <v>VIDEO</v>
      </c>
      <c r="AA813" s="19" t="str">
        <f>HYPERLINK("https://ssdweb.co/ssdweb/CERTH/555266920.pdf","CERTI")</f>
        <v>CERTI</v>
      </c>
    </row>
    <row r="814" spans="1:27" ht="15" x14ac:dyDescent="0.25">
      <c r="A814" s="2">
        <v>809</v>
      </c>
      <c r="B814" s="39">
        <v>821127703</v>
      </c>
      <c r="C814" s="28" t="str">
        <f>HYPERLINK("https://pld.live/RapDetail.aspx?STONELIST=821127703","DNA")</f>
        <v>DNA</v>
      </c>
      <c r="D814" s="18" t="s">
        <v>3054</v>
      </c>
      <c r="E814" s="18" t="s">
        <v>5128</v>
      </c>
      <c r="F814" s="2" t="s">
        <v>7987</v>
      </c>
      <c r="G814" s="2" t="s">
        <v>861</v>
      </c>
      <c r="H814" s="14">
        <v>1.0900000000000001</v>
      </c>
      <c r="I814" s="2" t="s">
        <v>267</v>
      </c>
      <c r="J814" s="2" t="s">
        <v>3942</v>
      </c>
      <c r="K814" s="2" t="s">
        <v>3390</v>
      </c>
      <c r="L814" s="2" t="s">
        <v>5221</v>
      </c>
      <c r="M814" s="2" t="s">
        <v>5221</v>
      </c>
      <c r="N814" s="2" t="s">
        <v>2317</v>
      </c>
      <c r="O814" s="14">
        <v>10200</v>
      </c>
      <c r="P814" s="14">
        <v>98.8</v>
      </c>
      <c r="Q814" s="14">
        <v>122.4</v>
      </c>
      <c r="R814" s="14">
        <v>133.41999999999999</v>
      </c>
      <c r="S814" s="2" t="s">
        <v>3508</v>
      </c>
      <c r="T814" s="2">
        <v>1.01</v>
      </c>
      <c r="U814" s="2">
        <v>60.3</v>
      </c>
      <c r="V814" s="2">
        <v>58</v>
      </c>
      <c r="W814" s="2" t="s">
        <v>7862</v>
      </c>
      <c r="X814" s="2" t="s">
        <v>5405</v>
      </c>
      <c r="Y814" s="2">
        <v>11118</v>
      </c>
      <c r="Z814" s="19" t="str">
        <f>HYPERLINK("https://ssdweb.co/ssdweb/hd/Vision360.html?d=821127703&amp;zoomslide=1&amp;z=1821127703&amp;ISCONFIRM=0","VIDEO")</f>
        <v>VIDEO</v>
      </c>
      <c r="AA814" s="19" t="str">
        <f>HYPERLINK("https://ssdweb.co/ssdweb/CERTH/624404738.pdf","CERTI")</f>
        <v>CERTI</v>
      </c>
    </row>
    <row r="815" spans="1:27" ht="15" x14ac:dyDescent="0.25">
      <c r="A815" s="2">
        <v>810</v>
      </c>
      <c r="B815" s="39">
        <v>821127707</v>
      </c>
      <c r="C815" s="28" t="str">
        <f>HYPERLINK("https://pld.live/RapDetail.aspx?STONELIST=821127707","DNA")</f>
        <v>DNA</v>
      </c>
      <c r="D815" s="18" t="s">
        <v>3054</v>
      </c>
      <c r="E815" s="18" t="s">
        <v>5128</v>
      </c>
      <c r="F815" s="2" t="s">
        <v>7987</v>
      </c>
      <c r="G815" s="2" t="s">
        <v>861</v>
      </c>
      <c r="H815" s="14">
        <v>1.0900000000000001</v>
      </c>
      <c r="I815" s="2" t="s">
        <v>267</v>
      </c>
      <c r="J815" s="2" t="s">
        <v>3942</v>
      </c>
      <c r="K815" s="2" t="s">
        <v>3390</v>
      </c>
      <c r="L815" s="2" t="s">
        <v>5221</v>
      </c>
      <c r="M815" s="2" t="s">
        <v>5221</v>
      </c>
      <c r="N815" s="2" t="s">
        <v>2317</v>
      </c>
      <c r="O815" s="14">
        <v>10200</v>
      </c>
      <c r="P815" s="14">
        <v>98.8</v>
      </c>
      <c r="Q815" s="14">
        <v>122.4</v>
      </c>
      <c r="R815" s="14">
        <v>133.41999999999999</v>
      </c>
      <c r="S815" s="2" t="s">
        <v>2333</v>
      </c>
      <c r="T815" s="2">
        <v>1</v>
      </c>
      <c r="U815" s="2">
        <v>61.6</v>
      </c>
      <c r="V815" s="2">
        <v>58</v>
      </c>
      <c r="W815" s="2" t="s">
        <v>7862</v>
      </c>
      <c r="X815" s="2" t="s">
        <v>5405</v>
      </c>
      <c r="Y815" s="2">
        <v>11118</v>
      </c>
      <c r="Z815" s="19" t="str">
        <f>HYPERLINK("https://ssdweb.co/ssdweb/hd/Vision360.html?d=821127707&amp;zoomslide=1&amp;z=1821127707&amp;ISCONFIRM=0","VIDEO")</f>
        <v>VIDEO</v>
      </c>
      <c r="AA815" s="19" t="str">
        <f>HYPERLINK("https://ssdweb.co/ssdweb/CERTH/624404875.pdf","CERTI")</f>
        <v>CERTI</v>
      </c>
    </row>
    <row r="816" spans="1:27" ht="15" x14ac:dyDescent="0.25">
      <c r="A816" s="2">
        <v>811</v>
      </c>
      <c r="B816" s="39">
        <v>821127706</v>
      </c>
      <c r="C816" s="28" t="str">
        <f>HYPERLINK("https://pld.live/RapDetail.aspx?STONELIST=821127706","DNA")</f>
        <v>DNA</v>
      </c>
      <c r="D816" s="18" t="s">
        <v>3054</v>
      </c>
      <c r="E816" s="18" t="s">
        <v>5128</v>
      </c>
      <c r="F816" s="2" t="s">
        <v>7987</v>
      </c>
      <c r="G816" s="2" t="s">
        <v>861</v>
      </c>
      <c r="H816" s="14">
        <v>1.0900000000000001</v>
      </c>
      <c r="I816" s="2" t="s">
        <v>267</v>
      </c>
      <c r="J816" s="2" t="s">
        <v>3942</v>
      </c>
      <c r="K816" s="2" t="s">
        <v>3390</v>
      </c>
      <c r="L816" s="2" t="s">
        <v>5221</v>
      </c>
      <c r="M816" s="2" t="s">
        <v>5221</v>
      </c>
      <c r="N816" s="2" t="s">
        <v>2317</v>
      </c>
      <c r="O816" s="14">
        <v>10200</v>
      </c>
      <c r="P816" s="14">
        <v>98.8</v>
      </c>
      <c r="Q816" s="14">
        <v>122.4</v>
      </c>
      <c r="R816" s="14">
        <v>133.41999999999999</v>
      </c>
      <c r="S816" s="2" t="s">
        <v>3182</v>
      </c>
      <c r="T816" s="2">
        <v>1</v>
      </c>
      <c r="U816" s="2">
        <v>61.7</v>
      </c>
      <c r="V816" s="2">
        <v>57</v>
      </c>
      <c r="W816" s="2" t="s">
        <v>7862</v>
      </c>
      <c r="X816" s="2" t="s">
        <v>5405</v>
      </c>
      <c r="Y816" s="2">
        <v>11118</v>
      </c>
      <c r="Z816" s="19" t="str">
        <f>HYPERLINK("https://ssdweb.co/ssdweb/hd/Vision360.html?d=821127706&amp;zoomslide=1&amp;z=1821127706&amp;ISCONFIRM=0","VIDEO")</f>
        <v>VIDEO</v>
      </c>
      <c r="AA816" s="19" t="str">
        <f>HYPERLINK("https://ssdweb.co/ssdweb/CERTH/624404876.pdf","CERTI")</f>
        <v>CERTI</v>
      </c>
    </row>
    <row r="817" spans="1:27" ht="15" x14ac:dyDescent="0.25">
      <c r="A817" s="2">
        <v>812</v>
      </c>
      <c r="B817" s="39">
        <v>926071067</v>
      </c>
      <c r="C817" s="28" t="str">
        <f>HYPERLINK("https://pld.live/RapDetail.aspx?STONELIST=926071067","DNA")</f>
        <v>DNA</v>
      </c>
      <c r="D817" s="18" t="s">
        <v>3054</v>
      </c>
      <c r="E817" s="18" t="s">
        <v>5128</v>
      </c>
      <c r="F817" s="2" t="s">
        <v>7987</v>
      </c>
      <c r="G817" s="2" t="s">
        <v>861</v>
      </c>
      <c r="H817" s="14">
        <v>1.0900000000000001</v>
      </c>
      <c r="I817" s="2" t="s">
        <v>267</v>
      </c>
      <c r="J817" s="2" t="s">
        <v>3942</v>
      </c>
      <c r="K817" s="2" t="s">
        <v>3390</v>
      </c>
      <c r="L817" s="2" t="s">
        <v>5221</v>
      </c>
      <c r="M817" s="2" t="s">
        <v>5221</v>
      </c>
      <c r="N817" s="2" t="s">
        <v>2317</v>
      </c>
      <c r="O817" s="14">
        <v>10200</v>
      </c>
      <c r="P817" s="14">
        <v>98.78</v>
      </c>
      <c r="Q817" s="14">
        <v>124.44</v>
      </c>
      <c r="R817" s="14">
        <v>135.63999999999999</v>
      </c>
      <c r="S817" s="2" t="s">
        <v>2698</v>
      </c>
      <c r="T817" s="2">
        <v>1.01</v>
      </c>
      <c r="U817" s="2">
        <v>61.4</v>
      </c>
      <c r="V817" s="2">
        <v>57</v>
      </c>
      <c r="W817" s="2" t="s">
        <v>7862</v>
      </c>
      <c r="X817" s="2" t="s">
        <v>5405</v>
      </c>
      <c r="Y817" s="2">
        <v>11118</v>
      </c>
      <c r="Z817" s="19" t="str">
        <f>HYPERLINK("https://ssdweb.co/ssdweb/hd/Vision360.html?d=926071067&amp;zoomslide=1&amp;z=1926071067&amp;ISCONFIRM=0","VIDEO")</f>
        <v>VIDEO</v>
      </c>
      <c r="AA817" s="19" t="str">
        <f>HYPERLINK("https://ssdweb.co/ssdweb/CERTH/631404612.pdf","CERTI")</f>
        <v>CERTI</v>
      </c>
    </row>
    <row r="818" spans="1:27" ht="15" x14ac:dyDescent="0.25">
      <c r="A818" s="2">
        <v>813</v>
      </c>
      <c r="B818" s="39">
        <v>926071263</v>
      </c>
      <c r="C818" s="28" t="str">
        <f>HYPERLINK("https://pld.live/RapDetail.aspx?STONELIST=926071263","DNA")</f>
        <v>DNA</v>
      </c>
      <c r="D818" s="18" t="s">
        <v>3054</v>
      </c>
      <c r="E818" s="18" t="s">
        <v>5128</v>
      </c>
      <c r="F818" s="2" t="s">
        <v>7987</v>
      </c>
      <c r="G818" s="2" t="s">
        <v>861</v>
      </c>
      <c r="H818" s="14">
        <v>1.0900000000000001</v>
      </c>
      <c r="I818" s="2" t="s">
        <v>267</v>
      </c>
      <c r="J818" s="2" t="s">
        <v>3942</v>
      </c>
      <c r="K818" s="2" t="s">
        <v>3390</v>
      </c>
      <c r="L818" s="2" t="s">
        <v>5221</v>
      </c>
      <c r="M818" s="2" t="s">
        <v>5221</v>
      </c>
      <c r="N818" s="2" t="s">
        <v>2317</v>
      </c>
      <c r="O818" s="14">
        <v>10200</v>
      </c>
      <c r="P818" s="14">
        <v>98.78</v>
      </c>
      <c r="Q818" s="14">
        <v>124.44</v>
      </c>
      <c r="R818" s="14">
        <v>135.63999999999999</v>
      </c>
      <c r="S818" s="2" t="s">
        <v>1494</v>
      </c>
      <c r="T818" s="2">
        <v>1.01</v>
      </c>
      <c r="U818" s="2">
        <v>62</v>
      </c>
      <c r="V818" s="2">
        <v>57</v>
      </c>
      <c r="W818" s="2" t="s">
        <v>7862</v>
      </c>
      <c r="X818" s="2" t="s">
        <v>5405</v>
      </c>
      <c r="Y818" s="2">
        <v>11118</v>
      </c>
      <c r="Z818" s="19" t="str">
        <f>HYPERLINK("https://ssdweb.co/ssdweb/hd/Vision360.html?d=926071263&amp;zoomslide=1&amp;z=1926071263&amp;ISCONFIRM=0","VIDEO")</f>
        <v>VIDEO</v>
      </c>
      <c r="AA818" s="19" t="str">
        <f>HYPERLINK("https://ssdweb.co/ssdweb/CERTH/631404491.pdf","CERTI")</f>
        <v>CERTI</v>
      </c>
    </row>
    <row r="819" spans="1:27" ht="15" x14ac:dyDescent="0.25">
      <c r="A819" s="2">
        <v>814</v>
      </c>
      <c r="B819" s="39">
        <v>926071339</v>
      </c>
      <c r="C819" s="28" t="str">
        <f>HYPERLINK("https://pld.live/RapDetail.aspx?STONELIST=926071339","DNA")</f>
        <v>DNA</v>
      </c>
      <c r="D819" s="18" t="s">
        <v>3054</v>
      </c>
      <c r="E819" s="18" t="s">
        <v>5128</v>
      </c>
      <c r="F819" s="2" t="s">
        <v>7987</v>
      </c>
      <c r="G819" s="2" t="s">
        <v>861</v>
      </c>
      <c r="H819" s="14">
        <v>1.0900000000000001</v>
      </c>
      <c r="I819" s="2" t="s">
        <v>267</v>
      </c>
      <c r="J819" s="2" t="s">
        <v>3942</v>
      </c>
      <c r="K819" s="2" t="s">
        <v>3390</v>
      </c>
      <c r="L819" s="2" t="s">
        <v>5221</v>
      </c>
      <c r="M819" s="2" t="s">
        <v>5221</v>
      </c>
      <c r="N819" s="2" t="s">
        <v>2317</v>
      </c>
      <c r="O819" s="14">
        <v>10200</v>
      </c>
      <c r="P819" s="14">
        <v>98.78</v>
      </c>
      <c r="Q819" s="14">
        <v>124.44</v>
      </c>
      <c r="R819" s="14">
        <v>135.63999999999999</v>
      </c>
      <c r="S819" s="2" t="s">
        <v>6793</v>
      </c>
      <c r="T819" s="2">
        <v>1</v>
      </c>
      <c r="U819" s="2">
        <v>59.8</v>
      </c>
      <c r="V819" s="2">
        <v>58</v>
      </c>
      <c r="W819" s="2" t="s">
        <v>7862</v>
      </c>
      <c r="X819" s="2" t="s">
        <v>5405</v>
      </c>
      <c r="Y819" s="2">
        <v>11118</v>
      </c>
      <c r="Z819" s="19" t="str">
        <f>HYPERLINK("https://ssdweb.co/ssdweb/hd/Vision360.html?d=926071339&amp;zoomslide=1&amp;z=1926071339&amp;ISCONFIRM=0","VIDEO")</f>
        <v>VIDEO</v>
      </c>
      <c r="AA819" s="19" t="str">
        <f>HYPERLINK("https://ssdweb.co/ssdweb/CERTH/631404488.pdf","CERTI")</f>
        <v>CERTI</v>
      </c>
    </row>
    <row r="820" spans="1:27" ht="15" x14ac:dyDescent="0.25">
      <c r="A820" s="2">
        <v>815</v>
      </c>
      <c r="B820" s="39">
        <v>925971273</v>
      </c>
      <c r="C820" s="28" t="str">
        <f>HYPERLINK("https://pld.live/RapDetail.aspx?STONELIST=925971273","DNA")</f>
        <v>DNA</v>
      </c>
      <c r="D820" s="18" t="s">
        <v>3054</v>
      </c>
      <c r="E820" s="18" t="s">
        <v>5128</v>
      </c>
      <c r="F820" s="2" t="s">
        <v>7987</v>
      </c>
      <c r="G820" s="2" t="s">
        <v>861</v>
      </c>
      <c r="H820" s="14">
        <v>1.0900000000000001</v>
      </c>
      <c r="I820" s="2" t="s">
        <v>267</v>
      </c>
      <c r="J820" s="2" t="s">
        <v>3942</v>
      </c>
      <c r="K820" s="2" t="s">
        <v>3390</v>
      </c>
      <c r="L820" s="2" t="s">
        <v>5221</v>
      </c>
      <c r="M820" s="2" t="s">
        <v>5221</v>
      </c>
      <c r="N820" s="2" t="s">
        <v>2317</v>
      </c>
      <c r="O820" s="14">
        <v>10200</v>
      </c>
      <c r="P820" s="14">
        <v>98.8</v>
      </c>
      <c r="Q820" s="14">
        <v>122.4</v>
      </c>
      <c r="R820" s="14">
        <v>133.41999999999999</v>
      </c>
      <c r="S820" s="2" t="s">
        <v>5140</v>
      </c>
      <c r="T820" s="2">
        <v>1</v>
      </c>
      <c r="U820" s="2">
        <v>62.1</v>
      </c>
      <c r="V820" s="2">
        <v>57</v>
      </c>
      <c r="W820" s="2" t="s">
        <v>7862</v>
      </c>
      <c r="X820" s="2" t="s">
        <v>5405</v>
      </c>
      <c r="Y820" s="2">
        <v>11118</v>
      </c>
      <c r="Z820" s="19" t="str">
        <f>HYPERLINK("https://ssdweb.co/ssdweb/hd/Vision360.html?d=925971273&amp;zoomslide=1&amp;z=1925971273&amp;ISCONFIRM=0","VIDEO")</f>
        <v>VIDEO</v>
      </c>
      <c r="AA820" s="19" t="str">
        <f>HYPERLINK("https://ssdweb.co/ssdweb/CERTH/629497510.pdf","CERTI")</f>
        <v>CERTI</v>
      </c>
    </row>
    <row r="821" spans="1:27" ht="15" x14ac:dyDescent="0.25">
      <c r="A821" s="2">
        <v>816</v>
      </c>
      <c r="B821" s="39">
        <v>925971278</v>
      </c>
      <c r="C821" s="28" t="str">
        <f>HYPERLINK("https://pld.live/RapDetail.aspx?STONELIST=925971278","DNA")</f>
        <v>DNA</v>
      </c>
      <c r="D821" s="18" t="s">
        <v>3054</v>
      </c>
      <c r="E821" s="18" t="s">
        <v>5128</v>
      </c>
      <c r="F821" s="2" t="s">
        <v>7987</v>
      </c>
      <c r="G821" s="2" t="s">
        <v>861</v>
      </c>
      <c r="H821" s="14">
        <v>1.0900000000000001</v>
      </c>
      <c r="I821" s="2" t="s">
        <v>267</v>
      </c>
      <c r="J821" s="2" t="s">
        <v>3942</v>
      </c>
      <c r="K821" s="2" t="s">
        <v>3390</v>
      </c>
      <c r="L821" s="2" t="s">
        <v>5221</v>
      </c>
      <c r="M821" s="2" t="s">
        <v>5221</v>
      </c>
      <c r="N821" s="2" t="s">
        <v>2317</v>
      </c>
      <c r="O821" s="14">
        <v>10200</v>
      </c>
      <c r="P821" s="14">
        <v>98.78</v>
      </c>
      <c r="Q821" s="14">
        <v>124.44</v>
      </c>
      <c r="R821" s="14">
        <v>135.63999999999999</v>
      </c>
      <c r="S821" s="2" t="s">
        <v>6408</v>
      </c>
      <c r="T821" s="2">
        <v>1</v>
      </c>
      <c r="U821" s="2">
        <v>61.1</v>
      </c>
      <c r="V821" s="2">
        <v>58</v>
      </c>
      <c r="W821" s="2" t="s">
        <v>7862</v>
      </c>
      <c r="X821" s="2" t="s">
        <v>5405</v>
      </c>
      <c r="Y821" s="2">
        <v>11118</v>
      </c>
      <c r="Z821" s="19" t="str">
        <f>HYPERLINK("https://ssdweb.co/ssdweb/hd/Vision360.html?d=925971278&amp;zoomslide=1&amp;z=1925971278&amp;ISCONFIRM=0","VIDEO")</f>
        <v>VIDEO</v>
      </c>
      <c r="AA821" s="19" t="str">
        <f>HYPERLINK("https://ssdweb.co/ssdweb/CERTH/629497405.pdf","CERTI")</f>
        <v>CERTI</v>
      </c>
    </row>
    <row r="822" spans="1:27" ht="15" x14ac:dyDescent="0.25">
      <c r="A822" s="2">
        <v>817</v>
      </c>
      <c r="B822" s="39">
        <v>926071548</v>
      </c>
      <c r="C822" s="28" t="str">
        <f>HYPERLINK("https://pld.live/RapDetail.aspx?STONELIST=926071548","DNA")</f>
        <v>DNA</v>
      </c>
      <c r="D822" s="18" t="s">
        <v>3054</v>
      </c>
      <c r="E822" s="18" t="s">
        <v>5128</v>
      </c>
      <c r="F822" s="2" t="s">
        <v>7987</v>
      </c>
      <c r="G822" s="2" t="s">
        <v>861</v>
      </c>
      <c r="H822" s="14">
        <v>1.0900000000000001</v>
      </c>
      <c r="I822" s="2" t="s">
        <v>267</v>
      </c>
      <c r="J822" s="2" t="s">
        <v>3942</v>
      </c>
      <c r="K822" s="2" t="s">
        <v>3390</v>
      </c>
      <c r="L822" s="2" t="s">
        <v>5221</v>
      </c>
      <c r="M822" s="2" t="s">
        <v>5221</v>
      </c>
      <c r="N822" s="2" t="s">
        <v>2317</v>
      </c>
      <c r="O822" s="14">
        <v>10200</v>
      </c>
      <c r="P822" s="14">
        <v>98.78</v>
      </c>
      <c r="Q822" s="14">
        <v>124.44</v>
      </c>
      <c r="R822" s="14">
        <v>135.63999999999999</v>
      </c>
      <c r="S822" s="2" t="s">
        <v>5923</v>
      </c>
      <c r="T822" s="2">
        <v>1</v>
      </c>
      <c r="U822" s="2">
        <v>61.6</v>
      </c>
      <c r="V822" s="2">
        <v>59</v>
      </c>
      <c r="W822" s="2" t="s">
        <v>7862</v>
      </c>
      <c r="X822" s="2" t="s">
        <v>5405</v>
      </c>
      <c r="Y822" s="2">
        <v>11118</v>
      </c>
      <c r="Z822" s="19" t="str">
        <f>HYPERLINK("https://ssdweb.co/ssdweb/hd/Vision360.html?d=926071548&amp;zoomslide=1&amp;z=1926071548&amp;ISCONFIRM=0","VIDEO")</f>
        <v>VIDEO</v>
      </c>
      <c r="AA822" s="19" t="str">
        <f>HYPERLINK("https://ssdweb.co/ssdweb/CERTH/631430271.pdf","CERTI")</f>
        <v>CERTI</v>
      </c>
    </row>
    <row r="823" spans="1:27" ht="15" x14ac:dyDescent="0.25">
      <c r="A823" s="2">
        <v>818</v>
      </c>
      <c r="B823" s="39">
        <v>926041170</v>
      </c>
      <c r="C823" s="28" t="str">
        <f>HYPERLINK("https://pld.live/RapDetail.aspx?STONELIST=926041170","DNA")</f>
        <v>DNA</v>
      </c>
      <c r="D823" s="18" t="s">
        <v>3054</v>
      </c>
      <c r="E823" s="18" t="s">
        <v>5128</v>
      </c>
      <c r="F823" s="2" t="s">
        <v>7987</v>
      </c>
      <c r="G823" s="2" t="s">
        <v>861</v>
      </c>
      <c r="H823" s="14">
        <v>1.0900000000000001</v>
      </c>
      <c r="I823" s="2" t="s">
        <v>267</v>
      </c>
      <c r="J823" s="2" t="s">
        <v>3942</v>
      </c>
      <c r="K823" s="2" t="s">
        <v>3390</v>
      </c>
      <c r="L823" s="2" t="s">
        <v>5221</v>
      </c>
      <c r="M823" s="2" t="s">
        <v>5221</v>
      </c>
      <c r="N823" s="2" t="s">
        <v>2317</v>
      </c>
      <c r="O823" s="14">
        <v>10200</v>
      </c>
      <c r="P823" s="14">
        <v>98.78</v>
      </c>
      <c r="Q823" s="14">
        <v>124.44</v>
      </c>
      <c r="R823" s="14">
        <v>135.63999999999999</v>
      </c>
      <c r="S823" s="2" t="s">
        <v>3283</v>
      </c>
      <c r="T823" s="2">
        <v>1.01</v>
      </c>
      <c r="U823" s="2">
        <v>61.5</v>
      </c>
      <c r="V823" s="2">
        <v>59</v>
      </c>
      <c r="W823" s="2" t="s">
        <v>7862</v>
      </c>
      <c r="X823" s="2" t="s">
        <v>5405</v>
      </c>
      <c r="Y823" s="2">
        <v>11118</v>
      </c>
      <c r="Z823" s="19" t="str">
        <f>HYPERLINK("https://ssdweb.co/ssdweb/hd/Vision360.html?d=926041170&amp;zoomslide=1&amp;z=1926041170&amp;ISCONFIRM=0","VIDEO")</f>
        <v>VIDEO</v>
      </c>
      <c r="AA823" s="19" t="str">
        <f>HYPERLINK("https://ssdweb.co/ssdweb/CERTH/631404593.pdf","CERTI")</f>
        <v>CERTI</v>
      </c>
    </row>
    <row r="824" spans="1:27" ht="15" x14ac:dyDescent="0.25">
      <c r="A824" s="2">
        <v>819</v>
      </c>
      <c r="B824" s="39">
        <v>926041020</v>
      </c>
      <c r="C824" s="28" t="str">
        <f>HYPERLINK("https://pld.live/RapDetail.aspx?STONELIST=926041020","DNA")</f>
        <v>DNA</v>
      </c>
      <c r="D824" s="18" t="s">
        <v>3054</v>
      </c>
      <c r="E824" s="18" t="s">
        <v>5128</v>
      </c>
      <c r="F824" s="2" t="s">
        <v>7987</v>
      </c>
      <c r="G824" s="2" t="s">
        <v>861</v>
      </c>
      <c r="H824" s="14">
        <v>1.0900000000000001</v>
      </c>
      <c r="I824" s="2" t="s">
        <v>267</v>
      </c>
      <c r="J824" s="2" t="s">
        <v>3942</v>
      </c>
      <c r="K824" s="2" t="s">
        <v>3390</v>
      </c>
      <c r="L824" s="2" t="s">
        <v>5221</v>
      </c>
      <c r="M824" s="2" t="s">
        <v>5221</v>
      </c>
      <c r="N824" s="2" t="s">
        <v>2317</v>
      </c>
      <c r="O824" s="14">
        <v>10200</v>
      </c>
      <c r="P824" s="14">
        <v>98.78</v>
      </c>
      <c r="Q824" s="14">
        <v>124.44</v>
      </c>
      <c r="R824" s="14">
        <v>135.63999999999999</v>
      </c>
      <c r="S824" s="2" t="s">
        <v>1408</v>
      </c>
      <c r="T824" s="2">
        <v>1</v>
      </c>
      <c r="U824" s="2">
        <v>61.9</v>
      </c>
      <c r="V824" s="2">
        <v>58</v>
      </c>
      <c r="W824" s="2" t="s">
        <v>7862</v>
      </c>
      <c r="X824" s="2" t="s">
        <v>5405</v>
      </c>
      <c r="Y824" s="2">
        <v>11118</v>
      </c>
      <c r="Z824" s="19" t="str">
        <f>HYPERLINK("https://ssdweb.co/ssdweb/hd/Vision360.html?d=926041020&amp;zoomslide=1&amp;z=1926041020&amp;ISCONFIRM=0","VIDEO")</f>
        <v>VIDEO</v>
      </c>
      <c r="AA824" s="19" t="str">
        <f>HYPERLINK("https://ssdweb.co/ssdweb/CERTH/630447813.pdf","CERTI")</f>
        <v>CERTI</v>
      </c>
    </row>
    <row r="825" spans="1:27" ht="15" x14ac:dyDescent="0.25">
      <c r="A825" s="2">
        <v>820</v>
      </c>
      <c r="B825" s="39">
        <v>926020771</v>
      </c>
      <c r="C825" s="28" t="str">
        <f>HYPERLINK("https://pld.live/RapDetail.aspx?STONELIST=926020771","DNA")</f>
        <v>DNA</v>
      </c>
      <c r="D825" s="18" t="s">
        <v>3054</v>
      </c>
      <c r="E825" s="18" t="s">
        <v>5128</v>
      </c>
      <c r="F825" s="2" t="s">
        <v>7987</v>
      </c>
      <c r="G825" s="2" t="s">
        <v>861</v>
      </c>
      <c r="H825" s="14">
        <v>1.0900000000000001</v>
      </c>
      <c r="I825" s="2" t="s">
        <v>267</v>
      </c>
      <c r="J825" s="2" t="s">
        <v>3942</v>
      </c>
      <c r="K825" s="2" t="s">
        <v>3390</v>
      </c>
      <c r="L825" s="2" t="s">
        <v>5221</v>
      </c>
      <c r="M825" s="2" t="s">
        <v>5221</v>
      </c>
      <c r="N825" s="2" t="s">
        <v>2317</v>
      </c>
      <c r="O825" s="14">
        <v>10200</v>
      </c>
      <c r="P825" s="14">
        <v>98.78</v>
      </c>
      <c r="Q825" s="14">
        <v>124.44</v>
      </c>
      <c r="R825" s="14">
        <v>135.63999999999999</v>
      </c>
      <c r="S825" s="2" t="s">
        <v>2757</v>
      </c>
      <c r="T825" s="2">
        <v>1.01</v>
      </c>
      <c r="U825" s="2">
        <v>61.3</v>
      </c>
      <c r="V825" s="2">
        <v>59</v>
      </c>
      <c r="W825" s="2" t="s">
        <v>7862</v>
      </c>
      <c r="X825" s="2" t="s">
        <v>5405</v>
      </c>
      <c r="Y825" s="2">
        <v>11118</v>
      </c>
      <c r="Z825" s="19" t="str">
        <f>HYPERLINK("https://ssdweb.co/ssdweb/hd/Vision360.html?d=926020771&amp;zoomslide=1&amp;z=1926020771&amp;ISCONFIRM=0","VIDEO")</f>
        <v>VIDEO</v>
      </c>
      <c r="AA825" s="19" t="str">
        <f>HYPERLINK("https://ssdweb.co/ssdweb/CERTH/631404572.pdf","CERTI")</f>
        <v>CERTI</v>
      </c>
    </row>
    <row r="826" spans="1:27" ht="15" x14ac:dyDescent="0.25">
      <c r="A826" s="2">
        <v>821</v>
      </c>
      <c r="B826" s="39">
        <v>925971125</v>
      </c>
      <c r="C826" s="28" t="str">
        <f>HYPERLINK("https://pld.live/RapDetail.aspx?STONELIST=925971125","DNA")</f>
        <v>DNA</v>
      </c>
      <c r="D826" s="18" t="s">
        <v>3054</v>
      </c>
      <c r="E826" s="18" t="s">
        <v>5128</v>
      </c>
      <c r="F826" s="2" t="s">
        <v>7987</v>
      </c>
      <c r="G826" s="2" t="s">
        <v>861</v>
      </c>
      <c r="H826" s="14">
        <v>1.0900000000000001</v>
      </c>
      <c r="I826" s="2" t="s">
        <v>267</v>
      </c>
      <c r="J826" s="2" t="s">
        <v>3942</v>
      </c>
      <c r="K826" s="2" t="s">
        <v>3390</v>
      </c>
      <c r="L826" s="2" t="s">
        <v>5221</v>
      </c>
      <c r="M826" s="2" t="s">
        <v>5221</v>
      </c>
      <c r="N826" s="2" t="s">
        <v>2317</v>
      </c>
      <c r="O826" s="14">
        <v>10200</v>
      </c>
      <c r="P826" s="14">
        <v>98.78</v>
      </c>
      <c r="Q826" s="14">
        <v>124.44</v>
      </c>
      <c r="R826" s="14">
        <v>135.63999999999999</v>
      </c>
      <c r="S826" s="2" t="s">
        <v>3578</v>
      </c>
      <c r="T826" s="2">
        <v>1.01</v>
      </c>
      <c r="U826" s="2">
        <v>61.6</v>
      </c>
      <c r="V826" s="2">
        <v>59</v>
      </c>
      <c r="W826" s="2" t="s">
        <v>7862</v>
      </c>
      <c r="X826" s="2" t="s">
        <v>5405</v>
      </c>
      <c r="Y826" s="2">
        <v>11118</v>
      </c>
      <c r="Z826" s="19" t="str">
        <f>HYPERLINK("https://ssdweb.co/ssdweb/hd/Vision360.html?d=925971125&amp;zoomslide=1&amp;z=1925971125&amp;ISCONFIRM=0","VIDEO")</f>
        <v>VIDEO</v>
      </c>
      <c r="AA826" s="19" t="str">
        <f>HYPERLINK("https://ssdweb.co/ssdweb/CERTH/629453103.pdf","CERTI")</f>
        <v>CERTI</v>
      </c>
    </row>
    <row r="827" spans="1:27" ht="15" x14ac:dyDescent="0.25">
      <c r="A827" s="2">
        <v>822</v>
      </c>
      <c r="B827" s="39">
        <v>925971092</v>
      </c>
      <c r="C827" s="28" t="str">
        <f>HYPERLINK("https://pld.live/RapDetail.aspx?STONELIST=925971092","DNA")</f>
        <v>DNA</v>
      </c>
      <c r="D827" s="18" t="s">
        <v>3054</v>
      </c>
      <c r="E827" s="18" t="s">
        <v>5128</v>
      </c>
      <c r="F827" s="2" t="s">
        <v>7987</v>
      </c>
      <c r="G827" s="2" t="s">
        <v>861</v>
      </c>
      <c r="H827" s="14">
        <v>1.0900000000000001</v>
      </c>
      <c r="I827" s="2" t="s">
        <v>267</v>
      </c>
      <c r="J827" s="2" t="s">
        <v>3942</v>
      </c>
      <c r="K827" s="2" t="s">
        <v>3390</v>
      </c>
      <c r="L827" s="2" t="s">
        <v>5221</v>
      </c>
      <c r="M827" s="2" t="s">
        <v>5221</v>
      </c>
      <c r="N827" s="2" t="s">
        <v>2317</v>
      </c>
      <c r="O827" s="14">
        <v>10200</v>
      </c>
      <c r="P827" s="14">
        <v>98.8</v>
      </c>
      <c r="Q827" s="14">
        <v>122.4</v>
      </c>
      <c r="R827" s="14">
        <v>133.41999999999999</v>
      </c>
      <c r="S827" s="2" t="s">
        <v>1729</v>
      </c>
      <c r="T827" s="2">
        <v>1</v>
      </c>
      <c r="U827" s="2">
        <v>60</v>
      </c>
      <c r="V827" s="2">
        <v>59</v>
      </c>
      <c r="W827" s="2" t="s">
        <v>7862</v>
      </c>
      <c r="X827" s="2" t="s">
        <v>5405</v>
      </c>
      <c r="Y827" s="2">
        <v>11118</v>
      </c>
      <c r="Z827" s="19" t="str">
        <f>HYPERLINK("https://ssdweb.co/ssdweb/hd/Vision360.html?d=925971092&amp;zoomslide=1&amp;z=1925971092&amp;ISCONFIRM=0","VIDEO")</f>
        <v>VIDEO</v>
      </c>
      <c r="AA827" s="19" t="str">
        <f>HYPERLINK("https://ssdweb.co/ssdweb/CERTH/629453395.pdf","CERTI")</f>
        <v>CERTI</v>
      </c>
    </row>
    <row r="828" spans="1:27" ht="15" x14ac:dyDescent="0.25">
      <c r="A828" s="2">
        <v>823</v>
      </c>
      <c r="B828" s="39">
        <v>926071716</v>
      </c>
      <c r="C828" s="28" t="str">
        <f>HYPERLINK("https://pld.live/RapDetail.aspx?STONELIST=926071716","DNA")</f>
        <v>DNA</v>
      </c>
      <c r="D828" s="18" t="s">
        <v>3054</v>
      </c>
      <c r="E828" s="18" t="s">
        <v>5128</v>
      </c>
      <c r="F828" s="2" t="s">
        <v>7987</v>
      </c>
      <c r="G828" s="2" t="s">
        <v>861</v>
      </c>
      <c r="H828" s="14">
        <v>1.0900000000000001</v>
      </c>
      <c r="I828" s="2" t="s">
        <v>267</v>
      </c>
      <c r="J828" s="2" t="s">
        <v>3942</v>
      </c>
      <c r="K828" s="2" t="s">
        <v>3390</v>
      </c>
      <c r="L828" s="2" t="s">
        <v>5221</v>
      </c>
      <c r="M828" s="2" t="s">
        <v>5221</v>
      </c>
      <c r="N828" s="2" t="s">
        <v>2317</v>
      </c>
      <c r="O828" s="14">
        <v>10200</v>
      </c>
      <c r="P828" s="14">
        <v>98.78</v>
      </c>
      <c r="Q828" s="14">
        <v>124.44</v>
      </c>
      <c r="R828" s="14">
        <v>135.63999999999999</v>
      </c>
      <c r="S828" s="2" t="s">
        <v>2371</v>
      </c>
      <c r="T828" s="2">
        <v>1</v>
      </c>
      <c r="U828" s="2">
        <v>61</v>
      </c>
      <c r="V828" s="2">
        <v>60</v>
      </c>
      <c r="W828" s="2" t="s">
        <v>7862</v>
      </c>
      <c r="X828" s="2" t="s">
        <v>5405</v>
      </c>
      <c r="Y828" s="2">
        <v>11118</v>
      </c>
      <c r="Z828" s="19" t="str">
        <f>HYPERLINK("https://ssdweb.co/ssdweb/hd/Vision360.html?d=926071716&amp;zoomslide=1&amp;z=1926071716&amp;ISCONFIRM=0","VIDEO")</f>
        <v>VIDEO</v>
      </c>
      <c r="AA828" s="19" t="str">
        <f>HYPERLINK("https://ssdweb.co/ssdweb/CERTH/631464140.pdf","CERTI")</f>
        <v>CERTI</v>
      </c>
    </row>
    <row r="829" spans="1:27" ht="15" x14ac:dyDescent="0.25">
      <c r="A829" s="2">
        <v>824</v>
      </c>
      <c r="B829" s="39">
        <v>925981152</v>
      </c>
      <c r="C829" s="28" t="str">
        <f>HYPERLINK("https://pld.live/RapDetail.aspx?STONELIST=925981152","DNA")</f>
        <v>DNA</v>
      </c>
      <c r="D829" s="18" t="s">
        <v>3054</v>
      </c>
      <c r="E829" s="18" t="s">
        <v>5128</v>
      </c>
      <c r="F829" s="2" t="s">
        <v>7987</v>
      </c>
      <c r="G829" s="2" t="s">
        <v>861</v>
      </c>
      <c r="H829" s="14">
        <v>1.0900000000000001</v>
      </c>
      <c r="I829" s="2" t="s">
        <v>267</v>
      </c>
      <c r="J829" s="2" t="s">
        <v>3942</v>
      </c>
      <c r="K829" s="2" t="s">
        <v>3390</v>
      </c>
      <c r="L829" s="2" t="s">
        <v>5221</v>
      </c>
      <c r="M829" s="2" t="s">
        <v>5221</v>
      </c>
      <c r="N829" s="2" t="s">
        <v>2317</v>
      </c>
      <c r="O829" s="14">
        <v>10200</v>
      </c>
      <c r="P829" s="14">
        <v>98.8</v>
      </c>
      <c r="Q829" s="14">
        <v>122.4</v>
      </c>
      <c r="R829" s="14">
        <v>133.41999999999999</v>
      </c>
      <c r="S829" s="2" t="s">
        <v>7010</v>
      </c>
      <c r="T829" s="2">
        <v>1.01</v>
      </c>
      <c r="U829" s="2">
        <v>60.1</v>
      </c>
      <c r="V829" s="2">
        <v>59</v>
      </c>
      <c r="W829" s="2" t="s">
        <v>7862</v>
      </c>
      <c r="X829" s="2" t="s">
        <v>5405</v>
      </c>
      <c r="Y829" s="2">
        <v>11118</v>
      </c>
      <c r="Z829" s="19" t="str">
        <f>HYPERLINK("https://ssdweb.co/ssdweb/hd/Vision360.html?d=925981152&amp;zoomslide=1&amp;z=1925981152&amp;ISCONFIRM=0","VIDEO")</f>
        <v>VIDEO</v>
      </c>
      <c r="AA829" s="19" t="str">
        <f>HYPERLINK("https://ssdweb.co/ssdweb/CERTH/629497421.pdf","CERTI")</f>
        <v>CERTI</v>
      </c>
    </row>
    <row r="830" spans="1:27" ht="15" x14ac:dyDescent="0.25">
      <c r="A830" s="2">
        <v>825</v>
      </c>
      <c r="B830" s="39">
        <v>925981156</v>
      </c>
      <c r="C830" s="28" t="str">
        <f>HYPERLINK("https://pld.live/RapDetail.aspx?STONELIST=925981156","DNA")</f>
        <v>DNA</v>
      </c>
      <c r="D830" s="18" t="s">
        <v>3054</v>
      </c>
      <c r="E830" s="18" t="s">
        <v>5128</v>
      </c>
      <c r="F830" s="2" t="s">
        <v>7987</v>
      </c>
      <c r="G830" s="2" t="s">
        <v>861</v>
      </c>
      <c r="H830" s="14">
        <v>1.0900000000000001</v>
      </c>
      <c r="I830" s="2" t="s">
        <v>267</v>
      </c>
      <c r="J830" s="2" t="s">
        <v>3942</v>
      </c>
      <c r="K830" s="2" t="s">
        <v>3390</v>
      </c>
      <c r="L830" s="2" t="s">
        <v>5221</v>
      </c>
      <c r="M830" s="2" t="s">
        <v>5221</v>
      </c>
      <c r="N830" s="2" t="s">
        <v>2317</v>
      </c>
      <c r="O830" s="14">
        <v>10200</v>
      </c>
      <c r="P830" s="14">
        <v>98.78</v>
      </c>
      <c r="Q830" s="14">
        <v>124.44</v>
      </c>
      <c r="R830" s="14">
        <v>135.63999999999999</v>
      </c>
      <c r="S830" s="2" t="s">
        <v>828</v>
      </c>
      <c r="T830" s="2">
        <v>1.01</v>
      </c>
      <c r="U830" s="2">
        <v>61.3</v>
      </c>
      <c r="V830" s="2">
        <v>56</v>
      </c>
      <c r="W830" s="2" t="s">
        <v>7862</v>
      </c>
      <c r="X830" s="2" t="s">
        <v>5405</v>
      </c>
      <c r="Y830" s="2">
        <v>11118</v>
      </c>
      <c r="Z830" s="19" t="str">
        <f>HYPERLINK("https://ssdweb.co/ssdweb/hd/Vision360.html?d=925981156&amp;zoomslide=1&amp;z=1925981156&amp;ISCONFIRM=0","VIDEO")</f>
        <v>VIDEO</v>
      </c>
      <c r="AA830" s="19" t="str">
        <f>HYPERLINK("https://ssdweb.co/ssdweb/CERTH/629497476.pdf","CERTI")</f>
        <v>CERTI</v>
      </c>
    </row>
    <row r="831" spans="1:27" ht="15" x14ac:dyDescent="0.25">
      <c r="A831" s="2">
        <v>826</v>
      </c>
      <c r="B831" s="39">
        <v>925981172</v>
      </c>
      <c r="C831" s="28" t="str">
        <f>HYPERLINK("https://pld.live/RapDetail.aspx?STONELIST=925981172","DNA")</f>
        <v>DNA</v>
      </c>
      <c r="D831" s="18" t="s">
        <v>3054</v>
      </c>
      <c r="E831" s="18" t="s">
        <v>5128</v>
      </c>
      <c r="F831" s="2" t="s">
        <v>7987</v>
      </c>
      <c r="G831" s="2" t="s">
        <v>861</v>
      </c>
      <c r="H831" s="14">
        <v>1.0900000000000001</v>
      </c>
      <c r="I831" s="2" t="s">
        <v>267</v>
      </c>
      <c r="J831" s="2" t="s">
        <v>3942</v>
      </c>
      <c r="K831" s="2" t="s">
        <v>3390</v>
      </c>
      <c r="L831" s="2" t="s">
        <v>5221</v>
      </c>
      <c r="M831" s="2" t="s">
        <v>5221</v>
      </c>
      <c r="N831" s="2" t="s">
        <v>2317</v>
      </c>
      <c r="O831" s="14">
        <v>10200</v>
      </c>
      <c r="P831" s="14">
        <v>98.8</v>
      </c>
      <c r="Q831" s="14">
        <v>122.4</v>
      </c>
      <c r="R831" s="14">
        <v>133.41999999999999</v>
      </c>
      <c r="S831" s="2" t="s">
        <v>5382</v>
      </c>
      <c r="T831" s="2">
        <v>1</v>
      </c>
      <c r="U831" s="2">
        <v>60.6</v>
      </c>
      <c r="V831" s="2">
        <v>59</v>
      </c>
      <c r="W831" s="2" t="s">
        <v>7862</v>
      </c>
      <c r="X831" s="2" t="s">
        <v>5405</v>
      </c>
      <c r="Y831" s="2">
        <v>11118</v>
      </c>
      <c r="Z831" s="19" t="str">
        <f>HYPERLINK("https://ssdweb.co/ssdweb/hd/Vision360.html?d=925981172&amp;zoomslide=1&amp;z=1925981172&amp;ISCONFIRM=0","VIDEO")</f>
        <v>VIDEO</v>
      </c>
      <c r="AA831" s="19" t="str">
        <f>HYPERLINK("https://ssdweb.co/ssdweb/CERTH/629497438.pdf","CERTI")</f>
        <v>CERTI</v>
      </c>
    </row>
    <row r="832" spans="1:27" ht="15" x14ac:dyDescent="0.25">
      <c r="A832" s="2">
        <v>827</v>
      </c>
      <c r="B832" s="39">
        <v>925981232</v>
      </c>
      <c r="C832" s="28" t="str">
        <f>HYPERLINK("https://pld.live/RapDetail.aspx?STONELIST=925981232","DNA")</f>
        <v>DNA</v>
      </c>
      <c r="D832" s="18" t="s">
        <v>3054</v>
      </c>
      <c r="E832" s="18" t="s">
        <v>5128</v>
      </c>
      <c r="F832" s="2" t="s">
        <v>7987</v>
      </c>
      <c r="G832" s="2" t="s">
        <v>861</v>
      </c>
      <c r="H832" s="14">
        <v>1.0900000000000001</v>
      </c>
      <c r="I832" s="2" t="s">
        <v>267</v>
      </c>
      <c r="J832" s="2" t="s">
        <v>3942</v>
      </c>
      <c r="K832" s="2" t="s">
        <v>3390</v>
      </c>
      <c r="L832" s="2" t="s">
        <v>5221</v>
      </c>
      <c r="M832" s="2" t="s">
        <v>5221</v>
      </c>
      <c r="N832" s="2" t="s">
        <v>2317</v>
      </c>
      <c r="O832" s="14">
        <v>10200</v>
      </c>
      <c r="P832" s="14">
        <v>98.78</v>
      </c>
      <c r="Q832" s="14">
        <v>124.44</v>
      </c>
      <c r="R832" s="14">
        <v>135.63999999999999</v>
      </c>
      <c r="S832" s="2" t="s">
        <v>4291</v>
      </c>
      <c r="T832" s="2">
        <v>1</v>
      </c>
      <c r="U832" s="2">
        <v>60.1</v>
      </c>
      <c r="V832" s="2">
        <v>58</v>
      </c>
      <c r="W832" s="2" t="s">
        <v>7862</v>
      </c>
      <c r="X832" s="2" t="s">
        <v>5405</v>
      </c>
      <c r="Y832" s="2">
        <v>11118</v>
      </c>
      <c r="Z832" s="19" t="str">
        <f>HYPERLINK("https://ssdweb.co/ssdweb/hd/Vision360.html?d=925981232&amp;zoomslide=1&amp;z=1925981232&amp;ISCONFIRM=0","VIDEO")</f>
        <v>VIDEO</v>
      </c>
      <c r="AA832" s="19" t="str">
        <f>HYPERLINK("https://ssdweb.co/ssdweb/CERTH/631404462.pdf","CERTI")</f>
        <v>CERTI</v>
      </c>
    </row>
    <row r="833" spans="1:27" ht="15" x14ac:dyDescent="0.25">
      <c r="A833" s="2">
        <v>828</v>
      </c>
      <c r="B833" s="39">
        <v>926020707</v>
      </c>
      <c r="C833" s="28" t="str">
        <f>HYPERLINK("https://pld.live/RapDetail.aspx?STONELIST=926020707","DNA")</f>
        <v>DNA</v>
      </c>
      <c r="D833" s="18" t="s">
        <v>3054</v>
      </c>
      <c r="E833" s="18" t="s">
        <v>5128</v>
      </c>
      <c r="F833" s="2" t="s">
        <v>7987</v>
      </c>
      <c r="G833" s="2" t="s">
        <v>861</v>
      </c>
      <c r="H833" s="14">
        <v>1.0900000000000001</v>
      </c>
      <c r="I833" s="2" t="s">
        <v>267</v>
      </c>
      <c r="J833" s="2" t="s">
        <v>3942</v>
      </c>
      <c r="K833" s="2" t="s">
        <v>3390</v>
      </c>
      <c r="L833" s="2" t="s">
        <v>5221</v>
      </c>
      <c r="M833" s="2" t="s">
        <v>5221</v>
      </c>
      <c r="N833" s="2" t="s">
        <v>2317</v>
      </c>
      <c r="O833" s="14">
        <v>10200</v>
      </c>
      <c r="P833" s="14">
        <v>98.78</v>
      </c>
      <c r="Q833" s="14">
        <v>124.44</v>
      </c>
      <c r="R833" s="14">
        <v>135.63999999999999</v>
      </c>
      <c r="S833" s="2" t="s">
        <v>1264</v>
      </c>
      <c r="T833" s="2">
        <v>1</v>
      </c>
      <c r="U833" s="2">
        <v>61</v>
      </c>
      <c r="V833" s="2">
        <v>59</v>
      </c>
      <c r="W833" s="2" t="s">
        <v>7862</v>
      </c>
      <c r="X833" s="2" t="s">
        <v>5405</v>
      </c>
      <c r="Y833" s="2">
        <v>11118</v>
      </c>
      <c r="Z833" s="19" t="str">
        <f>HYPERLINK("https://ssdweb.co/ssdweb/hd/Vision360.html?d=926020707&amp;zoomslide=1&amp;z=1926020707&amp;ISCONFIRM=0","VIDEO")</f>
        <v>VIDEO</v>
      </c>
      <c r="AA833" s="19" t="str">
        <f>HYPERLINK("https://ssdweb.co/ssdweb/CERTH/630447878.pdf","CERTI")</f>
        <v>CERTI</v>
      </c>
    </row>
    <row r="834" spans="1:27" ht="15" x14ac:dyDescent="0.25">
      <c r="A834" s="2">
        <v>829</v>
      </c>
      <c r="B834" s="39">
        <v>925981211</v>
      </c>
      <c r="C834" s="28" t="str">
        <f>HYPERLINK("https://pld.live/RapDetail.aspx?STONELIST=925981211","DNA")</f>
        <v>DNA</v>
      </c>
      <c r="D834" s="18" t="s">
        <v>3054</v>
      </c>
      <c r="E834" s="18" t="s">
        <v>5128</v>
      </c>
      <c r="F834" s="2" t="s">
        <v>7987</v>
      </c>
      <c r="G834" s="2" t="s">
        <v>861</v>
      </c>
      <c r="H834" s="14">
        <v>1.0900000000000001</v>
      </c>
      <c r="I834" s="2" t="s">
        <v>267</v>
      </c>
      <c r="J834" s="2" t="s">
        <v>3942</v>
      </c>
      <c r="K834" s="2" t="s">
        <v>3390</v>
      </c>
      <c r="L834" s="2" t="s">
        <v>5221</v>
      </c>
      <c r="M834" s="2" t="s">
        <v>5221</v>
      </c>
      <c r="N834" s="2" t="s">
        <v>2317</v>
      </c>
      <c r="O834" s="14">
        <v>10200</v>
      </c>
      <c r="P834" s="14">
        <v>98.78</v>
      </c>
      <c r="Q834" s="14">
        <v>124.44</v>
      </c>
      <c r="R834" s="14">
        <v>135.63999999999999</v>
      </c>
      <c r="S834" s="2" t="s">
        <v>2001</v>
      </c>
      <c r="T834" s="2">
        <v>1</v>
      </c>
      <c r="U834" s="2">
        <v>60.6</v>
      </c>
      <c r="V834" s="2">
        <v>57</v>
      </c>
      <c r="W834" s="2" t="s">
        <v>7862</v>
      </c>
      <c r="X834" s="2" t="s">
        <v>5405</v>
      </c>
      <c r="Y834" s="2">
        <v>11118</v>
      </c>
      <c r="Z834" s="19" t="str">
        <f>HYPERLINK("https://ssdweb.co/ssdweb/hd/Vision360.html?d=925981211&amp;zoomslide=1&amp;z=1925981211&amp;ISCONFIRM=0","VIDEO")</f>
        <v>VIDEO</v>
      </c>
      <c r="AA834" s="19" t="str">
        <f>HYPERLINK("https://ssdweb.co/ssdweb/CERTH/630447834.pdf","CERTI")</f>
        <v>CERTI</v>
      </c>
    </row>
    <row r="835" spans="1:27" ht="15" x14ac:dyDescent="0.25">
      <c r="A835" s="2">
        <v>830</v>
      </c>
      <c r="B835" s="39">
        <v>925981174</v>
      </c>
      <c r="C835" s="28" t="str">
        <f>HYPERLINK("https://pld.live/RapDetail.aspx?STONELIST=925981174","DNA")</f>
        <v>DNA</v>
      </c>
      <c r="D835" s="18" t="s">
        <v>3054</v>
      </c>
      <c r="E835" s="18" t="s">
        <v>5128</v>
      </c>
      <c r="F835" s="2" t="s">
        <v>7987</v>
      </c>
      <c r="G835" s="2" t="s">
        <v>861</v>
      </c>
      <c r="H835" s="14">
        <v>1.0900000000000001</v>
      </c>
      <c r="I835" s="2" t="s">
        <v>267</v>
      </c>
      <c r="J835" s="2" t="s">
        <v>3942</v>
      </c>
      <c r="K835" s="2" t="s">
        <v>3390</v>
      </c>
      <c r="L835" s="2" t="s">
        <v>5221</v>
      </c>
      <c r="M835" s="2" t="s">
        <v>5221</v>
      </c>
      <c r="N835" s="2" t="s">
        <v>2317</v>
      </c>
      <c r="O835" s="14">
        <v>10200</v>
      </c>
      <c r="P835" s="14">
        <v>98.8</v>
      </c>
      <c r="Q835" s="14">
        <v>122.4</v>
      </c>
      <c r="R835" s="14">
        <v>133.41999999999999</v>
      </c>
      <c r="S835" s="2" t="s">
        <v>1751</v>
      </c>
      <c r="T835" s="2">
        <v>1.01</v>
      </c>
      <c r="U835" s="2">
        <v>62.1</v>
      </c>
      <c r="V835" s="2">
        <v>57</v>
      </c>
      <c r="W835" s="2" t="s">
        <v>7862</v>
      </c>
      <c r="X835" s="2" t="s">
        <v>5405</v>
      </c>
      <c r="Y835" s="2">
        <v>11118</v>
      </c>
      <c r="Z835" s="19" t="str">
        <f>HYPERLINK("https://ssdweb.co/ssdweb/hd/Vision360.html?d=925981174&amp;zoomslide=1&amp;z=1925981174&amp;ISCONFIRM=0","VIDEO")</f>
        <v>VIDEO</v>
      </c>
      <c r="AA835" s="19" t="str">
        <f>HYPERLINK("https://ssdweb.co/ssdweb/CERTH/629497436.pdf","CERTI")</f>
        <v>CERTI</v>
      </c>
    </row>
    <row r="836" spans="1:27" ht="15" x14ac:dyDescent="0.25">
      <c r="A836" s="2">
        <v>831</v>
      </c>
      <c r="B836" s="39">
        <v>926020760</v>
      </c>
      <c r="C836" s="28" t="str">
        <f>HYPERLINK("https://pld.live/RapDetail.aspx?STONELIST=926020760","DNA")</f>
        <v>DNA</v>
      </c>
      <c r="D836" s="18" t="s">
        <v>3054</v>
      </c>
      <c r="E836" s="18" t="s">
        <v>5128</v>
      </c>
      <c r="F836" s="2" t="s">
        <v>7987</v>
      </c>
      <c r="G836" s="2" t="s">
        <v>861</v>
      </c>
      <c r="H836" s="14">
        <v>1.0900000000000001</v>
      </c>
      <c r="I836" s="2" t="s">
        <v>267</v>
      </c>
      <c r="J836" s="2" t="s">
        <v>3942</v>
      </c>
      <c r="K836" s="2" t="s">
        <v>3390</v>
      </c>
      <c r="L836" s="2" t="s">
        <v>5221</v>
      </c>
      <c r="M836" s="2" t="s">
        <v>5221</v>
      </c>
      <c r="N836" s="2" t="s">
        <v>2317</v>
      </c>
      <c r="O836" s="14">
        <v>10200</v>
      </c>
      <c r="P836" s="14">
        <v>98.78</v>
      </c>
      <c r="Q836" s="14">
        <v>124.44</v>
      </c>
      <c r="R836" s="14">
        <v>135.63999999999999</v>
      </c>
      <c r="S836" s="2" t="s">
        <v>1482</v>
      </c>
      <c r="T836" s="2">
        <v>1.01</v>
      </c>
      <c r="U836" s="2">
        <v>62.2</v>
      </c>
      <c r="V836" s="2">
        <v>57</v>
      </c>
      <c r="W836" s="2" t="s">
        <v>7862</v>
      </c>
      <c r="X836" s="2" t="s">
        <v>5405</v>
      </c>
      <c r="Y836" s="2">
        <v>11118</v>
      </c>
      <c r="Z836" s="19" t="str">
        <f>HYPERLINK("https://ssdweb.co/ssdweb/hd/Vision360.html?d=926020760&amp;zoomslide=1&amp;z=1926020760&amp;ISCONFIRM=0","VIDEO")</f>
        <v>VIDEO</v>
      </c>
      <c r="AA836" s="19" t="str">
        <f>HYPERLINK("https://ssdweb.co/ssdweb/CERTH/631404646.pdf","CERTI")</f>
        <v>CERTI</v>
      </c>
    </row>
    <row r="837" spans="1:27" ht="15" x14ac:dyDescent="0.25">
      <c r="A837" s="2">
        <v>832</v>
      </c>
      <c r="B837" s="39">
        <v>926071516</v>
      </c>
      <c r="C837" s="28" t="str">
        <f>HYPERLINK("https://pld.live/RapDetail.aspx?STONELIST=926071516","DNA")</f>
        <v>DNA</v>
      </c>
      <c r="D837" s="18" t="s">
        <v>3054</v>
      </c>
      <c r="E837" s="18" t="s">
        <v>5128</v>
      </c>
      <c r="F837" s="2" t="s">
        <v>7987</v>
      </c>
      <c r="G837" s="2" t="s">
        <v>861</v>
      </c>
      <c r="H837" s="14">
        <v>1.0900000000000001</v>
      </c>
      <c r="I837" s="2" t="s">
        <v>267</v>
      </c>
      <c r="J837" s="2" t="s">
        <v>3942</v>
      </c>
      <c r="K837" s="2" t="s">
        <v>3390</v>
      </c>
      <c r="L837" s="2" t="s">
        <v>5721</v>
      </c>
      <c r="M837" s="2" t="s">
        <v>5221</v>
      </c>
      <c r="N837" s="2" t="s">
        <v>2317</v>
      </c>
      <c r="O837" s="14">
        <v>10200</v>
      </c>
      <c r="P837" s="14">
        <v>98.81</v>
      </c>
      <c r="Q837" s="14">
        <v>121.38</v>
      </c>
      <c r="R837" s="14">
        <v>132.30000000000001</v>
      </c>
      <c r="S837" s="2" t="s">
        <v>4556</v>
      </c>
      <c r="T837" s="2">
        <v>1.01</v>
      </c>
      <c r="U837" s="2">
        <v>62.1</v>
      </c>
      <c r="V837" s="2">
        <v>57</v>
      </c>
      <c r="W837" s="2" t="s">
        <v>7862</v>
      </c>
      <c r="X837" s="2" t="s">
        <v>5405</v>
      </c>
      <c r="Y837" s="2">
        <v>11118</v>
      </c>
      <c r="Z837" s="19" t="str">
        <f>HYPERLINK("https://ssdweb.co/ssdweb/hd/Vision360.html?d=926071516&amp;zoomslide=1&amp;z=1926071516&amp;ISCONFIRM=0","VIDEO")</f>
        <v>VIDEO</v>
      </c>
      <c r="AA837" s="19" t="str">
        <f>HYPERLINK("https://ssdweb.co/ssdweb/CERTH/631430374.pdf","CERTI")</f>
        <v>CERTI</v>
      </c>
    </row>
    <row r="838" spans="1:27" ht="15" x14ac:dyDescent="0.25">
      <c r="A838" s="2">
        <v>833</v>
      </c>
      <c r="B838" s="39">
        <v>925951055</v>
      </c>
      <c r="C838" s="28" t="str">
        <f>HYPERLINK("https://pld.live/RapDetail.aspx?STONELIST=925951055","DNA")</f>
        <v>DNA</v>
      </c>
      <c r="D838" s="18" t="s">
        <v>3054</v>
      </c>
      <c r="E838" s="18" t="s">
        <v>5128</v>
      </c>
      <c r="F838" s="2" t="s">
        <v>7987</v>
      </c>
      <c r="G838" s="2" t="s">
        <v>861</v>
      </c>
      <c r="H838" s="14">
        <v>1.0900000000000001</v>
      </c>
      <c r="I838" s="2" t="s">
        <v>267</v>
      </c>
      <c r="J838" s="2" t="s">
        <v>3942</v>
      </c>
      <c r="K838" s="2" t="s">
        <v>5221</v>
      </c>
      <c r="L838" s="2" t="s">
        <v>5221</v>
      </c>
      <c r="M838" s="2" t="s">
        <v>5221</v>
      </c>
      <c r="N838" s="2" t="s">
        <v>2317</v>
      </c>
      <c r="O838" s="14">
        <v>10200</v>
      </c>
      <c r="P838" s="14">
        <v>98.8</v>
      </c>
      <c r="Q838" s="14">
        <v>122.4</v>
      </c>
      <c r="R838" s="14">
        <v>133.41999999999999</v>
      </c>
      <c r="S838" s="2" t="s">
        <v>2495</v>
      </c>
      <c r="T838" s="2">
        <v>1.01</v>
      </c>
      <c r="U838" s="2">
        <v>62.6</v>
      </c>
      <c r="V838" s="2">
        <v>57</v>
      </c>
      <c r="W838" s="2" t="s">
        <v>7862</v>
      </c>
      <c r="X838" s="2" t="s">
        <v>5405</v>
      </c>
      <c r="Y838" s="2">
        <v>11118</v>
      </c>
      <c r="Z838" s="19" t="str">
        <f>HYPERLINK("https://ssdweb.co/ssdweb/hd/Vision360.html?d=925951055&amp;zoomslide=1&amp;z=1925951055&amp;ISCONFIRM=0","VIDEO")</f>
        <v>VIDEO</v>
      </c>
      <c r="AA838" s="19" t="str">
        <f>HYPERLINK("https://ssdweb.co/ssdweb/CERTH/628463036.pdf","CERTI")</f>
        <v>CERTI</v>
      </c>
    </row>
    <row r="839" spans="1:27" ht="15" x14ac:dyDescent="0.25">
      <c r="A839" s="2">
        <v>834</v>
      </c>
      <c r="B839" s="39">
        <v>925290286</v>
      </c>
      <c r="C839" s="28" t="str">
        <f>HYPERLINK("https://pld.live/RapDetail.aspx?STONELIST=925290286","DNA")</f>
        <v>DNA</v>
      </c>
      <c r="D839" s="18" t="s">
        <v>3054</v>
      </c>
      <c r="E839" s="18" t="s">
        <v>5128</v>
      </c>
      <c r="F839" s="2" t="s">
        <v>7987</v>
      </c>
      <c r="G839" s="2" t="s">
        <v>861</v>
      </c>
      <c r="H839" s="14">
        <v>1.0900000000000001</v>
      </c>
      <c r="I839" s="2" t="s">
        <v>267</v>
      </c>
      <c r="J839" s="2" t="s">
        <v>3942</v>
      </c>
      <c r="K839" s="2" t="s">
        <v>5221</v>
      </c>
      <c r="L839" s="2" t="s">
        <v>5221</v>
      </c>
      <c r="M839" s="2" t="s">
        <v>5221</v>
      </c>
      <c r="N839" s="2" t="s">
        <v>2317</v>
      </c>
      <c r="O839" s="14">
        <v>10200</v>
      </c>
      <c r="P839" s="14">
        <v>98.8</v>
      </c>
      <c r="Q839" s="14">
        <v>122.4</v>
      </c>
      <c r="R839" s="14">
        <v>133.41999999999999</v>
      </c>
      <c r="S839" s="2" t="s">
        <v>5562</v>
      </c>
      <c r="T839" s="2">
        <v>1</v>
      </c>
      <c r="U839" s="2">
        <v>60.2</v>
      </c>
      <c r="V839" s="2">
        <v>60</v>
      </c>
      <c r="W839" s="2" t="s">
        <v>7862</v>
      </c>
      <c r="X839" s="2" t="s">
        <v>5405</v>
      </c>
      <c r="Y839" s="2">
        <v>11118</v>
      </c>
      <c r="Z839" s="19" t="str">
        <f>HYPERLINK("https://ssdweb.co/ssdweb/hd/Vision360.html?d=925290286&amp;zoomslide=1&amp;z=1925290286&amp;ISCONFIRM=0","VIDEO")</f>
        <v>VIDEO</v>
      </c>
      <c r="AA839" s="19" t="str">
        <f>HYPERLINK("https://ssdweb.co/ssdweb/CERTH/614319458.pdf","CERTI")</f>
        <v>CERTI</v>
      </c>
    </row>
    <row r="840" spans="1:27" ht="15" x14ac:dyDescent="0.25">
      <c r="A840" s="2">
        <v>835</v>
      </c>
      <c r="B840" s="39">
        <v>925140173</v>
      </c>
      <c r="C840" s="28" t="str">
        <f>HYPERLINK("https://pld.live/RapDetail.aspx?STONELIST=925140173","DNA")</f>
        <v>DNA</v>
      </c>
      <c r="D840" s="18" t="s">
        <v>3054</v>
      </c>
      <c r="E840" s="18" t="s">
        <v>5128</v>
      </c>
      <c r="F840" s="2" t="s">
        <v>5597</v>
      </c>
      <c r="G840" s="2" t="s">
        <v>861</v>
      </c>
      <c r="H840" s="14">
        <v>1.0900000000000001</v>
      </c>
      <c r="I840" s="2" t="s">
        <v>267</v>
      </c>
      <c r="J840" s="2" t="s">
        <v>3942</v>
      </c>
      <c r="K840" s="2" t="s">
        <v>5221</v>
      </c>
      <c r="L840" s="2" t="s">
        <v>5221</v>
      </c>
      <c r="M840" s="2" t="s">
        <v>5221</v>
      </c>
      <c r="N840" s="2" t="s">
        <v>2317</v>
      </c>
      <c r="O840" s="14">
        <v>10200</v>
      </c>
      <c r="P840" s="14">
        <v>98.01</v>
      </c>
      <c r="Q840" s="14">
        <v>202.98</v>
      </c>
      <c r="R840" s="14">
        <v>221.25</v>
      </c>
      <c r="S840" s="2" t="s">
        <v>4911</v>
      </c>
      <c r="T840" s="2">
        <v>1.01</v>
      </c>
      <c r="U840" s="2">
        <v>62.5</v>
      </c>
      <c r="V840" s="2">
        <v>57</v>
      </c>
      <c r="W840" s="2" t="s">
        <v>7862</v>
      </c>
      <c r="X840" s="2" t="s">
        <v>5405</v>
      </c>
      <c r="Y840" s="2">
        <v>11118</v>
      </c>
      <c r="Z840" s="19" t="str">
        <f>HYPERLINK("https://ssdweb.co/ssdweb/hd/Vision360.html?d=925140173&amp;zoomslide=1&amp;z=1925140173&amp;ISCONFIRM=0","VIDEO")</f>
        <v>VIDEO</v>
      </c>
      <c r="AA840" s="19" t="str">
        <f>HYPERLINK("https://ssdweb.co/ssdweb/CERTH/1487141152.pdf","CERTI")</f>
        <v>CERTI</v>
      </c>
    </row>
    <row r="841" spans="1:27" ht="15" x14ac:dyDescent="0.25">
      <c r="A841" s="2">
        <v>836</v>
      </c>
      <c r="B841" s="39">
        <v>926020744</v>
      </c>
      <c r="C841" s="28" t="str">
        <f>HYPERLINK("https://pld.live/RapDetail.aspx?STONELIST=926020744","DNA")</f>
        <v>DNA</v>
      </c>
      <c r="D841" s="18" t="s">
        <v>3054</v>
      </c>
      <c r="E841" s="18" t="s">
        <v>5128</v>
      </c>
      <c r="F841" s="2" t="s">
        <v>5597</v>
      </c>
      <c r="G841" s="2" t="s">
        <v>861</v>
      </c>
      <c r="H841" s="14">
        <v>1.0900000000000001</v>
      </c>
      <c r="I841" s="2" t="s">
        <v>267</v>
      </c>
      <c r="J841" s="2" t="s">
        <v>3942</v>
      </c>
      <c r="K841" s="2" t="s">
        <v>5221</v>
      </c>
      <c r="L841" s="2" t="s">
        <v>5221</v>
      </c>
      <c r="M841" s="2" t="s">
        <v>5221</v>
      </c>
      <c r="N841" s="2" t="s">
        <v>2317</v>
      </c>
      <c r="O841" s="14">
        <v>10200</v>
      </c>
      <c r="P841" s="14">
        <v>97.99</v>
      </c>
      <c r="Q841" s="14">
        <v>205.02</v>
      </c>
      <c r="R841" s="14">
        <v>223.47</v>
      </c>
      <c r="S841" s="2" t="s">
        <v>3988</v>
      </c>
      <c r="T841" s="2">
        <v>1</v>
      </c>
      <c r="U841" s="2">
        <v>62.1</v>
      </c>
      <c r="V841" s="2">
        <v>56</v>
      </c>
      <c r="W841" s="2" t="s">
        <v>7862</v>
      </c>
      <c r="X841" s="2" t="s">
        <v>5405</v>
      </c>
      <c r="Y841" s="2">
        <v>11118</v>
      </c>
      <c r="Z841" s="19" t="str">
        <f>HYPERLINK("https://ssdweb.co/ssdweb/hd/Vision360.html?d=926020744&amp;zoomslide=1&amp;z=1926020744&amp;ISCONFIRM=0","VIDEO")</f>
        <v>VIDEO</v>
      </c>
      <c r="AA841" s="19" t="str">
        <f>HYPERLINK("https://ssdweb.co/ssdweb/CERTH/1495151534.pdf","CERTI")</f>
        <v>CERTI</v>
      </c>
    </row>
    <row r="842" spans="1:27" ht="15" x14ac:dyDescent="0.25">
      <c r="A842" s="2">
        <v>837</v>
      </c>
      <c r="B842" s="39">
        <v>925890316</v>
      </c>
      <c r="C842" s="28" t="str">
        <f>HYPERLINK("https://pld.live/RapDetail.aspx?STONELIST=925890316","DNA")</f>
        <v>DNA</v>
      </c>
      <c r="D842" s="18" t="s">
        <v>3054</v>
      </c>
      <c r="E842" s="18" t="s">
        <v>5128</v>
      </c>
      <c r="F842" s="2" t="s">
        <v>7987</v>
      </c>
      <c r="G842" s="2" t="s">
        <v>861</v>
      </c>
      <c r="H842" s="14">
        <v>1.0900000000000001</v>
      </c>
      <c r="I842" s="2" t="s">
        <v>267</v>
      </c>
      <c r="J842" s="2" t="s">
        <v>13</v>
      </c>
      <c r="K842" s="2" t="s">
        <v>3390</v>
      </c>
      <c r="L842" s="2" t="s">
        <v>5221</v>
      </c>
      <c r="M842" s="2" t="s">
        <v>5221</v>
      </c>
      <c r="N842" s="2" t="s">
        <v>2317</v>
      </c>
      <c r="O842" s="14">
        <v>8700</v>
      </c>
      <c r="P842" s="14">
        <v>98.67</v>
      </c>
      <c r="Q842" s="14">
        <v>115.71</v>
      </c>
      <c r="R842" s="14">
        <v>126.12</v>
      </c>
      <c r="S842" s="2" t="s">
        <v>5961</v>
      </c>
      <c r="T842" s="2">
        <v>1.01</v>
      </c>
      <c r="U842" s="2">
        <v>62.2</v>
      </c>
      <c r="V842" s="2">
        <v>58</v>
      </c>
      <c r="W842" s="2" t="s">
        <v>7862</v>
      </c>
      <c r="X842" s="2" t="s">
        <v>5405</v>
      </c>
      <c r="Y842" s="2">
        <v>9483</v>
      </c>
      <c r="Z842" s="19" t="str">
        <f>HYPERLINK("https://ssdweb.co/ssdweb/hd/Vision360.html?d=925890316&amp;zoomslide=1&amp;z=1925890316&amp;ISCONFIRM=0","VIDEO")</f>
        <v>VIDEO</v>
      </c>
      <c r="AA842" s="19" t="str">
        <f>HYPERLINK("https://ssdweb.co/ssdweb/CERTH/628427076.pdf","CERTI")</f>
        <v>CERTI</v>
      </c>
    </row>
    <row r="843" spans="1:27" ht="15" x14ac:dyDescent="0.25">
      <c r="A843" s="2">
        <v>838</v>
      </c>
      <c r="B843" s="39">
        <v>925940529</v>
      </c>
      <c r="C843" s="28" t="str">
        <f>HYPERLINK("https://pld.live/RapDetail.aspx?STONELIST=925940529","DNA")</f>
        <v>DNA</v>
      </c>
      <c r="D843" s="18" t="s">
        <v>3054</v>
      </c>
      <c r="E843" s="18" t="s">
        <v>5128</v>
      </c>
      <c r="F843" s="2" t="s">
        <v>7987</v>
      </c>
      <c r="G843" s="2" t="s">
        <v>861</v>
      </c>
      <c r="H843" s="14">
        <v>1.0900000000000001</v>
      </c>
      <c r="I843" s="2" t="s">
        <v>267</v>
      </c>
      <c r="J843" s="2" t="s">
        <v>13</v>
      </c>
      <c r="K843" s="2" t="s">
        <v>3390</v>
      </c>
      <c r="L843" s="2" t="s">
        <v>5221</v>
      </c>
      <c r="M843" s="2" t="s">
        <v>5221</v>
      </c>
      <c r="N843" s="2" t="s">
        <v>2317</v>
      </c>
      <c r="O843" s="14">
        <v>8700</v>
      </c>
      <c r="P843" s="14">
        <v>98.67</v>
      </c>
      <c r="Q843" s="14">
        <v>115.71</v>
      </c>
      <c r="R843" s="14">
        <v>126.12</v>
      </c>
      <c r="S843" s="2" t="s">
        <v>5904</v>
      </c>
      <c r="T843" s="2">
        <v>1.01</v>
      </c>
      <c r="U843" s="2">
        <v>62.4</v>
      </c>
      <c r="V843" s="2">
        <v>57</v>
      </c>
      <c r="W843" s="2" t="s">
        <v>7862</v>
      </c>
      <c r="X843" s="2" t="s">
        <v>5405</v>
      </c>
      <c r="Y843" s="2">
        <v>9483</v>
      </c>
      <c r="Z843" s="19" t="str">
        <f>HYPERLINK("https://ssdweb.co/ssdweb/hd/Vision360.html?d=925940529&amp;zoomslide=1&amp;z=1925940529&amp;ISCONFIRM=0","VIDEO")</f>
        <v>VIDEO</v>
      </c>
      <c r="AA843" s="19" t="str">
        <f>HYPERLINK("https://ssdweb.co/ssdweb/CERTH/628426993.pdf","CERTI")</f>
        <v>CERTI</v>
      </c>
    </row>
    <row r="844" spans="1:27" ht="15" x14ac:dyDescent="0.25">
      <c r="A844" s="2">
        <v>839</v>
      </c>
      <c r="B844" s="39">
        <v>821127515</v>
      </c>
      <c r="C844" s="28" t="str">
        <f>HYPERLINK("https://pld.live/RapDetail.aspx?STONELIST=821127515","DNA")</f>
        <v>DNA</v>
      </c>
      <c r="D844" s="18" t="s">
        <v>3054</v>
      </c>
      <c r="E844" s="18" t="s">
        <v>5128</v>
      </c>
      <c r="F844" s="2" t="s">
        <v>7987</v>
      </c>
      <c r="G844" s="2" t="s">
        <v>861</v>
      </c>
      <c r="H844" s="14">
        <v>1.0900000000000001</v>
      </c>
      <c r="I844" s="2" t="s">
        <v>267</v>
      </c>
      <c r="J844" s="2" t="s">
        <v>13</v>
      </c>
      <c r="K844" s="2" t="s">
        <v>3390</v>
      </c>
      <c r="L844" s="2" t="s">
        <v>5221</v>
      </c>
      <c r="M844" s="2" t="s">
        <v>5221</v>
      </c>
      <c r="N844" s="2" t="s">
        <v>2317</v>
      </c>
      <c r="O844" s="14">
        <v>8700</v>
      </c>
      <c r="P844" s="14">
        <v>98.67</v>
      </c>
      <c r="Q844" s="14">
        <v>115.71</v>
      </c>
      <c r="R844" s="14">
        <v>126.12</v>
      </c>
      <c r="S844" s="2" t="s">
        <v>1264</v>
      </c>
      <c r="T844" s="2">
        <v>1</v>
      </c>
      <c r="U844" s="2">
        <v>61.1</v>
      </c>
      <c r="V844" s="2">
        <v>58</v>
      </c>
      <c r="W844" s="2" t="s">
        <v>7862</v>
      </c>
      <c r="X844" s="2" t="s">
        <v>5405</v>
      </c>
      <c r="Y844" s="2">
        <v>9483</v>
      </c>
      <c r="Z844" s="19" t="str">
        <f>HYPERLINK("https://ssdweb.co/ssdweb/hd/Vision360.html?d=821127515&amp;zoomslide=1&amp;z=1821127515&amp;ISCONFIRM=0","VIDEO")</f>
        <v>VIDEO</v>
      </c>
      <c r="AA844" s="19" t="str">
        <f>HYPERLINK("https://ssdweb.co/ssdweb/CERTH/624402915.pdf","CERTI")</f>
        <v>CERTI</v>
      </c>
    </row>
    <row r="845" spans="1:27" ht="15" x14ac:dyDescent="0.25">
      <c r="A845" s="2">
        <v>840</v>
      </c>
      <c r="B845" s="39">
        <v>821127516</v>
      </c>
      <c r="C845" s="28" t="str">
        <f>HYPERLINK("https://pld.live/RapDetail.aspx?STONELIST=821127516","DNA")</f>
        <v>DNA</v>
      </c>
      <c r="D845" s="18" t="s">
        <v>3054</v>
      </c>
      <c r="E845" s="18" t="s">
        <v>5128</v>
      </c>
      <c r="F845" s="2" t="s">
        <v>7987</v>
      </c>
      <c r="G845" s="2" t="s">
        <v>861</v>
      </c>
      <c r="H845" s="14">
        <v>1.0900000000000001</v>
      </c>
      <c r="I845" s="2" t="s">
        <v>267</v>
      </c>
      <c r="J845" s="2" t="s">
        <v>13</v>
      </c>
      <c r="K845" s="2" t="s">
        <v>3390</v>
      </c>
      <c r="L845" s="2" t="s">
        <v>5221</v>
      </c>
      <c r="M845" s="2" t="s">
        <v>5221</v>
      </c>
      <c r="N845" s="2" t="s">
        <v>2317</v>
      </c>
      <c r="O845" s="14">
        <v>8700</v>
      </c>
      <c r="P845" s="14">
        <v>98.67</v>
      </c>
      <c r="Q845" s="14">
        <v>115.71</v>
      </c>
      <c r="R845" s="14">
        <v>126.12</v>
      </c>
      <c r="S845" s="2" t="s">
        <v>1134</v>
      </c>
      <c r="T845" s="2">
        <v>1</v>
      </c>
      <c r="U845" s="2">
        <v>61.6</v>
      </c>
      <c r="V845" s="2">
        <v>57</v>
      </c>
      <c r="W845" s="2" t="s">
        <v>7862</v>
      </c>
      <c r="X845" s="2" t="s">
        <v>5405</v>
      </c>
      <c r="Y845" s="2">
        <v>9483</v>
      </c>
      <c r="Z845" s="19" t="str">
        <f>HYPERLINK("https://ssdweb.co/ssdweb/hd/Vision360.html?d=821127516&amp;zoomslide=1&amp;z=1821127516&amp;ISCONFIRM=0","VIDEO")</f>
        <v>VIDEO</v>
      </c>
      <c r="AA845" s="19" t="str">
        <f>HYPERLINK("https://ssdweb.co/ssdweb/CERTH/621445287.pdf","CERTI")</f>
        <v>CERTI</v>
      </c>
    </row>
    <row r="846" spans="1:27" ht="15" x14ac:dyDescent="0.25">
      <c r="A846" s="2">
        <v>841</v>
      </c>
      <c r="B846" s="39">
        <v>821127523</v>
      </c>
      <c r="C846" s="28" t="str">
        <f>HYPERLINK("https://pld.live/RapDetail.aspx?STONELIST=821127523","DNA")</f>
        <v>DNA</v>
      </c>
      <c r="D846" s="18" t="s">
        <v>3054</v>
      </c>
      <c r="E846" s="18" t="s">
        <v>5128</v>
      </c>
      <c r="F846" s="2" t="s">
        <v>7987</v>
      </c>
      <c r="G846" s="2" t="s">
        <v>861</v>
      </c>
      <c r="H846" s="14">
        <v>1.0900000000000001</v>
      </c>
      <c r="I846" s="2" t="s">
        <v>267</v>
      </c>
      <c r="J846" s="2" t="s">
        <v>13</v>
      </c>
      <c r="K846" s="2" t="s">
        <v>3390</v>
      </c>
      <c r="L846" s="2" t="s">
        <v>5221</v>
      </c>
      <c r="M846" s="2" t="s">
        <v>5221</v>
      </c>
      <c r="N846" s="2" t="s">
        <v>2317</v>
      </c>
      <c r="O846" s="14">
        <v>8700</v>
      </c>
      <c r="P846" s="14">
        <v>98.67</v>
      </c>
      <c r="Q846" s="14">
        <v>115.71</v>
      </c>
      <c r="R846" s="14">
        <v>126.12</v>
      </c>
      <c r="S846" s="2" t="s">
        <v>7855</v>
      </c>
      <c r="T846" s="2">
        <v>1</v>
      </c>
      <c r="U846" s="2">
        <v>62</v>
      </c>
      <c r="V846" s="2">
        <v>57</v>
      </c>
      <c r="W846" s="2" t="s">
        <v>7862</v>
      </c>
      <c r="X846" s="2" t="s">
        <v>5405</v>
      </c>
      <c r="Y846" s="2">
        <v>9483</v>
      </c>
      <c r="Z846" s="19" t="str">
        <f>HYPERLINK("https://ssdweb.co/ssdweb/hd/Vision360.html?d=821127523&amp;zoomslide=1&amp;z=1821127523&amp;ISCONFIRM=0","VIDEO")</f>
        <v>VIDEO</v>
      </c>
      <c r="AA846" s="19" t="str">
        <f>HYPERLINK("https://ssdweb.co/ssdweb/CERTH/623466788.pdf","CERTI")</f>
        <v>CERTI</v>
      </c>
    </row>
    <row r="847" spans="1:27" ht="15" x14ac:dyDescent="0.25">
      <c r="A847" s="2">
        <v>842</v>
      </c>
      <c r="B847" s="39">
        <v>821127470</v>
      </c>
      <c r="C847" s="28" t="str">
        <f>HYPERLINK("https://pld.live/RapDetail.aspx?STONELIST=821127470","DNA")</f>
        <v>DNA</v>
      </c>
      <c r="D847" s="18" t="s">
        <v>3054</v>
      </c>
      <c r="E847" s="18" t="s">
        <v>5128</v>
      </c>
      <c r="F847" s="2" t="s">
        <v>7987</v>
      </c>
      <c r="G847" s="2" t="s">
        <v>861</v>
      </c>
      <c r="H847" s="14">
        <v>1.0900000000000001</v>
      </c>
      <c r="I847" s="2" t="s">
        <v>267</v>
      </c>
      <c r="J847" s="2" t="s">
        <v>13</v>
      </c>
      <c r="K847" s="2" t="s">
        <v>3390</v>
      </c>
      <c r="L847" s="2" t="s">
        <v>5221</v>
      </c>
      <c r="M847" s="2" t="s">
        <v>5221</v>
      </c>
      <c r="N847" s="2" t="s">
        <v>2317</v>
      </c>
      <c r="O847" s="14">
        <v>8700</v>
      </c>
      <c r="P847" s="14">
        <v>98.67</v>
      </c>
      <c r="Q847" s="14">
        <v>115.71</v>
      </c>
      <c r="R847" s="14">
        <v>126.12</v>
      </c>
      <c r="S847" s="2" t="s">
        <v>1696</v>
      </c>
      <c r="T847" s="2">
        <v>1.01</v>
      </c>
      <c r="U847" s="2">
        <v>61.6</v>
      </c>
      <c r="V847" s="2">
        <v>60</v>
      </c>
      <c r="W847" s="2" t="s">
        <v>7862</v>
      </c>
      <c r="X847" s="2" t="s">
        <v>5405</v>
      </c>
      <c r="Y847" s="2">
        <v>9483</v>
      </c>
      <c r="Z847" s="19" t="str">
        <f>HYPERLINK("https://ssdweb.co/ssdweb/hd/Vision360.html?d=821127470&amp;zoomslide=1&amp;z=1821127470&amp;ISCONFIRM=0","VIDEO")</f>
        <v>VIDEO</v>
      </c>
      <c r="AA847" s="19" t="str">
        <f>HYPERLINK("https://ssdweb.co/ssdweb/CERTH/626478975.pdf","CERTI")</f>
        <v>CERTI</v>
      </c>
    </row>
    <row r="848" spans="1:27" ht="15" x14ac:dyDescent="0.25">
      <c r="A848" s="2">
        <v>843</v>
      </c>
      <c r="B848" s="39">
        <v>821127456</v>
      </c>
      <c r="C848" s="28" t="str">
        <f>HYPERLINK("https://pld.live/RapDetail.aspx?STONELIST=821127456","DNA")</f>
        <v>DNA</v>
      </c>
      <c r="D848" s="18" t="s">
        <v>3054</v>
      </c>
      <c r="E848" s="18" t="s">
        <v>5128</v>
      </c>
      <c r="F848" s="2" t="s">
        <v>7987</v>
      </c>
      <c r="G848" s="2" t="s">
        <v>861</v>
      </c>
      <c r="H848" s="14">
        <v>1.0900000000000001</v>
      </c>
      <c r="I848" s="2" t="s">
        <v>267</v>
      </c>
      <c r="J848" s="2" t="s">
        <v>13</v>
      </c>
      <c r="K848" s="2" t="s">
        <v>3390</v>
      </c>
      <c r="L848" s="2" t="s">
        <v>5221</v>
      </c>
      <c r="M848" s="2" t="s">
        <v>5221</v>
      </c>
      <c r="N848" s="2" t="s">
        <v>2317</v>
      </c>
      <c r="O848" s="14">
        <v>8700</v>
      </c>
      <c r="P848" s="14">
        <v>98.67</v>
      </c>
      <c r="Q848" s="14">
        <v>115.71</v>
      </c>
      <c r="R848" s="14">
        <v>126.12</v>
      </c>
      <c r="S848" s="2" t="s">
        <v>429</v>
      </c>
      <c r="T848" s="2">
        <v>1.01</v>
      </c>
      <c r="U848" s="2">
        <v>60.3</v>
      </c>
      <c r="V848" s="2">
        <v>59</v>
      </c>
      <c r="W848" s="2" t="s">
        <v>7862</v>
      </c>
      <c r="X848" s="2" t="s">
        <v>5405</v>
      </c>
      <c r="Y848" s="2">
        <v>9483</v>
      </c>
      <c r="Z848" s="19" t="str">
        <f>HYPERLINK("https://ssdweb.co/ssdweb/hd/Vision360.html?d=821127456&amp;zoomslide=1&amp;z=1821127456&amp;ISCONFIRM=0","VIDEO")</f>
        <v>VIDEO</v>
      </c>
      <c r="AA848" s="19" t="str">
        <f>HYPERLINK("https://ssdweb.co/ssdweb/CERTH/626479858.pdf","CERTI")</f>
        <v>CERTI</v>
      </c>
    </row>
    <row r="849" spans="1:27" ht="15" x14ac:dyDescent="0.25">
      <c r="A849" s="2">
        <v>844</v>
      </c>
      <c r="B849" s="39">
        <v>821127455</v>
      </c>
      <c r="C849" s="28" t="str">
        <f>HYPERLINK("https://pld.live/RapDetail.aspx?STONELIST=821127455","DNA")</f>
        <v>DNA</v>
      </c>
      <c r="D849" s="18" t="s">
        <v>3054</v>
      </c>
      <c r="E849" s="18" t="s">
        <v>5128</v>
      </c>
      <c r="F849" s="2" t="s">
        <v>7987</v>
      </c>
      <c r="G849" s="2" t="s">
        <v>861</v>
      </c>
      <c r="H849" s="14">
        <v>1.0900000000000001</v>
      </c>
      <c r="I849" s="2" t="s">
        <v>267</v>
      </c>
      <c r="J849" s="2" t="s">
        <v>13</v>
      </c>
      <c r="K849" s="2" t="s">
        <v>3390</v>
      </c>
      <c r="L849" s="2" t="s">
        <v>5221</v>
      </c>
      <c r="M849" s="2" t="s">
        <v>5221</v>
      </c>
      <c r="N849" s="2" t="s">
        <v>2317</v>
      </c>
      <c r="O849" s="14">
        <v>8700</v>
      </c>
      <c r="P849" s="14">
        <v>98.67</v>
      </c>
      <c r="Q849" s="14">
        <v>115.71</v>
      </c>
      <c r="R849" s="14">
        <v>126.12</v>
      </c>
      <c r="S849" s="2" t="s">
        <v>768</v>
      </c>
      <c r="T849" s="2">
        <v>1</v>
      </c>
      <c r="U849" s="2">
        <v>60.9</v>
      </c>
      <c r="V849" s="2">
        <v>59</v>
      </c>
      <c r="W849" s="2" t="s">
        <v>7862</v>
      </c>
      <c r="X849" s="2" t="s">
        <v>5405</v>
      </c>
      <c r="Y849" s="2">
        <v>9483</v>
      </c>
      <c r="Z849" s="19" t="str">
        <f>HYPERLINK("https://ssdweb.co/ssdweb/hd/Vision360.html?d=821127455&amp;zoomslide=1&amp;z=1821127455&amp;ISCONFIRM=0","VIDEO")</f>
        <v>VIDEO</v>
      </c>
      <c r="AA849" s="19" t="str">
        <f>HYPERLINK("https://ssdweb.co/ssdweb/CERTH/626478980.pdf","CERTI")</f>
        <v>CERTI</v>
      </c>
    </row>
    <row r="850" spans="1:27" ht="15" x14ac:dyDescent="0.25">
      <c r="A850" s="2">
        <v>845</v>
      </c>
      <c r="B850" s="39">
        <v>821127411</v>
      </c>
      <c r="C850" s="28" t="str">
        <f>HYPERLINK("https://pld.live/RapDetail.aspx?STONELIST=821127411","DNA")</f>
        <v>DNA</v>
      </c>
      <c r="D850" s="18" t="s">
        <v>3054</v>
      </c>
      <c r="E850" s="18" t="s">
        <v>5128</v>
      </c>
      <c r="F850" s="2" t="s">
        <v>7987</v>
      </c>
      <c r="G850" s="2" t="s">
        <v>861</v>
      </c>
      <c r="H850" s="14">
        <v>1.0900000000000001</v>
      </c>
      <c r="I850" s="2" t="s">
        <v>267</v>
      </c>
      <c r="J850" s="2" t="s">
        <v>13</v>
      </c>
      <c r="K850" s="2" t="s">
        <v>3390</v>
      </c>
      <c r="L850" s="2" t="s">
        <v>5221</v>
      </c>
      <c r="M850" s="2" t="s">
        <v>5221</v>
      </c>
      <c r="N850" s="2" t="s">
        <v>2317</v>
      </c>
      <c r="O850" s="14">
        <v>8700</v>
      </c>
      <c r="P850" s="14">
        <v>98.67</v>
      </c>
      <c r="Q850" s="14">
        <v>115.71</v>
      </c>
      <c r="R850" s="14">
        <v>126.12</v>
      </c>
      <c r="S850" s="2" t="s">
        <v>4966</v>
      </c>
      <c r="T850" s="2">
        <v>1</v>
      </c>
      <c r="U850" s="2">
        <v>60.4</v>
      </c>
      <c r="V850" s="2">
        <v>60</v>
      </c>
      <c r="W850" s="2" t="s">
        <v>7862</v>
      </c>
      <c r="X850" s="2" t="s">
        <v>5405</v>
      </c>
      <c r="Y850" s="2">
        <v>9483</v>
      </c>
      <c r="Z850" s="19" t="str">
        <f>HYPERLINK("https://ssdweb.co/ssdweb/hd/Vision360.html?d=821127411&amp;zoomslide=1&amp;z=1821127411&amp;ISCONFIRM=0","VIDEO")</f>
        <v>VIDEO</v>
      </c>
      <c r="AA850" s="19" t="str">
        <f>HYPERLINK("https://ssdweb.co/ssdweb/CERTH/624404883.pdf","CERTI")</f>
        <v>CERTI</v>
      </c>
    </row>
    <row r="851" spans="1:27" ht="15" x14ac:dyDescent="0.25">
      <c r="A851" s="2">
        <v>846</v>
      </c>
      <c r="B851" s="39">
        <v>821127409</v>
      </c>
      <c r="C851" s="28" t="str">
        <f>HYPERLINK("https://pld.live/RapDetail.aspx?STONELIST=821127409","DNA")</f>
        <v>DNA</v>
      </c>
      <c r="D851" s="18" t="s">
        <v>3054</v>
      </c>
      <c r="E851" s="18" t="s">
        <v>5128</v>
      </c>
      <c r="F851" s="2" t="s">
        <v>7987</v>
      </c>
      <c r="G851" s="2" t="s">
        <v>861</v>
      </c>
      <c r="H851" s="14">
        <v>1.0900000000000001</v>
      </c>
      <c r="I851" s="2" t="s">
        <v>267</v>
      </c>
      <c r="J851" s="2" t="s">
        <v>13</v>
      </c>
      <c r="K851" s="2" t="s">
        <v>3390</v>
      </c>
      <c r="L851" s="2" t="s">
        <v>5221</v>
      </c>
      <c r="M851" s="2" t="s">
        <v>5221</v>
      </c>
      <c r="N851" s="2" t="s">
        <v>2317</v>
      </c>
      <c r="O851" s="14">
        <v>8700</v>
      </c>
      <c r="P851" s="14">
        <v>98.67</v>
      </c>
      <c r="Q851" s="14">
        <v>115.71</v>
      </c>
      <c r="R851" s="14">
        <v>126.12</v>
      </c>
      <c r="S851" s="2" t="s">
        <v>758</v>
      </c>
      <c r="T851" s="2">
        <v>1.01</v>
      </c>
      <c r="U851" s="2">
        <v>60.6</v>
      </c>
      <c r="V851" s="2">
        <v>57</v>
      </c>
      <c r="W851" s="2" t="s">
        <v>7862</v>
      </c>
      <c r="X851" s="2" t="s">
        <v>5405</v>
      </c>
      <c r="Y851" s="2">
        <v>9483</v>
      </c>
      <c r="Z851" s="19" t="str">
        <f>HYPERLINK("https://ssdweb.co/ssdweb/hd/Vision360.html?d=821127409&amp;zoomslide=1&amp;z=1821127409&amp;ISCONFIRM=0","VIDEO")</f>
        <v>VIDEO</v>
      </c>
      <c r="AA851" s="19" t="str">
        <f>HYPERLINK("https://ssdweb.co/ssdweb/CERTH/623433030.pdf","CERTI")</f>
        <v>CERTI</v>
      </c>
    </row>
    <row r="852" spans="1:27" ht="15" x14ac:dyDescent="0.25">
      <c r="A852" s="2">
        <v>847</v>
      </c>
      <c r="B852" s="39">
        <v>821127408</v>
      </c>
      <c r="C852" s="28" t="str">
        <f>HYPERLINK("https://pld.live/RapDetail.aspx?STONELIST=821127408","DNA")</f>
        <v>DNA</v>
      </c>
      <c r="D852" s="18" t="s">
        <v>3054</v>
      </c>
      <c r="E852" s="18" t="s">
        <v>5128</v>
      </c>
      <c r="F852" s="2" t="s">
        <v>7987</v>
      </c>
      <c r="G852" s="2" t="s">
        <v>861</v>
      </c>
      <c r="H852" s="14">
        <v>1.0900000000000001</v>
      </c>
      <c r="I852" s="2" t="s">
        <v>267</v>
      </c>
      <c r="J852" s="2" t="s">
        <v>13</v>
      </c>
      <c r="K852" s="2" t="s">
        <v>3390</v>
      </c>
      <c r="L852" s="2" t="s">
        <v>5221</v>
      </c>
      <c r="M852" s="2" t="s">
        <v>5221</v>
      </c>
      <c r="N852" s="2" t="s">
        <v>2317</v>
      </c>
      <c r="O852" s="14">
        <v>8700</v>
      </c>
      <c r="P852" s="14">
        <v>98.67</v>
      </c>
      <c r="Q852" s="14">
        <v>115.71</v>
      </c>
      <c r="R852" s="14">
        <v>126.12</v>
      </c>
      <c r="S852" s="2" t="s">
        <v>7669</v>
      </c>
      <c r="T852" s="2">
        <v>1.01</v>
      </c>
      <c r="U852" s="2">
        <v>60.6</v>
      </c>
      <c r="V852" s="2">
        <v>58</v>
      </c>
      <c r="W852" s="2" t="s">
        <v>7862</v>
      </c>
      <c r="X852" s="2" t="s">
        <v>5405</v>
      </c>
      <c r="Y852" s="2">
        <v>9483</v>
      </c>
      <c r="Z852" s="19" t="str">
        <f>HYPERLINK("https://ssdweb.co/ssdweb/hd/Vision360.html?d=821127408&amp;zoomslide=1&amp;z=1821127408&amp;ISCONFIRM=0","VIDEO")</f>
        <v>VIDEO</v>
      </c>
      <c r="AA852" s="19" t="str">
        <f>HYPERLINK("https://ssdweb.co/ssdweb/CERTH/624404880.pdf","CERTI")</f>
        <v>CERTI</v>
      </c>
    </row>
    <row r="853" spans="1:27" ht="15" x14ac:dyDescent="0.25">
      <c r="A853" s="2">
        <v>848</v>
      </c>
      <c r="B853" s="39">
        <v>821127405</v>
      </c>
      <c r="C853" s="28" t="str">
        <f>HYPERLINK("https://pld.live/RapDetail.aspx?STONELIST=821127405","DNA")</f>
        <v>DNA</v>
      </c>
      <c r="D853" s="18" t="s">
        <v>3054</v>
      </c>
      <c r="E853" s="18" t="s">
        <v>5128</v>
      </c>
      <c r="F853" s="2" t="s">
        <v>7987</v>
      </c>
      <c r="G853" s="2" t="s">
        <v>861</v>
      </c>
      <c r="H853" s="14">
        <v>1.0900000000000001</v>
      </c>
      <c r="I853" s="2" t="s">
        <v>267</v>
      </c>
      <c r="J853" s="2" t="s">
        <v>13</v>
      </c>
      <c r="K853" s="2" t="s">
        <v>3390</v>
      </c>
      <c r="L853" s="2" t="s">
        <v>5221</v>
      </c>
      <c r="M853" s="2" t="s">
        <v>5221</v>
      </c>
      <c r="N853" s="2" t="s">
        <v>2317</v>
      </c>
      <c r="O853" s="14">
        <v>8700</v>
      </c>
      <c r="P853" s="14">
        <v>98.67</v>
      </c>
      <c r="Q853" s="14">
        <v>115.71</v>
      </c>
      <c r="R853" s="14">
        <v>126.12</v>
      </c>
      <c r="S853" s="2" t="s">
        <v>6459</v>
      </c>
      <c r="T853" s="2">
        <v>1</v>
      </c>
      <c r="U853" s="2">
        <v>61.2</v>
      </c>
      <c r="V853" s="2">
        <v>59</v>
      </c>
      <c r="W853" s="2" t="s">
        <v>7862</v>
      </c>
      <c r="X853" s="2" t="s">
        <v>5405</v>
      </c>
      <c r="Y853" s="2">
        <v>9483</v>
      </c>
      <c r="Z853" s="19" t="str">
        <f>HYPERLINK("https://ssdweb.co/ssdweb/hd/Vision360.html?d=821127405&amp;zoomslide=1&amp;z=1821127405&amp;ISCONFIRM=0","VIDEO")</f>
        <v>VIDEO</v>
      </c>
      <c r="AA853" s="19" t="str">
        <f>HYPERLINK("https://ssdweb.co/ssdweb/CERTH/623433033.pdf","CERTI")</f>
        <v>CERTI</v>
      </c>
    </row>
    <row r="854" spans="1:27" ht="15" x14ac:dyDescent="0.25">
      <c r="A854" s="2">
        <v>849</v>
      </c>
      <c r="B854" s="39">
        <v>821127402</v>
      </c>
      <c r="C854" s="28" t="str">
        <f>HYPERLINK("https://pld.live/RapDetail.aspx?STONELIST=821127402","DNA")</f>
        <v>DNA</v>
      </c>
      <c r="D854" s="18" t="s">
        <v>3054</v>
      </c>
      <c r="E854" s="18" t="s">
        <v>5128</v>
      </c>
      <c r="F854" s="2" t="s">
        <v>7987</v>
      </c>
      <c r="G854" s="2" t="s">
        <v>861</v>
      </c>
      <c r="H854" s="14">
        <v>1.0900000000000001</v>
      </c>
      <c r="I854" s="2" t="s">
        <v>267</v>
      </c>
      <c r="J854" s="2" t="s">
        <v>13</v>
      </c>
      <c r="K854" s="2" t="s">
        <v>3390</v>
      </c>
      <c r="L854" s="2" t="s">
        <v>5221</v>
      </c>
      <c r="M854" s="2" t="s">
        <v>5221</v>
      </c>
      <c r="N854" s="2" t="s">
        <v>2317</v>
      </c>
      <c r="O854" s="14">
        <v>8700</v>
      </c>
      <c r="P854" s="14">
        <v>98.67</v>
      </c>
      <c r="Q854" s="14">
        <v>115.71</v>
      </c>
      <c r="R854" s="14">
        <v>126.12</v>
      </c>
      <c r="S854" s="2" t="s">
        <v>1681</v>
      </c>
      <c r="T854" s="2">
        <v>1.01</v>
      </c>
      <c r="U854" s="2">
        <v>61.8</v>
      </c>
      <c r="V854" s="2">
        <v>59</v>
      </c>
      <c r="W854" s="2" t="s">
        <v>7862</v>
      </c>
      <c r="X854" s="2" t="s">
        <v>5405</v>
      </c>
      <c r="Y854" s="2">
        <v>9483</v>
      </c>
      <c r="Z854" s="19" t="str">
        <f>HYPERLINK("https://ssdweb.co/ssdweb/hd/Vision360.html?d=821127402&amp;zoomslide=1&amp;z=1821127402&amp;ISCONFIRM=0","VIDEO")</f>
        <v>VIDEO</v>
      </c>
      <c r="AA854" s="19" t="str">
        <f>HYPERLINK("https://ssdweb.co/ssdweb/CERTH/624404881.pdf","CERTI")</f>
        <v>CERTI</v>
      </c>
    </row>
    <row r="855" spans="1:27" ht="15" x14ac:dyDescent="0.25">
      <c r="A855" s="2">
        <v>850</v>
      </c>
      <c r="B855" s="39">
        <v>821114986</v>
      </c>
      <c r="C855" s="28" t="str">
        <f>HYPERLINK("https://pld.live/RapDetail.aspx?STONELIST=821114986","DNA")</f>
        <v>DNA</v>
      </c>
      <c r="D855" s="18" t="s">
        <v>3054</v>
      </c>
      <c r="E855" s="18" t="s">
        <v>2186</v>
      </c>
      <c r="F855" s="2" t="s">
        <v>7987</v>
      </c>
      <c r="G855" s="2" t="s">
        <v>861</v>
      </c>
      <c r="H855" s="14">
        <v>1.0900000000000001</v>
      </c>
      <c r="I855" s="2" t="s">
        <v>267</v>
      </c>
      <c r="J855" s="2" t="s">
        <v>13</v>
      </c>
      <c r="K855" s="2" t="s">
        <v>5221</v>
      </c>
      <c r="L855" s="2" t="s">
        <v>5221</v>
      </c>
      <c r="M855" s="2" t="s">
        <v>5221</v>
      </c>
      <c r="N855" s="2" t="s">
        <v>2317</v>
      </c>
      <c r="O855" s="14">
        <v>8700</v>
      </c>
      <c r="P855" s="14">
        <v>98.67</v>
      </c>
      <c r="Q855" s="14">
        <v>115.71</v>
      </c>
      <c r="R855" s="14">
        <v>126.12</v>
      </c>
      <c r="S855" s="2" t="s">
        <v>3678</v>
      </c>
      <c r="T855" s="2">
        <v>1</v>
      </c>
      <c r="U855" s="2">
        <v>62.7</v>
      </c>
      <c r="V855" s="2">
        <v>59</v>
      </c>
      <c r="W855" s="2" t="s">
        <v>7862</v>
      </c>
      <c r="X855" s="2" t="s">
        <v>5405</v>
      </c>
      <c r="Y855" s="2">
        <v>9483</v>
      </c>
      <c r="Z855" s="19" t="str">
        <f>HYPERLINK("https://ssdweb.co/ssdweb/hd/Vision360.html?d=821114986&amp;zoomslide=1&amp;z=1821114986&amp;ISCONFIRM=0","VIDEO")</f>
        <v>VIDEO</v>
      </c>
      <c r="AA855" s="19" t="str">
        <f>HYPERLINK("https://ssdweb.co/ssdweb/CERTH/627453469.pdf","CERTI")</f>
        <v>CERTI</v>
      </c>
    </row>
    <row r="856" spans="1:27" ht="15" x14ac:dyDescent="0.25">
      <c r="A856" s="2">
        <v>851</v>
      </c>
      <c r="B856" s="39">
        <v>926101466</v>
      </c>
      <c r="C856" s="28" t="str">
        <f>HYPERLINK("https://pld.live/RapDetail.aspx?STONELIST=926101466","DNA")</f>
        <v>DNA</v>
      </c>
      <c r="D856" s="18" t="s">
        <v>3054</v>
      </c>
      <c r="E856" s="18" t="s">
        <v>5128</v>
      </c>
      <c r="F856" s="2" t="s">
        <v>7987</v>
      </c>
      <c r="G856" s="2" t="s">
        <v>861</v>
      </c>
      <c r="H856" s="14">
        <v>1.0900000000000001</v>
      </c>
      <c r="I856" s="2" t="s">
        <v>267</v>
      </c>
      <c r="J856" s="2" t="s">
        <v>13</v>
      </c>
      <c r="K856" s="2" t="s">
        <v>5221</v>
      </c>
      <c r="L856" s="2" t="s">
        <v>5221</v>
      </c>
      <c r="M856" s="2" t="s">
        <v>5221</v>
      </c>
      <c r="N856" s="2" t="s">
        <v>2317</v>
      </c>
      <c r="O856" s="14">
        <v>8700</v>
      </c>
      <c r="P856" s="14">
        <v>98.64</v>
      </c>
      <c r="Q856" s="14">
        <v>118.32</v>
      </c>
      <c r="R856" s="14">
        <v>128.97</v>
      </c>
      <c r="S856" s="2" t="s">
        <v>3765</v>
      </c>
      <c r="T856" s="2">
        <v>1</v>
      </c>
      <c r="U856" s="2">
        <v>62.9</v>
      </c>
      <c r="V856" s="2">
        <v>56</v>
      </c>
      <c r="W856" s="2" t="s">
        <v>7862</v>
      </c>
      <c r="X856" s="2" t="s">
        <v>5405</v>
      </c>
      <c r="Y856" s="2">
        <v>9483</v>
      </c>
      <c r="Z856" s="19" t="str">
        <f>HYPERLINK("https://ssdweb.co/ssdweb/hd/Vision360.html?d=926101466&amp;zoomslide=1&amp;z=1926101466&amp;ISCONFIRM=0","VIDEO")</f>
        <v>VIDEO</v>
      </c>
      <c r="AA856" s="19" t="str">
        <f>HYPERLINK("https://ssdweb.co/ssdweb/CERTH/632421434.pdf","CERTI")</f>
        <v>CERTI</v>
      </c>
    </row>
    <row r="857" spans="1:27" ht="15" x14ac:dyDescent="0.25">
      <c r="A857" s="2">
        <v>852</v>
      </c>
      <c r="B857" s="39">
        <v>924820068</v>
      </c>
      <c r="C857" s="28" t="str">
        <f>HYPERLINK("https://pld.live/RapDetail.aspx?STONELIST=924820068","DNA")</f>
        <v>DNA</v>
      </c>
      <c r="D857" s="18" t="s">
        <v>3054</v>
      </c>
      <c r="E857" s="18" t="s">
        <v>2186</v>
      </c>
      <c r="F857" s="2" t="s">
        <v>5597</v>
      </c>
      <c r="G857" s="2" t="s">
        <v>861</v>
      </c>
      <c r="H857" s="14">
        <v>1.0900000000000001</v>
      </c>
      <c r="I857" s="2" t="s">
        <v>267</v>
      </c>
      <c r="J857" s="2" t="s">
        <v>13</v>
      </c>
      <c r="K857" s="2" t="s">
        <v>5721</v>
      </c>
      <c r="L857" s="2" t="s">
        <v>5221</v>
      </c>
      <c r="M857" s="2" t="s">
        <v>5221</v>
      </c>
      <c r="N857" s="2" t="s">
        <v>2317</v>
      </c>
      <c r="O857" s="14">
        <v>8700</v>
      </c>
      <c r="P857" s="14">
        <v>97.76</v>
      </c>
      <c r="Q857" s="14">
        <v>194.88</v>
      </c>
      <c r="R857" s="14">
        <v>212.42</v>
      </c>
      <c r="S857" s="2" t="s">
        <v>3240</v>
      </c>
      <c r="T857" s="2">
        <v>1.01</v>
      </c>
      <c r="U857" s="2">
        <v>61.1</v>
      </c>
      <c r="V857" s="2">
        <v>59</v>
      </c>
      <c r="W857" s="2" t="s">
        <v>7862</v>
      </c>
      <c r="X857" s="2" t="s">
        <v>5405</v>
      </c>
      <c r="Y857" s="2">
        <v>9483</v>
      </c>
      <c r="Z857" s="19" t="str">
        <f>HYPERLINK("https://ssdweb.co/ssdweb/hd/Vision360.html?d=924820068&amp;zoomslide=1&amp;z=1924820068&amp;ISCONFIRM=0","VIDEO")</f>
        <v>VIDEO</v>
      </c>
      <c r="AA857" s="19" t="str">
        <f>HYPERLINK("https://ssdweb.co/ssdweb/CERTH/2474549589.pdf","CERTI")</f>
        <v>CERTI</v>
      </c>
    </row>
    <row r="858" spans="1:27" ht="15" x14ac:dyDescent="0.25">
      <c r="A858" s="2">
        <v>853</v>
      </c>
      <c r="B858" s="39">
        <v>925860709</v>
      </c>
      <c r="C858" s="28" t="str">
        <f>HYPERLINK("https://pld.live/RapDetail.aspx?STONELIST=925860709","DNA")</f>
        <v>DNA</v>
      </c>
      <c r="D858" s="18" t="s">
        <v>3054</v>
      </c>
      <c r="E858" s="18" t="s">
        <v>5128</v>
      </c>
      <c r="F858" s="2" t="s">
        <v>7987</v>
      </c>
      <c r="G858" s="2" t="s">
        <v>861</v>
      </c>
      <c r="H858" s="14">
        <v>1.0900000000000001</v>
      </c>
      <c r="I858" s="2" t="s">
        <v>267</v>
      </c>
      <c r="J858" s="2" t="s">
        <v>5144</v>
      </c>
      <c r="K858" s="2" t="s">
        <v>3390</v>
      </c>
      <c r="L858" s="2" t="s">
        <v>5221</v>
      </c>
      <c r="M858" s="2" t="s">
        <v>5221</v>
      </c>
      <c r="N858" s="2" t="s">
        <v>2317</v>
      </c>
      <c r="O858" s="14">
        <v>7300</v>
      </c>
      <c r="P858" s="14">
        <v>98.44</v>
      </c>
      <c r="Q858" s="14">
        <v>113.88</v>
      </c>
      <c r="R858" s="14">
        <v>124.13</v>
      </c>
      <c r="S858" s="2" t="s">
        <v>2057</v>
      </c>
      <c r="T858" s="2">
        <v>1.01</v>
      </c>
      <c r="U858" s="2">
        <v>61.3</v>
      </c>
      <c r="V858" s="2">
        <v>58</v>
      </c>
      <c r="W858" s="2" t="s">
        <v>7862</v>
      </c>
      <c r="X858" s="2" t="s">
        <v>5405</v>
      </c>
      <c r="Y858" s="2">
        <v>7957</v>
      </c>
      <c r="Z858" s="19" t="str">
        <f>HYPERLINK("https://ssdweb.co/ssdweb/hd/Vision360.html?d=925860709&amp;zoomslide=1&amp;z=1925860709&amp;ISCONFIRM=0","VIDEO")</f>
        <v>VIDEO</v>
      </c>
      <c r="AA858" s="19" t="str">
        <f>HYPERLINK("https://ssdweb.co/ssdweb/CERTH/627473215.pdf","CERTI")</f>
        <v>CERTI</v>
      </c>
    </row>
    <row r="859" spans="1:27" ht="15" x14ac:dyDescent="0.25">
      <c r="A859" s="2">
        <v>854</v>
      </c>
      <c r="B859" s="39">
        <v>925961183</v>
      </c>
      <c r="C859" s="28" t="str">
        <f>HYPERLINK("https://pld.live/RapDetail.aspx?STONELIST=925961183","DNA")</f>
        <v>DNA</v>
      </c>
      <c r="D859" s="18" t="s">
        <v>3054</v>
      </c>
      <c r="E859" s="18" t="s">
        <v>5128</v>
      </c>
      <c r="F859" s="2" t="s">
        <v>7987</v>
      </c>
      <c r="G859" s="2" t="s">
        <v>861</v>
      </c>
      <c r="H859" s="14">
        <v>1.0900000000000001</v>
      </c>
      <c r="I859" s="2" t="s">
        <v>267</v>
      </c>
      <c r="J859" s="2" t="s">
        <v>5144</v>
      </c>
      <c r="K859" s="2" t="s">
        <v>3390</v>
      </c>
      <c r="L859" s="2" t="s">
        <v>5221</v>
      </c>
      <c r="M859" s="2" t="s">
        <v>5221</v>
      </c>
      <c r="N859" s="2" t="s">
        <v>2317</v>
      </c>
      <c r="O859" s="14">
        <v>7300</v>
      </c>
      <c r="P859" s="14">
        <v>98.41</v>
      </c>
      <c r="Q859" s="14">
        <v>116.07</v>
      </c>
      <c r="R859" s="14">
        <v>126.52</v>
      </c>
      <c r="S859" s="2" t="s">
        <v>8063</v>
      </c>
      <c r="T859" s="2">
        <v>1.01</v>
      </c>
      <c r="U859" s="2">
        <v>59.8</v>
      </c>
      <c r="V859" s="2">
        <v>59</v>
      </c>
      <c r="W859" s="2" t="s">
        <v>7862</v>
      </c>
      <c r="X859" s="2" t="s">
        <v>5405</v>
      </c>
      <c r="Y859" s="2">
        <v>7957</v>
      </c>
      <c r="Z859" s="19" t="str">
        <f>HYPERLINK("https://ssdweb.co/ssdweb/hd/Vision360.html?d=925961183&amp;zoomslide=1&amp;z=1925961183&amp;ISCONFIRM=0","VIDEO")</f>
        <v>VIDEO</v>
      </c>
      <c r="AA859" s="19" t="str">
        <f>HYPERLINK("https://ssdweb.co/ssdweb/CERTH/631464227.pdf","CERTI")</f>
        <v>CERTI</v>
      </c>
    </row>
    <row r="860" spans="1:27" ht="15" x14ac:dyDescent="0.25">
      <c r="A860" s="2">
        <v>855</v>
      </c>
      <c r="B860" s="39">
        <v>926041151</v>
      </c>
      <c r="C860" s="28" t="str">
        <f>HYPERLINK("https://pld.live/RapDetail.aspx?STONELIST=926041151","DNA")</f>
        <v>DNA</v>
      </c>
      <c r="D860" s="18" t="s">
        <v>3054</v>
      </c>
      <c r="E860" s="18" t="s">
        <v>5128</v>
      </c>
      <c r="F860" s="2" t="s">
        <v>7987</v>
      </c>
      <c r="G860" s="2" t="s">
        <v>861</v>
      </c>
      <c r="H860" s="14">
        <v>1.0900000000000001</v>
      </c>
      <c r="I860" s="2" t="s">
        <v>267</v>
      </c>
      <c r="J860" s="2" t="s">
        <v>5144</v>
      </c>
      <c r="K860" s="2" t="s">
        <v>3390</v>
      </c>
      <c r="L860" s="2" t="s">
        <v>5221</v>
      </c>
      <c r="M860" s="2" t="s">
        <v>5221</v>
      </c>
      <c r="N860" s="2" t="s">
        <v>2317</v>
      </c>
      <c r="O860" s="14">
        <v>7300</v>
      </c>
      <c r="P860" s="14">
        <v>98.41</v>
      </c>
      <c r="Q860" s="14">
        <v>116.07</v>
      </c>
      <c r="R860" s="14">
        <v>126.52</v>
      </c>
      <c r="S860" s="2" t="s">
        <v>4884</v>
      </c>
      <c r="T860" s="2">
        <v>1</v>
      </c>
      <c r="U860" s="2">
        <v>61.2</v>
      </c>
      <c r="V860" s="2">
        <v>58</v>
      </c>
      <c r="W860" s="2" t="s">
        <v>7862</v>
      </c>
      <c r="X860" s="2" t="s">
        <v>5405</v>
      </c>
      <c r="Y860" s="2">
        <v>7957</v>
      </c>
      <c r="Z860" s="19" t="str">
        <f>HYPERLINK("https://ssdweb.co/ssdweb/hd/Vision360.html?d=926041151&amp;zoomslide=1&amp;z=1926041151&amp;ISCONFIRM=0","VIDEO")</f>
        <v>VIDEO</v>
      </c>
      <c r="AA860" s="19" t="str">
        <f>HYPERLINK("https://ssdweb.co/ssdweb/CERTH/631404575.pdf","CERTI")</f>
        <v>CERTI</v>
      </c>
    </row>
    <row r="861" spans="1:27" ht="15" x14ac:dyDescent="0.25">
      <c r="A861" s="2">
        <v>856</v>
      </c>
      <c r="B861" s="39">
        <v>926110863</v>
      </c>
      <c r="C861" s="28" t="str">
        <f>HYPERLINK("https://pld.live/RapDetail.aspx?STONELIST=926110863","DNA")</f>
        <v>DNA</v>
      </c>
      <c r="D861" s="18" t="s">
        <v>3054</v>
      </c>
      <c r="E861" s="18" t="s">
        <v>5128</v>
      </c>
      <c r="F861" s="2" t="s">
        <v>7987</v>
      </c>
      <c r="G861" s="2" t="s">
        <v>861</v>
      </c>
      <c r="H861" s="14">
        <v>1.0900000000000001</v>
      </c>
      <c r="I861" s="2" t="s">
        <v>267</v>
      </c>
      <c r="J861" s="2" t="s">
        <v>5144</v>
      </c>
      <c r="K861" s="2" t="s">
        <v>3390</v>
      </c>
      <c r="L861" s="2" t="s">
        <v>5221</v>
      </c>
      <c r="M861" s="2" t="s">
        <v>5221</v>
      </c>
      <c r="N861" s="2" t="s">
        <v>2317</v>
      </c>
      <c r="O861" s="14">
        <v>7300</v>
      </c>
      <c r="P861" s="14">
        <v>98.41</v>
      </c>
      <c r="Q861" s="14">
        <v>116.07</v>
      </c>
      <c r="R861" s="14">
        <v>126.52</v>
      </c>
      <c r="S861" s="2" t="s">
        <v>4417</v>
      </c>
      <c r="T861" s="2">
        <v>1.01</v>
      </c>
      <c r="U861" s="2">
        <v>60.8</v>
      </c>
      <c r="V861" s="2">
        <v>59</v>
      </c>
      <c r="W861" s="2" t="s">
        <v>7862</v>
      </c>
      <c r="X861" s="2" t="s">
        <v>5405</v>
      </c>
      <c r="Y861" s="2">
        <v>7957</v>
      </c>
      <c r="Z861" s="19" t="str">
        <f>HYPERLINK("https://ssdweb.co/ssdweb/hd/Vision360.html?d=926110863&amp;zoomslide=1&amp;z=1926110863&amp;ISCONFIRM=0","VIDEO")</f>
        <v>VIDEO</v>
      </c>
      <c r="AA861" s="19" t="str">
        <f>HYPERLINK("https://ssdweb.co/ssdweb/CERTH/633490483.pdf","CERTI")</f>
        <v>CERTI</v>
      </c>
    </row>
    <row r="862" spans="1:27" ht="15" x14ac:dyDescent="0.25">
      <c r="A862" s="2">
        <v>857</v>
      </c>
      <c r="B862" s="39">
        <v>926041059</v>
      </c>
      <c r="C862" s="28" t="str">
        <f>HYPERLINK("https://pld.live/RapDetail.aspx?STONELIST=926041059","DNA")</f>
        <v>DNA</v>
      </c>
      <c r="D862" s="18" t="s">
        <v>3054</v>
      </c>
      <c r="E862" s="18" t="s">
        <v>5128</v>
      </c>
      <c r="F862" s="2" t="s">
        <v>7987</v>
      </c>
      <c r="G862" s="2" t="s">
        <v>861</v>
      </c>
      <c r="H862" s="14">
        <v>1.0900000000000001</v>
      </c>
      <c r="I862" s="2" t="s">
        <v>267</v>
      </c>
      <c r="J862" s="2" t="s">
        <v>5144</v>
      </c>
      <c r="K862" s="2" t="s">
        <v>3390</v>
      </c>
      <c r="L862" s="2" t="s">
        <v>5221</v>
      </c>
      <c r="M862" s="2" t="s">
        <v>5221</v>
      </c>
      <c r="N862" s="2" t="s">
        <v>2317</v>
      </c>
      <c r="O862" s="14">
        <v>7300</v>
      </c>
      <c r="P862" s="14">
        <v>98.41</v>
      </c>
      <c r="Q862" s="14">
        <v>116.07</v>
      </c>
      <c r="R862" s="14">
        <v>126.52</v>
      </c>
      <c r="S862" s="2" t="s">
        <v>5904</v>
      </c>
      <c r="T862" s="2">
        <v>1.01</v>
      </c>
      <c r="U862" s="2">
        <v>62.3</v>
      </c>
      <c r="V862" s="2">
        <v>58</v>
      </c>
      <c r="W862" s="2" t="s">
        <v>7862</v>
      </c>
      <c r="X862" s="2" t="s">
        <v>5405</v>
      </c>
      <c r="Y862" s="2">
        <v>7957</v>
      </c>
      <c r="Z862" s="19" t="str">
        <f>HYPERLINK("https://ssdweb.co/ssdweb/hd/Vision360.html?d=926041059&amp;zoomslide=1&amp;z=1926041059&amp;ISCONFIRM=0","VIDEO")</f>
        <v>VIDEO</v>
      </c>
      <c r="AA862" s="19" t="str">
        <f>HYPERLINK("https://ssdweb.co/ssdweb/CERTH/630447719.pdf","CERTI")</f>
        <v>CERTI</v>
      </c>
    </row>
    <row r="863" spans="1:27" ht="15" x14ac:dyDescent="0.25">
      <c r="A863" s="2">
        <v>858</v>
      </c>
      <c r="B863" s="39">
        <v>925951294</v>
      </c>
      <c r="C863" s="28" t="str">
        <f>HYPERLINK("https://pld.live/RapDetail.aspx?STONELIST=925951294","DNA")</f>
        <v>DNA</v>
      </c>
      <c r="D863" s="18" t="s">
        <v>3054</v>
      </c>
      <c r="E863" s="18" t="s">
        <v>5128</v>
      </c>
      <c r="F863" s="2" t="s">
        <v>7987</v>
      </c>
      <c r="G863" s="2" t="s">
        <v>861</v>
      </c>
      <c r="H863" s="14">
        <v>1.0900000000000001</v>
      </c>
      <c r="I863" s="2" t="s">
        <v>4761</v>
      </c>
      <c r="J863" s="2" t="s">
        <v>7032</v>
      </c>
      <c r="K863" s="2" t="s">
        <v>3390</v>
      </c>
      <c r="L863" s="2" t="s">
        <v>5221</v>
      </c>
      <c r="M863" s="2" t="s">
        <v>5221</v>
      </c>
      <c r="N863" s="2" t="s">
        <v>2317</v>
      </c>
      <c r="O863" s="14">
        <v>12500</v>
      </c>
      <c r="P863" s="14">
        <v>98.26</v>
      </c>
      <c r="Q863" s="14">
        <v>217.5</v>
      </c>
      <c r="R863" s="14">
        <v>237.08</v>
      </c>
      <c r="S863" s="2" t="s">
        <v>1895</v>
      </c>
      <c r="T863" s="2">
        <v>1</v>
      </c>
      <c r="U863" s="2">
        <v>62.5</v>
      </c>
      <c r="V863" s="2">
        <v>58</v>
      </c>
      <c r="W863" s="2" t="s">
        <v>4336</v>
      </c>
      <c r="X863" s="2" t="s">
        <v>5405</v>
      </c>
      <c r="Y863" s="2">
        <v>13625</v>
      </c>
      <c r="Z863" s="19" t="str">
        <f>HYPERLINK("https://ssdweb.co/ssdweb/hd/Vision360.html?d=925951294&amp;zoomslide=1&amp;z=1925951294&amp;ISCONFIRM=0","VIDEO")</f>
        <v>VIDEO</v>
      </c>
      <c r="AA863" s="19" t="str">
        <f>HYPERLINK("https://ssdweb.co/ssdweb/CERTH/629478920.pdf","CERTI")</f>
        <v>CERTI</v>
      </c>
    </row>
    <row r="864" spans="1:27" ht="15" x14ac:dyDescent="0.25">
      <c r="A864" s="2">
        <v>859</v>
      </c>
      <c r="B864" s="39">
        <v>925830451</v>
      </c>
      <c r="C864" s="28" t="str">
        <f>HYPERLINK("https://pld.live/RapDetail.aspx?STONELIST=925830451","DNA")</f>
        <v>DNA</v>
      </c>
      <c r="D864" s="18" t="s">
        <v>3054</v>
      </c>
      <c r="E864" s="18" t="s">
        <v>5128</v>
      </c>
      <c r="F864" s="2" t="s">
        <v>5597</v>
      </c>
      <c r="G864" s="2" t="s">
        <v>861</v>
      </c>
      <c r="H864" s="14">
        <v>1.0900000000000001</v>
      </c>
      <c r="I864" s="2" t="s">
        <v>4761</v>
      </c>
      <c r="J864" s="2" t="s">
        <v>6555</v>
      </c>
      <c r="K864" s="2" t="s">
        <v>5221</v>
      </c>
      <c r="L864" s="2" t="s">
        <v>5221</v>
      </c>
      <c r="M864" s="2" t="s">
        <v>5221</v>
      </c>
      <c r="N864" s="2" t="s">
        <v>2317</v>
      </c>
      <c r="O864" s="14">
        <v>11100</v>
      </c>
      <c r="P864" s="14">
        <v>97.95</v>
      </c>
      <c r="Q864" s="14">
        <v>227.55</v>
      </c>
      <c r="R864" s="14">
        <v>248.03</v>
      </c>
      <c r="S864" s="2" t="s">
        <v>3205</v>
      </c>
      <c r="T864" s="2">
        <v>1</v>
      </c>
      <c r="U864" s="2">
        <v>62.3</v>
      </c>
      <c r="V864" s="2">
        <v>56</v>
      </c>
      <c r="W864" s="2" t="s">
        <v>7862</v>
      </c>
      <c r="X864" s="2" t="s">
        <v>5405</v>
      </c>
      <c r="Y864" s="2">
        <v>12099</v>
      </c>
      <c r="Z864" s="19" t="str">
        <f>HYPERLINK("https://ssdweb.co/ssdweb/hd/Vision360.html?d=925830451&amp;zoomslide=1&amp;z=1925830451&amp;ISCONFIRM=0","VIDEO")</f>
        <v>VIDEO</v>
      </c>
      <c r="AA864" s="19" t="str">
        <f>HYPERLINK("https://ssdweb.co/ssdweb/CERTH/7483855277.pdf","CERTI")</f>
        <v>CERTI</v>
      </c>
    </row>
    <row r="865" spans="1:27" ht="15" x14ac:dyDescent="0.25">
      <c r="A865" s="2">
        <v>860</v>
      </c>
      <c r="B865" s="39">
        <v>925851240</v>
      </c>
      <c r="C865" s="28" t="str">
        <f>HYPERLINK("https://pld.live/RapDetail.aspx?STONELIST=925851240","DNA")</f>
        <v>DNA</v>
      </c>
      <c r="D865" s="18" t="s">
        <v>3054</v>
      </c>
      <c r="E865" s="18" t="s">
        <v>5128</v>
      </c>
      <c r="F865" s="2" t="s">
        <v>5597</v>
      </c>
      <c r="G865" s="2" t="s">
        <v>861</v>
      </c>
      <c r="H865" s="14">
        <v>1.0900000000000001</v>
      </c>
      <c r="I865" s="2" t="s">
        <v>4761</v>
      </c>
      <c r="J865" s="2" t="s">
        <v>6555</v>
      </c>
      <c r="K865" s="2" t="s">
        <v>5221</v>
      </c>
      <c r="L865" s="2" t="s">
        <v>5221</v>
      </c>
      <c r="M865" s="2" t="s">
        <v>5221</v>
      </c>
      <c r="N865" s="2" t="s">
        <v>2317</v>
      </c>
      <c r="O865" s="14">
        <v>11100</v>
      </c>
      <c r="P865" s="14">
        <v>97.95</v>
      </c>
      <c r="Q865" s="14">
        <v>227.55</v>
      </c>
      <c r="R865" s="14">
        <v>248.03</v>
      </c>
      <c r="S865" s="2" t="s">
        <v>5893</v>
      </c>
      <c r="T865" s="2">
        <v>1</v>
      </c>
      <c r="U865" s="2">
        <v>62</v>
      </c>
      <c r="V865" s="2">
        <v>56</v>
      </c>
      <c r="W865" s="2" t="s">
        <v>7862</v>
      </c>
      <c r="X865" s="2" t="s">
        <v>5405</v>
      </c>
      <c r="Y865" s="2">
        <v>12099</v>
      </c>
      <c r="Z865" s="19" t="str">
        <f>HYPERLINK("https://ssdweb.co/ssdweb/hd/Vision360.html?d=925851240&amp;zoomslide=1&amp;z=1925851240&amp;ISCONFIRM=0","VIDEO")</f>
        <v>VIDEO</v>
      </c>
      <c r="AA865" s="19" t="str">
        <f>HYPERLINK("https://ssdweb.co/ssdweb/CERTH/7491049254.pdf","CERTI")</f>
        <v>CERTI</v>
      </c>
    </row>
    <row r="866" spans="1:27" ht="15" x14ac:dyDescent="0.25">
      <c r="A866" s="2">
        <v>861</v>
      </c>
      <c r="B866" s="39">
        <v>821127500</v>
      </c>
      <c r="C866" s="28" t="str">
        <f>HYPERLINK("https://pld.live/RapDetail.aspx?STONELIST=821127500","DNA")</f>
        <v>DNA</v>
      </c>
      <c r="D866" s="18" t="s">
        <v>3054</v>
      </c>
      <c r="E866" s="18" t="s">
        <v>5128</v>
      </c>
      <c r="F866" s="2" t="s">
        <v>7987</v>
      </c>
      <c r="G866" s="2" t="s">
        <v>861</v>
      </c>
      <c r="H866" s="14">
        <v>1.0900000000000001</v>
      </c>
      <c r="I866" s="2" t="s">
        <v>4761</v>
      </c>
      <c r="J866" s="2" t="s">
        <v>3942</v>
      </c>
      <c r="K866" s="2" t="s">
        <v>3390</v>
      </c>
      <c r="L866" s="2" t="s">
        <v>5221</v>
      </c>
      <c r="M866" s="2" t="s">
        <v>5221</v>
      </c>
      <c r="N866" s="2" t="s">
        <v>2317</v>
      </c>
      <c r="O866" s="14">
        <v>9300</v>
      </c>
      <c r="P866" s="14">
        <v>98.72</v>
      </c>
      <c r="Q866" s="14">
        <v>119.04</v>
      </c>
      <c r="R866" s="14">
        <v>129.75</v>
      </c>
      <c r="S866" s="2" t="s">
        <v>5023</v>
      </c>
      <c r="T866" s="2">
        <v>1.01</v>
      </c>
      <c r="U866" s="2">
        <v>62.1</v>
      </c>
      <c r="V866" s="2">
        <v>58</v>
      </c>
      <c r="W866" s="2" t="s">
        <v>7862</v>
      </c>
      <c r="X866" s="2" t="s">
        <v>5405</v>
      </c>
      <c r="Y866" s="2">
        <v>10137</v>
      </c>
      <c r="Z866" s="19" t="str">
        <f>HYPERLINK("https://ssdweb.co/ssdweb/hd/Vision360.html?d=821127500&amp;zoomslide=1&amp;z=1821127500&amp;ISCONFIRM=0","VIDEO")</f>
        <v>VIDEO</v>
      </c>
      <c r="AA866" s="19" t="str">
        <f>HYPERLINK("https://ssdweb.co/ssdweb/CERTH/626479191.pdf","CERTI")</f>
        <v>CERTI</v>
      </c>
    </row>
    <row r="867" spans="1:27" ht="15" x14ac:dyDescent="0.25">
      <c r="A867" s="2">
        <v>862</v>
      </c>
      <c r="B867" s="39">
        <v>821127498</v>
      </c>
      <c r="C867" s="28" t="str">
        <f>HYPERLINK("https://pld.live/RapDetail.aspx?STONELIST=821127498","DNA")</f>
        <v>DNA</v>
      </c>
      <c r="D867" s="18" t="s">
        <v>3054</v>
      </c>
      <c r="E867" s="18" t="s">
        <v>5128</v>
      </c>
      <c r="F867" s="2" t="s">
        <v>7987</v>
      </c>
      <c r="G867" s="2" t="s">
        <v>861</v>
      </c>
      <c r="H867" s="14">
        <v>1.0900000000000001</v>
      </c>
      <c r="I867" s="2" t="s">
        <v>4761</v>
      </c>
      <c r="J867" s="2" t="s">
        <v>3942</v>
      </c>
      <c r="K867" s="2" t="s">
        <v>3390</v>
      </c>
      <c r="L867" s="2" t="s">
        <v>5221</v>
      </c>
      <c r="M867" s="2" t="s">
        <v>5221</v>
      </c>
      <c r="N867" s="2" t="s">
        <v>2317</v>
      </c>
      <c r="O867" s="14">
        <v>9300</v>
      </c>
      <c r="P867" s="14">
        <v>98.72</v>
      </c>
      <c r="Q867" s="14">
        <v>119.04</v>
      </c>
      <c r="R867" s="14">
        <v>129.75</v>
      </c>
      <c r="S867" s="2" t="s">
        <v>5642</v>
      </c>
      <c r="T867" s="2">
        <v>1</v>
      </c>
      <c r="U867" s="2">
        <v>61.5</v>
      </c>
      <c r="V867" s="2">
        <v>58</v>
      </c>
      <c r="W867" s="2" t="s">
        <v>7862</v>
      </c>
      <c r="X867" s="2" t="s">
        <v>5405</v>
      </c>
      <c r="Y867" s="2">
        <v>10137</v>
      </c>
      <c r="Z867" s="19" t="str">
        <f>HYPERLINK("https://ssdweb.co/ssdweb/hd/Vision360.html?d=821127498&amp;zoomslide=1&amp;z=1821127498&amp;ISCONFIRM=0","VIDEO")</f>
        <v>VIDEO</v>
      </c>
      <c r="AA867" s="19" t="str">
        <f>HYPERLINK("https://ssdweb.co/ssdweb/CERTH/626479199.pdf","CERTI")</f>
        <v>CERTI</v>
      </c>
    </row>
    <row r="868" spans="1:27" ht="15" x14ac:dyDescent="0.25">
      <c r="A868" s="2">
        <v>863</v>
      </c>
      <c r="B868" s="39">
        <v>831020726</v>
      </c>
      <c r="C868" s="28" t="str">
        <f>HYPERLINK("https://pld.live/RapDetail.aspx?STONELIST=831020726","DNA")</f>
        <v>DNA</v>
      </c>
      <c r="D868" s="18" t="s">
        <v>3054</v>
      </c>
      <c r="E868" s="18" t="s">
        <v>2186</v>
      </c>
      <c r="F868" s="2" t="s">
        <v>7987</v>
      </c>
      <c r="G868" s="2" t="s">
        <v>861</v>
      </c>
      <c r="H868" s="14">
        <v>1.0900000000000001</v>
      </c>
      <c r="I868" s="2" t="s">
        <v>4761</v>
      </c>
      <c r="J868" s="2" t="s">
        <v>3942</v>
      </c>
      <c r="K868" s="2" t="s">
        <v>5221</v>
      </c>
      <c r="L868" s="2" t="s">
        <v>5221</v>
      </c>
      <c r="M868" s="2" t="s">
        <v>5221</v>
      </c>
      <c r="N868" s="2" t="s">
        <v>2317</v>
      </c>
      <c r="O868" s="14">
        <v>9300</v>
      </c>
      <c r="P868" s="14">
        <v>98.73</v>
      </c>
      <c r="Q868" s="14">
        <v>118.11</v>
      </c>
      <c r="R868" s="14">
        <v>128.74</v>
      </c>
      <c r="S868" s="2" t="s">
        <v>475</v>
      </c>
      <c r="T868" s="2">
        <v>1.01</v>
      </c>
      <c r="U868" s="2">
        <v>63.3</v>
      </c>
      <c r="V868" s="2">
        <v>60</v>
      </c>
      <c r="W868" s="2" t="s">
        <v>8016</v>
      </c>
      <c r="X868" s="2" t="s">
        <v>5405</v>
      </c>
      <c r="Y868" s="2">
        <v>10137</v>
      </c>
      <c r="Z868" s="19" t="str">
        <f>HYPERLINK("https://ssdweb.co/ssdweb/hd/Vision360.html?d=831020726&amp;zoomslide=1&amp;z=1831020726&amp;ISCONFIRM=0","VIDEO")</f>
        <v>VIDEO</v>
      </c>
      <c r="AA868" s="19" t="str">
        <f>HYPERLINK("https://ssdweb.co/ssdweb/CERTH/600354455.pdf","CERTI")</f>
        <v>CERTI</v>
      </c>
    </row>
    <row r="869" spans="1:27" ht="15" x14ac:dyDescent="0.25">
      <c r="A869" s="2">
        <v>864</v>
      </c>
      <c r="B869" s="39">
        <v>925981205</v>
      </c>
      <c r="C869" s="28" t="str">
        <f>HYPERLINK("https://pld.live/RapDetail.aspx?STONELIST=925981205","DNA")</f>
        <v>DNA</v>
      </c>
      <c r="D869" s="18" t="s">
        <v>3054</v>
      </c>
      <c r="E869" s="18" t="s">
        <v>5128</v>
      </c>
      <c r="F869" s="2" t="s">
        <v>5597</v>
      </c>
      <c r="G869" s="2" t="s">
        <v>861</v>
      </c>
      <c r="H869" s="14">
        <v>1.0900000000000001</v>
      </c>
      <c r="I869" s="2" t="s">
        <v>4761</v>
      </c>
      <c r="J869" s="2" t="s">
        <v>3942</v>
      </c>
      <c r="K869" s="2" t="s">
        <v>5221</v>
      </c>
      <c r="L869" s="2" t="s">
        <v>5221</v>
      </c>
      <c r="M869" s="2" t="s">
        <v>5221</v>
      </c>
      <c r="N869" s="2" t="s">
        <v>2317</v>
      </c>
      <c r="O869" s="14">
        <v>9300</v>
      </c>
      <c r="P869" s="14">
        <v>97.84</v>
      </c>
      <c r="Q869" s="14">
        <v>200.88</v>
      </c>
      <c r="R869" s="14">
        <v>218.96</v>
      </c>
      <c r="S869" s="2" t="s">
        <v>3493</v>
      </c>
      <c r="T869" s="2">
        <v>1</v>
      </c>
      <c r="U869" s="2">
        <v>61.3</v>
      </c>
      <c r="V869" s="2">
        <v>59</v>
      </c>
      <c r="W869" s="2" t="s">
        <v>7862</v>
      </c>
      <c r="X869" s="2" t="s">
        <v>5405</v>
      </c>
      <c r="Y869" s="2">
        <v>10137</v>
      </c>
      <c r="Z869" s="19" t="str">
        <f>HYPERLINK("https://ssdweb.co/ssdweb/hd/Vision360.html?d=925981205&amp;zoomslide=1&amp;z=1925981205&amp;ISCONFIRM=0","VIDEO")</f>
        <v>VIDEO</v>
      </c>
      <c r="AA869" s="19" t="str">
        <f>HYPERLINK("https://ssdweb.co/ssdweb/CERTH/6491151518.pdf","CERTI")</f>
        <v>CERTI</v>
      </c>
    </row>
    <row r="870" spans="1:27" ht="15" x14ac:dyDescent="0.25">
      <c r="A870" s="2">
        <v>865</v>
      </c>
      <c r="B870" s="39">
        <v>925830415</v>
      </c>
      <c r="C870" s="28" t="str">
        <f>HYPERLINK("https://pld.live/RapDetail.aspx?STONELIST=925830415","DNA")</f>
        <v>DNA</v>
      </c>
      <c r="D870" s="18" t="s">
        <v>3054</v>
      </c>
      <c r="E870" s="18" t="s">
        <v>5128</v>
      </c>
      <c r="F870" s="2" t="s">
        <v>5597</v>
      </c>
      <c r="G870" s="2" t="s">
        <v>861</v>
      </c>
      <c r="H870" s="14">
        <v>1.0900000000000001</v>
      </c>
      <c r="I870" s="2" t="s">
        <v>4761</v>
      </c>
      <c r="J870" s="2" t="s">
        <v>13</v>
      </c>
      <c r="K870" s="2" t="s">
        <v>5221</v>
      </c>
      <c r="L870" s="2" t="s">
        <v>5221</v>
      </c>
      <c r="M870" s="2" t="s">
        <v>5221</v>
      </c>
      <c r="N870" s="2" t="s">
        <v>2317</v>
      </c>
      <c r="O870" s="14">
        <v>7900</v>
      </c>
      <c r="P870" s="14">
        <v>97.54</v>
      </c>
      <c r="Q870" s="14">
        <v>194.34</v>
      </c>
      <c r="R870" s="14">
        <v>211.83</v>
      </c>
      <c r="S870" s="2" t="s">
        <v>5255</v>
      </c>
      <c r="T870" s="2">
        <v>1.01</v>
      </c>
      <c r="U870" s="2">
        <v>62.5</v>
      </c>
      <c r="V870" s="2">
        <v>56</v>
      </c>
      <c r="W870" s="2" t="s">
        <v>7862</v>
      </c>
      <c r="X870" s="2" t="s">
        <v>5405</v>
      </c>
      <c r="Y870" s="2">
        <v>8611</v>
      </c>
      <c r="Z870" s="19" t="str">
        <f>HYPERLINK("https://ssdweb.co/ssdweb/hd/Vision360.html?d=925830415&amp;zoomslide=1&amp;z=1925830415&amp;ISCONFIRM=0","VIDEO")</f>
        <v>VIDEO</v>
      </c>
      <c r="AA870" s="19" t="str">
        <f>HYPERLINK("https://ssdweb.co/ssdweb/CERTH/6482855266.pdf","CERTI")</f>
        <v>CERTI</v>
      </c>
    </row>
    <row r="871" spans="1:27" ht="15" x14ac:dyDescent="0.25">
      <c r="A871" s="2">
        <v>866</v>
      </c>
      <c r="B871" s="39">
        <v>821127460</v>
      </c>
      <c r="C871" s="28" t="str">
        <f>HYPERLINK("https://pld.live/RapDetail.aspx?STONELIST=821127460","DNA")</f>
        <v>DNA</v>
      </c>
      <c r="D871" s="18" t="s">
        <v>3054</v>
      </c>
      <c r="E871" s="18" t="s">
        <v>5128</v>
      </c>
      <c r="F871" s="2" t="s">
        <v>7987</v>
      </c>
      <c r="G871" s="2" t="s">
        <v>861</v>
      </c>
      <c r="H871" s="14">
        <v>1.0900000000000001</v>
      </c>
      <c r="I871" s="2" t="s">
        <v>4761</v>
      </c>
      <c r="J871" s="2" t="s">
        <v>13</v>
      </c>
      <c r="K871" s="2" t="s">
        <v>5221</v>
      </c>
      <c r="L871" s="2" t="s">
        <v>5221</v>
      </c>
      <c r="M871" s="2" t="s">
        <v>5221</v>
      </c>
      <c r="N871" s="2" t="s">
        <v>2317</v>
      </c>
      <c r="O871" s="14">
        <v>7900</v>
      </c>
      <c r="P871" s="14">
        <v>98.54</v>
      </c>
      <c r="Q871" s="14">
        <v>115.34</v>
      </c>
      <c r="R871" s="14">
        <v>125.72</v>
      </c>
      <c r="S871" s="2" t="s">
        <v>3125</v>
      </c>
      <c r="T871" s="2">
        <v>1.01</v>
      </c>
      <c r="U871" s="2">
        <v>62.6</v>
      </c>
      <c r="V871" s="2">
        <v>56</v>
      </c>
      <c r="W871" s="2" t="s">
        <v>7862</v>
      </c>
      <c r="X871" s="2" t="s">
        <v>5405</v>
      </c>
      <c r="Y871" s="2">
        <v>8611</v>
      </c>
      <c r="Z871" s="19" t="str">
        <f>HYPERLINK("https://ssdweb.co/ssdweb/hd/Vision360.html?d=821127460&amp;zoomslide=1&amp;z=1821127460&amp;ISCONFIRM=0","VIDEO")</f>
        <v>VIDEO</v>
      </c>
      <c r="AA871" s="19" t="str">
        <f>HYPERLINK("https://ssdweb.co/ssdweb/CERTH/626478966.pdf","CERTI")</f>
        <v>CERTI</v>
      </c>
    </row>
    <row r="872" spans="1:27" ht="15" x14ac:dyDescent="0.25">
      <c r="A872" s="2">
        <v>867</v>
      </c>
      <c r="B872" s="39">
        <v>925180142</v>
      </c>
      <c r="C872" s="28" t="str">
        <f>HYPERLINK("https://pld.live/RapDetail.aspx?STONELIST=925180142","DNA")</f>
        <v>DNA</v>
      </c>
      <c r="D872" s="18" t="s">
        <v>3054</v>
      </c>
      <c r="E872" s="18" t="s">
        <v>5128</v>
      </c>
      <c r="F872" s="2" t="s">
        <v>5597</v>
      </c>
      <c r="G872" s="2" t="s">
        <v>861</v>
      </c>
      <c r="H872" s="14">
        <v>1.0900000000000001</v>
      </c>
      <c r="I872" s="2" t="s">
        <v>4761</v>
      </c>
      <c r="J872" s="2" t="s">
        <v>13</v>
      </c>
      <c r="K872" s="2" t="s">
        <v>5721</v>
      </c>
      <c r="L872" s="2" t="s">
        <v>5221</v>
      </c>
      <c r="M872" s="2" t="s">
        <v>5221</v>
      </c>
      <c r="N872" s="2" t="s">
        <v>2317</v>
      </c>
      <c r="O872" s="14">
        <v>7900</v>
      </c>
      <c r="P872" s="14">
        <v>97.56</v>
      </c>
      <c r="Q872" s="14">
        <v>192.76</v>
      </c>
      <c r="R872" s="14">
        <v>210.11</v>
      </c>
      <c r="S872" s="2" t="s">
        <v>7382</v>
      </c>
      <c r="T872" s="2">
        <v>1.01</v>
      </c>
      <c r="U872" s="2">
        <v>62.6</v>
      </c>
      <c r="V872" s="2">
        <v>57</v>
      </c>
      <c r="W872" s="2" t="s">
        <v>7862</v>
      </c>
      <c r="X872" s="2" t="s">
        <v>5405</v>
      </c>
      <c r="Y872" s="2">
        <v>8611</v>
      </c>
      <c r="Z872" s="19" t="str">
        <f>HYPERLINK("https://ssdweb.co/ssdweb/hd/Vision360.html?d=925180142&amp;zoomslide=1&amp;z=1925180142&amp;ISCONFIRM=0","VIDEO")</f>
        <v>VIDEO</v>
      </c>
      <c r="AA872" s="19" t="str">
        <f>HYPERLINK("https://ssdweb.co/ssdweb/CERTH/1485198604.pdf","CERTI")</f>
        <v>CERTI</v>
      </c>
    </row>
    <row r="873" spans="1:27" ht="15" x14ac:dyDescent="0.25">
      <c r="A873" s="2">
        <v>868</v>
      </c>
      <c r="B873" s="39">
        <v>926071520</v>
      </c>
      <c r="C873" s="28" t="str">
        <f>HYPERLINK("https://pld.live/RapDetail.aspx?STONELIST=926071520","DNA")</f>
        <v>DNA</v>
      </c>
      <c r="D873" s="18" t="s">
        <v>3054</v>
      </c>
      <c r="E873" s="18" t="s">
        <v>5128</v>
      </c>
      <c r="F873" s="2" t="s">
        <v>7987</v>
      </c>
      <c r="G873" s="2" t="s">
        <v>861</v>
      </c>
      <c r="H873" s="14">
        <v>1.0900000000000001</v>
      </c>
      <c r="I873" s="2" t="s">
        <v>4699</v>
      </c>
      <c r="J873" s="2" t="s">
        <v>7032</v>
      </c>
      <c r="K873" s="2" t="s">
        <v>3390</v>
      </c>
      <c r="L873" s="2" t="s">
        <v>5221</v>
      </c>
      <c r="M873" s="2" t="s">
        <v>5221</v>
      </c>
      <c r="N873" s="2" t="s">
        <v>2317</v>
      </c>
      <c r="O873" s="14">
        <v>10700</v>
      </c>
      <c r="P873" s="14">
        <v>98.21</v>
      </c>
      <c r="Q873" s="14">
        <v>191.53</v>
      </c>
      <c r="R873" s="14">
        <v>208.77</v>
      </c>
      <c r="S873" s="2" t="s">
        <v>910</v>
      </c>
      <c r="T873" s="2">
        <v>1.01</v>
      </c>
      <c r="U873" s="2">
        <v>60.5</v>
      </c>
      <c r="V873" s="2">
        <v>58</v>
      </c>
      <c r="W873" s="2" t="s">
        <v>7862</v>
      </c>
      <c r="X873" s="2" t="s">
        <v>5405</v>
      </c>
      <c r="Y873" s="2">
        <v>11663</v>
      </c>
      <c r="Z873" s="19" t="str">
        <f>HYPERLINK("https://ssdweb.co/ssdweb/hd/Vision360.html?d=926071520&amp;zoomslide=1&amp;z=1926071520&amp;ISCONFIRM=0","VIDEO")</f>
        <v>VIDEO</v>
      </c>
      <c r="AA873" s="19" t="str">
        <f>HYPERLINK("https://ssdweb.co/ssdweb/CERTH/631430137.pdf","CERTI")</f>
        <v>CERTI</v>
      </c>
    </row>
    <row r="874" spans="1:27" ht="15" x14ac:dyDescent="0.25">
      <c r="A874" s="2">
        <v>869</v>
      </c>
      <c r="B874" s="39">
        <v>925981203</v>
      </c>
      <c r="C874" s="28" t="str">
        <f>HYPERLINK("https://pld.live/RapDetail.aspx?STONELIST=925981203","DNA")</f>
        <v>DNA</v>
      </c>
      <c r="D874" s="18" t="s">
        <v>3054</v>
      </c>
      <c r="E874" s="18" t="s">
        <v>5128</v>
      </c>
      <c r="F874" s="2" t="s">
        <v>7987</v>
      </c>
      <c r="G874" s="2" t="s">
        <v>861</v>
      </c>
      <c r="H874" s="14">
        <v>1.0900000000000001</v>
      </c>
      <c r="I874" s="2" t="s">
        <v>4699</v>
      </c>
      <c r="J874" s="2" t="s">
        <v>7032</v>
      </c>
      <c r="K874" s="2" t="s">
        <v>3390</v>
      </c>
      <c r="L874" s="2" t="s">
        <v>5221</v>
      </c>
      <c r="M874" s="2" t="s">
        <v>5221</v>
      </c>
      <c r="N874" s="2" t="s">
        <v>2317</v>
      </c>
      <c r="O874" s="14">
        <v>10700</v>
      </c>
      <c r="P874" s="14">
        <v>98.21</v>
      </c>
      <c r="Q874" s="14">
        <v>191.53</v>
      </c>
      <c r="R874" s="14">
        <v>208.77</v>
      </c>
      <c r="S874" s="2" t="s">
        <v>2858</v>
      </c>
      <c r="T874" s="2">
        <v>1</v>
      </c>
      <c r="U874" s="2">
        <v>61</v>
      </c>
      <c r="V874" s="2">
        <v>59</v>
      </c>
      <c r="W874" s="2" t="s">
        <v>7862</v>
      </c>
      <c r="X874" s="2" t="s">
        <v>5405</v>
      </c>
      <c r="Y874" s="2">
        <v>11663</v>
      </c>
      <c r="Z874" s="19" t="str">
        <f>HYPERLINK("https://ssdweb.co/ssdweb/hd/Vision360.html?d=925981203&amp;zoomslide=1&amp;z=1925981203&amp;ISCONFIRM=0","VIDEO")</f>
        <v>VIDEO</v>
      </c>
      <c r="AA874" s="19" t="str">
        <f>HYPERLINK("https://ssdweb.co/ssdweb/CERTH/630447838.pdf","CERTI")</f>
        <v>CERTI</v>
      </c>
    </row>
    <row r="875" spans="1:27" ht="15" x14ac:dyDescent="0.25">
      <c r="A875" s="2">
        <v>870</v>
      </c>
      <c r="B875" s="39">
        <v>821127748</v>
      </c>
      <c r="C875" s="28" t="str">
        <f>HYPERLINK("https://pld.live/RapDetail.aspx?STONELIST=821127748","DNA")</f>
        <v>DNA</v>
      </c>
      <c r="D875" s="18" t="s">
        <v>3054</v>
      </c>
      <c r="E875" s="18" t="s">
        <v>5128</v>
      </c>
      <c r="F875" s="2" t="s">
        <v>7987</v>
      </c>
      <c r="G875" s="2" t="s">
        <v>861</v>
      </c>
      <c r="H875" s="14">
        <v>1.0900000000000001</v>
      </c>
      <c r="I875" s="2" t="s">
        <v>4699</v>
      </c>
      <c r="J875" s="2" t="s">
        <v>3942</v>
      </c>
      <c r="K875" s="2" t="s">
        <v>3390</v>
      </c>
      <c r="L875" s="2" t="s">
        <v>5221</v>
      </c>
      <c r="M875" s="2" t="s">
        <v>5221</v>
      </c>
      <c r="N875" s="2" t="s">
        <v>2317</v>
      </c>
      <c r="O875" s="14">
        <v>8400</v>
      </c>
      <c r="P875" s="14">
        <v>98.61</v>
      </c>
      <c r="Q875" s="14">
        <v>116.76</v>
      </c>
      <c r="R875" s="14">
        <v>127.27</v>
      </c>
      <c r="S875" s="2" t="s">
        <v>7855</v>
      </c>
      <c r="T875" s="2">
        <v>1</v>
      </c>
      <c r="U875" s="2">
        <v>62</v>
      </c>
      <c r="V875" s="2">
        <v>58</v>
      </c>
      <c r="W875" s="2" t="s">
        <v>7862</v>
      </c>
      <c r="X875" s="2" t="s">
        <v>5405</v>
      </c>
      <c r="Y875" s="2">
        <v>9156</v>
      </c>
      <c r="Z875" s="19" t="str">
        <f>HYPERLINK("https://ssdweb.co/ssdweb/hd/Vision360.html?d=821127748&amp;zoomslide=1&amp;z=1821127748&amp;ISCONFIRM=0","VIDEO")</f>
        <v>VIDEO</v>
      </c>
      <c r="AA875" s="19" t="str">
        <f>HYPERLINK("https://ssdweb.co/ssdweb/CERTH/628416196.pdf","CERTI")</f>
        <v>CERTI</v>
      </c>
    </row>
    <row r="876" spans="1:27" ht="15" x14ac:dyDescent="0.25">
      <c r="A876" s="2">
        <v>871</v>
      </c>
      <c r="B876" s="39">
        <v>926070332</v>
      </c>
      <c r="C876" s="28" t="str">
        <f>HYPERLINK("https://pld.live/RapDetail.aspx?STONELIST=926070332","DNA")</f>
        <v>DNA</v>
      </c>
      <c r="D876" s="18" t="s">
        <v>3054</v>
      </c>
      <c r="E876" s="18" t="s">
        <v>5128</v>
      </c>
      <c r="F876" s="2" t="s">
        <v>7987</v>
      </c>
      <c r="G876" s="2" t="s">
        <v>861</v>
      </c>
      <c r="H876" s="14">
        <v>1.0900000000000001</v>
      </c>
      <c r="I876" s="2" t="s">
        <v>4699</v>
      </c>
      <c r="J876" s="2" t="s">
        <v>3942</v>
      </c>
      <c r="K876" s="2" t="s">
        <v>3390</v>
      </c>
      <c r="L876" s="2" t="s">
        <v>5221</v>
      </c>
      <c r="M876" s="2" t="s">
        <v>5221</v>
      </c>
      <c r="N876" s="2" t="s">
        <v>2317</v>
      </c>
      <c r="O876" s="14">
        <v>8400</v>
      </c>
      <c r="P876" s="14">
        <v>98.61</v>
      </c>
      <c r="Q876" s="14">
        <v>116.76</v>
      </c>
      <c r="R876" s="14">
        <v>127.27</v>
      </c>
      <c r="S876" s="2" t="s">
        <v>4500</v>
      </c>
      <c r="T876" s="2">
        <v>1</v>
      </c>
      <c r="U876" s="2">
        <v>60.9</v>
      </c>
      <c r="V876" s="2">
        <v>57</v>
      </c>
      <c r="W876" s="2" t="s">
        <v>7862</v>
      </c>
      <c r="X876" s="2" t="s">
        <v>5405</v>
      </c>
      <c r="Y876" s="2">
        <v>9156</v>
      </c>
      <c r="Z876" s="19" t="str">
        <f>HYPERLINK("https://ssdweb.co/ssdweb/hd/Vision360.html?d=926070332&amp;zoomslide=1&amp;z=1926070332&amp;ISCONFIRM=0","VIDEO")</f>
        <v>VIDEO</v>
      </c>
      <c r="AA876" s="19" t="str">
        <f>HYPERLINK("https://ssdweb.co/ssdweb/CERTH/630447513.pdf","CERTI")</f>
        <v>CERTI</v>
      </c>
    </row>
    <row r="877" spans="1:27" ht="15" x14ac:dyDescent="0.25">
      <c r="A877" s="2">
        <v>872</v>
      </c>
      <c r="B877" s="39">
        <v>926041261</v>
      </c>
      <c r="C877" s="28" t="str">
        <f>HYPERLINK("https://pld.live/RapDetail.aspx?STONELIST=926041261","DNA")</f>
        <v>DNA</v>
      </c>
      <c r="D877" s="18" t="s">
        <v>3054</v>
      </c>
      <c r="E877" s="18" t="s">
        <v>5128</v>
      </c>
      <c r="F877" s="2" t="s">
        <v>7987</v>
      </c>
      <c r="G877" s="2" t="s">
        <v>861</v>
      </c>
      <c r="H877" s="14">
        <v>1.0900000000000001</v>
      </c>
      <c r="I877" s="2" t="s">
        <v>4699</v>
      </c>
      <c r="J877" s="2" t="s">
        <v>3942</v>
      </c>
      <c r="K877" s="2" t="s">
        <v>3390</v>
      </c>
      <c r="L877" s="2" t="s">
        <v>5221</v>
      </c>
      <c r="M877" s="2" t="s">
        <v>5221</v>
      </c>
      <c r="N877" s="2" t="s">
        <v>2317</v>
      </c>
      <c r="O877" s="14">
        <v>8400</v>
      </c>
      <c r="P877" s="14">
        <v>98.61</v>
      </c>
      <c r="Q877" s="14">
        <v>116.76</v>
      </c>
      <c r="R877" s="14">
        <v>127.27</v>
      </c>
      <c r="S877" s="2" t="s">
        <v>1630</v>
      </c>
      <c r="T877" s="2">
        <v>1</v>
      </c>
      <c r="U877" s="2">
        <v>60.4</v>
      </c>
      <c r="V877" s="2">
        <v>60</v>
      </c>
      <c r="W877" s="2" t="s">
        <v>7862</v>
      </c>
      <c r="X877" s="2" t="s">
        <v>5405</v>
      </c>
      <c r="Y877" s="2">
        <v>9156</v>
      </c>
      <c r="Z877" s="19" t="str">
        <f>HYPERLINK("https://ssdweb.co/ssdweb/hd/Vision360.html?d=926041261&amp;zoomslide=1&amp;z=1926041261&amp;ISCONFIRM=0","VIDEO")</f>
        <v>VIDEO</v>
      </c>
      <c r="AA877" s="19" t="str">
        <f>HYPERLINK("https://ssdweb.co/ssdweb/CERTH/631430329.pdf","CERTI")</f>
        <v>CERTI</v>
      </c>
    </row>
    <row r="878" spans="1:27" ht="15" x14ac:dyDescent="0.25">
      <c r="A878" s="2">
        <v>873</v>
      </c>
      <c r="B878" s="39">
        <v>926071663</v>
      </c>
      <c r="C878" s="28" t="str">
        <f>HYPERLINK("https://pld.live/RapDetail.aspx?STONELIST=926071663","DNA")</f>
        <v>DNA</v>
      </c>
      <c r="D878" s="18" t="s">
        <v>3054</v>
      </c>
      <c r="E878" s="18" t="s">
        <v>5128</v>
      </c>
      <c r="F878" s="2" t="s">
        <v>7987</v>
      </c>
      <c r="G878" s="2" t="s">
        <v>861</v>
      </c>
      <c r="H878" s="14">
        <v>1.0900000000000001</v>
      </c>
      <c r="I878" s="2" t="s">
        <v>4699</v>
      </c>
      <c r="J878" s="2" t="s">
        <v>3942</v>
      </c>
      <c r="K878" s="2" t="s">
        <v>3390</v>
      </c>
      <c r="L878" s="2" t="s">
        <v>5221</v>
      </c>
      <c r="M878" s="2" t="s">
        <v>5221</v>
      </c>
      <c r="N878" s="2" t="s">
        <v>2317</v>
      </c>
      <c r="O878" s="14">
        <v>8400</v>
      </c>
      <c r="P878" s="14">
        <v>98.61</v>
      </c>
      <c r="Q878" s="14">
        <v>116.76</v>
      </c>
      <c r="R878" s="14">
        <v>127.27</v>
      </c>
      <c r="S878" s="2" t="s">
        <v>7812</v>
      </c>
      <c r="T878" s="2">
        <v>1.01</v>
      </c>
      <c r="U878" s="2">
        <v>60.6</v>
      </c>
      <c r="V878" s="2">
        <v>58</v>
      </c>
      <c r="W878" s="2" t="s">
        <v>7862</v>
      </c>
      <c r="X878" s="2" t="s">
        <v>5405</v>
      </c>
      <c r="Y878" s="2">
        <v>9156</v>
      </c>
      <c r="Z878" s="19" t="str">
        <f>HYPERLINK("https://ssdweb.co/ssdweb/hd/Vision360.html?d=926071663&amp;zoomslide=1&amp;z=1926071663&amp;ISCONFIRM=0","VIDEO")</f>
        <v>VIDEO</v>
      </c>
      <c r="AA878" s="19" t="str">
        <f>HYPERLINK("https://ssdweb.co/ssdweb/CERTH/631430202.pdf","CERTI")</f>
        <v>CERTI</v>
      </c>
    </row>
    <row r="879" spans="1:27" ht="15" x14ac:dyDescent="0.25">
      <c r="A879" s="2">
        <v>874</v>
      </c>
      <c r="B879" s="39">
        <v>821128429</v>
      </c>
      <c r="C879" s="28" t="str">
        <f>HYPERLINK("https://pld.live/RapDetail.aspx?STONELIST=821128429","DNA")</f>
        <v>DNA</v>
      </c>
      <c r="D879" s="18" t="s">
        <v>3054</v>
      </c>
      <c r="E879" s="18" t="s">
        <v>5128</v>
      </c>
      <c r="F879" s="2" t="s">
        <v>7987</v>
      </c>
      <c r="G879" s="2" t="s">
        <v>861</v>
      </c>
      <c r="H879" s="14">
        <v>1.08</v>
      </c>
      <c r="I879" s="2" t="s">
        <v>267</v>
      </c>
      <c r="J879" s="2" t="s">
        <v>7032</v>
      </c>
      <c r="K879" s="2" t="s">
        <v>3390</v>
      </c>
      <c r="L879" s="2" t="s">
        <v>5221</v>
      </c>
      <c r="M879" s="2" t="s">
        <v>5221</v>
      </c>
      <c r="N879" s="2" t="s">
        <v>2317</v>
      </c>
      <c r="O879" s="14">
        <v>16000</v>
      </c>
      <c r="P879" s="14">
        <v>98.53</v>
      </c>
      <c r="Q879" s="14">
        <v>235.2</v>
      </c>
      <c r="R879" s="14">
        <v>254.02</v>
      </c>
      <c r="S879" s="2" t="s">
        <v>2798</v>
      </c>
      <c r="T879" s="2">
        <v>1.01</v>
      </c>
      <c r="U879" s="2">
        <v>61.7</v>
      </c>
      <c r="V879" s="2">
        <v>56.5</v>
      </c>
      <c r="W879" s="2" t="s">
        <v>7862</v>
      </c>
      <c r="X879" s="2" t="s">
        <v>5405</v>
      </c>
      <c r="Y879" s="2">
        <v>17280</v>
      </c>
      <c r="Z879" s="19" t="str">
        <f>HYPERLINK("https://ssdweb.co/ssdweb/hd/Vision360.html?d=821128429&amp;zoomslide=1&amp;z=1821128429&amp;ISCONFIRM=0","VIDEO")</f>
        <v>VIDEO</v>
      </c>
      <c r="AA879" s="19" t="str">
        <f>HYPERLINK("https://ssdweb.co/ssdweb/CERTH/561294042.pdf","CERTI")</f>
        <v>CERTI</v>
      </c>
    </row>
    <row r="880" spans="1:27" ht="15" x14ac:dyDescent="0.25">
      <c r="A880" s="2">
        <v>875</v>
      </c>
      <c r="B880" s="39">
        <v>924610351</v>
      </c>
      <c r="C880" s="28" t="str">
        <f>HYPERLINK("https://pld.live/RapDetail.aspx?STONELIST=924610351","DNA")</f>
        <v>DNA</v>
      </c>
      <c r="D880" s="18" t="s">
        <v>3054</v>
      </c>
      <c r="E880" s="18" t="s">
        <v>5128</v>
      </c>
      <c r="F880" s="2" t="s">
        <v>5597</v>
      </c>
      <c r="G880" s="2" t="s">
        <v>861</v>
      </c>
      <c r="H880" s="14">
        <v>1.08</v>
      </c>
      <c r="I880" s="2" t="s">
        <v>267</v>
      </c>
      <c r="J880" s="2" t="s">
        <v>3942</v>
      </c>
      <c r="K880" s="2" t="s">
        <v>5221</v>
      </c>
      <c r="L880" s="2" t="s">
        <v>5221</v>
      </c>
      <c r="M880" s="2" t="s">
        <v>5221</v>
      </c>
      <c r="N880" s="2" t="s">
        <v>2317</v>
      </c>
      <c r="O880" s="14">
        <v>10200</v>
      </c>
      <c r="P880" s="14">
        <v>98.01</v>
      </c>
      <c r="Q880" s="14">
        <v>202.98</v>
      </c>
      <c r="R880" s="14">
        <v>219.22</v>
      </c>
      <c r="S880" s="2" t="s">
        <v>5902</v>
      </c>
      <c r="T880" s="2">
        <v>1</v>
      </c>
      <c r="U880" s="2">
        <v>61.1</v>
      </c>
      <c r="V880" s="2">
        <v>58</v>
      </c>
      <c r="W880" s="2" t="s">
        <v>7862</v>
      </c>
      <c r="X880" s="2" t="s">
        <v>5405</v>
      </c>
      <c r="Y880" s="2">
        <v>11016</v>
      </c>
      <c r="Z880" s="19" t="str">
        <f>HYPERLINK("https://ssdweb.co/ssdweb/hd/Vision360.html?d=924610351&amp;zoomslide=1&amp;z=1924610351&amp;ISCONFIRM=0","VIDEO")</f>
        <v>VIDEO</v>
      </c>
      <c r="AA880" s="19" t="str">
        <f>HYPERLINK("https://ssdweb.co/ssdweb/CERTH/6472496453.pdf","CERTI")</f>
        <v>CERTI</v>
      </c>
    </row>
    <row r="881" spans="1:27" ht="15" x14ac:dyDescent="0.25">
      <c r="A881" s="2">
        <v>876</v>
      </c>
      <c r="B881" s="39">
        <v>925851239</v>
      </c>
      <c r="C881" s="28" t="str">
        <f>HYPERLINK("https://pld.live/RapDetail.aspx?STONELIST=925851239","DNA")</f>
        <v>DNA</v>
      </c>
      <c r="D881" s="18" t="s">
        <v>3054</v>
      </c>
      <c r="E881" s="18" t="s">
        <v>5128</v>
      </c>
      <c r="F881" s="2" t="s">
        <v>5597</v>
      </c>
      <c r="G881" s="2" t="s">
        <v>861</v>
      </c>
      <c r="H881" s="14">
        <v>1.08</v>
      </c>
      <c r="I881" s="2" t="s">
        <v>267</v>
      </c>
      <c r="J881" s="2" t="s">
        <v>3942</v>
      </c>
      <c r="K881" s="2" t="s">
        <v>5221</v>
      </c>
      <c r="L881" s="2" t="s">
        <v>5221</v>
      </c>
      <c r="M881" s="2" t="s">
        <v>5221</v>
      </c>
      <c r="N881" s="2" t="s">
        <v>2317</v>
      </c>
      <c r="O881" s="14">
        <v>10200</v>
      </c>
      <c r="P881" s="14">
        <v>97.99</v>
      </c>
      <c r="Q881" s="14">
        <v>205.02</v>
      </c>
      <c r="R881" s="14">
        <v>221.42</v>
      </c>
      <c r="S881" s="2" t="s">
        <v>3815</v>
      </c>
      <c r="T881" s="2">
        <v>1</v>
      </c>
      <c r="U881" s="2">
        <v>61.8</v>
      </c>
      <c r="V881" s="2">
        <v>57</v>
      </c>
      <c r="W881" s="2" t="s">
        <v>7862</v>
      </c>
      <c r="X881" s="2" t="s">
        <v>5405</v>
      </c>
      <c r="Y881" s="2">
        <v>11016</v>
      </c>
      <c r="Z881" s="19" t="str">
        <f>HYPERLINK("https://ssdweb.co/ssdweb/hd/Vision360.html?d=925851239&amp;zoomslide=1&amp;z=1925851239&amp;ISCONFIRM=0","VIDEO")</f>
        <v>VIDEO</v>
      </c>
      <c r="AA881" s="19" t="str">
        <f>HYPERLINK("https://ssdweb.co/ssdweb/CERTH/1498059323.pdf","CERTI")</f>
        <v>CERTI</v>
      </c>
    </row>
    <row r="882" spans="1:27" ht="15" x14ac:dyDescent="0.25">
      <c r="A882" s="2">
        <v>877</v>
      </c>
      <c r="B882" s="39">
        <v>924550164</v>
      </c>
      <c r="C882" s="28" t="str">
        <f>HYPERLINK("https://pld.live/RapDetail.aspx?STONELIST=924550164","DNA")</f>
        <v>DNA</v>
      </c>
      <c r="D882" s="18" t="s">
        <v>3054</v>
      </c>
      <c r="E882" s="18" t="s">
        <v>2186</v>
      </c>
      <c r="F882" s="2" t="s">
        <v>5597</v>
      </c>
      <c r="G882" s="2" t="s">
        <v>861</v>
      </c>
      <c r="H882" s="14">
        <v>1.08</v>
      </c>
      <c r="I882" s="2" t="s">
        <v>267</v>
      </c>
      <c r="J882" s="2" t="s">
        <v>3942</v>
      </c>
      <c r="K882" s="2" t="s">
        <v>5221</v>
      </c>
      <c r="L882" s="2" t="s">
        <v>5221</v>
      </c>
      <c r="M882" s="2" t="s">
        <v>5221</v>
      </c>
      <c r="N882" s="2" t="s">
        <v>2317</v>
      </c>
      <c r="O882" s="14">
        <v>10200</v>
      </c>
      <c r="P882" s="14">
        <v>98.01</v>
      </c>
      <c r="Q882" s="14">
        <v>202.98</v>
      </c>
      <c r="R882" s="14">
        <v>219.22</v>
      </c>
      <c r="S882" s="2" t="s">
        <v>5044</v>
      </c>
      <c r="T882" s="2">
        <v>1</v>
      </c>
      <c r="U882" s="2">
        <v>61.4</v>
      </c>
      <c r="V882" s="2">
        <v>59</v>
      </c>
      <c r="W882" s="2" t="s">
        <v>7862</v>
      </c>
      <c r="X882" s="2" t="s">
        <v>5405</v>
      </c>
      <c r="Y882" s="2">
        <v>11016</v>
      </c>
      <c r="Z882" s="19" t="str">
        <f>HYPERLINK("https://ssdweb.co/ssdweb/hd/Vision360.html?d=924550164&amp;zoomslide=1&amp;z=1924550164&amp;ISCONFIRM=0","VIDEO")</f>
        <v>VIDEO</v>
      </c>
      <c r="AA882" s="19" t="str">
        <f>HYPERLINK("https://ssdweb.co/ssdweb/CERTH/6475206150.pdf","CERTI")</f>
        <v>CERTI</v>
      </c>
    </row>
    <row r="883" spans="1:27" ht="15" x14ac:dyDescent="0.25">
      <c r="A883" s="2">
        <v>878</v>
      </c>
      <c r="B883" s="39">
        <v>926040925</v>
      </c>
      <c r="C883" s="28" t="str">
        <f>HYPERLINK("https://pld.live/RapDetail.aspx?STONELIST=926040925","DNA")</f>
        <v>DNA</v>
      </c>
      <c r="D883" s="18" t="s">
        <v>3054</v>
      </c>
      <c r="E883" s="18" t="s">
        <v>5128</v>
      </c>
      <c r="F883" s="2" t="s">
        <v>5597</v>
      </c>
      <c r="G883" s="2" t="s">
        <v>861</v>
      </c>
      <c r="H883" s="14">
        <v>1.08</v>
      </c>
      <c r="I883" s="2" t="s">
        <v>267</v>
      </c>
      <c r="J883" s="2" t="s">
        <v>3942</v>
      </c>
      <c r="K883" s="2" t="s">
        <v>5221</v>
      </c>
      <c r="L883" s="2" t="s">
        <v>5221</v>
      </c>
      <c r="M883" s="2" t="s">
        <v>5221</v>
      </c>
      <c r="N883" s="2" t="s">
        <v>2317</v>
      </c>
      <c r="O883" s="14">
        <v>10200</v>
      </c>
      <c r="P883" s="14">
        <v>97.99</v>
      </c>
      <c r="Q883" s="14">
        <v>205.02</v>
      </c>
      <c r="R883" s="14">
        <v>221.42</v>
      </c>
      <c r="S883" s="2" t="s">
        <v>2210</v>
      </c>
      <c r="T883" s="2">
        <v>1.01</v>
      </c>
      <c r="U883" s="2">
        <v>62.1</v>
      </c>
      <c r="V883" s="2">
        <v>57</v>
      </c>
      <c r="W883" s="2" t="s">
        <v>7862</v>
      </c>
      <c r="X883" s="2" t="s">
        <v>5405</v>
      </c>
      <c r="Y883" s="2">
        <v>11016</v>
      </c>
      <c r="Z883" s="19" t="str">
        <f>HYPERLINK("https://ssdweb.co/ssdweb/hd/Vision360.html?d=926040925&amp;zoomslide=1&amp;z=1926040925&amp;ISCONFIRM=0","VIDEO")</f>
        <v>VIDEO</v>
      </c>
      <c r="AA883" s="19" t="str">
        <f>HYPERLINK("https://ssdweb.co/ssdweb/CERTH/6492151746.pdf","CERTI")</f>
        <v>CERTI</v>
      </c>
    </row>
    <row r="884" spans="1:27" ht="15" x14ac:dyDescent="0.25">
      <c r="A884" s="2">
        <v>879</v>
      </c>
      <c r="B884" s="39">
        <v>926041017</v>
      </c>
      <c r="C884" s="28" t="str">
        <f>HYPERLINK("https://pld.live/RapDetail.aspx?STONELIST=926041017","DNA")</f>
        <v>DNA</v>
      </c>
      <c r="D884" s="18" t="s">
        <v>3054</v>
      </c>
      <c r="E884" s="18" t="s">
        <v>5128</v>
      </c>
      <c r="F884" s="2" t="s">
        <v>5597</v>
      </c>
      <c r="G884" s="2" t="s">
        <v>861</v>
      </c>
      <c r="H884" s="14">
        <v>1.08</v>
      </c>
      <c r="I884" s="2" t="s">
        <v>267</v>
      </c>
      <c r="J884" s="2" t="s">
        <v>3942</v>
      </c>
      <c r="K884" s="2" t="s">
        <v>5221</v>
      </c>
      <c r="L884" s="2" t="s">
        <v>5221</v>
      </c>
      <c r="M884" s="2" t="s">
        <v>5221</v>
      </c>
      <c r="N884" s="2" t="s">
        <v>2317</v>
      </c>
      <c r="O884" s="14">
        <v>10200</v>
      </c>
      <c r="P884" s="14">
        <v>97.99</v>
      </c>
      <c r="Q884" s="14">
        <v>205.02</v>
      </c>
      <c r="R884" s="14">
        <v>221.42</v>
      </c>
      <c r="S884" s="2" t="s">
        <v>2803</v>
      </c>
      <c r="T884" s="2">
        <v>1</v>
      </c>
      <c r="U884" s="2">
        <v>62.3</v>
      </c>
      <c r="V884" s="2">
        <v>57</v>
      </c>
      <c r="W884" s="2" t="s">
        <v>7862</v>
      </c>
      <c r="X884" s="2" t="s">
        <v>5405</v>
      </c>
      <c r="Y884" s="2">
        <v>11016</v>
      </c>
      <c r="Z884" s="19" t="str">
        <f>HYPERLINK("https://ssdweb.co/ssdweb/hd/Vision360.html?d=926041017&amp;zoomslide=1&amp;z=1926041017&amp;ISCONFIRM=0","VIDEO")</f>
        <v>VIDEO</v>
      </c>
      <c r="AA884" s="19" t="str">
        <f>HYPERLINK("https://ssdweb.co/ssdweb/CERTH/6492151759.pdf","CERTI")</f>
        <v>CERTI</v>
      </c>
    </row>
    <row r="885" spans="1:27" ht="15" x14ac:dyDescent="0.25">
      <c r="A885" s="2">
        <v>880</v>
      </c>
      <c r="B885" s="39">
        <v>926071547</v>
      </c>
      <c r="C885" s="28" t="str">
        <f>HYPERLINK("https://pld.live/RapDetail.aspx?STONELIST=926071547","DNA")</f>
        <v>DNA</v>
      </c>
      <c r="D885" s="18" t="s">
        <v>3054</v>
      </c>
      <c r="E885" s="18" t="s">
        <v>5128</v>
      </c>
      <c r="F885" s="2" t="s">
        <v>7987</v>
      </c>
      <c r="G885" s="2" t="s">
        <v>861</v>
      </c>
      <c r="H885" s="14">
        <v>1.08</v>
      </c>
      <c r="I885" s="2" t="s">
        <v>267</v>
      </c>
      <c r="J885" s="2" t="s">
        <v>3942</v>
      </c>
      <c r="K885" s="2" t="s">
        <v>5221</v>
      </c>
      <c r="L885" s="2" t="s">
        <v>5221</v>
      </c>
      <c r="M885" s="2" t="s">
        <v>5221</v>
      </c>
      <c r="N885" s="2" t="s">
        <v>2317</v>
      </c>
      <c r="O885" s="14">
        <v>10200</v>
      </c>
      <c r="P885" s="14">
        <v>98.78</v>
      </c>
      <c r="Q885" s="14">
        <v>124.44</v>
      </c>
      <c r="R885" s="14">
        <v>134.4</v>
      </c>
      <c r="S885" s="2" t="s">
        <v>5070</v>
      </c>
      <c r="T885" s="2">
        <v>1.01</v>
      </c>
      <c r="U885" s="2">
        <v>60.9</v>
      </c>
      <c r="V885" s="2">
        <v>61</v>
      </c>
      <c r="W885" s="2" t="s">
        <v>7862</v>
      </c>
      <c r="X885" s="2" t="s">
        <v>5405</v>
      </c>
      <c r="Y885" s="2">
        <v>11016</v>
      </c>
      <c r="Z885" s="19" t="str">
        <f>HYPERLINK("https://ssdweb.co/ssdweb/hd/Vision360.html?d=926071547&amp;zoomslide=1&amp;z=1926071547&amp;ISCONFIRM=0","VIDEO")</f>
        <v>VIDEO</v>
      </c>
      <c r="AA885" s="19" t="str">
        <f>HYPERLINK("https://ssdweb.co/ssdweb/CERTH/631430270.pdf","CERTI")</f>
        <v>CERTI</v>
      </c>
    </row>
    <row r="886" spans="1:27" ht="15" x14ac:dyDescent="0.25">
      <c r="A886" s="2">
        <v>881</v>
      </c>
      <c r="B886" s="39">
        <v>926070735</v>
      </c>
      <c r="C886" s="28" t="str">
        <f>HYPERLINK("https://pld.live/RapDetail.aspx?STONELIST=926070735","DNA")</f>
        <v>DNA</v>
      </c>
      <c r="D886" s="18" t="s">
        <v>3054</v>
      </c>
      <c r="E886" s="18" t="s">
        <v>5128</v>
      </c>
      <c r="F886" s="2" t="s">
        <v>5597</v>
      </c>
      <c r="G886" s="2" t="s">
        <v>861</v>
      </c>
      <c r="H886" s="14">
        <v>1.08</v>
      </c>
      <c r="I886" s="2" t="s">
        <v>267</v>
      </c>
      <c r="J886" s="2" t="s">
        <v>3942</v>
      </c>
      <c r="K886" s="2" t="s">
        <v>5221</v>
      </c>
      <c r="L886" s="2" t="s">
        <v>5221</v>
      </c>
      <c r="M886" s="2" t="s">
        <v>5221</v>
      </c>
      <c r="N886" s="2" t="s">
        <v>2317</v>
      </c>
      <c r="O886" s="14">
        <v>10200</v>
      </c>
      <c r="P886" s="14">
        <v>97.99</v>
      </c>
      <c r="Q886" s="14">
        <v>205.02</v>
      </c>
      <c r="R886" s="14">
        <v>221.42</v>
      </c>
      <c r="S886" s="2" t="s">
        <v>4918</v>
      </c>
      <c r="T886" s="2">
        <v>1</v>
      </c>
      <c r="U886" s="2">
        <v>61.9</v>
      </c>
      <c r="V886" s="2">
        <v>57</v>
      </c>
      <c r="W886" s="2" t="s">
        <v>7862</v>
      </c>
      <c r="X886" s="2" t="s">
        <v>5405</v>
      </c>
      <c r="Y886" s="2">
        <v>11016</v>
      </c>
      <c r="Z886" s="19" t="str">
        <f>HYPERLINK("https://ssdweb.co/ssdweb/hd/Vision360.html?d=926070735&amp;zoomslide=1&amp;z=1926070735&amp;ISCONFIRM=0","VIDEO")</f>
        <v>VIDEO</v>
      </c>
      <c r="AA886" s="19" t="str">
        <f>HYPERLINK("https://ssdweb.co/ssdweb/CERTH/6492151998.pdf","CERTI")</f>
        <v>CERTI</v>
      </c>
    </row>
    <row r="887" spans="1:27" ht="15" x14ac:dyDescent="0.25">
      <c r="A887" s="2">
        <v>882</v>
      </c>
      <c r="B887" s="39">
        <v>821127423</v>
      </c>
      <c r="C887" s="28" t="str">
        <f>HYPERLINK("https://pld.live/RapDetail.aspx?STONELIST=821127423","DNA")</f>
        <v>DNA</v>
      </c>
      <c r="D887" s="18" t="s">
        <v>3054</v>
      </c>
      <c r="E887" s="18" t="s">
        <v>5128</v>
      </c>
      <c r="F887" s="2" t="s">
        <v>7987</v>
      </c>
      <c r="G887" s="2" t="s">
        <v>861</v>
      </c>
      <c r="H887" s="14">
        <v>1.08</v>
      </c>
      <c r="I887" s="2" t="s">
        <v>267</v>
      </c>
      <c r="J887" s="2" t="s">
        <v>13</v>
      </c>
      <c r="K887" s="2" t="s">
        <v>3390</v>
      </c>
      <c r="L887" s="2" t="s">
        <v>5221</v>
      </c>
      <c r="M887" s="2" t="s">
        <v>5221</v>
      </c>
      <c r="N887" s="2" t="s">
        <v>2317</v>
      </c>
      <c r="O887" s="14">
        <v>8700</v>
      </c>
      <c r="P887" s="14">
        <v>98.67</v>
      </c>
      <c r="Q887" s="14">
        <v>115.71</v>
      </c>
      <c r="R887" s="14">
        <v>124.97</v>
      </c>
      <c r="S887" s="2" t="s">
        <v>1707</v>
      </c>
      <c r="T887" s="2">
        <v>1</v>
      </c>
      <c r="U887" s="2">
        <v>61.8</v>
      </c>
      <c r="V887" s="2">
        <v>57</v>
      </c>
      <c r="W887" s="2" t="s">
        <v>7862</v>
      </c>
      <c r="X887" s="2" t="s">
        <v>5405</v>
      </c>
      <c r="Y887" s="2">
        <v>9396</v>
      </c>
      <c r="Z887" s="19" t="str">
        <f>HYPERLINK("https://ssdweb.co/ssdweb/hd/Vision360.html?d=821127423&amp;zoomslide=1&amp;z=1821127423&amp;ISCONFIRM=0","VIDEO")</f>
        <v>VIDEO</v>
      </c>
      <c r="AA887" s="19" t="str">
        <f>HYPERLINK("https://ssdweb.co/ssdweb/CERTH/626479190.pdf","CERTI")</f>
        <v>CERTI</v>
      </c>
    </row>
    <row r="888" spans="1:27" ht="15" x14ac:dyDescent="0.25">
      <c r="A888" s="2">
        <v>883</v>
      </c>
      <c r="B888" s="39">
        <v>821127454</v>
      </c>
      <c r="C888" s="28" t="str">
        <f>HYPERLINK("https://pld.live/RapDetail.aspx?STONELIST=821127454","DNA")</f>
        <v>DNA</v>
      </c>
      <c r="D888" s="18" t="s">
        <v>3054</v>
      </c>
      <c r="E888" s="18" t="s">
        <v>5128</v>
      </c>
      <c r="F888" s="2" t="s">
        <v>7987</v>
      </c>
      <c r="G888" s="2" t="s">
        <v>861</v>
      </c>
      <c r="H888" s="14">
        <v>1.08</v>
      </c>
      <c r="I888" s="2" t="s">
        <v>267</v>
      </c>
      <c r="J888" s="2" t="s">
        <v>13</v>
      </c>
      <c r="K888" s="2" t="s">
        <v>3390</v>
      </c>
      <c r="L888" s="2" t="s">
        <v>5221</v>
      </c>
      <c r="M888" s="2" t="s">
        <v>5221</v>
      </c>
      <c r="N888" s="2" t="s">
        <v>2317</v>
      </c>
      <c r="O888" s="14">
        <v>8700</v>
      </c>
      <c r="P888" s="14">
        <v>98.67</v>
      </c>
      <c r="Q888" s="14">
        <v>115.71</v>
      </c>
      <c r="R888" s="14">
        <v>124.97</v>
      </c>
      <c r="S888" s="2" t="s">
        <v>2987</v>
      </c>
      <c r="T888" s="2">
        <v>1.01</v>
      </c>
      <c r="U888" s="2">
        <v>60.2</v>
      </c>
      <c r="V888" s="2">
        <v>60</v>
      </c>
      <c r="W888" s="2" t="s">
        <v>7862</v>
      </c>
      <c r="X888" s="2" t="s">
        <v>5405</v>
      </c>
      <c r="Y888" s="2">
        <v>9396</v>
      </c>
      <c r="Z888" s="19" t="str">
        <f>HYPERLINK("https://ssdweb.co/ssdweb/hd/Vision360.html?d=821127454&amp;zoomslide=1&amp;z=1821127454&amp;ISCONFIRM=0","VIDEO")</f>
        <v>VIDEO</v>
      </c>
      <c r="AA888" s="19" t="str">
        <f>HYPERLINK("https://ssdweb.co/ssdweb/CERTH/626478978.pdf","CERTI")</f>
        <v>CERTI</v>
      </c>
    </row>
    <row r="889" spans="1:27" ht="15" x14ac:dyDescent="0.25">
      <c r="A889" s="2">
        <v>884</v>
      </c>
      <c r="B889" s="39">
        <v>821127406</v>
      </c>
      <c r="C889" s="28" t="str">
        <f>HYPERLINK("https://pld.live/RapDetail.aspx?STONELIST=821127406","DNA")</f>
        <v>DNA</v>
      </c>
      <c r="D889" s="18" t="s">
        <v>3054</v>
      </c>
      <c r="E889" s="18" t="s">
        <v>5128</v>
      </c>
      <c r="F889" s="2" t="s">
        <v>7987</v>
      </c>
      <c r="G889" s="2" t="s">
        <v>861</v>
      </c>
      <c r="H889" s="14">
        <v>1.08</v>
      </c>
      <c r="I889" s="2" t="s">
        <v>267</v>
      </c>
      <c r="J889" s="2" t="s">
        <v>13</v>
      </c>
      <c r="K889" s="2" t="s">
        <v>3390</v>
      </c>
      <c r="L889" s="2" t="s">
        <v>5221</v>
      </c>
      <c r="M889" s="2" t="s">
        <v>5221</v>
      </c>
      <c r="N889" s="2" t="s">
        <v>2317</v>
      </c>
      <c r="O889" s="14">
        <v>8700</v>
      </c>
      <c r="P889" s="14">
        <v>98.67</v>
      </c>
      <c r="Q889" s="14">
        <v>115.71</v>
      </c>
      <c r="R889" s="14">
        <v>124.97</v>
      </c>
      <c r="S889" s="2" t="s">
        <v>4144</v>
      </c>
      <c r="T889" s="2">
        <v>1</v>
      </c>
      <c r="U889" s="2">
        <v>62.2</v>
      </c>
      <c r="V889" s="2">
        <v>58</v>
      </c>
      <c r="W889" s="2" t="s">
        <v>7862</v>
      </c>
      <c r="X889" s="2" t="s">
        <v>5405</v>
      </c>
      <c r="Y889" s="2">
        <v>9396</v>
      </c>
      <c r="Z889" s="19" t="str">
        <f>HYPERLINK("https://ssdweb.co/ssdweb/hd/Vision360.html?d=821127406&amp;zoomslide=1&amp;z=1821127406&amp;ISCONFIRM=0","VIDEO")</f>
        <v>VIDEO</v>
      </c>
      <c r="AA889" s="19" t="str">
        <f>HYPERLINK("https://ssdweb.co/ssdweb/CERTH/623432982.pdf","CERTI")</f>
        <v>CERTI</v>
      </c>
    </row>
    <row r="890" spans="1:27" ht="15" x14ac:dyDescent="0.25">
      <c r="A890" s="2">
        <v>885</v>
      </c>
      <c r="B890" s="39">
        <v>821127485</v>
      </c>
      <c r="C890" s="28" t="str">
        <f>HYPERLINK("https://pld.live/RapDetail.aspx?STONELIST=821127485","DNA")</f>
        <v>DNA</v>
      </c>
      <c r="D890" s="18" t="s">
        <v>3054</v>
      </c>
      <c r="E890" s="18" t="s">
        <v>5128</v>
      </c>
      <c r="F890" s="2" t="s">
        <v>7987</v>
      </c>
      <c r="G890" s="2" t="s">
        <v>861</v>
      </c>
      <c r="H890" s="14">
        <v>1.08</v>
      </c>
      <c r="I890" s="2" t="s">
        <v>267</v>
      </c>
      <c r="J890" s="2" t="s">
        <v>13</v>
      </c>
      <c r="K890" s="2" t="s">
        <v>3390</v>
      </c>
      <c r="L890" s="2" t="s">
        <v>5221</v>
      </c>
      <c r="M890" s="2" t="s">
        <v>5221</v>
      </c>
      <c r="N890" s="2" t="s">
        <v>2317</v>
      </c>
      <c r="O890" s="14">
        <v>8700</v>
      </c>
      <c r="P890" s="14">
        <v>98.67</v>
      </c>
      <c r="Q890" s="14">
        <v>115.71</v>
      </c>
      <c r="R890" s="14">
        <v>124.97</v>
      </c>
      <c r="S890" s="2" t="s">
        <v>6667</v>
      </c>
      <c r="T890" s="2">
        <v>1</v>
      </c>
      <c r="U890" s="2">
        <v>61.2</v>
      </c>
      <c r="V890" s="2">
        <v>59</v>
      </c>
      <c r="W890" s="2" t="s">
        <v>7862</v>
      </c>
      <c r="X890" s="2" t="s">
        <v>5405</v>
      </c>
      <c r="Y890" s="2">
        <v>9396</v>
      </c>
      <c r="Z890" s="19" t="str">
        <f>HYPERLINK("https://ssdweb.co/ssdweb/hd/Vision360.html?d=821127485&amp;zoomslide=1&amp;z=1821127485&amp;ISCONFIRM=0","VIDEO")</f>
        <v>VIDEO</v>
      </c>
      <c r="AA890" s="19" t="str">
        <f>HYPERLINK("https://ssdweb.co/ssdweb/CERTH/623432984.pdf","CERTI")</f>
        <v>CERTI</v>
      </c>
    </row>
    <row r="891" spans="1:27" ht="15" x14ac:dyDescent="0.25">
      <c r="A891" s="2">
        <v>886</v>
      </c>
      <c r="B891" s="39">
        <v>926071788</v>
      </c>
      <c r="C891" s="28" t="str">
        <f>HYPERLINK("https://pld.live/RapDetail.aspx?STONELIST=926071788","DNA")</f>
        <v>DNA</v>
      </c>
      <c r="D891" s="18" t="s">
        <v>3054</v>
      </c>
      <c r="E891" s="18" t="s">
        <v>5128</v>
      </c>
      <c r="F891" s="2" t="s">
        <v>7987</v>
      </c>
      <c r="G891" s="2" t="s">
        <v>861</v>
      </c>
      <c r="H891" s="14">
        <v>1.08</v>
      </c>
      <c r="I891" s="2" t="s">
        <v>267</v>
      </c>
      <c r="J891" s="2" t="s">
        <v>13</v>
      </c>
      <c r="K891" s="2" t="s">
        <v>3390</v>
      </c>
      <c r="L891" s="2" t="s">
        <v>5221</v>
      </c>
      <c r="M891" s="2" t="s">
        <v>5221</v>
      </c>
      <c r="N891" s="2" t="s">
        <v>2317</v>
      </c>
      <c r="O891" s="14">
        <v>8700</v>
      </c>
      <c r="P891" s="14">
        <v>98.64</v>
      </c>
      <c r="Q891" s="14">
        <v>118.32</v>
      </c>
      <c r="R891" s="14">
        <v>127.79</v>
      </c>
      <c r="S891" s="2" t="s">
        <v>4825</v>
      </c>
      <c r="T891" s="2">
        <v>1</v>
      </c>
      <c r="U891" s="2">
        <v>62.3</v>
      </c>
      <c r="V891" s="2">
        <v>58</v>
      </c>
      <c r="W891" s="2" t="s">
        <v>7862</v>
      </c>
      <c r="X891" s="2" t="s">
        <v>5405</v>
      </c>
      <c r="Y891" s="2">
        <v>9396</v>
      </c>
      <c r="Z891" s="19" t="str">
        <f>HYPERLINK("https://ssdweb.co/ssdweb/hd/Vision360.html?d=926071788&amp;zoomslide=1&amp;z=1926071788&amp;ISCONFIRM=0","VIDEO")</f>
        <v>VIDEO</v>
      </c>
      <c r="AA891" s="19" t="str">
        <f>HYPERLINK("https://ssdweb.co/ssdweb/CERTH/631464284.pdf","CERTI")</f>
        <v>CERTI</v>
      </c>
    </row>
    <row r="892" spans="1:27" ht="15" x14ac:dyDescent="0.25">
      <c r="A892" s="2">
        <v>887</v>
      </c>
      <c r="B892" s="39">
        <v>926071769</v>
      </c>
      <c r="C892" s="28" t="str">
        <f>HYPERLINK("https://pld.live/RapDetail.aspx?STONELIST=926071769","DNA")</f>
        <v>DNA</v>
      </c>
      <c r="D892" s="18" t="s">
        <v>3054</v>
      </c>
      <c r="E892" s="18" t="s">
        <v>5128</v>
      </c>
      <c r="F892" s="2" t="s">
        <v>7987</v>
      </c>
      <c r="G892" s="2" t="s">
        <v>861</v>
      </c>
      <c r="H892" s="14">
        <v>1.08</v>
      </c>
      <c r="I892" s="2" t="s">
        <v>267</v>
      </c>
      <c r="J892" s="2" t="s">
        <v>13</v>
      </c>
      <c r="K892" s="2" t="s">
        <v>3390</v>
      </c>
      <c r="L892" s="2" t="s">
        <v>5221</v>
      </c>
      <c r="M892" s="2" t="s">
        <v>5221</v>
      </c>
      <c r="N892" s="2" t="s">
        <v>2317</v>
      </c>
      <c r="O892" s="14">
        <v>8700</v>
      </c>
      <c r="P892" s="14">
        <v>98.64</v>
      </c>
      <c r="Q892" s="14">
        <v>118.32</v>
      </c>
      <c r="R892" s="14">
        <v>127.79</v>
      </c>
      <c r="S892" s="2" t="s">
        <v>4459</v>
      </c>
      <c r="T892" s="2">
        <v>1</v>
      </c>
      <c r="U892" s="2">
        <v>60</v>
      </c>
      <c r="V892" s="2">
        <v>60</v>
      </c>
      <c r="W892" s="2" t="s">
        <v>7862</v>
      </c>
      <c r="X892" s="2" t="s">
        <v>5405</v>
      </c>
      <c r="Y892" s="2">
        <v>9396</v>
      </c>
      <c r="Z892" s="19" t="str">
        <f>HYPERLINK("https://ssdweb.co/ssdweb/hd/Vision360.html?d=926071769&amp;zoomslide=1&amp;z=1926071769&amp;ISCONFIRM=0","VIDEO")</f>
        <v>VIDEO</v>
      </c>
      <c r="AA892" s="19" t="str">
        <f>HYPERLINK("https://ssdweb.co/ssdweb/CERTH/631464116.pdf","CERTI")</f>
        <v>CERTI</v>
      </c>
    </row>
    <row r="893" spans="1:27" ht="15" x14ac:dyDescent="0.25">
      <c r="A893" s="2">
        <v>888</v>
      </c>
      <c r="B893" s="39">
        <v>821127459</v>
      </c>
      <c r="C893" s="28" t="str">
        <f>HYPERLINK("https://pld.live/RapDetail.aspx?STONELIST=821127459","DNA")</f>
        <v>DNA</v>
      </c>
      <c r="D893" s="18" t="s">
        <v>3054</v>
      </c>
      <c r="E893" s="18" t="s">
        <v>5128</v>
      </c>
      <c r="F893" s="2" t="s">
        <v>7987</v>
      </c>
      <c r="G893" s="2" t="s">
        <v>861</v>
      </c>
      <c r="H893" s="14">
        <v>1.08</v>
      </c>
      <c r="I893" s="2" t="s">
        <v>267</v>
      </c>
      <c r="J893" s="2" t="s">
        <v>13</v>
      </c>
      <c r="K893" s="2" t="s">
        <v>5221</v>
      </c>
      <c r="L893" s="2" t="s">
        <v>5221</v>
      </c>
      <c r="M893" s="2" t="s">
        <v>5221</v>
      </c>
      <c r="N893" s="2" t="s">
        <v>2317</v>
      </c>
      <c r="O893" s="14">
        <v>8700</v>
      </c>
      <c r="P893" s="14">
        <v>98.67</v>
      </c>
      <c r="Q893" s="14">
        <v>115.71</v>
      </c>
      <c r="R893" s="14">
        <v>124.97</v>
      </c>
      <c r="S893" s="2" t="s">
        <v>65</v>
      </c>
      <c r="T893" s="2">
        <v>1.01</v>
      </c>
      <c r="U893" s="2">
        <v>62.1</v>
      </c>
      <c r="V893" s="2">
        <v>58</v>
      </c>
      <c r="W893" s="2" t="s">
        <v>7862</v>
      </c>
      <c r="X893" s="2" t="s">
        <v>5405</v>
      </c>
      <c r="Y893" s="2">
        <v>9396</v>
      </c>
      <c r="Z893" s="19" t="str">
        <f>HYPERLINK("https://ssdweb.co/ssdweb/hd/Vision360.html?d=821127459&amp;zoomslide=1&amp;z=1821127459&amp;ISCONFIRM=0","VIDEO")</f>
        <v>VIDEO</v>
      </c>
      <c r="AA893" s="19" t="str">
        <f>HYPERLINK("https://ssdweb.co/ssdweb/CERTH/626478977.pdf","CERTI")</f>
        <v>CERTI</v>
      </c>
    </row>
    <row r="894" spans="1:27" ht="15" x14ac:dyDescent="0.25">
      <c r="A894" s="2">
        <v>889</v>
      </c>
      <c r="B894" s="39">
        <v>925861498</v>
      </c>
      <c r="C894" s="28" t="str">
        <f>HYPERLINK("https://pld.live/RapDetail.aspx?STONELIST=925861498","DNA")</f>
        <v>DNA</v>
      </c>
      <c r="D894" s="18" t="s">
        <v>3054</v>
      </c>
      <c r="E894" s="18" t="s">
        <v>5128</v>
      </c>
      <c r="F894" s="2" t="s">
        <v>7987</v>
      </c>
      <c r="G894" s="2" t="s">
        <v>861</v>
      </c>
      <c r="H894" s="14">
        <v>1.08</v>
      </c>
      <c r="I894" s="2" t="s">
        <v>4761</v>
      </c>
      <c r="J894" s="2" t="s">
        <v>7032</v>
      </c>
      <c r="K894" s="2" t="s">
        <v>3390</v>
      </c>
      <c r="L894" s="2" t="s">
        <v>5221</v>
      </c>
      <c r="M894" s="2" t="s">
        <v>5221</v>
      </c>
      <c r="N894" s="2" t="s">
        <v>2317</v>
      </c>
      <c r="O894" s="14">
        <v>12500</v>
      </c>
      <c r="P894" s="14">
        <v>98.26</v>
      </c>
      <c r="Q894" s="14">
        <v>217.5</v>
      </c>
      <c r="R894" s="14">
        <v>234.9</v>
      </c>
      <c r="S894" s="2" t="s">
        <v>4282</v>
      </c>
      <c r="T894" s="2">
        <v>1</v>
      </c>
      <c r="U894" s="2">
        <v>60.1</v>
      </c>
      <c r="V894" s="2">
        <v>59</v>
      </c>
      <c r="W894" s="2" t="s">
        <v>7862</v>
      </c>
      <c r="X894" s="2" t="s">
        <v>5405</v>
      </c>
      <c r="Y894" s="2">
        <v>13500</v>
      </c>
      <c r="Z894" s="19" t="str">
        <f>HYPERLINK("https://ssdweb.co/ssdweb/hd/Vision360.html?d=925861498&amp;zoomslide=1&amp;z=1925861498&amp;ISCONFIRM=0","VIDEO")</f>
        <v>VIDEO</v>
      </c>
      <c r="AA894" s="19" t="str">
        <f>HYPERLINK("https://ssdweb.co/ssdweb/CERTH/627497020.pdf","CERTI")</f>
        <v>CERTI</v>
      </c>
    </row>
    <row r="895" spans="1:27" ht="15" x14ac:dyDescent="0.25">
      <c r="A895" s="2">
        <v>890</v>
      </c>
      <c r="B895" s="39">
        <v>821127539</v>
      </c>
      <c r="C895" s="28" t="str">
        <f>HYPERLINK("https://pld.live/RapDetail.aspx?STONELIST=821127539","DNA")</f>
        <v>DNA</v>
      </c>
      <c r="D895" s="18" t="s">
        <v>3054</v>
      </c>
      <c r="E895" s="18" t="s">
        <v>5128</v>
      </c>
      <c r="F895" s="2" t="s">
        <v>7987</v>
      </c>
      <c r="G895" s="2" t="s">
        <v>861</v>
      </c>
      <c r="H895" s="14">
        <v>1.08</v>
      </c>
      <c r="I895" s="2" t="s">
        <v>4761</v>
      </c>
      <c r="J895" s="2" t="s">
        <v>6555</v>
      </c>
      <c r="K895" s="2" t="s">
        <v>3390</v>
      </c>
      <c r="L895" s="2" t="s">
        <v>5221</v>
      </c>
      <c r="M895" s="2" t="s">
        <v>5221</v>
      </c>
      <c r="N895" s="2" t="s">
        <v>2317</v>
      </c>
      <c r="O895" s="14">
        <v>11100</v>
      </c>
      <c r="P895" s="14">
        <v>98.86</v>
      </c>
      <c r="Q895" s="14">
        <v>126.54</v>
      </c>
      <c r="R895" s="14">
        <v>136.66</v>
      </c>
      <c r="S895" s="2" t="s">
        <v>236</v>
      </c>
      <c r="T895" s="2">
        <v>1.01</v>
      </c>
      <c r="U895" s="2">
        <v>61.8</v>
      </c>
      <c r="V895" s="2">
        <v>59</v>
      </c>
      <c r="W895" s="2" t="s">
        <v>7862</v>
      </c>
      <c r="X895" s="2" t="s">
        <v>5405</v>
      </c>
      <c r="Y895" s="2">
        <v>11988</v>
      </c>
      <c r="Z895" s="19" t="str">
        <f>HYPERLINK("https://ssdweb.co/ssdweb/hd/Vision360.html?d=821127539&amp;zoomslide=1&amp;z=1821127539&amp;ISCONFIRM=0","VIDEO")</f>
        <v>VIDEO</v>
      </c>
      <c r="AA895" s="19" t="str">
        <f>HYPERLINK("https://ssdweb.co/ssdweb/CERTH/623432990.pdf","CERTI")</f>
        <v>CERTI</v>
      </c>
    </row>
    <row r="896" spans="1:27" ht="15" x14ac:dyDescent="0.25">
      <c r="A896" s="2">
        <v>891</v>
      </c>
      <c r="B896" s="39">
        <v>926101666</v>
      </c>
      <c r="C896" s="28" t="str">
        <f>HYPERLINK("https://pld.live/RapDetail.aspx?STONELIST=926101666","DNA")</f>
        <v>DNA</v>
      </c>
      <c r="D896" s="18" t="s">
        <v>3054</v>
      </c>
      <c r="E896" s="18" t="s">
        <v>5128</v>
      </c>
      <c r="F896" s="2" t="s">
        <v>7987</v>
      </c>
      <c r="G896" s="2" t="s">
        <v>861</v>
      </c>
      <c r="H896" s="14">
        <v>1.08</v>
      </c>
      <c r="I896" s="2" t="s">
        <v>4761</v>
      </c>
      <c r="J896" s="2" t="s">
        <v>3942</v>
      </c>
      <c r="K896" s="2" t="s">
        <v>3390</v>
      </c>
      <c r="L896" s="2" t="s">
        <v>5221</v>
      </c>
      <c r="M896" s="2" t="s">
        <v>5221</v>
      </c>
      <c r="N896" s="2" t="s">
        <v>2317</v>
      </c>
      <c r="O896" s="14">
        <v>9300</v>
      </c>
      <c r="P896" s="14">
        <v>98.7</v>
      </c>
      <c r="Q896" s="14">
        <v>120.9</v>
      </c>
      <c r="R896" s="14">
        <v>130.57</v>
      </c>
      <c r="S896" s="2" t="s">
        <v>1181</v>
      </c>
      <c r="T896" s="2">
        <v>1.01</v>
      </c>
      <c r="U896" s="2">
        <v>61.2</v>
      </c>
      <c r="V896" s="2">
        <v>58</v>
      </c>
      <c r="W896" s="2" t="s">
        <v>7862</v>
      </c>
      <c r="X896" s="2" t="s">
        <v>5405</v>
      </c>
      <c r="Y896" s="2">
        <v>10044</v>
      </c>
      <c r="Z896" s="19" t="str">
        <f>HYPERLINK("https://ssdweb.co/ssdweb/hd/Vision360.html?d=926101666&amp;zoomslide=1&amp;z=1926101666&amp;ISCONFIRM=0","VIDEO")</f>
        <v>VIDEO</v>
      </c>
      <c r="AA896" s="19" t="str">
        <f>HYPERLINK("https://ssdweb.co/ssdweb/CERTH/633490482.pdf","CERTI")</f>
        <v>CERTI</v>
      </c>
    </row>
    <row r="897" spans="1:27" ht="15" x14ac:dyDescent="0.25">
      <c r="A897" s="2">
        <v>892</v>
      </c>
      <c r="B897" s="39">
        <v>925961355</v>
      </c>
      <c r="C897" s="28" t="str">
        <f>HYPERLINK("https://pld.live/RapDetail.aspx?STONELIST=925961355","DNA")</f>
        <v>DNA</v>
      </c>
      <c r="D897" s="18" t="s">
        <v>3054</v>
      </c>
      <c r="E897" s="18" t="s">
        <v>5128</v>
      </c>
      <c r="F897" s="2" t="s">
        <v>5597</v>
      </c>
      <c r="G897" s="2" t="s">
        <v>861</v>
      </c>
      <c r="H897" s="14">
        <v>1.08</v>
      </c>
      <c r="I897" s="2" t="s">
        <v>4761</v>
      </c>
      <c r="J897" s="2" t="s">
        <v>3942</v>
      </c>
      <c r="K897" s="2" t="s">
        <v>5221</v>
      </c>
      <c r="L897" s="2" t="s">
        <v>5221</v>
      </c>
      <c r="M897" s="2" t="s">
        <v>5221</v>
      </c>
      <c r="N897" s="2" t="s">
        <v>2317</v>
      </c>
      <c r="O897" s="14">
        <v>9300</v>
      </c>
      <c r="P897" s="14">
        <v>97.84</v>
      </c>
      <c r="Q897" s="14">
        <v>200.88</v>
      </c>
      <c r="R897" s="14">
        <v>216.95</v>
      </c>
      <c r="S897" s="2" t="s">
        <v>2735</v>
      </c>
      <c r="T897" s="2">
        <v>1</v>
      </c>
      <c r="U897" s="2">
        <v>62</v>
      </c>
      <c r="V897" s="2">
        <v>56</v>
      </c>
      <c r="W897" s="2" t="s">
        <v>7862</v>
      </c>
      <c r="X897" s="2" t="s">
        <v>5405</v>
      </c>
      <c r="Y897" s="2">
        <v>10044</v>
      </c>
      <c r="Z897" s="19" t="str">
        <f>HYPERLINK("https://ssdweb.co/ssdweb/hd/Vision360.html?d=925961355&amp;zoomslide=1&amp;z=1925961355&amp;ISCONFIRM=0","VIDEO")</f>
        <v>VIDEO</v>
      </c>
      <c r="AA897" s="19" t="str">
        <f>HYPERLINK("https://ssdweb.co/ssdweb/CERTH/7496136106.pdf","CERTI")</f>
        <v>CERTI</v>
      </c>
    </row>
    <row r="898" spans="1:27" ht="15" x14ac:dyDescent="0.25">
      <c r="A898" s="2">
        <v>893</v>
      </c>
      <c r="B898" s="39">
        <v>925861911</v>
      </c>
      <c r="C898" s="28" t="str">
        <f>HYPERLINK("https://pld.live/RapDetail.aspx?STONELIST=925861911","DNA")</f>
        <v>DNA</v>
      </c>
      <c r="D898" s="18" t="s">
        <v>3054</v>
      </c>
      <c r="E898" s="18" t="s">
        <v>5128</v>
      </c>
      <c r="F898" s="2" t="s">
        <v>7987</v>
      </c>
      <c r="G898" s="2" t="s">
        <v>861</v>
      </c>
      <c r="H898" s="14">
        <v>1.08</v>
      </c>
      <c r="I898" s="2" t="s">
        <v>4761</v>
      </c>
      <c r="J898" s="2" t="s">
        <v>13</v>
      </c>
      <c r="K898" s="2" t="s">
        <v>3390</v>
      </c>
      <c r="L898" s="2" t="s">
        <v>5221</v>
      </c>
      <c r="M898" s="2" t="s">
        <v>5221</v>
      </c>
      <c r="N898" s="2" t="s">
        <v>2317</v>
      </c>
      <c r="O898" s="14">
        <v>7900</v>
      </c>
      <c r="P898" s="14">
        <v>98.54</v>
      </c>
      <c r="Q898" s="14">
        <v>115.34</v>
      </c>
      <c r="R898" s="14">
        <v>124.57</v>
      </c>
      <c r="S898" s="2" t="s">
        <v>4696</v>
      </c>
      <c r="T898" s="2">
        <v>1.01</v>
      </c>
      <c r="U898" s="2">
        <v>62.5</v>
      </c>
      <c r="V898" s="2">
        <v>57</v>
      </c>
      <c r="W898" s="2" t="s">
        <v>7862</v>
      </c>
      <c r="X898" s="2" t="s">
        <v>5405</v>
      </c>
      <c r="Y898" s="2">
        <v>8532</v>
      </c>
      <c r="Z898" s="19" t="str">
        <f>HYPERLINK("https://ssdweb.co/ssdweb/hd/Vision360.html?d=925861911&amp;zoomslide=1&amp;z=1925861911&amp;ISCONFIRM=0","VIDEO")</f>
        <v>VIDEO</v>
      </c>
      <c r="AA898" s="19" t="str">
        <f>HYPERLINK("https://ssdweb.co/ssdweb/CERTH/627410565.pdf","CERTI")</f>
        <v>CERTI</v>
      </c>
    </row>
    <row r="899" spans="1:27" ht="15" x14ac:dyDescent="0.25">
      <c r="A899" s="2">
        <v>894</v>
      </c>
      <c r="B899" s="39">
        <v>925430167</v>
      </c>
      <c r="C899" s="28" t="str">
        <f>HYPERLINK("https://pld.live/RapDetail.aspx?STONELIST=925430167","DNA")</f>
        <v>DNA</v>
      </c>
      <c r="D899" s="18" t="s">
        <v>3054</v>
      </c>
      <c r="E899" s="18" t="s">
        <v>2186</v>
      </c>
      <c r="F899" s="2" t="s">
        <v>5597</v>
      </c>
      <c r="G899" s="2" t="s">
        <v>861</v>
      </c>
      <c r="H899" s="14">
        <v>1.08</v>
      </c>
      <c r="I899" s="2" t="s">
        <v>4761</v>
      </c>
      <c r="J899" s="2" t="s">
        <v>13</v>
      </c>
      <c r="K899" s="2" t="s">
        <v>5221</v>
      </c>
      <c r="L899" s="2" t="s">
        <v>5221</v>
      </c>
      <c r="M899" s="2" t="s">
        <v>5221</v>
      </c>
      <c r="N899" s="2" t="s">
        <v>2317</v>
      </c>
      <c r="O899" s="14">
        <v>7900</v>
      </c>
      <c r="P899" s="14">
        <v>97.54</v>
      </c>
      <c r="Q899" s="14">
        <v>194.34</v>
      </c>
      <c r="R899" s="14">
        <v>209.89</v>
      </c>
      <c r="S899" s="2" t="s">
        <v>6890</v>
      </c>
      <c r="T899" s="2">
        <v>1.01</v>
      </c>
      <c r="U899" s="2">
        <v>61.1</v>
      </c>
      <c r="V899" s="2">
        <v>59</v>
      </c>
      <c r="W899" s="2" t="s">
        <v>7862</v>
      </c>
      <c r="X899" s="2" t="s">
        <v>5405</v>
      </c>
      <c r="Y899" s="2">
        <v>8532</v>
      </c>
      <c r="Z899" s="19" t="str">
        <f>HYPERLINK("https://ssdweb.co/ssdweb/hd/Vision360.html?d=925430167&amp;zoomslide=1&amp;z=1925430167&amp;ISCONFIRM=0","VIDEO")</f>
        <v>VIDEO</v>
      </c>
      <c r="AA899" s="19" t="str">
        <f>HYPERLINK("https://ssdweb.co/ssdweb/CERTH/6485692850.pdf","CERTI")</f>
        <v>CERTI</v>
      </c>
    </row>
    <row r="900" spans="1:27" ht="15" x14ac:dyDescent="0.25">
      <c r="A900" s="2">
        <v>895</v>
      </c>
      <c r="B900" s="39">
        <v>925430160</v>
      </c>
      <c r="C900" s="28" t="str">
        <f>HYPERLINK("https://pld.live/RapDetail.aspx?STONELIST=925430160","DNA")</f>
        <v>DNA</v>
      </c>
      <c r="D900" s="18" t="s">
        <v>3054</v>
      </c>
      <c r="E900" s="18" t="s">
        <v>2186</v>
      </c>
      <c r="F900" s="2" t="s">
        <v>5597</v>
      </c>
      <c r="G900" s="2" t="s">
        <v>861</v>
      </c>
      <c r="H900" s="14">
        <v>1.08</v>
      </c>
      <c r="I900" s="2" t="s">
        <v>4761</v>
      </c>
      <c r="J900" s="2" t="s">
        <v>13</v>
      </c>
      <c r="K900" s="2" t="s">
        <v>5221</v>
      </c>
      <c r="L900" s="2" t="s">
        <v>5221</v>
      </c>
      <c r="M900" s="2" t="s">
        <v>5221</v>
      </c>
      <c r="N900" s="2" t="s">
        <v>2317</v>
      </c>
      <c r="O900" s="14">
        <v>7900</v>
      </c>
      <c r="P900" s="14">
        <v>97.54</v>
      </c>
      <c r="Q900" s="14">
        <v>194.34</v>
      </c>
      <c r="R900" s="14">
        <v>209.89</v>
      </c>
      <c r="S900" s="2" t="s">
        <v>8046</v>
      </c>
      <c r="T900" s="2">
        <v>1.01</v>
      </c>
      <c r="U900" s="2">
        <v>60.6</v>
      </c>
      <c r="V900" s="2">
        <v>59</v>
      </c>
      <c r="W900" s="2" t="s">
        <v>7862</v>
      </c>
      <c r="X900" s="2" t="s">
        <v>5405</v>
      </c>
      <c r="Y900" s="2">
        <v>8532</v>
      </c>
      <c r="Z900" s="19" t="str">
        <f>HYPERLINK("https://ssdweb.co/ssdweb/hd/Vision360.html?d=925430160&amp;zoomslide=1&amp;z=1925430160&amp;ISCONFIRM=0","VIDEO")</f>
        <v>VIDEO</v>
      </c>
      <c r="AA900" s="19" t="str">
        <f>HYPERLINK("https://ssdweb.co/ssdweb/CERTH/1483692855.pdf","CERTI")</f>
        <v>CERTI</v>
      </c>
    </row>
    <row r="901" spans="1:27" ht="15" x14ac:dyDescent="0.25">
      <c r="A901" s="2">
        <v>896</v>
      </c>
      <c r="B901" s="39">
        <v>925971283</v>
      </c>
      <c r="C901" s="28" t="str">
        <f>HYPERLINK("https://pld.live/RapDetail.aspx?STONELIST=925971283","DNA")</f>
        <v>DNA</v>
      </c>
      <c r="D901" s="18" t="s">
        <v>3054</v>
      </c>
      <c r="E901" s="18" t="s">
        <v>5128</v>
      </c>
      <c r="F901" s="2" t="s">
        <v>7987</v>
      </c>
      <c r="G901" s="2" t="s">
        <v>861</v>
      </c>
      <c r="H901" s="14">
        <v>1.08</v>
      </c>
      <c r="I901" s="2" t="s">
        <v>4699</v>
      </c>
      <c r="J901" s="2" t="s">
        <v>7032</v>
      </c>
      <c r="K901" s="2" t="s">
        <v>3390</v>
      </c>
      <c r="L901" s="2" t="s">
        <v>5221</v>
      </c>
      <c r="M901" s="2" t="s">
        <v>5221</v>
      </c>
      <c r="N901" s="2" t="s">
        <v>2317</v>
      </c>
      <c r="O901" s="14">
        <v>10700</v>
      </c>
      <c r="P901" s="14">
        <v>98.21</v>
      </c>
      <c r="Q901" s="14">
        <v>191.53</v>
      </c>
      <c r="R901" s="14">
        <v>206.85</v>
      </c>
      <c r="S901" s="2" t="s">
        <v>8052</v>
      </c>
      <c r="T901" s="2">
        <v>1.01</v>
      </c>
      <c r="U901" s="2">
        <v>62.3</v>
      </c>
      <c r="V901" s="2">
        <v>56</v>
      </c>
      <c r="W901" s="2" t="s">
        <v>7862</v>
      </c>
      <c r="X901" s="2" t="s">
        <v>5405</v>
      </c>
      <c r="Y901" s="2">
        <v>11556</v>
      </c>
      <c r="Z901" s="19" t="str">
        <f>HYPERLINK("https://ssdweb.co/ssdweb/hd/Vision360.html?d=925971283&amp;zoomslide=1&amp;z=1925971283&amp;ISCONFIRM=0","VIDEO")</f>
        <v>VIDEO</v>
      </c>
      <c r="AA901" s="19" t="str">
        <f>HYPERLINK("https://ssdweb.co/ssdweb/CERTH/629497457.pdf","CERTI")</f>
        <v>CERTI</v>
      </c>
    </row>
    <row r="902" spans="1:27" ht="15" x14ac:dyDescent="0.25">
      <c r="A902" s="2">
        <v>897</v>
      </c>
      <c r="B902" s="39">
        <v>821128430</v>
      </c>
      <c r="C902" s="28" t="str">
        <f>HYPERLINK("https://pld.live/RapDetail.aspx?STONELIST=821128430","DNA")</f>
        <v>DNA</v>
      </c>
      <c r="D902" s="18" t="s">
        <v>3054</v>
      </c>
      <c r="E902" s="18" t="s">
        <v>5128</v>
      </c>
      <c r="F902" s="2" t="s">
        <v>7987</v>
      </c>
      <c r="G902" s="2" t="s">
        <v>861</v>
      </c>
      <c r="H902" s="14">
        <v>1.07</v>
      </c>
      <c r="I902" s="2" t="s">
        <v>267</v>
      </c>
      <c r="J902" s="2" t="s">
        <v>7032</v>
      </c>
      <c r="K902" s="2" t="s">
        <v>3390</v>
      </c>
      <c r="L902" s="2" t="s">
        <v>5221</v>
      </c>
      <c r="M902" s="2" t="s">
        <v>5221</v>
      </c>
      <c r="N902" s="2" t="s">
        <v>2317</v>
      </c>
      <c r="O902" s="14">
        <v>16000</v>
      </c>
      <c r="P902" s="14">
        <v>98.53</v>
      </c>
      <c r="Q902" s="14">
        <v>235.2</v>
      </c>
      <c r="R902" s="14">
        <v>251.66</v>
      </c>
      <c r="S902" s="2" t="s">
        <v>6152</v>
      </c>
      <c r="T902" s="2">
        <v>1</v>
      </c>
      <c r="U902" s="2">
        <v>62.1</v>
      </c>
      <c r="V902" s="2">
        <v>58.5</v>
      </c>
      <c r="W902" s="2" t="s">
        <v>7862</v>
      </c>
      <c r="X902" s="2" t="s">
        <v>5405</v>
      </c>
      <c r="Y902" s="2">
        <v>17120</v>
      </c>
      <c r="Z902" s="19" t="str">
        <f>HYPERLINK("https://ssdweb.co/ssdweb/hd/Vision360.html?d=821128430&amp;zoomslide=1&amp;z=1821128430&amp;ISCONFIRM=0","VIDEO")</f>
        <v>VIDEO</v>
      </c>
      <c r="AA902" s="19" t="str">
        <f>HYPERLINK("https://ssdweb.co/ssdweb/CERTH/561294040.pdf","CERTI")</f>
        <v>CERTI</v>
      </c>
    </row>
    <row r="903" spans="1:27" ht="15" x14ac:dyDescent="0.25">
      <c r="A903" s="2">
        <v>898</v>
      </c>
      <c r="B903" s="39">
        <v>926071894</v>
      </c>
      <c r="C903" s="28" t="str">
        <f>HYPERLINK("https://pld.live/RapDetail.aspx?STONELIST=926071894","DNA")</f>
        <v>DNA</v>
      </c>
      <c r="D903" s="18" t="s">
        <v>3054</v>
      </c>
      <c r="E903" s="18" t="s">
        <v>5128</v>
      </c>
      <c r="F903" s="2" t="s">
        <v>7987</v>
      </c>
      <c r="G903" s="2" t="s">
        <v>861</v>
      </c>
      <c r="H903" s="14">
        <v>1.07</v>
      </c>
      <c r="I903" s="2" t="s">
        <v>267</v>
      </c>
      <c r="J903" s="2" t="s">
        <v>3942</v>
      </c>
      <c r="K903" s="2" t="s">
        <v>3390</v>
      </c>
      <c r="L903" s="2" t="s">
        <v>5221</v>
      </c>
      <c r="M903" s="2" t="s">
        <v>5221</v>
      </c>
      <c r="N903" s="2" t="s">
        <v>2317</v>
      </c>
      <c r="O903" s="14">
        <v>10200</v>
      </c>
      <c r="P903" s="14">
        <v>98.78</v>
      </c>
      <c r="Q903" s="14">
        <v>124.44</v>
      </c>
      <c r="R903" s="14">
        <v>133.15</v>
      </c>
      <c r="S903" s="2" t="s">
        <v>3266</v>
      </c>
      <c r="T903" s="2">
        <v>1.01</v>
      </c>
      <c r="U903" s="2">
        <v>62.4</v>
      </c>
      <c r="V903" s="2">
        <v>57</v>
      </c>
      <c r="W903" s="2" t="s">
        <v>7862</v>
      </c>
      <c r="X903" s="2" t="s">
        <v>5405</v>
      </c>
      <c r="Y903" s="2">
        <v>10914</v>
      </c>
      <c r="Z903" s="19" t="str">
        <f>HYPERLINK("https://ssdweb.co/ssdweb/hd/Vision360.html?d=926071894&amp;zoomslide=1&amp;z=1926071894&amp;ISCONFIRM=0","VIDEO")</f>
        <v>VIDEO</v>
      </c>
      <c r="AA903" s="19" t="str">
        <f>HYPERLINK("https://ssdweb.co/ssdweb/CERTH/632488425.pdf","CERTI")</f>
        <v>CERTI</v>
      </c>
    </row>
    <row r="904" spans="1:27" ht="15" x14ac:dyDescent="0.25">
      <c r="A904" s="2">
        <v>899</v>
      </c>
      <c r="B904" s="39">
        <v>925961310</v>
      </c>
      <c r="C904" s="28" t="str">
        <f>HYPERLINK("https://pld.live/RapDetail.aspx?STONELIST=925961310","DNA")</f>
        <v>DNA</v>
      </c>
      <c r="D904" s="18" t="s">
        <v>3054</v>
      </c>
      <c r="E904" s="18" t="s">
        <v>5128</v>
      </c>
      <c r="F904" s="2" t="s">
        <v>5597</v>
      </c>
      <c r="G904" s="2" t="s">
        <v>861</v>
      </c>
      <c r="H904" s="14">
        <v>1.07</v>
      </c>
      <c r="I904" s="2" t="s">
        <v>267</v>
      </c>
      <c r="J904" s="2" t="s">
        <v>3942</v>
      </c>
      <c r="K904" s="2" t="s">
        <v>5221</v>
      </c>
      <c r="L904" s="2" t="s">
        <v>5221</v>
      </c>
      <c r="M904" s="2" t="s">
        <v>5221</v>
      </c>
      <c r="N904" s="2" t="s">
        <v>2317</v>
      </c>
      <c r="O904" s="14">
        <v>10200</v>
      </c>
      <c r="P904" s="14">
        <v>97.99</v>
      </c>
      <c r="Q904" s="14">
        <v>205.02</v>
      </c>
      <c r="R904" s="14">
        <v>219.37</v>
      </c>
      <c r="S904" s="2" t="s">
        <v>7103</v>
      </c>
      <c r="T904" s="2">
        <v>1</v>
      </c>
      <c r="U904" s="2">
        <v>62.2</v>
      </c>
      <c r="V904" s="2">
        <v>57</v>
      </c>
      <c r="W904" s="2" t="s">
        <v>7862</v>
      </c>
      <c r="X904" s="2" t="s">
        <v>5405</v>
      </c>
      <c r="Y904" s="2">
        <v>10914</v>
      </c>
      <c r="Z904" s="19" t="str">
        <f>HYPERLINK("https://ssdweb.co/ssdweb/hd/Vision360.html?d=925961310&amp;zoomslide=1&amp;z=1925961310&amp;ISCONFIRM=0","VIDEO")</f>
        <v>VIDEO</v>
      </c>
      <c r="AA904" s="19" t="str">
        <f>HYPERLINK("https://ssdweb.co/ssdweb/CERTH/1498108733.pdf","CERTI")</f>
        <v>CERTI</v>
      </c>
    </row>
    <row r="905" spans="1:27" ht="15" x14ac:dyDescent="0.25">
      <c r="A905" s="2">
        <v>900</v>
      </c>
      <c r="B905" s="39">
        <v>925940569</v>
      </c>
      <c r="C905" s="28" t="str">
        <f>HYPERLINK("https://pld.live/RapDetail.aspx?STONELIST=925940569","DNA")</f>
        <v>DNA</v>
      </c>
      <c r="D905" s="18" t="s">
        <v>3054</v>
      </c>
      <c r="E905" s="18" t="s">
        <v>5128</v>
      </c>
      <c r="F905" s="2" t="s">
        <v>7987</v>
      </c>
      <c r="G905" s="2" t="s">
        <v>861</v>
      </c>
      <c r="H905" s="14">
        <v>1.07</v>
      </c>
      <c r="I905" s="2" t="s">
        <v>267</v>
      </c>
      <c r="J905" s="2" t="s">
        <v>3942</v>
      </c>
      <c r="K905" s="2" t="s">
        <v>5221</v>
      </c>
      <c r="L905" s="2" t="s">
        <v>5221</v>
      </c>
      <c r="M905" s="2" t="s">
        <v>5221</v>
      </c>
      <c r="N905" s="2" t="s">
        <v>2317</v>
      </c>
      <c r="O905" s="14">
        <v>10200</v>
      </c>
      <c r="P905" s="14">
        <v>98.8</v>
      </c>
      <c r="Q905" s="14">
        <v>122.4</v>
      </c>
      <c r="R905" s="14">
        <v>130.97</v>
      </c>
      <c r="S905" s="2" t="s">
        <v>3197</v>
      </c>
      <c r="T905" s="2">
        <v>1.01</v>
      </c>
      <c r="U905" s="2">
        <v>62.6</v>
      </c>
      <c r="V905" s="2">
        <v>59</v>
      </c>
      <c r="W905" s="2" t="s">
        <v>7862</v>
      </c>
      <c r="X905" s="2" t="s">
        <v>5405</v>
      </c>
      <c r="Y905" s="2">
        <v>10914</v>
      </c>
      <c r="Z905" s="19" t="str">
        <f>HYPERLINK("https://ssdweb.co/ssdweb/hd/Vision360.html?d=925940569&amp;zoomslide=1&amp;z=1925940569&amp;ISCONFIRM=0","VIDEO")</f>
        <v>VIDEO</v>
      </c>
      <c r="AA905" s="19" t="str">
        <f>HYPERLINK("https://ssdweb.co/ssdweb/CERTH/629453048.pdf","CERTI")</f>
        <v>CERTI</v>
      </c>
    </row>
    <row r="906" spans="1:27" ht="15" x14ac:dyDescent="0.25">
      <c r="A906" s="2">
        <v>901</v>
      </c>
      <c r="B906" s="39">
        <v>925971257</v>
      </c>
      <c r="C906" s="28" t="str">
        <f>HYPERLINK("https://pld.live/RapDetail.aspx?STONELIST=925971257","DNA")</f>
        <v>DNA</v>
      </c>
      <c r="D906" s="18" t="s">
        <v>3054</v>
      </c>
      <c r="E906" s="18" t="s">
        <v>5128</v>
      </c>
      <c r="F906" s="2" t="s">
        <v>5597</v>
      </c>
      <c r="G906" s="2" t="s">
        <v>861</v>
      </c>
      <c r="H906" s="14">
        <v>1.07</v>
      </c>
      <c r="I906" s="2" t="s">
        <v>267</v>
      </c>
      <c r="J906" s="2" t="s">
        <v>3942</v>
      </c>
      <c r="K906" s="2" t="s">
        <v>5221</v>
      </c>
      <c r="L906" s="2" t="s">
        <v>5221</v>
      </c>
      <c r="M906" s="2" t="s">
        <v>5221</v>
      </c>
      <c r="N906" s="2" t="s">
        <v>2317</v>
      </c>
      <c r="O906" s="14">
        <v>10200</v>
      </c>
      <c r="P906" s="14">
        <v>97.99</v>
      </c>
      <c r="Q906" s="14">
        <v>205.02</v>
      </c>
      <c r="R906" s="14">
        <v>219.37</v>
      </c>
      <c r="S906" s="2" t="s">
        <v>5698</v>
      </c>
      <c r="T906" s="2">
        <v>1.01</v>
      </c>
      <c r="U906" s="2">
        <v>61.6</v>
      </c>
      <c r="V906" s="2">
        <v>56</v>
      </c>
      <c r="W906" s="2" t="s">
        <v>7862</v>
      </c>
      <c r="X906" s="2" t="s">
        <v>5405</v>
      </c>
      <c r="Y906" s="2">
        <v>10914</v>
      </c>
      <c r="Z906" s="19" t="str">
        <f>HYPERLINK("https://ssdweb.co/ssdweb/hd/Vision360.html?d=925971257&amp;zoomslide=1&amp;z=1925971257&amp;ISCONFIRM=0","VIDEO")</f>
        <v>VIDEO</v>
      </c>
      <c r="AA906" s="19" t="str">
        <f>HYPERLINK("https://ssdweb.co/ssdweb/CERTH/6492108675.pdf","CERTI")</f>
        <v>CERTI</v>
      </c>
    </row>
    <row r="907" spans="1:27" ht="15" x14ac:dyDescent="0.25">
      <c r="A907" s="2">
        <v>902</v>
      </c>
      <c r="B907" s="39">
        <v>926101467</v>
      </c>
      <c r="C907" s="28" t="str">
        <f>HYPERLINK("https://pld.live/RapDetail.aspx?STONELIST=926101467","DNA")</f>
        <v>DNA</v>
      </c>
      <c r="D907" s="18" t="s">
        <v>3054</v>
      </c>
      <c r="E907" s="18" t="s">
        <v>5128</v>
      </c>
      <c r="F907" s="2" t="s">
        <v>7987</v>
      </c>
      <c r="G907" s="2" t="s">
        <v>861</v>
      </c>
      <c r="H907" s="14">
        <v>1.07</v>
      </c>
      <c r="I907" s="2" t="s">
        <v>267</v>
      </c>
      <c r="J907" s="2" t="s">
        <v>3942</v>
      </c>
      <c r="K907" s="2" t="s">
        <v>5221</v>
      </c>
      <c r="L907" s="2" t="s">
        <v>5221</v>
      </c>
      <c r="M907" s="2" t="s">
        <v>5221</v>
      </c>
      <c r="N907" s="2" t="s">
        <v>2317</v>
      </c>
      <c r="O907" s="14">
        <v>10200</v>
      </c>
      <c r="P907" s="14">
        <v>98.78</v>
      </c>
      <c r="Q907" s="14">
        <v>124.44</v>
      </c>
      <c r="R907" s="14">
        <v>133.15</v>
      </c>
      <c r="S907" s="2" t="s">
        <v>1127</v>
      </c>
      <c r="T907" s="2">
        <v>1.01</v>
      </c>
      <c r="U907" s="2">
        <v>62.6</v>
      </c>
      <c r="V907" s="2">
        <v>58</v>
      </c>
      <c r="W907" s="2" t="s">
        <v>7862</v>
      </c>
      <c r="X907" s="2" t="s">
        <v>5405</v>
      </c>
      <c r="Y907" s="2">
        <v>10914</v>
      </c>
      <c r="Z907" s="19" t="str">
        <f>HYPERLINK("https://ssdweb.co/ssdweb/hd/Vision360.html?d=926101467&amp;zoomslide=1&amp;z=1926101467&amp;ISCONFIRM=0","VIDEO")</f>
        <v>VIDEO</v>
      </c>
      <c r="AA907" s="19" t="str">
        <f>HYPERLINK("https://ssdweb.co/ssdweb/CERTH/632403899.pdf","CERTI")</f>
        <v>CERTI</v>
      </c>
    </row>
    <row r="908" spans="1:27" ht="15" x14ac:dyDescent="0.25">
      <c r="A908" s="2">
        <v>903</v>
      </c>
      <c r="B908" s="39">
        <v>926101284</v>
      </c>
      <c r="C908" s="28" t="str">
        <f>HYPERLINK("https://pld.live/RapDetail.aspx?STONELIST=926101284","DNA")</f>
        <v>DNA</v>
      </c>
      <c r="D908" s="18" t="s">
        <v>3054</v>
      </c>
      <c r="E908" s="18" t="s">
        <v>5128</v>
      </c>
      <c r="F908" s="2" t="s">
        <v>7987</v>
      </c>
      <c r="G908" s="2" t="s">
        <v>861</v>
      </c>
      <c r="H908" s="14">
        <v>1.07</v>
      </c>
      <c r="I908" s="2" t="s">
        <v>267</v>
      </c>
      <c r="J908" s="2" t="s">
        <v>3942</v>
      </c>
      <c r="K908" s="2" t="s">
        <v>5221</v>
      </c>
      <c r="L908" s="2" t="s">
        <v>5221</v>
      </c>
      <c r="M908" s="2" t="s">
        <v>5221</v>
      </c>
      <c r="N908" s="2" t="s">
        <v>2317</v>
      </c>
      <c r="O908" s="14">
        <v>10200</v>
      </c>
      <c r="P908" s="14">
        <v>98.78</v>
      </c>
      <c r="Q908" s="14">
        <v>124.44</v>
      </c>
      <c r="R908" s="14">
        <v>133.15</v>
      </c>
      <c r="S908" s="2" t="s">
        <v>6846</v>
      </c>
      <c r="T908" s="2">
        <v>1.01</v>
      </c>
      <c r="U908" s="2">
        <v>62.8</v>
      </c>
      <c r="V908" s="2">
        <v>56</v>
      </c>
      <c r="W908" s="2" t="s">
        <v>7862</v>
      </c>
      <c r="X908" s="2" t="s">
        <v>5405</v>
      </c>
      <c r="Y908" s="2">
        <v>10914</v>
      </c>
      <c r="Z908" s="19" t="str">
        <f>HYPERLINK("https://ssdweb.co/ssdweb/hd/Vision360.html?d=926101284&amp;zoomslide=1&amp;z=1926101284&amp;ISCONFIRM=0","VIDEO")</f>
        <v>VIDEO</v>
      </c>
      <c r="AA908" s="19" t="str">
        <f>HYPERLINK("https://ssdweb.co/ssdweb/CERTH/632421461.pdf","CERTI")</f>
        <v>CERTI</v>
      </c>
    </row>
    <row r="909" spans="1:27" ht="15" x14ac:dyDescent="0.25">
      <c r="A909" s="2">
        <v>904</v>
      </c>
      <c r="B909" s="39">
        <v>925961083</v>
      </c>
      <c r="C909" s="28" t="str">
        <f>HYPERLINK("https://pld.live/RapDetail.aspx?STONELIST=925961083","DNA")</f>
        <v>DNA</v>
      </c>
      <c r="D909" s="18" t="s">
        <v>3054</v>
      </c>
      <c r="E909" s="18" t="s">
        <v>5128</v>
      </c>
      <c r="F909" s="2" t="s">
        <v>7987</v>
      </c>
      <c r="G909" s="2" t="s">
        <v>861</v>
      </c>
      <c r="H909" s="14">
        <v>1.07</v>
      </c>
      <c r="I909" s="2" t="s">
        <v>267</v>
      </c>
      <c r="J909" s="2" t="s">
        <v>13</v>
      </c>
      <c r="K909" s="2" t="s">
        <v>3390</v>
      </c>
      <c r="L909" s="2" t="s">
        <v>5221</v>
      </c>
      <c r="M909" s="2" t="s">
        <v>5221</v>
      </c>
      <c r="N909" s="2" t="s">
        <v>2317</v>
      </c>
      <c r="O909" s="14">
        <v>8700</v>
      </c>
      <c r="P909" s="14">
        <v>98.67</v>
      </c>
      <c r="Q909" s="14">
        <v>115.71</v>
      </c>
      <c r="R909" s="14">
        <v>123.81</v>
      </c>
      <c r="S909" s="2" t="s">
        <v>7415</v>
      </c>
      <c r="T909" s="2">
        <v>1</v>
      </c>
      <c r="U909" s="2">
        <v>61.4</v>
      </c>
      <c r="V909" s="2">
        <v>58</v>
      </c>
      <c r="W909" s="2" t="s">
        <v>7862</v>
      </c>
      <c r="X909" s="2" t="s">
        <v>5405</v>
      </c>
      <c r="Y909" s="2">
        <v>9309</v>
      </c>
      <c r="Z909" s="19" t="str">
        <f>HYPERLINK("https://ssdweb.co/ssdweb/hd/Vision360.html?d=925961083&amp;zoomslide=1&amp;z=1925961083&amp;ISCONFIRM=0","VIDEO")</f>
        <v>VIDEO</v>
      </c>
      <c r="AA909" s="19" t="str">
        <f>HYPERLINK("https://ssdweb.co/ssdweb/CERTH/629453414.pdf","CERTI")</f>
        <v>CERTI</v>
      </c>
    </row>
    <row r="910" spans="1:27" ht="15" x14ac:dyDescent="0.25">
      <c r="A910" s="2">
        <v>905</v>
      </c>
      <c r="B910" s="39">
        <v>925961158</v>
      </c>
      <c r="C910" s="28" t="str">
        <f>HYPERLINK("https://pld.live/RapDetail.aspx?STONELIST=925961158","DNA")</f>
        <v>DNA</v>
      </c>
      <c r="D910" s="18" t="s">
        <v>3054</v>
      </c>
      <c r="E910" s="18" t="s">
        <v>5128</v>
      </c>
      <c r="F910" s="2" t="s">
        <v>7987</v>
      </c>
      <c r="G910" s="2" t="s">
        <v>861</v>
      </c>
      <c r="H910" s="14">
        <v>1.07</v>
      </c>
      <c r="I910" s="2" t="s">
        <v>267</v>
      </c>
      <c r="J910" s="2" t="s">
        <v>13</v>
      </c>
      <c r="K910" s="2" t="s">
        <v>3390</v>
      </c>
      <c r="L910" s="2" t="s">
        <v>5221</v>
      </c>
      <c r="M910" s="2" t="s">
        <v>5221</v>
      </c>
      <c r="N910" s="2" t="s">
        <v>2317</v>
      </c>
      <c r="O910" s="14">
        <v>8700</v>
      </c>
      <c r="P910" s="14">
        <v>98.64</v>
      </c>
      <c r="Q910" s="14">
        <v>118.32</v>
      </c>
      <c r="R910" s="14">
        <v>126.6</v>
      </c>
      <c r="S910" s="2" t="s">
        <v>498</v>
      </c>
      <c r="T910" s="2">
        <v>1.01</v>
      </c>
      <c r="U910" s="2">
        <v>62.2</v>
      </c>
      <c r="V910" s="2">
        <v>57</v>
      </c>
      <c r="W910" s="2" t="s">
        <v>7862</v>
      </c>
      <c r="X910" s="2" t="s">
        <v>5405</v>
      </c>
      <c r="Y910" s="2">
        <v>9309</v>
      </c>
      <c r="Z910" s="19" t="str">
        <f>HYPERLINK("https://ssdweb.co/ssdweb/hd/Vision360.html?d=925961158&amp;zoomslide=1&amp;z=1925961158&amp;ISCONFIRM=0","VIDEO")</f>
        <v>VIDEO</v>
      </c>
      <c r="AA910" s="19" t="str">
        <f>HYPERLINK("https://ssdweb.co/ssdweb/CERTH/629453259.pdf","CERTI")</f>
        <v>CERTI</v>
      </c>
    </row>
    <row r="911" spans="1:27" ht="15" x14ac:dyDescent="0.25">
      <c r="A911" s="2">
        <v>906</v>
      </c>
      <c r="B911" s="39">
        <v>925920818</v>
      </c>
      <c r="C911" s="28" t="str">
        <f>HYPERLINK("https://pld.live/RapDetail.aspx?STONELIST=925920818","DNA")</f>
        <v>DNA</v>
      </c>
      <c r="D911" s="18" t="s">
        <v>3054</v>
      </c>
      <c r="E911" s="18" t="s">
        <v>5128</v>
      </c>
      <c r="F911" s="2" t="s">
        <v>7987</v>
      </c>
      <c r="G911" s="2" t="s">
        <v>861</v>
      </c>
      <c r="H911" s="14">
        <v>1.07</v>
      </c>
      <c r="I911" s="2" t="s">
        <v>267</v>
      </c>
      <c r="J911" s="2" t="s">
        <v>13</v>
      </c>
      <c r="K911" s="2" t="s">
        <v>3390</v>
      </c>
      <c r="L911" s="2" t="s">
        <v>5221</v>
      </c>
      <c r="M911" s="2" t="s">
        <v>5221</v>
      </c>
      <c r="N911" s="2" t="s">
        <v>2317</v>
      </c>
      <c r="O911" s="14">
        <v>8700</v>
      </c>
      <c r="P911" s="14">
        <v>98.67</v>
      </c>
      <c r="Q911" s="14">
        <v>115.71</v>
      </c>
      <c r="R911" s="14">
        <v>123.81</v>
      </c>
      <c r="S911" s="2" t="s">
        <v>1252</v>
      </c>
      <c r="T911" s="2">
        <v>1</v>
      </c>
      <c r="U911" s="2">
        <v>62</v>
      </c>
      <c r="V911" s="2">
        <v>58</v>
      </c>
      <c r="W911" s="2" t="s">
        <v>7862</v>
      </c>
      <c r="X911" s="2" t="s">
        <v>5405</v>
      </c>
      <c r="Y911" s="2">
        <v>9309</v>
      </c>
      <c r="Z911" s="19" t="str">
        <f>HYPERLINK("https://ssdweb.co/ssdweb/hd/Vision360.html?d=925920818&amp;zoomslide=1&amp;z=1925920818&amp;ISCONFIRM=0","VIDEO")</f>
        <v>VIDEO</v>
      </c>
      <c r="AA911" s="19" t="str">
        <f>HYPERLINK("https://ssdweb.co/ssdweb/CERTH/628426963.pdf","CERTI")</f>
        <v>CERTI</v>
      </c>
    </row>
    <row r="912" spans="1:27" ht="15" x14ac:dyDescent="0.25">
      <c r="A912" s="2">
        <v>907</v>
      </c>
      <c r="B912" s="39">
        <v>925861648</v>
      </c>
      <c r="C912" s="28" t="str">
        <f>HYPERLINK("https://pld.live/RapDetail.aspx?STONELIST=925861648","DNA")</f>
        <v>DNA</v>
      </c>
      <c r="D912" s="18" t="s">
        <v>3054</v>
      </c>
      <c r="E912" s="18" t="s">
        <v>5128</v>
      </c>
      <c r="F912" s="2" t="s">
        <v>7987</v>
      </c>
      <c r="G912" s="2" t="s">
        <v>861</v>
      </c>
      <c r="H912" s="14">
        <v>1.07</v>
      </c>
      <c r="I912" s="2" t="s">
        <v>267</v>
      </c>
      <c r="J912" s="2" t="s">
        <v>13</v>
      </c>
      <c r="K912" s="2" t="s">
        <v>3390</v>
      </c>
      <c r="L912" s="2" t="s">
        <v>5221</v>
      </c>
      <c r="M912" s="2" t="s">
        <v>5221</v>
      </c>
      <c r="N912" s="2" t="s">
        <v>2317</v>
      </c>
      <c r="O912" s="14">
        <v>8700</v>
      </c>
      <c r="P912" s="14">
        <v>98.67</v>
      </c>
      <c r="Q912" s="14">
        <v>115.71</v>
      </c>
      <c r="R912" s="14">
        <v>123.81</v>
      </c>
      <c r="S912" s="2" t="s">
        <v>5800</v>
      </c>
      <c r="T912" s="2">
        <v>1.01</v>
      </c>
      <c r="U912" s="2">
        <v>61.4</v>
      </c>
      <c r="V912" s="2">
        <v>58</v>
      </c>
      <c r="W912" s="2" t="s">
        <v>7862</v>
      </c>
      <c r="X912" s="2" t="s">
        <v>5405</v>
      </c>
      <c r="Y912" s="2">
        <v>9309</v>
      </c>
      <c r="Z912" s="19" t="str">
        <f>HYPERLINK("https://ssdweb.co/ssdweb/hd/Vision360.html?d=925861648&amp;zoomslide=1&amp;z=1925861648&amp;ISCONFIRM=0","VIDEO")</f>
        <v>VIDEO</v>
      </c>
      <c r="AA912" s="19" t="str">
        <f>HYPERLINK("https://ssdweb.co/ssdweb/CERTH/627415157.pdf","CERTI")</f>
        <v>CERTI</v>
      </c>
    </row>
    <row r="913" spans="1:27" ht="15" x14ac:dyDescent="0.25">
      <c r="A913" s="2">
        <v>908</v>
      </c>
      <c r="B913" s="39">
        <v>821127415</v>
      </c>
      <c r="C913" s="28" t="str">
        <f>HYPERLINK("https://pld.live/RapDetail.aspx?STONELIST=821127415","DNA")</f>
        <v>DNA</v>
      </c>
      <c r="D913" s="18" t="s">
        <v>3054</v>
      </c>
      <c r="E913" s="18" t="s">
        <v>5128</v>
      </c>
      <c r="F913" s="2" t="s">
        <v>7987</v>
      </c>
      <c r="G913" s="2" t="s">
        <v>861</v>
      </c>
      <c r="H913" s="14">
        <v>1.07</v>
      </c>
      <c r="I913" s="2" t="s">
        <v>267</v>
      </c>
      <c r="J913" s="2" t="s">
        <v>13</v>
      </c>
      <c r="K913" s="2" t="s">
        <v>3390</v>
      </c>
      <c r="L913" s="2" t="s">
        <v>5221</v>
      </c>
      <c r="M913" s="2" t="s">
        <v>5221</v>
      </c>
      <c r="N913" s="2" t="s">
        <v>2317</v>
      </c>
      <c r="O913" s="14">
        <v>8700</v>
      </c>
      <c r="P913" s="14">
        <v>98.67</v>
      </c>
      <c r="Q913" s="14">
        <v>115.71</v>
      </c>
      <c r="R913" s="14">
        <v>123.81</v>
      </c>
      <c r="S913" s="2" t="s">
        <v>1466</v>
      </c>
      <c r="T913" s="2">
        <v>1</v>
      </c>
      <c r="U913" s="2">
        <v>60.9</v>
      </c>
      <c r="V913" s="2">
        <v>57</v>
      </c>
      <c r="W913" s="2" t="s">
        <v>7862</v>
      </c>
      <c r="X913" s="2" t="s">
        <v>5405</v>
      </c>
      <c r="Y913" s="2">
        <v>9309</v>
      </c>
      <c r="Z913" s="19" t="str">
        <f>HYPERLINK("https://ssdweb.co/ssdweb/hd/Vision360.html?d=821127415&amp;zoomslide=1&amp;z=1821127415&amp;ISCONFIRM=0","VIDEO")</f>
        <v>VIDEO</v>
      </c>
      <c r="AA913" s="19" t="str">
        <f>HYPERLINK("https://ssdweb.co/ssdweb/CERTH/625467080.pdf","CERTI")</f>
        <v>CERTI</v>
      </c>
    </row>
    <row r="914" spans="1:27" ht="15" x14ac:dyDescent="0.25">
      <c r="A914" s="2">
        <v>909</v>
      </c>
      <c r="B914" s="39">
        <v>821127416</v>
      </c>
      <c r="C914" s="28" t="str">
        <f>HYPERLINK("https://pld.live/RapDetail.aspx?STONELIST=821127416","DNA")</f>
        <v>DNA</v>
      </c>
      <c r="D914" s="18" t="s">
        <v>3054</v>
      </c>
      <c r="E914" s="18" t="s">
        <v>5128</v>
      </c>
      <c r="F914" s="2" t="s">
        <v>7987</v>
      </c>
      <c r="G914" s="2" t="s">
        <v>861</v>
      </c>
      <c r="H914" s="14">
        <v>1.07</v>
      </c>
      <c r="I914" s="2" t="s">
        <v>267</v>
      </c>
      <c r="J914" s="2" t="s">
        <v>13</v>
      </c>
      <c r="K914" s="2" t="s">
        <v>3390</v>
      </c>
      <c r="L914" s="2" t="s">
        <v>5221</v>
      </c>
      <c r="M914" s="2" t="s">
        <v>5221</v>
      </c>
      <c r="N914" s="2" t="s">
        <v>2317</v>
      </c>
      <c r="O914" s="14">
        <v>8700</v>
      </c>
      <c r="P914" s="14">
        <v>98.67</v>
      </c>
      <c r="Q914" s="14">
        <v>115.71</v>
      </c>
      <c r="R914" s="14">
        <v>123.81</v>
      </c>
      <c r="S914" s="2" t="s">
        <v>4966</v>
      </c>
      <c r="T914" s="2">
        <v>1</v>
      </c>
      <c r="U914" s="2">
        <v>60.3</v>
      </c>
      <c r="V914" s="2">
        <v>59</v>
      </c>
      <c r="W914" s="2" t="s">
        <v>7862</v>
      </c>
      <c r="X914" s="2" t="s">
        <v>5405</v>
      </c>
      <c r="Y914" s="2">
        <v>9309</v>
      </c>
      <c r="Z914" s="19" t="str">
        <f>HYPERLINK("https://ssdweb.co/ssdweb/hd/Vision360.html?d=821127416&amp;zoomslide=1&amp;z=1821127416&amp;ISCONFIRM=0","VIDEO")</f>
        <v>VIDEO</v>
      </c>
      <c r="AA914" s="19" t="str">
        <f>HYPERLINK("https://ssdweb.co/ssdweb/CERTH/626479167.pdf","CERTI")</f>
        <v>CERTI</v>
      </c>
    </row>
    <row r="915" spans="1:27" ht="15" x14ac:dyDescent="0.25">
      <c r="A915" s="2">
        <v>910</v>
      </c>
      <c r="B915" s="39">
        <v>821127414</v>
      </c>
      <c r="C915" s="28" t="str">
        <f>HYPERLINK("https://pld.live/RapDetail.aspx?STONELIST=821127414","DNA")</f>
        <v>DNA</v>
      </c>
      <c r="D915" s="18" t="s">
        <v>3054</v>
      </c>
      <c r="E915" s="18" t="s">
        <v>5128</v>
      </c>
      <c r="F915" s="2" t="s">
        <v>7987</v>
      </c>
      <c r="G915" s="2" t="s">
        <v>861</v>
      </c>
      <c r="H915" s="14">
        <v>1.07</v>
      </c>
      <c r="I915" s="2" t="s">
        <v>267</v>
      </c>
      <c r="J915" s="2" t="s">
        <v>13</v>
      </c>
      <c r="K915" s="2" t="s">
        <v>3390</v>
      </c>
      <c r="L915" s="2" t="s">
        <v>5221</v>
      </c>
      <c r="M915" s="2" t="s">
        <v>5221</v>
      </c>
      <c r="N915" s="2" t="s">
        <v>2317</v>
      </c>
      <c r="O915" s="14">
        <v>8700</v>
      </c>
      <c r="P915" s="14">
        <v>98.67</v>
      </c>
      <c r="Q915" s="14">
        <v>115.71</v>
      </c>
      <c r="R915" s="14">
        <v>123.81</v>
      </c>
      <c r="S915" s="2" t="s">
        <v>1993</v>
      </c>
      <c r="T915" s="2">
        <v>1.01</v>
      </c>
      <c r="U915" s="2">
        <v>62</v>
      </c>
      <c r="V915" s="2">
        <v>59</v>
      </c>
      <c r="W915" s="2" t="s">
        <v>7862</v>
      </c>
      <c r="X915" s="2" t="s">
        <v>5405</v>
      </c>
      <c r="Y915" s="2">
        <v>9309</v>
      </c>
      <c r="Z915" s="19" t="str">
        <f>HYPERLINK("https://ssdweb.co/ssdweb/hd/Vision360.html?d=821127414&amp;zoomslide=1&amp;z=1821127414&amp;ISCONFIRM=0","VIDEO")</f>
        <v>VIDEO</v>
      </c>
      <c r="AA915" s="19" t="str">
        <f>HYPERLINK("https://ssdweb.co/ssdweb/CERTH/626478981.pdf","CERTI")</f>
        <v>CERTI</v>
      </c>
    </row>
    <row r="916" spans="1:27" ht="15" x14ac:dyDescent="0.25">
      <c r="A916" s="2">
        <v>911</v>
      </c>
      <c r="B916" s="39">
        <v>821127420</v>
      </c>
      <c r="C916" s="28" t="str">
        <f>HYPERLINK("https://pld.live/RapDetail.aspx?STONELIST=821127420","DNA")</f>
        <v>DNA</v>
      </c>
      <c r="D916" s="18" t="s">
        <v>3054</v>
      </c>
      <c r="E916" s="18" t="s">
        <v>5128</v>
      </c>
      <c r="F916" s="2" t="s">
        <v>7987</v>
      </c>
      <c r="G916" s="2" t="s">
        <v>861</v>
      </c>
      <c r="H916" s="14">
        <v>1.07</v>
      </c>
      <c r="I916" s="2" t="s">
        <v>267</v>
      </c>
      <c r="J916" s="2" t="s">
        <v>13</v>
      </c>
      <c r="K916" s="2" t="s">
        <v>3390</v>
      </c>
      <c r="L916" s="2" t="s">
        <v>5221</v>
      </c>
      <c r="M916" s="2" t="s">
        <v>5221</v>
      </c>
      <c r="N916" s="2" t="s">
        <v>2317</v>
      </c>
      <c r="O916" s="14">
        <v>8700</v>
      </c>
      <c r="P916" s="14">
        <v>98.67</v>
      </c>
      <c r="Q916" s="14">
        <v>115.71</v>
      </c>
      <c r="R916" s="14">
        <v>123.81</v>
      </c>
      <c r="S916" s="2" t="s">
        <v>4039</v>
      </c>
      <c r="T916" s="2">
        <v>1.01</v>
      </c>
      <c r="U916" s="2">
        <v>61.9</v>
      </c>
      <c r="V916" s="2">
        <v>56</v>
      </c>
      <c r="W916" s="2" t="s">
        <v>7862</v>
      </c>
      <c r="X916" s="2" t="s">
        <v>5405</v>
      </c>
      <c r="Y916" s="2">
        <v>9309</v>
      </c>
      <c r="Z916" s="19" t="str">
        <f>HYPERLINK("https://ssdweb.co/ssdweb/hd/Vision360.html?d=821127420&amp;zoomslide=1&amp;z=1821127420&amp;ISCONFIRM=0","VIDEO")</f>
        <v>VIDEO</v>
      </c>
      <c r="AA916" s="19" t="str">
        <f>HYPERLINK("https://ssdweb.co/ssdweb/CERTH/626479200.pdf","CERTI")</f>
        <v>CERTI</v>
      </c>
    </row>
    <row r="917" spans="1:27" ht="15" x14ac:dyDescent="0.25">
      <c r="A917" s="2">
        <v>912</v>
      </c>
      <c r="B917" s="39">
        <v>821127421</v>
      </c>
      <c r="C917" s="28" t="str">
        <f>HYPERLINK("https://pld.live/RapDetail.aspx?STONELIST=821127421","DNA")</f>
        <v>DNA</v>
      </c>
      <c r="D917" s="18" t="s">
        <v>3054</v>
      </c>
      <c r="E917" s="18" t="s">
        <v>5128</v>
      </c>
      <c r="F917" s="2" t="s">
        <v>7987</v>
      </c>
      <c r="G917" s="2" t="s">
        <v>861</v>
      </c>
      <c r="H917" s="14">
        <v>1.07</v>
      </c>
      <c r="I917" s="2" t="s">
        <v>267</v>
      </c>
      <c r="J917" s="2" t="s">
        <v>13</v>
      </c>
      <c r="K917" s="2" t="s">
        <v>3390</v>
      </c>
      <c r="L917" s="2" t="s">
        <v>5221</v>
      </c>
      <c r="M917" s="2" t="s">
        <v>5221</v>
      </c>
      <c r="N917" s="2" t="s">
        <v>2317</v>
      </c>
      <c r="O917" s="14">
        <v>8700</v>
      </c>
      <c r="P917" s="14">
        <v>98.67</v>
      </c>
      <c r="Q917" s="14">
        <v>115.71</v>
      </c>
      <c r="R917" s="14">
        <v>123.81</v>
      </c>
      <c r="S917" s="2" t="s">
        <v>925</v>
      </c>
      <c r="T917" s="2">
        <v>1</v>
      </c>
      <c r="U917" s="2">
        <v>61.5</v>
      </c>
      <c r="V917" s="2">
        <v>58</v>
      </c>
      <c r="W917" s="2" t="s">
        <v>7862</v>
      </c>
      <c r="X917" s="2" t="s">
        <v>5405</v>
      </c>
      <c r="Y917" s="2">
        <v>9309</v>
      </c>
      <c r="Z917" s="19" t="str">
        <f>HYPERLINK("https://ssdweb.co/ssdweb/hd/Vision360.html?d=821127421&amp;zoomslide=1&amp;z=1821127421&amp;ISCONFIRM=0","VIDEO")</f>
        <v>VIDEO</v>
      </c>
      <c r="AA917" s="19" t="str">
        <f>HYPERLINK("https://ssdweb.co/ssdweb/CERTH/624404865.pdf","CERTI")</f>
        <v>CERTI</v>
      </c>
    </row>
    <row r="918" spans="1:27" ht="15" x14ac:dyDescent="0.25">
      <c r="A918" s="2">
        <v>913</v>
      </c>
      <c r="B918" s="39">
        <v>821127413</v>
      </c>
      <c r="C918" s="28" t="str">
        <f>HYPERLINK("https://pld.live/RapDetail.aspx?STONELIST=821127413","DNA")</f>
        <v>DNA</v>
      </c>
      <c r="D918" s="18" t="s">
        <v>3054</v>
      </c>
      <c r="E918" s="18" t="s">
        <v>5128</v>
      </c>
      <c r="F918" s="2" t="s">
        <v>7987</v>
      </c>
      <c r="G918" s="2" t="s">
        <v>861</v>
      </c>
      <c r="H918" s="14">
        <v>1.07</v>
      </c>
      <c r="I918" s="2" t="s">
        <v>267</v>
      </c>
      <c r="J918" s="2" t="s">
        <v>13</v>
      </c>
      <c r="K918" s="2" t="s">
        <v>3390</v>
      </c>
      <c r="L918" s="2" t="s">
        <v>5221</v>
      </c>
      <c r="M918" s="2" t="s">
        <v>5221</v>
      </c>
      <c r="N918" s="2" t="s">
        <v>2317</v>
      </c>
      <c r="O918" s="14">
        <v>8700</v>
      </c>
      <c r="P918" s="14">
        <v>98.67</v>
      </c>
      <c r="Q918" s="14">
        <v>115.71</v>
      </c>
      <c r="R918" s="14">
        <v>123.81</v>
      </c>
      <c r="S918" s="2" t="s">
        <v>4122</v>
      </c>
      <c r="T918" s="2">
        <v>1</v>
      </c>
      <c r="U918" s="2">
        <v>61</v>
      </c>
      <c r="V918" s="2">
        <v>59</v>
      </c>
      <c r="W918" s="2" t="s">
        <v>7862</v>
      </c>
      <c r="X918" s="2" t="s">
        <v>5405</v>
      </c>
      <c r="Y918" s="2">
        <v>9309</v>
      </c>
      <c r="Z918" s="19" t="str">
        <f>HYPERLINK("https://ssdweb.co/ssdweb/hd/Vision360.html?d=821127413&amp;zoomslide=1&amp;z=1821127413&amp;ISCONFIRM=0","VIDEO")</f>
        <v>VIDEO</v>
      </c>
      <c r="AA918" s="19" t="str">
        <f>HYPERLINK("https://ssdweb.co/ssdweb/CERTH/625467087.pdf","CERTI")</f>
        <v>CERTI</v>
      </c>
    </row>
    <row r="919" spans="1:27" ht="15" x14ac:dyDescent="0.25">
      <c r="A919" s="2">
        <v>914</v>
      </c>
      <c r="B919" s="39">
        <v>821127446</v>
      </c>
      <c r="C919" s="28" t="str">
        <f>HYPERLINK("https://pld.live/RapDetail.aspx?STONELIST=821127446","DNA")</f>
        <v>DNA</v>
      </c>
      <c r="D919" s="18" t="s">
        <v>3054</v>
      </c>
      <c r="E919" s="18" t="s">
        <v>5128</v>
      </c>
      <c r="F919" s="2" t="s">
        <v>7987</v>
      </c>
      <c r="G919" s="2" t="s">
        <v>861</v>
      </c>
      <c r="H919" s="14">
        <v>1.07</v>
      </c>
      <c r="I919" s="2" t="s">
        <v>267</v>
      </c>
      <c r="J919" s="2" t="s">
        <v>13</v>
      </c>
      <c r="K919" s="2" t="s">
        <v>3390</v>
      </c>
      <c r="L919" s="2" t="s">
        <v>5221</v>
      </c>
      <c r="M919" s="2" t="s">
        <v>5221</v>
      </c>
      <c r="N919" s="2" t="s">
        <v>2317</v>
      </c>
      <c r="O919" s="14">
        <v>8700</v>
      </c>
      <c r="P919" s="14">
        <v>98.67</v>
      </c>
      <c r="Q919" s="14">
        <v>115.71</v>
      </c>
      <c r="R919" s="14">
        <v>123.81</v>
      </c>
      <c r="S919" s="2" t="s">
        <v>4330</v>
      </c>
      <c r="T919" s="2">
        <v>1.01</v>
      </c>
      <c r="U919" s="2">
        <v>60.4</v>
      </c>
      <c r="V919" s="2">
        <v>57</v>
      </c>
      <c r="W919" s="2" t="s">
        <v>7862</v>
      </c>
      <c r="X919" s="2" t="s">
        <v>5405</v>
      </c>
      <c r="Y919" s="2">
        <v>9309</v>
      </c>
      <c r="Z919" s="19" t="str">
        <f>HYPERLINK("https://ssdweb.co/ssdweb/hd/Vision360.html?d=821127446&amp;zoomslide=1&amp;z=1821127446&amp;ISCONFIRM=0","VIDEO")</f>
        <v>VIDEO</v>
      </c>
      <c r="AA919" s="19" t="str">
        <f>HYPERLINK("https://ssdweb.co/ssdweb/CERTH/626478967.pdf","CERTI")</f>
        <v>CERTI</v>
      </c>
    </row>
    <row r="920" spans="1:27" ht="15" x14ac:dyDescent="0.25">
      <c r="A920" s="2">
        <v>915</v>
      </c>
      <c r="B920" s="39">
        <v>821127457</v>
      </c>
      <c r="C920" s="28" t="str">
        <f>HYPERLINK("https://pld.live/RapDetail.aspx?STONELIST=821127457","DNA")</f>
        <v>DNA</v>
      </c>
      <c r="D920" s="18" t="s">
        <v>3054</v>
      </c>
      <c r="E920" s="18" t="s">
        <v>5128</v>
      </c>
      <c r="F920" s="2" t="s">
        <v>7987</v>
      </c>
      <c r="G920" s="2" t="s">
        <v>861</v>
      </c>
      <c r="H920" s="14">
        <v>1.07</v>
      </c>
      <c r="I920" s="2" t="s">
        <v>267</v>
      </c>
      <c r="J920" s="2" t="s">
        <v>13</v>
      </c>
      <c r="K920" s="2" t="s">
        <v>3390</v>
      </c>
      <c r="L920" s="2" t="s">
        <v>5221</v>
      </c>
      <c r="M920" s="2" t="s">
        <v>5221</v>
      </c>
      <c r="N920" s="2" t="s">
        <v>2317</v>
      </c>
      <c r="O920" s="14">
        <v>8700</v>
      </c>
      <c r="P920" s="14">
        <v>98.67</v>
      </c>
      <c r="Q920" s="14">
        <v>115.71</v>
      </c>
      <c r="R920" s="14">
        <v>123.81</v>
      </c>
      <c r="S920" s="2" t="s">
        <v>6755</v>
      </c>
      <c r="T920" s="2">
        <v>1</v>
      </c>
      <c r="U920" s="2">
        <v>61</v>
      </c>
      <c r="V920" s="2">
        <v>59</v>
      </c>
      <c r="W920" s="2" t="s">
        <v>7862</v>
      </c>
      <c r="X920" s="2" t="s">
        <v>5405</v>
      </c>
      <c r="Y920" s="2">
        <v>9309</v>
      </c>
      <c r="Z920" s="19" t="str">
        <f>HYPERLINK("https://ssdweb.co/ssdweb/hd/Vision360.html?d=821127457&amp;zoomslide=1&amp;z=1821127457&amp;ISCONFIRM=0","VIDEO")</f>
        <v>VIDEO</v>
      </c>
      <c r="AA920" s="19" t="str">
        <f>HYPERLINK("https://ssdweb.co/ssdweb/CERTH/626478970.pdf","CERTI")</f>
        <v>CERTI</v>
      </c>
    </row>
    <row r="921" spans="1:27" ht="15" x14ac:dyDescent="0.25">
      <c r="A921" s="2">
        <v>916</v>
      </c>
      <c r="B921" s="39">
        <v>821127466</v>
      </c>
      <c r="C921" s="28" t="str">
        <f>HYPERLINK("https://pld.live/RapDetail.aspx?STONELIST=821127466","DNA")</f>
        <v>DNA</v>
      </c>
      <c r="D921" s="18" t="s">
        <v>3054</v>
      </c>
      <c r="E921" s="18" t="s">
        <v>5128</v>
      </c>
      <c r="F921" s="2" t="s">
        <v>7987</v>
      </c>
      <c r="G921" s="2" t="s">
        <v>861</v>
      </c>
      <c r="H921" s="14">
        <v>1.07</v>
      </c>
      <c r="I921" s="2" t="s">
        <v>267</v>
      </c>
      <c r="J921" s="2" t="s">
        <v>13</v>
      </c>
      <c r="K921" s="2" t="s">
        <v>3390</v>
      </c>
      <c r="L921" s="2" t="s">
        <v>5221</v>
      </c>
      <c r="M921" s="2" t="s">
        <v>5221</v>
      </c>
      <c r="N921" s="2" t="s">
        <v>2317</v>
      </c>
      <c r="O921" s="14">
        <v>8700</v>
      </c>
      <c r="P921" s="14">
        <v>98.67</v>
      </c>
      <c r="Q921" s="14">
        <v>115.71</v>
      </c>
      <c r="R921" s="14">
        <v>123.81</v>
      </c>
      <c r="S921" s="2" t="s">
        <v>4716</v>
      </c>
      <c r="T921" s="2">
        <v>1.01</v>
      </c>
      <c r="U921" s="2">
        <v>62.2</v>
      </c>
      <c r="V921" s="2">
        <v>56</v>
      </c>
      <c r="W921" s="2" t="s">
        <v>7862</v>
      </c>
      <c r="X921" s="2" t="s">
        <v>5405</v>
      </c>
      <c r="Y921" s="2">
        <v>9309</v>
      </c>
      <c r="Z921" s="19" t="str">
        <f>HYPERLINK("https://ssdweb.co/ssdweb/hd/Vision360.html?d=821127466&amp;zoomslide=1&amp;z=1821127466&amp;ISCONFIRM=0","VIDEO")</f>
        <v>VIDEO</v>
      </c>
      <c r="AA921" s="19" t="str">
        <f>HYPERLINK("https://ssdweb.co/ssdweb/CERTH/626479063.pdf","CERTI")</f>
        <v>CERTI</v>
      </c>
    </row>
    <row r="922" spans="1:27" ht="15" x14ac:dyDescent="0.25">
      <c r="A922" s="2">
        <v>917</v>
      </c>
      <c r="B922" s="39">
        <v>821127401</v>
      </c>
      <c r="C922" s="28" t="str">
        <f>HYPERLINK("https://pld.live/RapDetail.aspx?STONELIST=821127401","DNA")</f>
        <v>DNA</v>
      </c>
      <c r="D922" s="18" t="s">
        <v>3054</v>
      </c>
      <c r="E922" s="18" t="s">
        <v>5128</v>
      </c>
      <c r="F922" s="2" t="s">
        <v>7987</v>
      </c>
      <c r="G922" s="2" t="s">
        <v>861</v>
      </c>
      <c r="H922" s="14">
        <v>1.07</v>
      </c>
      <c r="I922" s="2" t="s">
        <v>267</v>
      </c>
      <c r="J922" s="2" t="s">
        <v>13</v>
      </c>
      <c r="K922" s="2" t="s">
        <v>3390</v>
      </c>
      <c r="L922" s="2" t="s">
        <v>5221</v>
      </c>
      <c r="M922" s="2" t="s">
        <v>5221</v>
      </c>
      <c r="N922" s="2" t="s">
        <v>2317</v>
      </c>
      <c r="O922" s="14">
        <v>8700</v>
      </c>
      <c r="P922" s="14">
        <v>98.67</v>
      </c>
      <c r="Q922" s="14">
        <v>115.71</v>
      </c>
      <c r="R922" s="14">
        <v>123.81</v>
      </c>
      <c r="S922" s="2" t="s">
        <v>7855</v>
      </c>
      <c r="T922" s="2">
        <v>1</v>
      </c>
      <c r="U922" s="2">
        <v>62</v>
      </c>
      <c r="V922" s="2">
        <v>56</v>
      </c>
      <c r="W922" s="2" t="s">
        <v>7862</v>
      </c>
      <c r="X922" s="2" t="s">
        <v>5405</v>
      </c>
      <c r="Y922" s="2">
        <v>9309</v>
      </c>
      <c r="Z922" s="19" t="str">
        <f>HYPERLINK("https://ssdweb.co/ssdweb/hd/Vision360.html?d=821127401&amp;zoomslide=1&amp;z=1821127401&amp;ISCONFIRM=0","VIDEO")</f>
        <v>VIDEO</v>
      </c>
      <c r="AA922" s="19" t="str">
        <f>HYPERLINK("https://ssdweb.co/ssdweb/CERTH/623433044.pdf","CERTI")</f>
        <v>CERTI</v>
      </c>
    </row>
    <row r="923" spans="1:27" ht="15" x14ac:dyDescent="0.25">
      <c r="A923" s="2">
        <v>918</v>
      </c>
      <c r="B923" s="39">
        <v>926071828</v>
      </c>
      <c r="C923" s="28" t="str">
        <f>HYPERLINK("https://pld.live/RapDetail.aspx?STONELIST=926071828","DNA")</f>
        <v>DNA</v>
      </c>
      <c r="D923" s="18" t="s">
        <v>3054</v>
      </c>
      <c r="E923" s="18" t="s">
        <v>5128</v>
      </c>
      <c r="F923" s="2" t="s">
        <v>7987</v>
      </c>
      <c r="G923" s="2" t="s">
        <v>861</v>
      </c>
      <c r="H923" s="14">
        <v>1.07</v>
      </c>
      <c r="I923" s="2" t="s">
        <v>267</v>
      </c>
      <c r="J923" s="2" t="s">
        <v>13</v>
      </c>
      <c r="K923" s="2" t="s">
        <v>3390</v>
      </c>
      <c r="L923" s="2" t="s">
        <v>5221</v>
      </c>
      <c r="M923" s="2" t="s">
        <v>5221</v>
      </c>
      <c r="N923" s="2" t="s">
        <v>2317</v>
      </c>
      <c r="O923" s="14">
        <v>8700</v>
      </c>
      <c r="P923" s="14">
        <v>98.64</v>
      </c>
      <c r="Q923" s="14">
        <v>118.32</v>
      </c>
      <c r="R923" s="14">
        <v>126.6</v>
      </c>
      <c r="S923" s="2" t="s">
        <v>7671</v>
      </c>
      <c r="T923" s="2">
        <v>1</v>
      </c>
      <c r="U923" s="2">
        <v>60.5</v>
      </c>
      <c r="V923" s="2">
        <v>60</v>
      </c>
      <c r="W923" s="2" t="s">
        <v>7862</v>
      </c>
      <c r="X923" s="2" t="s">
        <v>5405</v>
      </c>
      <c r="Y923" s="2">
        <v>9309</v>
      </c>
      <c r="Z923" s="19" t="str">
        <f>HYPERLINK("https://ssdweb.co/ssdweb/hd/Vision360.html?d=926071828&amp;zoomslide=1&amp;z=1926071828&amp;ISCONFIRM=0","VIDEO")</f>
        <v>VIDEO</v>
      </c>
      <c r="AA923" s="19" t="str">
        <f>HYPERLINK("https://ssdweb.co/ssdweb/CERTH/631464086.pdf","CERTI")</f>
        <v>CERTI</v>
      </c>
    </row>
    <row r="924" spans="1:27" ht="15" x14ac:dyDescent="0.25">
      <c r="A924" s="2">
        <v>919</v>
      </c>
      <c r="B924" s="39">
        <v>925950891</v>
      </c>
      <c r="C924" s="28" t="str">
        <f>HYPERLINK("https://pld.live/RapDetail.aspx?STONELIST=925950891","DNA")</f>
        <v>DNA</v>
      </c>
      <c r="D924" s="18" t="s">
        <v>3054</v>
      </c>
      <c r="E924" s="18" t="s">
        <v>5128</v>
      </c>
      <c r="F924" s="2" t="s">
        <v>7987</v>
      </c>
      <c r="G924" s="2" t="s">
        <v>861</v>
      </c>
      <c r="H924" s="14">
        <v>1.07</v>
      </c>
      <c r="I924" s="2" t="s">
        <v>267</v>
      </c>
      <c r="J924" s="2" t="s">
        <v>13</v>
      </c>
      <c r="K924" s="2" t="s">
        <v>5221</v>
      </c>
      <c r="L924" s="2" t="s">
        <v>5221</v>
      </c>
      <c r="M924" s="2" t="s">
        <v>5221</v>
      </c>
      <c r="N924" s="2" t="s">
        <v>2317</v>
      </c>
      <c r="O924" s="14">
        <v>8700</v>
      </c>
      <c r="P924" s="14">
        <v>98.67</v>
      </c>
      <c r="Q924" s="14">
        <v>115.71</v>
      </c>
      <c r="R924" s="14">
        <v>123.81</v>
      </c>
      <c r="S924" s="2" t="s">
        <v>6080</v>
      </c>
      <c r="T924" s="2">
        <v>1.01</v>
      </c>
      <c r="U924" s="2">
        <v>59.7</v>
      </c>
      <c r="V924" s="2">
        <v>58</v>
      </c>
      <c r="W924" s="2" t="s">
        <v>7862</v>
      </c>
      <c r="X924" s="2" t="s">
        <v>5405</v>
      </c>
      <c r="Y924" s="2">
        <v>9309</v>
      </c>
      <c r="Z924" s="19" t="str">
        <f>HYPERLINK("https://ssdweb.co/ssdweb/hd/Vision360.html?d=925950891&amp;zoomslide=1&amp;z=1925950891&amp;ISCONFIRM=0","VIDEO")</f>
        <v>VIDEO</v>
      </c>
      <c r="AA924" s="19" t="str">
        <f>HYPERLINK("https://ssdweb.co/ssdweb/CERTH/628463167.pdf","CERTI")</f>
        <v>CERTI</v>
      </c>
    </row>
    <row r="925" spans="1:27" ht="15" x14ac:dyDescent="0.25">
      <c r="A925" s="2">
        <v>920</v>
      </c>
      <c r="B925" s="39">
        <v>924820034</v>
      </c>
      <c r="C925" s="28" t="str">
        <f>HYPERLINK("https://pld.live/RapDetail.aspx?STONELIST=924820034","DNA")</f>
        <v>DNA</v>
      </c>
      <c r="D925" s="18" t="s">
        <v>3054</v>
      </c>
      <c r="E925" s="18" t="s">
        <v>2186</v>
      </c>
      <c r="F925" s="2" t="s">
        <v>5597</v>
      </c>
      <c r="G925" s="2" t="s">
        <v>861</v>
      </c>
      <c r="H925" s="14">
        <v>1.07</v>
      </c>
      <c r="I925" s="2" t="s">
        <v>267</v>
      </c>
      <c r="J925" s="2" t="s">
        <v>13</v>
      </c>
      <c r="K925" s="2" t="s">
        <v>5221</v>
      </c>
      <c r="L925" s="2" t="s">
        <v>5721</v>
      </c>
      <c r="M925" s="2" t="s">
        <v>5221</v>
      </c>
      <c r="N925" s="2" t="s">
        <v>2317</v>
      </c>
      <c r="O925" s="14">
        <v>8700</v>
      </c>
      <c r="P925" s="14">
        <v>97.72</v>
      </c>
      <c r="Q925" s="14">
        <v>198.36</v>
      </c>
      <c r="R925" s="14">
        <v>212.25</v>
      </c>
      <c r="S925" s="2" t="s">
        <v>1602</v>
      </c>
      <c r="T925" s="2">
        <v>1</v>
      </c>
      <c r="U925" s="2">
        <v>62.4</v>
      </c>
      <c r="V925" s="2">
        <v>57</v>
      </c>
      <c r="W925" s="2" t="s">
        <v>7862</v>
      </c>
      <c r="X925" s="2" t="s">
        <v>5405</v>
      </c>
      <c r="Y925" s="2">
        <v>9309</v>
      </c>
      <c r="Z925" s="19" t="str">
        <f>HYPERLINK("https://ssdweb.co/ssdweb/hd/Vision360.html?d=924820034&amp;zoomslide=1&amp;z=1924820034&amp;ISCONFIRM=0","VIDEO")</f>
        <v>VIDEO</v>
      </c>
      <c r="AA925" s="19" t="str">
        <f>HYPERLINK("https://ssdweb.co/ssdweb/CERTH/5476518575.pdf","CERTI")</f>
        <v>CERTI</v>
      </c>
    </row>
    <row r="926" spans="1:27" ht="15" x14ac:dyDescent="0.25">
      <c r="A926" s="2">
        <v>921</v>
      </c>
      <c r="B926" s="39">
        <v>925861668</v>
      </c>
      <c r="C926" s="28" t="str">
        <f>HYPERLINK("https://pld.live/RapDetail.aspx?STONELIST=925861668","DNA")</f>
        <v>DNA</v>
      </c>
      <c r="D926" s="18" t="s">
        <v>3054</v>
      </c>
      <c r="E926" s="18" t="s">
        <v>5128</v>
      </c>
      <c r="F926" s="2" t="s">
        <v>7987</v>
      </c>
      <c r="G926" s="2" t="s">
        <v>861</v>
      </c>
      <c r="H926" s="14">
        <v>1.07</v>
      </c>
      <c r="I926" s="2" t="s">
        <v>267</v>
      </c>
      <c r="J926" s="2" t="s">
        <v>5144</v>
      </c>
      <c r="K926" s="2" t="s">
        <v>3390</v>
      </c>
      <c r="L926" s="2" t="s">
        <v>5221</v>
      </c>
      <c r="M926" s="2" t="s">
        <v>5221</v>
      </c>
      <c r="N926" s="2" t="s">
        <v>2317</v>
      </c>
      <c r="O926" s="14">
        <v>7300</v>
      </c>
      <c r="P926" s="14">
        <v>98.41</v>
      </c>
      <c r="Q926" s="14">
        <v>116.07</v>
      </c>
      <c r="R926" s="14">
        <v>124.19</v>
      </c>
      <c r="S926" s="2" t="s">
        <v>2355</v>
      </c>
      <c r="T926" s="2">
        <v>1</v>
      </c>
      <c r="U926" s="2">
        <v>62.3</v>
      </c>
      <c r="V926" s="2">
        <v>59</v>
      </c>
      <c r="W926" s="2" t="s">
        <v>7862</v>
      </c>
      <c r="X926" s="2" t="s">
        <v>5405</v>
      </c>
      <c r="Y926" s="2">
        <v>7811</v>
      </c>
      <c r="Z926" s="19" t="str">
        <f>HYPERLINK("https://ssdweb.co/ssdweb/hd/Vision360.html?d=925861668&amp;zoomslide=1&amp;z=1925861668&amp;ISCONFIRM=0","VIDEO")</f>
        <v>VIDEO</v>
      </c>
      <c r="AA926" s="19" t="str">
        <f>HYPERLINK("https://ssdweb.co/ssdweb/CERTH/631464353.pdf","CERTI")</f>
        <v>CERTI</v>
      </c>
    </row>
    <row r="927" spans="1:27" ht="15" x14ac:dyDescent="0.25">
      <c r="A927" s="2">
        <v>922</v>
      </c>
      <c r="B927" s="39">
        <v>924390299</v>
      </c>
      <c r="C927" s="28" t="str">
        <f>HYPERLINK("https://pld.live/RapDetail.aspx?STONELIST=924390299","DNA")</f>
        <v>DNA</v>
      </c>
      <c r="D927" s="18" t="s">
        <v>3054</v>
      </c>
      <c r="E927" s="18" t="s">
        <v>5128</v>
      </c>
      <c r="F927" s="2" t="s">
        <v>7987</v>
      </c>
      <c r="G927" s="2" t="s">
        <v>861</v>
      </c>
      <c r="H927" s="14">
        <v>1.07</v>
      </c>
      <c r="I927" s="2" t="s">
        <v>4761</v>
      </c>
      <c r="J927" s="2" t="s">
        <v>7032</v>
      </c>
      <c r="K927" s="2" t="s">
        <v>3390</v>
      </c>
      <c r="L927" s="2" t="s">
        <v>5221</v>
      </c>
      <c r="M927" s="2" t="s">
        <v>5221</v>
      </c>
      <c r="N927" s="2" t="s">
        <v>2317</v>
      </c>
      <c r="O927" s="14">
        <v>12500</v>
      </c>
      <c r="P927" s="14">
        <v>98.26</v>
      </c>
      <c r="Q927" s="14">
        <v>217.5</v>
      </c>
      <c r="R927" s="14">
        <v>232.73</v>
      </c>
      <c r="S927" s="2" t="s">
        <v>1467</v>
      </c>
      <c r="T927" s="2">
        <v>1</v>
      </c>
      <c r="U927" s="2">
        <v>61.8</v>
      </c>
      <c r="V927" s="2">
        <v>58</v>
      </c>
      <c r="W927" s="2" t="s">
        <v>7862</v>
      </c>
      <c r="X927" s="2" t="s">
        <v>5405</v>
      </c>
      <c r="Y927" s="2">
        <v>13375</v>
      </c>
      <c r="Z927" s="19" t="str">
        <f>HYPERLINK("https://ssdweb.co/ssdweb/hd/Vision360.html?d=924390299&amp;zoomslide=1&amp;z=1924390299&amp;ISCONFIRM=0","VIDEO")</f>
        <v>VIDEO</v>
      </c>
      <c r="AA927" s="19" t="str">
        <f>HYPERLINK("https://ssdweb.co/ssdweb/CERTH/591325249.pdf","CERTI")</f>
        <v>CERTI</v>
      </c>
    </row>
    <row r="928" spans="1:27" ht="15" x14ac:dyDescent="0.25">
      <c r="A928" s="2">
        <v>923</v>
      </c>
      <c r="B928" s="39">
        <v>821127541</v>
      </c>
      <c r="C928" s="28" t="str">
        <f>HYPERLINK("https://pld.live/RapDetail.aspx?STONELIST=821127541","DNA")</f>
        <v>DNA</v>
      </c>
      <c r="D928" s="18" t="s">
        <v>3054</v>
      </c>
      <c r="E928" s="18" t="s">
        <v>5128</v>
      </c>
      <c r="F928" s="2" t="s">
        <v>7987</v>
      </c>
      <c r="G928" s="2" t="s">
        <v>861</v>
      </c>
      <c r="H928" s="14">
        <v>1.07</v>
      </c>
      <c r="I928" s="2" t="s">
        <v>4761</v>
      </c>
      <c r="J928" s="2" t="s">
        <v>6555</v>
      </c>
      <c r="K928" s="2" t="s">
        <v>3390</v>
      </c>
      <c r="L928" s="2" t="s">
        <v>5221</v>
      </c>
      <c r="M928" s="2" t="s">
        <v>5221</v>
      </c>
      <c r="N928" s="2" t="s">
        <v>2317</v>
      </c>
      <c r="O928" s="14">
        <v>11100</v>
      </c>
      <c r="P928" s="14">
        <v>98.86</v>
      </c>
      <c r="Q928" s="14">
        <v>126.54</v>
      </c>
      <c r="R928" s="14">
        <v>135.4</v>
      </c>
      <c r="S928" s="2" t="s">
        <v>4039</v>
      </c>
      <c r="T928" s="2">
        <v>1.01</v>
      </c>
      <c r="U928" s="2">
        <v>61.8</v>
      </c>
      <c r="V928" s="2">
        <v>58</v>
      </c>
      <c r="W928" s="2" t="s">
        <v>7862</v>
      </c>
      <c r="X928" s="2" t="s">
        <v>5405</v>
      </c>
      <c r="Y928" s="2">
        <v>11877</v>
      </c>
      <c r="Z928" s="19" t="str">
        <f>HYPERLINK("https://ssdweb.co/ssdweb/hd/Vision360.html?d=821127541&amp;zoomslide=1&amp;z=1821127541&amp;ISCONFIRM=0","VIDEO")</f>
        <v>VIDEO</v>
      </c>
      <c r="AA928" s="19" t="str">
        <f>HYPERLINK("https://ssdweb.co/ssdweb/CERTH/620461008.pdf","CERTI")</f>
        <v>CERTI</v>
      </c>
    </row>
    <row r="929" spans="1:27" ht="15" x14ac:dyDescent="0.25">
      <c r="A929" s="2">
        <v>924</v>
      </c>
      <c r="B929" s="39">
        <v>926100926</v>
      </c>
      <c r="C929" s="28" t="str">
        <f>HYPERLINK("https://pld.live/RapDetail.aspx?STONELIST=926100926","DNA")</f>
        <v>DNA</v>
      </c>
      <c r="D929" s="18" t="s">
        <v>3054</v>
      </c>
      <c r="E929" s="18" t="s">
        <v>5128</v>
      </c>
      <c r="F929" s="2" t="s">
        <v>7987</v>
      </c>
      <c r="G929" s="2" t="s">
        <v>861</v>
      </c>
      <c r="H929" s="14">
        <v>1.07</v>
      </c>
      <c r="I929" s="2" t="s">
        <v>4761</v>
      </c>
      <c r="J929" s="2" t="s">
        <v>6555</v>
      </c>
      <c r="K929" s="2" t="s">
        <v>3390</v>
      </c>
      <c r="L929" s="2" t="s">
        <v>5221</v>
      </c>
      <c r="M929" s="2" t="s">
        <v>5221</v>
      </c>
      <c r="N929" s="2" t="s">
        <v>2317</v>
      </c>
      <c r="O929" s="14">
        <v>11100</v>
      </c>
      <c r="P929" s="14">
        <v>98.85</v>
      </c>
      <c r="Q929" s="14">
        <v>127.65</v>
      </c>
      <c r="R929" s="14">
        <v>136.59</v>
      </c>
      <c r="S929" s="2" t="s">
        <v>4459</v>
      </c>
      <c r="T929" s="2">
        <v>1</v>
      </c>
      <c r="U929" s="2">
        <v>60.1</v>
      </c>
      <c r="V929" s="2">
        <v>59</v>
      </c>
      <c r="W929" s="2" t="s">
        <v>4336</v>
      </c>
      <c r="X929" s="2" t="s">
        <v>5405</v>
      </c>
      <c r="Y929" s="2">
        <v>11877</v>
      </c>
      <c r="Z929" s="19" t="str">
        <f>HYPERLINK("https://ssdweb.co/ssdweb/hd/Vision360.html?d=926100926&amp;zoomslide=1&amp;z=1926100926&amp;ISCONFIRM=0","VIDEO")</f>
        <v>VIDEO</v>
      </c>
      <c r="AA929" s="19" t="str">
        <f>HYPERLINK("https://ssdweb.co/ssdweb/CERTH/632488432.pdf","CERTI")</f>
        <v>CERTI</v>
      </c>
    </row>
    <row r="930" spans="1:27" ht="15" x14ac:dyDescent="0.25">
      <c r="A930" s="2">
        <v>925</v>
      </c>
      <c r="B930" s="39">
        <v>831010549</v>
      </c>
      <c r="C930" s="28" t="str">
        <f>HYPERLINK("https://pld.live/RapDetail.aspx?STONELIST=831010549","DNA")</f>
        <v>DNA</v>
      </c>
      <c r="D930" s="18" t="s">
        <v>3054</v>
      </c>
      <c r="E930" s="18" t="s">
        <v>5128</v>
      </c>
      <c r="F930" s="2" t="s">
        <v>5597</v>
      </c>
      <c r="G930" s="2" t="s">
        <v>861</v>
      </c>
      <c r="H930" s="14">
        <v>1.07</v>
      </c>
      <c r="I930" s="2" t="s">
        <v>4761</v>
      </c>
      <c r="J930" s="2" t="s">
        <v>13</v>
      </c>
      <c r="K930" s="2" t="s">
        <v>5221</v>
      </c>
      <c r="L930" s="2" t="s">
        <v>5221</v>
      </c>
      <c r="M930" s="2" t="s">
        <v>5221</v>
      </c>
      <c r="N930" s="2" t="s">
        <v>2317</v>
      </c>
      <c r="O930" s="14">
        <v>7900</v>
      </c>
      <c r="P930" s="14">
        <v>97.54</v>
      </c>
      <c r="Q930" s="14">
        <v>194.34</v>
      </c>
      <c r="R930" s="14">
        <v>207.94</v>
      </c>
      <c r="S930" s="2" t="s">
        <v>4825</v>
      </c>
      <c r="T930" s="2">
        <v>1</v>
      </c>
      <c r="U930" s="2">
        <v>62.3</v>
      </c>
      <c r="V930" s="2">
        <v>58</v>
      </c>
      <c r="W930" s="2" t="s">
        <v>7862</v>
      </c>
      <c r="X930" s="2" t="s">
        <v>5405</v>
      </c>
      <c r="Y930" s="2">
        <v>8453</v>
      </c>
      <c r="Z930" s="19" t="str">
        <f>HYPERLINK("https://ssdweb.co/ssdweb/hd/Vision360.html?d=831010549&amp;zoomslide=1&amp;z=1831010549&amp;ISCONFIRM=0","VIDEO")</f>
        <v>VIDEO</v>
      </c>
      <c r="AA930" s="19" t="str">
        <f>HYPERLINK("https://ssdweb.co/ssdweb/CERTH/1488211344.pdf","CERTI")</f>
        <v>CERTI</v>
      </c>
    </row>
    <row r="931" spans="1:27" ht="15" x14ac:dyDescent="0.25">
      <c r="A931" s="2">
        <v>926</v>
      </c>
      <c r="B931" s="39">
        <v>925430085</v>
      </c>
      <c r="C931" s="28" t="str">
        <f>HYPERLINK("https://pld.live/RapDetail.aspx?STONELIST=925430085","DNA")</f>
        <v>DNA</v>
      </c>
      <c r="D931" s="18" t="s">
        <v>3054</v>
      </c>
      <c r="E931" s="18" t="s">
        <v>2186</v>
      </c>
      <c r="F931" s="2" t="s">
        <v>5597</v>
      </c>
      <c r="G931" s="2" t="s">
        <v>861</v>
      </c>
      <c r="H931" s="14">
        <v>1.07</v>
      </c>
      <c r="I931" s="2" t="s">
        <v>4761</v>
      </c>
      <c r="J931" s="2" t="s">
        <v>13</v>
      </c>
      <c r="K931" s="2" t="s">
        <v>5221</v>
      </c>
      <c r="L931" s="2" t="s">
        <v>5221</v>
      </c>
      <c r="M931" s="2" t="s">
        <v>5221</v>
      </c>
      <c r="N931" s="2" t="s">
        <v>2317</v>
      </c>
      <c r="O931" s="14">
        <v>7900</v>
      </c>
      <c r="P931" s="14">
        <v>97.54</v>
      </c>
      <c r="Q931" s="14">
        <v>194.34</v>
      </c>
      <c r="R931" s="14">
        <v>207.94</v>
      </c>
      <c r="S931" s="2" t="s">
        <v>5510</v>
      </c>
      <c r="T931" s="2">
        <v>1</v>
      </c>
      <c r="U931" s="2">
        <v>60.9</v>
      </c>
      <c r="V931" s="2">
        <v>59</v>
      </c>
      <c r="W931" s="2" t="s">
        <v>7862</v>
      </c>
      <c r="X931" s="2" t="s">
        <v>5405</v>
      </c>
      <c r="Y931" s="2">
        <v>8453</v>
      </c>
      <c r="Z931" s="19" t="str">
        <f>HYPERLINK("https://ssdweb.co/ssdweb/hd/Vision360.html?d=925430085&amp;zoomslide=1&amp;z=1925430085&amp;ISCONFIRM=0","VIDEO")</f>
        <v>VIDEO</v>
      </c>
      <c r="AA931" s="19" t="str">
        <f>HYPERLINK("https://ssdweb.co/ssdweb/CERTH/7486505989.pdf","CERTI")</f>
        <v>CERTI</v>
      </c>
    </row>
    <row r="932" spans="1:27" ht="15" x14ac:dyDescent="0.25">
      <c r="A932" s="2">
        <v>927</v>
      </c>
      <c r="B932" s="39">
        <v>925430131</v>
      </c>
      <c r="C932" s="28" t="str">
        <f>HYPERLINK("https://pld.live/RapDetail.aspx?STONELIST=925430131","DNA")</f>
        <v>DNA</v>
      </c>
      <c r="D932" s="18" t="s">
        <v>3054</v>
      </c>
      <c r="E932" s="18" t="s">
        <v>2186</v>
      </c>
      <c r="F932" s="2" t="s">
        <v>5597</v>
      </c>
      <c r="G932" s="2" t="s">
        <v>861</v>
      </c>
      <c r="H932" s="14">
        <v>1.07</v>
      </c>
      <c r="I932" s="2" t="s">
        <v>4761</v>
      </c>
      <c r="J932" s="2" t="s">
        <v>13</v>
      </c>
      <c r="K932" s="2" t="s">
        <v>5221</v>
      </c>
      <c r="L932" s="2" t="s">
        <v>5221</v>
      </c>
      <c r="M932" s="2" t="s">
        <v>5221</v>
      </c>
      <c r="N932" s="2" t="s">
        <v>2317</v>
      </c>
      <c r="O932" s="14">
        <v>7900</v>
      </c>
      <c r="P932" s="14">
        <v>97.54</v>
      </c>
      <c r="Q932" s="14">
        <v>194.34</v>
      </c>
      <c r="R932" s="14">
        <v>207.94</v>
      </c>
      <c r="S932" s="2" t="s">
        <v>3092</v>
      </c>
      <c r="T932" s="2">
        <v>1</v>
      </c>
      <c r="U932" s="2">
        <v>59.7</v>
      </c>
      <c r="V932" s="2">
        <v>60</v>
      </c>
      <c r="W932" s="2" t="s">
        <v>7862</v>
      </c>
      <c r="X932" s="2" t="s">
        <v>5405</v>
      </c>
      <c r="Y932" s="2">
        <v>8453</v>
      </c>
      <c r="Z932" s="19" t="str">
        <f>HYPERLINK("https://ssdweb.co/ssdweb/hd/Vision360.html?d=925430131&amp;zoomslide=1&amp;z=1925430131&amp;ISCONFIRM=0","VIDEO")</f>
        <v>VIDEO</v>
      </c>
      <c r="AA932" s="19" t="str">
        <f>HYPERLINK("https://ssdweb.co/ssdweb/CERTH/6485632032.pdf","CERTI")</f>
        <v>CERTI</v>
      </c>
    </row>
    <row r="933" spans="1:27" ht="15" x14ac:dyDescent="0.25">
      <c r="A933" s="2">
        <v>928</v>
      </c>
      <c r="B933" s="39">
        <v>924770023</v>
      </c>
      <c r="C933" s="28" t="str">
        <f>HYPERLINK("https://pld.live/RapDetail.aspx?STONELIST=924770023","DNA")</f>
        <v>DNA</v>
      </c>
      <c r="D933" s="18" t="s">
        <v>3054</v>
      </c>
      <c r="E933" s="18" t="s">
        <v>5128</v>
      </c>
      <c r="F933" s="2" t="s">
        <v>7987</v>
      </c>
      <c r="G933" s="2" t="s">
        <v>861</v>
      </c>
      <c r="H933" s="14">
        <v>1.07</v>
      </c>
      <c r="I933" s="2" t="s">
        <v>4699</v>
      </c>
      <c r="J933" s="2" t="s">
        <v>7032</v>
      </c>
      <c r="K933" s="2" t="s">
        <v>3390</v>
      </c>
      <c r="L933" s="2" t="s">
        <v>5221</v>
      </c>
      <c r="M933" s="2" t="s">
        <v>5221</v>
      </c>
      <c r="N933" s="2" t="s">
        <v>2317</v>
      </c>
      <c r="O933" s="14">
        <v>10700</v>
      </c>
      <c r="P933" s="14">
        <v>98.24</v>
      </c>
      <c r="Q933" s="14">
        <v>188.32</v>
      </c>
      <c r="R933" s="14">
        <v>201.5</v>
      </c>
      <c r="S933" s="2" t="s">
        <v>7005</v>
      </c>
      <c r="T933" s="2">
        <v>1.01</v>
      </c>
      <c r="U933" s="2">
        <v>61.7</v>
      </c>
      <c r="V933" s="2">
        <v>59</v>
      </c>
      <c r="W933" s="2" t="s">
        <v>4336</v>
      </c>
      <c r="X933" s="2" t="s">
        <v>5405</v>
      </c>
      <c r="Y933" s="2">
        <v>11449</v>
      </c>
      <c r="Z933" s="19" t="str">
        <f>HYPERLINK("https://ssdweb.co/ssdweb/hd/Vision360.html?d=924770023&amp;zoomslide=1&amp;z=1924770023&amp;ISCONFIRM=0","VIDEO")</f>
        <v>VIDEO</v>
      </c>
      <c r="AA933" s="19" t="str">
        <f>HYPERLINK("https://ssdweb.co/ssdweb/CERTH/600304616.pdf","CERTI")</f>
        <v>CERTI</v>
      </c>
    </row>
    <row r="934" spans="1:27" ht="15" x14ac:dyDescent="0.25">
      <c r="A934" s="2">
        <v>929</v>
      </c>
      <c r="B934" s="39">
        <v>925801648</v>
      </c>
      <c r="C934" s="28" t="str">
        <f>HYPERLINK("https://pld.live/RapDetail.aspx?STONELIST=925801648","DNA")</f>
        <v>DNA</v>
      </c>
      <c r="D934" s="18" t="s">
        <v>3054</v>
      </c>
      <c r="E934" s="18" t="s">
        <v>5128</v>
      </c>
      <c r="F934" s="2" t="s">
        <v>5597</v>
      </c>
      <c r="G934" s="2" t="s">
        <v>861</v>
      </c>
      <c r="H934" s="14">
        <v>1.06</v>
      </c>
      <c r="I934" s="2" t="s">
        <v>267</v>
      </c>
      <c r="J934" s="2" t="s">
        <v>3942</v>
      </c>
      <c r="K934" s="2" t="s">
        <v>5221</v>
      </c>
      <c r="L934" s="2" t="s">
        <v>5221</v>
      </c>
      <c r="M934" s="2" t="s">
        <v>5221</v>
      </c>
      <c r="N934" s="2" t="s">
        <v>2317</v>
      </c>
      <c r="O934" s="14">
        <v>10200</v>
      </c>
      <c r="P934" s="14">
        <v>98.01</v>
      </c>
      <c r="Q934" s="14">
        <v>202.98</v>
      </c>
      <c r="R934" s="14">
        <v>215.16</v>
      </c>
      <c r="S934" s="2" t="s">
        <v>6755</v>
      </c>
      <c r="T934" s="2">
        <v>1</v>
      </c>
      <c r="U934" s="2">
        <v>61</v>
      </c>
      <c r="V934" s="2">
        <v>55</v>
      </c>
      <c r="W934" s="2" t="s">
        <v>7862</v>
      </c>
      <c r="X934" s="2" t="s">
        <v>5405</v>
      </c>
      <c r="Y934" s="2">
        <v>10812</v>
      </c>
      <c r="Z934" s="19" t="str">
        <f>HYPERLINK("https://ssdweb.co/ssdweb/hd/Vision360.html?d=925801648&amp;zoomslide=1&amp;z=1925801648&amp;ISCONFIRM=0","VIDEO")</f>
        <v>VIDEO</v>
      </c>
      <c r="AA934" s="19" t="str">
        <f>HYPERLINK("https://ssdweb.co/ssdweb/CERTH/2486892122.pdf","CERTI")</f>
        <v>CERTI</v>
      </c>
    </row>
    <row r="935" spans="1:27" ht="15" x14ac:dyDescent="0.25">
      <c r="A935" s="2">
        <v>930</v>
      </c>
      <c r="B935" s="39">
        <v>821127709</v>
      </c>
      <c r="C935" s="28" t="str">
        <f>HYPERLINK("https://pld.live/RapDetail.aspx?STONELIST=821127709","DNA")</f>
        <v>DNA</v>
      </c>
      <c r="D935" s="18" t="s">
        <v>3054</v>
      </c>
      <c r="E935" s="18" t="s">
        <v>5128</v>
      </c>
      <c r="F935" s="2" t="s">
        <v>7987</v>
      </c>
      <c r="G935" s="2" t="s">
        <v>861</v>
      </c>
      <c r="H935" s="14">
        <v>1.06</v>
      </c>
      <c r="I935" s="2" t="s">
        <v>267</v>
      </c>
      <c r="J935" s="2" t="s">
        <v>3942</v>
      </c>
      <c r="K935" s="2" t="s">
        <v>5221</v>
      </c>
      <c r="L935" s="2" t="s">
        <v>5221</v>
      </c>
      <c r="M935" s="2" t="s">
        <v>5221</v>
      </c>
      <c r="N935" s="2" t="s">
        <v>2317</v>
      </c>
      <c r="O935" s="14">
        <v>10200</v>
      </c>
      <c r="P935" s="14">
        <v>98.8</v>
      </c>
      <c r="Q935" s="14">
        <v>122.4</v>
      </c>
      <c r="R935" s="14">
        <v>129.74</v>
      </c>
      <c r="S935" s="2" t="s">
        <v>1720</v>
      </c>
      <c r="T935" s="2">
        <v>1.01</v>
      </c>
      <c r="U935" s="2">
        <v>62.5</v>
      </c>
      <c r="V935" s="2">
        <v>59</v>
      </c>
      <c r="W935" s="2" t="s">
        <v>7862</v>
      </c>
      <c r="X935" s="2" t="s">
        <v>5405</v>
      </c>
      <c r="Y935" s="2">
        <v>10812</v>
      </c>
      <c r="Z935" s="19" t="str">
        <f>HYPERLINK("https://ssdweb.co/ssdweb/hd/Vision360.html?d=821127709&amp;zoomslide=1&amp;z=1821127709&amp;ISCONFIRM=0","VIDEO")</f>
        <v>VIDEO</v>
      </c>
      <c r="AA935" s="19" t="str">
        <f>HYPERLINK("https://ssdweb.co/ssdweb/CERTH/625467069.pdf","CERTI")</f>
        <v>CERTI</v>
      </c>
    </row>
    <row r="936" spans="1:27" ht="15" x14ac:dyDescent="0.25">
      <c r="A936" s="2">
        <v>931</v>
      </c>
      <c r="B936" s="39">
        <v>926101646</v>
      </c>
      <c r="C936" s="28" t="str">
        <f>HYPERLINK("https://pld.live/RapDetail.aspx?STONELIST=926101646","DNA")</f>
        <v>DNA</v>
      </c>
      <c r="D936" s="18" t="s">
        <v>3054</v>
      </c>
      <c r="E936" s="18" t="s">
        <v>5128</v>
      </c>
      <c r="F936" s="2" t="s">
        <v>7987</v>
      </c>
      <c r="G936" s="2" t="s">
        <v>861</v>
      </c>
      <c r="H936" s="14">
        <v>1.06</v>
      </c>
      <c r="I936" s="2" t="s">
        <v>267</v>
      </c>
      <c r="J936" s="2" t="s">
        <v>3942</v>
      </c>
      <c r="K936" s="2" t="s">
        <v>5221</v>
      </c>
      <c r="L936" s="2" t="s">
        <v>5221</v>
      </c>
      <c r="M936" s="2" t="s">
        <v>5221</v>
      </c>
      <c r="N936" s="2" t="s">
        <v>2317</v>
      </c>
      <c r="O936" s="14">
        <v>10200</v>
      </c>
      <c r="P936" s="14">
        <v>98.8</v>
      </c>
      <c r="Q936" s="14">
        <v>122.4</v>
      </c>
      <c r="R936" s="14">
        <v>129.74</v>
      </c>
      <c r="S936" s="2" t="s">
        <v>956</v>
      </c>
      <c r="T936" s="2">
        <v>1.01</v>
      </c>
      <c r="U936" s="2">
        <v>60.2</v>
      </c>
      <c r="V936" s="2">
        <v>62</v>
      </c>
      <c r="W936" s="2" t="s">
        <v>7862</v>
      </c>
      <c r="X936" s="2" t="s">
        <v>5405</v>
      </c>
      <c r="Y936" s="2">
        <v>10812</v>
      </c>
      <c r="Z936" s="19" t="str">
        <f>HYPERLINK("https://ssdweb.co/ssdweb/hd/Vision360.html?d=926101646&amp;zoomslide=1&amp;z=1926101646&amp;ISCONFIRM=0","VIDEO")</f>
        <v>VIDEO</v>
      </c>
      <c r="AA936" s="19" t="str">
        <f>HYPERLINK("https://ssdweb.co/ssdweb/CERTH/633490480.pdf","CERTI")</f>
        <v>CERTI</v>
      </c>
    </row>
    <row r="937" spans="1:27" ht="15" x14ac:dyDescent="0.25">
      <c r="A937" s="2">
        <v>932</v>
      </c>
      <c r="B937" s="39">
        <v>821127751</v>
      </c>
      <c r="C937" s="28" t="str">
        <f>HYPERLINK("https://pld.live/RapDetail.aspx?STONELIST=821127751","DNA")</f>
        <v>DNA</v>
      </c>
      <c r="D937" s="18" t="s">
        <v>3054</v>
      </c>
      <c r="E937" s="18" t="s">
        <v>5128</v>
      </c>
      <c r="F937" s="2" t="s">
        <v>7987</v>
      </c>
      <c r="G937" s="2" t="s">
        <v>861</v>
      </c>
      <c r="H937" s="14">
        <v>1.06</v>
      </c>
      <c r="I937" s="2" t="s">
        <v>267</v>
      </c>
      <c r="J937" s="2" t="s">
        <v>13</v>
      </c>
      <c r="K937" s="2" t="s">
        <v>3390</v>
      </c>
      <c r="L937" s="2" t="s">
        <v>5221</v>
      </c>
      <c r="M937" s="2" t="s">
        <v>5221</v>
      </c>
      <c r="N937" s="2" t="s">
        <v>2317</v>
      </c>
      <c r="O937" s="14">
        <v>8700</v>
      </c>
      <c r="P937" s="14">
        <v>98.64</v>
      </c>
      <c r="Q937" s="14">
        <v>118.32</v>
      </c>
      <c r="R937" s="14">
        <v>125.42</v>
      </c>
      <c r="S937" s="2" t="s">
        <v>3266</v>
      </c>
      <c r="T937" s="2">
        <v>1.01</v>
      </c>
      <c r="U937" s="2">
        <v>62.4</v>
      </c>
      <c r="V937" s="2">
        <v>58</v>
      </c>
      <c r="W937" s="2" t="s">
        <v>7862</v>
      </c>
      <c r="X937" s="2" t="s">
        <v>5405</v>
      </c>
      <c r="Y937" s="2">
        <v>9222</v>
      </c>
      <c r="Z937" s="19" t="str">
        <f>HYPERLINK("https://ssdweb.co/ssdweb/hd/Vision360.html?d=821127751&amp;zoomslide=1&amp;z=1821127751&amp;ISCONFIRM=0","VIDEO")</f>
        <v>VIDEO</v>
      </c>
      <c r="AA937" s="19" t="str">
        <f>HYPERLINK("https://ssdweb.co/ssdweb/CERTH/628416209.pdf","CERTI")</f>
        <v>CERTI</v>
      </c>
    </row>
    <row r="938" spans="1:27" ht="15" x14ac:dyDescent="0.25">
      <c r="A938" s="2">
        <v>933</v>
      </c>
      <c r="B938" s="39">
        <v>821127447</v>
      </c>
      <c r="C938" s="28" t="str">
        <f>HYPERLINK("https://pld.live/RapDetail.aspx?STONELIST=821127447","DNA")</f>
        <v>DNA</v>
      </c>
      <c r="D938" s="18" t="s">
        <v>3054</v>
      </c>
      <c r="E938" s="18" t="s">
        <v>5128</v>
      </c>
      <c r="F938" s="2" t="s">
        <v>7987</v>
      </c>
      <c r="G938" s="2" t="s">
        <v>861</v>
      </c>
      <c r="H938" s="14">
        <v>1.06</v>
      </c>
      <c r="I938" s="2" t="s">
        <v>267</v>
      </c>
      <c r="J938" s="2" t="s">
        <v>13</v>
      </c>
      <c r="K938" s="2" t="s">
        <v>3390</v>
      </c>
      <c r="L938" s="2" t="s">
        <v>5221</v>
      </c>
      <c r="M938" s="2" t="s">
        <v>5221</v>
      </c>
      <c r="N938" s="2" t="s">
        <v>2317</v>
      </c>
      <c r="O938" s="14">
        <v>8700</v>
      </c>
      <c r="P938" s="14">
        <v>98.67</v>
      </c>
      <c r="Q938" s="14">
        <v>115.71</v>
      </c>
      <c r="R938" s="14">
        <v>122.65</v>
      </c>
      <c r="S938" s="2" t="s">
        <v>1024</v>
      </c>
      <c r="T938" s="2">
        <v>1</v>
      </c>
      <c r="U938" s="2">
        <v>61.9</v>
      </c>
      <c r="V938" s="2">
        <v>59</v>
      </c>
      <c r="W938" s="2" t="s">
        <v>7862</v>
      </c>
      <c r="X938" s="2" t="s">
        <v>5405</v>
      </c>
      <c r="Y938" s="2">
        <v>9222</v>
      </c>
      <c r="Z938" s="19" t="str">
        <f>HYPERLINK("https://ssdweb.co/ssdweb/hd/Vision360.html?d=821127447&amp;zoomslide=1&amp;z=1821127447&amp;ISCONFIRM=0","VIDEO")</f>
        <v>VIDEO</v>
      </c>
      <c r="AA938" s="19" t="str">
        <f>HYPERLINK("https://ssdweb.co/ssdweb/CERTH/626479857.pdf","CERTI")</f>
        <v>CERTI</v>
      </c>
    </row>
    <row r="939" spans="1:27" ht="15" x14ac:dyDescent="0.25">
      <c r="A939" s="2">
        <v>934</v>
      </c>
      <c r="B939" s="39">
        <v>926111052</v>
      </c>
      <c r="C939" s="28" t="str">
        <f>HYPERLINK("https://pld.live/RapDetail.aspx?STONELIST=926111052","DNA")</f>
        <v>DNA</v>
      </c>
      <c r="D939" s="18" t="s">
        <v>3054</v>
      </c>
      <c r="E939" s="18" t="s">
        <v>5128</v>
      </c>
      <c r="F939" s="2" t="s">
        <v>7987</v>
      </c>
      <c r="G939" s="2" t="s">
        <v>861</v>
      </c>
      <c r="H939" s="14">
        <v>1.06</v>
      </c>
      <c r="I939" s="2" t="s">
        <v>267</v>
      </c>
      <c r="J939" s="2" t="s">
        <v>5144</v>
      </c>
      <c r="K939" s="2" t="s">
        <v>3390</v>
      </c>
      <c r="L939" s="2" t="s">
        <v>5221</v>
      </c>
      <c r="M939" s="2" t="s">
        <v>5221</v>
      </c>
      <c r="N939" s="2" t="s">
        <v>2317</v>
      </c>
      <c r="O939" s="14">
        <v>7300</v>
      </c>
      <c r="P939" s="14">
        <v>98.41</v>
      </c>
      <c r="Q939" s="14">
        <v>116.07</v>
      </c>
      <c r="R939" s="14">
        <v>123.03</v>
      </c>
      <c r="S939" s="2" t="s">
        <v>949</v>
      </c>
      <c r="T939" s="2">
        <v>1.01</v>
      </c>
      <c r="U939" s="2">
        <v>61.9</v>
      </c>
      <c r="V939" s="2">
        <v>58</v>
      </c>
      <c r="W939" s="2" t="s">
        <v>7862</v>
      </c>
      <c r="X939" s="2" t="s">
        <v>5405</v>
      </c>
      <c r="Y939" s="2">
        <v>7738</v>
      </c>
      <c r="Z939" s="19" t="str">
        <f>HYPERLINK("https://ssdweb.co/ssdweb/hd/Vision360.html?d=926111052&amp;zoomslide=1&amp;z=1926111052&amp;ISCONFIRM=0","VIDEO")</f>
        <v>VIDEO</v>
      </c>
      <c r="AA939" s="19" t="str">
        <f>HYPERLINK("https://ssdweb.co/ssdweb/CERTH/633490496.pdf","CERTI")</f>
        <v>CERTI</v>
      </c>
    </row>
    <row r="940" spans="1:27" ht="15" x14ac:dyDescent="0.25">
      <c r="A940" s="2">
        <v>935</v>
      </c>
      <c r="B940" s="39">
        <v>925961221</v>
      </c>
      <c r="C940" s="28" t="str">
        <f>HYPERLINK("https://pld.live/RapDetail.aspx?STONELIST=925961221","DNA")</f>
        <v>DNA</v>
      </c>
      <c r="D940" s="18" t="s">
        <v>3054</v>
      </c>
      <c r="E940" s="18" t="s">
        <v>5128</v>
      </c>
      <c r="F940" s="2" t="s">
        <v>5597</v>
      </c>
      <c r="G940" s="2" t="s">
        <v>861</v>
      </c>
      <c r="H940" s="14">
        <v>1.06</v>
      </c>
      <c r="I940" s="2" t="s">
        <v>4761</v>
      </c>
      <c r="J940" s="2" t="s">
        <v>6555</v>
      </c>
      <c r="K940" s="2" t="s">
        <v>5221</v>
      </c>
      <c r="L940" s="2" t="s">
        <v>5221</v>
      </c>
      <c r="M940" s="2" t="s">
        <v>5221</v>
      </c>
      <c r="N940" s="2" t="s">
        <v>2317</v>
      </c>
      <c r="O940" s="14">
        <v>11100</v>
      </c>
      <c r="P940" s="14">
        <v>97.93</v>
      </c>
      <c r="Q940" s="14">
        <v>229.77</v>
      </c>
      <c r="R940" s="14">
        <v>243.56</v>
      </c>
      <c r="S940" s="2" t="s">
        <v>1601</v>
      </c>
      <c r="T940" s="2">
        <v>1.01</v>
      </c>
      <c r="U940" s="2">
        <v>60.4</v>
      </c>
      <c r="V940" s="2">
        <v>57</v>
      </c>
      <c r="W940" s="2" t="s">
        <v>7862</v>
      </c>
      <c r="X940" s="2" t="s">
        <v>5405</v>
      </c>
      <c r="Y940" s="2">
        <v>11766</v>
      </c>
      <c r="Z940" s="19" t="str">
        <f>HYPERLINK("https://ssdweb.co/ssdweb/hd/Vision360.html?d=925961221&amp;zoomslide=1&amp;z=1925961221&amp;ISCONFIRM=0","VIDEO")</f>
        <v>VIDEO</v>
      </c>
      <c r="AA940" s="19" t="str">
        <f>HYPERLINK("https://ssdweb.co/ssdweb/CERTH/2496075704.pdf","CERTI")</f>
        <v>CERTI</v>
      </c>
    </row>
    <row r="941" spans="1:27" ht="15" x14ac:dyDescent="0.25">
      <c r="A941" s="2">
        <v>936</v>
      </c>
      <c r="B941" s="39">
        <v>821127543</v>
      </c>
      <c r="C941" s="28" t="str">
        <f>HYPERLINK("https://pld.live/RapDetail.aspx?STONELIST=821127543","DNA")</f>
        <v>DNA</v>
      </c>
      <c r="D941" s="18" t="s">
        <v>3054</v>
      </c>
      <c r="E941" s="18" t="s">
        <v>5128</v>
      </c>
      <c r="F941" s="2" t="s">
        <v>7987</v>
      </c>
      <c r="G941" s="2" t="s">
        <v>861</v>
      </c>
      <c r="H941" s="14">
        <v>1.06</v>
      </c>
      <c r="I941" s="2" t="s">
        <v>4761</v>
      </c>
      <c r="J941" s="2" t="s">
        <v>6555</v>
      </c>
      <c r="K941" s="2" t="s">
        <v>5221</v>
      </c>
      <c r="L941" s="2" t="s">
        <v>5221</v>
      </c>
      <c r="M941" s="2" t="s">
        <v>5221</v>
      </c>
      <c r="N941" s="2" t="s">
        <v>2317</v>
      </c>
      <c r="O941" s="14">
        <v>11100</v>
      </c>
      <c r="P941" s="14">
        <v>98.86</v>
      </c>
      <c r="Q941" s="14">
        <v>126.54</v>
      </c>
      <c r="R941" s="14">
        <v>134.13</v>
      </c>
      <c r="S941" s="2" t="s">
        <v>7766</v>
      </c>
      <c r="T941" s="2">
        <v>1.01</v>
      </c>
      <c r="U941" s="2">
        <v>62.9</v>
      </c>
      <c r="V941" s="2">
        <v>58</v>
      </c>
      <c r="W941" s="2" t="s">
        <v>7862</v>
      </c>
      <c r="X941" s="2" t="s">
        <v>5405</v>
      </c>
      <c r="Y941" s="2">
        <v>11766</v>
      </c>
      <c r="Z941" s="19" t="str">
        <f>HYPERLINK("https://ssdweb.co/ssdweb/hd/Vision360.html?d=821127543&amp;zoomslide=1&amp;z=1821127543&amp;ISCONFIRM=0","VIDEO")</f>
        <v>VIDEO</v>
      </c>
      <c r="AA941" s="19" t="str">
        <f>HYPERLINK("https://ssdweb.co/ssdweb/CERTH/623433009.pdf","CERTI")</f>
        <v>CERTI</v>
      </c>
    </row>
    <row r="942" spans="1:27" ht="15" x14ac:dyDescent="0.25">
      <c r="A942" s="2">
        <v>937</v>
      </c>
      <c r="B942" s="39">
        <v>925861987</v>
      </c>
      <c r="C942" s="28" t="str">
        <f>HYPERLINK("https://pld.live/RapDetail.aspx?STONELIST=925861987","DNA")</f>
        <v>DNA</v>
      </c>
      <c r="D942" s="18" t="s">
        <v>3054</v>
      </c>
      <c r="E942" s="18" t="s">
        <v>5128</v>
      </c>
      <c r="F942" s="2" t="s">
        <v>5597</v>
      </c>
      <c r="G942" s="2" t="s">
        <v>861</v>
      </c>
      <c r="H942" s="14">
        <v>1.06</v>
      </c>
      <c r="I942" s="2" t="s">
        <v>4761</v>
      </c>
      <c r="J942" s="2" t="s">
        <v>3942</v>
      </c>
      <c r="K942" s="2" t="s">
        <v>5221</v>
      </c>
      <c r="L942" s="2" t="s">
        <v>5221</v>
      </c>
      <c r="M942" s="2" t="s">
        <v>5221</v>
      </c>
      <c r="N942" s="2" t="s">
        <v>2317</v>
      </c>
      <c r="O942" s="14">
        <v>9300</v>
      </c>
      <c r="P942" s="14">
        <v>97.84</v>
      </c>
      <c r="Q942" s="14">
        <v>200.88</v>
      </c>
      <c r="R942" s="14">
        <v>212.93</v>
      </c>
      <c r="S942" s="2" t="s">
        <v>7323</v>
      </c>
      <c r="T942" s="2">
        <v>1.01</v>
      </c>
      <c r="U942" s="2">
        <v>62.3</v>
      </c>
      <c r="V942" s="2">
        <v>56</v>
      </c>
      <c r="W942" s="2" t="s">
        <v>7862</v>
      </c>
      <c r="X942" s="2" t="s">
        <v>5405</v>
      </c>
      <c r="Y942" s="2">
        <v>9858</v>
      </c>
      <c r="Z942" s="19" t="str">
        <f>HYPERLINK("https://ssdweb.co/ssdweb/hd/Vision360.html?d=925861987&amp;zoomslide=1&amp;z=1925861987&amp;ISCONFIRM=0","VIDEO")</f>
        <v>VIDEO</v>
      </c>
      <c r="AA942" s="19" t="str">
        <f>HYPERLINK("https://ssdweb.co/ssdweb/CERTH/6495049206.pdf","CERTI")</f>
        <v>CERTI</v>
      </c>
    </row>
    <row r="943" spans="1:27" ht="15" x14ac:dyDescent="0.25">
      <c r="A943" s="2">
        <v>938</v>
      </c>
      <c r="B943" s="39">
        <v>925862029</v>
      </c>
      <c r="C943" s="28" t="str">
        <f>HYPERLINK("https://pld.live/RapDetail.aspx?STONELIST=925862029","DNA")</f>
        <v>DNA</v>
      </c>
      <c r="D943" s="18" t="s">
        <v>3054</v>
      </c>
      <c r="E943" s="18" t="s">
        <v>5128</v>
      </c>
      <c r="F943" s="2" t="s">
        <v>5597</v>
      </c>
      <c r="G943" s="2" t="s">
        <v>861</v>
      </c>
      <c r="H943" s="14">
        <v>1.06</v>
      </c>
      <c r="I943" s="2" t="s">
        <v>4761</v>
      </c>
      <c r="J943" s="2" t="s">
        <v>13</v>
      </c>
      <c r="K943" s="2" t="s">
        <v>5221</v>
      </c>
      <c r="L943" s="2" t="s">
        <v>5221</v>
      </c>
      <c r="M943" s="2" t="s">
        <v>5221</v>
      </c>
      <c r="N943" s="2" t="s">
        <v>2317</v>
      </c>
      <c r="O943" s="14">
        <v>7900</v>
      </c>
      <c r="P943" s="14">
        <v>97.52</v>
      </c>
      <c r="Q943" s="14">
        <v>195.92</v>
      </c>
      <c r="R943" s="14">
        <v>207.68</v>
      </c>
      <c r="S943" s="2" t="s">
        <v>3266</v>
      </c>
      <c r="T943" s="2">
        <v>1.01</v>
      </c>
      <c r="U943" s="2">
        <v>62.4</v>
      </c>
      <c r="V943" s="2">
        <v>56</v>
      </c>
      <c r="W943" s="2" t="s">
        <v>7862</v>
      </c>
      <c r="X943" s="2" t="s">
        <v>5405</v>
      </c>
      <c r="Y943" s="2">
        <v>8374</v>
      </c>
      <c r="Z943" s="19" t="str">
        <f>HYPERLINK("https://ssdweb.co/ssdweb/hd/Vision360.html?d=925862029&amp;zoomslide=1&amp;z=1925862029&amp;ISCONFIRM=0","VIDEO")</f>
        <v>VIDEO</v>
      </c>
      <c r="AA943" s="19" t="str">
        <f>HYPERLINK("https://ssdweb.co/ssdweb/CERTH/2497049220.pdf","CERTI")</f>
        <v>CERTI</v>
      </c>
    </row>
    <row r="944" spans="1:27" ht="15" x14ac:dyDescent="0.25">
      <c r="A944" s="2">
        <v>939</v>
      </c>
      <c r="B944" s="39">
        <v>926101263</v>
      </c>
      <c r="C944" s="28" t="str">
        <f>HYPERLINK("https://pld.live/RapDetail.aspx?STONELIST=926101263","DNA")</f>
        <v>DNA</v>
      </c>
      <c r="D944" s="18" t="s">
        <v>3054</v>
      </c>
      <c r="E944" s="18" t="s">
        <v>5128</v>
      </c>
      <c r="F944" s="2" t="s">
        <v>7987</v>
      </c>
      <c r="G944" s="2" t="s">
        <v>861</v>
      </c>
      <c r="H944" s="14">
        <v>1.06</v>
      </c>
      <c r="I944" s="2" t="s">
        <v>4699</v>
      </c>
      <c r="J944" s="2" t="s">
        <v>6555</v>
      </c>
      <c r="K944" s="2" t="s">
        <v>3390</v>
      </c>
      <c r="L944" s="2" t="s">
        <v>5221</v>
      </c>
      <c r="M944" s="2" t="s">
        <v>5221</v>
      </c>
      <c r="N944" s="2" t="s">
        <v>2317</v>
      </c>
      <c r="O944" s="14">
        <v>9700</v>
      </c>
      <c r="P944" s="14">
        <v>98.7</v>
      </c>
      <c r="Q944" s="14">
        <v>126.1</v>
      </c>
      <c r="R944" s="14">
        <v>133.66999999999999</v>
      </c>
      <c r="S944" s="2" t="s">
        <v>2122</v>
      </c>
      <c r="T944" s="2">
        <v>1.01</v>
      </c>
      <c r="U944" s="2">
        <v>61.2</v>
      </c>
      <c r="V944" s="2">
        <v>59</v>
      </c>
      <c r="W944" s="2" t="s">
        <v>4336</v>
      </c>
      <c r="X944" s="2" t="s">
        <v>5405</v>
      </c>
      <c r="Y944" s="2">
        <v>10282</v>
      </c>
      <c r="Z944" s="19" t="str">
        <f>HYPERLINK("https://ssdweb.co/ssdweb/hd/Vision360.html?d=926101263&amp;zoomslide=1&amp;z=1926101263&amp;ISCONFIRM=0","VIDEO")</f>
        <v>VIDEO</v>
      </c>
      <c r="AA944" s="19" t="str">
        <f>HYPERLINK("https://ssdweb.co/ssdweb/CERTH/632403951.pdf","CERTI")</f>
        <v>CERTI</v>
      </c>
    </row>
    <row r="945" spans="1:27" ht="15" x14ac:dyDescent="0.25">
      <c r="A945" s="2">
        <v>940</v>
      </c>
      <c r="B945" s="39">
        <v>926631289</v>
      </c>
      <c r="C945" s="28" t="str">
        <f>HYPERLINK("https://pld.live/RapDetail.aspx?STONELIST=926631289","DNA")</f>
        <v>DNA</v>
      </c>
      <c r="D945" s="18" t="s">
        <v>3054</v>
      </c>
      <c r="E945" s="18" t="s">
        <v>5128</v>
      </c>
      <c r="F945" s="2" t="s">
        <v>7987</v>
      </c>
      <c r="G945" s="2" t="s">
        <v>861</v>
      </c>
      <c r="H945" s="14">
        <v>1.05</v>
      </c>
      <c r="I945" s="2" t="s">
        <v>4761</v>
      </c>
      <c r="J945" s="2" t="s">
        <v>7032</v>
      </c>
      <c r="K945" s="2" t="s">
        <v>3390</v>
      </c>
      <c r="L945" s="2" t="s">
        <v>5221</v>
      </c>
      <c r="M945" s="2" t="s">
        <v>5221</v>
      </c>
      <c r="N945" s="2" t="s">
        <v>2317</v>
      </c>
      <c r="O945" s="14">
        <v>12500</v>
      </c>
      <c r="P945" s="14">
        <v>98.23</v>
      </c>
      <c r="Q945" s="14">
        <v>221.25</v>
      </c>
      <c r="R945" s="14">
        <v>232.31</v>
      </c>
      <c r="S945" s="2" t="s">
        <v>2710</v>
      </c>
      <c r="T945" s="2">
        <v>1</v>
      </c>
      <c r="U945" s="2">
        <v>61.5</v>
      </c>
      <c r="V945" s="2">
        <v>59</v>
      </c>
      <c r="W945" s="2" t="s">
        <v>7862</v>
      </c>
      <c r="X945" s="2" t="s">
        <v>5405</v>
      </c>
      <c r="Y945" s="2">
        <v>13125</v>
      </c>
      <c r="Z945" s="19" t="str">
        <f>HYPERLINK("https://ssdweb.co/ssdweb/hd/Vision360.html?d=926631289&amp;zoomslide=1&amp;z=1926631289&amp;ISCONFIRM=0","VIDEO")</f>
        <v>VIDEO</v>
      </c>
      <c r="AA945" s="19" t="str">
        <f>HYPERLINK("https://ssdweb.co/ssdweb/CERTH/647475503.pdf","CERTI")</f>
        <v>CERTI</v>
      </c>
    </row>
    <row r="946" spans="1:27" ht="15" x14ac:dyDescent="0.25">
      <c r="A946" s="2">
        <v>941</v>
      </c>
      <c r="B946" s="39">
        <v>926741081</v>
      </c>
      <c r="C946" s="28" t="str">
        <f>HYPERLINK("https://pld.live/RapDetail.aspx?STONELIST=926741081","DNA")</f>
        <v>DNA</v>
      </c>
      <c r="D946" s="18" t="s">
        <v>3054</v>
      </c>
      <c r="E946" s="18" t="s">
        <v>5128</v>
      </c>
      <c r="F946" s="2" t="s">
        <v>7987</v>
      </c>
      <c r="G946" s="2" t="s">
        <v>861</v>
      </c>
      <c r="H946" s="14">
        <v>1.04</v>
      </c>
      <c r="I946" s="2" t="s">
        <v>267</v>
      </c>
      <c r="J946" s="2" t="s">
        <v>7032</v>
      </c>
      <c r="K946" s="2" t="s">
        <v>3390</v>
      </c>
      <c r="L946" s="2" t="s">
        <v>5221</v>
      </c>
      <c r="M946" s="2" t="s">
        <v>5221</v>
      </c>
      <c r="N946" s="2" t="s">
        <v>2317</v>
      </c>
      <c r="O946" s="14">
        <v>16000</v>
      </c>
      <c r="P946" s="14">
        <v>98.44</v>
      </c>
      <c r="Q946" s="14">
        <v>249.6</v>
      </c>
      <c r="R946" s="14">
        <v>259.58</v>
      </c>
      <c r="S946" s="2" t="s">
        <v>3204</v>
      </c>
      <c r="T946" s="2">
        <v>1</v>
      </c>
      <c r="U946" s="2">
        <v>61.3</v>
      </c>
      <c r="V946" s="2">
        <v>59</v>
      </c>
      <c r="W946" s="2" t="s">
        <v>7862</v>
      </c>
      <c r="X946" s="2" t="s">
        <v>5405</v>
      </c>
      <c r="Y946" s="2">
        <v>16640</v>
      </c>
      <c r="Z946" s="19" t="str">
        <f>HYPERLINK("https://ssdweb.co/ssdweb/hd/Vision360.html?d=926741081&amp;zoomslide=1&amp;z=1926741081&amp;ISCONFIRM=0","VIDEO")</f>
        <v>VIDEO</v>
      </c>
      <c r="AA946" s="19" t="str">
        <f>HYPERLINK("https://ssdweb.co/ssdweb/CERTH/659414330.pdf","CERTI")</f>
        <v>CERTI</v>
      </c>
    </row>
    <row r="947" spans="1:27" ht="15" x14ac:dyDescent="0.25">
      <c r="A947" s="2">
        <v>942</v>
      </c>
      <c r="B947" s="39">
        <v>926741011</v>
      </c>
      <c r="C947" s="28" t="str">
        <f>HYPERLINK("https://pld.live/RapDetail.aspx?STONELIST=926741011","DNA")</f>
        <v>DNA</v>
      </c>
      <c r="D947" s="18" t="s">
        <v>3054</v>
      </c>
      <c r="E947" s="18" t="s">
        <v>5128</v>
      </c>
      <c r="F947" s="2" t="s">
        <v>7987</v>
      </c>
      <c r="G947" s="2" t="s">
        <v>861</v>
      </c>
      <c r="H947" s="14">
        <v>1.04</v>
      </c>
      <c r="I947" s="2" t="s">
        <v>267</v>
      </c>
      <c r="J947" s="2" t="s">
        <v>6555</v>
      </c>
      <c r="K947" s="2" t="s">
        <v>3390</v>
      </c>
      <c r="L947" s="2" t="s">
        <v>5221</v>
      </c>
      <c r="M947" s="2" t="s">
        <v>5221</v>
      </c>
      <c r="N947" s="2" t="s">
        <v>2317</v>
      </c>
      <c r="O947" s="14">
        <v>12800</v>
      </c>
      <c r="P947" s="14">
        <v>98.85</v>
      </c>
      <c r="Q947" s="14">
        <v>147.19999999999999</v>
      </c>
      <c r="R947" s="14">
        <v>153.09</v>
      </c>
      <c r="S947" s="2" t="s">
        <v>7777</v>
      </c>
      <c r="T947" s="2">
        <v>1</v>
      </c>
      <c r="U947" s="2">
        <v>61.5</v>
      </c>
      <c r="V947" s="2">
        <v>58</v>
      </c>
      <c r="W947" s="2" t="s">
        <v>7862</v>
      </c>
      <c r="X947" s="2" t="s">
        <v>5405</v>
      </c>
      <c r="Y947" s="2">
        <v>13312</v>
      </c>
      <c r="Z947" s="19" t="str">
        <f>HYPERLINK("https://ssdweb.co/ssdweb/hd/Vision360.html?d=926741011&amp;zoomslide=1&amp;z=1926741011&amp;ISCONFIRM=0","VIDEO")</f>
        <v>VIDEO</v>
      </c>
      <c r="AA947" s="19" t="str">
        <f>HYPERLINK("https://ssdweb.co/ssdweb/CERTH/659414328.pdf","CERTI")</f>
        <v>CERTI</v>
      </c>
    </row>
    <row r="948" spans="1:27" ht="15" x14ac:dyDescent="0.25">
      <c r="A948" s="2">
        <v>943</v>
      </c>
      <c r="B948" s="39">
        <v>926110564</v>
      </c>
      <c r="C948" s="28" t="str">
        <f>HYPERLINK("https://pld.live/RapDetail.aspx?STONELIST=926110564","DNA")</f>
        <v>DNA</v>
      </c>
      <c r="D948" s="18" t="s">
        <v>3054</v>
      </c>
      <c r="E948" s="18" t="s">
        <v>5128</v>
      </c>
      <c r="F948" s="2" t="s">
        <v>7987</v>
      </c>
      <c r="G948" s="2" t="s">
        <v>861</v>
      </c>
      <c r="H948" s="14">
        <v>1.04</v>
      </c>
      <c r="I948" s="2" t="s">
        <v>267</v>
      </c>
      <c r="J948" s="2" t="s">
        <v>6555</v>
      </c>
      <c r="K948" s="2" t="s">
        <v>3390</v>
      </c>
      <c r="L948" s="2" t="s">
        <v>5221</v>
      </c>
      <c r="M948" s="2" t="s">
        <v>5221</v>
      </c>
      <c r="N948" s="2" t="s">
        <v>2317</v>
      </c>
      <c r="O948" s="14">
        <v>12800</v>
      </c>
      <c r="P948" s="14">
        <v>98.86</v>
      </c>
      <c r="Q948" s="14">
        <v>145.91999999999999</v>
      </c>
      <c r="R948" s="14">
        <v>151.76</v>
      </c>
      <c r="S948" s="2" t="s">
        <v>1244</v>
      </c>
      <c r="T948" s="2">
        <v>1.01</v>
      </c>
      <c r="U948" s="2">
        <v>61.7</v>
      </c>
      <c r="V948" s="2">
        <v>60</v>
      </c>
      <c r="W948" s="2" t="s">
        <v>7862</v>
      </c>
      <c r="X948" s="2" t="s">
        <v>5405</v>
      </c>
      <c r="Y948" s="2">
        <v>13312</v>
      </c>
      <c r="Z948" s="19" t="str">
        <f>HYPERLINK("https://ssdweb.co/ssdweb/hd/Vision360.html?d=926110564&amp;zoomslide=1&amp;z=1926110564&amp;ISCONFIRM=0","VIDEO")</f>
        <v>VIDEO</v>
      </c>
      <c r="AA948" s="19" t="str">
        <f>HYPERLINK("https://ssdweb.co/ssdweb/CERTH/632421447.pdf","CERTI")</f>
        <v>CERTI</v>
      </c>
    </row>
    <row r="949" spans="1:27" ht="15" x14ac:dyDescent="0.25">
      <c r="A949" s="2">
        <v>944</v>
      </c>
      <c r="B949" s="39">
        <v>926100963</v>
      </c>
      <c r="C949" s="28" t="str">
        <f>HYPERLINK("https://pld.live/RapDetail.aspx?STONELIST=926100963","DNA")</f>
        <v>DNA</v>
      </c>
      <c r="D949" s="18" t="s">
        <v>3054</v>
      </c>
      <c r="E949" s="18" t="s">
        <v>5128</v>
      </c>
      <c r="F949" s="2" t="s">
        <v>7987</v>
      </c>
      <c r="G949" s="2" t="s">
        <v>861</v>
      </c>
      <c r="H949" s="14">
        <v>1.04</v>
      </c>
      <c r="I949" s="2" t="s">
        <v>267</v>
      </c>
      <c r="J949" s="2" t="s">
        <v>3942</v>
      </c>
      <c r="K949" s="2" t="s">
        <v>3390</v>
      </c>
      <c r="L949" s="2" t="s">
        <v>5221</v>
      </c>
      <c r="M949" s="2" t="s">
        <v>5221</v>
      </c>
      <c r="N949" s="2" t="s">
        <v>2317</v>
      </c>
      <c r="O949" s="14">
        <v>10200</v>
      </c>
      <c r="P949" s="14">
        <v>98.75</v>
      </c>
      <c r="Q949" s="14">
        <v>127.5</v>
      </c>
      <c r="R949" s="14">
        <v>132.6</v>
      </c>
      <c r="S949" s="2" t="s">
        <v>47</v>
      </c>
      <c r="T949" s="2">
        <v>1</v>
      </c>
      <c r="U949" s="2">
        <v>61.1</v>
      </c>
      <c r="V949" s="2">
        <v>60</v>
      </c>
      <c r="W949" s="2" t="s">
        <v>7862</v>
      </c>
      <c r="X949" s="2" t="s">
        <v>5405</v>
      </c>
      <c r="Y949" s="2">
        <v>10608</v>
      </c>
      <c r="Z949" s="19" t="str">
        <f>HYPERLINK("https://ssdweb.co/ssdweb/hd/Vision360.html?d=926100963&amp;zoomslide=1&amp;z=1926100963&amp;ISCONFIRM=0","VIDEO")</f>
        <v>VIDEO</v>
      </c>
      <c r="AA949" s="19" t="str">
        <f>HYPERLINK("https://ssdweb.co/ssdweb/CERTH/632488264.pdf","CERTI")</f>
        <v>CERTI</v>
      </c>
    </row>
    <row r="950" spans="1:27" ht="15" x14ac:dyDescent="0.25">
      <c r="A950" s="2">
        <v>945</v>
      </c>
      <c r="B950" s="39">
        <v>926041237</v>
      </c>
      <c r="C950" s="28" t="str">
        <f>HYPERLINK("https://pld.live/RapDetail.aspx?STONELIST=926041237","DNA")</f>
        <v>DNA</v>
      </c>
      <c r="D950" s="18" t="s">
        <v>3054</v>
      </c>
      <c r="E950" s="18" t="s">
        <v>5128</v>
      </c>
      <c r="F950" s="2" t="s">
        <v>5597</v>
      </c>
      <c r="G950" s="2" t="s">
        <v>861</v>
      </c>
      <c r="H950" s="14">
        <v>1.04</v>
      </c>
      <c r="I950" s="2" t="s">
        <v>267</v>
      </c>
      <c r="J950" s="2" t="s">
        <v>3942</v>
      </c>
      <c r="K950" s="2" t="s">
        <v>5221</v>
      </c>
      <c r="L950" s="2" t="s">
        <v>5221</v>
      </c>
      <c r="M950" s="2" t="s">
        <v>5221</v>
      </c>
      <c r="N950" s="2" t="s">
        <v>2317</v>
      </c>
      <c r="O950" s="14">
        <v>10200</v>
      </c>
      <c r="P950" s="14">
        <v>97.94</v>
      </c>
      <c r="Q950" s="14">
        <v>210.12</v>
      </c>
      <c r="R950" s="14">
        <v>218.52</v>
      </c>
      <c r="S950" s="2" t="s">
        <v>5911</v>
      </c>
      <c r="T950" s="2">
        <v>1</v>
      </c>
      <c r="U950" s="2">
        <v>61.9</v>
      </c>
      <c r="V950" s="2">
        <v>56</v>
      </c>
      <c r="W950" s="2" t="s">
        <v>7862</v>
      </c>
      <c r="X950" s="2" t="s">
        <v>5405</v>
      </c>
      <c r="Y950" s="2">
        <v>10608</v>
      </c>
      <c r="Z950" s="19" t="str">
        <f>HYPERLINK("https://ssdweb.co/ssdweb/hd/Vision360.html?d=926041237&amp;zoomslide=1&amp;z=1926041237&amp;ISCONFIRM=0","VIDEO")</f>
        <v>VIDEO</v>
      </c>
      <c r="AA950" s="19" t="str">
        <f>HYPERLINK("https://ssdweb.co/ssdweb/CERTH/2496221343.pdf","CERTI")</f>
        <v>CERTI</v>
      </c>
    </row>
    <row r="951" spans="1:27" ht="15" x14ac:dyDescent="0.25">
      <c r="A951" s="2">
        <v>946</v>
      </c>
      <c r="B951" s="39">
        <v>821114800</v>
      </c>
      <c r="C951" s="28" t="str">
        <f>HYPERLINK("https://pld.live/RapDetail.aspx?STONELIST=821114800","DNA")</f>
        <v>DNA</v>
      </c>
      <c r="D951" s="18" t="s">
        <v>3054</v>
      </c>
      <c r="E951" s="18" t="s">
        <v>2186</v>
      </c>
      <c r="F951" s="2" t="s">
        <v>7987</v>
      </c>
      <c r="G951" s="2" t="s">
        <v>861</v>
      </c>
      <c r="H951" s="14">
        <v>1.04</v>
      </c>
      <c r="I951" s="2" t="s">
        <v>267</v>
      </c>
      <c r="J951" s="2" t="s">
        <v>13</v>
      </c>
      <c r="K951" s="2" t="s">
        <v>3390</v>
      </c>
      <c r="L951" s="2" t="s">
        <v>5221</v>
      </c>
      <c r="M951" s="2" t="s">
        <v>5221</v>
      </c>
      <c r="N951" s="2" t="s">
        <v>2317</v>
      </c>
      <c r="O951" s="14">
        <v>8700</v>
      </c>
      <c r="P951" s="14">
        <v>98.57</v>
      </c>
      <c r="Q951" s="14">
        <v>124.41</v>
      </c>
      <c r="R951" s="14">
        <v>129.38999999999999</v>
      </c>
      <c r="S951" s="2" t="s">
        <v>899</v>
      </c>
      <c r="T951" s="2">
        <v>1</v>
      </c>
      <c r="U951" s="2">
        <v>61.5</v>
      </c>
      <c r="V951" s="2">
        <v>59</v>
      </c>
      <c r="W951" s="2" t="s">
        <v>7862</v>
      </c>
      <c r="X951" s="2" t="s">
        <v>5405</v>
      </c>
      <c r="Y951" s="2">
        <v>9048</v>
      </c>
      <c r="Z951" s="19" t="str">
        <f>HYPERLINK("https://ssdweb.co/ssdweb/hd/Vision360.html?d=821114800&amp;zoomslide=1&amp;z=1821114800&amp;ISCONFIRM=0","VIDEO")</f>
        <v>VIDEO</v>
      </c>
      <c r="AA951" s="19" t="str">
        <f>HYPERLINK("https://ssdweb.co/ssdweb/CERTH/626480185.pdf","CERTI")</f>
        <v>CERTI</v>
      </c>
    </row>
    <row r="952" spans="1:27" ht="15" x14ac:dyDescent="0.25">
      <c r="A952" s="2">
        <v>947</v>
      </c>
      <c r="B952" s="39">
        <v>821115119</v>
      </c>
      <c r="C952" s="28" t="str">
        <f>HYPERLINK("https://pld.live/RapDetail.aspx?STONELIST=821115119","DNA")</f>
        <v>DNA</v>
      </c>
      <c r="D952" s="18" t="s">
        <v>3054</v>
      </c>
      <c r="E952" s="18" t="s">
        <v>2186</v>
      </c>
      <c r="F952" s="2" t="s">
        <v>7987</v>
      </c>
      <c r="G952" s="2" t="s">
        <v>861</v>
      </c>
      <c r="H952" s="14">
        <v>1.04</v>
      </c>
      <c r="I952" s="2" t="s">
        <v>267</v>
      </c>
      <c r="J952" s="2" t="s">
        <v>13</v>
      </c>
      <c r="K952" s="2" t="s">
        <v>3390</v>
      </c>
      <c r="L952" s="2" t="s">
        <v>5221</v>
      </c>
      <c r="M952" s="2" t="s">
        <v>5221</v>
      </c>
      <c r="N952" s="2" t="s">
        <v>2317</v>
      </c>
      <c r="O952" s="14">
        <v>8700</v>
      </c>
      <c r="P952" s="14">
        <v>98.57</v>
      </c>
      <c r="Q952" s="14">
        <v>124.41</v>
      </c>
      <c r="R952" s="14">
        <v>129.38999999999999</v>
      </c>
      <c r="S952" s="2" t="s">
        <v>5470</v>
      </c>
      <c r="T952" s="2">
        <v>1</v>
      </c>
      <c r="U952" s="2">
        <v>60.4</v>
      </c>
      <c r="V952" s="2">
        <v>60</v>
      </c>
      <c r="W952" s="2" t="s">
        <v>7862</v>
      </c>
      <c r="X952" s="2" t="s">
        <v>5405</v>
      </c>
      <c r="Y952" s="2">
        <v>9048</v>
      </c>
      <c r="Z952" s="19" t="str">
        <f>HYPERLINK("https://ssdweb.co/ssdweb/hd/Vision360.html?d=821115119&amp;zoomslide=1&amp;z=1821115119&amp;ISCONFIRM=0","VIDEO")</f>
        <v>VIDEO</v>
      </c>
      <c r="AA952" s="19" t="str">
        <f>HYPERLINK("https://ssdweb.co/ssdweb/CERTH/626479000.pdf","CERTI")</f>
        <v>CERTI</v>
      </c>
    </row>
    <row r="953" spans="1:27" ht="15" x14ac:dyDescent="0.25">
      <c r="A953" s="2">
        <v>948</v>
      </c>
      <c r="B953" s="39">
        <v>926071488</v>
      </c>
      <c r="C953" s="28" t="str">
        <f>HYPERLINK("https://pld.live/RapDetail.aspx?STONELIST=926071488","DNA")</f>
        <v>DNA</v>
      </c>
      <c r="D953" s="18" t="s">
        <v>3054</v>
      </c>
      <c r="E953" s="18" t="s">
        <v>5128</v>
      </c>
      <c r="F953" s="2" t="s">
        <v>7987</v>
      </c>
      <c r="G953" s="2" t="s">
        <v>861</v>
      </c>
      <c r="H953" s="14">
        <v>1.04</v>
      </c>
      <c r="I953" s="2" t="s">
        <v>267</v>
      </c>
      <c r="J953" s="2" t="s">
        <v>13</v>
      </c>
      <c r="K953" s="2" t="s">
        <v>3390</v>
      </c>
      <c r="L953" s="2" t="s">
        <v>5221</v>
      </c>
      <c r="M953" s="2" t="s">
        <v>5221</v>
      </c>
      <c r="N953" s="2" t="s">
        <v>2317</v>
      </c>
      <c r="O953" s="14">
        <v>8700</v>
      </c>
      <c r="P953" s="14">
        <v>98.55</v>
      </c>
      <c r="Q953" s="14">
        <v>126.15</v>
      </c>
      <c r="R953" s="14">
        <v>131.19999999999999</v>
      </c>
      <c r="S953" s="2" t="s">
        <v>6965</v>
      </c>
      <c r="T953" s="2">
        <v>1.01</v>
      </c>
      <c r="U953" s="2">
        <v>60.6</v>
      </c>
      <c r="V953" s="2">
        <v>60</v>
      </c>
      <c r="W953" s="2" t="s">
        <v>7862</v>
      </c>
      <c r="X953" s="2" t="s">
        <v>5405</v>
      </c>
      <c r="Y953" s="2">
        <v>9048</v>
      </c>
      <c r="Z953" s="19" t="str">
        <f>HYPERLINK("https://ssdweb.co/ssdweb/hd/Vision360.html?d=926071488&amp;zoomslide=1&amp;z=1926071488&amp;ISCONFIRM=0","VIDEO")</f>
        <v>VIDEO</v>
      </c>
      <c r="AA953" s="19" t="str">
        <f>HYPERLINK("https://ssdweb.co/ssdweb/CERTH/631430406.pdf","CERTI")</f>
        <v>CERTI</v>
      </c>
    </row>
    <row r="954" spans="1:27" ht="15" x14ac:dyDescent="0.25">
      <c r="A954" s="2">
        <v>949</v>
      </c>
      <c r="B954" s="39">
        <v>926071766</v>
      </c>
      <c r="C954" s="28" t="str">
        <f>HYPERLINK("https://pld.live/RapDetail.aspx?STONELIST=926071766","DNA")</f>
        <v>DNA</v>
      </c>
      <c r="D954" s="18" t="s">
        <v>3054</v>
      </c>
      <c r="E954" s="18" t="s">
        <v>5128</v>
      </c>
      <c r="F954" s="2" t="s">
        <v>7987</v>
      </c>
      <c r="G954" s="2" t="s">
        <v>861</v>
      </c>
      <c r="H954" s="14">
        <v>1.04</v>
      </c>
      <c r="I954" s="2" t="s">
        <v>267</v>
      </c>
      <c r="J954" s="2" t="s">
        <v>13</v>
      </c>
      <c r="K954" s="2" t="s">
        <v>3390</v>
      </c>
      <c r="L954" s="2" t="s">
        <v>5721</v>
      </c>
      <c r="M954" s="2" t="s">
        <v>5221</v>
      </c>
      <c r="N954" s="2" t="s">
        <v>2317</v>
      </c>
      <c r="O954" s="14">
        <v>8700</v>
      </c>
      <c r="P954" s="14">
        <v>98.56</v>
      </c>
      <c r="Q954" s="14">
        <v>125.28</v>
      </c>
      <c r="R954" s="14">
        <v>130.29</v>
      </c>
      <c r="S954" s="2" t="s">
        <v>6811</v>
      </c>
      <c r="T954" s="2">
        <v>1</v>
      </c>
      <c r="U954" s="2">
        <v>62</v>
      </c>
      <c r="V954" s="2">
        <v>57</v>
      </c>
      <c r="W954" s="2" t="s">
        <v>7862</v>
      </c>
      <c r="X954" s="2" t="s">
        <v>5405</v>
      </c>
      <c r="Y954" s="2">
        <v>9048</v>
      </c>
      <c r="Z954" s="19" t="str">
        <f>HYPERLINK("https://ssdweb.co/ssdweb/hd/Vision360.html?d=926071766&amp;zoomslide=1&amp;z=1926071766&amp;ISCONFIRM=0","VIDEO")</f>
        <v>VIDEO</v>
      </c>
      <c r="AA954" s="19" t="str">
        <f>HYPERLINK("https://ssdweb.co/ssdweb/CERTH/631464113.pdf","CERTI")</f>
        <v>CERTI</v>
      </c>
    </row>
    <row r="955" spans="1:27" ht="15" x14ac:dyDescent="0.25">
      <c r="A955" s="2">
        <v>950</v>
      </c>
      <c r="B955" s="39">
        <v>926640345</v>
      </c>
      <c r="C955" s="28" t="str">
        <f>HYPERLINK("https://pld.live/RapDetail.aspx?STONELIST=926640345","DNA")</f>
        <v>DNA</v>
      </c>
      <c r="D955" s="18" t="s">
        <v>3054</v>
      </c>
      <c r="E955" s="18" t="s">
        <v>2186</v>
      </c>
      <c r="F955" s="2" t="s">
        <v>7987</v>
      </c>
      <c r="G955" s="2" t="s">
        <v>861</v>
      </c>
      <c r="H955" s="14">
        <v>1.04</v>
      </c>
      <c r="I955" s="2" t="s">
        <v>267</v>
      </c>
      <c r="J955" s="2" t="s">
        <v>5144</v>
      </c>
      <c r="K955" s="2" t="s">
        <v>3390</v>
      </c>
      <c r="L955" s="2" t="s">
        <v>5221</v>
      </c>
      <c r="M955" s="2" t="s">
        <v>5221</v>
      </c>
      <c r="N955" s="2" t="s">
        <v>2317</v>
      </c>
      <c r="O955" s="14">
        <v>7300</v>
      </c>
      <c r="P955" s="14">
        <v>98.33</v>
      </c>
      <c r="Q955" s="14">
        <v>121.91</v>
      </c>
      <c r="R955" s="14">
        <v>126.79</v>
      </c>
      <c r="S955" s="2" t="s">
        <v>4060</v>
      </c>
      <c r="T955" s="2">
        <v>1</v>
      </c>
      <c r="U955" s="2">
        <v>61.8</v>
      </c>
      <c r="V955" s="2">
        <v>60</v>
      </c>
      <c r="W955" s="2" t="s">
        <v>7862</v>
      </c>
      <c r="X955" s="2" t="s">
        <v>5405</v>
      </c>
      <c r="Y955" s="2">
        <v>7592</v>
      </c>
      <c r="Z955" s="19" t="str">
        <f>HYPERLINK("https://ssdweb.co/ssdweb/hd/Vision360.html?d=926640345&amp;zoomslide=1&amp;z=1926640345&amp;ISCONFIRM=0","VIDEO")</f>
        <v>VIDEO</v>
      </c>
      <c r="AA955" s="19" t="str">
        <f>HYPERLINK("https://ssdweb.co/ssdweb/CERTH/647452261.pdf","CERTI")</f>
        <v>CERTI</v>
      </c>
    </row>
    <row r="956" spans="1:27" ht="15" x14ac:dyDescent="0.25">
      <c r="A956" s="2">
        <v>951</v>
      </c>
      <c r="B956" s="39">
        <v>926291185</v>
      </c>
      <c r="C956" s="28" t="str">
        <f>HYPERLINK("https://pld.live/RapDetail.aspx?STONELIST=926291185","DNA")</f>
        <v>DNA</v>
      </c>
      <c r="D956" s="18" t="s">
        <v>3054</v>
      </c>
      <c r="E956" s="18" t="s">
        <v>5128</v>
      </c>
      <c r="F956" s="2" t="s">
        <v>7987</v>
      </c>
      <c r="G956" s="2" t="s">
        <v>861</v>
      </c>
      <c r="H956" s="14">
        <v>1.04</v>
      </c>
      <c r="I956" s="2" t="s">
        <v>267</v>
      </c>
      <c r="J956" s="2" t="s">
        <v>5144</v>
      </c>
      <c r="K956" s="2" t="s">
        <v>3390</v>
      </c>
      <c r="L956" s="2" t="s">
        <v>5221</v>
      </c>
      <c r="M956" s="2" t="s">
        <v>5221</v>
      </c>
      <c r="N956" s="2" t="s">
        <v>2317</v>
      </c>
      <c r="O956" s="14">
        <v>7300</v>
      </c>
      <c r="P956" s="14">
        <v>98.34</v>
      </c>
      <c r="Q956" s="14">
        <v>121.18</v>
      </c>
      <c r="R956" s="14">
        <v>126.03</v>
      </c>
      <c r="S956" s="2" t="s">
        <v>417</v>
      </c>
      <c r="T956" s="2">
        <v>1</v>
      </c>
      <c r="U956" s="2">
        <v>61.7</v>
      </c>
      <c r="V956" s="2">
        <v>56</v>
      </c>
      <c r="W956" s="2" t="s">
        <v>7862</v>
      </c>
      <c r="X956" s="2" t="s">
        <v>5405</v>
      </c>
      <c r="Y956" s="2">
        <v>7592</v>
      </c>
      <c r="Z956" s="19" t="str">
        <f>HYPERLINK("https://ssdweb.co/ssdweb/hd/Vision360.html?d=926291185&amp;zoomslide=1&amp;z=1926291185&amp;ISCONFIRM=0","VIDEO")</f>
        <v>VIDEO</v>
      </c>
      <c r="AA956" s="19" t="str">
        <f>HYPERLINK("https://ssdweb.co/ssdweb/CERTH/638463332.pdf","CERTI")</f>
        <v>CERTI</v>
      </c>
    </row>
    <row r="957" spans="1:27" ht="15" x14ac:dyDescent="0.25">
      <c r="A957" s="2">
        <v>952</v>
      </c>
      <c r="B957" s="39">
        <v>925140205</v>
      </c>
      <c r="C957" s="28" t="str">
        <f>HYPERLINK("https://pld.live/RapDetail.aspx?STONELIST=925140205","DNA")</f>
        <v>DNA</v>
      </c>
      <c r="D957" s="18" t="s">
        <v>3054</v>
      </c>
      <c r="E957" s="18" t="s">
        <v>5128</v>
      </c>
      <c r="F957" s="2" t="s">
        <v>5597</v>
      </c>
      <c r="G957" s="2" t="s">
        <v>861</v>
      </c>
      <c r="H957" s="14">
        <v>1.04</v>
      </c>
      <c r="I957" s="2" t="s">
        <v>4761</v>
      </c>
      <c r="J957" s="2" t="s">
        <v>6555</v>
      </c>
      <c r="K957" s="2" t="s">
        <v>5221</v>
      </c>
      <c r="L957" s="2" t="s">
        <v>5221</v>
      </c>
      <c r="M957" s="2" t="s">
        <v>5221</v>
      </c>
      <c r="N957" s="2" t="s">
        <v>2317</v>
      </c>
      <c r="O957" s="14">
        <v>11100</v>
      </c>
      <c r="P957" s="14">
        <v>97.9</v>
      </c>
      <c r="Q957" s="14">
        <v>233.1</v>
      </c>
      <c r="R957" s="14">
        <v>242.42</v>
      </c>
      <c r="S957" s="2" t="s">
        <v>1423</v>
      </c>
      <c r="T957" s="2">
        <v>1</v>
      </c>
      <c r="U957" s="2">
        <v>62.4</v>
      </c>
      <c r="V957" s="2">
        <v>56</v>
      </c>
      <c r="W957" s="2" t="s">
        <v>7862</v>
      </c>
      <c r="X957" s="2" t="s">
        <v>5405</v>
      </c>
      <c r="Y957" s="2">
        <v>11544</v>
      </c>
      <c r="Z957" s="19" t="str">
        <f>HYPERLINK("https://ssdweb.co/ssdweb/hd/Vision360.html?d=925140205&amp;zoomslide=1&amp;z=1925140205&amp;ISCONFIRM=0","VIDEO")</f>
        <v>VIDEO</v>
      </c>
      <c r="AA957" s="19" t="str">
        <f>HYPERLINK("https://ssdweb.co/ssdweb/CERTH/7482152348.pdf","CERTI")</f>
        <v>CERTI</v>
      </c>
    </row>
    <row r="958" spans="1:27" ht="15" x14ac:dyDescent="0.25">
      <c r="A958" s="2">
        <v>953</v>
      </c>
      <c r="B958" s="39">
        <v>925940486</v>
      </c>
      <c r="C958" s="28" t="str">
        <f>HYPERLINK("https://pld.live/RapDetail.aspx?STONELIST=925940486","DNA")</f>
        <v>DNA</v>
      </c>
      <c r="D958" s="18" t="s">
        <v>3054</v>
      </c>
      <c r="E958" s="18" t="s">
        <v>5128</v>
      </c>
      <c r="F958" s="2" t="s">
        <v>7987</v>
      </c>
      <c r="G958" s="2" t="s">
        <v>861</v>
      </c>
      <c r="H958" s="14">
        <v>1.04</v>
      </c>
      <c r="I958" s="2" t="s">
        <v>4761</v>
      </c>
      <c r="J958" s="2" t="s">
        <v>3942</v>
      </c>
      <c r="K958" s="2" t="s">
        <v>3390</v>
      </c>
      <c r="L958" s="2" t="s">
        <v>5221</v>
      </c>
      <c r="M958" s="2" t="s">
        <v>5221</v>
      </c>
      <c r="N958" s="2" t="s">
        <v>2317</v>
      </c>
      <c r="O958" s="14">
        <v>9300</v>
      </c>
      <c r="P958" s="14">
        <v>98.69</v>
      </c>
      <c r="Q958" s="14">
        <v>121.83</v>
      </c>
      <c r="R958" s="14">
        <v>126.7</v>
      </c>
      <c r="S958" s="2" t="s">
        <v>507</v>
      </c>
      <c r="T958" s="2">
        <v>1.01</v>
      </c>
      <c r="U958" s="2">
        <v>60.5</v>
      </c>
      <c r="V958" s="2">
        <v>59</v>
      </c>
      <c r="W958" s="2" t="s">
        <v>7862</v>
      </c>
      <c r="X958" s="2" t="s">
        <v>5405</v>
      </c>
      <c r="Y958" s="2">
        <v>9672</v>
      </c>
      <c r="Z958" s="19" t="str">
        <f>HYPERLINK("https://ssdweb.co/ssdweb/hd/Vision360.html?d=925940486&amp;zoomslide=1&amp;z=1925940486&amp;ISCONFIRM=0","VIDEO")</f>
        <v>VIDEO</v>
      </c>
      <c r="AA958" s="19" t="str">
        <f>HYPERLINK("https://ssdweb.co/ssdweb/CERTH/628463080.pdf","CERTI")</f>
        <v>CERTI</v>
      </c>
    </row>
    <row r="959" spans="1:27" ht="15" x14ac:dyDescent="0.25">
      <c r="A959" s="2">
        <v>954</v>
      </c>
      <c r="B959" s="39">
        <v>926640349</v>
      </c>
      <c r="C959" s="28" t="str">
        <f>HYPERLINK("https://pld.live/RapDetail.aspx?STONELIST=926640349","DNA")</f>
        <v>DNA</v>
      </c>
      <c r="D959" s="18" t="s">
        <v>3054</v>
      </c>
      <c r="E959" s="18" t="s">
        <v>2186</v>
      </c>
      <c r="F959" s="2" t="s">
        <v>7987</v>
      </c>
      <c r="G959" s="2" t="s">
        <v>861</v>
      </c>
      <c r="H959" s="14">
        <v>1.04</v>
      </c>
      <c r="I959" s="2" t="s">
        <v>4761</v>
      </c>
      <c r="J959" s="2" t="s">
        <v>3942</v>
      </c>
      <c r="K959" s="2" t="s">
        <v>3390</v>
      </c>
      <c r="L959" s="2" t="s">
        <v>5221</v>
      </c>
      <c r="M959" s="2" t="s">
        <v>5221</v>
      </c>
      <c r="N959" s="2" t="s">
        <v>2317</v>
      </c>
      <c r="O959" s="14">
        <v>9300</v>
      </c>
      <c r="P959" s="14">
        <v>98.66</v>
      </c>
      <c r="Q959" s="14">
        <v>124.62</v>
      </c>
      <c r="R959" s="14">
        <v>129.6</v>
      </c>
      <c r="S959" s="2" t="s">
        <v>3047</v>
      </c>
      <c r="T959" s="2">
        <v>1.01</v>
      </c>
      <c r="U959" s="2">
        <v>62.5</v>
      </c>
      <c r="V959" s="2">
        <v>57</v>
      </c>
      <c r="W959" s="2" t="s">
        <v>7862</v>
      </c>
      <c r="X959" s="2" t="s">
        <v>5405</v>
      </c>
      <c r="Y959" s="2">
        <v>9672</v>
      </c>
      <c r="Z959" s="19" t="str">
        <f>HYPERLINK("https://ssdweb.co/ssdweb/hd/Vision360.html?d=926640349&amp;zoomslide=1&amp;z=1926640349&amp;ISCONFIRM=0","VIDEO")</f>
        <v>VIDEO</v>
      </c>
      <c r="AA959" s="19" t="str">
        <f>HYPERLINK("https://ssdweb.co/ssdweb/CERTH/647452257.pdf","CERTI")</f>
        <v>CERTI</v>
      </c>
    </row>
    <row r="960" spans="1:27" ht="15" x14ac:dyDescent="0.25">
      <c r="A960" s="2">
        <v>955</v>
      </c>
      <c r="B960" s="39">
        <v>926701044</v>
      </c>
      <c r="C960" s="28" t="str">
        <f>HYPERLINK("https://pld.live/RapDetail.aspx?STONELIST=926701044","DNA")</f>
        <v>DNA</v>
      </c>
      <c r="D960" s="18" t="s">
        <v>3054</v>
      </c>
      <c r="E960" s="18" t="s">
        <v>5128</v>
      </c>
      <c r="F960" s="2" t="s">
        <v>7987</v>
      </c>
      <c r="G960" s="2" t="s">
        <v>861</v>
      </c>
      <c r="H960" s="14">
        <v>1.04</v>
      </c>
      <c r="I960" s="2" t="s">
        <v>4761</v>
      </c>
      <c r="J960" s="2" t="s">
        <v>3942</v>
      </c>
      <c r="K960" s="2" t="s">
        <v>3390</v>
      </c>
      <c r="L960" s="2" t="s">
        <v>5221</v>
      </c>
      <c r="M960" s="2" t="s">
        <v>5221</v>
      </c>
      <c r="N960" s="2" t="s">
        <v>2317</v>
      </c>
      <c r="O960" s="14">
        <v>9300</v>
      </c>
      <c r="P960" s="14">
        <v>98.66</v>
      </c>
      <c r="Q960" s="14">
        <v>124.62</v>
      </c>
      <c r="R960" s="14">
        <v>129.6</v>
      </c>
      <c r="S960" s="2" t="s">
        <v>7656</v>
      </c>
      <c r="T960" s="2">
        <v>1</v>
      </c>
      <c r="U960" s="2">
        <v>61.6</v>
      </c>
      <c r="V960" s="2">
        <v>57</v>
      </c>
      <c r="W960" s="2" t="s">
        <v>7862</v>
      </c>
      <c r="X960" s="2" t="s">
        <v>5405</v>
      </c>
      <c r="Y960" s="2">
        <v>9672</v>
      </c>
      <c r="Z960" s="19" t="str">
        <f>HYPERLINK("https://ssdweb.co/ssdweb/hd/Vision360.html?d=926701044&amp;zoomslide=1&amp;z=1926701044&amp;ISCONFIRM=0","VIDEO")</f>
        <v>VIDEO</v>
      </c>
      <c r="AA960" s="19" t="str">
        <f>HYPERLINK("https://ssdweb.co/ssdweb/CERTH/651401158.pdf","CERTI")</f>
        <v>CERTI</v>
      </c>
    </row>
    <row r="961" spans="1:27" ht="15" x14ac:dyDescent="0.25">
      <c r="A961" s="2">
        <v>956</v>
      </c>
      <c r="B961" s="39">
        <v>926701092</v>
      </c>
      <c r="C961" s="28" t="str">
        <f>HYPERLINK("https://pld.live/RapDetail.aspx?STONELIST=926701092","DNA")</f>
        <v>DNA</v>
      </c>
      <c r="D961" s="18" t="s">
        <v>3054</v>
      </c>
      <c r="E961" s="18" t="s">
        <v>5128</v>
      </c>
      <c r="F961" s="2" t="s">
        <v>7987</v>
      </c>
      <c r="G961" s="2" t="s">
        <v>861</v>
      </c>
      <c r="H961" s="14">
        <v>1.04</v>
      </c>
      <c r="I961" s="2" t="s">
        <v>4761</v>
      </c>
      <c r="J961" s="2" t="s">
        <v>3942</v>
      </c>
      <c r="K961" s="2" t="s">
        <v>3390</v>
      </c>
      <c r="L961" s="2" t="s">
        <v>5221</v>
      </c>
      <c r="M961" s="2" t="s">
        <v>5221</v>
      </c>
      <c r="N961" s="2" t="s">
        <v>2317</v>
      </c>
      <c r="O961" s="14">
        <v>9300</v>
      </c>
      <c r="P961" s="14">
        <v>98.66</v>
      </c>
      <c r="Q961" s="14">
        <v>124.62</v>
      </c>
      <c r="R961" s="14">
        <v>129.6</v>
      </c>
      <c r="S961" s="2" t="s">
        <v>2670</v>
      </c>
      <c r="T961" s="2">
        <v>1.01</v>
      </c>
      <c r="U961" s="2">
        <v>61.7</v>
      </c>
      <c r="V961" s="2">
        <v>58</v>
      </c>
      <c r="W961" s="2" t="s">
        <v>7862</v>
      </c>
      <c r="X961" s="2" t="s">
        <v>5405</v>
      </c>
      <c r="Y961" s="2">
        <v>9672</v>
      </c>
      <c r="Z961" s="19" t="str">
        <f>HYPERLINK("https://ssdweb.co/ssdweb/hd/Vision360.html?d=926701092&amp;zoomslide=1&amp;z=1926701092&amp;ISCONFIRM=0","VIDEO")</f>
        <v>VIDEO</v>
      </c>
      <c r="AA961" s="19" t="str">
        <f>HYPERLINK("https://ssdweb.co/ssdweb/CERTH/651401164.pdf","CERTI")</f>
        <v>CERTI</v>
      </c>
    </row>
    <row r="962" spans="1:27" ht="15" x14ac:dyDescent="0.25">
      <c r="A962" s="2">
        <v>957</v>
      </c>
      <c r="B962" s="39">
        <v>926701125</v>
      </c>
      <c r="C962" s="28" t="str">
        <f>HYPERLINK("https://pld.live/RapDetail.aspx?STONELIST=926701125","DNA")</f>
        <v>DNA</v>
      </c>
      <c r="D962" s="18" t="s">
        <v>3054</v>
      </c>
      <c r="E962" s="18" t="s">
        <v>5128</v>
      </c>
      <c r="F962" s="2" t="s">
        <v>7987</v>
      </c>
      <c r="G962" s="2" t="s">
        <v>861</v>
      </c>
      <c r="H962" s="14">
        <v>1.04</v>
      </c>
      <c r="I962" s="2" t="s">
        <v>4761</v>
      </c>
      <c r="J962" s="2" t="s">
        <v>3942</v>
      </c>
      <c r="K962" s="2" t="s">
        <v>3390</v>
      </c>
      <c r="L962" s="2" t="s">
        <v>5221</v>
      </c>
      <c r="M962" s="2" t="s">
        <v>5221</v>
      </c>
      <c r="N962" s="2" t="s">
        <v>2317</v>
      </c>
      <c r="O962" s="14">
        <v>9300</v>
      </c>
      <c r="P962" s="14">
        <v>98.66</v>
      </c>
      <c r="Q962" s="14">
        <v>124.62</v>
      </c>
      <c r="R962" s="14">
        <v>129.6</v>
      </c>
      <c r="S962" s="2" t="s">
        <v>3723</v>
      </c>
      <c r="T962" s="2">
        <v>1.01</v>
      </c>
      <c r="U962" s="2">
        <v>61.1</v>
      </c>
      <c r="V962" s="2">
        <v>58</v>
      </c>
      <c r="W962" s="2" t="s">
        <v>7862</v>
      </c>
      <c r="X962" s="2" t="s">
        <v>5405</v>
      </c>
      <c r="Y962" s="2">
        <v>9672</v>
      </c>
      <c r="Z962" s="19" t="str">
        <f>HYPERLINK("https://ssdweb.co/ssdweb/hd/Vision360.html?d=926701125&amp;zoomslide=1&amp;z=1926701125&amp;ISCONFIRM=0","VIDEO")</f>
        <v>VIDEO</v>
      </c>
      <c r="AA962" s="19" t="str">
        <f>HYPERLINK("https://ssdweb.co/ssdweb/CERTH/653451088.pdf","CERTI")</f>
        <v>CERTI</v>
      </c>
    </row>
    <row r="963" spans="1:27" ht="15" x14ac:dyDescent="0.25">
      <c r="A963" s="2">
        <v>958</v>
      </c>
      <c r="B963" s="39">
        <v>926771044</v>
      </c>
      <c r="C963" s="28" t="str">
        <f>HYPERLINK("https://pld.live/RapDetail.aspx?STONELIST=926771044","DNA")</f>
        <v>DNA</v>
      </c>
      <c r="D963" s="18" t="s">
        <v>3054</v>
      </c>
      <c r="E963" s="18" t="s">
        <v>5128</v>
      </c>
      <c r="F963" s="2" t="s">
        <v>7987</v>
      </c>
      <c r="G963" s="2" t="s">
        <v>861</v>
      </c>
      <c r="H963" s="14">
        <v>1.04</v>
      </c>
      <c r="I963" s="2" t="s">
        <v>4761</v>
      </c>
      <c r="J963" s="2" t="s">
        <v>3942</v>
      </c>
      <c r="K963" s="2" t="s">
        <v>3390</v>
      </c>
      <c r="L963" s="2" t="s">
        <v>5221</v>
      </c>
      <c r="M963" s="2" t="s">
        <v>5221</v>
      </c>
      <c r="N963" s="2" t="s">
        <v>2317</v>
      </c>
      <c r="O963" s="14">
        <v>9300</v>
      </c>
      <c r="P963" s="14">
        <v>98.66</v>
      </c>
      <c r="Q963" s="14">
        <v>124.62</v>
      </c>
      <c r="R963" s="14">
        <v>129.6</v>
      </c>
      <c r="S963" s="2" t="s">
        <v>5514</v>
      </c>
      <c r="T963" s="2">
        <v>1.01</v>
      </c>
      <c r="U963" s="2">
        <v>61.8</v>
      </c>
      <c r="V963" s="2">
        <v>56</v>
      </c>
      <c r="W963" s="2" t="s">
        <v>7862</v>
      </c>
      <c r="X963" s="2" t="s">
        <v>5405</v>
      </c>
      <c r="Y963" s="2">
        <v>9672</v>
      </c>
      <c r="Z963" s="19" t="str">
        <f>HYPERLINK("https://ssdweb.co/ssdweb/hd/Vision360.html?d=926771044&amp;zoomslide=1&amp;z=1926771044&amp;ISCONFIRM=0","VIDEO")</f>
        <v>VIDEO</v>
      </c>
      <c r="AA963" s="19" t="str">
        <f>HYPERLINK("https://ssdweb.co/ssdweb/CERTH/652442327.pdf","CERTI")</f>
        <v>CERTI</v>
      </c>
    </row>
    <row r="964" spans="1:27" ht="15" x14ac:dyDescent="0.25">
      <c r="A964" s="2">
        <v>959</v>
      </c>
      <c r="B964" s="39">
        <v>926741041</v>
      </c>
      <c r="C964" s="28" t="str">
        <f>HYPERLINK("https://pld.live/RapDetail.aspx?STONELIST=926741041","DNA")</f>
        <v>DNA</v>
      </c>
      <c r="D964" s="18" t="s">
        <v>3054</v>
      </c>
      <c r="E964" s="18" t="s">
        <v>5128</v>
      </c>
      <c r="F964" s="2" t="s">
        <v>7987</v>
      </c>
      <c r="G964" s="2" t="s">
        <v>861</v>
      </c>
      <c r="H964" s="14">
        <v>1.04</v>
      </c>
      <c r="I964" s="2" t="s">
        <v>4761</v>
      </c>
      <c r="J964" s="2" t="s">
        <v>3942</v>
      </c>
      <c r="K964" s="2" t="s">
        <v>3390</v>
      </c>
      <c r="L964" s="2" t="s">
        <v>5221</v>
      </c>
      <c r="M964" s="2" t="s">
        <v>5221</v>
      </c>
      <c r="N964" s="2" t="s">
        <v>2317</v>
      </c>
      <c r="O964" s="14">
        <v>9300</v>
      </c>
      <c r="P964" s="14">
        <v>98.66</v>
      </c>
      <c r="Q964" s="14">
        <v>124.62</v>
      </c>
      <c r="R964" s="14">
        <v>129.6</v>
      </c>
      <c r="S964" s="2" t="s">
        <v>5887</v>
      </c>
      <c r="T964" s="2">
        <v>1.01</v>
      </c>
      <c r="U964" s="2">
        <v>61.8</v>
      </c>
      <c r="V964" s="2">
        <v>58</v>
      </c>
      <c r="W964" s="2" t="s">
        <v>7862</v>
      </c>
      <c r="X964" s="2" t="s">
        <v>5405</v>
      </c>
      <c r="Y964" s="2">
        <v>9672</v>
      </c>
      <c r="Z964" s="19" t="str">
        <f>HYPERLINK("https://ssdweb.co/ssdweb/hd/Vision360.html?d=926741041&amp;zoomslide=1&amp;z=1926741041&amp;ISCONFIRM=0","VIDEO")</f>
        <v>VIDEO</v>
      </c>
      <c r="AA964" s="19" t="str">
        <f>HYPERLINK("https://ssdweb.co/ssdweb/CERTH/659414329.pdf","CERTI")</f>
        <v>CERTI</v>
      </c>
    </row>
    <row r="965" spans="1:27" ht="15" x14ac:dyDescent="0.25">
      <c r="A965" s="2">
        <v>960</v>
      </c>
      <c r="B965" s="39">
        <v>941350377</v>
      </c>
      <c r="C965" s="28" t="str">
        <f>HYPERLINK("https://pld.live/RapDetail.aspx?STONELIST=941350377","DNA")</f>
        <v>DNA</v>
      </c>
      <c r="D965" s="18" t="s">
        <v>3054</v>
      </c>
      <c r="E965" s="18" t="s">
        <v>5128</v>
      </c>
      <c r="F965" s="2" t="s">
        <v>7987</v>
      </c>
      <c r="G965" s="2" t="s">
        <v>861</v>
      </c>
      <c r="H965" s="14">
        <v>1.04</v>
      </c>
      <c r="I965" s="2" t="s">
        <v>4761</v>
      </c>
      <c r="J965" s="2" t="s">
        <v>3942</v>
      </c>
      <c r="K965" s="2" t="s">
        <v>3390</v>
      </c>
      <c r="L965" s="2" t="s">
        <v>5221</v>
      </c>
      <c r="M965" s="2" t="s">
        <v>5221</v>
      </c>
      <c r="N965" s="2" t="s">
        <v>2317</v>
      </c>
      <c r="O965" s="14">
        <v>9300</v>
      </c>
      <c r="P965" s="14">
        <v>98.65</v>
      </c>
      <c r="Q965" s="14">
        <v>125.55</v>
      </c>
      <c r="R965" s="14">
        <v>130.57</v>
      </c>
      <c r="S965" s="2" t="s">
        <v>6719</v>
      </c>
      <c r="T965" s="2">
        <v>1</v>
      </c>
      <c r="U965" s="2">
        <v>59.5</v>
      </c>
      <c r="V965" s="2">
        <v>60</v>
      </c>
      <c r="W965" s="2" t="s">
        <v>7862</v>
      </c>
      <c r="X965" s="2" t="s">
        <v>5405</v>
      </c>
      <c r="Y965" s="2">
        <v>9672</v>
      </c>
      <c r="Z965" s="19" t="str">
        <f>HYPERLINK("https://ssdweb.co/ssdweb/hd/Vision360.html?d=941350377&amp;zoomslide=1&amp;z=1941350377&amp;ISCONFIRM=0","VIDEO")</f>
        <v>VIDEO</v>
      </c>
      <c r="AA965" s="19" t="str">
        <f>HYPERLINK("https://ssdweb.co/ssdweb/CERTH/687560915.pdf","CERTI")</f>
        <v>CERTI</v>
      </c>
    </row>
    <row r="966" spans="1:27" ht="15" x14ac:dyDescent="0.25">
      <c r="A966" s="2">
        <v>961</v>
      </c>
      <c r="B966" s="39">
        <v>926110974</v>
      </c>
      <c r="C966" s="28" t="str">
        <f>HYPERLINK("https://pld.live/RapDetail.aspx?STONELIST=926110974","DNA")</f>
        <v>DNA</v>
      </c>
      <c r="D966" s="18" t="s">
        <v>3054</v>
      </c>
      <c r="E966" s="18" t="s">
        <v>5128</v>
      </c>
      <c r="F966" s="2" t="s">
        <v>7987</v>
      </c>
      <c r="G966" s="2" t="s">
        <v>861</v>
      </c>
      <c r="H966" s="14">
        <v>1.04</v>
      </c>
      <c r="I966" s="2" t="s">
        <v>4761</v>
      </c>
      <c r="J966" s="2" t="s">
        <v>3942</v>
      </c>
      <c r="K966" s="2" t="s">
        <v>3390</v>
      </c>
      <c r="L966" s="2" t="s">
        <v>5221</v>
      </c>
      <c r="M966" s="2" t="s">
        <v>5221</v>
      </c>
      <c r="N966" s="2" t="s">
        <v>2317</v>
      </c>
      <c r="O966" s="14">
        <v>9300</v>
      </c>
      <c r="P966" s="14">
        <v>98.67</v>
      </c>
      <c r="Q966" s="14">
        <v>123.69</v>
      </c>
      <c r="R966" s="14">
        <v>128.63999999999999</v>
      </c>
      <c r="S966" s="2" t="s">
        <v>2589</v>
      </c>
      <c r="T966" s="2">
        <v>1</v>
      </c>
      <c r="U966" s="2">
        <v>62</v>
      </c>
      <c r="V966" s="2">
        <v>59</v>
      </c>
      <c r="W966" s="2" t="s">
        <v>7862</v>
      </c>
      <c r="X966" s="2" t="s">
        <v>5405</v>
      </c>
      <c r="Y966" s="2">
        <v>9672</v>
      </c>
      <c r="Z966" s="19" t="str">
        <f>HYPERLINK("https://ssdweb.co/ssdweb/hd/Vision360.html?d=926110974&amp;zoomslide=1&amp;z=1926110974&amp;ISCONFIRM=0","VIDEO")</f>
        <v>VIDEO</v>
      </c>
      <c r="AA966" s="19" t="str">
        <f>HYPERLINK("https://ssdweb.co/ssdweb/CERTH/633490491.pdf","CERTI")</f>
        <v>CERTI</v>
      </c>
    </row>
    <row r="967" spans="1:27" ht="15" x14ac:dyDescent="0.25">
      <c r="A967" s="2">
        <v>962</v>
      </c>
      <c r="B967" s="39">
        <v>926100835</v>
      </c>
      <c r="C967" s="28" t="str">
        <f>HYPERLINK("https://pld.live/RapDetail.aspx?STONELIST=926100835","DNA")</f>
        <v>DNA</v>
      </c>
      <c r="D967" s="18" t="s">
        <v>3054</v>
      </c>
      <c r="E967" s="18" t="s">
        <v>5128</v>
      </c>
      <c r="F967" s="2" t="s">
        <v>7987</v>
      </c>
      <c r="G967" s="2" t="s">
        <v>861</v>
      </c>
      <c r="H967" s="14">
        <v>1.04</v>
      </c>
      <c r="I967" s="2" t="s">
        <v>4761</v>
      </c>
      <c r="J967" s="2" t="s">
        <v>3942</v>
      </c>
      <c r="K967" s="2" t="s">
        <v>3390</v>
      </c>
      <c r="L967" s="2" t="s">
        <v>5221</v>
      </c>
      <c r="M967" s="2" t="s">
        <v>5221</v>
      </c>
      <c r="N967" s="2" t="s">
        <v>2317</v>
      </c>
      <c r="O967" s="14">
        <v>9300</v>
      </c>
      <c r="P967" s="14">
        <v>98.67</v>
      </c>
      <c r="Q967" s="14">
        <v>123.69</v>
      </c>
      <c r="R967" s="14">
        <v>128.63999999999999</v>
      </c>
      <c r="S967" s="2" t="s">
        <v>2006</v>
      </c>
      <c r="T967" s="2">
        <v>1</v>
      </c>
      <c r="U967" s="2">
        <v>60.1</v>
      </c>
      <c r="V967" s="2">
        <v>60</v>
      </c>
      <c r="W967" s="2" t="s">
        <v>7862</v>
      </c>
      <c r="X967" s="2" t="s">
        <v>5405</v>
      </c>
      <c r="Y967" s="2">
        <v>9672</v>
      </c>
      <c r="Z967" s="19" t="str">
        <f>HYPERLINK("https://ssdweb.co/ssdweb/hd/Vision360.html?d=926100835&amp;zoomslide=1&amp;z=1926100835&amp;ISCONFIRM=0","VIDEO")</f>
        <v>VIDEO</v>
      </c>
      <c r="AA967" s="19" t="str">
        <f>HYPERLINK("https://ssdweb.co/ssdweb/CERTH/631464071.pdf","CERTI")</f>
        <v>CERTI</v>
      </c>
    </row>
    <row r="968" spans="1:27" ht="15" x14ac:dyDescent="0.25">
      <c r="A968" s="2">
        <v>963</v>
      </c>
      <c r="B968" s="39">
        <v>925140169</v>
      </c>
      <c r="C968" s="28" t="str">
        <f>HYPERLINK("https://pld.live/RapDetail.aspx?STONELIST=925140169","DNA")</f>
        <v>DNA</v>
      </c>
      <c r="D968" s="18" t="s">
        <v>3054</v>
      </c>
      <c r="E968" s="18" t="s">
        <v>5128</v>
      </c>
      <c r="F968" s="2" t="s">
        <v>5597</v>
      </c>
      <c r="G968" s="2" t="s">
        <v>861</v>
      </c>
      <c r="H968" s="14">
        <v>1.04</v>
      </c>
      <c r="I968" s="2" t="s">
        <v>4761</v>
      </c>
      <c r="J968" s="2" t="s">
        <v>3942</v>
      </c>
      <c r="K968" s="2" t="s">
        <v>5221</v>
      </c>
      <c r="L968" s="2" t="s">
        <v>5221</v>
      </c>
      <c r="M968" s="2" t="s">
        <v>5221</v>
      </c>
      <c r="N968" s="2" t="s">
        <v>2317</v>
      </c>
      <c r="O968" s="14">
        <v>9300</v>
      </c>
      <c r="P968" s="14">
        <v>97.81</v>
      </c>
      <c r="Q968" s="14">
        <v>203.67</v>
      </c>
      <c r="R968" s="14">
        <v>211.82</v>
      </c>
      <c r="S968" s="2" t="s">
        <v>1423</v>
      </c>
      <c r="T968" s="2">
        <v>1</v>
      </c>
      <c r="U968" s="2">
        <v>62.4</v>
      </c>
      <c r="V968" s="2">
        <v>57</v>
      </c>
      <c r="W968" s="2" t="s">
        <v>7862</v>
      </c>
      <c r="X968" s="2" t="s">
        <v>5405</v>
      </c>
      <c r="Y968" s="2">
        <v>9672</v>
      </c>
      <c r="Z968" s="19" t="str">
        <f>HYPERLINK("https://ssdweb.co/ssdweb/hd/Vision360.html?d=925140169&amp;zoomslide=1&amp;z=1925140169&amp;ISCONFIRM=0","VIDEO")</f>
        <v>VIDEO</v>
      </c>
      <c r="AA968" s="19" t="str">
        <f>HYPERLINK("https://ssdweb.co/ssdweb/CERTH/1483141314.pdf","CERTI")</f>
        <v>CERTI</v>
      </c>
    </row>
    <row r="969" spans="1:27" ht="15" x14ac:dyDescent="0.25">
      <c r="A969" s="2">
        <v>964</v>
      </c>
      <c r="B969" s="39">
        <v>926681028</v>
      </c>
      <c r="C969" s="28" t="str">
        <f>HYPERLINK("https://pld.live/RapDetail.aspx?STONELIST=926681028","DNA")</f>
        <v>DNA</v>
      </c>
      <c r="D969" s="18" t="s">
        <v>3054</v>
      </c>
      <c r="E969" s="18" t="s">
        <v>2186</v>
      </c>
      <c r="F969" s="2" t="s">
        <v>7987</v>
      </c>
      <c r="G969" s="2" t="s">
        <v>861</v>
      </c>
      <c r="H969" s="14">
        <v>1.04</v>
      </c>
      <c r="I969" s="2" t="s">
        <v>4761</v>
      </c>
      <c r="J969" s="2" t="s">
        <v>3942</v>
      </c>
      <c r="K969" s="2" t="s">
        <v>5221</v>
      </c>
      <c r="L969" s="2" t="s">
        <v>5221</v>
      </c>
      <c r="M969" s="2" t="s">
        <v>5721</v>
      </c>
      <c r="N969" s="2" t="s">
        <v>2317</v>
      </c>
      <c r="O969" s="14">
        <v>9300</v>
      </c>
      <c r="P969" s="14">
        <v>98.67</v>
      </c>
      <c r="Q969" s="14">
        <v>123.69</v>
      </c>
      <c r="R969" s="14">
        <v>128.63999999999999</v>
      </c>
      <c r="S969" s="2" t="s">
        <v>6450</v>
      </c>
      <c r="T969" s="2">
        <v>1</v>
      </c>
      <c r="U969" s="2">
        <v>62.8</v>
      </c>
      <c r="V969" s="2">
        <v>55</v>
      </c>
      <c r="W969" s="2" t="s">
        <v>7862</v>
      </c>
      <c r="X969" s="2" t="s">
        <v>5405</v>
      </c>
      <c r="Y969" s="2">
        <v>9672</v>
      </c>
      <c r="Z969" s="19" t="str">
        <f>HYPERLINK("https://ssdweb.co/ssdweb/hd/Vision360.html?d=926681028&amp;zoomslide=1&amp;z=1926681028&amp;ISCONFIRM=0","VIDEO")</f>
        <v>VIDEO</v>
      </c>
      <c r="AA969" s="19" t="str">
        <f>HYPERLINK("https://ssdweb.co/ssdweb/CERTH/651495389.pdf","CERTI")</f>
        <v>CERTI</v>
      </c>
    </row>
    <row r="970" spans="1:27" ht="15" x14ac:dyDescent="0.25">
      <c r="A970" s="2">
        <v>965</v>
      </c>
      <c r="B970" s="39">
        <v>941450146</v>
      </c>
      <c r="C970" s="28" t="str">
        <f>HYPERLINK("https://pld.live/RapDetail.aspx?STONELIST=941450146","DNA")</f>
        <v>DNA</v>
      </c>
      <c r="D970" s="18" t="s">
        <v>3054</v>
      </c>
      <c r="E970" s="18" t="s">
        <v>2186</v>
      </c>
      <c r="F970" s="2" t="s">
        <v>7987</v>
      </c>
      <c r="G970" s="2" t="s">
        <v>861</v>
      </c>
      <c r="H970" s="14">
        <v>1.04</v>
      </c>
      <c r="I970" s="2" t="s">
        <v>4761</v>
      </c>
      <c r="J970" s="2" t="s">
        <v>13</v>
      </c>
      <c r="K970" s="2" t="s">
        <v>3390</v>
      </c>
      <c r="L970" s="2" t="s">
        <v>5221</v>
      </c>
      <c r="M970" s="2" t="s">
        <v>5221</v>
      </c>
      <c r="N970" s="2" t="s">
        <v>2317</v>
      </c>
      <c r="O970" s="14">
        <v>7900</v>
      </c>
      <c r="P970" s="14">
        <v>98.42</v>
      </c>
      <c r="Q970" s="14">
        <v>124.82</v>
      </c>
      <c r="R970" s="14">
        <v>129.81</v>
      </c>
      <c r="S970" s="2" t="s">
        <v>6751</v>
      </c>
      <c r="T970" s="2">
        <v>1</v>
      </c>
      <c r="U970" s="2">
        <v>61.3</v>
      </c>
      <c r="V970" s="2">
        <v>59</v>
      </c>
      <c r="W970" s="2" t="s">
        <v>7862</v>
      </c>
      <c r="X970" s="2" t="s">
        <v>5405</v>
      </c>
      <c r="Y970" s="2">
        <v>8216</v>
      </c>
      <c r="Z970" s="19" t="str">
        <f>HYPERLINK("https://ssdweb.co/ssdweb/hd/Vision360.html?d=941450146&amp;zoomslide=1&amp;z=1941450146&amp;ISCONFIRM=0","VIDEO")</f>
        <v>VIDEO</v>
      </c>
      <c r="AA970" s="19" t="str">
        <f>HYPERLINK("https://ssdweb.co/ssdweb/CERTH/692534104.pdf","CERTI")</f>
        <v>CERTI</v>
      </c>
    </row>
    <row r="971" spans="1:27" ht="15" x14ac:dyDescent="0.25">
      <c r="A971" s="2">
        <v>966</v>
      </c>
      <c r="B971" s="39">
        <v>926111001</v>
      </c>
      <c r="C971" s="28" t="str">
        <f>HYPERLINK("https://pld.live/RapDetail.aspx?STONELIST=926111001","DNA")</f>
        <v>DNA</v>
      </c>
      <c r="D971" s="18" t="s">
        <v>3054</v>
      </c>
      <c r="E971" s="18" t="s">
        <v>5128</v>
      </c>
      <c r="F971" s="2" t="s">
        <v>7987</v>
      </c>
      <c r="G971" s="2" t="s">
        <v>861</v>
      </c>
      <c r="H971" s="14">
        <v>1.04</v>
      </c>
      <c r="I971" s="2" t="s">
        <v>4699</v>
      </c>
      <c r="J971" s="2" t="s">
        <v>3942</v>
      </c>
      <c r="K971" s="2" t="s">
        <v>3390</v>
      </c>
      <c r="L971" s="2" t="s">
        <v>5221</v>
      </c>
      <c r="M971" s="2" t="s">
        <v>5221</v>
      </c>
      <c r="N971" s="2" t="s">
        <v>2317</v>
      </c>
      <c r="O971" s="14">
        <v>8400</v>
      </c>
      <c r="P971" s="14">
        <v>98.58</v>
      </c>
      <c r="Q971" s="14">
        <v>119.28</v>
      </c>
      <c r="R971" s="14">
        <v>124.05</v>
      </c>
      <c r="S971" s="2" t="s">
        <v>225</v>
      </c>
      <c r="T971" s="2">
        <v>1.01</v>
      </c>
      <c r="U971" s="2">
        <v>61.5</v>
      </c>
      <c r="V971" s="2">
        <v>58</v>
      </c>
      <c r="W971" s="2" t="s">
        <v>7862</v>
      </c>
      <c r="X971" s="2" t="s">
        <v>5405</v>
      </c>
      <c r="Y971" s="2">
        <v>8736</v>
      </c>
      <c r="Z971" s="19" t="str">
        <f>HYPERLINK("https://ssdweb.co/ssdweb/hd/Vision360.html?d=926111001&amp;zoomslide=1&amp;z=1926111001&amp;ISCONFIRM=0","VIDEO")</f>
        <v>VIDEO</v>
      </c>
      <c r="AA971" s="19" t="str">
        <f>HYPERLINK("https://ssdweb.co/ssdweb/CERTH/633490492.pdf","CERTI")</f>
        <v>CERTI</v>
      </c>
    </row>
    <row r="972" spans="1:27" ht="15" x14ac:dyDescent="0.25">
      <c r="A972" s="2">
        <v>967</v>
      </c>
      <c r="B972" s="39">
        <v>925940516</v>
      </c>
      <c r="C972" s="28" t="str">
        <f>HYPERLINK("https://pld.live/RapDetail.aspx?STONELIST=925940516","DNA")</f>
        <v>DNA</v>
      </c>
      <c r="D972" s="18" t="s">
        <v>3054</v>
      </c>
      <c r="E972" s="18" t="s">
        <v>5128</v>
      </c>
      <c r="F972" s="2" t="s">
        <v>7987</v>
      </c>
      <c r="G972" s="2" t="s">
        <v>861</v>
      </c>
      <c r="H972" s="14">
        <v>1.03</v>
      </c>
      <c r="I972" s="2" t="s">
        <v>267</v>
      </c>
      <c r="J972" s="2" t="s">
        <v>6555</v>
      </c>
      <c r="K972" s="2" t="s">
        <v>5221</v>
      </c>
      <c r="L972" s="2" t="s">
        <v>5221</v>
      </c>
      <c r="M972" s="2" t="s">
        <v>5221</v>
      </c>
      <c r="N972" s="2" t="s">
        <v>2317</v>
      </c>
      <c r="O972" s="14">
        <v>12800</v>
      </c>
      <c r="P972" s="14">
        <v>98.88</v>
      </c>
      <c r="Q972" s="14">
        <v>143.36000000000001</v>
      </c>
      <c r="R972" s="14">
        <v>147.66</v>
      </c>
      <c r="S972" s="2" t="s">
        <v>3217</v>
      </c>
      <c r="T972" s="2">
        <v>1.01</v>
      </c>
      <c r="U972" s="2">
        <v>62.6</v>
      </c>
      <c r="V972" s="2">
        <v>58</v>
      </c>
      <c r="W972" s="2" t="s">
        <v>7862</v>
      </c>
      <c r="X972" s="2" t="s">
        <v>5405</v>
      </c>
      <c r="Y972" s="2">
        <v>13184</v>
      </c>
      <c r="Z972" s="19" t="str">
        <f>HYPERLINK("https://ssdweb.co/ssdweb/hd/Vision360.html?d=925940516&amp;zoomslide=1&amp;z=1925940516&amp;ISCONFIRM=0","VIDEO")</f>
        <v>VIDEO</v>
      </c>
      <c r="AA972" s="19" t="str">
        <f>HYPERLINK("https://ssdweb.co/ssdweb/CERTH/628463065.pdf","CERTI")</f>
        <v>CERTI</v>
      </c>
    </row>
    <row r="973" spans="1:27" ht="15" x14ac:dyDescent="0.25">
      <c r="A973" s="2">
        <v>968</v>
      </c>
      <c r="B973" s="39">
        <v>941430729</v>
      </c>
      <c r="C973" s="28" t="str">
        <f>HYPERLINK("https://pld.live/RapDetail.aspx?STONELIST=941430729","DNA")</f>
        <v>DNA</v>
      </c>
      <c r="D973" s="18" t="s">
        <v>3054</v>
      </c>
      <c r="E973" s="18" t="s">
        <v>5128</v>
      </c>
      <c r="F973" s="2" t="s">
        <v>7987</v>
      </c>
      <c r="G973" s="2" t="s">
        <v>861</v>
      </c>
      <c r="H973" s="14">
        <v>1.03</v>
      </c>
      <c r="I973" s="2" t="s">
        <v>267</v>
      </c>
      <c r="J973" s="2" t="s">
        <v>3942</v>
      </c>
      <c r="K973" s="2" t="s">
        <v>3390</v>
      </c>
      <c r="L973" s="2" t="s">
        <v>5221</v>
      </c>
      <c r="M973" s="2" t="s">
        <v>5221</v>
      </c>
      <c r="N973" s="2" t="s">
        <v>2317</v>
      </c>
      <c r="O973" s="14">
        <v>10200</v>
      </c>
      <c r="P973" s="14">
        <v>98.73</v>
      </c>
      <c r="Q973" s="14">
        <v>129.54</v>
      </c>
      <c r="R973" s="14">
        <v>133.43</v>
      </c>
      <c r="S973" s="2" t="s">
        <v>1385</v>
      </c>
      <c r="T973" s="2">
        <v>1</v>
      </c>
      <c r="U973" s="2">
        <v>60.8</v>
      </c>
      <c r="V973" s="2">
        <v>59</v>
      </c>
      <c r="W973" s="2" t="s">
        <v>7862</v>
      </c>
      <c r="X973" s="2" t="s">
        <v>5405</v>
      </c>
      <c r="Y973" s="2">
        <v>10506</v>
      </c>
      <c r="Z973" s="19" t="str">
        <f>HYPERLINK("https://ssdweb.co/ssdweb/hd/Vision360.html?d=941430729&amp;zoomslide=1&amp;z=1941430729&amp;ISCONFIRM=0","VIDEO")</f>
        <v>VIDEO</v>
      </c>
      <c r="AA973" s="19" t="str">
        <f>HYPERLINK("https://ssdweb.co/ssdweb/CERTH/692505672.pdf","CERTI")</f>
        <v>CERTI</v>
      </c>
    </row>
    <row r="974" spans="1:27" ht="15" x14ac:dyDescent="0.25">
      <c r="A974" s="2">
        <v>969</v>
      </c>
      <c r="B974" s="39">
        <v>941350576</v>
      </c>
      <c r="C974" s="28" t="str">
        <f>HYPERLINK("https://pld.live/RapDetail.aspx?STONELIST=941350576","DNA")</f>
        <v>DNA</v>
      </c>
      <c r="D974" s="18" t="s">
        <v>3054</v>
      </c>
      <c r="E974" s="18" t="s">
        <v>5128</v>
      </c>
      <c r="F974" s="2" t="s">
        <v>7987</v>
      </c>
      <c r="G974" s="2" t="s">
        <v>861</v>
      </c>
      <c r="H974" s="14">
        <v>1.03</v>
      </c>
      <c r="I974" s="2" t="s">
        <v>267</v>
      </c>
      <c r="J974" s="2" t="s">
        <v>3942</v>
      </c>
      <c r="K974" s="2" t="s">
        <v>3390</v>
      </c>
      <c r="L974" s="2" t="s">
        <v>5221</v>
      </c>
      <c r="M974" s="2" t="s">
        <v>5221</v>
      </c>
      <c r="N974" s="2" t="s">
        <v>2317</v>
      </c>
      <c r="O974" s="14">
        <v>10200</v>
      </c>
      <c r="P974" s="14">
        <v>98.73</v>
      </c>
      <c r="Q974" s="14">
        <v>129.54</v>
      </c>
      <c r="R974" s="14">
        <v>133.43</v>
      </c>
      <c r="S974" s="2" t="s">
        <v>3724</v>
      </c>
      <c r="T974" s="2">
        <v>1.01</v>
      </c>
      <c r="U974" s="2">
        <v>61.1</v>
      </c>
      <c r="V974" s="2">
        <v>59</v>
      </c>
      <c r="W974" s="2" t="s">
        <v>7862</v>
      </c>
      <c r="X974" s="2" t="s">
        <v>5405</v>
      </c>
      <c r="Y974" s="2">
        <v>10506</v>
      </c>
      <c r="Z974" s="19" t="str">
        <f>HYPERLINK("https://ssdweb.co/ssdweb/hd/Vision360.html?d=941350576&amp;zoomslide=1&amp;z=1941350576&amp;ISCONFIRM=0","VIDEO")</f>
        <v>VIDEO</v>
      </c>
      <c r="AA974" s="19" t="str">
        <f>HYPERLINK("https://ssdweb.co/ssdweb/CERTH/687560917.pdf","CERTI")</f>
        <v>CERTI</v>
      </c>
    </row>
    <row r="975" spans="1:27" ht="15" x14ac:dyDescent="0.25">
      <c r="A975" s="2">
        <v>970</v>
      </c>
      <c r="B975" s="39">
        <v>924550170</v>
      </c>
      <c r="C975" s="28" t="str">
        <f>HYPERLINK("https://pld.live/RapDetail.aspx?STONELIST=924550170","DNA")</f>
        <v>DNA</v>
      </c>
      <c r="D975" s="18" t="s">
        <v>3054</v>
      </c>
      <c r="E975" s="18" t="s">
        <v>2186</v>
      </c>
      <c r="F975" s="2" t="s">
        <v>5597</v>
      </c>
      <c r="G975" s="2" t="s">
        <v>861</v>
      </c>
      <c r="H975" s="14">
        <v>1.03</v>
      </c>
      <c r="I975" s="2" t="s">
        <v>267</v>
      </c>
      <c r="J975" s="2" t="s">
        <v>3942</v>
      </c>
      <c r="K975" s="2" t="s">
        <v>5221</v>
      </c>
      <c r="L975" s="2" t="s">
        <v>5221</v>
      </c>
      <c r="M975" s="2" t="s">
        <v>5221</v>
      </c>
      <c r="N975" s="2" t="s">
        <v>2317</v>
      </c>
      <c r="O975" s="14">
        <v>10200</v>
      </c>
      <c r="P975" s="14">
        <v>97.96</v>
      </c>
      <c r="Q975" s="14">
        <v>208.08</v>
      </c>
      <c r="R975" s="14">
        <v>214.32</v>
      </c>
      <c r="S975" s="2" t="s">
        <v>1667</v>
      </c>
      <c r="T975" s="2">
        <v>1.01</v>
      </c>
      <c r="U975" s="2">
        <v>62.3</v>
      </c>
      <c r="V975" s="2">
        <v>58</v>
      </c>
      <c r="W975" s="2" t="s">
        <v>7862</v>
      </c>
      <c r="X975" s="2" t="s">
        <v>5405</v>
      </c>
      <c r="Y975" s="2">
        <v>10506</v>
      </c>
      <c r="Z975" s="19" t="str">
        <f>HYPERLINK("https://ssdweb.co/ssdweb/hd/Vision360.html?d=924550170&amp;zoomslide=1&amp;z=1924550170&amp;ISCONFIRM=0","VIDEO")</f>
        <v>VIDEO</v>
      </c>
      <c r="AA975" s="19" t="str">
        <f>HYPERLINK("https://ssdweb.co/ssdweb/CERTH/6475206376.pdf","CERTI")</f>
        <v>CERTI</v>
      </c>
    </row>
    <row r="976" spans="1:27" ht="15" x14ac:dyDescent="0.25">
      <c r="A976" s="2">
        <v>971</v>
      </c>
      <c r="B976" s="39">
        <v>926640755</v>
      </c>
      <c r="C976" s="28" t="str">
        <f>HYPERLINK("https://pld.live/RapDetail.aspx?STONELIST=926640755","DNA")</f>
        <v>DNA</v>
      </c>
      <c r="D976" s="18" t="s">
        <v>3054</v>
      </c>
      <c r="E976" s="18" t="s">
        <v>2186</v>
      </c>
      <c r="F976" s="2" t="s">
        <v>7987</v>
      </c>
      <c r="G976" s="2" t="s">
        <v>861</v>
      </c>
      <c r="H976" s="14">
        <v>1.03</v>
      </c>
      <c r="I976" s="2" t="s">
        <v>267</v>
      </c>
      <c r="J976" s="2" t="s">
        <v>13</v>
      </c>
      <c r="K976" s="2" t="s">
        <v>3390</v>
      </c>
      <c r="L976" s="2" t="s">
        <v>5221</v>
      </c>
      <c r="M976" s="2" t="s">
        <v>5221</v>
      </c>
      <c r="N976" s="2" t="s">
        <v>2317</v>
      </c>
      <c r="O976" s="14">
        <v>8700</v>
      </c>
      <c r="P976" s="14">
        <v>98.54</v>
      </c>
      <c r="Q976" s="14">
        <v>127.02</v>
      </c>
      <c r="R976" s="14">
        <v>130.83000000000001</v>
      </c>
      <c r="S976" s="2" t="s">
        <v>3552</v>
      </c>
      <c r="T976" s="2">
        <v>1</v>
      </c>
      <c r="U976" s="2">
        <v>60.2</v>
      </c>
      <c r="V976" s="2">
        <v>60</v>
      </c>
      <c r="W976" s="2" t="s">
        <v>7862</v>
      </c>
      <c r="X976" s="2" t="s">
        <v>5405</v>
      </c>
      <c r="Y976" s="2">
        <v>8961</v>
      </c>
      <c r="Z976" s="19" t="str">
        <f>HYPERLINK("https://ssdweb.co/ssdweb/hd/Vision360.html?d=926640755&amp;zoomslide=1&amp;z=1926640755&amp;ISCONFIRM=0","VIDEO")</f>
        <v>VIDEO</v>
      </c>
      <c r="AA976" s="19" t="str">
        <f>HYPERLINK("https://ssdweb.co/ssdweb/CERTH/651495371.pdf","CERTI")</f>
        <v>CERTI</v>
      </c>
    </row>
    <row r="977" spans="1:27" ht="15" x14ac:dyDescent="0.25">
      <c r="A977" s="2">
        <v>972</v>
      </c>
      <c r="B977" s="39">
        <v>821115227</v>
      </c>
      <c r="C977" s="28" t="str">
        <f>HYPERLINK("https://pld.live/RapDetail.aspx?STONELIST=821115227","DNA")</f>
        <v>DNA</v>
      </c>
      <c r="D977" s="18" t="s">
        <v>3054</v>
      </c>
      <c r="E977" s="18" t="s">
        <v>2186</v>
      </c>
      <c r="F977" s="2" t="s">
        <v>7987</v>
      </c>
      <c r="G977" s="2" t="s">
        <v>861</v>
      </c>
      <c r="H977" s="14">
        <v>1.03</v>
      </c>
      <c r="I977" s="2" t="s">
        <v>267</v>
      </c>
      <c r="J977" s="2" t="s">
        <v>13</v>
      </c>
      <c r="K977" s="2" t="s">
        <v>3390</v>
      </c>
      <c r="L977" s="2" t="s">
        <v>5221</v>
      </c>
      <c r="M977" s="2" t="s">
        <v>5221</v>
      </c>
      <c r="N977" s="2" t="s">
        <v>2317</v>
      </c>
      <c r="O977" s="14">
        <v>8700</v>
      </c>
      <c r="P977" s="14">
        <v>98.57</v>
      </c>
      <c r="Q977" s="14">
        <v>124.41</v>
      </c>
      <c r="R977" s="14">
        <v>128.13999999999999</v>
      </c>
      <c r="S977" s="2" t="s">
        <v>7531</v>
      </c>
      <c r="T977" s="2">
        <v>1.01</v>
      </c>
      <c r="U977" s="2">
        <v>59.8</v>
      </c>
      <c r="V977" s="2">
        <v>58</v>
      </c>
      <c r="W977" s="2" t="s">
        <v>7862</v>
      </c>
      <c r="X977" s="2" t="s">
        <v>5405</v>
      </c>
      <c r="Y977" s="2">
        <v>8961</v>
      </c>
      <c r="Z977" s="19" t="str">
        <f>HYPERLINK("https://ssdweb.co/ssdweb/hd/Vision360.html?d=821115227&amp;zoomslide=1&amp;z=1821115227&amp;ISCONFIRM=0","VIDEO")</f>
        <v>VIDEO</v>
      </c>
      <c r="AA977" s="19" t="str">
        <f>HYPERLINK("https://ssdweb.co/ssdweb/CERTH/628469604.pdf","CERTI")</f>
        <v>CERTI</v>
      </c>
    </row>
    <row r="978" spans="1:27" ht="15" x14ac:dyDescent="0.25">
      <c r="A978" s="2">
        <v>973</v>
      </c>
      <c r="B978" s="39">
        <v>941071224</v>
      </c>
      <c r="C978" s="28" t="str">
        <f>HYPERLINK("https://pld.live/RapDetail.aspx?STONELIST=941071224","DNA")</f>
        <v>DNA</v>
      </c>
      <c r="D978" s="18" t="s">
        <v>3054</v>
      </c>
      <c r="E978" s="18" t="s">
        <v>5128</v>
      </c>
      <c r="F978" s="2" t="s">
        <v>7987</v>
      </c>
      <c r="G978" s="2" t="s">
        <v>861</v>
      </c>
      <c r="H978" s="14">
        <v>1.03</v>
      </c>
      <c r="I978" s="2" t="s">
        <v>267</v>
      </c>
      <c r="J978" s="2" t="s">
        <v>13</v>
      </c>
      <c r="K978" s="2" t="s">
        <v>3390</v>
      </c>
      <c r="L978" s="2" t="s">
        <v>5221</v>
      </c>
      <c r="M978" s="2" t="s">
        <v>5221</v>
      </c>
      <c r="N978" s="2" t="s">
        <v>2317</v>
      </c>
      <c r="O978" s="14">
        <v>8700</v>
      </c>
      <c r="P978" s="14">
        <v>98.53</v>
      </c>
      <c r="Q978" s="14">
        <v>127.89</v>
      </c>
      <c r="R978" s="14">
        <v>131.72999999999999</v>
      </c>
      <c r="S978" s="2" t="s">
        <v>6811</v>
      </c>
      <c r="T978" s="2">
        <v>1</v>
      </c>
      <c r="U978" s="2">
        <v>62</v>
      </c>
      <c r="V978" s="2">
        <v>56</v>
      </c>
      <c r="W978" s="2" t="s">
        <v>7862</v>
      </c>
      <c r="X978" s="2" t="s">
        <v>5405</v>
      </c>
      <c r="Y978" s="2">
        <v>8961</v>
      </c>
      <c r="Z978" s="19" t="str">
        <f>HYPERLINK("https://ssdweb.co/ssdweb/hd/Vision360.html?d=941071224&amp;zoomslide=1&amp;z=1941071224&amp;ISCONFIRM=0","VIDEO")</f>
        <v>VIDEO</v>
      </c>
      <c r="AA978" s="19" t="str">
        <f>HYPERLINK("https://ssdweb.co/ssdweb/CERTH/671437450.pdf","CERTI")</f>
        <v>CERTI</v>
      </c>
    </row>
    <row r="979" spans="1:27" ht="15" x14ac:dyDescent="0.25">
      <c r="A979" s="2">
        <v>974</v>
      </c>
      <c r="B979" s="39">
        <v>925900317</v>
      </c>
      <c r="C979" s="28" t="str">
        <f>HYPERLINK("https://pld.live/RapDetail.aspx?STONELIST=925900317","DNA")</f>
        <v>DNA</v>
      </c>
      <c r="D979" s="18" t="s">
        <v>3054</v>
      </c>
      <c r="E979" s="18" t="s">
        <v>5128</v>
      </c>
      <c r="F979" s="2" t="s">
        <v>5597</v>
      </c>
      <c r="G979" s="2" t="s">
        <v>861</v>
      </c>
      <c r="H979" s="14">
        <v>1.03</v>
      </c>
      <c r="I979" s="2" t="s">
        <v>4761</v>
      </c>
      <c r="J979" s="2" t="s">
        <v>6555</v>
      </c>
      <c r="K979" s="2" t="s">
        <v>5221</v>
      </c>
      <c r="L979" s="2" t="s">
        <v>5221</v>
      </c>
      <c r="M979" s="2" t="s">
        <v>5221</v>
      </c>
      <c r="N979" s="2" t="s">
        <v>2317</v>
      </c>
      <c r="O979" s="14">
        <v>11100</v>
      </c>
      <c r="P979" s="14">
        <v>97.9</v>
      </c>
      <c r="Q979" s="14">
        <v>233.1</v>
      </c>
      <c r="R979" s="14">
        <v>240.09</v>
      </c>
      <c r="S979" s="2" t="s">
        <v>1130</v>
      </c>
      <c r="T979" s="2">
        <v>1.01</v>
      </c>
      <c r="U979" s="2">
        <v>62.3</v>
      </c>
      <c r="V979" s="2">
        <v>59</v>
      </c>
      <c r="W979" s="2" t="s">
        <v>7862</v>
      </c>
      <c r="X979" s="2" t="s">
        <v>5405</v>
      </c>
      <c r="Y979" s="2">
        <v>11433</v>
      </c>
      <c r="Z979" s="19" t="str">
        <f>HYPERLINK("https://ssdweb.co/ssdweb/hd/Vision360.html?d=925900317&amp;zoomslide=1&amp;z=1925900317&amp;ISCONFIRM=0","VIDEO")</f>
        <v>VIDEO</v>
      </c>
      <c r="AA979" s="19" t="str">
        <f>HYPERLINK("https://ssdweb.co/ssdweb/CERTH/5483909910.pdf","CERTI")</f>
        <v>CERTI</v>
      </c>
    </row>
    <row r="980" spans="1:27" ht="15" x14ac:dyDescent="0.25">
      <c r="A980" s="2">
        <v>975</v>
      </c>
      <c r="B980" s="39">
        <v>925080106</v>
      </c>
      <c r="C980" s="28" t="str">
        <f>HYPERLINK("https://pld.live/RapDetail.aspx?STONELIST=925080106","DNA")</f>
        <v>DNA</v>
      </c>
      <c r="D980" s="18" t="s">
        <v>3054</v>
      </c>
      <c r="E980" s="18" t="s">
        <v>5128</v>
      </c>
      <c r="F980" s="2" t="s">
        <v>5597</v>
      </c>
      <c r="G980" s="2" t="s">
        <v>861</v>
      </c>
      <c r="H980" s="14">
        <v>1.03</v>
      </c>
      <c r="I980" s="2" t="s">
        <v>4761</v>
      </c>
      <c r="J980" s="2" t="s">
        <v>6555</v>
      </c>
      <c r="K980" s="2" t="s">
        <v>5221</v>
      </c>
      <c r="L980" s="2" t="s">
        <v>5221</v>
      </c>
      <c r="M980" s="2" t="s">
        <v>5221</v>
      </c>
      <c r="N980" s="2" t="s">
        <v>2317</v>
      </c>
      <c r="O980" s="14">
        <v>11100</v>
      </c>
      <c r="P980" s="14">
        <v>97.9</v>
      </c>
      <c r="Q980" s="14">
        <v>233.1</v>
      </c>
      <c r="R980" s="14">
        <v>240.09</v>
      </c>
      <c r="S980" s="2" t="s">
        <v>4229</v>
      </c>
      <c r="T980" s="2">
        <v>1.01</v>
      </c>
      <c r="U980" s="2">
        <v>62.4</v>
      </c>
      <c r="V980" s="2">
        <v>57</v>
      </c>
      <c r="W980" s="2" t="s">
        <v>7862</v>
      </c>
      <c r="X980" s="2" t="s">
        <v>5405</v>
      </c>
      <c r="Y980" s="2">
        <v>11433</v>
      </c>
      <c r="Z980" s="19" t="str">
        <f>HYPERLINK("https://ssdweb.co/ssdweb/hd/Vision360.html?d=925080106&amp;zoomslide=1&amp;z=1925080106&amp;ISCONFIRM=0","VIDEO")</f>
        <v>VIDEO</v>
      </c>
      <c r="AA980" s="19" t="str">
        <f>HYPERLINK("https://ssdweb.co/ssdweb/CERTH/1475897280.pdf","CERTI")</f>
        <v>CERTI</v>
      </c>
    </row>
    <row r="981" spans="1:27" ht="15" x14ac:dyDescent="0.25">
      <c r="A981" s="2">
        <v>976</v>
      </c>
      <c r="B981" s="39">
        <v>821115194</v>
      </c>
      <c r="C981" s="28" t="str">
        <f>HYPERLINK("https://pld.live/RapDetail.aspx?STONELIST=821115194","DNA")</f>
        <v>DNA</v>
      </c>
      <c r="D981" s="18" t="s">
        <v>3054</v>
      </c>
      <c r="E981" s="18" t="s">
        <v>2186</v>
      </c>
      <c r="F981" s="2" t="s">
        <v>7987</v>
      </c>
      <c r="G981" s="2" t="s">
        <v>861</v>
      </c>
      <c r="H981" s="14">
        <v>1.03</v>
      </c>
      <c r="I981" s="2" t="s">
        <v>4761</v>
      </c>
      <c r="J981" s="2" t="s">
        <v>3942</v>
      </c>
      <c r="K981" s="2" t="s">
        <v>3390</v>
      </c>
      <c r="L981" s="2" t="s">
        <v>5221</v>
      </c>
      <c r="M981" s="2" t="s">
        <v>5221</v>
      </c>
      <c r="N981" s="2" t="s">
        <v>2317</v>
      </c>
      <c r="O981" s="14">
        <v>9300</v>
      </c>
      <c r="P981" s="14">
        <v>98.67</v>
      </c>
      <c r="Q981" s="14">
        <v>123.69</v>
      </c>
      <c r="R981" s="14">
        <v>127.4</v>
      </c>
      <c r="S981" s="2" t="s">
        <v>4178</v>
      </c>
      <c r="T981" s="2">
        <v>1.01</v>
      </c>
      <c r="U981" s="2">
        <v>60.7</v>
      </c>
      <c r="V981" s="2">
        <v>59</v>
      </c>
      <c r="W981" s="2" t="s">
        <v>7862</v>
      </c>
      <c r="X981" s="2" t="s">
        <v>5405</v>
      </c>
      <c r="Y981" s="2">
        <v>9579</v>
      </c>
      <c r="Z981" s="19" t="str">
        <f>HYPERLINK("https://ssdweb.co/ssdweb/hd/Vision360.html?d=821115194&amp;zoomslide=1&amp;z=1821115194&amp;ISCONFIRM=0","VIDEO")</f>
        <v>VIDEO</v>
      </c>
      <c r="AA981" s="19" t="str">
        <f>HYPERLINK("https://ssdweb.co/ssdweb/CERTH/629442847.pdf","CERTI")</f>
        <v>CERTI</v>
      </c>
    </row>
    <row r="982" spans="1:27" ht="15" x14ac:dyDescent="0.25">
      <c r="A982" s="2">
        <v>977</v>
      </c>
      <c r="B982" s="39">
        <v>821115509</v>
      </c>
      <c r="C982" s="28" t="str">
        <f>HYPERLINK("https://pld.live/RapDetail.aspx?STONELIST=821115509","DNA")</f>
        <v>DNA</v>
      </c>
      <c r="D982" s="18" t="s">
        <v>3054</v>
      </c>
      <c r="E982" s="18" t="s">
        <v>2186</v>
      </c>
      <c r="F982" s="2" t="s">
        <v>7987</v>
      </c>
      <c r="G982" s="2" t="s">
        <v>861</v>
      </c>
      <c r="H982" s="14">
        <v>1.03</v>
      </c>
      <c r="I982" s="2" t="s">
        <v>4761</v>
      </c>
      <c r="J982" s="2" t="s">
        <v>3942</v>
      </c>
      <c r="K982" s="2" t="s">
        <v>3390</v>
      </c>
      <c r="L982" s="2" t="s">
        <v>5221</v>
      </c>
      <c r="M982" s="2" t="s">
        <v>5221</v>
      </c>
      <c r="N982" s="2" t="s">
        <v>2317</v>
      </c>
      <c r="O982" s="14">
        <v>9300</v>
      </c>
      <c r="P982" s="14">
        <v>98.67</v>
      </c>
      <c r="Q982" s="14">
        <v>123.69</v>
      </c>
      <c r="R982" s="14">
        <v>127.4</v>
      </c>
      <c r="S982" s="2" t="s">
        <v>5835</v>
      </c>
      <c r="T982" s="2">
        <v>1.01</v>
      </c>
      <c r="U982" s="2">
        <v>61</v>
      </c>
      <c r="V982" s="2">
        <v>59</v>
      </c>
      <c r="W982" s="2" t="s">
        <v>7862</v>
      </c>
      <c r="X982" s="2" t="s">
        <v>5405</v>
      </c>
      <c r="Y982" s="2">
        <v>9579</v>
      </c>
      <c r="Z982" s="19" t="str">
        <f>HYPERLINK("https://ssdweb.co/ssdweb/hd/Vision360.html?d=821115509&amp;zoomslide=1&amp;z=1821115509&amp;ISCONFIRM=0","VIDEO")</f>
        <v>VIDEO</v>
      </c>
      <c r="AA982" s="19" t="str">
        <f>HYPERLINK("https://ssdweb.co/ssdweb/CERTH/628416591.pdf","CERTI")</f>
        <v>CERTI</v>
      </c>
    </row>
    <row r="983" spans="1:27" ht="15" x14ac:dyDescent="0.25">
      <c r="A983" s="2">
        <v>978</v>
      </c>
      <c r="B983" s="39">
        <v>821115511</v>
      </c>
      <c r="C983" s="28" t="str">
        <f>HYPERLINK("https://pld.live/RapDetail.aspx?STONELIST=821115511","DNA")</f>
        <v>DNA</v>
      </c>
      <c r="D983" s="18" t="s">
        <v>3054</v>
      </c>
      <c r="E983" s="18" t="s">
        <v>2186</v>
      </c>
      <c r="F983" s="2" t="s">
        <v>7987</v>
      </c>
      <c r="G983" s="2" t="s">
        <v>861</v>
      </c>
      <c r="H983" s="14">
        <v>1.03</v>
      </c>
      <c r="I983" s="2" t="s">
        <v>4761</v>
      </c>
      <c r="J983" s="2" t="s">
        <v>3942</v>
      </c>
      <c r="K983" s="2" t="s">
        <v>3390</v>
      </c>
      <c r="L983" s="2" t="s">
        <v>5221</v>
      </c>
      <c r="M983" s="2" t="s">
        <v>5221</v>
      </c>
      <c r="N983" s="2" t="s">
        <v>2317</v>
      </c>
      <c r="O983" s="14">
        <v>9300</v>
      </c>
      <c r="P983" s="14">
        <v>98.67</v>
      </c>
      <c r="Q983" s="14">
        <v>123.69</v>
      </c>
      <c r="R983" s="14">
        <v>127.4</v>
      </c>
      <c r="S983" s="2" t="s">
        <v>4787</v>
      </c>
      <c r="T983" s="2">
        <v>1</v>
      </c>
      <c r="U983" s="2">
        <v>61.9</v>
      </c>
      <c r="V983" s="2">
        <v>57</v>
      </c>
      <c r="W983" s="2" t="s">
        <v>7862</v>
      </c>
      <c r="X983" s="2" t="s">
        <v>5405</v>
      </c>
      <c r="Y983" s="2">
        <v>9579</v>
      </c>
      <c r="Z983" s="19" t="str">
        <f>HYPERLINK("https://ssdweb.co/ssdweb/hd/Vision360.html?d=821115511&amp;zoomslide=1&amp;z=1821115511&amp;ISCONFIRM=0","VIDEO")</f>
        <v>VIDEO</v>
      </c>
      <c r="AA983" s="19" t="str">
        <f>HYPERLINK("https://ssdweb.co/ssdweb/CERTH/628416580.pdf","CERTI")</f>
        <v>CERTI</v>
      </c>
    </row>
    <row r="984" spans="1:27" ht="15" x14ac:dyDescent="0.25">
      <c r="A984" s="2">
        <v>979</v>
      </c>
      <c r="B984" s="39">
        <v>926070351</v>
      </c>
      <c r="C984" s="28" t="str">
        <f>HYPERLINK("https://pld.live/RapDetail.aspx?STONELIST=926070351","DNA")</f>
        <v>DNA</v>
      </c>
      <c r="D984" s="18" t="s">
        <v>3054</v>
      </c>
      <c r="E984" s="18" t="s">
        <v>5128</v>
      </c>
      <c r="F984" s="2" t="s">
        <v>7987</v>
      </c>
      <c r="G984" s="2" t="s">
        <v>861</v>
      </c>
      <c r="H984" s="14">
        <v>1.03</v>
      </c>
      <c r="I984" s="2" t="s">
        <v>4761</v>
      </c>
      <c r="J984" s="2" t="s">
        <v>3942</v>
      </c>
      <c r="K984" s="2" t="s">
        <v>3390</v>
      </c>
      <c r="L984" s="2" t="s">
        <v>5221</v>
      </c>
      <c r="M984" s="2" t="s">
        <v>5221</v>
      </c>
      <c r="N984" s="2" t="s">
        <v>2317</v>
      </c>
      <c r="O984" s="14">
        <v>9300</v>
      </c>
      <c r="P984" s="14">
        <v>98.67</v>
      </c>
      <c r="Q984" s="14">
        <v>123.69</v>
      </c>
      <c r="R984" s="14">
        <v>127.4</v>
      </c>
      <c r="S984" s="2" t="s">
        <v>5821</v>
      </c>
      <c r="T984" s="2">
        <v>1.01</v>
      </c>
      <c r="U984" s="2">
        <v>61</v>
      </c>
      <c r="V984" s="2">
        <v>59</v>
      </c>
      <c r="W984" s="2" t="s">
        <v>7862</v>
      </c>
      <c r="X984" s="2" t="s">
        <v>5405</v>
      </c>
      <c r="Y984" s="2">
        <v>9579</v>
      </c>
      <c r="Z984" s="19" t="str">
        <f>HYPERLINK("https://ssdweb.co/ssdweb/hd/Vision360.html?d=926070351&amp;zoomslide=1&amp;z=1926070351&amp;ISCONFIRM=0","VIDEO")</f>
        <v>VIDEO</v>
      </c>
      <c r="AA984" s="19" t="str">
        <f>HYPERLINK("https://ssdweb.co/ssdweb/CERTH/630447866.pdf","CERTI")</f>
        <v>CERTI</v>
      </c>
    </row>
    <row r="985" spans="1:27" ht="15" x14ac:dyDescent="0.25">
      <c r="A985" s="2">
        <v>980</v>
      </c>
      <c r="B985" s="39">
        <v>926071830</v>
      </c>
      <c r="C985" s="28" t="str">
        <f>HYPERLINK("https://pld.live/RapDetail.aspx?STONELIST=926071830","DNA")</f>
        <v>DNA</v>
      </c>
      <c r="D985" s="18" t="s">
        <v>3054</v>
      </c>
      <c r="E985" s="18" t="s">
        <v>5128</v>
      </c>
      <c r="F985" s="2" t="s">
        <v>7987</v>
      </c>
      <c r="G985" s="2" t="s">
        <v>861</v>
      </c>
      <c r="H985" s="14">
        <v>1.03</v>
      </c>
      <c r="I985" s="2" t="s">
        <v>4761</v>
      </c>
      <c r="J985" s="2" t="s">
        <v>3942</v>
      </c>
      <c r="K985" s="2" t="s">
        <v>3390</v>
      </c>
      <c r="L985" s="2" t="s">
        <v>5221</v>
      </c>
      <c r="M985" s="2" t="s">
        <v>5221</v>
      </c>
      <c r="N985" s="2" t="s">
        <v>2317</v>
      </c>
      <c r="O985" s="14">
        <v>9300</v>
      </c>
      <c r="P985" s="14">
        <v>98.67</v>
      </c>
      <c r="Q985" s="14">
        <v>123.69</v>
      </c>
      <c r="R985" s="14">
        <v>127.4</v>
      </c>
      <c r="S985" s="2" t="s">
        <v>5626</v>
      </c>
      <c r="T985" s="2">
        <v>1.01</v>
      </c>
      <c r="U985" s="2">
        <v>61.8</v>
      </c>
      <c r="V985" s="2">
        <v>56</v>
      </c>
      <c r="W985" s="2" t="s">
        <v>7862</v>
      </c>
      <c r="X985" s="2" t="s">
        <v>5405</v>
      </c>
      <c r="Y985" s="2">
        <v>9579</v>
      </c>
      <c r="Z985" s="19" t="str">
        <f>HYPERLINK("https://ssdweb.co/ssdweb/hd/Vision360.html?d=926071830&amp;zoomslide=1&amp;z=1926071830&amp;ISCONFIRM=0","VIDEO")</f>
        <v>VIDEO</v>
      </c>
      <c r="AA985" s="19" t="str">
        <f>HYPERLINK("https://ssdweb.co/ssdweb/CERTH/631464088.pdf","CERTI")</f>
        <v>CERTI</v>
      </c>
    </row>
    <row r="986" spans="1:27" ht="15" x14ac:dyDescent="0.25">
      <c r="A986" s="2">
        <v>981</v>
      </c>
      <c r="B986" s="39">
        <v>927052040</v>
      </c>
      <c r="C986" s="28" t="str">
        <f>HYPERLINK("https://pld.live/RapDetail.aspx?STONELIST=927052040","DNA")</f>
        <v>DNA</v>
      </c>
      <c r="D986" s="18" t="s">
        <v>3054</v>
      </c>
      <c r="E986" s="18" t="s">
        <v>5128</v>
      </c>
      <c r="F986" s="2" t="s">
        <v>7987</v>
      </c>
      <c r="G986" s="2" t="s">
        <v>861</v>
      </c>
      <c r="H986" s="14">
        <v>1.02</v>
      </c>
      <c r="I986" s="2" t="s">
        <v>267</v>
      </c>
      <c r="J986" s="2" t="s">
        <v>7032</v>
      </c>
      <c r="K986" s="2" t="s">
        <v>3390</v>
      </c>
      <c r="L986" s="2" t="s">
        <v>5221</v>
      </c>
      <c r="M986" s="2" t="s">
        <v>5221</v>
      </c>
      <c r="N986" s="2" t="s">
        <v>2317</v>
      </c>
      <c r="O986" s="14">
        <v>16000</v>
      </c>
      <c r="P986" s="14">
        <v>98.44</v>
      </c>
      <c r="Q986" s="14">
        <v>249.6</v>
      </c>
      <c r="R986" s="14">
        <v>254.59</v>
      </c>
      <c r="S986" s="2" t="s">
        <v>3556</v>
      </c>
      <c r="T986" s="2">
        <v>1</v>
      </c>
      <c r="U986" s="2">
        <v>60.4</v>
      </c>
      <c r="V986" s="2">
        <v>59</v>
      </c>
      <c r="W986" s="2" t="s">
        <v>7862</v>
      </c>
      <c r="X986" s="2" t="s">
        <v>5405</v>
      </c>
      <c r="Y986" s="2">
        <v>16320</v>
      </c>
      <c r="Z986" s="19" t="str">
        <f>HYPERLINK("https://ssdweb.co/ssdweb/hd/Vision360.html?d=927052040&amp;zoomslide=1&amp;z=1927052040&amp;ISCONFIRM=0","VIDEO")</f>
        <v>VIDEO</v>
      </c>
      <c r="AA986" s="19" t="str">
        <f>HYPERLINK("https://ssdweb.co/ssdweb/CERTH/662417158.pdf","CERTI")</f>
        <v>CERTI</v>
      </c>
    </row>
    <row r="987" spans="1:27" ht="15" x14ac:dyDescent="0.25">
      <c r="A987" s="2">
        <v>982</v>
      </c>
      <c r="B987" s="39">
        <v>926631036</v>
      </c>
      <c r="C987" s="28" t="str">
        <f>HYPERLINK("https://pld.live/RapDetail.aspx?STONELIST=926631036","DNA")</f>
        <v>DNA</v>
      </c>
      <c r="D987" s="18" t="s">
        <v>3054</v>
      </c>
      <c r="E987" s="18" t="s">
        <v>5128</v>
      </c>
      <c r="F987" s="2" t="s">
        <v>7987</v>
      </c>
      <c r="G987" s="2" t="s">
        <v>861</v>
      </c>
      <c r="H987" s="14">
        <v>1.02</v>
      </c>
      <c r="I987" s="2" t="s">
        <v>267</v>
      </c>
      <c r="J987" s="2" t="s">
        <v>6555</v>
      </c>
      <c r="K987" s="2" t="s">
        <v>3390</v>
      </c>
      <c r="L987" s="2" t="s">
        <v>5221</v>
      </c>
      <c r="M987" s="2" t="s">
        <v>5221</v>
      </c>
      <c r="N987" s="2" t="s">
        <v>2317</v>
      </c>
      <c r="O987" s="14">
        <v>12800</v>
      </c>
      <c r="P987" s="14">
        <v>98.85</v>
      </c>
      <c r="Q987" s="14">
        <v>147.19999999999999</v>
      </c>
      <c r="R987" s="14">
        <v>150.13999999999999</v>
      </c>
      <c r="S987" s="2" t="s">
        <v>121</v>
      </c>
      <c r="T987" s="2">
        <v>1.01</v>
      </c>
      <c r="U987" s="2">
        <v>62.1</v>
      </c>
      <c r="V987" s="2">
        <v>57</v>
      </c>
      <c r="W987" s="2" t="s">
        <v>7862</v>
      </c>
      <c r="X987" s="2" t="s">
        <v>5405</v>
      </c>
      <c r="Y987" s="2">
        <v>13056</v>
      </c>
      <c r="Z987" s="19" t="str">
        <f>HYPERLINK("https://ssdweb.co/ssdweb/hd/Vision360.html?d=926631036&amp;zoomslide=1&amp;z=1926631036&amp;ISCONFIRM=0","VIDEO")</f>
        <v>VIDEO</v>
      </c>
      <c r="AA987" s="19" t="str">
        <f>HYPERLINK("https://ssdweb.co/ssdweb/CERTH/651401234.pdf","CERTI")</f>
        <v>CERTI</v>
      </c>
    </row>
    <row r="988" spans="1:27" ht="15" x14ac:dyDescent="0.25">
      <c r="A988" s="2">
        <v>983</v>
      </c>
      <c r="B988" s="39">
        <v>926960853</v>
      </c>
      <c r="C988" s="28" t="str">
        <f>HYPERLINK("https://pld.live/RapDetail.aspx?STONELIST=926960853","DNA")</f>
        <v>DNA</v>
      </c>
      <c r="D988" s="18" t="s">
        <v>3054</v>
      </c>
      <c r="E988" s="18" t="s">
        <v>5128</v>
      </c>
      <c r="F988" s="2" t="s">
        <v>7987</v>
      </c>
      <c r="G988" s="2" t="s">
        <v>861</v>
      </c>
      <c r="H988" s="14">
        <v>1.02</v>
      </c>
      <c r="I988" s="2" t="s">
        <v>267</v>
      </c>
      <c r="J988" s="2" t="s">
        <v>6555</v>
      </c>
      <c r="K988" s="2" t="s">
        <v>3390</v>
      </c>
      <c r="L988" s="2" t="s">
        <v>5221</v>
      </c>
      <c r="M988" s="2" t="s">
        <v>5221</v>
      </c>
      <c r="N988" s="2" t="s">
        <v>2317</v>
      </c>
      <c r="O988" s="14">
        <v>12800</v>
      </c>
      <c r="P988" s="14">
        <v>98.85</v>
      </c>
      <c r="Q988" s="14">
        <v>147.19999999999999</v>
      </c>
      <c r="R988" s="14">
        <v>150.13999999999999</v>
      </c>
      <c r="S988" s="2" t="s">
        <v>7510</v>
      </c>
      <c r="T988" s="2">
        <v>1</v>
      </c>
      <c r="U988" s="2">
        <v>61.8</v>
      </c>
      <c r="V988" s="2">
        <v>57</v>
      </c>
      <c r="W988" s="2" t="s">
        <v>7862</v>
      </c>
      <c r="X988" s="2" t="s">
        <v>5405</v>
      </c>
      <c r="Y988" s="2">
        <v>13056</v>
      </c>
      <c r="Z988" s="19" t="str">
        <f>HYPERLINK("https://ssdweb.co/ssdweb/hd/Vision360.html?d=926960853&amp;zoomslide=1&amp;z=1926960853&amp;ISCONFIRM=0","VIDEO")</f>
        <v>VIDEO</v>
      </c>
      <c r="AA988" s="19" t="str">
        <f>HYPERLINK("https://ssdweb.co/ssdweb/CERTH/660440506.pdf","CERTI")</f>
        <v>CERTI</v>
      </c>
    </row>
    <row r="989" spans="1:27" ht="15" x14ac:dyDescent="0.25">
      <c r="A989" s="2">
        <v>984</v>
      </c>
      <c r="B989" s="39">
        <v>926741110</v>
      </c>
      <c r="C989" s="28" t="str">
        <f>HYPERLINK("https://pld.live/RapDetail.aspx?STONELIST=926741110","DNA")</f>
        <v>DNA</v>
      </c>
      <c r="D989" s="18" t="s">
        <v>3054</v>
      </c>
      <c r="E989" s="18" t="s">
        <v>5128</v>
      </c>
      <c r="F989" s="2" t="s">
        <v>7987</v>
      </c>
      <c r="G989" s="2" t="s">
        <v>861</v>
      </c>
      <c r="H989" s="14">
        <v>1.02</v>
      </c>
      <c r="I989" s="2" t="s">
        <v>267</v>
      </c>
      <c r="J989" s="2" t="s">
        <v>6555</v>
      </c>
      <c r="K989" s="2" t="s">
        <v>3390</v>
      </c>
      <c r="L989" s="2" t="s">
        <v>5221</v>
      </c>
      <c r="M989" s="2" t="s">
        <v>5221</v>
      </c>
      <c r="N989" s="2" t="s">
        <v>2317</v>
      </c>
      <c r="O989" s="14">
        <v>12800</v>
      </c>
      <c r="P989" s="14">
        <v>98.85</v>
      </c>
      <c r="Q989" s="14">
        <v>147.19999999999999</v>
      </c>
      <c r="R989" s="14">
        <v>150.13999999999999</v>
      </c>
      <c r="S989" s="2" t="s">
        <v>2231</v>
      </c>
      <c r="T989" s="2">
        <v>1.01</v>
      </c>
      <c r="U989" s="2">
        <v>61.4</v>
      </c>
      <c r="V989" s="2">
        <v>57</v>
      </c>
      <c r="W989" s="2" t="s">
        <v>7862</v>
      </c>
      <c r="X989" s="2" t="s">
        <v>5405</v>
      </c>
      <c r="Y989" s="2">
        <v>13056</v>
      </c>
      <c r="Z989" s="19" t="str">
        <f>HYPERLINK("https://ssdweb.co/ssdweb/hd/Vision360.html?d=926741110&amp;zoomslide=1&amp;z=1926741110&amp;ISCONFIRM=0","VIDEO")</f>
        <v>VIDEO</v>
      </c>
      <c r="AA989" s="19" t="str">
        <f>HYPERLINK("https://ssdweb.co/ssdweb/CERTH/653427293.pdf","CERTI")</f>
        <v>CERTI</v>
      </c>
    </row>
    <row r="990" spans="1:27" ht="15" x14ac:dyDescent="0.25">
      <c r="A990" s="2">
        <v>985</v>
      </c>
      <c r="B990" s="39">
        <v>926831143</v>
      </c>
      <c r="C990" s="28" t="str">
        <f>HYPERLINK("https://pld.live/RapDetail.aspx?STONELIST=926831143","DNA")</f>
        <v>DNA</v>
      </c>
      <c r="D990" s="18" t="s">
        <v>3054</v>
      </c>
      <c r="E990" s="18" t="s">
        <v>5128</v>
      </c>
      <c r="F990" s="2" t="s">
        <v>7987</v>
      </c>
      <c r="G990" s="2" t="s">
        <v>861</v>
      </c>
      <c r="H990" s="14">
        <v>1.02</v>
      </c>
      <c r="I990" s="2" t="s">
        <v>267</v>
      </c>
      <c r="J990" s="2" t="s">
        <v>6555</v>
      </c>
      <c r="K990" s="2" t="s">
        <v>3390</v>
      </c>
      <c r="L990" s="2" t="s">
        <v>5221</v>
      </c>
      <c r="M990" s="2" t="s">
        <v>5221</v>
      </c>
      <c r="N990" s="2" t="s">
        <v>2317</v>
      </c>
      <c r="O990" s="14">
        <v>12800</v>
      </c>
      <c r="P990" s="14">
        <v>98.85</v>
      </c>
      <c r="Q990" s="14">
        <v>147.19999999999999</v>
      </c>
      <c r="R990" s="14">
        <v>150.13999999999999</v>
      </c>
      <c r="S990" s="2" t="s">
        <v>8122</v>
      </c>
      <c r="T990" s="2">
        <v>1</v>
      </c>
      <c r="U990" s="2">
        <v>60.6</v>
      </c>
      <c r="V990" s="2">
        <v>59</v>
      </c>
      <c r="W990" s="2" t="s">
        <v>7862</v>
      </c>
      <c r="X990" s="2" t="s">
        <v>5405</v>
      </c>
      <c r="Y990" s="2">
        <v>13056</v>
      </c>
      <c r="Z990" s="19" t="str">
        <f>HYPERLINK("https://ssdweb.co/ssdweb/hd/Vision360.html?d=926831143&amp;zoomslide=1&amp;z=1926831143&amp;ISCONFIRM=0","VIDEO")</f>
        <v>VIDEO</v>
      </c>
      <c r="AA990" s="19" t="str">
        <f>HYPERLINK("https://ssdweb.co/ssdweb/CERTH/655451823.pdf","CERTI")</f>
        <v>CERTI</v>
      </c>
    </row>
    <row r="991" spans="1:27" ht="15" x14ac:dyDescent="0.25">
      <c r="A991" s="2">
        <v>986</v>
      </c>
      <c r="B991" s="39">
        <v>941190146</v>
      </c>
      <c r="C991" s="28" t="str">
        <f>HYPERLINK("https://pld.live/RapDetail.aspx?STONELIST=941190146","DNA")</f>
        <v>DNA</v>
      </c>
      <c r="D991" s="18" t="s">
        <v>3054</v>
      </c>
      <c r="E991" s="18" t="s">
        <v>5128</v>
      </c>
      <c r="F991" s="2" t="s">
        <v>7987</v>
      </c>
      <c r="G991" s="2" t="s">
        <v>861</v>
      </c>
      <c r="H991" s="14">
        <v>1.02</v>
      </c>
      <c r="I991" s="2" t="s">
        <v>267</v>
      </c>
      <c r="J991" s="2" t="s">
        <v>6555</v>
      </c>
      <c r="K991" s="2" t="s">
        <v>3390</v>
      </c>
      <c r="L991" s="2" t="s">
        <v>5221</v>
      </c>
      <c r="M991" s="2" t="s">
        <v>5221</v>
      </c>
      <c r="N991" s="2" t="s">
        <v>2317</v>
      </c>
      <c r="O991" s="14">
        <v>12800</v>
      </c>
      <c r="P991" s="14">
        <v>98.84</v>
      </c>
      <c r="Q991" s="14">
        <v>148.47999999999999</v>
      </c>
      <c r="R991" s="14">
        <v>151.44999999999999</v>
      </c>
      <c r="S991" s="2" t="s">
        <v>2939</v>
      </c>
      <c r="T991" s="2">
        <v>1.01</v>
      </c>
      <c r="U991" s="2">
        <v>61.8</v>
      </c>
      <c r="V991" s="2">
        <v>56</v>
      </c>
      <c r="W991" s="2" t="s">
        <v>7862</v>
      </c>
      <c r="X991" s="2" t="s">
        <v>5405</v>
      </c>
      <c r="Y991" s="2">
        <v>13056</v>
      </c>
      <c r="Z991" s="19" t="str">
        <f>HYPERLINK("https://ssdweb.co/ssdweb/hd/Vision360.html?d=941190146&amp;zoomslide=1&amp;z=1941190146&amp;ISCONFIRM=0","VIDEO")</f>
        <v>VIDEO</v>
      </c>
      <c r="AA991" s="19" t="str">
        <f>HYPERLINK("https://ssdweb.co/ssdweb/CERTH/678564561.pdf","CERTI")</f>
        <v>CERTI</v>
      </c>
    </row>
    <row r="992" spans="1:27" ht="15" x14ac:dyDescent="0.25">
      <c r="A992" s="2">
        <v>987</v>
      </c>
      <c r="B992" s="39">
        <v>941190274</v>
      </c>
      <c r="C992" s="28" t="str">
        <f>HYPERLINK("https://pld.live/RapDetail.aspx?STONELIST=941190274","DNA")</f>
        <v>DNA</v>
      </c>
      <c r="D992" s="18" t="s">
        <v>3054</v>
      </c>
      <c r="E992" s="18" t="s">
        <v>5128</v>
      </c>
      <c r="F992" s="2" t="s">
        <v>7987</v>
      </c>
      <c r="G992" s="2" t="s">
        <v>861</v>
      </c>
      <c r="H992" s="14">
        <v>1.02</v>
      </c>
      <c r="I992" s="2" t="s">
        <v>267</v>
      </c>
      <c r="J992" s="2" t="s">
        <v>6555</v>
      </c>
      <c r="K992" s="2" t="s">
        <v>3390</v>
      </c>
      <c r="L992" s="2" t="s">
        <v>5221</v>
      </c>
      <c r="M992" s="2" t="s">
        <v>5221</v>
      </c>
      <c r="N992" s="2" t="s">
        <v>2317</v>
      </c>
      <c r="O992" s="14">
        <v>12800</v>
      </c>
      <c r="P992" s="14">
        <v>98.84</v>
      </c>
      <c r="Q992" s="14">
        <v>148.47999999999999</v>
      </c>
      <c r="R992" s="14">
        <v>151.44999999999999</v>
      </c>
      <c r="S992" s="2" t="s">
        <v>1550</v>
      </c>
      <c r="T992" s="2">
        <v>1</v>
      </c>
      <c r="U992" s="2">
        <v>61.2</v>
      </c>
      <c r="V992" s="2">
        <v>58</v>
      </c>
      <c r="W992" s="2" t="s">
        <v>7862</v>
      </c>
      <c r="X992" s="2" t="s">
        <v>5405</v>
      </c>
      <c r="Y992" s="2">
        <v>13056</v>
      </c>
      <c r="Z992" s="19" t="str">
        <f>HYPERLINK("https://ssdweb.co/ssdweb/hd/Vision360.html?d=941190274&amp;zoomslide=1&amp;z=1941190274&amp;ISCONFIRM=0","VIDEO")</f>
        <v>VIDEO</v>
      </c>
      <c r="AA992" s="19" t="str">
        <f>HYPERLINK("https://ssdweb.co/ssdweb/CERTH/678564584.pdf","CERTI")</f>
        <v>CERTI</v>
      </c>
    </row>
    <row r="993" spans="1:27" ht="15" x14ac:dyDescent="0.25">
      <c r="A993" s="2">
        <v>988</v>
      </c>
      <c r="B993" s="39">
        <v>941350659</v>
      </c>
      <c r="C993" s="28" t="str">
        <f>HYPERLINK("https://pld.live/RapDetail.aspx?STONELIST=941350659","DNA")</f>
        <v>DNA</v>
      </c>
      <c r="D993" s="18" t="s">
        <v>3054</v>
      </c>
      <c r="E993" s="18" t="s">
        <v>5128</v>
      </c>
      <c r="F993" s="2" t="s">
        <v>7987</v>
      </c>
      <c r="G993" s="2" t="s">
        <v>861</v>
      </c>
      <c r="H993" s="14">
        <v>1.02</v>
      </c>
      <c r="I993" s="2" t="s">
        <v>267</v>
      </c>
      <c r="J993" s="2" t="s">
        <v>6555</v>
      </c>
      <c r="K993" s="2" t="s">
        <v>3390</v>
      </c>
      <c r="L993" s="2" t="s">
        <v>5221</v>
      </c>
      <c r="M993" s="2" t="s">
        <v>5221</v>
      </c>
      <c r="N993" s="2" t="s">
        <v>2317</v>
      </c>
      <c r="O993" s="14">
        <v>12800</v>
      </c>
      <c r="P993" s="14">
        <v>98.84</v>
      </c>
      <c r="Q993" s="14">
        <v>148.47999999999999</v>
      </c>
      <c r="R993" s="14">
        <v>151.44999999999999</v>
      </c>
      <c r="S993" s="2" t="s">
        <v>5821</v>
      </c>
      <c r="T993" s="2">
        <v>1.01</v>
      </c>
      <c r="U993" s="2">
        <v>61</v>
      </c>
      <c r="V993" s="2">
        <v>57</v>
      </c>
      <c r="W993" s="2" t="s">
        <v>7862</v>
      </c>
      <c r="X993" s="2" t="s">
        <v>5405</v>
      </c>
      <c r="Y993" s="2">
        <v>13056</v>
      </c>
      <c r="Z993" s="19" t="str">
        <f>HYPERLINK("https://ssdweb.co/ssdweb/hd/Vision360.html?d=941350659&amp;zoomslide=1&amp;z=1941350659&amp;ISCONFIRM=0","VIDEO")</f>
        <v>VIDEO</v>
      </c>
      <c r="AA993" s="19" t="str">
        <f>HYPERLINK("https://ssdweb.co/ssdweb/CERTH/687560918.pdf","CERTI")</f>
        <v>CERTI</v>
      </c>
    </row>
    <row r="994" spans="1:27" ht="15" x14ac:dyDescent="0.25">
      <c r="A994" s="2">
        <v>989</v>
      </c>
      <c r="B994" s="39">
        <v>927092146</v>
      </c>
      <c r="C994" s="28" t="str">
        <f>HYPERLINK("https://pld.live/RapDetail.aspx?STONELIST=927092146","DNA")</f>
        <v>DNA</v>
      </c>
      <c r="D994" s="18" t="s">
        <v>3054</v>
      </c>
      <c r="E994" s="18" t="s">
        <v>5128</v>
      </c>
      <c r="F994" s="2" t="s">
        <v>7987</v>
      </c>
      <c r="G994" s="2" t="s">
        <v>861</v>
      </c>
      <c r="H994" s="14">
        <v>1.02</v>
      </c>
      <c r="I994" s="2" t="s">
        <v>267</v>
      </c>
      <c r="J994" s="2" t="s">
        <v>6555</v>
      </c>
      <c r="K994" s="2" t="s">
        <v>3390</v>
      </c>
      <c r="L994" s="2" t="s">
        <v>5221</v>
      </c>
      <c r="M994" s="2" t="s">
        <v>5221</v>
      </c>
      <c r="N994" s="2" t="s">
        <v>2317</v>
      </c>
      <c r="O994" s="14">
        <v>12800</v>
      </c>
      <c r="P994" s="14">
        <v>98.85</v>
      </c>
      <c r="Q994" s="14">
        <v>147.19999999999999</v>
      </c>
      <c r="R994" s="14">
        <v>150.13999999999999</v>
      </c>
      <c r="S994" s="2" t="s">
        <v>6422</v>
      </c>
      <c r="T994" s="2">
        <v>1</v>
      </c>
      <c r="U994" s="2">
        <v>61.5</v>
      </c>
      <c r="V994" s="2">
        <v>58</v>
      </c>
      <c r="W994" s="2" t="s">
        <v>7862</v>
      </c>
      <c r="X994" s="2" t="s">
        <v>5405</v>
      </c>
      <c r="Y994" s="2">
        <v>13056</v>
      </c>
      <c r="Z994" s="19" t="str">
        <f>HYPERLINK("https://ssdweb.co/ssdweb/hd/Vision360.html?d=927092146&amp;zoomslide=1&amp;z=1927092146&amp;ISCONFIRM=0","VIDEO")</f>
        <v>VIDEO</v>
      </c>
      <c r="AA994" s="19" t="str">
        <f>HYPERLINK("https://ssdweb.co/ssdweb/CERTH/665453143.pdf","CERTI")</f>
        <v>CERTI</v>
      </c>
    </row>
    <row r="995" spans="1:27" ht="15" x14ac:dyDescent="0.25">
      <c r="A995" s="2">
        <v>990</v>
      </c>
      <c r="B995" s="39">
        <v>927092126</v>
      </c>
      <c r="C995" s="28" t="str">
        <f>HYPERLINK("https://pld.live/RapDetail.aspx?STONELIST=927092126","DNA")</f>
        <v>DNA</v>
      </c>
      <c r="D995" s="18" t="s">
        <v>3054</v>
      </c>
      <c r="E995" s="18" t="s">
        <v>5128</v>
      </c>
      <c r="F995" s="2" t="s">
        <v>7987</v>
      </c>
      <c r="G995" s="2" t="s">
        <v>861</v>
      </c>
      <c r="H995" s="14">
        <v>1.02</v>
      </c>
      <c r="I995" s="2" t="s">
        <v>267</v>
      </c>
      <c r="J995" s="2" t="s">
        <v>6555</v>
      </c>
      <c r="K995" s="2" t="s">
        <v>3390</v>
      </c>
      <c r="L995" s="2" t="s">
        <v>5221</v>
      </c>
      <c r="M995" s="2" t="s">
        <v>5221</v>
      </c>
      <c r="N995" s="2" t="s">
        <v>2317</v>
      </c>
      <c r="O995" s="14">
        <v>12800</v>
      </c>
      <c r="P995" s="14">
        <v>98.85</v>
      </c>
      <c r="Q995" s="14">
        <v>147.19999999999999</v>
      </c>
      <c r="R995" s="14">
        <v>150.13999999999999</v>
      </c>
      <c r="S995" s="2" t="s">
        <v>4638</v>
      </c>
      <c r="T995" s="2">
        <v>1</v>
      </c>
      <c r="U995" s="2">
        <v>61.4</v>
      </c>
      <c r="V995" s="2">
        <v>58</v>
      </c>
      <c r="W995" s="2" t="s">
        <v>7862</v>
      </c>
      <c r="X995" s="2" t="s">
        <v>5405</v>
      </c>
      <c r="Y995" s="2">
        <v>13056</v>
      </c>
      <c r="Z995" s="19" t="str">
        <f>HYPERLINK("https://ssdweb.co/ssdweb/hd/Vision360.html?d=927092126&amp;zoomslide=1&amp;z=1927092126&amp;ISCONFIRM=0","VIDEO")</f>
        <v>VIDEO</v>
      </c>
      <c r="AA995" s="19" t="str">
        <f>HYPERLINK("https://ssdweb.co/ssdweb/CERTH/665453140.pdf","CERTI")</f>
        <v>CERTI</v>
      </c>
    </row>
    <row r="996" spans="1:27" ht="15" x14ac:dyDescent="0.25">
      <c r="A996" s="2">
        <v>991</v>
      </c>
      <c r="B996" s="39">
        <v>927130169</v>
      </c>
      <c r="C996" s="28" t="str">
        <f>HYPERLINK("https://pld.live/RapDetail.aspx?STONELIST=927130169","DNA")</f>
        <v>DNA</v>
      </c>
      <c r="D996" s="18" t="s">
        <v>3054</v>
      </c>
      <c r="E996" s="18" t="s">
        <v>5128</v>
      </c>
      <c r="F996" s="2" t="s">
        <v>7987</v>
      </c>
      <c r="G996" s="2" t="s">
        <v>861</v>
      </c>
      <c r="H996" s="14">
        <v>1.02</v>
      </c>
      <c r="I996" s="2" t="s">
        <v>267</v>
      </c>
      <c r="J996" s="2" t="s">
        <v>6555</v>
      </c>
      <c r="K996" s="2" t="s">
        <v>3390</v>
      </c>
      <c r="L996" s="2" t="s">
        <v>5221</v>
      </c>
      <c r="M996" s="2" t="s">
        <v>5221</v>
      </c>
      <c r="N996" s="2" t="s">
        <v>2317</v>
      </c>
      <c r="O996" s="14">
        <v>12800</v>
      </c>
      <c r="P996" s="14">
        <v>98.85</v>
      </c>
      <c r="Q996" s="14">
        <v>147.19999999999999</v>
      </c>
      <c r="R996" s="14">
        <v>150.13999999999999</v>
      </c>
      <c r="S996" s="2" t="s">
        <v>8056</v>
      </c>
      <c r="T996" s="2">
        <v>1</v>
      </c>
      <c r="U996" s="2">
        <v>60.5</v>
      </c>
      <c r="V996" s="2">
        <v>58</v>
      </c>
      <c r="W996" s="2" t="s">
        <v>7862</v>
      </c>
      <c r="X996" s="2" t="s">
        <v>5405</v>
      </c>
      <c r="Y996" s="2">
        <v>13056</v>
      </c>
      <c r="Z996" s="19" t="str">
        <f>HYPERLINK("https://ssdweb.co/ssdweb/hd/Vision360.html?d=927130169&amp;zoomslide=1&amp;z=1927130169&amp;ISCONFIRM=0","VIDEO")</f>
        <v>VIDEO</v>
      </c>
      <c r="AA996" s="19" t="str">
        <f>HYPERLINK("https://ssdweb.co/ssdweb/CERTH/666419911.pdf","CERTI")</f>
        <v>CERTI</v>
      </c>
    </row>
    <row r="997" spans="1:27" ht="15" x14ac:dyDescent="0.25">
      <c r="A997" s="2">
        <v>992</v>
      </c>
      <c r="B997" s="39">
        <v>941070926</v>
      </c>
      <c r="C997" s="28" t="str">
        <f>HYPERLINK("https://pld.live/RapDetail.aspx?STONELIST=941070926","DNA")</f>
        <v>DNA</v>
      </c>
      <c r="D997" s="18" t="s">
        <v>3054</v>
      </c>
      <c r="E997" s="18" t="s">
        <v>5128</v>
      </c>
      <c r="F997" s="2" t="s">
        <v>7987</v>
      </c>
      <c r="G997" s="2" t="s">
        <v>861</v>
      </c>
      <c r="H997" s="14">
        <v>1.02</v>
      </c>
      <c r="I997" s="2" t="s">
        <v>267</v>
      </c>
      <c r="J997" s="2" t="s">
        <v>6555</v>
      </c>
      <c r="K997" s="2" t="s">
        <v>3390</v>
      </c>
      <c r="L997" s="2" t="s">
        <v>5221</v>
      </c>
      <c r="M997" s="2" t="s">
        <v>5221</v>
      </c>
      <c r="N997" s="2" t="s">
        <v>2317</v>
      </c>
      <c r="O997" s="14">
        <v>12800</v>
      </c>
      <c r="P997" s="14">
        <v>98.84</v>
      </c>
      <c r="Q997" s="14">
        <v>148.47999999999999</v>
      </c>
      <c r="R997" s="14">
        <v>151.44999999999999</v>
      </c>
      <c r="S997" s="2" t="s">
        <v>4203</v>
      </c>
      <c r="T997" s="2">
        <v>1</v>
      </c>
      <c r="U997" s="2">
        <v>61.1</v>
      </c>
      <c r="V997" s="2">
        <v>60</v>
      </c>
      <c r="W997" s="2" t="s">
        <v>7862</v>
      </c>
      <c r="X997" s="2" t="s">
        <v>5405</v>
      </c>
      <c r="Y997" s="2">
        <v>13056</v>
      </c>
      <c r="Z997" s="19" t="str">
        <f>HYPERLINK("https://ssdweb.co/ssdweb/hd/Vision360.html?d=941070926&amp;zoomslide=1&amp;z=1941070926&amp;ISCONFIRM=0","VIDEO")</f>
        <v>VIDEO</v>
      </c>
      <c r="AA997" s="19" t="str">
        <f>HYPERLINK("https://ssdweb.co/ssdweb/CERTH/675504630.pdf","CERTI")</f>
        <v>CERTI</v>
      </c>
    </row>
    <row r="998" spans="1:27" ht="15" x14ac:dyDescent="0.25">
      <c r="A998" s="2">
        <v>993</v>
      </c>
      <c r="B998" s="39">
        <v>941071059</v>
      </c>
      <c r="C998" s="28" t="str">
        <f>HYPERLINK("https://pld.live/RapDetail.aspx?STONELIST=941071059","DNA")</f>
        <v>DNA</v>
      </c>
      <c r="D998" s="18" t="s">
        <v>3054</v>
      </c>
      <c r="E998" s="18" t="s">
        <v>5128</v>
      </c>
      <c r="F998" s="2" t="s">
        <v>7987</v>
      </c>
      <c r="G998" s="2" t="s">
        <v>861</v>
      </c>
      <c r="H998" s="14">
        <v>1.02</v>
      </c>
      <c r="I998" s="2" t="s">
        <v>267</v>
      </c>
      <c r="J998" s="2" t="s">
        <v>6555</v>
      </c>
      <c r="K998" s="2" t="s">
        <v>3390</v>
      </c>
      <c r="L998" s="2" t="s">
        <v>5221</v>
      </c>
      <c r="M998" s="2" t="s">
        <v>5221</v>
      </c>
      <c r="N998" s="2" t="s">
        <v>2317</v>
      </c>
      <c r="O998" s="14">
        <v>12800</v>
      </c>
      <c r="P998" s="14">
        <v>98.84</v>
      </c>
      <c r="Q998" s="14">
        <v>148.47999999999999</v>
      </c>
      <c r="R998" s="14">
        <v>151.44999999999999</v>
      </c>
      <c r="S998" s="2" t="s">
        <v>3154</v>
      </c>
      <c r="T998" s="2">
        <v>1.01</v>
      </c>
      <c r="U998" s="2">
        <v>61.3</v>
      </c>
      <c r="V998" s="2">
        <v>57</v>
      </c>
      <c r="W998" s="2" t="s">
        <v>7862</v>
      </c>
      <c r="X998" s="2" t="s">
        <v>5405</v>
      </c>
      <c r="Y998" s="2">
        <v>13056</v>
      </c>
      <c r="Z998" s="19" t="str">
        <f>HYPERLINK("https://ssdweb.co/ssdweb/hd/Vision360.html?d=941071059&amp;zoomslide=1&amp;z=1941071059&amp;ISCONFIRM=0","VIDEO")</f>
        <v>VIDEO</v>
      </c>
      <c r="AA998" s="19" t="str">
        <f>HYPERLINK("https://ssdweb.co/ssdweb/CERTH/671411279.pdf","CERTI")</f>
        <v>CERTI</v>
      </c>
    </row>
    <row r="999" spans="1:27" ht="15" x14ac:dyDescent="0.25">
      <c r="A999" s="2">
        <v>994</v>
      </c>
      <c r="B999" s="39">
        <v>927100571</v>
      </c>
      <c r="C999" s="28" t="str">
        <f>HYPERLINK("https://pld.live/RapDetail.aspx?STONELIST=927100571","DNA")</f>
        <v>DNA</v>
      </c>
      <c r="D999" s="18" t="s">
        <v>3054</v>
      </c>
      <c r="E999" s="18" t="s">
        <v>5128</v>
      </c>
      <c r="F999" s="2" t="s">
        <v>7987</v>
      </c>
      <c r="G999" s="2" t="s">
        <v>861</v>
      </c>
      <c r="H999" s="14">
        <v>1.02</v>
      </c>
      <c r="I999" s="2" t="s">
        <v>267</v>
      </c>
      <c r="J999" s="2" t="s">
        <v>6555</v>
      </c>
      <c r="K999" s="2" t="s">
        <v>3390</v>
      </c>
      <c r="L999" s="2" t="s">
        <v>5221</v>
      </c>
      <c r="M999" s="2" t="s">
        <v>5221</v>
      </c>
      <c r="N999" s="2" t="s">
        <v>2317</v>
      </c>
      <c r="O999" s="14">
        <v>12800</v>
      </c>
      <c r="P999" s="14">
        <v>98.85</v>
      </c>
      <c r="Q999" s="14">
        <v>147.19999999999999</v>
      </c>
      <c r="R999" s="14">
        <v>150.13999999999999</v>
      </c>
      <c r="S999" s="2" t="s">
        <v>450</v>
      </c>
      <c r="T999" s="2">
        <v>1</v>
      </c>
      <c r="U999" s="2">
        <v>60.8</v>
      </c>
      <c r="V999" s="2">
        <v>59</v>
      </c>
      <c r="W999" s="2" t="s">
        <v>7862</v>
      </c>
      <c r="X999" s="2" t="s">
        <v>5405</v>
      </c>
      <c r="Y999" s="2">
        <v>13056</v>
      </c>
      <c r="Z999" s="19" t="str">
        <f>HYPERLINK("https://ssdweb.co/ssdweb/hd/Vision360.html?d=927100571&amp;zoomslide=1&amp;z=1927100571&amp;ISCONFIRM=0","VIDEO")</f>
        <v>VIDEO</v>
      </c>
      <c r="AA999" s="19" t="str">
        <f>HYPERLINK("https://ssdweb.co/ssdweb/CERTH/665411187.pdf","CERTI")</f>
        <v>CERTI</v>
      </c>
    </row>
    <row r="1000" spans="1:27" ht="15" x14ac:dyDescent="0.25">
      <c r="A1000" s="2">
        <v>995</v>
      </c>
      <c r="B1000" s="39">
        <v>927150775</v>
      </c>
      <c r="C1000" s="28" t="str">
        <f>HYPERLINK("https://pld.live/RapDetail.aspx?STONELIST=927150775","DNA")</f>
        <v>DNA</v>
      </c>
      <c r="D1000" s="18" t="s">
        <v>3054</v>
      </c>
      <c r="E1000" s="18" t="s">
        <v>5128</v>
      </c>
      <c r="F1000" s="2" t="s">
        <v>7987</v>
      </c>
      <c r="G1000" s="2" t="s">
        <v>861</v>
      </c>
      <c r="H1000" s="14">
        <v>1.02</v>
      </c>
      <c r="I1000" s="2" t="s">
        <v>267</v>
      </c>
      <c r="J1000" s="2" t="s">
        <v>6555</v>
      </c>
      <c r="K1000" s="2" t="s">
        <v>3390</v>
      </c>
      <c r="L1000" s="2" t="s">
        <v>5221</v>
      </c>
      <c r="M1000" s="2" t="s">
        <v>5221</v>
      </c>
      <c r="N1000" s="2" t="s">
        <v>2317</v>
      </c>
      <c r="O1000" s="14">
        <v>12800</v>
      </c>
      <c r="P1000" s="14">
        <v>98.85</v>
      </c>
      <c r="Q1000" s="14">
        <v>147.19999999999999</v>
      </c>
      <c r="R1000" s="14">
        <v>150.13999999999999</v>
      </c>
      <c r="S1000" s="2" t="s">
        <v>5798</v>
      </c>
      <c r="T1000" s="2">
        <v>1.01</v>
      </c>
      <c r="U1000" s="2">
        <v>62</v>
      </c>
      <c r="V1000" s="2">
        <v>57</v>
      </c>
      <c r="W1000" s="2" t="s">
        <v>7862</v>
      </c>
      <c r="X1000" s="2" t="s">
        <v>5405</v>
      </c>
      <c r="Y1000" s="2">
        <v>13056</v>
      </c>
      <c r="Z1000" s="19" t="str">
        <f>HYPERLINK("https://ssdweb.co/ssdweb/hd/Vision360.html?d=927150775&amp;zoomslide=1&amp;z=1927150775&amp;ISCONFIRM=0","VIDEO")</f>
        <v>VIDEO</v>
      </c>
      <c r="AA1000" s="19" t="str">
        <f>HYPERLINK("https://ssdweb.co/ssdweb/CERTH/668437160.pdf","CERTI")</f>
        <v>CERTI</v>
      </c>
    </row>
    <row r="1001" spans="1:27" ht="15" x14ac:dyDescent="0.25">
      <c r="A1001" s="2">
        <v>996</v>
      </c>
      <c r="B1001" s="39">
        <v>927051972</v>
      </c>
      <c r="C1001" s="28" t="str">
        <f>HYPERLINK("https://pld.live/RapDetail.aspx?STONELIST=927051972","DNA")</f>
        <v>DNA</v>
      </c>
      <c r="D1001" s="18" t="s">
        <v>3054</v>
      </c>
      <c r="E1001" s="18" t="s">
        <v>5128</v>
      </c>
      <c r="F1001" s="2" t="s">
        <v>7987</v>
      </c>
      <c r="G1001" s="2" t="s">
        <v>861</v>
      </c>
      <c r="H1001" s="14">
        <v>1.02</v>
      </c>
      <c r="I1001" s="2" t="s">
        <v>267</v>
      </c>
      <c r="J1001" s="2" t="s">
        <v>6555</v>
      </c>
      <c r="K1001" s="2" t="s">
        <v>3390</v>
      </c>
      <c r="L1001" s="2" t="s">
        <v>5221</v>
      </c>
      <c r="M1001" s="2" t="s">
        <v>5221</v>
      </c>
      <c r="N1001" s="2" t="s">
        <v>2317</v>
      </c>
      <c r="O1001" s="14">
        <v>12800</v>
      </c>
      <c r="P1001" s="14">
        <v>98.85</v>
      </c>
      <c r="Q1001" s="14">
        <v>147.19999999999999</v>
      </c>
      <c r="R1001" s="14">
        <v>150.13999999999999</v>
      </c>
      <c r="S1001" s="2" t="s">
        <v>3290</v>
      </c>
      <c r="T1001" s="2">
        <v>1</v>
      </c>
      <c r="U1001" s="2">
        <v>61.2</v>
      </c>
      <c r="V1001" s="2">
        <v>58</v>
      </c>
      <c r="W1001" s="2" t="s">
        <v>7862</v>
      </c>
      <c r="X1001" s="2" t="s">
        <v>5405</v>
      </c>
      <c r="Y1001" s="2">
        <v>13056</v>
      </c>
      <c r="Z1001" s="19" t="str">
        <f>HYPERLINK("https://ssdweb.co/ssdweb/hd/Vision360.html?d=927051972&amp;zoomslide=1&amp;z=1927051972&amp;ISCONFIRM=0","VIDEO")</f>
        <v>VIDEO</v>
      </c>
      <c r="AA1001" s="19" t="str">
        <f>HYPERLINK("https://ssdweb.co/ssdweb/CERTH/662417156.pdf","CERTI")</f>
        <v>CERTI</v>
      </c>
    </row>
    <row r="1002" spans="1:27" ht="15" x14ac:dyDescent="0.25">
      <c r="A1002" s="2">
        <v>997</v>
      </c>
      <c r="B1002" s="39">
        <v>927101030</v>
      </c>
      <c r="C1002" s="28" t="str">
        <f>HYPERLINK("https://pld.live/RapDetail.aspx?STONELIST=927101030","DNA")</f>
        <v>DNA</v>
      </c>
      <c r="D1002" s="18" t="s">
        <v>3054</v>
      </c>
      <c r="E1002" s="18" t="s">
        <v>5128</v>
      </c>
      <c r="F1002" s="2" t="s">
        <v>7987</v>
      </c>
      <c r="G1002" s="2" t="s">
        <v>861</v>
      </c>
      <c r="H1002" s="14">
        <v>1.02</v>
      </c>
      <c r="I1002" s="2" t="s">
        <v>267</v>
      </c>
      <c r="J1002" s="2" t="s">
        <v>6555</v>
      </c>
      <c r="K1002" s="2" t="s">
        <v>3390</v>
      </c>
      <c r="L1002" s="2" t="s">
        <v>5221</v>
      </c>
      <c r="M1002" s="2" t="s">
        <v>5221</v>
      </c>
      <c r="N1002" s="2" t="s">
        <v>2317</v>
      </c>
      <c r="O1002" s="14">
        <v>12800</v>
      </c>
      <c r="P1002" s="14">
        <v>98.85</v>
      </c>
      <c r="Q1002" s="14">
        <v>147.19999999999999</v>
      </c>
      <c r="R1002" s="14">
        <v>150.13999999999999</v>
      </c>
      <c r="S1002" s="2" t="s">
        <v>875</v>
      </c>
      <c r="T1002" s="2">
        <v>1</v>
      </c>
      <c r="U1002" s="2">
        <v>61.4</v>
      </c>
      <c r="V1002" s="2">
        <v>57</v>
      </c>
      <c r="W1002" s="2" t="s">
        <v>7862</v>
      </c>
      <c r="X1002" s="2" t="s">
        <v>5405</v>
      </c>
      <c r="Y1002" s="2">
        <v>13056</v>
      </c>
      <c r="Z1002" s="19" t="str">
        <f>HYPERLINK("https://ssdweb.co/ssdweb/hd/Vision360.html?d=927101030&amp;zoomslide=1&amp;z=1927101030&amp;ISCONFIRM=0","VIDEO")</f>
        <v>VIDEO</v>
      </c>
      <c r="AA1002" s="19" t="str">
        <f>HYPERLINK("https://ssdweb.co/ssdweb/CERTH/665453130.pdf","CERTI")</f>
        <v>CERTI</v>
      </c>
    </row>
    <row r="1003" spans="1:27" ht="15" x14ac:dyDescent="0.25">
      <c r="A1003" s="2">
        <v>998</v>
      </c>
      <c r="B1003" s="39">
        <v>927052229</v>
      </c>
      <c r="C1003" s="28" t="str">
        <f>HYPERLINK("https://pld.live/RapDetail.aspx?STONELIST=927052229","DNA")</f>
        <v>DNA</v>
      </c>
      <c r="D1003" s="18" t="s">
        <v>3054</v>
      </c>
      <c r="E1003" s="18" t="s">
        <v>5128</v>
      </c>
      <c r="F1003" s="2" t="s">
        <v>7987</v>
      </c>
      <c r="G1003" s="2" t="s">
        <v>861</v>
      </c>
      <c r="H1003" s="14">
        <v>1.02</v>
      </c>
      <c r="I1003" s="2" t="s">
        <v>267</v>
      </c>
      <c r="J1003" s="2" t="s">
        <v>6555</v>
      </c>
      <c r="K1003" s="2" t="s">
        <v>3390</v>
      </c>
      <c r="L1003" s="2" t="s">
        <v>5221</v>
      </c>
      <c r="M1003" s="2" t="s">
        <v>5221</v>
      </c>
      <c r="N1003" s="2" t="s">
        <v>2317</v>
      </c>
      <c r="O1003" s="14">
        <v>12800</v>
      </c>
      <c r="P1003" s="14">
        <v>98.85</v>
      </c>
      <c r="Q1003" s="14">
        <v>147.19999999999999</v>
      </c>
      <c r="R1003" s="14">
        <v>150.13999999999999</v>
      </c>
      <c r="S1003" s="2" t="s">
        <v>4838</v>
      </c>
      <c r="T1003" s="2">
        <v>1</v>
      </c>
      <c r="U1003" s="2">
        <v>60.7</v>
      </c>
      <c r="V1003" s="2">
        <v>59</v>
      </c>
      <c r="W1003" s="2" t="s">
        <v>7862</v>
      </c>
      <c r="X1003" s="2" t="s">
        <v>5405</v>
      </c>
      <c r="Y1003" s="2">
        <v>13056</v>
      </c>
      <c r="Z1003" s="19" t="str">
        <f>HYPERLINK("https://ssdweb.co/ssdweb/hd/Vision360.html?d=927052229&amp;zoomslide=1&amp;z=1927052229&amp;ISCONFIRM=0","VIDEO")</f>
        <v>VIDEO</v>
      </c>
      <c r="AA1003" s="19" t="str">
        <f>HYPERLINK("https://ssdweb.co/ssdweb/CERTH/665453203.pdf","CERTI")</f>
        <v>CERTI</v>
      </c>
    </row>
    <row r="1004" spans="1:27" ht="15" x14ac:dyDescent="0.25">
      <c r="A1004" s="2">
        <v>999</v>
      </c>
      <c r="B1004" s="39">
        <v>927101109</v>
      </c>
      <c r="C1004" s="28" t="str">
        <f>HYPERLINK("https://pld.live/RapDetail.aspx?STONELIST=927101109","DNA")</f>
        <v>DNA</v>
      </c>
      <c r="D1004" s="18" t="s">
        <v>3054</v>
      </c>
      <c r="E1004" s="18" t="s">
        <v>5128</v>
      </c>
      <c r="F1004" s="2" t="s">
        <v>7987</v>
      </c>
      <c r="G1004" s="2" t="s">
        <v>861</v>
      </c>
      <c r="H1004" s="14">
        <v>1.02</v>
      </c>
      <c r="I1004" s="2" t="s">
        <v>267</v>
      </c>
      <c r="J1004" s="2" t="s">
        <v>6555</v>
      </c>
      <c r="K1004" s="2" t="s">
        <v>3390</v>
      </c>
      <c r="L1004" s="2" t="s">
        <v>5221</v>
      </c>
      <c r="M1004" s="2" t="s">
        <v>5221</v>
      </c>
      <c r="N1004" s="2" t="s">
        <v>2317</v>
      </c>
      <c r="O1004" s="14">
        <v>12800</v>
      </c>
      <c r="P1004" s="14">
        <v>98.85</v>
      </c>
      <c r="Q1004" s="14">
        <v>147.19999999999999</v>
      </c>
      <c r="R1004" s="14">
        <v>150.13999999999999</v>
      </c>
      <c r="S1004" s="2" t="s">
        <v>2625</v>
      </c>
      <c r="T1004" s="2">
        <v>1</v>
      </c>
      <c r="U1004" s="2">
        <v>61.4</v>
      </c>
      <c r="V1004" s="2">
        <v>55</v>
      </c>
      <c r="W1004" s="2" t="s">
        <v>7862</v>
      </c>
      <c r="X1004" s="2" t="s">
        <v>5405</v>
      </c>
      <c r="Y1004" s="2">
        <v>13056</v>
      </c>
      <c r="Z1004" s="19" t="str">
        <f>HYPERLINK("https://ssdweb.co/ssdweb/hd/Vision360.html?d=927101109&amp;zoomslide=1&amp;z=1927101109&amp;ISCONFIRM=0","VIDEO")</f>
        <v>VIDEO</v>
      </c>
      <c r="AA1004" s="19" t="str">
        <f>HYPERLINK("https://ssdweb.co/ssdweb/CERTH/665411175.pdf","CERTI")</f>
        <v>CERTI</v>
      </c>
    </row>
    <row r="1005" spans="1:27" ht="15" x14ac:dyDescent="0.25">
      <c r="A1005" s="2">
        <v>1000</v>
      </c>
      <c r="B1005" s="39">
        <v>941071093</v>
      </c>
      <c r="C1005" s="28" t="str">
        <f>HYPERLINK("https://pld.live/RapDetail.aspx?STONELIST=941071093","DNA")</f>
        <v>DNA</v>
      </c>
      <c r="D1005" s="18" t="s">
        <v>3054</v>
      </c>
      <c r="E1005" s="18" t="s">
        <v>5128</v>
      </c>
      <c r="F1005" s="2" t="s">
        <v>7987</v>
      </c>
      <c r="G1005" s="2" t="s">
        <v>861</v>
      </c>
      <c r="H1005" s="14">
        <v>1.02</v>
      </c>
      <c r="I1005" s="2" t="s">
        <v>267</v>
      </c>
      <c r="J1005" s="2" t="s">
        <v>6555</v>
      </c>
      <c r="K1005" s="2" t="s">
        <v>3390</v>
      </c>
      <c r="L1005" s="2" t="s">
        <v>5221</v>
      </c>
      <c r="M1005" s="2" t="s">
        <v>5221</v>
      </c>
      <c r="N1005" s="2" t="s">
        <v>2317</v>
      </c>
      <c r="O1005" s="14">
        <v>12800</v>
      </c>
      <c r="P1005" s="14">
        <v>98.84</v>
      </c>
      <c r="Q1005" s="14">
        <v>148.47999999999999</v>
      </c>
      <c r="R1005" s="14">
        <v>151.44999999999999</v>
      </c>
      <c r="S1005" s="2" t="s">
        <v>901</v>
      </c>
      <c r="T1005" s="2">
        <v>1.01</v>
      </c>
      <c r="U1005" s="2">
        <v>62</v>
      </c>
      <c r="V1005" s="2">
        <v>56</v>
      </c>
      <c r="W1005" s="2" t="s">
        <v>7862</v>
      </c>
      <c r="X1005" s="2" t="s">
        <v>5405</v>
      </c>
      <c r="Y1005" s="2">
        <v>13056</v>
      </c>
      <c r="Z1005" s="19" t="str">
        <f>HYPERLINK("https://ssdweb.co/ssdweb/hd/Vision360.html?d=941071093&amp;zoomslide=1&amp;z=1941071093&amp;ISCONFIRM=0","VIDEO")</f>
        <v>VIDEO</v>
      </c>
      <c r="AA1005" s="19" t="str">
        <f>HYPERLINK("https://ssdweb.co/ssdweb/CERTH/671411267.pdf","CERTI")</f>
        <v>CERTI</v>
      </c>
    </row>
    <row r="1006" spans="1:27" ht="15" x14ac:dyDescent="0.25">
      <c r="A1006" s="2">
        <v>1001</v>
      </c>
      <c r="B1006" s="39">
        <v>926810903</v>
      </c>
      <c r="C1006" s="28" t="str">
        <f>HYPERLINK("https://pld.live/RapDetail.aspx?STONELIST=926810903","DNA")</f>
        <v>DNA</v>
      </c>
      <c r="D1006" s="18" t="s">
        <v>3054</v>
      </c>
      <c r="E1006" s="18" t="s">
        <v>5128</v>
      </c>
      <c r="F1006" s="2" t="s">
        <v>5597</v>
      </c>
      <c r="G1006" s="2" t="s">
        <v>861</v>
      </c>
      <c r="H1006" s="14">
        <v>1.02</v>
      </c>
      <c r="I1006" s="2" t="s">
        <v>267</v>
      </c>
      <c r="J1006" s="2" t="s">
        <v>6555</v>
      </c>
      <c r="K1006" s="2" t="s">
        <v>5221</v>
      </c>
      <c r="L1006" s="2" t="s">
        <v>5221</v>
      </c>
      <c r="M1006" s="2" t="s">
        <v>5221</v>
      </c>
      <c r="N1006" s="2" t="s">
        <v>2317</v>
      </c>
      <c r="O1006" s="14">
        <v>12800</v>
      </c>
      <c r="P1006" s="14">
        <v>98.09</v>
      </c>
      <c r="Q1006" s="14">
        <v>244.48</v>
      </c>
      <c r="R1006" s="14">
        <v>249.37</v>
      </c>
      <c r="S1006" s="2" t="s">
        <v>2770</v>
      </c>
      <c r="T1006" s="2">
        <v>1</v>
      </c>
      <c r="U1006" s="2">
        <v>61.8</v>
      </c>
      <c r="V1006" s="2">
        <v>57</v>
      </c>
      <c r="W1006" s="2" t="s">
        <v>7862</v>
      </c>
      <c r="X1006" s="2" t="s">
        <v>5405</v>
      </c>
      <c r="Y1006" s="2">
        <v>13056</v>
      </c>
      <c r="Z1006" s="19" t="str">
        <f>HYPERLINK("https://ssdweb.co/ssdweb/hd/Vision360.html?d=926810903&amp;zoomslide=1&amp;z=1926810903&amp;ISCONFIRM=0","VIDEO")</f>
        <v>VIDEO</v>
      </c>
      <c r="AA1006" s="19" t="str">
        <f>HYPERLINK("https://ssdweb.co/ssdweb/CERTH/2507621704.pdf","CERTI")</f>
        <v>CERTI</v>
      </c>
    </row>
    <row r="1007" spans="1:27" ht="15" x14ac:dyDescent="0.25">
      <c r="A1007" s="2">
        <v>1002</v>
      </c>
      <c r="B1007" s="39">
        <v>926810861</v>
      </c>
      <c r="C1007" s="28" t="str">
        <f>HYPERLINK("https://pld.live/RapDetail.aspx?STONELIST=926810861","DNA")</f>
        <v>DNA</v>
      </c>
      <c r="D1007" s="18" t="s">
        <v>3054</v>
      </c>
      <c r="E1007" s="18" t="s">
        <v>5128</v>
      </c>
      <c r="F1007" s="2" t="s">
        <v>5597</v>
      </c>
      <c r="G1007" s="2" t="s">
        <v>861</v>
      </c>
      <c r="H1007" s="14">
        <v>1.02</v>
      </c>
      <c r="I1007" s="2" t="s">
        <v>267</v>
      </c>
      <c r="J1007" s="2" t="s">
        <v>6555</v>
      </c>
      <c r="K1007" s="2" t="s">
        <v>5221</v>
      </c>
      <c r="L1007" s="2" t="s">
        <v>5221</v>
      </c>
      <c r="M1007" s="2" t="s">
        <v>5221</v>
      </c>
      <c r="N1007" s="2" t="s">
        <v>2317</v>
      </c>
      <c r="O1007" s="14">
        <v>12800</v>
      </c>
      <c r="P1007" s="14">
        <v>98.09</v>
      </c>
      <c r="Q1007" s="14">
        <v>244.48</v>
      </c>
      <c r="R1007" s="14">
        <v>249.37</v>
      </c>
      <c r="S1007" s="2" t="s">
        <v>3939</v>
      </c>
      <c r="T1007" s="2">
        <v>1</v>
      </c>
      <c r="U1007" s="2">
        <v>61.6</v>
      </c>
      <c r="V1007" s="2">
        <v>58</v>
      </c>
      <c r="W1007" s="2" t="s">
        <v>7862</v>
      </c>
      <c r="X1007" s="2" t="s">
        <v>5405</v>
      </c>
      <c r="Y1007" s="2">
        <v>13056</v>
      </c>
      <c r="Z1007" s="19" t="str">
        <f>HYPERLINK("https://ssdweb.co/ssdweb/hd/Vision360.html?d=926810861&amp;zoomslide=1&amp;z=1926810861&amp;ISCONFIRM=0","VIDEO")</f>
        <v>VIDEO</v>
      </c>
      <c r="AA1007" s="19" t="str">
        <f>HYPERLINK("https://ssdweb.co/ssdweb/CERTH/5506523354.pdf","CERTI")</f>
        <v>CERTI</v>
      </c>
    </row>
    <row r="1008" spans="1:27" ht="15" x14ac:dyDescent="0.25">
      <c r="A1008" s="2">
        <v>1003</v>
      </c>
      <c r="B1008" s="39">
        <v>941071099</v>
      </c>
      <c r="C1008" s="28" t="str">
        <f>HYPERLINK("https://pld.live/RapDetail.aspx?STONELIST=941071099","DNA")</f>
        <v>DNA</v>
      </c>
      <c r="D1008" s="18" t="s">
        <v>3054</v>
      </c>
      <c r="E1008" s="18" t="s">
        <v>5128</v>
      </c>
      <c r="F1008" s="2" t="s">
        <v>7987</v>
      </c>
      <c r="G1008" s="2" t="s">
        <v>861</v>
      </c>
      <c r="H1008" s="14">
        <v>1.02</v>
      </c>
      <c r="I1008" s="2" t="s">
        <v>267</v>
      </c>
      <c r="J1008" s="2" t="s">
        <v>6555</v>
      </c>
      <c r="K1008" s="2" t="s">
        <v>5221</v>
      </c>
      <c r="L1008" s="2" t="s">
        <v>5221</v>
      </c>
      <c r="M1008" s="2" t="s">
        <v>5221</v>
      </c>
      <c r="N1008" s="2" t="s">
        <v>2317</v>
      </c>
      <c r="O1008" s="14">
        <v>12800</v>
      </c>
      <c r="P1008" s="14">
        <v>98.84</v>
      </c>
      <c r="Q1008" s="14">
        <v>148.47999999999999</v>
      </c>
      <c r="R1008" s="14">
        <v>151.44999999999999</v>
      </c>
      <c r="S1008" s="2" t="s">
        <v>7027</v>
      </c>
      <c r="T1008" s="2">
        <v>1.01</v>
      </c>
      <c r="U1008" s="2">
        <v>63.3</v>
      </c>
      <c r="V1008" s="2">
        <v>55</v>
      </c>
      <c r="W1008" s="2" t="s">
        <v>7862</v>
      </c>
      <c r="X1008" s="2" t="s">
        <v>5405</v>
      </c>
      <c r="Y1008" s="2">
        <v>13056</v>
      </c>
      <c r="Z1008" s="19" t="str">
        <f>HYPERLINK("https://ssdweb.co/ssdweb/hd/Vision360.html?d=941071099&amp;zoomslide=1&amp;z=1941071099&amp;ISCONFIRM=0","VIDEO")</f>
        <v>VIDEO</v>
      </c>
      <c r="AA1008" s="19" t="str">
        <f>HYPERLINK("https://ssdweb.co/ssdweb/CERTH/671411265.pdf","CERTI")</f>
        <v>CERTI</v>
      </c>
    </row>
    <row r="1009" spans="1:27" ht="15" x14ac:dyDescent="0.25">
      <c r="A1009" s="2">
        <v>1004</v>
      </c>
      <c r="B1009" s="39">
        <v>941350702</v>
      </c>
      <c r="C1009" s="28" t="str">
        <f>HYPERLINK("https://pld.live/RapDetail.aspx?STONELIST=941350702","DNA")</f>
        <v>DNA</v>
      </c>
      <c r="D1009" s="18" t="s">
        <v>3054</v>
      </c>
      <c r="E1009" s="18" t="s">
        <v>5128</v>
      </c>
      <c r="F1009" s="2" t="s">
        <v>7987</v>
      </c>
      <c r="G1009" s="2" t="s">
        <v>861</v>
      </c>
      <c r="H1009" s="14">
        <v>1.02</v>
      </c>
      <c r="I1009" s="2" t="s">
        <v>267</v>
      </c>
      <c r="J1009" s="2" t="s">
        <v>3942</v>
      </c>
      <c r="K1009" s="2" t="s">
        <v>3390</v>
      </c>
      <c r="L1009" s="2" t="s">
        <v>5221</v>
      </c>
      <c r="M1009" s="2" t="s">
        <v>5221</v>
      </c>
      <c r="N1009" s="2" t="s">
        <v>2317</v>
      </c>
      <c r="O1009" s="14">
        <v>10200</v>
      </c>
      <c r="P1009" s="14">
        <v>98.73</v>
      </c>
      <c r="Q1009" s="14">
        <v>129.54</v>
      </c>
      <c r="R1009" s="14">
        <v>132.13</v>
      </c>
      <c r="S1009" s="2" t="s">
        <v>2520</v>
      </c>
      <c r="T1009" s="2">
        <v>1</v>
      </c>
      <c r="U1009" s="2">
        <v>60</v>
      </c>
      <c r="V1009" s="2">
        <v>59</v>
      </c>
      <c r="W1009" s="2" t="s">
        <v>7862</v>
      </c>
      <c r="X1009" s="2" t="s">
        <v>5405</v>
      </c>
      <c r="Y1009" s="2">
        <v>10404</v>
      </c>
      <c r="Z1009" s="19" t="str">
        <f>HYPERLINK("https://ssdweb.co/ssdweb/hd/Vision360.html?d=941350702&amp;zoomslide=1&amp;z=1941350702&amp;ISCONFIRM=0","VIDEO")</f>
        <v>VIDEO</v>
      </c>
      <c r="AA1009" s="19" t="str">
        <f>HYPERLINK("https://ssdweb.co/ssdweb/CERTH/687560919.pdf","CERTI")</f>
        <v>CERTI</v>
      </c>
    </row>
    <row r="1010" spans="1:27" ht="15" x14ac:dyDescent="0.25">
      <c r="A1010" s="2">
        <v>1005</v>
      </c>
      <c r="B1010" s="39">
        <v>941350976</v>
      </c>
      <c r="C1010" s="28" t="str">
        <f>HYPERLINK("https://pld.live/RapDetail.aspx?STONELIST=941350976","DNA")</f>
        <v>DNA</v>
      </c>
      <c r="D1010" s="18" t="s">
        <v>3054</v>
      </c>
      <c r="E1010" s="18" t="s">
        <v>5128</v>
      </c>
      <c r="F1010" s="2" t="s">
        <v>7987</v>
      </c>
      <c r="G1010" s="2" t="s">
        <v>861</v>
      </c>
      <c r="H1010" s="14">
        <v>1.02</v>
      </c>
      <c r="I1010" s="2" t="s">
        <v>267</v>
      </c>
      <c r="J1010" s="2" t="s">
        <v>3942</v>
      </c>
      <c r="K1010" s="2" t="s">
        <v>3390</v>
      </c>
      <c r="L1010" s="2" t="s">
        <v>5221</v>
      </c>
      <c r="M1010" s="2" t="s">
        <v>5221</v>
      </c>
      <c r="N1010" s="2" t="s">
        <v>2317</v>
      </c>
      <c r="O1010" s="14">
        <v>10200</v>
      </c>
      <c r="P1010" s="14">
        <v>98.73</v>
      </c>
      <c r="Q1010" s="14">
        <v>129.54</v>
      </c>
      <c r="R1010" s="14">
        <v>132.13</v>
      </c>
      <c r="S1010" s="2" t="s">
        <v>1455</v>
      </c>
      <c r="T1010" s="2">
        <v>1.01</v>
      </c>
      <c r="U1010" s="2">
        <v>60.8</v>
      </c>
      <c r="V1010" s="2">
        <v>60</v>
      </c>
      <c r="W1010" s="2" t="s">
        <v>7862</v>
      </c>
      <c r="X1010" s="2" t="s">
        <v>5405</v>
      </c>
      <c r="Y1010" s="2">
        <v>10404</v>
      </c>
      <c r="Z1010" s="19" t="str">
        <f>HYPERLINK("https://ssdweb.co/ssdweb/hd/Vision360.html?d=941350976&amp;zoomslide=1&amp;z=1941350976&amp;ISCONFIRM=0","VIDEO")</f>
        <v>VIDEO</v>
      </c>
      <c r="AA1010" s="19" t="str">
        <f>HYPERLINK("https://ssdweb.co/ssdweb/CERTH/687560926.pdf","CERTI")</f>
        <v>CERTI</v>
      </c>
    </row>
    <row r="1011" spans="1:27" ht="15" x14ac:dyDescent="0.25">
      <c r="A1011" s="2">
        <v>1006</v>
      </c>
      <c r="B1011" s="39">
        <v>941350806</v>
      </c>
      <c r="C1011" s="28" t="str">
        <f>HYPERLINK("https://pld.live/RapDetail.aspx?STONELIST=941350806","DNA")</f>
        <v>DNA</v>
      </c>
      <c r="D1011" s="18" t="s">
        <v>3054</v>
      </c>
      <c r="E1011" s="18" t="s">
        <v>5128</v>
      </c>
      <c r="F1011" s="2" t="s">
        <v>7987</v>
      </c>
      <c r="G1011" s="2" t="s">
        <v>861</v>
      </c>
      <c r="H1011" s="14">
        <v>1.02</v>
      </c>
      <c r="I1011" s="2" t="s">
        <v>267</v>
      </c>
      <c r="J1011" s="2" t="s">
        <v>3942</v>
      </c>
      <c r="K1011" s="2" t="s">
        <v>3390</v>
      </c>
      <c r="L1011" s="2" t="s">
        <v>5221</v>
      </c>
      <c r="M1011" s="2" t="s">
        <v>5221</v>
      </c>
      <c r="N1011" s="2" t="s">
        <v>2317</v>
      </c>
      <c r="O1011" s="14">
        <v>10200</v>
      </c>
      <c r="P1011" s="14">
        <v>98.73</v>
      </c>
      <c r="Q1011" s="14">
        <v>129.54</v>
      </c>
      <c r="R1011" s="14">
        <v>132.13</v>
      </c>
      <c r="S1011" s="2" t="s">
        <v>1865</v>
      </c>
      <c r="T1011" s="2">
        <v>1</v>
      </c>
      <c r="U1011" s="2">
        <v>60.1</v>
      </c>
      <c r="V1011" s="2">
        <v>59</v>
      </c>
      <c r="W1011" s="2" t="s">
        <v>7862</v>
      </c>
      <c r="X1011" s="2" t="s">
        <v>5405</v>
      </c>
      <c r="Y1011" s="2">
        <v>10404</v>
      </c>
      <c r="Z1011" s="19" t="str">
        <f>HYPERLINK("https://ssdweb.co/ssdweb/hd/Vision360.html?d=941350806&amp;zoomslide=1&amp;z=1941350806&amp;ISCONFIRM=0","VIDEO")</f>
        <v>VIDEO</v>
      </c>
      <c r="AA1011" s="19" t="str">
        <f>HYPERLINK("https://ssdweb.co/ssdweb/CERTH/689587100.pdf","CERTI")</f>
        <v>CERTI</v>
      </c>
    </row>
    <row r="1012" spans="1:27" ht="15" x14ac:dyDescent="0.25">
      <c r="A1012" s="2">
        <v>1007</v>
      </c>
      <c r="B1012" s="39">
        <v>941370596</v>
      </c>
      <c r="C1012" s="28" t="str">
        <f>HYPERLINK("https://pld.live/RapDetail.aspx?STONELIST=941370596","DNA")</f>
        <v>DNA</v>
      </c>
      <c r="D1012" s="18" t="s">
        <v>3054</v>
      </c>
      <c r="E1012" s="18" t="s">
        <v>5128</v>
      </c>
      <c r="F1012" s="2" t="s">
        <v>7987</v>
      </c>
      <c r="G1012" s="2" t="s">
        <v>861</v>
      </c>
      <c r="H1012" s="14">
        <v>1.02</v>
      </c>
      <c r="I1012" s="2" t="s">
        <v>267</v>
      </c>
      <c r="J1012" s="2" t="s">
        <v>3942</v>
      </c>
      <c r="K1012" s="2" t="s">
        <v>3390</v>
      </c>
      <c r="L1012" s="2" t="s">
        <v>5221</v>
      </c>
      <c r="M1012" s="2" t="s">
        <v>5221</v>
      </c>
      <c r="N1012" s="2" t="s">
        <v>2317</v>
      </c>
      <c r="O1012" s="14">
        <v>10200</v>
      </c>
      <c r="P1012" s="14">
        <v>98.73</v>
      </c>
      <c r="Q1012" s="14">
        <v>129.54</v>
      </c>
      <c r="R1012" s="14">
        <v>132.13</v>
      </c>
      <c r="S1012" s="2" t="s">
        <v>4444</v>
      </c>
      <c r="T1012" s="2">
        <v>1.01</v>
      </c>
      <c r="U1012" s="2">
        <v>61.6</v>
      </c>
      <c r="V1012" s="2">
        <v>60</v>
      </c>
      <c r="W1012" s="2" t="s">
        <v>7862</v>
      </c>
      <c r="X1012" s="2" t="s">
        <v>5405</v>
      </c>
      <c r="Y1012" s="2">
        <v>10404</v>
      </c>
      <c r="Z1012" s="19" t="str">
        <f>HYPERLINK("https://ssdweb.co/ssdweb/hd/Vision360.html?d=941370596&amp;zoomslide=1&amp;z=1941370596&amp;ISCONFIRM=0","VIDEO")</f>
        <v>VIDEO</v>
      </c>
      <c r="AA1012" s="19" t="str">
        <f>HYPERLINK("https://ssdweb.co/ssdweb/CERTH/687591651.pdf","CERTI")</f>
        <v>CERTI</v>
      </c>
    </row>
    <row r="1013" spans="1:27" ht="15" x14ac:dyDescent="0.25">
      <c r="A1013" s="2">
        <v>1008</v>
      </c>
      <c r="B1013" s="39">
        <v>941350851</v>
      </c>
      <c r="C1013" s="28" t="str">
        <f>HYPERLINK("https://pld.live/RapDetail.aspx?STONELIST=941350851","DNA")</f>
        <v>DNA</v>
      </c>
      <c r="D1013" s="18" t="s">
        <v>3054</v>
      </c>
      <c r="E1013" s="18" t="s">
        <v>5128</v>
      </c>
      <c r="F1013" s="2" t="s">
        <v>7987</v>
      </c>
      <c r="G1013" s="2" t="s">
        <v>861</v>
      </c>
      <c r="H1013" s="14">
        <v>1.02</v>
      </c>
      <c r="I1013" s="2" t="s">
        <v>267</v>
      </c>
      <c r="J1013" s="2" t="s">
        <v>3942</v>
      </c>
      <c r="K1013" s="2" t="s">
        <v>3390</v>
      </c>
      <c r="L1013" s="2" t="s">
        <v>5221</v>
      </c>
      <c r="M1013" s="2" t="s">
        <v>5221</v>
      </c>
      <c r="N1013" s="2" t="s">
        <v>2317</v>
      </c>
      <c r="O1013" s="14">
        <v>10200</v>
      </c>
      <c r="P1013" s="14">
        <v>98.73</v>
      </c>
      <c r="Q1013" s="14">
        <v>129.54</v>
      </c>
      <c r="R1013" s="14">
        <v>132.13</v>
      </c>
      <c r="S1013" s="2" t="s">
        <v>7043</v>
      </c>
      <c r="T1013" s="2">
        <v>1.01</v>
      </c>
      <c r="U1013" s="2">
        <v>61.2</v>
      </c>
      <c r="V1013" s="2">
        <v>59</v>
      </c>
      <c r="W1013" s="2" t="s">
        <v>7862</v>
      </c>
      <c r="X1013" s="2" t="s">
        <v>5405</v>
      </c>
      <c r="Y1013" s="2">
        <v>10404</v>
      </c>
      <c r="Z1013" s="19" t="str">
        <f>HYPERLINK("https://ssdweb.co/ssdweb/hd/Vision360.html?d=941350851&amp;zoomslide=1&amp;z=1941350851&amp;ISCONFIRM=0","VIDEO")</f>
        <v>VIDEO</v>
      </c>
      <c r="AA1013" s="19" t="str">
        <f>HYPERLINK("https://ssdweb.co/ssdweb/CERTH/687560923.pdf","CERTI")</f>
        <v>CERTI</v>
      </c>
    </row>
    <row r="1014" spans="1:27" ht="15" x14ac:dyDescent="0.25">
      <c r="A1014" s="2">
        <v>1009</v>
      </c>
      <c r="B1014" s="39">
        <v>941350852</v>
      </c>
      <c r="C1014" s="28" t="str">
        <f>HYPERLINK("https://pld.live/RapDetail.aspx?STONELIST=941350852","DNA")</f>
        <v>DNA</v>
      </c>
      <c r="D1014" s="18" t="s">
        <v>3054</v>
      </c>
      <c r="E1014" s="18" t="s">
        <v>5128</v>
      </c>
      <c r="F1014" s="2" t="s">
        <v>7987</v>
      </c>
      <c r="G1014" s="2" t="s">
        <v>861</v>
      </c>
      <c r="H1014" s="14">
        <v>1.02</v>
      </c>
      <c r="I1014" s="2" t="s">
        <v>267</v>
      </c>
      <c r="J1014" s="2" t="s">
        <v>3942</v>
      </c>
      <c r="K1014" s="2" t="s">
        <v>3390</v>
      </c>
      <c r="L1014" s="2" t="s">
        <v>5221</v>
      </c>
      <c r="M1014" s="2" t="s">
        <v>5221</v>
      </c>
      <c r="N1014" s="2" t="s">
        <v>2317</v>
      </c>
      <c r="O1014" s="14">
        <v>10200</v>
      </c>
      <c r="P1014" s="14">
        <v>98.73</v>
      </c>
      <c r="Q1014" s="14">
        <v>129.54</v>
      </c>
      <c r="R1014" s="14">
        <v>132.13</v>
      </c>
      <c r="S1014" s="2" t="s">
        <v>1349</v>
      </c>
      <c r="T1014" s="2">
        <v>1.01</v>
      </c>
      <c r="U1014" s="2">
        <v>60.5</v>
      </c>
      <c r="V1014" s="2">
        <v>59</v>
      </c>
      <c r="W1014" s="2" t="s">
        <v>7862</v>
      </c>
      <c r="X1014" s="2" t="s">
        <v>5405</v>
      </c>
      <c r="Y1014" s="2">
        <v>10404</v>
      </c>
      <c r="Z1014" s="19" t="str">
        <f>HYPERLINK("https://ssdweb.co/ssdweb/hd/Vision360.html?d=941350852&amp;zoomslide=1&amp;z=1941350852&amp;ISCONFIRM=0","VIDEO")</f>
        <v>VIDEO</v>
      </c>
      <c r="AA1014" s="19" t="str">
        <f>HYPERLINK("https://ssdweb.co/ssdweb/CERTH/687560924.pdf","CERTI")</f>
        <v>CERTI</v>
      </c>
    </row>
    <row r="1015" spans="1:27" ht="15" x14ac:dyDescent="0.25">
      <c r="A1015" s="2">
        <v>1010</v>
      </c>
      <c r="B1015" s="39">
        <v>927150650</v>
      </c>
      <c r="C1015" s="28" t="str">
        <f>HYPERLINK("https://pld.live/RapDetail.aspx?STONELIST=927150650","DNA")</f>
        <v>DNA</v>
      </c>
      <c r="D1015" s="18" t="s">
        <v>3054</v>
      </c>
      <c r="E1015" s="18" t="s">
        <v>5128</v>
      </c>
      <c r="F1015" s="2" t="s">
        <v>7987</v>
      </c>
      <c r="G1015" s="2" t="s">
        <v>861</v>
      </c>
      <c r="H1015" s="14">
        <v>1.02</v>
      </c>
      <c r="I1015" s="2" t="s">
        <v>267</v>
      </c>
      <c r="J1015" s="2" t="s">
        <v>3942</v>
      </c>
      <c r="K1015" s="2" t="s">
        <v>3390</v>
      </c>
      <c r="L1015" s="2" t="s">
        <v>5221</v>
      </c>
      <c r="M1015" s="2" t="s">
        <v>5221</v>
      </c>
      <c r="N1015" s="2" t="s">
        <v>2317</v>
      </c>
      <c r="O1015" s="14">
        <v>10200</v>
      </c>
      <c r="P1015" s="14">
        <v>98.74</v>
      </c>
      <c r="Q1015" s="14">
        <v>128.52000000000001</v>
      </c>
      <c r="R1015" s="14">
        <v>131.09</v>
      </c>
      <c r="S1015" s="2" t="s">
        <v>6449</v>
      </c>
      <c r="T1015" s="2">
        <v>1</v>
      </c>
      <c r="U1015" s="2">
        <v>60.9</v>
      </c>
      <c r="V1015" s="2">
        <v>60</v>
      </c>
      <c r="W1015" s="2" t="s">
        <v>7862</v>
      </c>
      <c r="X1015" s="2" t="s">
        <v>5405</v>
      </c>
      <c r="Y1015" s="2">
        <v>10404</v>
      </c>
      <c r="Z1015" s="19" t="str">
        <f>HYPERLINK("https://ssdweb.co/ssdweb/hd/Vision360.html?d=927150650&amp;zoomslide=1&amp;z=1927150650&amp;ISCONFIRM=0","VIDEO")</f>
        <v>VIDEO</v>
      </c>
      <c r="AA1015" s="19" t="str">
        <f>HYPERLINK("https://ssdweb.co/ssdweb/CERTH/668446613.pdf","CERTI")</f>
        <v>CERTI</v>
      </c>
    </row>
    <row r="1016" spans="1:27" ht="15" x14ac:dyDescent="0.25">
      <c r="A1016" s="2">
        <v>1011</v>
      </c>
      <c r="B1016" s="39">
        <v>941071246</v>
      </c>
      <c r="C1016" s="28" t="str">
        <f>HYPERLINK("https://pld.live/RapDetail.aspx?STONELIST=941071246","DNA")</f>
        <v>DNA</v>
      </c>
      <c r="D1016" s="18" t="s">
        <v>3054</v>
      </c>
      <c r="E1016" s="18" t="s">
        <v>5128</v>
      </c>
      <c r="F1016" s="2" t="s">
        <v>7987</v>
      </c>
      <c r="G1016" s="2" t="s">
        <v>861</v>
      </c>
      <c r="H1016" s="14">
        <v>1.02</v>
      </c>
      <c r="I1016" s="2" t="s">
        <v>267</v>
      </c>
      <c r="J1016" s="2" t="s">
        <v>3942</v>
      </c>
      <c r="K1016" s="2" t="s">
        <v>3390</v>
      </c>
      <c r="L1016" s="2" t="s">
        <v>5221</v>
      </c>
      <c r="M1016" s="2" t="s">
        <v>5221</v>
      </c>
      <c r="N1016" s="2" t="s">
        <v>2317</v>
      </c>
      <c r="O1016" s="14">
        <v>10200</v>
      </c>
      <c r="P1016" s="14">
        <v>98.73</v>
      </c>
      <c r="Q1016" s="14">
        <v>129.54</v>
      </c>
      <c r="R1016" s="14">
        <v>132.13</v>
      </c>
      <c r="S1016" s="2" t="s">
        <v>1360</v>
      </c>
      <c r="T1016" s="2">
        <v>1</v>
      </c>
      <c r="U1016" s="2">
        <v>61.9</v>
      </c>
      <c r="V1016" s="2">
        <v>59</v>
      </c>
      <c r="W1016" s="2" t="s">
        <v>7862</v>
      </c>
      <c r="X1016" s="2" t="s">
        <v>5405</v>
      </c>
      <c r="Y1016" s="2">
        <v>10404</v>
      </c>
      <c r="Z1016" s="19" t="str">
        <f>HYPERLINK("https://ssdweb.co/ssdweb/hd/Vision360.html?d=941071246&amp;zoomslide=1&amp;z=1941071246&amp;ISCONFIRM=0","VIDEO")</f>
        <v>VIDEO</v>
      </c>
      <c r="AA1016" s="19" t="str">
        <f>HYPERLINK("https://ssdweb.co/ssdweb/CERTH/675504716.pdf","CERTI")</f>
        <v>CERTI</v>
      </c>
    </row>
    <row r="1017" spans="1:27" ht="15" x14ac:dyDescent="0.25">
      <c r="A1017" s="2">
        <v>1012</v>
      </c>
      <c r="B1017" s="39">
        <v>927150774</v>
      </c>
      <c r="C1017" s="28" t="str">
        <f>HYPERLINK("https://pld.live/RapDetail.aspx?STONELIST=927150774","DNA")</f>
        <v>DNA</v>
      </c>
      <c r="D1017" s="18" t="s">
        <v>3054</v>
      </c>
      <c r="E1017" s="18" t="s">
        <v>5128</v>
      </c>
      <c r="F1017" s="2" t="s">
        <v>7987</v>
      </c>
      <c r="G1017" s="2" t="s">
        <v>861</v>
      </c>
      <c r="H1017" s="14">
        <v>1.02</v>
      </c>
      <c r="I1017" s="2" t="s">
        <v>267</v>
      </c>
      <c r="J1017" s="2" t="s">
        <v>3942</v>
      </c>
      <c r="K1017" s="2" t="s">
        <v>3390</v>
      </c>
      <c r="L1017" s="2" t="s">
        <v>5221</v>
      </c>
      <c r="M1017" s="2" t="s">
        <v>5221</v>
      </c>
      <c r="N1017" s="2" t="s">
        <v>2317</v>
      </c>
      <c r="O1017" s="14">
        <v>10200</v>
      </c>
      <c r="P1017" s="14">
        <v>98.74</v>
      </c>
      <c r="Q1017" s="14">
        <v>128.52000000000001</v>
      </c>
      <c r="R1017" s="14">
        <v>131.09</v>
      </c>
      <c r="S1017" s="2" t="s">
        <v>2770</v>
      </c>
      <c r="T1017" s="2">
        <v>1</v>
      </c>
      <c r="U1017" s="2">
        <v>61.8</v>
      </c>
      <c r="V1017" s="2">
        <v>59</v>
      </c>
      <c r="W1017" s="2" t="s">
        <v>7862</v>
      </c>
      <c r="X1017" s="2" t="s">
        <v>5405</v>
      </c>
      <c r="Y1017" s="2">
        <v>10404</v>
      </c>
      <c r="Z1017" s="19" t="str">
        <f>HYPERLINK("https://ssdweb.co/ssdweb/hd/Vision360.html?d=927150774&amp;zoomslide=1&amp;z=1927150774&amp;ISCONFIRM=0","VIDEO")</f>
        <v>VIDEO</v>
      </c>
      <c r="AA1017" s="19" t="str">
        <f>HYPERLINK("https://ssdweb.co/ssdweb/CERTH/668446621.pdf","CERTI")</f>
        <v>CERTI</v>
      </c>
    </row>
    <row r="1018" spans="1:27" ht="15" x14ac:dyDescent="0.25">
      <c r="A1018" s="2">
        <v>1013</v>
      </c>
      <c r="B1018" s="39">
        <v>941071223</v>
      </c>
      <c r="C1018" s="28" t="str">
        <f>HYPERLINK("https://pld.live/RapDetail.aspx?STONELIST=941071223","DNA")</f>
        <v>DNA</v>
      </c>
      <c r="D1018" s="18" t="s">
        <v>3054</v>
      </c>
      <c r="E1018" s="18" t="s">
        <v>5128</v>
      </c>
      <c r="F1018" s="2" t="s">
        <v>7987</v>
      </c>
      <c r="G1018" s="2" t="s">
        <v>861</v>
      </c>
      <c r="H1018" s="14">
        <v>1.02</v>
      </c>
      <c r="I1018" s="2" t="s">
        <v>267</v>
      </c>
      <c r="J1018" s="2" t="s">
        <v>3942</v>
      </c>
      <c r="K1018" s="2" t="s">
        <v>3390</v>
      </c>
      <c r="L1018" s="2" t="s">
        <v>5221</v>
      </c>
      <c r="M1018" s="2" t="s">
        <v>5221</v>
      </c>
      <c r="N1018" s="2" t="s">
        <v>2317</v>
      </c>
      <c r="O1018" s="14">
        <v>10200</v>
      </c>
      <c r="P1018" s="14">
        <v>98.73</v>
      </c>
      <c r="Q1018" s="14">
        <v>129.54</v>
      </c>
      <c r="R1018" s="14">
        <v>132.13</v>
      </c>
      <c r="S1018" s="2" t="s">
        <v>3006</v>
      </c>
      <c r="T1018" s="2">
        <v>1.01</v>
      </c>
      <c r="U1018" s="2">
        <v>60.2</v>
      </c>
      <c r="V1018" s="2">
        <v>60</v>
      </c>
      <c r="W1018" s="2" t="s">
        <v>7862</v>
      </c>
      <c r="X1018" s="2" t="s">
        <v>5405</v>
      </c>
      <c r="Y1018" s="2">
        <v>10404</v>
      </c>
      <c r="Z1018" s="19" t="str">
        <f>HYPERLINK("https://ssdweb.co/ssdweb/hd/Vision360.html?d=941071223&amp;zoomslide=1&amp;z=1941071223&amp;ISCONFIRM=0","VIDEO")</f>
        <v>VIDEO</v>
      </c>
      <c r="AA1018" s="19" t="str">
        <f>HYPERLINK("https://ssdweb.co/ssdweb/CERTH/671437449.pdf","CERTI")</f>
        <v>CERTI</v>
      </c>
    </row>
    <row r="1019" spans="1:27" ht="15" x14ac:dyDescent="0.25">
      <c r="A1019" s="2">
        <v>1014</v>
      </c>
      <c r="B1019" s="39">
        <v>941071095</v>
      </c>
      <c r="C1019" s="28" t="str">
        <f>HYPERLINK("https://pld.live/RapDetail.aspx?STONELIST=941071095","DNA")</f>
        <v>DNA</v>
      </c>
      <c r="D1019" s="18" t="s">
        <v>3054</v>
      </c>
      <c r="E1019" s="18" t="s">
        <v>5128</v>
      </c>
      <c r="F1019" s="2" t="s">
        <v>7987</v>
      </c>
      <c r="G1019" s="2" t="s">
        <v>861</v>
      </c>
      <c r="H1019" s="14">
        <v>1.02</v>
      </c>
      <c r="I1019" s="2" t="s">
        <v>267</v>
      </c>
      <c r="J1019" s="2" t="s">
        <v>3942</v>
      </c>
      <c r="K1019" s="2" t="s">
        <v>3390</v>
      </c>
      <c r="L1019" s="2" t="s">
        <v>5221</v>
      </c>
      <c r="M1019" s="2" t="s">
        <v>5221</v>
      </c>
      <c r="N1019" s="2" t="s">
        <v>2317</v>
      </c>
      <c r="O1019" s="14">
        <v>10200</v>
      </c>
      <c r="P1019" s="14">
        <v>98.73</v>
      </c>
      <c r="Q1019" s="14">
        <v>129.54</v>
      </c>
      <c r="R1019" s="14">
        <v>132.13</v>
      </c>
      <c r="S1019" s="2" t="s">
        <v>156</v>
      </c>
      <c r="T1019" s="2">
        <v>1</v>
      </c>
      <c r="U1019" s="2">
        <v>60.7</v>
      </c>
      <c r="V1019" s="2">
        <v>59</v>
      </c>
      <c r="W1019" s="2" t="s">
        <v>7862</v>
      </c>
      <c r="X1019" s="2" t="s">
        <v>5405</v>
      </c>
      <c r="Y1019" s="2">
        <v>10404</v>
      </c>
      <c r="Z1019" s="19" t="str">
        <f>HYPERLINK("https://ssdweb.co/ssdweb/hd/Vision360.html?d=941071095&amp;zoomslide=1&amp;z=1941071095&amp;ISCONFIRM=0","VIDEO")</f>
        <v>VIDEO</v>
      </c>
      <c r="AA1019" s="19" t="str">
        <f>HYPERLINK("https://ssdweb.co/ssdweb/CERTH/671411271.pdf","CERTI")</f>
        <v>CERTI</v>
      </c>
    </row>
    <row r="1020" spans="1:27" ht="15" x14ac:dyDescent="0.25">
      <c r="A1020" s="2">
        <v>1015</v>
      </c>
      <c r="B1020" s="39">
        <v>927101020</v>
      </c>
      <c r="C1020" s="28" t="str">
        <f>HYPERLINK("https://pld.live/RapDetail.aspx?STONELIST=927101020","DNA")</f>
        <v>DNA</v>
      </c>
      <c r="D1020" s="18" t="s">
        <v>3054</v>
      </c>
      <c r="E1020" s="18" t="s">
        <v>5128</v>
      </c>
      <c r="F1020" s="2" t="s">
        <v>7987</v>
      </c>
      <c r="G1020" s="2" t="s">
        <v>861</v>
      </c>
      <c r="H1020" s="14">
        <v>1.02</v>
      </c>
      <c r="I1020" s="2" t="s">
        <v>267</v>
      </c>
      <c r="J1020" s="2" t="s">
        <v>3942</v>
      </c>
      <c r="K1020" s="2" t="s">
        <v>3390</v>
      </c>
      <c r="L1020" s="2" t="s">
        <v>5221</v>
      </c>
      <c r="M1020" s="2" t="s">
        <v>5221</v>
      </c>
      <c r="N1020" s="2" t="s">
        <v>2317</v>
      </c>
      <c r="O1020" s="14">
        <v>10200</v>
      </c>
      <c r="P1020" s="14">
        <v>98.74</v>
      </c>
      <c r="Q1020" s="14">
        <v>128.52000000000001</v>
      </c>
      <c r="R1020" s="14">
        <v>131.09</v>
      </c>
      <c r="S1020" s="2" t="s">
        <v>1551</v>
      </c>
      <c r="T1020" s="2">
        <v>1.01</v>
      </c>
      <c r="U1020" s="2">
        <v>60.6</v>
      </c>
      <c r="V1020" s="2">
        <v>59</v>
      </c>
      <c r="W1020" s="2" t="s">
        <v>7862</v>
      </c>
      <c r="X1020" s="2" t="s">
        <v>5405</v>
      </c>
      <c r="Y1020" s="2">
        <v>10404</v>
      </c>
      <c r="Z1020" s="19" t="str">
        <f>HYPERLINK("https://ssdweb.co/ssdweb/hd/Vision360.html?d=927101020&amp;zoomslide=1&amp;z=1927101020&amp;ISCONFIRM=0","VIDEO")</f>
        <v>VIDEO</v>
      </c>
      <c r="AA1020" s="19" t="str">
        <f>HYPERLINK("https://ssdweb.co/ssdweb/CERTH/665411167.pdf","CERTI")</f>
        <v>CERTI</v>
      </c>
    </row>
    <row r="1021" spans="1:27" ht="15" x14ac:dyDescent="0.25">
      <c r="A1021" s="2">
        <v>1016</v>
      </c>
      <c r="B1021" s="39">
        <v>941071083</v>
      </c>
      <c r="C1021" s="28" t="str">
        <f>HYPERLINK("https://pld.live/RapDetail.aspx?STONELIST=941071083","DNA")</f>
        <v>DNA</v>
      </c>
      <c r="D1021" s="18" t="s">
        <v>3054</v>
      </c>
      <c r="E1021" s="18" t="s">
        <v>5128</v>
      </c>
      <c r="F1021" s="2" t="s">
        <v>7987</v>
      </c>
      <c r="G1021" s="2" t="s">
        <v>861</v>
      </c>
      <c r="H1021" s="14">
        <v>1.02</v>
      </c>
      <c r="I1021" s="2" t="s">
        <v>267</v>
      </c>
      <c r="J1021" s="2" t="s">
        <v>3942</v>
      </c>
      <c r="K1021" s="2" t="s">
        <v>3390</v>
      </c>
      <c r="L1021" s="2" t="s">
        <v>5221</v>
      </c>
      <c r="M1021" s="2" t="s">
        <v>5221</v>
      </c>
      <c r="N1021" s="2" t="s">
        <v>2317</v>
      </c>
      <c r="O1021" s="14">
        <v>10200</v>
      </c>
      <c r="P1021" s="14">
        <v>98.73</v>
      </c>
      <c r="Q1021" s="14">
        <v>129.54</v>
      </c>
      <c r="R1021" s="14">
        <v>132.13</v>
      </c>
      <c r="S1021" s="2" t="s">
        <v>550</v>
      </c>
      <c r="T1021" s="2">
        <v>1</v>
      </c>
      <c r="U1021" s="2">
        <v>59.8</v>
      </c>
      <c r="V1021" s="2">
        <v>60</v>
      </c>
      <c r="W1021" s="2" t="s">
        <v>7862</v>
      </c>
      <c r="X1021" s="2" t="s">
        <v>5405</v>
      </c>
      <c r="Y1021" s="2">
        <v>10404</v>
      </c>
      <c r="Z1021" s="19" t="str">
        <f>HYPERLINK("https://ssdweb.co/ssdweb/hd/Vision360.html?d=941071083&amp;zoomslide=1&amp;z=1941071083&amp;ISCONFIRM=0","VIDEO")</f>
        <v>VIDEO</v>
      </c>
      <c r="AA1021" s="19" t="str">
        <f>HYPERLINK("https://ssdweb.co/ssdweb/CERTH/671411213.pdf","CERTI")</f>
        <v>CERTI</v>
      </c>
    </row>
    <row r="1022" spans="1:27" ht="15" x14ac:dyDescent="0.25">
      <c r="A1022" s="2">
        <v>1017</v>
      </c>
      <c r="B1022" s="39">
        <v>927052444</v>
      </c>
      <c r="C1022" s="28" t="str">
        <f>HYPERLINK("https://pld.live/RapDetail.aspx?STONELIST=927052444","DNA")</f>
        <v>DNA</v>
      </c>
      <c r="D1022" s="18" t="s">
        <v>3054</v>
      </c>
      <c r="E1022" s="18" t="s">
        <v>5128</v>
      </c>
      <c r="F1022" s="2" t="s">
        <v>7987</v>
      </c>
      <c r="G1022" s="2" t="s">
        <v>861</v>
      </c>
      <c r="H1022" s="14">
        <v>1.02</v>
      </c>
      <c r="I1022" s="2" t="s">
        <v>267</v>
      </c>
      <c r="J1022" s="2" t="s">
        <v>3942</v>
      </c>
      <c r="K1022" s="2" t="s">
        <v>3390</v>
      </c>
      <c r="L1022" s="2" t="s">
        <v>5221</v>
      </c>
      <c r="M1022" s="2" t="s">
        <v>5221</v>
      </c>
      <c r="N1022" s="2" t="s">
        <v>2317</v>
      </c>
      <c r="O1022" s="14">
        <v>10200</v>
      </c>
      <c r="P1022" s="14">
        <v>98.74</v>
      </c>
      <c r="Q1022" s="14">
        <v>128.52000000000001</v>
      </c>
      <c r="R1022" s="14">
        <v>131.09</v>
      </c>
      <c r="S1022" s="2" t="s">
        <v>6504</v>
      </c>
      <c r="T1022" s="2">
        <v>1</v>
      </c>
      <c r="U1022" s="2">
        <v>59.5</v>
      </c>
      <c r="V1022" s="2">
        <v>60</v>
      </c>
      <c r="W1022" s="2" t="s">
        <v>7862</v>
      </c>
      <c r="X1022" s="2" t="s">
        <v>5405</v>
      </c>
      <c r="Y1022" s="2">
        <v>10404</v>
      </c>
      <c r="Z1022" s="19" t="str">
        <f>HYPERLINK("https://ssdweb.co/ssdweb/hd/Vision360.html?d=927052444&amp;zoomslide=1&amp;z=1927052444&amp;ISCONFIRM=0","VIDEO")</f>
        <v>VIDEO</v>
      </c>
      <c r="AA1022" s="19" t="str">
        <f>HYPERLINK("https://ssdweb.co/ssdweb/CERTH/665453209.pdf","CERTI")</f>
        <v>CERTI</v>
      </c>
    </row>
    <row r="1023" spans="1:27" ht="15" x14ac:dyDescent="0.25">
      <c r="A1023" s="2">
        <v>1018</v>
      </c>
      <c r="B1023" s="39">
        <v>925801918</v>
      </c>
      <c r="C1023" s="28" t="str">
        <f>HYPERLINK("https://pld.live/RapDetail.aspx?STONELIST=925801918","DNA")</f>
        <v>DNA</v>
      </c>
      <c r="D1023" s="18" t="s">
        <v>3054</v>
      </c>
      <c r="E1023" s="18" t="s">
        <v>5128</v>
      </c>
      <c r="F1023" s="2" t="s">
        <v>5597</v>
      </c>
      <c r="G1023" s="2" t="s">
        <v>861</v>
      </c>
      <c r="H1023" s="14">
        <v>1.02</v>
      </c>
      <c r="I1023" s="2" t="s">
        <v>267</v>
      </c>
      <c r="J1023" s="2" t="s">
        <v>3942</v>
      </c>
      <c r="K1023" s="2" t="s">
        <v>5221</v>
      </c>
      <c r="L1023" s="2" t="s">
        <v>5221</v>
      </c>
      <c r="M1023" s="2" t="s">
        <v>5221</v>
      </c>
      <c r="N1023" s="2" t="s">
        <v>2317</v>
      </c>
      <c r="O1023" s="14">
        <v>10200</v>
      </c>
      <c r="P1023" s="14">
        <v>97.96</v>
      </c>
      <c r="Q1023" s="14">
        <v>208.08</v>
      </c>
      <c r="R1023" s="14">
        <v>212.24</v>
      </c>
      <c r="S1023" s="2" t="s">
        <v>5992</v>
      </c>
      <c r="T1023" s="2">
        <v>1.01</v>
      </c>
      <c r="U1023" s="2">
        <v>60.2</v>
      </c>
      <c r="V1023" s="2">
        <v>58</v>
      </c>
      <c r="W1023" s="2" t="s">
        <v>7862</v>
      </c>
      <c r="X1023" s="2" t="s">
        <v>5405</v>
      </c>
      <c r="Y1023" s="2">
        <v>10404</v>
      </c>
      <c r="Z1023" s="19" t="str">
        <f>HYPERLINK("https://ssdweb.co/ssdweb/hd/Vision360.html?d=925801918&amp;zoomslide=1&amp;z=1925801918&amp;ISCONFIRM=0","VIDEO")</f>
        <v>VIDEO</v>
      </c>
      <c r="AA1023" s="19" t="str">
        <f>HYPERLINK("https://ssdweb.co/ssdweb/CERTH/3485909837.pdf","CERTI")</f>
        <v>CERTI</v>
      </c>
    </row>
    <row r="1024" spans="1:27" ht="15" x14ac:dyDescent="0.25">
      <c r="A1024" s="2">
        <v>1019</v>
      </c>
      <c r="B1024" s="39">
        <v>926750929</v>
      </c>
      <c r="C1024" s="28" t="str">
        <f>HYPERLINK("https://pld.live/RapDetail.aspx?STONELIST=926750929","DNA")</f>
        <v>DNA</v>
      </c>
      <c r="D1024" s="18" t="s">
        <v>3054</v>
      </c>
      <c r="E1024" s="18" t="s">
        <v>5128</v>
      </c>
      <c r="F1024" s="2" t="s">
        <v>5597</v>
      </c>
      <c r="G1024" s="2" t="s">
        <v>861</v>
      </c>
      <c r="H1024" s="14">
        <v>1.02</v>
      </c>
      <c r="I1024" s="2" t="s">
        <v>267</v>
      </c>
      <c r="J1024" s="2" t="s">
        <v>3942</v>
      </c>
      <c r="K1024" s="2" t="s">
        <v>5221</v>
      </c>
      <c r="L1024" s="2" t="s">
        <v>5221</v>
      </c>
      <c r="M1024" s="2" t="s">
        <v>5221</v>
      </c>
      <c r="N1024" s="2" t="s">
        <v>2317</v>
      </c>
      <c r="O1024" s="14">
        <v>10200</v>
      </c>
      <c r="P1024" s="14">
        <v>97.93</v>
      </c>
      <c r="Q1024" s="14">
        <v>211.14</v>
      </c>
      <c r="R1024" s="14">
        <v>215.36</v>
      </c>
      <c r="S1024" s="2" t="s">
        <v>2770</v>
      </c>
      <c r="T1024" s="2">
        <v>1</v>
      </c>
      <c r="U1024" s="2">
        <v>61.7</v>
      </c>
      <c r="V1024" s="2">
        <v>57</v>
      </c>
      <c r="W1024" s="2" t="s">
        <v>7862</v>
      </c>
      <c r="X1024" s="2" t="s">
        <v>5405</v>
      </c>
      <c r="Y1024" s="2">
        <v>10404</v>
      </c>
      <c r="Z1024" s="19" t="str">
        <f>HYPERLINK("https://ssdweb.co/ssdweb/hd/Vision360.html?d=926750929&amp;zoomslide=1&amp;z=1926750929&amp;ISCONFIRM=0","VIDEO")</f>
        <v>VIDEO</v>
      </c>
      <c r="AA1024" s="19" t="str">
        <f>HYPERLINK("https://ssdweb.co/ssdweb/CERTH/1503428389.pdf","CERTI")</f>
        <v>CERTI</v>
      </c>
    </row>
    <row r="1025" spans="1:27" ht="15" x14ac:dyDescent="0.25">
      <c r="A1025" s="2">
        <v>1020</v>
      </c>
      <c r="B1025" s="39">
        <v>926810908</v>
      </c>
      <c r="C1025" s="28" t="str">
        <f>HYPERLINK("https://pld.live/RapDetail.aspx?STONELIST=926810908","DNA")</f>
        <v>DNA</v>
      </c>
      <c r="D1025" s="18" t="s">
        <v>3054</v>
      </c>
      <c r="E1025" s="18" t="s">
        <v>5128</v>
      </c>
      <c r="F1025" s="2" t="s">
        <v>5597</v>
      </c>
      <c r="G1025" s="2" t="s">
        <v>861</v>
      </c>
      <c r="H1025" s="14">
        <v>1.02</v>
      </c>
      <c r="I1025" s="2" t="s">
        <v>267</v>
      </c>
      <c r="J1025" s="2" t="s">
        <v>3942</v>
      </c>
      <c r="K1025" s="2" t="s">
        <v>5221</v>
      </c>
      <c r="L1025" s="2" t="s">
        <v>5221</v>
      </c>
      <c r="M1025" s="2" t="s">
        <v>5221</v>
      </c>
      <c r="N1025" s="2" t="s">
        <v>2317</v>
      </c>
      <c r="O1025" s="14">
        <v>10200</v>
      </c>
      <c r="P1025" s="14">
        <v>97.93</v>
      </c>
      <c r="Q1025" s="14">
        <v>211.14</v>
      </c>
      <c r="R1025" s="14">
        <v>215.36</v>
      </c>
      <c r="S1025" s="2" t="s">
        <v>1385</v>
      </c>
      <c r="T1025" s="2">
        <v>1</v>
      </c>
      <c r="U1025" s="2">
        <v>60.8</v>
      </c>
      <c r="V1025" s="2">
        <v>58</v>
      </c>
      <c r="W1025" s="2" t="s">
        <v>7862</v>
      </c>
      <c r="X1025" s="2" t="s">
        <v>5405</v>
      </c>
      <c r="Y1025" s="2">
        <v>10404</v>
      </c>
      <c r="Z1025" s="19" t="str">
        <f>HYPERLINK("https://ssdweb.co/ssdweb/hd/Vision360.html?d=926810908&amp;zoomslide=1&amp;z=1926810908&amp;ISCONFIRM=0","VIDEO")</f>
        <v>VIDEO</v>
      </c>
      <c r="AA1025" s="19" t="str">
        <f>HYPERLINK("https://ssdweb.co/ssdweb/CERTH/2504620585.pdf","CERTI")</f>
        <v>CERTI</v>
      </c>
    </row>
    <row r="1026" spans="1:27" ht="15" x14ac:dyDescent="0.25">
      <c r="A1026" s="2">
        <v>1021</v>
      </c>
      <c r="B1026" s="39">
        <v>926810889</v>
      </c>
      <c r="C1026" s="28" t="str">
        <f>HYPERLINK("https://pld.live/RapDetail.aspx?STONELIST=926810889","DNA")</f>
        <v>DNA</v>
      </c>
      <c r="D1026" s="18" t="s">
        <v>3054</v>
      </c>
      <c r="E1026" s="18" t="s">
        <v>5128</v>
      </c>
      <c r="F1026" s="2" t="s">
        <v>5597</v>
      </c>
      <c r="G1026" s="2" t="s">
        <v>861</v>
      </c>
      <c r="H1026" s="14">
        <v>1.02</v>
      </c>
      <c r="I1026" s="2" t="s">
        <v>267</v>
      </c>
      <c r="J1026" s="2" t="s">
        <v>3942</v>
      </c>
      <c r="K1026" s="2" t="s">
        <v>5221</v>
      </c>
      <c r="L1026" s="2" t="s">
        <v>5221</v>
      </c>
      <c r="M1026" s="2" t="s">
        <v>5221</v>
      </c>
      <c r="N1026" s="2" t="s">
        <v>2317</v>
      </c>
      <c r="O1026" s="14">
        <v>10200</v>
      </c>
      <c r="P1026" s="14">
        <v>97.93</v>
      </c>
      <c r="Q1026" s="14">
        <v>211.14</v>
      </c>
      <c r="R1026" s="14">
        <v>215.36</v>
      </c>
      <c r="S1026" s="2" t="s">
        <v>4233</v>
      </c>
      <c r="T1026" s="2">
        <v>1</v>
      </c>
      <c r="U1026" s="2">
        <v>61.4</v>
      </c>
      <c r="V1026" s="2">
        <v>57</v>
      </c>
      <c r="W1026" s="2" t="s">
        <v>7862</v>
      </c>
      <c r="X1026" s="2" t="s">
        <v>5405</v>
      </c>
      <c r="Y1026" s="2">
        <v>10404</v>
      </c>
      <c r="Z1026" s="19" t="str">
        <f>HYPERLINK("https://ssdweb.co/ssdweb/hd/Vision360.html?d=926810889&amp;zoomslide=1&amp;z=1926810889&amp;ISCONFIRM=0","VIDEO")</f>
        <v>VIDEO</v>
      </c>
      <c r="AA1026" s="19" t="str">
        <f>HYPERLINK("https://ssdweb.co/ssdweb/CERTH/7503552174.pdf","CERTI")</f>
        <v>CERTI</v>
      </c>
    </row>
    <row r="1027" spans="1:27" ht="15" x14ac:dyDescent="0.25">
      <c r="A1027" s="2">
        <v>1022</v>
      </c>
      <c r="B1027" s="39">
        <v>926810886</v>
      </c>
      <c r="C1027" s="28" t="str">
        <f>HYPERLINK("https://pld.live/RapDetail.aspx?STONELIST=926810886","DNA")</f>
        <v>DNA</v>
      </c>
      <c r="D1027" s="18" t="s">
        <v>3054</v>
      </c>
      <c r="E1027" s="18" t="s">
        <v>5128</v>
      </c>
      <c r="F1027" s="2" t="s">
        <v>5597</v>
      </c>
      <c r="G1027" s="2" t="s">
        <v>861</v>
      </c>
      <c r="H1027" s="14">
        <v>1.02</v>
      </c>
      <c r="I1027" s="2" t="s">
        <v>267</v>
      </c>
      <c r="J1027" s="2" t="s">
        <v>3942</v>
      </c>
      <c r="K1027" s="2" t="s">
        <v>5221</v>
      </c>
      <c r="L1027" s="2" t="s">
        <v>5221</v>
      </c>
      <c r="M1027" s="2" t="s">
        <v>5221</v>
      </c>
      <c r="N1027" s="2" t="s">
        <v>2317</v>
      </c>
      <c r="O1027" s="14">
        <v>10200</v>
      </c>
      <c r="P1027" s="14">
        <v>97.93</v>
      </c>
      <c r="Q1027" s="14">
        <v>211.14</v>
      </c>
      <c r="R1027" s="14">
        <v>215.36</v>
      </c>
      <c r="S1027" s="2" t="s">
        <v>1538</v>
      </c>
      <c r="T1027" s="2">
        <v>1.01</v>
      </c>
      <c r="U1027" s="2">
        <v>61.3</v>
      </c>
      <c r="V1027" s="2">
        <v>58</v>
      </c>
      <c r="W1027" s="2" t="s">
        <v>7862</v>
      </c>
      <c r="X1027" s="2" t="s">
        <v>5405</v>
      </c>
      <c r="Y1027" s="2">
        <v>10404</v>
      </c>
      <c r="Z1027" s="19" t="str">
        <f>HYPERLINK("https://ssdweb.co/ssdweb/hd/Vision360.html?d=926810886&amp;zoomslide=1&amp;z=1926810886&amp;ISCONFIRM=0","VIDEO")</f>
        <v>VIDEO</v>
      </c>
      <c r="AA1027" s="19" t="str">
        <f>HYPERLINK("https://ssdweb.co/ssdweb/CERTH/3505552220.pdf","CERTI")</f>
        <v>CERTI</v>
      </c>
    </row>
    <row r="1028" spans="1:27" ht="15" x14ac:dyDescent="0.25">
      <c r="A1028" s="2">
        <v>1023</v>
      </c>
      <c r="B1028" s="39">
        <v>926810880</v>
      </c>
      <c r="C1028" s="28" t="str">
        <f>HYPERLINK("https://pld.live/RapDetail.aspx?STONELIST=926810880","DNA")</f>
        <v>DNA</v>
      </c>
      <c r="D1028" s="18" t="s">
        <v>3054</v>
      </c>
      <c r="E1028" s="18" t="s">
        <v>5128</v>
      </c>
      <c r="F1028" s="2" t="s">
        <v>5597</v>
      </c>
      <c r="G1028" s="2" t="s">
        <v>861</v>
      </c>
      <c r="H1028" s="14">
        <v>1.02</v>
      </c>
      <c r="I1028" s="2" t="s">
        <v>267</v>
      </c>
      <c r="J1028" s="2" t="s">
        <v>3942</v>
      </c>
      <c r="K1028" s="2" t="s">
        <v>5221</v>
      </c>
      <c r="L1028" s="2" t="s">
        <v>5221</v>
      </c>
      <c r="M1028" s="2" t="s">
        <v>5221</v>
      </c>
      <c r="N1028" s="2" t="s">
        <v>2317</v>
      </c>
      <c r="O1028" s="14">
        <v>10200</v>
      </c>
      <c r="P1028" s="14">
        <v>97.93</v>
      </c>
      <c r="Q1028" s="14">
        <v>211.14</v>
      </c>
      <c r="R1028" s="14">
        <v>215.36</v>
      </c>
      <c r="S1028" s="2" t="s">
        <v>313</v>
      </c>
      <c r="T1028" s="2">
        <v>1</v>
      </c>
      <c r="U1028" s="2">
        <v>61.5</v>
      </c>
      <c r="V1028" s="2">
        <v>58</v>
      </c>
      <c r="W1028" s="2" t="s">
        <v>7862</v>
      </c>
      <c r="X1028" s="2" t="s">
        <v>5405</v>
      </c>
      <c r="Y1028" s="2">
        <v>10404</v>
      </c>
      <c r="Z1028" s="19" t="str">
        <f>HYPERLINK("https://ssdweb.co/ssdweb/hd/Vision360.html?d=926810880&amp;zoomslide=1&amp;z=1926810880&amp;ISCONFIRM=0","VIDEO")</f>
        <v>VIDEO</v>
      </c>
      <c r="AA1028" s="19" t="str">
        <f>HYPERLINK("https://ssdweb.co/ssdweb/CERTH/1509552283.pdf","CERTI")</f>
        <v>CERTI</v>
      </c>
    </row>
    <row r="1029" spans="1:27" ht="15" x14ac:dyDescent="0.25">
      <c r="A1029" s="2">
        <v>1024</v>
      </c>
      <c r="B1029" s="39">
        <v>926830996</v>
      </c>
      <c r="C1029" s="28" t="str">
        <f>HYPERLINK("https://pld.live/RapDetail.aspx?STONELIST=926830996","DNA")</f>
        <v>DNA</v>
      </c>
      <c r="D1029" s="18" t="s">
        <v>3054</v>
      </c>
      <c r="E1029" s="18" t="s">
        <v>5128</v>
      </c>
      <c r="F1029" s="2" t="s">
        <v>5597</v>
      </c>
      <c r="G1029" s="2" t="s">
        <v>861</v>
      </c>
      <c r="H1029" s="14">
        <v>1.02</v>
      </c>
      <c r="I1029" s="2" t="s">
        <v>267</v>
      </c>
      <c r="J1029" s="2" t="s">
        <v>3942</v>
      </c>
      <c r="K1029" s="2" t="s">
        <v>5221</v>
      </c>
      <c r="L1029" s="2" t="s">
        <v>5221</v>
      </c>
      <c r="M1029" s="2" t="s">
        <v>5221</v>
      </c>
      <c r="N1029" s="2" t="s">
        <v>2317</v>
      </c>
      <c r="O1029" s="14">
        <v>10200</v>
      </c>
      <c r="P1029" s="14">
        <v>97.93</v>
      </c>
      <c r="Q1029" s="14">
        <v>211.14</v>
      </c>
      <c r="R1029" s="14">
        <v>215.36</v>
      </c>
      <c r="S1029" s="2" t="s">
        <v>2087</v>
      </c>
      <c r="T1029" s="2">
        <v>1</v>
      </c>
      <c r="U1029" s="2">
        <v>61.4</v>
      </c>
      <c r="V1029" s="2">
        <v>58</v>
      </c>
      <c r="W1029" s="2" t="s">
        <v>7862</v>
      </c>
      <c r="X1029" s="2" t="s">
        <v>5405</v>
      </c>
      <c r="Y1029" s="2">
        <v>10404</v>
      </c>
      <c r="Z1029" s="19" t="str">
        <f>HYPERLINK("https://ssdweb.co/ssdweb/hd/Vision360.html?d=926830996&amp;zoomslide=1&amp;z=1926830996&amp;ISCONFIRM=0","VIDEO")</f>
        <v>VIDEO</v>
      </c>
      <c r="AA1029" s="19" t="str">
        <f>HYPERLINK("https://ssdweb.co/ssdweb/CERTH/5503523472.pdf","CERTI")</f>
        <v>CERTI</v>
      </c>
    </row>
    <row r="1030" spans="1:27" ht="15" x14ac:dyDescent="0.25">
      <c r="A1030" s="2">
        <v>1025</v>
      </c>
      <c r="B1030" s="39">
        <v>926831008</v>
      </c>
      <c r="C1030" s="28" t="str">
        <f>HYPERLINK("https://pld.live/RapDetail.aspx?STONELIST=926831008","DNA")</f>
        <v>DNA</v>
      </c>
      <c r="D1030" s="18" t="s">
        <v>3054</v>
      </c>
      <c r="E1030" s="18" t="s">
        <v>5128</v>
      </c>
      <c r="F1030" s="2" t="s">
        <v>5597</v>
      </c>
      <c r="G1030" s="2" t="s">
        <v>861</v>
      </c>
      <c r="H1030" s="14">
        <v>1.02</v>
      </c>
      <c r="I1030" s="2" t="s">
        <v>267</v>
      </c>
      <c r="J1030" s="2" t="s">
        <v>3942</v>
      </c>
      <c r="K1030" s="2" t="s">
        <v>5221</v>
      </c>
      <c r="L1030" s="2" t="s">
        <v>5221</v>
      </c>
      <c r="M1030" s="2" t="s">
        <v>5221</v>
      </c>
      <c r="N1030" s="2" t="s">
        <v>2317</v>
      </c>
      <c r="O1030" s="14">
        <v>10200</v>
      </c>
      <c r="P1030" s="14">
        <v>97.93</v>
      </c>
      <c r="Q1030" s="14">
        <v>211.14</v>
      </c>
      <c r="R1030" s="14">
        <v>215.36</v>
      </c>
      <c r="S1030" s="2" t="s">
        <v>3139</v>
      </c>
      <c r="T1030" s="2">
        <v>1.01</v>
      </c>
      <c r="U1030" s="2">
        <v>61.7</v>
      </c>
      <c r="V1030" s="2">
        <v>57</v>
      </c>
      <c r="W1030" s="2" t="s">
        <v>7862</v>
      </c>
      <c r="X1030" s="2" t="s">
        <v>5405</v>
      </c>
      <c r="Y1030" s="2">
        <v>10404</v>
      </c>
      <c r="Z1030" s="19" t="str">
        <f>HYPERLINK("https://ssdweb.co/ssdweb/hd/Vision360.html?d=926831008&amp;zoomslide=1&amp;z=1926831008&amp;ISCONFIRM=0","VIDEO")</f>
        <v>VIDEO</v>
      </c>
      <c r="AA1030" s="19" t="str">
        <f>HYPERLINK("https://ssdweb.co/ssdweb/CERTH/2504523470.pdf","CERTI")</f>
        <v>CERTI</v>
      </c>
    </row>
    <row r="1031" spans="1:27" ht="15" x14ac:dyDescent="0.25">
      <c r="A1031" s="2">
        <v>1026</v>
      </c>
      <c r="B1031" s="39">
        <v>926741017</v>
      </c>
      <c r="C1031" s="28" t="str">
        <f>HYPERLINK("https://pld.live/RapDetail.aspx?STONELIST=926741017","DNA")</f>
        <v>DNA</v>
      </c>
      <c r="D1031" s="18" t="s">
        <v>3054</v>
      </c>
      <c r="E1031" s="18" t="s">
        <v>5128</v>
      </c>
      <c r="F1031" s="2" t="s">
        <v>5597</v>
      </c>
      <c r="G1031" s="2" t="s">
        <v>861</v>
      </c>
      <c r="H1031" s="14">
        <v>1.02</v>
      </c>
      <c r="I1031" s="2" t="s">
        <v>267</v>
      </c>
      <c r="J1031" s="2" t="s">
        <v>3942</v>
      </c>
      <c r="K1031" s="2" t="s">
        <v>5221</v>
      </c>
      <c r="L1031" s="2" t="s">
        <v>5221</v>
      </c>
      <c r="M1031" s="2" t="s">
        <v>5221</v>
      </c>
      <c r="N1031" s="2" t="s">
        <v>2317</v>
      </c>
      <c r="O1031" s="14">
        <v>10200</v>
      </c>
      <c r="P1031" s="14">
        <v>97.93</v>
      </c>
      <c r="Q1031" s="14">
        <v>211.14</v>
      </c>
      <c r="R1031" s="14">
        <v>215.36</v>
      </c>
      <c r="S1031" s="2" t="s">
        <v>7510</v>
      </c>
      <c r="T1031" s="2">
        <v>1</v>
      </c>
      <c r="U1031" s="2">
        <v>61.6</v>
      </c>
      <c r="V1031" s="2">
        <v>56</v>
      </c>
      <c r="W1031" s="2" t="s">
        <v>7862</v>
      </c>
      <c r="X1031" s="2" t="s">
        <v>5405</v>
      </c>
      <c r="Y1031" s="2">
        <v>10404</v>
      </c>
      <c r="Z1031" s="19" t="str">
        <f>HYPERLINK("https://ssdweb.co/ssdweb/hd/Vision360.html?d=926741017&amp;zoomslide=1&amp;z=1926741017&amp;ISCONFIRM=0","VIDEO")</f>
        <v>VIDEO</v>
      </c>
      <c r="AA1031" s="19" t="str">
        <f>HYPERLINK("https://ssdweb.co/ssdweb/CERTH/1509458995.pdf","CERTI")</f>
        <v>CERTI</v>
      </c>
    </row>
    <row r="1032" spans="1:27" ht="15" x14ac:dyDescent="0.25">
      <c r="A1032" s="2">
        <v>1027</v>
      </c>
      <c r="B1032" s="39">
        <v>926831155</v>
      </c>
      <c r="C1032" s="28" t="str">
        <f>HYPERLINK("https://pld.live/RapDetail.aspx?STONELIST=926831155","DNA")</f>
        <v>DNA</v>
      </c>
      <c r="D1032" s="18" t="s">
        <v>3054</v>
      </c>
      <c r="E1032" s="18" t="s">
        <v>5128</v>
      </c>
      <c r="F1032" s="2" t="s">
        <v>5597</v>
      </c>
      <c r="G1032" s="2" t="s">
        <v>861</v>
      </c>
      <c r="H1032" s="14">
        <v>1.02</v>
      </c>
      <c r="I1032" s="2" t="s">
        <v>267</v>
      </c>
      <c r="J1032" s="2" t="s">
        <v>3942</v>
      </c>
      <c r="K1032" s="2" t="s">
        <v>5221</v>
      </c>
      <c r="L1032" s="2" t="s">
        <v>5221</v>
      </c>
      <c r="M1032" s="2" t="s">
        <v>5221</v>
      </c>
      <c r="N1032" s="2" t="s">
        <v>2317</v>
      </c>
      <c r="O1032" s="14">
        <v>10200</v>
      </c>
      <c r="P1032" s="14">
        <v>97.93</v>
      </c>
      <c r="Q1032" s="14">
        <v>211.14</v>
      </c>
      <c r="R1032" s="14">
        <v>215.36</v>
      </c>
      <c r="S1032" s="2" t="s">
        <v>6760</v>
      </c>
      <c r="T1032" s="2">
        <v>1</v>
      </c>
      <c r="U1032" s="2">
        <v>61</v>
      </c>
      <c r="V1032" s="2">
        <v>59</v>
      </c>
      <c r="W1032" s="2" t="s">
        <v>7862</v>
      </c>
      <c r="X1032" s="2" t="s">
        <v>5405</v>
      </c>
      <c r="Y1032" s="2">
        <v>10404</v>
      </c>
      <c r="Z1032" s="19" t="str">
        <f>HYPERLINK("https://ssdweb.co/ssdweb/hd/Vision360.html?d=926831155&amp;zoomslide=1&amp;z=1926831155&amp;ISCONFIRM=0","VIDEO")</f>
        <v>VIDEO</v>
      </c>
      <c r="AA1032" s="19" t="str">
        <f>HYPERLINK("https://ssdweb.co/ssdweb/CERTH/2507620649.pdf","CERTI")</f>
        <v>CERTI</v>
      </c>
    </row>
    <row r="1033" spans="1:27" ht="15" x14ac:dyDescent="0.25">
      <c r="A1033" s="2">
        <v>1028</v>
      </c>
      <c r="B1033" s="39">
        <v>926831145</v>
      </c>
      <c r="C1033" s="28" t="str">
        <f>HYPERLINK("https://pld.live/RapDetail.aspx?STONELIST=926831145","DNA")</f>
        <v>DNA</v>
      </c>
      <c r="D1033" s="18" t="s">
        <v>3054</v>
      </c>
      <c r="E1033" s="18" t="s">
        <v>5128</v>
      </c>
      <c r="F1033" s="2" t="s">
        <v>5597</v>
      </c>
      <c r="G1033" s="2" t="s">
        <v>861</v>
      </c>
      <c r="H1033" s="14">
        <v>1.02</v>
      </c>
      <c r="I1033" s="2" t="s">
        <v>267</v>
      </c>
      <c r="J1033" s="2" t="s">
        <v>3942</v>
      </c>
      <c r="K1033" s="2" t="s">
        <v>5221</v>
      </c>
      <c r="L1033" s="2" t="s">
        <v>5221</v>
      </c>
      <c r="M1033" s="2" t="s">
        <v>5221</v>
      </c>
      <c r="N1033" s="2" t="s">
        <v>2317</v>
      </c>
      <c r="O1033" s="14">
        <v>10200</v>
      </c>
      <c r="P1033" s="14">
        <v>97.93</v>
      </c>
      <c r="Q1033" s="14">
        <v>211.14</v>
      </c>
      <c r="R1033" s="14">
        <v>215.36</v>
      </c>
      <c r="S1033" s="2" t="s">
        <v>1054</v>
      </c>
      <c r="T1033" s="2">
        <v>1</v>
      </c>
      <c r="U1033" s="2">
        <v>61.4</v>
      </c>
      <c r="V1033" s="2">
        <v>58</v>
      </c>
      <c r="W1033" s="2" t="s">
        <v>7862</v>
      </c>
      <c r="X1033" s="2" t="s">
        <v>5405</v>
      </c>
      <c r="Y1033" s="2">
        <v>10404</v>
      </c>
      <c r="Z1033" s="19" t="str">
        <f>HYPERLINK("https://ssdweb.co/ssdweb/hd/Vision360.html?d=926831145&amp;zoomslide=1&amp;z=1926831145&amp;ISCONFIRM=0","VIDEO")</f>
        <v>VIDEO</v>
      </c>
      <c r="AA1033" s="19" t="str">
        <f>HYPERLINK("https://ssdweb.co/ssdweb/CERTH/5506621788.pdf","CERTI")</f>
        <v>CERTI</v>
      </c>
    </row>
    <row r="1034" spans="1:27" ht="15" x14ac:dyDescent="0.25">
      <c r="A1034" s="2">
        <v>1029</v>
      </c>
      <c r="B1034" s="39">
        <v>926831096</v>
      </c>
      <c r="C1034" s="28" t="str">
        <f>HYPERLINK("https://pld.live/RapDetail.aspx?STONELIST=926831096","DNA")</f>
        <v>DNA</v>
      </c>
      <c r="D1034" s="18" t="s">
        <v>3054</v>
      </c>
      <c r="E1034" s="18" t="s">
        <v>5128</v>
      </c>
      <c r="F1034" s="2" t="s">
        <v>5597</v>
      </c>
      <c r="G1034" s="2" t="s">
        <v>861</v>
      </c>
      <c r="H1034" s="14">
        <v>1.02</v>
      </c>
      <c r="I1034" s="2" t="s">
        <v>267</v>
      </c>
      <c r="J1034" s="2" t="s">
        <v>3942</v>
      </c>
      <c r="K1034" s="2" t="s">
        <v>5221</v>
      </c>
      <c r="L1034" s="2" t="s">
        <v>5221</v>
      </c>
      <c r="M1034" s="2" t="s">
        <v>5221</v>
      </c>
      <c r="N1034" s="2" t="s">
        <v>2317</v>
      </c>
      <c r="O1034" s="14">
        <v>10200</v>
      </c>
      <c r="P1034" s="14">
        <v>97.93</v>
      </c>
      <c r="Q1034" s="14">
        <v>211.14</v>
      </c>
      <c r="R1034" s="14">
        <v>215.36</v>
      </c>
      <c r="S1034" s="2" t="s">
        <v>552</v>
      </c>
      <c r="T1034" s="2">
        <v>1</v>
      </c>
      <c r="U1034" s="2">
        <v>61.1</v>
      </c>
      <c r="V1034" s="2">
        <v>57</v>
      </c>
      <c r="W1034" s="2" t="s">
        <v>7862</v>
      </c>
      <c r="X1034" s="2" t="s">
        <v>5405</v>
      </c>
      <c r="Y1034" s="2">
        <v>10404</v>
      </c>
      <c r="Z1034" s="19" t="str">
        <f>HYPERLINK("https://ssdweb.co/ssdweb/hd/Vision360.html?d=926831096&amp;zoomslide=1&amp;z=1926831096&amp;ISCONFIRM=0","VIDEO")</f>
        <v>VIDEO</v>
      </c>
      <c r="AA1034" s="19" t="str">
        <f>HYPERLINK("https://ssdweb.co/ssdweb/CERTH/6505620872.pdf","CERTI")</f>
        <v>CERTI</v>
      </c>
    </row>
    <row r="1035" spans="1:27" ht="15" x14ac:dyDescent="0.25">
      <c r="A1035" s="2">
        <v>1030</v>
      </c>
      <c r="B1035" s="39">
        <v>926831076</v>
      </c>
      <c r="C1035" s="28" t="str">
        <f>HYPERLINK("https://pld.live/RapDetail.aspx?STONELIST=926831076","DNA")</f>
        <v>DNA</v>
      </c>
      <c r="D1035" s="18" t="s">
        <v>3054</v>
      </c>
      <c r="E1035" s="18" t="s">
        <v>5128</v>
      </c>
      <c r="F1035" s="2" t="s">
        <v>5597</v>
      </c>
      <c r="G1035" s="2" t="s">
        <v>861</v>
      </c>
      <c r="H1035" s="14">
        <v>1.02</v>
      </c>
      <c r="I1035" s="2" t="s">
        <v>267</v>
      </c>
      <c r="J1035" s="2" t="s">
        <v>3942</v>
      </c>
      <c r="K1035" s="2" t="s">
        <v>5221</v>
      </c>
      <c r="L1035" s="2" t="s">
        <v>5221</v>
      </c>
      <c r="M1035" s="2" t="s">
        <v>5221</v>
      </c>
      <c r="N1035" s="2" t="s">
        <v>2317</v>
      </c>
      <c r="O1035" s="14">
        <v>10200</v>
      </c>
      <c r="P1035" s="14">
        <v>97.93</v>
      </c>
      <c r="Q1035" s="14">
        <v>211.14</v>
      </c>
      <c r="R1035" s="14">
        <v>215.36</v>
      </c>
      <c r="S1035" s="2" t="s">
        <v>3494</v>
      </c>
      <c r="T1035" s="2">
        <v>1.01</v>
      </c>
      <c r="U1035" s="2">
        <v>61.1</v>
      </c>
      <c r="V1035" s="2">
        <v>57</v>
      </c>
      <c r="W1035" s="2" t="s">
        <v>7862</v>
      </c>
      <c r="X1035" s="2" t="s">
        <v>5405</v>
      </c>
      <c r="Y1035" s="2">
        <v>10404</v>
      </c>
      <c r="Z1035" s="19" t="str">
        <f>HYPERLINK("https://ssdweb.co/ssdweb/hd/Vision360.html?d=926831076&amp;zoomslide=1&amp;z=1926831076&amp;ISCONFIRM=0","VIDEO")</f>
        <v>VIDEO</v>
      </c>
      <c r="AA1035" s="19" t="str">
        <f>HYPERLINK("https://ssdweb.co/ssdweb/CERTH/6501620576.pdf","CERTI")</f>
        <v>CERTI</v>
      </c>
    </row>
    <row r="1036" spans="1:27" ht="15" x14ac:dyDescent="0.25">
      <c r="A1036" s="2">
        <v>1031</v>
      </c>
      <c r="B1036" s="39">
        <v>941320074</v>
      </c>
      <c r="C1036" s="28" t="str">
        <f>HYPERLINK("https://pld.live/RapDetail.aspx?STONELIST=941320074","DNA")</f>
        <v>DNA</v>
      </c>
      <c r="D1036" s="18" t="s">
        <v>3054</v>
      </c>
      <c r="E1036" s="18" t="s">
        <v>5128</v>
      </c>
      <c r="F1036" s="2" t="s">
        <v>7987</v>
      </c>
      <c r="G1036" s="2" t="s">
        <v>861</v>
      </c>
      <c r="H1036" s="14">
        <v>1.02</v>
      </c>
      <c r="I1036" s="2" t="s">
        <v>267</v>
      </c>
      <c r="J1036" s="2" t="s">
        <v>3942</v>
      </c>
      <c r="K1036" s="2" t="s">
        <v>5221</v>
      </c>
      <c r="L1036" s="2" t="s">
        <v>5221</v>
      </c>
      <c r="M1036" s="2" t="s">
        <v>5221</v>
      </c>
      <c r="N1036" s="2" t="s">
        <v>2317</v>
      </c>
      <c r="O1036" s="14">
        <v>10200</v>
      </c>
      <c r="P1036" s="14">
        <v>98.73</v>
      </c>
      <c r="Q1036" s="14">
        <v>129.54</v>
      </c>
      <c r="R1036" s="14">
        <v>132.13</v>
      </c>
      <c r="S1036" s="2" t="s">
        <v>2416</v>
      </c>
      <c r="T1036" s="2">
        <v>1</v>
      </c>
      <c r="U1036" s="2">
        <v>58.8</v>
      </c>
      <c r="V1036" s="2">
        <v>60</v>
      </c>
      <c r="W1036" s="2" t="s">
        <v>7862</v>
      </c>
      <c r="X1036" s="2" t="s">
        <v>5405</v>
      </c>
      <c r="Y1036" s="2">
        <v>10404</v>
      </c>
      <c r="Z1036" s="19" t="str">
        <f>HYPERLINK("https://ssdweb.co/ssdweb/hd/Vision360.html?d=941320074&amp;zoomslide=1&amp;z=1941320074&amp;ISCONFIRM=0","VIDEO")</f>
        <v>VIDEO</v>
      </c>
      <c r="AA1036" s="19" t="str">
        <f>HYPERLINK("https://ssdweb.co/ssdweb/CERTH/689587074.pdf","CERTI")</f>
        <v>CERTI</v>
      </c>
    </row>
    <row r="1037" spans="1:27" ht="15" x14ac:dyDescent="0.25">
      <c r="A1037" s="2">
        <v>1032</v>
      </c>
      <c r="B1037" s="39">
        <v>941350414</v>
      </c>
      <c r="C1037" s="28" t="str">
        <f>HYPERLINK("https://pld.live/RapDetail.aspx?STONELIST=941350414","DNA")</f>
        <v>DNA</v>
      </c>
      <c r="D1037" s="18" t="s">
        <v>3054</v>
      </c>
      <c r="E1037" s="18" t="s">
        <v>5128</v>
      </c>
      <c r="F1037" s="2" t="s">
        <v>7987</v>
      </c>
      <c r="G1037" s="2" t="s">
        <v>861</v>
      </c>
      <c r="H1037" s="14">
        <v>1.02</v>
      </c>
      <c r="I1037" s="2" t="s">
        <v>267</v>
      </c>
      <c r="J1037" s="2" t="s">
        <v>3942</v>
      </c>
      <c r="K1037" s="2" t="s">
        <v>5221</v>
      </c>
      <c r="L1037" s="2" t="s">
        <v>5221</v>
      </c>
      <c r="M1037" s="2" t="s">
        <v>5221</v>
      </c>
      <c r="N1037" s="2" t="s">
        <v>2317</v>
      </c>
      <c r="O1037" s="14">
        <v>10200</v>
      </c>
      <c r="P1037" s="14">
        <v>98.73</v>
      </c>
      <c r="Q1037" s="14">
        <v>129.54</v>
      </c>
      <c r="R1037" s="14">
        <v>132.13</v>
      </c>
      <c r="S1037" s="2" t="s">
        <v>5038</v>
      </c>
      <c r="T1037" s="2">
        <v>1.01</v>
      </c>
      <c r="U1037" s="2">
        <v>61.8</v>
      </c>
      <c r="V1037" s="2">
        <v>58</v>
      </c>
      <c r="W1037" s="2" t="s">
        <v>7862</v>
      </c>
      <c r="X1037" s="2" t="s">
        <v>5405</v>
      </c>
      <c r="Y1037" s="2">
        <v>10404</v>
      </c>
      <c r="Z1037" s="19" t="str">
        <f>HYPERLINK("https://ssdweb.co/ssdweb/hd/Vision360.html?d=941350414&amp;zoomslide=1&amp;z=1941350414&amp;ISCONFIRM=0","VIDEO")</f>
        <v>VIDEO</v>
      </c>
      <c r="AA1037" s="19" t="str">
        <f>HYPERLINK("https://ssdweb.co/ssdweb/CERTH/689587076.pdf","CERTI")</f>
        <v>CERTI</v>
      </c>
    </row>
    <row r="1038" spans="1:27" ht="15" x14ac:dyDescent="0.25">
      <c r="A1038" s="2">
        <v>1033</v>
      </c>
      <c r="B1038" s="39">
        <v>941350817</v>
      </c>
      <c r="C1038" s="28" t="str">
        <f>HYPERLINK("https://pld.live/RapDetail.aspx?STONELIST=941350817","DNA")</f>
        <v>DNA</v>
      </c>
      <c r="D1038" s="18" t="s">
        <v>3054</v>
      </c>
      <c r="E1038" s="18" t="s">
        <v>5128</v>
      </c>
      <c r="F1038" s="2" t="s">
        <v>7987</v>
      </c>
      <c r="G1038" s="2" t="s">
        <v>861</v>
      </c>
      <c r="H1038" s="14">
        <v>1.02</v>
      </c>
      <c r="I1038" s="2" t="s">
        <v>267</v>
      </c>
      <c r="J1038" s="2" t="s">
        <v>3942</v>
      </c>
      <c r="K1038" s="2" t="s">
        <v>5221</v>
      </c>
      <c r="L1038" s="2" t="s">
        <v>5221</v>
      </c>
      <c r="M1038" s="2" t="s">
        <v>5221</v>
      </c>
      <c r="N1038" s="2" t="s">
        <v>2317</v>
      </c>
      <c r="O1038" s="14">
        <v>10200</v>
      </c>
      <c r="P1038" s="14">
        <v>98.73</v>
      </c>
      <c r="Q1038" s="14">
        <v>129.54</v>
      </c>
      <c r="R1038" s="14">
        <v>132.13</v>
      </c>
      <c r="S1038" s="2" t="s">
        <v>6294</v>
      </c>
      <c r="T1038" s="2">
        <v>1</v>
      </c>
      <c r="U1038" s="2">
        <v>59.7</v>
      </c>
      <c r="V1038" s="2">
        <v>59</v>
      </c>
      <c r="W1038" s="2" t="s">
        <v>7862</v>
      </c>
      <c r="X1038" s="2" t="s">
        <v>5405</v>
      </c>
      <c r="Y1038" s="2">
        <v>10404</v>
      </c>
      <c r="Z1038" s="19" t="str">
        <f>HYPERLINK("https://ssdweb.co/ssdweb/hd/Vision360.html?d=941350817&amp;zoomslide=1&amp;z=1941350817&amp;ISCONFIRM=0","VIDEO")</f>
        <v>VIDEO</v>
      </c>
      <c r="AA1038" s="19" t="str">
        <f>HYPERLINK("https://ssdweb.co/ssdweb/CERTH/689587138.pdf","CERTI")</f>
        <v>CERTI</v>
      </c>
    </row>
    <row r="1039" spans="1:27" ht="15" x14ac:dyDescent="0.25">
      <c r="A1039" s="2">
        <v>1034</v>
      </c>
      <c r="B1039" s="39">
        <v>941350242</v>
      </c>
      <c r="C1039" s="28" t="str">
        <f>HYPERLINK("https://pld.live/RapDetail.aspx?STONELIST=941350242","DNA")</f>
        <v>DNA</v>
      </c>
      <c r="D1039" s="18" t="s">
        <v>3054</v>
      </c>
      <c r="E1039" s="18" t="s">
        <v>5128</v>
      </c>
      <c r="F1039" s="2" t="s">
        <v>7987</v>
      </c>
      <c r="G1039" s="2" t="s">
        <v>861</v>
      </c>
      <c r="H1039" s="14">
        <v>1.02</v>
      </c>
      <c r="I1039" s="2" t="s">
        <v>267</v>
      </c>
      <c r="J1039" s="2" t="s">
        <v>13</v>
      </c>
      <c r="K1039" s="2" t="s">
        <v>3390</v>
      </c>
      <c r="L1039" s="2" t="s">
        <v>5221</v>
      </c>
      <c r="M1039" s="2" t="s">
        <v>5221</v>
      </c>
      <c r="N1039" s="2" t="s">
        <v>2317</v>
      </c>
      <c r="O1039" s="14">
        <v>8700</v>
      </c>
      <c r="P1039" s="14">
        <v>98.53</v>
      </c>
      <c r="Q1039" s="14">
        <v>127.89</v>
      </c>
      <c r="R1039" s="14">
        <v>130.44999999999999</v>
      </c>
      <c r="S1039" s="2" t="s">
        <v>3724</v>
      </c>
      <c r="T1039" s="2">
        <v>1.01</v>
      </c>
      <c r="U1039" s="2">
        <v>61.1</v>
      </c>
      <c r="V1039" s="2">
        <v>59</v>
      </c>
      <c r="W1039" s="2" t="s">
        <v>7862</v>
      </c>
      <c r="X1039" s="2" t="s">
        <v>5405</v>
      </c>
      <c r="Y1039" s="2">
        <v>8874</v>
      </c>
      <c r="Z1039" s="19" t="str">
        <f>HYPERLINK("https://ssdweb.co/ssdweb/hd/Vision360.html?d=941350242&amp;zoomslide=1&amp;z=1941350242&amp;ISCONFIRM=0","VIDEO")</f>
        <v>VIDEO</v>
      </c>
      <c r="AA1039" s="19" t="str">
        <f>HYPERLINK("https://ssdweb.co/ssdweb/CERTH/687560912.pdf","CERTI")</f>
        <v>CERTI</v>
      </c>
    </row>
    <row r="1040" spans="1:27" ht="15" x14ac:dyDescent="0.25">
      <c r="A1040" s="2">
        <v>1035</v>
      </c>
      <c r="B1040" s="39">
        <v>941220053</v>
      </c>
      <c r="C1040" s="28" t="str">
        <f>HYPERLINK("https://pld.live/RapDetail.aspx?STONELIST=941220053","DNA")</f>
        <v>DNA</v>
      </c>
      <c r="D1040" s="18" t="s">
        <v>3054</v>
      </c>
      <c r="E1040" s="18" t="s">
        <v>2186</v>
      </c>
      <c r="F1040" s="2" t="s">
        <v>7987</v>
      </c>
      <c r="G1040" s="2" t="s">
        <v>861</v>
      </c>
      <c r="H1040" s="14">
        <v>1.02</v>
      </c>
      <c r="I1040" s="2" t="s">
        <v>267</v>
      </c>
      <c r="J1040" s="2" t="s">
        <v>13</v>
      </c>
      <c r="K1040" s="2" t="s">
        <v>3390</v>
      </c>
      <c r="L1040" s="2" t="s">
        <v>5221</v>
      </c>
      <c r="M1040" s="2" t="s">
        <v>5221</v>
      </c>
      <c r="N1040" s="2" t="s">
        <v>2317</v>
      </c>
      <c r="O1040" s="14">
        <v>8700</v>
      </c>
      <c r="P1040" s="14">
        <v>98.53</v>
      </c>
      <c r="Q1040" s="14">
        <v>127.89</v>
      </c>
      <c r="R1040" s="14">
        <v>130.44999999999999</v>
      </c>
      <c r="S1040" s="2" t="s">
        <v>6466</v>
      </c>
      <c r="T1040" s="2">
        <v>1.01</v>
      </c>
      <c r="U1040" s="2">
        <v>62.3</v>
      </c>
      <c r="V1040" s="2">
        <v>57</v>
      </c>
      <c r="W1040" s="2" t="s">
        <v>7862</v>
      </c>
      <c r="X1040" s="2" t="s">
        <v>5405</v>
      </c>
      <c r="Y1040" s="2">
        <v>8874</v>
      </c>
      <c r="Z1040" s="19" t="str">
        <f>HYPERLINK("https://ssdweb.co/ssdweb/hd/Vision360.html?d=941220053&amp;zoomslide=1&amp;z=1941220053&amp;ISCONFIRM=0","VIDEO")</f>
        <v>VIDEO</v>
      </c>
      <c r="AA1040" s="19" t="str">
        <f>HYPERLINK("https://ssdweb.co/ssdweb/CERTH/678564529.pdf","CERTI")</f>
        <v>CERTI</v>
      </c>
    </row>
    <row r="1041" spans="1:27" ht="15" x14ac:dyDescent="0.25">
      <c r="A1041" s="2">
        <v>1036</v>
      </c>
      <c r="B1041" s="39">
        <v>9414500375</v>
      </c>
      <c r="C1041" s="28" t="str">
        <f>HYPERLINK("https://pld.live/RapDetail.aspx?STONELIST=9414500375","DNA")</f>
        <v>DNA</v>
      </c>
      <c r="D1041" s="18" t="s">
        <v>3054</v>
      </c>
      <c r="E1041" s="18" t="s">
        <v>2186</v>
      </c>
      <c r="F1041" s="2" t="s">
        <v>7987</v>
      </c>
      <c r="G1041" s="2" t="s">
        <v>861</v>
      </c>
      <c r="H1041" s="14">
        <v>1.02</v>
      </c>
      <c r="I1041" s="2" t="s">
        <v>267</v>
      </c>
      <c r="J1041" s="2" t="s">
        <v>13</v>
      </c>
      <c r="K1041" s="2" t="s">
        <v>3390</v>
      </c>
      <c r="L1041" s="2" t="s">
        <v>5221</v>
      </c>
      <c r="M1041" s="2" t="s">
        <v>5221</v>
      </c>
      <c r="N1041" s="2" t="s">
        <v>2317</v>
      </c>
      <c r="O1041" s="14">
        <v>8700</v>
      </c>
      <c r="P1041" s="14">
        <v>98.53</v>
      </c>
      <c r="Q1041" s="14">
        <v>127.89</v>
      </c>
      <c r="R1041" s="14">
        <v>130.44999999999999</v>
      </c>
      <c r="S1041" s="2" t="s">
        <v>5063</v>
      </c>
      <c r="T1041" s="2">
        <v>1</v>
      </c>
      <c r="U1041" s="2">
        <v>60.9</v>
      </c>
      <c r="V1041" s="2">
        <v>59</v>
      </c>
      <c r="W1041" s="2" t="s">
        <v>7862</v>
      </c>
      <c r="X1041" s="2" t="s">
        <v>5405</v>
      </c>
      <c r="Y1041" s="2">
        <v>8874</v>
      </c>
      <c r="Z1041" s="19" t="str">
        <f>HYPERLINK("https://ssdweb.co/ssdweb/hd/Vision360.html?d=9414500375&amp;zoomslide=1&amp;z=19414500375&amp;ISCONFIRM=0","VIDEO")</f>
        <v>VIDEO</v>
      </c>
      <c r="AA1041" s="19" t="str">
        <f>HYPERLINK("https://ssdweb.co/ssdweb/CERTH/694579624.pdf","CERTI")</f>
        <v>CERTI</v>
      </c>
    </row>
    <row r="1042" spans="1:27" ht="15" x14ac:dyDescent="0.25">
      <c r="A1042" s="2">
        <v>1037</v>
      </c>
      <c r="B1042" s="39">
        <v>941350920</v>
      </c>
      <c r="C1042" s="28" t="str">
        <f>HYPERLINK("https://pld.live/RapDetail.aspx?STONELIST=941350920","DNA")</f>
        <v>DNA</v>
      </c>
      <c r="D1042" s="18" t="s">
        <v>3054</v>
      </c>
      <c r="E1042" s="18" t="s">
        <v>5128</v>
      </c>
      <c r="F1042" s="2" t="s">
        <v>7987</v>
      </c>
      <c r="G1042" s="2" t="s">
        <v>861</v>
      </c>
      <c r="H1042" s="14">
        <v>1.02</v>
      </c>
      <c r="I1042" s="2" t="s">
        <v>267</v>
      </c>
      <c r="J1042" s="2" t="s">
        <v>13</v>
      </c>
      <c r="K1042" s="2" t="s">
        <v>3390</v>
      </c>
      <c r="L1042" s="2" t="s">
        <v>5221</v>
      </c>
      <c r="M1042" s="2" t="s">
        <v>5221</v>
      </c>
      <c r="N1042" s="2" t="s">
        <v>2317</v>
      </c>
      <c r="O1042" s="14">
        <v>8700</v>
      </c>
      <c r="P1042" s="14">
        <v>98.53</v>
      </c>
      <c r="Q1042" s="14">
        <v>127.89</v>
      </c>
      <c r="R1042" s="14">
        <v>130.44999999999999</v>
      </c>
      <c r="S1042" s="2" t="s">
        <v>331</v>
      </c>
      <c r="T1042" s="2">
        <v>1.01</v>
      </c>
      <c r="U1042" s="2">
        <v>62.1</v>
      </c>
      <c r="V1042" s="2">
        <v>58</v>
      </c>
      <c r="W1042" s="2" t="s">
        <v>7862</v>
      </c>
      <c r="X1042" s="2" t="s">
        <v>5405</v>
      </c>
      <c r="Y1042" s="2">
        <v>8874</v>
      </c>
      <c r="Z1042" s="19" t="str">
        <f>HYPERLINK("https://ssdweb.co/ssdweb/hd/Vision360.html?d=941350920&amp;zoomslide=1&amp;z=1941350920&amp;ISCONFIRM=0","VIDEO")</f>
        <v>VIDEO</v>
      </c>
      <c r="AA1042" s="19" t="str">
        <f>HYPERLINK("https://ssdweb.co/ssdweb/CERTH/689587083.pdf","CERTI")</f>
        <v>CERTI</v>
      </c>
    </row>
    <row r="1043" spans="1:27" ht="15" x14ac:dyDescent="0.25">
      <c r="A1043" s="2">
        <v>1038</v>
      </c>
      <c r="B1043" s="39">
        <v>941071090</v>
      </c>
      <c r="C1043" s="28" t="str">
        <f>HYPERLINK("https://pld.live/RapDetail.aspx?STONELIST=941071090","DNA")</f>
        <v>DNA</v>
      </c>
      <c r="D1043" s="18" t="s">
        <v>3054</v>
      </c>
      <c r="E1043" s="18" t="s">
        <v>5128</v>
      </c>
      <c r="F1043" s="2" t="s">
        <v>7987</v>
      </c>
      <c r="G1043" s="2" t="s">
        <v>861</v>
      </c>
      <c r="H1043" s="14">
        <v>1.02</v>
      </c>
      <c r="I1043" s="2" t="s">
        <v>267</v>
      </c>
      <c r="J1043" s="2" t="s">
        <v>13</v>
      </c>
      <c r="K1043" s="2" t="s">
        <v>3390</v>
      </c>
      <c r="L1043" s="2" t="s">
        <v>5221</v>
      </c>
      <c r="M1043" s="2" t="s">
        <v>5221</v>
      </c>
      <c r="N1043" s="2" t="s">
        <v>2317</v>
      </c>
      <c r="O1043" s="14">
        <v>8700</v>
      </c>
      <c r="P1043" s="14">
        <v>98.53</v>
      </c>
      <c r="Q1043" s="14">
        <v>127.89</v>
      </c>
      <c r="R1043" s="14">
        <v>130.44999999999999</v>
      </c>
      <c r="S1043" s="2" t="s">
        <v>6159</v>
      </c>
      <c r="T1043" s="2">
        <v>1.01</v>
      </c>
      <c r="U1043" s="2">
        <v>62.4</v>
      </c>
      <c r="V1043" s="2">
        <v>56</v>
      </c>
      <c r="W1043" s="2" t="s">
        <v>7862</v>
      </c>
      <c r="X1043" s="2" t="s">
        <v>5405</v>
      </c>
      <c r="Y1043" s="2">
        <v>8874</v>
      </c>
      <c r="Z1043" s="19" t="str">
        <f>HYPERLINK("https://ssdweb.co/ssdweb/hd/Vision360.html?d=941071090&amp;zoomslide=1&amp;z=1941071090&amp;ISCONFIRM=0","VIDEO")</f>
        <v>VIDEO</v>
      </c>
      <c r="AA1043" s="19" t="str">
        <f>HYPERLINK("https://ssdweb.co/ssdweb/CERTH/671411269.pdf","CERTI")</f>
        <v>CERTI</v>
      </c>
    </row>
    <row r="1044" spans="1:27" ht="15" x14ac:dyDescent="0.25">
      <c r="A1044" s="2">
        <v>1039</v>
      </c>
      <c r="B1044" s="39">
        <v>927150617</v>
      </c>
      <c r="C1044" s="28" t="str">
        <f>HYPERLINK("https://pld.live/RapDetail.aspx?STONELIST=927150617","DNA")</f>
        <v>DNA</v>
      </c>
      <c r="D1044" s="18" t="s">
        <v>3054</v>
      </c>
      <c r="E1044" s="18" t="s">
        <v>5128</v>
      </c>
      <c r="F1044" s="2" t="s">
        <v>7987</v>
      </c>
      <c r="G1044" s="2" t="s">
        <v>861</v>
      </c>
      <c r="H1044" s="14">
        <v>1.02</v>
      </c>
      <c r="I1044" s="2" t="s">
        <v>267</v>
      </c>
      <c r="J1044" s="2" t="s">
        <v>13</v>
      </c>
      <c r="K1044" s="2" t="s">
        <v>3390</v>
      </c>
      <c r="L1044" s="2" t="s">
        <v>5221</v>
      </c>
      <c r="M1044" s="2" t="s">
        <v>5221</v>
      </c>
      <c r="N1044" s="2" t="s">
        <v>2317</v>
      </c>
      <c r="O1044" s="14">
        <v>8700</v>
      </c>
      <c r="P1044" s="14">
        <v>98.54</v>
      </c>
      <c r="Q1044" s="14">
        <v>127.02</v>
      </c>
      <c r="R1044" s="14">
        <v>129.56</v>
      </c>
      <c r="S1044" s="2" t="s">
        <v>7614</v>
      </c>
      <c r="T1044" s="2">
        <v>1.01</v>
      </c>
      <c r="U1044" s="2">
        <v>60.7</v>
      </c>
      <c r="V1044" s="2">
        <v>58</v>
      </c>
      <c r="W1044" s="2" t="s">
        <v>7862</v>
      </c>
      <c r="X1044" s="2" t="s">
        <v>5405</v>
      </c>
      <c r="Y1044" s="2">
        <v>8874</v>
      </c>
      <c r="Z1044" s="19" t="str">
        <f>HYPERLINK("https://ssdweb.co/ssdweb/hd/Vision360.html?d=927150617&amp;zoomslide=1&amp;z=1927150617&amp;ISCONFIRM=0","VIDEO")</f>
        <v>VIDEO</v>
      </c>
      <c r="AA1044" s="19" t="str">
        <f>HYPERLINK("https://ssdweb.co/ssdweb/CERTH/668446637.pdf","CERTI")</f>
        <v>CERTI</v>
      </c>
    </row>
    <row r="1045" spans="1:27" ht="15" x14ac:dyDescent="0.25">
      <c r="A1045" s="2">
        <v>1040</v>
      </c>
      <c r="B1045" s="39">
        <v>941070767</v>
      </c>
      <c r="C1045" s="28" t="str">
        <f>HYPERLINK("https://pld.live/RapDetail.aspx?STONELIST=941070767","DNA")</f>
        <v>DNA</v>
      </c>
      <c r="D1045" s="18" t="s">
        <v>3054</v>
      </c>
      <c r="E1045" s="18" t="s">
        <v>5128</v>
      </c>
      <c r="F1045" s="2" t="s">
        <v>7987</v>
      </c>
      <c r="G1045" s="2" t="s">
        <v>861</v>
      </c>
      <c r="H1045" s="14">
        <v>1.02</v>
      </c>
      <c r="I1045" s="2" t="s">
        <v>267</v>
      </c>
      <c r="J1045" s="2" t="s">
        <v>13</v>
      </c>
      <c r="K1045" s="2" t="s">
        <v>3390</v>
      </c>
      <c r="L1045" s="2" t="s">
        <v>5221</v>
      </c>
      <c r="M1045" s="2" t="s">
        <v>5221</v>
      </c>
      <c r="N1045" s="2" t="s">
        <v>2317</v>
      </c>
      <c r="O1045" s="14">
        <v>8700</v>
      </c>
      <c r="P1045" s="14">
        <v>98.53</v>
      </c>
      <c r="Q1045" s="14">
        <v>127.89</v>
      </c>
      <c r="R1045" s="14">
        <v>130.44999999999999</v>
      </c>
      <c r="S1045" s="2" t="s">
        <v>4085</v>
      </c>
      <c r="T1045" s="2">
        <v>1.01</v>
      </c>
      <c r="U1045" s="2">
        <v>61.2</v>
      </c>
      <c r="V1045" s="2">
        <v>58</v>
      </c>
      <c r="W1045" s="2" t="s">
        <v>7862</v>
      </c>
      <c r="X1045" s="2" t="s">
        <v>5405</v>
      </c>
      <c r="Y1045" s="2">
        <v>8874</v>
      </c>
      <c r="Z1045" s="19" t="str">
        <f>HYPERLINK("https://ssdweb.co/ssdweb/hd/Vision360.html?d=941070767&amp;zoomslide=1&amp;z=1941070767&amp;ISCONFIRM=0","VIDEO")</f>
        <v>VIDEO</v>
      </c>
      <c r="AA1045" s="19" t="str">
        <f>HYPERLINK("https://ssdweb.co/ssdweb/CERTH/675504643.pdf","CERTI")</f>
        <v>CERTI</v>
      </c>
    </row>
    <row r="1046" spans="1:27" ht="15" x14ac:dyDescent="0.25">
      <c r="A1046" s="2">
        <v>1041</v>
      </c>
      <c r="B1046" s="39">
        <v>941071101</v>
      </c>
      <c r="C1046" s="28" t="str">
        <f>HYPERLINK("https://pld.live/RapDetail.aspx?STONELIST=941071101","DNA")</f>
        <v>DNA</v>
      </c>
      <c r="D1046" s="18" t="s">
        <v>3054</v>
      </c>
      <c r="E1046" s="18" t="s">
        <v>5128</v>
      </c>
      <c r="F1046" s="2" t="s">
        <v>7987</v>
      </c>
      <c r="G1046" s="2" t="s">
        <v>861</v>
      </c>
      <c r="H1046" s="14">
        <v>1.02</v>
      </c>
      <c r="I1046" s="2" t="s">
        <v>267</v>
      </c>
      <c r="J1046" s="2" t="s">
        <v>13</v>
      </c>
      <c r="K1046" s="2" t="s">
        <v>3390</v>
      </c>
      <c r="L1046" s="2" t="s">
        <v>5221</v>
      </c>
      <c r="M1046" s="2" t="s">
        <v>5221</v>
      </c>
      <c r="N1046" s="2" t="s">
        <v>2317</v>
      </c>
      <c r="O1046" s="14">
        <v>8700</v>
      </c>
      <c r="P1046" s="14">
        <v>98.53</v>
      </c>
      <c r="Q1046" s="14">
        <v>127.89</v>
      </c>
      <c r="R1046" s="14">
        <v>130.44999999999999</v>
      </c>
      <c r="S1046" s="2" t="s">
        <v>4899</v>
      </c>
      <c r="T1046" s="2">
        <v>1.01</v>
      </c>
      <c r="U1046" s="2">
        <v>61.4</v>
      </c>
      <c r="V1046" s="2">
        <v>57</v>
      </c>
      <c r="W1046" s="2" t="s">
        <v>7862</v>
      </c>
      <c r="X1046" s="2" t="s">
        <v>5405</v>
      </c>
      <c r="Y1046" s="2">
        <v>8874</v>
      </c>
      <c r="Z1046" s="19" t="str">
        <f>HYPERLINK("https://ssdweb.co/ssdweb/hd/Vision360.html?d=941071101&amp;zoomslide=1&amp;z=1941071101&amp;ISCONFIRM=0","VIDEO")</f>
        <v>VIDEO</v>
      </c>
      <c r="AA1046" s="19" t="str">
        <f>HYPERLINK("https://ssdweb.co/ssdweb/CERTH/671411264.pdf","CERTI")</f>
        <v>CERTI</v>
      </c>
    </row>
    <row r="1047" spans="1:27" ht="15" x14ac:dyDescent="0.25">
      <c r="A1047" s="2">
        <v>1042</v>
      </c>
      <c r="B1047" s="39">
        <v>927052242</v>
      </c>
      <c r="C1047" s="28" t="str">
        <f>HYPERLINK("https://pld.live/RapDetail.aspx?STONELIST=927052242","DNA")</f>
        <v>DNA</v>
      </c>
      <c r="D1047" s="18" t="s">
        <v>3054</v>
      </c>
      <c r="E1047" s="18" t="s">
        <v>5128</v>
      </c>
      <c r="F1047" s="2" t="s">
        <v>7987</v>
      </c>
      <c r="G1047" s="2" t="s">
        <v>861</v>
      </c>
      <c r="H1047" s="14">
        <v>1.02</v>
      </c>
      <c r="I1047" s="2" t="s">
        <v>267</v>
      </c>
      <c r="J1047" s="2" t="s">
        <v>13</v>
      </c>
      <c r="K1047" s="2" t="s">
        <v>3390</v>
      </c>
      <c r="L1047" s="2" t="s">
        <v>5221</v>
      </c>
      <c r="M1047" s="2" t="s">
        <v>5221</v>
      </c>
      <c r="N1047" s="2" t="s">
        <v>2317</v>
      </c>
      <c r="O1047" s="14">
        <v>8700</v>
      </c>
      <c r="P1047" s="14">
        <v>98.54</v>
      </c>
      <c r="Q1047" s="14">
        <v>127.02</v>
      </c>
      <c r="R1047" s="14">
        <v>129.56</v>
      </c>
      <c r="S1047" s="2" t="s">
        <v>6327</v>
      </c>
      <c r="T1047" s="2">
        <v>1.01</v>
      </c>
      <c r="U1047" s="2">
        <v>61.3</v>
      </c>
      <c r="V1047" s="2">
        <v>59</v>
      </c>
      <c r="W1047" s="2" t="s">
        <v>7862</v>
      </c>
      <c r="X1047" s="2" t="s">
        <v>5405</v>
      </c>
      <c r="Y1047" s="2">
        <v>8874</v>
      </c>
      <c r="Z1047" s="19" t="str">
        <f>HYPERLINK("https://ssdweb.co/ssdweb/hd/Vision360.html?d=927052242&amp;zoomslide=1&amp;z=1927052242&amp;ISCONFIRM=0","VIDEO")</f>
        <v>VIDEO</v>
      </c>
      <c r="AA1047" s="19" t="str">
        <f>HYPERLINK("https://ssdweb.co/ssdweb/CERTH/665453206.pdf","CERTI")</f>
        <v>CERTI</v>
      </c>
    </row>
    <row r="1048" spans="1:27" ht="15" x14ac:dyDescent="0.25">
      <c r="A1048" s="2">
        <v>1043</v>
      </c>
      <c r="B1048" s="39">
        <v>941071102</v>
      </c>
      <c r="C1048" s="28" t="str">
        <f>HYPERLINK("https://pld.live/RapDetail.aspx?STONELIST=941071102","DNA")</f>
        <v>DNA</v>
      </c>
      <c r="D1048" s="18" t="s">
        <v>3054</v>
      </c>
      <c r="E1048" s="18" t="s">
        <v>5128</v>
      </c>
      <c r="F1048" s="2" t="s">
        <v>7987</v>
      </c>
      <c r="G1048" s="2" t="s">
        <v>861</v>
      </c>
      <c r="H1048" s="14">
        <v>1.02</v>
      </c>
      <c r="I1048" s="2" t="s">
        <v>267</v>
      </c>
      <c r="J1048" s="2" t="s">
        <v>13</v>
      </c>
      <c r="K1048" s="2" t="s">
        <v>3390</v>
      </c>
      <c r="L1048" s="2" t="s">
        <v>5221</v>
      </c>
      <c r="M1048" s="2" t="s">
        <v>5221</v>
      </c>
      <c r="N1048" s="2" t="s">
        <v>2317</v>
      </c>
      <c r="O1048" s="14">
        <v>8700</v>
      </c>
      <c r="P1048" s="14">
        <v>98.53</v>
      </c>
      <c r="Q1048" s="14">
        <v>127.89</v>
      </c>
      <c r="R1048" s="14">
        <v>130.44999999999999</v>
      </c>
      <c r="S1048" s="2" t="s">
        <v>5092</v>
      </c>
      <c r="T1048" s="2">
        <v>1.01</v>
      </c>
      <c r="U1048" s="2">
        <v>61.8</v>
      </c>
      <c r="V1048" s="2">
        <v>58</v>
      </c>
      <c r="W1048" s="2" t="s">
        <v>7862</v>
      </c>
      <c r="X1048" s="2" t="s">
        <v>5405</v>
      </c>
      <c r="Y1048" s="2">
        <v>8874</v>
      </c>
      <c r="Z1048" s="19" t="str">
        <f>HYPERLINK("https://ssdweb.co/ssdweb/hd/Vision360.html?d=941071102&amp;zoomslide=1&amp;z=1941071102&amp;ISCONFIRM=0","VIDEO")</f>
        <v>VIDEO</v>
      </c>
      <c r="AA1048" s="19" t="str">
        <f>HYPERLINK("https://ssdweb.co/ssdweb/CERTH/671411268.pdf","CERTI")</f>
        <v>CERTI</v>
      </c>
    </row>
    <row r="1049" spans="1:27" ht="15" x14ac:dyDescent="0.25">
      <c r="A1049" s="2">
        <v>1044</v>
      </c>
      <c r="B1049" s="39">
        <v>941070972</v>
      </c>
      <c r="C1049" s="28" t="str">
        <f>HYPERLINK("https://pld.live/RapDetail.aspx?STONELIST=941070972","DNA")</f>
        <v>DNA</v>
      </c>
      <c r="D1049" s="18" t="s">
        <v>3054</v>
      </c>
      <c r="E1049" s="18" t="s">
        <v>5128</v>
      </c>
      <c r="F1049" s="2" t="s">
        <v>7987</v>
      </c>
      <c r="G1049" s="2" t="s">
        <v>861</v>
      </c>
      <c r="H1049" s="14">
        <v>1.02</v>
      </c>
      <c r="I1049" s="2" t="s">
        <v>267</v>
      </c>
      <c r="J1049" s="2" t="s">
        <v>13</v>
      </c>
      <c r="K1049" s="2" t="s">
        <v>3390</v>
      </c>
      <c r="L1049" s="2" t="s">
        <v>5221</v>
      </c>
      <c r="M1049" s="2" t="s">
        <v>5221</v>
      </c>
      <c r="N1049" s="2" t="s">
        <v>2317</v>
      </c>
      <c r="O1049" s="14">
        <v>8700</v>
      </c>
      <c r="P1049" s="14">
        <v>98.53</v>
      </c>
      <c r="Q1049" s="14">
        <v>127.89</v>
      </c>
      <c r="R1049" s="14">
        <v>130.44999999999999</v>
      </c>
      <c r="S1049" s="2" t="s">
        <v>2005</v>
      </c>
      <c r="T1049" s="2">
        <v>1</v>
      </c>
      <c r="U1049" s="2">
        <v>61.2</v>
      </c>
      <c r="V1049" s="2">
        <v>59</v>
      </c>
      <c r="W1049" s="2" t="s">
        <v>7862</v>
      </c>
      <c r="X1049" s="2" t="s">
        <v>5405</v>
      </c>
      <c r="Y1049" s="2">
        <v>8874</v>
      </c>
      <c r="Z1049" s="19" t="str">
        <f>HYPERLINK("https://ssdweb.co/ssdweb/hd/Vision360.html?d=941070972&amp;zoomslide=1&amp;z=1941070972&amp;ISCONFIRM=0","VIDEO")</f>
        <v>VIDEO</v>
      </c>
      <c r="AA1049" s="19" t="str">
        <f>HYPERLINK("https://ssdweb.co/ssdweb/CERTH/671411223.pdf","CERTI")</f>
        <v>CERTI</v>
      </c>
    </row>
    <row r="1050" spans="1:27" ht="15" x14ac:dyDescent="0.25">
      <c r="A1050" s="2">
        <v>1045</v>
      </c>
      <c r="B1050" s="39">
        <v>941071088</v>
      </c>
      <c r="C1050" s="28" t="str">
        <f>HYPERLINK("https://pld.live/RapDetail.aspx?STONELIST=941071088","DNA")</f>
        <v>DNA</v>
      </c>
      <c r="D1050" s="18" t="s">
        <v>3054</v>
      </c>
      <c r="E1050" s="18" t="s">
        <v>5128</v>
      </c>
      <c r="F1050" s="2" t="s">
        <v>7987</v>
      </c>
      <c r="G1050" s="2" t="s">
        <v>861</v>
      </c>
      <c r="H1050" s="14">
        <v>1.02</v>
      </c>
      <c r="I1050" s="2" t="s">
        <v>267</v>
      </c>
      <c r="J1050" s="2" t="s">
        <v>13</v>
      </c>
      <c r="K1050" s="2" t="s">
        <v>3390</v>
      </c>
      <c r="L1050" s="2" t="s">
        <v>5221</v>
      </c>
      <c r="M1050" s="2" t="s">
        <v>5221</v>
      </c>
      <c r="N1050" s="2" t="s">
        <v>2317</v>
      </c>
      <c r="O1050" s="14">
        <v>8700</v>
      </c>
      <c r="P1050" s="14">
        <v>98.53</v>
      </c>
      <c r="Q1050" s="14">
        <v>127.89</v>
      </c>
      <c r="R1050" s="14">
        <v>130.44999999999999</v>
      </c>
      <c r="S1050" s="2" t="s">
        <v>552</v>
      </c>
      <c r="T1050" s="2">
        <v>1</v>
      </c>
      <c r="U1050" s="2">
        <v>61.1</v>
      </c>
      <c r="V1050" s="2">
        <v>58</v>
      </c>
      <c r="W1050" s="2" t="s">
        <v>7862</v>
      </c>
      <c r="X1050" s="2" t="s">
        <v>5405</v>
      </c>
      <c r="Y1050" s="2">
        <v>8874</v>
      </c>
      <c r="Z1050" s="19" t="str">
        <f>HYPERLINK("https://ssdweb.co/ssdweb/hd/Vision360.html?d=941071088&amp;zoomslide=1&amp;z=1941071088&amp;ISCONFIRM=0","VIDEO")</f>
        <v>VIDEO</v>
      </c>
      <c r="AA1050" s="19" t="str">
        <f>HYPERLINK("https://ssdweb.co/ssdweb/CERTH/671411206.pdf","CERTI")</f>
        <v>CERTI</v>
      </c>
    </row>
    <row r="1051" spans="1:27" ht="15" x14ac:dyDescent="0.25">
      <c r="A1051" s="2">
        <v>1046</v>
      </c>
      <c r="B1051" s="39">
        <v>941070976</v>
      </c>
      <c r="C1051" s="28" t="str">
        <f>HYPERLINK("https://pld.live/RapDetail.aspx?STONELIST=941070976","DNA")</f>
        <v>DNA</v>
      </c>
      <c r="D1051" s="18" t="s">
        <v>3054</v>
      </c>
      <c r="E1051" s="18" t="s">
        <v>5128</v>
      </c>
      <c r="F1051" s="2" t="s">
        <v>7987</v>
      </c>
      <c r="G1051" s="2" t="s">
        <v>861</v>
      </c>
      <c r="H1051" s="14">
        <v>1.02</v>
      </c>
      <c r="I1051" s="2" t="s">
        <v>267</v>
      </c>
      <c r="J1051" s="2" t="s">
        <v>13</v>
      </c>
      <c r="K1051" s="2" t="s">
        <v>3390</v>
      </c>
      <c r="L1051" s="2" t="s">
        <v>5221</v>
      </c>
      <c r="M1051" s="2" t="s">
        <v>5721</v>
      </c>
      <c r="N1051" s="2" t="s">
        <v>2317</v>
      </c>
      <c r="O1051" s="14">
        <v>8700</v>
      </c>
      <c r="P1051" s="14">
        <v>98.54</v>
      </c>
      <c r="Q1051" s="14">
        <v>127.02</v>
      </c>
      <c r="R1051" s="14">
        <v>129.56</v>
      </c>
      <c r="S1051" s="2" t="s">
        <v>2367</v>
      </c>
      <c r="T1051" s="2">
        <v>1.01</v>
      </c>
      <c r="U1051" s="2">
        <v>62.2</v>
      </c>
      <c r="V1051" s="2">
        <v>55</v>
      </c>
      <c r="W1051" s="2" t="s">
        <v>7862</v>
      </c>
      <c r="X1051" s="2" t="s">
        <v>5405</v>
      </c>
      <c r="Y1051" s="2">
        <v>8874</v>
      </c>
      <c r="Z1051" s="19" t="str">
        <f>HYPERLINK("https://ssdweb.co/ssdweb/hd/Vision360.html?d=941070976&amp;zoomslide=1&amp;z=1941070976&amp;ISCONFIRM=0","VIDEO")</f>
        <v>VIDEO</v>
      </c>
      <c r="AA1051" s="19" t="str">
        <f>HYPERLINK("https://ssdweb.co/ssdweb/CERTH/671411220.pdf","CERTI")</f>
        <v>CERTI</v>
      </c>
    </row>
    <row r="1052" spans="1:27" ht="15" x14ac:dyDescent="0.25">
      <c r="A1052" s="2">
        <v>1047</v>
      </c>
      <c r="B1052" s="39">
        <v>821127768</v>
      </c>
      <c r="C1052" s="28" t="str">
        <f>HYPERLINK("https://pld.live/RapDetail.aspx?STONELIST=821127768","DNA")</f>
        <v>DNA</v>
      </c>
      <c r="D1052" s="18" t="s">
        <v>3054</v>
      </c>
      <c r="E1052" s="18" t="s">
        <v>5128</v>
      </c>
      <c r="F1052" s="2" t="s">
        <v>7987</v>
      </c>
      <c r="G1052" s="2" t="s">
        <v>861</v>
      </c>
      <c r="H1052" s="14">
        <v>1.02</v>
      </c>
      <c r="I1052" s="2" t="s">
        <v>267</v>
      </c>
      <c r="J1052" s="2" t="s">
        <v>13</v>
      </c>
      <c r="K1052" s="2" t="s">
        <v>5221</v>
      </c>
      <c r="L1052" s="2" t="s">
        <v>5221</v>
      </c>
      <c r="M1052" s="2" t="s">
        <v>5221</v>
      </c>
      <c r="N1052" s="2" t="s">
        <v>2317</v>
      </c>
      <c r="O1052" s="14">
        <v>8700</v>
      </c>
      <c r="P1052" s="14">
        <v>98.57</v>
      </c>
      <c r="Q1052" s="14">
        <v>124.41</v>
      </c>
      <c r="R1052" s="14">
        <v>126.9</v>
      </c>
      <c r="S1052" s="2" t="s">
        <v>4959</v>
      </c>
      <c r="T1052" s="2">
        <v>1.01</v>
      </c>
      <c r="U1052" s="2">
        <v>59.1</v>
      </c>
      <c r="V1052" s="2">
        <v>59</v>
      </c>
      <c r="W1052" s="2" t="s">
        <v>7862</v>
      </c>
      <c r="X1052" s="2" t="s">
        <v>5405</v>
      </c>
      <c r="Y1052" s="2">
        <v>8874</v>
      </c>
      <c r="Z1052" s="19" t="str">
        <f>HYPERLINK("https://ssdweb.co/ssdweb/hd/Vision360.html?d=821127768&amp;zoomslide=1&amp;z=1821127768&amp;ISCONFIRM=0","VIDEO")</f>
        <v>VIDEO</v>
      </c>
      <c r="AA1052" s="19" t="str">
        <f>HYPERLINK("https://ssdweb.co/ssdweb/CERTH/629443064.pdf","CERTI")</f>
        <v>CERTI</v>
      </c>
    </row>
    <row r="1053" spans="1:27" ht="15" x14ac:dyDescent="0.25">
      <c r="A1053" s="2">
        <v>1048</v>
      </c>
      <c r="B1053" s="39">
        <v>926810868</v>
      </c>
      <c r="C1053" s="28" t="str">
        <f>HYPERLINK("https://pld.live/RapDetail.aspx?STONELIST=926810868","DNA")</f>
        <v>DNA</v>
      </c>
      <c r="D1053" s="18" t="s">
        <v>3054</v>
      </c>
      <c r="E1053" s="18" t="s">
        <v>5128</v>
      </c>
      <c r="F1053" s="2" t="s">
        <v>5597</v>
      </c>
      <c r="G1053" s="2" t="s">
        <v>861</v>
      </c>
      <c r="H1053" s="14">
        <v>1.02</v>
      </c>
      <c r="I1053" s="2" t="s">
        <v>267</v>
      </c>
      <c r="J1053" s="2" t="s">
        <v>13</v>
      </c>
      <c r="K1053" s="2" t="s">
        <v>5221</v>
      </c>
      <c r="L1053" s="2" t="s">
        <v>5221</v>
      </c>
      <c r="M1053" s="2" t="s">
        <v>5221</v>
      </c>
      <c r="N1053" s="2" t="s">
        <v>2317</v>
      </c>
      <c r="O1053" s="14">
        <v>8700</v>
      </c>
      <c r="P1053" s="14">
        <v>97.62</v>
      </c>
      <c r="Q1053" s="14">
        <v>207.06</v>
      </c>
      <c r="R1053" s="14">
        <v>211.2</v>
      </c>
      <c r="S1053" s="2" t="s">
        <v>6466</v>
      </c>
      <c r="T1053" s="2">
        <v>1.01</v>
      </c>
      <c r="U1053" s="2">
        <v>62.3</v>
      </c>
      <c r="V1053" s="2">
        <v>56</v>
      </c>
      <c r="W1053" s="2" t="s">
        <v>7862</v>
      </c>
      <c r="X1053" s="2" t="s">
        <v>5405</v>
      </c>
      <c r="Y1053" s="2">
        <v>8874</v>
      </c>
      <c r="Z1053" s="19" t="str">
        <f>HYPERLINK("https://ssdweb.co/ssdweb/hd/Vision360.html?d=926810868&amp;zoomslide=1&amp;z=1926810868&amp;ISCONFIRM=0","VIDEO")</f>
        <v>VIDEO</v>
      </c>
      <c r="AA1053" s="19" t="str">
        <f>HYPERLINK("https://ssdweb.co/ssdweb/CERTH/1509523424.pdf","CERTI")</f>
        <v>CERTI</v>
      </c>
    </row>
    <row r="1054" spans="1:27" ht="15" x14ac:dyDescent="0.25">
      <c r="A1054" s="2">
        <v>1049</v>
      </c>
      <c r="B1054" s="39">
        <v>926810864</v>
      </c>
      <c r="C1054" s="28" t="str">
        <f>HYPERLINK("https://pld.live/RapDetail.aspx?STONELIST=926810864","DNA")</f>
        <v>DNA</v>
      </c>
      <c r="D1054" s="18" t="s">
        <v>3054</v>
      </c>
      <c r="E1054" s="18" t="s">
        <v>5128</v>
      </c>
      <c r="F1054" s="2" t="s">
        <v>5597</v>
      </c>
      <c r="G1054" s="2" t="s">
        <v>861</v>
      </c>
      <c r="H1054" s="14">
        <v>1.02</v>
      </c>
      <c r="I1054" s="2" t="s">
        <v>267</v>
      </c>
      <c r="J1054" s="2" t="s">
        <v>13</v>
      </c>
      <c r="K1054" s="2" t="s">
        <v>5221</v>
      </c>
      <c r="L1054" s="2" t="s">
        <v>5221</v>
      </c>
      <c r="M1054" s="2" t="s">
        <v>5221</v>
      </c>
      <c r="N1054" s="2" t="s">
        <v>2317</v>
      </c>
      <c r="O1054" s="14">
        <v>8700</v>
      </c>
      <c r="P1054" s="14">
        <v>97.62</v>
      </c>
      <c r="Q1054" s="14">
        <v>207.06</v>
      </c>
      <c r="R1054" s="14">
        <v>211.2</v>
      </c>
      <c r="S1054" s="2" t="s">
        <v>1376</v>
      </c>
      <c r="T1054" s="2">
        <v>1</v>
      </c>
      <c r="U1054" s="2">
        <v>61.5</v>
      </c>
      <c r="V1054" s="2">
        <v>58</v>
      </c>
      <c r="W1054" s="2" t="s">
        <v>7862</v>
      </c>
      <c r="X1054" s="2" t="s">
        <v>5405</v>
      </c>
      <c r="Y1054" s="2">
        <v>8874</v>
      </c>
      <c r="Z1054" s="19" t="str">
        <f>HYPERLINK("https://ssdweb.co/ssdweb/hd/Vision360.html?d=926810864&amp;zoomslide=1&amp;z=1926810864&amp;ISCONFIRM=0","VIDEO")</f>
        <v>VIDEO</v>
      </c>
      <c r="AA1054" s="19" t="str">
        <f>HYPERLINK("https://ssdweb.co/ssdweb/CERTH/6502523362.pdf","CERTI")</f>
        <v>CERTI</v>
      </c>
    </row>
    <row r="1055" spans="1:27" ht="15" x14ac:dyDescent="0.25">
      <c r="A1055" s="2">
        <v>1050</v>
      </c>
      <c r="B1055" s="39">
        <v>926810906</v>
      </c>
      <c r="C1055" s="28" t="str">
        <f>HYPERLINK("https://pld.live/RapDetail.aspx?STONELIST=926810906","DNA")</f>
        <v>DNA</v>
      </c>
      <c r="D1055" s="18" t="s">
        <v>3054</v>
      </c>
      <c r="E1055" s="18" t="s">
        <v>5128</v>
      </c>
      <c r="F1055" s="2" t="s">
        <v>5597</v>
      </c>
      <c r="G1055" s="2" t="s">
        <v>861</v>
      </c>
      <c r="H1055" s="14">
        <v>1.02</v>
      </c>
      <c r="I1055" s="2" t="s">
        <v>267</v>
      </c>
      <c r="J1055" s="2" t="s">
        <v>13</v>
      </c>
      <c r="K1055" s="2" t="s">
        <v>5221</v>
      </c>
      <c r="L1055" s="2" t="s">
        <v>5221</v>
      </c>
      <c r="M1055" s="2" t="s">
        <v>5221</v>
      </c>
      <c r="N1055" s="2" t="s">
        <v>2317</v>
      </c>
      <c r="O1055" s="14">
        <v>8700</v>
      </c>
      <c r="P1055" s="14">
        <v>97.62</v>
      </c>
      <c r="Q1055" s="14">
        <v>207.06</v>
      </c>
      <c r="R1055" s="14">
        <v>211.2</v>
      </c>
      <c r="S1055" s="2" t="s">
        <v>7910</v>
      </c>
      <c r="T1055" s="2">
        <v>1</v>
      </c>
      <c r="U1055" s="2">
        <v>62.1</v>
      </c>
      <c r="V1055" s="2">
        <v>56</v>
      </c>
      <c r="W1055" s="2" t="s">
        <v>7862</v>
      </c>
      <c r="X1055" s="2" t="s">
        <v>5405</v>
      </c>
      <c r="Y1055" s="2">
        <v>8874</v>
      </c>
      <c r="Z1055" s="19" t="str">
        <f>HYPERLINK("https://ssdweb.co/ssdweb/hd/Vision360.html?d=926810906&amp;zoomslide=1&amp;z=1926810906&amp;ISCONFIRM=0","VIDEO")</f>
        <v>VIDEO</v>
      </c>
      <c r="AA1055" s="19" t="str">
        <f>HYPERLINK("https://ssdweb.co/ssdweb/CERTH/6502621684.pdf","CERTI")</f>
        <v>CERTI</v>
      </c>
    </row>
    <row r="1056" spans="1:27" ht="15" x14ac:dyDescent="0.25">
      <c r="A1056" s="2">
        <v>1051</v>
      </c>
      <c r="B1056" s="39">
        <v>926750903</v>
      </c>
      <c r="C1056" s="28" t="str">
        <f>HYPERLINK("https://pld.live/RapDetail.aspx?STONELIST=926750903","DNA")</f>
        <v>DNA</v>
      </c>
      <c r="D1056" s="18" t="s">
        <v>3054</v>
      </c>
      <c r="E1056" s="18" t="s">
        <v>5128</v>
      </c>
      <c r="F1056" s="2" t="s">
        <v>5597</v>
      </c>
      <c r="G1056" s="2" t="s">
        <v>861</v>
      </c>
      <c r="H1056" s="14">
        <v>1.02</v>
      </c>
      <c r="I1056" s="2" t="s">
        <v>267</v>
      </c>
      <c r="J1056" s="2" t="s">
        <v>13</v>
      </c>
      <c r="K1056" s="2" t="s">
        <v>5221</v>
      </c>
      <c r="L1056" s="2" t="s">
        <v>5221</v>
      </c>
      <c r="M1056" s="2" t="s">
        <v>5221</v>
      </c>
      <c r="N1056" s="2" t="s">
        <v>2317</v>
      </c>
      <c r="O1056" s="14">
        <v>8700</v>
      </c>
      <c r="P1056" s="14">
        <v>97.62</v>
      </c>
      <c r="Q1056" s="14">
        <v>207.06</v>
      </c>
      <c r="R1056" s="14">
        <v>211.2</v>
      </c>
      <c r="S1056" s="2" t="s">
        <v>7703</v>
      </c>
      <c r="T1056" s="2">
        <v>1.01</v>
      </c>
      <c r="U1056" s="2">
        <v>60.7</v>
      </c>
      <c r="V1056" s="2">
        <v>58</v>
      </c>
      <c r="W1056" s="2" t="s">
        <v>7862</v>
      </c>
      <c r="X1056" s="2" t="s">
        <v>5405</v>
      </c>
      <c r="Y1056" s="2">
        <v>8874</v>
      </c>
      <c r="Z1056" s="19" t="str">
        <f>HYPERLINK("https://ssdweb.co/ssdweb/hd/Vision360.html?d=926750903&amp;zoomslide=1&amp;z=1926750903&amp;ISCONFIRM=0","VIDEO")</f>
        <v>VIDEO</v>
      </c>
      <c r="AA1056" s="19" t="str">
        <f>HYPERLINK("https://ssdweb.co/ssdweb/CERTH/6502428543.pdf","CERTI")</f>
        <v>CERTI</v>
      </c>
    </row>
    <row r="1057" spans="1:27" ht="15" x14ac:dyDescent="0.25">
      <c r="A1057" s="2">
        <v>1052</v>
      </c>
      <c r="B1057" s="39">
        <v>926741070</v>
      </c>
      <c r="C1057" s="28" t="str">
        <f>HYPERLINK("https://pld.live/RapDetail.aspx?STONELIST=926741070","DNA")</f>
        <v>DNA</v>
      </c>
      <c r="D1057" s="18" t="s">
        <v>3054</v>
      </c>
      <c r="E1057" s="18" t="s">
        <v>5128</v>
      </c>
      <c r="F1057" s="2" t="s">
        <v>5597</v>
      </c>
      <c r="G1057" s="2" t="s">
        <v>861</v>
      </c>
      <c r="H1057" s="14">
        <v>1.02</v>
      </c>
      <c r="I1057" s="2" t="s">
        <v>267</v>
      </c>
      <c r="J1057" s="2" t="s">
        <v>13</v>
      </c>
      <c r="K1057" s="2" t="s">
        <v>5221</v>
      </c>
      <c r="L1057" s="2" t="s">
        <v>5221</v>
      </c>
      <c r="M1057" s="2" t="s">
        <v>5221</v>
      </c>
      <c r="N1057" s="2" t="s">
        <v>2317</v>
      </c>
      <c r="O1057" s="14">
        <v>8700</v>
      </c>
      <c r="P1057" s="14">
        <v>97.62</v>
      </c>
      <c r="Q1057" s="14">
        <v>207.06</v>
      </c>
      <c r="R1057" s="14">
        <v>211.2</v>
      </c>
      <c r="S1057" s="2" t="s">
        <v>1863</v>
      </c>
      <c r="T1057" s="2">
        <v>1</v>
      </c>
      <c r="U1057" s="2">
        <v>62</v>
      </c>
      <c r="V1057" s="2">
        <v>56</v>
      </c>
      <c r="W1057" s="2" t="s">
        <v>7862</v>
      </c>
      <c r="X1057" s="2" t="s">
        <v>5405</v>
      </c>
      <c r="Y1057" s="2">
        <v>8874</v>
      </c>
      <c r="Z1057" s="19" t="str">
        <f>HYPERLINK("https://ssdweb.co/ssdweb/hd/Vision360.html?d=926741070&amp;zoomslide=1&amp;z=1926741070&amp;ISCONFIRM=0","VIDEO")</f>
        <v>VIDEO</v>
      </c>
      <c r="AA1057" s="19" t="str">
        <f>HYPERLINK("https://ssdweb.co/ssdweb/CERTH/7508458959.pdf","CERTI")</f>
        <v>CERTI</v>
      </c>
    </row>
    <row r="1058" spans="1:27" ht="15" x14ac:dyDescent="0.25">
      <c r="A1058" s="2">
        <v>1053</v>
      </c>
      <c r="B1058" s="39">
        <v>941070984</v>
      </c>
      <c r="C1058" s="28" t="str">
        <f>HYPERLINK("https://pld.live/RapDetail.aspx?STONELIST=941070984","DNA")</f>
        <v>DNA</v>
      </c>
      <c r="D1058" s="18" t="s">
        <v>3054</v>
      </c>
      <c r="E1058" s="18" t="s">
        <v>5128</v>
      </c>
      <c r="F1058" s="2" t="s">
        <v>7987</v>
      </c>
      <c r="G1058" s="2" t="s">
        <v>861</v>
      </c>
      <c r="H1058" s="14">
        <v>1.02</v>
      </c>
      <c r="I1058" s="2" t="s">
        <v>267</v>
      </c>
      <c r="J1058" s="2" t="s">
        <v>13</v>
      </c>
      <c r="K1058" s="2" t="s">
        <v>5221</v>
      </c>
      <c r="L1058" s="2" t="s">
        <v>5221</v>
      </c>
      <c r="M1058" s="2" t="s">
        <v>5221</v>
      </c>
      <c r="N1058" s="2" t="s">
        <v>2317</v>
      </c>
      <c r="O1058" s="14">
        <v>8700</v>
      </c>
      <c r="P1058" s="14">
        <v>98.53</v>
      </c>
      <c r="Q1058" s="14">
        <v>127.89</v>
      </c>
      <c r="R1058" s="14">
        <v>130.44999999999999</v>
      </c>
      <c r="S1058" s="2" t="s">
        <v>7106</v>
      </c>
      <c r="T1058" s="2">
        <v>1.01</v>
      </c>
      <c r="U1058" s="2">
        <v>62.9</v>
      </c>
      <c r="V1058" s="2">
        <v>55</v>
      </c>
      <c r="W1058" s="2" t="s">
        <v>7862</v>
      </c>
      <c r="X1058" s="2" t="s">
        <v>5405</v>
      </c>
      <c r="Y1058" s="2">
        <v>8874</v>
      </c>
      <c r="Z1058" s="19" t="str">
        <f>HYPERLINK("https://ssdweb.co/ssdweb/hd/Vision360.html?d=941070984&amp;zoomslide=1&amp;z=1941070984&amp;ISCONFIRM=0","VIDEO")</f>
        <v>VIDEO</v>
      </c>
      <c r="AA1058" s="19" t="str">
        <f>HYPERLINK("https://ssdweb.co/ssdweb/CERTH/671411215.pdf","CERTI")</f>
        <v>CERTI</v>
      </c>
    </row>
    <row r="1059" spans="1:27" ht="15" x14ac:dyDescent="0.25">
      <c r="A1059" s="2">
        <v>1054</v>
      </c>
      <c r="B1059" s="39">
        <v>926681037</v>
      </c>
      <c r="C1059" s="28" t="str">
        <f>HYPERLINK("https://pld.live/RapDetail.aspx?STONELIST=926681037","DNA")</f>
        <v>DNA</v>
      </c>
      <c r="D1059" s="18" t="s">
        <v>3054</v>
      </c>
      <c r="E1059" s="18" t="s">
        <v>2186</v>
      </c>
      <c r="F1059" s="2" t="s">
        <v>7987</v>
      </c>
      <c r="G1059" s="2" t="s">
        <v>861</v>
      </c>
      <c r="H1059" s="14">
        <v>1.02</v>
      </c>
      <c r="I1059" s="2" t="s">
        <v>267</v>
      </c>
      <c r="J1059" s="2" t="s">
        <v>13</v>
      </c>
      <c r="K1059" s="2" t="s">
        <v>5221</v>
      </c>
      <c r="L1059" s="2" t="s">
        <v>5221</v>
      </c>
      <c r="M1059" s="2" t="s">
        <v>5721</v>
      </c>
      <c r="N1059" s="2" t="s">
        <v>2317</v>
      </c>
      <c r="O1059" s="14">
        <v>8700</v>
      </c>
      <c r="P1059" s="14">
        <v>98.55</v>
      </c>
      <c r="Q1059" s="14">
        <v>126.15</v>
      </c>
      <c r="R1059" s="14">
        <v>128.66999999999999</v>
      </c>
      <c r="S1059" s="2" t="s">
        <v>5092</v>
      </c>
      <c r="T1059" s="2">
        <v>1.01</v>
      </c>
      <c r="U1059" s="2">
        <v>62</v>
      </c>
      <c r="V1059" s="2">
        <v>61</v>
      </c>
      <c r="W1059" s="2" t="s">
        <v>7862</v>
      </c>
      <c r="X1059" s="2" t="s">
        <v>5405</v>
      </c>
      <c r="Y1059" s="2">
        <v>8874</v>
      </c>
      <c r="Z1059" s="19" t="str">
        <f>HYPERLINK("https://ssdweb.co/ssdweb/hd/Vision360.html?d=926681037&amp;zoomslide=1&amp;z=1926681037&amp;ISCONFIRM=0","VIDEO")</f>
        <v>VIDEO</v>
      </c>
      <c r="AA1059" s="19" t="str">
        <f>HYPERLINK("https://ssdweb.co/ssdweb/CERTH/651495372.pdf","CERTI")</f>
        <v>CERTI</v>
      </c>
    </row>
    <row r="1060" spans="1:27" ht="15" x14ac:dyDescent="0.25">
      <c r="A1060" s="2">
        <v>1055</v>
      </c>
      <c r="B1060" s="39">
        <v>941140732</v>
      </c>
      <c r="C1060" s="28" t="str">
        <f>HYPERLINK("https://pld.live/RapDetail.aspx?STONELIST=941140732","DNA")</f>
        <v>DNA</v>
      </c>
      <c r="D1060" s="18" t="s">
        <v>3054</v>
      </c>
      <c r="E1060" s="18" t="s">
        <v>5128</v>
      </c>
      <c r="F1060" s="2" t="s">
        <v>7987</v>
      </c>
      <c r="G1060" s="2" t="s">
        <v>861</v>
      </c>
      <c r="H1060" s="14">
        <v>1.02</v>
      </c>
      <c r="I1060" s="2" t="s">
        <v>4761</v>
      </c>
      <c r="J1060" s="2" t="s">
        <v>7032</v>
      </c>
      <c r="K1060" s="2" t="s">
        <v>3390</v>
      </c>
      <c r="L1060" s="2" t="s">
        <v>5221</v>
      </c>
      <c r="M1060" s="2" t="s">
        <v>5221</v>
      </c>
      <c r="N1060" s="2" t="s">
        <v>2317</v>
      </c>
      <c r="O1060" s="14">
        <v>12500</v>
      </c>
      <c r="P1060" s="14">
        <v>98.24</v>
      </c>
      <c r="Q1060" s="14">
        <v>220</v>
      </c>
      <c r="R1060" s="14">
        <v>224.4</v>
      </c>
      <c r="S1060" s="2" t="s">
        <v>6596</v>
      </c>
      <c r="T1060" s="2">
        <v>1</v>
      </c>
      <c r="U1060" s="2">
        <v>61.8</v>
      </c>
      <c r="V1060" s="2">
        <v>58</v>
      </c>
      <c r="W1060" s="2" t="s">
        <v>7862</v>
      </c>
      <c r="X1060" s="2" t="s">
        <v>5405</v>
      </c>
      <c r="Y1060" s="2">
        <v>12750</v>
      </c>
      <c r="Z1060" s="19" t="str">
        <f>HYPERLINK("https://ssdweb.co/ssdweb/hd/Vision360.html?d=941140732&amp;zoomslide=1&amp;z=1941140732&amp;ISCONFIRM=0","VIDEO")</f>
        <v>VIDEO</v>
      </c>
      <c r="AA1060" s="19" t="str">
        <f>HYPERLINK("https://ssdweb.co/ssdweb/CERTH/675504718.pdf","CERTI")</f>
        <v>CERTI</v>
      </c>
    </row>
    <row r="1061" spans="1:27" ht="15" x14ac:dyDescent="0.25">
      <c r="A1061" s="2">
        <v>1056</v>
      </c>
      <c r="B1061" s="39">
        <v>927052168</v>
      </c>
      <c r="C1061" s="28" t="str">
        <f>HYPERLINK("https://pld.live/RapDetail.aspx?STONELIST=927052168","DNA")</f>
        <v>DNA</v>
      </c>
      <c r="D1061" s="18" t="s">
        <v>3054</v>
      </c>
      <c r="E1061" s="18" t="s">
        <v>5128</v>
      </c>
      <c r="F1061" s="2" t="s">
        <v>7987</v>
      </c>
      <c r="G1061" s="2" t="s">
        <v>861</v>
      </c>
      <c r="H1061" s="14">
        <v>1.02</v>
      </c>
      <c r="I1061" s="2" t="s">
        <v>4761</v>
      </c>
      <c r="J1061" s="2" t="s">
        <v>7032</v>
      </c>
      <c r="K1061" s="2" t="s">
        <v>3390</v>
      </c>
      <c r="L1061" s="2" t="s">
        <v>5221</v>
      </c>
      <c r="M1061" s="2" t="s">
        <v>5221</v>
      </c>
      <c r="N1061" s="2" t="s">
        <v>2317</v>
      </c>
      <c r="O1061" s="14">
        <v>12500</v>
      </c>
      <c r="P1061" s="14">
        <v>98.25</v>
      </c>
      <c r="Q1061" s="14">
        <v>218.75</v>
      </c>
      <c r="R1061" s="14">
        <v>223.13</v>
      </c>
      <c r="S1061" s="2" t="s">
        <v>5288</v>
      </c>
      <c r="T1061" s="2">
        <v>1</v>
      </c>
      <c r="U1061" s="2">
        <v>61.3</v>
      </c>
      <c r="V1061" s="2">
        <v>58</v>
      </c>
      <c r="W1061" s="2" t="s">
        <v>7862</v>
      </c>
      <c r="X1061" s="2" t="s">
        <v>5405</v>
      </c>
      <c r="Y1061" s="2">
        <v>12750</v>
      </c>
      <c r="Z1061" s="19" t="str">
        <f>HYPERLINK("https://ssdweb.co/ssdweb/hd/Vision360.html?d=927052168&amp;zoomslide=1&amp;z=1927052168&amp;ISCONFIRM=0","VIDEO")</f>
        <v>VIDEO</v>
      </c>
      <c r="AA1061" s="19" t="str">
        <f>HYPERLINK("https://ssdweb.co/ssdweb/CERTH/665411182.pdf","CERTI")</f>
        <v>CERTI</v>
      </c>
    </row>
    <row r="1062" spans="1:27" ht="15" x14ac:dyDescent="0.25">
      <c r="A1062" s="2">
        <v>1057</v>
      </c>
      <c r="B1062" s="39">
        <v>926700794</v>
      </c>
      <c r="C1062" s="28" t="str">
        <f>HYPERLINK("https://pld.live/RapDetail.aspx?STONELIST=926700794","DNA")</f>
        <v>DNA</v>
      </c>
      <c r="D1062" s="18" t="s">
        <v>3054</v>
      </c>
      <c r="E1062" s="18" t="s">
        <v>5128</v>
      </c>
      <c r="F1062" s="2" t="s">
        <v>7987</v>
      </c>
      <c r="G1062" s="2" t="s">
        <v>861</v>
      </c>
      <c r="H1062" s="14">
        <v>1.02</v>
      </c>
      <c r="I1062" s="2" t="s">
        <v>4761</v>
      </c>
      <c r="J1062" s="2" t="s">
        <v>6555</v>
      </c>
      <c r="K1062" s="2" t="s">
        <v>3390</v>
      </c>
      <c r="L1062" s="2" t="s">
        <v>5221</v>
      </c>
      <c r="M1062" s="2" t="s">
        <v>5221</v>
      </c>
      <c r="N1062" s="2" t="s">
        <v>2317</v>
      </c>
      <c r="O1062" s="14">
        <v>11100</v>
      </c>
      <c r="P1062" s="14">
        <v>98.78</v>
      </c>
      <c r="Q1062" s="14">
        <v>135.41999999999999</v>
      </c>
      <c r="R1062" s="14">
        <v>138.13</v>
      </c>
      <c r="S1062" s="2" t="s">
        <v>299</v>
      </c>
      <c r="T1062" s="2">
        <v>1</v>
      </c>
      <c r="U1062" s="2">
        <v>60.6</v>
      </c>
      <c r="V1062" s="2">
        <v>59</v>
      </c>
      <c r="W1062" s="2" t="s">
        <v>7862</v>
      </c>
      <c r="X1062" s="2" t="s">
        <v>5405</v>
      </c>
      <c r="Y1062" s="2">
        <v>11322</v>
      </c>
      <c r="Z1062" s="19" t="str">
        <f>HYPERLINK("https://ssdweb.co/ssdweb/hd/Vision360.html?d=926700794&amp;zoomslide=1&amp;z=1926700794&amp;ISCONFIRM=0","VIDEO")</f>
        <v>VIDEO</v>
      </c>
      <c r="AA1062" s="19" t="str">
        <f>HYPERLINK("https://ssdweb.co/ssdweb/CERTH/651401180.pdf","CERTI")</f>
        <v>CERTI</v>
      </c>
    </row>
    <row r="1063" spans="1:27" ht="15" x14ac:dyDescent="0.25">
      <c r="A1063" s="2">
        <v>1058</v>
      </c>
      <c r="B1063" s="39">
        <v>926741062</v>
      </c>
      <c r="C1063" s="28" t="str">
        <f>HYPERLINK("https://pld.live/RapDetail.aspx?STONELIST=926741062","DNA")</f>
        <v>DNA</v>
      </c>
      <c r="D1063" s="18" t="s">
        <v>3054</v>
      </c>
      <c r="E1063" s="18" t="s">
        <v>5128</v>
      </c>
      <c r="F1063" s="2" t="s">
        <v>7987</v>
      </c>
      <c r="G1063" s="2" t="s">
        <v>861</v>
      </c>
      <c r="H1063" s="14">
        <v>1.02</v>
      </c>
      <c r="I1063" s="2" t="s">
        <v>4761</v>
      </c>
      <c r="J1063" s="2" t="s">
        <v>6555</v>
      </c>
      <c r="K1063" s="2" t="s">
        <v>3390</v>
      </c>
      <c r="L1063" s="2" t="s">
        <v>5221</v>
      </c>
      <c r="M1063" s="2" t="s">
        <v>5221</v>
      </c>
      <c r="N1063" s="2" t="s">
        <v>2317</v>
      </c>
      <c r="O1063" s="14">
        <v>11100</v>
      </c>
      <c r="P1063" s="14">
        <v>98.78</v>
      </c>
      <c r="Q1063" s="14">
        <v>135.41999999999999</v>
      </c>
      <c r="R1063" s="14">
        <v>138.13</v>
      </c>
      <c r="S1063" s="2" t="s">
        <v>1550</v>
      </c>
      <c r="T1063" s="2">
        <v>1</v>
      </c>
      <c r="U1063" s="2">
        <v>61.1</v>
      </c>
      <c r="V1063" s="2">
        <v>58</v>
      </c>
      <c r="W1063" s="2" t="s">
        <v>7862</v>
      </c>
      <c r="X1063" s="2" t="s">
        <v>5405</v>
      </c>
      <c r="Y1063" s="2">
        <v>11322</v>
      </c>
      <c r="Z1063" s="19" t="str">
        <f>HYPERLINK("https://ssdweb.co/ssdweb/hd/Vision360.html?d=926741062&amp;zoomslide=1&amp;z=1926741062&amp;ISCONFIRM=0","VIDEO")</f>
        <v>VIDEO</v>
      </c>
      <c r="AA1063" s="19" t="str">
        <f>HYPERLINK("https://ssdweb.co/ssdweb/CERTH/652442340.pdf","CERTI")</f>
        <v>CERTI</v>
      </c>
    </row>
    <row r="1064" spans="1:27" ht="15" x14ac:dyDescent="0.25">
      <c r="A1064" s="2">
        <v>1059</v>
      </c>
      <c r="B1064" s="39">
        <v>926831132</v>
      </c>
      <c r="C1064" s="28" t="str">
        <f>HYPERLINK("https://pld.live/RapDetail.aspx?STONELIST=926831132","DNA")</f>
        <v>DNA</v>
      </c>
      <c r="D1064" s="18" t="s">
        <v>3054</v>
      </c>
      <c r="E1064" s="18" t="s">
        <v>5128</v>
      </c>
      <c r="F1064" s="2" t="s">
        <v>7987</v>
      </c>
      <c r="G1064" s="2" t="s">
        <v>861</v>
      </c>
      <c r="H1064" s="14">
        <v>1.02</v>
      </c>
      <c r="I1064" s="2" t="s">
        <v>4761</v>
      </c>
      <c r="J1064" s="2" t="s">
        <v>6555</v>
      </c>
      <c r="K1064" s="2" t="s">
        <v>3390</v>
      </c>
      <c r="L1064" s="2" t="s">
        <v>5221</v>
      </c>
      <c r="M1064" s="2" t="s">
        <v>5221</v>
      </c>
      <c r="N1064" s="2" t="s">
        <v>2317</v>
      </c>
      <c r="O1064" s="14">
        <v>11100</v>
      </c>
      <c r="P1064" s="14">
        <v>98.78</v>
      </c>
      <c r="Q1064" s="14">
        <v>135.41999999999999</v>
      </c>
      <c r="R1064" s="14">
        <v>138.13</v>
      </c>
      <c r="S1064" s="2" t="s">
        <v>6467</v>
      </c>
      <c r="T1064" s="2">
        <v>1</v>
      </c>
      <c r="U1064" s="2">
        <v>61.2</v>
      </c>
      <c r="V1064" s="2">
        <v>57</v>
      </c>
      <c r="W1064" s="2" t="s">
        <v>7862</v>
      </c>
      <c r="X1064" s="2" t="s">
        <v>5405</v>
      </c>
      <c r="Y1064" s="2">
        <v>11322</v>
      </c>
      <c r="Z1064" s="19" t="str">
        <f>HYPERLINK("https://ssdweb.co/ssdweb/hd/Vision360.html?d=926831132&amp;zoomslide=1&amp;z=1926831132&amp;ISCONFIRM=0","VIDEO")</f>
        <v>VIDEO</v>
      </c>
      <c r="AA1064" s="19" t="str">
        <f>HYPERLINK("https://ssdweb.co/ssdweb/CERTH/655451811.pdf","CERTI")</f>
        <v>CERTI</v>
      </c>
    </row>
    <row r="1065" spans="1:27" ht="15" x14ac:dyDescent="0.25">
      <c r="A1065" s="2">
        <v>1060</v>
      </c>
      <c r="B1065" s="39">
        <v>926900854</v>
      </c>
      <c r="C1065" s="28" t="str">
        <f>HYPERLINK("https://pld.live/RapDetail.aspx?STONELIST=926900854","DNA")</f>
        <v>DNA</v>
      </c>
      <c r="D1065" s="18" t="s">
        <v>3054</v>
      </c>
      <c r="E1065" s="18" t="s">
        <v>5128</v>
      </c>
      <c r="F1065" s="2" t="s">
        <v>7987</v>
      </c>
      <c r="G1065" s="2" t="s">
        <v>861</v>
      </c>
      <c r="H1065" s="14">
        <v>1.02</v>
      </c>
      <c r="I1065" s="2" t="s">
        <v>4761</v>
      </c>
      <c r="J1065" s="2" t="s">
        <v>6555</v>
      </c>
      <c r="K1065" s="2" t="s">
        <v>3390</v>
      </c>
      <c r="L1065" s="2" t="s">
        <v>5221</v>
      </c>
      <c r="M1065" s="2" t="s">
        <v>5221</v>
      </c>
      <c r="N1065" s="2" t="s">
        <v>2317</v>
      </c>
      <c r="O1065" s="14">
        <v>11100</v>
      </c>
      <c r="P1065" s="14">
        <v>98.78</v>
      </c>
      <c r="Q1065" s="14">
        <v>135.41999999999999</v>
      </c>
      <c r="R1065" s="14">
        <v>138.13</v>
      </c>
      <c r="S1065" s="2" t="s">
        <v>532</v>
      </c>
      <c r="T1065" s="2">
        <v>1</v>
      </c>
      <c r="U1065" s="2">
        <v>62</v>
      </c>
      <c r="V1065" s="2">
        <v>58</v>
      </c>
      <c r="W1065" s="2" t="s">
        <v>7862</v>
      </c>
      <c r="X1065" s="2" t="s">
        <v>5405</v>
      </c>
      <c r="Y1065" s="2">
        <v>11322</v>
      </c>
      <c r="Z1065" s="19" t="str">
        <f>HYPERLINK("https://ssdweb.co/ssdweb/hd/Vision360.html?d=926900854&amp;zoomslide=1&amp;z=1926900854&amp;ISCONFIRM=0","VIDEO")</f>
        <v>VIDEO</v>
      </c>
      <c r="AA1065" s="19" t="str">
        <f>HYPERLINK("https://ssdweb.co/ssdweb/CERTH/655451832.pdf","CERTI")</f>
        <v>CERTI</v>
      </c>
    </row>
    <row r="1066" spans="1:27" ht="15" x14ac:dyDescent="0.25">
      <c r="A1066" s="2">
        <v>1061</v>
      </c>
      <c r="B1066" s="39">
        <v>927092135</v>
      </c>
      <c r="C1066" s="28" t="str">
        <f>HYPERLINK("https://pld.live/RapDetail.aspx?STONELIST=927092135","DNA")</f>
        <v>DNA</v>
      </c>
      <c r="D1066" s="18" t="s">
        <v>3054</v>
      </c>
      <c r="E1066" s="18" t="s">
        <v>5128</v>
      </c>
      <c r="F1066" s="2" t="s">
        <v>7987</v>
      </c>
      <c r="G1066" s="2" t="s">
        <v>861</v>
      </c>
      <c r="H1066" s="14">
        <v>1.02</v>
      </c>
      <c r="I1066" s="2" t="s">
        <v>4761</v>
      </c>
      <c r="J1066" s="2" t="s">
        <v>6555</v>
      </c>
      <c r="K1066" s="2" t="s">
        <v>3390</v>
      </c>
      <c r="L1066" s="2" t="s">
        <v>5221</v>
      </c>
      <c r="M1066" s="2" t="s">
        <v>5221</v>
      </c>
      <c r="N1066" s="2" t="s">
        <v>2317</v>
      </c>
      <c r="O1066" s="14">
        <v>11100</v>
      </c>
      <c r="P1066" s="14">
        <v>98.78</v>
      </c>
      <c r="Q1066" s="14">
        <v>135.41999999999999</v>
      </c>
      <c r="R1066" s="14">
        <v>138.13</v>
      </c>
      <c r="S1066" s="2" t="s">
        <v>563</v>
      </c>
      <c r="T1066" s="2">
        <v>1</v>
      </c>
      <c r="U1066" s="2">
        <v>61.4</v>
      </c>
      <c r="V1066" s="2">
        <v>57</v>
      </c>
      <c r="W1066" s="2" t="s">
        <v>7862</v>
      </c>
      <c r="X1066" s="2" t="s">
        <v>5405</v>
      </c>
      <c r="Y1066" s="2">
        <v>11322</v>
      </c>
      <c r="Z1066" s="19" t="str">
        <f>HYPERLINK("https://ssdweb.co/ssdweb/hd/Vision360.html?d=927092135&amp;zoomslide=1&amp;z=1927092135&amp;ISCONFIRM=0","VIDEO")</f>
        <v>VIDEO</v>
      </c>
      <c r="AA1066" s="19" t="str">
        <f>HYPERLINK("https://ssdweb.co/ssdweb/CERTH/665453142.pdf","CERTI")</f>
        <v>CERTI</v>
      </c>
    </row>
    <row r="1067" spans="1:27" ht="15" x14ac:dyDescent="0.25">
      <c r="A1067" s="2">
        <v>1062</v>
      </c>
      <c r="B1067" s="39">
        <v>927091435</v>
      </c>
      <c r="C1067" s="28" t="str">
        <f>HYPERLINK("https://pld.live/RapDetail.aspx?STONELIST=927091435","DNA")</f>
        <v>DNA</v>
      </c>
      <c r="D1067" s="18" t="s">
        <v>3054</v>
      </c>
      <c r="E1067" s="18" t="s">
        <v>5128</v>
      </c>
      <c r="F1067" s="2" t="s">
        <v>7987</v>
      </c>
      <c r="G1067" s="2" t="s">
        <v>861</v>
      </c>
      <c r="H1067" s="14">
        <v>1.02</v>
      </c>
      <c r="I1067" s="2" t="s">
        <v>4761</v>
      </c>
      <c r="J1067" s="2" t="s">
        <v>6555</v>
      </c>
      <c r="K1067" s="2" t="s">
        <v>3390</v>
      </c>
      <c r="L1067" s="2" t="s">
        <v>5221</v>
      </c>
      <c r="M1067" s="2" t="s">
        <v>5221</v>
      </c>
      <c r="N1067" s="2" t="s">
        <v>2317</v>
      </c>
      <c r="O1067" s="14">
        <v>11100</v>
      </c>
      <c r="P1067" s="14">
        <v>98.78</v>
      </c>
      <c r="Q1067" s="14">
        <v>135.41999999999999</v>
      </c>
      <c r="R1067" s="14">
        <v>138.13</v>
      </c>
      <c r="S1067" s="2" t="s">
        <v>1550</v>
      </c>
      <c r="T1067" s="2">
        <v>1</v>
      </c>
      <c r="U1067" s="2">
        <v>61.2</v>
      </c>
      <c r="V1067" s="2">
        <v>58</v>
      </c>
      <c r="W1067" s="2" t="s">
        <v>7862</v>
      </c>
      <c r="X1067" s="2" t="s">
        <v>5405</v>
      </c>
      <c r="Y1067" s="2">
        <v>11322</v>
      </c>
      <c r="Z1067" s="19" t="str">
        <f>HYPERLINK("https://ssdweb.co/ssdweb/hd/Vision360.html?d=927091435&amp;zoomslide=1&amp;z=1927091435&amp;ISCONFIRM=0","VIDEO")</f>
        <v>VIDEO</v>
      </c>
      <c r="AA1067" s="19" t="str">
        <f>HYPERLINK("https://ssdweb.co/ssdweb/CERTH/665411163.pdf","CERTI")</f>
        <v>CERTI</v>
      </c>
    </row>
    <row r="1068" spans="1:27" ht="15" x14ac:dyDescent="0.25">
      <c r="A1068" s="2">
        <v>1063</v>
      </c>
      <c r="B1068" s="39">
        <v>926101635</v>
      </c>
      <c r="C1068" s="28" t="str">
        <f>HYPERLINK("https://pld.live/RapDetail.aspx?STONELIST=926101635","DNA")</f>
        <v>DNA</v>
      </c>
      <c r="D1068" s="18" t="s">
        <v>3054</v>
      </c>
      <c r="E1068" s="18" t="s">
        <v>5128</v>
      </c>
      <c r="F1068" s="2" t="s">
        <v>7987</v>
      </c>
      <c r="G1068" s="2" t="s">
        <v>861</v>
      </c>
      <c r="H1068" s="14">
        <v>1.02</v>
      </c>
      <c r="I1068" s="2" t="s">
        <v>4761</v>
      </c>
      <c r="J1068" s="2" t="s">
        <v>6555</v>
      </c>
      <c r="K1068" s="2" t="s">
        <v>3390</v>
      </c>
      <c r="L1068" s="2" t="s">
        <v>5221</v>
      </c>
      <c r="M1068" s="2" t="s">
        <v>5221</v>
      </c>
      <c r="N1068" s="2" t="s">
        <v>2317</v>
      </c>
      <c r="O1068" s="14">
        <v>11100</v>
      </c>
      <c r="P1068" s="14">
        <v>98.79</v>
      </c>
      <c r="Q1068" s="14">
        <v>134.31</v>
      </c>
      <c r="R1068" s="14">
        <v>137</v>
      </c>
      <c r="S1068" s="2" t="s">
        <v>2232</v>
      </c>
      <c r="T1068" s="2">
        <v>1</v>
      </c>
      <c r="U1068" s="2">
        <v>59.9</v>
      </c>
      <c r="V1068" s="2">
        <v>60</v>
      </c>
      <c r="W1068" s="2" t="s">
        <v>7862</v>
      </c>
      <c r="X1068" s="2" t="s">
        <v>5405</v>
      </c>
      <c r="Y1068" s="2">
        <v>11322</v>
      </c>
      <c r="Z1068" s="19" t="str">
        <f>HYPERLINK("https://ssdweb.co/ssdweb/hd/Vision360.html?d=926101635&amp;zoomslide=1&amp;z=1926101635&amp;ISCONFIRM=0","VIDEO")</f>
        <v>VIDEO</v>
      </c>
      <c r="AA1068" s="19" t="str">
        <f>HYPERLINK("https://ssdweb.co/ssdweb/CERTH/633490516.pdf","CERTI")</f>
        <v>CERTI</v>
      </c>
    </row>
    <row r="1069" spans="1:27" ht="15" x14ac:dyDescent="0.25">
      <c r="A1069" s="2">
        <v>1064</v>
      </c>
      <c r="B1069" s="39">
        <v>941071054</v>
      </c>
      <c r="C1069" s="28" t="str">
        <f>HYPERLINK("https://pld.live/RapDetail.aspx?STONELIST=941071054","DNA")</f>
        <v>DNA</v>
      </c>
      <c r="D1069" s="18" t="s">
        <v>3054</v>
      </c>
      <c r="E1069" s="18" t="s">
        <v>5128</v>
      </c>
      <c r="F1069" s="2" t="s">
        <v>7987</v>
      </c>
      <c r="G1069" s="2" t="s">
        <v>861</v>
      </c>
      <c r="H1069" s="14">
        <v>1.02</v>
      </c>
      <c r="I1069" s="2" t="s">
        <v>4761</v>
      </c>
      <c r="J1069" s="2" t="s">
        <v>6555</v>
      </c>
      <c r="K1069" s="2" t="s">
        <v>3390</v>
      </c>
      <c r="L1069" s="2" t="s">
        <v>5221</v>
      </c>
      <c r="M1069" s="2" t="s">
        <v>5221</v>
      </c>
      <c r="N1069" s="2" t="s">
        <v>2317</v>
      </c>
      <c r="O1069" s="14">
        <v>11100</v>
      </c>
      <c r="P1069" s="14">
        <v>98.77</v>
      </c>
      <c r="Q1069" s="14">
        <v>136.53</v>
      </c>
      <c r="R1069" s="14">
        <v>139.26</v>
      </c>
      <c r="S1069" s="2" t="s">
        <v>7741</v>
      </c>
      <c r="T1069" s="2">
        <v>1</v>
      </c>
      <c r="U1069" s="2">
        <v>62</v>
      </c>
      <c r="V1069" s="2">
        <v>57</v>
      </c>
      <c r="W1069" s="2" t="s">
        <v>7862</v>
      </c>
      <c r="X1069" s="2" t="s">
        <v>5405</v>
      </c>
      <c r="Y1069" s="2">
        <v>11322</v>
      </c>
      <c r="Z1069" s="19" t="str">
        <f>HYPERLINK("https://ssdweb.co/ssdweb/hd/Vision360.html?d=941071054&amp;zoomslide=1&amp;z=1941071054&amp;ISCONFIRM=0","VIDEO")</f>
        <v>VIDEO</v>
      </c>
      <c r="AA1069" s="19" t="str">
        <f>HYPERLINK("https://ssdweb.co/ssdweb/CERTH/671411283.pdf","CERTI")</f>
        <v>CERTI</v>
      </c>
    </row>
    <row r="1070" spans="1:27" ht="15" x14ac:dyDescent="0.25">
      <c r="A1070" s="2">
        <v>1065</v>
      </c>
      <c r="B1070" s="39">
        <v>941071081</v>
      </c>
      <c r="C1070" s="28" t="str">
        <f>HYPERLINK("https://pld.live/RapDetail.aspx?STONELIST=941071081","DNA")</f>
        <v>DNA</v>
      </c>
      <c r="D1070" s="18" t="s">
        <v>3054</v>
      </c>
      <c r="E1070" s="18" t="s">
        <v>5128</v>
      </c>
      <c r="F1070" s="2" t="s">
        <v>7987</v>
      </c>
      <c r="G1070" s="2" t="s">
        <v>861</v>
      </c>
      <c r="H1070" s="14">
        <v>1.02</v>
      </c>
      <c r="I1070" s="2" t="s">
        <v>4761</v>
      </c>
      <c r="J1070" s="2" t="s">
        <v>6555</v>
      </c>
      <c r="K1070" s="2" t="s">
        <v>3390</v>
      </c>
      <c r="L1070" s="2" t="s">
        <v>5221</v>
      </c>
      <c r="M1070" s="2" t="s">
        <v>5221</v>
      </c>
      <c r="N1070" s="2" t="s">
        <v>2317</v>
      </c>
      <c r="O1070" s="14">
        <v>11100</v>
      </c>
      <c r="P1070" s="14">
        <v>98.77</v>
      </c>
      <c r="Q1070" s="14">
        <v>136.53</v>
      </c>
      <c r="R1070" s="14">
        <v>139.26</v>
      </c>
      <c r="S1070" s="2" t="s">
        <v>241</v>
      </c>
      <c r="T1070" s="2">
        <v>1</v>
      </c>
      <c r="U1070" s="2">
        <v>61.2</v>
      </c>
      <c r="V1070" s="2">
        <v>57</v>
      </c>
      <c r="W1070" s="2" t="s">
        <v>7862</v>
      </c>
      <c r="X1070" s="2" t="s">
        <v>5405</v>
      </c>
      <c r="Y1070" s="2">
        <v>11322</v>
      </c>
      <c r="Z1070" s="19" t="str">
        <f>HYPERLINK("https://ssdweb.co/ssdweb/hd/Vision360.html?d=941071081&amp;zoomslide=1&amp;z=1941071081&amp;ISCONFIRM=0","VIDEO")</f>
        <v>VIDEO</v>
      </c>
      <c r="AA1070" s="19" t="str">
        <f>HYPERLINK("https://ssdweb.co/ssdweb/CERTH/671411212.pdf","CERTI")</f>
        <v>CERTI</v>
      </c>
    </row>
    <row r="1071" spans="1:27" ht="15" x14ac:dyDescent="0.25">
      <c r="A1071" s="2">
        <v>1066</v>
      </c>
      <c r="B1071" s="39">
        <v>927150776</v>
      </c>
      <c r="C1071" s="28" t="str">
        <f>HYPERLINK("https://pld.live/RapDetail.aspx?STONELIST=927150776","DNA")</f>
        <v>DNA</v>
      </c>
      <c r="D1071" s="18" t="s">
        <v>3054</v>
      </c>
      <c r="E1071" s="18" t="s">
        <v>5128</v>
      </c>
      <c r="F1071" s="2" t="s">
        <v>7987</v>
      </c>
      <c r="G1071" s="2" t="s">
        <v>861</v>
      </c>
      <c r="H1071" s="14">
        <v>1.02</v>
      </c>
      <c r="I1071" s="2" t="s">
        <v>4761</v>
      </c>
      <c r="J1071" s="2" t="s">
        <v>6555</v>
      </c>
      <c r="K1071" s="2" t="s">
        <v>3390</v>
      </c>
      <c r="L1071" s="2" t="s">
        <v>5221</v>
      </c>
      <c r="M1071" s="2" t="s">
        <v>5221</v>
      </c>
      <c r="N1071" s="2" t="s">
        <v>2317</v>
      </c>
      <c r="O1071" s="14">
        <v>11100</v>
      </c>
      <c r="P1071" s="14">
        <v>98.78</v>
      </c>
      <c r="Q1071" s="14">
        <v>135.41999999999999</v>
      </c>
      <c r="R1071" s="14">
        <v>138.13</v>
      </c>
      <c r="S1071" s="2" t="s">
        <v>4562</v>
      </c>
      <c r="T1071" s="2">
        <v>1.01</v>
      </c>
      <c r="U1071" s="2">
        <v>60.3</v>
      </c>
      <c r="V1071" s="2">
        <v>59</v>
      </c>
      <c r="W1071" s="2" t="s">
        <v>7862</v>
      </c>
      <c r="X1071" s="2" t="s">
        <v>5405</v>
      </c>
      <c r="Y1071" s="2">
        <v>11322</v>
      </c>
      <c r="Z1071" s="19" t="str">
        <f>HYPERLINK("https://ssdweb.co/ssdweb/hd/Vision360.html?d=927150776&amp;zoomslide=1&amp;z=1927150776&amp;ISCONFIRM=0","VIDEO")</f>
        <v>VIDEO</v>
      </c>
      <c r="AA1071" s="19" t="str">
        <f>HYPERLINK("https://ssdweb.co/ssdweb/CERTH/668437161.pdf","CERTI")</f>
        <v>CERTI</v>
      </c>
    </row>
    <row r="1072" spans="1:27" ht="15" x14ac:dyDescent="0.25">
      <c r="A1072" s="2">
        <v>1067</v>
      </c>
      <c r="B1072" s="39">
        <v>941071237</v>
      </c>
      <c r="C1072" s="28" t="str">
        <f>HYPERLINK("https://pld.live/RapDetail.aspx?STONELIST=941071237","DNA")</f>
        <v>DNA</v>
      </c>
      <c r="D1072" s="18" t="s">
        <v>3054</v>
      </c>
      <c r="E1072" s="18" t="s">
        <v>5128</v>
      </c>
      <c r="F1072" s="2" t="s">
        <v>7987</v>
      </c>
      <c r="G1072" s="2" t="s">
        <v>861</v>
      </c>
      <c r="H1072" s="14">
        <v>1.02</v>
      </c>
      <c r="I1072" s="2" t="s">
        <v>4761</v>
      </c>
      <c r="J1072" s="2" t="s">
        <v>6555</v>
      </c>
      <c r="K1072" s="2" t="s">
        <v>3390</v>
      </c>
      <c r="L1072" s="2" t="s">
        <v>5221</v>
      </c>
      <c r="M1072" s="2" t="s">
        <v>5221</v>
      </c>
      <c r="N1072" s="2" t="s">
        <v>2317</v>
      </c>
      <c r="O1072" s="14">
        <v>11100</v>
      </c>
      <c r="P1072" s="14">
        <v>98.77</v>
      </c>
      <c r="Q1072" s="14">
        <v>136.53</v>
      </c>
      <c r="R1072" s="14">
        <v>139.26</v>
      </c>
      <c r="S1072" s="2" t="s">
        <v>7489</v>
      </c>
      <c r="T1072" s="2">
        <v>1.01</v>
      </c>
      <c r="U1072" s="2">
        <v>61.4</v>
      </c>
      <c r="V1072" s="2">
        <v>60</v>
      </c>
      <c r="W1072" s="2" t="s">
        <v>7862</v>
      </c>
      <c r="X1072" s="2" t="s">
        <v>5405</v>
      </c>
      <c r="Y1072" s="2">
        <v>11322</v>
      </c>
      <c r="Z1072" s="19" t="str">
        <f>HYPERLINK("https://ssdweb.co/ssdweb/hd/Vision360.html?d=941071237&amp;zoomslide=1&amp;z=1941071237&amp;ISCONFIRM=0","VIDEO")</f>
        <v>VIDEO</v>
      </c>
      <c r="AA1072" s="19" t="str">
        <f>HYPERLINK("https://ssdweb.co/ssdweb/CERTH/671437452.pdf","CERTI")</f>
        <v>CERTI</v>
      </c>
    </row>
    <row r="1073" spans="1:27" ht="15" x14ac:dyDescent="0.25">
      <c r="A1073" s="2">
        <v>1068</v>
      </c>
      <c r="B1073" s="39">
        <v>927100950</v>
      </c>
      <c r="C1073" s="28" t="str">
        <f>HYPERLINK("https://pld.live/RapDetail.aspx?STONELIST=927100950","DNA")</f>
        <v>DNA</v>
      </c>
      <c r="D1073" s="18" t="s">
        <v>3054</v>
      </c>
      <c r="E1073" s="18" t="s">
        <v>5128</v>
      </c>
      <c r="F1073" s="2" t="s">
        <v>7987</v>
      </c>
      <c r="G1073" s="2" t="s">
        <v>861</v>
      </c>
      <c r="H1073" s="14">
        <v>1.02</v>
      </c>
      <c r="I1073" s="2" t="s">
        <v>4761</v>
      </c>
      <c r="J1073" s="2" t="s">
        <v>6555</v>
      </c>
      <c r="K1073" s="2" t="s">
        <v>3390</v>
      </c>
      <c r="L1073" s="2" t="s">
        <v>5221</v>
      </c>
      <c r="M1073" s="2" t="s">
        <v>5221</v>
      </c>
      <c r="N1073" s="2" t="s">
        <v>2317</v>
      </c>
      <c r="O1073" s="14">
        <v>11100</v>
      </c>
      <c r="P1073" s="14">
        <v>98.78</v>
      </c>
      <c r="Q1073" s="14">
        <v>135.41999999999999</v>
      </c>
      <c r="R1073" s="14">
        <v>138.13</v>
      </c>
      <c r="S1073" s="2" t="s">
        <v>6467</v>
      </c>
      <c r="T1073" s="2">
        <v>1</v>
      </c>
      <c r="U1073" s="2">
        <v>61.1</v>
      </c>
      <c r="V1073" s="2">
        <v>58</v>
      </c>
      <c r="W1073" s="2" t="s">
        <v>7862</v>
      </c>
      <c r="X1073" s="2" t="s">
        <v>5405</v>
      </c>
      <c r="Y1073" s="2">
        <v>11322</v>
      </c>
      <c r="Z1073" s="19" t="str">
        <f>HYPERLINK("https://ssdweb.co/ssdweb/hd/Vision360.html?d=927100950&amp;zoomslide=1&amp;z=1927100950&amp;ISCONFIRM=0","VIDEO")</f>
        <v>VIDEO</v>
      </c>
      <c r="AA1073" s="19" t="str">
        <f>HYPERLINK("https://ssdweb.co/ssdweb/CERTH/665453127.pdf","CERTI")</f>
        <v>CERTI</v>
      </c>
    </row>
    <row r="1074" spans="1:27" ht="15" x14ac:dyDescent="0.25">
      <c r="A1074" s="2">
        <v>1069</v>
      </c>
      <c r="B1074" s="39">
        <v>927101023</v>
      </c>
      <c r="C1074" s="28" t="str">
        <f>HYPERLINK("https://pld.live/RapDetail.aspx?STONELIST=927101023","DNA")</f>
        <v>DNA</v>
      </c>
      <c r="D1074" s="18" t="s">
        <v>3054</v>
      </c>
      <c r="E1074" s="18" t="s">
        <v>5128</v>
      </c>
      <c r="F1074" s="2" t="s">
        <v>7987</v>
      </c>
      <c r="G1074" s="2" t="s">
        <v>861</v>
      </c>
      <c r="H1074" s="14">
        <v>1.02</v>
      </c>
      <c r="I1074" s="2" t="s">
        <v>4761</v>
      </c>
      <c r="J1074" s="2" t="s">
        <v>6555</v>
      </c>
      <c r="K1074" s="2" t="s">
        <v>3390</v>
      </c>
      <c r="L1074" s="2" t="s">
        <v>5221</v>
      </c>
      <c r="M1074" s="2" t="s">
        <v>5221</v>
      </c>
      <c r="N1074" s="2" t="s">
        <v>2317</v>
      </c>
      <c r="O1074" s="14">
        <v>11100</v>
      </c>
      <c r="P1074" s="14">
        <v>98.78</v>
      </c>
      <c r="Q1074" s="14">
        <v>135.41999999999999</v>
      </c>
      <c r="R1074" s="14">
        <v>138.13</v>
      </c>
      <c r="S1074" s="2" t="s">
        <v>3336</v>
      </c>
      <c r="T1074" s="2">
        <v>1</v>
      </c>
      <c r="U1074" s="2">
        <v>60.8</v>
      </c>
      <c r="V1074" s="2">
        <v>58</v>
      </c>
      <c r="W1074" s="2" t="s">
        <v>7862</v>
      </c>
      <c r="X1074" s="2" t="s">
        <v>5405</v>
      </c>
      <c r="Y1074" s="2">
        <v>11322</v>
      </c>
      <c r="Z1074" s="19" t="str">
        <f>HYPERLINK("https://ssdweb.co/ssdweb/hd/Vision360.html?d=927101023&amp;zoomslide=1&amp;z=1927101023&amp;ISCONFIRM=0","VIDEO")</f>
        <v>VIDEO</v>
      </c>
      <c r="AA1074" s="19" t="str">
        <f>HYPERLINK("https://ssdweb.co/ssdweb/CERTH/665453128.pdf","CERTI")</f>
        <v>CERTI</v>
      </c>
    </row>
    <row r="1075" spans="1:27" ht="15" x14ac:dyDescent="0.25">
      <c r="A1075" s="2">
        <v>1070</v>
      </c>
      <c r="B1075" s="39">
        <v>927052081</v>
      </c>
      <c r="C1075" s="28" t="str">
        <f>HYPERLINK("https://pld.live/RapDetail.aspx?STONELIST=927052081","DNA")</f>
        <v>DNA</v>
      </c>
      <c r="D1075" s="18" t="s">
        <v>3054</v>
      </c>
      <c r="E1075" s="18" t="s">
        <v>5128</v>
      </c>
      <c r="F1075" s="2" t="s">
        <v>7987</v>
      </c>
      <c r="G1075" s="2" t="s">
        <v>861</v>
      </c>
      <c r="H1075" s="14">
        <v>1.02</v>
      </c>
      <c r="I1075" s="2" t="s">
        <v>4761</v>
      </c>
      <c r="J1075" s="2" t="s">
        <v>6555</v>
      </c>
      <c r="K1075" s="2" t="s">
        <v>3390</v>
      </c>
      <c r="L1075" s="2" t="s">
        <v>5221</v>
      </c>
      <c r="M1075" s="2" t="s">
        <v>5221</v>
      </c>
      <c r="N1075" s="2" t="s">
        <v>2317</v>
      </c>
      <c r="O1075" s="14">
        <v>11100</v>
      </c>
      <c r="P1075" s="14">
        <v>98.78</v>
      </c>
      <c r="Q1075" s="14">
        <v>135.41999999999999</v>
      </c>
      <c r="R1075" s="14">
        <v>138.13</v>
      </c>
      <c r="S1075" s="2" t="s">
        <v>7169</v>
      </c>
      <c r="T1075" s="2">
        <v>1.01</v>
      </c>
      <c r="U1075" s="2">
        <v>61.9</v>
      </c>
      <c r="V1075" s="2">
        <v>58</v>
      </c>
      <c r="W1075" s="2" t="s">
        <v>7862</v>
      </c>
      <c r="X1075" s="2" t="s">
        <v>5405</v>
      </c>
      <c r="Y1075" s="2">
        <v>11322</v>
      </c>
      <c r="Z1075" s="19" t="str">
        <f>HYPERLINK("https://ssdweb.co/ssdweb/hd/Vision360.html?d=927052081&amp;zoomslide=1&amp;z=1927052081&amp;ISCONFIRM=0","VIDEO")</f>
        <v>VIDEO</v>
      </c>
      <c r="AA1075" s="19" t="str">
        <f>HYPERLINK("https://ssdweb.co/ssdweb/CERTH/662417142.pdf","CERTI")</f>
        <v>CERTI</v>
      </c>
    </row>
    <row r="1076" spans="1:27" ht="15" x14ac:dyDescent="0.25">
      <c r="A1076" s="2">
        <v>1071</v>
      </c>
      <c r="B1076" s="39">
        <v>927052086</v>
      </c>
      <c r="C1076" s="28" t="str">
        <f>HYPERLINK("https://pld.live/RapDetail.aspx?STONELIST=927052086","DNA")</f>
        <v>DNA</v>
      </c>
      <c r="D1076" s="18" t="s">
        <v>3054</v>
      </c>
      <c r="E1076" s="18" t="s">
        <v>5128</v>
      </c>
      <c r="F1076" s="2" t="s">
        <v>7987</v>
      </c>
      <c r="G1076" s="2" t="s">
        <v>861</v>
      </c>
      <c r="H1076" s="14">
        <v>1.02</v>
      </c>
      <c r="I1076" s="2" t="s">
        <v>4761</v>
      </c>
      <c r="J1076" s="2" t="s">
        <v>6555</v>
      </c>
      <c r="K1076" s="2" t="s">
        <v>3390</v>
      </c>
      <c r="L1076" s="2" t="s">
        <v>5221</v>
      </c>
      <c r="M1076" s="2" t="s">
        <v>5221</v>
      </c>
      <c r="N1076" s="2" t="s">
        <v>2317</v>
      </c>
      <c r="O1076" s="14">
        <v>11100</v>
      </c>
      <c r="P1076" s="14">
        <v>98.78</v>
      </c>
      <c r="Q1076" s="14">
        <v>135.41999999999999</v>
      </c>
      <c r="R1076" s="14">
        <v>138.13</v>
      </c>
      <c r="S1076" s="2" t="s">
        <v>2934</v>
      </c>
      <c r="T1076" s="2">
        <v>1.01</v>
      </c>
      <c r="U1076" s="2">
        <v>60.3</v>
      </c>
      <c r="V1076" s="2">
        <v>59</v>
      </c>
      <c r="W1076" s="2" t="s">
        <v>7862</v>
      </c>
      <c r="X1076" s="2" t="s">
        <v>5405</v>
      </c>
      <c r="Y1076" s="2">
        <v>11322</v>
      </c>
      <c r="Z1076" s="19" t="str">
        <f>HYPERLINK("https://ssdweb.co/ssdweb/hd/Vision360.html?d=927052086&amp;zoomslide=1&amp;z=1927052086&amp;ISCONFIRM=0","VIDEO")</f>
        <v>VIDEO</v>
      </c>
      <c r="AA1076" s="19" t="str">
        <f>HYPERLINK("https://ssdweb.co/ssdweb/CERTH/665453197.pdf","CERTI")</f>
        <v>CERTI</v>
      </c>
    </row>
    <row r="1077" spans="1:27" ht="15" x14ac:dyDescent="0.25">
      <c r="A1077" s="2">
        <v>1072</v>
      </c>
      <c r="B1077" s="39">
        <v>927052230</v>
      </c>
      <c r="C1077" s="28" t="str">
        <f>HYPERLINK("https://pld.live/RapDetail.aspx?STONELIST=927052230","DNA")</f>
        <v>DNA</v>
      </c>
      <c r="D1077" s="18" t="s">
        <v>3054</v>
      </c>
      <c r="E1077" s="18" t="s">
        <v>5128</v>
      </c>
      <c r="F1077" s="2" t="s">
        <v>7987</v>
      </c>
      <c r="G1077" s="2" t="s">
        <v>861</v>
      </c>
      <c r="H1077" s="14">
        <v>1.02</v>
      </c>
      <c r="I1077" s="2" t="s">
        <v>4761</v>
      </c>
      <c r="J1077" s="2" t="s">
        <v>6555</v>
      </c>
      <c r="K1077" s="2" t="s">
        <v>3390</v>
      </c>
      <c r="L1077" s="2" t="s">
        <v>5221</v>
      </c>
      <c r="M1077" s="2" t="s">
        <v>5221</v>
      </c>
      <c r="N1077" s="2" t="s">
        <v>2317</v>
      </c>
      <c r="O1077" s="14">
        <v>11100</v>
      </c>
      <c r="P1077" s="14">
        <v>98.78</v>
      </c>
      <c r="Q1077" s="14">
        <v>135.41999999999999</v>
      </c>
      <c r="R1077" s="14">
        <v>138.13</v>
      </c>
      <c r="S1077" s="2" t="s">
        <v>6309</v>
      </c>
      <c r="T1077" s="2">
        <v>1.01</v>
      </c>
      <c r="U1077" s="2">
        <v>60.9</v>
      </c>
      <c r="V1077" s="2">
        <v>58</v>
      </c>
      <c r="W1077" s="2" t="s">
        <v>7862</v>
      </c>
      <c r="X1077" s="2" t="s">
        <v>5405</v>
      </c>
      <c r="Y1077" s="2">
        <v>11322</v>
      </c>
      <c r="Z1077" s="19" t="str">
        <f>HYPERLINK("https://ssdweb.co/ssdweb/hd/Vision360.html?d=927052230&amp;zoomslide=1&amp;z=1927052230&amp;ISCONFIRM=0","VIDEO")</f>
        <v>VIDEO</v>
      </c>
      <c r="AA1077" s="19" t="str">
        <f>HYPERLINK("https://ssdweb.co/ssdweb/CERTH/665453204.pdf","CERTI")</f>
        <v>CERTI</v>
      </c>
    </row>
    <row r="1078" spans="1:27" ht="15" x14ac:dyDescent="0.25">
      <c r="A1078" s="2">
        <v>1073</v>
      </c>
      <c r="B1078" s="39">
        <v>927101085</v>
      </c>
      <c r="C1078" s="28" t="str">
        <f>HYPERLINK("https://pld.live/RapDetail.aspx?STONELIST=927101085","DNA")</f>
        <v>DNA</v>
      </c>
      <c r="D1078" s="18" t="s">
        <v>3054</v>
      </c>
      <c r="E1078" s="18" t="s">
        <v>5128</v>
      </c>
      <c r="F1078" s="2" t="s">
        <v>7987</v>
      </c>
      <c r="G1078" s="2" t="s">
        <v>861</v>
      </c>
      <c r="H1078" s="14">
        <v>1.02</v>
      </c>
      <c r="I1078" s="2" t="s">
        <v>4761</v>
      </c>
      <c r="J1078" s="2" t="s">
        <v>6555</v>
      </c>
      <c r="K1078" s="2" t="s">
        <v>3390</v>
      </c>
      <c r="L1078" s="2" t="s">
        <v>5221</v>
      </c>
      <c r="M1078" s="2" t="s">
        <v>5221</v>
      </c>
      <c r="N1078" s="2" t="s">
        <v>2317</v>
      </c>
      <c r="O1078" s="14">
        <v>11100</v>
      </c>
      <c r="P1078" s="14">
        <v>98.78</v>
      </c>
      <c r="Q1078" s="14">
        <v>135.41999999999999</v>
      </c>
      <c r="R1078" s="14">
        <v>138.13</v>
      </c>
      <c r="S1078" s="2" t="s">
        <v>2005</v>
      </c>
      <c r="T1078" s="2">
        <v>1</v>
      </c>
      <c r="U1078" s="2">
        <v>61.3</v>
      </c>
      <c r="V1078" s="2">
        <v>59</v>
      </c>
      <c r="W1078" s="2" t="s">
        <v>7862</v>
      </c>
      <c r="X1078" s="2" t="s">
        <v>5405</v>
      </c>
      <c r="Y1078" s="2">
        <v>11322</v>
      </c>
      <c r="Z1078" s="19" t="str">
        <f>HYPERLINK("https://ssdweb.co/ssdweb/hd/Vision360.html?d=927101085&amp;zoomslide=1&amp;z=1927101085&amp;ISCONFIRM=0","VIDEO")</f>
        <v>VIDEO</v>
      </c>
      <c r="AA1078" s="19" t="str">
        <f>HYPERLINK("https://ssdweb.co/ssdweb/CERTH/665453185.pdf","CERTI")</f>
        <v>CERTI</v>
      </c>
    </row>
    <row r="1079" spans="1:27" ht="15" x14ac:dyDescent="0.25">
      <c r="A1079" s="2">
        <v>1074</v>
      </c>
      <c r="B1079" s="39">
        <v>927052361</v>
      </c>
      <c r="C1079" s="28" t="str">
        <f>HYPERLINK("https://pld.live/RapDetail.aspx?STONELIST=927052361","DNA")</f>
        <v>DNA</v>
      </c>
      <c r="D1079" s="18" t="s">
        <v>3054</v>
      </c>
      <c r="E1079" s="18" t="s">
        <v>5128</v>
      </c>
      <c r="F1079" s="2" t="s">
        <v>7987</v>
      </c>
      <c r="G1079" s="2" t="s">
        <v>861</v>
      </c>
      <c r="H1079" s="14">
        <v>1.02</v>
      </c>
      <c r="I1079" s="2" t="s">
        <v>4761</v>
      </c>
      <c r="J1079" s="2" t="s">
        <v>6555</v>
      </c>
      <c r="K1079" s="2" t="s">
        <v>3390</v>
      </c>
      <c r="L1079" s="2" t="s">
        <v>5221</v>
      </c>
      <c r="M1079" s="2" t="s">
        <v>5221</v>
      </c>
      <c r="N1079" s="2" t="s">
        <v>2317</v>
      </c>
      <c r="O1079" s="14">
        <v>11100</v>
      </c>
      <c r="P1079" s="14">
        <v>98.78</v>
      </c>
      <c r="Q1079" s="14">
        <v>135.41999999999999</v>
      </c>
      <c r="R1079" s="14">
        <v>138.13</v>
      </c>
      <c r="S1079" s="2" t="s">
        <v>3724</v>
      </c>
      <c r="T1079" s="2">
        <v>1.01</v>
      </c>
      <c r="U1079" s="2">
        <v>61.2</v>
      </c>
      <c r="V1079" s="2">
        <v>59</v>
      </c>
      <c r="W1079" s="2" t="s">
        <v>7862</v>
      </c>
      <c r="X1079" s="2" t="s">
        <v>5405</v>
      </c>
      <c r="Y1079" s="2">
        <v>11322</v>
      </c>
      <c r="Z1079" s="19" t="str">
        <f>HYPERLINK("https://ssdweb.co/ssdweb/hd/Vision360.html?d=927052361&amp;zoomslide=1&amp;z=1927052361&amp;ISCONFIRM=0","VIDEO")</f>
        <v>VIDEO</v>
      </c>
      <c r="AA1079" s="19" t="str">
        <f>HYPERLINK("https://ssdweb.co/ssdweb/CERTH/665453207.pdf","CERTI")</f>
        <v>CERTI</v>
      </c>
    </row>
    <row r="1080" spans="1:27" ht="15" x14ac:dyDescent="0.25">
      <c r="A1080" s="2">
        <v>1075</v>
      </c>
      <c r="B1080" s="39">
        <v>927101110</v>
      </c>
      <c r="C1080" s="28" t="str">
        <f>HYPERLINK("https://pld.live/RapDetail.aspx?STONELIST=927101110","DNA")</f>
        <v>DNA</v>
      </c>
      <c r="D1080" s="18" t="s">
        <v>3054</v>
      </c>
      <c r="E1080" s="18" t="s">
        <v>5128</v>
      </c>
      <c r="F1080" s="2" t="s">
        <v>7987</v>
      </c>
      <c r="G1080" s="2" t="s">
        <v>861</v>
      </c>
      <c r="H1080" s="14">
        <v>1.02</v>
      </c>
      <c r="I1080" s="2" t="s">
        <v>4761</v>
      </c>
      <c r="J1080" s="2" t="s">
        <v>6555</v>
      </c>
      <c r="K1080" s="2" t="s">
        <v>3390</v>
      </c>
      <c r="L1080" s="2" t="s">
        <v>5221</v>
      </c>
      <c r="M1080" s="2" t="s">
        <v>5221</v>
      </c>
      <c r="N1080" s="2" t="s">
        <v>2317</v>
      </c>
      <c r="O1080" s="14">
        <v>11100</v>
      </c>
      <c r="P1080" s="14">
        <v>98.78</v>
      </c>
      <c r="Q1080" s="14">
        <v>135.41999999999999</v>
      </c>
      <c r="R1080" s="14">
        <v>138.13</v>
      </c>
      <c r="S1080" s="2" t="s">
        <v>7088</v>
      </c>
      <c r="T1080" s="2">
        <v>1.01</v>
      </c>
      <c r="U1080" s="2">
        <v>61.8</v>
      </c>
      <c r="V1080" s="2">
        <v>58</v>
      </c>
      <c r="W1080" s="2" t="s">
        <v>7862</v>
      </c>
      <c r="X1080" s="2" t="s">
        <v>5405</v>
      </c>
      <c r="Y1080" s="2">
        <v>11322</v>
      </c>
      <c r="Z1080" s="19" t="str">
        <f>HYPERLINK("https://ssdweb.co/ssdweb/hd/Vision360.html?d=927101110&amp;zoomslide=1&amp;z=1927101110&amp;ISCONFIRM=0","VIDEO")</f>
        <v>VIDEO</v>
      </c>
      <c r="AA1080" s="19" t="str">
        <f>HYPERLINK("https://ssdweb.co/ssdweb/CERTH/665453188.pdf","CERTI")</f>
        <v>CERTI</v>
      </c>
    </row>
    <row r="1081" spans="1:27" ht="15" x14ac:dyDescent="0.25">
      <c r="A1081" s="2">
        <v>1076</v>
      </c>
      <c r="B1081" s="39">
        <v>926741071</v>
      </c>
      <c r="C1081" s="28" t="str">
        <f>HYPERLINK("https://pld.live/RapDetail.aspx?STONELIST=926741071","DNA")</f>
        <v>DNA</v>
      </c>
      <c r="D1081" s="18" t="s">
        <v>3054</v>
      </c>
      <c r="E1081" s="18" t="s">
        <v>5128</v>
      </c>
      <c r="F1081" s="2" t="s">
        <v>5597</v>
      </c>
      <c r="G1081" s="2" t="s">
        <v>861</v>
      </c>
      <c r="H1081" s="14">
        <v>1.02</v>
      </c>
      <c r="I1081" s="2" t="s">
        <v>4761</v>
      </c>
      <c r="J1081" s="2" t="s">
        <v>6555</v>
      </c>
      <c r="K1081" s="2" t="s">
        <v>5221</v>
      </c>
      <c r="L1081" s="2" t="s">
        <v>5221</v>
      </c>
      <c r="M1081" s="2" t="s">
        <v>5221</v>
      </c>
      <c r="N1081" s="2" t="s">
        <v>2317</v>
      </c>
      <c r="O1081" s="14">
        <v>11100</v>
      </c>
      <c r="P1081" s="14">
        <v>97.87</v>
      </c>
      <c r="Q1081" s="14">
        <v>236.43</v>
      </c>
      <c r="R1081" s="14">
        <v>241.16</v>
      </c>
      <c r="S1081" s="2" t="s">
        <v>1166</v>
      </c>
      <c r="T1081" s="2">
        <v>1</v>
      </c>
      <c r="U1081" s="2">
        <v>61.8</v>
      </c>
      <c r="V1081" s="2">
        <v>56</v>
      </c>
      <c r="W1081" s="2" t="s">
        <v>7862</v>
      </c>
      <c r="X1081" s="2" t="s">
        <v>5405</v>
      </c>
      <c r="Y1081" s="2">
        <v>11322</v>
      </c>
      <c r="Z1081" s="19" t="str">
        <f>HYPERLINK("https://ssdweb.co/ssdweb/hd/Vision360.html?d=926741071&amp;zoomslide=1&amp;z=1926741071&amp;ISCONFIRM=0","VIDEO")</f>
        <v>VIDEO</v>
      </c>
      <c r="AA1081" s="19" t="str">
        <f>HYPERLINK("https://ssdweb.co/ssdweb/CERTH/6505458970.pdf","CERTI")</f>
        <v>CERTI</v>
      </c>
    </row>
    <row r="1082" spans="1:27" ht="15" x14ac:dyDescent="0.25">
      <c r="A1082" s="2">
        <v>1077</v>
      </c>
      <c r="B1082" s="39">
        <v>926831048</v>
      </c>
      <c r="C1082" s="28" t="str">
        <f>HYPERLINK("https://pld.live/RapDetail.aspx?STONELIST=926831048","DNA")</f>
        <v>DNA</v>
      </c>
      <c r="D1082" s="18" t="s">
        <v>3054</v>
      </c>
      <c r="E1082" s="18" t="s">
        <v>5128</v>
      </c>
      <c r="F1082" s="2" t="s">
        <v>5597</v>
      </c>
      <c r="G1082" s="2" t="s">
        <v>861</v>
      </c>
      <c r="H1082" s="14">
        <v>1.02</v>
      </c>
      <c r="I1082" s="2" t="s">
        <v>4761</v>
      </c>
      <c r="J1082" s="2" t="s">
        <v>6555</v>
      </c>
      <c r="K1082" s="2" t="s">
        <v>5221</v>
      </c>
      <c r="L1082" s="2" t="s">
        <v>5221</v>
      </c>
      <c r="M1082" s="2" t="s">
        <v>5221</v>
      </c>
      <c r="N1082" s="2" t="s">
        <v>2317</v>
      </c>
      <c r="O1082" s="14">
        <v>11100</v>
      </c>
      <c r="P1082" s="14">
        <v>97.87</v>
      </c>
      <c r="Q1082" s="14">
        <v>236.43</v>
      </c>
      <c r="R1082" s="14">
        <v>241.16</v>
      </c>
      <c r="S1082" s="2" t="s">
        <v>1485</v>
      </c>
      <c r="T1082" s="2">
        <v>1</v>
      </c>
      <c r="U1082" s="2">
        <v>61.6</v>
      </c>
      <c r="V1082" s="2">
        <v>58</v>
      </c>
      <c r="W1082" s="2" t="s">
        <v>7862</v>
      </c>
      <c r="X1082" s="2" t="s">
        <v>5405</v>
      </c>
      <c r="Y1082" s="2">
        <v>11322</v>
      </c>
      <c r="Z1082" s="19" t="str">
        <f>HYPERLINK("https://ssdweb.co/ssdweb/hd/Vision360.html?d=926831048&amp;zoomslide=1&amp;z=1926831048&amp;ISCONFIRM=0","VIDEO")</f>
        <v>VIDEO</v>
      </c>
      <c r="AA1082" s="19" t="str">
        <f>HYPERLINK("https://ssdweb.co/ssdweb/CERTH/7503552303.pdf","CERTI")</f>
        <v>CERTI</v>
      </c>
    </row>
    <row r="1083" spans="1:27" ht="15" x14ac:dyDescent="0.25">
      <c r="A1083" s="2">
        <v>1078</v>
      </c>
      <c r="B1083" s="39">
        <v>926831083</v>
      </c>
      <c r="C1083" s="28" t="str">
        <f>HYPERLINK("https://pld.live/RapDetail.aspx?STONELIST=926831083","DNA")</f>
        <v>DNA</v>
      </c>
      <c r="D1083" s="18" t="s">
        <v>3054</v>
      </c>
      <c r="E1083" s="18" t="s">
        <v>5128</v>
      </c>
      <c r="F1083" s="2" t="s">
        <v>5597</v>
      </c>
      <c r="G1083" s="2" t="s">
        <v>861</v>
      </c>
      <c r="H1083" s="14">
        <v>1.02</v>
      </c>
      <c r="I1083" s="2" t="s">
        <v>4761</v>
      </c>
      <c r="J1083" s="2" t="s">
        <v>6555</v>
      </c>
      <c r="K1083" s="2" t="s">
        <v>5221</v>
      </c>
      <c r="L1083" s="2" t="s">
        <v>5221</v>
      </c>
      <c r="M1083" s="2" t="s">
        <v>5221</v>
      </c>
      <c r="N1083" s="2" t="s">
        <v>2317</v>
      </c>
      <c r="O1083" s="14">
        <v>11100</v>
      </c>
      <c r="P1083" s="14">
        <v>97.87</v>
      </c>
      <c r="Q1083" s="14">
        <v>236.43</v>
      </c>
      <c r="R1083" s="14">
        <v>241.16</v>
      </c>
      <c r="S1083" s="2" t="s">
        <v>5259</v>
      </c>
      <c r="T1083" s="2">
        <v>1</v>
      </c>
      <c r="U1083" s="2">
        <v>60.6</v>
      </c>
      <c r="V1083" s="2">
        <v>58</v>
      </c>
      <c r="W1083" s="2" t="s">
        <v>7862</v>
      </c>
      <c r="X1083" s="2" t="s">
        <v>5405</v>
      </c>
      <c r="Y1083" s="2">
        <v>11322</v>
      </c>
      <c r="Z1083" s="19" t="str">
        <f>HYPERLINK("https://ssdweb.co/ssdweb/hd/Vision360.html?d=926831083&amp;zoomslide=1&amp;z=1926831083&amp;ISCONFIRM=0","VIDEO")</f>
        <v>VIDEO</v>
      </c>
      <c r="AA1083" s="19" t="str">
        <f>HYPERLINK("https://ssdweb.co/ssdweb/CERTH/1509621692.pdf","CERTI")</f>
        <v>CERTI</v>
      </c>
    </row>
    <row r="1084" spans="1:27" ht="15" x14ac:dyDescent="0.25">
      <c r="A1084" s="2">
        <v>1079</v>
      </c>
      <c r="B1084" s="39">
        <v>926831065</v>
      </c>
      <c r="C1084" s="28" t="str">
        <f>HYPERLINK("https://pld.live/RapDetail.aspx?STONELIST=926831065","DNA")</f>
        <v>DNA</v>
      </c>
      <c r="D1084" s="18" t="s">
        <v>3054</v>
      </c>
      <c r="E1084" s="18" t="s">
        <v>5128</v>
      </c>
      <c r="F1084" s="2" t="s">
        <v>5597</v>
      </c>
      <c r="G1084" s="2" t="s">
        <v>861</v>
      </c>
      <c r="H1084" s="14">
        <v>1.02</v>
      </c>
      <c r="I1084" s="2" t="s">
        <v>4761</v>
      </c>
      <c r="J1084" s="2" t="s">
        <v>6555</v>
      </c>
      <c r="K1084" s="2" t="s">
        <v>5221</v>
      </c>
      <c r="L1084" s="2" t="s">
        <v>5221</v>
      </c>
      <c r="M1084" s="2" t="s">
        <v>5221</v>
      </c>
      <c r="N1084" s="2" t="s">
        <v>2317</v>
      </c>
      <c r="O1084" s="14">
        <v>11100</v>
      </c>
      <c r="P1084" s="14">
        <v>97.87</v>
      </c>
      <c r="Q1084" s="14">
        <v>236.43</v>
      </c>
      <c r="R1084" s="14">
        <v>241.16</v>
      </c>
      <c r="S1084" s="2" t="s">
        <v>241</v>
      </c>
      <c r="T1084" s="2">
        <v>1</v>
      </c>
      <c r="U1084" s="2">
        <v>61.2</v>
      </c>
      <c r="V1084" s="2">
        <v>57</v>
      </c>
      <c r="W1084" s="2" t="s">
        <v>7862</v>
      </c>
      <c r="X1084" s="2" t="s">
        <v>5405</v>
      </c>
      <c r="Y1084" s="2">
        <v>11322</v>
      </c>
      <c r="Z1084" s="19" t="str">
        <f>HYPERLINK("https://ssdweb.co/ssdweb/hd/Vision360.html?d=926831065&amp;zoomslide=1&amp;z=1926831065&amp;ISCONFIRM=0","VIDEO")</f>
        <v>VIDEO</v>
      </c>
      <c r="AA1084" s="19" t="str">
        <f>HYPERLINK("https://ssdweb.co/ssdweb/CERTH/1503552244.pdf","CERTI")</f>
        <v>CERTI</v>
      </c>
    </row>
    <row r="1085" spans="1:27" ht="15" x14ac:dyDescent="0.25">
      <c r="A1085" s="2">
        <v>1080</v>
      </c>
      <c r="B1085" s="39">
        <v>926791082</v>
      </c>
      <c r="C1085" s="28" t="str">
        <f>HYPERLINK("https://pld.live/RapDetail.aspx?STONELIST=926791082","DNA")</f>
        <v>DNA</v>
      </c>
      <c r="D1085" s="18" t="s">
        <v>3054</v>
      </c>
      <c r="E1085" s="18" t="s">
        <v>2186</v>
      </c>
      <c r="F1085" s="2" t="s">
        <v>7987</v>
      </c>
      <c r="G1085" s="2" t="s">
        <v>861</v>
      </c>
      <c r="H1085" s="14">
        <v>1.02</v>
      </c>
      <c r="I1085" s="2" t="s">
        <v>4761</v>
      </c>
      <c r="J1085" s="2" t="s">
        <v>3942</v>
      </c>
      <c r="K1085" s="2" t="s">
        <v>3390</v>
      </c>
      <c r="L1085" s="2" t="s">
        <v>5221</v>
      </c>
      <c r="M1085" s="2" t="s">
        <v>5221</v>
      </c>
      <c r="N1085" s="2" t="s">
        <v>2317</v>
      </c>
      <c r="O1085" s="14">
        <v>9300</v>
      </c>
      <c r="P1085" s="14">
        <v>98.66</v>
      </c>
      <c r="Q1085" s="14">
        <v>124.62</v>
      </c>
      <c r="R1085" s="14">
        <v>127.11</v>
      </c>
      <c r="S1085" s="2" t="s">
        <v>3214</v>
      </c>
      <c r="T1085" s="2">
        <v>1.01</v>
      </c>
      <c r="U1085" s="2">
        <v>61.8</v>
      </c>
      <c r="V1085" s="2">
        <v>58</v>
      </c>
      <c r="W1085" s="2" t="s">
        <v>7862</v>
      </c>
      <c r="X1085" s="2" t="s">
        <v>5405</v>
      </c>
      <c r="Y1085" s="2">
        <v>9486</v>
      </c>
      <c r="Z1085" s="19" t="str">
        <f>HYPERLINK("https://ssdweb.co/ssdweb/hd/Vision360.html?d=926791082&amp;zoomslide=1&amp;z=1926791082&amp;ISCONFIRM=0","VIDEO")</f>
        <v>VIDEO</v>
      </c>
      <c r="AA1085" s="19" t="str">
        <f>HYPERLINK("https://ssdweb.co/ssdweb/CERTH/655451733.pdf","CERTI")</f>
        <v>CERTI</v>
      </c>
    </row>
    <row r="1086" spans="1:27" ht="15" x14ac:dyDescent="0.25">
      <c r="A1086" s="2">
        <v>1081</v>
      </c>
      <c r="B1086" s="39">
        <v>926871107</v>
      </c>
      <c r="C1086" s="28" t="str">
        <f>HYPERLINK("https://pld.live/RapDetail.aspx?STONELIST=926871107","DNA")</f>
        <v>DNA</v>
      </c>
      <c r="D1086" s="18" t="s">
        <v>3054</v>
      </c>
      <c r="E1086" s="18" t="s">
        <v>5128</v>
      </c>
      <c r="F1086" s="2" t="s">
        <v>7987</v>
      </c>
      <c r="G1086" s="2" t="s">
        <v>861</v>
      </c>
      <c r="H1086" s="14">
        <v>1.02</v>
      </c>
      <c r="I1086" s="2" t="s">
        <v>4761</v>
      </c>
      <c r="J1086" s="2" t="s">
        <v>3942</v>
      </c>
      <c r="K1086" s="2" t="s">
        <v>3390</v>
      </c>
      <c r="L1086" s="2" t="s">
        <v>5221</v>
      </c>
      <c r="M1086" s="2" t="s">
        <v>5221</v>
      </c>
      <c r="N1086" s="2" t="s">
        <v>2317</v>
      </c>
      <c r="O1086" s="14">
        <v>9300</v>
      </c>
      <c r="P1086" s="14">
        <v>98.66</v>
      </c>
      <c r="Q1086" s="14">
        <v>124.62</v>
      </c>
      <c r="R1086" s="14">
        <v>127.11</v>
      </c>
      <c r="S1086" s="2" t="s">
        <v>6103</v>
      </c>
      <c r="T1086" s="2">
        <v>1</v>
      </c>
      <c r="U1086" s="2">
        <v>61</v>
      </c>
      <c r="V1086" s="2">
        <v>59</v>
      </c>
      <c r="W1086" s="2" t="s">
        <v>7862</v>
      </c>
      <c r="X1086" s="2" t="s">
        <v>5405</v>
      </c>
      <c r="Y1086" s="2">
        <v>9486</v>
      </c>
      <c r="Z1086" s="19" t="str">
        <f>HYPERLINK("https://ssdweb.co/ssdweb/hd/Vision360.html?d=926871107&amp;zoomslide=1&amp;z=1926871107&amp;ISCONFIRM=0","VIDEO")</f>
        <v>VIDEO</v>
      </c>
      <c r="AA1086" s="19" t="str">
        <f>HYPERLINK("https://ssdweb.co/ssdweb/CERTH/655451789.pdf","CERTI")</f>
        <v>CERTI</v>
      </c>
    </row>
    <row r="1087" spans="1:27" ht="15" x14ac:dyDescent="0.25">
      <c r="A1087" s="2">
        <v>1082</v>
      </c>
      <c r="B1087" s="39">
        <v>926871118</v>
      </c>
      <c r="C1087" s="28" t="str">
        <f>HYPERLINK("https://pld.live/RapDetail.aspx?STONELIST=926871118","DNA")</f>
        <v>DNA</v>
      </c>
      <c r="D1087" s="18" t="s">
        <v>3054</v>
      </c>
      <c r="E1087" s="18" t="s">
        <v>5128</v>
      </c>
      <c r="F1087" s="2" t="s">
        <v>7987</v>
      </c>
      <c r="G1087" s="2" t="s">
        <v>861</v>
      </c>
      <c r="H1087" s="14">
        <v>1.02</v>
      </c>
      <c r="I1087" s="2" t="s">
        <v>4761</v>
      </c>
      <c r="J1087" s="2" t="s">
        <v>3942</v>
      </c>
      <c r="K1087" s="2" t="s">
        <v>3390</v>
      </c>
      <c r="L1087" s="2" t="s">
        <v>5221</v>
      </c>
      <c r="M1087" s="2" t="s">
        <v>5221</v>
      </c>
      <c r="N1087" s="2" t="s">
        <v>2317</v>
      </c>
      <c r="O1087" s="14">
        <v>9300</v>
      </c>
      <c r="P1087" s="14">
        <v>98.66</v>
      </c>
      <c r="Q1087" s="14">
        <v>124.62</v>
      </c>
      <c r="R1087" s="14">
        <v>127.11</v>
      </c>
      <c r="S1087" s="2" t="s">
        <v>4899</v>
      </c>
      <c r="T1087" s="2">
        <v>1.01</v>
      </c>
      <c r="U1087" s="2">
        <v>61.6</v>
      </c>
      <c r="V1087" s="2">
        <v>58</v>
      </c>
      <c r="W1087" s="2" t="s">
        <v>7862</v>
      </c>
      <c r="X1087" s="2" t="s">
        <v>5405</v>
      </c>
      <c r="Y1087" s="2">
        <v>9486</v>
      </c>
      <c r="Z1087" s="19" t="str">
        <f>HYPERLINK("https://ssdweb.co/ssdweb/hd/Vision360.html?d=926871118&amp;zoomslide=1&amp;z=1926871118&amp;ISCONFIRM=0","VIDEO")</f>
        <v>VIDEO</v>
      </c>
      <c r="AA1087" s="19" t="str">
        <f>HYPERLINK("https://ssdweb.co/ssdweb/CERTH/655451788.pdf","CERTI")</f>
        <v>CERTI</v>
      </c>
    </row>
    <row r="1088" spans="1:27" ht="15" x14ac:dyDescent="0.25">
      <c r="A1088" s="2">
        <v>1083</v>
      </c>
      <c r="B1088" s="39">
        <v>926831032</v>
      </c>
      <c r="C1088" s="28" t="str">
        <f>HYPERLINK("https://pld.live/RapDetail.aspx?STONELIST=926831032","DNA")</f>
        <v>DNA</v>
      </c>
      <c r="D1088" s="18" t="s">
        <v>3054</v>
      </c>
      <c r="E1088" s="18" t="s">
        <v>5128</v>
      </c>
      <c r="F1088" s="2" t="s">
        <v>7987</v>
      </c>
      <c r="G1088" s="2" t="s">
        <v>861</v>
      </c>
      <c r="H1088" s="14">
        <v>1.02</v>
      </c>
      <c r="I1088" s="2" t="s">
        <v>4761</v>
      </c>
      <c r="J1088" s="2" t="s">
        <v>3942</v>
      </c>
      <c r="K1088" s="2" t="s">
        <v>3390</v>
      </c>
      <c r="L1088" s="2" t="s">
        <v>5221</v>
      </c>
      <c r="M1088" s="2" t="s">
        <v>5221</v>
      </c>
      <c r="N1088" s="2" t="s">
        <v>2317</v>
      </c>
      <c r="O1088" s="14">
        <v>9300</v>
      </c>
      <c r="P1088" s="14">
        <v>98.66</v>
      </c>
      <c r="Q1088" s="14">
        <v>124.62</v>
      </c>
      <c r="R1088" s="14">
        <v>127.11</v>
      </c>
      <c r="S1088" s="2" t="s">
        <v>1487</v>
      </c>
      <c r="T1088" s="2">
        <v>1</v>
      </c>
      <c r="U1088" s="2">
        <v>61</v>
      </c>
      <c r="V1088" s="2">
        <v>57</v>
      </c>
      <c r="W1088" s="2" t="s">
        <v>7862</v>
      </c>
      <c r="X1088" s="2" t="s">
        <v>5405</v>
      </c>
      <c r="Y1088" s="2">
        <v>9486</v>
      </c>
      <c r="Z1088" s="19" t="str">
        <f>HYPERLINK("https://ssdweb.co/ssdweb/hd/Vision360.html?d=926831032&amp;zoomslide=1&amp;z=1926831032&amp;ISCONFIRM=0","VIDEO")</f>
        <v>VIDEO</v>
      </c>
      <c r="AA1088" s="19" t="str">
        <f>HYPERLINK("https://ssdweb.co/ssdweb/CERTH/655451784.pdf","CERTI")</f>
        <v>CERTI</v>
      </c>
    </row>
    <row r="1089" spans="1:27" ht="15" x14ac:dyDescent="0.25">
      <c r="A1089" s="2">
        <v>1084</v>
      </c>
      <c r="B1089" s="39">
        <v>926900776</v>
      </c>
      <c r="C1089" s="28" t="str">
        <f>HYPERLINK("https://pld.live/RapDetail.aspx?STONELIST=926900776","DNA")</f>
        <v>DNA</v>
      </c>
      <c r="D1089" s="18" t="s">
        <v>3054</v>
      </c>
      <c r="E1089" s="18" t="s">
        <v>5128</v>
      </c>
      <c r="F1089" s="2" t="s">
        <v>7987</v>
      </c>
      <c r="G1089" s="2" t="s">
        <v>861</v>
      </c>
      <c r="H1089" s="14">
        <v>1.02</v>
      </c>
      <c r="I1089" s="2" t="s">
        <v>4761</v>
      </c>
      <c r="J1089" s="2" t="s">
        <v>3942</v>
      </c>
      <c r="K1089" s="2" t="s">
        <v>3390</v>
      </c>
      <c r="L1089" s="2" t="s">
        <v>5221</v>
      </c>
      <c r="M1089" s="2" t="s">
        <v>5221</v>
      </c>
      <c r="N1089" s="2" t="s">
        <v>2317</v>
      </c>
      <c r="O1089" s="14">
        <v>9300</v>
      </c>
      <c r="P1089" s="14">
        <v>98.66</v>
      </c>
      <c r="Q1089" s="14">
        <v>124.62</v>
      </c>
      <c r="R1089" s="14">
        <v>127.11</v>
      </c>
      <c r="S1089" s="2" t="s">
        <v>2770</v>
      </c>
      <c r="T1089" s="2">
        <v>1</v>
      </c>
      <c r="U1089" s="2">
        <v>61.8</v>
      </c>
      <c r="V1089" s="2">
        <v>57</v>
      </c>
      <c r="W1089" s="2" t="s">
        <v>7862</v>
      </c>
      <c r="X1089" s="2" t="s">
        <v>5405</v>
      </c>
      <c r="Y1089" s="2">
        <v>9486</v>
      </c>
      <c r="Z1089" s="19" t="str">
        <f>HYPERLINK("https://ssdweb.co/ssdweb/hd/Vision360.html?d=926900776&amp;zoomslide=1&amp;z=1926900776&amp;ISCONFIRM=0","VIDEO")</f>
        <v>VIDEO</v>
      </c>
      <c r="AA1089" s="19" t="str">
        <f>HYPERLINK("https://ssdweb.co/ssdweb/CERTH/655451735.pdf","CERTI")</f>
        <v>CERTI</v>
      </c>
    </row>
    <row r="1090" spans="1:27" ht="15" x14ac:dyDescent="0.25">
      <c r="A1090" s="2">
        <v>1085</v>
      </c>
      <c r="B1090" s="39">
        <v>926791080</v>
      </c>
      <c r="C1090" s="28" t="str">
        <f>HYPERLINK("https://pld.live/RapDetail.aspx?STONELIST=926791080","DNA")</f>
        <v>DNA</v>
      </c>
      <c r="D1090" s="18" t="s">
        <v>3054</v>
      </c>
      <c r="E1090" s="18" t="s">
        <v>2186</v>
      </c>
      <c r="F1090" s="2" t="s">
        <v>7987</v>
      </c>
      <c r="G1090" s="2" t="s">
        <v>861</v>
      </c>
      <c r="H1090" s="14">
        <v>1.02</v>
      </c>
      <c r="I1090" s="2" t="s">
        <v>4761</v>
      </c>
      <c r="J1090" s="2" t="s">
        <v>3942</v>
      </c>
      <c r="K1090" s="2" t="s">
        <v>3390</v>
      </c>
      <c r="L1090" s="2" t="s">
        <v>5221</v>
      </c>
      <c r="M1090" s="2" t="s">
        <v>5221</v>
      </c>
      <c r="N1090" s="2" t="s">
        <v>2317</v>
      </c>
      <c r="O1090" s="14">
        <v>9300</v>
      </c>
      <c r="P1090" s="14">
        <v>98.66</v>
      </c>
      <c r="Q1090" s="14">
        <v>124.62</v>
      </c>
      <c r="R1090" s="14">
        <v>127.11</v>
      </c>
      <c r="S1090" s="2" t="s">
        <v>6467</v>
      </c>
      <c r="T1090" s="2">
        <v>1</v>
      </c>
      <c r="U1090" s="2">
        <v>61.1</v>
      </c>
      <c r="V1090" s="2">
        <v>58</v>
      </c>
      <c r="W1090" s="2" t="s">
        <v>7862</v>
      </c>
      <c r="X1090" s="2" t="s">
        <v>5405</v>
      </c>
      <c r="Y1090" s="2">
        <v>9486</v>
      </c>
      <c r="Z1090" s="19" t="str">
        <f>HYPERLINK("https://ssdweb.co/ssdweb/hd/Vision360.html?d=926791080&amp;zoomslide=1&amp;z=1926791080&amp;ISCONFIRM=0","VIDEO")</f>
        <v>VIDEO</v>
      </c>
      <c r="AA1090" s="19" t="str">
        <f>HYPERLINK("https://ssdweb.co/ssdweb/CERTH/655451826.pdf","CERTI")</f>
        <v>CERTI</v>
      </c>
    </row>
    <row r="1091" spans="1:27" ht="15" x14ac:dyDescent="0.25">
      <c r="A1091" s="2">
        <v>1086</v>
      </c>
      <c r="B1091" s="39">
        <v>926900920</v>
      </c>
      <c r="C1091" s="28" t="str">
        <f>HYPERLINK("https://pld.live/RapDetail.aspx?STONELIST=926900920","DNA")</f>
        <v>DNA</v>
      </c>
      <c r="D1091" s="18" t="s">
        <v>3054</v>
      </c>
      <c r="E1091" s="18" t="s">
        <v>5128</v>
      </c>
      <c r="F1091" s="2" t="s">
        <v>7987</v>
      </c>
      <c r="G1091" s="2" t="s">
        <v>861</v>
      </c>
      <c r="H1091" s="14">
        <v>1.02</v>
      </c>
      <c r="I1091" s="2" t="s">
        <v>4761</v>
      </c>
      <c r="J1091" s="2" t="s">
        <v>3942</v>
      </c>
      <c r="K1091" s="2" t="s">
        <v>3390</v>
      </c>
      <c r="L1091" s="2" t="s">
        <v>5221</v>
      </c>
      <c r="M1091" s="2" t="s">
        <v>5221</v>
      </c>
      <c r="N1091" s="2" t="s">
        <v>2317</v>
      </c>
      <c r="O1091" s="14">
        <v>9300</v>
      </c>
      <c r="P1091" s="14">
        <v>98.66</v>
      </c>
      <c r="Q1091" s="14">
        <v>124.62</v>
      </c>
      <c r="R1091" s="14">
        <v>127.11</v>
      </c>
      <c r="S1091" s="2" t="s">
        <v>3214</v>
      </c>
      <c r="T1091" s="2">
        <v>1.01</v>
      </c>
      <c r="U1091" s="2">
        <v>61.9</v>
      </c>
      <c r="V1091" s="2">
        <v>57</v>
      </c>
      <c r="W1091" s="2" t="s">
        <v>7862</v>
      </c>
      <c r="X1091" s="2" t="s">
        <v>5405</v>
      </c>
      <c r="Y1091" s="2">
        <v>9486</v>
      </c>
      <c r="Z1091" s="19" t="str">
        <f>HYPERLINK("https://ssdweb.co/ssdweb/hd/Vision360.html?d=926900920&amp;zoomslide=1&amp;z=1926900920&amp;ISCONFIRM=0","VIDEO")</f>
        <v>VIDEO</v>
      </c>
      <c r="AA1091" s="19" t="str">
        <f>HYPERLINK("https://ssdweb.co/ssdweb/CERTH/655451762.pdf","CERTI")</f>
        <v>CERTI</v>
      </c>
    </row>
    <row r="1092" spans="1:27" ht="15" x14ac:dyDescent="0.25">
      <c r="A1092" s="2">
        <v>1087</v>
      </c>
      <c r="B1092" s="39">
        <v>926901047</v>
      </c>
      <c r="C1092" s="28" t="str">
        <f>HYPERLINK("https://pld.live/RapDetail.aspx?STONELIST=926901047","DNA")</f>
        <v>DNA</v>
      </c>
      <c r="D1092" s="18" t="s">
        <v>3054</v>
      </c>
      <c r="E1092" s="18" t="s">
        <v>5128</v>
      </c>
      <c r="F1092" s="2" t="s">
        <v>7987</v>
      </c>
      <c r="G1092" s="2" t="s">
        <v>861</v>
      </c>
      <c r="H1092" s="14">
        <v>1.02</v>
      </c>
      <c r="I1092" s="2" t="s">
        <v>4761</v>
      </c>
      <c r="J1092" s="2" t="s">
        <v>3942</v>
      </c>
      <c r="K1092" s="2" t="s">
        <v>3390</v>
      </c>
      <c r="L1092" s="2" t="s">
        <v>5221</v>
      </c>
      <c r="M1092" s="2" t="s">
        <v>5221</v>
      </c>
      <c r="N1092" s="2" t="s">
        <v>2317</v>
      </c>
      <c r="O1092" s="14">
        <v>9300</v>
      </c>
      <c r="P1092" s="14">
        <v>98.66</v>
      </c>
      <c r="Q1092" s="14">
        <v>124.62</v>
      </c>
      <c r="R1092" s="14">
        <v>127.11</v>
      </c>
      <c r="S1092" s="2" t="s">
        <v>6166</v>
      </c>
      <c r="T1092" s="2">
        <v>1.01</v>
      </c>
      <c r="U1092" s="2">
        <v>61.7</v>
      </c>
      <c r="V1092" s="2">
        <v>58</v>
      </c>
      <c r="W1092" s="2" t="s">
        <v>7862</v>
      </c>
      <c r="X1092" s="2" t="s">
        <v>5405</v>
      </c>
      <c r="Y1092" s="2">
        <v>9486</v>
      </c>
      <c r="Z1092" s="19" t="str">
        <f>HYPERLINK("https://ssdweb.co/ssdweb/hd/Vision360.html?d=926901047&amp;zoomslide=1&amp;z=1926901047&amp;ISCONFIRM=0","VIDEO")</f>
        <v>VIDEO</v>
      </c>
      <c r="AA1092" s="19" t="str">
        <f>HYPERLINK("https://ssdweb.co/ssdweb/CERTH/659414336.pdf","CERTI")</f>
        <v>CERTI</v>
      </c>
    </row>
    <row r="1093" spans="1:27" ht="15" x14ac:dyDescent="0.25">
      <c r="A1093" s="2">
        <v>1088</v>
      </c>
      <c r="B1093" s="39">
        <v>926920994</v>
      </c>
      <c r="C1093" s="28" t="str">
        <f>HYPERLINK("https://pld.live/RapDetail.aspx?STONELIST=926920994","DNA")</f>
        <v>DNA</v>
      </c>
      <c r="D1093" s="18" t="s">
        <v>3054</v>
      </c>
      <c r="E1093" s="18" t="s">
        <v>2186</v>
      </c>
      <c r="F1093" s="2" t="s">
        <v>7987</v>
      </c>
      <c r="G1093" s="2" t="s">
        <v>861</v>
      </c>
      <c r="H1093" s="14">
        <v>1.02</v>
      </c>
      <c r="I1093" s="2" t="s">
        <v>4761</v>
      </c>
      <c r="J1093" s="2" t="s">
        <v>3942</v>
      </c>
      <c r="K1093" s="2" t="s">
        <v>3390</v>
      </c>
      <c r="L1093" s="2" t="s">
        <v>5221</v>
      </c>
      <c r="M1093" s="2" t="s">
        <v>5221</v>
      </c>
      <c r="N1093" s="2" t="s">
        <v>2317</v>
      </c>
      <c r="O1093" s="14">
        <v>9300</v>
      </c>
      <c r="P1093" s="14">
        <v>98.66</v>
      </c>
      <c r="Q1093" s="14">
        <v>124.62</v>
      </c>
      <c r="R1093" s="14">
        <v>127.11</v>
      </c>
      <c r="S1093" s="2" t="s">
        <v>3916</v>
      </c>
      <c r="T1093" s="2">
        <v>1</v>
      </c>
      <c r="U1093" s="2">
        <v>61.7</v>
      </c>
      <c r="V1093" s="2">
        <v>58</v>
      </c>
      <c r="W1093" s="2" t="s">
        <v>7862</v>
      </c>
      <c r="X1093" s="2" t="s">
        <v>5405</v>
      </c>
      <c r="Y1093" s="2">
        <v>9486</v>
      </c>
      <c r="Z1093" s="19" t="str">
        <f>HYPERLINK("https://ssdweb.co/ssdweb/hd/Vision360.html?d=926920994&amp;zoomslide=1&amp;z=1926920994&amp;ISCONFIRM=0","VIDEO")</f>
        <v>VIDEO</v>
      </c>
      <c r="AA1093" s="19" t="str">
        <f>HYPERLINK("https://ssdweb.co/ssdweb/CERTH/659414285.pdf","CERTI")</f>
        <v>CERTI</v>
      </c>
    </row>
    <row r="1094" spans="1:27" ht="15" x14ac:dyDescent="0.25">
      <c r="A1094" s="2">
        <v>1089</v>
      </c>
      <c r="B1094" s="39">
        <v>926921039</v>
      </c>
      <c r="C1094" s="28" t="str">
        <f>HYPERLINK("https://pld.live/RapDetail.aspx?STONELIST=926921039","DNA")</f>
        <v>DNA</v>
      </c>
      <c r="D1094" s="18" t="s">
        <v>3054</v>
      </c>
      <c r="E1094" s="18" t="s">
        <v>2186</v>
      </c>
      <c r="F1094" s="2" t="s">
        <v>7987</v>
      </c>
      <c r="G1094" s="2" t="s">
        <v>861</v>
      </c>
      <c r="H1094" s="14">
        <v>1.02</v>
      </c>
      <c r="I1094" s="2" t="s">
        <v>4761</v>
      </c>
      <c r="J1094" s="2" t="s">
        <v>3942</v>
      </c>
      <c r="K1094" s="2" t="s">
        <v>3390</v>
      </c>
      <c r="L1094" s="2" t="s">
        <v>5221</v>
      </c>
      <c r="M1094" s="2" t="s">
        <v>5221</v>
      </c>
      <c r="N1094" s="2" t="s">
        <v>2317</v>
      </c>
      <c r="O1094" s="14">
        <v>9300</v>
      </c>
      <c r="P1094" s="14">
        <v>98.66</v>
      </c>
      <c r="Q1094" s="14">
        <v>124.62</v>
      </c>
      <c r="R1094" s="14">
        <v>127.11</v>
      </c>
      <c r="S1094" s="2" t="s">
        <v>4932</v>
      </c>
      <c r="T1094" s="2">
        <v>1</v>
      </c>
      <c r="U1094" s="2">
        <v>61.5</v>
      </c>
      <c r="V1094" s="2">
        <v>58</v>
      </c>
      <c r="W1094" s="2" t="s">
        <v>7862</v>
      </c>
      <c r="X1094" s="2" t="s">
        <v>5405</v>
      </c>
      <c r="Y1094" s="2">
        <v>9486</v>
      </c>
      <c r="Z1094" s="19" t="str">
        <f>HYPERLINK("https://ssdweb.co/ssdweb/hd/Vision360.html?d=926921039&amp;zoomslide=1&amp;z=1926921039&amp;ISCONFIRM=0","VIDEO")</f>
        <v>VIDEO</v>
      </c>
      <c r="AA1094" s="19" t="str">
        <f>HYPERLINK("https://ssdweb.co/ssdweb/CERTH/659414286.pdf","CERTI")</f>
        <v>CERTI</v>
      </c>
    </row>
    <row r="1095" spans="1:27" ht="15" x14ac:dyDescent="0.25">
      <c r="A1095" s="2">
        <v>1090</v>
      </c>
      <c r="B1095" s="39">
        <v>926921055</v>
      </c>
      <c r="C1095" s="28" t="str">
        <f>HYPERLINK("https://pld.live/RapDetail.aspx?STONELIST=926921055","DNA")</f>
        <v>DNA</v>
      </c>
      <c r="D1095" s="18" t="s">
        <v>3054</v>
      </c>
      <c r="E1095" s="18" t="s">
        <v>2186</v>
      </c>
      <c r="F1095" s="2" t="s">
        <v>7987</v>
      </c>
      <c r="G1095" s="2" t="s">
        <v>861</v>
      </c>
      <c r="H1095" s="14">
        <v>1.02</v>
      </c>
      <c r="I1095" s="2" t="s">
        <v>4761</v>
      </c>
      <c r="J1095" s="2" t="s">
        <v>3942</v>
      </c>
      <c r="K1095" s="2" t="s">
        <v>3390</v>
      </c>
      <c r="L1095" s="2" t="s">
        <v>5221</v>
      </c>
      <c r="M1095" s="2" t="s">
        <v>5221</v>
      </c>
      <c r="N1095" s="2" t="s">
        <v>2317</v>
      </c>
      <c r="O1095" s="14">
        <v>9300</v>
      </c>
      <c r="P1095" s="14">
        <v>98.66</v>
      </c>
      <c r="Q1095" s="14">
        <v>124.62</v>
      </c>
      <c r="R1095" s="14">
        <v>127.11</v>
      </c>
      <c r="S1095" s="2" t="s">
        <v>6596</v>
      </c>
      <c r="T1095" s="2">
        <v>1</v>
      </c>
      <c r="U1095" s="2">
        <v>61.9</v>
      </c>
      <c r="V1095" s="2">
        <v>57</v>
      </c>
      <c r="W1095" s="2" t="s">
        <v>7862</v>
      </c>
      <c r="X1095" s="2" t="s">
        <v>5405</v>
      </c>
      <c r="Y1095" s="2">
        <v>9486</v>
      </c>
      <c r="Z1095" s="19" t="str">
        <f>HYPERLINK("https://ssdweb.co/ssdweb/hd/Vision360.html?d=926921055&amp;zoomslide=1&amp;z=1926921055&amp;ISCONFIRM=0","VIDEO")</f>
        <v>VIDEO</v>
      </c>
      <c r="AA1095" s="19" t="str">
        <f>HYPERLINK("https://ssdweb.co/ssdweb/CERTH/659414287.pdf","CERTI")</f>
        <v>CERTI</v>
      </c>
    </row>
    <row r="1096" spans="1:27" ht="15" x14ac:dyDescent="0.25">
      <c r="A1096" s="2">
        <v>1091</v>
      </c>
      <c r="B1096" s="39">
        <v>926701065</v>
      </c>
      <c r="C1096" s="28" t="str">
        <f>HYPERLINK("https://pld.live/RapDetail.aspx?STONELIST=926701065","DNA")</f>
        <v>DNA</v>
      </c>
      <c r="D1096" s="18" t="s">
        <v>3054</v>
      </c>
      <c r="E1096" s="18" t="s">
        <v>5128</v>
      </c>
      <c r="F1096" s="2" t="s">
        <v>7987</v>
      </c>
      <c r="G1096" s="2" t="s">
        <v>861</v>
      </c>
      <c r="H1096" s="14">
        <v>1.02</v>
      </c>
      <c r="I1096" s="2" t="s">
        <v>4761</v>
      </c>
      <c r="J1096" s="2" t="s">
        <v>3942</v>
      </c>
      <c r="K1096" s="2" t="s">
        <v>3390</v>
      </c>
      <c r="L1096" s="2" t="s">
        <v>5221</v>
      </c>
      <c r="M1096" s="2" t="s">
        <v>5221</v>
      </c>
      <c r="N1096" s="2" t="s">
        <v>2317</v>
      </c>
      <c r="O1096" s="14">
        <v>9300</v>
      </c>
      <c r="P1096" s="14">
        <v>98.66</v>
      </c>
      <c r="Q1096" s="14">
        <v>124.62</v>
      </c>
      <c r="R1096" s="14">
        <v>127.11</v>
      </c>
      <c r="S1096" s="2" t="s">
        <v>3656</v>
      </c>
      <c r="T1096" s="2">
        <v>1.01</v>
      </c>
      <c r="U1096" s="2">
        <v>59.9</v>
      </c>
      <c r="V1096" s="2">
        <v>60</v>
      </c>
      <c r="W1096" s="2" t="s">
        <v>7862</v>
      </c>
      <c r="X1096" s="2" t="s">
        <v>5405</v>
      </c>
      <c r="Y1096" s="2">
        <v>9486</v>
      </c>
      <c r="Z1096" s="19" t="str">
        <f>HYPERLINK("https://ssdweb.co/ssdweb/hd/Vision360.html?d=926701065&amp;zoomslide=1&amp;z=1926701065&amp;ISCONFIRM=0","VIDEO")</f>
        <v>VIDEO</v>
      </c>
      <c r="AA1096" s="19" t="str">
        <f>HYPERLINK("https://ssdweb.co/ssdweb/CERTH/651401161.pdf","CERTI")</f>
        <v>CERTI</v>
      </c>
    </row>
    <row r="1097" spans="1:27" ht="15" x14ac:dyDescent="0.25">
      <c r="A1097" s="2">
        <v>1092</v>
      </c>
      <c r="B1097" s="39">
        <v>926700960</v>
      </c>
      <c r="C1097" s="28" t="str">
        <f>HYPERLINK("https://pld.live/RapDetail.aspx?STONELIST=926700960","DNA")</f>
        <v>DNA</v>
      </c>
      <c r="D1097" s="18" t="s">
        <v>3054</v>
      </c>
      <c r="E1097" s="18" t="s">
        <v>5128</v>
      </c>
      <c r="F1097" s="2" t="s">
        <v>7987</v>
      </c>
      <c r="G1097" s="2" t="s">
        <v>861</v>
      </c>
      <c r="H1097" s="14">
        <v>1.02</v>
      </c>
      <c r="I1097" s="2" t="s">
        <v>4761</v>
      </c>
      <c r="J1097" s="2" t="s">
        <v>3942</v>
      </c>
      <c r="K1097" s="2" t="s">
        <v>3390</v>
      </c>
      <c r="L1097" s="2" t="s">
        <v>5221</v>
      </c>
      <c r="M1097" s="2" t="s">
        <v>5221</v>
      </c>
      <c r="N1097" s="2" t="s">
        <v>2317</v>
      </c>
      <c r="O1097" s="14">
        <v>9300</v>
      </c>
      <c r="P1097" s="14">
        <v>98.66</v>
      </c>
      <c r="Q1097" s="14">
        <v>124.62</v>
      </c>
      <c r="R1097" s="14">
        <v>127.11</v>
      </c>
      <c r="S1097" s="2" t="s">
        <v>2530</v>
      </c>
      <c r="T1097" s="2">
        <v>1.01</v>
      </c>
      <c r="U1097" s="2">
        <v>62.4</v>
      </c>
      <c r="V1097" s="2">
        <v>56</v>
      </c>
      <c r="W1097" s="2" t="s">
        <v>7862</v>
      </c>
      <c r="X1097" s="2" t="s">
        <v>5405</v>
      </c>
      <c r="Y1097" s="2">
        <v>9486</v>
      </c>
      <c r="Z1097" s="19" t="str">
        <f>HYPERLINK("https://ssdweb.co/ssdweb/hd/Vision360.html?d=926700960&amp;zoomslide=1&amp;z=1926700960&amp;ISCONFIRM=0","VIDEO")</f>
        <v>VIDEO</v>
      </c>
      <c r="AA1097" s="19" t="str">
        <f>HYPERLINK("https://ssdweb.co/ssdweb/CERTH/651495329.pdf","CERTI")</f>
        <v>CERTI</v>
      </c>
    </row>
    <row r="1098" spans="1:27" ht="15" x14ac:dyDescent="0.25">
      <c r="A1098" s="2">
        <v>1093</v>
      </c>
      <c r="B1098" s="39">
        <v>941350167</v>
      </c>
      <c r="C1098" s="28" t="str">
        <f>HYPERLINK("https://pld.live/RapDetail.aspx?STONELIST=941350167","DNA")</f>
        <v>DNA</v>
      </c>
      <c r="D1098" s="18" t="s">
        <v>3054</v>
      </c>
      <c r="E1098" s="18" t="s">
        <v>5128</v>
      </c>
      <c r="F1098" s="2" t="s">
        <v>7987</v>
      </c>
      <c r="G1098" s="2" t="s">
        <v>861</v>
      </c>
      <c r="H1098" s="14">
        <v>1.02</v>
      </c>
      <c r="I1098" s="2" t="s">
        <v>4761</v>
      </c>
      <c r="J1098" s="2" t="s">
        <v>3942</v>
      </c>
      <c r="K1098" s="2" t="s">
        <v>3390</v>
      </c>
      <c r="L1098" s="2" t="s">
        <v>5221</v>
      </c>
      <c r="M1098" s="2" t="s">
        <v>5221</v>
      </c>
      <c r="N1098" s="2" t="s">
        <v>2317</v>
      </c>
      <c r="O1098" s="14">
        <v>9300</v>
      </c>
      <c r="P1098" s="14">
        <v>98.65</v>
      </c>
      <c r="Q1098" s="14">
        <v>125.55</v>
      </c>
      <c r="R1098" s="14">
        <v>128.06</v>
      </c>
      <c r="S1098" s="2" t="s">
        <v>74</v>
      </c>
      <c r="T1098" s="2">
        <v>1.01</v>
      </c>
      <c r="U1098" s="2">
        <v>60.2</v>
      </c>
      <c r="V1098" s="2">
        <v>60</v>
      </c>
      <c r="W1098" s="2" t="s">
        <v>7862</v>
      </c>
      <c r="X1098" s="2" t="s">
        <v>5405</v>
      </c>
      <c r="Y1098" s="2">
        <v>9486</v>
      </c>
      <c r="Z1098" s="19" t="str">
        <f>HYPERLINK("https://ssdweb.co/ssdweb/hd/Vision360.html?d=941350167&amp;zoomslide=1&amp;z=1941350167&amp;ISCONFIRM=0","VIDEO")</f>
        <v>VIDEO</v>
      </c>
      <c r="AA1098" s="19" t="str">
        <f>HYPERLINK("https://ssdweb.co/ssdweb/CERTH/687560911.pdf","CERTI")</f>
        <v>CERTI</v>
      </c>
    </row>
    <row r="1099" spans="1:27" ht="15" x14ac:dyDescent="0.25">
      <c r="A1099" s="2">
        <v>1094</v>
      </c>
      <c r="B1099" s="39">
        <v>941160024</v>
      </c>
      <c r="C1099" s="28" t="str">
        <f>HYPERLINK("https://pld.live/RapDetail.aspx?STONELIST=941160024","DNA")</f>
        <v>DNA</v>
      </c>
      <c r="D1099" s="18" t="s">
        <v>3054</v>
      </c>
      <c r="E1099" s="18" t="s">
        <v>5128</v>
      </c>
      <c r="F1099" s="2" t="s">
        <v>7987</v>
      </c>
      <c r="G1099" s="2" t="s">
        <v>861</v>
      </c>
      <c r="H1099" s="14">
        <v>1.02</v>
      </c>
      <c r="I1099" s="2" t="s">
        <v>4761</v>
      </c>
      <c r="J1099" s="2" t="s">
        <v>3942</v>
      </c>
      <c r="K1099" s="2" t="s">
        <v>3390</v>
      </c>
      <c r="L1099" s="2" t="s">
        <v>5221</v>
      </c>
      <c r="M1099" s="2" t="s">
        <v>5221</v>
      </c>
      <c r="N1099" s="2" t="s">
        <v>2317</v>
      </c>
      <c r="O1099" s="14">
        <v>9300</v>
      </c>
      <c r="P1099" s="14">
        <v>98.65</v>
      </c>
      <c r="Q1099" s="14">
        <v>125.55</v>
      </c>
      <c r="R1099" s="14">
        <v>128.06</v>
      </c>
      <c r="S1099" s="2" t="s">
        <v>504</v>
      </c>
      <c r="T1099" s="2">
        <v>1</v>
      </c>
      <c r="U1099" s="2">
        <v>61.7</v>
      </c>
      <c r="V1099" s="2">
        <v>57</v>
      </c>
      <c r="W1099" s="2" t="s">
        <v>7862</v>
      </c>
      <c r="X1099" s="2" t="s">
        <v>5405</v>
      </c>
      <c r="Y1099" s="2">
        <v>9486</v>
      </c>
      <c r="Z1099" s="19" t="str">
        <f>HYPERLINK("https://ssdweb.co/ssdweb/hd/Vision360.html?d=941160024&amp;zoomslide=1&amp;z=1941160024&amp;ISCONFIRM=0","VIDEO")</f>
        <v>VIDEO</v>
      </c>
      <c r="AA1099" s="19" t="str">
        <f>HYPERLINK("https://ssdweb.co/ssdweb/CERTH/675504719.pdf","CERTI")</f>
        <v>CERTI</v>
      </c>
    </row>
    <row r="1100" spans="1:27" ht="15" x14ac:dyDescent="0.25">
      <c r="A1100" s="2">
        <v>1095</v>
      </c>
      <c r="B1100" s="39">
        <v>941350848</v>
      </c>
      <c r="C1100" s="28" t="str">
        <f>HYPERLINK("https://pld.live/RapDetail.aspx?STONELIST=941350848","DNA")</f>
        <v>DNA</v>
      </c>
      <c r="D1100" s="18" t="s">
        <v>3054</v>
      </c>
      <c r="E1100" s="18" t="s">
        <v>5128</v>
      </c>
      <c r="F1100" s="2" t="s">
        <v>7987</v>
      </c>
      <c r="G1100" s="2" t="s">
        <v>861</v>
      </c>
      <c r="H1100" s="14">
        <v>1.02</v>
      </c>
      <c r="I1100" s="2" t="s">
        <v>4761</v>
      </c>
      <c r="J1100" s="2" t="s">
        <v>3942</v>
      </c>
      <c r="K1100" s="2" t="s">
        <v>3390</v>
      </c>
      <c r="L1100" s="2" t="s">
        <v>5221</v>
      </c>
      <c r="M1100" s="2" t="s">
        <v>5221</v>
      </c>
      <c r="N1100" s="2" t="s">
        <v>2317</v>
      </c>
      <c r="O1100" s="14">
        <v>9300</v>
      </c>
      <c r="P1100" s="14">
        <v>98.65</v>
      </c>
      <c r="Q1100" s="14">
        <v>125.55</v>
      </c>
      <c r="R1100" s="14">
        <v>128.06</v>
      </c>
      <c r="S1100" s="2" t="s">
        <v>359</v>
      </c>
      <c r="T1100" s="2">
        <v>1.01</v>
      </c>
      <c r="U1100" s="2">
        <v>61.4</v>
      </c>
      <c r="V1100" s="2">
        <v>58</v>
      </c>
      <c r="W1100" s="2" t="s">
        <v>7862</v>
      </c>
      <c r="X1100" s="2" t="s">
        <v>5405</v>
      </c>
      <c r="Y1100" s="2">
        <v>9486</v>
      </c>
      <c r="Z1100" s="19" t="str">
        <f>HYPERLINK("https://ssdweb.co/ssdweb/hd/Vision360.html?d=941350848&amp;zoomslide=1&amp;z=1941350848&amp;ISCONFIRM=0","VIDEO")</f>
        <v>VIDEO</v>
      </c>
      <c r="AA1100" s="19" t="str">
        <f>HYPERLINK("https://ssdweb.co/ssdweb/CERTH/689587141.pdf","CERTI")</f>
        <v>CERTI</v>
      </c>
    </row>
    <row r="1101" spans="1:27" ht="15" x14ac:dyDescent="0.25">
      <c r="A1101" s="2">
        <v>1096</v>
      </c>
      <c r="B1101" s="39">
        <v>941350849</v>
      </c>
      <c r="C1101" s="28" t="str">
        <f>HYPERLINK("https://pld.live/RapDetail.aspx?STONELIST=941350849","DNA")</f>
        <v>DNA</v>
      </c>
      <c r="D1101" s="18" t="s">
        <v>3054</v>
      </c>
      <c r="E1101" s="18" t="s">
        <v>5128</v>
      </c>
      <c r="F1101" s="2" t="s">
        <v>7987</v>
      </c>
      <c r="G1101" s="2" t="s">
        <v>861</v>
      </c>
      <c r="H1101" s="14">
        <v>1.02</v>
      </c>
      <c r="I1101" s="2" t="s">
        <v>4761</v>
      </c>
      <c r="J1101" s="2" t="s">
        <v>3942</v>
      </c>
      <c r="K1101" s="2" t="s">
        <v>3390</v>
      </c>
      <c r="L1101" s="2" t="s">
        <v>5221</v>
      </c>
      <c r="M1101" s="2" t="s">
        <v>5221</v>
      </c>
      <c r="N1101" s="2" t="s">
        <v>2317</v>
      </c>
      <c r="O1101" s="14">
        <v>9300</v>
      </c>
      <c r="P1101" s="14">
        <v>98.65</v>
      </c>
      <c r="Q1101" s="14">
        <v>125.55</v>
      </c>
      <c r="R1101" s="14">
        <v>128.06</v>
      </c>
      <c r="S1101" s="2" t="s">
        <v>6650</v>
      </c>
      <c r="T1101" s="2">
        <v>1</v>
      </c>
      <c r="U1101" s="2">
        <v>60.8</v>
      </c>
      <c r="V1101" s="2">
        <v>57</v>
      </c>
      <c r="W1101" s="2" t="s">
        <v>7862</v>
      </c>
      <c r="X1101" s="2" t="s">
        <v>5405</v>
      </c>
      <c r="Y1101" s="2">
        <v>9486</v>
      </c>
      <c r="Z1101" s="19" t="str">
        <f>HYPERLINK("https://ssdweb.co/ssdweb/hd/Vision360.html?d=941350849&amp;zoomslide=1&amp;z=1941350849&amp;ISCONFIRM=0","VIDEO")</f>
        <v>VIDEO</v>
      </c>
      <c r="AA1101" s="19" t="str">
        <f>HYPERLINK("https://ssdweb.co/ssdweb/CERTH/689587142.pdf","CERTI")</f>
        <v>CERTI</v>
      </c>
    </row>
    <row r="1102" spans="1:27" ht="15" x14ac:dyDescent="0.25">
      <c r="A1102" s="2">
        <v>1097</v>
      </c>
      <c r="B1102" s="39">
        <v>941350898</v>
      </c>
      <c r="C1102" s="28" t="str">
        <f>HYPERLINK("https://pld.live/RapDetail.aspx?STONELIST=941350898","DNA")</f>
        <v>DNA</v>
      </c>
      <c r="D1102" s="18" t="s">
        <v>3054</v>
      </c>
      <c r="E1102" s="18" t="s">
        <v>5128</v>
      </c>
      <c r="F1102" s="2" t="s">
        <v>7987</v>
      </c>
      <c r="G1102" s="2" t="s">
        <v>861</v>
      </c>
      <c r="H1102" s="14">
        <v>1.02</v>
      </c>
      <c r="I1102" s="2" t="s">
        <v>4761</v>
      </c>
      <c r="J1102" s="2" t="s">
        <v>3942</v>
      </c>
      <c r="K1102" s="2" t="s">
        <v>3390</v>
      </c>
      <c r="L1102" s="2" t="s">
        <v>5221</v>
      </c>
      <c r="M1102" s="2" t="s">
        <v>5221</v>
      </c>
      <c r="N1102" s="2" t="s">
        <v>2317</v>
      </c>
      <c r="O1102" s="14">
        <v>9300</v>
      </c>
      <c r="P1102" s="14">
        <v>98.65</v>
      </c>
      <c r="Q1102" s="14">
        <v>125.55</v>
      </c>
      <c r="R1102" s="14">
        <v>128.06</v>
      </c>
      <c r="S1102" s="2" t="s">
        <v>2781</v>
      </c>
      <c r="T1102" s="2">
        <v>1</v>
      </c>
      <c r="U1102" s="2">
        <v>62.4</v>
      </c>
      <c r="V1102" s="2">
        <v>56</v>
      </c>
      <c r="W1102" s="2" t="s">
        <v>7862</v>
      </c>
      <c r="X1102" s="2" t="s">
        <v>5405</v>
      </c>
      <c r="Y1102" s="2">
        <v>9486</v>
      </c>
      <c r="Z1102" s="19" t="str">
        <f>HYPERLINK("https://ssdweb.co/ssdweb/hd/Vision360.html?d=941350898&amp;zoomslide=1&amp;z=1941350898&amp;ISCONFIRM=0","VIDEO")</f>
        <v>VIDEO</v>
      </c>
      <c r="AA1102" s="19" t="str">
        <f>HYPERLINK("https://ssdweb.co/ssdweb/CERTH/689587081.pdf","CERTI")</f>
        <v>CERTI</v>
      </c>
    </row>
    <row r="1103" spans="1:27" ht="15" x14ac:dyDescent="0.25">
      <c r="A1103" s="2">
        <v>1098</v>
      </c>
      <c r="B1103" s="39">
        <v>927151769</v>
      </c>
      <c r="C1103" s="28" t="str">
        <f>HYPERLINK("https://pld.live/RapDetail.aspx?STONELIST=927151769","DNA")</f>
        <v>DNA</v>
      </c>
      <c r="D1103" s="18" t="s">
        <v>3054</v>
      </c>
      <c r="E1103" s="18" t="s">
        <v>5128</v>
      </c>
      <c r="F1103" s="2" t="s">
        <v>7987</v>
      </c>
      <c r="G1103" s="2" t="s">
        <v>861</v>
      </c>
      <c r="H1103" s="14">
        <v>1.02</v>
      </c>
      <c r="I1103" s="2" t="s">
        <v>4761</v>
      </c>
      <c r="J1103" s="2" t="s">
        <v>3942</v>
      </c>
      <c r="K1103" s="2" t="s">
        <v>3390</v>
      </c>
      <c r="L1103" s="2" t="s">
        <v>5221</v>
      </c>
      <c r="M1103" s="2" t="s">
        <v>5221</v>
      </c>
      <c r="N1103" s="2" t="s">
        <v>2317</v>
      </c>
      <c r="O1103" s="14">
        <v>9300</v>
      </c>
      <c r="P1103" s="14">
        <v>98.65</v>
      </c>
      <c r="Q1103" s="14">
        <v>125.55</v>
      </c>
      <c r="R1103" s="14">
        <v>128.06</v>
      </c>
      <c r="S1103" s="2" t="s">
        <v>5288</v>
      </c>
      <c r="T1103" s="2">
        <v>1</v>
      </c>
      <c r="U1103" s="2">
        <v>61.4</v>
      </c>
      <c r="V1103" s="2">
        <v>58</v>
      </c>
      <c r="W1103" s="2" t="s">
        <v>7862</v>
      </c>
      <c r="X1103" s="2" t="s">
        <v>5405</v>
      </c>
      <c r="Y1103" s="2">
        <v>9486</v>
      </c>
      <c r="Z1103" s="19" t="str">
        <f>HYPERLINK("https://ssdweb.co/ssdweb/hd/Vision360.html?d=927151769&amp;zoomslide=1&amp;z=1927151769&amp;ISCONFIRM=0","VIDEO")</f>
        <v>VIDEO</v>
      </c>
      <c r="AA1103" s="19" t="str">
        <f>HYPERLINK("https://ssdweb.co/ssdweb/CERTH/670484452.pdf","CERTI")</f>
        <v>CERTI</v>
      </c>
    </row>
    <row r="1104" spans="1:27" ht="15" x14ac:dyDescent="0.25">
      <c r="A1104" s="2">
        <v>1099</v>
      </c>
      <c r="B1104" s="39">
        <v>927052034</v>
      </c>
      <c r="C1104" s="28" t="str">
        <f>HYPERLINK("https://pld.live/RapDetail.aspx?STONELIST=927052034","DNA")</f>
        <v>DNA</v>
      </c>
      <c r="D1104" s="18" t="s">
        <v>3054</v>
      </c>
      <c r="E1104" s="18" t="s">
        <v>5128</v>
      </c>
      <c r="F1104" s="2" t="s">
        <v>7987</v>
      </c>
      <c r="G1104" s="2" t="s">
        <v>861</v>
      </c>
      <c r="H1104" s="14">
        <v>1.02</v>
      </c>
      <c r="I1104" s="2" t="s">
        <v>4761</v>
      </c>
      <c r="J1104" s="2" t="s">
        <v>3942</v>
      </c>
      <c r="K1104" s="2" t="s">
        <v>3390</v>
      </c>
      <c r="L1104" s="2" t="s">
        <v>5221</v>
      </c>
      <c r="M1104" s="2" t="s">
        <v>5221</v>
      </c>
      <c r="N1104" s="2" t="s">
        <v>2317</v>
      </c>
      <c r="O1104" s="14">
        <v>9300</v>
      </c>
      <c r="P1104" s="14">
        <v>98.66</v>
      </c>
      <c r="Q1104" s="14">
        <v>124.62</v>
      </c>
      <c r="R1104" s="14">
        <v>127.11</v>
      </c>
      <c r="S1104" s="2" t="s">
        <v>7265</v>
      </c>
      <c r="T1104" s="2">
        <v>1.01</v>
      </c>
      <c r="U1104" s="2">
        <v>61.4</v>
      </c>
      <c r="V1104" s="2">
        <v>59</v>
      </c>
      <c r="W1104" s="2" t="s">
        <v>7862</v>
      </c>
      <c r="X1104" s="2" t="s">
        <v>5405</v>
      </c>
      <c r="Y1104" s="2">
        <v>9486</v>
      </c>
      <c r="Z1104" s="19" t="str">
        <f>HYPERLINK("https://ssdweb.co/ssdweb/hd/Vision360.html?d=927052034&amp;zoomslide=1&amp;z=1927052034&amp;ISCONFIRM=0","VIDEO")</f>
        <v>VIDEO</v>
      </c>
      <c r="AA1104" s="19" t="str">
        <f>HYPERLINK("https://ssdweb.co/ssdweb/CERTH/662417157.pdf","CERTI")</f>
        <v>CERTI</v>
      </c>
    </row>
    <row r="1105" spans="1:27" ht="15" x14ac:dyDescent="0.25">
      <c r="A1105" s="2">
        <v>1100</v>
      </c>
      <c r="B1105" s="39">
        <v>927150777</v>
      </c>
      <c r="C1105" s="28" t="str">
        <f>HYPERLINK("https://pld.live/RapDetail.aspx?STONELIST=927150777","DNA")</f>
        <v>DNA</v>
      </c>
      <c r="D1105" s="18" t="s">
        <v>3054</v>
      </c>
      <c r="E1105" s="18" t="s">
        <v>5128</v>
      </c>
      <c r="F1105" s="2" t="s">
        <v>7987</v>
      </c>
      <c r="G1105" s="2" t="s">
        <v>861</v>
      </c>
      <c r="H1105" s="14">
        <v>1.02</v>
      </c>
      <c r="I1105" s="2" t="s">
        <v>4761</v>
      </c>
      <c r="J1105" s="2" t="s">
        <v>3942</v>
      </c>
      <c r="K1105" s="2" t="s">
        <v>3390</v>
      </c>
      <c r="L1105" s="2" t="s">
        <v>5221</v>
      </c>
      <c r="M1105" s="2" t="s">
        <v>5221</v>
      </c>
      <c r="N1105" s="2" t="s">
        <v>2317</v>
      </c>
      <c r="O1105" s="14">
        <v>9300</v>
      </c>
      <c r="P1105" s="14">
        <v>98.66</v>
      </c>
      <c r="Q1105" s="14">
        <v>124.62</v>
      </c>
      <c r="R1105" s="14">
        <v>127.11</v>
      </c>
      <c r="S1105" s="2" t="s">
        <v>5181</v>
      </c>
      <c r="T1105" s="2">
        <v>1</v>
      </c>
      <c r="U1105" s="2">
        <v>61.2</v>
      </c>
      <c r="V1105" s="2">
        <v>59</v>
      </c>
      <c r="W1105" s="2" t="s">
        <v>7862</v>
      </c>
      <c r="X1105" s="2" t="s">
        <v>5405</v>
      </c>
      <c r="Y1105" s="2">
        <v>9486</v>
      </c>
      <c r="Z1105" s="19" t="str">
        <f>HYPERLINK("https://ssdweb.co/ssdweb/hd/Vision360.html?d=927150777&amp;zoomslide=1&amp;z=1927150777&amp;ISCONFIRM=0","VIDEO")</f>
        <v>VIDEO</v>
      </c>
      <c r="AA1105" s="19" t="str">
        <f>HYPERLINK("https://ssdweb.co/ssdweb/CERTH/668437162.pdf","CERTI")</f>
        <v>CERTI</v>
      </c>
    </row>
    <row r="1106" spans="1:27" ht="15" x14ac:dyDescent="0.25">
      <c r="A1106" s="2">
        <v>1101</v>
      </c>
      <c r="B1106" s="39">
        <v>927130119</v>
      </c>
      <c r="C1106" s="28" t="str">
        <f>HYPERLINK("https://pld.live/RapDetail.aspx?STONELIST=927130119","DNA")</f>
        <v>DNA</v>
      </c>
      <c r="D1106" s="18" t="s">
        <v>3054</v>
      </c>
      <c r="E1106" s="18" t="s">
        <v>5128</v>
      </c>
      <c r="F1106" s="2" t="s">
        <v>7987</v>
      </c>
      <c r="G1106" s="2" t="s">
        <v>861</v>
      </c>
      <c r="H1106" s="14">
        <v>1.02</v>
      </c>
      <c r="I1106" s="2" t="s">
        <v>4761</v>
      </c>
      <c r="J1106" s="2" t="s">
        <v>3942</v>
      </c>
      <c r="K1106" s="2" t="s">
        <v>3390</v>
      </c>
      <c r="L1106" s="2" t="s">
        <v>5221</v>
      </c>
      <c r="M1106" s="2" t="s">
        <v>5221</v>
      </c>
      <c r="N1106" s="2" t="s">
        <v>2317</v>
      </c>
      <c r="O1106" s="14">
        <v>9300</v>
      </c>
      <c r="P1106" s="14">
        <v>98.66</v>
      </c>
      <c r="Q1106" s="14">
        <v>124.62</v>
      </c>
      <c r="R1106" s="14">
        <v>127.11</v>
      </c>
      <c r="S1106" s="2" t="s">
        <v>1166</v>
      </c>
      <c r="T1106" s="2">
        <v>1</v>
      </c>
      <c r="U1106" s="2">
        <v>61.7</v>
      </c>
      <c r="V1106" s="2">
        <v>56</v>
      </c>
      <c r="W1106" s="2" t="s">
        <v>7862</v>
      </c>
      <c r="X1106" s="2" t="s">
        <v>5405</v>
      </c>
      <c r="Y1106" s="2">
        <v>9486</v>
      </c>
      <c r="Z1106" s="19" t="str">
        <f>HYPERLINK("https://ssdweb.co/ssdweb/hd/Vision360.html?d=927130119&amp;zoomslide=1&amp;z=1927130119&amp;ISCONFIRM=0","VIDEO")</f>
        <v>VIDEO</v>
      </c>
      <c r="AA1106" s="19" t="str">
        <f>HYPERLINK("https://ssdweb.co/ssdweb/CERTH/666419892.pdf","CERTI")</f>
        <v>CERTI</v>
      </c>
    </row>
    <row r="1107" spans="1:27" ht="15" x14ac:dyDescent="0.25">
      <c r="A1107" s="2">
        <v>1102</v>
      </c>
      <c r="B1107" s="39">
        <v>927130116</v>
      </c>
      <c r="C1107" s="28" t="str">
        <f>HYPERLINK("https://pld.live/RapDetail.aspx?STONELIST=927130116","DNA")</f>
        <v>DNA</v>
      </c>
      <c r="D1107" s="18" t="s">
        <v>3054</v>
      </c>
      <c r="E1107" s="18" t="s">
        <v>5128</v>
      </c>
      <c r="F1107" s="2" t="s">
        <v>7987</v>
      </c>
      <c r="G1107" s="2" t="s">
        <v>861</v>
      </c>
      <c r="H1107" s="14">
        <v>1.02</v>
      </c>
      <c r="I1107" s="2" t="s">
        <v>4761</v>
      </c>
      <c r="J1107" s="2" t="s">
        <v>3942</v>
      </c>
      <c r="K1107" s="2" t="s">
        <v>3390</v>
      </c>
      <c r="L1107" s="2" t="s">
        <v>5221</v>
      </c>
      <c r="M1107" s="2" t="s">
        <v>5221</v>
      </c>
      <c r="N1107" s="2" t="s">
        <v>2317</v>
      </c>
      <c r="O1107" s="14">
        <v>9300</v>
      </c>
      <c r="P1107" s="14">
        <v>98.66</v>
      </c>
      <c r="Q1107" s="14">
        <v>124.62</v>
      </c>
      <c r="R1107" s="14">
        <v>127.11</v>
      </c>
      <c r="S1107" s="2" t="s">
        <v>7043</v>
      </c>
      <c r="T1107" s="2">
        <v>1.01</v>
      </c>
      <c r="U1107" s="2">
        <v>61.4</v>
      </c>
      <c r="V1107" s="2">
        <v>58</v>
      </c>
      <c r="W1107" s="2" t="s">
        <v>7862</v>
      </c>
      <c r="X1107" s="2" t="s">
        <v>5405</v>
      </c>
      <c r="Y1107" s="2">
        <v>9486</v>
      </c>
      <c r="Z1107" s="19" t="str">
        <f>HYPERLINK("https://ssdweb.co/ssdweb/hd/Vision360.html?d=927130116&amp;zoomslide=1&amp;z=1927130116&amp;ISCONFIRM=0","VIDEO")</f>
        <v>VIDEO</v>
      </c>
      <c r="AA1107" s="19" t="str">
        <f>HYPERLINK("https://ssdweb.co/ssdweb/CERTH/665453192.pdf","CERTI")</f>
        <v>CERTI</v>
      </c>
    </row>
    <row r="1108" spans="1:27" ht="15" x14ac:dyDescent="0.25">
      <c r="A1108" s="2">
        <v>1103</v>
      </c>
      <c r="B1108" s="39">
        <v>941071075</v>
      </c>
      <c r="C1108" s="28" t="str">
        <f>HYPERLINK("https://pld.live/RapDetail.aspx?STONELIST=941071075","DNA")</f>
        <v>DNA</v>
      </c>
      <c r="D1108" s="18" t="s">
        <v>3054</v>
      </c>
      <c r="E1108" s="18" t="s">
        <v>5128</v>
      </c>
      <c r="F1108" s="2" t="s">
        <v>7987</v>
      </c>
      <c r="G1108" s="2" t="s">
        <v>861</v>
      </c>
      <c r="H1108" s="14">
        <v>1.02</v>
      </c>
      <c r="I1108" s="2" t="s">
        <v>4761</v>
      </c>
      <c r="J1108" s="2" t="s">
        <v>3942</v>
      </c>
      <c r="K1108" s="2" t="s">
        <v>3390</v>
      </c>
      <c r="L1108" s="2" t="s">
        <v>5221</v>
      </c>
      <c r="M1108" s="2" t="s">
        <v>5221</v>
      </c>
      <c r="N1108" s="2" t="s">
        <v>2317</v>
      </c>
      <c r="O1108" s="14">
        <v>9300</v>
      </c>
      <c r="P1108" s="14">
        <v>98.63</v>
      </c>
      <c r="Q1108" s="14">
        <v>127.41</v>
      </c>
      <c r="R1108" s="14">
        <v>129.96</v>
      </c>
      <c r="S1108" s="2" t="s">
        <v>7849</v>
      </c>
      <c r="T1108" s="2">
        <v>1.01</v>
      </c>
      <c r="U1108" s="2">
        <v>62.2</v>
      </c>
      <c r="V1108" s="2">
        <v>57</v>
      </c>
      <c r="W1108" s="2" t="s">
        <v>7862</v>
      </c>
      <c r="X1108" s="2" t="s">
        <v>5405</v>
      </c>
      <c r="Y1108" s="2">
        <v>9486</v>
      </c>
      <c r="Z1108" s="19" t="str">
        <f>HYPERLINK("https://ssdweb.co/ssdweb/hd/Vision360.html?d=941071075&amp;zoomslide=1&amp;z=1941071075&amp;ISCONFIRM=0","VIDEO")</f>
        <v>VIDEO</v>
      </c>
      <c r="AA1108" s="19" t="str">
        <f>HYPERLINK("https://ssdweb.co/ssdweb/CERTH/671411208.pdf","CERTI")</f>
        <v>CERTI</v>
      </c>
    </row>
    <row r="1109" spans="1:27" ht="15" x14ac:dyDescent="0.25">
      <c r="A1109" s="2">
        <v>1104</v>
      </c>
      <c r="B1109" s="39">
        <v>927050397</v>
      </c>
      <c r="C1109" s="28" t="str">
        <f>HYPERLINK("https://pld.live/RapDetail.aspx?STONELIST=927050397","DNA")</f>
        <v>DNA</v>
      </c>
      <c r="D1109" s="18" t="s">
        <v>3054</v>
      </c>
      <c r="E1109" s="18" t="s">
        <v>5128</v>
      </c>
      <c r="F1109" s="2" t="s">
        <v>7987</v>
      </c>
      <c r="G1109" s="2" t="s">
        <v>861</v>
      </c>
      <c r="H1109" s="14">
        <v>1.02</v>
      </c>
      <c r="I1109" s="2" t="s">
        <v>4761</v>
      </c>
      <c r="J1109" s="2" t="s">
        <v>3942</v>
      </c>
      <c r="K1109" s="2" t="s">
        <v>3390</v>
      </c>
      <c r="L1109" s="2" t="s">
        <v>5221</v>
      </c>
      <c r="M1109" s="2" t="s">
        <v>5221</v>
      </c>
      <c r="N1109" s="2" t="s">
        <v>2317</v>
      </c>
      <c r="O1109" s="14">
        <v>9300</v>
      </c>
      <c r="P1109" s="14">
        <v>98.66</v>
      </c>
      <c r="Q1109" s="14">
        <v>124.62</v>
      </c>
      <c r="R1109" s="14">
        <v>127.11</v>
      </c>
      <c r="S1109" s="2" t="s">
        <v>5995</v>
      </c>
      <c r="T1109" s="2">
        <v>1</v>
      </c>
      <c r="U1109" s="2">
        <v>61</v>
      </c>
      <c r="V1109" s="2">
        <v>59</v>
      </c>
      <c r="W1109" s="2" t="s">
        <v>7862</v>
      </c>
      <c r="X1109" s="2" t="s">
        <v>5405</v>
      </c>
      <c r="Y1109" s="2">
        <v>9486</v>
      </c>
      <c r="Z1109" s="19" t="str">
        <f>HYPERLINK("https://ssdweb.co/ssdweb/hd/Vision360.html?d=927050397&amp;zoomslide=1&amp;z=1927050397&amp;ISCONFIRM=0","VIDEO")</f>
        <v>VIDEO</v>
      </c>
      <c r="AA1109" s="19" t="str">
        <f>HYPERLINK("https://ssdweb.co/ssdweb/CERTH/660490594.pdf","CERTI")</f>
        <v>CERTI</v>
      </c>
    </row>
    <row r="1110" spans="1:27" ht="15" x14ac:dyDescent="0.25">
      <c r="A1110" s="2">
        <v>1105</v>
      </c>
      <c r="B1110" s="39">
        <v>941071052</v>
      </c>
      <c r="C1110" s="28" t="str">
        <f>HYPERLINK("https://pld.live/RapDetail.aspx?STONELIST=941071052","DNA")</f>
        <v>DNA</v>
      </c>
      <c r="D1110" s="18" t="s">
        <v>3054</v>
      </c>
      <c r="E1110" s="18" t="s">
        <v>5128</v>
      </c>
      <c r="F1110" s="2" t="s">
        <v>7987</v>
      </c>
      <c r="G1110" s="2" t="s">
        <v>861</v>
      </c>
      <c r="H1110" s="14">
        <v>1.02</v>
      </c>
      <c r="I1110" s="2" t="s">
        <v>4761</v>
      </c>
      <c r="J1110" s="2" t="s">
        <v>3942</v>
      </c>
      <c r="K1110" s="2" t="s">
        <v>3390</v>
      </c>
      <c r="L1110" s="2" t="s">
        <v>5221</v>
      </c>
      <c r="M1110" s="2" t="s">
        <v>5221</v>
      </c>
      <c r="N1110" s="2" t="s">
        <v>2317</v>
      </c>
      <c r="O1110" s="14">
        <v>9300</v>
      </c>
      <c r="P1110" s="14">
        <v>98.65</v>
      </c>
      <c r="Q1110" s="14">
        <v>125.55</v>
      </c>
      <c r="R1110" s="14">
        <v>128.06</v>
      </c>
      <c r="S1110" s="2" t="s">
        <v>4082</v>
      </c>
      <c r="T1110" s="2">
        <v>1</v>
      </c>
      <c r="U1110" s="2">
        <v>60.9</v>
      </c>
      <c r="V1110" s="2">
        <v>59</v>
      </c>
      <c r="W1110" s="2" t="s">
        <v>7862</v>
      </c>
      <c r="X1110" s="2" t="s">
        <v>5405</v>
      </c>
      <c r="Y1110" s="2">
        <v>9486</v>
      </c>
      <c r="Z1110" s="19" t="str">
        <f>HYPERLINK("https://ssdweb.co/ssdweb/hd/Vision360.html?d=941071052&amp;zoomslide=1&amp;z=1941071052&amp;ISCONFIRM=0","VIDEO")</f>
        <v>VIDEO</v>
      </c>
      <c r="AA1110" s="19" t="str">
        <f>HYPERLINK("https://ssdweb.co/ssdweb/CERTH/671411282.pdf","CERTI")</f>
        <v>CERTI</v>
      </c>
    </row>
    <row r="1111" spans="1:27" ht="15" x14ac:dyDescent="0.25">
      <c r="A1111" s="2">
        <v>1106</v>
      </c>
      <c r="B1111" s="39">
        <v>927052088</v>
      </c>
      <c r="C1111" s="28" t="str">
        <f>HYPERLINK("https://pld.live/RapDetail.aspx?STONELIST=927052088","DNA")</f>
        <v>DNA</v>
      </c>
      <c r="D1111" s="18" t="s">
        <v>3054</v>
      </c>
      <c r="E1111" s="18" t="s">
        <v>5128</v>
      </c>
      <c r="F1111" s="2" t="s">
        <v>7987</v>
      </c>
      <c r="G1111" s="2" t="s">
        <v>861</v>
      </c>
      <c r="H1111" s="14">
        <v>1.02</v>
      </c>
      <c r="I1111" s="2" t="s">
        <v>4761</v>
      </c>
      <c r="J1111" s="2" t="s">
        <v>3942</v>
      </c>
      <c r="K1111" s="2" t="s">
        <v>3390</v>
      </c>
      <c r="L1111" s="2" t="s">
        <v>5221</v>
      </c>
      <c r="M1111" s="2" t="s">
        <v>5221</v>
      </c>
      <c r="N1111" s="2" t="s">
        <v>2317</v>
      </c>
      <c r="O1111" s="14">
        <v>9300</v>
      </c>
      <c r="P1111" s="14">
        <v>98.66</v>
      </c>
      <c r="Q1111" s="14">
        <v>124.62</v>
      </c>
      <c r="R1111" s="14">
        <v>127.11</v>
      </c>
      <c r="S1111" s="2" t="s">
        <v>313</v>
      </c>
      <c r="T1111" s="2">
        <v>1</v>
      </c>
      <c r="U1111" s="2">
        <v>61.5</v>
      </c>
      <c r="V1111" s="2">
        <v>58</v>
      </c>
      <c r="W1111" s="2" t="s">
        <v>7862</v>
      </c>
      <c r="X1111" s="2" t="s">
        <v>5405</v>
      </c>
      <c r="Y1111" s="2">
        <v>9486</v>
      </c>
      <c r="Z1111" s="19" t="str">
        <f>HYPERLINK("https://ssdweb.co/ssdweb/hd/Vision360.html?d=927052088&amp;zoomslide=1&amp;z=1927052088&amp;ISCONFIRM=0","VIDEO")</f>
        <v>VIDEO</v>
      </c>
      <c r="AA1111" s="19" t="str">
        <f>HYPERLINK("https://ssdweb.co/ssdweb/CERTH/665411179.pdf","CERTI")</f>
        <v>CERTI</v>
      </c>
    </row>
    <row r="1112" spans="1:27" ht="15" x14ac:dyDescent="0.25">
      <c r="A1112" s="2">
        <v>1107</v>
      </c>
      <c r="B1112" s="39">
        <v>927101063</v>
      </c>
      <c r="C1112" s="28" t="str">
        <f>HYPERLINK("https://pld.live/RapDetail.aspx?STONELIST=927101063","DNA")</f>
        <v>DNA</v>
      </c>
      <c r="D1112" s="18" t="s">
        <v>3054</v>
      </c>
      <c r="E1112" s="18" t="s">
        <v>5128</v>
      </c>
      <c r="F1112" s="2" t="s">
        <v>7987</v>
      </c>
      <c r="G1112" s="2" t="s">
        <v>861</v>
      </c>
      <c r="H1112" s="14">
        <v>1.02</v>
      </c>
      <c r="I1112" s="2" t="s">
        <v>4761</v>
      </c>
      <c r="J1112" s="2" t="s">
        <v>3942</v>
      </c>
      <c r="K1112" s="2" t="s">
        <v>3390</v>
      </c>
      <c r="L1112" s="2" t="s">
        <v>5221</v>
      </c>
      <c r="M1112" s="2" t="s">
        <v>5221</v>
      </c>
      <c r="N1112" s="2" t="s">
        <v>2317</v>
      </c>
      <c r="O1112" s="14">
        <v>9300</v>
      </c>
      <c r="P1112" s="14">
        <v>98.66</v>
      </c>
      <c r="Q1112" s="14">
        <v>124.62</v>
      </c>
      <c r="R1112" s="14">
        <v>127.11</v>
      </c>
      <c r="S1112" s="2" t="s">
        <v>156</v>
      </c>
      <c r="T1112" s="2">
        <v>1</v>
      </c>
      <c r="U1112" s="2">
        <v>60.7</v>
      </c>
      <c r="V1112" s="2">
        <v>59</v>
      </c>
      <c r="W1112" s="2" t="s">
        <v>7862</v>
      </c>
      <c r="X1112" s="2" t="s">
        <v>5405</v>
      </c>
      <c r="Y1112" s="2">
        <v>9486</v>
      </c>
      <c r="Z1112" s="19" t="str">
        <f>HYPERLINK("https://ssdweb.co/ssdweb/hd/Vision360.html?d=927101063&amp;zoomslide=1&amp;z=1927101063&amp;ISCONFIRM=0","VIDEO")</f>
        <v>VIDEO</v>
      </c>
      <c r="AA1112" s="19" t="str">
        <f>HYPERLINK("https://ssdweb.co/ssdweb/CERTH/665453133.pdf","CERTI")</f>
        <v>CERTI</v>
      </c>
    </row>
    <row r="1113" spans="1:27" ht="15" x14ac:dyDescent="0.25">
      <c r="A1113" s="2">
        <v>1108</v>
      </c>
      <c r="B1113" s="39">
        <v>941070949</v>
      </c>
      <c r="C1113" s="28" t="str">
        <f>HYPERLINK("https://pld.live/RapDetail.aspx?STONELIST=941070949","DNA")</f>
        <v>DNA</v>
      </c>
      <c r="D1113" s="18" t="s">
        <v>3054</v>
      </c>
      <c r="E1113" s="18" t="s">
        <v>5128</v>
      </c>
      <c r="F1113" s="2" t="s">
        <v>7987</v>
      </c>
      <c r="G1113" s="2" t="s">
        <v>861</v>
      </c>
      <c r="H1113" s="14">
        <v>1.02</v>
      </c>
      <c r="I1113" s="2" t="s">
        <v>4761</v>
      </c>
      <c r="J1113" s="2" t="s">
        <v>3942</v>
      </c>
      <c r="K1113" s="2" t="s">
        <v>3390</v>
      </c>
      <c r="L1113" s="2" t="s">
        <v>5221</v>
      </c>
      <c r="M1113" s="2" t="s">
        <v>5221</v>
      </c>
      <c r="N1113" s="2" t="s">
        <v>2317</v>
      </c>
      <c r="O1113" s="14">
        <v>9300</v>
      </c>
      <c r="P1113" s="14">
        <v>98.65</v>
      </c>
      <c r="Q1113" s="14">
        <v>125.55</v>
      </c>
      <c r="R1113" s="14">
        <v>128.06</v>
      </c>
      <c r="S1113" s="2" t="s">
        <v>2005</v>
      </c>
      <c r="T1113" s="2">
        <v>1</v>
      </c>
      <c r="U1113" s="2">
        <v>61.2</v>
      </c>
      <c r="V1113" s="2">
        <v>59</v>
      </c>
      <c r="W1113" s="2" t="s">
        <v>7862</v>
      </c>
      <c r="X1113" s="2" t="s">
        <v>5405</v>
      </c>
      <c r="Y1113" s="2">
        <v>9486</v>
      </c>
      <c r="Z1113" s="19" t="str">
        <f>HYPERLINK("https://ssdweb.co/ssdweb/hd/Vision360.html?d=941070949&amp;zoomslide=1&amp;z=1941070949&amp;ISCONFIRM=0","VIDEO")</f>
        <v>VIDEO</v>
      </c>
      <c r="AA1113" s="19" t="str">
        <f>HYPERLINK("https://ssdweb.co/ssdweb/CERTH/675504634.pdf","CERTI")</f>
        <v>CERTI</v>
      </c>
    </row>
    <row r="1114" spans="1:27" ht="15" x14ac:dyDescent="0.25">
      <c r="A1114" s="2">
        <v>1109</v>
      </c>
      <c r="B1114" s="39">
        <v>927091434</v>
      </c>
      <c r="C1114" s="28" t="str">
        <f>HYPERLINK("https://pld.live/RapDetail.aspx?STONELIST=927091434","DNA")</f>
        <v>DNA</v>
      </c>
      <c r="D1114" s="18" t="s">
        <v>3054</v>
      </c>
      <c r="E1114" s="18" t="s">
        <v>5128</v>
      </c>
      <c r="F1114" s="2" t="s">
        <v>7987</v>
      </c>
      <c r="G1114" s="2" t="s">
        <v>861</v>
      </c>
      <c r="H1114" s="14">
        <v>1.02</v>
      </c>
      <c r="I1114" s="2" t="s">
        <v>4761</v>
      </c>
      <c r="J1114" s="2" t="s">
        <v>3942</v>
      </c>
      <c r="K1114" s="2" t="s">
        <v>3390</v>
      </c>
      <c r="L1114" s="2" t="s">
        <v>5221</v>
      </c>
      <c r="M1114" s="2" t="s">
        <v>5221</v>
      </c>
      <c r="N1114" s="2" t="s">
        <v>2317</v>
      </c>
      <c r="O1114" s="14">
        <v>9300</v>
      </c>
      <c r="P1114" s="14">
        <v>98.66</v>
      </c>
      <c r="Q1114" s="14">
        <v>124.62</v>
      </c>
      <c r="R1114" s="14">
        <v>127.11</v>
      </c>
      <c r="S1114" s="2" t="s">
        <v>6991</v>
      </c>
      <c r="T1114" s="2">
        <v>1</v>
      </c>
      <c r="U1114" s="2">
        <v>60.7</v>
      </c>
      <c r="V1114" s="2">
        <v>59</v>
      </c>
      <c r="W1114" s="2" t="s">
        <v>7862</v>
      </c>
      <c r="X1114" s="2" t="s">
        <v>5405</v>
      </c>
      <c r="Y1114" s="2">
        <v>9486</v>
      </c>
      <c r="Z1114" s="19" t="str">
        <f>HYPERLINK("https://ssdweb.co/ssdweb/hd/Vision360.html?d=927091434&amp;zoomslide=1&amp;z=1927091434&amp;ISCONFIRM=0","VIDEO")</f>
        <v>VIDEO</v>
      </c>
      <c r="AA1114" s="19" t="str">
        <f>HYPERLINK("https://ssdweb.co/ssdweb/CERTH/665411162.pdf","CERTI")</f>
        <v>CERTI</v>
      </c>
    </row>
    <row r="1115" spans="1:27" ht="15" x14ac:dyDescent="0.25">
      <c r="A1115" s="2">
        <v>1110</v>
      </c>
      <c r="B1115" s="39">
        <v>927150567</v>
      </c>
      <c r="C1115" s="28" t="str">
        <f>HYPERLINK("https://pld.live/RapDetail.aspx?STONELIST=927150567","DNA")</f>
        <v>DNA</v>
      </c>
      <c r="D1115" s="18" t="s">
        <v>3054</v>
      </c>
      <c r="E1115" s="18" t="s">
        <v>5128</v>
      </c>
      <c r="F1115" s="2" t="s">
        <v>7987</v>
      </c>
      <c r="G1115" s="2" t="s">
        <v>861</v>
      </c>
      <c r="H1115" s="14">
        <v>1.02</v>
      </c>
      <c r="I1115" s="2" t="s">
        <v>4761</v>
      </c>
      <c r="J1115" s="2" t="s">
        <v>3942</v>
      </c>
      <c r="K1115" s="2" t="s">
        <v>3390</v>
      </c>
      <c r="L1115" s="2" t="s">
        <v>5221</v>
      </c>
      <c r="M1115" s="2" t="s">
        <v>5221</v>
      </c>
      <c r="N1115" s="2" t="s">
        <v>2317</v>
      </c>
      <c r="O1115" s="14">
        <v>9300</v>
      </c>
      <c r="P1115" s="14">
        <v>98.66</v>
      </c>
      <c r="Q1115" s="14">
        <v>124.62</v>
      </c>
      <c r="R1115" s="14">
        <v>127.11</v>
      </c>
      <c r="S1115" s="2" t="s">
        <v>4060</v>
      </c>
      <c r="T1115" s="2">
        <v>1</v>
      </c>
      <c r="U1115" s="2">
        <v>62</v>
      </c>
      <c r="V1115" s="2">
        <v>57</v>
      </c>
      <c r="W1115" s="2" t="s">
        <v>7862</v>
      </c>
      <c r="X1115" s="2" t="s">
        <v>5405</v>
      </c>
      <c r="Y1115" s="2">
        <v>9486</v>
      </c>
      <c r="Z1115" s="19" t="str">
        <f>HYPERLINK("https://ssdweb.co/ssdweb/hd/Vision360.html?d=927150567&amp;zoomslide=1&amp;z=1927150567&amp;ISCONFIRM=0","VIDEO")</f>
        <v>VIDEO</v>
      </c>
      <c r="AA1115" s="19" t="str">
        <f>HYPERLINK("https://ssdweb.co/ssdweb/CERTH/668446623.pdf","CERTI")</f>
        <v>CERTI</v>
      </c>
    </row>
    <row r="1116" spans="1:27" ht="15" x14ac:dyDescent="0.25">
      <c r="A1116" s="2">
        <v>1111</v>
      </c>
      <c r="B1116" s="39">
        <v>927091874</v>
      </c>
      <c r="C1116" s="28" t="str">
        <f>HYPERLINK("https://pld.live/RapDetail.aspx?STONELIST=927091874","DNA")</f>
        <v>DNA</v>
      </c>
      <c r="D1116" s="18" t="s">
        <v>3054</v>
      </c>
      <c r="E1116" s="18" t="s">
        <v>5128</v>
      </c>
      <c r="F1116" s="2" t="s">
        <v>7987</v>
      </c>
      <c r="G1116" s="2" t="s">
        <v>861</v>
      </c>
      <c r="H1116" s="14">
        <v>1.02</v>
      </c>
      <c r="I1116" s="2" t="s">
        <v>4761</v>
      </c>
      <c r="J1116" s="2" t="s">
        <v>3942</v>
      </c>
      <c r="K1116" s="2" t="s">
        <v>3390</v>
      </c>
      <c r="L1116" s="2" t="s">
        <v>5221</v>
      </c>
      <c r="M1116" s="2" t="s">
        <v>5221</v>
      </c>
      <c r="N1116" s="2" t="s">
        <v>2317</v>
      </c>
      <c r="O1116" s="14">
        <v>9300</v>
      </c>
      <c r="P1116" s="14">
        <v>98.66</v>
      </c>
      <c r="Q1116" s="14">
        <v>124.62</v>
      </c>
      <c r="R1116" s="14">
        <v>127.11</v>
      </c>
      <c r="S1116" s="2" t="s">
        <v>3346</v>
      </c>
      <c r="T1116" s="2">
        <v>1.01</v>
      </c>
      <c r="U1116" s="2">
        <v>62.4</v>
      </c>
      <c r="V1116" s="2">
        <v>57</v>
      </c>
      <c r="W1116" s="2" t="s">
        <v>7862</v>
      </c>
      <c r="X1116" s="2" t="s">
        <v>5405</v>
      </c>
      <c r="Y1116" s="2">
        <v>9486</v>
      </c>
      <c r="Z1116" s="19" t="str">
        <f>HYPERLINK("https://ssdweb.co/ssdweb/hd/Vision360.html?d=927091874&amp;zoomslide=1&amp;z=1927091874&amp;ISCONFIRM=0","VIDEO")</f>
        <v>VIDEO</v>
      </c>
      <c r="AA1116" s="19" t="str">
        <f>HYPERLINK("https://ssdweb.co/ssdweb/CERTH/665453134.pdf","CERTI")</f>
        <v>CERTI</v>
      </c>
    </row>
    <row r="1117" spans="1:27" ht="15" x14ac:dyDescent="0.25">
      <c r="A1117" s="2">
        <v>1112</v>
      </c>
      <c r="B1117" s="39">
        <v>927091877</v>
      </c>
      <c r="C1117" s="28" t="str">
        <f>HYPERLINK("https://pld.live/RapDetail.aspx?STONELIST=927091877","DNA")</f>
        <v>DNA</v>
      </c>
      <c r="D1117" s="18" t="s">
        <v>3054</v>
      </c>
      <c r="E1117" s="18" t="s">
        <v>5128</v>
      </c>
      <c r="F1117" s="2" t="s">
        <v>7987</v>
      </c>
      <c r="G1117" s="2" t="s">
        <v>861</v>
      </c>
      <c r="H1117" s="14">
        <v>1.02</v>
      </c>
      <c r="I1117" s="2" t="s">
        <v>4761</v>
      </c>
      <c r="J1117" s="2" t="s">
        <v>3942</v>
      </c>
      <c r="K1117" s="2" t="s">
        <v>3390</v>
      </c>
      <c r="L1117" s="2" t="s">
        <v>5221</v>
      </c>
      <c r="M1117" s="2" t="s">
        <v>5221</v>
      </c>
      <c r="N1117" s="2" t="s">
        <v>2317</v>
      </c>
      <c r="O1117" s="14">
        <v>9300</v>
      </c>
      <c r="P1117" s="14">
        <v>98.66</v>
      </c>
      <c r="Q1117" s="14">
        <v>124.62</v>
      </c>
      <c r="R1117" s="14">
        <v>127.11</v>
      </c>
      <c r="S1117" s="2" t="s">
        <v>4203</v>
      </c>
      <c r="T1117" s="2">
        <v>1</v>
      </c>
      <c r="U1117" s="2">
        <v>61.2</v>
      </c>
      <c r="V1117" s="2">
        <v>59</v>
      </c>
      <c r="W1117" s="2" t="s">
        <v>7862</v>
      </c>
      <c r="X1117" s="2" t="s">
        <v>5405</v>
      </c>
      <c r="Y1117" s="2">
        <v>9486</v>
      </c>
      <c r="Z1117" s="19" t="str">
        <f>HYPERLINK("https://ssdweb.co/ssdweb/hd/Vision360.html?d=927091877&amp;zoomslide=1&amp;z=1927091877&amp;ISCONFIRM=0","VIDEO")</f>
        <v>VIDEO</v>
      </c>
      <c r="AA1117" s="19" t="str">
        <f>HYPERLINK("https://ssdweb.co/ssdweb/CERTH/665453136.pdf","CERTI")</f>
        <v>CERTI</v>
      </c>
    </row>
    <row r="1118" spans="1:27" ht="15" x14ac:dyDescent="0.25">
      <c r="A1118" s="2">
        <v>1113</v>
      </c>
      <c r="B1118" s="39">
        <v>927092149</v>
      </c>
      <c r="C1118" s="28" t="str">
        <f>HYPERLINK("https://pld.live/RapDetail.aspx?STONELIST=927092149","DNA")</f>
        <v>DNA</v>
      </c>
      <c r="D1118" s="18" t="s">
        <v>3054</v>
      </c>
      <c r="E1118" s="18" t="s">
        <v>5128</v>
      </c>
      <c r="F1118" s="2" t="s">
        <v>7987</v>
      </c>
      <c r="G1118" s="2" t="s">
        <v>861</v>
      </c>
      <c r="H1118" s="14">
        <v>1.02</v>
      </c>
      <c r="I1118" s="2" t="s">
        <v>4761</v>
      </c>
      <c r="J1118" s="2" t="s">
        <v>3942</v>
      </c>
      <c r="K1118" s="2" t="s">
        <v>3390</v>
      </c>
      <c r="L1118" s="2" t="s">
        <v>5221</v>
      </c>
      <c r="M1118" s="2" t="s">
        <v>5221</v>
      </c>
      <c r="N1118" s="2" t="s">
        <v>2317</v>
      </c>
      <c r="O1118" s="14">
        <v>9300</v>
      </c>
      <c r="P1118" s="14">
        <v>98.66</v>
      </c>
      <c r="Q1118" s="14">
        <v>124.62</v>
      </c>
      <c r="R1118" s="14">
        <v>127.11</v>
      </c>
      <c r="S1118" s="2" t="s">
        <v>6201</v>
      </c>
      <c r="T1118" s="2">
        <v>1.01</v>
      </c>
      <c r="U1118" s="2">
        <v>61.6</v>
      </c>
      <c r="V1118" s="2">
        <v>58</v>
      </c>
      <c r="W1118" s="2" t="s">
        <v>7862</v>
      </c>
      <c r="X1118" s="2" t="s">
        <v>5405</v>
      </c>
      <c r="Y1118" s="2">
        <v>9486</v>
      </c>
      <c r="Z1118" s="19" t="str">
        <f>HYPERLINK("https://ssdweb.co/ssdweb/hd/Vision360.html?d=927092149&amp;zoomslide=1&amp;z=1927092149&amp;ISCONFIRM=0","VIDEO")</f>
        <v>VIDEO</v>
      </c>
      <c r="AA1118" s="19" t="str">
        <f>HYPERLINK("https://ssdweb.co/ssdweb/CERTH/665411185.pdf","CERTI")</f>
        <v>CERTI</v>
      </c>
    </row>
    <row r="1119" spans="1:27" ht="15" x14ac:dyDescent="0.25">
      <c r="A1119" s="2">
        <v>1114</v>
      </c>
      <c r="B1119" s="39">
        <v>926831094</v>
      </c>
      <c r="C1119" s="28" t="str">
        <f>HYPERLINK("https://pld.live/RapDetail.aspx?STONELIST=926831094","DNA")</f>
        <v>DNA</v>
      </c>
      <c r="D1119" s="18" t="s">
        <v>3054</v>
      </c>
      <c r="E1119" s="18" t="s">
        <v>5128</v>
      </c>
      <c r="F1119" s="2" t="s">
        <v>5597</v>
      </c>
      <c r="G1119" s="2" t="s">
        <v>861</v>
      </c>
      <c r="H1119" s="14">
        <v>1.02</v>
      </c>
      <c r="I1119" s="2" t="s">
        <v>4761</v>
      </c>
      <c r="J1119" s="2" t="s">
        <v>3942</v>
      </c>
      <c r="K1119" s="2" t="s">
        <v>5221</v>
      </c>
      <c r="L1119" s="2" t="s">
        <v>5221</v>
      </c>
      <c r="M1119" s="2" t="s">
        <v>5221</v>
      </c>
      <c r="N1119" s="2" t="s">
        <v>2317</v>
      </c>
      <c r="O1119" s="14">
        <v>9300</v>
      </c>
      <c r="P1119" s="14">
        <v>97.77</v>
      </c>
      <c r="Q1119" s="14">
        <v>207.39</v>
      </c>
      <c r="R1119" s="14">
        <v>211.54</v>
      </c>
      <c r="S1119" s="2" t="s">
        <v>1684</v>
      </c>
      <c r="T1119" s="2">
        <v>1</v>
      </c>
      <c r="U1119" s="2">
        <v>61.9</v>
      </c>
      <c r="V1119" s="2">
        <v>56</v>
      </c>
      <c r="W1119" s="2" t="s">
        <v>7862</v>
      </c>
      <c r="X1119" s="2" t="s">
        <v>5405</v>
      </c>
      <c r="Y1119" s="2">
        <v>9486</v>
      </c>
      <c r="Z1119" s="19" t="str">
        <f>HYPERLINK("https://ssdweb.co/ssdweb/hd/Vision360.html?d=926831094&amp;zoomslide=1&amp;z=1926831094&amp;ISCONFIRM=0","VIDEO")</f>
        <v>VIDEO</v>
      </c>
      <c r="AA1119" s="19" t="str">
        <f>HYPERLINK("https://ssdweb.co/ssdweb/CERTH/2507620742.pdf","CERTI")</f>
        <v>CERTI</v>
      </c>
    </row>
    <row r="1120" spans="1:27" ht="15" x14ac:dyDescent="0.25">
      <c r="A1120" s="2">
        <v>1115</v>
      </c>
      <c r="B1120" s="39">
        <v>926831042</v>
      </c>
      <c r="C1120" s="28" t="str">
        <f>HYPERLINK("https://pld.live/RapDetail.aspx?STONELIST=926831042","DNA")</f>
        <v>DNA</v>
      </c>
      <c r="D1120" s="18" t="s">
        <v>3054</v>
      </c>
      <c r="E1120" s="18" t="s">
        <v>5128</v>
      </c>
      <c r="F1120" s="2" t="s">
        <v>5597</v>
      </c>
      <c r="G1120" s="2" t="s">
        <v>861</v>
      </c>
      <c r="H1120" s="14">
        <v>1.02</v>
      </c>
      <c r="I1120" s="2" t="s">
        <v>4761</v>
      </c>
      <c r="J1120" s="2" t="s">
        <v>3942</v>
      </c>
      <c r="K1120" s="2" t="s">
        <v>5221</v>
      </c>
      <c r="L1120" s="2" t="s">
        <v>5221</v>
      </c>
      <c r="M1120" s="2" t="s">
        <v>5221</v>
      </c>
      <c r="N1120" s="2" t="s">
        <v>2317</v>
      </c>
      <c r="O1120" s="14">
        <v>9300</v>
      </c>
      <c r="P1120" s="14">
        <v>97.77</v>
      </c>
      <c r="Q1120" s="14">
        <v>207.39</v>
      </c>
      <c r="R1120" s="14">
        <v>211.54</v>
      </c>
      <c r="S1120" s="2" t="s">
        <v>1337</v>
      </c>
      <c r="T1120" s="2">
        <v>1.01</v>
      </c>
      <c r="U1120" s="2">
        <v>60.5</v>
      </c>
      <c r="V1120" s="2">
        <v>58</v>
      </c>
      <c r="W1120" s="2" t="s">
        <v>7862</v>
      </c>
      <c r="X1120" s="2" t="s">
        <v>5405</v>
      </c>
      <c r="Y1120" s="2">
        <v>9486</v>
      </c>
      <c r="Z1120" s="19" t="str">
        <f>HYPERLINK("https://ssdweb.co/ssdweb/hd/Vision360.html?d=926831042&amp;zoomslide=1&amp;z=1926831042&amp;ISCONFIRM=0","VIDEO")</f>
        <v>VIDEO</v>
      </c>
      <c r="AA1120" s="19" t="str">
        <f>HYPERLINK("https://ssdweb.co/ssdweb/CERTH/6505552164.pdf","CERTI")</f>
        <v>CERTI</v>
      </c>
    </row>
    <row r="1121" spans="1:27" ht="15" x14ac:dyDescent="0.25">
      <c r="A1121" s="2">
        <v>1116</v>
      </c>
      <c r="B1121" s="39">
        <v>926831128</v>
      </c>
      <c r="C1121" s="28" t="str">
        <f>HYPERLINK("https://pld.live/RapDetail.aspx?STONELIST=926831128","DNA")</f>
        <v>DNA</v>
      </c>
      <c r="D1121" s="18" t="s">
        <v>3054</v>
      </c>
      <c r="E1121" s="18" t="s">
        <v>5128</v>
      </c>
      <c r="F1121" s="2" t="s">
        <v>5597</v>
      </c>
      <c r="G1121" s="2" t="s">
        <v>861</v>
      </c>
      <c r="H1121" s="14">
        <v>1.02</v>
      </c>
      <c r="I1121" s="2" t="s">
        <v>4761</v>
      </c>
      <c r="J1121" s="2" t="s">
        <v>3942</v>
      </c>
      <c r="K1121" s="2" t="s">
        <v>5221</v>
      </c>
      <c r="L1121" s="2" t="s">
        <v>5221</v>
      </c>
      <c r="M1121" s="2" t="s">
        <v>5221</v>
      </c>
      <c r="N1121" s="2" t="s">
        <v>2317</v>
      </c>
      <c r="O1121" s="14">
        <v>9300</v>
      </c>
      <c r="P1121" s="14">
        <v>97.77</v>
      </c>
      <c r="Q1121" s="14">
        <v>207.39</v>
      </c>
      <c r="R1121" s="14">
        <v>211.54</v>
      </c>
      <c r="S1121" s="2" t="s">
        <v>2308</v>
      </c>
      <c r="T1121" s="2">
        <v>1</v>
      </c>
      <c r="U1121" s="2">
        <v>61.8</v>
      </c>
      <c r="V1121" s="2">
        <v>59</v>
      </c>
      <c r="W1121" s="2" t="s">
        <v>7862</v>
      </c>
      <c r="X1121" s="2" t="s">
        <v>5405</v>
      </c>
      <c r="Y1121" s="2">
        <v>9486</v>
      </c>
      <c r="Z1121" s="19" t="str">
        <f>HYPERLINK("https://ssdweb.co/ssdweb/hd/Vision360.html?d=926831128&amp;zoomslide=1&amp;z=1926831128&amp;ISCONFIRM=0","VIDEO")</f>
        <v>VIDEO</v>
      </c>
      <c r="AA1121" s="19" t="str">
        <f>HYPERLINK("https://ssdweb.co/ssdweb/CERTH/6501620612.pdf","CERTI")</f>
        <v>CERTI</v>
      </c>
    </row>
    <row r="1122" spans="1:27" ht="15" x14ac:dyDescent="0.25">
      <c r="A1122" s="2">
        <v>1117</v>
      </c>
      <c r="B1122" s="39">
        <v>926831092</v>
      </c>
      <c r="C1122" s="28" t="str">
        <f>HYPERLINK("https://pld.live/RapDetail.aspx?STONELIST=926831092","DNA")</f>
        <v>DNA</v>
      </c>
      <c r="D1122" s="18" t="s">
        <v>3054</v>
      </c>
      <c r="E1122" s="18" t="s">
        <v>5128</v>
      </c>
      <c r="F1122" s="2" t="s">
        <v>5597</v>
      </c>
      <c r="G1122" s="2" t="s">
        <v>861</v>
      </c>
      <c r="H1122" s="14">
        <v>1.02</v>
      </c>
      <c r="I1122" s="2" t="s">
        <v>4761</v>
      </c>
      <c r="J1122" s="2" t="s">
        <v>3942</v>
      </c>
      <c r="K1122" s="2" t="s">
        <v>5221</v>
      </c>
      <c r="L1122" s="2" t="s">
        <v>5221</v>
      </c>
      <c r="M1122" s="2" t="s">
        <v>5221</v>
      </c>
      <c r="N1122" s="2" t="s">
        <v>2317</v>
      </c>
      <c r="O1122" s="14">
        <v>9300</v>
      </c>
      <c r="P1122" s="14">
        <v>97.77</v>
      </c>
      <c r="Q1122" s="14">
        <v>207.39</v>
      </c>
      <c r="R1122" s="14">
        <v>211.54</v>
      </c>
      <c r="S1122" s="2" t="s">
        <v>5751</v>
      </c>
      <c r="T1122" s="2">
        <v>1</v>
      </c>
      <c r="U1122" s="2">
        <v>61.9</v>
      </c>
      <c r="V1122" s="2">
        <v>57</v>
      </c>
      <c r="W1122" s="2" t="s">
        <v>7862</v>
      </c>
      <c r="X1122" s="2" t="s">
        <v>5405</v>
      </c>
      <c r="Y1122" s="2">
        <v>9486</v>
      </c>
      <c r="Z1122" s="19" t="str">
        <f>HYPERLINK("https://ssdweb.co/ssdweb/hd/Vision360.html?d=926831092&amp;zoomslide=1&amp;z=1926831092&amp;ISCONFIRM=0","VIDEO")</f>
        <v>VIDEO</v>
      </c>
      <c r="AA1122" s="19" t="str">
        <f>HYPERLINK("https://ssdweb.co/ssdweb/CERTH/1505620888.pdf","CERTI")</f>
        <v>CERTI</v>
      </c>
    </row>
    <row r="1123" spans="1:27" ht="15" x14ac:dyDescent="0.25">
      <c r="A1123" s="2">
        <v>1118</v>
      </c>
      <c r="B1123" s="39">
        <v>926831091</v>
      </c>
      <c r="C1123" s="28" t="str">
        <f>HYPERLINK("https://pld.live/RapDetail.aspx?STONELIST=926831091","DNA")</f>
        <v>DNA</v>
      </c>
      <c r="D1123" s="18" t="s">
        <v>3054</v>
      </c>
      <c r="E1123" s="18" t="s">
        <v>5128</v>
      </c>
      <c r="F1123" s="2" t="s">
        <v>5597</v>
      </c>
      <c r="G1123" s="2" t="s">
        <v>861</v>
      </c>
      <c r="H1123" s="14">
        <v>1.02</v>
      </c>
      <c r="I1123" s="2" t="s">
        <v>4761</v>
      </c>
      <c r="J1123" s="2" t="s">
        <v>3942</v>
      </c>
      <c r="K1123" s="2" t="s">
        <v>5221</v>
      </c>
      <c r="L1123" s="2" t="s">
        <v>5221</v>
      </c>
      <c r="M1123" s="2" t="s">
        <v>5221</v>
      </c>
      <c r="N1123" s="2" t="s">
        <v>2317</v>
      </c>
      <c r="O1123" s="14">
        <v>9300</v>
      </c>
      <c r="P1123" s="14">
        <v>97.77</v>
      </c>
      <c r="Q1123" s="14">
        <v>207.39</v>
      </c>
      <c r="R1123" s="14">
        <v>211.54</v>
      </c>
      <c r="S1123" s="2" t="s">
        <v>2493</v>
      </c>
      <c r="T1123" s="2">
        <v>1</v>
      </c>
      <c r="U1123" s="2">
        <v>61.2</v>
      </c>
      <c r="V1123" s="2">
        <v>58</v>
      </c>
      <c r="W1123" s="2" t="s">
        <v>7862</v>
      </c>
      <c r="X1123" s="2" t="s">
        <v>5405</v>
      </c>
      <c r="Y1123" s="2">
        <v>9486</v>
      </c>
      <c r="Z1123" s="19" t="str">
        <f>HYPERLINK("https://ssdweb.co/ssdweb/hd/Vision360.html?d=926831091&amp;zoomslide=1&amp;z=1926831091&amp;ISCONFIRM=0","VIDEO")</f>
        <v>VIDEO</v>
      </c>
      <c r="AA1123" s="19" t="str">
        <f>HYPERLINK("https://ssdweb.co/ssdweb/CERTH/2507620777.pdf","CERTI")</f>
        <v>CERTI</v>
      </c>
    </row>
    <row r="1124" spans="1:27" ht="15" x14ac:dyDescent="0.25">
      <c r="A1124" s="2">
        <v>1119</v>
      </c>
      <c r="B1124" s="39">
        <v>926831061</v>
      </c>
      <c r="C1124" s="28" t="str">
        <f>HYPERLINK("https://pld.live/RapDetail.aspx?STONELIST=926831061","DNA")</f>
        <v>DNA</v>
      </c>
      <c r="D1124" s="18" t="s">
        <v>3054</v>
      </c>
      <c r="E1124" s="18" t="s">
        <v>5128</v>
      </c>
      <c r="F1124" s="2" t="s">
        <v>5597</v>
      </c>
      <c r="G1124" s="2" t="s">
        <v>861</v>
      </c>
      <c r="H1124" s="14">
        <v>1.02</v>
      </c>
      <c r="I1124" s="2" t="s">
        <v>4761</v>
      </c>
      <c r="J1124" s="2" t="s">
        <v>3942</v>
      </c>
      <c r="K1124" s="2" t="s">
        <v>5221</v>
      </c>
      <c r="L1124" s="2" t="s">
        <v>5221</v>
      </c>
      <c r="M1124" s="2" t="s">
        <v>5221</v>
      </c>
      <c r="N1124" s="2" t="s">
        <v>2317</v>
      </c>
      <c r="O1124" s="14">
        <v>9300</v>
      </c>
      <c r="P1124" s="14">
        <v>97.77</v>
      </c>
      <c r="Q1124" s="14">
        <v>207.39</v>
      </c>
      <c r="R1124" s="14">
        <v>211.54</v>
      </c>
      <c r="S1124" s="2" t="s">
        <v>4666</v>
      </c>
      <c r="T1124" s="2">
        <v>1</v>
      </c>
      <c r="U1124" s="2">
        <v>62</v>
      </c>
      <c r="V1124" s="2">
        <v>57</v>
      </c>
      <c r="W1124" s="2" t="s">
        <v>7862</v>
      </c>
      <c r="X1124" s="2" t="s">
        <v>5405</v>
      </c>
      <c r="Y1124" s="2">
        <v>9486</v>
      </c>
      <c r="Z1124" s="19" t="str">
        <f>HYPERLINK("https://ssdweb.co/ssdweb/hd/Vision360.html?d=926831061&amp;zoomslide=1&amp;z=1926831061&amp;ISCONFIRM=0","VIDEO")</f>
        <v>VIDEO</v>
      </c>
      <c r="AA1124" s="19" t="str">
        <f>HYPERLINK("https://ssdweb.co/ssdweb/CERTH/7508552318.pdf","CERTI")</f>
        <v>CERTI</v>
      </c>
    </row>
    <row r="1125" spans="1:27" ht="15" x14ac:dyDescent="0.25">
      <c r="A1125" s="2">
        <v>1120</v>
      </c>
      <c r="B1125" s="39">
        <v>926831060</v>
      </c>
      <c r="C1125" s="28" t="str">
        <f>HYPERLINK("https://pld.live/RapDetail.aspx?STONELIST=926831060","DNA")</f>
        <v>DNA</v>
      </c>
      <c r="D1125" s="18" t="s">
        <v>3054</v>
      </c>
      <c r="E1125" s="18" t="s">
        <v>5128</v>
      </c>
      <c r="F1125" s="2" t="s">
        <v>5597</v>
      </c>
      <c r="G1125" s="2" t="s">
        <v>861</v>
      </c>
      <c r="H1125" s="14">
        <v>1.02</v>
      </c>
      <c r="I1125" s="2" t="s">
        <v>4761</v>
      </c>
      <c r="J1125" s="2" t="s">
        <v>3942</v>
      </c>
      <c r="K1125" s="2" t="s">
        <v>5221</v>
      </c>
      <c r="L1125" s="2" t="s">
        <v>5221</v>
      </c>
      <c r="M1125" s="2" t="s">
        <v>5221</v>
      </c>
      <c r="N1125" s="2" t="s">
        <v>2317</v>
      </c>
      <c r="O1125" s="14">
        <v>9300</v>
      </c>
      <c r="P1125" s="14">
        <v>97.77</v>
      </c>
      <c r="Q1125" s="14">
        <v>207.39</v>
      </c>
      <c r="R1125" s="14">
        <v>211.54</v>
      </c>
      <c r="S1125" s="2" t="s">
        <v>2087</v>
      </c>
      <c r="T1125" s="2">
        <v>1</v>
      </c>
      <c r="U1125" s="2">
        <v>61.3</v>
      </c>
      <c r="V1125" s="2">
        <v>57</v>
      </c>
      <c r="W1125" s="2" t="s">
        <v>7862</v>
      </c>
      <c r="X1125" s="2" t="s">
        <v>5405</v>
      </c>
      <c r="Y1125" s="2">
        <v>9486</v>
      </c>
      <c r="Z1125" s="19" t="str">
        <f>HYPERLINK("https://ssdweb.co/ssdweb/hd/Vision360.html?d=926831060&amp;zoomslide=1&amp;z=1926831060&amp;ISCONFIRM=0","VIDEO")</f>
        <v>VIDEO</v>
      </c>
      <c r="AA1125" s="19" t="str">
        <f>HYPERLINK("https://ssdweb.co/ssdweb/CERTH/1503552179.pdf","CERTI")</f>
        <v>CERTI</v>
      </c>
    </row>
    <row r="1126" spans="1:27" ht="15" x14ac:dyDescent="0.25">
      <c r="A1126" s="2">
        <v>1121</v>
      </c>
      <c r="B1126" s="39">
        <v>926741069</v>
      </c>
      <c r="C1126" s="28" t="str">
        <f>HYPERLINK("https://pld.live/RapDetail.aspx?STONELIST=926741069","DNA")</f>
        <v>DNA</v>
      </c>
      <c r="D1126" s="18" t="s">
        <v>3054</v>
      </c>
      <c r="E1126" s="18" t="s">
        <v>5128</v>
      </c>
      <c r="F1126" s="2" t="s">
        <v>5597</v>
      </c>
      <c r="G1126" s="2" t="s">
        <v>861</v>
      </c>
      <c r="H1126" s="14">
        <v>1.02</v>
      </c>
      <c r="I1126" s="2" t="s">
        <v>4761</v>
      </c>
      <c r="J1126" s="2" t="s">
        <v>3942</v>
      </c>
      <c r="K1126" s="2" t="s">
        <v>5221</v>
      </c>
      <c r="L1126" s="2" t="s">
        <v>5221</v>
      </c>
      <c r="M1126" s="2" t="s">
        <v>5221</v>
      </c>
      <c r="N1126" s="2" t="s">
        <v>2317</v>
      </c>
      <c r="O1126" s="14">
        <v>9300</v>
      </c>
      <c r="P1126" s="14">
        <v>97.77</v>
      </c>
      <c r="Q1126" s="14">
        <v>207.39</v>
      </c>
      <c r="R1126" s="14">
        <v>211.54</v>
      </c>
      <c r="S1126" s="2" t="s">
        <v>8010</v>
      </c>
      <c r="T1126" s="2">
        <v>1</v>
      </c>
      <c r="U1126" s="2">
        <v>62.3</v>
      </c>
      <c r="V1126" s="2">
        <v>56</v>
      </c>
      <c r="W1126" s="2" t="s">
        <v>7862</v>
      </c>
      <c r="X1126" s="2" t="s">
        <v>5405</v>
      </c>
      <c r="Y1126" s="2">
        <v>9486</v>
      </c>
      <c r="Z1126" s="19" t="str">
        <f>HYPERLINK("https://ssdweb.co/ssdweb/hd/Vision360.html?d=926741069&amp;zoomslide=1&amp;z=1926741069&amp;ISCONFIRM=0","VIDEO")</f>
        <v>VIDEO</v>
      </c>
      <c r="AA1126" s="19" t="str">
        <f>HYPERLINK("https://ssdweb.co/ssdweb/CERTH/2506458966.pdf","CERTI")</f>
        <v>CERTI</v>
      </c>
    </row>
    <row r="1127" spans="1:27" ht="15" x14ac:dyDescent="0.25">
      <c r="A1127" s="2">
        <v>1122</v>
      </c>
      <c r="B1127" s="39">
        <v>926831089</v>
      </c>
      <c r="C1127" s="28" t="str">
        <f>HYPERLINK("https://pld.live/RapDetail.aspx?STONELIST=926831089","DNA")</f>
        <v>DNA</v>
      </c>
      <c r="D1127" s="18" t="s">
        <v>3054</v>
      </c>
      <c r="E1127" s="18" t="s">
        <v>5128</v>
      </c>
      <c r="F1127" s="2" t="s">
        <v>5597</v>
      </c>
      <c r="G1127" s="2" t="s">
        <v>861</v>
      </c>
      <c r="H1127" s="14">
        <v>1.02</v>
      </c>
      <c r="I1127" s="2" t="s">
        <v>4761</v>
      </c>
      <c r="J1127" s="2" t="s">
        <v>3942</v>
      </c>
      <c r="K1127" s="2" t="s">
        <v>5221</v>
      </c>
      <c r="L1127" s="2" t="s">
        <v>5221</v>
      </c>
      <c r="M1127" s="2" t="s">
        <v>5221</v>
      </c>
      <c r="N1127" s="2" t="s">
        <v>2317</v>
      </c>
      <c r="O1127" s="14">
        <v>9300</v>
      </c>
      <c r="P1127" s="14">
        <v>97.77</v>
      </c>
      <c r="Q1127" s="14">
        <v>207.39</v>
      </c>
      <c r="R1127" s="14">
        <v>211.54</v>
      </c>
      <c r="S1127" s="2" t="s">
        <v>5934</v>
      </c>
      <c r="T1127" s="2">
        <v>1</v>
      </c>
      <c r="U1127" s="2">
        <v>61.3</v>
      </c>
      <c r="V1127" s="2">
        <v>56</v>
      </c>
      <c r="W1127" s="2" t="s">
        <v>7862</v>
      </c>
      <c r="X1127" s="2" t="s">
        <v>5405</v>
      </c>
      <c r="Y1127" s="2">
        <v>9486</v>
      </c>
      <c r="Z1127" s="19" t="str">
        <f>HYPERLINK("https://ssdweb.co/ssdweb/hd/Vision360.html?d=926831089&amp;zoomslide=1&amp;z=1926831089&amp;ISCONFIRM=0","VIDEO")</f>
        <v>VIDEO</v>
      </c>
      <c r="AA1127" s="19" t="str">
        <f>HYPERLINK("https://ssdweb.co/ssdweb/CERTH/3505620797.pdf","CERTI")</f>
        <v>CERTI</v>
      </c>
    </row>
    <row r="1128" spans="1:27" ht="15" x14ac:dyDescent="0.25">
      <c r="A1128" s="2">
        <v>1123</v>
      </c>
      <c r="B1128" s="39">
        <v>926741019</v>
      </c>
      <c r="C1128" s="28" t="str">
        <f>HYPERLINK("https://pld.live/RapDetail.aspx?STONELIST=926741019","DNA")</f>
        <v>DNA</v>
      </c>
      <c r="D1128" s="18" t="s">
        <v>3054</v>
      </c>
      <c r="E1128" s="18" t="s">
        <v>5128</v>
      </c>
      <c r="F1128" s="2" t="s">
        <v>5597</v>
      </c>
      <c r="G1128" s="2" t="s">
        <v>861</v>
      </c>
      <c r="H1128" s="14">
        <v>1.02</v>
      </c>
      <c r="I1128" s="2" t="s">
        <v>4761</v>
      </c>
      <c r="J1128" s="2" t="s">
        <v>3942</v>
      </c>
      <c r="K1128" s="2" t="s">
        <v>5221</v>
      </c>
      <c r="L1128" s="2" t="s">
        <v>5221</v>
      </c>
      <c r="M1128" s="2" t="s">
        <v>5221</v>
      </c>
      <c r="N1128" s="2" t="s">
        <v>2317</v>
      </c>
      <c r="O1128" s="14">
        <v>9300</v>
      </c>
      <c r="P1128" s="14">
        <v>97.77</v>
      </c>
      <c r="Q1128" s="14">
        <v>207.39</v>
      </c>
      <c r="R1128" s="14">
        <v>211.54</v>
      </c>
      <c r="S1128" s="2" t="s">
        <v>7910</v>
      </c>
      <c r="T1128" s="2">
        <v>1</v>
      </c>
      <c r="U1128" s="2">
        <v>62.1</v>
      </c>
      <c r="V1128" s="2">
        <v>56</v>
      </c>
      <c r="W1128" s="2" t="s">
        <v>7862</v>
      </c>
      <c r="X1128" s="2" t="s">
        <v>5405</v>
      </c>
      <c r="Y1128" s="2">
        <v>9486</v>
      </c>
      <c r="Z1128" s="19" t="str">
        <f>HYPERLINK("https://ssdweb.co/ssdweb/hd/Vision360.html?d=926741019&amp;zoomslide=1&amp;z=1926741019&amp;ISCONFIRM=0","VIDEO")</f>
        <v>VIDEO</v>
      </c>
      <c r="AA1128" s="19" t="str">
        <f>HYPERLINK("https://ssdweb.co/ssdweb/CERTH/7506458987.pdf","CERTI")</f>
        <v>CERTI</v>
      </c>
    </row>
    <row r="1129" spans="1:27" ht="15" x14ac:dyDescent="0.25">
      <c r="A1129" s="2">
        <v>1124</v>
      </c>
      <c r="B1129" s="39">
        <v>926830963</v>
      </c>
      <c r="C1129" s="28" t="str">
        <f>HYPERLINK("https://pld.live/RapDetail.aspx?STONELIST=926830963","DNA")</f>
        <v>DNA</v>
      </c>
      <c r="D1129" s="18" t="s">
        <v>3054</v>
      </c>
      <c r="E1129" s="18" t="s">
        <v>5128</v>
      </c>
      <c r="F1129" s="2" t="s">
        <v>5597</v>
      </c>
      <c r="G1129" s="2" t="s">
        <v>861</v>
      </c>
      <c r="H1129" s="14">
        <v>1.02</v>
      </c>
      <c r="I1129" s="2" t="s">
        <v>4761</v>
      </c>
      <c r="J1129" s="2" t="s">
        <v>3942</v>
      </c>
      <c r="K1129" s="2" t="s">
        <v>5221</v>
      </c>
      <c r="L1129" s="2" t="s">
        <v>5221</v>
      </c>
      <c r="M1129" s="2" t="s">
        <v>5221</v>
      </c>
      <c r="N1129" s="2" t="s">
        <v>2317</v>
      </c>
      <c r="O1129" s="14">
        <v>9300</v>
      </c>
      <c r="P1129" s="14">
        <v>97.77</v>
      </c>
      <c r="Q1129" s="14">
        <v>207.39</v>
      </c>
      <c r="R1129" s="14">
        <v>211.54</v>
      </c>
      <c r="S1129" s="2" t="s">
        <v>2087</v>
      </c>
      <c r="T1129" s="2">
        <v>1</v>
      </c>
      <c r="U1129" s="2">
        <v>61.3</v>
      </c>
      <c r="V1129" s="2">
        <v>58</v>
      </c>
      <c r="W1129" s="2" t="s">
        <v>7862</v>
      </c>
      <c r="X1129" s="2" t="s">
        <v>5405</v>
      </c>
      <c r="Y1129" s="2">
        <v>9486</v>
      </c>
      <c r="Z1129" s="19" t="str">
        <f>HYPERLINK("https://ssdweb.co/ssdweb/hd/Vision360.html?d=926830963&amp;zoomslide=1&amp;z=1926830963&amp;ISCONFIRM=0","VIDEO")</f>
        <v>VIDEO</v>
      </c>
      <c r="AA1129" s="19" t="str">
        <f>HYPERLINK("https://ssdweb.co/ssdweb/CERTH/6502523467.pdf","CERTI")</f>
        <v>CERTI</v>
      </c>
    </row>
    <row r="1130" spans="1:27" ht="15" x14ac:dyDescent="0.25">
      <c r="A1130" s="2">
        <v>1125</v>
      </c>
      <c r="B1130" s="39">
        <v>926831081</v>
      </c>
      <c r="C1130" s="28" t="str">
        <f>HYPERLINK("https://pld.live/RapDetail.aspx?STONELIST=926831081","DNA")</f>
        <v>DNA</v>
      </c>
      <c r="D1130" s="18" t="s">
        <v>3054</v>
      </c>
      <c r="E1130" s="18" t="s">
        <v>5128</v>
      </c>
      <c r="F1130" s="2" t="s">
        <v>5597</v>
      </c>
      <c r="G1130" s="2" t="s">
        <v>861</v>
      </c>
      <c r="H1130" s="14">
        <v>1.02</v>
      </c>
      <c r="I1130" s="2" t="s">
        <v>4761</v>
      </c>
      <c r="J1130" s="2" t="s">
        <v>3942</v>
      </c>
      <c r="K1130" s="2" t="s">
        <v>5221</v>
      </c>
      <c r="L1130" s="2" t="s">
        <v>5221</v>
      </c>
      <c r="M1130" s="2" t="s">
        <v>5221</v>
      </c>
      <c r="N1130" s="2" t="s">
        <v>2317</v>
      </c>
      <c r="O1130" s="14">
        <v>9300</v>
      </c>
      <c r="P1130" s="14">
        <v>97.77</v>
      </c>
      <c r="Q1130" s="14">
        <v>207.39</v>
      </c>
      <c r="R1130" s="14">
        <v>211.54</v>
      </c>
      <c r="S1130" s="2" t="s">
        <v>4899</v>
      </c>
      <c r="T1130" s="2">
        <v>1.01</v>
      </c>
      <c r="U1130" s="2">
        <v>61.4</v>
      </c>
      <c r="V1130" s="2">
        <v>58</v>
      </c>
      <c r="W1130" s="2" t="s">
        <v>7862</v>
      </c>
      <c r="X1130" s="2" t="s">
        <v>5405</v>
      </c>
      <c r="Y1130" s="2">
        <v>9486</v>
      </c>
      <c r="Z1130" s="19" t="str">
        <f>HYPERLINK("https://ssdweb.co/ssdweb/hd/Vision360.html?d=926831081&amp;zoomslide=1&amp;z=1926831081&amp;ISCONFIRM=0","VIDEO")</f>
        <v>VIDEO</v>
      </c>
      <c r="AA1130" s="19" t="str">
        <f>HYPERLINK("https://ssdweb.co/ssdweb/CERTH/6502620488.pdf","CERTI")</f>
        <v>CERTI</v>
      </c>
    </row>
    <row r="1131" spans="1:27" ht="15" x14ac:dyDescent="0.25">
      <c r="A1131" s="2">
        <v>1126</v>
      </c>
      <c r="B1131" s="39">
        <v>926831075</v>
      </c>
      <c r="C1131" s="28" t="str">
        <f>HYPERLINK("https://pld.live/RapDetail.aspx?STONELIST=926831075","DNA")</f>
        <v>DNA</v>
      </c>
      <c r="D1131" s="18" t="s">
        <v>3054</v>
      </c>
      <c r="E1131" s="18" t="s">
        <v>5128</v>
      </c>
      <c r="F1131" s="2" t="s">
        <v>5597</v>
      </c>
      <c r="G1131" s="2" t="s">
        <v>861</v>
      </c>
      <c r="H1131" s="14">
        <v>1.02</v>
      </c>
      <c r="I1131" s="2" t="s">
        <v>4761</v>
      </c>
      <c r="J1131" s="2" t="s">
        <v>3942</v>
      </c>
      <c r="K1131" s="2" t="s">
        <v>5221</v>
      </c>
      <c r="L1131" s="2" t="s">
        <v>5221</v>
      </c>
      <c r="M1131" s="2" t="s">
        <v>5221</v>
      </c>
      <c r="N1131" s="2" t="s">
        <v>2317</v>
      </c>
      <c r="O1131" s="14">
        <v>9300</v>
      </c>
      <c r="P1131" s="14">
        <v>97.77</v>
      </c>
      <c r="Q1131" s="14">
        <v>207.39</v>
      </c>
      <c r="R1131" s="14">
        <v>211.54</v>
      </c>
      <c r="S1131" s="2" t="s">
        <v>1455</v>
      </c>
      <c r="T1131" s="2">
        <v>1.01</v>
      </c>
      <c r="U1131" s="2">
        <v>60.8</v>
      </c>
      <c r="V1131" s="2">
        <v>59</v>
      </c>
      <c r="W1131" s="2" t="s">
        <v>7862</v>
      </c>
      <c r="X1131" s="2" t="s">
        <v>5405</v>
      </c>
      <c r="Y1131" s="2">
        <v>9486</v>
      </c>
      <c r="Z1131" s="19" t="str">
        <f>HYPERLINK("https://ssdweb.co/ssdweb/hd/Vision360.html?d=926831075&amp;zoomslide=1&amp;z=1926831075&amp;ISCONFIRM=0","VIDEO")</f>
        <v>VIDEO</v>
      </c>
      <c r="AA1131" s="19" t="str">
        <f>HYPERLINK("https://ssdweb.co/ssdweb/CERTH/7503620524.pdf","CERTI")</f>
        <v>CERTI</v>
      </c>
    </row>
    <row r="1132" spans="1:27" ht="15" x14ac:dyDescent="0.25">
      <c r="A1132" s="2">
        <v>1127</v>
      </c>
      <c r="B1132" s="39">
        <v>926831071</v>
      </c>
      <c r="C1132" s="28" t="str">
        <f>HYPERLINK("https://pld.live/RapDetail.aspx?STONELIST=926831071","DNA")</f>
        <v>DNA</v>
      </c>
      <c r="D1132" s="18" t="s">
        <v>3054</v>
      </c>
      <c r="E1132" s="18" t="s">
        <v>5128</v>
      </c>
      <c r="F1132" s="2" t="s">
        <v>5597</v>
      </c>
      <c r="G1132" s="2" t="s">
        <v>861</v>
      </c>
      <c r="H1132" s="14">
        <v>1.02</v>
      </c>
      <c r="I1132" s="2" t="s">
        <v>4761</v>
      </c>
      <c r="J1132" s="2" t="s">
        <v>3942</v>
      </c>
      <c r="K1132" s="2" t="s">
        <v>5221</v>
      </c>
      <c r="L1132" s="2" t="s">
        <v>5221</v>
      </c>
      <c r="M1132" s="2" t="s">
        <v>5221</v>
      </c>
      <c r="N1132" s="2" t="s">
        <v>2317</v>
      </c>
      <c r="O1132" s="14">
        <v>9300</v>
      </c>
      <c r="P1132" s="14">
        <v>97.77</v>
      </c>
      <c r="Q1132" s="14">
        <v>207.39</v>
      </c>
      <c r="R1132" s="14">
        <v>211.54</v>
      </c>
      <c r="S1132" s="2" t="s">
        <v>2746</v>
      </c>
      <c r="T1132" s="2">
        <v>1.01</v>
      </c>
      <c r="U1132" s="2">
        <v>62</v>
      </c>
      <c r="V1132" s="2">
        <v>57</v>
      </c>
      <c r="W1132" s="2" t="s">
        <v>7862</v>
      </c>
      <c r="X1132" s="2" t="s">
        <v>5405</v>
      </c>
      <c r="Y1132" s="2">
        <v>9486</v>
      </c>
      <c r="Z1132" s="19" t="str">
        <f>HYPERLINK("https://ssdweb.co/ssdweb/hd/Vision360.html?d=926831071&amp;zoomslide=1&amp;z=1926831071&amp;ISCONFIRM=0","VIDEO")</f>
        <v>VIDEO</v>
      </c>
      <c r="AA1132" s="19" t="str">
        <f>HYPERLINK("https://ssdweb.co/ssdweb/CERTH/7506621797.pdf","CERTI")</f>
        <v>CERTI</v>
      </c>
    </row>
    <row r="1133" spans="1:27" ht="15" x14ac:dyDescent="0.25">
      <c r="A1133" s="2">
        <v>1128</v>
      </c>
      <c r="B1133" s="39">
        <v>926810894</v>
      </c>
      <c r="C1133" s="28" t="str">
        <f>HYPERLINK("https://pld.live/RapDetail.aspx?STONELIST=926810894","DNA")</f>
        <v>DNA</v>
      </c>
      <c r="D1133" s="18" t="s">
        <v>3054</v>
      </c>
      <c r="E1133" s="18" t="s">
        <v>5128</v>
      </c>
      <c r="F1133" s="2" t="s">
        <v>5597</v>
      </c>
      <c r="G1133" s="2" t="s">
        <v>861</v>
      </c>
      <c r="H1133" s="14">
        <v>1.02</v>
      </c>
      <c r="I1133" s="2" t="s">
        <v>4761</v>
      </c>
      <c r="J1133" s="2" t="s">
        <v>3942</v>
      </c>
      <c r="K1133" s="2" t="s">
        <v>5221</v>
      </c>
      <c r="L1133" s="2" t="s">
        <v>5221</v>
      </c>
      <c r="M1133" s="2" t="s">
        <v>5221</v>
      </c>
      <c r="N1133" s="2" t="s">
        <v>2317</v>
      </c>
      <c r="O1133" s="14">
        <v>9300</v>
      </c>
      <c r="P1133" s="14">
        <v>97.77</v>
      </c>
      <c r="Q1133" s="14">
        <v>207.39</v>
      </c>
      <c r="R1133" s="14">
        <v>211.54</v>
      </c>
      <c r="S1133" s="2" t="s">
        <v>4203</v>
      </c>
      <c r="T1133" s="2">
        <v>1</v>
      </c>
      <c r="U1133" s="2">
        <v>61.1</v>
      </c>
      <c r="V1133" s="2">
        <v>59</v>
      </c>
      <c r="W1133" s="2" t="s">
        <v>7862</v>
      </c>
      <c r="X1133" s="2" t="s">
        <v>5405</v>
      </c>
      <c r="Y1133" s="2">
        <v>9486</v>
      </c>
      <c r="Z1133" s="19" t="str">
        <f>HYPERLINK("https://ssdweb.co/ssdweb/hd/Vision360.html?d=926810894&amp;zoomslide=1&amp;z=1926810894&amp;ISCONFIRM=0","VIDEO")</f>
        <v>VIDEO</v>
      </c>
      <c r="AA1133" s="19" t="str">
        <f>HYPERLINK("https://ssdweb.co/ssdweb/CERTH/2506620835.pdf","CERTI")</f>
        <v>CERTI</v>
      </c>
    </row>
    <row r="1134" spans="1:27" ht="15" x14ac:dyDescent="0.25">
      <c r="A1134" s="2">
        <v>1129</v>
      </c>
      <c r="B1134" s="39">
        <v>926810887</v>
      </c>
      <c r="C1134" s="28" t="str">
        <f>HYPERLINK("https://pld.live/RapDetail.aspx?STONELIST=926810887","DNA")</f>
        <v>DNA</v>
      </c>
      <c r="D1134" s="18" t="s">
        <v>3054</v>
      </c>
      <c r="E1134" s="18" t="s">
        <v>5128</v>
      </c>
      <c r="F1134" s="2" t="s">
        <v>5597</v>
      </c>
      <c r="G1134" s="2" t="s">
        <v>861</v>
      </c>
      <c r="H1134" s="14">
        <v>1.02</v>
      </c>
      <c r="I1134" s="2" t="s">
        <v>4761</v>
      </c>
      <c r="J1134" s="2" t="s">
        <v>3942</v>
      </c>
      <c r="K1134" s="2" t="s">
        <v>5221</v>
      </c>
      <c r="L1134" s="2" t="s">
        <v>5221</v>
      </c>
      <c r="M1134" s="2" t="s">
        <v>5221</v>
      </c>
      <c r="N1134" s="2" t="s">
        <v>2317</v>
      </c>
      <c r="O1134" s="14">
        <v>9300</v>
      </c>
      <c r="P1134" s="14">
        <v>97.77</v>
      </c>
      <c r="Q1134" s="14">
        <v>207.39</v>
      </c>
      <c r="R1134" s="14">
        <v>211.54</v>
      </c>
      <c r="S1134" s="2" t="s">
        <v>77</v>
      </c>
      <c r="T1134" s="2">
        <v>1</v>
      </c>
      <c r="U1134" s="2">
        <v>62.1</v>
      </c>
      <c r="V1134" s="2">
        <v>57</v>
      </c>
      <c r="W1134" s="2" t="s">
        <v>7862</v>
      </c>
      <c r="X1134" s="2" t="s">
        <v>5405</v>
      </c>
      <c r="Y1134" s="2">
        <v>9486</v>
      </c>
      <c r="Z1134" s="19" t="str">
        <f>HYPERLINK("https://ssdweb.co/ssdweb/hd/Vision360.html?d=926810887&amp;zoomslide=1&amp;z=1926810887&amp;ISCONFIRM=0","VIDEO")</f>
        <v>VIDEO</v>
      </c>
      <c r="AA1134" s="19" t="str">
        <f>HYPERLINK("https://ssdweb.co/ssdweb/CERTH/2506552206.pdf","CERTI")</f>
        <v>CERTI</v>
      </c>
    </row>
    <row r="1135" spans="1:27" ht="15" x14ac:dyDescent="0.25">
      <c r="A1135" s="2">
        <v>1130</v>
      </c>
      <c r="B1135" s="39">
        <v>927101096</v>
      </c>
      <c r="C1135" s="28" t="str">
        <f>HYPERLINK("https://pld.live/RapDetail.aspx?STONELIST=927101096","DNA")</f>
        <v>DNA</v>
      </c>
      <c r="D1135" s="18" t="s">
        <v>3054</v>
      </c>
      <c r="E1135" s="18" t="s">
        <v>5128</v>
      </c>
      <c r="F1135" s="2" t="s">
        <v>7987</v>
      </c>
      <c r="G1135" s="2" t="s">
        <v>861</v>
      </c>
      <c r="H1135" s="14">
        <v>1.02</v>
      </c>
      <c r="I1135" s="2" t="s">
        <v>4761</v>
      </c>
      <c r="J1135" s="2" t="s">
        <v>3942</v>
      </c>
      <c r="K1135" s="2" t="s">
        <v>5221</v>
      </c>
      <c r="L1135" s="2" t="s">
        <v>5221</v>
      </c>
      <c r="M1135" s="2" t="s">
        <v>5221</v>
      </c>
      <c r="N1135" s="2" t="s">
        <v>2317</v>
      </c>
      <c r="O1135" s="14">
        <v>9300</v>
      </c>
      <c r="P1135" s="14">
        <v>98.66</v>
      </c>
      <c r="Q1135" s="14">
        <v>124.62</v>
      </c>
      <c r="R1135" s="14">
        <v>127.11</v>
      </c>
      <c r="S1135" s="2" t="s">
        <v>3983</v>
      </c>
      <c r="T1135" s="2">
        <v>1</v>
      </c>
      <c r="U1135" s="2">
        <v>60.3</v>
      </c>
      <c r="V1135" s="2">
        <v>60</v>
      </c>
      <c r="W1135" s="2" t="s">
        <v>7862</v>
      </c>
      <c r="X1135" s="2" t="s">
        <v>5405</v>
      </c>
      <c r="Y1135" s="2">
        <v>9486</v>
      </c>
      <c r="Z1135" s="19" t="str">
        <f>HYPERLINK("https://ssdweb.co/ssdweb/hd/Vision360.html?d=927101096&amp;zoomslide=1&amp;z=1927101096&amp;ISCONFIRM=0","VIDEO")</f>
        <v>VIDEO</v>
      </c>
      <c r="AA1135" s="19" t="str">
        <f>HYPERLINK("https://ssdweb.co/ssdweb/CERTH/665411172.pdf","CERTI")</f>
        <v>CERTI</v>
      </c>
    </row>
    <row r="1136" spans="1:27" ht="15" x14ac:dyDescent="0.25">
      <c r="A1136" s="2">
        <v>1131</v>
      </c>
      <c r="B1136" s="39">
        <v>941090240</v>
      </c>
      <c r="C1136" s="28" t="str">
        <f>HYPERLINK("https://pld.live/RapDetail.aspx?STONELIST=941090240","DNA")</f>
        <v>DNA</v>
      </c>
      <c r="D1136" s="18" t="s">
        <v>3054</v>
      </c>
      <c r="E1136" s="18" t="s">
        <v>2186</v>
      </c>
      <c r="F1136" s="2" t="s">
        <v>7987</v>
      </c>
      <c r="G1136" s="2" t="s">
        <v>861</v>
      </c>
      <c r="H1136" s="14">
        <v>1.02</v>
      </c>
      <c r="I1136" s="2" t="s">
        <v>4761</v>
      </c>
      <c r="J1136" s="2" t="s">
        <v>3942</v>
      </c>
      <c r="K1136" s="2" t="s">
        <v>5221</v>
      </c>
      <c r="L1136" s="2" t="s">
        <v>5221</v>
      </c>
      <c r="M1136" s="2" t="s">
        <v>5221</v>
      </c>
      <c r="N1136" s="2" t="s">
        <v>2317</v>
      </c>
      <c r="O1136" s="14">
        <v>9300</v>
      </c>
      <c r="P1136" s="14">
        <v>98.65</v>
      </c>
      <c r="Q1136" s="14">
        <v>125.55</v>
      </c>
      <c r="R1136" s="14">
        <v>128.06</v>
      </c>
      <c r="S1136" s="2" t="s">
        <v>4179</v>
      </c>
      <c r="T1136" s="2">
        <v>1.01</v>
      </c>
      <c r="U1136" s="2">
        <v>60.3</v>
      </c>
      <c r="V1136" s="2">
        <v>61</v>
      </c>
      <c r="W1136" s="2" t="s">
        <v>7862</v>
      </c>
      <c r="X1136" s="2" t="s">
        <v>5405</v>
      </c>
      <c r="Y1136" s="2">
        <v>9486</v>
      </c>
      <c r="Z1136" s="19" t="str">
        <f>HYPERLINK("https://ssdweb.co/ssdweb/hd/Vision360.html?d=941090240&amp;zoomslide=1&amp;z=1941090240&amp;ISCONFIRM=0","VIDEO")</f>
        <v>VIDEO</v>
      </c>
      <c r="AA1136" s="19" t="str">
        <f>HYPERLINK("https://ssdweb.co/ssdweb/CERTH/671411249.pdf","CERTI")</f>
        <v>CERTI</v>
      </c>
    </row>
    <row r="1137" spans="1:27" ht="15" x14ac:dyDescent="0.25">
      <c r="A1137" s="2">
        <v>1132</v>
      </c>
      <c r="B1137" s="39">
        <v>941350730</v>
      </c>
      <c r="C1137" s="28" t="str">
        <f>HYPERLINK("https://pld.live/RapDetail.aspx?STONELIST=941350730","DNA")</f>
        <v>DNA</v>
      </c>
      <c r="D1137" s="18" t="s">
        <v>3054</v>
      </c>
      <c r="E1137" s="18" t="s">
        <v>5128</v>
      </c>
      <c r="F1137" s="2" t="s">
        <v>7987</v>
      </c>
      <c r="G1137" s="2" t="s">
        <v>861</v>
      </c>
      <c r="H1137" s="14">
        <v>1.02</v>
      </c>
      <c r="I1137" s="2" t="s">
        <v>4761</v>
      </c>
      <c r="J1137" s="2" t="s">
        <v>13</v>
      </c>
      <c r="K1137" s="2" t="s">
        <v>3390</v>
      </c>
      <c r="L1137" s="2" t="s">
        <v>5221</v>
      </c>
      <c r="M1137" s="2" t="s">
        <v>5221</v>
      </c>
      <c r="N1137" s="2" t="s">
        <v>2317</v>
      </c>
      <c r="O1137" s="14">
        <v>7900</v>
      </c>
      <c r="P1137" s="14">
        <v>98.42</v>
      </c>
      <c r="Q1137" s="14">
        <v>124.82</v>
      </c>
      <c r="R1137" s="14">
        <v>127.32</v>
      </c>
      <c r="S1137" s="2" t="s">
        <v>4934</v>
      </c>
      <c r="T1137" s="2">
        <v>1.01</v>
      </c>
      <c r="U1137" s="2">
        <v>62.5</v>
      </c>
      <c r="V1137" s="2">
        <v>56</v>
      </c>
      <c r="W1137" s="2" t="s">
        <v>7862</v>
      </c>
      <c r="X1137" s="2" t="s">
        <v>5405</v>
      </c>
      <c r="Y1137" s="2">
        <v>8058</v>
      </c>
      <c r="Z1137" s="19" t="str">
        <f>HYPERLINK("https://ssdweb.co/ssdweb/hd/Vision360.html?d=941350730&amp;zoomslide=1&amp;z=1941350730&amp;ISCONFIRM=0","VIDEO")</f>
        <v>VIDEO</v>
      </c>
      <c r="AA1137" s="19" t="str">
        <f>HYPERLINK("https://ssdweb.co/ssdweb/CERTH/689587077.pdf","CERTI")</f>
        <v>CERTI</v>
      </c>
    </row>
    <row r="1138" spans="1:27" ht="15" x14ac:dyDescent="0.25">
      <c r="A1138" s="2">
        <v>1133</v>
      </c>
      <c r="B1138" s="39">
        <v>941110107</v>
      </c>
      <c r="C1138" s="28" t="str">
        <f>HYPERLINK("https://pld.live/RapDetail.aspx?STONELIST=941110107","DNA")</f>
        <v>DNA</v>
      </c>
      <c r="D1138" s="18" t="s">
        <v>3054</v>
      </c>
      <c r="E1138" s="18" t="s">
        <v>2186</v>
      </c>
      <c r="F1138" s="2" t="s">
        <v>7987</v>
      </c>
      <c r="G1138" s="2" t="s">
        <v>861</v>
      </c>
      <c r="H1138" s="14">
        <v>1.02</v>
      </c>
      <c r="I1138" s="2" t="s">
        <v>4761</v>
      </c>
      <c r="J1138" s="2" t="s">
        <v>13</v>
      </c>
      <c r="K1138" s="2" t="s">
        <v>3390</v>
      </c>
      <c r="L1138" s="2" t="s">
        <v>5221</v>
      </c>
      <c r="M1138" s="2" t="s">
        <v>5221</v>
      </c>
      <c r="N1138" s="2" t="s">
        <v>2317</v>
      </c>
      <c r="O1138" s="14">
        <v>7900</v>
      </c>
      <c r="P1138" s="14">
        <v>98.42</v>
      </c>
      <c r="Q1138" s="14">
        <v>124.82</v>
      </c>
      <c r="R1138" s="14">
        <v>127.32</v>
      </c>
      <c r="S1138" s="2" t="s">
        <v>7305</v>
      </c>
      <c r="T1138" s="2">
        <v>1.01</v>
      </c>
      <c r="U1138" s="2">
        <v>61.5</v>
      </c>
      <c r="V1138" s="2">
        <v>58</v>
      </c>
      <c r="W1138" s="2" t="s">
        <v>7862</v>
      </c>
      <c r="X1138" s="2" t="s">
        <v>5405</v>
      </c>
      <c r="Y1138" s="2">
        <v>8058</v>
      </c>
      <c r="Z1138" s="19" t="str">
        <f>HYPERLINK("https://ssdweb.co/ssdweb/hd/Vision360.html?d=941110107&amp;zoomslide=1&amp;z=1941110107&amp;ISCONFIRM=0","VIDEO")</f>
        <v>VIDEO</v>
      </c>
      <c r="AA1138" s="19" t="str">
        <f>HYPERLINK("https://ssdweb.co/ssdweb/CERTH/671437458.pdf","CERTI")</f>
        <v>CERTI</v>
      </c>
    </row>
    <row r="1139" spans="1:27" ht="15" x14ac:dyDescent="0.25">
      <c r="A1139" s="2">
        <v>1134</v>
      </c>
      <c r="B1139" s="39">
        <v>927130141</v>
      </c>
      <c r="C1139" s="28" t="str">
        <f>HYPERLINK("https://pld.live/RapDetail.aspx?STONELIST=927130141","DNA")</f>
        <v>DNA</v>
      </c>
      <c r="D1139" s="18" t="s">
        <v>3054</v>
      </c>
      <c r="E1139" s="18" t="s">
        <v>5128</v>
      </c>
      <c r="F1139" s="2" t="s">
        <v>7987</v>
      </c>
      <c r="G1139" s="2" t="s">
        <v>861</v>
      </c>
      <c r="H1139" s="14">
        <v>1.02</v>
      </c>
      <c r="I1139" s="2" t="s">
        <v>4761</v>
      </c>
      <c r="J1139" s="2" t="s">
        <v>13</v>
      </c>
      <c r="K1139" s="2" t="s">
        <v>3390</v>
      </c>
      <c r="L1139" s="2" t="s">
        <v>5221</v>
      </c>
      <c r="M1139" s="2" t="s">
        <v>5221</v>
      </c>
      <c r="N1139" s="2" t="s">
        <v>2317</v>
      </c>
      <c r="O1139" s="14">
        <v>7900</v>
      </c>
      <c r="P1139" s="14">
        <v>98.43</v>
      </c>
      <c r="Q1139" s="14">
        <v>124.03</v>
      </c>
      <c r="R1139" s="14">
        <v>126.51</v>
      </c>
      <c r="S1139" s="2" t="s">
        <v>1245</v>
      </c>
      <c r="T1139" s="2">
        <v>1.01</v>
      </c>
      <c r="U1139" s="2">
        <v>60.8</v>
      </c>
      <c r="V1139" s="2">
        <v>59</v>
      </c>
      <c r="W1139" s="2" t="s">
        <v>7862</v>
      </c>
      <c r="X1139" s="2" t="s">
        <v>5405</v>
      </c>
      <c r="Y1139" s="2">
        <v>8058</v>
      </c>
      <c r="Z1139" s="19" t="str">
        <f>HYPERLINK("https://ssdweb.co/ssdweb/hd/Vision360.html?d=927130141&amp;zoomslide=1&amp;z=1927130141&amp;ISCONFIRM=0","VIDEO")</f>
        <v>VIDEO</v>
      </c>
      <c r="AA1139" s="19" t="str">
        <f>HYPERLINK("https://ssdweb.co/ssdweb/CERTH/666419909.pdf","CERTI")</f>
        <v>CERTI</v>
      </c>
    </row>
    <row r="1140" spans="1:27" ht="15" x14ac:dyDescent="0.25">
      <c r="A1140" s="2">
        <v>1135</v>
      </c>
      <c r="B1140" s="39">
        <v>941070943</v>
      </c>
      <c r="C1140" s="28" t="str">
        <f>HYPERLINK("https://pld.live/RapDetail.aspx?STONELIST=941070943","DNA")</f>
        <v>DNA</v>
      </c>
      <c r="D1140" s="18" t="s">
        <v>3054</v>
      </c>
      <c r="E1140" s="18" t="s">
        <v>5128</v>
      </c>
      <c r="F1140" s="2" t="s">
        <v>7987</v>
      </c>
      <c r="G1140" s="2" t="s">
        <v>861</v>
      </c>
      <c r="H1140" s="14">
        <v>1.02</v>
      </c>
      <c r="I1140" s="2" t="s">
        <v>4761</v>
      </c>
      <c r="J1140" s="2" t="s">
        <v>13</v>
      </c>
      <c r="K1140" s="2" t="s">
        <v>3390</v>
      </c>
      <c r="L1140" s="2" t="s">
        <v>5221</v>
      </c>
      <c r="M1140" s="2" t="s">
        <v>5221</v>
      </c>
      <c r="N1140" s="2" t="s">
        <v>2317</v>
      </c>
      <c r="O1140" s="14">
        <v>7900</v>
      </c>
      <c r="P1140" s="14">
        <v>98.42</v>
      </c>
      <c r="Q1140" s="14">
        <v>124.82</v>
      </c>
      <c r="R1140" s="14">
        <v>127.32</v>
      </c>
      <c r="S1140" s="2" t="s">
        <v>6516</v>
      </c>
      <c r="T1140" s="2">
        <v>1</v>
      </c>
      <c r="U1140" s="2">
        <v>62.2</v>
      </c>
      <c r="V1140" s="2">
        <v>57</v>
      </c>
      <c r="W1140" s="2" t="s">
        <v>7862</v>
      </c>
      <c r="X1140" s="2" t="s">
        <v>5405</v>
      </c>
      <c r="Y1140" s="2">
        <v>8058</v>
      </c>
      <c r="Z1140" s="19" t="str">
        <f>HYPERLINK("https://ssdweb.co/ssdweb/hd/Vision360.html?d=941070943&amp;zoomslide=1&amp;z=1941070943&amp;ISCONFIRM=0","VIDEO")</f>
        <v>VIDEO</v>
      </c>
      <c r="AA1140" s="19" t="str">
        <f>HYPERLINK("https://ssdweb.co/ssdweb/CERTH/675504633.pdf","CERTI")</f>
        <v>CERTI</v>
      </c>
    </row>
    <row r="1141" spans="1:27" ht="15" x14ac:dyDescent="0.25">
      <c r="A1141" s="2">
        <v>1136</v>
      </c>
      <c r="B1141" s="39">
        <v>941070937</v>
      </c>
      <c r="C1141" s="28" t="str">
        <f>HYPERLINK("https://pld.live/RapDetail.aspx?STONELIST=941070937","DNA")</f>
        <v>DNA</v>
      </c>
      <c r="D1141" s="18" t="s">
        <v>3054</v>
      </c>
      <c r="E1141" s="18" t="s">
        <v>5128</v>
      </c>
      <c r="F1141" s="2" t="s">
        <v>7987</v>
      </c>
      <c r="G1141" s="2" t="s">
        <v>861</v>
      </c>
      <c r="H1141" s="14">
        <v>1.02</v>
      </c>
      <c r="I1141" s="2" t="s">
        <v>4761</v>
      </c>
      <c r="J1141" s="2" t="s">
        <v>13</v>
      </c>
      <c r="K1141" s="2" t="s">
        <v>3390</v>
      </c>
      <c r="L1141" s="2" t="s">
        <v>5221</v>
      </c>
      <c r="M1141" s="2" t="s">
        <v>5221</v>
      </c>
      <c r="N1141" s="2" t="s">
        <v>2317</v>
      </c>
      <c r="O1141" s="14">
        <v>7900</v>
      </c>
      <c r="P1141" s="14">
        <v>98.42</v>
      </c>
      <c r="Q1141" s="14">
        <v>124.82</v>
      </c>
      <c r="R1141" s="14">
        <v>127.32</v>
      </c>
      <c r="S1141" s="2" t="s">
        <v>1455</v>
      </c>
      <c r="T1141" s="2">
        <v>1.01</v>
      </c>
      <c r="U1141" s="2">
        <v>60.8</v>
      </c>
      <c r="V1141" s="2">
        <v>58</v>
      </c>
      <c r="W1141" s="2" t="s">
        <v>7862</v>
      </c>
      <c r="X1141" s="2" t="s">
        <v>5405</v>
      </c>
      <c r="Y1141" s="2">
        <v>8058</v>
      </c>
      <c r="Z1141" s="19" t="str">
        <f>HYPERLINK("https://ssdweb.co/ssdweb/hd/Vision360.html?d=941070937&amp;zoomslide=1&amp;z=1941070937&amp;ISCONFIRM=0","VIDEO")</f>
        <v>VIDEO</v>
      </c>
      <c r="AA1141" s="19" t="str">
        <f>HYPERLINK("https://ssdweb.co/ssdweb/CERTH/675504632.pdf","CERTI")</f>
        <v>CERTI</v>
      </c>
    </row>
    <row r="1142" spans="1:27" ht="15" x14ac:dyDescent="0.25">
      <c r="A1142" s="2">
        <v>1137</v>
      </c>
      <c r="B1142" s="39">
        <v>941070628</v>
      </c>
      <c r="C1142" s="28" t="str">
        <f>HYPERLINK("https://pld.live/RapDetail.aspx?STONELIST=941070628","DNA")</f>
        <v>DNA</v>
      </c>
      <c r="D1142" s="18" t="s">
        <v>3054</v>
      </c>
      <c r="E1142" s="18" t="s">
        <v>5128</v>
      </c>
      <c r="F1142" s="2" t="s">
        <v>7987</v>
      </c>
      <c r="G1142" s="2" t="s">
        <v>861</v>
      </c>
      <c r="H1142" s="14">
        <v>1.02</v>
      </c>
      <c r="I1142" s="2" t="s">
        <v>4761</v>
      </c>
      <c r="J1142" s="2" t="s">
        <v>13</v>
      </c>
      <c r="K1142" s="2" t="s">
        <v>3390</v>
      </c>
      <c r="L1142" s="2" t="s">
        <v>5221</v>
      </c>
      <c r="M1142" s="2" t="s">
        <v>5221</v>
      </c>
      <c r="N1142" s="2" t="s">
        <v>2317</v>
      </c>
      <c r="O1142" s="14">
        <v>7900</v>
      </c>
      <c r="P1142" s="14">
        <v>98.42</v>
      </c>
      <c r="Q1142" s="14">
        <v>124.82</v>
      </c>
      <c r="R1142" s="14">
        <v>127.32</v>
      </c>
      <c r="S1142" s="2" t="s">
        <v>1529</v>
      </c>
      <c r="T1142" s="2">
        <v>1.01</v>
      </c>
      <c r="U1142" s="2">
        <v>61</v>
      </c>
      <c r="V1142" s="2">
        <v>59</v>
      </c>
      <c r="W1142" s="2" t="s">
        <v>7862</v>
      </c>
      <c r="X1142" s="2" t="s">
        <v>5405</v>
      </c>
      <c r="Y1142" s="2">
        <v>8058</v>
      </c>
      <c r="Z1142" s="19" t="str">
        <f>HYPERLINK("https://ssdweb.co/ssdweb/hd/Vision360.html?d=941070628&amp;zoomslide=1&amp;z=1941070628&amp;ISCONFIRM=0","VIDEO")</f>
        <v>VIDEO</v>
      </c>
      <c r="AA1142" s="19" t="str">
        <f>HYPERLINK("https://ssdweb.co/ssdweb/CERTH/675504639.pdf","CERTI")</f>
        <v>CERTI</v>
      </c>
    </row>
    <row r="1143" spans="1:27" ht="15" x14ac:dyDescent="0.25">
      <c r="A1143" s="2">
        <v>1138</v>
      </c>
      <c r="B1143" s="39">
        <v>927150726</v>
      </c>
      <c r="C1143" s="28" t="str">
        <f>HYPERLINK("https://pld.live/RapDetail.aspx?STONELIST=927150726","DNA")</f>
        <v>DNA</v>
      </c>
      <c r="D1143" s="18" t="s">
        <v>3054</v>
      </c>
      <c r="E1143" s="18" t="s">
        <v>5128</v>
      </c>
      <c r="F1143" s="2" t="s">
        <v>7987</v>
      </c>
      <c r="G1143" s="2" t="s">
        <v>861</v>
      </c>
      <c r="H1143" s="14">
        <v>1.02</v>
      </c>
      <c r="I1143" s="2" t="s">
        <v>4761</v>
      </c>
      <c r="J1143" s="2" t="s">
        <v>13</v>
      </c>
      <c r="K1143" s="2" t="s">
        <v>3390</v>
      </c>
      <c r="L1143" s="2" t="s">
        <v>5221</v>
      </c>
      <c r="M1143" s="2" t="s">
        <v>5221</v>
      </c>
      <c r="N1143" s="2" t="s">
        <v>2317</v>
      </c>
      <c r="O1143" s="14">
        <v>7900</v>
      </c>
      <c r="P1143" s="14">
        <v>98.43</v>
      </c>
      <c r="Q1143" s="14">
        <v>124.03</v>
      </c>
      <c r="R1143" s="14">
        <v>126.51</v>
      </c>
      <c r="S1143" s="2" t="s">
        <v>1551</v>
      </c>
      <c r="T1143" s="2">
        <v>1.01</v>
      </c>
      <c r="U1143" s="2">
        <v>60.8</v>
      </c>
      <c r="V1143" s="2">
        <v>60</v>
      </c>
      <c r="W1143" s="2" t="s">
        <v>7862</v>
      </c>
      <c r="X1143" s="2" t="s">
        <v>5405</v>
      </c>
      <c r="Y1143" s="2">
        <v>8058</v>
      </c>
      <c r="Z1143" s="19" t="str">
        <f>HYPERLINK("https://ssdweb.co/ssdweb/hd/Vision360.html?d=927150726&amp;zoomslide=1&amp;z=1927150726&amp;ISCONFIRM=0","VIDEO")</f>
        <v>VIDEO</v>
      </c>
      <c r="AA1143" s="19" t="str">
        <f>HYPERLINK("https://ssdweb.co/ssdweb/CERTH/668437159.pdf","CERTI")</f>
        <v>CERTI</v>
      </c>
    </row>
    <row r="1144" spans="1:27" ht="15" x14ac:dyDescent="0.25">
      <c r="A1144" s="2">
        <v>1139</v>
      </c>
      <c r="B1144" s="39">
        <v>927150773</v>
      </c>
      <c r="C1144" s="28" t="str">
        <f>HYPERLINK("https://pld.live/RapDetail.aspx?STONELIST=927150773","DNA")</f>
        <v>DNA</v>
      </c>
      <c r="D1144" s="18" t="s">
        <v>3054</v>
      </c>
      <c r="E1144" s="18" t="s">
        <v>5128</v>
      </c>
      <c r="F1144" s="2" t="s">
        <v>7987</v>
      </c>
      <c r="G1144" s="2" t="s">
        <v>861</v>
      </c>
      <c r="H1144" s="14">
        <v>1.02</v>
      </c>
      <c r="I1144" s="2" t="s">
        <v>4761</v>
      </c>
      <c r="J1144" s="2" t="s">
        <v>13</v>
      </c>
      <c r="K1144" s="2" t="s">
        <v>3390</v>
      </c>
      <c r="L1144" s="2" t="s">
        <v>5221</v>
      </c>
      <c r="M1144" s="2" t="s">
        <v>5221</v>
      </c>
      <c r="N1144" s="2" t="s">
        <v>2317</v>
      </c>
      <c r="O1144" s="14">
        <v>7900</v>
      </c>
      <c r="P1144" s="14">
        <v>98.43</v>
      </c>
      <c r="Q1144" s="14">
        <v>124.03</v>
      </c>
      <c r="R1144" s="14">
        <v>126.51</v>
      </c>
      <c r="S1144" s="2" t="s">
        <v>3154</v>
      </c>
      <c r="T1144" s="2">
        <v>1.01</v>
      </c>
      <c r="U1144" s="2">
        <v>61.2</v>
      </c>
      <c r="V1144" s="2">
        <v>58</v>
      </c>
      <c r="W1144" s="2" t="s">
        <v>7862</v>
      </c>
      <c r="X1144" s="2" t="s">
        <v>5405</v>
      </c>
      <c r="Y1144" s="2">
        <v>8058</v>
      </c>
      <c r="Z1144" s="19" t="str">
        <f>HYPERLINK("https://ssdweb.co/ssdweb/hd/Vision360.html?d=927150773&amp;zoomslide=1&amp;z=1927150773&amp;ISCONFIRM=0","VIDEO")</f>
        <v>VIDEO</v>
      </c>
      <c r="AA1144" s="19" t="str">
        <f>HYPERLINK("https://ssdweb.co/ssdweb/CERTH/668446628.pdf","CERTI")</f>
        <v>CERTI</v>
      </c>
    </row>
    <row r="1145" spans="1:27" ht="15" x14ac:dyDescent="0.25">
      <c r="A1145" s="2">
        <v>1140</v>
      </c>
      <c r="B1145" s="39">
        <v>926831011</v>
      </c>
      <c r="C1145" s="28" t="str">
        <f>HYPERLINK("https://pld.live/RapDetail.aspx?STONELIST=926831011","DNA")</f>
        <v>DNA</v>
      </c>
      <c r="D1145" s="18" t="s">
        <v>3054</v>
      </c>
      <c r="E1145" s="18" t="s">
        <v>5128</v>
      </c>
      <c r="F1145" s="2" t="s">
        <v>5597</v>
      </c>
      <c r="G1145" s="2" t="s">
        <v>861</v>
      </c>
      <c r="H1145" s="14">
        <v>1.02</v>
      </c>
      <c r="I1145" s="2" t="s">
        <v>4761</v>
      </c>
      <c r="J1145" s="2" t="s">
        <v>13</v>
      </c>
      <c r="K1145" s="2" t="s">
        <v>5221</v>
      </c>
      <c r="L1145" s="2" t="s">
        <v>5221</v>
      </c>
      <c r="M1145" s="2" t="s">
        <v>5221</v>
      </c>
      <c r="N1145" s="2" t="s">
        <v>2317</v>
      </c>
      <c r="O1145" s="14">
        <v>7900</v>
      </c>
      <c r="P1145" s="14">
        <v>97.44</v>
      </c>
      <c r="Q1145" s="14">
        <v>202.24</v>
      </c>
      <c r="R1145" s="14">
        <v>206.28</v>
      </c>
      <c r="S1145" s="2" t="s">
        <v>3939</v>
      </c>
      <c r="T1145" s="2">
        <v>1</v>
      </c>
      <c r="U1145" s="2">
        <v>61.6</v>
      </c>
      <c r="V1145" s="2">
        <v>58</v>
      </c>
      <c r="W1145" s="2" t="s">
        <v>7862</v>
      </c>
      <c r="X1145" s="2" t="s">
        <v>5405</v>
      </c>
      <c r="Y1145" s="2">
        <v>8058</v>
      </c>
      <c r="Z1145" s="19" t="str">
        <f>HYPERLINK("https://ssdweb.co/ssdweb/hd/Vision360.html?d=926831011&amp;zoomslide=1&amp;z=1926831011&amp;ISCONFIRM=0","VIDEO")</f>
        <v>VIDEO</v>
      </c>
      <c r="AA1145" s="19" t="str">
        <f>HYPERLINK("https://ssdweb.co/ssdweb/CERTH/1503523445.pdf","CERTI")</f>
        <v>CERTI</v>
      </c>
    </row>
    <row r="1146" spans="1:27" ht="15" x14ac:dyDescent="0.25">
      <c r="A1146" s="2">
        <v>1141</v>
      </c>
      <c r="B1146" s="39">
        <v>926740965</v>
      </c>
      <c r="C1146" s="28" t="str">
        <f>HYPERLINK("https://pld.live/RapDetail.aspx?STONELIST=926740965","DNA")</f>
        <v>DNA</v>
      </c>
      <c r="D1146" s="18" t="s">
        <v>3054</v>
      </c>
      <c r="E1146" s="18" t="s">
        <v>5128</v>
      </c>
      <c r="F1146" s="2" t="s">
        <v>5597</v>
      </c>
      <c r="G1146" s="2" t="s">
        <v>861</v>
      </c>
      <c r="H1146" s="14">
        <v>1.02</v>
      </c>
      <c r="I1146" s="2" t="s">
        <v>4761</v>
      </c>
      <c r="J1146" s="2" t="s">
        <v>13</v>
      </c>
      <c r="K1146" s="2" t="s">
        <v>5221</v>
      </c>
      <c r="L1146" s="2" t="s">
        <v>5221</v>
      </c>
      <c r="M1146" s="2" t="s">
        <v>5221</v>
      </c>
      <c r="N1146" s="2" t="s">
        <v>2317</v>
      </c>
      <c r="O1146" s="14">
        <v>7900</v>
      </c>
      <c r="P1146" s="14">
        <v>97.44</v>
      </c>
      <c r="Q1146" s="14">
        <v>202.24</v>
      </c>
      <c r="R1146" s="14">
        <v>206.28</v>
      </c>
      <c r="S1146" s="2" t="s">
        <v>1476</v>
      </c>
      <c r="T1146" s="2">
        <v>1</v>
      </c>
      <c r="U1146" s="2">
        <v>62.6</v>
      </c>
      <c r="V1146" s="2">
        <v>56</v>
      </c>
      <c r="W1146" s="2" t="s">
        <v>7862</v>
      </c>
      <c r="X1146" s="2" t="s">
        <v>5405</v>
      </c>
      <c r="Y1146" s="2">
        <v>8058</v>
      </c>
      <c r="Z1146" s="19" t="str">
        <f>HYPERLINK("https://ssdweb.co/ssdweb/hd/Vision360.html?d=926740965&amp;zoomslide=1&amp;z=1926740965&amp;ISCONFIRM=0","VIDEO")</f>
        <v>VIDEO</v>
      </c>
      <c r="AA1146" s="19" t="str">
        <f>HYPERLINK("https://ssdweb.co/ssdweb/CERTH/6502428376.pdf","CERTI")</f>
        <v>CERTI</v>
      </c>
    </row>
    <row r="1147" spans="1:27" ht="15" x14ac:dyDescent="0.25">
      <c r="A1147" s="2">
        <v>1142</v>
      </c>
      <c r="B1147" s="39">
        <v>926831152</v>
      </c>
      <c r="C1147" s="28" t="str">
        <f>HYPERLINK("https://pld.live/RapDetail.aspx?STONELIST=926831152","DNA")</f>
        <v>DNA</v>
      </c>
      <c r="D1147" s="18" t="s">
        <v>3054</v>
      </c>
      <c r="E1147" s="18" t="s">
        <v>5128</v>
      </c>
      <c r="F1147" s="2" t="s">
        <v>5597</v>
      </c>
      <c r="G1147" s="2" t="s">
        <v>861</v>
      </c>
      <c r="H1147" s="14">
        <v>1.02</v>
      </c>
      <c r="I1147" s="2" t="s">
        <v>4761</v>
      </c>
      <c r="J1147" s="2" t="s">
        <v>13</v>
      </c>
      <c r="K1147" s="2" t="s">
        <v>5221</v>
      </c>
      <c r="L1147" s="2" t="s">
        <v>5221</v>
      </c>
      <c r="M1147" s="2" t="s">
        <v>5221</v>
      </c>
      <c r="N1147" s="2" t="s">
        <v>2317</v>
      </c>
      <c r="O1147" s="14">
        <v>7900</v>
      </c>
      <c r="P1147" s="14">
        <v>97.44</v>
      </c>
      <c r="Q1147" s="14">
        <v>202.24</v>
      </c>
      <c r="R1147" s="14">
        <v>206.28</v>
      </c>
      <c r="S1147" s="2" t="s">
        <v>941</v>
      </c>
      <c r="T1147" s="2">
        <v>1</v>
      </c>
      <c r="U1147" s="2">
        <v>61.1</v>
      </c>
      <c r="V1147" s="2">
        <v>58</v>
      </c>
      <c r="W1147" s="2" t="s">
        <v>7862</v>
      </c>
      <c r="X1147" s="2" t="s">
        <v>5405</v>
      </c>
      <c r="Y1147" s="2">
        <v>8058</v>
      </c>
      <c r="Z1147" s="19" t="str">
        <f>HYPERLINK("https://ssdweb.co/ssdweb/hd/Vision360.html?d=926831152&amp;zoomslide=1&amp;z=1926831152&amp;ISCONFIRM=0","VIDEO")</f>
        <v>VIDEO</v>
      </c>
      <c r="AA1147" s="19" t="str">
        <f>HYPERLINK("https://ssdweb.co/ssdweb/CERTH/2507621746.pdf","CERTI")</f>
        <v>CERTI</v>
      </c>
    </row>
    <row r="1148" spans="1:27" ht="15" x14ac:dyDescent="0.25">
      <c r="A1148" s="2">
        <v>1143</v>
      </c>
      <c r="B1148" s="39">
        <v>926831130</v>
      </c>
      <c r="C1148" s="28" t="str">
        <f>HYPERLINK("https://pld.live/RapDetail.aspx?STONELIST=926831130","DNA")</f>
        <v>DNA</v>
      </c>
      <c r="D1148" s="18" t="s">
        <v>3054</v>
      </c>
      <c r="E1148" s="18" t="s">
        <v>5128</v>
      </c>
      <c r="F1148" s="2" t="s">
        <v>5597</v>
      </c>
      <c r="G1148" s="2" t="s">
        <v>861</v>
      </c>
      <c r="H1148" s="14">
        <v>1.02</v>
      </c>
      <c r="I1148" s="2" t="s">
        <v>4761</v>
      </c>
      <c r="J1148" s="2" t="s">
        <v>13</v>
      </c>
      <c r="K1148" s="2" t="s">
        <v>5221</v>
      </c>
      <c r="L1148" s="2" t="s">
        <v>5221</v>
      </c>
      <c r="M1148" s="2" t="s">
        <v>5221</v>
      </c>
      <c r="N1148" s="2" t="s">
        <v>2317</v>
      </c>
      <c r="O1148" s="14">
        <v>7900</v>
      </c>
      <c r="P1148" s="14">
        <v>97.44</v>
      </c>
      <c r="Q1148" s="14">
        <v>202.24</v>
      </c>
      <c r="R1148" s="14">
        <v>206.28</v>
      </c>
      <c r="S1148" s="2" t="s">
        <v>3214</v>
      </c>
      <c r="T1148" s="2">
        <v>1.01</v>
      </c>
      <c r="U1148" s="2">
        <v>61.8</v>
      </c>
      <c r="V1148" s="2">
        <v>57</v>
      </c>
      <c r="W1148" s="2" t="s">
        <v>7862</v>
      </c>
      <c r="X1148" s="2" t="s">
        <v>5405</v>
      </c>
      <c r="Y1148" s="2">
        <v>8058</v>
      </c>
      <c r="Z1148" s="19" t="str">
        <f>HYPERLINK("https://ssdweb.co/ssdweb/hd/Vision360.html?d=926831130&amp;zoomslide=1&amp;z=1926831130&amp;ISCONFIRM=0","VIDEO")</f>
        <v>VIDEO</v>
      </c>
      <c r="AA1148" s="19" t="str">
        <f>HYPERLINK("https://ssdweb.co/ssdweb/CERTH/2504620766.pdf","CERTI")</f>
        <v>CERTI</v>
      </c>
    </row>
    <row r="1149" spans="1:27" ht="15" x14ac:dyDescent="0.25">
      <c r="A1149" s="2">
        <v>1144</v>
      </c>
      <c r="B1149" s="39">
        <v>926831127</v>
      </c>
      <c r="C1149" s="28" t="str">
        <f>HYPERLINK("https://pld.live/RapDetail.aspx?STONELIST=926831127","DNA")</f>
        <v>DNA</v>
      </c>
      <c r="D1149" s="18" t="s">
        <v>3054</v>
      </c>
      <c r="E1149" s="18" t="s">
        <v>5128</v>
      </c>
      <c r="F1149" s="2" t="s">
        <v>5597</v>
      </c>
      <c r="G1149" s="2" t="s">
        <v>861</v>
      </c>
      <c r="H1149" s="14">
        <v>1.02</v>
      </c>
      <c r="I1149" s="2" t="s">
        <v>4761</v>
      </c>
      <c r="J1149" s="2" t="s">
        <v>13</v>
      </c>
      <c r="K1149" s="2" t="s">
        <v>5221</v>
      </c>
      <c r="L1149" s="2" t="s">
        <v>5221</v>
      </c>
      <c r="M1149" s="2" t="s">
        <v>5221</v>
      </c>
      <c r="N1149" s="2" t="s">
        <v>2317</v>
      </c>
      <c r="O1149" s="14">
        <v>7900</v>
      </c>
      <c r="P1149" s="14">
        <v>97.44</v>
      </c>
      <c r="Q1149" s="14">
        <v>202.24</v>
      </c>
      <c r="R1149" s="14">
        <v>206.28</v>
      </c>
      <c r="S1149" s="2" t="s">
        <v>2770</v>
      </c>
      <c r="T1149" s="2">
        <v>1</v>
      </c>
      <c r="U1149" s="2">
        <v>61.7</v>
      </c>
      <c r="V1149" s="2">
        <v>58</v>
      </c>
      <c r="W1149" s="2" t="s">
        <v>7862</v>
      </c>
      <c r="X1149" s="2" t="s">
        <v>5405</v>
      </c>
      <c r="Y1149" s="2">
        <v>8058</v>
      </c>
      <c r="Z1149" s="19" t="str">
        <f>HYPERLINK("https://ssdweb.co/ssdweb/hd/Vision360.html?d=926831127&amp;zoomslide=1&amp;z=1926831127&amp;ISCONFIRM=0","VIDEO")</f>
        <v>VIDEO</v>
      </c>
      <c r="AA1149" s="19" t="str">
        <f>HYPERLINK("https://ssdweb.co/ssdweb/CERTH/7508621713.pdf","CERTI")</f>
        <v>CERTI</v>
      </c>
    </row>
    <row r="1150" spans="1:27" ht="15" x14ac:dyDescent="0.25">
      <c r="A1150" s="2">
        <v>1145</v>
      </c>
      <c r="B1150" s="39">
        <v>926831124</v>
      </c>
      <c r="C1150" s="28" t="str">
        <f>HYPERLINK("https://pld.live/RapDetail.aspx?STONELIST=926831124","DNA")</f>
        <v>DNA</v>
      </c>
      <c r="D1150" s="18" t="s">
        <v>3054</v>
      </c>
      <c r="E1150" s="18" t="s">
        <v>5128</v>
      </c>
      <c r="F1150" s="2" t="s">
        <v>5597</v>
      </c>
      <c r="G1150" s="2" t="s">
        <v>861</v>
      </c>
      <c r="H1150" s="14">
        <v>1.02</v>
      </c>
      <c r="I1150" s="2" t="s">
        <v>4761</v>
      </c>
      <c r="J1150" s="2" t="s">
        <v>13</v>
      </c>
      <c r="K1150" s="2" t="s">
        <v>5221</v>
      </c>
      <c r="L1150" s="2" t="s">
        <v>5221</v>
      </c>
      <c r="M1150" s="2" t="s">
        <v>5221</v>
      </c>
      <c r="N1150" s="2" t="s">
        <v>2317</v>
      </c>
      <c r="O1150" s="14">
        <v>7900</v>
      </c>
      <c r="P1150" s="14">
        <v>97.44</v>
      </c>
      <c r="Q1150" s="14">
        <v>202.24</v>
      </c>
      <c r="R1150" s="14">
        <v>206.28</v>
      </c>
      <c r="S1150" s="2" t="s">
        <v>4681</v>
      </c>
      <c r="T1150" s="2">
        <v>1</v>
      </c>
      <c r="U1150" s="2">
        <v>59.7</v>
      </c>
      <c r="V1150" s="2">
        <v>59</v>
      </c>
      <c r="W1150" s="2" t="s">
        <v>7862</v>
      </c>
      <c r="X1150" s="2" t="s">
        <v>5405</v>
      </c>
      <c r="Y1150" s="2">
        <v>8058</v>
      </c>
      <c r="Z1150" s="19" t="str">
        <f>HYPERLINK("https://ssdweb.co/ssdweb/hd/Vision360.html?d=926831124&amp;zoomslide=1&amp;z=1926831124&amp;ISCONFIRM=0","VIDEO")</f>
        <v>VIDEO</v>
      </c>
      <c r="AA1150" s="19" t="str">
        <f>HYPERLINK("https://ssdweb.co/ssdweb/CERTH/7506620625.pdf","CERTI")</f>
        <v>CERTI</v>
      </c>
    </row>
    <row r="1151" spans="1:27" ht="15" x14ac:dyDescent="0.25">
      <c r="A1151" s="2">
        <v>1146</v>
      </c>
      <c r="B1151" s="39">
        <v>926831117</v>
      </c>
      <c r="C1151" s="28" t="str">
        <f>HYPERLINK("https://pld.live/RapDetail.aspx?STONELIST=926831117","DNA")</f>
        <v>DNA</v>
      </c>
      <c r="D1151" s="18" t="s">
        <v>3054</v>
      </c>
      <c r="E1151" s="18" t="s">
        <v>5128</v>
      </c>
      <c r="F1151" s="2" t="s">
        <v>5597</v>
      </c>
      <c r="G1151" s="2" t="s">
        <v>861</v>
      </c>
      <c r="H1151" s="14">
        <v>1.02</v>
      </c>
      <c r="I1151" s="2" t="s">
        <v>4761</v>
      </c>
      <c r="J1151" s="2" t="s">
        <v>13</v>
      </c>
      <c r="K1151" s="2" t="s">
        <v>5221</v>
      </c>
      <c r="L1151" s="2" t="s">
        <v>5221</v>
      </c>
      <c r="M1151" s="2" t="s">
        <v>5221</v>
      </c>
      <c r="N1151" s="2" t="s">
        <v>2317</v>
      </c>
      <c r="O1151" s="14">
        <v>7900</v>
      </c>
      <c r="P1151" s="14">
        <v>97.44</v>
      </c>
      <c r="Q1151" s="14">
        <v>202.24</v>
      </c>
      <c r="R1151" s="14">
        <v>206.28</v>
      </c>
      <c r="S1151" s="2" t="s">
        <v>7651</v>
      </c>
      <c r="T1151" s="2">
        <v>1</v>
      </c>
      <c r="U1151" s="2">
        <v>61.5</v>
      </c>
      <c r="V1151" s="2">
        <v>58</v>
      </c>
      <c r="W1151" s="2" t="s">
        <v>7862</v>
      </c>
      <c r="X1151" s="2" t="s">
        <v>5405</v>
      </c>
      <c r="Y1151" s="2">
        <v>8058</v>
      </c>
      <c r="Z1151" s="19" t="str">
        <f>HYPERLINK("https://ssdweb.co/ssdweb/hd/Vision360.html?d=926831117&amp;zoomslide=1&amp;z=1926831117&amp;ISCONFIRM=0","VIDEO")</f>
        <v>VIDEO</v>
      </c>
      <c r="AA1151" s="19" t="str">
        <f>HYPERLINK("https://ssdweb.co/ssdweb/CERTH/6501620922.pdf","CERTI")</f>
        <v>CERTI</v>
      </c>
    </row>
    <row r="1152" spans="1:27" ht="15" x14ac:dyDescent="0.25">
      <c r="A1152" s="2">
        <v>1147</v>
      </c>
      <c r="B1152" s="39">
        <v>926831114</v>
      </c>
      <c r="C1152" s="28" t="str">
        <f>HYPERLINK("https://pld.live/RapDetail.aspx?STONELIST=926831114","DNA")</f>
        <v>DNA</v>
      </c>
      <c r="D1152" s="18" t="s">
        <v>3054</v>
      </c>
      <c r="E1152" s="18" t="s">
        <v>5128</v>
      </c>
      <c r="F1152" s="2" t="s">
        <v>5597</v>
      </c>
      <c r="G1152" s="2" t="s">
        <v>861</v>
      </c>
      <c r="H1152" s="14">
        <v>1.02</v>
      </c>
      <c r="I1152" s="2" t="s">
        <v>4761</v>
      </c>
      <c r="J1152" s="2" t="s">
        <v>13</v>
      </c>
      <c r="K1152" s="2" t="s">
        <v>5221</v>
      </c>
      <c r="L1152" s="2" t="s">
        <v>5221</v>
      </c>
      <c r="M1152" s="2" t="s">
        <v>5221</v>
      </c>
      <c r="N1152" s="2" t="s">
        <v>2317</v>
      </c>
      <c r="O1152" s="14">
        <v>7900</v>
      </c>
      <c r="P1152" s="14">
        <v>97.44</v>
      </c>
      <c r="Q1152" s="14">
        <v>202.24</v>
      </c>
      <c r="R1152" s="14">
        <v>206.28</v>
      </c>
      <c r="S1152" s="2" t="s">
        <v>3785</v>
      </c>
      <c r="T1152" s="2">
        <v>1</v>
      </c>
      <c r="U1152" s="2">
        <v>60.7</v>
      </c>
      <c r="V1152" s="2">
        <v>58</v>
      </c>
      <c r="W1152" s="2" t="s">
        <v>7862</v>
      </c>
      <c r="X1152" s="2" t="s">
        <v>5405</v>
      </c>
      <c r="Y1152" s="2">
        <v>8058</v>
      </c>
      <c r="Z1152" s="19" t="str">
        <f>HYPERLINK("https://ssdweb.co/ssdweb/hd/Vision360.html?d=926831114&amp;zoomslide=1&amp;z=1926831114&amp;ISCONFIRM=0","VIDEO")</f>
        <v>VIDEO</v>
      </c>
      <c r="AA1152" s="19" t="str">
        <f>HYPERLINK("https://ssdweb.co/ssdweb/CERTH/1503620834.pdf","CERTI")</f>
        <v>CERTI</v>
      </c>
    </row>
    <row r="1153" spans="1:27" ht="15" x14ac:dyDescent="0.25">
      <c r="A1153" s="2">
        <v>1148</v>
      </c>
      <c r="B1153" s="39">
        <v>926831062</v>
      </c>
      <c r="C1153" s="28" t="str">
        <f>HYPERLINK("https://pld.live/RapDetail.aspx?STONELIST=926831062","DNA")</f>
        <v>DNA</v>
      </c>
      <c r="D1153" s="18" t="s">
        <v>3054</v>
      </c>
      <c r="E1153" s="18" t="s">
        <v>5128</v>
      </c>
      <c r="F1153" s="2" t="s">
        <v>5597</v>
      </c>
      <c r="G1153" s="2" t="s">
        <v>861</v>
      </c>
      <c r="H1153" s="14">
        <v>1.02</v>
      </c>
      <c r="I1153" s="2" t="s">
        <v>4761</v>
      </c>
      <c r="J1153" s="2" t="s">
        <v>13</v>
      </c>
      <c r="K1153" s="2" t="s">
        <v>5221</v>
      </c>
      <c r="L1153" s="2" t="s">
        <v>5221</v>
      </c>
      <c r="M1153" s="2" t="s">
        <v>5221</v>
      </c>
      <c r="N1153" s="2" t="s">
        <v>2317</v>
      </c>
      <c r="O1153" s="14">
        <v>7900</v>
      </c>
      <c r="P1153" s="14">
        <v>97.44</v>
      </c>
      <c r="Q1153" s="14">
        <v>202.24</v>
      </c>
      <c r="R1153" s="14">
        <v>206.28</v>
      </c>
      <c r="S1153" s="2" t="s">
        <v>48</v>
      </c>
      <c r="T1153" s="2">
        <v>1</v>
      </c>
      <c r="U1153" s="2">
        <v>60.3</v>
      </c>
      <c r="V1153" s="2">
        <v>59</v>
      </c>
      <c r="W1153" s="2" t="s">
        <v>7862</v>
      </c>
      <c r="X1153" s="2" t="s">
        <v>5405</v>
      </c>
      <c r="Y1153" s="2">
        <v>8058</v>
      </c>
      <c r="Z1153" s="19" t="str">
        <f>HYPERLINK("https://ssdweb.co/ssdweb/hd/Vision360.html?d=926831062&amp;zoomslide=1&amp;z=1926831062&amp;ISCONFIRM=0","VIDEO")</f>
        <v>VIDEO</v>
      </c>
      <c r="AA1153" s="19" t="str">
        <f>HYPERLINK("https://ssdweb.co/ssdweb/CERTH/6501552320.pdf","CERTI")</f>
        <v>CERTI</v>
      </c>
    </row>
    <row r="1154" spans="1:27" ht="15" x14ac:dyDescent="0.25">
      <c r="A1154" s="2">
        <v>1149</v>
      </c>
      <c r="B1154" s="39">
        <v>926831093</v>
      </c>
      <c r="C1154" s="28" t="str">
        <f>HYPERLINK("https://pld.live/RapDetail.aspx?STONELIST=926831093","DNA")</f>
        <v>DNA</v>
      </c>
      <c r="D1154" s="18" t="s">
        <v>3054</v>
      </c>
      <c r="E1154" s="18" t="s">
        <v>5128</v>
      </c>
      <c r="F1154" s="2" t="s">
        <v>5597</v>
      </c>
      <c r="G1154" s="2" t="s">
        <v>861</v>
      </c>
      <c r="H1154" s="14">
        <v>1.02</v>
      </c>
      <c r="I1154" s="2" t="s">
        <v>4761</v>
      </c>
      <c r="J1154" s="2" t="s">
        <v>13</v>
      </c>
      <c r="K1154" s="2" t="s">
        <v>5221</v>
      </c>
      <c r="L1154" s="2" t="s">
        <v>5221</v>
      </c>
      <c r="M1154" s="2" t="s">
        <v>5221</v>
      </c>
      <c r="N1154" s="2" t="s">
        <v>2317</v>
      </c>
      <c r="O1154" s="14">
        <v>7900</v>
      </c>
      <c r="P1154" s="14">
        <v>97.44</v>
      </c>
      <c r="Q1154" s="14">
        <v>202.24</v>
      </c>
      <c r="R1154" s="14">
        <v>206.28</v>
      </c>
      <c r="S1154" s="2" t="s">
        <v>1863</v>
      </c>
      <c r="T1154" s="2">
        <v>1</v>
      </c>
      <c r="U1154" s="2">
        <v>62</v>
      </c>
      <c r="V1154" s="2">
        <v>57</v>
      </c>
      <c r="W1154" s="2" t="s">
        <v>7862</v>
      </c>
      <c r="X1154" s="2" t="s">
        <v>5405</v>
      </c>
      <c r="Y1154" s="2">
        <v>8058</v>
      </c>
      <c r="Z1154" s="19" t="str">
        <f>HYPERLINK("https://ssdweb.co/ssdweb/hd/Vision360.html?d=926831093&amp;zoomslide=1&amp;z=1926831093&amp;ISCONFIRM=0","VIDEO")</f>
        <v>VIDEO</v>
      </c>
      <c r="AA1154" s="19" t="str">
        <f>HYPERLINK("https://ssdweb.co/ssdweb/CERTH/6502620813.pdf","CERTI")</f>
        <v>CERTI</v>
      </c>
    </row>
    <row r="1155" spans="1:27" ht="15" x14ac:dyDescent="0.25">
      <c r="A1155" s="2">
        <v>1150</v>
      </c>
      <c r="B1155" s="39">
        <v>926831068</v>
      </c>
      <c r="C1155" s="28" t="str">
        <f>HYPERLINK("https://pld.live/RapDetail.aspx?STONELIST=926831068","DNA")</f>
        <v>DNA</v>
      </c>
      <c r="D1155" s="18" t="s">
        <v>3054</v>
      </c>
      <c r="E1155" s="18" t="s">
        <v>5128</v>
      </c>
      <c r="F1155" s="2" t="s">
        <v>5597</v>
      </c>
      <c r="G1155" s="2" t="s">
        <v>861</v>
      </c>
      <c r="H1155" s="14">
        <v>1.02</v>
      </c>
      <c r="I1155" s="2" t="s">
        <v>4761</v>
      </c>
      <c r="J1155" s="2" t="s">
        <v>13</v>
      </c>
      <c r="K1155" s="2" t="s">
        <v>5221</v>
      </c>
      <c r="L1155" s="2" t="s">
        <v>5221</v>
      </c>
      <c r="M1155" s="2" t="s">
        <v>5221</v>
      </c>
      <c r="N1155" s="2" t="s">
        <v>2317</v>
      </c>
      <c r="O1155" s="14">
        <v>7900</v>
      </c>
      <c r="P1155" s="14">
        <v>97.44</v>
      </c>
      <c r="Q1155" s="14">
        <v>202.24</v>
      </c>
      <c r="R1155" s="14">
        <v>206.28</v>
      </c>
      <c r="S1155" s="2" t="s">
        <v>6857</v>
      </c>
      <c r="T1155" s="2">
        <v>1</v>
      </c>
      <c r="U1155" s="2">
        <v>61.5</v>
      </c>
      <c r="V1155" s="2">
        <v>57</v>
      </c>
      <c r="W1155" s="2" t="s">
        <v>7862</v>
      </c>
      <c r="X1155" s="2" t="s">
        <v>5405</v>
      </c>
      <c r="Y1155" s="2">
        <v>8058</v>
      </c>
      <c r="Z1155" s="19" t="str">
        <f>HYPERLINK("https://ssdweb.co/ssdweb/hd/Vision360.html?d=926831068&amp;zoomslide=1&amp;z=1926831068&amp;ISCONFIRM=0","VIDEO")</f>
        <v>VIDEO</v>
      </c>
      <c r="AA1155" s="19" t="str">
        <f>HYPERLINK("https://ssdweb.co/ssdweb/CERTH/7508552209.pdf","CERTI")</f>
        <v>CERTI</v>
      </c>
    </row>
    <row r="1156" spans="1:27" ht="15" x14ac:dyDescent="0.25">
      <c r="A1156" s="2">
        <v>1151</v>
      </c>
      <c r="B1156" s="39">
        <v>941050442</v>
      </c>
      <c r="C1156" s="28" t="str">
        <f>HYPERLINK("https://pld.live/RapDetail.aspx?STONELIST=941050442","DNA")</f>
        <v>DNA</v>
      </c>
      <c r="D1156" s="18" t="s">
        <v>3054</v>
      </c>
      <c r="E1156" s="18" t="s">
        <v>2186</v>
      </c>
      <c r="F1156" s="2" t="s">
        <v>7987</v>
      </c>
      <c r="G1156" s="2" t="s">
        <v>861</v>
      </c>
      <c r="H1156" s="14">
        <v>1.02</v>
      </c>
      <c r="I1156" s="2" t="s">
        <v>4761</v>
      </c>
      <c r="J1156" s="2" t="s">
        <v>5144</v>
      </c>
      <c r="K1156" s="2" t="s">
        <v>3390</v>
      </c>
      <c r="L1156" s="2" t="s">
        <v>5221</v>
      </c>
      <c r="M1156" s="2" t="s">
        <v>5221</v>
      </c>
      <c r="N1156" s="2" t="s">
        <v>2317</v>
      </c>
      <c r="O1156" s="14">
        <v>6600</v>
      </c>
      <c r="P1156" s="14">
        <v>98.18</v>
      </c>
      <c r="Q1156" s="14">
        <v>120.12</v>
      </c>
      <c r="R1156" s="14">
        <v>122.52</v>
      </c>
      <c r="S1156" s="2" t="s">
        <v>5058</v>
      </c>
      <c r="T1156" s="2">
        <v>1.01</v>
      </c>
      <c r="U1156" s="2">
        <v>61.3</v>
      </c>
      <c r="V1156" s="2">
        <v>59</v>
      </c>
      <c r="W1156" s="2" t="s">
        <v>7862</v>
      </c>
      <c r="X1156" s="2" t="s">
        <v>5405</v>
      </c>
      <c r="Y1156" s="2">
        <v>6732</v>
      </c>
      <c r="Z1156" s="19" t="str">
        <f>HYPERLINK("https://ssdweb.co/ssdweb/hd/Vision360.html?d=941050442&amp;zoomslide=1&amp;z=1941050442&amp;ISCONFIRM=0","VIDEO")</f>
        <v>VIDEO</v>
      </c>
      <c r="AA1156" s="19" t="str">
        <f>HYPERLINK("https://ssdweb.co/ssdweb/CERTH/671411262.pdf","CERTI")</f>
        <v>CERTI</v>
      </c>
    </row>
    <row r="1157" spans="1:27" ht="15" x14ac:dyDescent="0.25">
      <c r="A1157" s="2">
        <v>1152</v>
      </c>
      <c r="B1157" s="39">
        <v>927130135</v>
      </c>
      <c r="C1157" s="28" t="str">
        <f>HYPERLINK("https://pld.live/RapDetail.aspx?STONELIST=927130135","DNA")</f>
        <v>DNA</v>
      </c>
      <c r="D1157" s="18" t="s">
        <v>3054</v>
      </c>
      <c r="E1157" s="18" t="s">
        <v>5128</v>
      </c>
      <c r="F1157" s="2" t="s">
        <v>7987</v>
      </c>
      <c r="G1157" s="2" t="s">
        <v>861</v>
      </c>
      <c r="H1157" s="14">
        <v>1.02</v>
      </c>
      <c r="I1157" s="2" t="s">
        <v>4761</v>
      </c>
      <c r="J1157" s="2" t="s">
        <v>5144</v>
      </c>
      <c r="K1157" s="2" t="s">
        <v>3390</v>
      </c>
      <c r="L1157" s="2" t="s">
        <v>5221</v>
      </c>
      <c r="M1157" s="2" t="s">
        <v>5221</v>
      </c>
      <c r="N1157" s="2" t="s">
        <v>2317</v>
      </c>
      <c r="O1157" s="14">
        <v>6600</v>
      </c>
      <c r="P1157" s="14">
        <v>98.2</v>
      </c>
      <c r="Q1157" s="14">
        <v>118.8</v>
      </c>
      <c r="R1157" s="14">
        <v>121.18</v>
      </c>
      <c r="S1157" s="2" t="s">
        <v>2548</v>
      </c>
      <c r="T1157" s="2">
        <v>1</v>
      </c>
      <c r="U1157" s="2">
        <v>60.3</v>
      </c>
      <c r="V1157" s="2">
        <v>58</v>
      </c>
      <c r="W1157" s="2" t="s">
        <v>7862</v>
      </c>
      <c r="X1157" s="2" t="s">
        <v>5405</v>
      </c>
      <c r="Y1157" s="2">
        <v>6732</v>
      </c>
      <c r="Z1157" s="19" t="str">
        <f>HYPERLINK("https://ssdweb.co/ssdweb/hd/Vision360.html?d=927130135&amp;zoomslide=1&amp;z=1927130135&amp;ISCONFIRM=0","VIDEO")</f>
        <v>VIDEO</v>
      </c>
      <c r="AA1157" s="19" t="str">
        <f>HYPERLINK("https://ssdweb.co/ssdweb/CERTH/666419891.pdf","CERTI")</f>
        <v>CERTI</v>
      </c>
    </row>
    <row r="1158" spans="1:27" ht="15" x14ac:dyDescent="0.25">
      <c r="A1158" s="2">
        <v>1153</v>
      </c>
      <c r="B1158" s="39">
        <v>927130142</v>
      </c>
      <c r="C1158" s="28" t="str">
        <f>HYPERLINK("https://pld.live/RapDetail.aspx?STONELIST=927130142","DNA")</f>
        <v>DNA</v>
      </c>
      <c r="D1158" s="18" t="s">
        <v>3054</v>
      </c>
      <c r="E1158" s="18" t="s">
        <v>5128</v>
      </c>
      <c r="F1158" s="2" t="s">
        <v>7987</v>
      </c>
      <c r="G1158" s="2" t="s">
        <v>861</v>
      </c>
      <c r="H1158" s="14">
        <v>1.02</v>
      </c>
      <c r="I1158" s="2" t="s">
        <v>4761</v>
      </c>
      <c r="J1158" s="2" t="s">
        <v>5144</v>
      </c>
      <c r="K1158" s="2" t="s">
        <v>5221</v>
      </c>
      <c r="L1158" s="2" t="s">
        <v>5221</v>
      </c>
      <c r="M1158" s="2" t="s">
        <v>5221</v>
      </c>
      <c r="N1158" s="2" t="s">
        <v>2317</v>
      </c>
      <c r="O1158" s="14">
        <v>6600</v>
      </c>
      <c r="P1158" s="14">
        <v>98.2</v>
      </c>
      <c r="Q1158" s="14">
        <v>118.8</v>
      </c>
      <c r="R1158" s="14">
        <v>121.18</v>
      </c>
      <c r="S1158" s="2" t="s">
        <v>4501</v>
      </c>
      <c r="T1158" s="2">
        <v>1.01</v>
      </c>
      <c r="U1158" s="2">
        <v>63.3</v>
      </c>
      <c r="V1158" s="2">
        <v>56</v>
      </c>
      <c r="W1158" s="2" t="s">
        <v>7862</v>
      </c>
      <c r="X1158" s="2" t="s">
        <v>5405</v>
      </c>
      <c r="Y1158" s="2">
        <v>6732</v>
      </c>
      <c r="Z1158" s="19" t="str">
        <f>HYPERLINK("https://ssdweb.co/ssdweb/hd/Vision360.html?d=927130142&amp;zoomslide=1&amp;z=1927130142&amp;ISCONFIRM=0","VIDEO")</f>
        <v>VIDEO</v>
      </c>
      <c r="AA1158" s="19" t="str">
        <f>HYPERLINK("https://ssdweb.co/ssdweb/CERTH/666419908.pdf","CERTI")</f>
        <v>CERTI</v>
      </c>
    </row>
    <row r="1159" spans="1:27" ht="15" x14ac:dyDescent="0.25">
      <c r="A1159" s="2">
        <v>1154</v>
      </c>
      <c r="B1159" s="39">
        <v>927150643</v>
      </c>
      <c r="C1159" s="28" t="str">
        <f>HYPERLINK("https://pld.live/RapDetail.aspx?STONELIST=927150643","DNA")</f>
        <v>DNA</v>
      </c>
      <c r="D1159" s="18" t="s">
        <v>3054</v>
      </c>
      <c r="E1159" s="18" t="s">
        <v>5128</v>
      </c>
      <c r="F1159" s="2" t="s">
        <v>7987</v>
      </c>
      <c r="G1159" s="2" t="s">
        <v>861</v>
      </c>
      <c r="H1159" s="14">
        <v>1.02</v>
      </c>
      <c r="I1159" s="2" t="s">
        <v>4699</v>
      </c>
      <c r="J1159" s="2" t="s">
        <v>6555</v>
      </c>
      <c r="K1159" s="2" t="s">
        <v>3390</v>
      </c>
      <c r="L1159" s="2" t="s">
        <v>5221</v>
      </c>
      <c r="M1159" s="2" t="s">
        <v>5221</v>
      </c>
      <c r="N1159" s="2" t="s">
        <v>2317</v>
      </c>
      <c r="O1159" s="14">
        <v>9700</v>
      </c>
      <c r="P1159" s="14">
        <v>98.67</v>
      </c>
      <c r="Q1159" s="14">
        <v>129.01</v>
      </c>
      <c r="R1159" s="14">
        <v>131.59</v>
      </c>
      <c r="S1159" s="2" t="s">
        <v>4932</v>
      </c>
      <c r="T1159" s="2">
        <v>1</v>
      </c>
      <c r="U1159" s="2">
        <v>61.4</v>
      </c>
      <c r="V1159" s="2">
        <v>58</v>
      </c>
      <c r="W1159" s="2" t="s">
        <v>7862</v>
      </c>
      <c r="X1159" s="2" t="s">
        <v>5405</v>
      </c>
      <c r="Y1159" s="2">
        <v>9894</v>
      </c>
      <c r="Z1159" s="19" t="str">
        <f>HYPERLINK("https://ssdweb.co/ssdweb/hd/Vision360.html?d=927150643&amp;zoomslide=1&amp;z=1927150643&amp;ISCONFIRM=0","VIDEO")</f>
        <v>VIDEO</v>
      </c>
      <c r="AA1159" s="19" t="str">
        <f>HYPERLINK("https://ssdweb.co/ssdweb/CERTH/668437158.pdf","CERTI")</f>
        <v>CERTI</v>
      </c>
    </row>
    <row r="1160" spans="1:27" ht="15" x14ac:dyDescent="0.25">
      <c r="A1160" s="2">
        <v>1155</v>
      </c>
      <c r="B1160" s="39">
        <v>941160424</v>
      </c>
      <c r="C1160" s="28" t="str">
        <f>HYPERLINK("https://pld.live/RapDetail.aspx?STONELIST=941160424","DNA")</f>
        <v>DNA</v>
      </c>
      <c r="D1160" s="18" t="s">
        <v>3054</v>
      </c>
      <c r="E1160" s="18" t="s">
        <v>5128</v>
      </c>
      <c r="F1160" s="2" t="s">
        <v>7987</v>
      </c>
      <c r="G1160" s="2" t="s">
        <v>861</v>
      </c>
      <c r="H1160" s="14">
        <v>1.02</v>
      </c>
      <c r="I1160" s="2" t="s">
        <v>4699</v>
      </c>
      <c r="J1160" s="2" t="s">
        <v>3942</v>
      </c>
      <c r="K1160" s="2" t="s">
        <v>3390</v>
      </c>
      <c r="L1160" s="2" t="s">
        <v>5221</v>
      </c>
      <c r="M1160" s="2" t="s">
        <v>5221</v>
      </c>
      <c r="N1160" s="2" t="s">
        <v>2317</v>
      </c>
      <c r="O1160" s="14">
        <v>8400</v>
      </c>
      <c r="P1160" s="14">
        <v>98.56</v>
      </c>
      <c r="Q1160" s="14">
        <v>120.96</v>
      </c>
      <c r="R1160" s="14">
        <v>123.38</v>
      </c>
      <c r="S1160" s="2" t="s">
        <v>6327</v>
      </c>
      <c r="T1160" s="2">
        <v>1.01</v>
      </c>
      <c r="U1160" s="2">
        <v>61.2</v>
      </c>
      <c r="V1160" s="2">
        <v>59</v>
      </c>
      <c r="W1160" s="2" t="s">
        <v>7862</v>
      </c>
      <c r="X1160" s="2" t="s">
        <v>5405</v>
      </c>
      <c r="Y1160" s="2">
        <v>8568</v>
      </c>
      <c r="Z1160" s="19" t="str">
        <f>HYPERLINK("https://ssdweb.co/ssdweb/hd/Vision360.html?d=941160424&amp;zoomslide=1&amp;z=1941160424&amp;ISCONFIRM=0","VIDEO")</f>
        <v>VIDEO</v>
      </c>
      <c r="AA1160" s="19" t="str">
        <f>HYPERLINK("https://ssdweb.co/ssdweb/CERTH/675504720.pdf","CERTI")</f>
        <v>CERTI</v>
      </c>
    </row>
    <row r="1161" spans="1:27" ht="15" x14ac:dyDescent="0.25">
      <c r="A1161" s="2">
        <v>1156</v>
      </c>
      <c r="B1161" s="39">
        <v>941160559</v>
      </c>
      <c r="C1161" s="28" t="str">
        <f>HYPERLINK("https://pld.live/RapDetail.aspx?STONELIST=941160559","DNA")</f>
        <v>DNA</v>
      </c>
      <c r="D1161" s="18" t="s">
        <v>3054</v>
      </c>
      <c r="E1161" s="18" t="s">
        <v>5128</v>
      </c>
      <c r="F1161" s="2" t="s">
        <v>7987</v>
      </c>
      <c r="G1161" s="2" t="s">
        <v>861</v>
      </c>
      <c r="H1161" s="14">
        <v>1.02</v>
      </c>
      <c r="I1161" s="2" t="s">
        <v>4699</v>
      </c>
      <c r="J1161" s="2" t="s">
        <v>3942</v>
      </c>
      <c r="K1161" s="2" t="s">
        <v>3390</v>
      </c>
      <c r="L1161" s="2" t="s">
        <v>5221</v>
      </c>
      <c r="M1161" s="2" t="s">
        <v>5221</v>
      </c>
      <c r="N1161" s="2" t="s">
        <v>2317</v>
      </c>
      <c r="O1161" s="14">
        <v>8400</v>
      </c>
      <c r="P1161" s="14">
        <v>98.56</v>
      </c>
      <c r="Q1161" s="14">
        <v>120.96</v>
      </c>
      <c r="R1161" s="14">
        <v>123.38</v>
      </c>
      <c r="S1161" s="2" t="s">
        <v>5821</v>
      </c>
      <c r="T1161" s="2">
        <v>1.01</v>
      </c>
      <c r="U1161" s="2">
        <v>61</v>
      </c>
      <c r="V1161" s="2">
        <v>58</v>
      </c>
      <c r="W1161" s="2" t="s">
        <v>7862</v>
      </c>
      <c r="X1161" s="2" t="s">
        <v>5405</v>
      </c>
      <c r="Y1161" s="2">
        <v>8568</v>
      </c>
      <c r="Z1161" s="19" t="str">
        <f>HYPERLINK("https://ssdweb.co/ssdweb/hd/Vision360.html?d=941160559&amp;zoomslide=1&amp;z=1941160559&amp;ISCONFIRM=0","VIDEO")</f>
        <v>VIDEO</v>
      </c>
      <c r="AA1161" s="19" t="str">
        <f>HYPERLINK("https://ssdweb.co/ssdweb/CERTH/675504721.pdf","CERTI")</f>
        <v>CERTI</v>
      </c>
    </row>
    <row r="1162" spans="1:27" ht="15" x14ac:dyDescent="0.25">
      <c r="A1162" s="2">
        <v>1157</v>
      </c>
      <c r="B1162" s="39">
        <v>941071225</v>
      </c>
      <c r="C1162" s="28" t="str">
        <f>HYPERLINK("https://pld.live/RapDetail.aspx?STONELIST=941071225","DNA")</f>
        <v>DNA</v>
      </c>
      <c r="D1162" s="18" t="s">
        <v>3054</v>
      </c>
      <c r="E1162" s="18" t="s">
        <v>5128</v>
      </c>
      <c r="F1162" s="2" t="s">
        <v>7987</v>
      </c>
      <c r="G1162" s="2" t="s">
        <v>861</v>
      </c>
      <c r="H1162" s="14">
        <v>1.02</v>
      </c>
      <c r="I1162" s="2" t="s">
        <v>4699</v>
      </c>
      <c r="J1162" s="2" t="s">
        <v>3942</v>
      </c>
      <c r="K1162" s="2" t="s">
        <v>3390</v>
      </c>
      <c r="L1162" s="2" t="s">
        <v>5221</v>
      </c>
      <c r="M1162" s="2" t="s">
        <v>5221</v>
      </c>
      <c r="N1162" s="2" t="s">
        <v>2317</v>
      </c>
      <c r="O1162" s="14">
        <v>8400</v>
      </c>
      <c r="P1162" s="14">
        <v>98.56</v>
      </c>
      <c r="Q1162" s="14">
        <v>120.96</v>
      </c>
      <c r="R1162" s="14">
        <v>123.38</v>
      </c>
      <c r="S1162" s="2" t="s">
        <v>28</v>
      </c>
      <c r="T1162" s="2">
        <v>1.01</v>
      </c>
      <c r="U1162" s="2">
        <v>62.5</v>
      </c>
      <c r="V1162" s="2">
        <v>57</v>
      </c>
      <c r="W1162" s="2" t="s">
        <v>7862</v>
      </c>
      <c r="X1162" s="2" t="s">
        <v>5405</v>
      </c>
      <c r="Y1162" s="2">
        <v>8568</v>
      </c>
      <c r="Z1162" s="19" t="str">
        <f>HYPERLINK("https://ssdweb.co/ssdweb/hd/Vision360.html?d=941071225&amp;zoomslide=1&amp;z=1941071225&amp;ISCONFIRM=0","VIDEO")</f>
        <v>VIDEO</v>
      </c>
      <c r="AA1162" s="19" t="str">
        <f>HYPERLINK("https://ssdweb.co/ssdweb/CERTH/671437451.pdf","CERTI")</f>
        <v>CERTI</v>
      </c>
    </row>
    <row r="1163" spans="1:27" ht="15" x14ac:dyDescent="0.25">
      <c r="A1163" s="2">
        <v>1158</v>
      </c>
      <c r="B1163" s="39">
        <v>926831106</v>
      </c>
      <c r="C1163" s="28" t="str">
        <f>HYPERLINK("https://pld.live/RapDetail.aspx?STONELIST=926831106","DNA")</f>
        <v>DNA</v>
      </c>
      <c r="D1163" s="18" t="s">
        <v>3054</v>
      </c>
      <c r="E1163" s="18" t="s">
        <v>5128</v>
      </c>
      <c r="F1163" s="2" t="s">
        <v>5597</v>
      </c>
      <c r="G1163" s="2" t="s">
        <v>861</v>
      </c>
      <c r="H1163" s="14">
        <v>1.02</v>
      </c>
      <c r="I1163" s="2" t="s">
        <v>4699</v>
      </c>
      <c r="J1163" s="2" t="s">
        <v>5144</v>
      </c>
      <c r="K1163" s="2" t="s">
        <v>5221</v>
      </c>
      <c r="L1163" s="2" t="s">
        <v>5221</v>
      </c>
      <c r="M1163" s="2" t="s">
        <v>5221</v>
      </c>
      <c r="N1163" s="2" t="s">
        <v>2317</v>
      </c>
      <c r="O1163" s="14">
        <v>6000</v>
      </c>
      <c r="P1163" s="14">
        <v>96.77</v>
      </c>
      <c r="Q1163" s="14">
        <v>193.8</v>
      </c>
      <c r="R1163" s="14">
        <v>197.68</v>
      </c>
      <c r="S1163" s="2" t="s">
        <v>1054</v>
      </c>
      <c r="T1163" s="2">
        <v>1</v>
      </c>
      <c r="U1163" s="2">
        <v>61.3</v>
      </c>
      <c r="V1163" s="2">
        <v>57</v>
      </c>
      <c r="W1163" s="2" t="s">
        <v>7862</v>
      </c>
      <c r="X1163" s="2" t="s">
        <v>5405</v>
      </c>
      <c r="Y1163" s="2">
        <v>6120</v>
      </c>
      <c r="Z1163" s="19" t="str">
        <f>HYPERLINK("https://ssdweb.co/ssdweb/hd/Vision360.html?d=926831106&amp;zoomslide=1&amp;z=1926831106&amp;ISCONFIRM=0","VIDEO")</f>
        <v>VIDEO</v>
      </c>
      <c r="AA1163" s="19" t="str">
        <f>HYPERLINK("https://ssdweb.co/ssdweb/CERTH/5503621645.pdf","CERTI")</f>
        <v>CERTI</v>
      </c>
    </row>
    <row r="1164" spans="1:27" ht="15" x14ac:dyDescent="0.25">
      <c r="A1164" s="2">
        <v>1159</v>
      </c>
      <c r="B1164" s="39">
        <v>926831159</v>
      </c>
      <c r="C1164" s="28" t="str">
        <f>HYPERLINK("https://pld.live/RapDetail.aspx?STONELIST=926831159","DNA")</f>
        <v>DNA</v>
      </c>
      <c r="D1164" s="18" t="s">
        <v>3054</v>
      </c>
      <c r="E1164" s="18" t="s">
        <v>5128</v>
      </c>
      <c r="F1164" s="2" t="s">
        <v>7987</v>
      </c>
      <c r="G1164" s="2" t="s">
        <v>861</v>
      </c>
      <c r="H1164" s="14">
        <v>1.01</v>
      </c>
      <c r="I1164" s="2" t="s">
        <v>267</v>
      </c>
      <c r="J1164" s="2" t="s">
        <v>6555</v>
      </c>
      <c r="K1164" s="2" t="s">
        <v>3390</v>
      </c>
      <c r="L1164" s="2" t="s">
        <v>5221</v>
      </c>
      <c r="M1164" s="2" t="s">
        <v>5221</v>
      </c>
      <c r="N1164" s="2" t="s">
        <v>2317</v>
      </c>
      <c r="O1164" s="14">
        <v>12800</v>
      </c>
      <c r="P1164" s="14">
        <v>98.85</v>
      </c>
      <c r="Q1164" s="14">
        <v>147.19999999999999</v>
      </c>
      <c r="R1164" s="14">
        <v>148.66999999999999</v>
      </c>
      <c r="S1164" s="2" t="s">
        <v>3409</v>
      </c>
      <c r="T1164" s="2">
        <v>1.01</v>
      </c>
      <c r="U1164" s="2">
        <v>61.2</v>
      </c>
      <c r="V1164" s="2">
        <v>59</v>
      </c>
      <c r="W1164" s="2" t="s">
        <v>7862</v>
      </c>
      <c r="X1164" s="2" t="s">
        <v>5405</v>
      </c>
      <c r="Y1164" s="2">
        <v>12928</v>
      </c>
      <c r="Z1164" s="19" t="str">
        <f>HYPERLINK("https://ssdweb.co/ssdweb/hd/Vision360.html?d=926831159&amp;zoomslide=1&amp;z=1926831159&amp;ISCONFIRM=0","VIDEO")</f>
        <v>VIDEO</v>
      </c>
      <c r="AA1164" s="19" t="str">
        <f>HYPERLINK("https://ssdweb.co/ssdweb/CERTH/656479467.pdf","CERTI")</f>
        <v>CERTI</v>
      </c>
    </row>
    <row r="1165" spans="1:27" ht="15" x14ac:dyDescent="0.25">
      <c r="A1165" s="2">
        <v>1160</v>
      </c>
      <c r="B1165" s="39">
        <v>941370572</v>
      </c>
      <c r="C1165" s="28" t="str">
        <f>HYPERLINK("https://pld.live/RapDetail.aspx?STONELIST=941370572","DNA")</f>
        <v>DNA</v>
      </c>
      <c r="D1165" s="18" t="s">
        <v>3054</v>
      </c>
      <c r="E1165" s="18" t="s">
        <v>5128</v>
      </c>
      <c r="F1165" s="2" t="s">
        <v>7987</v>
      </c>
      <c r="G1165" s="2" t="s">
        <v>861</v>
      </c>
      <c r="H1165" s="14">
        <v>1.01</v>
      </c>
      <c r="I1165" s="2" t="s">
        <v>267</v>
      </c>
      <c r="J1165" s="2" t="s">
        <v>6555</v>
      </c>
      <c r="K1165" s="2" t="s">
        <v>3390</v>
      </c>
      <c r="L1165" s="2" t="s">
        <v>5221</v>
      </c>
      <c r="M1165" s="2" t="s">
        <v>5221</v>
      </c>
      <c r="N1165" s="2" t="s">
        <v>2317</v>
      </c>
      <c r="O1165" s="14">
        <v>12800</v>
      </c>
      <c r="P1165" s="14">
        <v>98.84</v>
      </c>
      <c r="Q1165" s="14">
        <v>148.47999999999999</v>
      </c>
      <c r="R1165" s="14">
        <v>149.96</v>
      </c>
      <c r="S1165" s="2" t="s">
        <v>3666</v>
      </c>
      <c r="T1165" s="2">
        <v>1.01</v>
      </c>
      <c r="U1165" s="2">
        <v>61.7</v>
      </c>
      <c r="V1165" s="2">
        <v>58</v>
      </c>
      <c r="W1165" s="2" t="s">
        <v>7862</v>
      </c>
      <c r="X1165" s="2" t="s">
        <v>5405</v>
      </c>
      <c r="Y1165" s="2">
        <v>12928</v>
      </c>
      <c r="Z1165" s="19" t="str">
        <f>HYPERLINK("https://ssdweb.co/ssdweb/hd/Vision360.html?d=941370572&amp;zoomslide=1&amp;z=1941370572&amp;ISCONFIRM=0","VIDEO")</f>
        <v>VIDEO</v>
      </c>
      <c r="AA1165" s="19" t="str">
        <f>HYPERLINK("https://ssdweb.co/ssdweb/CERTH/687560958.pdf","CERTI")</f>
        <v>CERTI</v>
      </c>
    </row>
    <row r="1166" spans="1:27" ht="15" x14ac:dyDescent="0.25">
      <c r="A1166" s="2">
        <v>1161</v>
      </c>
      <c r="B1166" s="39">
        <v>941020709</v>
      </c>
      <c r="C1166" s="28" t="str">
        <f>HYPERLINK("https://pld.live/RapDetail.aspx?STONELIST=941020709","DNA")</f>
        <v>DNA</v>
      </c>
      <c r="D1166" s="18" t="s">
        <v>3054</v>
      </c>
      <c r="E1166" s="18" t="s">
        <v>5128</v>
      </c>
      <c r="F1166" s="2" t="s">
        <v>7987</v>
      </c>
      <c r="G1166" s="2" t="s">
        <v>861</v>
      </c>
      <c r="H1166" s="14">
        <v>1.01</v>
      </c>
      <c r="I1166" s="2" t="s">
        <v>267</v>
      </c>
      <c r="J1166" s="2" t="s">
        <v>6555</v>
      </c>
      <c r="K1166" s="2" t="s">
        <v>3390</v>
      </c>
      <c r="L1166" s="2" t="s">
        <v>5221</v>
      </c>
      <c r="M1166" s="2" t="s">
        <v>5221</v>
      </c>
      <c r="N1166" s="2" t="s">
        <v>2317</v>
      </c>
      <c r="O1166" s="14">
        <v>12800</v>
      </c>
      <c r="P1166" s="14">
        <v>98.84</v>
      </c>
      <c r="Q1166" s="14">
        <v>148.47999999999999</v>
      </c>
      <c r="R1166" s="14">
        <v>149.96</v>
      </c>
      <c r="S1166" s="2" t="s">
        <v>978</v>
      </c>
      <c r="T1166" s="2">
        <v>1.01</v>
      </c>
      <c r="U1166" s="2">
        <v>62.2</v>
      </c>
      <c r="V1166" s="2">
        <v>56</v>
      </c>
      <c r="W1166" s="2" t="s">
        <v>7862</v>
      </c>
      <c r="X1166" s="2" t="s">
        <v>5405</v>
      </c>
      <c r="Y1166" s="2">
        <v>12928</v>
      </c>
      <c r="Z1166" s="19" t="str">
        <f>HYPERLINK("https://ssdweb.co/ssdweb/hd/Vision360.html?d=941020709&amp;zoomslide=1&amp;z=1941020709&amp;ISCONFIRM=0","VIDEO")</f>
        <v>VIDEO</v>
      </c>
      <c r="AA1166" s="19" t="str">
        <f>HYPERLINK("https://ssdweb.co/ssdweb/CERTH/689587067.pdf","CERTI")</f>
        <v>CERTI</v>
      </c>
    </row>
    <row r="1167" spans="1:27" ht="15" x14ac:dyDescent="0.25">
      <c r="A1167" s="2">
        <v>1162</v>
      </c>
      <c r="B1167" s="39">
        <v>925731776</v>
      </c>
      <c r="C1167" s="28" t="str">
        <f>HYPERLINK("https://pld.live/RapDetail.aspx?STONELIST=925731776","DNA")</f>
        <v>DNA</v>
      </c>
      <c r="D1167" s="18" t="s">
        <v>3054</v>
      </c>
      <c r="E1167" s="18" t="s">
        <v>5128</v>
      </c>
      <c r="F1167" s="2" t="s">
        <v>5597</v>
      </c>
      <c r="G1167" s="2" t="s">
        <v>861</v>
      </c>
      <c r="H1167" s="14">
        <v>1.01</v>
      </c>
      <c r="I1167" s="2" t="s">
        <v>267</v>
      </c>
      <c r="J1167" s="2" t="s">
        <v>3942</v>
      </c>
      <c r="K1167" s="2" t="s">
        <v>5221</v>
      </c>
      <c r="L1167" s="2" t="s">
        <v>5221</v>
      </c>
      <c r="M1167" s="2" t="s">
        <v>5221</v>
      </c>
      <c r="N1167" s="2" t="s">
        <v>2317</v>
      </c>
      <c r="O1167" s="14">
        <v>10200</v>
      </c>
      <c r="P1167" s="14">
        <v>97.96</v>
      </c>
      <c r="Q1167" s="14">
        <v>208.08</v>
      </c>
      <c r="R1167" s="14">
        <v>210.16</v>
      </c>
      <c r="S1167" s="2" t="s">
        <v>5801</v>
      </c>
      <c r="T1167" s="2">
        <v>1.01</v>
      </c>
      <c r="U1167" s="2">
        <v>60.7</v>
      </c>
      <c r="V1167" s="2">
        <v>59</v>
      </c>
      <c r="W1167" s="2" t="s">
        <v>7862</v>
      </c>
      <c r="X1167" s="2" t="s">
        <v>5405</v>
      </c>
      <c r="Y1167" s="2">
        <v>10302</v>
      </c>
      <c r="Z1167" s="19" t="str">
        <f>HYPERLINK("https://ssdweb.co/ssdweb/hd/Vision360.html?d=925731776&amp;zoomslide=1&amp;z=1925731776&amp;ISCONFIRM=0","VIDEO")</f>
        <v>VIDEO</v>
      </c>
      <c r="AA1167" s="19" t="str">
        <f>HYPERLINK("https://ssdweb.co/ssdweb/CERTH/1488759247.pdf","CERTI")</f>
        <v>CERTI</v>
      </c>
    </row>
    <row r="1168" spans="1:27" ht="15" x14ac:dyDescent="0.25">
      <c r="A1168" s="2">
        <v>1163</v>
      </c>
      <c r="B1168" s="39">
        <v>926810904</v>
      </c>
      <c r="C1168" s="28" t="str">
        <f>HYPERLINK("https://pld.live/RapDetail.aspx?STONELIST=926810904","DNA")</f>
        <v>DNA</v>
      </c>
      <c r="D1168" s="18" t="s">
        <v>3054</v>
      </c>
      <c r="E1168" s="18" t="s">
        <v>5128</v>
      </c>
      <c r="F1168" s="2" t="s">
        <v>5597</v>
      </c>
      <c r="G1168" s="2" t="s">
        <v>861</v>
      </c>
      <c r="H1168" s="14">
        <v>1.01</v>
      </c>
      <c r="I1168" s="2" t="s">
        <v>267</v>
      </c>
      <c r="J1168" s="2" t="s">
        <v>3942</v>
      </c>
      <c r="K1168" s="2" t="s">
        <v>5221</v>
      </c>
      <c r="L1168" s="2" t="s">
        <v>5221</v>
      </c>
      <c r="M1168" s="2" t="s">
        <v>5221</v>
      </c>
      <c r="N1168" s="2" t="s">
        <v>2317</v>
      </c>
      <c r="O1168" s="14">
        <v>10200</v>
      </c>
      <c r="P1168" s="14">
        <v>97.93</v>
      </c>
      <c r="Q1168" s="14">
        <v>211.14</v>
      </c>
      <c r="R1168" s="14">
        <v>213.25</v>
      </c>
      <c r="S1168" s="2" t="s">
        <v>7215</v>
      </c>
      <c r="T1168" s="2">
        <v>1.01</v>
      </c>
      <c r="U1168" s="2">
        <v>62.1</v>
      </c>
      <c r="V1168" s="2">
        <v>56</v>
      </c>
      <c r="W1168" s="2" t="s">
        <v>7862</v>
      </c>
      <c r="X1168" s="2" t="s">
        <v>5405</v>
      </c>
      <c r="Y1168" s="2">
        <v>10302</v>
      </c>
      <c r="Z1168" s="19" t="str">
        <f>HYPERLINK("https://ssdweb.co/ssdweb/hd/Vision360.html?d=926810904&amp;zoomslide=1&amp;z=1926810904&amp;ISCONFIRM=0","VIDEO")</f>
        <v>VIDEO</v>
      </c>
      <c r="AA1168" s="19" t="str">
        <f>HYPERLINK("https://ssdweb.co/ssdweb/CERTH/6502620471.pdf","CERTI")</f>
        <v>CERTI</v>
      </c>
    </row>
    <row r="1169" spans="1:27" ht="15" x14ac:dyDescent="0.25">
      <c r="A1169" s="2">
        <v>1164</v>
      </c>
      <c r="B1169" s="39">
        <v>926810780</v>
      </c>
      <c r="C1169" s="28" t="str">
        <f>HYPERLINK("https://pld.live/RapDetail.aspx?STONELIST=926810780","DNA")</f>
        <v>DNA</v>
      </c>
      <c r="D1169" s="18" t="s">
        <v>3054</v>
      </c>
      <c r="E1169" s="18" t="s">
        <v>5128</v>
      </c>
      <c r="F1169" s="2" t="s">
        <v>5597</v>
      </c>
      <c r="G1169" s="2" t="s">
        <v>861</v>
      </c>
      <c r="H1169" s="14">
        <v>1.01</v>
      </c>
      <c r="I1169" s="2" t="s">
        <v>267</v>
      </c>
      <c r="J1169" s="2" t="s">
        <v>3942</v>
      </c>
      <c r="K1169" s="2" t="s">
        <v>5221</v>
      </c>
      <c r="L1169" s="2" t="s">
        <v>5221</v>
      </c>
      <c r="M1169" s="2" t="s">
        <v>5221</v>
      </c>
      <c r="N1169" s="2" t="s">
        <v>2317</v>
      </c>
      <c r="O1169" s="14">
        <v>10200</v>
      </c>
      <c r="P1169" s="14">
        <v>97.93</v>
      </c>
      <c r="Q1169" s="14">
        <v>211.14</v>
      </c>
      <c r="R1169" s="14">
        <v>213.25</v>
      </c>
      <c r="S1169" s="2" t="s">
        <v>7924</v>
      </c>
      <c r="T1169" s="2">
        <v>1.01</v>
      </c>
      <c r="U1169" s="2">
        <v>62.4</v>
      </c>
      <c r="V1169" s="2">
        <v>57</v>
      </c>
      <c r="W1169" s="2" t="s">
        <v>7862</v>
      </c>
      <c r="X1169" s="2" t="s">
        <v>5405</v>
      </c>
      <c r="Y1169" s="2">
        <v>10302</v>
      </c>
      <c r="Z1169" s="19" t="str">
        <f>HYPERLINK("https://ssdweb.co/ssdweb/hd/Vision360.html?d=926810780&amp;zoomslide=1&amp;z=1926810780&amp;ISCONFIRM=0","VIDEO")</f>
        <v>VIDEO</v>
      </c>
      <c r="AA1169" s="19" t="str">
        <f>HYPERLINK("https://ssdweb.co/ssdweb/CERTH/2506516540.pdf","CERTI")</f>
        <v>CERTI</v>
      </c>
    </row>
    <row r="1170" spans="1:27" ht="15" x14ac:dyDescent="0.25">
      <c r="A1170" s="2">
        <v>1165</v>
      </c>
      <c r="B1170" s="39">
        <v>926750963</v>
      </c>
      <c r="C1170" s="28" t="str">
        <f>HYPERLINK("https://pld.live/RapDetail.aspx?STONELIST=926750963","DNA")</f>
        <v>DNA</v>
      </c>
      <c r="D1170" s="18" t="s">
        <v>3054</v>
      </c>
      <c r="E1170" s="18" t="s">
        <v>5128</v>
      </c>
      <c r="F1170" s="2" t="s">
        <v>5597</v>
      </c>
      <c r="G1170" s="2" t="s">
        <v>861</v>
      </c>
      <c r="H1170" s="14">
        <v>1.01</v>
      </c>
      <c r="I1170" s="2" t="s">
        <v>267</v>
      </c>
      <c r="J1170" s="2" t="s">
        <v>3942</v>
      </c>
      <c r="K1170" s="2" t="s">
        <v>5221</v>
      </c>
      <c r="L1170" s="2" t="s">
        <v>5221</v>
      </c>
      <c r="M1170" s="2" t="s">
        <v>5221</v>
      </c>
      <c r="N1170" s="2" t="s">
        <v>2317</v>
      </c>
      <c r="O1170" s="14">
        <v>10200</v>
      </c>
      <c r="P1170" s="14">
        <v>97.93</v>
      </c>
      <c r="Q1170" s="14">
        <v>211.14</v>
      </c>
      <c r="R1170" s="14">
        <v>213.25</v>
      </c>
      <c r="S1170" s="2" t="s">
        <v>1688</v>
      </c>
      <c r="T1170" s="2">
        <v>1.01</v>
      </c>
      <c r="U1170" s="2">
        <v>61.4</v>
      </c>
      <c r="V1170" s="2">
        <v>57</v>
      </c>
      <c r="W1170" s="2" t="s">
        <v>7862</v>
      </c>
      <c r="X1170" s="2" t="s">
        <v>5405</v>
      </c>
      <c r="Y1170" s="2">
        <v>10302</v>
      </c>
      <c r="Z1170" s="19" t="str">
        <f>HYPERLINK("https://ssdweb.co/ssdweb/hd/Vision360.html?d=926750963&amp;zoomslide=1&amp;z=1926750963&amp;ISCONFIRM=0","VIDEO")</f>
        <v>VIDEO</v>
      </c>
      <c r="AA1170" s="19" t="str">
        <f>HYPERLINK("https://ssdweb.co/ssdweb/CERTH/1503459263.pdf","CERTI")</f>
        <v>CERTI</v>
      </c>
    </row>
    <row r="1171" spans="1:27" ht="15" x14ac:dyDescent="0.25">
      <c r="A1171" s="2">
        <v>1166</v>
      </c>
      <c r="B1171" s="39">
        <v>941160388</v>
      </c>
      <c r="C1171" s="28" t="str">
        <f>HYPERLINK("https://pld.live/RapDetail.aspx?STONELIST=941160388","DNA")</f>
        <v>DNA</v>
      </c>
      <c r="D1171" s="18" t="s">
        <v>3054</v>
      </c>
      <c r="E1171" s="18" t="s">
        <v>5128</v>
      </c>
      <c r="F1171" s="2" t="s">
        <v>7987</v>
      </c>
      <c r="G1171" s="2" t="s">
        <v>861</v>
      </c>
      <c r="H1171" s="14">
        <v>1.01</v>
      </c>
      <c r="I1171" s="2" t="s">
        <v>267</v>
      </c>
      <c r="J1171" s="2" t="s">
        <v>3942</v>
      </c>
      <c r="K1171" s="2" t="s">
        <v>5221</v>
      </c>
      <c r="L1171" s="2" t="s">
        <v>5221</v>
      </c>
      <c r="M1171" s="2" t="s">
        <v>5221</v>
      </c>
      <c r="N1171" s="2" t="s">
        <v>2317</v>
      </c>
      <c r="O1171" s="14">
        <v>10200</v>
      </c>
      <c r="P1171" s="14">
        <v>98.73</v>
      </c>
      <c r="Q1171" s="14">
        <v>129.54</v>
      </c>
      <c r="R1171" s="14">
        <v>130.84</v>
      </c>
      <c r="S1171" s="2" t="s">
        <v>3646</v>
      </c>
      <c r="T1171" s="2">
        <v>1.01</v>
      </c>
      <c r="U1171" s="2">
        <v>63.1</v>
      </c>
      <c r="V1171" s="2">
        <v>60</v>
      </c>
      <c r="W1171" s="2" t="s">
        <v>7862</v>
      </c>
      <c r="X1171" s="2" t="s">
        <v>5405</v>
      </c>
      <c r="Y1171" s="2">
        <v>10302</v>
      </c>
      <c r="Z1171" s="19" t="str">
        <f>HYPERLINK("https://ssdweb.co/ssdweb/hd/Vision360.html?d=941160388&amp;zoomslide=1&amp;z=1941160388&amp;ISCONFIRM=0","VIDEO")</f>
        <v>VIDEO</v>
      </c>
      <c r="AA1171" s="19" t="str">
        <f>HYPERLINK("https://ssdweb.co/ssdweb/CERTH/689587096.pdf","CERTI")</f>
        <v>CERTI</v>
      </c>
    </row>
    <row r="1172" spans="1:27" ht="15" x14ac:dyDescent="0.25">
      <c r="A1172" s="2">
        <v>1167</v>
      </c>
      <c r="B1172" s="39">
        <v>941350286</v>
      </c>
      <c r="C1172" s="28" t="str">
        <f>HYPERLINK("https://pld.live/RapDetail.aspx?STONELIST=941350286","DNA")</f>
        <v>DNA</v>
      </c>
      <c r="D1172" s="18" t="s">
        <v>3054</v>
      </c>
      <c r="E1172" s="18" t="s">
        <v>5128</v>
      </c>
      <c r="F1172" s="2" t="s">
        <v>7987</v>
      </c>
      <c r="G1172" s="2" t="s">
        <v>861</v>
      </c>
      <c r="H1172" s="14">
        <v>1.01</v>
      </c>
      <c r="I1172" s="2" t="s">
        <v>267</v>
      </c>
      <c r="J1172" s="2" t="s">
        <v>13</v>
      </c>
      <c r="K1172" s="2" t="s">
        <v>3390</v>
      </c>
      <c r="L1172" s="2" t="s">
        <v>5221</v>
      </c>
      <c r="M1172" s="2" t="s">
        <v>5221</v>
      </c>
      <c r="N1172" s="2" t="s">
        <v>2317</v>
      </c>
      <c r="O1172" s="14">
        <v>8700</v>
      </c>
      <c r="P1172" s="14">
        <v>98.53</v>
      </c>
      <c r="Q1172" s="14">
        <v>127.89</v>
      </c>
      <c r="R1172" s="14">
        <v>129.16999999999999</v>
      </c>
      <c r="S1172" s="2" t="s">
        <v>978</v>
      </c>
      <c r="T1172" s="2">
        <v>1.01</v>
      </c>
      <c r="U1172" s="2">
        <v>62.2</v>
      </c>
      <c r="V1172" s="2">
        <v>57</v>
      </c>
      <c r="W1172" s="2" t="s">
        <v>7862</v>
      </c>
      <c r="X1172" s="2" t="s">
        <v>5405</v>
      </c>
      <c r="Y1172" s="2">
        <v>8787</v>
      </c>
      <c r="Z1172" s="19" t="str">
        <f>HYPERLINK("https://ssdweb.co/ssdweb/hd/Vision360.html?d=941350286&amp;zoomslide=1&amp;z=1941350286&amp;ISCONFIRM=0","VIDEO")</f>
        <v>VIDEO</v>
      </c>
      <c r="AA1172" s="19" t="str">
        <f>HYPERLINK("https://ssdweb.co/ssdweb/CERTH/687560914.pdf","CERTI")</f>
        <v>CERTI</v>
      </c>
    </row>
    <row r="1173" spans="1:27" ht="15" x14ac:dyDescent="0.25">
      <c r="A1173" s="2">
        <v>1168</v>
      </c>
      <c r="B1173" s="39">
        <v>941021284</v>
      </c>
      <c r="C1173" s="28" t="str">
        <f>HYPERLINK("https://pld.live/RapDetail.aspx?STONELIST=941021284","DNA")</f>
        <v>DNA</v>
      </c>
      <c r="D1173" s="18" t="s">
        <v>3054</v>
      </c>
      <c r="E1173" s="18" t="s">
        <v>5128</v>
      </c>
      <c r="F1173" s="2" t="s">
        <v>7987</v>
      </c>
      <c r="G1173" s="2" t="s">
        <v>861</v>
      </c>
      <c r="H1173" s="14">
        <v>1.01</v>
      </c>
      <c r="I1173" s="2" t="s">
        <v>267</v>
      </c>
      <c r="J1173" s="2" t="s">
        <v>13</v>
      </c>
      <c r="K1173" s="2" t="s">
        <v>3390</v>
      </c>
      <c r="L1173" s="2" t="s">
        <v>5221</v>
      </c>
      <c r="M1173" s="2" t="s">
        <v>5221</v>
      </c>
      <c r="N1173" s="2" t="s">
        <v>2317</v>
      </c>
      <c r="O1173" s="14">
        <v>8700</v>
      </c>
      <c r="P1173" s="14">
        <v>98.53</v>
      </c>
      <c r="Q1173" s="14">
        <v>127.89</v>
      </c>
      <c r="R1173" s="14">
        <v>129.16999999999999</v>
      </c>
      <c r="S1173" s="2" t="s">
        <v>1398</v>
      </c>
      <c r="T1173" s="2">
        <v>1.01</v>
      </c>
      <c r="U1173" s="2">
        <v>62.2</v>
      </c>
      <c r="V1173" s="2">
        <v>57</v>
      </c>
      <c r="W1173" s="2" t="s">
        <v>7862</v>
      </c>
      <c r="X1173" s="2" t="s">
        <v>5405</v>
      </c>
      <c r="Y1173" s="2">
        <v>8787</v>
      </c>
      <c r="Z1173" s="19" t="str">
        <f>HYPERLINK("https://ssdweb.co/ssdweb/hd/Vision360.html?d=941021284&amp;zoomslide=1&amp;z=1941021284&amp;ISCONFIRM=0","VIDEO")</f>
        <v>VIDEO</v>
      </c>
      <c r="AA1173" s="19" t="str">
        <f>HYPERLINK("https://ssdweb.co/ssdweb/CERTH/689587053.pdf","CERTI")</f>
        <v>CERTI</v>
      </c>
    </row>
    <row r="1174" spans="1:27" ht="15" x14ac:dyDescent="0.25">
      <c r="A1174" s="2">
        <v>1169</v>
      </c>
      <c r="B1174" s="39">
        <v>941070870</v>
      </c>
      <c r="C1174" s="28" t="str">
        <f>HYPERLINK("https://pld.live/RapDetail.aspx?STONELIST=941070870","DNA")</f>
        <v>DNA</v>
      </c>
      <c r="D1174" s="18" t="s">
        <v>3054</v>
      </c>
      <c r="E1174" s="18" t="s">
        <v>5128</v>
      </c>
      <c r="F1174" s="2" t="s">
        <v>7987</v>
      </c>
      <c r="G1174" s="2" t="s">
        <v>861</v>
      </c>
      <c r="H1174" s="14">
        <v>1.01</v>
      </c>
      <c r="I1174" s="2" t="s">
        <v>267</v>
      </c>
      <c r="J1174" s="2" t="s">
        <v>13</v>
      </c>
      <c r="K1174" s="2" t="s">
        <v>3390</v>
      </c>
      <c r="L1174" s="2" t="s">
        <v>5221</v>
      </c>
      <c r="M1174" s="2" t="s">
        <v>5221</v>
      </c>
      <c r="N1174" s="2" t="s">
        <v>2317</v>
      </c>
      <c r="O1174" s="14">
        <v>8700</v>
      </c>
      <c r="P1174" s="14">
        <v>98.53</v>
      </c>
      <c r="Q1174" s="14">
        <v>127.89</v>
      </c>
      <c r="R1174" s="14">
        <v>129.16999999999999</v>
      </c>
      <c r="S1174" s="2" t="s">
        <v>737</v>
      </c>
      <c r="T1174" s="2">
        <v>1</v>
      </c>
      <c r="U1174" s="2">
        <v>62.3</v>
      </c>
      <c r="V1174" s="2">
        <v>58</v>
      </c>
      <c r="W1174" s="2" t="s">
        <v>7862</v>
      </c>
      <c r="X1174" s="2" t="s">
        <v>5405</v>
      </c>
      <c r="Y1174" s="2">
        <v>8787</v>
      </c>
      <c r="Z1174" s="19" t="str">
        <f>HYPERLINK("https://ssdweb.co/ssdweb/hd/Vision360.html?d=941070870&amp;zoomslide=1&amp;z=1941070870&amp;ISCONFIRM=0","VIDEO")</f>
        <v>VIDEO</v>
      </c>
      <c r="AA1174" s="19" t="str">
        <f>HYPERLINK("https://ssdweb.co/ssdweb/CERTH/689587156.pdf","CERTI")</f>
        <v>CERTI</v>
      </c>
    </row>
    <row r="1175" spans="1:27" ht="15" x14ac:dyDescent="0.25">
      <c r="A1175" s="2">
        <v>1170</v>
      </c>
      <c r="B1175" s="39">
        <v>926810867</v>
      </c>
      <c r="C1175" s="28" t="str">
        <f>HYPERLINK("https://pld.live/RapDetail.aspx?STONELIST=926810867","DNA")</f>
        <v>DNA</v>
      </c>
      <c r="D1175" s="18" t="s">
        <v>3054</v>
      </c>
      <c r="E1175" s="18" t="s">
        <v>5128</v>
      </c>
      <c r="F1175" s="2" t="s">
        <v>5597</v>
      </c>
      <c r="G1175" s="2" t="s">
        <v>861</v>
      </c>
      <c r="H1175" s="14">
        <v>1.01</v>
      </c>
      <c r="I1175" s="2" t="s">
        <v>267</v>
      </c>
      <c r="J1175" s="2" t="s">
        <v>13</v>
      </c>
      <c r="K1175" s="2" t="s">
        <v>5221</v>
      </c>
      <c r="L1175" s="2" t="s">
        <v>5221</v>
      </c>
      <c r="M1175" s="2" t="s">
        <v>5221</v>
      </c>
      <c r="N1175" s="2" t="s">
        <v>2317</v>
      </c>
      <c r="O1175" s="14">
        <v>8700</v>
      </c>
      <c r="P1175" s="14">
        <v>97.62</v>
      </c>
      <c r="Q1175" s="14">
        <v>207.06</v>
      </c>
      <c r="R1175" s="14">
        <v>209.13</v>
      </c>
      <c r="S1175" s="2" t="s">
        <v>2746</v>
      </c>
      <c r="T1175" s="2">
        <v>1.01</v>
      </c>
      <c r="U1175" s="2">
        <v>62.1</v>
      </c>
      <c r="V1175" s="2">
        <v>56</v>
      </c>
      <c r="W1175" s="2" t="s">
        <v>7862</v>
      </c>
      <c r="X1175" s="2" t="s">
        <v>5405</v>
      </c>
      <c r="Y1175" s="2">
        <v>8787</v>
      </c>
      <c r="Z1175" s="19" t="str">
        <f>HYPERLINK("https://ssdweb.co/ssdweb/hd/Vision360.html?d=926810867&amp;zoomslide=1&amp;z=1926810867&amp;ISCONFIRM=0","VIDEO")</f>
        <v>VIDEO</v>
      </c>
      <c r="AA1175" s="19" t="str">
        <f>HYPERLINK("https://ssdweb.co/ssdweb/CERTH/7501523431.pdf","CERTI")</f>
        <v>CERTI</v>
      </c>
    </row>
    <row r="1176" spans="1:27" ht="15" x14ac:dyDescent="0.25">
      <c r="A1176" s="2">
        <v>1171</v>
      </c>
      <c r="B1176" s="39">
        <v>941170080</v>
      </c>
      <c r="C1176" s="28" t="str">
        <f>HYPERLINK("https://pld.live/RapDetail.aspx?STONELIST=941170080","DNA")</f>
        <v>DNA</v>
      </c>
      <c r="D1176" s="18" t="s">
        <v>3054</v>
      </c>
      <c r="E1176" s="18" t="s">
        <v>5128</v>
      </c>
      <c r="F1176" s="2" t="s">
        <v>7987</v>
      </c>
      <c r="G1176" s="2" t="s">
        <v>861</v>
      </c>
      <c r="H1176" s="14">
        <v>1.01</v>
      </c>
      <c r="I1176" s="2" t="s">
        <v>267</v>
      </c>
      <c r="J1176" s="2" t="s">
        <v>13</v>
      </c>
      <c r="K1176" s="2" t="s">
        <v>5221</v>
      </c>
      <c r="L1176" s="2" t="s">
        <v>5221</v>
      </c>
      <c r="M1176" s="2" t="s">
        <v>5221</v>
      </c>
      <c r="N1176" s="2" t="s">
        <v>2317</v>
      </c>
      <c r="O1176" s="14">
        <v>8700</v>
      </c>
      <c r="P1176" s="14">
        <v>98.53</v>
      </c>
      <c r="Q1176" s="14">
        <v>127.89</v>
      </c>
      <c r="R1176" s="14">
        <v>129.16999999999999</v>
      </c>
      <c r="S1176" s="2" t="s">
        <v>5522</v>
      </c>
      <c r="T1176" s="2">
        <v>1.01</v>
      </c>
      <c r="U1176" s="2">
        <v>62.7</v>
      </c>
      <c r="V1176" s="2">
        <v>57</v>
      </c>
      <c r="W1176" s="2" t="s">
        <v>7862</v>
      </c>
      <c r="X1176" s="2" t="s">
        <v>5405</v>
      </c>
      <c r="Y1176" s="2">
        <v>8787</v>
      </c>
      <c r="Z1176" s="19" t="str">
        <f>HYPERLINK("https://ssdweb.co/ssdweb/hd/Vision360.html?d=941170080&amp;zoomslide=1&amp;z=1941170080&amp;ISCONFIRM=0","VIDEO")</f>
        <v>VIDEO</v>
      </c>
      <c r="AA1176" s="19" t="str">
        <f>HYPERLINK("https://ssdweb.co/ssdweb/CERTH/689587068.pdf","CERTI")</f>
        <v>CERTI</v>
      </c>
    </row>
    <row r="1177" spans="1:27" ht="15" x14ac:dyDescent="0.25">
      <c r="A1177" s="2">
        <v>1172</v>
      </c>
      <c r="B1177" s="39">
        <v>941190268</v>
      </c>
      <c r="C1177" s="28" t="str">
        <f>HYPERLINK("https://pld.live/RapDetail.aspx?STONELIST=941190268","DNA")</f>
        <v>DNA</v>
      </c>
      <c r="D1177" s="18" t="s">
        <v>3054</v>
      </c>
      <c r="E1177" s="18" t="s">
        <v>5128</v>
      </c>
      <c r="F1177" s="2" t="s">
        <v>7987</v>
      </c>
      <c r="G1177" s="2" t="s">
        <v>861</v>
      </c>
      <c r="H1177" s="14">
        <v>1.01</v>
      </c>
      <c r="I1177" s="2" t="s">
        <v>267</v>
      </c>
      <c r="J1177" s="2" t="s">
        <v>13</v>
      </c>
      <c r="K1177" s="2" t="s">
        <v>5221</v>
      </c>
      <c r="L1177" s="2" t="s">
        <v>5221</v>
      </c>
      <c r="M1177" s="2" t="s">
        <v>5221</v>
      </c>
      <c r="N1177" s="2" t="s">
        <v>2317</v>
      </c>
      <c r="O1177" s="14">
        <v>8700</v>
      </c>
      <c r="P1177" s="14">
        <v>98.53</v>
      </c>
      <c r="Q1177" s="14">
        <v>127.89</v>
      </c>
      <c r="R1177" s="14">
        <v>129.16999999999999</v>
      </c>
      <c r="S1177" s="2" t="s">
        <v>5022</v>
      </c>
      <c r="T1177" s="2">
        <v>1.01</v>
      </c>
      <c r="U1177" s="2">
        <v>61.4</v>
      </c>
      <c r="V1177" s="2">
        <v>59</v>
      </c>
      <c r="W1177" s="2" t="s">
        <v>7862</v>
      </c>
      <c r="X1177" s="2" t="s">
        <v>5405</v>
      </c>
      <c r="Y1177" s="2">
        <v>8787</v>
      </c>
      <c r="Z1177" s="19" t="str">
        <f>HYPERLINK("https://ssdweb.co/ssdweb/hd/Vision360.html?d=941190268&amp;zoomslide=1&amp;z=1941190268&amp;ISCONFIRM=0","VIDEO")</f>
        <v>VIDEO</v>
      </c>
      <c r="AA1177" s="19" t="str">
        <f>HYPERLINK("https://ssdweb.co/ssdweb/CERTH/678564546.pdf","CERTI")</f>
        <v>CERTI</v>
      </c>
    </row>
    <row r="1178" spans="1:27" ht="15" x14ac:dyDescent="0.25">
      <c r="A1178" s="2">
        <v>1173</v>
      </c>
      <c r="B1178" s="39">
        <v>941071065</v>
      </c>
      <c r="C1178" s="28" t="str">
        <f>HYPERLINK("https://pld.live/RapDetail.aspx?STONELIST=941071065","DNA")</f>
        <v>DNA</v>
      </c>
      <c r="D1178" s="18" t="s">
        <v>3054</v>
      </c>
      <c r="E1178" s="18" t="s">
        <v>5128</v>
      </c>
      <c r="F1178" s="2" t="s">
        <v>7987</v>
      </c>
      <c r="G1178" s="2" t="s">
        <v>861</v>
      </c>
      <c r="H1178" s="14">
        <v>1.01</v>
      </c>
      <c r="I1178" s="2" t="s">
        <v>267</v>
      </c>
      <c r="J1178" s="2" t="s">
        <v>13</v>
      </c>
      <c r="K1178" s="2" t="s">
        <v>5221</v>
      </c>
      <c r="L1178" s="2" t="s">
        <v>5221</v>
      </c>
      <c r="M1178" s="2" t="s">
        <v>5221</v>
      </c>
      <c r="N1178" s="2" t="s">
        <v>2317</v>
      </c>
      <c r="O1178" s="14">
        <v>8700</v>
      </c>
      <c r="P1178" s="14">
        <v>98.53</v>
      </c>
      <c r="Q1178" s="14">
        <v>127.89</v>
      </c>
      <c r="R1178" s="14">
        <v>129.16999999999999</v>
      </c>
      <c r="S1178" s="2" t="s">
        <v>249</v>
      </c>
      <c r="T1178" s="2">
        <v>1.01</v>
      </c>
      <c r="U1178" s="2">
        <v>62.6</v>
      </c>
      <c r="V1178" s="2">
        <v>56</v>
      </c>
      <c r="W1178" s="2" t="s">
        <v>7862</v>
      </c>
      <c r="X1178" s="2" t="s">
        <v>5405</v>
      </c>
      <c r="Y1178" s="2">
        <v>8787</v>
      </c>
      <c r="Z1178" s="19" t="str">
        <f>HYPERLINK("https://ssdweb.co/ssdweb/hd/Vision360.html?d=941071065&amp;zoomslide=1&amp;z=1941071065&amp;ISCONFIRM=0","VIDEO")</f>
        <v>VIDEO</v>
      </c>
      <c r="AA1178" s="19" t="str">
        <f>HYPERLINK("https://ssdweb.co/ssdweb/CERTH/671411276.pdf","CERTI")</f>
        <v>CERTI</v>
      </c>
    </row>
    <row r="1179" spans="1:27" ht="15" x14ac:dyDescent="0.25">
      <c r="A1179" s="2">
        <v>1174</v>
      </c>
      <c r="B1179" s="39">
        <v>927150770</v>
      </c>
      <c r="C1179" s="28" t="str">
        <f>HYPERLINK("https://pld.live/RapDetail.aspx?STONELIST=927150770","DNA")</f>
        <v>DNA</v>
      </c>
      <c r="D1179" s="18" t="s">
        <v>3054</v>
      </c>
      <c r="E1179" s="18" t="s">
        <v>5128</v>
      </c>
      <c r="F1179" s="2" t="s">
        <v>7987</v>
      </c>
      <c r="G1179" s="2" t="s">
        <v>861</v>
      </c>
      <c r="H1179" s="14">
        <v>1.01</v>
      </c>
      <c r="I1179" s="2" t="s">
        <v>267</v>
      </c>
      <c r="J1179" s="2" t="s">
        <v>13</v>
      </c>
      <c r="K1179" s="2" t="s">
        <v>5221</v>
      </c>
      <c r="L1179" s="2" t="s">
        <v>5221</v>
      </c>
      <c r="M1179" s="2" t="s">
        <v>5221</v>
      </c>
      <c r="N1179" s="2" t="s">
        <v>2317</v>
      </c>
      <c r="O1179" s="14">
        <v>8700</v>
      </c>
      <c r="P1179" s="14">
        <v>98.54</v>
      </c>
      <c r="Q1179" s="14">
        <v>127.02</v>
      </c>
      <c r="R1179" s="14">
        <v>128.29</v>
      </c>
      <c r="S1179" s="2" t="s">
        <v>646</v>
      </c>
      <c r="T1179" s="2">
        <v>1</v>
      </c>
      <c r="U1179" s="2">
        <v>63.1</v>
      </c>
      <c r="V1179" s="2">
        <v>56</v>
      </c>
      <c r="W1179" s="2" t="s">
        <v>7862</v>
      </c>
      <c r="X1179" s="2" t="s">
        <v>5405</v>
      </c>
      <c r="Y1179" s="2">
        <v>8787</v>
      </c>
      <c r="Z1179" s="19" t="str">
        <f>HYPERLINK("https://ssdweb.co/ssdweb/hd/Vision360.html?d=927150770&amp;zoomslide=1&amp;z=1927150770&amp;ISCONFIRM=0","VIDEO")</f>
        <v>VIDEO</v>
      </c>
      <c r="AA1179" s="19" t="str">
        <f>HYPERLINK("https://ssdweb.co/ssdweb/CERTH/668446636.pdf","CERTI")</f>
        <v>CERTI</v>
      </c>
    </row>
    <row r="1180" spans="1:27" ht="15" x14ac:dyDescent="0.25">
      <c r="A1180" s="2">
        <v>1175</v>
      </c>
      <c r="B1180" s="39">
        <v>941190662</v>
      </c>
      <c r="C1180" s="28" t="str">
        <f>HYPERLINK("https://pld.live/RapDetail.aspx?STONELIST=941190662","DNA")</f>
        <v>DNA</v>
      </c>
      <c r="D1180" s="18" t="s">
        <v>3054</v>
      </c>
      <c r="E1180" s="18" t="s">
        <v>5128</v>
      </c>
      <c r="F1180" s="2" t="s">
        <v>7987</v>
      </c>
      <c r="G1180" s="2" t="s">
        <v>861</v>
      </c>
      <c r="H1180" s="14">
        <v>1.01</v>
      </c>
      <c r="I1180" s="2" t="s">
        <v>267</v>
      </c>
      <c r="J1180" s="2" t="s">
        <v>444</v>
      </c>
      <c r="K1180" s="2" t="s">
        <v>3390</v>
      </c>
      <c r="L1180" s="2" t="s">
        <v>5221</v>
      </c>
      <c r="M1180" s="2" t="s">
        <v>5221</v>
      </c>
      <c r="N1180" s="2" t="s">
        <v>2317</v>
      </c>
      <c r="O1180" s="14">
        <v>6000</v>
      </c>
      <c r="P1180" s="14">
        <v>98.07</v>
      </c>
      <c r="Q1180" s="14">
        <v>115.8</v>
      </c>
      <c r="R1180" s="14">
        <v>116.96</v>
      </c>
      <c r="S1180" s="2" t="s">
        <v>320</v>
      </c>
      <c r="T1180" s="2">
        <v>1</v>
      </c>
      <c r="U1180" s="2">
        <v>61.3</v>
      </c>
      <c r="V1180" s="2">
        <v>58</v>
      </c>
      <c r="W1180" s="2" t="s">
        <v>7862</v>
      </c>
      <c r="X1180" s="2" t="s">
        <v>5405</v>
      </c>
      <c r="Y1180" s="2">
        <v>6060</v>
      </c>
      <c r="Z1180" s="19" t="str">
        <f>HYPERLINK("https://ssdweb.co/ssdweb/hd/Vision360.html?d=941190662&amp;zoomslide=1&amp;z=1941190662&amp;ISCONFIRM=0","VIDEO")</f>
        <v>VIDEO</v>
      </c>
      <c r="AA1180" s="19" t="str">
        <f>HYPERLINK("https://ssdweb.co/ssdweb/CERTH/678564552.pdf","CERTI")</f>
        <v>CERTI</v>
      </c>
    </row>
    <row r="1181" spans="1:27" ht="15" x14ac:dyDescent="0.25">
      <c r="A1181" s="2">
        <v>1176</v>
      </c>
      <c r="B1181" s="39">
        <v>941350978</v>
      </c>
      <c r="C1181" s="28" t="str">
        <f>HYPERLINK("https://pld.live/RapDetail.aspx?STONELIST=941350978","DNA")</f>
        <v>DNA</v>
      </c>
      <c r="D1181" s="18" t="s">
        <v>3054</v>
      </c>
      <c r="E1181" s="18" t="s">
        <v>5128</v>
      </c>
      <c r="F1181" s="2" t="s">
        <v>7987</v>
      </c>
      <c r="G1181" s="2" t="s">
        <v>861</v>
      </c>
      <c r="H1181" s="14">
        <v>1.01</v>
      </c>
      <c r="I1181" s="2" t="s">
        <v>4761</v>
      </c>
      <c r="J1181" s="2" t="s">
        <v>6555</v>
      </c>
      <c r="K1181" s="2" t="s">
        <v>3390</v>
      </c>
      <c r="L1181" s="2" t="s">
        <v>5221</v>
      </c>
      <c r="M1181" s="2" t="s">
        <v>5221</v>
      </c>
      <c r="N1181" s="2" t="s">
        <v>2317</v>
      </c>
      <c r="O1181" s="14">
        <v>11100</v>
      </c>
      <c r="P1181" s="14">
        <v>98.77</v>
      </c>
      <c r="Q1181" s="14">
        <v>136.53</v>
      </c>
      <c r="R1181" s="14">
        <v>137.9</v>
      </c>
      <c r="S1181" s="2" t="s">
        <v>7820</v>
      </c>
      <c r="T1181" s="2">
        <v>1</v>
      </c>
      <c r="U1181" s="2">
        <v>60.5</v>
      </c>
      <c r="V1181" s="2">
        <v>59</v>
      </c>
      <c r="W1181" s="2" t="s">
        <v>7862</v>
      </c>
      <c r="X1181" s="2" t="s">
        <v>5405</v>
      </c>
      <c r="Y1181" s="2">
        <v>11211</v>
      </c>
      <c r="Z1181" s="19" t="str">
        <f>HYPERLINK("https://ssdweb.co/ssdweb/hd/Vision360.html?d=941350978&amp;zoomslide=1&amp;z=1941350978&amp;ISCONFIRM=0","VIDEO")</f>
        <v>VIDEO</v>
      </c>
      <c r="AA1181" s="19" t="str">
        <f>HYPERLINK("https://ssdweb.co/ssdweb/CERTH/687560927.pdf","CERTI")</f>
        <v>CERTI</v>
      </c>
    </row>
    <row r="1182" spans="1:27" ht="15" x14ac:dyDescent="0.25">
      <c r="A1182" s="2">
        <v>1177</v>
      </c>
      <c r="B1182" s="39">
        <v>926831154</v>
      </c>
      <c r="C1182" s="28" t="str">
        <f>HYPERLINK("https://pld.live/RapDetail.aspx?STONELIST=926831154","DNA")</f>
        <v>DNA</v>
      </c>
      <c r="D1182" s="18" t="s">
        <v>3054</v>
      </c>
      <c r="E1182" s="18" t="s">
        <v>5128</v>
      </c>
      <c r="F1182" s="2" t="s">
        <v>5597</v>
      </c>
      <c r="G1182" s="2" t="s">
        <v>861</v>
      </c>
      <c r="H1182" s="14">
        <v>1.01</v>
      </c>
      <c r="I1182" s="2" t="s">
        <v>4761</v>
      </c>
      <c r="J1182" s="2" t="s">
        <v>3942</v>
      </c>
      <c r="K1182" s="2" t="s">
        <v>5221</v>
      </c>
      <c r="L1182" s="2" t="s">
        <v>5221</v>
      </c>
      <c r="M1182" s="2" t="s">
        <v>5221</v>
      </c>
      <c r="N1182" s="2" t="s">
        <v>2317</v>
      </c>
      <c r="O1182" s="14">
        <v>9300</v>
      </c>
      <c r="P1182" s="14">
        <v>97.77</v>
      </c>
      <c r="Q1182" s="14">
        <v>207.39</v>
      </c>
      <c r="R1182" s="14">
        <v>209.46</v>
      </c>
      <c r="S1182" s="2" t="s">
        <v>2308</v>
      </c>
      <c r="T1182" s="2">
        <v>1</v>
      </c>
      <c r="U1182" s="2">
        <v>61.8</v>
      </c>
      <c r="V1182" s="2">
        <v>56</v>
      </c>
      <c r="W1182" s="2" t="s">
        <v>7862</v>
      </c>
      <c r="X1182" s="2" t="s">
        <v>5405</v>
      </c>
      <c r="Y1182" s="2">
        <v>9393</v>
      </c>
      <c r="Z1182" s="19" t="str">
        <f>HYPERLINK("https://ssdweb.co/ssdweb/hd/Vision360.html?d=926831154&amp;zoomslide=1&amp;z=1926831154&amp;ISCONFIRM=0","VIDEO")</f>
        <v>VIDEO</v>
      </c>
      <c r="AA1182" s="19" t="str">
        <f>HYPERLINK("https://ssdweb.co/ssdweb/CERTH/6502620626.pdf","CERTI")</f>
        <v>CERTI</v>
      </c>
    </row>
    <row r="1183" spans="1:27" ht="15" x14ac:dyDescent="0.25">
      <c r="A1183" s="2">
        <v>1178</v>
      </c>
      <c r="B1183" s="39">
        <v>926831139</v>
      </c>
      <c r="C1183" s="28" t="str">
        <f>HYPERLINK("https://pld.live/RapDetail.aspx?STONELIST=926831139","DNA")</f>
        <v>DNA</v>
      </c>
      <c r="D1183" s="18" t="s">
        <v>3054</v>
      </c>
      <c r="E1183" s="18" t="s">
        <v>5128</v>
      </c>
      <c r="F1183" s="2" t="s">
        <v>5597</v>
      </c>
      <c r="G1183" s="2" t="s">
        <v>861</v>
      </c>
      <c r="H1183" s="14">
        <v>1.01</v>
      </c>
      <c r="I1183" s="2" t="s">
        <v>4761</v>
      </c>
      <c r="J1183" s="2" t="s">
        <v>3942</v>
      </c>
      <c r="K1183" s="2" t="s">
        <v>5221</v>
      </c>
      <c r="L1183" s="2" t="s">
        <v>5221</v>
      </c>
      <c r="M1183" s="2" t="s">
        <v>5221</v>
      </c>
      <c r="N1183" s="2" t="s">
        <v>2317</v>
      </c>
      <c r="O1183" s="14">
        <v>9300</v>
      </c>
      <c r="P1183" s="14">
        <v>97.77</v>
      </c>
      <c r="Q1183" s="14">
        <v>207.39</v>
      </c>
      <c r="R1183" s="14">
        <v>209.46</v>
      </c>
      <c r="S1183" s="2" t="s">
        <v>104</v>
      </c>
      <c r="T1183" s="2">
        <v>1.01</v>
      </c>
      <c r="U1183" s="2">
        <v>62.5</v>
      </c>
      <c r="V1183" s="2">
        <v>55</v>
      </c>
      <c r="W1183" s="2" t="s">
        <v>7862</v>
      </c>
      <c r="X1183" s="2" t="s">
        <v>5405</v>
      </c>
      <c r="Y1183" s="2">
        <v>9393</v>
      </c>
      <c r="Z1183" s="19" t="str">
        <f>HYPERLINK("https://ssdweb.co/ssdweb/hd/Vision360.html?d=926831139&amp;zoomslide=1&amp;z=1926831139&amp;ISCONFIRM=0","VIDEO")</f>
        <v>VIDEO</v>
      </c>
      <c r="AA1183" s="19" t="str">
        <f>HYPERLINK("https://ssdweb.co/ssdweb/CERTH/7508621792.pdf","CERTI")</f>
        <v>CERTI</v>
      </c>
    </row>
    <row r="1184" spans="1:27" ht="15" x14ac:dyDescent="0.25">
      <c r="A1184" s="2">
        <v>1179</v>
      </c>
      <c r="B1184" s="39">
        <v>941350952</v>
      </c>
      <c r="C1184" s="28" t="str">
        <f>HYPERLINK("https://pld.live/RapDetail.aspx?STONELIST=941350952","DNA")</f>
        <v>DNA</v>
      </c>
      <c r="D1184" s="18" t="s">
        <v>3054</v>
      </c>
      <c r="E1184" s="18" t="s">
        <v>5128</v>
      </c>
      <c r="F1184" s="2" t="s">
        <v>7987</v>
      </c>
      <c r="G1184" s="2" t="s">
        <v>861</v>
      </c>
      <c r="H1184" s="14">
        <v>1.01</v>
      </c>
      <c r="I1184" s="2" t="s">
        <v>4761</v>
      </c>
      <c r="J1184" s="2" t="s">
        <v>13</v>
      </c>
      <c r="K1184" s="2" t="s">
        <v>3390</v>
      </c>
      <c r="L1184" s="2" t="s">
        <v>5221</v>
      </c>
      <c r="M1184" s="2" t="s">
        <v>5221</v>
      </c>
      <c r="N1184" s="2" t="s">
        <v>2317</v>
      </c>
      <c r="O1184" s="14">
        <v>7900</v>
      </c>
      <c r="P1184" s="14">
        <v>98.42</v>
      </c>
      <c r="Q1184" s="14">
        <v>124.82</v>
      </c>
      <c r="R1184" s="14">
        <v>126.07</v>
      </c>
      <c r="S1184" s="2" t="s">
        <v>2208</v>
      </c>
      <c r="T1184" s="2">
        <v>1.01</v>
      </c>
      <c r="U1184" s="2">
        <v>59.8</v>
      </c>
      <c r="V1184" s="2">
        <v>60</v>
      </c>
      <c r="W1184" s="2" t="s">
        <v>7862</v>
      </c>
      <c r="X1184" s="2" t="s">
        <v>5405</v>
      </c>
      <c r="Y1184" s="2">
        <v>7979</v>
      </c>
      <c r="Z1184" s="19" t="str">
        <f>HYPERLINK("https://ssdweb.co/ssdweb/hd/Vision360.html?d=941350952&amp;zoomslide=1&amp;z=1941350952&amp;ISCONFIRM=0","VIDEO")</f>
        <v>VIDEO</v>
      </c>
      <c r="AA1184" s="19" t="str">
        <f>HYPERLINK("https://ssdweb.co/ssdweb/CERTH/689587086.pdf","CERTI")</f>
        <v>CERTI</v>
      </c>
    </row>
    <row r="1185" spans="1:27" ht="15" x14ac:dyDescent="0.25">
      <c r="A1185" s="2">
        <v>1180</v>
      </c>
      <c r="B1185" s="39">
        <v>941070876</v>
      </c>
      <c r="C1185" s="28" t="str">
        <f>HYPERLINK("https://pld.live/RapDetail.aspx?STONELIST=941070876","DNA")</f>
        <v>DNA</v>
      </c>
      <c r="D1185" s="18" t="s">
        <v>3054</v>
      </c>
      <c r="E1185" s="18" t="s">
        <v>5128</v>
      </c>
      <c r="F1185" s="2" t="s">
        <v>7987</v>
      </c>
      <c r="G1185" s="2" t="s">
        <v>861</v>
      </c>
      <c r="H1185" s="14">
        <v>1.01</v>
      </c>
      <c r="I1185" s="2" t="s">
        <v>4761</v>
      </c>
      <c r="J1185" s="2" t="s">
        <v>13</v>
      </c>
      <c r="K1185" s="2" t="s">
        <v>3390</v>
      </c>
      <c r="L1185" s="2" t="s">
        <v>5221</v>
      </c>
      <c r="M1185" s="2" t="s">
        <v>5221</v>
      </c>
      <c r="N1185" s="2" t="s">
        <v>2317</v>
      </c>
      <c r="O1185" s="14">
        <v>7900</v>
      </c>
      <c r="P1185" s="14">
        <v>98.41</v>
      </c>
      <c r="Q1185" s="14">
        <v>125.61</v>
      </c>
      <c r="R1185" s="14">
        <v>126.87</v>
      </c>
      <c r="S1185" s="2" t="s">
        <v>3408</v>
      </c>
      <c r="T1185" s="2">
        <v>1</v>
      </c>
      <c r="U1185" s="2">
        <v>62.4</v>
      </c>
      <c r="V1185" s="2">
        <v>57</v>
      </c>
      <c r="W1185" s="2" t="s">
        <v>7862</v>
      </c>
      <c r="X1185" s="2" t="s">
        <v>5405</v>
      </c>
      <c r="Y1185" s="2">
        <v>7979</v>
      </c>
      <c r="Z1185" s="19" t="str">
        <f>HYPERLINK("https://ssdweb.co/ssdweb/hd/Vision360.html?d=941070876&amp;zoomslide=1&amp;z=1941070876&amp;ISCONFIRM=0","VIDEO")</f>
        <v>VIDEO</v>
      </c>
      <c r="AA1185" s="19" t="str">
        <f>HYPERLINK("https://ssdweb.co/ssdweb/CERTH/675504626.pdf","CERTI")</f>
        <v>CERTI</v>
      </c>
    </row>
    <row r="1186" spans="1:27" ht="15" x14ac:dyDescent="0.25">
      <c r="A1186" s="2">
        <v>1181</v>
      </c>
      <c r="B1186" s="39">
        <v>926810823</v>
      </c>
      <c r="C1186" s="28" t="str">
        <f>HYPERLINK("https://pld.live/RapDetail.aspx?STONELIST=926810823","DNA")</f>
        <v>DNA</v>
      </c>
      <c r="D1186" s="18" t="s">
        <v>3054</v>
      </c>
      <c r="E1186" s="18" t="s">
        <v>5128</v>
      </c>
      <c r="F1186" s="2" t="s">
        <v>5597</v>
      </c>
      <c r="G1186" s="2" t="s">
        <v>861</v>
      </c>
      <c r="H1186" s="14">
        <v>1.01</v>
      </c>
      <c r="I1186" s="2" t="s">
        <v>4761</v>
      </c>
      <c r="J1186" s="2" t="s">
        <v>13</v>
      </c>
      <c r="K1186" s="2" t="s">
        <v>5221</v>
      </c>
      <c r="L1186" s="2" t="s">
        <v>5221</v>
      </c>
      <c r="M1186" s="2" t="s">
        <v>5221</v>
      </c>
      <c r="N1186" s="2" t="s">
        <v>2317</v>
      </c>
      <c r="O1186" s="14">
        <v>7900</v>
      </c>
      <c r="P1186" s="14">
        <v>97.44</v>
      </c>
      <c r="Q1186" s="14">
        <v>202.24</v>
      </c>
      <c r="R1186" s="14">
        <v>204.26</v>
      </c>
      <c r="S1186" s="2" t="s">
        <v>1808</v>
      </c>
      <c r="T1186" s="2">
        <v>1.01</v>
      </c>
      <c r="U1186" s="2">
        <v>60.4</v>
      </c>
      <c r="V1186" s="2">
        <v>59</v>
      </c>
      <c r="W1186" s="2" t="s">
        <v>7862</v>
      </c>
      <c r="X1186" s="2" t="s">
        <v>5405</v>
      </c>
      <c r="Y1186" s="2">
        <v>7979</v>
      </c>
      <c r="Z1186" s="19" t="str">
        <f>HYPERLINK("https://ssdweb.co/ssdweb/hd/Vision360.html?d=926810823&amp;zoomslide=1&amp;z=1926810823&amp;ISCONFIRM=0","VIDEO")</f>
        <v>VIDEO</v>
      </c>
      <c r="AA1186" s="19" t="str">
        <f>HYPERLINK("https://ssdweb.co/ssdweb/CERTH/1503516565.pdf","CERTI")</f>
        <v>CERTI</v>
      </c>
    </row>
    <row r="1187" spans="1:27" ht="15" x14ac:dyDescent="0.25">
      <c r="A1187" s="2">
        <v>1182</v>
      </c>
      <c r="B1187" s="39">
        <v>926831105</v>
      </c>
      <c r="C1187" s="28" t="str">
        <f>HYPERLINK("https://pld.live/RapDetail.aspx?STONELIST=926831105","DNA")</f>
        <v>DNA</v>
      </c>
      <c r="D1187" s="18" t="s">
        <v>3054</v>
      </c>
      <c r="E1187" s="18" t="s">
        <v>5128</v>
      </c>
      <c r="F1187" s="2" t="s">
        <v>5597</v>
      </c>
      <c r="G1187" s="2" t="s">
        <v>861</v>
      </c>
      <c r="H1187" s="14">
        <v>1.01</v>
      </c>
      <c r="I1187" s="2" t="s">
        <v>4761</v>
      </c>
      <c r="J1187" s="2" t="s">
        <v>13</v>
      </c>
      <c r="K1187" s="2" t="s">
        <v>5221</v>
      </c>
      <c r="L1187" s="2" t="s">
        <v>5221</v>
      </c>
      <c r="M1187" s="2" t="s">
        <v>5221</v>
      </c>
      <c r="N1187" s="2" t="s">
        <v>2317</v>
      </c>
      <c r="O1187" s="14">
        <v>7900</v>
      </c>
      <c r="P1187" s="14">
        <v>97.44</v>
      </c>
      <c r="Q1187" s="14">
        <v>202.24</v>
      </c>
      <c r="R1187" s="14">
        <v>204.26</v>
      </c>
      <c r="S1187" s="2" t="s">
        <v>5450</v>
      </c>
      <c r="T1187" s="2">
        <v>1</v>
      </c>
      <c r="U1187" s="2">
        <v>62.1</v>
      </c>
      <c r="V1187" s="2">
        <v>59</v>
      </c>
      <c r="W1187" s="2" t="s">
        <v>7862</v>
      </c>
      <c r="X1187" s="2" t="s">
        <v>5405</v>
      </c>
      <c r="Y1187" s="2">
        <v>7979</v>
      </c>
      <c r="Z1187" s="19" t="str">
        <f>HYPERLINK("https://ssdweb.co/ssdweb/hd/Vision360.html?d=926831105&amp;zoomslide=1&amp;z=1926831105&amp;ISCONFIRM=0","VIDEO")</f>
        <v>VIDEO</v>
      </c>
      <c r="AA1187" s="19" t="str">
        <f>HYPERLINK("https://ssdweb.co/ssdweb/CERTH/2507621726.pdf","CERTI")</f>
        <v>CERTI</v>
      </c>
    </row>
    <row r="1188" spans="1:27" ht="15" x14ac:dyDescent="0.25">
      <c r="A1188" s="2">
        <v>1183</v>
      </c>
      <c r="B1188" s="39">
        <v>941170232</v>
      </c>
      <c r="C1188" s="28" t="str">
        <f>HYPERLINK("https://pld.live/RapDetail.aspx?STONELIST=941170232","DNA")</f>
        <v>DNA</v>
      </c>
      <c r="D1188" s="18" t="s">
        <v>3054</v>
      </c>
      <c r="E1188" s="18" t="s">
        <v>5128</v>
      </c>
      <c r="F1188" s="2" t="s">
        <v>7987</v>
      </c>
      <c r="G1188" s="2" t="s">
        <v>861</v>
      </c>
      <c r="H1188" s="14">
        <v>1.01</v>
      </c>
      <c r="I1188" s="2" t="s">
        <v>4761</v>
      </c>
      <c r="J1188" s="2" t="s">
        <v>13</v>
      </c>
      <c r="K1188" s="2" t="s">
        <v>5221</v>
      </c>
      <c r="L1188" s="2" t="s">
        <v>5221</v>
      </c>
      <c r="M1188" s="2" t="s">
        <v>5221</v>
      </c>
      <c r="N1188" s="2" t="s">
        <v>2317</v>
      </c>
      <c r="O1188" s="14">
        <v>7900</v>
      </c>
      <c r="P1188" s="14">
        <v>98.42</v>
      </c>
      <c r="Q1188" s="14">
        <v>124.82</v>
      </c>
      <c r="R1188" s="14">
        <v>126.07</v>
      </c>
      <c r="S1188" s="2" t="s">
        <v>4732</v>
      </c>
      <c r="T1188" s="2">
        <v>1.01</v>
      </c>
      <c r="U1188" s="2">
        <v>62.8</v>
      </c>
      <c r="V1188" s="2">
        <v>55</v>
      </c>
      <c r="W1188" s="2" t="s">
        <v>7862</v>
      </c>
      <c r="X1188" s="2" t="s">
        <v>5405</v>
      </c>
      <c r="Y1188" s="2">
        <v>7979</v>
      </c>
      <c r="Z1188" s="19" t="str">
        <f>HYPERLINK("https://ssdweb.co/ssdweb/hd/Vision360.html?d=941170232&amp;zoomslide=1&amp;z=1941170232&amp;ISCONFIRM=0","VIDEO")</f>
        <v>VIDEO</v>
      </c>
      <c r="AA1188" s="19" t="str">
        <f>HYPERLINK("https://ssdweb.co/ssdweb/CERTH/689587071.pdf","CERTI")</f>
        <v>CERTI</v>
      </c>
    </row>
    <row r="1189" spans="1:27" ht="15" x14ac:dyDescent="0.25">
      <c r="A1189" s="2">
        <v>1184</v>
      </c>
      <c r="B1189" s="39">
        <v>927100760</v>
      </c>
      <c r="C1189" s="28" t="str">
        <f>HYPERLINK("https://pld.live/RapDetail.aspx?STONELIST=927100760","DNA")</f>
        <v>DNA</v>
      </c>
      <c r="D1189" s="18" t="s">
        <v>3054</v>
      </c>
      <c r="E1189" s="18" t="s">
        <v>5128</v>
      </c>
      <c r="F1189" s="2" t="s">
        <v>7987</v>
      </c>
      <c r="G1189" s="2" t="s">
        <v>861</v>
      </c>
      <c r="H1189" s="14">
        <v>1.01</v>
      </c>
      <c r="I1189" s="2" t="s">
        <v>4761</v>
      </c>
      <c r="J1189" s="2" t="s">
        <v>13</v>
      </c>
      <c r="K1189" s="2" t="s">
        <v>5221</v>
      </c>
      <c r="L1189" s="2" t="s">
        <v>5221</v>
      </c>
      <c r="M1189" s="2" t="s">
        <v>5221</v>
      </c>
      <c r="N1189" s="2" t="s">
        <v>2317</v>
      </c>
      <c r="O1189" s="14">
        <v>7900</v>
      </c>
      <c r="P1189" s="14">
        <v>98.42</v>
      </c>
      <c r="Q1189" s="14">
        <v>124.82</v>
      </c>
      <c r="R1189" s="14">
        <v>126.07</v>
      </c>
      <c r="S1189" s="2" t="s">
        <v>7411</v>
      </c>
      <c r="T1189" s="2">
        <v>1.01</v>
      </c>
      <c r="U1189" s="2">
        <v>61.3</v>
      </c>
      <c r="V1189" s="2">
        <v>62</v>
      </c>
      <c r="W1189" s="2" t="s">
        <v>7862</v>
      </c>
      <c r="X1189" s="2" t="s">
        <v>5405</v>
      </c>
      <c r="Y1189" s="2">
        <v>7979</v>
      </c>
      <c r="Z1189" s="19" t="str">
        <f>HYPERLINK("https://ssdweb.co/ssdweb/hd/Vision360.html?d=927100760&amp;zoomslide=1&amp;z=1927100760&amp;ISCONFIRM=0","VIDEO")</f>
        <v>VIDEO</v>
      </c>
      <c r="AA1189" s="19" t="str">
        <f>HYPERLINK("https://ssdweb.co/ssdweb/CERTH/665453126.pdf","CERTI")</f>
        <v>CERTI</v>
      </c>
    </row>
    <row r="1190" spans="1:27" ht="15" x14ac:dyDescent="0.25">
      <c r="A1190" s="2">
        <v>1185</v>
      </c>
      <c r="B1190" s="39">
        <v>927151910</v>
      </c>
      <c r="C1190" s="28" t="str">
        <f>HYPERLINK("https://pld.live/RapDetail.aspx?STONELIST=927151910","DNA")</f>
        <v>DNA</v>
      </c>
      <c r="D1190" s="18" t="s">
        <v>3054</v>
      </c>
      <c r="E1190" s="18" t="s">
        <v>5128</v>
      </c>
      <c r="F1190" s="2" t="s">
        <v>7987</v>
      </c>
      <c r="G1190" s="2" t="s">
        <v>861</v>
      </c>
      <c r="H1190" s="14">
        <v>1.01</v>
      </c>
      <c r="I1190" s="2" t="s">
        <v>4699</v>
      </c>
      <c r="J1190" s="2" t="s">
        <v>13</v>
      </c>
      <c r="K1190" s="2" t="s">
        <v>5721</v>
      </c>
      <c r="L1190" s="2" t="s">
        <v>5221</v>
      </c>
      <c r="M1190" s="2" t="s">
        <v>5221</v>
      </c>
      <c r="N1190" s="2" t="s">
        <v>2317</v>
      </c>
      <c r="O1190" s="14">
        <v>7200</v>
      </c>
      <c r="P1190" s="14">
        <v>98.4</v>
      </c>
      <c r="Q1190" s="14">
        <v>115.2</v>
      </c>
      <c r="R1190" s="14">
        <v>116.35</v>
      </c>
      <c r="S1190" s="2" t="s">
        <v>7276</v>
      </c>
      <c r="T1190" s="2">
        <v>1</v>
      </c>
      <c r="U1190" s="2">
        <v>63.5</v>
      </c>
      <c r="V1190" s="2">
        <v>58</v>
      </c>
      <c r="W1190" s="2" t="s">
        <v>7862</v>
      </c>
      <c r="X1190" s="2" t="s">
        <v>5405</v>
      </c>
      <c r="Y1190" s="2">
        <v>7272</v>
      </c>
      <c r="Z1190" s="19" t="str">
        <f>HYPERLINK("https://ssdweb.co/ssdweb/hd/Vision360.html?d=927151910&amp;zoomslide=1&amp;z=1927151910&amp;ISCONFIRM=0","VIDEO")</f>
        <v>VIDEO</v>
      </c>
      <c r="AA1190" s="19" t="str">
        <f>HYPERLINK("https://ssdweb.co/ssdweb/CERTH/670484415.pdf","CERTI")</f>
        <v>CERTI</v>
      </c>
    </row>
    <row r="1191" spans="1:27" ht="15" x14ac:dyDescent="0.25">
      <c r="A1191" s="2">
        <v>1186</v>
      </c>
      <c r="B1191" s="39">
        <v>941170026</v>
      </c>
      <c r="C1191" s="28" t="str">
        <f>HYPERLINK("https://pld.live/RapDetail.aspx?STONELIST=941170026","DNA")</f>
        <v>DNA</v>
      </c>
      <c r="D1191" s="18" t="s">
        <v>3054</v>
      </c>
      <c r="E1191" s="18" t="s">
        <v>5128</v>
      </c>
      <c r="F1191" s="2" t="s">
        <v>7987</v>
      </c>
      <c r="G1191" s="2" t="s">
        <v>861</v>
      </c>
      <c r="H1191" s="14">
        <v>1</v>
      </c>
      <c r="I1191" s="2" t="s">
        <v>267</v>
      </c>
      <c r="J1191" s="2" t="s">
        <v>3942</v>
      </c>
      <c r="K1191" s="2" t="s">
        <v>3390</v>
      </c>
      <c r="L1191" s="2" t="s">
        <v>5221</v>
      </c>
      <c r="M1191" s="2" t="s">
        <v>5221</v>
      </c>
      <c r="N1191" s="2" t="s">
        <v>2317</v>
      </c>
      <c r="O1191" s="14">
        <v>10200</v>
      </c>
      <c r="P1191" s="14">
        <v>98.73</v>
      </c>
      <c r="Q1191" s="14">
        <v>129.54</v>
      </c>
      <c r="R1191" s="14">
        <v>129.54</v>
      </c>
      <c r="S1191" s="2" t="s">
        <v>2519</v>
      </c>
      <c r="T1191" s="2">
        <v>1.01</v>
      </c>
      <c r="U1191" s="2">
        <v>60.8</v>
      </c>
      <c r="V1191" s="2">
        <v>59</v>
      </c>
      <c r="W1191" s="2" t="s">
        <v>7862</v>
      </c>
      <c r="X1191" s="2" t="s">
        <v>5405</v>
      </c>
      <c r="Y1191" s="2">
        <v>10200</v>
      </c>
      <c r="Z1191" s="19" t="str">
        <f>HYPERLINK("https://ssdweb.co/ssdweb/hd/Vision360.html?d=941170026&amp;zoomslide=1&amp;z=1941170026&amp;ISCONFIRM=0","VIDEO")</f>
        <v>VIDEO</v>
      </c>
      <c r="AA1191" s="19" t="str">
        <f>HYPERLINK("https://ssdweb.co/ssdweb/CERTH/689587097.pdf","CERTI")</f>
        <v>CERTI</v>
      </c>
    </row>
    <row r="1192" spans="1:27" ht="15" x14ac:dyDescent="0.25">
      <c r="A1192" s="2">
        <v>1187</v>
      </c>
      <c r="B1192" s="39">
        <v>941170172</v>
      </c>
      <c r="C1192" s="28" t="str">
        <f>HYPERLINK("https://pld.live/RapDetail.aspx?STONELIST=941170172","DNA")</f>
        <v>DNA</v>
      </c>
      <c r="D1192" s="18" t="s">
        <v>3054</v>
      </c>
      <c r="E1192" s="18" t="s">
        <v>5128</v>
      </c>
      <c r="F1192" s="2" t="s">
        <v>7987</v>
      </c>
      <c r="G1192" s="2" t="s">
        <v>861</v>
      </c>
      <c r="H1192" s="14">
        <v>1</v>
      </c>
      <c r="I1192" s="2" t="s">
        <v>267</v>
      </c>
      <c r="J1192" s="2" t="s">
        <v>3942</v>
      </c>
      <c r="K1192" s="2" t="s">
        <v>3390</v>
      </c>
      <c r="L1192" s="2" t="s">
        <v>5221</v>
      </c>
      <c r="M1192" s="2" t="s">
        <v>5221</v>
      </c>
      <c r="N1192" s="2" t="s">
        <v>2317</v>
      </c>
      <c r="O1192" s="14">
        <v>10200</v>
      </c>
      <c r="P1192" s="14">
        <v>98.73</v>
      </c>
      <c r="Q1192" s="14">
        <v>129.54</v>
      </c>
      <c r="R1192" s="14">
        <v>129.54</v>
      </c>
      <c r="S1192" s="2" t="s">
        <v>4900</v>
      </c>
      <c r="T1192" s="2">
        <v>1.01</v>
      </c>
      <c r="U1192" s="2">
        <v>62.3</v>
      </c>
      <c r="V1192" s="2">
        <v>59</v>
      </c>
      <c r="W1192" s="2" t="s">
        <v>7862</v>
      </c>
      <c r="X1192" s="2" t="s">
        <v>5405</v>
      </c>
      <c r="Y1192" s="2">
        <v>10200</v>
      </c>
      <c r="Z1192" s="19" t="str">
        <f>HYPERLINK("https://ssdweb.co/ssdweb/hd/Vision360.html?d=941170172&amp;zoomslide=1&amp;z=1941170172&amp;ISCONFIRM=0","VIDEO")</f>
        <v>VIDEO</v>
      </c>
      <c r="AA1192" s="19" t="str">
        <f>HYPERLINK("https://ssdweb.co/ssdweb/CERTH/689587069.pdf","CERTI")</f>
        <v>CERTI</v>
      </c>
    </row>
    <row r="1193" spans="1:27" ht="15" x14ac:dyDescent="0.25">
      <c r="A1193" s="2">
        <v>1188</v>
      </c>
      <c r="B1193" s="39">
        <v>941351000</v>
      </c>
      <c r="C1193" s="28" t="str">
        <f>HYPERLINK("https://pld.live/RapDetail.aspx?STONELIST=941351000","DNA")</f>
        <v>DNA</v>
      </c>
      <c r="D1193" s="18" t="s">
        <v>3054</v>
      </c>
      <c r="E1193" s="18" t="s">
        <v>5128</v>
      </c>
      <c r="F1193" s="2" t="s">
        <v>7987</v>
      </c>
      <c r="G1193" s="2" t="s">
        <v>861</v>
      </c>
      <c r="H1193" s="14">
        <v>1</v>
      </c>
      <c r="I1193" s="2" t="s">
        <v>267</v>
      </c>
      <c r="J1193" s="2" t="s">
        <v>3942</v>
      </c>
      <c r="K1193" s="2" t="s">
        <v>5221</v>
      </c>
      <c r="L1193" s="2" t="s">
        <v>5221</v>
      </c>
      <c r="M1193" s="2" t="s">
        <v>5221</v>
      </c>
      <c r="N1193" s="2" t="s">
        <v>2317</v>
      </c>
      <c r="O1193" s="14">
        <v>10200</v>
      </c>
      <c r="P1193" s="14">
        <v>98.73</v>
      </c>
      <c r="Q1193" s="14">
        <v>129.54</v>
      </c>
      <c r="R1193" s="14">
        <v>129.54</v>
      </c>
      <c r="S1193" s="2" t="s">
        <v>2899</v>
      </c>
      <c r="T1193" s="2">
        <v>1.01</v>
      </c>
      <c r="U1193" s="2">
        <v>62.9</v>
      </c>
      <c r="V1193" s="2">
        <v>58</v>
      </c>
      <c r="W1193" s="2" t="s">
        <v>7862</v>
      </c>
      <c r="X1193" s="2" t="s">
        <v>5405</v>
      </c>
      <c r="Y1193" s="2">
        <v>10200</v>
      </c>
      <c r="Z1193" s="19" t="str">
        <f>HYPERLINK("https://ssdweb.co/ssdweb/hd/Vision360.html?d=941351000&amp;zoomslide=1&amp;z=1941351000&amp;ISCONFIRM=0","VIDEO")</f>
        <v>VIDEO</v>
      </c>
      <c r="AA1193" s="19" t="str">
        <f>HYPERLINK("https://ssdweb.co/ssdweb/CERTH/691509956.pdf","CERTI")</f>
        <v>CERTI</v>
      </c>
    </row>
    <row r="1194" spans="1:27" ht="15" x14ac:dyDescent="0.25">
      <c r="A1194" s="2">
        <v>1189</v>
      </c>
      <c r="B1194" s="39">
        <v>941071111</v>
      </c>
      <c r="C1194" s="28" t="str">
        <f>HYPERLINK("https://pld.live/RapDetail.aspx?STONELIST=941071111","DNA")</f>
        <v>DNA</v>
      </c>
      <c r="D1194" s="18" t="s">
        <v>3054</v>
      </c>
      <c r="E1194" s="18" t="s">
        <v>5128</v>
      </c>
      <c r="F1194" s="2" t="s">
        <v>7987</v>
      </c>
      <c r="G1194" s="2" t="s">
        <v>861</v>
      </c>
      <c r="H1194" s="14">
        <v>1</v>
      </c>
      <c r="I1194" s="2" t="s">
        <v>267</v>
      </c>
      <c r="J1194" s="2" t="s">
        <v>3942</v>
      </c>
      <c r="K1194" s="2" t="s">
        <v>5221</v>
      </c>
      <c r="L1194" s="2" t="s">
        <v>5221</v>
      </c>
      <c r="M1194" s="2" t="s">
        <v>5221</v>
      </c>
      <c r="N1194" s="2" t="s">
        <v>2317</v>
      </c>
      <c r="O1194" s="14">
        <v>10200</v>
      </c>
      <c r="P1194" s="14">
        <v>98.73</v>
      </c>
      <c r="Q1194" s="14">
        <v>129.54</v>
      </c>
      <c r="R1194" s="14">
        <v>129.54</v>
      </c>
      <c r="S1194" s="2" t="s">
        <v>6775</v>
      </c>
      <c r="T1194" s="2">
        <v>1.01</v>
      </c>
      <c r="U1194" s="2">
        <v>63.2</v>
      </c>
      <c r="V1194" s="2">
        <v>58</v>
      </c>
      <c r="W1194" s="2" t="s">
        <v>7862</v>
      </c>
      <c r="X1194" s="2" t="s">
        <v>5405</v>
      </c>
      <c r="Y1194" s="2">
        <v>10200</v>
      </c>
      <c r="Z1194" s="19" t="str">
        <f>HYPERLINK("https://ssdweb.co/ssdweb/hd/Vision360.html?d=941071111&amp;zoomslide=1&amp;z=1941071111&amp;ISCONFIRM=0","VIDEO")</f>
        <v>VIDEO</v>
      </c>
      <c r="AA1194" s="19" t="str">
        <f>HYPERLINK("https://ssdweb.co/ssdweb/CERTH/689587090.pdf","CERTI")</f>
        <v>CERTI</v>
      </c>
    </row>
    <row r="1195" spans="1:27" ht="15" x14ac:dyDescent="0.25">
      <c r="A1195" s="2">
        <v>1190</v>
      </c>
      <c r="B1195" s="39">
        <v>941070955</v>
      </c>
      <c r="C1195" s="28" t="str">
        <f>HYPERLINK("https://pld.live/RapDetail.aspx?STONELIST=941070955","DNA")</f>
        <v>DNA</v>
      </c>
      <c r="D1195" s="18" t="s">
        <v>3054</v>
      </c>
      <c r="E1195" s="18" t="s">
        <v>5128</v>
      </c>
      <c r="F1195" s="2" t="s">
        <v>7987</v>
      </c>
      <c r="G1195" s="2" t="s">
        <v>861</v>
      </c>
      <c r="H1195" s="14">
        <v>1</v>
      </c>
      <c r="I1195" s="2" t="s">
        <v>267</v>
      </c>
      <c r="J1195" s="2" t="s">
        <v>3942</v>
      </c>
      <c r="K1195" s="2" t="s">
        <v>5221</v>
      </c>
      <c r="L1195" s="2" t="s">
        <v>5221</v>
      </c>
      <c r="M1195" s="2" t="s">
        <v>5221</v>
      </c>
      <c r="N1195" s="2" t="s">
        <v>2317</v>
      </c>
      <c r="O1195" s="14">
        <v>10200</v>
      </c>
      <c r="P1195" s="14">
        <v>98.73</v>
      </c>
      <c r="Q1195" s="14">
        <v>129.54</v>
      </c>
      <c r="R1195" s="14">
        <v>129.54</v>
      </c>
      <c r="S1195" s="2" t="s">
        <v>3923</v>
      </c>
      <c r="T1195" s="2">
        <v>1.01</v>
      </c>
      <c r="U1195" s="2">
        <v>62.9</v>
      </c>
      <c r="V1195" s="2">
        <v>58</v>
      </c>
      <c r="W1195" s="2" t="s">
        <v>7862</v>
      </c>
      <c r="X1195" s="2" t="s">
        <v>5405</v>
      </c>
      <c r="Y1195" s="2">
        <v>10200</v>
      </c>
      <c r="Z1195" s="19" t="str">
        <f>HYPERLINK("https://ssdweb.co/ssdweb/hd/Vision360.html?d=941070955&amp;zoomslide=1&amp;z=1941070955&amp;ISCONFIRM=0","VIDEO")</f>
        <v>VIDEO</v>
      </c>
      <c r="AA1195" s="19" t="str">
        <f>HYPERLINK("https://ssdweb.co/ssdweb/CERTH/689587089.pdf","CERTI")</f>
        <v>CERTI</v>
      </c>
    </row>
    <row r="1196" spans="1:27" ht="15" x14ac:dyDescent="0.25">
      <c r="A1196" s="2">
        <v>1191</v>
      </c>
      <c r="B1196" s="39">
        <v>941020922</v>
      </c>
      <c r="C1196" s="28" t="str">
        <f>HYPERLINK("https://pld.live/RapDetail.aspx?STONELIST=941020922","DNA")</f>
        <v>DNA</v>
      </c>
      <c r="D1196" s="18" t="s">
        <v>3054</v>
      </c>
      <c r="E1196" s="18" t="s">
        <v>5128</v>
      </c>
      <c r="F1196" s="2" t="s">
        <v>7987</v>
      </c>
      <c r="G1196" s="2" t="s">
        <v>861</v>
      </c>
      <c r="H1196" s="14">
        <v>1</v>
      </c>
      <c r="I1196" s="2" t="s">
        <v>267</v>
      </c>
      <c r="J1196" s="2" t="s">
        <v>3942</v>
      </c>
      <c r="K1196" s="2" t="s">
        <v>5221</v>
      </c>
      <c r="L1196" s="2" t="s">
        <v>5221</v>
      </c>
      <c r="M1196" s="2" t="s">
        <v>5221</v>
      </c>
      <c r="N1196" s="2" t="s">
        <v>2317</v>
      </c>
      <c r="O1196" s="14">
        <v>10200</v>
      </c>
      <c r="P1196" s="14">
        <v>98.73</v>
      </c>
      <c r="Q1196" s="14">
        <v>129.54</v>
      </c>
      <c r="R1196" s="14">
        <v>129.54</v>
      </c>
      <c r="S1196" s="2" t="s">
        <v>3510</v>
      </c>
      <c r="T1196" s="2">
        <v>1.01</v>
      </c>
      <c r="U1196" s="2">
        <v>61.7</v>
      </c>
      <c r="V1196" s="2">
        <v>60</v>
      </c>
      <c r="W1196" s="2" t="s">
        <v>7862</v>
      </c>
      <c r="X1196" s="2" t="s">
        <v>5405</v>
      </c>
      <c r="Y1196" s="2">
        <v>10200</v>
      </c>
      <c r="Z1196" s="19" t="str">
        <f>HYPERLINK("https://ssdweb.co/ssdweb/hd/Vision360.html?d=941020922&amp;zoomslide=1&amp;z=1941020922&amp;ISCONFIRM=0","VIDEO")</f>
        <v>VIDEO</v>
      </c>
      <c r="AA1196" s="19" t="str">
        <f>HYPERLINK("https://ssdweb.co/ssdweb/CERTH/689587048.pdf","CERTI")</f>
        <v>CERTI</v>
      </c>
    </row>
    <row r="1197" spans="1:27" ht="15" x14ac:dyDescent="0.25">
      <c r="A1197" s="2">
        <v>1192</v>
      </c>
      <c r="B1197" s="39">
        <v>941090451</v>
      </c>
      <c r="C1197" s="28" t="str">
        <f>HYPERLINK("https://pld.live/RapDetail.aspx?STONELIST=941090451","DNA")</f>
        <v>DNA</v>
      </c>
      <c r="D1197" s="18" t="s">
        <v>3054</v>
      </c>
      <c r="E1197" s="18" t="s">
        <v>2186</v>
      </c>
      <c r="F1197" s="2" t="s">
        <v>7987</v>
      </c>
      <c r="G1197" s="2" t="s">
        <v>861</v>
      </c>
      <c r="H1197" s="14">
        <v>1</v>
      </c>
      <c r="I1197" s="2" t="s">
        <v>267</v>
      </c>
      <c r="J1197" s="2" t="s">
        <v>3942</v>
      </c>
      <c r="K1197" s="2" t="s">
        <v>5221</v>
      </c>
      <c r="L1197" s="2" t="s">
        <v>5221</v>
      </c>
      <c r="M1197" s="2" t="s">
        <v>5221</v>
      </c>
      <c r="N1197" s="2" t="s">
        <v>2317</v>
      </c>
      <c r="O1197" s="14">
        <v>10200</v>
      </c>
      <c r="P1197" s="14">
        <v>98.73</v>
      </c>
      <c r="Q1197" s="14">
        <v>129.54</v>
      </c>
      <c r="R1197" s="14">
        <v>129.54</v>
      </c>
      <c r="S1197" s="2" t="s">
        <v>1188</v>
      </c>
      <c r="T1197" s="2">
        <v>1.01</v>
      </c>
      <c r="U1197" s="2">
        <v>60.7</v>
      </c>
      <c r="V1197" s="2">
        <v>63</v>
      </c>
      <c r="W1197" s="2" t="s">
        <v>7862</v>
      </c>
      <c r="X1197" s="2" t="s">
        <v>5405</v>
      </c>
      <c r="Y1197" s="2">
        <v>10200</v>
      </c>
      <c r="Z1197" s="19" t="str">
        <f>HYPERLINK("https://ssdweb.co/ssdweb/hd/Vision360.html?d=941090451&amp;zoomslide=1&amp;z=1941090451&amp;ISCONFIRM=0","VIDEO")</f>
        <v>VIDEO</v>
      </c>
      <c r="AA1197" s="19" t="str">
        <f>HYPERLINK("https://ssdweb.co/ssdweb/CERTH/689587093.pdf","CERTI")</f>
        <v>CERTI</v>
      </c>
    </row>
    <row r="1198" spans="1:27" ht="15" x14ac:dyDescent="0.25">
      <c r="A1198" s="2">
        <v>1193</v>
      </c>
      <c r="B1198" s="39">
        <v>941110118</v>
      </c>
      <c r="C1198" s="28" t="str">
        <f>HYPERLINK("https://pld.live/RapDetail.aspx?STONELIST=941110118","DNA")</f>
        <v>DNA</v>
      </c>
      <c r="D1198" s="18" t="s">
        <v>3054</v>
      </c>
      <c r="E1198" s="18" t="s">
        <v>2186</v>
      </c>
      <c r="F1198" s="2" t="s">
        <v>7987</v>
      </c>
      <c r="G1198" s="2" t="s">
        <v>861</v>
      </c>
      <c r="H1198" s="14">
        <v>1</v>
      </c>
      <c r="I1198" s="2" t="s">
        <v>267</v>
      </c>
      <c r="J1198" s="2" t="s">
        <v>13</v>
      </c>
      <c r="K1198" s="2" t="s">
        <v>3390</v>
      </c>
      <c r="L1198" s="2" t="s">
        <v>5221</v>
      </c>
      <c r="M1198" s="2" t="s">
        <v>5221</v>
      </c>
      <c r="N1198" s="2" t="s">
        <v>2317</v>
      </c>
      <c r="O1198" s="14">
        <v>8700</v>
      </c>
      <c r="P1198" s="14">
        <v>98.53</v>
      </c>
      <c r="Q1198" s="14">
        <v>127.89</v>
      </c>
      <c r="R1198" s="14">
        <v>127.89</v>
      </c>
      <c r="S1198" s="2" t="s">
        <v>4794</v>
      </c>
      <c r="T1198" s="2">
        <v>1.01</v>
      </c>
      <c r="U1198" s="2">
        <v>61.7</v>
      </c>
      <c r="V1198" s="2">
        <v>59</v>
      </c>
      <c r="W1198" s="2" t="s">
        <v>7862</v>
      </c>
      <c r="X1198" s="2" t="s">
        <v>5405</v>
      </c>
      <c r="Y1198" s="2">
        <v>8700</v>
      </c>
      <c r="Z1198" s="19" t="str">
        <f>HYPERLINK("https://ssdweb.co/ssdweb/hd/Vision360.html?d=941110118&amp;zoomslide=1&amp;z=1941110118&amp;ISCONFIRM=0","VIDEO")</f>
        <v>VIDEO</v>
      </c>
      <c r="AA1198" s="19" t="str">
        <f>HYPERLINK("https://ssdweb.co/ssdweb/CERTH/689587094.pdf","CERTI")</f>
        <v>CERTI</v>
      </c>
    </row>
    <row r="1199" spans="1:27" ht="15" x14ac:dyDescent="0.25">
      <c r="A1199" s="2">
        <v>1194</v>
      </c>
      <c r="B1199" s="39">
        <v>941350782</v>
      </c>
      <c r="C1199" s="28" t="str">
        <f>HYPERLINK("https://pld.live/RapDetail.aspx?STONELIST=941350782","DNA")</f>
        <v>DNA</v>
      </c>
      <c r="D1199" s="18" t="s">
        <v>3054</v>
      </c>
      <c r="E1199" s="18" t="s">
        <v>5128</v>
      </c>
      <c r="F1199" s="2" t="s">
        <v>7987</v>
      </c>
      <c r="G1199" s="2" t="s">
        <v>861</v>
      </c>
      <c r="H1199" s="14">
        <v>1</v>
      </c>
      <c r="I1199" s="2" t="s">
        <v>267</v>
      </c>
      <c r="J1199" s="2" t="s">
        <v>13</v>
      </c>
      <c r="K1199" s="2" t="s">
        <v>3390</v>
      </c>
      <c r="L1199" s="2" t="s">
        <v>5221</v>
      </c>
      <c r="M1199" s="2" t="s">
        <v>5221</v>
      </c>
      <c r="N1199" s="2" t="s">
        <v>2317</v>
      </c>
      <c r="O1199" s="14">
        <v>8700</v>
      </c>
      <c r="P1199" s="14">
        <v>98.53</v>
      </c>
      <c r="Q1199" s="14">
        <v>127.89</v>
      </c>
      <c r="R1199" s="14">
        <v>127.89</v>
      </c>
      <c r="S1199" s="2" t="s">
        <v>6698</v>
      </c>
      <c r="T1199" s="2">
        <v>1.01</v>
      </c>
      <c r="U1199" s="2">
        <v>62.1</v>
      </c>
      <c r="V1199" s="2">
        <v>57</v>
      </c>
      <c r="W1199" s="2" t="s">
        <v>7862</v>
      </c>
      <c r="X1199" s="2" t="s">
        <v>5405</v>
      </c>
      <c r="Y1199" s="2">
        <v>8700</v>
      </c>
      <c r="Z1199" s="19" t="str">
        <f>HYPERLINK("https://ssdweb.co/ssdweb/hd/Vision360.html?d=941350782&amp;zoomslide=1&amp;z=1941350782&amp;ISCONFIRM=0","VIDEO")</f>
        <v>VIDEO</v>
      </c>
      <c r="AA1199" s="19" t="str">
        <f>HYPERLINK("https://ssdweb.co/ssdweb/CERTH/694508417.pdf","CERTI")</f>
        <v>CERTI</v>
      </c>
    </row>
    <row r="1200" spans="1:27" ht="15" x14ac:dyDescent="0.25">
      <c r="A1200" s="2">
        <v>1195</v>
      </c>
      <c r="B1200" s="39">
        <v>941070954</v>
      </c>
      <c r="C1200" s="28" t="str">
        <f>HYPERLINK("https://pld.live/RapDetail.aspx?STONELIST=941070954","DNA")</f>
        <v>DNA</v>
      </c>
      <c r="D1200" s="18" t="s">
        <v>3054</v>
      </c>
      <c r="E1200" s="18" t="s">
        <v>5128</v>
      </c>
      <c r="F1200" s="2" t="s">
        <v>7987</v>
      </c>
      <c r="G1200" s="2" t="s">
        <v>861</v>
      </c>
      <c r="H1200" s="14">
        <v>1</v>
      </c>
      <c r="I1200" s="2" t="s">
        <v>267</v>
      </c>
      <c r="J1200" s="2" t="s">
        <v>13</v>
      </c>
      <c r="K1200" s="2" t="s">
        <v>3390</v>
      </c>
      <c r="L1200" s="2" t="s">
        <v>5221</v>
      </c>
      <c r="M1200" s="2" t="s">
        <v>5221</v>
      </c>
      <c r="N1200" s="2" t="s">
        <v>2317</v>
      </c>
      <c r="O1200" s="14">
        <v>8700</v>
      </c>
      <c r="P1200" s="14">
        <v>98.53</v>
      </c>
      <c r="Q1200" s="14">
        <v>127.89</v>
      </c>
      <c r="R1200" s="14">
        <v>127.89</v>
      </c>
      <c r="S1200" s="2" t="s">
        <v>4118</v>
      </c>
      <c r="T1200" s="2">
        <v>1.01</v>
      </c>
      <c r="U1200" s="2">
        <v>62.3</v>
      </c>
      <c r="V1200" s="2">
        <v>58</v>
      </c>
      <c r="W1200" s="2" t="s">
        <v>7862</v>
      </c>
      <c r="X1200" s="2" t="s">
        <v>5405</v>
      </c>
      <c r="Y1200" s="2">
        <v>8700</v>
      </c>
      <c r="Z1200" s="19" t="str">
        <f>HYPERLINK("https://ssdweb.co/ssdweb/hd/Vision360.html?d=941070954&amp;zoomslide=1&amp;z=1941070954&amp;ISCONFIRM=0","VIDEO")</f>
        <v>VIDEO</v>
      </c>
      <c r="AA1200" s="19" t="str">
        <f>HYPERLINK("https://ssdweb.co/ssdweb/CERTH/689587088.pdf","CERTI")</f>
        <v>CERTI</v>
      </c>
    </row>
    <row r="1201" spans="1:27" ht="15" x14ac:dyDescent="0.25">
      <c r="A1201" s="2">
        <v>1196</v>
      </c>
      <c r="B1201" s="39">
        <v>927151990</v>
      </c>
      <c r="C1201" s="28" t="str">
        <f>HYPERLINK("https://pld.live/RapDetail.aspx?STONELIST=927151990","DNA")</f>
        <v>DNA</v>
      </c>
      <c r="D1201" s="18" t="s">
        <v>3054</v>
      </c>
      <c r="E1201" s="18" t="s">
        <v>5128</v>
      </c>
      <c r="F1201" s="2" t="s">
        <v>7987</v>
      </c>
      <c r="G1201" s="2" t="s">
        <v>861</v>
      </c>
      <c r="H1201" s="14">
        <v>1</v>
      </c>
      <c r="I1201" s="2" t="s">
        <v>267</v>
      </c>
      <c r="J1201" s="2" t="s">
        <v>13</v>
      </c>
      <c r="K1201" s="2" t="s">
        <v>3390</v>
      </c>
      <c r="L1201" s="2" t="s">
        <v>5221</v>
      </c>
      <c r="M1201" s="2" t="s">
        <v>5221</v>
      </c>
      <c r="N1201" s="2" t="s">
        <v>2317</v>
      </c>
      <c r="O1201" s="14">
        <v>8700</v>
      </c>
      <c r="P1201" s="14">
        <v>98.43</v>
      </c>
      <c r="Q1201" s="14">
        <v>136.59</v>
      </c>
      <c r="R1201" s="14">
        <v>136.59</v>
      </c>
      <c r="S1201" s="2" t="s">
        <v>3007</v>
      </c>
      <c r="T1201" s="2">
        <v>1</v>
      </c>
      <c r="U1201" s="2">
        <v>61.3</v>
      </c>
      <c r="V1201" s="2">
        <v>55</v>
      </c>
      <c r="W1201" s="2" t="s">
        <v>7862</v>
      </c>
      <c r="X1201" s="2" t="s">
        <v>5405</v>
      </c>
      <c r="Y1201" s="2">
        <v>8700</v>
      </c>
      <c r="Z1201" s="19" t="str">
        <f>HYPERLINK("https://ssdweb.co/ssdweb/hd/Vision360.html?d=927151990&amp;zoomslide=1&amp;z=1927151990&amp;ISCONFIRM=0","VIDEO")</f>
        <v>VIDEO</v>
      </c>
      <c r="AA1201" s="19" t="str">
        <f>HYPERLINK("https://ssdweb.co/ssdweb/CERTH/670484416.pdf","CERTI")</f>
        <v>CERTI</v>
      </c>
    </row>
    <row r="1202" spans="1:27" ht="15" x14ac:dyDescent="0.25">
      <c r="A1202" s="2">
        <v>1197</v>
      </c>
      <c r="B1202" s="39">
        <v>941021547</v>
      </c>
      <c r="C1202" s="28" t="str">
        <f>HYPERLINK("https://pld.live/RapDetail.aspx?STONELIST=941021547","DNA")</f>
        <v>DNA</v>
      </c>
      <c r="D1202" s="18" t="s">
        <v>3054</v>
      </c>
      <c r="E1202" s="18" t="s">
        <v>5128</v>
      </c>
      <c r="F1202" s="2" t="s">
        <v>7987</v>
      </c>
      <c r="G1202" s="2" t="s">
        <v>861</v>
      </c>
      <c r="H1202" s="14">
        <v>1</v>
      </c>
      <c r="I1202" s="2" t="s">
        <v>267</v>
      </c>
      <c r="J1202" s="2" t="s">
        <v>13</v>
      </c>
      <c r="K1202" s="2" t="s">
        <v>3390</v>
      </c>
      <c r="L1202" s="2" t="s">
        <v>5221</v>
      </c>
      <c r="M1202" s="2" t="s">
        <v>5221</v>
      </c>
      <c r="N1202" s="2" t="s">
        <v>2317</v>
      </c>
      <c r="O1202" s="14">
        <v>8700</v>
      </c>
      <c r="P1202" s="14">
        <v>98.53</v>
      </c>
      <c r="Q1202" s="14">
        <v>127.89</v>
      </c>
      <c r="R1202" s="14">
        <v>127.89</v>
      </c>
      <c r="S1202" s="2" t="s">
        <v>2446</v>
      </c>
      <c r="T1202" s="2">
        <v>1.01</v>
      </c>
      <c r="U1202" s="2">
        <v>61.9</v>
      </c>
      <c r="V1202" s="2">
        <v>57</v>
      </c>
      <c r="W1202" s="2" t="s">
        <v>7862</v>
      </c>
      <c r="X1202" s="2" t="s">
        <v>5405</v>
      </c>
      <c r="Y1202" s="2">
        <v>8700</v>
      </c>
      <c r="Z1202" s="19" t="str">
        <f>HYPERLINK("https://ssdweb.co/ssdweb/hd/Vision360.html?d=941021547&amp;zoomslide=1&amp;z=1941021547&amp;ISCONFIRM=0","VIDEO")</f>
        <v>VIDEO</v>
      </c>
      <c r="AA1202" s="19" t="str">
        <f>HYPERLINK("https://ssdweb.co/ssdweb/CERTH/689587054.pdf","CERTI")</f>
        <v>CERTI</v>
      </c>
    </row>
    <row r="1203" spans="1:27" ht="15" x14ac:dyDescent="0.25">
      <c r="A1203" s="2">
        <v>1198</v>
      </c>
      <c r="B1203" s="39">
        <v>941040332</v>
      </c>
      <c r="C1203" s="28" t="str">
        <f>HYPERLINK("https://pld.live/RapDetail.aspx?STONELIST=941040332","DNA")</f>
        <v>DNA</v>
      </c>
      <c r="D1203" s="18" t="s">
        <v>3054</v>
      </c>
      <c r="E1203" s="18" t="s">
        <v>5128</v>
      </c>
      <c r="F1203" s="2" t="s">
        <v>7987</v>
      </c>
      <c r="G1203" s="2" t="s">
        <v>861</v>
      </c>
      <c r="H1203" s="14">
        <v>1</v>
      </c>
      <c r="I1203" s="2" t="s">
        <v>267</v>
      </c>
      <c r="J1203" s="2" t="s">
        <v>13</v>
      </c>
      <c r="K1203" s="2" t="s">
        <v>3390</v>
      </c>
      <c r="L1203" s="2" t="s">
        <v>5221</v>
      </c>
      <c r="M1203" s="2" t="s">
        <v>5221</v>
      </c>
      <c r="N1203" s="2" t="s">
        <v>2317</v>
      </c>
      <c r="O1203" s="14">
        <v>8700</v>
      </c>
      <c r="P1203" s="14">
        <v>98.52</v>
      </c>
      <c r="Q1203" s="14">
        <v>128.76</v>
      </c>
      <c r="R1203" s="14">
        <v>128.76</v>
      </c>
      <c r="S1203" s="2" t="s">
        <v>5200</v>
      </c>
      <c r="T1203" s="2">
        <v>1.01</v>
      </c>
      <c r="U1203" s="2">
        <v>61.7</v>
      </c>
      <c r="V1203" s="2">
        <v>57</v>
      </c>
      <c r="W1203" s="2" t="s">
        <v>7862</v>
      </c>
      <c r="X1203" s="2" t="s">
        <v>5405</v>
      </c>
      <c r="Y1203" s="2">
        <v>8700</v>
      </c>
      <c r="Z1203" s="19" t="str">
        <f>HYPERLINK("https://ssdweb.co/ssdweb/hd/Vision360.html?d=941040332&amp;zoomslide=1&amp;z=1941040332&amp;ISCONFIRM=0","VIDEO")</f>
        <v>VIDEO</v>
      </c>
      <c r="AA1203" s="19" t="str">
        <f>HYPERLINK("https://ssdweb.co/ssdweb/CERTH/689587056.pdf","CERTI")</f>
        <v>CERTI</v>
      </c>
    </row>
    <row r="1204" spans="1:27" ht="15" x14ac:dyDescent="0.25">
      <c r="A1204" s="2">
        <v>1199</v>
      </c>
      <c r="B1204" s="39">
        <v>926810882</v>
      </c>
      <c r="C1204" s="28" t="str">
        <f>HYPERLINK("https://pld.live/RapDetail.aspx?STONELIST=926810882","DNA")</f>
        <v>DNA</v>
      </c>
      <c r="D1204" s="18" t="s">
        <v>3054</v>
      </c>
      <c r="E1204" s="18" t="s">
        <v>5128</v>
      </c>
      <c r="F1204" s="2" t="s">
        <v>5597</v>
      </c>
      <c r="G1204" s="2" t="s">
        <v>861</v>
      </c>
      <c r="H1204" s="14">
        <v>1</v>
      </c>
      <c r="I1204" s="2" t="s">
        <v>267</v>
      </c>
      <c r="J1204" s="2" t="s">
        <v>13</v>
      </c>
      <c r="K1204" s="2" t="s">
        <v>5221</v>
      </c>
      <c r="L1204" s="2" t="s">
        <v>5221</v>
      </c>
      <c r="M1204" s="2" t="s">
        <v>5221</v>
      </c>
      <c r="N1204" s="2" t="s">
        <v>2317</v>
      </c>
      <c r="O1204" s="14">
        <v>8700</v>
      </c>
      <c r="P1204" s="14">
        <v>97.62</v>
      </c>
      <c r="Q1204" s="14">
        <v>207.06</v>
      </c>
      <c r="R1204" s="14">
        <v>207.06</v>
      </c>
      <c r="S1204" s="2" t="s">
        <v>4371</v>
      </c>
      <c r="T1204" s="2">
        <v>1</v>
      </c>
      <c r="U1204" s="2">
        <v>60.7</v>
      </c>
      <c r="V1204" s="2">
        <v>60</v>
      </c>
      <c r="W1204" s="2" t="s">
        <v>7862</v>
      </c>
      <c r="X1204" s="2" t="s">
        <v>5405</v>
      </c>
      <c r="Y1204" s="2">
        <v>8700</v>
      </c>
      <c r="Z1204" s="19" t="str">
        <f>HYPERLINK("https://ssdweb.co/ssdweb/hd/Vision360.html?d=926810882&amp;zoomslide=1&amp;z=1926810882&amp;ISCONFIRM=0","VIDEO")</f>
        <v>VIDEO</v>
      </c>
      <c r="AA1204" s="19" t="str">
        <f>HYPERLINK("https://ssdweb.co/ssdweb/CERTH/6502552272.pdf","CERTI")</f>
        <v>CERTI</v>
      </c>
    </row>
    <row r="1205" spans="1:27" ht="15" x14ac:dyDescent="0.25">
      <c r="A1205" s="2">
        <v>1200</v>
      </c>
      <c r="B1205" s="39">
        <v>941320241</v>
      </c>
      <c r="C1205" s="28" t="str">
        <f>HYPERLINK("https://pld.live/RapDetail.aspx?STONELIST=941320241","DNA")</f>
        <v>DNA</v>
      </c>
      <c r="D1205" s="18" t="s">
        <v>3054</v>
      </c>
      <c r="E1205" s="18" t="s">
        <v>5128</v>
      </c>
      <c r="F1205" s="2" t="s">
        <v>7987</v>
      </c>
      <c r="G1205" s="2" t="s">
        <v>861</v>
      </c>
      <c r="H1205" s="14">
        <v>1</v>
      </c>
      <c r="I1205" s="2" t="s">
        <v>267</v>
      </c>
      <c r="J1205" s="2" t="s">
        <v>13</v>
      </c>
      <c r="K1205" s="2" t="s">
        <v>5221</v>
      </c>
      <c r="L1205" s="2" t="s">
        <v>5221</v>
      </c>
      <c r="M1205" s="2" t="s">
        <v>5221</v>
      </c>
      <c r="N1205" s="2" t="s">
        <v>2317</v>
      </c>
      <c r="O1205" s="14">
        <v>8700</v>
      </c>
      <c r="P1205" s="14">
        <v>98.53</v>
      </c>
      <c r="Q1205" s="14">
        <v>127.89</v>
      </c>
      <c r="R1205" s="14">
        <v>127.89</v>
      </c>
      <c r="S1205" s="2" t="s">
        <v>4574</v>
      </c>
      <c r="T1205" s="2">
        <v>1</v>
      </c>
      <c r="U1205" s="2">
        <v>59.5</v>
      </c>
      <c r="V1205" s="2">
        <v>60</v>
      </c>
      <c r="W1205" s="2" t="s">
        <v>7862</v>
      </c>
      <c r="X1205" s="2" t="s">
        <v>5405</v>
      </c>
      <c r="Y1205" s="2">
        <v>8700</v>
      </c>
      <c r="Z1205" s="19" t="str">
        <f>HYPERLINK("https://ssdweb.co/ssdweb/hd/Vision360.html?d=941320241&amp;zoomslide=1&amp;z=1941320241&amp;ISCONFIRM=0","VIDEO")</f>
        <v>VIDEO</v>
      </c>
      <c r="AA1205" s="19" t="str">
        <f>HYPERLINK("https://ssdweb.co/ssdweb/CERTH/689587075.pdf","CERTI")</f>
        <v>CERTI</v>
      </c>
    </row>
    <row r="1206" spans="1:27" ht="15" x14ac:dyDescent="0.25">
      <c r="A1206" s="2">
        <v>1201</v>
      </c>
      <c r="B1206" s="39">
        <v>941071172</v>
      </c>
      <c r="C1206" s="28" t="str">
        <f>HYPERLINK("https://pld.live/RapDetail.aspx?STONELIST=941071172","DNA")</f>
        <v>DNA</v>
      </c>
      <c r="D1206" s="18" t="s">
        <v>3054</v>
      </c>
      <c r="E1206" s="18" t="s">
        <v>5128</v>
      </c>
      <c r="F1206" s="2" t="s">
        <v>7987</v>
      </c>
      <c r="G1206" s="2" t="s">
        <v>861</v>
      </c>
      <c r="H1206" s="14">
        <v>1</v>
      </c>
      <c r="I1206" s="2" t="s">
        <v>267</v>
      </c>
      <c r="J1206" s="2" t="s">
        <v>13</v>
      </c>
      <c r="K1206" s="2" t="s">
        <v>5221</v>
      </c>
      <c r="L1206" s="2" t="s">
        <v>5221</v>
      </c>
      <c r="M1206" s="2" t="s">
        <v>5221</v>
      </c>
      <c r="N1206" s="2" t="s">
        <v>2317</v>
      </c>
      <c r="O1206" s="14">
        <v>8700</v>
      </c>
      <c r="P1206" s="14">
        <v>98.53</v>
      </c>
      <c r="Q1206" s="14">
        <v>127.89</v>
      </c>
      <c r="R1206" s="14">
        <v>127.89</v>
      </c>
      <c r="S1206" s="2" t="s">
        <v>7717</v>
      </c>
      <c r="T1206" s="2">
        <v>1.01</v>
      </c>
      <c r="U1206" s="2">
        <v>63.1</v>
      </c>
      <c r="V1206" s="2">
        <v>56</v>
      </c>
      <c r="W1206" s="2" t="s">
        <v>7862</v>
      </c>
      <c r="X1206" s="2" t="s">
        <v>5405</v>
      </c>
      <c r="Y1206" s="2">
        <v>8700</v>
      </c>
      <c r="Z1206" s="19" t="str">
        <f>HYPERLINK("https://ssdweb.co/ssdweb/hd/Vision360.html?d=941071172&amp;zoomslide=1&amp;z=1941071172&amp;ISCONFIRM=0","VIDEO")</f>
        <v>VIDEO</v>
      </c>
      <c r="AA1206" s="19" t="str">
        <f>HYPERLINK("https://ssdweb.co/ssdweb/CERTH/689587092.pdf","CERTI")</f>
        <v>CERTI</v>
      </c>
    </row>
    <row r="1207" spans="1:27" ht="15" x14ac:dyDescent="0.25">
      <c r="A1207" s="2">
        <v>1202</v>
      </c>
      <c r="B1207" s="39">
        <v>927130214</v>
      </c>
      <c r="C1207" s="28" t="str">
        <f>HYPERLINK("https://pld.live/RapDetail.aspx?STONELIST=927130214","DNA")</f>
        <v>DNA</v>
      </c>
      <c r="D1207" s="18" t="s">
        <v>3054</v>
      </c>
      <c r="E1207" s="18" t="s">
        <v>5128</v>
      </c>
      <c r="F1207" s="2" t="s">
        <v>7987</v>
      </c>
      <c r="G1207" s="2" t="s">
        <v>861</v>
      </c>
      <c r="H1207" s="14">
        <v>1</v>
      </c>
      <c r="I1207" s="2" t="s">
        <v>267</v>
      </c>
      <c r="J1207" s="2" t="s">
        <v>13</v>
      </c>
      <c r="K1207" s="2" t="s">
        <v>5221</v>
      </c>
      <c r="L1207" s="2" t="s">
        <v>5221</v>
      </c>
      <c r="M1207" s="2" t="s">
        <v>5221</v>
      </c>
      <c r="N1207" s="2" t="s">
        <v>2317</v>
      </c>
      <c r="O1207" s="14">
        <v>8700</v>
      </c>
      <c r="P1207" s="14">
        <v>98.53</v>
      </c>
      <c r="Q1207" s="14">
        <v>127.89</v>
      </c>
      <c r="R1207" s="14">
        <v>127.89</v>
      </c>
      <c r="S1207" s="2" t="s">
        <v>1056</v>
      </c>
      <c r="T1207" s="2">
        <v>1</v>
      </c>
      <c r="U1207" s="2">
        <v>63.3</v>
      </c>
      <c r="V1207" s="2">
        <v>56</v>
      </c>
      <c r="W1207" s="2" t="s">
        <v>7862</v>
      </c>
      <c r="X1207" s="2" t="s">
        <v>5405</v>
      </c>
      <c r="Y1207" s="2">
        <v>8700</v>
      </c>
      <c r="Z1207" s="19" t="str">
        <f>HYPERLINK("https://ssdweb.co/ssdweb/hd/Vision360.html?d=927130214&amp;zoomslide=1&amp;z=1927130214&amp;ISCONFIRM=0","VIDEO")</f>
        <v>VIDEO</v>
      </c>
      <c r="AA1207" s="19" t="str">
        <f>HYPERLINK("https://ssdweb.co/ssdweb/CERTH/670484427.pdf","CERTI")</f>
        <v>CERTI</v>
      </c>
    </row>
    <row r="1208" spans="1:27" ht="15" x14ac:dyDescent="0.25">
      <c r="A1208" s="2">
        <v>1203</v>
      </c>
      <c r="B1208" s="39">
        <v>941070929</v>
      </c>
      <c r="C1208" s="28" t="str">
        <f>HYPERLINK("https://pld.live/RapDetail.aspx?STONELIST=941070929","DNA")</f>
        <v>DNA</v>
      </c>
      <c r="D1208" s="18" t="s">
        <v>3054</v>
      </c>
      <c r="E1208" s="18" t="s">
        <v>5128</v>
      </c>
      <c r="F1208" s="2" t="s">
        <v>7987</v>
      </c>
      <c r="G1208" s="2" t="s">
        <v>861</v>
      </c>
      <c r="H1208" s="14">
        <v>1</v>
      </c>
      <c r="I1208" s="2" t="s">
        <v>267</v>
      </c>
      <c r="J1208" s="2" t="s">
        <v>13</v>
      </c>
      <c r="K1208" s="2" t="s">
        <v>5221</v>
      </c>
      <c r="L1208" s="2" t="s">
        <v>5221</v>
      </c>
      <c r="M1208" s="2" t="s">
        <v>5221</v>
      </c>
      <c r="N1208" s="2" t="s">
        <v>2317</v>
      </c>
      <c r="O1208" s="14">
        <v>8700</v>
      </c>
      <c r="P1208" s="14">
        <v>98.53</v>
      </c>
      <c r="Q1208" s="14">
        <v>127.89</v>
      </c>
      <c r="R1208" s="14">
        <v>127.89</v>
      </c>
      <c r="S1208" s="2" t="s">
        <v>1191</v>
      </c>
      <c r="T1208" s="2">
        <v>1.01</v>
      </c>
      <c r="U1208" s="2">
        <v>62.7</v>
      </c>
      <c r="V1208" s="2">
        <v>58</v>
      </c>
      <c r="W1208" s="2" t="s">
        <v>7862</v>
      </c>
      <c r="X1208" s="2" t="s">
        <v>5405</v>
      </c>
      <c r="Y1208" s="2">
        <v>8700</v>
      </c>
      <c r="Z1208" s="19" t="str">
        <f>HYPERLINK("https://ssdweb.co/ssdweb/hd/Vision360.html?d=941070929&amp;zoomslide=1&amp;z=1941070929&amp;ISCONFIRM=0","VIDEO")</f>
        <v>VIDEO</v>
      </c>
      <c r="AA1208" s="19" t="str">
        <f>HYPERLINK("https://ssdweb.co/ssdweb/CERTH/689587160.pdf","CERTI")</f>
        <v>CERTI</v>
      </c>
    </row>
    <row r="1209" spans="1:27" ht="15" x14ac:dyDescent="0.25">
      <c r="A1209" s="2">
        <v>1204</v>
      </c>
      <c r="B1209" s="39">
        <v>941190196</v>
      </c>
      <c r="C1209" s="28" t="str">
        <f>HYPERLINK("https://pld.live/RapDetail.aspx?STONELIST=941190196","DNA")</f>
        <v>DNA</v>
      </c>
      <c r="D1209" s="18" t="s">
        <v>3054</v>
      </c>
      <c r="E1209" s="18" t="s">
        <v>5128</v>
      </c>
      <c r="F1209" s="2" t="s">
        <v>7987</v>
      </c>
      <c r="G1209" s="2" t="s">
        <v>861</v>
      </c>
      <c r="H1209" s="14">
        <v>1</v>
      </c>
      <c r="I1209" s="2" t="s">
        <v>267</v>
      </c>
      <c r="J1209" s="2" t="s">
        <v>5144</v>
      </c>
      <c r="K1209" s="2" t="s">
        <v>5221</v>
      </c>
      <c r="L1209" s="2" t="s">
        <v>5221</v>
      </c>
      <c r="M1209" s="2" t="s">
        <v>5221</v>
      </c>
      <c r="N1209" s="2" t="s">
        <v>2317</v>
      </c>
      <c r="O1209" s="14">
        <v>7300</v>
      </c>
      <c r="P1209" s="14">
        <v>98.32</v>
      </c>
      <c r="Q1209" s="14">
        <v>122.64</v>
      </c>
      <c r="R1209" s="14">
        <v>122.64</v>
      </c>
      <c r="S1209" s="2" t="s">
        <v>4138</v>
      </c>
      <c r="T1209" s="2">
        <v>1.01</v>
      </c>
      <c r="U1209" s="2">
        <v>60.3</v>
      </c>
      <c r="V1209" s="2">
        <v>53</v>
      </c>
      <c r="W1209" s="2" t="s">
        <v>7862</v>
      </c>
      <c r="X1209" s="2" t="s">
        <v>5405</v>
      </c>
      <c r="Y1209" s="2">
        <v>7300</v>
      </c>
      <c r="Z1209" s="19" t="str">
        <f>HYPERLINK("https://ssdweb.co/ssdweb/hd/Vision360.html?d=941190196&amp;zoomslide=1&amp;z=1941190196&amp;ISCONFIRM=0","VIDEO")</f>
        <v>VIDEO</v>
      </c>
      <c r="AA1209" s="19" t="str">
        <f>HYPERLINK("https://ssdweb.co/ssdweb/CERTH/678564541.pdf","CERTI")</f>
        <v>CERTI</v>
      </c>
    </row>
    <row r="1210" spans="1:27" ht="15" x14ac:dyDescent="0.25">
      <c r="A1210" s="2">
        <v>1205</v>
      </c>
      <c r="B1210" s="39">
        <v>925280238</v>
      </c>
      <c r="C1210" s="28" t="str">
        <f>HYPERLINK("https://pld.live/RapDetail.aspx?STONELIST=925280238","DNA")</f>
        <v>DNA</v>
      </c>
      <c r="D1210" s="18" t="s">
        <v>3054</v>
      </c>
      <c r="E1210" s="18" t="s">
        <v>5128</v>
      </c>
      <c r="F1210" s="2" t="s">
        <v>5597</v>
      </c>
      <c r="G1210" s="2" t="s">
        <v>861</v>
      </c>
      <c r="H1210" s="14">
        <v>1</v>
      </c>
      <c r="I1210" s="2" t="s">
        <v>267</v>
      </c>
      <c r="J1210" s="2" t="s">
        <v>5144</v>
      </c>
      <c r="K1210" s="2" t="s">
        <v>5221</v>
      </c>
      <c r="L1210" s="2" t="s">
        <v>5221</v>
      </c>
      <c r="M1210" s="2" t="s">
        <v>5221</v>
      </c>
      <c r="N1210" s="2" t="s">
        <v>2317</v>
      </c>
      <c r="O1210" s="14">
        <v>7300</v>
      </c>
      <c r="P1210" s="14">
        <v>97.27</v>
      </c>
      <c r="Q1210" s="14">
        <v>199.29</v>
      </c>
      <c r="R1210" s="14">
        <v>199.29</v>
      </c>
      <c r="S1210" s="2" t="s">
        <v>2602</v>
      </c>
      <c r="T1210" s="2">
        <v>1.01</v>
      </c>
      <c r="U1210" s="2">
        <v>62.1</v>
      </c>
      <c r="V1210" s="2">
        <v>58</v>
      </c>
      <c r="W1210" s="2" t="s">
        <v>7862</v>
      </c>
      <c r="X1210" s="2" t="s">
        <v>5405</v>
      </c>
      <c r="Y1210" s="2">
        <v>7300</v>
      </c>
      <c r="Z1210" s="19" t="str">
        <f>HYPERLINK("https://ssdweb.co/ssdweb/hd/Vision360.html?d=925280238&amp;zoomslide=1&amp;z=1925280238&amp;ISCONFIRM=0","VIDEO")</f>
        <v>VIDEO</v>
      </c>
      <c r="AA1210" s="19" t="str">
        <f>HYPERLINK("https://ssdweb.co/ssdweb/CERTH/7488211348.pdf","CERTI")</f>
        <v>CERTI</v>
      </c>
    </row>
    <row r="1211" spans="1:27" ht="15" x14ac:dyDescent="0.25">
      <c r="A1211" s="2">
        <v>1206</v>
      </c>
      <c r="B1211" s="39">
        <v>927052455</v>
      </c>
      <c r="C1211" s="28" t="str">
        <f>HYPERLINK("https://pld.live/RapDetail.aspx?STONELIST=927052455","DNA")</f>
        <v>DNA</v>
      </c>
      <c r="D1211" s="18" t="s">
        <v>3054</v>
      </c>
      <c r="E1211" s="18" t="s">
        <v>5128</v>
      </c>
      <c r="F1211" s="2" t="s">
        <v>7987</v>
      </c>
      <c r="G1211" s="2" t="s">
        <v>861</v>
      </c>
      <c r="H1211" s="14">
        <v>1</v>
      </c>
      <c r="I1211" s="2" t="s">
        <v>4761</v>
      </c>
      <c r="J1211" s="2" t="s">
        <v>6555</v>
      </c>
      <c r="K1211" s="2" t="s">
        <v>3390</v>
      </c>
      <c r="L1211" s="2" t="s">
        <v>5221</v>
      </c>
      <c r="M1211" s="2" t="s">
        <v>5221</v>
      </c>
      <c r="N1211" s="2" t="s">
        <v>2317</v>
      </c>
      <c r="O1211" s="14">
        <v>11100</v>
      </c>
      <c r="P1211" s="14">
        <v>98.78</v>
      </c>
      <c r="Q1211" s="14">
        <v>135.41999999999999</v>
      </c>
      <c r="R1211" s="14">
        <v>135.41999999999999</v>
      </c>
      <c r="S1211" s="2" t="s">
        <v>2266</v>
      </c>
      <c r="T1211" s="2">
        <v>1.01</v>
      </c>
      <c r="U1211" s="2">
        <v>61.9</v>
      </c>
      <c r="V1211" s="2">
        <v>57</v>
      </c>
      <c r="W1211" s="2" t="s">
        <v>7862</v>
      </c>
      <c r="X1211" s="2" t="s">
        <v>5405</v>
      </c>
      <c r="Y1211" s="2">
        <v>11100</v>
      </c>
      <c r="Z1211" s="19" t="str">
        <f>HYPERLINK("https://ssdweb.co/ssdweb/hd/Vision360.html?d=927052455&amp;zoomslide=1&amp;z=1927052455&amp;ISCONFIRM=0","VIDEO")</f>
        <v>VIDEO</v>
      </c>
      <c r="AA1211" s="19" t="str">
        <f>HYPERLINK("https://ssdweb.co/ssdweb/CERTH/665453210.pdf","CERTI")</f>
        <v>CERTI</v>
      </c>
    </row>
    <row r="1212" spans="1:27" ht="15" x14ac:dyDescent="0.25">
      <c r="A1212" s="2">
        <v>1207</v>
      </c>
      <c r="B1212" s="39">
        <v>941160253</v>
      </c>
      <c r="C1212" s="28" t="str">
        <f>HYPERLINK("https://pld.live/RapDetail.aspx?STONELIST=941160253","DNA")</f>
        <v>DNA</v>
      </c>
      <c r="D1212" s="18" t="s">
        <v>3054</v>
      </c>
      <c r="E1212" s="18" t="s">
        <v>5128</v>
      </c>
      <c r="F1212" s="2" t="s">
        <v>7987</v>
      </c>
      <c r="G1212" s="2" t="s">
        <v>861</v>
      </c>
      <c r="H1212" s="14">
        <v>1</v>
      </c>
      <c r="I1212" s="2" t="s">
        <v>4761</v>
      </c>
      <c r="J1212" s="2" t="s">
        <v>3942</v>
      </c>
      <c r="K1212" s="2" t="s">
        <v>3390</v>
      </c>
      <c r="L1212" s="2" t="s">
        <v>5221</v>
      </c>
      <c r="M1212" s="2" t="s">
        <v>5221</v>
      </c>
      <c r="N1212" s="2" t="s">
        <v>2317</v>
      </c>
      <c r="O1212" s="14">
        <v>9300</v>
      </c>
      <c r="P1212" s="14">
        <v>98.65</v>
      </c>
      <c r="Q1212" s="14">
        <v>125.55</v>
      </c>
      <c r="R1212" s="14">
        <v>125.55</v>
      </c>
      <c r="S1212" s="2" t="s">
        <v>6102</v>
      </c>
      <c r="T1212" s="2">
        <v>1.01</v>
      </c>
      <c r="U1212" s="2">
        <v>60.4</v>
      </c>
      <c r="V1212" s="2">
        <v>60</v>
      </c>
      <c r="W1212" s="2" t="s">
        <v>7862</v>
      </c>
      <c r="X1212" s="2" t="s">
        <v>5405</v>
      </c>
      <c r="Y1212" s="2">
        <v>9300</v>
      </c>
      <c r="Z1212" s="19" t="str">
        <f>HYPERLINK("https://ssdweb.co/ssdweb/hd/Vision360.html?d=941160253&amp;zoomslide=1&amp;z=1941160253&amp;ISCONFIRM=0","VIDEO")</f>
        <v>VIDEO</v>
      </c>
      <c r="AA1212" s="19" t="str">
        <f>HYPERLINK("https://ssdweb.co/ssdweb/CERTH/689587095.pdf","CERTI")</f>
        <v>CERTI</v>
      </c>
    </row>
    <row r="1213" spans="1:27" ht="15" x14ac:dyDescent="0.25">
      <c r="A1213" s="2">
        <v>1208</v>
      </c>
      <c r="B1213" s="39">
        <v>941070886</v>
      </c>
      <c r="C1213" s="28" t="str">
        <f>HYPERLINK("https://pld.live/RapDetail.aspx?STONELIST=941070886","DNA")</f>
        <v>DNA</v>
      </c>
      <c r="D1213" s="18" t="s">
        <v>3054</v>
      </c>
      <c r="E1213" s="18" t="s">
        <v>5128</v>
      </c>
      <c r="F1213" s="2" t="s">
        <v>7987</v>
      </c>
      <c r="G1213" s="2" t="s">
        <v>861</v>
      </c>
      <c r="H1213" s="14">
        <v>1</v>
      </c>
      <c r="I1213" s="2" t="s">
        <v>4761</v>
      </c>
      <c r="J1213" s="2" t="s">
        <v>3942</v>
      </c>
      <c r="K1213" s="2" t="s">
        <v>3390</v>
      </c>
      <c r="L1213" s="2" t="s">
        <v>5221</v>
      </c>
      <c r="M1213" s="2" t="s">
        <v>5221</v>
      </c>
      <c r="N1213" s="2" t="s">
        <v>2317</v>
      </c>
      <c r="O1213" s="14">
        <v>9300</v>
      </c>
      <c r="P1213" s="14">
        <v>98.65</v>
      </c>
      <c r="Q1213" s="14">
        <v>125.55</v>
      </c>
      <c r="R1213" s="14">
        <v>125.55</v>
      </c>
      <c r="S1213" s="2" t="s">
        <v>3911</v>
      </c>
      <c r="T1213" s="2">
        <v>1.01</v>
      </c>
      <c r="U1213" s="2">
        <v>61.3</v>
      </c>
      <c r="V1213" s="2">
        <v>60</v>
      </c>
      <c r="W1213" s="2" t="s">
        <v>7862</v>
      </c>
      <c r="X1213" s="2" t="s">
        <v>5405</v>
      </c>
      <c r="Y1213" s="2">
        <v>9300</v>
      </c>
      <c r="Z1213" s="19" t="str">
        <f>HYPERLINK("https://ssdweb.co/ssdweb/hd/Vision360.html?d=941070886&amp;zoomslide=1&amp;z=1941070886&amp;ISCONFIRM=0","VIDEO")</f>
        <v>VIDEO</v>
      </c>
      <c r="AA1213" s="19" t="str">
        <f>HYPERLINK("https://ssdweb.co/ssdweb/CERTH/689587157.pdf","CERTI")</f>
        <v>CERTI</v>
      </c>
    </row>
    <row r="1214" spans="1:27" ht="15" x14ac:dyDescent="0.25">
      <c r="A1214" s="2">
        <v>1209</v>
      </c>
      <c r="B1214" s="39">
        <v>941170229</v>
      </c>
      <c r="C1214" s="28" t="str">
        <f>HYPERLINK("https://pld.live/RapDetail.aspx?STONELIST=941170229","DNA")</f>
        <v>DNA</v>
      </c>
      <c r="D1214" s="18" t="s">
        <v>3054</v>
      </c>
      <c r="E1214" s="18" t="s">
        <v>5128</v>
      </c>
      <c r="F1214" s="2" t="s">
        <v>7987</v>
      </c>
      <c r="G1214" s="2" t="s">
        <v>861</v>
      </c>
      <c r="H1214" s="14">
        <v>1</v>
      </c>
      <c r="I1214" s="2" t="s">
        <v>4761</v>
      </c>
      <c r="J1214" s="2" t="s">
        <v>3942</v>
      </c>
      <c r="K1214" s="2" t="s">
        <v>5221</v>
      </c>
      <c r="L1214" s="2" t="s">
        <v>5221</v>
      </c>
      <c r="M1214" s="2" t="s">
        <v>5221</v>
      </c>
      <c r="N1214" s="2" t="s">
        <v>2317</v>
      </c>
      <c r="O1214" s="14">
        <v>9300</v>
      </c>
      <c r="P1214" s="14">
        <v>98.65</v>
      </c>
      <c r="Q1214" s="14">
        <v>125.55</v>
      </c>
      <c r="R1214" s="14">
        <v>125.55</v>
      </c>
      <c r="S1214" s="2" t="s">
        <v>7340</v>
      </c>
      <c r="T1214" s="2">
        <v>1.01</v>
      </c>
      <c r="U1214" s="2">
        <v>63.3</v>
      </c>
      <c r="V1214" s="2">
        <v>56</v>
      </c>
      <c r="W1214" s="2" t="s">
        <v>7862</v>
      </c>
      <c r="X1214" s="2" t="s">
        <v>5405</v>
      </c>
      <c r="Y1214" s="2">
        <v>9300</v>
      </c>
      <c r="Z1214" s="19" t="str">
        <f>HYPERLINK("https://ssdweb.co/ssdweb/hd/Vision360.html?d=941170229&amp;zoomslide=1&amp;z=1941170229&amp;ISCONFIRM=0","VIDEO")</f>
        <v>VIDEO</v>
      </c>
      <c r="AA1214" s="19" t="str">
        <f>HYPERLINK("https://ssdweb.co/ssdweb/CERTH/689587070.pdf","CERTI")</f>
        <v>CERTI</v>
      </c>
    </row>
    <row r="1215" spans="1:27" ht="15" x14ac:dyDescent="0.25">
      <c r="A1215" s="2">
        <v>1210</v>
      </c>
      <c r="B1215" s="39">
        <v>941071094</v>
      </c>
      <c r="C1215" s="28" t="str">
        <f>HYPERLINK("https://pld.live/RapDetail.aspx?STONELIST=941071094","DNA")</f>
        <v>DNA</v>
      </c>
      <c r="D1215" s="18" t="s">
        <v>3054</v>
      </c>
      <c r="E1215" s="18" t="s">
        <v>5128</v>
      </c>
      <c r="F1215" s="2" t="s">
        <v>7987</v>
      </c>
      <c r="G1215" s="2" t="s">
        <v>861</v>
      </c>
      <c r="H1215" s="14">
        <v>1</v>
      </c>
      <c r="I1215" s="2" t="s">
        <v>4761</v>
      </c>
      <c r="J1215" s="2" t="s">
        <v>3942</v>
      </c>
      <c r="K1215" s="2" t="s">
        <v>5221</v>
      </c>
      <c r="L1215" s="2" t="s">
        <v>5221</v>
      </c>
      <c r="M1215" s="2" t="s">
        <v>5221</v>
      </c>
      <c r="N1215" s="2" t="s">
        <v>2317</v>
      </c>
      <c r="O1215" s="14">
        <v>9300</v>
      </c>
      <c r="P1215" s="14">
        <v>98.65</v>
      </c>
      <c r="Q1215" s="14">
        <v>125.55</v>
      </c>
      <c r="R1215" s="14">
        <v>125.55</v>
      </c>
      <c r="S1215" s="2" t="s">
        <v>2546</v>
      </c>
      <c r="T1215" s="2">
        <v>1.01</v>
      </c>
      <c r="U1215" s="2">
        <v>63</v>
      </c>
      <c r="V1215" s="2">
        <v>55</v>
      </c>
      <c r="W1215" s="2" t="s">
        <v>7862</v>
      </c>
      <c r="X1215" s="2" t="s">
        <v>5405</v>
      </c>
      <c r="Y1215" s="2">
        <v>9300</v>
      </c>
      <c r="Z1215" s="19" t="str">
        <f>HYPERLINK("https://ssdweb.co/ssdweb/hd/Vision360.html?d=941071094&amp;zoomslide=1&amp;z=1941071094&amp;ISCONFIRM=0","VIDEO")</f>
        <v>VIDEO</v>
      </c>
      <c r="AA1215" s="19" t="str">
        <f>HYPERLINK("https://ssdweb.co/ssdweb/CERTH/671411266.pdf","CERTI")</f>
        <v>CERTI</v>
      </c>
    </row>
    <row r="1216" spans="1:27" ht="15" x14ac:dyDescent="0.25">
      <c r="A1216" s="2">
        <v>1211</v>
      </c>
      <c r="B1216" s="39">
        <v>926210893</v>
      </c>
      <c r="C1216" s="28" t="str">
        <f>HYPERLINK("https://pld.live/RapDetail.aspx?STONELIST=926210893","DNA")</f>
        <v>DNA</v>
      </c>
      <c r="D1216" s="18" t="s">
        <v>4121</v>
      </c>
      <c r="E1216" s="18" t="s">
        <v>5128</v>
      </c>
      <c r="F1216" s="2" t="s">
        <v>7987</v>
      </c>
      <c r="G1216" s="2" t="s">
        <v>861</v>
      </c>
      <c r="H1216" s="14">
        <v>0.96</v>
      </c>
      <c r="I1216" s="2" t="s">
        <v>4761</v>
      </c>
      <c r="J1216" s="2" t="s">
        <v>3942</v>
      </c>
      <c r="K1216" s="2" t="s">
        <v>5221</v>
      </c>
      <c r="L1216" s="2" t="s">
        <v>5221</v>
      </c>
      <c r="M1216" s="2" t="s">
        <v>5721</v>
      </c>
      <c r="N1216" s="2" t="s">
        <v>2317</v>
      </c>
      <c r="O1216" s="14">
        <v>6900</v>
      </c>
      <c r="P1216" s="14">
        <v>98.32</v>
      </c>
      <c r="Q1216" s="14">
        <v>115.92</v>
      </c>
      <c r="R1216" s="14">
        <v>111.28</v>
      </c>
      <c r="S1216" s="2" t="s">
        <v>2966</v>
      </c>
      <c r="T1216" s="2">
        <v>1.01</v>
      </c>
      <c r="U1216" s="2">
        <v>63.2</v>
      </c>
      <c r="V1216" s="2">
        <v>55</v>
      </c>
      <c r="W1216" s="2" t="s">
        <v>7862</v>
      </c>
      <c r="X1216" s="2" t="s">
        <v>5405</v>
      </c>
      <c r="Y1216" s="2">
        <v>6624</v>
      </c>
      <c r="Z1216" s="19" t="str">
        <f>HYPERLINK("https://ssdweb.co/ssdweb/hd/Vision360.html?d=926210893&amp;zoomslide=1&amp;z=1926210893&amp;ISCONFIRM=0","VIDEO")</f>
        <v>VIDEO</v>
      </c>
      <c r="AA1216" s="19" t="str">
        <f>HYPERLINK("https://ssdweb.co/ssdweb/CERTH/635427048.pdf","CERTI")</f>
        <v>CERTI</v>
      </c>
    </row>
    <row r="1217" spans="1:27" ht="15" x14ac:dyDescent="0.25">
      <c r="A1217" s="2">
        <v>1212</v>
      </c>
      <c r="B1217" s="39">
        <v>926111313</v>
      </c>
      <c r="C1217" s="28" t="str">
        <f>HYPERLINK("https://pld.live/RapDetail.aspx?STONELIST=926111313","DNA")</f>
        <v>DNA</v>
      </c>
      <c r="D1217" s="18" t="s">
        <v>4121</v>
      </c>
      <c r="E1217" s="18" t="s">
        <v>5128</v>
      </c>
      <c r="F1217" s="2" t="s">
        <v>7987</v>
      </c>
      <c r="G1217" s="2" t="s">
        <v>861</v>
      </c>
      <c r="H1217" s="14">
        <v>0.95</v>
      </c>
      <c r="I1217" s="2" t="s">
        <v>267</v>
      </c>
      <c r="J1217" s="2" t="s">
        <v>3942</v>
      </c>
      <c r="K1217" s="2" t="s">
        <v>5221</v>
      </c>
      <c r="L1217" s="2" t="s">
        <v>5221</v>
      </c>
      <c r="M1217" s="2" t="s">
        <v>5221</v>
      </c>
      <c r="N1217" s="2" t="s">
        <v>2317</v>
      </c>
      <c r="O1217" s="14">
        <v>7500</v>
      </c>
      <c r="P1217" s="14">
        <v>98.41</v>
      </c>
      <c r="Q1217" s="14">
        <v>119.25</v>
      </c>
      <c r="R1217" s="14">
        <v>113.29</v>
      </c>
      <c r="S1217" s="2" t="s">
        <v>7767</v>
      </c>
      <c r="T1217" s="2">
        <v>1</v>
      </c>
      <c r="U1217" s="2">
        <v>62.6</v>
      </c>
      <c r="V1217" s="2">
        <v>56</v>
      </c>
      <c r="W1217" s="2" t="s">
        <v>7862</v>
      </c>
      <c r="X1217" s="2" t="s">
        <v>5405</v>
      </c>
      <c r="Y1217" s="2">
        <v>7125</v>
      </c>
      <c r="Z1217" s="19" t="str">
        <f>HYPERLINK("https://ssdweb.co/ssdweb/hd/Vision360.html?d=926111313&amp;zoomslide=1&amp;z=1926111313&amp;ISCONFIRM=0","VIDEO")</f>
        <v>VIDEO</v>
      </c>
      <c r="AA1217" s="19" t="str">
        <f>HYPERLINK("https://ssdweb.co/ssdweb/CERTH/634431259.pdf","CERTI")</f>
        <v>CERTI</v>
      </c>
    </row>
    <row r="1218" spans="1:27" ht="15" x14ac:dyDescent="0.25">
      <c r="A1218" s="2">
        <v>1213</v>
      </c>
      <c r="B1218" s="39">
        <v>941071240</v>
      </c>
      <c r="C1218" s="28" t="str">
        <f>HYPERLINK("https://pld.live/RapDetail.aspx?STONELIST=941071240","DNA")</f>
        <v>DNA</v>
      </c>
      <c r="D1218" s="18" t="s">
        <v>4121</v>
      </c>
      <c r="E1218" s="18" t="s">
        <v>5128</v>
      </c>
      <c r="F1218" s="2" t="s">
        <v>7987</v>
      </c>
      <c r="G1218" s="2" t="s">
        <v>861</v>
      </c>
      <c r="H1218" s="14">
        <v>0.95</v>
      </c>
      <c r="I1218" s="2" t="s">
        <v>267</v>
      </c>
      <c r="J1218" s="2" t="s">
        <v>5144</v>
      </c>
      <c r="K1218" s="2" t="s">
        <v>5221</v>
      </c>
      <c r="L1218" s="2" t="s">
        <v>5221</v>
      </c>
      <c r="M1218" s="2" t="s">
        <v>5221</v>
      </c>
      <c r="N1218" s="2" t="s">
        <v>2317</v>
      </c>
      <c r="O1218" s="14">
        <v>5200</v>
      </c>
      <c r="P1218" s="14">
        <v>97.77</v>
      </c>
      <c r="Q1218" s="14">
        <v>115.96</v>
      </c>
      <c r="R1218" s="14">
        <v>110.16</v>
      </c>
      <c r="S1218" s="2" t="s">
        <v>8103</v>
      </c>
      <c r="T1218" s="2">
        <v>1.01</v>
      </c>
      <c r="U1218" s="2">
        <v>63.1</v>
      </c>
      <c r="V1218" s="2">
        <v>57</v>
      </c>
      <c r="W1218" s="2" t="s">
        <v>7862</v>
      </c>
      <c r="X1218" s="2" t="s">
        <v>5405</v>
      </c>
      <c r="Y1218" s="2">
        <v>4940</v>
      </c>
      <c r="Z1218" s="19" t="str">
        <f>HYPERLINK("https://ssdweb.co/ssdweb/hd/Vision360.html?d=941071240&amp;zoomslide=1&amp;z=1941071240&amp;ISCONFIRM=0","VIDEO")</f>
        <v>VIDEO</v>
      </c>
      <c r="AA1218" s="19" t="str">
        <f>HYPERLINK("https://ssdweb.co/ssdweb/CERTH/671427863.pdf","CERTI")</f>
        <v>CERTI</v>
      </c>
    </row>
    <row r="1219" spans="1:27" ht="15" x14ac:dyDescent="0.25">
      <c r="A1219" s="2">
        <v>1214</v>
      </c>
      <c r="B1219" s="39">
        <v>926211094</v>
      </c>
      <c r="C1219" s="28" t="str">
        <f>HYPERLINK("https://pld.live/RapDetail.aspx?STONELIST=926211094","DNA")</f>
        <v>DNA</v>
      </c>
      <c r="D1219" s="18" t="s">
        <v>2990</v>
      </c>
      <c r="E1219" s="18" t="s">
        <v>5128</v>
      </c>
      <c r="F1219" s="2" t="s">
        <v>7987</v>
      </c>
      <c r="G1219" s="2" t="s">
        <v>861</v>
      </c>
      <c r="H1219" s="14">
        <v>0.94</v>
      </c>
      <c r="I1219" s="2" t="s">
        <v>267</v>
      </c>
      <c r="J1219" s="2" t="s">
        <v>5144</v>
      </c>
      <c r="K1219" s="2" t="s">
        <v>5221</v>
      </c>
      <c r="L1219" s="2" t="s">
        <v>5221</v>
      </c>
      <c r="M1219" s="2" t="s">
        <v>5221</v>
      </c>
      <c r="N1219" s="2" t="s">
        <v>2317</v>
      </c>
      <c r="O1219" s="14">
        <v>5200</v>
      </c>
      <c r="P1219" s="14">
        <v>97.83</v>
      </c>
      <c r="Q1219" s="14">
        <v>112.84</v>
      </c>
      <c r="R1219" s="14">
        <v>106.07</v>
      </c>
      <c r="S1219" s="2" t="s">
        <v>2965</v>
      </c>
      <c r="T1219" s="2">
        <v>1.01</v>
      </c>
      <c r="U1219" s="2">
        <v>63.4</v>
      </c>
      <c r="V1219" s="2">
        <v>57</v>
      </c>
      <c r="W1219" s="2" t="s">
        <v>7862</v>
      </c>
      <c r="X1219" s="2" t="s">
        <v>5405</v>
      </c>
      <c r="Y1219" s="2">
        <v>4888</v>
      </c>
      <c r="Z1219" s="19" t="str">
        <f>HYPERLINK("https://ssdweb.co/ssdweb/hd/Vision360.html?d=926211094&amp;zoomslide=1&amp;z=1926211094&amp;ISCONFIRM=0","VIDEO")</f>
        <v>VIDEO</v>
      </c>
      <c r="AA1219" s="19" t="str">
        <f>HYPERLINK("https://ssdweb.co/ssdweb/CERTH/638463059.pdf","CERTI")</f>
        <v>CERTI</v>
      </c>
    </row>
    <row r="1220" spans="1:27" ht="15" x14ac:dyDescent="0.25">
      <c r="A1220" s="2">
        <v>1215</v>
      </c>
      <c r="B1220" s="39">
        <v>926790835</v>
      </c>
      <c r="C1220" s="28" t="str">
        <f>HYPERLINK("https://pld.live/RapDetail.aspx?STONELIST=926790835","DNA")</f>
        <v>DNA</v>
      </c>
      <c r="D1220" s="18" t="s">
        <v>2990</v>
      </c>
      <c r="E1220" s="18" t="s">
        <v>2186</v>
      </c>
      <c r="F1220" s="2" t="s">
        <v>7987</v>
      </c>
      <c r="G1220" s="2" t="s">
        <v>861</v>
      </c>
      <c r="H1220" s="14">
        <v>0.94</v>
      </c>
      <c r="I1220" s="2" t="s">
        <v>4761</v>
      </c>
      <c r="J1220" s="2" t="s">
        <v>3942</v>
      </c>
      <c r="K1220" s="2" t="s">
        <v>5221</v>
      </c>
      <c r="L1220" s="2" t="s">
        <v>5221</v>
      </c>
      <c r="M1220" s="2" t="s">
        <v>5221</v>
      </c>
      <c r="N1220" s="2" t="s">
        <v>2317</v>
      </c>
      <c r="O1220" s="14">
        <v>6900</v>
      </c>
      <c r="P1220" s="14">
        <v>98.29</v>
      </c>
      <c r="Q1220" s="14">
        <v>117.99</v>
      </c>
      <c r="R1220" s="14">
        <v>110.91</v>
      </c>
      <c r="S1220" s="2" t="s">
        <v>6006</v>
      </c>
      <c r="T1220" s="2">
        <v>1</v>
      </c>
      <c r="U1220" s="2">
        <v>61.6</v>
      </c>
      <c r="V1220" s="2">
        <v>58</v>
      </c>
      <c r="W1220" s="2" t="s">
        <v>7862</v>
      </c>
      <c r="X1220" s="2" t="s">
        <v>5405</v>
      </c>
      <c r="Y1220" s="2">
        <v>6486</v>
      </c>
      <c r="Z1220" s="19" t="str">
        <f>HYPERLINK("https://ssdweb.co/ssdweb/hd/Vision360.html?d=926790835&amp;zoomslide=1&amp;z=1926790835&amp;ISCONFIRM=0","VIDEO")</f>
        <v>VIDEO</v>
      </c>
      <c r="AA1220" s="19" t="str">
        <f>HYPERLINK("https://ssdweb.co/ssdweb/CERTH/689586893.pdf","CERTI")</f>
        <v>CERTI</v>
      </c>
    </row>
    <row r="1221" spans="1:27" ht="15" x14ac:dyDescent="0.25">
      <c r="A1221" s="2">
        <v>1216</v>
      </c>
      <c r="B1221" s="39">
        <v>925900336</v>
      </c>
      <c r="C1221" s="28" t="str">
        <f>HYPERLINK("https://pld.live/RapDetail.aspx?STONELIST=925900336","DNA")</f>
        <v>DNA</v>
      </c>
      <c r="D1221" s="18" t="s">
        <v>2990</v>
      </c>
      <c r="E1221" s="18" t="s">
        <v>5128</v>
      </c>
      <c r="F1221" s="2" t="s">
        <v>5597</v>
      </c>
      <c r="G1221" s="2" t="s">
        <v>861</v>
      </c>
      <c r="H1221" s="14">
        <v>0.94</v>
      </c>
      <c r="I1221" s="2" t="s">
        <v>4761</v>
      </c>
      <c r="J1221" s="2" t="s">
        <v>5144</v>
      </c>
      <c r="K1221" s="2" t="s">
        <v>5221</v>
      </c>
      <c r="L1221" s="2" t="s">
        <v>5221</v>
      </c>
      <c r="M1221" s="2" t="s">
        <v>5221</v>
      </c>
      <c r="N1221" s="2" t="s">
        <v>2317</v>
      </c>
      <c r="O1221" s="14">
        <v>4800</v>
      </c>
      <c r="P1221" s="14">
        <v>95.81</v>
      </c>
      <c r="Q1221" s="14">
        <v>201.12</v>
      </c>
      <c r="R1221" s="14">
        <v>189.05</v>
      </c>
      <c r="S1221" s="2" t="s">
        <v>4304</v>
      </c>
      <c r="T1221" s="2">
        <v>1</v>
      </c>
      <c r="U1221" s="2">
        <v>62</v>
      </c>
      <c r="V1221" s="2">
        <v>58</v>
      </c>
      <c r="W1221" s="2" t="s">
        <v>7862</v>
      </c>
      <c r="X1221" s="2" t="s">
        <v>5405</v>
      </c>
      <c r="Y1221" s="2">
        <v>4512</v>
      </c>
      <c r="Z1221" s="19" t="str">
        <f>HYPERLINK("https://ssdweb.co/ssdweb/hd/Vision360.html?d=925900336&amp;zoomslide=1&amp;z=1925900336&amp;ISCONFIRM=0","VIDEO")</f>
        <v>VIDEO</v>
      </c>
      <c r="AA1221" s="19" t="str">
        <f>HYPERLINK("https://ssdweb.co/ssdweb/CERTH/2486966347.pdf","CERTI")</f>
        <v>CERTI</v>
      </c>
    </row>
    <row r="1222" spans="1:27" ht="15" x14ac:dyDescent="0.25">
      <c r="A1222" s="2">
        <v>1217</v>
      </c>
      <c r="B1222" s="39">
        <v>926211135</v>
      </c>
      <c r="C1222" s="28" t="str">
        <f>HYPERLINK("https://pld.live/RapDetail.aspx?STONELIST=926211135","DNA")</f>
        <v>DNA</v>
      </c>
      <c r="D1222" s="18" t="s">
        <v>2990</v>
      </c>
      <c r="E1222" s="18" t="s">
        <v>5128</v>
      </c>
      <c r="F1222" s="2" t="s">
        <v>7987</v>
      </c>
      <c r="G1222" s="2" t="s">
        <v>861</v>
      </c>
      <c r="H1222" s="14">
        <v>0.93</v>
      </c>
      <c r="I1222" s="2" t="s">
        <v>267</v>
      </c>
      <c r="J1222" s="2" t="s">
        <v>3942</v>
      </c>
      <c r="K1222" s="2" t="s">
        <v>3390</v>
      </c>
      <c r="L1222" s="2" t="s">
        <v>5721</v>
      </c>
      <c r="M1222" s="2" t="s">
        <v>5221</v>
      </c>
      <c r="N1222" s="2" t="s">
        <v>2317</v>
      </c>
      <c r="O1222" s="14">
        <v>7500</v>
      </c>
      <c r="P1222" s="14">
        <v>98.45</v>
      </c>
      <c r="Q1222" s="14">
        <v>116.25</v>
      </c>
      <c r="R1222" s="14">
        <v>108.11</v>
      </c>
      <c r="S1222" s="2" t="s">
        <v>946</v>
      </c>
      <c r="T1222" s="2">
        <v>1</v>
      </c>
      <c r="U1222" s="2">
        <v>61.9</v>
      </c>
      <c r="V1222" s="2">
        <v>60</v>
      </c>
      <c r="W1222" s="2" t="s">
        <v>7862</v>
      </c>
      <c r="X1222" s="2" t="s">
        <v>5405</v>
      </c>
      <c r="Y1222" s="2">
        <v>6975</v>
      </c>
      <c r="Z1222" s="19" t="str">
        <f>HYPERLINK("https://ssdweb.co/ssdweb/hd/Vision360.html?d=926211135&amp;zoomslide=1&amp;z=1926211135&amp;ISCONFIRM=0","VIDEO")</f>
        <v>VIDEO</v>
      </c>
      <c r="AA1222" s="19" t="str">
        <f>HYPERLINK("https://ssdweb.co/ssdweb/CERTH/638462952.pdf","CERTI")</f>
        <v>CERTI</v>
      </c>
    </row>
    <row r="1223" spans="1:27" ht="15" x14ac:dyDescent="0.25">
      <c r="A1223" s="2">
        <v>1218</v>
      </c>
      <c r="B1223" s="39">
        <v>926111358</v>
      </c>
      <c r="C1223" s="28" t="str">
        <f>HYPERLINK("https://pld.live/RapDetail.aspx?STONELIST=926111358","DNA")</f>
        <v>DNA</v>
      </c>
      <c r="D1223" s="18" t="s">
        <v>2990</v>
      </c>
      <c r="E1223" s="18" t="s">
        <v>5128</v>
      </c>
      <c r="F1223" s="2" t="s">
        <v>7987</v>
      </c>
      <c r="G1223" s="2" t="s">
        <v>861</v>
      </c>
      <c r="H1223" s="14">
        <v>0.93</v>
      </c>
      <c r="I1223" s="2" t="s">
        <v>267</v>
      </c>
      <c r="J1223" s="2" t="s">
        <v>3942</v>
      </c>
      <c r="K1223" s="2" t="s">
        <v>5221</v>
      </c>
      <c r="L1223" s="2" t="s">
        <v>5221</v>
      </c>
      <c r="M1223" s="2" t="s">
        <v>5221</v>
      </c>
      <c r="N1223" s="2" t="s">
        <v>2317</v>
      </c>
      <c r="O1223" s="14">
        <v>7500</v>
      </c>
      <c r="P1223" s="14">
        <v>98.44</v>
      </c>
      <c r="Q1223" s="14">
        <v>117</v>
      </c>
      <c r="R1223" s="14">
        <v>108.81</v>
      </c>
      <c r="S1223" s="2" t="s">
        <v>1146</v>
      </c>
      <c r="T1223" s="2">
        <v>1.01</v>
      </c>
      <c r="U1223" s="2">
        <v>62.7</v>
      </c>
      <c r="V1223" s="2">
        <v>57</v>
      </c>
      <c r="W1223" s="2" t="s">
        <v>7862</v>
      </c>
      <c r="X1223" s="2" t="s">
        <v>5405</v>
      </c>
      <c r="Y1223" s="2">
        <v>6975</v>
      </c>
      <c r="Z1223" s="19" t="str">
        <f>HYPERLINK("https://ssdweb.co/ssdweb/hd/Vision360.html?d=926111358&amp;zoomslide=1&amp;z=1926111358&amp;ISCONFIRM=0","VIDEO")</f>
        <v>VIDEO</v>
      </c>
      <c r="AA1223" s="19" t="str">
        <f>HYPERLINK("https://ssdweb.co/ssdweb/CERTH/635423849.pdf","CERTI")</f>
        <v>CERTI</v>
      </c>
    </row>
    <row r="1224" spans="1:27" ht="15" x14ac:dyDescent="0.25">
      <c r="A1224" s="2">
        <v>1219</v>
      </c>
      <c r="B1224" s="39">
        <v>926111363</v>
      </c>
      <c r="C1224" s="28" t="str">
        <f>HYPERLINK("https://pld.live/RapDetail.aspx?STONELIST=926111363","DNA")</f>
        <v>DNA</v>
      </c>
      <c r="D1224" s="18" t="s">
        <v>2990</v>
      </c>
      <c r="E1224" s="18" t="s">
        <v>5128</v>
      </c>
      <c r="F1224" s="2" t="s">
        <v>7987</v>
      </c>
      <c r="G1224" s="2" t="s">
        <v>861</v>
      </c>
      <c r="H1224" s="14">
        <v>0.93</v>
      </c>
      <c r="I1224" s="2" t="s">
        <v>267</v>
      </c>
      <c r="J1224" s="2" t="s">
        <v>13</v>
      </c>
      <c r="K1224" s="2" t="s">
        <v>5221</v>
      </c>
      <c r="L1224" s="2" t="s">
        <v>5221</v>
      </c>
      <c r="M1224" s="2" t="s">
        <v>5221</v>
      </c>
      <c r="N1224" s="2" t="s">
        <v>2317</v>
      </c>
      <c r="O1224" s="14">
        <v>6000</v>
      </c>
      <c r="P1224" s="14">
        <v>98.08</v>
      </c>
      <c r="Q1224" s="14">
        <v>115.2</v>
      </c>
      <c r="R1224" s="14">
        <v>107.14</v>
      </c>
      <c r="S1224" s="2" t="s">
        <v>603</v>
      </c>
      <c r="T1224" s="2">
        <v>1</v>
      </c>
      <c r="U1224" s="2">
        <v>62.7</v>
      </c>
      <c r="V1224" s="2">
        <v>57</v>
      </c>
      <c r="W1224" s="2" t="s">
        <v>7862</v>
      </c>
      <c r="X1224" s="2" t="s">
        <v>5405</v>
      </c>
      <c r="Y1224" s="2">
        <v>5580</v>
      </c>
      <c r="Z1224" s="19" t="str">
        <f>HYPERLINK("https://ssdweb.co/ssdweb/hd/Vision360.html?d=926111363&amp;zoomslide=1&amp;z=1926111363&amp;ISCONFIRM=0","VIDEO")</f>
        <v>VIDEO</v>
      </c>
      <c r="AA1224" s="19" t="str">
        <f>HYPERLINK("https://ssdweb.co/ssdweb/CERTH/635427133.pdf","CERTI")</f>
        <v>CERTI</v>
      </c>
    </row>
    <row r="1225" spans="1:27" ht="15" x14ac:dyDescent="0.25">
      <c r="A1225" s="2">
        <v>1220</v>
      </c>
      <c r="B1225" s="39">
        <v>924880186</v>
      </c>
      <c r="C1225" s="28" t="str">
        <f>HYPERLINK("https://pld.live/RapDetail.aspx?STONELIST=924880186","DNA")</f>
        <v>DNA</v>
      </c>
      <c r="D1225" s="18" t="s">
        <v>2990</v>
      </c>
      <c r="E1225" s="18" t="s">
        <v>5128</v>
      </c>
      <c r="F1225" s="2" t="s">
        <v>7987</v>
      </c>
      <c r="G1225" s="2" t="s">
        <v>861</v>
      </c>
      <c r="H1225" s="14">
        <v>0.93</v>
      </c>
      <c r="I1225" s="2" t="s">
        <v>4761</v>
      </c>
      <c r="J1225" s="2" t="s">
        <v>7032</v>
      </c>
      <c r="K1225" s="2" t="s">
        <v>3390</v>
      </c>
      <c r="L1225" s="2" t="s">
        <v>5221</v>
      </c>
      <c r="M1225" s="2" t="s">
        <v>5221</v>
      </c>
      <c r="N1225" s="2" t="s">
        <v>2317</v>
      </c>
      <c r="O1225" s="14">
        <v>9500</v>
      </c>
      <c r="P1225" s="14">
        <v>98</v>
      </c>
      <c r="Q1225" s="14">
        <v>190</v>
      </c>
      <c r="R1225" s="14">
        <v>176.7</v>
      </c>
      <c r="S1225" s="2" t="s">
        <v>6954</v>
      </c>
      <c r="T1225" s="2">
        <v>1.01</v>
      </c>
      <c r="U1225" s="2">
        <v>62.5</v>
      </c>
      <c r="V1225" s="2">
        <v>56</v>
      </c>
      <c r="W1225" s="2" t="s">
        <v>7862</v>
      </c>
      <c r="X1225" s="2" t="s">
        <v>5405</v>
      </c>
      <c r="Y1225" s="2">
        <v>8835</v>
      </c>
      <c r="Z1225" s="19" t="str">
        <f>HYPERLINK("https://ssdweb.co/ssdweb/hd/Vision360.html?d=924880186&amp;zoomslide=1&amp;z=1924880186&amp;ISCONFIRM=0","VIDEO")</f>
        <v>VIDEO</v>
      </c>
      <c r="AA1225" s="19" t="str">
        <f>HYPERLINK("https://ssdweb.co/ssdweb/CERTH/601323295.pdf","CERTI")</f>
        <v>CERTI</v>
      </c>
    </row>
    <row r="1226" spans="1:27" ht="15" x14ac:dyDescent="0.25">
      <c r="A1226" s="2">
        <v>1221</v>
      </c>
      <c r="B1226" s="39">
        <v>926211080</v>
      </c>
      <c r="C1226" s="28" t="str">
        <f>HYPERLINK("https://pld.live/RapDetail.aspx?STONELIST=926211080","DNA")</f>
        <v>DNA</v>
      </c>
      <c r="D1226" s="18" t="s">
        <v>2990</v>
      </c>
      <c r="E1226" s="18" t="s">
        <v>5128</v>
      </c>
      <c r="F1226" s="2" t="s">
        <v>7987</v>
      </c>
      <c r="G1226" s="2" t="s">
        <v>861</v>
      </c>
      <c r="H1226" s="14">
        <v>0.92</v>
      </c>
      <c r="I1226" s="2" t="s">
        <v>267</v>
      </c>
      <c r="J1226" s="2" t="s">
        <v>13</v>
      </c>
      <c r="K1226" s="2" t="s">
        <v>5221</v>
      </c>
      <c r="L1226" s="2" t="s">
        <v>5221</v>
      </c>
      <c r="M1226" s="2" t="s">
        <v>5721</v>
      </c>
      <c r="N1226" s="2" t="s">
        <v>2317</v>
      </c>
      <c r="O1226" s="14">
        <v>6000</v>
      </c>
      <c r="P1226" s="14">
        <v>98.1</v>
      </c>
      <c r="Q1226" s="14">
        <v>114</v>
      </c>
      <c r="R1226" s="14">
        <v>104.88</v>
      </c>
      <c r="S1226" s="2" t="s">
        <v>7692</v>
      </c>
      <c r="T1226" s="2">
        <v>1</v>
      </c>
      <c r="U1226" s="2">
        <v>63.1</v>
      </c>
      <c r="V1226" s="2">
        <v>56</v>
      </c>
      <c r="W1226" s="2" t="s">
        <v>7862</v>
      </c>
      <c r="X1226" s="2" t="s">
        <v>5405</v>
      </c>
      <c r="Y1226" s="2">
        <v>5520</v>
      </c>
      <c r="Z1226" s="19" t="str">
        <f>HYPERLINK("https://ssdweb.co/ssdweb/hd/Vision360.html?d=926211080&amp;zoomslide=1&amp;z=1926211080&amp;ISCONFIRM=0","VIDEO")</f>
        <v>VIDEO</v>
      </c>
      <c r="AA1226" s="19" t="str">
        <f>HYPERLINK("https://ssdweb.co/ssdweb/CERTH/638463047.pdf","CERTI")</f>
        <v>CERTI</v>
      </c>
    </row>
    <row r="1227" spans="1:27" ht="15" x14ac:dyDescent="0.25">
      <c r="A1227" s="2">
        <v>1222</v>
      </c>
      <c r="B1227" s="39">
        <v>926211138</v>
      </c>
      <c r="C1227" s="28" t="str">
        <f>HYPERLINK("https://pld.live/RapDetail.aspx?STONELIST=926211138","DNA")</f>
        <v>DNA</v>
      </c>
      <c r="D1227" s="18" t="s">
        <v>2990</v>
      </c>
      <c r="E1227" s="18" t="s">
        <v>5128</v>
      </c>
      <c r="F1227" s="2" t="s">
        <v>7987</v>
      </c>
      <c r="G1227" s="2" t="s">
        <v>861</v>
      </c>
      <c r="H1227" s="14">
        <v>0.92</v>
      </c>
      <c r="I1227" s="2" t="s">
        <v>267</v>
      </c>
      <c r="J1227" s="2" t="s">
        <v>5144</v>
      </c>
      <c r="K1227" s="2" t="s">
        <v>3390</v>
      </c>
      <c r="L1227" s="2" t="s">
        <v>5221</v>
      </c>
      <c r="M1227" s="2" t="s">
        <v>5221</v>
      </c>
      <c r="N1227" s="2" t="s">
        <v>2317</v>
      </c>
      <c r="O1227" s="14">
        <v>5200</v>
      </c>
      <c r="P1227" s="14">
        <v>97.83</v>
      </c>
      <c r="Q1227" s="14">
        <v>112.84</v>
      </c>
      <c r="R1227" s="14">
        <v>103.81</v>
      </c>
      <c r="S1227" s="2" t="s">
        <v>2671</v>
      </c>
      <c r="T1227" s="2">
        <v>1.01</v>
      </c>
      <c r="U1227" s="2">
        <v>61.9</v>
      </c>
      <c r="V1227" s="2">
        <v>58</v>
      </c>
      <c r="W1227" s="2" t="s">
        <v>7862</v>
      </c>
      <c r="X1227" s="2" t="s">
        <v>5405</v>
      </c>
      <c r="Y1227" s="2">
        <v>4784</v>
      </c>
      <c r="Z1227" s="19" t="str">
        <f>HYPERLINK("https://ssdweb.co/ssdweb/hd/Vision360.html?d=926211138&amp;zoomslide=1&amp;z=1926211138&amp;ISCONFIRM=0","VIDEO")</f>
        <v>VIDEO</v>
      </c>
      <c r="AA1227" s="19" t="str">
        <f>HYPERLINK("https://ssdweb.co/ssdweb/CERTH/639438699.pdf","CERTI")</f>
        <v>CERTI</v>
      </c>
    </row>
    <row r="1228" spans="1:27" ht="15" x14ac:dyDescent="0.25">
      <c r="A1228" s="2">
        <v>1223</v>
      </c>
      <c r="B1228" s="39">
        <v>926111316</v>
      </c>
      <c r="C1228" s="28" t="str">
        <f>HYPERLINK("https://pld.live/RapDetail.aspx?STONELIST=926111316","DNA")</f>
        <v>DNA</v>
      </c>
      <c r="D1228" s="18" t="s">
        <v>2990</v>
      </c>
      <c r="E1228" s="18" t="s">
        <v>5128</v>
      </c>
      <c r="F1228" s="2" t="s">
        <v>7987</v>
      </c>
      <c r="G1228" s="2" t="s">
        <v>861</v>
      </c>
      <c r="H1228" s="14">
        <v>0.92</v>
      </c>
      <c r="I1228" s="2" t="s">
        <v>4761</v>
      </c>
      <c r="J1228" s="2" t="s">
        <v>7032</v>
      </c>
      <c r="K1228" s="2" t="s">
        <v>3390</v>
      </c>
      <c r="L1228" s="2" t="s">
        <v>5221</v>
      </c>
      <c r="M1228" s="2" t="s">
        <v>5221</v>
      </c>
      <c r="N1228" s="2" t="s">
        <v>2317</v>
      </c>
      <c r="O1228" s="14">
        <v>9500</v>
      </c>
      <c r="P1228" s="14">
        <v>97.98</v>
      </c>
      <c r="Q1228" s="14">
        <v>191.9</v>
      </c>
      <c r="R1228" s="14">
        <v>176.55</v>
      </c>
      <c r="S1228" s="2" t="s">
        <v>4067</v>
      </c>
      <c r="T1228" s="2">
        <v>1.01</v>
      </c>
      <c r="U1228" s="2">
        <v>62.4</v>
      </c>
      <c r="V1228" s="2">
        <v>56</v>
      </c>
      <c r="W1228" s="2" t="s">
        <v>7862</v>
      </c>
      <c r="X1228" s="2" t="s">
        <v>5405</v>
      </c>
      <c r="Y1228" s="2">
        <v>8740</v>
      </c>
      <c r="Z1228" s="19" t="str">
        <f>HYPERLINK("https://ssdweb.co/ssdweb/hd/Vision360.html?d=926111316&amp;zoomslide=1&amp;z=1926111316&amp;ISCONFIRM=0","VIDEO")</f>
        <v>VIDEO</v>
      </c>
      <c r="AA1228" s="19" t="str">
        <f>HYPERLINK("https://ssdweb.co/ssdweb/CERTH/634431261.pdf","CERTI")</f>
        <v>CERTI</v>
      </c>
    </row>
    <row r="1229" spans="1:27" ht="15" x14ac:dyDescent="0.25">
      <c r="A1229" s="2">
        <v>1224</v>
      </c>
      <c r="B1229" s="39">
        <v>926921263</v>
      </c>
      <c r="C1229" s="28" t="str">
        <f>HYPERLINK("https://pld.live/RapDetail.aspx?STONELIST=926921263","DNA")</f>
        <v>DNA</v>
      </c>
      <c r="D1229" s="18" t="s">
        <v>2990</v>
      </c>
      <c r="E1229" s="18" t="s">
        <v>2186</v>
      </c>
      <c r="F1229" s="2" t="s">
        <v>7987</v>
      </c>
      <c r="G1229" s="2" t="s">
        <v>861</v>
      </c>
      <c r="H1229" s="14">
        <v>0.92</v>
      </c>
      <c r="I1229" s="2" t="s">
        <v>4761</v>
      </c>
      <c r="J1229" s="2" t="s">
        <v>3942</v>
      </c>
      <c r="K1229" s="2" t="s">
        <v>5221</v>
      </c>
      <c r="L1229" s="2" t="s">
        <v>5221</v>
      </c>
      <c r="M1229" s="2" t="s">
        <v>5221</v>
      </c>
      <c r="N1229" s="2" t="s">
        <v>2317</v>
      </c>
      <c r="O1229" s="14">
        <v>6900</v>
      </c>
      <c r="P1229" s="14">
        <v>98.29</v>
      </c>
      <c r="Q1229" s="14">
        <v>117.99</v>
      </c>
      <c r="R1229" s="14">
        <v>108.55</v>
      </c>
      <c r="S1229" s="2" t="s">
        <v>946</v>
      </c>
      <c r="T1229" s="2">
        <v>1</v>
      </c>
      <c r="U1229" s="2">
        <v>61.8</v>
      </c>
      <c r="V1229" s="2">
        <v>58</v>
      </c>
      <c r="W1229" s="2" t="s">
        <v>7862</v>
      </c>
      <c r="X1229" s="2" t="s">
        <v>5405</v>
      </c>
      <c r="Y1229" s="2">
        <v>6348</v>
      </c>
      <c r="Z1229" s="19" t="str">
        <f>HYPERLINK("https://ssdweb.co/ssdweb/hd/Vision360.html?d=926921263&amp;zoomslide=1&amp;z=1926921263&amp;ISCONFIRM=0","VIDEO")</f>
        <v>VIDEO</v>
      </c>
      <c r="AA1229" s="19" t="str">
        <f>HYPERLINK("https://ssdweb.co/ssdweb/CERTH/670484255.pdf","CERTI")</f>
        <v>CERTI</v>
      </c>
    </row>
    <row r="1230" spans="1:27" ht="15" x14ac:dyDescent="0.25">
      <c r="A1230" s="2">
        <v>1225</v>
      </c>
      <c r="B1230" s="39">
        <v>924690017</v>
      </c>
      <c r="C1230" s="28" t="str">
        <f>HYPERLINK("https://pld.live/RapDetail.aspx?STONELIST=924690017","DNA")</f>
        <v>DNA</v>
      </c>
      <c r="D1230" s="18" t="s">
        <v>2990</v>
      </c>
      <c r="E1230" s="18" t="s">
        <v>5128</v>
      </c>
      <c r="F1230" s="2" t="s">
        <v>7987</v>
      </c>
      <c r="G1230" s="2" t="s">
        <v>861</v>
      </c>
      <c r="H1230" s="14">
        <v>0.91</v>
      </c>
      <c r="I1230" s="2" t="s">
        <v>267</v>
      </c>
      <c r="J1230" s="2" t="s">
        <v>6555</v>
      </c>
      <c r="K1230" s="2" t="s">
        <v>5221</v>
      </c>
      <c r="L1230" s="2" t="s">
        <v>5221</v>
      </c>
      <c r="M1230" s="2" t="s">
        <v>5221</v>
      </c>
      <c r="N1230" s="2" t="s">
        <v>2317</v>
      </c>
      <c r="O1230" s="14">
        <v>9400</v>
      </c>
      <c r="P1230" s="14">
        <v>98.51</v>
      </c>
      <c r="Q1230" s="14">
        <v>140.06</v>
      </c>
      <c r="R1230" s="14">
        <v>127.45</v>
      </c>
      <c r="S1230" s="2" t="s">
        <v>1931</v>
      </c>
      <c r="T1230" s="2">
        <v>1.01</v>
      </c>
      <c r="U1230" s="2">
        <v>58.7</v>
      </c>
      <c r="V1230" s="2">
        <v>62</v>
      </c>
      <c r="W1230" s="2" t="s">
        <v>7862</v>
      </c>
      <c r="X1230" s="2" t="s">
        <v>5405</v>
      </c>
      <c r="Y1230" s="2">
        <v>8554</v>
      </c>
      <c r="Z1230" s="19" t="str">
        <f>HYPERLINK("https://ssdweb.co/ssdweb/hd/Vision360.html?d=924690017&amp;zoomslide=1&amp;z=1924690017&amp;ISCONFIRM=0","VIDEO")</f>
        <v>VIDEO</v>
      </c>
      <c r="AA1230" s="19" t="str">
        <f>HYPERLINK("https://ssdweb.co/ssdweb/CERTH/597364251.pdf","CERTI")</f>
        <v>CERTI</v>
      </c>
    </row>
    <row r="1231" spans="1:27" ht="15" x14ac:dyDescent="0.25">
      <c r="A1231" s="2">
        <v>1226</v>
      </c>
      <c r="B1231" s="39">
        <v>926270875</v>
      </c>
      <c r="C1231" s="28" t="str">
        <f>HYPERLINK("https://pld.live/RapDetail.aspx?STONELIST=926270875","DNA")</f>
        <v>DNA</v>
      </c>
      <c r="D1231" s="18" t="s">
        <v>2990</v>
      </c>
      <c r="E1231" s="18" t="s">
        <v>5128</v>
      </c>
      <c r="F1231" s="2" t="s">
        <v>7987</v>
      </c>
      <c r="G1231" s="2" t="s">
        <v>861</v>
      </c>
      <c r="H1231" s="14">
        <v>0.91</v>
      </c>
      <c r="I1231" s="2" t="s">
        <v>267</v>
      </c>
      <c r="J1231" s="2" t="s">
        <v>3942</v>
      </c>
      <c r="K1231" s="2" t="s">
        <v>5221</v>
      </c>
      <c r="L1231" s="2" t="s">
        <v>5221</v>
      </c>
      <c r="M1231" s="2" t="s">
        <v>5221</v>
      </c>
      <c r="N1231" s="2" t="s">
        <v>2317</v>
      </c>
      <c r="O1231" s="14">
        <v>7500</v>
      </c>
      <c r="P1231" s="14">
        <v>98.44</v>
      </c>
      <c r="Q1231" s="14">
        <v>117</v>
      </c>
      <c r="R1231" s="14">
        <v>106.47</v>
      </c>
      <c r="S1231" s="2" t="s">
        <v>2405</v>
      </c>
      <c r="T1231" s="2">
        <v>1.01</v>
      </c>
      <c r="U1231" s="2">
        <v>62.6</v>
      </c>
      <c r="V1231" s="2">
        <v>59</v>
      </c>
      <c r="W1231" s="2" t="s">
        <v>7862</v>
      </c>
      <c r="X1231" s="2" t="s">
        <v>5405</v>
      </c>
      <c r="Y1231" s="2">
        <v>6825</v>
      </c>
      <c r="Z1231" s="19" t="str">
        <f>HYPERLINK("https://ssdweb.co/ssdweb/hd/Vision360.html?d=926270875&amp;zoomslide=1&amp;z=1926270875&amp;ISCONFIRM=0","VIDEO")</f>
        <v>VIDEO</v>
      </c>
      <c r="AA1231" s="19" t="str">
        <f>HYPERLINK("https://ssdweb.co/ssdweb/CERTH/640485482.pdf","CERTI")</f>
        <v>CERTI</v>
      </c>
    </row>
    <row r="1232" spans="1:27" ht="15" x14ac:dyDescent="0.25">
      <c r="A1232" s="2">
        <v>1227</v>
      </c>
      <c r="B1232" s="39">
        <v>926211199</v>
      </c>
      <c r="C1232" s="28" t="str">
        <f>HYPERLINK("https://pld.live/RapDetail.aspx?STONELIST=926211199","DNA")</f>
        <v>DNA</v>
      </c>
      <c r="D1232" s="18" t="s">
        <v>2990</v>
      </c>
      <c r="E1232" s="18" t="s">
        <v>5128</v>
      </c>
      <c r="F1232" s="2" t="s">
        <v>7987</v>
      </c>
      <c r="G1232" s="2" t="s">
        <v>861</v>
      </c>
      <c r="H1232" s="14">
        <v>0.91</v>
      </c>
      <c r="I1232" s="2" t="s">
        <v>267</v>
      </c>
      <c r="J1232" s="2" t="s">
        <v>3942</v>
      </c>
      <c r="K1232" s="2" t="s">
        <v>5221</v>
      </c>
      <c r="L1232" s="2" t="s">
        <v>5221</v>
      </c>
      <c r="M1232" s="2" t="s">
        <v>5221</v>
      </c>
      <c r="N1232" s="2" t="s">
        <v>2317</v>
      </c>
      <c r="O1232" s="14">
        <v>7500</v>
      </c>
      <c r="P1232" s="14">
        <v>98.44</v>
      </c>
      <c r="Q1232" s="14">
        <v>117</v>
      </c>
      <c r="R1232" s="14">
        <v>106.47</v>
      </c>
      <c r="S1232" s="2" t="s">
        <v>1915</v>
      </c>
      <c r="T1232" s="2">
        <v>1.01</v>
      </c>
      <c r="U1232" s="2">
        <v>62.9</v>
      </c>
      <c r="V1232" s="2">
        <v>56</v>
      </c>
      <c r="W1232" s="2" t="s">
        <v>7862</v>
      </c>
      <c r="X1232" s="2" t="s">
        <v>5405</v>
      </c>
      <c r="Y1232" s="2">
        <v>6825</v>
      </c>
      <c r="Z1232" s="19" t="str">
        <f>HYPERLINK("https://ssdweb.co/ssdweb/hd/Vision360.html?d=926211199&amp;zoomslide=1&amp;z=1926211199&amp;ISCONFIRM=0","VIDEO")</f>
        <v>VIDEO</v>
      </c>
      <c r="AA1232" s="19" t="str">
        <f>HYPERLINK("https://ssdweb.co/ssdweb/CERTH/639406002.pdf","CERTI")</f>
        <v>CERTI</v>
      </c>
    </row>
    <row r="1233" spans="1:27" ht="15" x14ac:dyDescent="0.25">
      <c r="A1233" s="2">
        <v>1228</v>
      </c>
      <c r="B1233" s="39">
        <v>926111324</v>
      </c>
      <c r="C1233" s="28" t="str">
        <f>HYPERLINK("https://pld.live/RapDetail.aspx?STONELIST=926111324","DNA")</f>
        <v>DNA</v>
      </c>
      <c r="D1233" s="18" t="s">
        <v>2990</v>
      </c>
      <c r="E1233" s="18" t="s">
        <v>5128</v>
      </c>
      <c r="F1233" s="2" t="s">
        <v>7987</v>
      </c>
      <c r="G1233" s="2" t="s">
        <v>861</v>
      </c>
      <c r="H1233" s="14">
        <v>0.91</v>
      </c>
      <c r="I1233" s="2" t="s">
        <v>267</v>
      </c>
      <c r="J1233" s="2" t="s">
        <v>3942</v>
      </c>
      <c r="K1233" s="2" t="s">
        <v>5221</v>
      </c>
      <c r="L1233" s="2" t="s">
        <v>5221</v>
      </c>
      <c r="M1233" s="2" t="s">
        <v>5221</v>
      </c>
      <c r="N1233" s="2" t="s">
        <v>2317</v>
      </c>
      <c r="O1233" s="14">
        <v>7500</v>
      </c>
      <c r="P1233" s="14">
        <v>98.44</v>
      </c>
      <c r="Q1233" s="14">
        <v>117</v>
      </c>
      <c r="R1233" s="14">
        <v>106.47</v>
      </c>
      <c r="S1233" s="2" t="s">
        <v>6632</v>
      </c>
      <c r="T1233" s="2">
        <v>1.01</v>
      </c>
      <c r="U1233" s="2">
        <v>62.6</v>
      </c>
      <c r="V1233" s="2">
        <v>57</v>
      </c>
      <c r="W1233" s="2" t="s">
        <v>7862</v>
      </c>
      <c r="X1233" s="2" t="s">
        <v>5405</v>
      </c>
      <c r="Y1233" s="2">
        <v>6825</v>
      </c>
      <c r="Z1233" s="19" t="str">
        <f>HYPERLINK("https://ssdweb.co/ssdweb/hd/Vision360.html?d=926111324&amp;zoomslide=1&amp;z=1926111324&amp;ISCONFIRM=0","VIDEO")</f>
        <v>VIDEO</v>
      </c>
      <c r="AA1233" s="19" t="str">
        <f>HYPERLINK("https://ssdweb.co/ssdweb/CERTH/634431262.pdf","CERTI")</f>
        <v>CERTI</v>
      </c>
    </row>
    <row r="1234" spans="1:27" ht="15" x14ac:dyDescent="0.25">
      <c r="A1234" s="2">
        <v>1229</v>
      </c>
      <c r="B1234" s="39">
        <v>927101203</v>
      </c>
      <c r="C1234" s="28" t="str">
        <f>HYPERLINK("https://pld.live/RapDetail.aspx?STONELIST=927101203","DNA")</f>
        <v>DNA</v>
      </c>
      <c r="D1234" s="18" t="s">
        <v>2990</v>
      </c>
      <c r="E1234" s="18" t="s">
        <v>5128</v>
      </c>
      <c r="F1234" s="2" t="s">
        <v>7987</v>
      </c>
      <c r="G1234" s="2" t="s">
        <v>861</v>
      </c>
      <c r="H1234" s="14">
        <v>0.91</v>
      </c>
      <c r="I1234" s="2" t="s">
        <v>267</v>
      </c>
      <c r="J1234" s="2" t="s">
        <v>3942</v>
      </c>
      <c r="K1234" s="2" t="s">
        <v>5221</v>
      </c>
      <c r="L1234" s="2" t="s">
        <v>5221</v>
      </c>
      <c r="M1234" s="2" t="s">
        <v>5721</v>
      </c>
      <c r="N1234" s="2" t="s">
        <v>2317</v>
      </c>
      <c r="O1234" s="14">
        <v>7500</v>
      </c>
      <c r="P1234" s="14">
        <v>98.44</v>
      </c>
      <c r="Q1234" s="14">
        <v>117</v>
      </c>
      <c r="R1234" s="14">
        <v>106.47</v>
      </c>
      <c r="S1234" s="2" t="s">
        <v>6928</v>
      </c>
      <c r="T1234" s="2">
        <v>1.01</v>
      </c>
      <c r="U1234" s="2">
        <v>63</v>
      </c>
      <c r="V1234" s="2">
        <v>56</v>
      </c>
      <c r="W1234" s="2" t="s">
        <v>7862</v>
      </c>
      <c r="X1234" s="2" t="s">
        <v>5405</v>
      </c>
      <c r="Y1234" s="2">
        <v>6825</v>
      </c>
      <c r="Z1234" s="19" t="str">
        <f>HYPERLINK("https://ssdweb.co/ssdweb/hd/Vision360.html?d=927101203&amp;zoomslide=1&amp;z=1927101203&amp;ISCONFIRM=0","VIDEO")</f>
        <v>VIDEO</v>
      </c>
      <c r="AA1234" s="19" t="str">
        <f>HYPERLINK("https://ssdweb.co/ssdweb/CERTH/668477286.pdf","CERTI")</f>
        <v>CERTI</v>
      </c>
    </row>
    <row r="1235" spans="1:27" ht="15" x14ac:dyDescent="0.25">
      <c r="A1235" s="2">
        <v>1230</v>
      </c>
      <c r="B1235" s="39">
        <v>941071072</v>
      </c>
      <c r="C1235" s="28" t="str">
        <f>HYPERLINK("https://pld.live/RapDetail.aspx?STONELIST=941071072","DNA")</f>
        <v>DNA</v>
      </c>
      <c r="D1235" s="18" t="s">
        <v>2990</v>
      </c>
      <c r="E1235" s="18" t="s">
        <v>5128</v>
      </c>
      <c r="F1235" s="2" t="s">
        <v>7987</v>
      </c>
      <c r="G1235" s="2" t="s">
        <v>861</v>
      </c>
      <c r="H1235" s="14">
        <v>0.91</v>
      </c>
      <c r="I1235" s="2" t="s">
        <v>267</v>
      </c>
      <c r="J1235" s="2" t="s">
        <v>13</v>
      </c>
      <c r="K1235" s="2" t="s">
        <v>5221</v>
      </c>
      <c r="L1235" s="2" t="s">
        <v>5221</v>
      </c>
      <c r="M1235" s="2" t="s">
        <v>5221</v>
      </c>
      <c r="N1235" s="2" t="s">
        <v>2317</v>
      </c>
      <c r="O1235" s="14">
        <v>6000</v>
      </c>
      <c r="P1235" s="14">
        <v>98.05</v>
      </c>
      <c r="Q1235" s="14">
        <v>117</v>
      </c>
      <c r="R1235" s="14">
        <v>106.47</v>
      </c>
      <c r="S1235" s="2" t="s">
        <v>7087</v>
      </c>
      <c r="T1235" s="2">
        <v>1</v>
      </c>
      <c r="U1235" s="2">
        <v>62.8</v>
      </c>
      <c r="V1235" s="2">
        <v>56</v>
      </c>
      <c r="W1235" s="2" t="s">
        <v>7862</v>
      </c>
      <c r="X1235" s="2" t="s">
        <v>5405</v>
      </c>
      <c r="Y1235" s="2">
        <v>5460</v>
      </c>
      <c r="Z1235" s="19" t="str">
        <f>HYPERLINK("https://ssdweb.co/ssdweb/hd/Vision360.html?d=941071072&amp;zoomslide=1&amp;z=1941071072&amp;ISCONFIRM=0","VIDEO")</f>
        <v>VIDEO</v>
      </c>
      <c r="AA1235" s="19" t="str">
        <f>HYPERLINK("https://ssdweb.co/ssdweb/CERTH/671411147.pdf","CERTI")</f>
        <v>CERTI</v>
      </c>
    </row>
    <row r="1236" spans="1:27" ht="15" x14ac:dyDescent="0.25">
      <c r="A1236" s="2">
        <v>1231</v>
      </c>
      <c r="B1236" s="39">
        <v>926211107</v>
      </c>
      <c r="C1236" s="28" t="str">
        <f>HYPERLINK("https://pld.live/RapDetail.aspx?STONELIST=926211107","DNA")</f>
        <v>DNA</v>
      </c>
      <c r="D1236" s="18" t="s">
        <v>2990</v>
      </c>
      <c r="E1236" s="18" t="s">
        <v>5128</v>
      </c>
      <c r="F1236" s="2" t="s">
        <v>7987</v>
      </c>
      <c r="G1236" s="2" t="s">
        <v>861</v>
      </c>
      <c r="H1236" s="14">
        <v>0.91</v>
      </c>
      <c r="I1236" s="2" t="s">
        <v>267</v>
      </c>
      <c r="J1236" s="2" t="s">
        <v>5144</v>
      </c>
      <c r="K1236" s="2" t="s">
        <v>3390</v>
      </c>
      <c r="L1236" s="2" t="s">
        <v>5221</v>
      </c>
      <c r="M1236" s="2" t="s">
        <v>5721</v>
      </c>
      <c r="N1236" s="2" t="s">
        <v>2317</v>
      </c>
      <c r="O1236" s="14">
        <v>5200</v>
      </c>
      <c r="P1236" s="14">
        <v>97.85</v>
      </c>
      <c r="Q1236" s="14">
        <v>111.8</v>
      </c>
      <c r="R1236" s="14">
        <v>101.74</v>
      </c>
      <c r="S1236" s="2" t="s">
        <v>43</v>
      </c>
      <c r="T1236" s="2">
        <v>1.01</v>
      </c>
      <c r="U1236" s="2">
        <v>62.4</v>
      </c>
      <c r="V1236" s="2">
        <v>56</v>
      </c>
      <c r="W1236" s="2" t="s">
        <v>7862</v>
      </c>
      <c r="X1236" s="2" t="s">
        <v>5405</v>
      </c>
      <c r="Y1236" s="2">
        <v>4732</v>
      </c>
      <c r="Z1236" s="19" t="str">
        <f>HYPERLINK("https://ssdweb.co/ssdweb/hd/Vision360.html?d=926211107&amp;zoomslide=1&amp;z=1926211107&amp;ISCONFIRM=0","VIDEO")</f>
        <v>VIDEO</v>
      </c>
      <c r="AA1236" s="19" t="str">
        <f>HYPERLINK("https://ssdweb.co/ssdweb/CERTH/638463080.pdf","CERTI")</f>
        <v>CERTI</v>
      </c>
    </row>
    <row r="1237" spans="1:27" ht="15" x14ac:dyDescent="0.25">
      <c r="A1237" s="2">
        <v>1232</v>
      </c>
      <c r="B1237" s="39">
        <v>831010031</v>
      </c>
      <c r="C1237" s="28" t="str">
        <f>HYPERLINK("https://pld.live/RapDetail.aspx?STONELIST=831010031","DNA")</f>
        <v>DNA</v>
      </c>
      <c r="D1237" s="18" t="s">
        <v>2990</v>
      </c>
      <c r="E1237" s="18" t="s">
        <v>5128</v>
      </c>
      <c r="F1237" s="2" t="s">
        <v>7987</v>
      </c>
      <c r="G1237" s="2" t="s">
        <v>861</v>
      </c>
      <c r="H1237" s="14">
        <v>0.91</v>
      </c>
      <c r="I1237" s="2" t="s">
        <v>4761</v>
      </c>
      <c r="J1237" s="2" t="s">
        <v>7032</v>
      </c>
      <c r="K1237" s="2" t="s">
        <v>3390</v>
      </c>
      <c r="L1237" s="2" t="s">
        <v>5221</v>
      </c>
      <c r="M1237" s="2" t="s">
        <v>5221</v>
      </c>
      <c r="N1237" s="2" t="s">
        <v>2317</v>
      </c>
      <c r="O1237" s="14">
        <v>9500</v>
      </c>
      <c r="P1237" s="14">
        <v>98</v>
      </c>
      <c r="Q1237" s="14">
        <v>190</v>
      </c>
      <c r="R1237" s="14">
        <v>172.9</v>
      </c>
      <c r="S1237" s="2" t="s">
        <v>6536</v>
      </c>
      <c r="T1237" s="2">
        <v>1.01</v>
      </c>
      <c r="U1237" s="2">
        <v>62.4</v>
      </c>
      <c r="V1237" s="2">
        <v>56</v>
      </c>
      <c r="W1237" s="2" t="s">
        <v>7862</v>
      </c>
      <c r="X1237" s="2" t="s">
        <v>5405</v>
      </c>
      <c r="Y1237" s="2">
        <v>8645</v>
      </c>
      <c r="Z1237" s="19" t="str">
        <f>HYPERLINK("https://ssdweb.co/ssdweb/hd/Vision360.html?d=831010031&amp;zoomslide=1&amp;z=1831010031&amp;ISCONFIRM=0","VIDEO")</f>
        <v>VIDEO</v>
      </c>
      <c r="AA1237" s="19" t="str">
        <f>HYPERLINK("https://ssdweb.co/ssdweb/CERTH/546232449.pdf","CERTI")</f>
        <v>CERTI</v>
      </c>
    </row>
    <row r="1238" spans="1:27" ht="15" x14ac:dyDescent="0.25">
      <c r="A1238" s="2">
        <v>1233</v>
      </c>
      <c r="B1238" s="39">
        <v>926211264</v>
      </c>
      <c r="C1238" s="28" t="str">
        <f>HYPERLINK("https://pld.live/RapDetail.aspx?STONELIST=926211264","DNA")</f>
        <v>DNA</v>
      </c>
      <c r="D1238" s="18" t="s">
        <v>2990</v>
      </c>
      <c r="E1238" s="18" t="s">
        <v>5128</v>
      </c>
      <c r="F1238" s="2" t="s">
        <v>7987</v>
      </c>
      <c r="G1238" s="2" t="s">
        <v>861</v>
      </c>
      <c r="H1238" s="14">
        <v>0.9</v>
      </c>
      <c r="I1238" s="2" t="s">
        <v>267</v>
      </c>
      <c r="J1238" s="2" t="s">
        <v>6555</v>
      </c>
      <c r="K1238" s="2" t="s">
        <v>5221</v>
      </c>
      <c r="L1238" s="2" t="s">
        <v>5721</v>
      </c>
      <c r="M1238" s="2" t="s">
        <v>5221</v>
      </c>
      <c r="N1238" s="2" t="s">
        <v>2317</v>
      </c>
      <c r="O1238" s="14">
        <v>9400</v>
      </c>
      <c r="P1238" s="14">
        <v>98.5</v>
      </c>
      <c r="Q1238" s="14">
        <v>141</v>
      </c>
      <c r="R1238" s="14">
        <v>126.9</v>
      </c>
      <c r="S1238" s="2" t="s">
        <v>6024</v>
      </c>
      <c r="T1238" s="2">
        <v>1</v>
      </c>
      <c r="U1238" s="2">
        <v>63.6</v>
      </c>
      <c r="V1238" s="2">
        <v>56</v>
      </c>
      <c r="W1238" s="2" t="s">
        <v>7862</v>
      </c>
      <c r="X1238" s="2" t="s">
        <v>5405</v>
      </c>
      <c r="Y1238" s="2">
        <v>8460</v>
      </c>
      <c r="Z1238" s="19" t="str">
        <f>HYPERLINK("https://ssdweb.co/ssdweb/hd/Vision360.html?d=926211264&amp;zoomslide=1&amp;z=1926211264&amp;ISCONFIRM=0","VIDEO")</f>
        <v>VIDEO</v>
      </c>
      <c r="AA1238" s="19" t="str">
        <f>HYPERLINK("https://ssdweb.co/ssdweb/CERTH/639413192.pdf","CERTI")</f>
        <v>CERTI</v>
      </c>
    </row>
    <row r="1239" spans="1:27" ht="15" x14ac:dyDescent="0.25">
      <c r="A1239" s="2">
        <v>1234</v>
      </c>
      <c r="B1239" s="39">
        <v>925940613</v>
      </c>
      <c r="C1239" s="28" t="str">
        <f>HYPERLINK("https://pld.live/RapDetail.aspx?STONELIST=925940613","DNA")</f>
        <v>DNA</v>
      </c>
      <c r="D1239" s="18" t="s">
        <v>2990</v>
      </c>
      <c r="E1239" s="18" t="s">
        <v>5128</v>
      </c>
      <c r="F1239" s="2" t="s">
        <v>7987</v>
      </c>
      <c r="G1239" s="2" t="s">
        <v>861</v>
      </c>
      <c r="H1239" s="14">
        <v>0.9</v>
      </c>
      <c r="I1239" s="2" t="s">
        <v>267</v>
      </c>
      <c r="J1239" s="2" t="s">
        <v>5144</v>
      </c>
      <c r="K1239" s="2" t="s">
        <v>5221</v>
      </c>
      <c r="L1239" s="2" t="s">
        <v>5221</v>
      </c>
      <c r="M1239" s="2" t="s">
        <v>5221</v>
      </c>
      <c r="N1239" s="2" t="s">
        <v>2317</v>
      </c>
      <c r="O1239" s="14">
        <v>5200</v>
      </c>
      <c r="P1239" s="14">
        <v>97.87</v>
      </c>
      <c r="Q1239" s="14">
        <v>110.76</v>
      </c>
      <c r="R1239" s="14">
        <v>99.68</v>
      </c>
      <c r="S1239" s="2" t="s">
        <v>1660</v>
      </c>
      <c r="T1239" s="2">
        <v>1.01</v>
      </c>
      <c r="U1239" s="2">
        <v>61.1</v>
      </c>
      <c r="V1239" s="2">
        <v>61</v>
      </c>
      <c r="W1239" s="2" t="s">
        <v>7862</v>
      </c>
      <c r="X1239" s="2" t="s">
        <v>5405</v>
      </c>
      <c r="Y1239" s="2">
        <v>4680</v>
      </c>
      <c r="Z1239" s="19" t="str">
        <f>HYPERLINK("https://ssdweb.co/ssdweb/hd/Vision360.html?d=925940613&amp;zoomslide=1&amp;z=1925940613&amp;ISCONFIRM=0","VIDEO")</f>
        <v>VIDEO</v>
      </c>
      <c r="AA1239" s="19" t="str">
        <f>HYPERLINK("https://ssdweb.co/ssdweb/CERTH/629478910.pdf","CERTI")</f>
        <v>CERTI</v>
      </c>
    </row>
    <row r="1240" spans="1:27" ht="15" x14ac:dyDescent="0.25">
      <c r="A1240" s="2">
        <v>1235</v>
      </c>
      <c r="B1240" s="39">
        <v>925940575</v>
      </c>
      <c r="C1240" s="28" t="str">
        <f>HYPERLINK("https://pld.live/RapDetail.aspx?STONELIST=925940575","DNA")</f>
        <v>DNA</v>
      </c>
      <c r="D1240" s="18" t="s">
        <v>2990</v>
      </c>
      <c r="E1240" s="18" t="s">
        <v>5128</v>
      </c>
      <c r="F1240" s="2" t="s">
        <v>7987</v>
      </c>
      <c r="G1240" s="2" t="s">
        <v>861</v>
      </c>
      <c r="H1240" s="14">
        <v>0.9</v>
      </c>
      <c r="I1240" s="2" t="s">
        <v>267</v>
      </c>
      <c r="J1240" s="2" t="s">
        <v>5144</v>
      </c>
      <c r="K1240" s="2" t="s">
        <v>5221</v>
      </c>
      <c r="L1240" s="2" t="s">
        <v>5221</v>
      </c>
      <c r="M1240" s="2" t="s">
        <v>5221</v>
      </c>
      <c r="N1240" s="2" t="s">
        <v>2317</v>
      </c>
      <c r="O1240" s="14">
        <v>5200</v>
      </c>
      <c r="P1240" s="14">
        <v>97.87</v>
      </c>
      <c r="Q1240" s="14">
        <v>110.76</v>
      </c>
      <c r="R1240" s="14">
        <v>99.68</v>
      </c>
      <c r="S1240" s="2" t="s">
        <v>5174</v>
      </c>
      <c r="T1240" s="2">
        <v>1.01</v>
      </c>
      <c r="U1240" s="2">
        <v>63</v>
      </c>
      <c r="V1240" s="2">
        <v>58</v>
      </c>
      <c r="W1240" s="2" t="s">
        <v>7862</v>
      </c>
      <c r="X1240" s="2" t="s">
        <v>5405</v>
      </c>
      <c r="Y1240" s="2">
        <v>4680</v>
      </c>
      <c r="Z1240" s="19" t="str">
        <f>HYPERLINK("https://ssdweb.co/ssdweb/hd/Vision360.html?d=925940575&amp;zoomslide=1&amp;z=1925940575&amp;ISCONFIRM=0","VIDEO")</f>
        <v>VIDEO</v>
      </c>
      <c r="AA1240" s="19" t="str">
        <f>HYPERLINK("https://ssdweb.co/ssdweb/CERTH/629435557.pdf","CERTI")</f>
        <v>CERTI</v>
      </c>
    </row>
    <row r="1241" spans="1:27" ht="15" x14ac:dyDescent="0.25">
      <c r="A1241" s="2">
        <v>1236</v>
      </c>
      <c r="B1241" s="39">
        <v>926111111</v>
      </c>
      <c r="C1241" s="28" t="str">
        <f>HYPERLINK("https://pld.live/RapDetail.aspx?STONELIST=926111111","DNA")</f>
        <v>DNA</v>
      </c>
      <c r="D1241" s="18" t="s">
        <v>2990</v>
      </c>
      <c r="E1241" s="18" t="s">
        <v>5128</v>
      </c>
      <c r="F1241" s="2" t="s">
        <v>7987</v>
      </c>
      <c r="G1241" s="2" t="s">
        <v>861</v>
      </c>
      <c r="H1241" s="14">
        <v>0.9</v>
      </c>
      <c r="I1241" s="2" t="s">
        <v>267</v>
      </c>
      <c r="J1241" s="2" t="s">
        <v>5144</v>
      </c>
      <c r="K1241" s="2" t="s">
        <v>5721</v>
      </c>
      <c r="L1241" s="2" t="s">
        <v>5221</v>
      </c>
      <c r="M1241" s="2" t="s">
        <v>5221</v>
      </c>
      <c r="N1241" s="2" t="s">
        <v>2317</v>
      </c>
      <c r="O1241" s="14">
        <v>5200</v>
      </c>
      <c r="P1241" s="14">
        <v>97.88</v>
      </c>
      <c r="Q1241" s="14">
        <v>110.24</v>
      </c>
      <c r="R1241" s="14">
        <v>99.22</v>
      </c>
      <c r="S1241" s="2" t="s">
        <v>6494</v>
      </c>
      <c r="T1241" s="2">
        <v>1.01</v>
      </c>
      <c r="U1241" s="2">
        <v>63</v>
      </c>
      <c r="V1241" s="2">
        <v>59</v>
      </c>
      <c r="W1241" s="2" t="s">
        <v>7862</v>
      </c>
      <c r="X1241" s="2" t="s">
        <v>5405</v>
      </c>
      <c r="Y1241" s="2">
        <v>4680</v>
      </c>
      <c r="Z1241" s="19" t="str">
        <f>HYPERLINK("https://ssdweb.co/ssdweb/hd/Vision360.html?d=926111111&amp;zoomslide=1&amp;z=1926111111&amp;ISCONFIRM=0","VIDEO")</f>
        <v>VIDEO</v>
      </c>
      <c r="AA1241" s="19" t="str">
        <f>HYPERLINK("https://ssdweb.co/ssdweb/CERTH/633473889.pdf","CERTI")</f>
        <v>CERTI</v>
      </c>
    </row>
    <row r="1242" spans="1:27" ht="15" x14ac:dyDescent="0.25">
      <c r="A1242" s="2">
        <v>1237</v>
      </c>
      <c r="B1242" s="39">
        <v>926211181</v>
      </c>
      <c r="C1242" s="28" t="str">
        <f>HYPERLINK("https://pld.live/RapDetail.aspx?STONELIST=926211181","DNA")</f>
        <v>DNA</v>
      </c>
      <c r="D1242" s="18" t="s">
        <v>2990</v>
      </c>
      <c r="E1242" s="18" t="s">
        <v>5128</v>
      </c>
      <c r="F1242" s="2" t="s">
        <v>7987</v>
      </c>
      <c r="G1242" s="2" t="s">
        <v>861</v>
      </c>
      <c r="H1242" s="14">
        <v>0.9</v>
      </c>
      <c r="I1242" s="2" t="s">
        <v>267</v>
      </c>
      <c r="J1242" s="2" t="s">
        <v>444</v>
      </c>
      <c r="K1242" s="2" t="s">
        <v>3390</v>
      </c>
      <c r="L1242" s="2" t="s">
        <v>5221</v>
      </c>
      <c r="M1242" s="2" t="s">
        <v>5221</v>
      </c>
      <c r="N1242" s="2" t="s">
        <v>2317</v>
      </c>
      <c r="O1242" s="14">
        <v>4600</v>
      </c>
      <c r="P1242" s="14">
        <v>97.63</v>
      </c>
      <c r="Q1242" s="14">
        <v>109.02</v>
      </c>
      <c r="R1242" s="14">
        <v>98.12</v>
      </c>
      <c r="S1242" s="2" t="s">
        <v>2943</v>
      </c>
      <c r="T1242" s="2">
        <v>1.01</v>
      </c>
      <c r="U1242" s="2">
        <v>62.4</v>
      </c>
      <c r="V1242" s="2">
        <v>56</v>
      </c>
      <c r="W1242" s="2" t="s">
        <v>7862</v>
      </c>
      <c r="X1242" s="2" t="s">
        <v>5405</v>
      </c>
      <c r="Y1242" s="2">
        <v>4140</v>
      </c>
      <c r="Z1242" s="19" t="str">
        <f>HYPERLINK("https://ssdweb.co/ssdweb/hd/Vision360.html?d=926211181&amp;zoomslide=1&amp;z=1926211181&amp;ISCONFIRM=0","VIDEO")</f>
        <v>VIDEO</v>
      </c>
      <c r="AA1242" s="19" t="str">
        <f>HYPERLINK("https://ssdweb.co/ssdweb/CERTH/639438745.pdf","CERTI")</f>
        <v>CERTI</v>
      </c>
    </row>
    <row r="1243" spans="1:27" ht="15" x14ac:dyDescent="0.25">
      <c r="A1243" s="2">
        <v>1238</v>
      </c>
      <c r="B1243" s="39">
        <v>941350909</v>
      </c>
      <c r="C1243" s="28" t="str">
        <f>HYPERLINK("https://pld.live/RapDetail.aspx?STONELIST=941350909","DNA")</f>
        <v>DNA</v>
      </c>
      <c r="D1243" s="18" t="s">
        <v>5715</v>
      </c>
      <c r="E1243" s="18" t="s">
        <v>5128</v>
      </c>
      <c r="F1243" s="2" t="s">
        <v>7987</v>
      </c>
      <c r="G1243" s="2" t="s">
        <v>861</v>
      </c>
      <c r="H1243" s="14">
        <v>0.88</v>
      </c>
      <c r="I1243" s="2" t="s">
        <v>267</v>
      </c>
      <c r="J1243" s="2" t="s">
        <v>3942</v>
      </c>
      <c r="K1243" s="2" t="s">
        <v>3390</v>
      </c>
      <c r="L1243" s="2" t="s">
        <v>5221</v>
      </c>
      <c r="M1243" s="2" t="s">
        <v>5221</v>
      </c>
      <c r="N1243" s="2" t="s">
        <v>2317</v>
      </c>
      <c r="O1243" s="14">
        <v>4500</v>
      </c>
      <c r="P1243" s="14">
        <v>96.56</v>
      </c>
      <c r="Q1243" s="14">
        <v>154.80000000000001</v>
      </c>
      <c r="R1243" s="14">
        <v>136.22</v>
      </c>
      <c r="S1243" s="2" t="s">
        <v>3320</v>
      </c>
      <c r="T1243" s="2">
        <v>1.01</v>
      </c>
      <c r="U1243" s="2">
        <v>61.2</v>
      </c>
      <c r="V1243" s="2">
        <v>59</v>
      </c>
      <c r="W1243" s="2" t="s">
        <v>7862</v>
      </c>
      <c r="X1243" s="2" t="s">
        <v>5405</v>
      </c>
      <c r="Y1243" s="2">
        <v>3960</v>
      </c>
      <c r="Z1243" s="19" t="str">
        <f>HYPERLINK("https://ssdweb.co/ssdweb/hd/Vision360.html?d=941350909&amp;zoomslide=1&amp;z=1941350909&amp;ISCONFIRM=0","VIDEO")</f>
        <v>VIDEO</v>
      </c>
      <c r="AA1243" s="19" t="str">
        <f>HYPERLINK("https://ssdweb.co/ssdweb/CERTH/685590556.pdf","CERTI")</f>
        <v>CERTI</v>
      </c>
    </row>
    <row r="1244" spans="1:27" ht="15" x14ac:dyDescent="0.25">
      <c r="A1244" s="2">
        <v>1239</v>
      </c>
      <c r="B1244" s="39">
        <v>941350854</v>
      </c>
      <c r="C1244" s="28" t="str">
        <f>HYPERLINK("https://pld.live/RapDetail.aspx?STONELIST=941350854","DNA")</f>
        <v>DNA</v>
      </c>
      <c r="D1244" s="18" t="s">
        <v>5715</v>
      </c>
      <c r="E1244" s="18" t="s">
        <v>5128</v>
      </c>
      <c r="F1244" s="2" t="s">
        <v>7987</v>
      </c>
      <c r="G1244" s="2" t="s">
        <v>861</v>
      </c>
      <c r="H1244" s="14">
        <v>0.88</v>
      </c>
      <c r="I1244" s="2" t="s">
        <v>267</v>
      </c>
      <c r="J1244" s="2" t="s">
        <v>13</v>
      </c>
      <c r="K1244" s="2" t="s">
        <v>3390</v>
      </c>
      <c r="L1244" s="2" t="s">
        <v>5221</v>
      </c>
      <c r="M1244" s="2" t="s">
        <v>5221</v>
      </c>
      <c r="N1244" s="2" t="s">
        <v>2317</v>
      </c>
      <c r="O1244" s="14">
        <v>3900</v>
      </c>
      <c r="P1244" s="14">
        <v>96.28</v>
      </c>
      <c r="Q1244" s="14">
        <v>145.08000000000001</v>
      </c>
      <c r="R1244" s="14">
        <v>127.67</v>
      </c>
      <c r="S1244" s="2" t="s">
        <v>5846</v>
      </c>
      <c r="T1244" s="2">
        <v>1</v>
      </c>
      <c r="U1244" s="2">
        <v>60.4</v>
      </c>
      <c r="V1244" s="2">
        <v>59</v>
      </c>
      <c r="W1244" s="2" t="s">
        <v>7862</v>
      </c>
      <c r="X1244" s="2" t="s">
        <v>5405</v>
      </c>
      <c r="Y1244" s="2">
        <v>3432</v>
      </c>
      <c r="Z1244" s="19" t="str">
        <f>HYPERLINK("https://ssdweb.co/ssdweb/hd/Vision360.html?d=941350854&amp;zoomslide=1&amp;z=1941350854&amp;ISCONFIRM=0","VIDEO")</f>
        <v>VIDEO</v>
      </c>
      <c r="AA1244" s="19" t="str">
        <f>HYPERLINK("https://ssdweb.co/ssdweb/CERTH/685590559.pdf","CERTI")</f>
        <v>CERTI</v>
      </c>
    </row>
    <row r="1245" spans="1:27" ht="15" x14ac:dyDescent="0.25">
      <c r="A1245" s="2">
        <v>1240</v>
      </c>
      <c r="B1245" s="39">
        <v>941320764</v>
      </c>
      <c r="C1245" s="28" t="str">
        <f>HYPERLINK("https://pld.live/RapDetail.aspx?STONELIST=941320764","DNA")</f>
        <v>DNA</v>
      </c>
      <c r="D1245" s="18" t="s">
        <v>5715</v>
      </c>
      <c r="E1245" s="18" t="s">
        <v>5128</v>
      </c>
      <c r="F1245" s="2" t="s">
        <v>7987</v>
      </c>
      <c r="G1245" s="2" t="s">
        <v>861</v>
      </c>
      <c r="H1245" s="14">
        <v>0.88</v>
      </c>
      <c r="I1245" s="2" t="s">
        <v>267</v>
      </c>
      <c r="J1245" s="2" t="s">
        <v>13</v>
      </c>
      <c r="K1245" s="2" t="s">
        <v>3390</v>
      </c>
      <c r="L1245" s="2" t="s">
        <v>5221</v>
      </c>
      <c r="M1245" s="2" t="s">
        <v>5221</v>
      </c>
      <c r="N1245" s="2" t="s">
        <v>2317</v>
      </c>
      <c r="O1245" s="14">
        <v>3900</v>
      </c>
      <c r="P1245" s="14">
        <v>96.28</v>
      </c>
      <c r="Q1245" s="14">
        <v>145.08000000000001</v>
      </c>
      <c r="R1245" s="14">
        <v>127.67</v>
      </c>
      <c r="S1245" s="2" t="s">
        <v>7897</v>
      </c>
      <c r="T1245" s="2">
        <v>1</v>
      </c>
      <c r="U1245" s="2">
        <v>61.7</v>
      </c>
      <c r="V1245" s="2">
        <v>58</v>
      </c>
      <c r="W1245" s="2" t="s">
        <v>7862</v>
      </c>
      <c r="X1245" s="2" t="s">
        <v>5405</v>
      </c>
      <c r="Y1245" s="2">
        <v>3432</v>
      </c>
      <c r="Z1245" s="19" t="str">
        <f>HYPERLINK("https://ssdweb.co/ssdweb/hd/Vision360.html?d=941320764&amp;zoomslide=1&amp;z=1941320764&amp;ISCONFIRM=0","VIDEO")</f>
        <v>VIDEO</v>
      </c>
      <c r="AA1245" s="19" t="str">
        <f>HYPERLINK("https://ssdweb.co/ssdweb/CERTH/685590548.pdf","CERTI")</f>
        <v>CERTI</v>
      </c>
    </row>
    <row r="1246" spans="1:27" ht="15" x14ac:dyDescent="0.25">
      <c r="A1246" s="2">
        <v>1241</v>
      </c>
      <c r="B1246" s="39">
        <v>941190063</v>
      </c>
      <c r="C1246" s="28" t="str">
        <f>HYPERLINK("https://pld.live/RapDetail.aspx?STONELIST=941190063","DNA")</f>
        <v>DNA</v>
      </c>
      <c r="D1246" s="18" t="s">
        <v>5715</v>
      </c>
      <c r="E1246" s="18" t="s">
        <v>5128</v>
      </c>
      <c r="F1246" s="2" t="s">
        <v>7987</v>
      </c>
      <c r="G1246" s="2" t="s">
        <v>861</v>
      </c>
      <c r="H1246" s="14">
        <v>0.87</v>
      </c>
      <c r="I1246" s="2" t="s">
        <v>267</v>
      </c>
      <c r="J1246" s="2" t="s">
        <v>13</v>
      </c>
      <c r="K1246" s="2" t="s">
        <v>3390</v>
      </c>
      <c r="L1246" s="2" t="s">
        <v>5221</v>
      </c>
      <c r="M1246" s="2" t="s">
        <v>5221</v>
      </c>
      <c r="N1246" s="2" t="s">
        <v>2317</v>
      </c>
      <c r="O1246" s="14">
        <v>3900</v>
      </c>
      <c r="P1246" s="14">
        <v>96.28</v>
      </c>
      <c r="Q1246" s="14">
        <v>145.08000000000001</v>
      </c>
      <c r="R1246" s="14">
        <v>126.22</v>
      </c>
      <c r="S1246" s="2" t="s">
        <v>4692</v>
      </c>
      <c r="T1246" s="2">
        <v>1.01</v>
      </c>
      <c r="U1246" s="2">
        <v>60.3</v>
      </c>
      <c r="V1246" s="2">
        <v>59</v>
      </c>
      <c r="W1246" s="2" t="s">
        <v>7862</v>
      </c>
      <c r="X1246" s="2" t="s">
        <v>5405</v>
      </c>
      <c r="Y1246" s="2">
        <v>3393</v>
      </c>
      <c r="Z1246" s="19" t="str">
        <f>HYPERLINK("https://ssdweb.co/ssdweb/hd/Vision360.html?d=941190063&amp;zoomslide=1&amp;z=1941190063&amp;ISCONFIRM=0","VIDEO")</f>
        <v>VIDEO</v>
      </c>
      <c r="AA1246" s="19" t="str">
        <f>HYPERLINK("https://ssdweb.co/ssdweb/CERTH/674532467.pdf","CERTI")</f>
        <v>CERTI</v>
      </c>
    </row>
    <row r="1247" spans="1:27" ht="15" x14ac:dyDescent="0.25">
      <c r="A1247" s="2">
        <v>1242</v>
      </c>
      <c r="B1247" s="39">
        <v>927130090</v>
      </c>
      <c r="C1247" s="28" t="str">
        <f>HYPERLINK("https://pld.live/RapDetail.aspx?STONELIST=927130090","DNA")</f>
        <v>DNA</v>
      </c>
      <c r="D1247" s="18" t="s">
        <v>5715</v>
      </c>
      <c r="E1247" s="18" t="s">
        <v>5128</v>
      </c>
      <c r="F1247" s="2" t="s">
        <v>7987</v>
      </c>
      <c r="G1247" s="2" t="s">
        <v>861</v>
      </c>
      <c r="H1247" s="14">
        <v>0.86</v>
      </c>
      <c r="I1247" s="2" t="s">
        <v>267</v>
      </c>
      <c r="J1247" s="2" t="s">
        <v>3942</v>
      </c>
      <c r="K1247" s="2" t="s">
        <v>5221</v>
      </c>
      <c r="L1247" s="2" t="s">
        <v>5221</v>
      </c>
      <c r="M1247" s="2" t="s">
        <v>5221</v>
      </c>
      <c r="N1247" s="2" t="s">
        <v>2317</v>
      </c>
      <c r="O1247" s="14">
        <v>4500</v>
      </c>
      <c r="P1247" s="14">
        <v>96.6</v>
      </c>
      <c r="Q1247" s="14">
        <v>153</v>
      </c>
      <c r="R1247" s="14">
        <v>131.58000000000001</v>
      </c>
      <c r="S1247" s="2" t="s">
        <v>4008</v>
      </c>
      <c r="T1247" s="2">
        <v>1</v>
      </c>
      <c r="U1247" s="2">
        <v>62.8</v>
      </c>
      <c r="V1247" s="2">
        <v>55</v>
      </c>
      <c r="W1247" s="2" t="s">
        <v>7862</v>
      </c>
      <c r="X1247" s="2" t="s">
        <v>5405</v>
      </c>
      <c r="Y1247" s="2">
        <v>3870</v>
      </c>
      <c r="Z1247" s="19" t="str">
        <f>HYPERLINK("https://ssdweb.co/ssdweb/hd/Vision360.html?d=927130090&amp;zoomslide=1&amp;z=1927130090&amp;ISCONFIRM=0","VIDEO")</f>
        <v>VIDEO</v>
      </c>
      <c r="AA1247" s="19" t="str">
        <f>HYPERLINK("https://ssdweb.co/ssdweb/CERTH/668477294.pdf","CERTI")</f>
        <v>CERTI</v>
      </c>
    </row>
    <row r="1248" spans="1:27" ht="15" x14ac:dyDescent="0.25">
      <c r="A1248" s="2">
        <v>1243</v>
      </c>
      <c r="B1248" s="39">
        <v>927100869</v>
      </c>
      <c r="C1248" s="28" t="str">
        <f>HYPERLINK("https://pld.live/RapDetail.aspx?STONELIST=927100869","DNA")</f>
        <v>DNA</v>
      </c>
      <c r="D1248" s="18" t="s">
        <v>5715</v>
      </c>
      <c r="E1248" s="18" t="s">
        <v>5128</v>
      </c>
      <c r="F1248" s="2" t="s">
        <v>7987</v>
      </c>
      <c r="G1248" s="2" t="s">
        <v>861</v>
      </c>
      <c r="H1248" s="14">
        <v>0.86</v>
      </c>
      <c r="I1248" s="2" t="s">
        <v>267</v>
      </c>
      <c r="J1248" s="2" t="s">
        <v>13</v>
      </c>
      <c r="K1248" s="2" t="s">
        <v>5221</v>
      </c>
      <c r="L1248" s="2" t="s">
        <v>5221</v>
      </c>
      <c r="M1248" s="2" t="s">
        <v>5221</v>
      </c>
      <c r="N1248" s="2" t="s">
        <v>2317</v>
      </c>
      <c r="O1248" s="14">
        <v>3900</v>
      </c>
      <c r="P1248" s="14">
        <v>96.33</v>
      </c>
      <c r="Q1248" s="14">
        <v>143.13</v>
      </c>
      <c r="R1248" s="14">
        <v>123.09</v>
      </c>
      <c r="S1248" s="2" t="s">
        <v>2887</v>
      </c>
      <c r="T1248" s="2">
        <v>1.01</v>
      </c>
      <c r="U1248" s="2">
        <v>63.1</v>
      </c>
      <c r="V1248" s="2">
        <v>56</v>
      </c>
      <c r="W1248" s="2" t="s">
        <v>7862</v>
      </c>
      <c r="X1248" s="2" t="s">
        <v>5405</v>
      </c>
      <c r="Y1248" s="2">
        <v>3354</v>
      </c>
      <c r="Z1248" s="19" t="str">
        <f>HYPERLINK("https://ssdweb.co/ssdweb/hd/Vision360.html?d=927100869&amp;zoomslide=1&amp;z=1927100869&amp;ISCONFIRM=0","VIDEO")</f>
        <v>VIDEO</v>
      </c>
      <c r="AA1248" s="19" t="str">
        <f>HYPERLINK("https://ssdweb.co/ssdweb/CERTH/668477270.pdf","CERTI")</f>
        <v>CERTI</v>
      </c>
    </row>
    <row r="1249" spans="1:27" ht="15" x14ac:dyDescent="0.25">
      <c r="A1249" s="2">
        <v>1244</v>
      </c>
      <c r="B1249" s="39">
        <v>831010761</v>
      </c>
      <c r="C1249" s="28" t="str">
        <f>HYPERLINK("https://pld.live/RapDetail.aspx?STONELIST=831010761","DNA")</f>
        <v>DNA</v>
      </c>
      <c r="D1249" s="18" t="s">
        <v>5715</v>
      </c>
      <c r="E1249" s="18" t="s">
        <v>5128</v>
      </c>
      <c r="F1249" s="2" t="s">
        <v>7987</v>
      </c>
      <c r="G1249" s="2" t="s">
        <v>861</v>
      </c>
      <c r="H1249" s="14">
        <v>0.86</v>
      </c>
      <c r="I1249" s="2" t="s">
        <v>267</v>
      </c>
      <c r="J1249" s="2" t="s">
        <v>13</v>
      </c>
      <c r="K1249" s="2" t="s">
        <v>5221</v>
      </c>
      <c r="L1249" s="2" t="s">
        <v>5721</v>
      </c>
      <c r="M1249" s="2" t="s">
        <v>5721</v>
      </c>
      <c r="N1249" s="2" t="s">
        <v>2317</v>
      </c>
      <c r="O1249" s="14">
        <v>3900</v>
      </c>
      <c r="P1249" s="14">
        <v>96.49</v>
      </c>
      <c r="Q1249" s="14">
        <v>136.88999999999999</v>
      </c>
      <c r="R1249" s="14">
        <v>117.73</v>
      </c>
      <c r="S1249" s="2" t="s">
        <v>4587</v>
      </c>
      <c r="T1249" s="2">
        <v>1.01</v>
      </c>
      <c r="U1249" s="2">
        <v>63.2</v>
      </c>
      <c r="V1249" s="2">
        <v>57</v>
      </c>
      <c r="W1249" s="2" t="s">
        <v>7862</v>
      </c>
      <c r="X1249" s="2" t="s">
        <v>5405</v>
      </c>
      <c r="Y1249" s="2">
        <v>3354</v>
      </c>
      <c r="Z1249" s="19" t="str">
        <f>HYPERLINK("https://ssdweb.co/ssdweb/hd/Vision360.html?d=831010761&amp;zoomslide=1&amp;z=1831010761&amp;ISCONFIRM=0","VIDEO")</f>
        <v>VIDEO</v>
      </c>
      <c r="AA1249" s="19" t="str">
        <f>HYPERLINK("https://ssdweb.co/ssdweb/CERTH/640485481.pdf","CERTI")</f>
        <v>CERTI</v>
      </c>
    </row>
    <row r="1250" spans="1:27" ht="15" x14ac:dyDescent="0.25">
      <c r="A1250" s="2">
        <v>1245</v>
      </c>
      <c r="B1250" s="39">
        <v>926211233</v>
      </c>
      <c r="C1250" s="28" t="str">
        <f>HYPERLINK("https://pld.live/RapDetail.aspx?STONELIST=926211233","DNA")</f>
        <v>DNA</v>
      </c>
      <c r="D1250" s="18" t="s">
        <v>5715</v>
      </c>
      <c r="E1250" s="18" t="s">
        <v>5128</v>
      </c>
      <c r="F1250" s="2" t="s">
        <v>7987</v>
      </c>
      <c r="G1250" s="2" t="s">
        <v>861</v>
      </c>
      <c r="H1250" s="14">
        <v>0.85</v>
      </c>
      <c r="I1250" s="2" t="s">
        <v>267</v>
      </c>
      <c r="J1250" s="2" t="s">
        <v>13</v>
      </c>
      <c r="K1250" s="2" t="s">
        <v>3390</v>
      </c>
      <c r="L1250" s="2" t="s">
        <v>5221</v>
      </c>
      <c r="M1250" s="2" t="s">
        <v>5221</v>
      </c>
      <c r="N1250" s="2" t="s">
        <v>2317</v>
      </c>
      <c r="O1250" s="14">
        <v>3900</v>
      </c>
      <c r="P1250" s="14">
        <v>96.38</v>
      </c>
      <c r="Q1250" s="14">
        <v>141.18</v>
      </c>
      <c r="R1250" s="14">
        <v>120</v>
      </c>
      <c r="S1250" s="2" t="s">
        <v>5342</v>
      </c>
      <c r="T1250" s="2">
        <v>1</v>
      </c>
      <c r="U1250" s="2">
        <v>60.5</v>
      </c>
      <c r="V1250" s="2">
        <v>59</v>
      </c>
      <c r="W1250" s="2" t="s">
        <v>7862</v>
      </c>
      <c r="X1250" s="2" t="s">
        <v>5405</v>
      </c>
      <c r="Y1250" s="2">
        <v>3315</v>
      </c>
      <c r="Z1250" s="19" t="str">
        <f>HYPERLINK("https://ssdweb.co/ssdweb/hd/Vision360.html?d=926211233&amp;zoomslide=1&amp;z=1926211233&amp;ISCONFIRM=0","VIDEO")</f>
        <v>VIDEO</v>
      </c>
      <c r="AA1250" s="19" t="str">
        <f>HYPERLINK("https://ssdweb.co/ssdweb/CERTH/639438726.pdf","CERTI")</f>
        <v>CERTI</v>
      </c>
    </row>
    <row r="1251" spans="1:27" ht="15" x14ac:dyDescent="0.25">
      <c r="A1251" s="2">
        <v>1246</v>
      </c>
      <c r="B1251" s="39">
        <v>941350658</v>
      </c>
      <c r="C1251" s="28" t="str">
        <f>HYPERLINK("https://pld.live/RapDetail.aspx?STONELIST=941350658","DNA")</f>
        <v>DNA</v>
      </c>
      <c r="D1251" s="18" t="s">
        <v>5715</v>
      </c>
      <c r="E1251" s="18" t="s">
        <v>5128</v>
      </c>
      <c r="F1251" s="2" t="s">
        <v>7987</v>
      </c>
      <c r="G1251" s="2" t="s">
        <v>861</v>
      </c>
      <c r="H1251" s="14">
        <v>0.85</v>
      </c>
      <c r="I1251" s="2" t="s">
        <v>267</v>
      </c>
      <c r="J1251" s="2" t="s">
        <v>13</v>
      </c>
      <c r="K1251" s="2" t="s">
        <v>3390</v>
      </c>
      <c r="L1251" s="2" t="s">
        <v>5221</v>
      </c>
      <c r="M1251" s="2" t="s">
        <v>5221</v>
      </c>
      <c r="N1251" s="2" t="s">
        <v>2317</v>
      </c>
      <c r="O1251" s="14">
        <v>3900</v>
      </c>
      <c r="P1251" s="14">
        <v>96.28</v>
      </c>
      <c r="Q1251" s="14">
        <v>145.08000000000001</v>
      </c>
      <c r="R1251" s="14">
        <v>123.32</v>
      </c>
      <c r="S1251" s="2" t="s">
        <v>564</v>
      </c>
      <c r="T1251" s="2">
        <v>1.01</v>
      </c>
      <c r="U1251" s="2">
        <v>62.4</v>
      </c>
      <c r="V1251" s="2">
        <v>58</v>
      </c>
      <c r="W1251" s="2" t="s">
        <v>7862</v>
      </c>
      <c r="X1251" s="2" t="s">
        <v>5405</v>
      </c>
      <c r="Y1251" s="2">
        <v>3315</v>
      </c>
      <c r="Z1251" s="19" t="str">
        <f>HYPERLINK("https://ssdweb.co/ssdweb/hd/Vision360.html?d=941350658&amp;zoomslide=1&amp;z=1941350658&amp;ISCONFIRM=0","VIDEO")</f>
        <v>VIDEO</v>
      </c>
      <c r="AA1251" s="19" t="str">
        <f>HYPERLINK("https://ssdweb.co/ssdweb/CERTH/684505093.pdf","CERTI")</f>
        <v>CERTI</v>
      </c>
    </row>
    <row r="1252" spans="1:27" ht="15" x14ac:dyDescent="0.25">
      <c r="A1252" s="2">
        <v>1247</v>
      </c>
      <c r="B1252" s="39">
        <v>926211113</v>
      </c>
      <c r="C1252" s="28" t="str">
        <f>HYPERLINK("https://pld.live/RapDetail.aspx?STONELIST=926211113","DNA")</f>
        <v>DNA</v>
      </c>
      <c r="D1252" s="18" t="s">
        <v>5715</v>
      </c>
      <c r="E1252" s="18" t="s">
        <v>5128</v>
      </c>
      <c r="F1252" s="2" t="s">
        <v>7987</v>
      </c>
      <c r="G1252" s="2" t="s">
        <v>861</v>
      </c>
      <c r="H1252" s="14">
        <v>0.85</v>
      </c>
      <c r="I1252" s="2" t="s">
        <v>267</v>
      </c>
      <c r="J1252" s="2" t="s">
        <v>13</v>
      </c>
      <c r="K1252" s="2" t="s">
        <v>5221</v>
      </c>
      <c r="L1252" s="2" t="s">
        <v>5221</v>
      </c>
      <c r="M1252" s="2" t="s">
        <v>5221</v>
      </c>
      <c r="N1252" s="2" t="s">
        <v>2317</v>
      </c>
      <c r="O1252" s="14">
        <v>3900</v>
      </c>
      <c r="P1252" s="14">
        <v>96.38</v>
      </c>
      <c r="Q1252" s="14">
        <v>141.18</v>
      </c>
      <c r="R1252" s="14">
        <v>120</v>
      </c>
      <c r="S1252" s="2" t="s">
        <v>1007</v>
      </c>
      <c r="T1252" s="2">
        <v>1.01</v>
      </c>
      <c r="U1252" s="2">
        <v>63.7</v>
      </c>
      <c r="V1252" s="2">
        <v>58</v>
      </c>
      <c r="W1252" s="2" t="s">
        <v>7862</v>
      </c>
      <c r="X1252" s="2" t="s">
        <v>5405</v>
      </c>
      <c r="Y1252" s="2">
        <v>3315</v>
      </c>
      <c r="Z1252" s="19" t="str">
        <f>HYPERLINK("https://ssdweb.co/ssdweb/hd/Vision360.html?d=926211113&amp;zoomslide=1&amp;z=1926211113&amp;ISCONFIRM=0","VIDEO")</f>
        <v>VIDEO</v>
      </c>
      <c r="AA1252" s="19" t="str">
        <f>HYPERLINK("https://ssdweb.co/ssdweb/CERTH/638463086.pdf","CERTI")</f>
        <v>CERTI</v>
      </c>
    </row>
    <row r="1253" spans="1:27" ht="15" x14ac:dyDescent="0.25">
      <c r="A1253" s="2">
        <v>1248</v>
      </c>
      <c r="B1253" s="39">
        <v>831010760</v>
      </c>
      <c r="C1253" s="28" t="str">
        <f>HYPERLINK("https://pld.live/RapDetail.aspx?STONELIST=831010760","DNA")</f>
        <v>DNA</v>
      </c>
      <c r="D1253" s="18" t="s">
        <v>5715</v>
      </c>
      <c r="E1253" s="18" t="s">
        <v>5128</v>
      </c>
      <c r="F1253" s="2" t="s">
        <v>7987</v>
      </c>
      <c r="G1253" s="2" t="s">
        <v>861</v>
      </c>
      <c r="H1253" s="14">
        <v>0.85</v>
      </c>
      <c r="I1253" s="2" t="s">
        <v>267</v>
      </c>
      <c r="J1253" s="2" t="s">
        <v>13</v>
      </c>
      <c r="K1253" s="2" t="s">
        <v>5221</v>
      </c>
      <c r="L1253" s="2" t="s">
        <v>5721</v>
      </c>
      <c r="M1253" s="2" t="s">
        <v>5721</v>
      </c>
      <c r="N1253" s="2" t="s">
        <v>2317</v>
      </c>
      <c r="O1253" s="14">
        <v>3900</v>
      </c>
      <c r="P1253" s="14">
        <v>96.49</v>
      </c>
      <c r="Q1253" s="14">
        <v>136.88999999999999</v>
      </c>
      <c r="R1253" s="14">
        <v>116.36</v>
      </c>
      <c r="S1253" s="2" t="s">
        <v>5848</v>
      </c>
      <c r="T1253" s="2">
        <v>1.01</v>
      </c>
      <c r="U1253" s="2">
        <v>62.8</v>
      </c>
      <c r="V1253" s="2">
        <v>56</v>
      </c>
      <c r="W1253" s="2" t="s">
        <v>7862</v>
      </c>
      <c r="X1253" s="2" t="s">
        <v>5405</v>
      </c>
      <c r="Y1253" s="2">
        <v>3315</v>
      </c>
      <c r="Z1253" s="19" t="str">
        <f>HYPERLINK("https://ssdweb.co/ssdweb/hd/Vision360.html?d=831010760&amp;zoomslide=1&amp;z=1831010760&amp;ISCONFIRM=0","VIDEO")</f>
        <v>VIDEO</v>
      </c>
      <c r="AA1253" s="19" t="str">
        <f>HYPERLINK("https://ssdweb.co/ssdweb/CERTH/639406036.pdf","CERTI")</f>
        <v>CERTI</v>
      </c>
    </row>
    <row r="1254" spans="1:27" ht="15" x14ac:dyDescent="0.25">
      <c r="A1254" s="2">
        <v>1249</v>
      </c>
      <c r="B1254" s="39">
        <v>926211171</v>
      </c>
      <c r="C1254" s="28" t="str">
        <f>HYPERLINK("https://pld.live/RapDetail.aspx?STONELIST=926211171","DNA")</f>
        <v>DNA</v>
      </c>
      <c r="D1254" s="18" t="s">
        <v>5715</v>
      </c>
      <c r="E1254" s="18" t="s">
        <v>5128</v>
      </c>
      <c r="F1254" s="2" t="s">
        <v>7987</v>
      </c>
      <c r="G1254" s="2" t="s">
        <v>861</v>
      </c>
      <c r="H1254" s="14">
        <v>0.84</v>
      </c>
      <c r="I1254" s="2" t="s">
        <v>267</v>
      </c>
      <c r="J1254" s="2" t="s">
        <v>3942</v>
      </c>
      <c r="K1254" s="2" t="s">
        <v>5221</v>
      </c>
      <c r="L1254" s="2" t="s">
        <v>5221</v>
      </c>
      <c r="M1254" s="2" t="s">
        <v>5721</v>
      </c>
      <c r="N1254" s="2" t="s">
        <v>2317</v>
      </c>
      <c r="O1254" s="14">
        <v>4500</v>
      </c>
      <c r="P1254" s="14">
        <v>96.69</v>
      </c>
      <c r="Q1254" s="14">
        <v>148.94999999999999</v>
      </c>
      <c r="R1254" s="14">
        <v>125.12</v>
      </c>
      <c r="S1254" s="2" t="s">
        <v>5317</v>
      </c>
      <c r="T1254" s="2">
        <v>1</v>
      </c>
      <c r="U1254" s="2">
        <v>59.9</v>
      </c>
      <c r="V1254" s="2">
        <v>58</v>
      </c>
      <c r="W1254" s="2" t="s">
        <v>7862</v>
      </c>
      <c r="X1254" s="2" t="s">
        <v>5405</v>
      </c>
      <c r="Y1254" s="2">
        <v>3780</v>
      </c>
      <c r="Z1254" s="19" t="str">
        <f>HYPERLINK("https://ssdweb.co/ssdweb/hd/Vision360.html?d=926211171&amp;zoomslide=1&amp;z=1926211171&amp;ISCONFIRM=0","VIDEO")</f>
        <v>VIDEO</v>
      </c>
      <c r="AA1254" s="19" t="str">
        <f>HYPERLINK("https://ssdweb.co/ssdweb/CERTH/639438807.pdf","CERTI")</f>
        <v>CERTI</v>
      </c>
    </row>
    <row r="1255" spans="1:27" ht="15" x14ac:dyDescent="0.25">
      <c r="A1255" s="2">
        <v>1250</v>
      </c>
      <c r="B1255" s="39">
        <v>925790821</v>
      </c>
      <c r="C1255" s="28" t="str">
        <f>HYPERLINK("https://pld.live/RapDetail.aspx?STONELIST=925790821","DNA")</f>
        <v>DNA</v>
      </c>
      <c r="D1255" s="18" t="s">
        <v>5715</v>
      </c>
      <c r="E1255" s="18" t="s">
        <v>5128</v>
      </c>
      <c r="F1255" s="2" t="s">
        <v>7987</v>
      </c>
      <c r="G1255" s="2" t="s">
        <v>861</v>
      </c>
      <c r="H1255" s="14">
        <v>0.84</v>
      </c>
      <c r="I1255" s="2" t="s">
        <v>267</v>
      </c>
      <c r="J1255" s="2" t="s">
        <v>13</v>
      </c>
      <c r="K1255" s="2" t="s">
        <v>3390</v>
      </c>
      <c r="L1255" s="2" t="s">
        <v>5221</v>
      </c>
      <c r="M1255" s="2" t="s">
        <v>5221</v>
      </c>
      <c r="N1255" s="2" t="s">
        <v>2317</v>
      </c>
      <c r="O1255" s="14">
        <v>3900</v>
      </c>
      <c r="P1255" s="14">
        <v>96.44</v>
      </c>
      <c r="Q1255" s="14">
        <v>138.84</v>
      </c>
      <c r="R1255" s="14">
        <v>116.63</v>
      </c>
      <c r="S1255" s="2" t="s">
        <v>7213</v>
      </c>
      <c r="T1255" s="2">
        <v>1</v>
      </c>
      <c r="U1255" s="2">
        <v>60.7</v>
      </c>
      <c r="V1255" s="2">
        <v>59</v>
      </c>
      <c r="W1255" s="2" t="s">
        <v>7862</v>
      </c>
      <c r="X1255" s="2" t="s">
        <v>5405</v>
      </c>
      <c r="Y1255" s="2">
        <v>3276</v>
      </c>
      <c r="Z1255" s="19" t="str">
        <f>HYPERLINK("https://ssdweb.co/ssdweb/hd/Vision360.html?d=925790821&amp;zoomslide=1&amp;z=1925790821&amp;ISCONFIRM=0","VIDEO")</f>
        <v>VIDEO</v>
      </c>
      <c r="AA1255" s="19" t="str">
        <f>HYPERLINK("https://ssdweb.co/ssdweb/CERTH/625432101.pdf","CERTI")</f>
        <v>CERTI</v>
      </c>
    </row>
    <row r="1256" spans="1:27" ht="15" x14ac:dyDescent="0.25">
      <c r="A1256" s="2">
        <v>1251</v>
      </c>
      <c r="B1256" s="39">
        <v>926211257</v>
      </c>
      <c r="C1256" s="28" t="str">
        <f>HYPERLINK("https://pld.live/RapDetail.aspx?STONELIST=926211257","DNA")</f>
        <v>DNA</v>
      </c>
      <c r="D1256" s="18" t="s">
        <v>5715</v>
      </c>
      <c r="E1256" s="18" t="s">
        <v>5128</v>
      </c>
      <c r="F1256" s="2" t="s">
        <v>7987</v>
      </c>
      <c r="G1256" s="2" t="s">
        <v>861</v>
      </c>
      <c r="H1256" s="14">
        <v>0.84</v>
      </c>
      <c r="I1256" s="2" t="s">
        <v>267</v>
      </c>
      <c r="J1256" s="2" t="s">
        <v>13</v>
      </c>
      <c r="K1256" s="2" t="s">
        <v>3390</v>
      </c>
      <c r="L1256" s="2" t="s">
        <v>5221</v>
      </c>
      <c r="M1256" s="2" t="s">
        <v>5221</v>
      </c>
      <c r="N1256" s="2" t="s">
        <v>2317</v>
      </c>
      <c r="O1256" s="14">
        <v>3900</v>
      </c>
      <c r="P1256" s="14">
        <v>96.38</v>
      </c>
      <c r="Q1256" s="14">
        <v>141.18</v>
      </c>
      <c r="R1256" s="14">
        <v>118.59</v>
      </c>
      <c r="S1256" s="2" t="s">
        <v>2272</v>
      </c>
      <c r="T1256" s="2">
        <v>1.01</v>
      </c>
      <c r="U1256" s="2">
        <v>62.2</v>
      </c>
      <c r="V1256" s="2">
        <v>59</v>
      </c>
      <c r="W1256" s="2" t="s">
        <v>7862</v>
      </c>
      <c r="X1256" s="2" t="s">
        <v>5405</v>
      </c>
      <c r="Y1256" s="2">
        <v>3276</v>
      </c>
      <c r="Z1256" s="19" t="str">
        <f>HYPERLINK("https://ssdweb.co/ssdweb/hd/Vision360.html?d=926211257&amp;zoomslide=1&amp;z=1926211257&amp;ISCONFIRM=0","VIDEO")</f>
        <v>VIDEO</v>
      </c>
      <c r="AA1256" s="19" t="str">
        <f>HYPERLINK("https://ssdweb.co/ssdweb/CERTH/639438723.pdf","CERTI")</f>
        <v>CERTI</v>
      </c>
    </row>
    <row r="1257" spans="1:27" ht="15" x14ac:dyDescent="0.25">
      <c r="A1257" s="2">
        <v>1252</v>
      </c>
      <c r="B1257" s="39">
        <v>941170257</v>
      </c>
      <c r="C1257" s="28" t="str">
        <f>HYPERLINK("https://pld.live/RapDetail.aspx?STONELIST=941170257","DNA")</f>
        <v>DNA</v>
      </c>
      <c r="D1257" s="18" t="s">
        <v>5715</v>
      </c>
      <c r="E1257" s="18" t="s">
        <v>5128</v>
      </c>
      <c r="F1257" s="2" t="s">
        <v>7987</v>
      </c>
      <c r="G1257" s="2" t="s">
        <v>861</v>
      </c>
      <c r="H1257" s="14">
        <v>0.84</v>
      </c>
      <c r="I1257" s="2" t="s">
        <v>267</v>
      </c>
      <c r="J1257" s="2" t="s">
        <v>13</v>
      </c>
      <c r="K1257" s="2" t="s">
        <v>3390</v>
      </c>
      <c r="L1257" s="2" t="s">
        <v>5221</v>
      </c>
      <c r="M1257" s="2" t="s">
        <v>5221</v>
      </c>
      <c r="N1257" s="2" t="s">
        <v>2317</v>
      </c>
      <c r="O1257" s="14">
        <v>3900</v>
      </c>
      <c r="P1257" s="14">
        <v>96.28</v>
      </c>
      <c r="Q1257" s="14">
        <v>145.08000000000001</v>
      </c>
      <c r="R1257" s="14">
        <v>121.87</v>
      </c>
      <c r="S1257" s="2" t="s">
        <v>7941</v>
      </c>
      <c r="T1257" s="2">
        <v>1.01</v>
      </c>
      <c r="U1257" s="2">
        <v>61.1</v>
      </c>
      <c r="V1257" s="2">
        <v>57</v>
      </c>
      <c r="W1257" s="2" t="s">
        <v>7862</v>
      </c>
      <c r="X1257" s="2" t="s">
        <v>5405</v>
      </c>
      <c r="Y1257" s="2">
        <v>3276</v>
      </c>
      <c r="Z1257" s="19" t="str">
        <f>HYPERLINK("https://ssdweb.co/ssdweb/hd/Vision360.html?d=941170257&amp;zoomslide=1&amp;z=1941170257&amp;ISCONFIRM=0","VIDEO")</f>
        <v>VIDEO</v>
      </c>
      <c r="AA1257" s="19" t="str">
        <f>HYPERLINK("https://ssdweb.co/ssdweb/CERTH/674532482.pdf","CERTI")</f>
        <v>CERTI</v>
      </c>
    </row>
    <row r="1258" spans="1:27" ht="15" x14ac:dyDescent="0.25">
      <c r="A1258" s="2">
        <v>1253</v>
      </c>
      <c r="B1258" s="39">
        <v>821126416</v>
      </c>
      <c r="C1258" s="28" t="str">
        <f>HYPERLINK("https://pld.live/RapDetail.aspx?STONELIST=821126416","DNA")</f>
        <v>DNA</v>
      </c>
      <c r="D1258" s="18" t="s">
        <v>5715</v>
      </c>
      <c r="E1258" s="18" t="s">
        <v>5128</v>
      </c>
      <c r="F1258" s="2" t="s">
        <v>7987</v>
      </c>
      <c r="G1258" s="2" t="s">
        <v>861</v>
      </c>
      <c r="H1258" s="14">
        <v>0.84</v>
      </c>
      <c r="I1258" s="2" t="s">
        <v>267</v>
      </c>
      <c r="J1258" s="2" t="s">
        <v>13</v>
      </c>
      <c r="K1258" s="2" t="s">
        <v>5221</v>
      </c>
      <c r="L1258" s="2" t="s">
        <v>5221</v>
      </c>
      <c r="M1258" s="2" t="s">
        <v>5221</v>
      </c>
      <c r="N1258" s="2" t="s">
        <v>2317</v>
      </c>
      <c r="O1258" s="14">
        <v>3900</v>
      </c>
      <c r="P1258" s="14">
        <v>96.49</v>
      </c>
      <c r="Q1258" s="14">
        <v>136.88999999999999</v>
      </c>
      <c r="R1258" s="14">
        <v>114.99</v>
      </c>
      <c r="S1258" s="2" t="s">
        <v>4068</v>
      </c>
      <c r="T1258" s="2">
        <v>1</v>
      </c>
      <c r="U1258" s="2">
        <v>63.1</v>
      </c>
      <c r="V1258" s="2">
        <v>59</v>
      </c>
      <c r="W1258" s="2" t="s">
        <v>7862</v>
      </c>
      <c r="X1258" s="2" t="s">
        <v>5405</v>
      </c>
      <c r="Y1258" s="2">
        <v>3276</v>
      </c>
      <c r="Z1258" s="19" t="str">
        <f>HYPERLINK("https://ssdweb.co/ssdweb/hd/Vision360.html?d=821126416&amp;zoomslide=1&amp;z=1821126416&amp;ISCONFIRM=0","VIDEO")</f>
        <v>VIDEO</v>
      </c>
      <c r="AA1258" s="19" t="str">
        <f>HYPERLINK("https://ssdweb.co/ssdweb/CERTH/618461019.pdf","CERTI")</f>
        <v>CERTI</v>
      </c>
    </row>
    <row r="1259" spans="1:27" ht="15" x14ac:dyDescent="0.25">
      <c r="A1259" s="2">
        <v>1254</v>
      </c>
      <c r="B1259" s="39">
        <v>927130092</v>
      </c>
      <c r="C1259" s="28" t="str">
        <f>HYPERLINK("https://pld.live/RapDetail.aspx?STONELIST=927130092","DNA")</f>
        <v>DNA</v>
      </c>
      <c r="D1259" s="18" t="s">
        <v>5715</v>
      </c>
      <c r="E1259" s="18" t="s">
        <v>5128</v>
      </c>
      <c r="F1259" s="2" t="s">
        <v>7987</v>
      </c>
      <c r="G1259" s="2" t="s">
        <v>861</v>
      </c>
      <c r="H1259" s="14">
        <v>0.84</v>
      </c>
      <c r="I1259" s="2" t="s">
        <v>267</v>
      </c>
      <c r="J1259" s="2" t="s">
        <v>13</v>
      </c>
      <c r="K1259" s="2" t="s">
        <v>5221</v>
      </c>
      <c r="L1259" s="2" t="s">
        <v>5221</v>
      </c>
      <c r="M1259" s="2" t="s">
        <v>5221</v>
      </c>
      <c r="N1259" s="2" t="s">
        <v>2317</v>
      </c>
      <c r="O1259" s="14">
        <v>3900</v>
      </c>
      <c r="P1259" s="14">
        <v>96.33</v>
      </c>
      <c r="Q1259" s="14">
        <v>143.13</v>
      </c>
      <c r="R1259" s="14">
        <v>120.23</v>
      </c>
      <c r="S1259" s="2" t="s">
        <v>3446</v>
      </c>
      <c r="T1259" s="2">
        <v>1.01</v>
      </c>
      <c r="U1259" s="2">
        <v>58.4</v>
      </c>
      <c r="V1259" s="2">
        <v>60</v>
      </c>
      <c r="W1259" s="2" t="s">
        <v>7862</v>
      </c>
      <c r="X1259" s="2" t="s">
        <v>5405</v>
      </c>
      <c r="Y1259" s="2">
        <v>3276</v>
      </c>
      <c r="Z1259" s="19" t="str">
        <f>HYPERLINK("https://ssdweb.co/ssdweb/hd/Vision360.html?d=927130092&amp;zoomslide=1&amp;z=1927130092&amp;ISCONFIRM=0","VIDEO")</f>
        <v>VIDEO</v>
      </c>
      <c r="AA1259" s="19" t="str">
        <f>HYPERLINK("https://ssdweb.co/ssdweb/CERTH/668477296.pdf","CERTI")</f>
        <v>CERTI</v>
      </c>
    </row>
    <row r="1260" spans="1:27" ht="15" x14ac:dyDescent="0.25">
      <c r="A1260" s="2">
        <v>1255</v>
      </c>
      <c r="B1260" s="39">
        <v>926331599</v>
      </c>
      <c r="C1260" s="28" t="str">
        <f>HYPERLINK("https://pld.live/RapDetail.aspx?STONELIST=926331599","DNA")</f>
        <v>DNA</v>
      </c>
      <c r="D1260" s="18" t="s">
        <v>5715</v>
      </c>
      <c r="E1260" s="18" t="s">
        <v>5128</v>
      </c>
      <c r="F1260" s="2" t="s">
        <v>7987</v>
      </c>
      <c r="G1260" s="2" t="s">
        <v>861</v>
      </c>
      <c r="H1260" s="14">
        <v>0.84</v>
      </c>
      <c r="I1260" s="2" t="s">
        <v>267</v>
      </c>
      <c r="J1260" s="2" t="s">
        <v>13</v>
      </c>
      <c r="K1260" s="2" t="s">
        <v>5221</v>
      </c>
      <c r="L1260" s="2" t="s">
        <v>5221</v>
      </c>
      <c r="M1260" s="2" t="s">
        <v>5721</v>
      </c>
      <c r="N1260" s="2" t="s">
        <v>2317</v>
      </c>
      <c r="O1260" s="14">
        <v>3900</v>
      </c>
      <c r="P1260" s="14">
        <v>96.38</v>
      </c>
      <c r="Q1260" s="14">
        <v>141.18</v>
      </c>
      <c r="R1260" s="14">
        <v>118.59</v>
      </c>
      <c r="S1260" s="2" t="s">
        <v>5861</v>
      </c>
      <c r="T1260" s="2">
        <v>1.01</v>
      </c>
      <c r="U1260" s="2">
        <v>62.1</v>
      </c>
      <c r="V1260" s="2">
        <v>61</v>
      </c>
      <c r="W1260" s="2" t="s">
        <v>7862</v>
      </c>
      <c r="X1260" s="2" t="s">
        <v>5405</v>
      </c>
      <c r="Y1260" s="2">
        <v>3276</v>
      </c>
      <c r="Z1260" s="19" t="str">
        <f>HYPERLINK("https://ssdweb.co/ssdweb/hd/Vision360.html?d=926331599&amp;zoomslide=1&amp;z=1926331599&amp;ISCONFIRM=0","VIDEO")</f>
        <v>VIDEO</v>
      </c>
      <c r="AA1260" s="19" t="str">
        <f>HYPERLINK("https://ssdweb.co/ssdweb/CERTH/653451022.pdf","CERTI")</f>
        <v>CERTI</v>
      </c>
    </row>
    <row r="1261" spans="1:27" ht="15" x14ac:dyDescent="0.25">
      <c r="A1261" s="2">
        <v>1256</v>
      </c>
      <c r="B1261" s="39">
        <v>941170238</v>
      </c>
      <c r="C1261" s="28" t="str">
        <f>HYPERLINK("https://pld.live/RapDetail.aspx?STONELIST=941170238","DNA")</f>
        <v>DNA</v>
      </c>
      <c r="D1261" s="18" t="s">
        <v>5715</v>
      </c>
      <c r="E1261" s="18" t="s">
        <v>5128</v>
      </c>
      <c r="F1261" s="2" t="s">
        <v>7987</v>
      </c>
      <c r="G1261" s="2" t="s">
        <v>861</v>
      </c>
      <c r="H1261" s="14">
        <v>0.84</v>
      </c>
      <c r="I1261" s="2" t="s">
        <v>4761</v>
      </c>
      <c r="J1261" s="2" t="s">
        <v>6555</v>
      </c>
      <c r="K1261" s="2" t="s">
        <v>3390</v>
      </c>
      <c r="L1261" s="2" t="s">
        <v>5221</v>
      </c>
      <c r="M1261" s="2" t="s">
        <v>5221</v>
      </c>
      <c r="N1261" s="2" t="s">
        <v>2317</v>
      </c>
      <c r="O1261" s="14">
        <v>5100</v>
      </c>
      <c r="P1261" s="14">
        <v>96.86</v>
      </c>
      <c r="Q1261" s="14">
        <v>160.13999999999999</v>
      </c>
      <c r="R1261" s="14">
        <v>134.52000000000001</v>
      </c>
      <c r="S1261" s="2" t="s">
        <v>4879</v>
      </c>
      <c r="T1261" s="2">
        <v>1</v>
      </c>
      <c r="U1261" s="2">
        <v>62</v>
      </c>
      <c r="V1261" s="2">
        <v>58</v>
      </c>
      <c r="W1261" s="2" t="s">
        <v>7862</v>
      </c>
      <c r="X1261" s="2" t="s">
        <v>5405</v>
      </c>
      <c r="Y1261" s="2">
        <v>4284</v>
      </c>
      <c r="Z1261" s="19" t="str">
        <f>HYPERLINK("https://ssdweb.co/ssdweb/hd/Vision360.html?d=941170238&amp;zoomslide=1&amp;z=1941170238&amp;ISCONFIRM=0","VIDEO")</f>
        <v>VIDEO</v>
      </c>
      <c r="AA1261" s="19" t="str">
        <f>HYPERLINK("https://ssdweb.co/ssdweb/CERTH/674532481.pdf","CERTI")</f>
        <v>CERTI</v>
      </c>
    </row>
    <row r="1262" spans="1:27" ht="15" x14ac:dyDescent="0.25">
      <c r="A1262" s="2">
        <v>1257</v>
      </c>
      <c r="B1262" s="39">
        <v>925900333</v>
      </c>
      <c r="C1262" s="28" t="str">
        <f>HYPERLINK("https://pld.live/RapDetail.aspx?STONELIST=925900333","DNA")</f>
        <v>DNA</v>
      </c>
      <c r="D1262" s="18" t="s">
        <v>5715</v>
      </c>
      <c r="E1262" s="18" t="s">
        <v>5128</v>
      </c>
      <c r="F1262" s="2" t="s">
        <v>5597</v>
      </c>
      <c r="G1262" s="2" t="s">
        <v>861</v>
      </c>
      <c r="H1262" s="14">
        <v>0.84</v>
      </c>
      <c r="I1262" s="2" t="s">
        <v>4761</v>
      </c>
      <c r="J1262" s="2" t="s">
        <v>13</v>
      </c>
      <c r="K1262" s="2" t="s">
        <v>5721</v>
      </c>
      <c r="L1262" s="2" t="s">
        <v>5221</v>
      </c>
      <c r="M1262" s="2" t="s">
        <v>5221</v>
      </c>
      <c r="N1262" s="2" t="s">
        <v>2317</v>
      </c>
      <c r="O1262" s="14">
        <v>3700</v>
      </c>
      <c r="P1262" s="14">
        <v>93</v>
      </c>
      <c r="Q1262" s="14">
        <v>259</v>
      </c>
      <c r="R1262" s="14">
        <v>217.56</v>
      </c>
      <c r="S1262" s="2" t="s">
        <v>7900</v>
      </c>
      <c r="T1262" s="2">
        <v>1</v>
      </c>
      <c r="U1262" s="2">
        <v>62.4</v>
      </c>
      <c r="V1262" s="2">
        <v>57</v>
      </c>
      <c r="W1262" s="2" t="s">
        <v>7862</v>
      </c>
      <c r="X1262" s="2" t="s">
        <v>5405</v>
      </c>
      <c r="Y1262" s="2">
        <v>3108</v>
      </c>
      <c r="Z1262" s="19" t="str">
        <f>HYPERLINK("https://ssdweb.co/ssdweb/hd/Vision360.html?d=925900333&amp;zoomslide=1&amp;z=1925900333&amp;ISCONFIRM=0","VIDEO")</f>
        <v>VIDEO</v>
      </c>
      <c r="AA1262" s="19" t="str">
        <f>HYPERLINK("https://ssdweb.co/ssdweb/CERTH/6481966245.pdf","CERTI")</f>
        <v>CERTI</v>
      </c>
    </row>
    <row r="1263" spans="1:27" ht="15" x14ac:dyDescent="0.25">
      <c r="A1263" s="2">
        <v>1258</v>
      </c>
      <c r="B1263" s="39">
        <v>941190113</v>
      </c>
      <c r="C1263" s="28" t="str">
        <f>HYPERLINK("https://pld.live/RapDetail.aspx?STONELIST=941190113","DNA")</f>
        <v>DNA</v>
      </c>
      <c r="D1263" s="18" t="s">
        <v>5715</v>
      </c>
      <c r="E1263" s="18" t="s">
        <v>5128</v>
      </c>
      <c r="F1263" s="2" t="s">
        <v>7987</v>
      </c>
      <c r="G1263" s="2" t="s">
        <v>861</v>
      </c>
      <c r="H1263" s="14">
        <v>0.83</v>
      </c>
      <c r="I1263" s="2" t="s">
        <v>267</v>
      </c>
      <c r="J1263" s="2" t="s">
        <v>13</v>
      </c>
      <c r="K1263" s="2" t="s">
        <v>3390</v>
      </c>
      <c r="L1263" s="2" t="s">
        <v>5221</v>
      </c>
      <c r="M1263" s="2" t="s">
        <v>5221</v>
      </c>
      <c r="N1263" s="2" t="s">
        <v>2317</v>
      </c>
      <c r="O1263" s="14">
        <v>3900</v>
      </c>
      <c r="P1263" s="14">
        <v>96.28</v>
      </c>
      <c r="Q1263" s="14">
        <v>145.08000000000001</v>
      </c>
      <c r="R1263" s="14">
        <v>120.42</v>
      </c>
      <c r="S1263" s="2" t="s">
        <v>5618</v>
      </c>
      <c r="T1263" s="2">
        <v>1.01</v>
      </c>
      <c r="U1263" s="2">
        <v>62.5</v>
      </c>
      <c r="V1263" s="2">
        <v>58</v>
      </c>
      <c r="W1263" s="2" t="s">
        <v>7862</v>
      </c>
      <c r="X1263" s="2" t="s">
        <v>5405</v>
      </c>
      <c r="Y1263" s="2">
        <v>3237</v>
      </c>
      <c r="Z1263" s="19" t="str">
        <f>HYPERLINK("https://ssdweb.co/ssdweb/hd/Vision360.html?d=941190113&amp;zoomslide=1&amp;z=1941190113&amp;ISCONFIRM=0","VIDEO")</f>
        <v>VIDEO</v>
      </c>
      <c r="AA1263" s="19" t="str">
        <f>HYPERLINK("https://ssdweb.co/ssdweb/CERTH/675504531.pdf","CERTI")</f>
        <v>CERTI</v>
      </c>
    </row>
    <row r="1264" spans="1:27" ht="15" x14ac:dyDescent="0.25">
      <c r="A1264" s="2">
        <v>1259</v>
      </c>
      <c r="B1264" s="39">
        <v>941320624</v>
      </c>
      <c r="C1264" s="28" t="str">
        <f>HYPERLINK("https://pld.live/RapDetail.aspx?STONELIST=941320624","DNA")</f>
        <v>DNA</v>
      </c>
      <c r="D1264" s="18" t="s">
        <v>5715</v>
      </c>
      <c r="E1264" s="18" t="s">
        <v>5128</v>
      </c>
      <c r="F1264" s="2" t="s">
        <v>7987</v>
      </c>
      <c r="G1264" s="2" t="s">
        <v>861</v>
      </c>
      <c r="H1264" s="14">
        <v>0.83</v>
      </c>
      <c r="I1264" s="2" t="s">
        <v>267</v>
      </c>
      <c r="J1264" s="2" t="s">
        <v>13</v>
      </c>
      <c r="K1264" s="2" t="s">
        <v>3390</v>
      </c>
      <c r="L1264" s="2" t="s">
        <v>5221</v>
      </c>
      <c r="M1264" s="2" t="s">
        <v>5221</v>
      </c>
      <c r="N1264" s="2" t="s">
        <v>2317</v>
      </c>
      <c r="O1264" s="14">
        <v>3900</v>
      </c>
      <c r="P1264" s="14">
        <v>96.28</v>
      </c>
      <c r="Q1264" s="14">
        <v>145.08000000000001</v>
      </c>
      <c r="R1264" s="14">
        <v>120.42</v>
      </c>
      <c r="S1264" s="2" t="s">
        <v>7931</v>
      </c>
      <c r="T1264" s="2">
        <v>1.01</v>
      </c>
      <c r="U1264" s="2">
        <v>62.5</v>
      </c>
      <c r="V1264" s="2">
        <v>56</v>
      </c>
      <c r="W1264" s="2" t="s">
        <v>7862</v>
      </c>
      <c r="X1264" s="2" t="s">
        <v>5405</v>
      </c>
      <c r="Y1264" s="2">
        <v>3237</v>
      </c>
      <c r="Z1264" s="19" t="str">
        <f>HYPERLINK("https://ssdweb.co/ssdweb/hd/Vision360.html?d=941320624&amp;zoomslide=1&amp;z=1941320624&amp;ISCONFIRM=0","VIDEO")</f>
        <v>VIDEO</v>
      </c>
      <c r="AA1264" s="19" t="str">
        <f>HYPERLINK("https://ssdweb.co/ssdweb/CERTH/694508378.pdf","CERTI")</f>
        <v>CERTI</v>
      </c>
    </row>
    <row r="1265" spans="1:27" ht="15" x14ac:dyDescent="0.25">
      <c r="A1265" s="2">
        <v>1260</v>
      </c>
      <c r="B1265" s="39">
        <v>941170258</v>
      </c>
      <c r="C1265" s="28" t="str">
        <f>HYPERLINK("https://pld.live/RapDetail.aspx?STONELIST=941170258","DNA")</f>
        <v>DNA</v>
      </c>
      <c r="D1265" s="18" t="s">
        <v>5715</v>
      </c>
      <c r="E1265" s="18" t="s">
        <v>5128</v>
      </c>
      <c r="F1265" s="2" t="s">
        <v>7987</v>
      </c>
      <c r="G1265" s="2" t="s">
        <v>861</v>
      </c>
      <c r="H1265" s="14">
        <v>0.82</v>
      </c>
      <c r="I1265" s="2" t="s">
        <v>267</v>
      </c>
      <c r="J1265" s="2" t="s">
        <v>6555</v>
      </c>
      <c r="K1265" s="2" t="s">
        <v>3390</v>
      </c>
      <c r="L1265" s="2" t="s">
        <v>5221</v>
      </c>
      <c r="M1265" s="2" t="s">
        <v>5221</v>
      </c>
      <c r="N1265" s="2" t="s">
        <v>2317</v>
      </c>
      <c r="O1265" s="14">
        <v>5800</v>
      </c>
      <c r="P1265" s="14">
        <v>97.07</v>
      </c>
      <c r="Q1265" s="14">
        <v>169.94</v>
      </c>
      <c r="R1265" s="14">
        <v>139.35</v>
      </c>
      <c r="S1265" s="2" t="s">
        <v>3935</v>
      </c>
      <c r="T1265" s="2">
        <v>1.01</v>
      </c>
      <c r="U1265" s="2">
        <v>60.9</v>
      </c>
      <c r="V1265" s="2">
        <v>60</v>
      </c>
      <c r="W1265" s="2" t="s">
        <v>7862</v>
      </c>
      <c r="X1265" s="2" t="s">
        <v>5405</v>
      </c>
      <c r="Y1265" s="2">
        <v>4756</v>
      </c>
      <c r="Z1265" s="19" t="str">
        <f>HYPERLINK("https://ssdweb.co/ssdweb/hd/Vision360.html?d=941170258&amp;zoomslide=1&amp;z=1941170258&amp;ISCONFIRM=0","VIDEO")</f>
        <v>VIDEO</v>
      </c>
      <c r="AA1265" s="19" t="str">
        <f>HYPERLINK("https://ssdweb.co/ssdweb/CERTH/674532483.pdf","CERTI")</f>
        <v>CERTI</v>
      </c>
    </row>
    <row r="1266" spans="1:27" ht="15" x14ac:dyDescent="0.25">
      <c r="A1266" s="2">
        <v>1261</v>
      </c>
      <c r="B1266" s="39">
        <v>941320667</v>
      </c>
      <c r="C1266" s="28" t="str">
        <f>HYPERLINK("https://pld.live/RapDetail.aspx?STONELIST=941320667","DNA")</f>
        <v>DNA</v>
      </c>
      <c r="D1266" s="18" t="s">
        <v>5715</v>
      </c>
      <c r="E1266" s="18" t="s">
        <v>5128</v>
      </c>
      <c r="F1266" s="2" t="s">
        <v>7987</v>
      </c>
      <c r="G1266" s="2" t="s">
        <v>861</v>
      </c>
      <c r="H1266" s="14">
        <v>0.82</v>
      </c>
      <c r="I1266" s="2" t="s">
        <v>267</v>
      </c>
      <c r="J1266" s="2" t="s">
        <v>3942</v>
      </c>
      <c r="K1266" s="2" t="s">
        <v>3390</v>
      </c>
      <c r="L1266" s="2" t="s">
        <v>5221</v>
      </c>
      <c r="M1266" s="2" t="s">
        <v>5221</v>
      </c>
      <c r="N1266" s="2" t="s">
        <v>2317</v>
      </c>
      <c r="O1266" s="14">
        <v>4500</v>
      </c>
      <c r="P1266" s="14">
        <v>96.56</v>
      </c>
      <c r="Q1266" s="14">
        <v>154.80000000000001</v>
      </c>
      <c r="R1266" s="14">
        <v>126.94</v>
      </c>
      <c r="S1266" s="2" t="s">
        <v>3630</v>
      </c>
      <c r="T1266" s="2">
        <v>1.01</v>
      </c>
      <c r="U1266" s="2">
        <v>62.7</v>
      </c>
      <c r="V1266" s="2">
        <v>57</v>
      </c>
      <c r="W1266" s="2" t="s">
        <v>7862</v>
      </c>
      <c r="X1266" s="2" t="s">
        <v>5405</v>
      </c>
      <c r="Y1266" s="2">
        <v>3690</v>
      </c>
      <c r="Z1266" s="19" t="str">
        <f>HYPERLINK("https://ssdweb.co/ssdweb/hd/Vision360.html?d=941320667&amp;zoomslide=1&amp;z=1941320667&amp;ISCONFIRM=0","VIDEO")</f>
        <v>VIDEO</v>
      </c>
      <c r="AA1266" s="19" t="str">
        <f>HYPERLINK("https://ssdweb.co/ssdweb/CERTH/694508380.pdf","CERTI")</f>
        <v>CERTI</v>
      </c>
    </row>
    <row r="1267" spans="1:27" ht="15" x14ac:dyDescent="0.25">
      <c r="A1267" s="2">
        <v>1262</v>
      </c>
      <c r="B1267" s="39">
        <v>926221340</v>
      </c>
      <c r="C1267" s="28" t="str">
        <f>HYPERLINK("https://pld.live/RapDetail.aspx?STONELIST=926221340","DNA")</f>
        <v>DNA</v>
      </c>
      <c r="D1267" s="18" t="s">
        <v>5715</v>
      </c>
      <c r="E1267" s="18" t="s">
        <v>5128</v>
      </c>
      <c r="F1267" s="2" t="s">
        <v>7987</v>
      </c>
      <c r="G1267" s="2" t="s">
        <v>861</v>
      </c>
      <c r="H1267" s="14">
        <v>0.82</v>
      </c>
      <c r="I1267" s="2" t="s">
        <v>267</v>
      </c>
      <c r="J1267" s="2" t="s">
        <v>3942</v>
      </c>
      <c r="K1267" s="2" t="s">
        <v>5221</v>
      </c>
      <c r="L1267" s="2" t="s">
        <v>5221</v>
      </c>
      <c r="M1267" s="2" t="s">
        <v>5221</v>
      </c>
      <c r="N1267" s="2" t="s">
        <v>2317</v>
      </c>
      <c r="O1267" s="14">
        <v>4500</v>
      </c>
      <c r="P1267" s="14">
        <v>96.64</v>
      </c>
      <c r="Q1267" s="14">
        <v>151.19999999999999</v>
      </c>
      <c r="R1267" s="14">
        <v>123.98</v>
      </c>
      <c r="S1267" s="2" t="s">
        <v>2690</v>
      </c>
      <c r="T1267" s="2">
        <v>1.01</v>
      </c>
      <c r="U1267" s="2">
        <v>63.4</v>
      </c>
      <c r="V1267" s="2">
        <v>58</v>
      </c>
      <c r="W1267" s="2" t="s">
        <v>7862</v>
      </c>
      <c r="X1267" s="2" t="s">
        <v>5405</v>
      </c>
      <c r="Y1267" s="2">
        <v>3690</v>
      </c>
      <c r="Z1267" s="19" t="str">
        <f>HYPERLINK("https://ssdweb.co/ssdweb/hd/Vision360.html?d=926221340&amp;zoomslide=1&amp;z=1926221340&amp;ISCONFIRM=0","VIDEO")</f>
        <v>VIDEO</v>
      </c>
      <c r="AA1267" s="19" t="str">
        <f>HYPERLINK("https://ssdweb.co/ssdweb/CERTH/640473917.pdf","CERTI")</f>
        <v>CERTI</v>
      </c>
    </row>
    <row r="1268" spans="1:27" ht="15" x14ac:dyDescent="0.25">
      <c r="A1268" s="2">
        <v>1263</v>
      </c>
      <c r="B1268" s="39">
        <v>926291530</v>
      </c>
      <c r="C1268" s="28" t="str">
        <f>HYPERLINK("https://pld.live/RapDetail.aspx?STONELIST=926291530","DNA")</f>
        <v>DNA</v>
      </c>
      <c r="D1268" s="18" t="s">
        <v>5715</v>
      </c>
      <c r="E1268" s="18" t="s">
        <v>5128</v>
      </c>
      <c r="F1268" s="2" t="s">
        <v>7987</v>
      </c>
      <c r="G1268" s="2" t="s">
        <v>861</v>
      </c>
      <c r="H1268" s="14">
        <v>0.82</v>
      </c>
      <c r="I1268" s="2" t="s">
        <v>267</v>
      </c>
      <c r="J1268" s="2" t="s">
        <v>3942</v>
      </c>
      <c r="K1268" s="2" t="s">
        <v>5221</v>
      </c>
      <c r="L1268" s="2" t="s">
        <v>5221</v>
      </c>
      <c r="M1268" s="2" t="s">
        <v>5721</v>
      </c>
      <c r="N1268" s="2" t="s">
        <v>2317</v>
      </c>
      <c r="O1268" s="14">
        <v>4500</v>
      </c>
      <c r="P1268" s="14">
        <v>96.64</v>
      </c>
      <c r="Q1268" s="14">
        <v>151.19999999999999</v>
      </c>
      <c r="R1268" s="14">
        <v>123.98</v>
      </c>
      <c r="S1268" s="2" t="s">
        <v>1333</v>
      </c>
      <c r="T1268" s="2">
        <v>1.01</v>
      </c>
      <c r="U1268" s="2">
        <v>62.7</v>
      </c>
      <c r="V1268" s="2">
        <v>56</v>
      </c>
      <c r="W1268" s="2" t="s">
        <v>7862</v>
      </c>
      <c r="X1268" s="2" t="s">
        <v>5405</v>
      </c>
      <c r="Y1268" s="2">
        <v>3690</v>
      </c>
      <c r="Z1268" s="19" t="str">
        <f>HYPERLINK("https://ssdweb.co/ssdweb/hd/Vision360.html?d=926291530&amp;zoomslide=1&amp;z=1926291530&amp;ISCONFIRM=0","VIDEO")</f>
        <v>VIDEO</v>
      </c>
      <c r="AA1268" s="19" t="str">
        <f>HYPERLINK("https://ssdweb.co/ssdweb/CERTH/660490496.pdf","CERTI")</f>
        <v>CERTI</v>
      </c>
    </row>
    <row r="1269" spans="1:27" ht="15" x14ac:dyDescent="0.25">
      <c r="A1269" s="2">
        <v>1264</v>
      </c>
      <c r="B1269" s="39">
        <v>941320537</v>
      </c>
      <c r="C1269" s="28" t="str">
        <f>HYPERLINK("https://pld.live/RapDetail.aspx?STONELIST=941320537","DNA")</f>
        <v>DNA</v>
      </c>
      <c r="D1269" s="18" t="s">
        <v>5715</v>
      </c>
      <c r="E1269" s="18" t="s">
        <v>5128</v>
      </c>
      <c r="F1269" s="2" t="s">
        <v>7987</v>
      </c>
      <c r="G1269" s="2" t="s">
        <v>861</v>
      </c>
      <c r="H1269" s="14">
        <v>0.82</v>
      </c>
      <c r="I1269" s="2" t="s">
        <v>267</v>
      </c>
      <c r="J1269" s="2" t="s">
        <v>13</v>
      </c>
      <c r="K1269" s="2" t="s">
        <v>3390</v>
      </c>
      <c r="L1269" s="2" t="s">
        <v>5221</v>
      </c>
      <c r="M1269" s="2" t="s">
        <v>5221</v>
      </c>
      <c r="N1269" s="2" t="s">
        <v>2317</v>
      </c>
      <c r="O1269" s="14">
        <v>3900</v>
      </c>
      <c r="P1269" s="14">
        <v>96.28</v>
      </c>
      <c r="Q1269" s="14">
        <v>145.08000000000001</v>
      </c>
      <c r="R1269" s="14">
        <v>118.97</v>
      </c>
      <c r="S1269" s="2" t="s">
        <v>3173</v>
      </c>
      <c r="T1269" s="2">
        <v>1</v>
      </c>
      <c r="U1269" s="2">
        <v>62.3</v>
      </c>
      <c r="V1269" s="2">
        <v>56</v>
      </c>
      <c r="W1269" s="2" t="s">
        <v>7862</v>
      </c>
      <c r="X1269" s="2" t="s">
        <v>5405</v>
      </c>
      <c r="Y1269" s="2">
        <v>3198</v>
      </c>
      <c r="Z1269" s="19" t="str">
        <f>HYPERLINK("https://ssdweb.co/ssdweb/hd/Vision360.html?d=941320537&amp;zoomslide=1&amp;z=1941320537&amp;ISCONFIRM=0","VIDEO")</f>
        <v>VIDEO</v>
      </c>
      <c r="AA1269" s="19" t="str">
        <f>HYPERLINK("https://ssdweb.co/ssdweb/CERTH/694508376.pdf","CERTI")</f>
        <v>CERTI</v>
      </c>
    </row>
    <row r="1270" spans="1:27" ht="15" x14ac:dyDescent="0.25">
      <c r="A1270" s="2">
        <v>1265</v>
      </c>
      <c r="B1270" s="39">
        <v>941170173</v>
      </c>
      <c r="C1270" s="28" t="str">
        <f>HYPERLINK("https://pld.live/RapDetail.aspx?STONELIST=941170173","DNA")</f>
        <v>DNA</v>
      </c>
      <c r="D1270" s="18" t="s">
        <v>5715</v>
      </c>
      <c r="E1270" s="18" t="s">
        <v>5128</v>
      </c>
      <c r="F1270" s="2" t="s">
        <v>7987</v>
      </c>
      <c r="G1270" s="2" t="s">
        <v>861</v>
      </c>
      <c r="H1270" s="14">
        <v>0.82</v>
      </c>
      <c r="I1270" s="2" t="s">
        <v>267</v>
      </c>
      <c r="J1270" s="2" t="s">
        <v>13</v>
      </c>
      <c r="K1270" s="2" t="s">
        <v>3390</v>
      </c>
      <c r="L1270" s="2" t="s">
        <v>5221</v>
      </c>
      <c r="M1270" s="2" t="s">
        <v>5221</v>
      </c>
      <c r="N1270" s="2" t="s">
        <v>2317</v>
      </c>
      <c r="O1270" s="14">
        <v>3900</v>
      </c>
      <c r="P1270" s="14">
        <v>96.28</v>
      </c>
      <c r="Q1270" s="14">
        <v>145.08000000000001</v>
      </c>
      <c r="R1270" s="14">
        <v>118.97</v>
      </c>
      <c r="S1270" s="2" t="s">
        <v>2488</v>
      </c>
      <c r="T1270" s="2">
        <v>1.01</v>
      </c>
      <c r="U1270" s="2">
        <v>62.2</v>
      </c>
      <c r="V1270" s="2">
        <v>58</v>
      </c>
      <c r="W1270" s="2" t="s">
        <v>7862</v>
      </c>
      <c r="X1270" s="2" t="s">
        <v>5405</v>
      </c>
      <c r="Y1270" s="2">
        <v>3198</v>
      </c>
      <c r="Z1270" s="19" t="str">
        <f>HYPERLINK("https://ssdweb.co/ssdweb/hd/Vision360.html?d=941170173&amp;zoomslide=1&amp;z=1941170173&amp;ISCONFIRM=0","VIDEO")</f>
        <v>VIDEO</v>
      </c>
      <c r="AA1270" s="19" t="str">
        <f>HYPERLINK("https://ssdweb.co/ssdweb/CERTH/674543027.pdf","CERTI")</f>
        <v>CERTI</v>
      </c>
    </row>
    <row r="1271" spans="1:27" ht="15" x14ac:dyDescent="0.25">
      <c r="A1271" s="2">
        <v>1266</v>
      </c>
      <c r="B1271" s="39">
        <v>941190073</v>
      </c>
      <c r="C1271" s="28" t="str">
        <f>HYPERLINK("https://pld.live/RapDetail.aspx?STONELIST=941190073","DNA")</f>
        <v>DNA</v>
      </c>
      <c r="D1271" s="18" t="s">
        <v>5715</v>
      </c>
      <c r="E1271" s="18" t="s">
        <v>5128</v>
      </c>
      <c r="F1271" s="2" t="s">
        <v>7987</v>
      </c>
      <c r="G1271" s="2" t="s">
        <v>861</v>
      </c>
      <c r="H1271" s="14">
        <v>0.82</v>
      </c>
      <c r="I1271" s="2" t="s">
        <v>267</v>
      </c>
      <c r="J1271" s="2" t="s">
        <v>13</v>
      </c>
      <c r="K1271" s="2" t="s">
        <v>3390</v>
      </c>
      <c r="L1271" s="2" t="s">
        <v>5221</v>
      </c>
      <c r="M1271" s="2" t="s">
        <v>5221</v>
      </c>
      <c r="N1271" s="2" t="s">
        <v>2317</v>
      </c>
      <c r="O1271" s="14">
        <v>3900</v>
      </c>
      <c r="P1271" s="14">
        <v>96.28</v>
      </c>
      <c r="Q1271" s="14">
        <v>145.08000000000001</v>
      </c>
      <c r="R1271" s="14">
        <v>118.97</v>
      </c>
      <c r="S1271" s="2" t="s">
        <v>6219</v>
      </c>
      <c r="T1271" s="2">
        <v>1</v>
      </c>
      <c r="U1271" s="2">
        <v>60.9</v>
      </c>
      <c r="V1271" s="2">
        <v>58</v>
      </c>
      <c r="W1271" s="2" t="s">
        <v>7862</v>
      </c>
      <c r="X1271" s="2" t="s">
        <v>5405</v>
      </c>
      <c r="Y1271" s="2">
        <v>3198</v>
      </c>
      <c r="Z1271" s="19" t="str">
        <f>HYPERLINK("https://ssdweb.co/ssdweb/hd/Vision360.html?d=941190073&amp;zoomslide=1&amp;z=1941190073&amp;ISCONFIRM=0","VIDEO")</f>
        <v>VIDEO</v>
      </c>
      <c r="AA1271" s="19" t="str">
        <f>HYPERLINK("https://ssdweb.co/ssdweb/CERTH/675504538.pdf","CERTI")</f>
        <v>CERTI</v>
      </c>
    </row>
    <row r="1272" spans="1:27" ht="15" x14ac:dyDescent="0.25">
      <c r="A1272" s="2">
        <v>1267</v>
      </c>
      <c r="B1272" s="39">
        <v>941350938</v>
      </c>
      <c r="C1272" s="28" t="str">
        <f>HYPERLINK("https://pld.live/RapDetail.aspx?STONELIST=941350938","DNA")</f>
        <v>DNA</v>
      </c>
      <c r="D1272" s="18" t="s">
        <v>5715</v>
      </c>
      <c r="E1272" s="18" t="s">
        <v>5128</v>
      </c>
      <c r="F1272" s="2" t="s">
        <v>7987</v>
      </c>
      <c r="G1272" s="2" t="s">
        <v>861</v>
      </c>
      <c r="H1272" s="14">
        <v>0.82</v>
      </c>
      <c r="I1272" s="2" t="s">
        <v>267</v>
      </c>
      <c r="J1272" s="2" t="s">
        <v>13</v>
      </c>
      <c r="K1272" s="2" t="s">
        <v>3390</v>
      </c>
      <c r="L1272" s="2" t="s">
        <v>5221</v>
      </c>
      <c r="M1272" s="2" t="s">
        <v>5221</v>
      </c>
      <c r="N1272" s="2" t="s">
        <v>2317</v>
      </c>
      <c r="O1272" s="14">
        <v>3900</v>
      </c>
      <c r="P1272" s="14">
        <v>96.28</v>
      </c>
      <c r="Q1272" s="14">
        <v>145.08000000000001</v>
      </c>
      <c r="R1272" s="14">
        <v>118.97</v>
      </c>
      <c r="S1272" s="2" t="s">
        <v>4076</v>
      </c>
      <c r="T1272" s="2">
        <v>1.01</v>
      </c>
      <c r="U1272" s="2">
        <v>61.8</v>
      </c>
      <c r="V1272" s="2">
        <v>58</v>
      </c>
      <c r="W1272" s="2" t="s">
        <v>7862</v>
      </c>
      <c r="X1272" s="2" t="s">
        <v>5405</v>
      </c>
      <c r="Y1272" s="2">
        <v>3198</v>
      </c>
      <c r="Z1272" s="19" t="str">
        <f>HYPERLINK("https://ssdweb.co/ssdweb/hd/Vision360.html?d=941350938&amp;zoomslide=1&amp;z=1941350938&amp;ISCONFIRM=0","VIDEO")</f>
        <v>VIDEO</v>
      </c>
      <c r="AA1272" s="19" t="str">
        <f>HYPERLINK("https://ssdweb.co/ssdweb/CERTH/685590578.pdf","CERTI")</f>
        <v>CERTI</v>
      </c>
    </row>
    <row r="1273" spans="1:27" ht="15" x14ac:dyDescent="0.25">
      <c r="A1273" s="2">
        <v>1268</v>
      </c>
      <c r="B1273" s="39">
        <v>926331620</v>
      </c>
      <c r="C1273" s="28" t="str">
        <f>HYPERLINK("https://pld.live/RapDetail.aspx?STONELIST=926331620","DNA")</f>
        <v>DNA</v>
      </c>
      <c r="D1273" s="18" t="s">
        <v>5715</v>
      </c>
      <c r="E1273" s="18" t="s">
        <v>5128</v>
      </c>
      <c r="F1273" s="2" t="s">
        <v>7987</v>
      </c>
      <c r="G1273" s="2" t="s">
        <v>861</v>
      </c>
      <c r="H1273" s="14">
        <v>0.82</v>
      </c>
      <c r="I1273" s="2" t="s">
        <v>267</v>
      </c>
      <c r="J1273" s="2" t="s">
        <v>13</v>
      </c>
      <c r="K1273" s="2" t="s">
        <v>5221</v>
      </c>
      <c r="L1273" s="2" t="s">
        <v>5221</v>
      </c>
      <c r="M1273" s="2" t="s">
        <v>5221</v>
      </c>
      <c r="N1273" s="2" t="s">
        <v>2317</v>
      </c>
      <c r="O1273" s="14">
        <v>3900</v>
      </c>
      <c r="P1273" s="14">
        <v>96.33</v>
      </c>
      <c r="Q1273" s="14">
        <v>143.13</v>
      </c>
      <c r="R1273" s="14">
        <v>117.37</v>
      </c>
      <c r="S1273" s="2" t="s">
        <v>3073</v>
      </c>
      <c r="T1273" s="2">
        <v>1.01</v>
      </c>
      <c r="U1273" s="2">
        <v>62.7</v>
      </c>
      <c r="V1273" s="2">
        <v>59</v>
      </c>
      <c r="W1273" s="2" t="s">
        <v>7862</v>
      </c>
      <c r="X1273" s="2" t="s">
        <v>5405</v>
      </c>
      <c r="Y1273" s="2">
        <v>3198</v>
      </c>
      <c r="Z1273" s="19" t="str">
        <f>HYPERLINK("https://ssdweb.co/ssdweb/hd/Vision360.html?d=926331620&amp;zoomslide=1&amp;z=1926331620&amp;ISCONFIRM=0","VIDEO")</f>
        <v>VIDEO</v>
      </c>
      <c r="AA1273" s="19" t="str">
        <f>HYPERLINK("https://ssdweb.co/ssdweb/CERTH/660490565.pdf","CERTI")</f>
        <v>CERTI</v>
      </c>
    </row>
    <row r="1274" spans="1:27" ht="15" x14ac:dyDescent="0.25">
      <c r="A1274" s="2">
        <v>1269</v>
      </c>
      <c r="B1274" s="39">
        <v>821126532</v>
      </c>
      <c r="C1274" s="28" t="str">
        <f>HYPERLINK("https://pld.live/RapDetail.aspx?STONELIST=821126532","DNA")</f>
        <v>DNA</v>
      </c>
      <c r="D1274" s="18" t="s">
        <v>5715</v>
      </c>
      <c r="E1274" s="18" t="s">
        <v>5128</v>
      </c>
      <c r="F1274" s="2" t="s">
        <v>7987</v>
      </c>
      <c r="G1274" s="2" t="s">
        <v>861</v>
      </c>
      <c r="H1274" s="14">
        <v>0.82</v>
      </c>
      <c r="I1274" s="2" t="s">
        <v>267</v>
      </c>
      <c r="J1274" s="2" t="s">
        <v>5144</v>
      </c>
      <c r="K1274" s="2" t="s">
        <v>3390</v>
      </c>
      <c r="L1274" s="2" t="s">
        <v>5221</v>
      </c>
      <c r="M1274" s="2" t="s">
        <v>5221</v>
      </c>
      <c r="N1274" s="2" t="s">
        <v>2317</v>
      </c>
      <c r="O1274" s="14">
        <v>3400</v>
      </c>
      <c r="P1274" s="14">
        <v>96.12</v>
      </c>
      <c r="Q1274" s="14">
        <v>131.91999999999999</v>
      </c>
      <c r="R1274" s="14">
        <v>108.17</v>
      </c>
      <c r="S1274" s="2" t="s">
        <v>1365</v>
      </c>
      <c r="T1274" s="2">
        <v>1.01</v>
      </c>
      <c r="U1274" s="2">
        <v>62.4</v>
      </c>
      <c r="V1274" s="2">
        <v>57</v>
      </c>
      <c r="W1274" s="2" t="s">
        <v>7862</v>
      </c>
      <c r="X1274" s="2" t="s">
        <v>5405</v>
      </c>
      <c r="Y1274" s="2">
        <v>2788</v>
      </c>
      <c r="Z1274" s="19" t="str">
        <f>HYPERLINK("https://ssdweb.co/ssdweb/hd/Vision360.html?d=821126532&amp;zoomslide=1&amp;z=1821126532&amp;ISCONFIRM=0","VIDEO")</f>
        <v>VIDEO</v>
      </c>
      <c r="AA1274" s="19" t="str">
        <f>HYPERLINK("https://ssdweb.co/ssdweb/CERTH/621430489.pdf","CERTI")</f>
        <v>CERTI</v>
      </c>
    </row>
    <row r="1275" spans="1:27" ht="15" x14ac:dyDescent="0.25">
      <c r="A1275" s="2">
        <v>1270</v>
      </c>
      <c r="B1275" s="39">
        <v>941320519</v>
      </c>
      <c r="C1275" s="28" t="str">
        <f>HYPERLINK("https://pld.live/RapDetail.aspx?STONELIST=941320519","DNA")</f>
        <v>DNA</v>
      </c>
      <c r="D1275" s="18" t="s">
        <v>5715</v>
      </c>
      <c r="E1275" s="18" t="s">
        <v>5128</v>
      </c>
      <c r="F1275" s="2" t="s">
        <v>7987</v>
      </c>
      <c r="G1275" s="2" t="s">
        <v>861</v>
      </c>
      <c r="H1275" s="14">
        <v>0.82</v>
      </c>
      <c r="I1275" s="2" t="s">
        <v>4761</v>
      </c>
      <c r="J1275" s="2" t="s">
        <v>13</v>
      </c>
      <c r="K1275" s="2" t="s">
        <v>3390</v>
      </c>
      <c r="L1275" s="2" t="s">
        <v>5221</v>
      </c>
      <c r="M1275" s="2" t="s">
        <v>5221</v>
      </c>
      <c r="N1275" s="2" t="s">
        <v>2317</v>
      </c>
      <c r="O1275" s="14">
        <v>3700</v>
      </c>
      <c r="P1275" s="14">
        <v>96.14</v>
      </c>
      <c r="Q1275" s="14">
        <v>142.82</v>
      </c>
      <c r="R1275" s="14">
        <v>117.11</v>
      </c>
      <c r="S1275" s="2" t="s">
        <v>2117</v>
      </c>
      <c r="T1275" s="2">
        <v>1.01</v>
      </c>
      <c r="U1275" s="2">
        <v>61.7</v>
      </c>
      <c r="V1275" s="2">
        <v>59</v>
      </c>
      <c r="W1275" s="2" t="s">
        <v>7862</v>
      </c>
      <c r="X1275" s="2" t="s">
        <v>5405</v>
      </c>
      <c r="Y1275" s="2">
        <v>3034</v>
      </c>
      <c r="Z1275" s="19" t="str">
        <f>HYPERLINK("https://ssdweb.co/ssdweb/hd/Vision360.html?d=941320519&amp;zoomslide=1&amp;z=1941320519&amp;ISCONFIRM=0","VIDEO")</f>
        <v>VIDEO</v>
      </c>
      <c r="AA1275" s="19" t="str">
        <f>HYPERLINK("https://ssdweb.co/ssdweb/CERTH/694508374.pdf","CERTI")</f>
        <v>CERTI</v>
      </c>
    </row>
    <row r="1276" spans="1:27" ht="15" x14ac:dyDescent="0.25">
      <c r="A1276" s="2">
        <v>1271</v>
      </c>
      <c r="B1276" s="39">
        <v>941320535</v>
      </c>
      <c r="C1276" s="28" t="str">
        <f>HYPERLINK("https://pld.live/RapDetail.aspx?STONELIST=941320535","DNA")</f>
        <v>DNA</v>
      </c>
      <c r="D1276" s="18" t="s">
        <v>5715</v>
      </c>
      <c r="E1276" s="18" t="s">
        <v>5128</v>
      </c>
      <c r="F1276" s="2" t="s">
        <v>7987</v>
      </c>
      <c r="G1276" s="2" t="s">
        <v>861</v>
      </c>
      <c r="H1276" s="14">
        <v>0.82</v>
      </c>
      <c r="I1276" s="2" t="s">
        <v>4761</v>
      </c>
      <c r="J1276" s="2" t="s">
        <v>5144</v>
      </c>
      <c r="K1276" s="2" t="s">
        <v>3390</v>
      </c>
      <c r="L1276" s="2" t="s">
        <v>5221</v>
      </c>
      <c r="M1276" s="2" t="s">
        <v>5221</v>
      </c>
      <c r="N1276" s="2" t="s">
        <v>2317</v>
      </c>
      <c r="O1276" s="14">
        <v>3200</v>
      </c>
      <c r="P1276" s="14">
        <v>95.78</v>
      </c>
      <c r="Q1276" s="14">
        <v>135.04</v>
      </c>
      <c r="R1276" s="14">
        <v>110.73</v>
      </c>
      <c r="S1276" s="2" t="s">
        <v>2497</v>
      </c>
      <c r="T1276" s="2">
        <v>1</v>
      </c>
      <c r="U1276" s="2">
        <v>60.5</v>
      </c>
      <c r="V1276" s="2">
        <v>58</v>
      </c>
      <c r="W1276" s="2" t="s">
        <v>7862</v>
      </c>
      <c r="X1276" s="2" t="s">
        <v>5405</v>
      </c>
      <c r="Y1276" s="2">
        <v>2624</v>
      </c>
      <c r="Z1276" s="19" t="str">
        <f>HYPERLINK("https://ssdweb.co/ssdweb/hd/Vision360.html?d=941320535&amp;zoomslide=1&amp;z=1941320535&amp;ISCONFIRM=0","VIDEO")</f>
        <v>VIDEO</v>
      </c>
      <c r="AA1276" s="19" t="str">
        <f>HYPERLINK("https://ssdweb.co/ssdweb/CERTH/694508375.pdf","CERTI")</f>
        <v>CERTI</v>
      </c>
    </row>
    <row r="1277" spans="1:27" ht="15" x14ac:dyDescent="0.25">
      <c r="A1277" s="2">
        <v>1272</v>
      </c>
      <c r="B1277" s="39">
        <v>941320607</v>
      </c>
      <c r="C1277" s="28" t="str">
        <f>HYPERLINK("https://pld.live/RapDetail.aspx?STONELIST=941320607","DNA")</f>
        <v>DNA</v>
      </c>
      <c r="D1277" s="18" t="s">
        <v>5715</v>
      </c>
      <c r="E1277" s="18" t="s">
        <v>5128</v>
      </c>
      <c r="F1277" s="2" t="s">
        <v>7987</v>
      </c>
      <c r="G1277" s="2" t="s">
        <v>861</v>
      </c>
      <c r="H1277" s="14">
        <v>0.81</v>
      </c>
      <c r="I1277" s="2" t="s">
        <v>267</v>
      </c>
      <c r="J1277" s="2" t="s">
        <v>6555</v>
      </c>
      <c r="K1277" s="2" t="s">
        <v>3390</v>
      </c>
      <c r="L1277" s="2" t="s">
        <v>5221</v>
      </c>
      <c r="M1277" s="2" t="s">
        <v>5221</v>
      </c>
      <c r="N1277" s="2" t="s">
        <v>2317</v>
      </c>
      <c r="O1277" s="14">
        <v>5800</v>
      </c>
      <c r="P1277" s="14">
        <v>97.07</v>
      </c>
      <c r="Q1277" s="14">
        <v>169.94</v>
      </c>
      <c r="R1277" s="14">
        <v>137.65</v>
      </c>
      <c r="S1277" s="2" t="s">
        <v>7791</v>
      </c>
      <c r="T1277" s="2">
        <v>1.01</v>
      </c>
      <c r="U1277" s="2">
        <v>60.5</v>
      </c>
      <c r="V1277" s="2">
        <v>59</v>
      </c>
      <c r="W1277" s="2" t="s">
        <v>7862</v>
      </c>
      <c r="X1277" s="2" t="s">
        <v>5405</v>
      </c>
      <c r="Y1277" s="2">
        <v>4698</v>
      </c>
      <c r="Z1277" s="19" t="str">
        <f>HYPERLINK("https://ssdweb.co/ssdweb/hd/Vision360.html?d=941320607&amp;zoomslide=1&amp;z=1941320607&amp;ISCONFIRM=0","VIDEO")</f>
        <v>VIDEO</v>
      </c>
      <c r="AA1277" s="19" t="str">
        <f>HYPERLINK("https://ssdweb.co/ssdweb/CERTH/694508377.pdf","CERTI")</f>
        <v>CERTI</v>
      </c>
    </row>
    <row r="1278" spans="1:27" ht="15" x14ac:dyDescent="0.25">
      <c r="A1278" s="2">
        <v>1273</v>
      </c>
      <c r="B1278" s="39">
        <v>926250559</v>
      </c>
      <c r="C1278" s="28" t="str">
        <f>HYPERLINK("https://pld.live/RapDetail.aspx?STONELIST=926250559","DNA")</f>
        <v>DNA</v>
      </c>
      <c r="D1278" s="18" t="s">
        <v>5715</v>
      </c>
      <c r="E1278" s="18" t="s">
        <v>5128</v>
      </c>
      <c r="F1278" s="2" t="s">
        <v>7987</v>
      </c>
      <c r="G1278" s="2" t="s">
        <v>861</v>
      </c>
      <c r="H1278" s="14">
        <v>0.81</v>
      </c>
      <c r="I1278" s="2" t="s">
        <v>267</v>
      </c>
      <c r="J1278" s="2" t="s">
        <v>6555</v>
      </c>
      <c r="K1278" s="2" t="s">
        <v>3390</v>
      </c>
      <c r="L1278" s="2" t="s">
        <v>5221</v>
      </c>
      <c r="M1278" s="2" t="s">
        <v>5721</v>
      </c>
      <c r="N1278" s="2" t="s">
        <v>2317</v>
      </c>
      <c r="O1278" s="14">
        <v>5800</v>
      </c>
      <c r="P1278" s="14">
        <v>97.17</v>
      </c>
      <c r="Q1278" s="14">
        <v>164.14</v>
      </c>
      <c r="R1278" s="14">
        <v>132.94999999999999</v>
      </c>
      <c r="S1278" s="2" t="s">
        <v>6429</v>
      </c>
      <c r="T1278" s="2">
        <v>1.01</v>
      </c>
      <c r="U1278" s="2">
        <v>60.9</v>
      </c>
      <c r="V1278" s="2">
        <v>60</v>
      </c>
      <c r="W1278" s="2" t="s">
        <v>7862</v>
      </c>
      <c r="X1278" s="2" t="s">
        <v>5405</v>
      </c>
      <c r="Y1278" s="2">
        <v>4698</v>
      </c>
      <c r="Z1278" s="19" t="str">
        <f>HYPERLINK("https://ssdweb.co/ssdweb/hd/Vision360.html?d=926250559&amp;zoomslide=1&amp;z=1926250559&amp;ISCONFIRM=0","VIDEO")</f>
        <v>VIDEO</v>
      </c>
      <c r="AA1278" s="19" t="str">
        <f>HYPERLINK("https://ssdweb.co/ssdweb/CERTH/640485564.pdf","CERTI")</f>
        <v>CERTI</v>
      </c>
    </row>
    <row r="1279" spans="1:27" ht="15" x14ac:dyDescent="0.25">
      <c r="A1279" s="2">
        <v>1274</v>
      </c>
      <c r="B1279" s="39">
        <v>941320666</v>
      </c>
      <c r="C1279" s="28" t="str">
        <f>HYPERLINK("https://pld.live/RapDetail.aspx?STONELIST=941320666","DNA")</f>
        <v>DNA</v>
      </c>
      <c r="D1279" s="18" t="s">
        <v>5715</v>
      </c>
      <c r="E1279" s="18" t="s">
        <v>5128</v>
      </c>
      <c r="F1279" s="2" t="s">
        <v>7987</v>
      </c>
      <c r="G1279" s="2" t="s">
        <v>861</v>
      </c>
      <c r="H1279" s="14">
        <v>0.81</v>
      </c>
      <c r="I1279" s="2" t="s">
        <v>267</v>
      </c>
      <c r="J1279" s="2" t="s">
        <v>3942</v>
      </c>
      <c r="K1279" s="2" t="s">
        <v>3390</v>
      </c>
      <c r="L1279" s="2" t="s">
        <v>5221</v>
      </c>
      <c r="M1279" s="2" t="s">
        <v>5221</v>
      </c>
      <c r="N1279" s="2" t="s">
        <v>2317</v>
      </c>
      <c r="O1279" s="14">
        <v>4500</v>
      </c>
      <c r="P1279" s="14">
        <v>96.56</v>
      </c>
      <c r="Q1279" s="14">
        <v>154.80000000000001</v>
      </c>
      <c r="R1279" s="14">
        <v>125.39</v>
      </c>
      <c r="S1279" s="2" t="s">
        <v>5110</v>
      </c>
      <c r="T1279" s="2">
        <v>1.01</v>
      </c>
      <c r="U1279" s="2">
        <v>61.7</v>
      </c>
      <c r="V1279" s="2">
        <v>58</v>
      </c>
      <c r="W1279" s="2" t="s">
        <v>7862</v>
      </c>
      <c r="X1279" s="2" t="s">
        <v>5405</v>
      </c>
      <c r="Y1279" s="2">
        <v>3645</v>
      </c>
      <c r="Z1279" s="19" t="str">
        <f>HYPERLINK("https://ssdweb.co/ssdweb/hd/Vision360.html?d=941320666&amp;zoomslide=1&amp;z=1941320666&amp;ISCONFIRM=0","VIDEO")</f>
        <v>VIDEO</v>
      </c>
      <c r="AA1279" s="19" t="str">
        <f>HYPERLINK("https://ssdweb.co/ssdweb/CERTH/694508379.pdf","CERTI")</f>
        <v>CERTI</v>
      </c>
    </row>
    <row r="1280" spans="1:27" ht="15" x14ac:dyDescent="0.25">
      <c r="A1280" s="2">
        <v>1275</v>
      </c>
      <c r="B1280" s="39">
        <v>926250579</v>
      </c>
      <c r="C1280" s="28" t="str">
        <f>HYPERLINK("https://pld.live/RapDetail.aspx?STONELIST=926250579","DNA")</f>
        <v>DNA</v>
      </c>
      <c r="D1280" s="18" t="s">
        <v>5715</v>
      </c>
      <c r="E1280" s="18" t="s">
        <v>5128</v>
      </c>
      <c r="F1280" s="2" t="s">
        <v>7987</v>
      </c>
      <c r="G1280" s="2" t="s">
        <v>861</v>
      </c>
      <c r="H1280" s="14">
        <v>0.81</v>
      </c>
      <c r="I1280" s="2" t="s">
        <v>267</v>
      </c>
      <c r="J1280" s="2" t="s">
        <v>3942</v>
      </c>
      <c r="K1280" s="2" t="s">
        <v>3390</v>
      </c>
      <c r="L1280" s="2" t="s">
        <v>5221</v>
      </c>
      <c r="M1280" s="2" t="s">
        <v>5721</v>
      </c>
      <c r="N1280" s="2" t="s">
        <v>2317</v>
      </c>
      <c r="O1280" s="14">
        <v>4500</v>
      </c>
      <c r="P1280" s="14">
        <v>96.69</v>
      </c>
      <c r="Q1280" s="14">
        <v>148.94999999999999</v>
      </c>
      <c r="R1280" s="14">
        <v>120.65</v>
      </c>
      <c r="S1280" s="2" t="s">
        <v>7070</v>
      </c>
      <c r="T1280" s="2">
        <v>1.01</v>
      </c>
      <c r="U1280" s="2">
        <v>62.1</v>
      </c>
      <c r="V1280" s="2">
        <v>58</v>
      </c>
      <c r="W1280" s="2" t="s">
        <v>7862</v>
      </c>
      <c r="X1280" s="2" t="s">
        <v>5405</v>
      </c>
      <c r="Y1280" s="2">
        <v>3645</v>
      </c>
      <c r="Z1280" s="19" t="str">
        <f>HYPERLINK("https://ssdweb.co/ssdweb/hd/Vision360.html?d=926250579&amp;zoomslide=1&amp;z=1926250579&amp;ISCONFIRM=0","VIDEO")</f>
        <v>VIDEO</v>
      </c>
      <c r="AA1280" s="19" t="str">
        <f>HYPERLINK("https://ssdweb.co/ssdweb/CERTH/640485575.pdf","CERTI")</f>
        <v>CERTI</v>
      </c>
    </row>
    <row r="1281" spans="1:27" ht="15" x14ac:dyDescent="0.25">
      <c r="A1281" s="2">
        <v>1276</v>
      </c>
      <c r="B1281" s="39">
        <v>941320408</v>
      </c>
      <c r="C1281" s="28" t="str">
        <f>HYPERLINK("https://pld.live/RapDetail.aspx?STONELIST=941320408","DNA")</f>
        <v>DNA</v>
      </c>
      <c r="D1281" s="18" t="s">
        <v>5715</v>
      </c>
      <c r="E1281" s="18" t="s">
        <v>5128</v>
      </c>
      <c r="F1281" s="2" t="s">
        <v>7987</v>
      </c>
      <c r="G1281" s="2" t="s">
        <v>861</v>
      </c>
      <c r="H1281" s="14">
        <v>0.81</v>
      </c>
      <c r="I1281" s="2" t="s">
        <v>267</v>
      </c>
      <c r="J1281" s="2" t="s">
        <v>13</v>
      </c>
      <c r="K1281" s="2" t="s">
        <v>3390</v>
      </c>
      <c r="L1281" s="2" t="s">
        <v>5221</v>
      </c>
      <c r="M1281" s="2" t="s">
        <v>5221</v>
      </c>
      <c r="N1281" s="2" t="s">
        <v>2317</v>
      </c>
      <c r="O1281" s="14">
        <v>3900</v>
      </c>
      <c r="P1281" s="14">
        <v>96.28</v>
      </c>
      <c r="Q1281" s="14">
        <v>145.08000000000001</v>
      </c>
      <c r="R1281" s="14">
        <v>117.51</v>
      </c>
      <c r="S1281" s="2" t="s">
        <v>6625</v>
      </c>
      <c r="T1281" s="2">
        <v>1</v>
      </c>
      <c r="U1281" s="2">
        <v>60.4</v>
      </c>
      <c r="V1281" s="2">
        <v>58</v>
      </c>
      <c r="W1281" s="2" t="s">
        <v>7862</v>
      </c>
      <c r="X1281" s="2" t="s">
        <v>5405</v>
      </c>
      <c r="Y1281" s="2">
        <v>3159</v>
      </c>
      <c r="Z1281" s="19" t="str">
        <f>HYPERLINK("https://ssdweb.co/ssdweb/hd/Vision360.html?d=941320408&amp;zoomslide=1&amp;z=1941320408&amp;ISCONFIRM=0","VIDEO")</f>
        <v>VIDEO</v>
      </c>
      <c r="AA1281" s="19" t="str">
        <f>HYPERLINK("https://ssdweb.co/ssdweb/CERTH/694508321.pdf","CERTI")</f>
        <v>CERTI</v>
      </c>
    </row>
    <row r="1282" spans="1:27" ht="15" x14ac:dyDescent="0.25">
      <c r="A1282" s="2">
        <v>1277</v>
      </c>
      <c r="B1282" s="39">
        <v>927100682</v>
      </c>
      <c r="C1282" s="28" t="str">
        <f>HYPERLINK("https://pld.live/RapDetail.aspx?STONELIST=927100682","DNA")</f>
        <v>DNA</v>
      </c>
      <c r="D1282" s="18" t="s">
        <v>5715</v>
      </c>
      <c r="E1282" s="18" t="s">
        <v>5128</v>
      </c>
      <c r="F1282" s="2" t="s">
        <v>7987</v>
      </c>
      <c r="G1282" s="2" t="s">
        <v>861</v>
      </c>
      <c r="H1282" s="14">
        <v>0.81</v>
      </c>
      <c r="I1282" s="2" t="s">
        <v>267</v>
      </c>
      <c r="J1282" s="2" t="s">
        <v>13</v>
      </c>
      <c r="K1282" s="2" t="s">
        <v>3390</v>
      </c>
      <c r="L1282" s="2" t="s">
        <v>5221</v>
      </c>
      <c r="M1282" s="2" t="s">
        <v>5221</v>
      </c>
      <c r="N1282" s="2" t="s">
        <v>2317</v>
      </c>
      <c r="O1282" s="14">
        <v>3900</v>
      </c>
      <c r="P1282" s="14">
        <v>96.33</v>
      </c>
      <c r="Q1282" s="14">
        <v>143.13</v>
      </c>
      <c r="R1282" s="14">
        <v>115.94</v>
      </c>
      <c r="S1282" s="2" t="s">
        <v>2082</v>
      </c>
      <c r="T1282" s="2">
        <v>1</v>
      </c>
      <c r="U1282" s="2">
        <v>62</v>
      </c>
      <c r="V1282" s="2">
        <v>58</v>
      </c>
      <c r="W1282" s="2" t="s">
        <v>7862</v>
      </c>
      <c r="X1282" s="2" t="s">
        <v>5405</v>
      </c>
      <c r="Y1282" s="2">
        <v>3159</v>
      </c>
      <c r="Z1282" s="19" t="str">
        <f>HYPERLINK("https://ssdweb.co/ssdweb/hd/Vision360.html?d=927100682&amp;zoomslide=1&amp;z=1927100682&amp;ISCONFIRM=0","VIDEO")</f>
        <v>VIDEO</v>
      </c>
      <c r="AA1282" s="19" t="str">
        <f>HYPERLINK("https://ssdweb.co/ssdweb/CERTH/668477265.pdf","CERTI")</f>
        <v>CERTI</v>
      </c>
    </row>
    <row r="1283" spans="1:27" ht="15" x14ac:dyDescent="0.25">
      <c r="A1283" s="2">
        <v>1278</v>
      </c>
      <c r="B1283" s="39">
        <v>927100591</v>
      </c>
      <c r="C1283" s="28" t="str">
        <f>HYPERLINK("https://pld.live/RapDetail.aspx?STONELIST=927100591","DNA")</f>
        <v>DNA</v>
      </c>
      <c r="D1283" s="18" t="s">
        <v>5715</v>
      </c>
      <c r="E1283" s="18" t="s">
        <v>5128</v>
      </c>
      <c r="F1283" s="2" t="s">
        <v>7987</v>
      </c>
      <c r="G1283" s="2" t="s">
        <v>861</v>
      </c>
      <c r="H1283" s="14">
        <v>0.81</v>
      </c>
      <c r="I1283" s="2" t="s">
        <v>267</v>
      </c>
      <c r="J1283" s="2" t="s">
        <v>13</v>
      </c>
      <c r="K1283" s="2" t="s">
        <v>3390</v>
      </c>
      <c r="L1283" s="2" t="s">
        <v>5221</v>
      </c>
      <c r="M1283" s="2" t="s">
        <v>5721</v>
      </c>
      <c r="N1283" s="2" t="s">
        <v>2317</v>
      </c>
      <c r="O1283" s="14">
        <v>3900</v>
      </c>
      <c r="P1283" s="14">
        <v>96.38</v>
      </c>
      <c r="Q1283" s="14">
        <v>141.18</v>
      </c>
      <c r="R1283" s="14">
        <v>114.36</v>
      </c>
      <c r="S1283" s="2" t="s">
        <v>1519</v>
      </c>
      <c r="T1283" s="2">
        <v>1.01</v>
      </c>
      <c r="U1283" s="2">
        <v>62.3</v>
      </c>
      <c r="V1283" s="2">
        <v>55</v>
      </c>
      <c r="W1283" s="2" t="s">
        <v>7862</v>
      </c>
      <c r="X1283" s="2" t="s">
        <v>5405</v>
      </c>
      <c r="Y1283" s="2">
        <v>3159</v>
      </c>
      <c r="Z1283" s="19" t="str">
        <f>HYPERLINK("https://ssdweb.co/ssdweb/hd/Vision360.html?d=927100591&amp;zoomslide=1&amp;z=1927100591&amp;ISCONFIRM=0","VIDEO")</f>
        <v>VIDEO</v>
      </c>
      <c r="AA1283" s="19" t="str">
        <f>HYPERLINK("https://ssdweb.co/ssdweb/CERTH/668477321.pdf","CERTI")</f>
        <v>CERTI</v>
      </c>
    </row>
    <row r="1284" spans="1:27" ht="15" x14ac:dyDescent="0.25">
      <c r="A1284" s="2">
        <v>1279</v>
      </c>
      <c r="B1284" s="39">
        <v>926250619</v>
      </c>
      <c r="C1284" s="28" t="str">
        <f>HYPERLINK("https://pld.live/RapDetail.aspx?STONELIST=926250619","DNA")</f>
        <v>DNA</v>
      </c>
      <c r="D1284" s="18" t="s">
        <v>5715</v>
      </c>
      <c r="E1284" s="18" t="s">
        <v>5128</v>
      </c>
      <c r="F1284" s="2" t="s">
        <v>7987</v>
      </c>
      <c r="G1284" s="2" t="s">
        <v>861</v>
      </c>
      <c r="H1284" s="14">
        <v>0.81</v>
      </c>
      <c r="I1284" s="2" t="s">
        <v>267</v>
      </c>
      <c r="J1284" s="2" t="s">
        <v>13</v>
      </c>
      <c r="K1284" s="2" t="s">
        <v>5221</v>
      </c>
      <c r="L1284" s="2" t="s">
        <v>5221</v>
      </c>
      <c r="M1284" s="2" t="s">
        <v>5221</v>
      </c>
      <c r="N1284" s="2" t="s">
        <v>2317</v>
      </c>
      <c r="O1284" s="14">
        <v>3900</v>
      </c>
      <c r="P1284" s="14">
        <v>96.38</v>
      </c>
      <c r="Q1284" s="14">
        <v>141.18</v>
      </c>
      <c r="R1284" s="14">
        <v>114.36</v>
      </c>
      <c r="S1284" s="2" t="s">
        <v>523</v>
      </c>
      <c r="T1284" s="2">
        <v>1.01</v>
      </c>
      <c r="U1284" s="2">
        <v>62.9</v>
      </c>
      <c r="V1284" s="2">
        <v>56</v>
      </c>
      <c r="W1284" s="2" t="s">
        <v>7862</v>
      </c>
      <c r="X1284" s="2" t="s">
        <v>5405</v>
      </c>
      <c r="Y1284" s="2">
        <v>3159</v>
      </c>
      <c r="Z1284" s="19" t="str">
        <f>HYPERLINK("https://ssdweb.co/ssdweb/hd/Vision360.html?d=926250619&amp;zoomslide=1&amp;z=1926250619&amp;ISCONFIRM=0","VIDEO")</f>
        <v>VIDEO</v>
      </c>
      <c r="AA1284" s="19" t="str">
        <f>HYPERLINK("https://ssdweb.co/ssdweb/CERTH/640485583.pdf","CERTI")</f>
        <v>CERTI</v>
      </c>
    </row>
    <row r="1285" spans="1:27" ht="15" x14ac:dyDescent="0.25">
      <c r="A1285" s="2">
        <v>1280</v>
      </c>
      <c r="B1285" s="39">
        <v>926221430</v>
      </c>
      <c r="C1285" s="28" t="str">
        <f>HYPERLINK("https://pld.live/RapDetail.aspx?STONELIST=926221430","DNA")</f>
        <v>DNA</v>
      </c>
      <c r="D1285" s="18" t="s">
        <v>5715</v>
      </c>
      <c r="E1285" s="18" t="s">
        <v>5128</v>
      </c>
      <c r="F1285" s="2" t="s">
        <v>7987</v>
      </c>
      <c r="G1285" s="2" t="s">
        <v>861</v>
      </c>
      <c r="H1285" s="14">
        <v>0.81</v>
      </c>
      <c r="I1285" s="2" t="s">
        <v>267</v>
      </c>
      <c r="J1285" s="2" t="s">
        <v>13</v>
      </c>
      <c r="K1285" s="2" t="s">
        <v>5221</v>
      </c>
      <c r="L1285" s="2" t="s">
        <v>5221</v>
      </c>
      <c r="M1285" s="2" t="s">
        <v>5221</v>
      </c>
      <c r="N1285" s="2" t="s">
        <v>2317</v>
      </c>
      <c r="O1285" s="14">
        <v>3900</v>
      </c>
      <c r="P1285" s="14">
        <v>96.38</v>
      </c>
      <c r="Q1285" s="14">
        <v>141.18</v>
      </c>
      <c r="R1285" s="14">
        <v>114.36</v>
      </c>
      <c r="S1285" s="2" t="s">
        <v>5167</v>
      </c>
      <c r="T1285" s="2">
        <v>1.01</v>
      </c>
      <c r="U1285" s="2">
        <v>63.6</v>
      </c>
      <c r="V1285" s="2">
        <v>56</v>
      </c>
      <c r="W1285" s="2" t="s">
        <v>7862</v>
      </c>
      <c r="X1285" s="2" t="s">
        <v>5405</v>
      </c>
      <c r="Y1285" s="2">
        <v>3159</v>
      </c>
      <c r="Z1285" s="19" t="str">
        <f>HYPERLINK("https://ssdweb.co/ssdweb/hd/Vision360.html?d=926221430&amp;zoomslide=1&amp;z=1926221430&amp;ISCONFIRM=0","VIDEO")</f>
        <v>VIDEO</v>
      </c>
      <c r="AA1285" s="19" t="str">
        <f>HYPERLINK("https://ssdweb.co/ssdweb/CERTH/640485544.pdf","CERTI")</f>
        <v>CERTI</v>
      </c>
    </row>
    <row r="1286" spans="1:27" ht="15" x14ac:dyDescent="0.25">
      <c r="A1286" s="2">
        <v>1281</v>
      </c>
      <c r="B1286" s="39">
        <v>927091879</v>
      </c>
      <c r="C1286" s="28" t="str">
        <f>HYPERLINK("https://pld.live/RapDetail.aspx?STONELIST=927091879","DNA")</f>
        <v>DNA</v>
      </c>
      <c r="D1286" s="18" t="s">
        <v>5715</v>
      </c>
      <c r="E1286" s="18" t="s">
        <v>5128</v>
      </c>
      <c r="F1286" s="2" t="s">
        <v>7987</v>
      </c>
      <c r="G1286" s="2" t="s">
        <v>861</v>
      </c>
      <c r="H1286" s="14">
        <v>0.81</v>
      </c>
      <c r="I1286" s="2" t="s">
        <v>4761</v>
      </c>
      <c r="J1286" s="2" t="s">
        <v>6555</v>
      </c>
      <c r="K1286" s="2" t="s">
        <v>5221</v>
      </c>
      <c r="L1286" s="2" t="s">
        <v>5221</v>
      </c>
      <c r="M1286" s="2" t="s">
        <v>5221</v>
      </c>
      <c r="N1286" s="2" t="s">
        <v>2317</v>
      </c>
      <c r="O1286" s="14">
        <v>5100</v>
      </c>
      <c r="P1286" s="14">
        <v>96.86</v>
      </c>
      <c r="Q1286" s="14">
        <v>160.13999999999999</v>
      </c>
      <c r="R1286" s="14">
        <v>129.71</v>
      </c>
      <c r="S1286" s="2" t="s">
        <v>5262</v>
      </c>
      <c r="T1286" s="2">
        <v>1</v>
      </c>
      <c r="U1286" s="2">
        <v>59.2</v>
      </c>
      <c r="V1286" s="2">
        <v>59</v>
      </c>
      <c r="W1286" s="2" t="s">
        <v>7862</v>
      </c>
      <c r="X1286" s="2" t="s">
        <v>5405</v>
      </c>
      <c r="Y1286" s="2">
        <v>4131</v>
      </c>
      <c r="Z1286" s="19" t="str">
        <f>HYPERLINK("https://ssdweb.co/ssdweb/hd/Vision360.html?d=927091879&amp;zoomslide=1&amp;z=1927091879&amp;ISCONFIRM=0","VIDEO")</f>
        <v>VIDEO</v>
      </c>
      <c r="AA1286" s="19" t="str">
        <f>HYPERLINK("https://ssdweb.co/ssdweb/CERTH/668477319.pdf","CERTI")</f>
        <v>CERTI</v>
      </c>
    </row>
    <row r="1287" spans="1:27" ht="15" x14ac:dyDescent="0.25">
      <c r="A1287" s="2">
        <v>1282</v>
      </c>
      <c r="B1287" s="39">
        <v>927130139</v>
      </c>
      <c r="C1287" s="28" t="str">
        <f>HYPERLINK("https://pld.live/RapDetail.aspx?STONELIST=927130139","DNA")</f>
        <v>DNA</v>
      </c>
      <c r="D1287" s="18" t="s">
        <v>5715</v>
      </c>
      <c r="E1287" s="18" t="s">
        <v>5128</v>
      </c>
      <c r="F1287" s="2" t="s">
        <v>7987</v>
      </c>
      <c r="G1287" s="2" t="s">
        <v>861</v>
      </c>
      <c r="H1287" s="14">
        <v>0.8</v>
      </c>
      <c r="I1287" s="2" t="s">
        <v>267</v>
      </c>
      <c r="J1287" s="2" t="s">
        <v>6555</v>
      </c>
      <c r="K1287" s="2" t="s">
        <v>3390</v>
      </c>
      <c r="L1287" s="2" t="s">
        <v>5221</v>
      </c>
      <c r="M1287" s="2" t="s">
        <v>5721</v>
      </c>
      <c r="N1287" s="2" t="s">
        <v>2317</v>
      </c>
      <c r="O1287" s="14">
        <v>5800</v>
      </c>
      <c r="P1287" s="14">
        <v>97.14</v>
      </c>
      <c r="Q1287" s="14">
        <v>165.88</v>
      </c>
      <c r="R1287" s="14">
        <v>132.69999999999999</v>
      </c>
      <c r="S1287" s="2" t="s">
        <v>4292</v>
      </c>
      <c r="T1287" s="2">
        <v>1</v>
      </c>
      <c r="U1287" s="2">
        <v>61.5</v>
      </c>
      <c r="V1287" s="2">
        <v>58</v>
      </c>
      <c r="W1287" s="2" t="s">
        <v>7862</v>
      </c>
      <c r="X1287" s="2" t="s">
        <v>5405</v>
      </c>
      <c r="Y1287" s="2">
        <v>4640</v>
      </c>
      <c r="Z1287" s="19" t="str">
        <f>HYPERLINK("https://ssdweb.co/ssdweb/hd/Vision360.html?d=927130139&amp;zoomslide=1&amp;z=1927130139&amp;ISCONFIRM=0","VIDEO")</f>
        <v>VIDEO</v>
      </c>
      <c r="AA1287" s="19" t="str">
        <f>HYPERLINK("https://ssdweb.co/ssdweb/CERTH/666416262.pdf","CERTI")</f>
        <v>CERTI</v>
      </c>
    </row>
    <row r="1288" spans="1:27" ht="15" x14ac:dyDescent="0.25">
      <c r="A1288" s="2">
        <v>1283</v>
      </c>
      <c r="B1288" s="39">
        <v>926211175</v>
      </c>
      <c r="C1288" s="28" t="str">
        <f>HYPERLINK("https://pld.live/RapDetail.aspx?STONELIST=926211175","DNA")</f>
        <v>DNA</v>
      </c>
      <c r="D1288" s="18" t="s">
        <v>5715</v>
      </c>
      <c r="E1288" s="18" t="s">
        <v>5128</v>
      </c>
      <c r="F1288" s="2" t="s">
        <v>7987</v>
      </c>
      <c r="G1288" s="2" t="s">
        <v>861</v>
      </c>
      <c r="H1288" s="14">
        <v>0.8</v>
      </c>
      <c r="I1288" s="2" t="s">
        <v>267</v>
      </c>
      <c r="J1288" s="2" t="s">
        <v>3942</v>
      </c>
      <c r="K1288" s="2" t="s">
        <v>3390</v>
      </c>
      <c r="L1288" s="2" t="s">
        <v>5221</v>
      </c>
      <c r="M1288" s="2" t="s">
        <v>5721</v>
      </c>
      <c r="N1288" s="2" t="s">
        <v>2317</v>
      </c>
      <c r="O1288" s="14">
        <v>4500</v>
      </c>
      <c r="P1288" s="14">
        <v>96.69</v>
      </c>
      <c r="Q1288" s="14">
        <v>148.94999999999999</v>
      </c>
      <c r="R1288" s="14">
        <v>119.16</v>
      </c>
      <c r="S1288" s="2" t="s">
        <v>6303</v>
      </c>
      <c r="T1288" s="2">
        <v>1</v>
      </c>
      <c r="U1288" s="2">
        <v>62.4</v>
      </c>
      <c r="V1288" s="2">
        <v>56</v>
      </c>
      <c r="W1288" s="2" t="s">
        <v>7862</v>
      </c>
      <c r="X1288" s="2" t="s">
        <v>5405</v>
      </c>
      <c r="Y1288" s="2">
        <v>3600</v>
      </c>
      <c r="Z1288" s="19" t="str">
        <f>HYPERLINK("https://ssdweb.co/ssdweb/hd/Vision360.html?d=926211175&amp;zoomslide=1&amp;z=1926211175&amp;ISCONFIRM=0","VIDEO")</f>
        <v>VIDEO</v>
      </c>
      <c r="AA1288" s="19" t="str">
        <f>HYPERLINK("https://ssdweb.co/ssdweb/CERTH/639438822.pdf","CERTI")</f>
        <v>CERTI</v>
      </c>
    </row>
    <row r="1289" spans="1:27" ht="15" x14ac:dyDescent="0.25">
      <c r="A1289" s="2">
        <v>1284</v>
      </c>
      <c r="B1289" s="39">
        <v>941320403</v>
      </c>
      <c r="C1289" s="28" t="str">
        <f>HYPERLINK("https://pld.live/RapDetail.aspx?STONELIST=941320403","DNA")</f>
        <v>DNA</v>
      </c>
      <c r="D1289" s="18" t="s">
        <v>5715</v>
      </c>
      <c r="E1289" s="18" t="s">
        <v>5128</v>
      </c>
      <c r="F1289" s="2" t="s">
        <v>7987</v>
      </c>
      <c r="G1289" s="2" t="s">
        <v>861</v>
      </c>
      <c r="H1289" s="14">
        <v>0.8</v>
      </c>
      <c r="I1289" s="2" t="s">
        <v>267</v>
      </c>
      <c r="J1289" s="2" t="s">
        <v>13</v>
      </c>
      <c r="K1289" s="2" t="s">
        <v>3390</v>
      </c>
      <c r="L1289" s="2" t="s">
        <v>5221</v>
      </c>
      <c r="M1289" s="2" t="s">
        <v>5221</v>
      </c>
      <c r="N1289" s="2" t="s">
        <v>2317</v>
      </c>
      <c r="O1289" s="14">
        <v>3900</v>
      </c>
      <c r="P1289" s="14">
        <v>96.28</v>
      </c>
      <c r="Q1289" s="14">
        <v>145.08000000000001</v>
      </c>
      <c r="R1289" s="14">
        <v>116.06</v>
      </c>
      <c r="S1289" s="2" t="s">
        <v>4292</v>
      </c>
      <c r="T1289" s="2">
        <v>1</v>
      </c>
      <c r="U1289" s="2">
        <v>61.6</v>
      </c>
      <c r="V1289" s="2">
        <v>58</v>
      </c>
      <c r="W1289" s="2" t="s">
        <v>7862</v>
      </c>
      <c r="X1289" s="2" t="s">
        <v>5405</v>
      </c>
      <c r="Y1289" s="2">
        <v>3120</v>
      </c>
      <c r="Z1289" s="19" t="str">
        <f>HYPERLINK("https://ssdweb.co/ssdweb/hd/Vision360.html?d=941320403&amp;zoomslide=1&amp;z=1941320403&amp;ISCONFIRM=0","VIDEO")</f>
        <v>VIDEO</v>
      </c>
      <c r="AA1289" s="19" t="str">
        <f>HYPERLINK("https://ssdweb.co/ssdweb/CERTH/694508320.pdf","CERTI")</f>
        <v>CERTI</v>
      </c>
    </row>
    <row r="1290" spans="1:27" ht="15" x14ac:dyDescent="0.25">
      <c r="A1290" s="2">
        <v>1285</v>
      </c>
      <c r="B1290" s="39">
        <v>941320496</v>
      </c>
      <c r="C1290" s="28" t="str">
        <f>HYPERLINK("https://pld.live/RapDetail.aspx?STONELIST=941320496","DNA")</f>
        <v>DNA</v>
      </c>
      <c r="D1290" s="18" t="s">
        <v>5715</v>
      </c>
      <c r="E1290" s="18" t="s">
        <v>5128</v>
      </c>
      <c r="F1290" s="2" t="s">
        <v>7987</v>
      </c>
      <c r="G1290" s="2" t="s">
        <v>861</v>
      </c>
      <c r="H1290" s="14">
        <v>0.8</v>
      </c>
      <c r="I1290" s="2" t="s">
        <v>267</v>
      </c>
      <c r="J1290" s="2" t="s">
        <v>13</v>
      </c>
      <c r="K1290" s="2" t="s">
        <v>3390</v>
      </c>
      <c r="L1290" s="2" t="s">
        <v>5221</v>
      </c>
      <c r="M1290" s="2" t="s">
        <v>5221</v>
      </c>
      <c r="N1290" s="2" t="s">
        <v>2317</v>
      </c>
      <c r="O1290" s="14">
        <v>3900</v>
      </c>
      <c r="P1290" s="14">
        <v>96.28</v>
      </c>
      <c r="Q1290" s="14">
        <v>145.08000000000001</v>
      </c>
      <c r="R1290" s="14">
        <v>116.06</v>
      </c>
      <c r="S1290" s="2" t="s">
        <v>3848</v>
      </c>
      <c r="T1290" s="2">
        <v>1.01</v>
      </c>
      <c r="U1290" s="2">
        <v>62.1</v>
      </c>
      <c r="V1290" s="2">
        <v>56</v>
      </c>
      <c r="W1290" s="2" t="s">
        <v>7862</v>
      </c>
      <c r="X1290" s="2" t="s">
        <v>5405</v>
      </c>
      <c r="Y1290" s="2">
        <v>3120</v>
      </c>
      <c r="Z1290" s="19" t="str">
        <f>HYPERLINK("https://ssdweb.co/ssdweb/hd/Vision360.html?d=941320496&amp;zoomslide=1&amp;z=1941320496&amp;ISCONFIRM=0","VIDEO")</f>
        <v>VIDEO</v>
      </c>
      <c r="AA1290" s="19" t="str">
        <f>HYPERLINK("https://ssdweb.co/ssdweb/CERTH/694508322.pdf","CERTI")</f>
        <v>CERTI</v>
      </c>
    </row>
    <row r="1291" spans="1:27" ht="15" x14ac:dyDescent="0.25">
      <c r="A1291" s="2">
        <v>1286</v>
      </c>
      <c r="B1291" s="39">
        <v>941170191</v>
      </c>
      <c r="C1291" s="28" t="str">
        <f>HYPERLINK("https://pld.live/RapDetail.aspx?STONELIST=941170191","DNA")</f>
        <v>DNA</v>
      </c>
      <c r="D1291" s="18" t="s">
        <v>5715</v>
      </c>
      <c r="E1291" s="18" t="s">
        <v>5128</v>
      </c>
      <c r="F1291" s="2" t="s">
        <v>7987</v>
      </c>
      <c r="G1291" s="2" t="s">
        <v>861</v>
      </c>
      <c r="H1291" s="14">
        <v>0.8</v>
      </c>
      <c r="I1291" s="2" t="s">
        <v>267</v>
      </c>
      <c r="J1291" s="2" t="s">
        <v>13</v>
      </c>
      <c r="K1291" s="2" t="s">
        <v>3390</v>
      </c>
      <c r="L1291" s="2" t="s">
        <v>5221</v>
      </c>
      <c r="M1291" s="2" t="s">
        <v>5721</v>
      </c>
      <c r="N1291" s="2" t="s">
        <v>2317</v>
      </c>
      <c r="O1291" s="14">
        <v>3900</v>
      </c>
      <c r="P1291" s="14">
        <v>96.28</v>
      </c>
      <c r="Q1291" s="14">
        <v>145.08000000000001</v>
      </c>
      <c r="R1291" s="14">
        <v>116.06</v>
      </c>
      <c r="S1291" s="2" t="s">
        <v>7948</v>
      </c>
      <c r="T1291" s="2">
        <v>1.01</v>
      </c>
      <c r="U1291" s="2">
        <v>62.3</v>
      </c>
      <c r="V1291" s="2">
        <v>56</v>
      </c>
      <c r="W1291" s="2" t="s">
        <v>7862</v>
      </c>
      <c r="X1291" s="2" t="s">
        <v>5405</v>
      </c>
      <c r="Y1291" s="2">
        <v>3120</v>
      </c>
      <c r="Z1291" s="19" t="str">
        <f>HYPERLINK("https://ssdweb.co/ssdweb/hd/Vision360.html?d=941170191&amp;zoomslide=1&amp;z=1941170191&amp;ISCONFIRM=0","VIDEO")</f>
        <v>VIDEO</v>
      </c>
      <c r="AA1291" s="19" t="str">
        <f>HYPERLINK("https://ssdweb.co/ssdweb/CERTH/674543028.pdf","CERTI")</f>
        <v>CERTI</v>
      </c>
    </row>
    <row r="1292" spans="1:27" ht="15" x14ac:dyDescent="0.25">
      <c r="A1292" s="2">
        <v>1287</v>
      </c>
      <c r="B1292" s="39">
        <v>926311367</v>
      </c>
      <c r="C1292" s="28" t="str">
        <f>HYPERLINK("https://pld.live/RapDetail.aspx?STONELIST=926311367","DNA")</f>
        <v>DNA</v>
      </c>
      <c r="D1292" s="18" t="s">
        <v>5715</v>
      </c>
      <c r="E1292" s="18" t="s">
        <v>5128</v>
      </c>
      <c r="F1292" s="2" t="s">
        <v>7987</v>
      </c>
      <c r="G1292" s="2" t="s">
        <v>861</v>
      </c>
      <c r="H1292" s="14">
        <v>0.8</v>
      </c>
      <c r="I1292" s="2" t="s">
        <v>267</v>
      </c>
      <c r="J1292" s="2" t="s">
        <v>13</v>
      </c>
      <c r="K1292" s="2" t="s">
        <v>5221</v>
      </c>
      <c r="L1292" s="2" t="s">
        <v>5221</v>
      </c>
      <c r="M1292" s="2" t="s">
        <v>5221</v>
      </c>
      <c r="N1292" s="2" t="s">
        <v>2317</v>
      </c>
      <c r="O1292" s="14">
        <v>3900</v>
      </c>
      <c r="P1292" s="14">
        <v>96.33</v>
      </c>
      <c r="Q1292" s="14">
        <v>143.13</v>
      </c>
      <c r="R1292" s="14">
        <v>114.5</v>
      </c>
      <c r="S1292" s="2" t="s">
        <v>2601</v>
      </c>
      <c r="T1292" s="2">
        <v>1</v>
      </c>
      <c r="U1292" s="2">
        <v>62.6</v>
      </c>
      <c r="V1292" s="2">
        <v>57</v>
      </c>
      <c r="W1292" s="2" t="s">
        <v>7862</v>
      </c>
      <c r="X1292" s="2" t="s">
        <v>5405</v>
      </c>
      <c r="Y1292" s="2">
        <v>3120</v>
      </c>
      <c r="Z1292" s="19" t="str">
        <f>HYPERLINK("https://ssdweb.co/ssdweb/hd/Vision360.html?d=926311367&amp;zoomslide=1&amp;z=1926311367&amp;ISCONFIRM=0","VIDEO")</f>
        <v>VIDEO</v>
      </c>
      <c r="AA1292" s="19" t="str">
        <f>HYPERLINK("https://ssdweb.co/ssdweb/CERTH/666407932.pdf","CERTI")</f>
        <v>CERTI</v>
      </c>
    </row>
    <row r="1293" spans="1:27" ht="15" x14ac:dyDescent="0.25">
      <c r="A1293" s="2">
        <v>1288</v>
      </c>
      <c r="B1293" s="39">
        <v>941190070</v>
      </c>
      <c r="C1293" s="28" t="str">
        <f>HYPERLINK("https://pld.live/RapDetail.aspx?STONELIST=941190070","DNA")</f>
        <v>DNA</v>
      </c>
      <c r="D1293" s="18" t="s">
        <v>5715</v>
      </c>
      <c r="E1293" s="18" t="s">
        <v>5128</v>
      </c>
      <c r="F1293" s="2" t="s">
        <v>7987</v>
      </c>
      <c r="G1293" s="2" t="s">
        <v>861</v>
      </c>
      <c r="H1293" s="14">
        <v>0.8</v>
      </c>
      <c r="I1293" s="2" t="s">
        <v>267</v>
      </c>
      <c r="J1293" s="2" t="s">
        <v>13</v>
      </c>
      <c r="K1293" s="2" t="s">
        <v>5221</v>
      </c>
      <c r="L1293" s="2" t="s">
        <v>5221</v>
      </c>
      <c r="M1293" s="2" t="s">
        <v>5221</v>
      </c>
      <c r="N1293" s="2" t="s">
        <v>2317</v>
      </c>
      <c r="O1293" s="14">
        <v>3900</v>
      </c>
      <c r="P1293" s="14">
        <v>96.28</v>
      </c>
      <c r="Q1293" s="14">
        <v>145.08000000000001</v>
      </c>
      <c r="R1293" s="14">
        <v>116.06</v>
      </c>
      <c r="S1293" s="2" t="s">
        <v>3978</v>
      </c>
      <c r="T1293" s="2">
        <v>1.01</v>
      </c>
      <c r="U1293" s="2">
        <v>62</v>
      </c>
      <c r="V1293" s="2">
        <v>60</v>
      </c>
      <c r="W1293" s="2" t="s">
        <v>7862</v>
      </c>
      <c r="X1293" s="2" t="s">
        <v>5405</v>
      </c>
      <c r="Y1293" s="2">
        <v>3120</v>
      </c>
      <c r="Z1293" s="19" t="str">
        <f>HYPERLINK("https://ssdweb.co/ssdweb/hd/Vision360.html?d=941190070&amp;zoomslide=1&amp;z=1941190070&amp;ISCONFIRM=0","VIDEO")</f>
        <v>VIDEO</v>
      </c>
      <c r="AA1293" s="19" t="str">
        <f>HYPERLINK("https://ssdweb.co/ssdweb/CERTH/675504537.pdf","CERTI")</f>
        <v>CERTI</v>
      </c>
    </row>
    <row r="1294" spans="1:27" ht="15" x14ac:dyDescent="0.25">
      <c r="A1294" s="2">
        <v>1289</v>
      </c>
      <c r="B1294" s="39">
        <v>941190118</v>
      </c>
      <c r="C1294" s="28" t="str">
        <f>HYPERLINK("https://pld.live/RapDetail.aspx?STONELIST=941190118","DNA")</f>
        <v>DNA</v>
      </c>
      <c r="D1294" s="18" t="s">
        <v>5715</v>
      </c>
      <c r="E1294" s="18" t="s">
        <v>5128</v>
      </c>
      <c r="F1294" s="2" t="s">
        <v>7987</v>
      </c>
      <c r="G1294" s="2" t="s">
        <v>861</v>
      </c>
      <c r="H1294" s="14">
        <v>0.8</v>
      </c>
      <c r="I1294" s="2" t="s">
        <v>267</v>
      </c>
      <c r="J1294" s="2" t="s">
        <v>13</v>
      </c>
      <c r="K1294" s="2" t="s">
        <v>5221</v>
      </c>
      <c r="L1294" s="2" t="s">
        <v>5221</v>
      </c>
      <c r="M1294" s="2" t="s">
        <v>5221</v>
      </c>
      <c r="N1294" s="2" t="s">
        <v>2317</v>
      </c>
      <c r="O1294" s="14">
        <v>3900</v>
      </c>
      <c r="P1294" s="14">
        <v>96.28</v>
      </c>
      <c r="Q1294" s="14">
        <v>145.08000000000001</v>
      </c>
      <c r="R1294" s="14">
        <v>116.06</v>
      </c>
      <c r="S1294" s="2" t="s">
        <v>1646</v>
      </c>
      <c r="T1294" s="2">
        <v>1</v>
      </c>
      <c r="U1294" s="2">
        <v>62.5</v>
      </c>
      <c r="V1294" s="2">
        <v>58</v>
      </c>
      <c r="W1294" s="2" t="s">
        <v>7862</v>
      </c>
      <c r="X1294" s="2" t="s">
        <v>5405</v>
      </c>
      <c r="Y1294" s="2">
        <v>3120</v>
      </c>
      <c r="Z1294" s="19" t="str">
        <f>HYPERLINK("https://ssdweb.co/ssdweb/hd/Vision360.html?d=941190118&amp;zoomslide=1&amp;z=1941190118&amp;ISCONFIRM=0","VIDEO")</f>
        <v>VIDEO</v>
      </c>
      <c r="AA1294" s="19" t="str">
        <f>HYPERLINK("https://ssdweb.co/ssdweb/CERTH/675504534.pdf","CERTI")</f>
        <v>CERTI</v>
      </c>
    </row>
    <row r="1295" spans="1:27" ht="15" x14ac:dyDescent="0.25">
      <c r="A1295" s="2">
        <v>1290</v>
      </c>
      <c r="B1295" s="39">
        <v>926331670</v>
      </c>
      <c r="C1295" s="28" t="str">
        <f>HYPERLINK("https://pld.live/RapDetail.aspx?STONELIST=926331670","DNA")</f>
        <v>DNA</v>
      </c>
      <c r="D1295" s="18" t="s">
        <v>5715</v>
      </c>
      <c r="E1295" s="18" t="s">
        <v>5128</v>
      </c>
      <c r="F1295" s="2" t="s">
        <v>7987</v>
      </c>
      <c r="G1295" s="2" t="s">
        <v>861</v>
      </c>
      <c r="H1295" s="14">
        <v>0.8</v>
      </c>
      <c r="I1295" s="2" t="s">
        <v>267</v>
      </c>
      <c r="J1295" s="2" t="s">
        <v>13</v>
      </c>
      <c r="K1295" s="2" t="s">
        <v>5221</v>
      </c>
      <c r="L1295" s="2" t="s">
        <v>5221</v>
      </c>
      <c r="M1295" s="2" t="s">
        <v>5221</v>
      </c>
      <c r="N1295" s="2" t="s">
        <v>2317</v>
      </c>
      <c r="O1295" s="14">
        <v>3900</v>
      </c>
      <c r="P1295" s="14">
        <v>96.38</v>
      </c>
      <c r="Q1295" s="14">
        <v>141.18</v>
      </c>
      <c r="R1295" s="14">
        <v>112.94</v>
      </c>
      <c r="S1295" s="2" t="s">
        <v>2425</v>
      </c>
      <c r="T1295" s="2">
        <v>1.01</v>
      </c>
      <c r="U1295" s="2">
        <v>62.4</v>
      </c>
      <c r="V1295" s="2">
        <v>58</v>
      </c>
      <c r="W1295" s="2" t="s">
        <v>7862</v>
      </c>
      <c r="X1295" s="2" t="s">
        <v>5405</v>
      </c>
      <c r="Y1295" s="2">
        <v>3120</v>
      </c>
      <c r="Z1295" s="19" t="str">
        <f>HYPERLINK("https://ssdweb.co/ssdweb/hd/Vision360.html?d=926331670&amp;zoomslide=1&amp;z=1926331670&amp;ISCONFIRM=0","VIDEO")</f>
        <v>VIDEO</v>
      </c>
      <c r="AA1295" s="19" t="str">
        <f>HYPERLINK("https://ssdweb.co/ssdweb/CERTH/648487094.pdf","CERTI")</f>
        <v>CERTI</v>
      </c>
    </row>
    <row r="1296" spans="1:27" ht="15" x14ac:dyDescent="0.25">
      <c r="A1296" s="2">
        <v>1291</v>
      </c>
      <c r="B1296" s="39">
        <v>941190233</v>
      </c>
      <c r="C1296" s="28" t="str">
        <f>HYPERLINK("https://pld.live/RapDetail.aspx?STONELIST=941190233","DNA")</f>
        <v>DNA</v>
      </c>
      <c r="D1296" s="18" t="s">
        <v>5715</v>
      </c>
      <c r="E1296" s="18" t="s">
        <v>5128</v>
      </c>
      <c r="F1296" s="2" t="s">
        <v>7987</v>
      </c>
      <c r="G1296" s="2" t="s">
        <v>861</v>
      </c>
      <c r="H1296" s="14">
        <v>0.8</v>
      </c>
      <c r="I1296" s="2" t="s">
        <v>267</v>
      </c>
      <c r="J1296" s="2" t="s">
        <v>13</v>
      </c>
      <c r="K1296" s="2" t="s">
        <v>5221</v>
      </c>
      <c r="L1296" s="2" t="s">
        <v>5221</v>
      </c>
      <c r="M1296" s="2" t="s">
        <v>5221</v>
      </c>
      <c r="N1296" s="2" t="s">
        <v>2317</v>
      </c>
      <c r="O1296" s="14">
        <v>3900</v>
      </c>
      <c r="P1296" s="14">
        <v>96.28</v>
      </c>
      <c r="Q1296" s="14">
        <v>145.08000000000001</v>
      </c>
      <c r="R1296" s="14">
        <v>116.06</v>
      </c>
      <c r="S1296" s="2" t="s">
        <v>7474</v>
      </c>
      <c r="T1296" s="2">
        <v>1.01</v>
      </c>
      <c r="U1296" s="2">
        <v>60.9</v>
      </c>
      <c r="V1296" s="2">
        <v>59</v>
      </c>
      <c r="W1296" s="2" t="s">
        <v>7862</v>
      </c>
      <c r="X1296" s="2" t="s">
        <v>5405</v>
      </c>
      <c r="Y1296" s="2">
        <v>3120</v>
      </c>
      <c r="Z1296" s="19" t="str">
        <f>HYPERLINK("https://ssdweb.co/ssdweb/hd/Vision360.html?d=941190233&amp;zoomslide=1&amp;z=1941190233&amp;ISCONFIRM=0","VIDEO")</f>
        <v>VIDEO</v>
      </c>
      <c r="AA1296" s="19" t="str">
        <f>HYPERLINK("https://ssdweb.co/ssdweb/CERTH/675596773.pdf","CERTI")</f>
        <v>CERTI</v>
      </c>
    </row>
    <row r="1297" spans="1:27" ht="15" x14ac:dyDescent="0.25">
      <c r="A1297" s="2">
        <v>1292</v>
      </c>
      <c r="B1297" s="39">
        <v>926111388</v>
      </c>
      <c r="C1297" s="28" t="str">
        <f>HYPERLINK("https://pld.live/RapDetail.aspx?STONELIST=926111388","DNA")</f>
        <v>DNA</v>
      </c>
      <c r="D1297" s="18" t="s">
        <v>5715</v>
      </c>
      <c r="E1297" s="18" t="s">
        <v>5128</v>
      </c>
      <c r="F1297" s="2" t="s">
        <v>7987</v>
      </c>
      <c r="G1297" s="2" t="s">
        <v>861</v>
      </c>
      <c r="H1297" s="14">
        <v>0.8</v>
      </c>
      <c r="I1297" s="2" t="s">
        <v>267</v>
      </c>
      <c r="J1297" s="2" t="s">
        <v>13</v>
      </c>
      <c r="K1297" s="2" t="s">
        <v>5221</v>
      </c>
      <c r="L1297" s="2" t="s">
        <v>5221</v>
      </c>
      <c r="M1297" s="2" t="s">
        <v>5221</v>
      </c>
      <c r="N1297" s="2" t="s">
        <v>2317</v>
      </c>
      <c r="O1297" s="14">
        <v>3900</v>
      </c>
      <c r="P1297" s="14">
        <v>96.38</v>
      </c>
      <c r="Q1297" s="14">
        <v>141.18</v>
      </c>
      <c r="R1297" s="14">
        <v>112.94</v>
      </c>
      <c r="S1297" s="2" t="s">
        <v>3790</v>
      </c>
      <c r="T1297" s="2">
        <v>1.01</v>
      </c>
      <c r="U1297" s="2">
        <v>62.7</v>
      </c>
      <c r="V1297" s="2">
        <v>56</v>
      </c>
      <c r="W1297" s="2" t="s">
        <v>7862</v>
      </c>
      <c r="X1297" s="2" t="s">
        <v>5405</v>
      </c>
      <c r="Y1297" s="2">
        <v>3120</v>
      </c>
      <c r="Z1297" s="19" t="str">
        <f>HYPERLINK("https://ssdweb.co/ssdweb/hd/Vision360.html?d=926111388&amp;zoomslide=1&amp;z=1926111388&amp;ISCONFIRM=0","VIDEO")</f>
        <v>VIDEO</v>
      </c>
      <c r="AA1297" s="19" t="str">
        <f>HYPERLINK("https://ssdweb.co/ssdweb/CERTH/636430041.pdf","CERTI")</f>
        <v>CERTI</v>
      </c>
    </row>
    <row r="1298" spans="1:27" ht="15" x14ac:dyDescent="0.25">
      <c r="A1298" s="2">
        <v>1293</v>
      </c>
      <c r="B1298" s="39">
        <v>925040091</v>
      </c>
      <c r="C1298" s="28" t="str">
        <f>HYPERLINK("https://pld.live/RapDetail.aspx?STONELIST=925040091","DNA")</f>
        <v>DNA</v>
      </c>
      <c r="D1298" s="18" t="s">
        <v>5715</v>
      </c>
      <c r="E1298" s="18" t="s">
        <v>5128</v>
      </c>
      <c r="F1298" s="2" t="s">
        <v>5597</v>
      </c>
      <c r="G1298" s="2" t="s">
        <v>861</v>
      </c>
      <c r="H1298" s="14">
        <v>0.8</v>
      </c>
      <c r="I1298" s="2" t="s">
        <v>267</v>
      </c>
      <c r="J1298" s="2" t="s">
        <v>5144</v>
      </c>
      <c r="K1298" s="2" t="s">
        <v>5221</v>
      </c>
      <c r="L1298" s="2" t="s">
        <v>5221</v>
      </c>
      <c r="M1298" s="2" t="s">
        <v>5221</v>
      </c>
      <c r="N1298" s="2" t="s">
        <v>2317</v>
      </c>
      <c r="O1298" s="14">
        <v>3400</v>
      </c>
      <c r="P1298" s="14">
        <v>92.32</v>
      </c>
      <c r="Q1298" s="14">
        <v>261.12</v>
      </c>
      <c r="R1298" s="14">
        <v>208.9</v>
      </c>
      <c r="S1298" s="2" t="s">
        <v>3972</v>
      </c>
      <c r="T1298" s="2">
        <v>1.01</v>
      </c>
      <c r="U1298" s="2">
        <v>62.3</v>
      </c>
      <c r="V1298" s="2">
        <v>58</v>
      </c>
      <c r="W1298" s="2" t="s">
        <v>7862</v>
      </c>
      <c r="X1298" s="2" t="s">
        <v>5405</v>
      </c>
      <c r="Y1298" s="2">
        <v>2720</v>
      </c>
      <c r="Z1298" s="19" t="str">
        <f>HYPERLINK("https://ssdweb.co/ssdweb/hd/Vision360.html?d=925040091&amp;zoomslide=1&amp;z=1925040091&amp;ISCONFIRM=0","VIDEO")</f>
        <v>VIDEO</v>
      </c>
      <c r="AA1298" s="19" t="str">
        <f>HYPERLINK("https://ssdweb.co/ssdweb/CERTH/6471880145.pdf","CERTI")</f>
        <v>CERTI</v>
      </c>
    </row>
    <row r="1299" spans="1:27" ht="15" x14ac:dyDescent="0.25">
      <c r="A1299" s="2">
        <v>1294</v>
      </c>
      <c r="B1299" s="39">
        <v>941320704</v>
      </c>
      <c r="C1299" s="28" t="str">
        <f>HYPERLINK("https://pld.live/RapDetail.aspx?STONELIST=941320704","DNA")</f>
        <v>DNA</v>
      </c>
      <c r="D1299" s="18" t="s">
        <v>5715</v>
      </c>
      <c r="E1299" s="18" t="s">
        <v>5128</v>
      </c>
      <c r="F1299" s="2" t="s">
        <v>7987</v>
      </c>
      <c r="G1299" s="2" t="s">
        <v>861</v>
      </c>
      <c r="H1299" s="14">
        <v>0.8</v>
      </c>
      <c r="I1299" s="2" t="s">
        <v>4761</v>
      </c>
      <c r="J1299" s="2" t="s">
        <v>13</v>
      </c>
      <c r="K1299" s="2" t="s">
        <v>3390</v>
      </c>
      <c r="L1299" s="2" t="s">
        <v>5221</v>
      </c>
      <c r="M1299" s="2" t="s">
        <v>5221</v>
      </c>
      <c r="N1299" s="2" t="s">
        <v>2317</v>
      </c>
      <c r="O1299" s="14">
        <v>3700</v>
      </c>
      <c r="P1299" s="14">
        <v>96.14</v>
      </c>
      <c r="Q1299" s="14">
        <v>142.82</v>
      </c>
      <c r="R1299" s="14">
        <v>114.26</v>
      </c>
      <c r="S1299" s="2" t="s">
        <v>2462</v>
      </c>
      <c r="T1299" s="2">
        <v>1.01</v>
      </c>
      <c r="U1299" s="2">
        <v>62.4</v>
      </c>
      <c r="V1299" s="2">
        <v>57</v>
      </c>
      <c r="W1299" s="2" t="s">
        <v>7862</v>
      </c>
      <c r="X1299" s="2" t="s">
        <v>5405</v>
      </c>
      <c r="Y1299" s="2">
        <v>2960</v>
      </c>
      <c r="Z1299" s="19" t="str">
        <f>HYPERLINK("https://ssdweb.co/ssdweb/hd/Vision360.html?d=941320704&amp;zoomslide=1&amp;z=1941320704&amp;ISCONFIRM=0","VIDEO")</f>
        <v>VIDEO</v>
      </c>
      <c r="AA1299" s="19" t="str">
        <f>HYPERLINK("https://ssdweb.co/ssdweb/CERTH/694508381.pdf","CERTI")</f>
        <v>CERTI</v>
      </c>
    </row>
    <row r="1300" spans="1:27" ht="15" x14ac:dyDescent="0.25">
      <c r="A1300" s="2">
        <v>1295</v>
      </c>
      <c r="B1300" s="39">
        <v>941320734</v>
      </c>
      <c r="C1300" s="28" t="str">
        <f>HYPERLINK("https://pld.live/RapDetail.aspx?STONELIST=941320734","DNA")</f>
        <v>DNA</v>
      </c>
      <c r="D1300" s="18" t="s">
        <v>5715</v>
      </c>
      <c r="E1300" s="18" t="s">
        <v>5128</v>
      </c>
      <c r="F1300" s="2" t="s">
        <v>7987</v>
      </c>
      <c r="G1300" s="2" t="s">
        <v>861</v>
      </c>
      <c r="H1300" s="14">
        <v>0.8</v>
      </c>
      <c r="I1300" s="2" t="s">
        <v>4761</v>
      </c>
      <c r="J1300" s="2" t="s">
        <v>13</v>
      </c>
      <c r="K1300" s="2" t="s">
        <v>3390</v>
      </c>
      <c r="L1300" s="2" t="s">
        <v>5221</v>
      </c>
      <c r="M1300" s="2" t="s">
        <v>5221</v>
      </c>
      <c r="N1300" s="2" t="s">
        <v>2317</v>
      </c>
      <c r="O1300" s="14">
        <v>3700</v>
      </c>
      <c r="P1300" s="14">
        <v>96.14</v>
      </c>
      <c r="Q1300" s="14">
        <v>142.82</v>
      </c>
      <c r="R1300" s="14">
        <v>114.26</v>
      </c>
      <c r="S1300" s="2" t="s">
        <v>2387</v>
      </c>
      <c r="T1300" s="2">
        <v>1</v>
      </c>
      <c r="U1300" s="2">
        <v>59.8</v>
      </c>
      <c r="V1300" s="2">
        <v>59</v>
      </c>
      <c r="W1300" s="2" t="s">
        <v>7862</v>
      </c>
      <c r="X1300" s="2" t="s">
        <v>5405</v>
      </c>
      <c r="Y1300" s="2">
        <v>2960</v>
      </c>
      <c r="Z1300" s="19" t="str">
        <f>HYPERLINK("https://ssdweb.co/ssdweb/hd/Vision360.html?d=941320734&amp;zoomslide=1&amp;z=1941320734&amp;ISCONFIRM=0","VIDEO")</f>
        <v>VIDEO</v>
      </c>
      <c r="AA1300" s="19" t="str">
        <f>HYPERLINK("https://ssdweb.co/ssdweb/CERTH/694508382.pdf","CERTI")</f>
        <v>CERTI</v>
      </c>
    </row>
    <row r="1301" spans="1:27" ht="15" x14ac:dyDescent="0.25">
      <c r="A1301" s="2">
        <v>1296</v>
      </c>
      <c r="B1301" s="39">
        <v>927100742</v>
      </c>
      <c r="C1301" s="28" t="str">
        <f>HYPERLINK("https://pld.live/RapDetail.aspx?STONELIST=927100742","DNA")</f>
        <v>DNA</v>
      </c>
      <c r="D1301" s="18" t="s">
        <v>5847</v>
      </c>
      <c r="E1301" s="18" t="s">
        <v>5128</v>
      </c>
      <c r="F1301" s="2" t="s">
        <v>7987</v>
      </c>
      <c r="G1301" s="2" t="s">
        <v>861</v>
      </c>
      <c r="H1301" s="14">
        <v>0.79</v>
      </c>
      <c r="I1301" s="2" t="s">
        <v>267</v>
      </c>
      <c r="J1301" s="2" t="s">
        <v>13</v>
      </c>
      <c r="K1301" s="2" t="s">
        <v>5221</v>
      </c>
      <c r="L1301" s="2" t="s">
        <v>5221</v>
      </c>
      <c r="M1301" s="2" t="s">
        <v>5221</v>
      </c>
      <c r="N1301" s="2" t="s">
        <v>2317</v>
      </c>
      <c r="O1301" s="14">
        <v>3900</v>
      </c>
      <c r="P1301" s="14">
        <v>96.67</v>
      </c>
      <c r="Q1301" s="14">
        <v>129.87</v>
      </c>
      <c r="R1301" s="14">
        <v>102.6</v>
      </c>
      <c r="S1301" s="2" t="s">
        <v>6147</v>
      </c>
      <c r="T1301" s="2">
        <v>1</v>
      </c>
      <c r="U1301" s="2">
        <v>63.1</v>
      </c>
      <c r="V1301" s="2">
        <v>59</v>
      </c>
      <c r="W1301" s="2" t="s">
        <v>7862</v>
      </c>
      <c r="X1301" s="2" t="s">
        <v>5405</v>
      </c>
      <c r="Y1301" s="2">
        <v>3081</v>
      </c>
      <c r="Z1301" s="19" t="str">
        <f>HYPERLINK("https://ssdweb.co/ssdweb/hd/Vision360.html?d=927100742&amp;zoomslide=1&amp;z=1927100742&amp;ISCONFIRM=0","VIDEO")</f>
        <v>VIDEO</v>
      </c>
      <c r="AA1301" s="19" t="str">
        <f>HYPERLINK("https://ssdweb.co/ssdweb/CERTH/666436017.pdf","CERTI")</f>
        <v>CERTI</v>
      </c>
    </row>
    <row r="1302" spans="1:27" ht="15" x14ac:dyDescent="0.25">
      <c r="A1302" s="2">
        <v>1297</v>
      </c>
      <c r="B1302" s="39">
        <v>927091878</v>
      </c>
      <c r="C1302" s="28" t="str">
        <f>HYPERLINK("https://pld.live/RapDetail.aspx?STONELIST=927091878","DNA")</f>
        <v>DNA</v>
      </c>
      <c r="D1302" s="18" t="s">
        <v>5847</v>
      </c>
      <c r="E1302" s="18" t="s">
        <v>5128</v>
      </c>
      <c r="F1302" s="2" t="s">
        <v>7987</v>
      </c>
      <c r="G1302" s="2" t="s">
        <v>861</v>
      </c>
      <c r="H1302" s="14">
        <v>0.79</v>
      </c>
      <c r="I1302" s="2" t="s">
        <v>267</v>
      </c>
      <c r="J1302" s="2" t="s">
        <v>13</v>
      </c>
      <c r="K1302" s="2" t="s">
        <v>5221</v>
      </c>
      <c r="L1302" s="2" t="s">
        <v>5221</v>
      </c>
      <c r="M1302" s="2" t="s">
        <v>5221</v>
      </c>
      <c r="N1302" s="2" t="s">
        <v>2317</v>
      </c>
      <c r="O1302" s="14">
        <v>3900</v>
      </c>
      <c r="P1302" s="14">
        <v>96.67</v>
      </c>
      <c r="Q1302" s="14">
        <v>129.87</v>
      </c>
      <c r="R1302" s="14">
        <v>102.6</v>
      </c>
      <c r="S1302" s="2" t="s">
        <v>385</v>
      </c>
      <c r="T1302" s="2">
        <v>1.01</v>
      </c>
      <c r="U1302" s="2">
        <v>61.6</v>
      </c>
      <c r="V1302" s="2">
        <v>60</v>
      </c>
      <c r="W1302" s="2" t="s">
        <v>7862</v>
      </c>
      <c r="X1302" s="2" t="s">
        <v>5405</v>
      </c>
      <c r="Y1302" s="2">
        <v>3081</v>
      </c>
      <c r="Z1302" s="19" t="str">
        <f>HYPERLINK("https://ssdweb.co/ssdweb/hd/Vision360.html?d=927091878&amp;zoomslide=1&amp;z=1927091878&amp;ISCONFIRM=0","VIDEO")</f>
        <v>VIDEO</v>
      </c>
      <c r="AA1302" s="19" t="str">
        <f>HYPERLINK("https://ssdweb.co/ssdweb/CERTH/666436019.pdf","CERTI")</f>
        <v>CERTI</v>
      </c>
    </row>
    <row r="1303" spans="1:27" ht="15" x14ac:dyDescent="0.25">
      <c r="A1303" s="2">
        <v>1298</v>
      </c>
      <c r="B1303" s="39">
        <v>926311252</v>
      </c>
      <c r="C1303" s="28" t="str">
        <f>HYPERLINK("https://pld.live/RapDetail.aspx?STONELIST=926311252","DNA")</f>
        <v>DNA</v>
      </c>
      <c r="D1303" s="18" t="s">
        <v>5847</v>
      </c>
      <c r="E1303" s="18" t="s">
        <v>5128</v>
      </c>
      <c r="F1303" s="2" t="s">
        <v>7987</v>
      </c>
      <c r="G1303" s="2" t="s">
        <v>861</v>
      </c>
      <c r="H1303" s="14">
        <v>0.79</v>
      </c>
      <c r="I1303" s="2" t="s">
        <v>4761</v>
      </c>
      <c r="J1303" s="2" t="s">
        <v>6555</v>
      </c>
      <c r="K1303" s="2" t="s">
        <v>5221</v>
      </c>
      <c r="L1303" s="2" t="s">
        <v>5221</v>
      </c>
      <c r="M1303" s="2" t="s">
        <v>5221</v>
      </c>
      <c r="N1303" s="2" t="s">
        <v>2317</v>
      </c>
      <c r="O1303" s="14">
        <v>5100</v>
      </c>
      <c r="P1303" s="14">
        <v>97.37</v>
      </c>
      <c r="Q1303" s="14">
        <v>134.13</v>
      </c>
      <c r="R1303" s="14">
        <v>105.96</v>
      </c>
      <c r="S1303" s="2" t="s">
        <v>5613</v>
      </c>
      <c r="T1303" s="2">
        <v>1.01</v>
      </c>
      <c r="U1303" s="2">
        <v>63.2</v>
      </c>
      <c r="V1303" s="2">
        <v>55</v>
      </c>
      <c r="W1303" s="2" t="s">
        <v>7862</v>
      </c>
      <c r="X1303" s="2" t="s">
        <v>5405</v>
      </c>
      <c r="Y1303" s="2">
        <v>4029</v>
      </c>
      <c r="Z1303" s="19" t="str">
        <f>HYPERLINK("https://ssdweb.co/ssdweb/hd/Vision360.html?d=926311252&amp;zoomslide=1&amp;z=1926311252&amp;ISCONFIRM=0","VIDEO")</f>
        <v>VIDEO</v>
      </c>
      <c r="AA1303" s="19" t="str">
        <f>HYPERLINK("https://ssdweb.co/ssdweb/CERTH/641474111.pdf","CERTI")</f>
        <v>CERTI</v>
      </c>
    </row>
    <row r="1304" spans="1:27" ht="15" x14ac:dyDescent="0.25">
      <c r="A1304" s="2">
        <v>1299</v>
      </c>
      <c r="B1304" s="39">
        <v>926280736</v>
      </c>
      <c r="C1304" s="28" t="str">
        <f>HYPERLINK("https://pld.live/RapDetail.aspx?STONELIST=926280736","DNA")</f>
        <v>DNA</v>
      </c>
      <c r="D1304" s="18" t="s">
        <v>5847</v>
      </c>
      <c r="E1304" s="18" t="s">
        <v>5128</v>
      </c>
      <c r="F1304" s="2" t="s">
        <v>7987</v>
      </c>
      <c r="G1304" s="2" t="s">
        <v>861</v>
      </c>
      <c r="H1304" s="14">
        <v>0.79</v>
      </c>
      <c r="I1304" s="2" t="s">
        <v>4761</v>
      </c>
      <c r="J1304" s="2" t="s">
        <v>3942</v>
      </c>
      <c r="K1304" s="2" t="s">
        <v>3390</v>
      </c>
      <c r="L1304" s="2" t="s">
        <v>5221</v>
      </c>
      <c r="M1304" s="2" t="s">
        <v>5721</v>
      </c>
      <c r="N1304" s="2" t="s">
        <v>2317</v>
      </c>
      <c r="O1304" s="14">
        <v>4200</v>
      </c>
      <c r="P1304" s="14">
        <v>96.93</v>
      </c>
      <c r="Q1304" s="14">
        <v>128.94</v>
      </c>
      <c r="R1304" s="14">
        <v>101.86</v>
      </c>
      <c r="S1304" s="2" t="s">
        <v>5447</v>
      </c>
      <c r="T1304" s="2">
        <v>1.01</v>
      </c>
      <c r="U1304" s="2">
        <v>62.2</v>
      </c>
      <c r="V1304" s="2">
        <v>57</v>
      </c>
      <c r="W1304" s="2" t="s">
        <v>7862</v>
      </c>
      <c r="X1304" s="2" t="s">
        <v>5405</v>
      </c>
      <c r="Y1304" s="2">
        <v>3318</v>
      </c>
      <c r="Z1304" s="19" t="str">
        <f>HYPERLINK("https://ssdweb.co/ssdweb/hd/Vision360.html?d=926280736&amp;zoomslide=1&amp;z=1926280736&amp;ISCONFIRM=0","VIDEO")</f>
        <v>VIDEO</v>
      </c>
      <c r="AA1304" s="19" t="str">
        <f>HYPERLINK("https://ssdweb.co/ssdweb/CERTH/642447887.pdf","CERTI")</f>
        <v>CERTI</v>
      </c>
    </row>
    <row r="1305" spans="1:27" ht="15" x14ac:dyDescent="0.25">
      <c r="A1305" s="2">
        <v>1300</v>
      </c>
      <c r="B1305" s="39">
        <v>941320774</v>
      </c>
      <c r="C1305" s="28" t="str">
        <f>HYPERLINK("https://pld.live/RapDetail.aspx?STONELIST=941320774","DNA")</f>
        <v>DNA</v>
      </c>
      <c r="D1305" s="18" t="s">
        <v>5847</v>
      </c>
      <c r="E1305" s="18" t="s">
        <v>5128</v>
      </c>
      <c r="F1305" s="2" t="s">
        <v>7987</v>
      </c>
      <c r="G1305" s="2" t="s">
        <v>861</v>
      </c>
      <c r="H1305" s="14">
        <v>0.79</v>
      </c>
      <c r="I1305" s="2" t="s">
        <v>4761</v>
      </c>
      <c r="J1305" s="2" t="s">
        <v>13</v>
      </c>
      <c r="K1305" s="2" t="s">
        <v>3390</v>
      </c>
      <c r="L1305" s="2" t="s">
        <v>5221</v>
      </c>
      <c r="M1305" s="2" t="s">
        <v>5221</v>
      </c>
      <c r="N1305" s="2" t="s">
        <v>2317</v>
      </c>
      <c r="O1305" s="14">
        <v>3700</v>
      </c>
      <c r="P1305" s="14">
        <v>96.49</v>
      </c>
      <c r="Q1305" s="14">
        <v>129.87</v>
      </c>
      <c r="R1305" s="14">
        <v>102.6</v>
      </c>
      <c r="S1305" s="2" t="s">
        <v>6052</v>
      </c>
      <c r="T1305" s="2">
        <v>1</v>
      </c>
      <c r="U1305" s="2">
        <v>62.1</v>
      </c>
      <c r="V1305" s="2">
        <v>58</v>
      </c>
      <c r="W1305" s="2" t="s">
        <v>7862</v>
      </c>
      <c r="X1305" s="2" t="s">
        <v>5405</v>
      </c>
      <c r="Y1305" s="2">
        <v>2923</v>
      </c>
      <c r="Z1305" s="19" t="str">
        <f>HYPERLINK("https://ssdweb.co/ssdweb/hd/Vision360.html?d=941320774&amp;zoomslide=1&amp;z=1941320774&amp;ISCONFIRM=0","VIDEO")</f>
        <v>VIDEO</v>
      </c>
      <c r="AA1305" s="19" t="str">
        <f>HYPERLINK("https://ssdweb.co/ssdweb/CERTH/689587245.pdf","CERTI")</f>
        <v>CERTI</v>
      </c>
    </row>
    <row r="1306" spans="1:27" ht="15" x14ac:dyDescent="0.25">
      <c r="A1306" s="2">
        <v>1301</v>
      </c>
      <c r="B1306" s="39">
        <v>926331767</v>
      </c>
      <c r="C1306" s="28" t="str">
        <f>HYPERLINK("https://pld.live/RapDetail.aspx?STONELIST=926331767","DNA")</f>
        <v>DNA</v>
      </c>
      <c r="D1306" s="18" t="s">
        <v>5847</v>
      </c>
      <c r="E1306" s="18" t="s">
        <v>5128</v>
      </c>
      <c r="F1306" s="2" t="s">
        <v>5597</v>
      </c>
      <c r="G1306" s="2" t="s">
        <v>861</v>
      </c>
      <c r="H1306" s="14">
        <v>0.79</v>
      </c>
      <c r="I1306" s="2" t="s">
        <v>4699</v>
      </c>
      <c r="J1306" s="2" t="s">
        <v>5144</v>
      </c>
      <c r="K1306" s="2" t="s">
        <v>5221</v>
      </c>
      <c r="L1306" s="2" t="s">
        <v>5221</v>
      </c>
      <c r="M1306" s="2" t="s">
        <v>5221</v>
      </c>
      <c r="N1306" s="2" t="s">
        <v>2317</v>
      </c>
      <c r="O1306" s="14">
        <v>3000</v>
      </c>
      <c r="P1306" s="14">
        <v>91.8</v>
      </c>
      <c r="Q1306" s="14">
        <v>246</v>
      </c>
      <c r="R1306" s="14">
        <v>194.34</v>
      </c>
      <c r="S1306" s="2" t="s">
        <v>6534</v>
      </c>
      <c r="T1306" s="2">
        <v>1.01</v>
      </c>
      <c r="U1306" s="2">
        <v>62.1</v>
      </c>
      <c r="V1306" s="2">
        <v>58</v>
      </c>
      <c r="W1306" s="2" t="s">
        <v>7862</v>
      </c>
      <c r="X1306" s="2" t="s">
        <v>5405</v>
      </c>
      <c r="Y1306" s="2">
        <v>2370</v>
      </c>
      <c r="Z1306" s="19" t="str">
        <f>HYPERLINK("https://ssdweb.co/ssdweb/hd/Vision360.html?d=926331767&amp;zoomslide=1&amp;z=1926331767&amp;ISCONFIRM=0","VIDEO")</f>
        <v>VIDEO</v>
      </c>
      <c r="AA1306" s="19" t="str">
        <f>HYPERLINK("https://ssdweb.co/ssdweb/CERTH/1498925535.pdf","CERTI")</f>
        <v>CERTI</v>
      </c>
    </row>
    <row r="1307" spans="1:27" ht="15" x14ac:dyDescent="0.25">
      <c r="A1307" s="2">
        <v>1302</v>
      </c>
      <c r="B1307" s="39">
        <v>926250497</v>
      </c>
      <c r="C1307" s="28" t="str">
        <f>HYPERLINK("https://pld.live/RapDetail.aspx?STONELIST=926250497","DNA")</f>
        <v>DNA</v>
      </c>
      <c r="D1307" s="18" t="s">
        <v>5847</v>
      </c>
      <c r="E1307" s="18" t="s">
        <v>5128</v>
      </c>
      <c r="F1307" s="2" t="s">
        <v>7987</v>
      </c>
      <c r="G1307" s="2" t="s">
        <v>861</v>
      </c>
      <c r="H1307" s="14">
        <v>0.78</v>
      </c>
      <c r="I1307" s="2" t="s">
        <v>267</v>
      </c>
      <c r="J1307" s="2" t="s">
        <v>13</v>
      </c>
      <c r="K1307" s="2" t="s">
        <v>5221</v>
      </c>
      <c r="L1307" s="2" t="s">
        <v>5221</v>
      </c>
      <c r="M1307" s="2" t="s">
        <v>5721</v>
      </c>
      <c r="N1307" s="2" t="s">
        <v>2317</v>
      </c>
      <c r="O1307" s="14">
        <v>3900</v>
      </c>
      <c r="P1307" s="14">
        <v>96.77</v>
      </c>
      <c r="Q1307" s="14">
        <v>125.97</v>
      </c>
      <c r="R1307" s="14">
        <v>98.26</v>
      </c>
      <c r="S1307" s="2" t="s">
        <v>2382</v>
      </c>
      <c r="T1307" s="2">
        <v>1</v>
      </c>
      <c r="U1307" s="2">
        <v>62.6</v>
      </c>
      <c r="V1307" s="2">
        <v>56</v>
      </c>
      <c r="W1307" s="2" t="s">
        <v>7862</v>
      </c>
      <c r="X1307" s="2" t="s">
        <v>5405</v>
      </c>
      <c r="Y1307" s="2">
        <v>3042</v>
      </c>
      <c r="Z1307" s="19" t="str">
        <f>HYPERLINK("https://ssdweb.co/ssdweb/hd/Vision360.html?d=926250497&amp;zoomslide=1&amp;z=1926250497&amp;ISCONFIRM=0","VIDEO")</f>
        <v>VIDEO</v>
      </c>
      <c r="AA1307" s="19" t="str">
        <f>HYPERLINK("https://ssdweb.co/ssdweb/CERTH/640473886.pdf","CERTI")</f>
        <v>CERTI</v>
      </c>
    </row>
    <row r="1308" spans="1:27" ht="15" x14ac:dyDescent="0.25">
      <c r="A1308" s="2">
        <v>1303</v>
      </c>
      <c r="B1308" s="39">
        <v>926291571</v>
      </c>
      <c r="C1308" s="28" t="str">
        <f>HYPERLINK("https://pld.live/RapDetail.aspx?STONELIST=926291571","DNA")</f>
        <v>DNA</v>
      </c>
      <c r="D1308" s="18" t="s">
        <v>5847</v>
      </c>
      <c r="E1308" s="18" t="s">
        <v>5128</v>
      </c>
      <c r="F1308" s="2" t="s">
        <v>7987</v>
      </c>
      <c r="G1308" s="2" t="s">
        <v>861</v>
      </c>
      <c r="H1308" s="14">
        <v>0.78</v>
      </c>
      <c r="I1308" s="2" t="s">
        <v>267</v>
      </c>
      <c r="J1308" s="2" t="s">
        <v>13</v>
      </c>
      <c r="K1308" s="2" t="s">
        <v>5221</v>
      </c>
      <c r="L1308" s="2" t="s">
        <v>5721</v>
      </c>
      <c r="M1308" s="2" t="s">
        <v>5721</v>
      </c>
      <c r="N1308" s="2" t="s">
        <v>2317</v>
      </c>
      <c r="O1308" s="14">
        <v>3900</v>
      </c>
      <c r="P1308" s="14">
        <v>96.82</v>
      </c>
      <c r="Q1308" s="14">
        <v>124.02</v>
      </c>
      <c r="R1308" s="14">
        <v>96.74</v>
      </c>
      <c r="S1308" s="2" t="s">
        <v>6425</v>
      </c>
      <c r="T1308" s="2">
        <v>1.01</v>
      </c>
      <c r="U1308" s="2">
        <v>63</v>
      </c>
      <c r="V1308" s="2">
        <v>57</v>
      </c>
      <c r="W1308" s="2" t="s">
        <v>7862</v>
      </c>
      <c r="X1308" s="2" t="s">
        <v>5405</v>
      </c>
      <c r="Y1308" s="2">
        <v>3042</v>
      </c>
      <c r="Z1308" s="19" t="str">
        <f>HYPERLINK("https://ssdweb.co/ssdweb/hd/Vision360.html?d=926291571&amp;zoomslide=1&amp;z=1926291571&amp;ISCONFIRM=0","VIDEO")</f>
        <v>VIDEO</v>
      </c>
      <c r="AA1308" s="19" t="str">
        <f>HYPERLINK("https://ssdweb.co/ssdweb/CERTH/641474110.pdf","CERTI")</f>
        <v>CERTI</v>
      </c>
    </row>
    <row r="1309" spans="1:27" ht="15" x14ac:dyDescent="0.25">
      <c r="A1309" s="2">
        <v>1304</v>
      </c>
      <c r="B1309" s="39">
        <v>925290299</v>
      </c>
      <c r="C1309" s="28" t="str">
        <f>HYPERLINK("https://pld.live/RapDetail.aspx?STONELIST=925290299","DNA")</f>
        <v>DNA</v>
      </c>
      <c r="D1309" s="18" t="s">
        <v>5847</v>
      </c>
      <c r="E1309" s="18" t="s">
        <v>5128</v>
      </c>
      <c r="F1309" s="2" t="s">
        <v>5597</v>
      </c>
      <c r="G1309" s="2" t="s">
        <v>861</v>
      </c>
      <c r="H1309" s="14">
        <v>0.78</v>
      </c>
      <c r="I1309" s="2" t="s">
        <v>267</v>
      </c>
      <c r="J1309" s="2" t="s">
        <v>5144</v>
      </c>
      <c r="K1309" s="2" t="s">
        <v>5221</v>
      </c>
      <c r="L1309" s="2" t="s">
        <v>5221</v>
      </c>
      <c r="M1309" s="2" t="s">
        <v>5221</v>
      </c>
      <c r="N1309" s="2" t="s">
        <v>2317</v>
      </c>
      <c r="O1309" s="14">
        <v>3400</v>
      </c>
      <c r="P1309" s="14">
        <v>92.59</v>
      </c>
      <c r="Q1309" s="14">
        <v>251.94</v>
      </c>
      <c r="R1309" s="14">
        <v>196.51</v>
      </c>
      <c r="S1309" s="2" t="s">
        <v>3653</v>
      </c>
      <c r="T1309" s="2">
        <v>1.01</v>
      </c>
      <c r="U1309" s="2">
        <v>61.9</v>
      </c>
      <c r="V1309" s="2">
        <v>57</v>
      </c>
      <c r="W1309" s="2" t="s">
        <v>7862</v>
      </c>
      <c r="X1309" s="2" t="s">
        <v>5405</v>
      </c>
      <c r="Y1309" s="2">
        <v>2652</v>
      </c>
      <c r="Z1309" s="19" t="str">
        <f>HYPERLINK("https://ssdweb.co/ssdweb/hd/Vision360.html?d=925290299&amp;zoomslide=1&amp;z=1925290299&amp;ISCONFIRM=0","VIDEO")</f>
        <v>VIDEO</v>
      </c>
      <c r="AA1309" s="19" t="str">
        <f>HYPERLINK("https://ssdweb.co/ssdweb/CERTH/1488252990.pdf","CERTI")</f>
        <v>CERTI</v>
      </c>
    </row>
    <row r="1310" spans="1:27" ht="15" x14ac:dyDescent="0.25">
      <c r="A1310" s="2">
        <v>1305</v>
      </c>
      <c r="B1310" s="39">
        <v>926270888</v>
      </c>
      <c r="C1310" s="28" t="str">
        <f>HYPERLINK("https://pld.live/RapDetail.aspx?STONELIST=926270888","DNA")</f>
        <v>DNA</v>
      </c>
      <c r="D1310" s="18" t="s">
        <v>5847</v>
      </c>
      <c r="E1310" s="18" t="s">
        <v>5128</v>
      </c>
      <c r="F1310" s="2" t="s">
        <v>7987</v>
      </c>
      <c r="G1310" s="2" t="s">
        <v>861</v>
      </c>
      <c r="H1310" s="14">
        <v>0.78</v>
      </c>
      <c r="I1310" s="2" t="s">
        <v>4761</v>
      </c>
      <c r="J1310" s="2" t="s">
        <v>3942</v>
      </c>
      <c r="K1310" s="2" t="s">
        <v>3390</v>
      </c>
      <c r="L1310" s="2" t="s">
        <v>5721</v>
      </c>
      <c r="M1310" s="2" t="s">
        <v>5721</v>
      </c>
      <c r="N1310" s="2" t="s">
        <v>2317</v>
      </c>
      <c r="O1310" s="14">
        <v>4200</v>
      </c>
      <c r="P1310" s="14">
        <v>96.98</v>
      </c>
      <c r="Q1310" s="14">
        <v>126.84</v>
      </c>
      <c r="R1310" s="14">
        <v>98.94</v>
      </c>
      <c r="S1310" s="2" t="s">
        <v>3793</v>
      </c>
      <c r="T1310" s="2">
        <v>1.01</v>
      </c>
      <c r="U1310" s="2">
        <v>62.5</v>
      </c>
      <c r="V1310" s="2">
        <v>56</v>
      </c>
      <c r="W1310" s="2" t="s">
        <v>7862</v>
      </c>
      <c r="X1310" s="2" t="s">
        <v>5405</v>
      </c>
      <c r="Y1310" s="2">
        <v>3276</v>
      </c>
      <c r="Z1310" s="19" t="str">
        <f>HYPERLINK("https://ssdweb.co/ssdweb/hd/Vision360.html?d=926270888&amp;zoomslide=1&amp;z=1926270888&amp;ISCONFIRM=0","VIDEO")</f>
        <v>VIDEO</v>
      </c>
      <c r="AA1310" s="19" t="str">
        <f>HYPERLINK("https://ssdweb.co/ssdweb/CERTH/642447896.pdf","CERTI")</f>
        <v>CERTI</v>
      </c>
    </row>
    <row r="1311" spans="1:27" ht="15" x14ac:dyDescent="0.25">
      <c r="A1311" s="2">
        <v>1306</v>
      </c>
      <c r="B1311" s="39">
        <v>926941119</v>
      </c>
      <c r="C1311" s="28" t="str">
        <f>HYPERLINK("https://pld.live/RapDetail.aspx?STONELIST=926941119","DNA")</f>
        <v>DNA</v>
      </c>
      <c r="D1311" s="18" t="s">
        <v>5847</v>
      </c>
      <c r="E1311" s="18" t="s">
        <v>5128</v>
      </c>
      <c r="F1311" s="2" t="s">
        <v>7987</v>
      </c>
      <c r="G1311" s="2" t="s">
        <v>861</v>
      </c>
      <c r="H1311" s="14">
        <v>0.77</v>
      </c>
      <c r="I1311" s="2" t="s">
        <v>267</v>
      </c>
      <c r="J1311" s="2" t="s">
        <v>3942</v>
      </c>
      <c r="K1311" s="2" t="s">
        <v>5221</v>
      </c>
      <c r="L1311" s="2" t="s">
        <v>5221</v>
      </c>
      <c r="M1311" s="2" t="s">
        <v>5221</v>
      </c>
      <c r="N1311" s="2" t="s">
        <v>2317</v>
      </c>
      <c r="O1311" s="14">
        <v>4500</v>
      </c>
      <c r="P1311" s="14">
        <v>96.98</v>
      </c>
      <c r="Q1311" s="14">
        <v>135.9</v>
      </c>
      <c r="R1311" s="14">
        <v>104.64</v>
      </c>
      <c r="S1311" s="2" t="s">
        <v>3573</v>
      </c>
      <c r="T1311" s="2">
        <v>1.01</v>
      </c>
      <c r="U1311" s="2">
        <v>62</v>
      </c>
      <c r="V1311" s="2">
        <v>57</v>
      </c>
      <c r="W1311" s="2" t="s">
        <v>7862</v>
      </c>
      <c r="X1311" s="2" t="s">
        <v>5405</v>
      </c>
      <c r="Y1311" s="2">
        <v>3465</v>
      </c>
      <c r="Z1311" s="19" t="str">
        <f>HYPERLINK("https://ssdweb.co/ssdweb/hd/Vision360.html?d=926941119&amp;zoomslide=1&amp;z=1926941119&amp;ISCONFIRM=0","VIDEO")</f>
        <v>VIDEO</v>
      </c>
      <c r="AA1311" s="19" t="str">
        <f>HYPERLINK("https://ssdweb.co/ssdweb/CERTH/666436028.pdf","CERTI")</f>
        <v>CERTI</v>
      </c>
    </row>
    <row r="1312" spans="1:27" ht="15" x14ac:dyDescent="0.25">
      <c r="A1312" s="2">
        <v>1307</v>
      </c>
      <c r="B1312" s="39">
        <v>941320144</v>
      </c>
      <c r="C1312" s="28" t="str">
        <f>HYPERLINK("https://pld.live/RapDetail.aspx?STONELIST=941320144","DNA")</f>
        <v>DNA</v>
      </c>
      <c r="D1312" s="18" t="s">
        <v>5847</v>
      </c>
      <c r="E1312" s="18" t="s">
        <v>5128</v>
      </c>
      <c r="F1312" s="2" t="s">
        <v>7987</v>
      </c>
      <c r="G1312" s="2" t="s">
        <v>861</v>
      </c>
      <c r="H1312" s="14">
        <v>0.77</v>
      </c>
      <c r="I1312" s="2" t="s">
        <v>267</v>
      </c>
      <c r="J1312" s="2" t="s">
        <v>3942</v>
      </c>
      <c r="K1312" s="2" t="s">
        <v>5221</v>
      </c>
      <c r="L1312" s="2" t="s">
        <v>5221</v>
      </c>
      <c r="M1312" s="2" t="s">
        <v>5221</v>
      </c>
      <c r="N1312" s="2" t="s">
        <v>2317</v>
      </c>
      <c r="O1312" s="14">
        <v>4500</v>
      </c>
      <c r="P1312" s="14">
        <v>96.93</v>
      </c>
      <c r="Q1312" s="14">
        <v>138.15</v>
      </c>
      <c r="R1312" s="14">
        <v>106.38</v>
      </c>
      <c r="S1312" s="2" t="s">
        <v>6068</v>
      </c>
      <c r="T1312" s="2">
        <v>1.01</v>
      </c>
      <c r="U1312" s="2">
        <v>62.8</v>
      </c>
      <c r="V1312" s="2">
        <v>58</v>
      </c>
      <c r="W1312" s="2" t="s">
        <v>7862</v>
      </c>
      <c r="X1312" s="2" t="s">
        <v>5405</v>
      </c>
      <c r="Y1312" s="2">
        <v>3465</v>
      </c>
      <c r="Z1312" s="19" t="str">
        <f>HYPERLINK("https://ssdweb.co/ssdweb/hd/Vision360.html?d=941320144&amp;zoomslide=1&amp;z=1941320144&amp;ISCONFIRM=0","VIDEO")</f>
        <v>VIDEO</v>
      </c>
      <c r="AA1312" s="19" t="str">
        <f>HYPERLINK("https://ssdweb.co/ssdweb/CERTH/681569577.pdf","CERTI")</f>
        <v>CERTI</v>
      </c>
    </row>
    <row r="1313" spans="1:27" ht="15" x14ac:dyDescent="0.25">
      <c r="A1313" s="2">
        <v>1308</v>
      </c>
      <c r="B1313" s="39">
        <v>941040190</v>
      </c>
      <c r="C1313" s="28" t="str">
        <f>HYPERLINK("https://pld.live/RapDetail.aspx?STONELIST=941040190","DNA")</f>
        <v>DNA</v>
      </c>
      <c r="D1313" s="18" t="s">
        <v>5847</v>
      </c>
      <c r="E1313" s="18" t="s">
        <v>5128</v>
      </c>
      <c r="F1313" s="2" t="s">
        <v>7987</v>
      </c>
      <c r="G1313" s="2" t="s">
        <v>861</v>
      </c>
      <c r="H1313" s="14">
        <v>0.77</v>
      </c>
      <c r="I1313" s="2" t="s">
        <v>267</v>
      </c>
      <c r="J1313" s="2" t="s">
        <v>3942</v>
      </c>
      <c r="K1313" s="2" t="s">
        <v>5221</v>
      </c>
      <c r="L1313" s="2" t="s">
        <v>5221</v>
      </c>
      <c r="M1313" s="2" t="s">
        <v>5221</v>
      </c>
      <c r="N1313" s="2" t="s">
        <v>2317</v>
      </c>
      <c r="O1313" s="14">
        <v>4500</v>
      </c>
      <c r="P1313" s="14">
        <v>96.93</v>
      </c>
      <c r="Q1313" s="14">
        <v>138.15</v>
      </c>
      <c r="R1313" s="14">
        <v>106.38</v>
      </c>
      <c r="S1313" s="2" t="s">
        <v>3694</v>
      </c>
      <c r="T1313" s="2">
        <v>1.01</v>
      </c>
      <c r="U1313" s="2">
        <v>62</v>
      </c>
      <c r="V1313" s="2">
        <v>58</v>
      </c>
      <c r="W1313" s="2" t="s">
        <v>7862</v>
      </c>
      <c r="X1313" s="2" t="s">
        <v>5405</v>
      </c>
      <c r="Y1313" s="2">
        <v>3465</v>
      </c>
      <c r="Z1313" s="19" t="str">
        <f>HYPERLINK("https://ssdweb.co/ssdweb/hd/Vision360.html?d=941040190&amp;zoomslide=1&amp;z=1941040190&amp;ISCONFIRM=0","VIDEO")</f>
        <v>VIDEO</v>
      </c>
      <c r="AA1313" s="19" t="str">
        <f>HYPERLINK("https://ssdweb.co/ssdweb/CERTH/670484186.pdf","CERTI")</f>
        <v>CERTI</v>
      </c>
    </row>
    <row r="1314" spans="1:27" ht="15" x14ac:dyDescent="0.25">
      <c r="A1314" s="2">
        <v>1309</v>
      </c>
      <c r="B1314" s="39">
        <v>927051496</v>
      </c>
      <c r="C1314" s="28" t="str">
        <f>HYPERLINK("https://pld.live/RapDetail.aspx?STONELIST=927051496","DNA")</f>
        <v>DNA</v>
      </c>
      <c r="D1314" s="18" t="s">
        <v>5847</v>
      </c>
      <c r="E1314" s="18" t="s">
        <v>5128</v>
      </c>
      <c r="F1314" s="2" t="s">
        <v>7987</v>
      </c>
      <c r="G1314" s="2" t="s">
        <v>861</v>
      </c>
      <c r="H1314" s="14">
        <v>0.77</v>
      </c>
      <c r="I1314" s="2" t="s">
        <v>267</v>
      </c>
      <c r="J1314" s="2" t="s">
        <v>3942</v>
      </c>
      <c r="K1314" s="2" t="s">
        <v>5221</v>
      </c>
      <c r="L1314" s="2" t="s">
        <v>5221</v>
      </c>
      <c r="M1314" s="2" t="s">
        <v>5221</v>
      </c>
      <c r="N1314" s="2" t="s">
        <v>2317</v>
      </c>
      <c r="O1314" s="14">
        <v>4500</v>
      </c>
      <c r="P1314" s="14">
        <v>96.98</v>
      </c>
      <c r="Q1314" s="14">
        <v>135.9</v>
      </c>
      <c r="R1314" s="14">
        <v>104.64</v>
      </c>
      <c r="S1314" s="2" t="s">
        <v>3584</v>
      </c>
      <c r="T1314" s="2">
        <v>1.01</v>
      </c>
      <c r="U1314" s="2">
        <v>63.1</v>
      </c>
      <c r="V1314" s="2">
        <v>58</v>
      </c>
      <c r="W1314" s="2" t="s">
        <v>7862</v>
      </c>
      <c r="X1314" s="2" t="s">
        <v>5405</v>
      </c>
      <c r="Y1314" s="2">
        <v>3465</v>
      </c>
      <c r="Z1314" s="19" t="str">
        <f>HYPERLINK("https://ssdweb.co/ssdweb/hd/Vision360.html?d=927051496&amp;zoomslide=1&amp;z=1927051496&amp;ISCONFIRM=0","VIDEO")</f>
        <v>VIDEO</v>
      </c>
      <c r="AA1314" s="19" t="str">
        <f>HYPERLINK("https://ssdweb.co/ssdweb/CERTH/666436044.pdf","CERTI")</f>
        <v>CERTI</v>
      </c>
    </row>
    <row r="1315" spans="1:27" ht="15" x14ac:dyDescent="0.25">
      <c r="A1315" s="2">
        <v>1310</v>
      </c>
      <c r="B1315" s="39">
        <v>941070974</v>
      </c>
      <c r="C1315" s="28" t="str">
        <f>HYPERLINK("https://pld.live/RapDetail.aspx?STONELIST=941070974","DNA")</f>
        <v>DNA</v>
      </c>
      <c r="D1315" s="18" t="s">
        <v>5847</v>
      </c>
      <c r="E1315" s="18" t="s">
        <v>5128</v>
      </c>
      <c r="F1315" s="2" t="s">
        <v>7987</v>
      </c>
      <c r="G1315" s="2" t="s">
        <v>861</v>
      </c>
      <c r="H1315" s="14">
        <v>0.77</v>
      </c>
      <c r="I1315" s="2" t="s">
        <v>267</v>
      </c>
      <c r="J1315" s="2" t="s">
        <v>3942</v>
      </c>
      <c r="K1315" s="2" t="s">
        <v>5221</v>
      </c>
      <c r="L1315" s="2" t="s">
        <v>5221</v>
      </c>
      <c r="M1315" s="2" t="s">
        <v>5221</v>
      </c>
      <c r="N1315" s="2" t="s">
        <v>2317</v>
      </c>
      <c r="O1315" s="14">
        <v>4500</v>
      </c>
      <c r="P1315" s="14">
        <v>96.93</v>
      </c>
      <c r="Q1315" s="14">
        <v>138.15</v>
      </c>
      <c r="R1315" s="14">
        <v>106.38</v>
      </c>
      <c r="S1315" s="2" t="s">
        <v>1600</v>
      </c>
      <c r="T1315" s="2">
        <v>1.01</v>
      </c>
      <c r="U1315" s="2">
        <v>62.7</v>
      </c>
      <c r="V1315" s="2">
        <v>56</v>
      </c>
      <c r="W1315" s="2" t="s">
        <v>7862</v>
      </c>
      <c r="X1315" s="2" t="s">
        <v>5405</v>
      </c>
      <c r="Y1315" s="2">
        <v>3465</v>
      </c>
      <c r="Z1315" s="19" t="str">
        <f>HYPERLINK("https://ssdweb.co/ssdweb/hd/Vision360.html?d=941070974&amp;zoomslide=1&amp;z=1941070974&amp;ISCONFIRM=0","VIDEO")</f>
        <v>VIDEO</v>
      </c>
      <c r="AA1315" s="19" t="str">
        <f>HYPERLINK("https://ssdweb.co/ssdweb/CERTH/675504550.pdf","CERTI")</f>
        <v>CERTI</v>
      </c>
    </row>
    <row r="1316" spans="1:27" ht="15" x14ac:dyDescent="0.25">
      <c r="A1316" s="2">
        <v>1311</v>
      </c>
      <c r="B1316" s="39">
        <v>926941094</v>
      </c>
      <c r="C1316" s="28" t="str">
        <f>HYPERLINK("https://pld.live/RapDetail.aspx?STONELIST=926941094","DNA")</f>
        <v>DNA</v>
      </c>
      <c r="D1316" s="18" t="s">
        <v>5847</v>
      </c>
      <c r="E1316" s="18" t="s">
        <v>5128</v>
      </c>
      <c r="F1316" s="2" t="s">
        <v>7987</v>
      </c>
      <c r="G1316" s="2" t="s">
        <v>861</v>
      </c>
      <c r="H1316" s="14">
        <v>0.77</v>
      </c>
      <c r="I1316" s="2" t="s">
        <v>267</v>
      </c>
      <c r="J1316" s="2" t="s">
        <v>13</v>
      </c>
      <c r="K1316" s="2" t="s">
        <v>3390</v>
      </c>
      <c r="L1316" s="2" t="s">
        <v>5221</v>
      </c>
      <c r="M1316" s="2" t="s">
        <v>5721</v>
      </c>
      <c r="N1316" s="2" t="s">
        <v>2317</v>
      </c>
      <c r="O1316" s="14">
        <v>3900</v>
      </c>
      <c r="P1316" s="14">
        <v>96.77</v>
      </c>
      <c r="Q1316" s="14">
        <v>125.97</v>
      </c>
      <c r="R1316" s="14">
        <v>97</v>
      </c>
      <c r="S1316" s="2" t="s">
        <v>3186</v>
      </c>
      <c r="T1316" s="2">
        <v>1.01</v>
      </c>
      <c r="U1316" s="2">
        <v>61.2</v>
      </c>
      <c r="V1316" s="2">
        <v>59</v>
      </c>
      <c r="W1316" s="2" t="s">
        <v>7862</v>
      </c>
      <c r="X1316" s="2" t="s">
        <v>5405</v>
      </c>
      <c r="Y1316" s="2">
        <v>3003</v>
      </c>
      <c r="Z1316" s="19" t="str">
        <f>HYPERLINK("https://ssdweb.co/ssdweb/hd/Vision360.html?d=926941094&amp;zoomslide=1&amp;z=1926941094&amp;ISCONFIRM=0","VIDEO")</f>
        <v>VIDEO</v>
      </c>
      <c r="AA1316" s="19" t="str">
        <f>HYPERLINK("https://ssdweb.co/ssdweb/CERTH/666436027.pdf","CERTI")</f>
        <v>CERTI</v>
      </c>
    </row>
    <row r="1317" spans="1:27" ht="15" x14ac:dyDescent="0.25">
      <c r="A1317" s="2">
        <v>1312</v>
      </c>
      <c r="B1317" s="39">
        <v>927051767</v>
      </c>
      <c r="C1317" s="28" t="str">
        <f>HYPERLINK("https://pld.live/RapDetail.aspx?STONELIST=927051767","DNA")</f>
        <v>DNA</v>
      </c>
      <c r="D1317" s="18" t="s">
        <v>5847</v>
      </c>
      <c r="E1317" s="18" t="s">
        <v>5128</v>
      </c>
      <c r="F1317" s="2" t="s">
        <v>7987</v>
      </c>
      <c r="G1317" s="2" t="s">
        <v>861</v>
      </c>
      <c r="H1317" s="14">
        <v>0.77</v>
      </c>
      <c r="I1317" s="2" t="s">
        <v>267</v>
      </c>
      <c r="J1317" s="2" t="s">
        <v>13</v>
      </c>
      <c r="K1317" s="2" t="s">
        <v>3390</v>
      </c>
      <c r="L1317" s="2" t="s">
        <v>5721</v>
      </c>
      <c r="M1317" s="2" t="s">
        <v>5221</v>
      </c>
      <c r="N1317" s="2" t="s">
        <v>2317</v>
      </c>
      <c r="O1317" s="14">
        <v>3900</v>
      </c>
      <c r="P1317" s="14">
        <v>96.72</v>
      </c>
      <c r="Q1317" s="14">
        <v>127.92</v>
      </c>
      <c r="R1317" s="14">
        <v>98.5</v>
      </c>
      <c r="S1317" s="2" t="s">
        <v>4644</v>
      </c>
      <c r="T1317" s="2">
        <v>1.01</v>
      </c>
      <c r="U1317" s="2">
        <v>60.4</v>
      </c>
      <c r="V1317" s="2">
        <v>59</v>
      </c>
      <c r="W1317" s="2" t="s">
        <v>7862</v>
      </c>
      <c r="X1317" s="2" t="s">
        <v>5405</v>
      </c>
      <c r="Y1317" s="2">
        <v>3003</v>
      </c>
      <c r="Z1317" s="19" t="str">
        <f>HYPERLINK("https://ssdweb.co/ssdweb/hd/Vision360.html?d=927051767&amp;zoomslide=1&amp;z=1927051767&amp;ISCONFIRM=0","VIDEO")</f>
        <v>VIDEO</v>
      </c>
      <c r="AA1317" s="19" t="str">
        <f>HYPERLINK("https://ssdweb.co/ssdweb/CERTH/666436034.pdf","CERTI")</f>
        <v>CERTI</v>
      </c>
    </row>
    <row r="1318" spans="1:27" ht="15" x14ac:dyDescent="0.25">
      <c r="A1318" s="2">
        <v>1313</v>
      </c>
      <c r="B1318" s="39">
        <v>926291525</v>
      </c>
      <c r="C1318" s="28" t="str">
        <f>HYPERLINK("https://pld.live/RapDetail.aspx?STONELIST=926291525","DNA")</f>
        <v>DNA</v>
      </c>
      <c r="D1318" s="18" t="s">
        <v>5847</v>
      </c>
      <c r="E1318" s="18" t="s">
        <v>5128</v>
      </c>
      <c r="F1318" s="2" t="s">
        <v>7987</v>
      </c>
      <c r="G1318" s="2" t="s">
        <v>861</v>
      </c>
      <c r="H1318" s="14">
        <v>0.77</v>
      </c>
      <c r="I1318" s="2" t="s">
        <v>267</v>
      </c>
      <c r="J1318" s="2" t="s">
        <v>13</v>
      </c>
      <c r="K1318" s="2" t="s">
        <v>3390</v>
      </c>
      <c r="L1318" s="2" t="s">
        <v>5721</v>
      </c>
      <c r="M1318" s="2" t="s">
        <v>5721</v>
      </c>
      <c r="N1318" s="2" t="s">
        <v>2317</v>
      </c>
      <c r="O1318" s="14">
        <v>3900</v>
      </c>
      <c r="P1318" s="14">
        <v>96.82</v>
      </c>
      <c r="Q1318" s="14">
        <v>124.02</v>
      </c>
      <c r="R1318" s="14">
        <v>95.5</v>
      </c>
      <c r="S1318" s="2" t="s">
        <v>2612</v>
      </c>
      <c r="T1318" s="2">
        <v>1.01</v>
      </c>
      <c r="U1318" s="2">
        <v>62.2</v>
      </c>
      <c r="V1318" s="2">
        <v>57</v>
      </c>
      <c r="W1318" s="2" t="s">
        <v>7862</v>
      </c>
      <c r="X1318" s="2" t="s">
        <v>5405</v>
      </c>
      <c r="Y1318" s="2">
        <v>3003</v>
      </c>
      <c r="Z1318" s="19" t="str">
        <f>HYPERLINK("https://ssdweb.co/ssdweb/hd/Vision360.html?d=926291525&amp;zoomslide=1&amp;z=1926291525&amp;ISCONFIRM=0","VIDEO")</f>
        <v>VIDEO</v>
      </c>
      <c r="AA1318" s="19" t="str">
        <f>HYPERLINK("https://ssdweb.co/ssdweb/CERTH/642447890.pdf","CERTI")</f>
        <v>CERTI</v>
      </c>
    </row>
    <row r="1319" spans="1:27" ht="15" x14ac:dyDescent="0.25">
      <c r="A1319" s="2">
        <v>1314</v>
      </c>
      <c r="B1319" s="39">
        <v>941021007</v>
      </c>
      <c r="C1319" s="28" t="str">
        <f>HYPERLINK("https://pld.live/RapDetail.aspx?STONELIST=941021007","DNA")</f>
        <v>DNA</v>
      </c>
      <c r="D1319" s="18" t="s">
        <v>5847</v>
      </c>
      <c r="E1319" s="18" t="s">
        <v>5128</v>
      </c>
      <c r="F1319" s="2" t="s">
        <v>7987</v>
      </c>
      <c r="G1319" s="2" t="s">
        <v>861</v>
      </c>
      <c r="H1319" s="14">
        <v>0.77</v>
      </c>
      <c r="I1319" s="2" t="s">
        <v>267</v>
      </c>
      <c r="J1319" s="2" t="s">
        <v>13</v>
      </c>
      <c r="K1319" s="2" t="s">
        <v>5221</v>
      </c>
      <c r="L1319" s="2" t="s">
        <v>5221</v>
      </c>
      <c r="M1319" s="2" t="s">
        <v>5221</v>
      </c>
      <c r="N1319" s="2" t="s">
        <v>2317</v>
      </c>
      <c r="O1319" s="14">
        <v>3900</v>
      </c>
      <c r="P1319" s="14">
        <v>96.62</v>
      </c>
      <c r="Q1319" s="14">
        <v>131.82</v>
      </c>
      <c r="R1319" s="14">
        <v>101.5</v>
      </c>
      <c r="S1319" s="2" t="s">
        <v>1194</v>
      </c>
      <c r="T1319" s="2">
        <v>1</v>
      </c>
      <c r="U1319" s="2">
        <v>61.6</v>
      </c>
      <c r="V1319" s="2">
        <v>58</v>
      </c>
      <c r="W1319" s="2" t="s">
        <v>7862</v>
      </c>
      <c r="X1319" s="2" t="s">
        <v>5405</v>
      </c>
      <c r="Y1319" s="2">
        <v>3003</v>
      </c>
      <c r="Z1319" s="19" t="str">
        <f>HYPERLINK("https://ssdweb.co/ssdweb/hd/Vision360.html?d=941021007&amp;zoomslide=1&amp;z=1941021007&amp;ISCONFIRM=0","VIDEO")</f>
        <v>VIDEO</v>
      </c>
      <c r="AA1319" s="19" t="str">
        <f>HYPERLINK("https://ssdweb.co/ssdweb/CERTH/670484252.pdf","CERTI")</f>
        <v>CERTI</v>
      </c>
    </row>
    <row r="1320" spans="1:27" ht="15" x14ac:dyDescent="0.25">
      <c r="A1320" s="2">
        <v>1315</v>
      </c>
      <c r="B1320" s="39">
        <v>941020685</v>
      </c>
      <c r="C1320" s="28" t="str">
        <f>HYPERLINK("https://pld.live/RapDetail.aspx?STONELIST=941020685","DNA")</f>
        <v>DNA</v>
      </c>
      <c r="D1320" s="18" t="s">
        <v>5847</v>
      </c>
      <c r="E1320" s="18" t="s">
        <v>5128</v>
      </c>
      <c r="F1320" s="2" t="s">
        <v>7987</v>
      </c>
      <c r="G1320" s="2" t="s">
        <v>861</v>
      </c>
      <c r="H1320" s="14">
        <v>0.77</v>
      </c>
      <c r="I1320" s="2" t="s">
        <v>267</v>
      </c>
      <c r="J1320" s="2" t="s">
        <v>13</v>
      </c>
      <c r="K1320" s="2" t="s">
        <v>5221</v>
      </c>
      <c r="L1320" s="2" t="s">
        <v>5221</v>
      </c>
      <c r="M1320" s="2" t="s">
        <v>5221</v>
      </c>
      <c r="N1320" s="2" t="s">
        <v>2317</v>
      </c>
      <c r="O1320" s="14">
        <v>3900</v>
      </c>
      <c r="P1320" s="14">
        <v>96.62</v>
      </c>
      <c r="Q1320" s="14">
        <v>131.82</v>
      </c>
      <c r="R1320" s="14">
        <v>101.5</v>
      </c>
      <c r="S1320" s="2" t="s">
        <v>5653</v>
      </c>
      <c r="T1320" s="2">
        <v>1.01</v>
      </c>
      <c r="U1320" s="2">
        <v>62.7</v>
      </c>
      <c r="V1320" s="2">
        <v>57</v>
      </c>
      <c r="W1320" s="2" t="s">
        <v>7862</v>
      </c>
      <c r="X1320" s="2" t="s">
        <v>5405</v>
      </c>
      <c r="Y1320" s="2">
        <v>3003</v>
      </c>
      <c r="Z1320" s="19" t="str">
        <f>HYPERLINK("https://ssdweb.co/ssdweb/hd/Vision360.html?d=941020685&amp;zoomslide=1&amp;z=1941020685&amp;ISCONFIRM=0","VIDEO")</f>
        <v>VIDEO</v>
      </c>
      <c r="AA1320" s="19" t="str">
        <f>HYPERLINK("https://ssdweb.co/ssdweb/CERTH/670484251.pdf","CERTI")</f>
        <v>CERTI</v>
      </c>
    </row>
    <row r="1321" spans="1:27" ht="15" x14ac:dyDescent="0.25">
      <c r="A1321" s="2">
        <v>1316</v>
      </c>
      <c r="B1321" s="39">
        <v>926111378</v>
      </c>
      <c r="C1321" s="28" t="str">
        <f>HYPERLINK("https://pld.live/RapDetail.aspx?STONELIST=926111378","DNA")</f>
        <v>DNA</v>
      </c>
      <c r="D1321" s="18" t="s">
        <v>5847</v>
      </c>
      <c r="E1321" s="18" t="s">
        <v>5128</v>
      </c>
      <c r="F1321" s="2" t="s">
        <v>5597</v>
      </c>
      <c r="G1321" s="2" t="s">
        <v>861</v>
      </c>
      <c r="H1321" s="14">
        <v>0.77</v>
      </c>
      <c r="I1321" s="2" t="s">
        <v>4761</v>
      </c>
      <c r="J1321" s="2" t="s">
        <v>5144</v>
      </c>
      <c r="K1321" s="2" t="s">
        <v>5221</v>
      </c>
      <c r="L1321" s="2" t="s">
        <v>5221</v>
      </c>
      <c r="M1321" s="2" t="s">
        <v>5221</v>
      </c>
      <c r="N1321" s="2" t="s">
        <v>2317</v>
      </c>
      <c r="O1321" s="14">
        <v>3200</v>
      </c>
      <c r="P1321" s="14">
        <v>92.22</v>
      </c>
      <c r="Q1321" s="14">
        <v>248.96</v>
      </c>
      <c r="R1321" s="14">
        <v>191.7</v>
      </c>
      <c r="S1321" s="2" t="s">
        <v>1626</v>
      </c>
      <c r="T1321" s="2">
        <v>1.01</v>
      </c>
      <c r="U1321" s="2">
        <v>62.5</v>
      </c>
      <c r="V1321" s="2">
        <v>57</v>
      </c>
      <c r="W1321" s="2" t="s">
        <v>7862</v>
      </c>
      <c r="X1321" s="2" t="s">
        <v>5405</v>
      </c>
      <c r="Y1321" s="2">
        <v>2464</v>
      </c>
      <c r="Z1321" s="19" t="str">
        <f>HYPERLINK("https://ssdweb.co/ssdweb/hd/Vision360.html?d=926111378&amp;zoomslide=1&amp;z=1926111378&amp;ISCONFIRM=0","VIDEO")</f>
        <v>VIDEO</v>
      </c>
      <c r="AA1321" s="19" t="str">
        <f>HYPERLINK("https://ssdweb.co/ssdweb/CERTH/2496494280.pdf","CERTI")</f>
        <v>CERTI</v>
      </c>
    </row>
    <row r="1322" spans="1:27" ht="15" x14ac:dyDescent="0.25">
      <c r="A1322" s="2">
        <v>1317</v>
      </c>
      <c r="B1322" s="39">
        <v>941350948</v>
      </c>
      <c r="C1322" s="28" t="str">
        <f>HYPERLINK("https://pld.live/RapDetail.aspx?STONELIST=941350948","DNA")</f>
        <v>DNA</v>
      </c>
      <c r="D1322" s="18" t="s">
        <v>5847</v>
      </c>
      <c r="E1322" s="18" t="s">
        <v>5128</v>
      </c>
      <c r="F1322" s="2" t="s">
        <v>7987</v>
      </c>
      <c r="G1322" s="2" t="s">
        <v>861</v>
      </c>
      <c r="H1322" s="14">
        <v>0.76</v>
      </c>
      <c r="I1322" s="2" t="s">
        <v>267</v>
      </c>
      <c r="J1322" s="2" t="s">
        <v>3942</v>
      </c>
      <c r="K1322" s="2" t="s">
        <v>3390</v>
      </c>
      <c r="L1322" s="2" t="s">
        <v>5221</v>
      </c>
      <c r="M1322" s="2" t="s">
        <v>5221</v>
      </c>
      <c r="N1322" s="2" t="s">
        <v>2317</v>
      </c>
      <c r="O1322" s="14">
        <v>4500</v>
      </c>
      <c r="P1322" s="14">
        <v>96.93</v>
      </c>
      <c r="Q1322" s="14">
        <v>138.15</v>
      </c>
      <c r="R1322" s="14">
        <v>104.99</v>
      </c>
      <c r="S1322" s="2" t="s">
        <v>5829</v>
      </c>
      <c r="T1322" s="2">
        <v>1.01</v>
      </c>
      <c r="U1322" s="2">
        <v>62.5</v>
      </c>
      <c r="V1322" s="2">
        <v>56</v>
      </c>
      <c r="W1322" s="2" t="s">
        <v>7862</v>
      </c>
      <c r="X1322" s="2" t="s">
        <v>5405</v>
      </c>
      <c r="Y1322" s="2">
        <v>3420</v>
      </c>
      <c r="Z1322" s="19" t="str">
        <f>HYPERLINK("https://ssdweb.co/ssdweb/hd/Vision360.html?d=941350948&amp;zoomslide=1&amp;z=1941350948&amp;ISCONFIRM=0","VIDEO")</f>
        <v>VIDEO</v>
      </c>
      <c r="AA1322" s="19" t="str">
        <f>HYPERLINK("https://ssdweb.co/ssdweb/CERTH/689587183.pdf","CERTI")</f>
        <v>CERTI</v>
      </c>
    </row>
    <row r="1323" spans="1:27" ht="15" x14ac:dyDescent="0.25">
      <c r="A1323" s="2">
        <v>1318</v>
      </c>
      <c r="B1323" s="39">
        <v>941320778</v>
      </c>
      <c r="C1323" s="28" t="str">
        <f>HYPERLINK("https://pld.live/RapDetail.aspx?STONELIST=941320778","DNA")</f>
        <v>DNA</v>
      </c>
      <c r="D1323" s="18" t="s">
        <v>5847</v>
      </c>
      <c r="E1323" s="18" t="s">
        <v>5128</v>
      </c>
      <c r="F1323" s="2" t="s">
        <v>7987</v>
      </c>
      <c r="G1323" s="2" t="s">
        <v>861</v>
      </c>
      <c r="H1323" s="14">
        <v>0.76</v>
      </c>
      <c r="I1323" s="2" t="s">
        <v>267</v>
      </c>
      <c r="J1323" s="2" t="s">
        <v>13</v>
      </c>
      <c r="K1323" s="2" t="s">
        <v>3390</v>
      </c>
      <c r="L1323" s="2" t="s">
        <v>5221</v>
      </c>
      <c r="M1323" s="2" t="s">
        <v>5221</v>
      </c>
      <c r="N1323" s="2" t="s">
        <v>2317</v>
      </c>
      <c r="O1323" s="14">
        <v>3900</v>
      </c>
      <c r="P1323" s="14">
        <v>96.62</v>
      </c>
      <c r="Q1323" s="14">
        <v>131.82</v>
      </c>
      <c r="R1323" s="14">
        <v>100.18</v>
      </c>
      <c r="S1323" s="2" t="s">
        <v>3796</v>
      </c>
      <c r="T1323" s="2">
        <v>1.01</v>
      </c>
      <c r="U1323" s="2">
        <v>62.4</v>
      </c>
      <c r="V1323" s="2">
        <v>56</v>
      </c>
      <c r="W1323" s="2" t="s">
        <v>7862</v>
      </c>
      <c r="X1323" s="2" t="s">
        <v>5405</v>
      </c>
      <c r="Y1323" s="2">
        <v>2964</v>
      </c>
      <c r="Z1323" s="19" t="str">
        <f>HYPERLINK("https://ssdweb.co/ssdweb/hd/Vision360.html?d=941320778&amp;zoomslide=1&amp;z=1941320778&amp;ISCONFIRM=0","VIDEO")</f>
        <v>VIDEO</v>
      </c>
      <c r="AA1323" s="19" t="str">
        <f>HYPERLINK("https://ssdweb.co/ssdweb/CERTH/689587246.pdf","CERTI")</f>
        <v>CERTI</v>
      </c>
    </row>
    <row r="1324" spans="1:27" ht="15" x14ac:dyDescent="0.25">
      <c r="A1324" s="2">
        <v>1319</v>
      </c>
      <c r="B1324" s="39">
        <v>941280066</v>
      </c>
      <c r="C1324" s="28" t="str">
        <f>HYPERLINK("https://pld.live/RapDetail.aspx?STONELIST=941280066","DNA")</f>
        <v>DNA</v>
      </c>
      <c r="D1324" s="18" t="s">
        <v>5847</v>
      </c>
      <c r="E1324" s="18" t="s">
        <v>2186</v>
      </c>
      <c r="F1324" s="2" t="s">
        <v>7987</v>
      </c>
      <c r="G1324" s="2" t="s">
        <v>861</v>
      </c>
      <c r="H1324" s="14">
        <v>0.76</v>
      </c>
      <c r="I1324" s="2" t="s">
        <v>267</v>
      </c>
      <c r="J1324" s="2" t="s">
        <v>13</v>
      </c>
      <c r="K1324" s="2" t="s">
        <v>5221</v>
      </c>
      <c r="L1324" s="2" t="s">
        <v>5221</v>
      </c>
      <c r="M1324" s="2" t="s">
        <v>5221</v>
      </c>
      <c r="N1324" s="2" t="s">
        <v>2317</v>
      </c>
      <c r="O1324" s="14">
        <v>3900</v>
      </c>
      <c r="P1324" s="14">
        <v>96.62</v>
      </c>
      <c r="Q1324" s="14">
        <v>131.82</v>
      </c>
      <c r="R1324" s="14">
        <v>100.18</v>
      </c>
      <c r="S1324" s="2" t="s">
        <v>8107</v>
      </c>
      <c r="T1324" s="2">
        <v>1</v>
      </c>
      <c r="U1324" s="2">
        <v>60</v>
      </c>
      <c r="V1324" s="2">
        <v>59</v>
      </c>
      <c r="W1324" s="2" t="s">
        <v>7862</v>
      </c>
      <c r="X1324" s="2" t="s">
        <v>5405</v>
      </c>
      <c r="Y1324" s="2">
        <v>2964</v>
      </c>
      <c r="Z1324" s="19" t="str">
        <f>HYPERLINK("https://ssdweb.co/ssdweb/hd/Vision360.html?d=941280066&amp;zoomslide=1&amp;z=1941280066&amp;ISCONFIRM=0","VIDEO")</f>
        <v>VIDEO</v>
      </c>
      <c r="AA1324" s="19" t="str">
        <f>HYPERLINK("https://ssdweb.co/ssdweb/CERTH/684505043.pdf","CERTI")</f>
        <v>CERTI</v>
      </c>
    </row>
    <row r="1325" spans="1:27" ht="15" x14ac:dyDescent="0.25">
      <c r="A1325" s="2">
        <v>1320</v>
      </c>
      <c r="B1325" s="39">
        <v>926941134</v>
      </c>
      <c r="C1325" s="28" t="str">
        <f>HYPERLINK("https://pld.live/RapDetail.aspx?STONELIST=926941134","DNA")</f>
        <v>DNA</v>
      </c>
      <c r="D1325" s="18" t="s">
        <v>5847</v>
      </c>
      <c r="E1325" s="18" t="s">
        <v>5128</v>
      </c>
      <c r="F1325" s="2" t="s">
        <v>7987</v>
      </c>
      <c r="G1325" s="2" t="s">
        <v>861</v>
      </c>
      <c r="H1325" s="14">
        <v>0.76</v>
      </c>
      <c r="I1325" s="2" t="s">
        <v>267</v>
      </c>
      <c r="J1325" s="2" t="s">
        <v>13</v>
      </c>
      <c r="K1325" s="2" t="s">
        <v>5221</v>
      </c>
      <c r="L1325" s="2" t="s">
        <v>5221</v>
      </c>
      <c r="M1325" s="2" t="s">
        <v>5721</v>
      </c>
      <c r="N1325" s="2" t="s">
        <v>2317</v>
      </c>
      <c r="O1325" s="14">
        <v>3900</v>
      </c>
      <c r="P1325" s="14">
        <v>96.77</v>
      </c>
      <c r="Q1325" s="14">
        <v>125.97</v>
      </c>
      <c r="R1325" s="14">
        <v>95.74</v>
      </c>
      <c r="S1325" s="2" t="s">
        <v>4642</v>
      </c>
      <c r="T1325" s="2">
        <v>1.01</v>
      </c>
      <c r="U1325" s="2">
        <v>62.6</v>
      </c>
      <c r="V1325" s="2">
        <v>58</v>
      </c>
      <c r="W1325" s="2" t="s">
        <v>7862</v>
      </c>
      <c r="X1325" s="2" t="s">
        <v>5405</v>
      </c>
      <c r="Y1325" s="2">
        <v>2964</v>
      </c>
      <c r="Z1325" s="19" t="str">
        <f>HYPERLINK("https://ssdweb.co/ssdweb/hd/Vision360.html?d=926941134&amp;zoomslide=1&amp;z=1926941134&amp;ISCONFIRM=0","VIDEO")</f>
        <v>VIDEO</v>
      </c>
      <c r="AA1325" s="19" t="str">
        <f>HYPERLINK("https://ssdweb.co/ssdweb/CERTH/666436042.pdf","CERTI")</f>
        <v>CERTI</v>
      </c>
    </row>
    <row r="1326" spans="1:27" ht="15" x14ac:dyDescent="0.25">
      <c r="A1326" s="2">
        <v>1321</v>
      </c>
      <c r="B1326" s="39">
        <v>941400294</v>
      </c>
      <c r="C1326" s="28" t="str">
        <f>HYPERLINK("https://pld.live/RapDetail.aspx?STONELIST=941400294","DNA")</f>
        <v>DNA</v>
      </c>
      <c r="D1326" s="18" t="s">
        <v>5847</v>
      </c>
      <c r="E1326" s="18" t="s">
        <v>5128</v>
      </c>
      <c r="F1326" s="2" t="s">
        <v>7987</v>
      </c>
      <c r="G1326" s="2" t="s">
        <v>861</v>
      </c>
      <c r="H1326" s="14">
        <v>0.76</v>
      </c>
      <c r="I1326" s="2" t="s">
        <v>4699</v>
      </c>
      <c r="J1326" s="2" t="s">
        <v>13</v>
      </c>
      <c r="K1326" s="2" t="s">
        <v>3390</v>
      </c>
      <c r="L1326" s="2" t="s">
        <v>5221</v>
      </c>
      <c r="M1326" s="2" t="s">
        <v>5221</v>
      </c>
      <c r="N1326" s="2" t="s">
        <v>2317</v>
      </c>
      <c r="O1326" s="14">
        <v>3500</v>
      </c>
      <c r="P1326" s="14">
        <v>96.34</v>
      </c>
      <c r="Q1326" s="14">
        <v>128.1</v>
      </c>
      <c r="R1326" s="14">
        <v>97.36</v>
      </c>
      <c r="S1326" s="2" t="s">
        <v>2956</v>
      </c>
      <c r="T1326" s="2">
        <v>1</v>
      </c>
      <c r="U1326" s="2">
        <v>61.2</v>
      </c>
      <c r="V1326" s="2">
        <v>59</v>
      </c>
      <c r="W1326" s="2" t="s">
        <v>7862</v>
      </c>
      <c r="X1326" s="2" t="s">
        <v>5405</v>
      </c>
      <c r="Y1326" s="2">
        <v>2660</v>
      </c>
      <c r="Z1326" s="19" t="str">
        <f>HYPERLINK("https://ssdweb.co/ssdweb/hd/Vision360.html?d=941400294&amp;zoomslide=1&amp;z=1941400294&amp;ISCONFIRM=0","VIDEO")</f>
        <v>VIDEO</v>
      </c>
      <c r="AA1326" s="19" t="str">
        <f>HYPERLINK("https://ssdweb.co/ssdweb/CERTH/689587230.pdf","CERTI")</f>
        <v>CERTI</v>
      </c>
    </row>
    <row r="1327" spans="1:27" ht="15" x14ac:dyDescent="0.25">
      <c r="A1327" s="2">
        <v>1322</v>
      </c>
      <c r="B1327" s="39">
        <v>941320611</v>
      </c>
      <c r="C1327" s="28" t="str">
        <f>HYPERLINK("https://pld.live/RapDetail.aspx?STONELIST=941320611","DNA")</f>
        <v>DNA</v>
      </c>
      <c r="D1327" s="18" t="s">
        <v>5847</v>
      </c>
      <c r="E1327" s="18" t="s">
        <v>5128</v>
      </c>
      <c r="F1327" s="2" t="s">
        <v>7987</v>
      </c>
      <c r="G1327" s="2" t="s">
        <v>861</v>
      </c>
      <c r="H1327" s="14">
        <v>0.75</v>
      </c>
      <c r="I1327" s="2" t="s">
        <v>4761</v>
      </c>
      <c r="J1327" s="2" t="s">
        <v>3942</v>
      </c>
      <c r="K1327" s="2" t="s">
        <v>5221</v>
      </c>
      <c r="L1327" s="2" t="s">
        <v>5221</v>
      </c>
      <c r="M1327" s="2" t="s">
        <v>5721</v>
      </c>
      <c r="N1327" s="2" t="s">
        <v>2317</v>
      </c>
      <c r="O1327" s="14">
        <v>4200</v>
      </c>
      <c r="P1327" s="14">
        <v>96.83</v>
      </c>
      <c r="Q1327" s="14">
        <v>133.13999999999999</v>
      </c>
      <c r="R1327" s="14">
        <v>99.86</v>
      </c>
      <c r="S1327" s="2" t="s">
        <v>5997</v>
      </c>
      <c r="T1327" s="2">
        <v>1.01</v>
      </c>
      <c r="U1327" s="2">
        <v>62.9</v>
      </c>
      <c r="V1327" s="2">
        <v>58</v>
      </c>
      <c r="W1327" s="2" t="s">
        <v>7862</v>
      </c>
      <c r="X1327" s="2" t="s">
        <v>5405</v>
      </c>
      <c r="Y1327" s="2">
        <v>3150</v>
      </c>
      <c r="Z1327" s="19" t="str">
        <f>HYPERLINK("https://ssdweb.co/ssdweb/hd/Vision360.html?d=941320611&amp;zoomslide=1&amp;z=1941320611&amp;ISCONFIRM=0","VIDEO")</f>
        <v>VIDEO</v>
      </c>
      <c r="AA1327" s="19" t="str">
        <f>HYPERLINK("https://ssdweb.co/ssdweb/CERTH/685590575.pdf","CERTI")</f>
        <v>CERTI</v>
      </c>
    </row>
    <row r="1328" spans="1:27" ht="15" x14ac:dyDescent="0.25">
      <c r="A1328" s="2">
        <v>1323</v>
      </c>
      <c r="B1328" s="39">
        <v>821125818</v>
      </c>
      <c r="C1328" s="28" t="str">
        <f>HYPERLINK("https://pld.live/RapDetail.aspx?STONELIST=821125818","DNA")</f>
        <v>DNA</v>
      </c>
      <c r="D1328" s="18" t="s">
        <v>5847</v>
      </c>
      <c r="E1328" s="18" t="s">
        <v>5128</v>
      </c>
      <c r="F1328" s="2" t="s">
        <v>7987</v>
      </c>
      <c r="G1328" s="2" t="s">
        <v>861</v>
      </c>
      <c r="H1328" s="14">
        <v>0.74</v>
      </c>
      <c r="I1328" s="2" t="s">
        <v>267</v>
      </c>
      <c r="J1328" s="2" t="s">
        <v>3942</v>
      </c>
      <c r="K1328" s="2" t="s">
        <v>5221</v>
      </c>
      <c r="L1328" s="2" t="s">
        <v>5221</v>
      </c>
      <c r="M1328" s="2" t="s">
        <v>5221</v>
      </c>
      <c r="N1328" s="2" t="s">
        <v>2317</v>
      </c>
      <c r="O1328" s="14">
        <v>4500</v>
      </c>
      <c r="P1328" s="14">
        <v>97.11</v>
      </c>
      <c r="Q1328" s="14">
        <v>130.05000000000001</v>
      </c>
      <c r="R1328" s="14">
        <v>96.24</v>
      </c>
      <c r="S1328" s="2" t="s">
        <v>2968</v>
      </c>
      <c r="T1328" s="2">
        <v>1</v>
      </c>
      <c r="U1328" s="2">
        <v>62.6</v>
      </c>
      <c r="V1328" s="2">
        <v>55</v>
      </c>
      <c r="W1328" s="2" t="s">
        <v>7862</v>
      </c>
      <c r="X1328" s="2" t="s">
        <v>5405</v>
      </c>
      <c r="Y1328" s="2">
        <v>3330</v>
      </c>
      <c r="Z1328" s="19" t="str">
        <f>HYPERLINK("https://ssdweb.co/ssdweb/hd/Vision360.html?d=821125818&amp;zoomslide=1&amp;z=1821125818&amp;ISCONFIRM=0","VIDEO")</f>
        <v>VIDEO</v>
      </c>
      <c r="AA1328" s="19" t="str">
        <f>HYPERLINK("https://ssdweb.co/ssdweb/CERTH/619436908.pdf","CERTI")</f>
        <v>CERTI</v>
      </c>
    </row>
    <row r="1329" spans="1:27" ht="15" x14ac:dyDescent="0.25">
      <c r="A1329" s="2">
        <v>1324</v>
      </c>
      <c r="B1329" s="39">
        <v>924900111</v>
      </c>
      <c r="C1329" s="28" t="str">
        <f>HYPERLINK("https://pld.live/RapDetail.aspx?STONELIST=924900111","DNA")</f>
        <v>DNA</v>
      </c>
      <c r="D1329" s="18" t="s">
        <v>5847</v>
      </c>
      <c r="E1329" s="18" t="s">
        <v>5128</v>
      </c>
      <c r="F1329" s="2" t="s">
        <v>7987</v>
      </c>
      <c r="G1329" s="2" t="s">
        <v>861</v>
      </c>
      <c r="H1329" s="14">
        <v>0.74</v>
      </c>
      <c r="I1329" s="2" t="s">
        <v>267</v>
      </c>
      <c r="J1329" s="2" t="s">
        <v>13</v>
      </c>
      <c r="K1329" s="2" t="s">
        <v>5221</v>
      </c>
      <c r="L1329" s="2" t="s">
        <v>5221</v>
      </c>
      <c r="M1329" s="2" t="s">
        <v>5221</v>
      </c>
      <c r="N1329" s="2" t="s">
        <v>2317</v>
      </c>
      <c r="O1329" s="14">
        <v>3900</v>
      </c>
      <c r="P1329" s="14">
        <v>96.82</v>
      </c>
      <c r="Q1329" s="14">
        <v>124.02</v>
      </c>
      <c r="R1329" s="14">
        <v>91.77</v>
      </c>
      <c r="S1329" s="2" t="s">
        <v>3663</v>
      </c>
      <c r="T1329" s="2">
        <v>1.01</v>
      </c>
      <c r="U1329" s="2">
        <v>62.6</v>
      </c>
      <c r="V1329" s="2">
        <v>55</v>
      </c>
      <c r="W1329" s="2" t="s">
        <v>7862</v>
      </c>
      <c r="X1329" s="2" t="s">
        <v>5405</v>
      </c>
      <c r="Y1329" s="2">
        <v>2886</v>
      </c>
      <c r="Z1329" s="19" t="str">
        <f>HYPERLINK("https://ssdweb.co/ssdweb/hd/Vision360.html?d=924900111&amp;zoomslide=1&amp;z=1924900111&amp;ISCONFIRM=0","VIDEO")</f>
        <v>VIDEO</v>
      </c>
      <c r="AA1329" s="19" t="str">
        <f>HYPERLINK("https://ssdweb.co/ssdweb/CERTH/602315796.pdf","CERTI")</f>
        <v>CERTI</v>
      </c>
    </row>
    <row r="1330" spans="1:27" ht="15" x14ac:dyDescent="0.25">
      <c r="A1330" s="2">
        <v>1325</v>
      </c>
      <c r="B1330" s="39">
        <v>925870454</v>
      </c>
      <c r="C1330" s="28" t="str">
        <f>HYPERLINK("https://pld.live/RapDetail.aspx?STONELIST=925870454","DNA")</f>
        <v>DNA</v>
      </c>
      <c r="D1330" s="18" t="s">
        <v>5847</v>
      </c>
      <c r="E1330" s="18" t="s">
        <v>5128</v>
      </c>
      <c r="F1330" s="2" t="s">
        <v>7987</v>
      </c>
      <c r="G1330" s="2" t="s">
        <v>861</v>
      </c>
      <c r="H1330" s="14">
        <v>0.74</v>
      </c>
      <c r="I1330" s="2" t="s">
        <v>267</v>
      </c>
      <c r="J1330" s="2" t="s">
        <v>13</v>
      </c>
      <c r="K1330" s="2" t="s">
        <v>5221</v>
      </c>
      <c r="L1330" s="2" t="s">
        <v>5221</v>
      </c>
      <c r="M1330" s="2" t="s">
        <v>5221</v>
      </c>
      <c r="N1330" s="2" t="s">
        <v>2317</v>
      </c>
      <c r="O1330" s="14">
        <v>3900</v>
      </c>
      <c r="P1330" s="14">
        <v>96.77</v>
      </c>
      <c r="Q1330" s="14">
        <v>125.97</v>
      </c>
      <c r="R1330" s="14">
        <v>93.22</v>
      </c>
      <c r="S1330" s="2" t="s">
        <v>6789</v>
      </c>
      <c r="T1330" s="2">
        <v>1.01</v>
      </c>
      <c r="U1330" s="2">
        <v>62.1</v>
      </c>
      <c r="V1330" s="2">
        <v>58</v>
      </c>
      <c r="W1330" s="2" t="s">
        <v>7862</v>
      </c>
      <c r="X1330" s="2" t="s">
        <v>5405</v>
      </c>
      <c r="Y1330" s="2">
        <v>2886</v>
      </c>
      <c r="Z1330" s="19" t="str">
        <f>HYPERLINK("https://ssdweb.co/ssdweb/hd/Vision360.html?d=925870454&amp;zoomslide=1&amp;z=1925870454&amp;ISCONFIRM=0","VIDEO")</f>
        <v>VIDEO</v>
      </c>
      <c r="AA1330" s="19" t="str">
        <f>HYPERLINK("https://ssdweb.co/ssdweb/CERTH/626499084.pdf","CERTI")</f>
        <v>CERTI</v>
      </c>
    </row>
    <row r="1331" spans="1:27" ht="15" x14ac:dyDescent="0.25">
      <c r="A1331" s="2">
        <v>1326</v>
      </c>
      <c r="B1331" s="39">
        <v>941260868</v>
      </c>
      <c r="C1331" s="28" t="str">
        <f>HYPERLINK("https://pld.live/RapDetail.aspx?STONELIST=941260868","DNA")</f>
        <v>DNA</v>
      </c>
      <c r="D1331" s="18" t="s">
        <v>5847</v>
      </c>
      <c r="E1331" s="18" t="s">
        <v>5128</v>
      </c>
      <c r="F1331" s="2" t="s">
        <v>7987</v>
      </c>
      <c r="G1331" s="2" t="s">
        <v>861</v>
      </c>
      <c r="H1331" s="14">
        <v>0.74</v>
      </c>
      <c r="I1331" s="2" t="s">
        <v>267</v>
      </c>
      <c r="J1331" s="2" t="s">
        <v>13</v>
      </c>
      <c r="K1331" s="2" t="s">
        <v>5221</v>
      </c>
      <c r="L1331" s="2" t="s">
        <v>5221</v>
      </c>
      <c r="M1331" s="2" t="s">
        <v>5221</v>
      </c>
      <c r="N1331" s="2" t="s">
        <v>2317</v>
      </c>
      <c r="O1331" s="14">
        <v>3900</v>
      </c>
      <c r="P1331" s="14">
        <v>96.62</v>
      </c>
      <c r="Q1331" s="14">
        <v>131.82</v>
      </c>
      <c r="R1331" s="14">
        <v>97.55</v>
      </c>
      <c r="S1331" s="2" t="s">
        <v>4660</v>
      </c>
      <c r="T1331" s="2">
        <v>1.01</v>
      </c>
      <c r="U1331" s="2">
        <v>62.7</v>
      </c>
      <c r="V1331" s="2">
        <v>58</v>
      </c>
      <c r="W1331" s="2" t="s">
        <v>7862</v>
      </c>
      <c r="X1331" s="2" t="s">
        <v>5405</v>
      </c>
      <c r="Y1331" s="2">
        <v>2886</v>
      </c>
      <c r="Z1331" s="19" t="str">
        <f>HYPERLINK("https://ssdweb.co/ssdweb/hd/Vision360.html?d=941260868&amp;zoomslide=1&amp;z=1941260868&amp;ISCONFIRM=0","VIDEO")</f>
        <v>VIDEO</v>
      </c>
      <c r="AA1331" s="19" t="str">
        <f>HYPERLINK("https://ssdweb.co/ssdweb/CERTH/681569529.pdf","CERTI")</f>
        <v>CERTI</v>
      </c>
    </row>
    <row r="1332" spans="1:27" ht="15" x14ac:dyDescent="0.25">
      <c r="A1332" s="2">
        <v>1327</v>
      </c>
      <c r="B1332" s="39">
        <v>927101062</v>
      </c>
      <c r="C1332" s="28" t="str">
        <f>HYPERLINK("https://pld.live/RapDetail.aspx?STONELIST=927101062","DNA")</f>
        <v>DNA</v>
      </c>
      <c r="D1332" s="18" t="s">
        <v>5847</v>
      </c>
      <c r="E1332" s="18" t="s">
        <v>5128</v>
      </c>
      <c r="F1332" s="2" t="s">
        <v>7987</v>
      </c>
      <c r="G1332" s="2" t="s">
        <v>861</v>
      </c>
      <c r="H1332" s="14">
        <v>0.74</v>
      </c>
      <c r="I1332" s="2" t="s">
        <v>267</v>
      </c>
      <c r="J1332" s="2" t="s">
        <v>13</v>
      </c>
      <c r="K1332" s="2" t="s">
        <v>5221</v>
      </c>
      <c r="L1332" s="2" t="s">
        <v>5221</v>
      </c>
      <c r="M1332" s="2" t="s">
        <v>5221</v>
      </c>
      <c r="N1332" s="2" t="s">
        <v>2317</v>
      </c>
      <c r="O1332" s="14">
        <v>3900</v>
      </c>
      <c r="P1332" s="14">
        <v>96.67</v>
      </c>
      <c r="Q1332" s="14">
        <v>129.87</v>
      </c>
      <c r="R1332" s="14">
        <v>96.1</v>
      </c>
      <c r="S1332" s="2" t="s">
        <v>7096</v>
      </c>
      <c r="T1332" s="2">
        <v>1</v>
      </c>
      <c r="U1332" s="2">
        <v>62.7</v>
      </c>
      <c r="V1332" s="2">
        <v>55</v>
      </c>
      <c r="W1332" s="2" t="s">
        <v>7862</v>
      </c>
      <c r="X1332" s="2" t="s">
        <v>5405</v>
      </c>
      <c r="Y1332" s="2">
        <v>2886</v>
      </c>
      <c r="Z1332" s="19" t="str">
        <f>HYPERLINK("https://ssdweb.co/ssdweb/hd/Vision360.html?d=927101062&amp;zoomslide=1&amp;z=1927101062&amp;ISCONFIRM=0","VIDEO")</f>
        <v>VIDEO</v>
      </c>
      <c r="AA1332" s="19" t="str">
        <f>HYPERLINK("https://ssdweb.co/ssdweb/CERTH/665453084.pdf","CERTI")</f>
        <v>CERTI</v>
      </c>
    </row>
    <row r="1333" spans="1:27" ht="15" x14ac:dyDescent="0.25">
      <c r="A1333" s="2">
        <v>1328</v>
      </c>
      <c r="B1333" s="39">
        <v>925090817</v>
      </c>
      <c r="C1333" s="28" t="str">
        <f>HYPERLINK("https://pld.live/RapDetail.aspx?STONELIST=925090817","DNA")</f>
        <v>DNA</v>
      </c>
      <c r="D1333" s="18" t="s">
        <v>5847</v>
      </c>
      <c r="E1333" s="18" t="s">
        <v>5128</v>
      </c>
      <c r="F1333" s="2" t="s">
        <v>5597</v>
      </c>
      <c r="G1333" s="2" t="s">
        <v>861</v>
      </c>
      <c r="H1333" s="14">
        <v>0.74</v>
      </c>
      <c r="I1333" s="2" t="s">
        <v>267</v>
      </c>
      <c r="J1333" s="2" t="s">
        <v>5144</v>
      </c>
      <c r="K1333" s="2" t="s">
        <v>5221</v>
      </c>
      <c r="L1333" s="2" t="s">
        <v>5221</v>
      </c>
      <c r="M1333" s="2" t="s">
        <v>5221</v>
      </c>
      <c r="N1333" s="2" t="s">
        <v>2317</v>
      </c>
      <c r="O1333" s="14">
        <v>3400</v>
      </c>
      <c r="P1333" s="14">
        <v>92.59</v>
      </c>
      <c r="Q1333" s="14">
        <v>251.94</v>
      </c>
      <c r="R1333" s="14">
        <v>186.44</v>
      </c>
      <c r="S1333" s="2" t="s">
        <v>3663</v>
      </c>
      <c r="T1333" s="2">
        <v>1.01</v>
      </c>
      <c r="U1333" s="2">
        <v>62.6</v>
      </c>
      <c r="V1333" s="2">
        <v>58</v>
      </c>
      <c r="W1333" s="2" t="s">
        <v>7862</v>
      </c>
      <c r="X1333" s="2" t="s">
        <v>5405</v>
      </c>
      <c r="Y1333" s="2">
        <v>2516</v>
      </c>
      <c r="Z1333" s="19" t="str">
        <f>HYPERLINK("https://ssdweb.co/ssdweb/hd/Vision360.html?d=925090817&amp;zoomslide=1&amp;z=1925090817&amp;ISCONFIRM=0","VIDEO")</f>
        <v>VIDEO</v>
      </c>
      <c r="AA1333" s="19" t="str">
        <f>HYPERLINK("https://ssdweb.co/ssdweb/CERTH/1488018519.pdf","CERTI")</f>
        <v>CERTI</v>
      </c>
    </row>
    <row r="1334" spans="1:27" ht="15" x14ac:dyDescent="0.25">
      <c r="A1334" s="2">
        <v>1329</v>
      </c>
      <c r="B1334" s="39">
        <v>926211283</v>
      </c>
      <c r="C1334" s="28" t="str">
        <f>HYPERLINK("https://pld.live/RapDetail.aspx?STONELIST=926211283","DNA")</f>
        <v>DNA</v>
      </c>
      <c r="D1334" s="18" t="s">
        <v>5847</v>
      </c>
      <c r="E1334" s="18" t="s">
        <v>5128</v>
      </c>
      <c r="F1334" s="2" t="s">
        <v>7987</v>
      </c>
      <c r="G1334" s="2" t="s">
        <v>861</v>
      </c>
      <c r="H1334" s="14">
        <v>0.74</v>
      </c>
      <c r="I1334" s="2" t="s">
        <v>4761</v>
      </c>
      <c r="J1334" s="2" t="s">
        <v>3942</v>
      </c>
      <c r="K1334" s="2" t="s">
        <v>5221</v>
      </c>
      <c r="L1334" s="2" t="s">
        <v>5221</v>
      </c>
      <c r="M1334" s="2" t="s">
        <v>5221</v>
      </c>
      <c r="N1334" s="2" t="s">
        <v>2317</v>
      </c>
      <c r="O1334" s="14">
        <v>4200</v>
      </c>
      <c r="P1334" s="14">
        <v>96.88</v>
      </c>
      <c r="Q1334" s="14">
        <v>131.04</v>
      </c>
      <c r="R1334" s="14">
        <v>96.97</v>
      </c>
      <c r="S1334" s="2" t="s">
        <v>841</v>
      </c>
      <c r="T1334" s="2">
        <v>1.01</v>
      </c>
      <c r="U1334" s="2">
        <v>62.7</v>
      </c>
      <c r="V1334" s="2">
        <v>57</v>
      </c>
      <c r="W1334" s="2" t="s">
        <v>7862</v>
      </c>
      <c r="X1334" s="2" t="s">
        <v>5405</v>
      </c>
      <c r="Y1334" s="2">
        <v>3108</v>
      </c>
      <c r="Z1334" s="19" t="str">
        <f>HYPERLINK("https://ssdweb.co/ssdweb/hd/Vision360.html?d=926211283&amp;zoomslide=1&amp;z=1926211283&amp;ISCONFIRM=0","VIDEO")</f>
        <v>VIDEO</v>
      </c>
      <c r="AA1334" s="19" t="str">
        <f>HYPERLINK("https://ssdweb.co/ssdweb/CERTH/639413199.pdf","CERTI")</f>
        <v>CERTI</v>
      </c>
    </row>
    <row r="1335" spans="1:27" ht="15" x14ac:dyDescent="0.25">
      <c r="A1335" s="2">
        <v>1330</v>
      </c>
      <c r="B1335" s="39">
        <v>941320407</v>
      </c>
      <c r="C1335" s="28" t="str">
        <f>HYPERLINK("https://pld.live/RapDetail.aspx?STONELIST=941320407","DNA")</f>
        <v>DNA</v>
      </c>
      <c r="D1335" s="18" t="s">
        <v>5847</v>
      </c>
      <c r="E1335" s="18" t="s">
        <v>5128</v>
      </c>
      <c r="F1335" s="2" t="s">
        <v>7987</v>
      </c>
      <c r="G1335" s="2" t="s">
        <v>861</v>
      </c>
      <c r="H1335" s="14">
        <v>0.74</v>
      </c>
      <c r="I1335" s="2" t="s">
        <v>4761</v>
      </c>
      <c r="J1335" s="2" t="s">
        <v>13</v>
      </c>
      <c r="K1335" s="2" t="s">
        <v>5221</v>
      </c>
      <c r="L1335" s="2" t="s">
        <v>5221</v>
      </c>
      <c r="M1335" s="2" t="s">
        <v>5221</v>
      </c>
      <c r="N1335" s="2" t="s">
        <v>2317</v>
      </c>
      <c r="O1335" s="14">
        <v>3700</v>
      </c>
      <c r="P1335" s="14">
        <v>96.49</v>
      </c>
      <c r="Q1335" s="14">
        <v>129.87</v>
      </c>
      <c r="R1335" s="14">
        <v>96.1</v>
      </c>
      <c r="S1335" s="2" t="s">
        <v>4896</v>
      </c>
      <c r="T1335" s="2">
        <v>1.01</v>
      </c>
      <c r="U1335" s="2">
        <v>60.7</v>
      </c>
      <c r="V1335" s="2">
        <v>59</v>
      </c>
      <c r="W1335" s="2" t="s">
        <v>7862</v>
      </c>
      <c r="X1335" s="2" t="s">
        <v>5405</v>
      </c>
      <c r="Y1335" s="2">
        <v>2738</v>
      </c>
      <c r="Z1335" s="19" t="str">
        <f>HYPERLINK("https://ssdweb.co/ssdweb/hd/Vision360.html?d=941320407&amp;zoomslide=1&amp;z=1941320407&amp;ISCONFIRM=0","VIDEO")</f>
        <v>VIDEO</v>
      </c>
      <c r="AA1335" s="19" t="str">
        <f>HYPERLINK("https://ssdweb.co/ssdweb/CERTH/684505088.pdf","CERTI")</f>
        <v>CERTI</v>
      </c>
    </row>
    <row r="1336" spans="1:27" ht="15" x14ac:dyDescent="0.25">
      <c r="A1336" s="2">
        <v>1331</v>
      </c>
      <c r="B1336" s="39">
        <v>926250521</v>
      </c>
      <c r="C1336" s="28" t="str">
        <f>HYPERLINK("https://pld.live/RapDetail.aspx?STONELIST=926250521","DNA")</f>
        <v>DNA</v>
      </c>
      <c r="D1336" s="18" t="s">
        <v>5847</v>
      </c>
      <c r="E1336" s="18" t="s">
        <v>5128</v>
      </c>
      <c r="F1336" s="2" t="s">
        <v>7987</v>
      </c>
      <c r="G1336" s="2" t="s">
        <v>861</v>
      </c>
      <c r="H1336" s="14">
        <v>0.73</v>
      </c>
      <c r="I1336" s="2" t="s">
        <v>267</v>
      </c>
      <c r="J1336" s="2" t="s">
        <v>3942</v>
      </c>
      <c r="K1336" s="2" t="s">
        <v>3390</v>
      </c>
      <c r="L1336" s="2" t="s">
        <v>5221</v>
      </c>
      <c r="M1336" s="2" t="s">
        <v>5721</v>
      </c>
      <c r="N1336" s="2" t="s">
        <v>2317</v>
      </c>
      <c r="O1336" s="14">
        <v>4500</v>
      </c>
      <c r="P1336" s="14">
        <v>97.07</v>
      </c>
      <c r="Q1336" s="14">
        <v>131.85</v>
      </c>
      <c r="R1336" s="14">
        <v>96.25</v>
      </c>
      <c r="S1336" s="2" t="s">
        <v>7677</v>
      </c>
      <c r="T1336" s="2">
        <v>1</v>
      </c>
      <c r="U1336" s="2">
        <v>60.8</v>
      </c>
      <c r="V1336" s="2">
        <v>59</v>
      </c>
      <c r="W1336" s="2" t="s">
        <v>7862</v>
      </c>
      <c r="X1336" s="2" t="s">
        <v>5405</v>
      </c>
      <c r="Y1336" s="2">
        <v>3285</v>
      </c>
      <c r="Z1336" s="19" t="str">
        <f>HYPERLINK("https://ssdweb.co/ssdweb/hd/Vision360.html?d=926250521&amp;zoomslide=1&amp;z=1926250521&amp;ISCONFIRM=0","VIDEO")</f>
        <v>VIDEO</v>
      </c>
      <c r="AA1336" s="19" t="str">
        <f>HYPERLINK("https://ssdweb.co/ssdweb/CERTH/640473821.pdf","CERTI")</f>
        <v>CERTI</v>
      </c>
    </row>
    <row r="1337" spans="1:27" ht="15" x14ac:dyDescent="0.25">
      <c r="A1337" s="2">
        <v>1332</v>
      </c>
      <c r="B1337" s="39">
        <v>941170032</v>
      </c>
      <c r="C1337" s="28" t="str">
        <f>HYPERLINK("https://pld.live/RapDetail.aspx?STONELIST=941170032","DNA")</f>
        <v>DNA</v>
      </c>
      <c r="D1337" s="18" t="s">
        <v>5847</v>
      </c>
      <c r="E1337" s="18" t="s">
        <v>5128</v>
      </c>
      <c r="F1337" s="2" t="s">
        <v>7987</v>
      </c>
      <c r="G1337" s="2" t="s">
        <v>861</v>
      </c>
      <c r="H1337" s="14">
        <v>0.73</v>
      </c>
      <c r="I1337" s="2" t="s">
        <v>267</v>
      </c>
      <c r="J1337" s="2" t="s">
        <v>3942</v>
      </c>
      <c r="K1337" s="2" t="s">
        <v>5221</v>
      </c>
      <c r="L1337" s="2" t="s">
        <v>5221</v>
      </c>
      <c r="M1337" s="2" t="s">
        <v>5221</v>
      </c>
      <c r="N1337" s="2" t="s">
        <v>2317</v>
      </c>
      <c r="O1337" s="14">
        <v>4500</v>
      </c>
      <c r="P1337" s="14">
        <v>96.93</v>
      </c>
      <c r="Q1337" s="14">
        <v>138.15</v>
      </c>
      <c r="R1337" s="14">
        <v>100.85</v>
      </c>
      <c r="S1337" s="2" t="s">
        <v>987</v>
      </c>
      <c r="T1337" s="2">
        <v>1.01</v>
      </c>
      <c r="U1337" s="2">
        <v>62.6</v>
      </c>
      <c r="V1337" s="2">
        <v>58</v>
      </c>
      <c r="W1337" s="2" t="s">
        <v>7862</v>
      </c>
      <c r="X1337" s="2" t="s">
        <v>5405</v>
      </c>
      <c r="Y1337" s="2">
        <v>3285</v>
      </c>
      <c r="Z1337" s="19" t="str">
        <f>HYPERLINK("https://ssdweb.co/ssdweb/hd/Vision360.html?d=941170032&amp;zoomslide=1&amp;z=1941170032&amp;ISCONFIRM=0","VIDEO")</f>
        <v>VIDEO</v>
      </c>
      <c r="AA1337" s="19" t="str">
        <f>HYPERLINK("https://ssdweb.co/ssdweb/CERTH/674504053.pdf","CERTI")</f>
        <v>CERTI</v>
      </c>
    </row>
    <row r="1338" spans="1:27" ht="15" x14ac:dyDescent="0.25">
      <c r="A1338" s="2">
        <v>1333</v>
      </c>
      <c r="B1338" s="39">
        <v>941260869</v>
      </c>
      <c r="C1338" s="28" t="str">
        <f>HYPERLINK("https://pld.live/RapDetail.aspx?STONELIST=941260869","DNA")</f>
        <v>DNA</v>
      </c>
      <c r="D1338" s="18" t="s">
        <v>5847</v>
      </c>
      <c r="E1338" s="18" t="s">
        <v>5128</v>
      </c>
      <c r="F1338" s="2" t="s">
        <v>7987</v>
      </c>
      <c r="G1338" s="2" t="s">
        <v>861</v>
      </c>
      <c r="H1338" s="14">
        <v>0.73</v>
      </c>
      <c r="I1338" s="2" t="s">
        <v>267</v>
      </c>
      <c r="J1338" s="2" t="s">
        <v>3942</v>
      </c>
      <c r="K1338" s="2" t="s">
        <v>5221</v>
      </c>
      <c r="L1338" s="2" t="s">
        <v>5221</v>
      </c>
      <c r="M1338" s="2" t="s">
        <v>5221</v>
      </c>
      <c r="N1338" s="2" t="s">
        <v>2317</v>
      </c>
      <c r="O1338" s="14">
        <v>4500</v>
      </c>
      <c r="P1338" s="14">
        <v>96.93</v>
      </c>
      <c r="Q1338" s="14">
        <v>138.15</v>
      </c>
      <c r="R1338" s="14">
        <v>100.85</v>
      </c>
      <c r="S1338" s="2" t="s">
        <v>2902</v>
      </c>
      <c r="T1338" s="2">
        <v>1.01</v>
      </c>
      <c r="U1338" s="2">
        <v>62.6</v>
      </c>
      <c r="V1338" s="2">
        <v>57</v>
      </c>
      <c r="W1338" s="2" t="s">
        <v>7862</v>
      </c>
      <c r="X1338" s="2" t="s">
        <v>5405</v>
      </c>
      <c r="Y1338" s="2">
        <v>3285</v>
      </c>
      <c r="Z1338" s="19" t="str">
        <f>HYPERLINK("https://ssdweb.co/ssdweb/hd/Vision360.html?d=941260869&amp;zoomslide=1&amp;z=1941260869&amp;ISCONFIRM=0","VIDEO")</f>
        <v>VIDEO</v>
      </c>
      <c r="AA1338" s="19" t="str">
        <f>HYPERLINK("https://ssdweb.co/ssdweb/CERTH/681569530.pdf","CERTI")</f>
        <v>CERTI</v>
      </c>
    </row>
    <row r="1339" spans="1:27" ht="15" x14ac:dyDescent="0.25">
      <c r="A1339" s="2">
        <v>1334</v>
      </c>
      <c r="B1339" s="39">
        <v>941260876</v>
      </c>
      <c r="C1339" s="28" t="str">
        <f>HYPERLINK("https://pld.live/RapDetail.aspx?STONELIST=941260876","DNA")</f>
        <v>DNA</v>
      </c>
      <c r="D1339" s="18" t="s">
        <v>5847</v>
      </c>
      <c r="E1339" s="18" t="s">
        <v>5128</v>
      </c>
      <c r="F1339" s="2" t="s">
        <v>7987</v>
      </c>
      <c r="G1339" s="2" t="s">
        <v>861</v>
      </c>
      <c r="H1339" s="14">
        <v>0.73</v>
      </c>
      <c r="I1339" s="2" t="s">
        <v>267</v>
      </c>
      <c r="J1339" s="2" t="s">
        <v>3942</v>
      </c>
      <c r="K1339" s="2" t="s">
        <v>5221</v>
      </c>
      <c r="L1339" s="2" t="s">
        <v>5221</v>
      </c>
      <c r="M1339" s="2" t="s">
        <v>5221</v>
      </c>
      <c r="N1339" s="2" t="s">
        <v>2317</v>
      </c>
      <c r="O1339" s="14">
        <v>4500</v>
      </c>
      <c r="P1339" s="14">
        <v>96.93</v>
      </c>
      <c r="Q1339" s="14">
        <v>138.15</v>
      </c>
      <c r="R1339" s="14">
        <v>100.85</v>
      </c>
      <c r="S1339" s="2" t="s">
        <v>1753</v>
      </c>
      <c r="T1339" s="2">
        <v>1.01</v>
      </c>
      <c r="U1339" s="2">
        <v>62.7</v>
      </c>
      <c r="V1339" s="2">
        <v>56</v>
      </c>
      <c r="W1339" s="2" t="s">
        <v>7862</v>
      </c>
      <c r="X1339" s="2" t="s">
        <v>5405</v>
      </c>
      <c r="Y1339" s="2">
        <v>3285</v>
      </c>
      <c r="Z1339" s="19" t="str">
        <f>HYPERLINK("https://ssdweb.co/ssdweb/hd/Vision360.html?d=941260876&amp;zoomslide=1&amp;z=1941260876&amp;ISCONFIRM=0","VIDEO")</f>
        <v>VIDEO</v>
      </c>
      <c r="AA1339" s="19" t="str">
        <f>HYPERLINK("https://ssdweb.co/ssdweb/CERTH/681569531.pdf","CERTI")</f>
        <v>CERTI</v>
      </c>
    </row>
    <row r="1340" spans="1:27" ht="15" x14ac:dyDescent="0.25">
      <c r="A1340" s="2">
        <v>1335</v>
      </c>
      <c r="B1340" s="39">
        <v>941330321</v>
      </c>
      <c r="C1340" s="28" t="str">
        <f>HYPERLINK("https://pld.live/RapDetail.aspx?STONELIST=941330321","DNA")</f>
        <v>DNA</v>
      </c>
      <c r="D1340" s="18" t="s">
        <v>5847</v>
      </c>
      <c r="E1340" s="18" t="s">
        <v>2186</v>
      </c>
      <c r="F1340" s="2" t="s">
        <v>7987</v>
      </c>
      <c r="G1340" s="2" t="s">
        <v>861</v>
      </c>
      <c r="H1340" s="14">
        <v>0.73</v>
      </c>
      <c r="I1340" s="2" t="s">
        <v>267</v>
      </c>
      <c r="J1340" s="2" t="s">
        <v>3942</v>
      </c>
      <c r="K1340" s="2" t="s">
        <v>5221</v>
      </c>
      <c r="L1340" s="2" t="s">
        <v>5221</v>
      </c>
      <c r="M1340" s="2" t="s">
        <v>5221</v>
      </c>
      <c r="N1340" s="2" t="s">
        <v>2317</v>
      </c>
      <c r="O1340" s="14">
        <v>4500</v>
      </c>
      <c r="P1340" s="14">
        <v>96.93</v>
      </c>
      <c r="Q1340" s="14">
        <v>138.15</v>
      </c>
      <c r="R1340" s="14">
        <v>100.85</v>
      </c>
      <c r="S1340" s="2" t="s">
        <v>1118</v>
      </c>
      <c r="T1340" s="2">
        <v>1.01</v>
      </c>
      <c r="U1340" s="2">
        <v>62.9</v>
      </c>
      <c r="V1340" s="2">
        <v>58</v>
      </c>
      <c r="W1340" s="2" t="s">
        <v>7862</v>
      </c>
      <c r="X1340" s="2" t="s">
        <v>5405</v>
      </c>
      <c r="Y1340" s="2">
        <v>3285</v>
      </c>
      <c r="Z1340" s="19" t="str">
        <f>HYPERLINK("https://ssdweb.co/ssdweb/hd/Vision360.html?d=941330321&amp;zoomslide=1&amp;z=1941330321&amp;ISCONFIRM=0","VIDEO")</f>
        <v>VIDEO</v>
      </c>
      <c r="AA1340" s="19" t="str">
        <f>HYPERLINK("https://ssdweb.co/ssdweb/CERTH/689587197.pdf","CERTI")</f>
        <v>CERTI</v>
      </c>
    </row>
    <row r="1341" spans="1:27" ht="15" x14ac:dyDescent="0.25">
      <c r="A1341" s="2">
        <v>1336</v>
      </c>
      <c r="B1341" s="39">
        <v>925280168</v>
      </c>
      <c r="C1341" s="28" t="str">
        <f>HYPERLINK("https://pld.live/RapDetail.aspx?STONELIST=925280168","DNA")</f>
        <v>DNA</v>
      </c>
      <c r="D1341" s="18" t="s">
        <v>5847</v>
      </c>
      <c r="E1341" s="18" t="s">
        <v>5128</v>
      </c>
      <c r="F1341" s="2" t="s">
        <v>5597</v>
      </c>
      <c r="G1341" s="2" t="s">
        <v>861</v>
      </c>
      <c r="H1341" s="14">
        <v>0.73</v>
      </c>
      <c r="I1341" s="2" t="s">
        <v>267</v>
      </c>
      <c r="J1341" s="2" t="s">
        <v>13</v>
      </c>
      <c r="K1341" s="2" t="s">
        <v>5221</v>
      </c>
      <c r="L1341" s="2" t="s">
        <v>5221</v>
      </c>
      <c r="M1341" s="2" t="s">
        <v>5221</v>
      </c>
      <c r="N1341" s="2" t="s">
        <v>2317</v>
      </c>
      <c r="O1341" s="14">
        <v>3900</v>
      </c>
      <c r="P1341" s="14">
        <v>93.41</v>
      </c>
      <c r="Q1341" s="14">
        <v>257.01</v>
      </c>
      <c r="R1341" s="14">
        <v>187.62</v>
      </c>
      <c r="S1341" s="2" t="s">
        <v>5614</v>
      </c>
      <c r="T1341" s="2">
        <v>1</v>
      </c>
      <c r="U1341" s="2">
        <v>62.5</v>
      </c>
      <c r="V1341" s="2">
        <v>57</v>
      </c>
      <c r="W1341" s="2" t="s">
        <v>7862</v>
      </c>
      <c r="X1341" s="2" t="s">
        <v>5405</v>
      </c>
      <c r="Y1341" s="2">
        <v>2847</v>
      </c>
      <c r="Z1341" s="19" t="str">
        <f>HYPERLINK("https://ssdweb.co/ssdweb/hd/Vision360.html?d=925280168&amp;zoomslide=1&amp;z=1925280168&amp;ISCONFIRM=0","VIDEO")</f>
        <v>VIDEO</v>
      </c>
      <c r="AA1341" s="19" t="str">
        <f>HYPERLINK("https://ssdweb.co/ssdweb/CERTH/2487210794.pdf","CERTI")</f>
        <v>CERTI</v>
      </c>
    </row>
    <row r="1342" spans="1:27" ht="15" x14ac:dyDescent="0.25">
      <c r="A1342" s="2">
        <v>1337</v>
      </c>
      <c r="B1342" s="39">
        <v>941360374</v>
      </c>
      <c r="C1342" s="28" t="str">
        <f>HYPERLINK("https://pld.live/RapDetail.aspx?STONELIST=941360374","DNA")</f>
        <v>DNA</v>
      </c>
      <c r="D1342" s="18" t="s">
        <v>5847</v>
      </c>
      <c r="E1342" s="18" t="s">
        <v>2186</v>
      </c>
      <c r="F1342" s="2" t="s">
        <v>7987</v>
      </c>
      <c r="G1342" s="2" t="s">
        <v>861</v>
      </c>
      <c r="H1342" s="14">
        <v>0.73</v>
      </c>
      <c r="I1342" s="2" t="s">
        <v>267</v>
      </c>
      <c r="J1342" s="2" t="s">
        <v>13</v>
      </c>
      <c r="K1342" s="2" t="s">
        <v>5221</v>
      </c>
      <c r="L1342" s="2" t="s">
        <v>5221</v>
      </c>
      <c r="M1342" s="2" t="s">
        <v>5221</v>
      </c>
      <c r="N1342" s="2" t="s">
        <v>2317</v>
      </c>
      <c r="O1342" s="14">
        <v>3900</v>
      </c>
      <c r="P1342" s="14">
        <v>96.62</v>
      </c>
      <c r="Q1342" s="14">
        <v>131.82</v>
      </c>
      <c r="R1342" s="14">
        <v>96.23</v>
      </c>
      <c r="S1342" s="2" t="s">
        <v>3306</v>
      </c>
      <c r="T1342" s="2">
        <v>1</v>
      </c>
      <c r="U1342" s="2">
        <v>61.3</v>
      </c>
      <c r="V1342" s="2">
        <v>59</v>
      </c>
      <c r="W1342" s="2" t="s">
        <v>7862</v>
      </c>
      <c r="X1342" s="2" t="s">
        <v>5405</v>
      </c>
      <c r="Y1342" s="2">
        <v>2847</v>
      </c>
      <c r="Z1342" s="19" t="str">
        <f>HYPERLINK("https://ssdweb.co/ssdweb/hd/Vision360.html?d=941360374&amp;zoomslide=1&amp;z=1941360374&amp;ISCONFIRM=0","VIDEO")</f>
        <v>VIDEO</v>
      </c>
      <c r="AA1342" s="19" t="str">
        <f>HYPERLINK("https://ssdweb.co/ssdweb/CERTH/689587190.pdf","CERTI")</f>
        <v>CERTI</v>
      </c>
    </row>
    <row r="1343" spans="1:27" ht="15" x14ac:dyDescent="0.25">
      <c r="A1343" s="2">
        <v>1338</v>
      </c>
      <c r="B1343" s="39">
        <v>941360462</v>
      </c>
      <c r="C1343" s="28" t="str">
        <f>HYPERLINK("https://pld.live/RapDetail.aspx?STONELIST=941360462","DNA")</f>
        <v>DNA</v>
      </c>
      <c r="D1343" s="18" t="s">
        <v>5847</v>
      </c>
      <c r="E1343" s="18" t="s">
        <v>2186</v>
      </c>
      <c r="F1343" s="2" t="s">
        <v>7987</v>
      </c>
      <c r="G1343" s="2" t="s">
        <v>861</v>
      </c>
      <c r="H1343" s="14">
        <v>0.73</v>
      </c>
      <c r="I1343" s="2" t="s">
        <v>267</v>
      </c>
      <c r="J1343" s="2" t="s">
        <v>13</v>
      </c>
      <c r="K1343" s="2" t="s">
        <v>5221</v>
      </c>
      <c r="L1343" s="2" t="s">
        <v>5221</v>
      </c>
      <c r="M1343" s="2" t="s">
        <v>5221</v>
      </c>
      <c r="N1343" s="2" t="s">
        <v>2317</v>
      </c>
      <c r="O1343" s="14">
        <v>3900</v>
      </c>
      <c r="P1343" s="14">
        <v>96.62</v>
      </c>
      <c r="Q1343" s="14">
        <v>131.82</v>
      </c>
      <c r="R1343" s="14">
        <v>96.23</v>
      </c>
      <c r="S1343" s="2" t="s">
        <v>7928</v>
      </c>
      <c r="T1343" s="2">
        <v>1</v>
      </c>
      <c r="U1343" s="2">
        <v>59.2</v>
      </c>
      <c r="V1343" s="2">
        <v>61</v>
      </c>
      <c r="W1343" s="2" t="s">
        <v>7862</v>
      </c>
      <c r="X1343" s="2" t="s">
        <v>5405</v>
      </c>
      <c r="Y1343" s="2">
        <v>2847</v>
      </c>
      <c r="Z1343" s="19" t="str">
        <f>HYPERLINK("https://ssdweb.co/ssdweb/hd/Vision360.html?d=941360462&amp;zoomslide=1&amp;z=1941360462&amp;ISCONFIRM=0","VIDEO")</f>
        <v>VIDEO</v>
      </c>
      <c r="AA1343" s="19" t="str">
        <f>HYPERLINK("https://ssdweb.co/ssdweb/CERTH/689587222.pdf","CERTI")</f>
        <v>CERTI</v>
      </c>
    </row>
    <row r="1344" spans="1:27" ht="15" x14ac:dyDescent="0.25">
      <c r="A1344" s="2">
        <v>1339</v>
      </c>
      <c r="B1344" s="39">
        <v>941260965</v>
      </c>
      <c r="C1344" s="28" t="str">
        <f>HYPERLINK("https://pld.live/RapDetail.aspx?STONELIST=941260965","DNA")</f>
        <v>DNA</v>
      </c>
      <c r="D1344" s="18" t="s">
        <v>5847</v>
      </c>
      <c r="E1344" s="18" t="s">
        <v>5128</v>
      </c>
      <c r="F1344" s="2" t="s">
        <v>7987</v>
      </c>
      <c r="G1344" s="2" t="s">
        <v>861</v>
      </c>
      <c r="H1344" s="14">
        <v>0.73</v>
      </c>
      <c r="I1344" s="2" t="s">
        <v>267</v>
      </c>
      <c r="J1344" s="2" t="s">
        <v>13</v>
      </c>
      <c r="K1344" s="2" t="s">
        <v>5221</v>
      </c>
      <c r="L1344" s="2" t="s">
        <v>5221</v>
      </c>
      <c r="M1344" s="2" t="s">
        <v>5721</v>
      </c>
      <c r="N1344" s="2" t="s">
        <v>2317</v>
      </c>
      <c r="O1344" s="14">
        <v>3900</v>
      </c>
      <c r="P1344" s="14">
        <v>96.67</v>
      </c>
      <c r="Q1344" s="14">
        <v>129.87</v>
      </c>
      <c r="R1344" s="14">
        <v>94.81</v>
      </c>
      <c r="S1344" s="2" t="s">
        <v>4533</v>
      </c>
      <c r="T1344" s="2">
        <v>1.01</v>
      </c>
      <c r="U1344" s="2">
        <v>63</v>
      </c>
      <c r="V1344" s="2">
        <v>57</v>
      </c>
      <c r="W1344" s="2" t="s">
        <v>7862</v>
      </c>
      <c r="X1344" s="2" t="s">
        <v>5405</v>
      </c>
      <c r="Y1344" s="2">
        <v>2847</v>
      </c>
      <c r="Z1344" s="19" t="str">
        <f>HYPERLINK("https://ssdweb.co/ssdweb/hd/Vision360.html?d=941260965&amp;zoomslide=1&amp;z=1941260965&amp;ISCONFIRM=0","VIDEO")</f>
        <v>VIDEO</v>
      </c>
      <c r="AA1344" s="19" t="str">
        <f>HYPERLINK("https://ssdweb.co/ssdweb/CERTH/684505072.pdf","CERTI")</f>
        <v>CERTI</v>
      </c>
    </row>
    <row r="1345" spans="1:27" ht="15" x14ac:dyDescent="0.25">
      <c r="A1345" s="2">
        <v>1340</v>
      </c>
      <c r="B1345" s="39">
        <v>925750525</v>
      </c>
      <c r="C1345" s="28" t="str">
        <f>HYPERLINK("https://pld.live/RapDetail.aspx?STONELIST=925750525","DNA")</f>
        <v>DNA</v>
      </c>
      <c r="D1345" s="18" t="s">
        <v>5847</v>
      </c>
      <c r="E1345" s="18" t="s">
        <v>5128</v>
      </c>
      <c r="F1345" s="2" t="s">
        <v>5597</v>
      </c>
      <c r="G1345" s="2" t="s">
        <v>861</v>
      </c>
      <c r="H1345" s="14">
        <v>0.73</v>
      </c>
      <c r="I1345" s="2" t="s">
        <v>267</v>
      </c>
      <c r="J1345" s="2" t="s">
        <v>5144</v>
      </c>
      <c r="K1345" s="2" t="s">
        <v>5221</v>
      </c>
      <c r="L1345" s="2" t="s">
        <v>5221</v>
      </c>
      <c r="M1345" s="2" t="s">
        <v>5221</v>
      </c>
      <c r="N1345" s="2" t="s">
        <v>2317</v>
      </c>
      <c r="O1345" s="14">
        <v>3400</v>
      </c>
      <c r="P1345" s="14">
        <v>92.53</v>
      </c>
      <c r="Q1345" s="14">
        <v>253.98</v>
      </c>
      <c r="R1345" s="14">
        <v>185.41</v>
      </c>
      <c r="S1345" s="2" t="s">
        <v>2351</v>
      </c>
      <c r="T1345" s="2">
        <v>1</v>
      </c>
      <c r="U1345" s="2">
        <v>61.9</v>
      </c>
      <c r="V1345" s="2">
        <v>57</v>
      </c>
      <c r="W1345" s="2" t="s">
        <v>7862</v>
      </c>
      <c r="X1345" s="2" t="s">
        <v>5405</v>
      </c>
      <c r="Y1345" s="2">
        <v>2482</v>
      </c>
      <c r="Z1345" s="19" t="str">
        <f>HYPERLINK("https://ssdweb.co/ssdweb/hd/Vision360.html?d=925750525&amp;zoomslide=1&amp;z=1925750525&amp;ISCONFIRM=0","VIDEO")</f>
        <v>VIDEO</v>
      </c>
      <c r="AA1345" s="19" t="str">
        <f>HYPERLINK("https://ssdweb.co/ssdweb/CERTH/3485715049.pdf","CERTI")</f>
        <v>CERTI</v>
      </c>
    </row>
    <row r="1346" spans="1:27" ht="15" x14ac:dyDescent="0.25">
      <c r="A1346" s="2">
        <v>1341</v>
      </c>
      <c r="B1346" s="39">
        <v>941320540</v>
      </c>
      <c r="C1346" s="28" t="str">
        <f>HYPERLINK("https://pld.live/RapDetail.aspx?STONELIST=941320540","DNA")</f>
        <v>DNA</v>
      </c>
      <c r="D1346" s="18" t="s">
        <v>5847</v>
      </c>
      <c r="E1346" s="18" t="s">
        <v>5128</v>
      </c>
      <c r="F1346" s="2" t="s">
        <v>7987</v>
      </c>
      <c r="G1346" s="2" t="s">
        <v>861</v>
      </c>
      <c r="H1346" s="14">
        <v>0.73</v>
      </c>
      <c r="I1346" s="2" t="s">
        <v>267</v>
      </c>
      <c r="J1346" s="2" t="s">
        <v>5144</v>
      </c>
      <c r="K1346" s="2" t="s">
        <v>5221</v>
      </c>
      <c r="L1346" s="2" t="s">
        <v>5221</v>
      </c>
      <c r="M1346" s="2" t="s">
        <v>5221</v>
      </c>
      <c r="N1346" s="2" t="s">
        <v>2317</v>
      </c>
      <c r="O1346" s="14">
        <v>3400</v>
      </c>
      <c r="P1346" s="14">
        <v>96.18</v>
      </c>
      <c r="Q1346" s="14">
        <v>129.88</v>
      </c>
      <c r="R1346" s="14">
        <v>94.81</v>
      </c>
      <c r="S1346" s="2" t="s">
        <v>7159</v>
      </c>
      <c r="T1346" s="2">
        <v>1.01</v>
      </c>
      <c r="U1346" s="2">
        <v>62</v>
      </c>
      <c r="V1346" s="2">
        <v>59</v>
      </c>
      <c r="W1346" s="2" t="s">
        <v>7862</v>
      </c>
      <c r="X1346" s="2" t="s">
        <v>5405</v>
      </c>
      <c r="Y1346" s="2">
        <v>2482</v>
      </c>
      <c r="Z1346" s="19" t="str">
        <f>HYPERLINK("https://ssdweb.co/ssdweb/hd/Vision360.html?d=941320540&amp;zoomslide=1&amp;z=1941320540&amp;ISCONFIRM=0","VIDEO")</f>
        <v>VIDEO</v>
      </c>
      <c r="AA1346" s="19" t="str">
        <f>HYPERLINK("https://ssdweb.co/ssdweb/CERTH/685590573.pdf","CERTI")</f>
        <v>CERTI</v>
      </c>
    </row>
    <row r="1347" spans="1:27" ht="15" x14ac:dyDescent="0.25">
      <c r="A1347" s="2">
        <v>1342</v>
      </c>
      <c r="B1347" s="39">
        <v>926311366</v>
      </c>
      <c r="C1347" s="28" t="str">
        <f>HYPERLINK("https://pld.live/RapDetail.aspx?STONELIST=926311366","DNA")</f>
        <v>DNA</v>
      </c>
      <c r="D1347" s="18" t="s">
        <v>5847</v>
      </c>
      <c r="E1347" s="18" t="s">
        <v>5128</v>
      </c>
      <c r="F1347" s="2" t="s">
        <v>5597</v>
      </c>
      <c r="G1347" s="2" t="s">
        <v>861</v>
      </c>
      <c r="H1347" s="14">
        <v>0.73</v>
      </c>
      <c r="I1347" s="2" t="s">
        <v>267</v>
      </c>
      <c r="J1347" s="2" t="s">
        <v>5144</v>
      </c>
      <c r="K1347" s="2" t="s">
        <v>5221</v>
      </c>
      <c r="L1347" s="2" t="s">
        <v>5221</v>
      </c>
      <c r="M1347" s="2" t="s">
        <v>5221</v>
      </c>
      <c r="N1347" s="2" t="s">
        <v>2317</v>
      </c>
      <c r="O1347" s="14">
        <v>3400</v>
      </c>
      <c r="P1347" s="14">
        <v>92.47</v>
      </c>
      <c r="Q1347" s="14">
        <v>256.02</v>
      </c>
      <c r="R1347" s="14">
        <v>186.89</v>
      </c>
      <c r="S1347" s="2" t="s">
        <v>824</v>
      </c>
      <c r="T1347" s="2">
        <v>1.01</v>
      </c>
      <c r="U1347" s="2">
        <v>61.9</v>
      </c>
      <c r="V1347" s="2">
        <v>56</v>
      </c>
      <c r="W1347" s="2" t="s">
        <v>7862</v>
      </c>
      <c r="X1347" s="2" t="s">
        <v>5405</v>
      </c>
      <c r="Y1347" s="2">
        <v>2482</v>
      </c>
      <c r="Z1347" s="19" t="str">
        <f>HYPERLINK("https://ssdweb.co/ssdweb/hd/Vision360.html?d=926311366&amp;zoomslide=1&amp;z=1926311366&amp;ISCONFIRM=0","VIDEO")</f>
        <v>VIDEO</v>
      </c>
      <c r="AA1347" s="19" t="str">
        <f>HYPERLINK("https://ssdweb.co/ssdweb/CERTH/2497925385.pdf","CERTI")</f>
        <v>CERTI</v>
      </c>
    </row>
    <row r="1348" spans="1:27" ht="15" x14ac:dyDescent="0.25">
      <c r="A1348" s="2">
        <v>1343</v>
      </c>
      <c r="B1348" s="39">
        <v>941080560</v>
      </c>
      <c r="C1348" s="28" t="str">
        <f>HYPERLINK("https://pld.live/RapDetail.aspx?STONELIST=941080560","DNA")</f>
        <v>DNA</v>
      </c>
      <c r="D1348" s="18" t="s">
        <v>5847</v>
      </c>
      <c r="E1348" s="18" t="s">
        <v>2186</v>
      </c>
      <c r="F1348" s="2" t="s">
        <v>7987</v>
      </c>
      <c r="G1348" s="2" t="s">
        <v>861</v>
      </c>
      <c r="H1348" s="14">
        <v>0.73</v>
      </c>
      <c r="I1348" s="2" t="s">
        <v>267</v>
      </c>
      <c r="J1348" s="2" t="s">
        <v>5144</v>
      </c>
      <c r="K1348" s="2" t="s">
        <v>5221</v>
      </c>
      <c r="L1348" s="2" t="s">
        <v>5221</v>
      </c>
      <c r="M1348" s="2" t="s">
        <v>5221</v>
      </c>
      <c r="N1348" s="2" t="s">
        <v>2317</v>
      </c>
      <c r="O1348" s="14">
        <v>3400</v>
      </c>
      <c r="P1348" s="14">
        <v>96.18</v>
      </c>
      <c r="Q1348" s="14">
        <v>129.88</v>
      </c>
      <c r="R1348" s="14">
        <v>94.81</v>
      </c>
      <c r="S1348" s="2" t="s">
        <v>3458</v>
      </c>
      <c r="T1348" s="2">
        <v>1.01</v>
      </c>
      <c r="U1348" s="2">
        <v>63.2</v>
      </c>
      <c r="V1348" s="2">
        <v>61</v>
      </c>
      <c r="W1348" s="2" t="s">
        <v>7862</v>
      </c>
      <c r="X1348" s="2" t="s">
        <v>5405</v>
      </c>
      <c r="Y1348" s="2">
        <v>2482</v>
      </c>
      <c r="Z1348" s="19" t="str">
        <f>HYPERLINK("https://ssdweb.co/ssdweb/hd/Vision360.html?d=941080560&amp;zoomslide=1&amp;z=1941080560&amp;ISCONFIRM=0","VIDEO")</f>
        <v>VIDEO</v>
      </c>
      <c r="AA1348" s="19" t="str">
        <f>HYPERLINK("https://ssdweb.co/ssdweb/CERTH/671427888.pdf","CERTI")</f>
        <v>CERTI</v>
      </c>
    </row>
    <row r="1349" spans="1:27" ht="15" x14ac:dyDescent="0.25">
      <c r="A1349" s="2">
        <v>1344</v>
      </c>
      <c r="B1349" s="39">
        <v>926111364</v>
      </c>
      <c r="C1349" s="28" t="str">
        <f>HYPERLINK("https://pld.live/RapDetail.aspx?STONELIST=926111364","DNA")</f>
        <v>DNA</v>
      </c>
      <c r="D1349" s="18" t="s">
        <v>5847</v>
      </c>
      <c r="E1349" s="18" t="s">
        <v>5128</v>
      </c>
      <c r="F1349" s="2" t="s">
        <v>7987</v>
      </c>
      <c r="G1349" s="2" t="s">
        <v>861</v>
      </c>
      <c r="H1349" s="14">
        <v>0.73</v>
      </c>
      <c r="I1349" s="2" t="s">
        <v>4761</v>
      </c>
      <c r="J1349" s="2" t="s">
        <v>3942</v>
      </c>
      <c r="K1349" s="2" t="s">
        <v>5221</v>
      </c>
      <c r="L1349" s="2" t="s">
        <v>5221</v>
      </c>
      <c r="M1349" s="2" t="s">
        <v>5221</v>
      </c>
      <c r="N1349" s="2" t="s">
        <v>2317</v>
      </c>
      <c r="O1349" s="14">
        <v>4200</v>
      </c>
      <c r="P1349" s="14">
        <v>96.93</v>
      </c>
      <c r="Q1349" s="14">
        <v>128.94</v>
      </c>
      <c r="R1349" s="14">
        <v>94.13</v>
      </c>
      <c r="S1349" s="2" t="s">
        <v>7631</v>
      </c>
      <c r="T1349" s="2">
        <v>1.01</v>
      </c>
      <c r="U1349" s="2">
        <v>62.6</v>
      </c>
      <c r="V1349" s="2">
        <v>57</v>
      </c>
      <c r="W1349" s="2" t="s">
        <v>7862</v>
      </c>
      <c r="X1349" s="2" t="s">
        <v>5405</v>
      </c>
      <c r="Y1349" s="2">
        <v>3066</v>
      </c>
      <c r="Z1349" s="19" t="str">
        <f>HYPERLINK("https://ssdweb.co/ssdweb/hd/Vision360.html?d=926111364&amp;zoomslide=1&amp;z=1926111364&amp;ISCONFIRM=0","VIDEO")</f>
        <v>VIDEO</v>
      </c>
      <c r="AA1349" s="19" t="str">
        <f>HYPERLINK("https://ssdweb.co/ssdweb/CERTH/635423850.pdf","CERTI")</f>
        <v>CERTI</v>
      </c>
    </row>
    <row r="1350" spans="1:27" ht="15" x14ac:dyDescent="0.25">
      <c r="A1350" s="2">
        <v>1345</v>
      </c>
      <c r="B1350" s="39">
        <v>926460752</v>
      </c>
      <c r="C1350" s="28" t="str">
        <f>HYPERLINK("https://pld.live/RapDetail.aspx?STONELIST=926460752","DNA")</f>
        <v>DNA</v>
      </c>
      <c r="D1350" s="18" t="s">
        <v>5847</v>
      </c>
      <c r="E1350" s="18" t="s">
        <v>5128</v>
      </c>
      <c r="F1350" s="2" t="s">
        <v>7987</v>
      </c>
      <c r="G1350" s="2" t="s">
        <v>861</v>
      </c>
      <c r="H1350" s="14">
        <v>0.73</v>
      </c>
      <c r="I1350" s="2" t="s">
        <v>4761</v>
      </c>
      <c r="J1350" s="2" t="s">
        <v>13</v>
      </c>
      <c r="K1350" s="2" t="s">
        <v>3390</v>
      </c>
      <c r="L1350" s="2" t="s">
        <v>5221</v>
      </c>
      <c r="M1350" s="2" t="s">
        <v>5721</v>
      </c>
      <c r="N1350" s="2" t="s">
        <v>2317</v>
      </c>
      <c r="O1350" s="14">
        <v>3700</v>
      </c>
      <c r="P1350" s="14">
        <v>96.65</v>
      </c>
      <c r="Q1350" s="14">
        <v>123.95</v>
      </c>
      <c r="R1350" s="14">
        <v>90.48</v>
      </c>
      <c r="S1350" s="2" t="s">
        <v>6456</v>
      </c>
      <c r="T1350" s="2">
        <v>1.01</v>
      </c>
      <c r="U1350" s="2">
        <v>60.2</v>
      </c>
      <c r="V1350" s="2">
        <v>60</v>
      </c>
      <c r="W1350" s="2" t="s">
        <v>7862</v>
      </c>
      <c r="X1350" s="2" t="s">
        <v>5405</v>
      </c>
      <c r="Y1350" s="2">
        <v>2701</v>
      </c>
      <c r="Z1350" s="19" t="str">
        <f>HYPERLINK("https://ssdweb.co/ssdweb/hd/Vision360.html?d=926460752&amp;zoomslide=1&amp;z=1926460752&amp;ISCONFIRM=0","VIDEO")</f>
        <v>VIDEO</v>
      </c>
      <c r="AA1350" s="19" t="str">
        <f>HYPERLINK("https://ssdweb.co/ssdweb/CERTH/648487056.pdf","CERTI")</f>
        <v>CERTI</v>
      </c>
    </row>
    <row r="1351" spans="1:27" ht="15" x14ac:dyDescent="0.25">
      <c r="A1351" s="2">
        <v>1346</v>
      </c>
      <c r="B1351" s="39">
        <v>926311380</v>
      </c>
      <c r="C1351" s="28" t="str">
        <f>HYPERLINK("https://pld.live/RapDetail.aspx?STONELIST=926311380","DNA")</f>
        <v>DNA</v>
      </c>
      <c r="D1351" s="18" t="s">
        <v>5847</v>
      </c>
      <c r="E1351" s="18" t="s">
        <v>5128</v>
      </c>
      <c r="F1351" s="2" t="s">
        <v>5597</v>
      </c>
      <c r="G1351" s="2" t="s">
        <v>861</v>
      </c>
      <c r="H1351" s="14">
        <v>0.73</v>
      </c>
      <c r="I1351" s="2" t="s">
        <v>4761</v>
      </c>
      <c r="J1351" s="2" t="s">
        <v>5144</v>
      </c>
      <c r="K1351" s="2" t="s">
        <v>5221</v>
      </c>
      <c r="L1351" s="2" t="s">
        <v>5221</v>
      </c>
      <c r="M1351" s="2" t="s">
        <v>5221</v>
      </c>
      <c r="N1351" s="2" t="s">
        <v>2317</v>
      </c>
      <c r="O1351" s="14">
        <v>3200</v>
      </c>
      <c r="P1351" s="14">
        <v>92.16</v>
      </c>
      <c r="Q1351" s="14">
        <v>250.88</v>
      </c>
      <c r="R1351" s="14">
        <v>183.14</v>
      </c>
      <c r="S1351" s="2" t="s">
        <v>1580</v>
      </c>
      <c r="T1351" s="2">
        <v>1.01</v>
      </c>
      <c r="U1351" s="2">
        <v>62</v>
      </c>
      <c r="V1351" s="2">
        <v>57</v>
      </c>
      <c r="W1351" s="2" t="s">
        <v>7862</v>
      </c>
      <c r="X1351" s="2" t="s">
        <v>5405</v>
      </c>
      <c r="Y1351" s="2">
        <v>2336</v>
      </c>
      <c r="Z1351" s="19" t="str">
        <f>HYPERLINK("https://ssdweb.co/ssdweb/hd/Vision360.html?d=926311380&amp;zoomslide=1&amp;z=1926311380&amp;ISCONFIRM=0","VIDEO")</f>
        <v>VIDEO</v>
      </c>
      <c r="AA1351" s="19" t="str">
        <f>HYPERLINK("https://ssdweb.co/ssdweb/CERTH/2496925351.pdf","CERTI")</f>
        <v>CERTI</v>
      </c>
    </row>
    <row r="1352" spans="1:27" ht="15" x14ac:dyDescent="0.25">
      <c r="A1352" s="2">
        <v>1347</v>
      </c>
      <c r="B1352" s="39">
        <v>926731221</v>
      </c>
      <c r="C1352" s="28" t="str">
        <f>HYPERLINK("https://pld.live/RapDetail.aspx?STONELIST=926731221","DNA")</f>
        <v>DNA</v>
      </c>
      <c r="D1352" s="18" t="s">
        <v>5847</v>
      </c>
      <c r="E1352" s="18" t="s">
        <v>5128</v>
      </c>
      <c r="F1352" s="2" t="s">
        <v>7987</v>
      </c>
      <c r="G1352" s="2" t="s">
        <v>861</v>
      </c>
      <c r="H1352" s="14">
        <v>0.72</v>
      </c>
      <c r="I1352" s="2" t="s">
        <v>267</v>
      </c>
      <c r="J1352" s="2" t="s">
        <v>3942</v>
      </c>
      <c r="K1352" s="2" t="s">
        <v>3390</v>
      </c>
      <c r="L1352" s="2" t="s">
        <v>5221</v>
      </c>
      <c r="M1352" s="2" t="s">
        <v>5721</v>
      </c>
      <c r="N1352" s="2" t="s">
        <v>2317</v>
      </c>
      <c r="O1352" s="14">
        <v>4500</v>
      </c>
      <c r="P1352" s="14">
        <v>96.98</v>
      </c>
      <c r="Q1352" s="14">
        <v>135.9</v>
      </c>
      <c r="R1352" s="14">
        <v>97.85</v>
      </c>
      <c r="S1352" s="2" t="s">
        <v>1069</v>
      </c>
      <c r="T1352" s="2">
        <v>1.01</v>
      </c>
      <c r="U1352" s="2">
        <v>61.4</v>
      </c>
      <c r="V1352" s="2">
        <v>59</v>
      </c>
      <c r="W1352" s="2" t="s">
        <v>7862</v>
      </c>
      <c r="X1352" s="2" t="s">
        <v>5405</v>
      </c>
      <c r="Y1352" s="2">
        <v>3240</v>
      </c>
      <c r="Z1352" s="19" t="str">
        <f>HYPERLINK("https://ssdweb.co/ssdweb/hd/Vision360.html?d=926731221&amp;zoomslide=1&amp;z=1926731221&amp;ISCONFIRM=0","VIDEO")</f>
        <v>VIDEO</v>
      </c>
      <c r="AA1352" s="19" t="str">
        <f>HYPERLINK("https://ssdweb.co/ssdweb/CERTH/681569590.pdf","CERTI")</f>
        <v>CERTI</v>
      </c>
    </row>
    <row r="1353" spans="1:27" ht="15" x14ac:dyDescent="0.25">
      <c r="A1353" s="2">
        <v>1348</v>
      </c>
      <c r="B1353" s="39">
        <v>926211170</v>
      </c>
      <c r="C1353" s="28" t="str">
        <f>HYPERLINK("https://pld.live/RapDetail.aspx?STONELIST=926211170","DNA")</f>
        <v>DNA</v>
      </c>
      <c r="D1353" s="18" t="s">
        <v>5847</v>
      </c>
      <c r="E1353" s="18" t="s">
        <v>5128</v>
      </c>
      <c r="F1353" s="2" t="s">
        <v>7987</v>
      </c>
      <c r="G1353" s="2" t="s">
        <v>861</v>
      </c>
      <c r="H1353" s="14">
        <v>0.72</v>
      </c>
      <c r="I1353" s="2" t="s">
        <v>267</v>
      </c>
      <c r="J1353" s="2" t="s">
        <v>3942</v>
      </c>
      <c r="K1353" s="2" t="s">
        <v>3390</v>
      </c>
      <c r="L1353" s="2" t="s">
        <v>5721</v>
      </c>
      <c r="M1353" s="2" t="s">
        <v>5721</v>
      </c>
      <c r="N1353" s="2" t="s">
        <v>2317</v>
      </c>
      <c r="O1353" s="14">
        <v>4500</v>
      </c>
      <c r="P1353" s="14">
        <v>97.11</v>
      </c>
      <c r="Q1353" s="14">
        <v>130.05000000000001</v>
      </c>
      <c r="R1353" s="14">
        <v>93.64</v>
      </c>
      <c r="S1353" s="2" t="s">
        <v>5938</v>
      </c>
      <c r="T1353" s="2">
        <v>1</v>
      </c>
      <c r="U1353" s="2">
        <v>62.4</v>
      </c>
      <c r="V1353" s="2">
        <v>58</v>
      </c>
      <c r="W1353" s="2" t="s">
        <v>7862</v>
      </c>
      <c r="X1353" s="2" t="s">
        <v>5405</v>
      </c>
      <c r="Y1353" s="2">
        <v>3240</v>
      </c>
      <c r="Z1353" s="19" t="str">
        <f>HYPERLINK("https://ssdweb.co/ssdweb/hd/Vision360.html?d=926211170&amp;zoomslide=1&amp;z=1926211170&amp;ISCONFIRM=0","VIDEO")</f>
        <v>VIDEO</v>
      </c>
      <c r="AA1353" s="19" t="str">
        <f>HYPERLINK("https://ssdweb.co/ssdweb/CERTH/639438806.pdf","CERTI")</f>
        <v>CERTI</v>
      </c>
    </row>
    <row r="1354" spans="1:27" ht="15" x14ac:dyDescent="0.25">
      <c r="A1354" s="2">
        <v>1349</v>
      </c>
      <c r="B1354" s="39">
        <v>925790842</v>
      </c>
      <c r="C1354" s="28" t="str">
        <f>HYPERLINK("https://pld.live/RapDetail.aspx?STONELIST=925790842","DNA")</f>
        <v>DNA</v>
      </c>
      <c r="D1354" s="18" t="s">
        <v>5847</v>
      </c>
      <c r="E1354" s="18" t="s">
        <v>5128</v>
      </c>
      <c r="F1354" s="2" t="s">
        <v>7987</v>
      </c>
      <c r="G1354" s="2" t="s">
        <v>861</v>
      </c>
      <c r="H1354" s="14">
        <v>0.72</v>
      </c>
      <c r="I1354" s="2" t="s">
        <v>267</v>
      </c>
      <c r="J1354" s="2" t="s">
        <v>3942</v>
      </c>
      <c r="K1354" s="2" t="s">
        <v>5221</v>
      </c>
      <c r="L1354" s="2" t="s">
        <v>5221</v>
      </c>
      <c r="M1354" s="2" t="s">
        <v>5221</v>
      </c>
      <c r="N1354" s="2" t="s">
        <v>2317</v>
      </c>
      <c r="O1354" s="14">
        <v>4500</v>
      </c>
      <c r="P1354" s="14">
        <v>97.07</v>
      </c>
      <c r="Q1354" s="14">
        <v>131.85</v>
      </c>
      <c r="R1354" s="14">
        <v>94.93</v>
      </c>
      <c r="S1354" s="2" t="s">
        <v>5570</v>
      </c>
      <c r="T1354" s="2">
        <v>1.01</v>
      </c>
      <c r="U1354" s="2">
        <v>59.6</v>
      </c>
      <c r="V1354" s="2">
        <v>61</v>
      </c>
      <c r="W1354" s="2" t="s">
        <v>7862</v>
      </c>
      <c r="X1354" s="2" t="s">
        <v>5405</v>
      </c>
      <c r="Y1354" s="2">
        <v>3240</v>
      </c>
      <c r="Z1354" s="19" t="str">
        <f>HYPERLINK("https://ssdweb.co/ssdweb/hd/Vision360.html?d=925790842&amp;zoomslide=1&amp;z=1925790842&amp;ISCONFIRM=0","VIDEO")</f>
        <v>VIDEO</v>
      </c>
      <c r="AA1354" s="19" t="str">
        <f>HYPERLINK("https://ssdweb.co/ssdweb/CERTH/625432105.pdf","CERTI")</f>
        <v>CERTI</v>
      </c>
    </row>
    <row r="1355" spans="1:27" ht="15" x14ac:dyDescent="0.25">
      <c r="A1355" s="2">
        <v>1350</v>
      </c>
      <c r="B1355" s="39">
        <v>926221294</v>
      </c>
      <c r="C1355" s="28" t="str">
        <f>HYPERLINK("https://pld.live/RapDetail.aspx?STONELIST=926221294","DNA")</f>
        <v>DNA</v>
      </c>
      <c r="D1355" s="18" t="s">
        <v>5847</v>
      </c>
      <c r="E1355" s="18" t="s">
        <v>5128</v>
      </c>
      <c r="F1355" s="2" t="s">
        <v>7987</v>
      </c>
      <c r="G1355" s="2" t="s">
        <v>861</v>
      </c>
      <c r="H1355" s="14">
        <v>0.72</v>
      </c>
      <c r="I1355" s="2" t="s">
        <v>267</v>
      </c>
      <c r="J1355" s="2" t="s">
        <v>3942</v>
      </c>
      <c r="K1355" s="2" t="s">
        <v>5221</v>
      </c>
      <c r="L1355" s="2" t="s">
        <v>5221</v>
      </c>
      <c r="M1355" s="2" t="s">
        <v>5221</v>
      </c>
      <c r="N1355" s="2" t="s">
        <v>2317</v>
      </c>
      <c r="O1355" s="14">
        <v>4500</v>
      </c>
      <c r="P1355" s="14">
        <v>97.02</v>
      </c>
      <c r="Q1355" s="14">
        <v>134.1</v>
      </c>
      <c r="R1355" s="14">
        <v>96.55</v>
      </c>
      <c r="S1355" s="2" t="s">
        <v>5196</v>
      </c>
      <c r="T1355" s="2">
        <v>1.01</v>
      </c>
      <c r="U1355" s="2">
        <v>62.7</v>
      </c>
      <c r="V1355" s="2">
        <v>56</v>
      </c>
      <c r="W1355" s="2" t="s">
        <v>7862</v>
      </c>
      <c r="X1355" s="2" t="s">
        <v>5405</v>
      </c>
      <c r="Y1355" s="2">
        <v>3240</v>
      </c>
      <c r="Z1355" s="19" t="str">
        <f>HYPERLINK("https://ssdweb.co/ssdweb/hd/Vision360.html?d=926221294&amp;zoomslide=1&amp;z=1926221294&amp;ISCONFIRM=0","VIDEO")</f>
        <v>VIDEO</v>
      </c>
      <c r="AA1355" s="19" t="str">
        <f>HYPERLINK("https://ssdweb.co/ssdweb/CERTH/640473980.pdf","CERTI")</f>
        <v>CERTI</v>
      </c>
    </row>
    <row r="1356" spans="1:27" ht="15" x14ac:dyDescent="0.25">
      <c r="A1356" s="2">
        <v>1351</v>
      </c>
      <c r="B1356" s="39">
        <v>926250562</v>
      </c>
      <c r="C1356" s="28" t="str">
        <f>HYPERLINK("https://pld.live/RapDetail.aspx?STONELIST=926250562","DNA")</f>
        <v>DNA</v>
      </c>
      <c r="D1356" s="18" t="s">
        <v>5847</v>
      </c>
      <c r="E1356" s="18" t="s">
        <v>5128</v>
      </c>
      <c r="F1356" s="2" t="s">
        <v>7987</v>
      </c>
      <c r="G1356" s="2" t="s">
        <v>861</v>
      </c>
      <c r="H1356" s="14">
        <v>0.72</v>
      </c>
      <c r="I1356" s="2" t="s">
        <v>267</v>
      </c>
      <c r="J1356" s="2" t="s">
        <v>3942</v>
      </c>
      <c r="K1356" s="2" t="s">
        <v>5221</v>
      </c>
      <c r="L1356" s="2" t="s">
        <v>5221</v>
      </c>
      <c r="M1356" s="2" t="s">
        <v>5221</v>
      </c>
      <c r="N1356" s="2" t="s">
        <v>2317</v>
      </c>
      <c r="O1356" s="14">
        <v>4500</v>
      </c>
      <c r="P1356" s="14">
        <v>97.02</v>
      </c>
      <c r="Q1356" s="14">
        <v>134.1</v>
      </c>
      <c r="R1356" s="14">
        <v>96.55</v>
      </c>
      <c r="S1356" s="2" t="s">
        <v>4376</v>
      </c>
      <c r="T1356" s="2">
        <v>1</v>
      </c>
      <c r="U1356" s="2">
        <v>63.5</v>
      </c>
      <c r="V1356" s="2">
        <v>57</v>
      </c>
      <c r="W1356" s="2" t="s">
        <v>7862</v>
      </c>
      <c r="X1356" s="2" t="s">
        <v>5405</v>
      </c>
      <c r="Y1356" s="2">
        <v>3240</v>
      </c>
      <c r="Z1356" s="19" t="str">
        <f>HYPERLINK("https://ssdweb.co/ssdweb/hd/Vision360.html?d=926250562&amp;zoomslide=1&amp;z=1926250562&amp;ISCONFIRM=0","VIDEO")</f>
        <v>VIDEO</v>
      </c>
      <c r="AA1356" s="19" t="str">
        <f>HYPERLINK("https://ssdweb.co/ssdweb/CERTH/640485566.pdf","CERTI")</f>
        <v>CERTI</v>
      </c>
    </row>
    <row r="1357" spans="1:27" ht="15" x14ac:dyDescent="0.25">
      <c r="A1357" s="2">
        <v>1352</v>
      </c>
      <c r="B1357" s="39">
        <v>926211186</v>
      </c>
      <c r="C1357" s="28" t="str">
        <f>HYPERLINK("https://pld.live/RapDetail.aspx?STONELIST=926211186","DNA")</f>
        <v>DNA</v>
      </c>
      <c r="D1357" s="18" t="s">
        <v>5847</v>
      </c>
      <c r="E1357" s="18" t="s">
        <v>5128</v>
      </c>
      <c r="F1357" s="2" t="s">
        <v>7987</v>
      </c>
      <c r="G1357" s="2" t="s">
        <v>861</v>
      </c>
      <c r="H1357" s="14">
        <v>0.72</v>
      </c>
      <c r="I1357" s="2" t="s">
        <v>267</v>
      </c>
      <c r="J1357" s="2" t="s">
        <v>3942</v>
      </c>
      <c r="K1357" s="2" t="s">
        <v>5221</v>
      </c>
      <c r="L1357" s="2" t="s">
        <v>5221</v>
      </c>
      <c r="M1357" s="2" t="s">
        <v>5221</v>
      </c>
      <c r="N1357" s="2" t="s">
        <v>2317</v>
      </c>
      <c r="O1357" s="14">
        <v>4500</v>
      </c>
      <c r="P1357" s="14">
        <v>97.02</v>
      </c>
      <c r="Q1357" s="14">
        <v>134.1</v>
      </c>
      <c r="R1357" s="14">
        <v>96.55</v>
      </c>
      <c r="S1357" s="2" t="s">
        <v>543</v>
      </c>
      <c r="T1357" s="2">
        <v>1</v>
      </c>
      <c r="U1357" s="2">
        <v>62.4</v>
      </c>
      <c r="V1357" s="2">
        <v>55</v>
      </c>
      <c r="W1357" s="2" t="s">
        <v>7862</v>
      </c>
      <c r="X1357" s="2" t="s">
        <v>5405</v>
      </c>
      <c r="Y1357" s="2">
        <v>3240</v>
      </c>
      <c r="Z1357" s="19" t="str">
        <f>HYPERLINK("https://ssdweb.co/ssdweb/hd/Vision360.html?d=926211186&amp;zoomslide=1&amp;z=1926211186&amp;ISCONFIRM=0","VIDEO")</f>
        <v>VIDEO</v>
      </c>
      <c r="AA1357" s="19" t="str">
        <f>HYPERLINK("https://ssdweb.co/ssdweb/CERTH/639438748.pdf","CERTI")</f>
        <v>CERTI</v>
      </c>
    </row>
    <row r="1358" spans="1:27" ht="15" x14ac:dyDescent="0.25">
      <c r="A1358" s="2">
        <v>1353</v>
      </c>
      <c r="B1358" s="39">
        <v>926250583</v>
      </c>
      <c r="C1358" s="28" t="str">
        <f>HYPERLINK("https://pld.live/RapDetail.aspx?STONELIST=926250583","DNA")</f>
        <v>DNA</v>
      </c>
      <c r="D1358" s="18" t="s">
        <v>5847</v>
      </c>
      <c r="E1358" s="18" t="s">
        <v>5128</v>
      </c>
      <c r="F1358" s="2" t="s">
        <v>7987</v>
      </c>
      <c r="G1358" s="2" t="s">
        <v>861</v>
      </c>
      <c r="H1358" s="14">
        <v>0.72</v>
      </c>
      <c r="I1358" s="2" t="s">
        <v>267</v>
      </c>
      <c r="J1358" s="2" t="s">
        <v>3942</v>
      </c>
      <c r="K1358" s="2" t="s">
        <v>5221</v>
      </c>
      <c r="L1358" s="2" t="s">
        <v>5221</v>
      </c>
      <c r="M1358" s="2" t="s">
        <v>5221</v>
      </c>
      <c r="N1358" s="2" t="s">
        <v>2317</v>
      </c>
      <c r="O1358" s="14">
        <v>4500</v>
      </c>
      <c r="P1358" s="14">
        <v>97.02</v>
      </c>
      <c r="Q1358" s="14">
        <v>134.1</v>
      </c>
      <c r="R1358" s="14">
        <v>96.55</v>
      </c>
      <c r="S1358" s="2" t="s">
        <v>5807</v>
      </c>
      <c r="T1358" s="2">
        <v>1</v>
      </c>
      <c r="U1358" s="2">
        <v>60</v>
      </c>
      <c r="V1358" s="2">
        <v>61</v>
      </c>
      <c r="W1358" s="2" t="s">
        <v>7862</v>
      </c>
      <c r="X1358" s="2" t="s">
        <v>5405</v>
      </c>
      <c r="Y1358" s="2">
        <v>3240</v>
      </c>
      <c r="Z1358" s="19" t="str">
        <f>HYPERLINK("https://ssdweb.co/ssdweb/hd/Vision360.html?d=926250583&amp;zoomslide=1&amp;z=1926250583&amp;ISCONFIRM=0","VIDEO")</f>
        <v>VIDEO</v>
      </c>
      <c r="AA1358" s="19" t="str">
        <f>HYPERLINK("https://ssdweb.co/ssdweb/CERTH/640485577.pdf","CERTI")</f>
        <v>CERTI</v>
      </c>
    </row>
    <row r="1359" spans="1:27" ht="15" x14ac:dyDescent="0.25">
      <c r="A1359" s="2">
        <v>1354</v>
      </c>
      <c r="B1359" s="39">
        <v>926270895</v>
      </c>
      <c r="C1359" s="28" t="str">
        <f>HYPERLINK("https://pld.live/RapDetail.aspx?STONELIST=926270895","DNA")</f>
        <v>DNA</v>
      </c>
      <c r="D1359" s="18" t="s">
        <v>5847</v>
      </c>
      <c r="E1359" s="18" t="s">
        <v>5128</v>
      </c>
      <c r="F1359" s="2" t="s">
        <v>7987</v>
      </c>
      <c r="G1359" s="2" t="s">
        <v>861</v>
      </c>
      <c r="H1359" s="14">
        <v>0.72</v>
      </c>
      <c r="I1359" s="2" t="s">
        <v>267</v>
      </c>
      <c r="J1359" s="2" t="s">
        <v>3942</v>
      </c>
      <c r="K1359" s="2" t="s">
        <v>5221</v>
      </c>
      <c r="L1359" s="2" t="s">
        <v>5221</v>
      </c>
      <c r="M1359" s="2" t="s">
        <v>5721</v>
      </c>
      <c r="N1359" s="2" t="s">
        <v>2317</v>
      </c>
      <c r="O1359" s="14">
        <v>4500</v>
      </c>
      <c r="P1359" s="14">
        <v>97.02</v>
      </c>
      <c r="Q1359" s="14">
        <v>134.1</v>
      </c>
      <c r="R1359" s="14">
        <v>96.55</v>
      </c>
      <c r="S1359" s="2" t="s">
        <v>5415</v>
      </c>
      <c r="T1359" s="2">
        <v>1.01</v>
      </c>
      <c r="U1359" s="2">
        <v>63</v>
      </c>
      <c r="V1359" s="2">
        <v>57</v>
      </c>
      <c r="W1359" s="2" t="s">
        <v>7862</v>
      </c>
      <c r="X1359" s="2" t="s">
        <v>5405</v>
      </c>
      <c r="Y1359" s="2">
        <v>3240</v>
      </c>
      <c r="Z1359" s="19" t="str">
        <f>HYPERLINK("https://ssdweb.co/ssdweb/hd/Vision360.html?d=926270895&amp;zoomslide=1&amp;z=1926270895&amp;ISCONFIRM=0","VIDEO")</f>
        <v>VIDEO</v>
      </c>
      <c r="AA1359" s="19" t="str">
        <f>HYPERLINK("https://ssdweb.co/ssdweb/CERTH/653451019.pdf","CERTI")</f>
        <v>CERTI</v>
      </c>
    </row>
    <row r="1360" spans="1:27" ht="15" x14ac:dyDescent="0.25">
      <c r="A1360" s="2">
        <v>1355</v>
      </c>
      <c r="B1360" s="39">
        <v>925750403</v>
      </c>
      <c r="C1360" s="28" t="str">
        <f>HYPERLINK("https://pld.live/RapDetail.aspx?STONELIST=925750403","DNA")</f>
        <v>DNA</v>
      </c>
      <c r="D1360" s="18" t="s">
        <v>5847</v>
      </c>
      <c r="E1360" s="18" t="s">
        <v>5128</v>
      </c>
      <c r="F1360" s="2" t="s">
        <v>5597</v>
      </c>
      <c r="G1360" s="2" t="s">
        <v>861</v>
      </c>
      <c r="H1360" s="14">
        <v>0.72</v>
      </c>
      <c r="I1360" s="2" t="s">
        <v>267</v>
      </c>
      <c r="J1360" s="2" t="s">
        <v>3942</v>
      </c>
      <c r="K1360" s="2" t="s">
        <v>5221</v>
      </c>
      <c r="L1360" s="2" t="s">
        <v>5721</v>
      </c>
      <c r="M1360" s="2" t="s">
        <v>5221</v>
      </c>
      <c r="N1360" s="2" t="s">
        <v>2317</v>
      </c>
      <c r="O1360" s="14">
        <v>4500</v>
      </c>
      <c r="P1360" s="14">
        <v>94.07</v>
      </c>
      <c r="Q1360" s="14">
        <v>266.85000000000002</v>
      </c>
      <c r="R1360" s="14">
        <v>192.13</v>
      </c>
      <c r="S1360" s="2" t="s">
        <v>6734</v>
      </c>
      <c r="T1360" s="2">
        <v>1.01</v>
      </c>
      <c r="U1360" s="2">
        <v>62.6</v>
      </c>
      <c r="V1360" s="2">
        <v>57</v>
      </c>
      <c r="W1360" s="2" t="s">
        <v>7862</v>
      </c>
      <c r="X1360" s="2" t="s">
        <v>5405</v>
      </c>
      <c r="Y1360" s="2">
        <v>3240</v>
      </c>
      <c r="Z1360" s="19" t="str">
        <f>HYPERLINK("https://ssdweb.co/ssdweb/hd/Vision360.html?d=925750403&amp;zoomslide=1&amp;z=1925750403&amp;ISCONFIRM=0","VIDEO")</f>
        <v>VIDEO</v>
      </c>
      <c r="AA1360" s="19" t="str">
        <f>HYPERLINK("https://ssdweb.co/ssdweb/CERTH/7481652840.pdf","CERTI")</f>
        <v>CERTI</v>
      </c>
    </row>
    <row r="1361" spans="1:27" ht="15" x14ac:dyDescent="0.25">
      <c r="A1361" s="2">
        <v>1356</v>
      </c>
      <c r="B1361" s="39">
        <v>926221367</v>
      </c>
      <c r="C1361" s="28" t="str">
        <f>HYPERLINK("https://pld.live/RapDetail.aspx?STONELIST=926221367","DNA")</f>
        <v>DNA</v>
      </c>
      <c r="D1361" s="18" t="s">
        <v>5847</v>
      </c>
      <c r="E1361" s="18" t="s">
        <v>5128</v>
      </c>
      <c r="F1361" s="2" t="s">
        <v>7987</v>
      </c>
      <c r="G1361" s="2" t="s">
        <v>861</v>
      </c>
      <c r="H1361" s="14">
        <v>0.72</v>
      </c>
      <c r="I1361" s="2" t="s">
        <v>267</v>
      </c>
      <c r="J1361" s="2" t="s">
        <v>3942</v>
      </c>
      <c r="K1361" s="2" t="s">
        <v>5221</v>
      </c>
      <c r="L1361" s="2" t="s">
        <v>5721</v>
      </c>
      <c r="M1361" s="2" t="s">
        <v>5221</v>
      </c>
      <c r="N1361" s="2" t="s">
        <v>2317</v>
      </c>
      <c r="O1361" s="14">
        <v>4500</v>
      </c>
      <c r="P1361" s="14">
        <v>97.07</v>
      </c>
      <c r="Q1361" s="14">
        <v>131.85</v>
      </c>
      <c r="R1361" s="14">
        <v>94.93</v>
      </c>
      <c r="S1361" s="2" t="s">
        <v>4258</v>
      </c>
      <c r="T1361" s="2">
        <v>1</v>
      </c>
      <c r="U1361" s="2">
        <v>63</v>
      </c>
      <c r="V1361" s="2">
        <v>57</v>
      </c>
      <c r="W1361" s="2" t="s">
        <v>7862</v>
      </c>
      <c r="X1361" s="2" t="s">
        <v>5405</v>
      </c>
      <c r="Y1361" s="2">
        <v>3240</v>
      </c>
      <c r="Z1361" s="19" t="str">
        <f>HYPERLINK("https://ssdweb.co/ssdweb/hd/Vision360.html?d=926221367&amp;zoomslide=1&amp;z=1926221367&amp;ISCONFIRM=0","VIDEO")</f>
        <v>VIDEO</v>
      </c>
      <c r="AA1361" s="19" t="str">
        <f>HYPERLINK("https://ssdweb.co/ssdweb/CERTH/640473896.pdf","CERTI")</f>
        <v>CERTI</v>
      </c>
    </row>
    <row r="1362" spans="1:27" ht="15" x14ac:dyDescent="0.25">
      <c r="A1362" s="2">
        <v>1357</v>
      </c>
      <c r="B1362" s="39">
        <v>926250621</v>
      </c>
      <c r="C1362" s="28" t="str">
        <f>HYPERLINK("https://pld.live/RapDetail.aspx?STONELIST=926250621","DNA")</f>
        <v>DNA</v>
      </c>
      <c r="D1362" s="18" t="s">
        <v>5847</v>
      </c>
      <c r="E1362" s="18" t="s">
        <v>5128</v>
      </c>
      <c r="F1362" s="2" t="s">
        <v>7987</v>
      </c>
      <c r="G1362" s="2" t="s">
        <v>861</v>
      </c>
      <c r="H1362" s="14">
        <v>0.72</v>
      </c>
      <c r="I1362" s="2" t="s">
        <v>267</v>
      </c>
      <c r="J1362" s="2" t="s">
        <v>3942</v>
      </c>
      <c r="K1362" s="2" t="s">
        <v>5221</v>
      </c>
      <c r="L1362" s="2" t="s">
        <v>5721</v>
      </c>
      <c r="M1362" s="2" t="s">
        <v>5221</v>
      </c>
      <c r="N1362" s="2" t="s">
        <v>2317</v>
      </c>
      <c r="O1362" s="14">
        <v>4500</v>
      </c>
      <c r="P1362" s="14">
        <v>97.07</v>
      </c>
      <c r="Q1362" s="14">
        <v>131.85</v>
      </c>
      <c r="R1362" s="14">
        <v>94.93</v>
      </c>
      <c r="S1362" s="2" t="s">
        <v>1866</v>
      </c>
      <c r="T1362" s="2">
        <v>1.01</v>
      </c>
      <c r="U1362" s="2">
        <v>63.4</v>
      </c>
      <c r="V1362" s="2">
        <v>59</v>
      </c>
      <c r="W1362" s="2" t="s">
        <v>7862</v>
      </c>
      <c r="X1362" s="2" t="s">
        <v>5405</v>
      </c>
      <c r="Y1362" s="2">
        <v>3240</v>
      </c>
      <c r="Z1362" s="19" t="str">
        <f>HYPERLINK("https://ssdweb.co/ssdweb/hd/Vision360.html?d=926250621&amp;zoomslide=1&amp;z=1926250621&amp;ISCONFIRM=0","VIDEO")</f>
        <v>VIDEO</v>
      </c>
      <c r="AA1362" s="19" t="str">
        <f>HYPERLINK("https://ssdweb.co/ssdweb/CERTH/640485585.pdf","CERTI")</f>
        <v>CERTI</v>
      </c>
    </row>
    <row r="1363" spans="1:27" ht="15" x14ac:dyDescent="0.25">
      <c r="A1363" s="2">
        <v>1358</v>
      </c>
      <c r="B1363" s="39">
        <v>926221315</v>
      </c>
      <c r="C1363" s="28" t="str">
        <f>HYPERLINK("https://pld.live/RapDetail.aspx?STONELIST=926221315","DNA")</f>
        <v>DNA</v>
      </c>
      <c r="D1363" s="18" t="s">
        <v>5847</v>
      </c>
      <c r="E1363" s="18" t="s">
        <v>5128</v>
      </c>
      <c r="F1363" s="2" t="s">
        <v>7987</v>
      </c>
      <c r="G1363" s="2" t="s">
        <v>861</v>
      </c>
      <c r="H1363" s="14">
        <v>0.72</v>
      </c>
      <c r="I1363" s="2" t="s">
        <v>267</v>
      </c>
      <c r="J1363" s="2" t="s">
        <v>3942</v>
      </c>
      <c r="K1363" s="2" t="s">
        <v>5221</v>
      </c>
      <c r="L1363" s="2" t="s">
        <v>5721</v>
      </c>
      <c r="M1363" s="2" t="s">
        <v>5721</v>
      </c>
      <c r="N1363" s="2" t="s">
        <v>2317</v>
      </c>
      <c r="O1363" s="14">
        <v>4500</v>
      </c>
      <c r="P1363" s="14">
        <v>97.11</v>
      </c>
      <c r="Q1363" s="14">
        <v>130.05000000000001</v>
      </c>
      <c r="R1363" s="14">
        <v>93.64</v>
      </c>
      <c r="S1363" s="2" t="s">
        <v>5855</v>
      </c>
      <c r="T1363" s="2">
        <v>1.01</v>
      </c>
      <c r="U1363" s="2">
        <v>62.6</v>
      </c>
      <c r="V1363" s="2">
        <v>56</v>
      </c>
      <c r="W1363" s="2" t="s">
        <v>7862</v>
      </c>
      <c r="X1363" s="2" t="s">
        <v>5405</v>
      </c>
      <c r="Y1363" s="2">
        <v>3240</v>
      </c>
      <c r="Z1363" s="19" t="str">
        <f>HYPERLINK("https://ssdweb.co/ssdweb/hd/Vision360.html?d=926221315&amp;zoomslide=1&amp;z=1926221315&amp;ISCONFIRM=0","VIDEO")</f>
        <v>VIDEO</v>
      </c>
      <c r="AA1363" s="19" t="str">
        <f>HYPERLINK("https://ssdweb.co/ssdweb/CERTH/640473912.pdf","CERTI")</f>
        <v>CERTI</v>
      </c>
    </row>
    <row r="1364" spans="1:27" ht="15" x14ac:dyDescent="0.25">
      <c r="A1364" s="2">
        <v>1359</v>
      </c>
      <c r="B1364" s="39">
        <v>926221327</v>
      </c>
      <c r="C1364" s="28" t="str">
        <f>HYPERLINK("https://pld.live/RapDetail.aspx?STONELIST=926221327","DNA")</f>
        <v>DNA</v>
      </c>
      <c r="D1364" s="18" t="s">
        <v>5847</v>
      </c>
      <c r="E1364" s="18" t="s">
        <v>5128</v>
      </c>
      <c r="F1364" s="2" t="s">
        <v>7987</v>
      </c>
      <c r="G1364" s="2" t="s">
        <v>861</v>
      </c>
      <c r="H1364" s="14">
        <v>0.72</v>
      </c>
      <c r="I1364" s="2" t="s">
        <v>267</v>
      </c>
      <c r="J1364" s="2" t="s">
        <v>13</v>
      </c>
      <c r="K1364" s="2" t="s">
        <v>3390</v>
      </c>
      <c r="L1364" s="2" t="s">
        <v>5221</v>
      </c>
      <c r="M1364" s="2" t="s">
        <v>5721</v>
      </c>
      <c r="N1364" s="2" t="s">
        <v>2317</v>
      </c>
      <c r="O1364" s="14">
        <v>3900</v>
      </c>
      <c r="P1364" s="14">
        <v>96.77</v>
      </c>
      <c r="Q1364" s="14">
        <v>125.97</v>
      </c>
      <c r="R1364" s="14">
        <v>90.7</v>
      </c>
      <c r="S1364" s="2" t="s">
        <v>4595</v>
      </c>
      <c r="T1364" s="2">
        <v>1.01</v>
      </c>
      <c r="U1364" s="2">
        <v>61</v>
      </c>
      <c r="V1364" s="2">
        <v>58</v>
      </c>
      <c r="W1364" s="2" t="s">
        <v>7862</v>
      </c>
      <c r="X1364" s="2" t="s">
        <v>5405</v>
      </c>
      <c r="Y1364" s="2">
        <v>2808</v>
      </c>
      <c r="Z1364" s="19" t="str">
        <f>HYPERLINK("https://ssdweb.co/ssdweb/hd/Vision360.html?d=926221327&amp;zoomslide=1&amp;z=1926221327&amp;ISCONFIRM=0","VIDEO")</f>
        <v>VIDEO</v>
      </c>
      <c r="AA1364" s="19" t="str">
        <f>HYPERLINK("https://ssdweb.co/ssdweb/CERTH/640473903.pdf","CERTI")</f>
        <v>CERTI</v>
      </c>
    </row>
    <row r="1365" spans="1:27" ht="15" x14ac:dyDescent="0.25">
      <c r="A1365" s="2">
        <v>1360</v>
      </c>
      <c r="B1365" s="39">
        <v>925790943</v>
      </c>
      <c r="C1365" s="28" t="str">
        <f>HYPERLINK("https://pld.live/RapDetail.aspx?STONELIST=925790943","DNA")</f>
        <v>DNA</v>
      </c>
      <c r="D1365" s="18" t="s">
        <v>5847</v>
      </c>
      <c r="E1365" s="18" t="s">
        <v>5128</v>
      </c>
      <c r="F1365" s="2" t="s">
        <v>7987</v>
      </c>
      <c r="G1365" s="2" t="s">
        <v>861</v>
      </c>
      <c r="H1365" s="14">
        <v>0.72</v>
      </c>
      <c r="I1365" s="2" t="s">
        <v>267</v>
      </c>
      <c r="J1365" s="2" t="s">
        <v>13</v>
      </c>
      <c r="K1365" s="2" t="s">
        <v>5221</v>
      </c>
      <c r="L1365" s="2" t="s">
        <v>5221</v>
      </c>
      <c r="M1365" s="2" t="s">
        <v>5221</v>
      </c>
      <c r="N1365" s="2" t="s">
        <v>2317</v>
      </c>
      <c r="O1365" s="14">
        <v>3900</v>
      </c>
      <c r="P1365" s="14">
        <v>96.77</v>
      </c>
      <c r="Q1365" s="14">
        <v>125.97</v>
      </c>
      <c r="R1365" s="14">
        <v>90.7</v>
      </c>
      <c r="S1365" s="2" t="s">
        <v>5294</v>
      </c>
      <c r="T1365" s="2">
        <v>1.01</v>
      </c>
      <c r="U1365" s="2">
        <v>61.2</v>
      </c>
      <c r="V1365" s="2">
        <v>60</v>
      </c>
      <c r="W1365" s="2" t="s">
        <v>7862</v>
      </c>
      <c r="X1365" s="2" t="s">
        <v>5405</v>
      </c>
      <c r="Y1365" s="2">
        <v>2808</v>
      </c>
      <c r="Z1365" s="19" t="str">
        <f>HYPERLINK("https://ssdweb.co/ssdweb/hd/Vision360.html?d=925790943&amp;zoomslide=1&amp;z=1925790943&amp;ISCONFIRM=0","VIDEO")</f>
        <v>VIDEO</v>
      </c>
      <c r="AA1365" s="19" t="str">
        <f>HYPERLINK("https://ssdweb.co/ssdweb/CERTH/625432169.pdf","CERTI")</f>
        <v>CERTI</v>
      </c>
    </row>
    <row r="1366" spans="1:27" ht="15" x14ac:dyDescent="0.25">
      <c r="A1366" s="2">
        <v>1361</v>
      </c>
      <c r="B1366" s="39">
        <v>925870279</v>
      </c>
      <c r="C1366" s="28" t="str">
        <f>HYPERLINK("https://pld.live/RapDetail.aspx?STONELIST=925870279","DNA")</f>
        <v>DNA</v>
      </c>
      <c r="D1366" s="18" t="s">
        <v>5847</v>
      </c>
      <c r="E1366" s="18" t="s">
        <v>5128</v>
      </c>
      <c r="F1366" s="2" t="s">
        <v>7987</v>
      </c>
      <c r="G1366" s="2" t="s">
        <v>861</v>
      </c>
      <c r="H1366" s="14">
        <v>0.72</v>
      </c>
      <c r="I1366" s="2" t="s">
        <v>267</v>
      </c>
      <c r="J1366" s="2" t="s">
        <v>13</v>
      </c>
      <c r="K1366" s="2" t="s">
        <v>5221</v>
      </c>
      <c r="L1366" s="2" t="s">
        <v>5221</v>
      </c>
      <c r="M1366" s="2" t="s">
        <v>5221</v>
      </c>
      <c r="N1366" s="2" t="s">
        <v>2317</v>
      </c>
      <c r="O1366" s="14">
        <v>3900</v>
      </c>
      <c r="P1366" s="14">
        <v>96.77</v>
      </c>
      <c r="Q1366" s="14">
        <v>125.97</v>
      </c>
      <c r="R1366" s="14">
        <v>90.7</v>
      </c>
      <c r="S1366" s="2" t="s">
        <v>803</v>
      </c>
      <c r="T1366" s="2">
        <v>1.01</v>
      </c>
      <c r="U1366" s="2">
        <v>59</v>
      </c>
      <c r="V1366" s="2">
        <v>61</v>
      </c>
      <c r="W1366" s="2" t="s">
        <v>7862</v>
      </c>
      <c r="X1366" s="2" t="s">
        <v>5405</v>
      </c>
      <c r="Y1366" s="2">
        <v>2808</v>
      </c>
      <c r="Z1366" s="19" t="str">
        <f>HYPERLINK("https://ssdweb.co/ssdweb/hd/Vision360.html?d=925870279&amp;zoomslide=1&amp;z=1925870279&amp;ISCONFIRM=0","VIDEO")</f>
        <v>VIDEO</v>
      </c>
      <c r="AA1366" s="19" t="str">
        <f>HYPERLINK("https://ssdweb.co/ssdweb/CERTH/626414995.pdf","CERTI")</f>
        <v>CERTI</v>
      </c>
    </row>
    <row r="1367" spans="1:27" ht="15" x14ac:dyDescent="0.25">
      <c r="A1367" s="2">
        <v>1362</v>
      </c>
      <c r="B1367" s="39">
        <v>926250569</v>
      </c>
      <c r="C1367" s="28" t="str">
        <f>HYPERLINK("https://pld.live/RapDetail.aspx?STONELIST=926250569","DNA")</f>
        <v>DNA</v>
      </c>
      <c r="D1367" s="18" t="s">
        <v>5847</v>
      </c>
      <c r="E1367" s="18" t="s">
        <v>5128</v>
      </c>
      <c r="F1367" s="2" t="s">
        <v>7987</v>
      </c>
      <c r="G1367" s="2" t="s">
        <v>861</v>
      </c>
      <c r="H1367" s="14">
        <v>0.72</v>
      </c>
      <c r="I1367" s="2" t="s">
        <v>267</v>
      </c>
      <c r="J1367" s="2" t="s">
        <v>13</v>
      </c>
      <c r="K1367" s="2" t="s">
        <v>5221</v>
      </c>
      <c r="L1367" s="2" t="s">
        <v>5221</v>
      </c>
      <c r="M1367" s="2" t="s">
        <v>5221</v>
      </c>
      <c r="N1367" s="2" t="s">
        <v>2317</v>
      </c>
      <c r="O1367" s="14">
        <v>3900</v>
      </c>
      <c r="P1367" s="14">
        <v>96.72</v>
      </c>
      <c r="Q1367" s="14">
        <v>127.92</v>
      </c>
      <c r="R1367" s="14">
        <v>92.1</v>
      </c>
      <c r="S1367" s="2" t="s">
        <v>3060</v>
      </c>
      <c r="T1367" s="2">
        <v>1.01</v>
      </c>
      <c r="U1367" s="2">
        <v>63.3</v>
      </c>
      <c r="V1367" s="2">
        <v>58</v>
      </c>
      <c r="W1367" s="2" t="s">
        <v>7862</v>
      </c>
      <c r="X1367" s="2" t="s">
        <v>5405</v>
      </c>
      <c r="Y1367" s="2">
        <v>2808</v>
      </c>
      <c r="Z1367" s="19" t="str">
        <f>HYPERLINK("https://ssdweb.co/ssdweb/hd/Vision360.html?d=926250569&amp;zoomslide=1&amp;z=1926250569&amp;ISCONFIRM=0","VIDEO")</f>
        <v>VIDEO</v>
      </c>
      <c r="AA1367" s="19" t="str">
        <f>HYPERLINK("https://ssdweb.co/ssdweb/CERTH/640485570.pdf","CERTI")</f>
        <v>CERTI</v>
      </c>
    </row>
    <row r="1368" spans="1:27" ht="15" x14ac:dyDescent="0.25">
      <c r="A1368" s="2">
        <v>1363</v>
      </c>
      <c r="B1368" s="39">
        <v>926211105</v>
      </c>
      <c r="C1368" s="28" t="str">
        <f>HYPERLINK("https://pld.live/RapDetail.aspx?STONELIST=926211105","DNA")</f>
        <v>DNA</v>
      </c>
      <c r="D1368" s="18" t="s">
        <v>5847</v>
      </c>
      <c r="E1368" s="18" t="s">
        <v>5128</v>
      </c>
      <c r="F1368" s="2" t="s">
        <v>7987</v>
      </c>
      <c r="G1368" s="2" t="s">
        <v>861</v>
      </c>
      <c r="H1368" s="14">
        <v>0.72</v>
      </c>
      <c r="I1368" s="2" t="s">
        <v>267</v>
      </c>
      <c r="J1368" s="2" t="s">
        <v>13</v>
      </c>
      <c r="K1368" s="2" t="s">
        <v>5221</v>
      </c>
      <c r="L1368" s="2" t="s">
        <v>5221</v>
      </c>
      <c r="M1368" s="2" t="s">
        <v>5221</v>
      </c>
      <c r="N1368" s="2" t="s">
        <v>2317</v>
      </c>
      <c r="O1368" s="14">
        <v>3900</v>
      </c>
      <c r="P1368" s="14">
        <v>96.72</v>
      </c>
      <c r="Q1368" s="14">
        <v>127.92</v>
      </c>
      <c r="R1368" s="14">
        <v>92.1</v>
      </c>
      <c r="S1368" s="2" t="s">
        <v>2657</v>
      </c>
      <c r="T1368" s="2">
        <v>1.01</v>
      </c>
      <c r="U1368" s="2">
        <v>63</v>
      </c>
      <c r="V1368" s="2">
        <v>57</v>
      </c>
      <c r="W1368" s="2" t="s">
        <v>7862</v>
      </c>
      <c r="X1368" s="2" t="s">
        <v>5405</v>
      </c>
      <c r="Y1368" s="2">
        <v>2808</v>
      </c>
      <c r="Z1368" s="19" t="str">
        <f>HYPERLINK("https://ssdweb.co/ssdweb/hd/Vision360.html?d=926211105&amp;zoomslide=1&amp;z=1926211105&amp;ISCONFIRM=0","VIDEO")</f>
        <v>VIDEO</v>
      </c>
      <c r="AA1368" s="19" t="str">
        <f>HYPERLINK("https://ssdweb.co/ssdweb/CERTH/638463078.pdf","CERTI")</f>
        <v>CERTI</v>
      </c>
    </row>
    <row r="1369" spans="1:27" ht="15" x14ac:dyDescent="0.25">
      <c r="A1369" s="2">
        <v>1364</v>
      </c>
      <c r="B1369" s="39">
        <v>821124704</v>
      </c>
      <c r="C1369" s="28" t="str">
        <f>HYPERLINK("https://pld.live/RapDetail.aspx?STONELIST=821124704","DNA")</f>
        <v>DNA</v>
      </c>
      <c r="D1369" s="18" t="s">
        <v>5847</v>
      </c>
      <c r="E1369" s="18" t="s">
        <v>5128</v>
      </c>
      <c r="F1369" s="2" t="s">
        <v>7987</v>
      </c>
      <c r="G1369" s="2" t="s">
        <v>861</v>
      </c>
      <c r="H1369" s="14">
        <v>0.72</v>
      </c>
      <c r="I1369" s="2" t="s">
        <v>267</v>
      </c>
      <c r="J1369" s="2" t="s">
        <v>13</v>
      </c>
      <c r="K1369" s="2" t="s">
        <v>5221</v>
      </c>
      <c r="L1369" s="2" t="s">
        <v>5221</v>
      </c>
      <c r="M1369" s="2" t="s">
        <v>5221</v>
      </c>
      <c r="N1369" s="2" t="s">
        <v>2317</v>
      </c>
      <c r="O1369" s="14">
        <v>3900</v>
      </c>
      <c r="P1369" s="14">
        <v>96.82</v>
      </c>
      <c r="Q1369" s="14">
        <v>124.02</v>
      </c>
      <c r="R1369" s="14">
        <v>89.29</v>
      </c>
      <c r="S1369" s="2" t="s">
        <v>5811</v>
      </c>
      <c r="T1369" s="2">
        <v>1</v>
      </c>
      <c r="U1369" s="2">
        <v>60.3</v>
      </c>
      <c r="V1369" s="2">
        <v>60</v>
      </c>
      <c r="W1369" s="2" t="s">
        <v>7862</v>
      </c>
      <c r="X1369" s="2" t="s">
        <v>5405</v>
      </c>
      <c r="Y1369" s="2">
        <v>2808</v>
      </c>
      <c r="Z1369" s="19" t="str">
        <f>HYPERLINK("https://ssdweb.co/ssdweb/hd/Vision360.html?d=821124704&amp;zoomslide=1&amp;z=1821124704&amp;ISCONFIRM=0","VIDEO")</f>
        <v>VIDEO</v>
      </c>
      <c r="AA1369" s="19" t="str">
        <f>HYPERLINK("https://ssdweb.co/ssdweb/CERTH/577371446.pdf","CERTI")</f>
        <v>CERTI</v>
      </c>
    </row>
    <row r="1370" spans="1:27" ht="15" x14ac:dyDescent="0.25">
      <c r="A1370" s="2">
        <v>1365</v>
      </c>
      <c r="B1370" s="39">
        <v>926311228</v>
      </c>
      <c r="C1370" s="28" t="str">
        <f>HYPERLINK("https://pld.live/RapDetail.aspx?STONELIST=926311228","DNA")</f>
        <v>DNA</v>
      </c>
      <c r="D1370" s="18" t="s">
        <v>5847</v>
      </c>
      <c r="E1370" s="18" t="s">
        <v>5128</v>
      </c>
      <c r="F1370" s="2" t="s">
        <v>7987</v>
      </c>
      <c r="G1370" s="2" t="s">
        <v>861</v>
      </c>
      <c r="H1370" s="14">
        <v>0.72</v>
      </c>
      <c r="I1370" s="2" t="s">
        <v>267</v>
      </c>
      <c r="J1370" s="2" t="s">
        <v>13</v>
      </c>
      <c r="K1370" s="2" t="s">
        <v>5221</v>
      </c>
      <c r="L1370" s="2" t="s">
        <v>5221</v>
      </c>
      <c r="M1370" s="2" t="s">
        <v>5221</v>
      </c>
      <c r="N1370" s="2" t="s">
        <v>2317</v>
      </c>
      <c r="O1370" s="14">
        <v>3900</v>
      </c>
      <c r="P1370" s="14">
        <v>96.62</v>
      </c>
      <c r="Q1370" s="14">
        <v>131.82</v>
      </c>
      <c r="R1370" s="14">
        <v>94.91</v>
      </c>
      <c r="S1370" s="2" t="s">
        <v>7529</v>
      </c>
      <c r="T1370" s="2">
        <v>1.01</v>
      </c>
      <c r="U1370" s="2">
        <v>62.1</v>
      </c>
      <c r="V1370" s="2">
        <v>56</v>
      </c>
      <c r="W1370" s="2" t="s">
        <v>7862</v>
      </c>
      <c r="X1370" s="2" t="s">
        <v>5405</v>
      </c>
      <c r="Y1370" s="2">
        <v>2808</v>
      </c>
      <c r="Z1370" s="19" t="str">
        <f>HYPERLINK("https://ssdweb.co/ssdweb/hd/Vision360.html?d=926311228&amp;zoomslide=1&amp;z=1926311228&amp;ISCONFIRM=0","VIDEO")</f>
        <v>VIDEO</v>
      </c>
      <c r="AA1370" s="19" t="str">
        <f>HYPERLINK("https://ssdweb.co/ssdweb/CERTH/681569611.pdf","CERTI")</f>
        <v>CERTI</v>
      </c>
    </row>
    <row r="1371" spans="1:27" ht="15" x14ac:dyDescent="0.25">
      <c r="A1371" s="2">
        <v>1366</v>
      </c>
      <c r="B1371" s="39">
        <v>925790513</v>
      </c>
      <c r="C1371" s="28" t="str">
        <f>HYPERLINK("https://pld.live/RapDetail.aspx?STONELIST=925790513","DNA")</f>
        <v>DNA</v>
      </c>
      <c r="D1371" s="18" t="s">
        <v>5847</v>
      </c>
      <c r="E1371" s="18" t="s">
        <v>5128</v>
      </c>
      <c r="F1371" s="2" t="s">
        <v>5597</v>
      </c>
      <c r="G1371" s="2" t="s">
        <v>861</v>
      </c>
      <c r="H1371" s="14">
        <v>0.72</v>
      </c>
      <c r="I1371" s="2" t="s">
        <v>267</v>
      </c>
      <c r="J1371" s="2" t="s">
        <v>13</v>
      </c>
      <c r="K1371" s="2" t="s">
        <v>5221</v>
      </c>
      <c r="L1371" s="2" t="s">
        <v>5221</v>
      </c>
      <c r="M1371" s="2" t="s">
        <v>5721</v>
      </c>
      <c r="N1371" s="2" t="s">
        <v>2317</v>
      </c>
      <c r="O1371" s="14">
        <v>3900</v>
      </c>
      <c r="P1371" s="14">
        <v>93.41</v>
      </c>
      <c r="Q1371" s="14">
        <v>257.01</v>
      </c>
      <c r="R1371" s="14">
        <v>185.05</v>
      </c>
      <c r="S1371" s="2" t="s">
        <v>187</v>
      </c>
      <c r="T1371" s="2">
        <v>1.01</v>
      </c>
      <c r="U1371" s="2">
        <v>62.1</v>
      </c>
      <c r="V1371" s="2">
        <v>58</v>
      </c>
      <c r="W1371" s="2" t="s">
        <v>7862</v>
      </c>
      <c r="X1371" s="2" t="s">
        <v>5405</v>
      </c>
      <c r="Y1371" s="2">
        <v>2808</v>
      </c>
      <c r="Z1371" s="19" t="str">
        <f>HYPERLINK("https://ssdweb.co/ssdweb/hd/Vision360.html?d=925790513&amp;zoomslide=1&amp;z=1925790513&amp;ISCONFIRM=0","VIDEO")</f>
        <v>VIDEO</v>
      </c>
      <c r="AA1371" s="19" t="str">
        <f>HYPERLINK("https://ssdweb.co/ssdweb/CERTH/7481759169.pdf","CERTI")</f>
        <v>CERTI</v>
      </c>
    </row>
    <row r="1372" spans="1:27" ht="15" x14ac:dyDescent="0.25">
      <c r="A1372" s="2">
        <v>1367</v>
      </c>
      <c r="B1372" s="39">
        <v>926221357</v>
      </c>
      <c r="C1372" s="28" t="str">
        <f>HYPERLINK("https://pld.live/RapDetail.aspx?STONELIST=926221357","DNA")</f>
        <v>DNA</v>
      </c>
      <c r="D1372" s="18" t="s">
        <v>5847</v>
      </c>
      <c r="E1372" s="18" t="s">
        <v>5128</v>
      </c>
      <c r="F1372" s="2" t="s">
        <v>7987</v>
      </c>
      <c r="G1372" s="2" t="s">
        <v>861</v>
      </c>
      <c r="H1372" s="14">
        <v>0.72</v>
      </c>
      <c r="I1372" s="2" t="s">
        <v>267</v>
      </c>
      <c r="J1372" s="2" t="s">
        <v>13</v>
      </c>
      <c r="K1372" s="2" t="s">
        <v>5221</v>
      </c>
      <c r="L1372" s="2" t="s">
        <v>5221</v>
      </c>
      <c r="M1372" s="2" t="s">
        <v>5721</v>
      </c>
      <c r="N1372" s="2" t="s">
        <v>2317</v>
      </c>
      <c r="O1372" s="14">
        <v>3900</v>
      </c>
      <c r="P1372" s="14">
        <v>96.77</v>
      </c>
      <c r="Q1372" s="14">
        <v>125.97</v>
      </c>
      <c r="R1372" s="14">
        <v>90.7</v>
      </c>
      <c r="S1372" s="2" t="s">
        <v>5042</v>
      </c>
      <c r="T1372" s="2">
        <v>1.01</v>
      </c>
      <c r="U1372" s="2">
        <v>63.3</v>
      </c>
      <c r="V1372" s="2">
        <v>56</v>
      </c>
      <c r="W1372" s="2" t="s">
        <v>7862</v>
      </c>
      <c r="X1372" s="2" t="s">
        <v>5405</v>
      </c>
      <c r="Y1372" s="2">
        <v>2808</v>
      </c>
      <c r="Z1372" s="19" t="str">
        <f>HYPERLINK("https://ssdweb.co/ssdweb/hd/Vision360.html?d=926221357&amp;zoomslide=1&amp;z=1926221357&amp;ISCONFIRM=0","VIDEO")</f>
        <v>VIDEO</v>
      </c>
      <c r="AA1372" s="19" t="str">
        <f>HYPERLINK("https://ssdweb.co/ssdweb/CERTH/640473899.pdf","CERTI")</f>
        <v>CERTI</v>
      </c>
    </row>
    <row r="1373" spans="1:27" ht="15" x14ac:dyDescent="0.25">
      <c r="A1373" s="2">
        <v>1368</v>
      </c>
      <c r="B1373" s="39">
        <v>925750584</v>
      </c>
      <c r="C1373" s="28" t="str">
        <f>HYPERLINK("https://pld.live/RapDetail.aspx?STONELIST=925750584","DNA")</f>
        <v>DNA</v>
      </c>
      <c r="D1373" s="18" t="s">
        <v>5847</v>
      </c>
      <c r="E1373" s="18" t="s">
        <v>5128</v>
      </c>
      <c r="F1373" s="2" t="s">
        <v>7987</v>
      </c>
      <c r="G1373" s="2" t="s">
        <v>861</v>
      </c>
      <c r="H1373" s="14">
        <v>0.72</v>
      </c>
      <c r="I1373" s="2" t="s">
        <v>267</v>
      </c>
      <c r="J1373" s="2" t="s">
        <v>5144</v>
      </c>
      <c r="K1373" s="2" t="s">
        <v>5221</v>
      </c>
      <c r="L1373" s="2" t="s">
        <v>5221</v>
      </c>
      <c r="M1373" s="2" t="s">
        <v>5221</v>
      </c>
      <c r="N1373" s="2" t="s">
        <v>2317</v>
      </c>
      <c r="O1373" s="14">
        <v>3400</v>
      </c>
      <c r="P1373" s="14">
        <v>96.35</v>
      </c>
      <c r="Q1373" s="14">
        <v>124.1</v>
      </c>
      <c r="R1373" s="14">
        <v>89.35</v>
      </c>
      <c r="S1373" s="2" t="s">
        <v>6984</v>
      </c>
      <c r="T1373" s="2">
        <v>1.01</v>
      </c>
      <c r="U1373" s="2">
        <v>60.6</v>
      </c>
      <c r="V1373" s="2">
        <v>61</v>
      </c>
      <c r="W1373" s="2" t="s">
        <v>7862</v>
      </c>
      <c r="X1373" s="2" t="s">
        <v>5405</v>
      </c>
      <c r="Y1373" s="2">
        <v>2448</v>
      </c>
      <c r="Z1373" s="19" t="str">
        <f>HYPERLINK("https://ssdweb.co/ssdweb/hd/Vision360.html?d=925750584&amp;zoomslide=1&amp;z=1925750584&amp;ISCONFIRM=0","VIDEO")</f>
        <v>VIDEO</v>
      </c>
      <c r="AA1373" s="19" t="str">
        <f>HYPERLINK("https://ssdweb.co/ssdweb/CERTH/624499572.pdf","CERTI")</f>
        <v>CERTI</v>
      </c>
    </row>
    <row r="1374" spans="1:27" ht="15" x14ac:dyDescent="0.25">
      <c r="A1374" s="2">
        <v>1369</v>
      </c>
      <c r="B1374" s="39">
        <v>925220043</v>
      </c>
      <c r="C1374" s="28" t="str">
        <f>HYPERLINK("https://pld.live/RapDetail.aspx?STONELIST=925220043","DNA")</f>
        <v>DNA</v>
      </c>
      <c r="D1374" s="18" t="s">
        <v>5847</v>
      </c>
      <c r="E1374" s="18" t="s">
        <v>5128</v>
      </c>
      <c r="F1374" s="2" t="s">
        <v>5597</v>
      </c>
      <c r="G1374" s="2" t="s">
        <v>861</v>
      </c>
      <c r="H1374" s="14">
        <v>0.72</v>
      </c>
      <c r="I1374" s="2" t="s">
        <v>267</v>
      </c>
      <c r="J1374" s="2" t="s">
        <v>5144</v>
      </c>
      <c r="K1374" s="2" t="s">
        <v>5221</v>
      </c>
      <c r="L1374" s="2" t="s">
        <v>5221</v>
      </c>
      <c r="M1374" s="2" t="s">
        <v>5221</v>
      </c>
      <c r="N1374" s="2" t="s">
        <v>2317</v>
      </c>
      <c r="O1374" s="14">
        <v>3400</v>
      </c>
      <c r="P1374" s="14">
        <v>92.59</v>
      </c>
      <c r="Q1374" s="14">
        <v>251.94</v>
      </c>
      <c r="R1374" s="14">
        <v>181.4</v>
      </c>
      <c r="S1374" s="2" t="s">
        <v>7065</v>
      </c>
      <c r="T1374" s="2">
        <v>1</v>
      </c>
      <c r="U1374" s="2">
        <v>60.2</v>
      </c>
      <c r="V1374" s="2">
        <v>59</v>
      </c>
      <c r="W1374" s="2" t="s">
        <v>7862</v>
      </c>
      <c r="X1374" s="2" t="s">
        <v>5405</v>
      </c>
      <c r="Y1374" s="2">
        <v>2448</v>
      </c>
      <c r="Z1374" s="19" t="str">
        <f>HYPERLINK("https://ssdweb.co/ssdweb/hd/Vision360.html?d=925220043&amp;zoomslide=1&amp;z=1925220043&amp;ISCONFIRM=0","VIDEO")</f>
        <v>VIDEO</v>
      </c>
      <c r="AA1374" s="19" t="str">
        <f>HYPERLINK("https://ssdweb.co/ssdweb/CERTH/2487175593.pdf","CERTI")</f>
        <v>CERTI</v>
      </c>
    </row>
    <row r="1375" spans="1:27" ht="15" x14ac:dyDescent="0.25">
      <c r="A1375" s="2">
        <v>1370</v>
      </c>
      <c r="B1375" s="39">
        <v>925790395</v>
      </c>
      <c r="C1375" s="28" t="str">
        <f>HYPERLINK("https://pld.live/RapDetail.aspx?STONELIST=925790395","DNA")</f>
        <v>DNA</v>
      </c>
      <c r="D1375" s="18" t="s">
        <v>5847</v>
      </c>
      <c r="E1375" s="18" t="s">
        <v>5128</v>
      </c>
      <c r="F1375" s="2" t="s">
        <v>7987</v>
      </c>
      <c r="G1375" s="2" t="s">
        <v>861</v>
      </c>
      <c r="H1375" s="14">
        <v>0.72</v>
      </c>
      <c r="I1375" s="2" t="s">
        <v>4761</v>
      </c>
      <c r="J1375" s="2" t="s">
        <v>3942</v>
      </c>
      <c r="K1375" s="2" t="s">
        <v>3390</v>
      </c>
      <c r="L1375" s="2" t="s">
        <v>5221</v>
      </c>
      <c r="M1375" s="2" t="s">
        <v>5721</v>
      </c>
      <c r="N1375" s="2" t="s">
        <v>2317</v>
      </c>
      <c r="O1375" s="14">
        <v>4200</v>
      </c>
      <c r="P1375" s="14">
        <v>96.98</v>
      </c>
      <c r="Q1375" s="14">
        <v>126.84</v>
      </c>
      <c r="R1375" s="14">
        <v>91.32</v>
      </c>
      <c r="S1375" s="2" t="s">
        <v>6085</v>
      </c>
      <c r="T1375" s="2">
        <v>1.01</v>
      </c>
      <c r="U1375" s="2">
        <v>62.3</v>
      </c>
      <c r="V1375" s="2">
        <v>57</v>
      </c>
      <c r="W1375" s="2" t="s">
        <v>7862</v>
      </c>
      <c r="X1375" s="2" t="s">
        <v>5405</v>
      </c>
      <c r="Y1375" s="2">
        <v>3024</v>
      </c>
      <c r="Z1375" s="19" t="str">
        <f>HYPERLINK("https://ssdweb.co/ssdweb/hd/Vision360.html?d=925790395&amp;zoomslide=1&amp;z=1925790395&amp;ISCONFIRM=0","VIDEO")</f>
        <v>VIDEO</v>
      </c>
      <c r="AA1375" s="19" t="str">
        <f>HYPERLINK("https://ssdweb.co/ssdweb/CERTH/624440036.pdf","CERTI")</f>
        <v>CERTI</v>
      </c>
    </row>
    <row r="1376" spans="1:27" ht="15" x14ac:dyDescent="0.25">
      <c r="A1376" s="2">
        <v>1371</v>
      </c>
      <c r="B1376" s="39">
        <v>926311270</v>
      </c>
      <c r="C1376" s="28" t="str">
        <f>HYPERLINK("https://pld.live/RapDetail.aspx?STONELIST=926311270","DNA")</f>
        <v>DNA</v>
      </c>
      <c r="D1376" s="18" t="s">
        <v>5847</v>
      </c>
      <c r="E1376" s="18" t="s">
        <v>5128</v>
      </c>
      <c r="F1376" s="2" t="s">
        <v>7987</v>
      </c>
      <c r="G1376" s="2" t="s">
        <v>861</v>
      </c>
      <c r="H1376" s="14">
        <v>0.72</v>
      </c>
      <c r="I1376" s="2" t="s">
        <v>4761</v>
      </c>
      <c r="J1376" s="2" t="s">
        <v>3942</v>
      </c>
      <c r="K1376" s="2" t="s">
        <v>5221</v>
      </c>
      <c r="L1376" s="2" t="s">
        <v>5221</v>
      </c>
      <c r="M1376" s="2" t="s">
        <v>5221</v>
      </c>
      <c r="N1376" s="2" t="s">
        <v>2317</v>
      </c>
      <c r="O1376" s="14">
        <v>4200</v>
      </c>
      <c r="P1376" s="14">
        <v>96.88</v>
      </c>
      <c r="Q1376" s="14">
        <v>131.04</v>
      </c>
      <c r="R1376" s="14">
        <v>94.35</v>
      </c>
      <c r="S1376" s="2" t="s">
        <v>5654</v>
      </c>
      <c r="T1376" s="2">
        <v>1.01</v>
      </c>
      <c r="U1376" s="2">
        <v>63.2</v>
      </c>
      <c r="V1376" s="2">
        <v>58</v>
      </c>
      <c r="W1376" s="2" t="s">
        <v>7862</v>
      </c>
      <c r="X1376" s="2" t="s">
        <v>5405</v>
      </c>
      <c r="Y1376" s="2">
        <v>3024</v>
      </c>
      <c r="Z1376" s="19" t="str">
        <f>HYPERLINK("https://ssdweb.co/ssdweb/hd/Vision360.html?d=926311270&amp;zoomslide=1&amp;z=1926311270&amp;ISCONFIRM=0","VIDEO")</f>
        <v>VIDEO</v>
      </c>
      <c r="AA1376" s="19" t="str">
        <f>HYPERLINK("https://ssdweb.co/ssdweb/CERTH/646472890.pdf","CERTI")</f>
        <v>CERTI</v>
      </c>
    </row>
    <row r="1377" spans="1:27" ht="15" x14ac:dyDescent="0.25">
      <c r="A1377" s="2">
        <v>1372</v>
      </c>
      <c r="B1377" s="39">
        <v>926221278</v>
      </c>
      <c r="C1377" s="28" t="str">
        <f>HYPERLINK("https://pld.live/RapDetail.aspx?STONELIST=926221278","DNA")</f>
        <v>DNA</v>
      </c>
      <c r="D1377" s="18" t="s">
        <v>5847</v>
      </c>
      <c r="E1377" s="18" t="s">
        <v>5128</v>
      </c>
      <c r="F1377" s="2" t="s">
        <v>7987</v>
      </c>
      <c r="G1377" s="2" t="s">
        <v>861</v>
      </c>
      <c r="H1377" s="14">
        <v>0.72</v>
      </c>
      <c r="I1377" s="2" t="s">
        <v>4761</v>
      </c>
      <c r="J1377" s="2" t="s">
        <v>13</v>
      </c>
      <c r="K1377" s="2" t="s">
        <v>3390</v>
      </c>
      <c r="L1377" s="2" t="s">
        <v>5221</v>
      </c>
      <c r="M1377" s="2" t="s">
        <v>5721</v>
      </c>
      <c r="N1377" s="2" t="s">
        <v>2317</v>
      </c>
      <c r="O1377" s="14">
        <v>3700</v>
      </c>
      <c r="P1377" s="14">
        <v>96.7</v>
      </c>
      <c r="Q1377" s="14">
        <v>122.1</v>
      </c>
      <c r="R1377" s="14">
        <v>87.91</v>
      </c>
      <c r="S1377" s="2" t="s">
        <v>3387</v>
      </c>
      <c r="T1377" s="2">
        <v>1</v>
      </c>
      <c r="U1377" s="2">
        <v>61.5</v>
      </c>
      <c r="V1377" s="2">
        <v>60</v>
      </c>
      <c r="W1377" s="2" t="s">
        <v>7862</v>
      </c>
      <c r="X1377" s="2" t="s">
        <v>5405</v>
      </c>
      <c r="Y1377" s="2">
        <v>2664</v>
      </c>
      <c r="Z1377" s="19" t="str">
        <f>HYPERLINK("https://ssdweb.co/ssdweb/hd/Vision360.html?d=926221278&amp;zoomslide=1&amp;z=1926221278&amp;ISCONFIRM=0","VIDEO")</f>
        <v>VIDEO</v>
      </c>
      <c r="AA1377" s="19" t="str">
        <f>HYPERLINK("https://ssdweb.co/ssdweb/CERTH/640473935.pdf","CERTI")</f>
        <v>CERTI</v>
      </c>
    </row>
    <row r="1378" spans="1:27" ht="15" x14ac:dyDescent="0.25">
      <c r="A1378" s="2">
        <v>1373</v>
      </c>
      <c r="B1378" s="39">
        <v>926221374</v>
      </c>
      <c r="C1378" s="28" t="str">
        <f>HYPERLINK("https://pld.live/RapDetail.aspx?STONELIST=926221374","DNA")</f>
        <v>DNA</v>
      </c>
      <c r="D1378" s="18" t="s">
        <v>5847</v>
      </c>
      <c r="E1378" s="18" t="s">
        <v>5128</v>
      </c>
      <c r="F1378" s="2" t="s">
        <v>7987</v>
      </c>
      <c r="G1378" s="2" t="s">
        <v>861</v>
      </c>
      <c r="H1378" s="14">
        <v>0.72</v>
      </c>
      <c r="I1378" s="2" t="s">
        <v>4761</v>
      </c>
      <c r="J1378" s="2" t="s">
        <v>13</v>
      </c>
      <c r="K1378" s="2" t="s">
        <v>5221</v>
      </c>
      <c r="L1378" s="2" t="s">
        <v>5221</v>
      </c>
      <c r="M1378" s="2" t="s">
        <v>5221</v>
      </c>
      <c r="N1378" s="2" t="s">
        <v>2317</v>
      </c>
      <c r="O1378" s="14">
        <v>3700</v>
      </c>
      <c r="P1378" s="14">
        <v>96.59</v>
      </c>
      <c r="Q1378" s="14">
        <v>126.17</v>
      </c>
      <c r="R1378" s="14">
        <v>90.84</v>
      </c>
      <c r="S1378" s="2" t="s">
        <v>7375</v>
      </c>
      <c r="T1378" s="2">
        <v>1</v>
      </c>
      <c r="U1378" s="2">
        <v>62.8</v>
      </c>
      <c r="V1378" s="2">
        <v>56</v>
      </c>
      <c r="W1378" s="2" t="s">
        <v>7862</v>
      </c>
      <c r="X1378" s="2" t="s">
        <v>5405</v>
      </c>
      <c r="Y1378" s="2">
        <v>2664</v>
      </c>
      <c r="Z1378" s="19" t="str">
        <f>HYPERLINK("https://ssdweb.co/ssdweb/hd/Vision360.html?d=926221374&amp;zoomslide=1&amp;z=1926221374&amp;ISCONFIRM=0","VIDEO")</f>
        <v>VIDEO</v>
      </c>
      <c r="AA1378" s="19" t="str">
        <f>HYPERLINK("https://ssdweb.co/ssdweb/CERTH/640473930.pdf","CERTI")</f>
        <v>CERTI</v>
      </c>
    </row>
    <row r="1379" spans="1:27" ht="15" x14ac:dyDescent="0.25">
      <c r="A1379" s="2">
        <v>1374</v>
      </c>
      <c r="B1379" s="39">
        <v>926311203</v>
      </c>
      <c r="C1379" s="28" t="str">
        <f>HYPERLINK("https://pld.live/RapDetail.aspx?STONELIST=926311203","DNA")</f>
        <v>DNA</v>
      </c>
      <c r="D1379" s="18" t="s">
        <v>5847</v>
      </c>
      <c r="E1379" s="18" t="s">
        <v>5128</v>
      </c>
      <c r="F1379" s="2" t="s">
        <v>7987</v>
      </c>
      <c r="G1379" s="2" t="s">
        <v>861</v>
      </c>
      <c r="H1379" s="14">
        <v>0.72</v>
      </c>
      <c r="I1379" s="2" t="s">
        <v>4761</v>
      </c>
      <c r="J1379" s="2" t="s">
        <v>13</v>
      </c>
      <c r="K1379" s="2" t="s">
        <v>5221</v>
      </c>
      <c r="L1379" s="2" t="s">
        <v>5221</v>
      </c>
      <c r="M1379" s="2" t="s">
        <v>5721</v>
      </c>
      <c r="N1379" s="2" t="s">
        <v>2317</v>
      </c>
      <c r="O1379" s="14">
        <v>3700</v>
      </c>
      <c r="P1379" s="14">
        <v>96.59</v>
      </c>
      <c r="Q1379" s="14">
        <v>126.17</v>
      </c>
      <c r="R1379" s="14">
        <v>90.84</v>
      </c>
      <c r="S1379" s="2" t="s">
        <v>3536</v>
      </c>
      <c r="T1379" s="2">
        <v>1.01</v>
      </c>
      <c r="U1379" s="2">
        <v>60.9</v>
      </c>
      <c r="V1379" s="2">
        <v>59</v>
      </c>
      <c r="W1379" s="2" t="s">
        <v>7862</v>
      </c>
      <c r="X1379" s="2" t="s">
        <v>5405</v>
      </c>
      <c r="Y1379" s="2">
        <v>2664</v>
      </c>
      <c r="Z1379" s="19" t="str">
        <f>HYPERLINK("https://ssdweb.co/ssdweb/hd/Vision360.html?d=926311203&amp;zoomslide=1&amp;z=1926311203&amp;ISCONFIRM=0","VIDEO")</f>
        <v>VIDEO</v>
      </c>
      <c r="AA1379" s="19" t="str">
        <f>HYPERLINK("https://ssdweb.co/ssdweb/CERTH/653451011.pdf","CERTI")</f>
        <v>CERTI</v>
      </c>
    </row>
    <row r="1380" spans="1:27" ht="15" x14ac:dyDescent="0.25">
      <c r="A1380" s="2">
        <v>1375</v>
      </c>
      <c r="B1380" s="39">
        <v>926311295</v>
      </c>
      <c r="C1380" s="28" t="str">
        <f>HYPERLINK("https://pld.live/RapDetail.aspx?STONELIST=926311295","DNA")</f>
        <v>DNA</v>
      </c>
      <c r="D1380" s="18" t="s">
        <v>5847</v>
      </c>
      <c r="E1380" s="18" t="s">
        <v>5128</v>
      </c>
      <c r="F1380" s="2" t="s">
        <v>7987</v>
      </c>
      <c r="G1380" s="2" t="s">
        <v>861</v>
      </c>
      <c r="H1380" s="14">
        <v>0.72</v>
      </c>
      <c r="I1380" s="2" t="s">
        <v>4761</v>
      </c>
      <c r="J1380" s="2" t="s">
        <v>13</v>
      </c>
      <c r="K1380" s="2" t="s">
        <v>5221</v>
      </c>
      <c r="L1380" s="2" t="s">
        <v>5721</v>
      </c>
      <c r="M1380" s="2" t="s">
        <v>5221</v>
      </c>
      <c r="N1380" s="2" t="s">
        <v>2317</v>
      </c>
      <c r="O1380" s="14">
        <v>3700</v>
      </c>
      <c r="P1380" s="14">
        <v>96.65</v>
      </c>
      <c r="Q1380" s="14">
        <v>123.95</v>
      </c>
      <c r="R1380" s="14">
        <v>89.24</v>
      </c>
      <c r="S1380" s="2" t="s">
        <v>5690</v>
      </c>
      <c r="T1380" s="2">
        <v>1.01</v>
      </c>
      <c r="U1380" s="2">
        <v>62.9</v>
      </c>
      <c r="V1380" s="2">
        <v>57</v>
      </c>
      <c r="W1380" s="2" t="s">
        <v>7862</v>
      </c>
      <c r="X1380" s="2" t="s">
        <v>5405</v>
      </c>
      <c r="Y1380" s="2">
        <v>2664</v>
      </c>
      <c r="Z1380" s="19" t="str">
        <f>HYPERLINK("https://ssdweb.co/ssdweb/hd/Vision360.html?d=926311295&amp;zoomslide=1&amp;z=1926311295&amp;ISCONFIRM=0","VIDEO")</f>
        <v>VIDEO</v>
      </c>
      <c r="AA1380" s="19" t="str">
        <f>HYPERLINK("https://ssdweb.co/ssdweb/CERTH/648487105.pdf","CERTI")</f>
        <v>CERTI</v>
      </c>
    </row>
    <row r="1381" spans="1:27" ht="15" x14ac:dyDescent="0.25">
      <c r="A1381" s="2">
        <v>1376</v>
      </c>
      <c r="B1381" s="39">
        <v>926311240</v>
      </c>
      <c r="C1381" s="28" t="str">
        <f>HYPERLINK("https://pld.live/RapDetail.aspx?STONELIST=926311240","DNA")</f>
        <v>DNA</v>
      </c>
      <c r="D1381" s="18" t="s">
        <v>5847</v>
      </c>
      <c r="E1381" s="18" t="s">
        <v>5128</v>
      </c>
      <c r="F1381" s="2" t="s">
        <v>7987</v>
      </c>
      <c r="G1381" s="2" t="s">
        <v>861</v>
      </c>
      <c r="H1381" s="14">
        <v>0.72</v>
      </c>
      <c r="I1381" s="2" t="s">
        <v>4761</v>
      </c>
      <c r="J1381" s="2" t="s">
        <v>13</v>
      </c>
      <c r="K1381" s="2" t="s">
        <v>5221</v>
      </c>
      <c r="L1381" s="2" t="s">
        <v>5721</v>
      </c>
      <c r="M1381" s="2" t="s">
        <v>5721</v>
      </c>
      <c r="N1381" s="2" t="s">
        <v>2317</v>
      </c>
      <c r="O1381" s="14">
        <v>3700</v>
      </c>
      <c r="P1381" s="14">
        <v>96.7</v>
      </c>
      <c r="Q1381" s="14">
        <v>122.1</v>
      </c>
      <c r="R1381" s="14">
        <v>87.91</v>
      </c>
      <c r="S1381" s="2" t="s">
        <v>7267</v>
      </c>
      <c r="T1381" s="2">
        <v>1</v>
      </c>
      <c r="U1381" s="2">
        <v>63</v>
      </c>
      <c r="V1381" s="2">
        <v>57</v>
      </c>
      <c r="W1381" s="2" t="s">
        <v>7862</v>
      </c>
      <c r="X1381" s="2" t="s">
        <v>5405</v>
      </c>
      <c r="Y1381" s="2">
        <v>2664</v>
      </c>
      <c r="Z1381" s="19" t="str">
        <f>HYPERLINK("https://ssdweb.co/ssdweb/hd/Vision360.html?d=926311240&amp;zoomslide=1&amp;z=1926311240&amp;ISCONFIRM=0","VIDEO")</f>
        <v>VIDEO</v>
      </c>
      <c r="AA1381" s="19" t="str">
        <f>HYPERLINK("https://ssdweb.co/ssdweb/CERTH/648487104.pdf","CERTI")</f>
        <v>CERTI</v>
      </c>
    </row>
    <row r="1382" spans="1:27" ht="15" x14ac:dyDescent="0.25">
      <c r="A1382" s="2">
        <v>1377</v>
      </c>
      <c r="B1382" s="39">
        <v>926250659</v>
      </c>
      <c r="C1382" s="28" t="str">
        <f>HYPERLINK("https://pld.live/RapDetail.aspx?STONELIST=926250659","DNA")</f>
        <v>DNA</v>
      </c>
      <c r="D1382" s="18" t="s">
        <v>5847</v>
      </c>
      <c r="E1382" s="18" t="s">
        <v>5128</v>
      </c>
      <c r="F1382" s="2" t="s">
        <v>7987</v>
      </c>
      <c r="G1382" s="2" t="s">
        <v>861</v>
      </c>
      <c r="H1382" s="14">
        <v>0.72</v>
      </c>
      <c r="I1382" s="2" t="s">
        <v>4761</v>
      </c>
      <c r="J1382" s="2" t="s">
        <v>5144</v>
      </c>
      <c r="K1382" s="2" t="s">
        <v>3390</v>
      </c>
      <c r="L1382" s="2" t="s">
        <v>5221</v>
      </c>
      <c r="M1382" s="2" t="s">
        <v>5221</v>
      </c>
      <c r="N1382" s="2" t="s">
        <v>2317</v>
      </c>
      <c r="O1382" s="14">
        <v>3200</v>
      </c>
      <c r="P1382" s="14">
        <v>96.13</v>
      </c>
      <c r="Q1382" s="14">
        <v>123.84</v>
      </c>
      <c r="R1382" s="14">
        <v>89.16</v>
      </c>
      <c r="S1382" s="2" t="s">
        <v>5677</v>
      </c>
      <c r="T1382" s="2">
        <v>1.01</v>
      </c>
      <c r="U1382" s="2">
        <v>61.9</v>
      </c>
      <c r="V1382" s="2">
        <v>57</v>
      </c>
      <c r="W1382" s="2" t="s">
        <v>7862</v>
      </c>
      <c r="X1382" s="2" t="s">
        <v>5405</v>
      </c>
      <c r="Y1382" s="2">
        <v>2304</v>
      </c>
      <c r="Z1382" s="19" t="str">
        <f>HYPERLINK("https://ssdweb.co/ssdweb/hd/Vision360.html?d=926250659&amp;zoomslide=1&amp;z=1926250659&amp;ISCONFIRM=0","VIDEO")</f>
        <v>VIDEO</v>
      </c>
      <c r="AA1382" s="19" t="str">
        <f>HYPERLINK("https://ssdweb.co/ssdweb/CERTH/644466764.pdf","CERTI")</f>
        <v>CERTI</v>
      </c>
    </row>
    <row r="1383" spans="1:27" ht="15" x14ac:dyDescent="0.25">
      <c r="A1383" s="2">
        <v>1378</v>
      </c>
      <c r="B1383" s="39">
        <v>926331720</v>
      </c>
      <c r="C1383" s="28" t="str">
        <f>HYPERLINK("https://pld.live/RapDetail.aspx?STONELIST=926331720","DNA")</f>
        <v>DNA</v>
      </c>
      <c r="D1383" s="18" t="s">
        <v>5847</v>
      </c>
      <c r="E1383" s="18" t="s">
        <v>5128</v>
      </c>
      <c r="F1383" s="2" t="s">
        <v>5597</v>
      </c>
      <c r="G1383" s="2" t="s">
        <v>861</v>
      </c>
      <c r="H1383" s="14">
        <v>0.72</v>
      </c>
      <c r="I1383" s="2" t="s">
        <v>4761</v>
      </c>
      <c r="J1383" s="2" t="s">
        <v>5144</v>
      </c>
      <c r="K1383" s="2" t="s">
        <v>5221</v>
      </c>
      <c r="L1383" s="2" t="s">
        <v>5221</v>
      </c>
      <c r="M1383" s="2" t="s">
        <v>5221</v>
      </c>
      <c r="N1383" s="2" t="s">
        <v>2317</v>
      </c>
      <c r="O1383" s="14">
        <v>3200</v>
      </c>
      <c r="P1383" s="14">
        <v>92.16</v>
      </c>
      <c r="Q1383" s="14">
        <v>250.88</v>
      </c>
      <c r="R1383" s="14">
        <v>180.63</v>
      </c>
      <c r="S1383" s="2" t="s">
        <v>6622</v>
      </c>
      <c r="T1383" s="2">
        <v>1.01</v>
      </c>
      <c r="U1383" s="2">
        <v>62.7</v>
      </c>
      <c r="V1383" s="2">
        <v>57</v>
      </c>
      <c r="W1383" s="2" t="s">
        <v>7862</v>
      </c>
      <c r="X1383" s="2" t="s">
        <v>5405</v>
      </c>
      <c r="Y1383" s="2">
        <v>2304</v>
      </c>
      <c r="Z1383" s="19" t="str">
        <f>HYPERLINK("https://ssdweb.co/ssdweb/hd/Vision360.html?d=926331720&amp;zoomslide=1&amp;z=1926331720&amp;ISCONFIRM=0","VIDEO")</f>
        <v>VIDEO</v>
      </c>
      <c r="AA1383" s="19" t="str">
        <f>HYPERLINK("https://ssdweb.co/ssdweb/CERTH/1498925397.pdf","CERTI")</f>
        <v>CERTI</v>
      </c>
    </row>
    <row r="1384" spans="1:27" ht="15" x14ac:dyDescent="0.25">
      <c r="A1384" s="2">
        <v>1379</v>
      </c>
      <c r="B1384" s="39">
        <v>926331684</v>
      </c>
      <c r="C1384" s="28" t="str">
        <f>HYPERLINK("https://pld.live/RapDetail.aspx?STONELIST=926331684","DNA")</f>
        <v>DNA</v>
      </c>
      <c r="D1384" s="18" t="s">
        <v>5847</v>
      </c>
      <c r="E1384" s="18" t="s">
        <v>5128</v>
      </c>
      <c r="F1384" s="2" t="s">
        <v>5597</v>
      </c>
      <c r="G1384" s="2" t="s">
        <v>861</v>
      </c>
      <c r="H1384" s="14">
        <v>0.72</v>
      </c>
      <c r="I1384" s="2" t="s">
        <v>4761</v>
      </c>
      <c r="J1384" s="2" t="s">
        <v>5144</v>
      </c>
      <c r="K1384" s="2" t="s">
        <v>5221</v>
      </c>
      <c r="L1384" s="2" t="s">
        <v>5221</v>
      </c>
      <c r="M1384" s="2" t="s">
        <v>5221</v>
      </c>
      <c r="N1384" s="2" t="s">
        <v>2317</v>
      </c>
      <c r="O1384" s="14">
        <v>3200</v>
      </c>
      <c r="P1384" s="14">
        <v>92.16</v>
      </c>
      <c r="Q1384" s="14">
        <v>250.88</v>
      </c>
      <c r="R1384" s="14">
        <v>180.63</v>
      </c>
      <c r="S1384" s="2" t="s">
        <v>1041</v>
      </c>
      <c r="T1384" s="2">
        <v>1.01</v>
      </c>
      <c r="U1384" s="2">
        <v>62.5</v>
      </c>
      <c r="V1384" s="2">
        <v>57</v>
      </c>
      <c r="W1384" s="2" t="s">
        <v>7862</v>
      </c>
      <c r="X1384" s="2" t="s">
        <v>5405</v>
      </c>
      <c r="Y1384" s="2">
        <v>2304</v>
      </c>
      <c r="Z1384" s="19" t="str">
        <f>HYPERLINK("https://ssdweb.co/ssdweb/hd/Vision360.html?d=926331684&amp;zoomslide=1&amp;z=1926331684&amp;ISCONFIRM=0","VIDEO")</f>
        <v>VIDEO</v>
      </c>
      <c r="AA1384" s="19" t="str">
        <f>HYPERLINK("https://ssdweb.co/ssdweb/CERTH/2498891298.pdf","CERTI")</f>
        <v>CERTI</v>
      </c>
    </row>
    <row r="1385" spans="1:27" ht="15" x14ac:dyDescent="0.25">
      <c r="A1385" s="2">
        <v>1380</v>
      </c>
      <c r="B1385" s="39">
        <v>926111365</v>
      </c>
      <c r="C1385" s="28" t="str">
        <f>HYPERLINK("https://pld.live/RapDetail.aspx?STONELIST=926111365","DNA")</f>
        <v>DNA</v>
      </c>
      <c r="D1385" s="18" t="s">
        <v>5847</v>
      </c>
      <c r="E1385" s="18" t="s">
        <v>5128</v>
      </c>
      <c r="F1385" s="2" t="s">
        <v>5597</v>
      </c>
      <c r="G1385" s="2" t="s">
        <v>861</v>
      </c>
      <c r="H1385" s="14">
        <v>0.72</v>
      </c>
      <c r="I1385" s="2" t="s">
        <v>4761</v>
      </c>
      <c r="J1385" s="2" t="s">
        <v>5144</v>
      </c>
      <c r="K1385" s="2" t="s">
        <v>5221</v>
      </c>
      <c r="L1385" s="2" t="s">
        <v>5221</v>
      </c>
      <c r="M1385" s="2" t="s">
        <v>5221</v>
      </c>
      <c r="N1385" s="2" t="s">
        <v>2317</v>
      </c>
      <c r="O1385" s="14">
        <v>3200</v>
      </c>
      <c r="P1385" s="14">
        <v>92.22</v>
      </c>
      <c r="Q1385" s="14">
        <v>248.96</v>
      </c>
      <c r="R1385" s="14">
        <v>179.25</v>
      </c>
      <c r="S1385" s="2" t="s">
        <v>6575</v>
      </c>
      <c r="T1385" s="2">
        <v>1</v>
      </c>
      <c r="U1385" s="2">
        <v>62.4</v>
      </c>
      <c r="V1385" s="2">
        <v>57</v>
      </c>
      <c r="W1385" s="2" t="s">
        <v>7862</v>
      </c>
      <c r="X1385" s="2" t="s">
        <v>5405</v>
      </c>
      <c r="Y1385" s="2">
        <v>2304</v>
      </c>
      <c r="Z1385" s="19" t="str">
        <f>HYPERLINK("https://ssdweb.co/ssdweb/hd/Vision360.html?d=926111365&amp;zoomslide=1&amp;z=1926111365&amp;ISCONFIRM=0","VIDEO")</f>
        <v>VIDEO</v>
      </c>
      <c r="AA1385" s="19" t="str">
        <f>HYPERLINK("https://ssdweb.co/ssdweb/CERTH/2498494573.pdf","CERTI")</f>
        <v>CERTI</v>
      </c>
    </row>
    <row r="1386" spans="1:27" ht="15" x14ac:dyDescent="0.25">
      <c r="A1386" s="2">
        <v>1381</v>
      </c>
      <c r="B1386" s="39">
        <v>926460677</v>
      </c>
      <c r="C1386" s="28" t="str">
        <f>HYPERLINK("https://pld.live/RapDetail.aspx?STONELIST=926460677","DNA")</f>
        <v>DNA</v>
      </c>
      <c r="D1386" s="18" t="s">
        <v>5847</v>
      </c>
      <c r="E1386" s="18" t="s">
        <v>5128</v>
      </c>
      <c r="F1386" s="2" t="s">
        <v>7987</v>
      </c>
      <c r="G1386" s="2" t="s">
        <v>861</v>
      </c>
      <c r="H1386" s="14">
        <v>0.71</v>
      </c>
      <c r="I1386" s="2" t="s">
        <v>267</v>
      </c>
      <c r="J1386" s="2" t="s">
        <v>6555</v>
      </c>
      <c r="K1386" s="2" t="s">
        <v>3390</v>
      </c>
      <c r="L1386" s="2" t="s">
        <v>5721</v>
      </c>
      <c r="M1386" s="2" t="s">
        <v>5221</v>
      </c>
      <c r="N1386" s="2" t="s">
        <v>2317</v>
      </c>
      <c r="O1386" s="14">
        <v>5800</v>
      </c>
      <c r="P1386" s="14">
        <v>97.62</v>
      </c>
      <c r="Q1386" s="14">
        <v>138.04</v>
      </c>
      <c r="R1386" s="14">
        <v>98.01</v>
      </c>
      <c r="S1386" s="2" t="s">
        <v>1848</v>
      </c>
      <c r="T1386" s="2">
        <v>1</v>
      </c>
      <c r="U1386" s="2">
        <v>62.4</v>
      </c>
      <c r="V1386" s="2">
        <v>57</v>
      </c>
      <c r="W1386" s="2" t="s">
        <v>7862</v>
      </c>
      <c r="X1386" s="2" t="s">
        <v>5405</v>
      </c>
      <c r="Y1386" s="2">
        <v>4118</v>
      </c>
      <c r="Z1386" s="19" t="str">
        <f>HYPERLINK("https://ssdweb.co/ssdweb/hd/Vision360.html?d=926460677&amp;zoomslide=1&amp;z=1926460677&amp;ISCONFIRM=0","VIDEO")</f>
        <v>VIDEO</v>
      </c>
      <c r="AA1386" s="19" t="str">
        <f>HYPERLINK("https://ssdweb.co/ssdweb/CERTH/681569602.pdf","CERTI")</f>
        <v>CERTI</v>
      </c>
    </row>
    <row r="1387" spans="1:27" ht="15" x14ac:dyDescent="0.25">
      <c r="A1387" s="2">
        <v>1382</v>
      </c>
      <c r="B1387" s="39">
        <v>925791086</v>
      </c>
      <c r="C1387" s="28" t="str">
        <f>HYPERLINK("https://pld.live/RapDetail.aspx?STONELIST=925791086","DNA")</f>
        <v>DNA</v>
      </c>
      <c r="D1387" s="18" t="s">
        <v>5847</v>
      </c>
      <c r="E1387" s="18" t="s">
        <v>5128</v>
      </c>
      <c r="F1387" s="2" t="s">
        <v>7987</v>
      </c>
      <c r="G1387" s="2" t="s">
        <v>861</v>
      </c>
      <c r="H1387" s="14">
        <v>0.71</v>
      </c>
      <c r="I1387" s="2" t="s">
        <v>267</v>
      </c>
      <c r="J1387" s="2" t="s">
        <v>6555</v>
      </c>
      <c r="K1387" s="2" t="s">
        <v>5221</v>
      </c>
      <c r="L1387" s="2" t="s">
        <v>5221</v>
      </c>
      <c r="M1387" s="2" t="s">
        <v>5221</v>
      </c>
      <c r="N1387" s="2" t="s">
        <v>2317</v>
      </c>
      <c r="O1387" s="14">
        <v>5800</v>
      </c>
      <c r="P1387" s="14">
        <v>97.69</v>
      </c>
      <c r="Q1387" s="14">
        <v>133.97999999999999</v>
      </c>
      <c r="R1387" s="14">
        <v>95.13</v>
      </c>
      <c r="S1387" s="2" t="s">
        <v>5195</v>
      </c>
      <c r="T1387" s="2">
        <v>1.01</v>
      </c>
      <c r="U1387" s="2">
        <v>62.4</v>
      </c>
      <c r="V1387" s="2">
        <v>61</v>
      </c>
      <c r="W1387" s="2" t="s">
        <v>7862</v>
      </c>
      <c r="X1387" s="2" t="s">
        <v>5405</v>
      </c>
      <c r="Y1387" s="2">
        <v>4118</v>
      </c>
      <c r="Z1387" s="19" t="str">
        <f>HYPERLINK("https://ssdweb.co/ssdweb/hd/Vision360.html?d=925791086&amp;zoomslide=1&amp;z=1925791086&amp;ISCONFIRM=0","VIDEO")</f>
        <v>VIDEO</v>
      </c>
      <c r="AA1387" s="19" t="str">
        <f>HYPERLINK("https://ssdweb.co/ssdweb/CERTH/626457240.pdf","CERTI")</f>
        <v>CERTI</v>
      </c>
    </row>
    <row r="1388" spans="1:27" ht="15" x14ac:dyDescent="0.25">
      <c r="A1388" s="2">
        <v>1383</v>
      </c>
      <c r="B1388" s="39">
        <v>926690928</v>
      </c>
      <c r="C1388" s="28" t="str">
        <f>HYPERLINK("https://pld.live/RapDetail.aspx?STONELIST=926690928","DNA")</f>
        <v>DNA</v>
      </c>
      <c r="D1388" s="18" t="s">
        <v>5847</v>
      </c>
      <c r="E1388" s="18" t="s">
        <v>5128</v>
      </c>
      <c r="F1388" s="2" t="s">
        <v>7987</v>
      </c>
      <c r="G1388" s="2" t="s">
        <v>861</v>
      </c>
      <c r="H1388" s="14">
        <v>0.71</v>
      </c>
      <c r="I1388" s="2" t="s">
        <v>267</v>
      </c>
      <c r="J1388" s="2" t="s">
        <v>6555</v>
      </c>
      <c r="K1388" s="2" t="s">
        <v>5221</v>
      </c>
      <c r="L1388" s="2" t="s">
        <v>5221</v>
      </c>
      <c r="M1388" s="2" t="s">
        <v>5221</v>
      </c>
      <c r="N1388" s="2" t="s">
        <v>2317</v>
      </c>
      <c r="O1388" s="14">
        <v>5800</v>
      </c>
      <c r="P1388" s="14">
        <v>97.62</v>
      </c>
      <c r="Q1388" s="14">
        <v>138.04</v>
      </c>
      <c r="R1388" s="14">
        <v>98.01</v>
      </c>
      <c r="S1388" s="2" t="s">
        <v>6361</v>
      </c>
      <c r="T1388" s="2">
        <v>1.01</v>
      </c>
      <c r="U1388" s="2">
        <v>62.7</v>
      </c>
      <c r="V1388" s="2">
        <v>55</v>
      </c>
      <c r="W1388" s="2" t="s">
        <v>7862</v>
      </c>
      <c r="X1388" s="2" t="s">
        <v>5405</v>
      </c>
      <c r="Y1388" s="2">
        <v>4118</v>
      </c>
      <c r="Z1388" s="19" t="str">
        <f>HYPERLINK("https://ssdweb.co/ssdweb/hd/Vision360.html?d=926690928&amp;zoomslide=1&amp;z=1926690928&amp;ISCONFIRM=0","VIDEO")</f>
        <v>VIDEO</v>
      </c>
      <c r="AA1388" s="19" t="str">
        <f>HYPERLINK("https://ssdweb.co/ssdweb/CERTH/656485699.pdf","CERTI")</f>
        <v>CERTI</v>
      </c>
    </row>
    <row r="1389" spans="1:27" ht="15" x14ac:dyDescent="0.25">
      <c r="A1389" s="2">
        <v>1384</v>
      </c>
      <c r="B1389" s="39">
        <v>926270904</v>
      </c>
      <c r="C1389" s="28" t="str">
        <f>HYPERLINK("https://pld.live/RapDetail.aspx?STONELIST=926270904","DNA")</f>
        <v>DNA</v>
      </c>
      <c r="D1389" s="18" t="s">
        <v>5847</v>
      </c>
      <c r="E1389" s="18" t="s">
        <v>5128</v>
      </c>
      <c r="F1389" s="2" t="s">
        <v>7987</v>
      </c>
      <c r="G1389" s="2" t="s">
        <v>861</v>
      </c>
      <c r="H1389" s="14">
        <v>0.71</v>
      </c>
      <c r="I1389" s="2" t="s">
        <v>267</v>
      </c>
      <c r="J1389" s="2" t="s">
        <v>6555</v>
      </c>
      <c r="K1389" s="2" t="s">
        <v>5221</v>
      </c>
      <c r="L1389" s="2" t="s">
        <v>5221</v>
      </c>
      <c r="M1389" s="2" t="s">
        <v>5721</v>
      </c>
      <c r="N1389" s="2" t="s">
        <v>2317</v>
      </c>
      <c r="O1389" s="14">
        <v>5800</v>
      </c>
      <c r="P1389" s="14">
        <v>97.66</v>
      </c>
      <c r="Q1389" s="14">
        <v>135.72</v>
      </c>
      <c r="R1389" s="14">
        <v>96.36</v>
      </c>
      <c r="S1389" s="2" t="s">
        <v>375</v>
      </c>
      <c r="T1389" s="2">
        <v>1.01</v>
      </c>
      <c r="U1389" s="2">
        <v>60.6</v>
      </c>
      <c r="V1389" s="2">
        <v>59</v>
      </c>
      <c r="W1389" s="2" t="s">
        <v>7862</v>
      </c>
      <c r="X1389" s="2" t="s">
        <v>5405</v>
      </c>
      <c r="Y1389" s="2">
        <v>4118</v>
      </c>
      <c r="Z1389" s="19" t="str">
        <f>HYPERLINK("https://ssdweb.co/ssdweb/hd/Vision360.html?d=926270904&amp;zoomslide=1&amp;z=1926270904&amp;ISCONFIRM=0","VIDEO")</f>
        <v>VIDEO</v>
      </c>
      <c r="AA1389" s="19" t="str">
        <f>HYPERLINK("https://ssdweb.co/ssdweb/CERTH/653451017.pdf","CERTI")</f>
        <v>CERTI</v>
      </c>
    </row>
    <row r="1390" spans="1:27" ht="15" x14ac:dyDescent="0.25">
      <c r="A1390" s="2">
        <v>1385</v>
      </c>
      <c r="B1390" s="39">
        <v>926221247</v>
      </c>
      <c r="C1390" s="28" t="str">
        <f>HYPERLINK("https://pld.live/RapDetail.aspx?STONELIST=926221247","DNA")</f>
        <v>DNA</v>
      </c>
      <c r="D1390" s="18" t="s">
        <v>5847</v>
      </c>
      <c r="E1390" s="18" t="s">
        <v>5128</v>
      </c>
      <c r="F1390" s="2" t="s">
        <v>7987</v>
      </c>
      <c r="G1390" s="2" t="s">
        <v>861</v>
      </c>
      <c r="H1390" s="14">
        <v>0.71</v>
      </c>
      <c r="I1390" s="2" t="s">
        <v>267</v>
      </c>
      <c r="J1390" s="2" t="s">
        <v>3942</v>
      </c>
      <c r="K1390" s="2" t="s">
        <v>3390</v>
      </c>
      <c r="L1390" s="2" t="s">
        <v>5221</v>
      </c>
      <c r="M1390" s="2" t="s">
        <v>5721</v>
      </c>
      <c r="N1390" s="2" t="s">
        <v>2317</v>
      </c>
      <c r="O1390" s="14">
        <v>4500</v>
      </c>
      <c r="P1390" s="14">
        <v>97.07</v>
      </c>
      <c r="Q1390" s="14">
        <v>131.85</v>
      </c>
      <c r="R1390" s="14">
        <v>93.61</v>
      </c>
      <c r="S1390" s="2" t="s">
        <v>7917</v>
      </c>
      <c r="T1390" s="2">
        <v>1.01</v>
      </c>
      <c r="U1390" s="2">
        <v>62.2</v>
      </c>
      <c r="V1390" s="2">
        <v>58</v>
      </c>
      <c r="W1390" s="2" t="s">
        <v>7862</v>
      </c>
      <c r="X1390" s="2" t="s">
        <v>5405</v>
      </c>
      <c r="Y1390" s="2">
        <v>3195</v>
      </c>
      <c r="Z1390" s="19" t="str">
        <f>HYPERLINK("https://ssdweb.co/ssdweb/hd/Vision360.html?d=926221247&amp;zoomslide=1&amp;z=1926221247&amp;ISCONFIRM=0","VIDEO")</f>
        <v>VIDEO</v>
      </c>
      <c r="AA1390" s="19" t="str">
        <f>HYPERLINK("https://ssdweb.co/ssdweb/CERTH/640474002.pdf","CERTI")</f>
        <v>CERTI</v>
      </c>
    </row>
    <row r="1391" spans="1:27" ht="15" x14ac:dyDescent="0.25">
      <c r="A1391" s="2">
        <v>1386</v>
      </c>
      <c r="B1391" s="39">
        <v>925760391</v>
      </c>
      <c r="C1391" s="28" t="str">
        <f>HYPERLINK("https://pld.live/RapDetail.aspx?STONELIST=925760391","DNA")</f>
        <v>DNA</v>
      </c>
      <c r="D1391" s="18" t="s">
        <v>5847</v>
      </c>
      <c r="E1391" s="18" t="s">
        <v>5128</v>
      </c>
      <c r="F1391" s="2" t="s">
        <v>7987</v>
      </c>
      <c r="G1391" s="2" t="s">
        <v>861</v>
      </c>
      <c r="H1391" s="14">
        <v>0.71</v>
      </c>
      <c r="I1391" s="2" t="s">
        <v>267</v>
      </c>
      <c r="J1391" s="2" t="s">
        <v>3942</v>
      </c>
      <c r="K1391" s="2" t="s">
        <v>5221</v>
      </c>
      <c r="L1391" s="2" t="s">
        <v>5221</v>
      </c>
      <c r="M1391" s="2" t="s">
        <v>5221</v>
      </c>
      <c r="N1391" s="2" t="s">
        <v>2317</v>
      </c>
      <c r="O1391" s="14">
        <v>4500</v>
      </c>
      <c r="P1391" s="14">
        <v>97.07</v>
      </c>
      <c r="Q1391" s="14">
        <v>131.85</v>
      </c>
      <c r="R1391" s="14">
        <v>93.61</v>
      </c>
      <c r="S1391" s="2" t="s">
        <v>6361</v>
      </c>
      <c r="T1391" s="2">
        <v>1.01</v>
      </c>
      <c r="U1391" s="2">
        <v>62.8</v>
      </c>
      <c r="V1391" s="2">
        <v>56</v>
      </c>
      <c r="W1391" s="2" t="s">
        <v>7862</v>
      </c>
      <c r="X1391" s="2" t="s">
        <v>5405</v>
      </c>
      <c r="Y1391" s="2">
        <v>3195</v>
      </c>
      <c r="Z1391" s="19" t="str">
        <f>HYPERLINK("https://ssdweb.co/ssdweb/hd/Vision360.html?d=925760391&amp;zoomslide=1&amp;z=1925760391&amp;ISCONFIRM=0","VIDEO")</f>
        <v>VIDEO</v>
      </c>
      <c r="AA1391" s="19" t="str">
        <f>HYPERLINK("https://ssdweb.co/ssdweb/CERTH/625457882.pdf","CERTI")</f>
        <v>CERTI</v>
      </c>
    </row>
    <row r="1392" spans="1:27" ht="15" x14ac:dyDescent="0.25">
      <c r="A1392" s="2">
        <v>1387</v>
      </c>
      <c r="B1392" s="39">
        <v>926280761</v>
      </c>
      <c r="C1392" s="28" t="str">
        <f>HYPERLINK("https://pld.live/RapDetail.aspx?STONELIST=926280761","DNA")</f>
        <v>DNA</v>
      </c>
      <c r="D1392" s="18" t="s">
        <v>5847</v>
      </c>
      <c r="E1392" s="18" t="s">
        <v>5128</v>
      </c>
      <c r="F1392" s="2" t="s">
        <v>7987</v>
      </c>
      <c r="G1392" s="2" t="s">
        <v>861</v>
      </c>
      <c r="H1392" s="14">
        <v>0.71</v>
      </c>
      <c r="I1392" s="2" t="s">
        <v>267</v>
      </c>
      <c r="J1392" s="2" t="s">
        <v>3942</v>
      </c>
      <c r="K1392" s="2" t="s">
        <v>5221</v>
      </c>
      <c r="L1392" s="2" t="s">
        <v>5221</v>
      </c>
      <c r="M1392" s="2" t="s">
        <v>5221</v>
      </c>
      <c r="N1392" s="2" t="s">
        <v>2317</v>
      </c>
      <c r="O1392" s="14">
        <v>4500</v>
      </c>
      <c r="P1392" s="14">
        <v>96.98</v>
      </c>
      <c r="Q1392" s="14">
        <v>135.9</v>
      </c>
      <c r="R1392" s="14">
        <v>96.49</v>
      </c>
      <c r="S1392" s="2" t="s">
        <v>907</v>
      </c>
      <c r="T1392" s="2">
        <v>1.01</v>
      </c>
      <c r="U1392" s="2">
        <v>59.9</v>
      </c>
      <c r="V1392" s="2">
        <v>61</v>
      </c>
      <c r="W1392" s="2" t="s">
        <v>7862</v>
      </c>
      <c r="X1392" s="2" t="s">
        <v>5405</v>
      </c>
      <c r="Y1392" s="2">
        <v>3195</v>
      </c>
      <c r="Z1392" s="19" t="str">
        <f>HYPERLINK("https://ssdweb.co/ssdweb/hd/Vision360.html?d=926280761&amp;zoomslide=1&amp;z=1926280761&amp;ISCONFIRM=0","VIDEO")</f>
        <v>VIDEO</v>
      </c>
      <c r="AA1392" s="19" t="str">
        <f>HYPERLINK("https://ssdweb.co/ssdweb/CERTH/653451016.pdf","CERTI")</f>
        <v>CERTI</v>
      </c>
    </row>
    <row r="1393" spans="1:27" ht="15" x14ac:dyDescent="0.25">
      <c r="A1393" s="2">
        <v>1388</v>
      </c>
      <c r="B1393" s="39">
        <v>926250544</v>
      </c>
      <c r="C1393" s="28" t="str">
        <f>HYPERLINK("https://pld.live/RapDetail.aspx?STONELIST=926250544","DNA")</f>
        <v>DNA</v>
      </c>
      <c r="D1393" s="18" t="s">
        <v>5847</v>
      </c>
      <c r="E1393" s="18" t="s">
        <v>5128</v>
      </c>
      <c r="F1393" s="2" t="s">
        <v>7987</v>
      </c>
      <c r="G1393" s="2" t="s">
        <v>861</v>
      </c>
      <c r="H1393" s="14">
        <v>0.71</v>
      </c>
      <c r="I1393" s="2" t="s">
        <v>267</v>
      </c>
      <c r="J1393" s="2" t="s">
        <v>3942</v>
      </c>
      <c r="K1393" s="2" t="s">
        <v>5221</v>
      </c>
      <c r="L1393" s="2" t="s">
        <v>5221</v>
      </c>
      <c r="M1393" s="2" t="s">
        <v>5221</v>
      </c>
      <c r="N1393" s="2" t="s">
        <v>2317</v>
      </c>
      <c r="O1393" s="14">
        <v>4500</v>
      </c>
      <c r="P1393" s="14">
        <v>97.02</v>
      </c>
      <c r="Q1393" s="14">
        <v>134.1</v>
      </c>
      <c r="R1393" s="14">
        <v>95.21</v>
      </c>
      <c r="S1393" s="2" t="s">
        <v>319</v>
      </c>
      <c r="T1393" s="2">
        <v>1.01</v>
      </c>
      <c r="U1393" s="2">
        <v>60.8</v>
      </c>
      <c r="V1393" s="2">
        <v>61</v>
      </c>
      <c r="W1393" s="2" t="s">
        <v>7862</v>
      </c>
      <c r="X1393" s="2" t="s">
        <v>5405</v>
      </c>
      <c r="Y1393" s="2">
        <v>3195</v>
      </c>
      <c r="Z1393" s="19" t="str">
        <f>HYPERLINK("https://ssdweb.co/ssdweb/hd/Vision360.html?d=926250544&amp;zoomslide=1&amp;z=1926250544&amp;ISCONFIRM=0","VIDEO")</f>
        <v>VIDEO</v>
      </c>
      <c r="AA1393" s="19" t="str">
        <f>HYPERLINK("https://ssdweb.co/ssdweb/CERTH/640485557.pdf","CERTI")</f>
        <v>CERTI</v>
      </c>
    </row>
    <row r="1394" spans="1:27" ht="15" x14ac:dyDescent="0.25">
      <c r="A1394" s="2">
        <v>1389</v>
      </c>
      <c r="B1394" s="39">
        <v>926221230</v>
      </c>
      <c r="C1394" s="28" t="str">
        <f>HYPERLINK("https://pld.live/RapDetail.aspx?STONELIST=926221230","DNA")</f>
        <v>DNA</v>
      </c>
      <c r="D1394" s="18" t="s">
        <v>5847</v>
      </c>
      <c r="E1394" s="18" t="s">
        <v>5128</v>
      </c>
      <c r="F1394" s="2" t="s">
        <v>7987</v>
      </c>
      <c r="G1394" s="2" t="s">
        <v>861</v>
      </c>
      <c r="H1394" s="14">
        <v>0.71</v>
      </c>
      <c r="I1394" s="2" t="s">
        <v>267</v>
      </c>
      <c r="J1394" s="2" t="s">
        <v>3942</v>
      </c>
      <c r="K1394" s="2" t="s">
        <v>5221</v>
      </c>
      <c r="L1394" s="2" t="s">
        <v>5221</v>
      </c>
      <c r="M1394" s="2" t="s">
        <v>5221</v>
      </c>
      <c r="N1394" s="2" t="s">
        <v>2317</v>
      </c>
      <c r="O1394" s="14">
        <v>4500</v>
      </c>
      <c r="P1394" s="14">
        <v>97.02</v>
      </c>
      <c r="Q1394" s="14">
        <v>134.1</v>
      </c>
      <c r="R1394" s="14">
        <v>95.21</v>
      </c>
      <c r="S1394" s="2" t="s">
        <v>5083</v>
      </c>
      <c r="T1394" s="2">
        <v>1.01</v>
      </c>
      <c r="U1394" s="2">
        <v>63.2</v>
      </c>
      <c r="V1394" s="2">
        <v>57</v>
      </c>
      <c r="W1394" s="2" t="s">
        <v>7862</v>
      </c>
      <c r="X1394" s="2" t="s">
        <v>5405</v>
      </c>
      <c r="Y1394" s="2">
        <v>3195</v>
      </c>
      <c r="Z1394" s="19" t="str">
        <f>HYPERLINK("https://ssdweb.co/ssdweb/hd/Vision360.html?d=926221230&amp;zoomslide=1&amp;z=1926221230&amp;ISCONFIRM=0","VIDEO")</f>
        <v>VIDEO</v>
      </c>
      <c r="AA1394" s="19" t="str">
        <f>HYPERLINK("https://ssdweb.co/ssdweb/CERTH/639438695.pdf","CERTI")</f>
        <v>CERTI</v>
      </c>
    </row>
    <row r="1395" spans="1:27" ht="15" x14ac:dyDescent="0.25">
      <c r="A1395" s="2">
        <v>1390</v>
      </c>
      <c r="B1395" s="39">
        <v>926221407</v>
      </c>
      <c r="C1395" s="28" t="str">
        <f>HYPERLINK("https://pld.live/RapDetail.aspx?STONELIST=926221407","DNA")</f>
        <v>DNA</v>
      </c>
      <c r="D1395" s="18" t="s">
        <v>5847</v>
      </c>
      <c r="E1395" s="18" t="s">
        <v>5128</v>
      </c>
      <c r="F1395" s="2" t="s">
        <v>7987</v>
      </c>
      <c r="G1395" s="2" t="s">
        <v>861</v>
      </c>
      <c r="H1395" s="14">
        <v>0.71</v>
      </c>
      <c r="I1395" s="2" t="s">
        <v>267</v>
      </c>
      <c r="J1395" s="2" t="s">
        <v>3942</v>
      </c>
      <c r="K1395" s="2" t="s">
        <v>5221</v>
      </c>
      <c r="L1395" s="2" t="s">
        <v>5221</v>
      </c>
      <c r="M1395" s="2" t="s">
        <v>5221</v>
      </c>
      <c r="N1395" s="2" t="s">
        <v>2317</v>
      </c>
      <c r="O1395" s="14">
        <v>4500</v>
      </c>
      <c r="P1395" s="14">
        <v>97.02</v>
      </c>
      <c r="Q1395" s="14">
        <v>134.1</v>
      </c>
      <c r="R1395" s="14">
        <v>95.21</v>
      </c>
      <c r="S1395" s="2" t="s">
        <v>4868</v>
      </c>
      <c r="T1395" s="2">
        <v>1</v>
      </c>
      <c r="U1395" s="2">
        <v>63.1</v>
      </c>
      <c r="V1395" s="2">
        <v>57</v>
      </c>
      <c r="W1395" s="2" t="s">
        <v>7862</v>
      </c>
      <c r="X1395" s="2" t="s">
        <v>5405</v>
      </c>
      <c r="Y1395" s="2">
        <v>3195</v>
      </c>
      <c r="Z1395" s="19" t="str">
        <f>HYPERLINK("https://ssdweb.co/ssdweb/hd/Vision360.html?d=926221407&amp;zoomslide=1&amp;z=1926221407&amp;ISCONFIRM=0","VIDEO")</f>
        <v>VIDEO</v>
      </c>
      <c r="AA1395" s="19" t="str">
        <f>HYPERLINK("https://ssdweb.co/ssdweb/CERTH/640485515.pdf","CERTI")</f>
        <v>CERTI</v>
      </c>
    </row>
    <row r="1396" spans="1:27" ht="15" x14ac:dyDescent="0.25">
      <c r="A1396" s="2">
        <v>1391</v>
      </c>
      <c r="B1396" s="39">
        <v>926250612</v>
      </c>
      <c r="C1396" s="28" t="str">
        <f>HYPERLINK("https://pld.live/RapDetail.aspx?STONELIST=926250612","DNA")</f>
        <v>DNA</v>
      </c>
      <c r="D1396" s="18" t="s">
        <v>5847</v>
      </c>
      <c r="E1396" s="18" t="s">
        <v>5128</v>
      </c>
      <c r="F1396" s="2" t="s">
        <v>7987</v>
      </c>
      <c r="G1396" s="2" t="s">
        <v>861</v>
      </c>
      <c r="H1396" s="14">
        <v>0.71</v>
      </c>
      <c r="I1396" s="2" t="s">
        <v>267</v>
      </c>
      <c r="J1396" s="2" t="s">
        <v>3942</v>
      </c>
      <c r="K1396" s="2" t="s">
        <v>5221</v>
      </c>
      <c r="L1396" s="2" t="s">
        <v>5221</v>
      </c>
      <c r="M1396" s="2" t="s">
        <v>5221</v>
      </c>
      <c r="N1396" s="2" t="s">
        <v>2317</v>
      </c>
      <c r="O1396" s="14">
        <v>4500</v>
      </c>
      <c r="P1396" s="14">
        <v>97.02</v>
      </c>
      <c r="Q1396" s="14">
        <v>134.1</v>
      </c>
      <c r="R1396" s="14">
        <v>95.21</v>
      </c>
      <c r="S1396" s="2" t="s">
        <v>7833</v>
      </c>
      <c r="T1396" s="2">
        <v>1.01</v>
      </c>
      <c r="U1396" s="2">
        <v>63</v>
      </c>
      <c r="V1396" s="2">
        <v>56</v>
      </c>
      <c r="W1396" s="2" t="s">
        <v>7862</v>
      </c>
      <c r="X1396" s="2" t="s">
        <v>5405</v>
      </c>
      <c r="Y1396" s="2">
        <v>3195</v>
      </c>
      <c r="Z1396" s="19" t="str">
        <f>HYPERLINK("https://ssdweb.co/ssdweb/hd/Vision360.html?d=926250612&amp;zoomslide=1&amp;z=1926250612&amp;ISCONFIRM=0","VIDEO")</f>
        <v>VIDEO</v>
      </c>
      <c r="AA1396" s="19" t="str">
        <f>HYPERLINK("https://ssdweb.co/ssdweb/CERTH/640485581.pdf","CERTI")</f>
        <v>CERTI</v>
      </c>
    </row>
    <row r="1397" spans="1:27" ht="15" x14ac:dyDescent="0.25">
      <c r="A1397" s="2">
        <v>1392</v>
      </c>
      <c r="B1397" s="39">
        <v>926311298</v>
      </c>
      <c r="C1397" s="28" t="str">
        <f>HYPERLINK("https://pld.live/RapDetail.aspx?STONELIST=926311298","DNA")</f>
        <v>DNA</v>
      </c>
      <c r="D1397" s="18" t="s">
        <v>5847</v>
      </c>
      <c r="E1397" s="18" t="s">
        <v>5128</v>
      </c>
      <c r="F1397" s="2" t="s">
        <v>7987</v>
      </c>
      <c r="G1397" s="2" t="s">
        <v>861</v>
      </c>
      <c r="H1397" s="14">
        <v>0.71</v>
      </c>
      <c r="I1397" s="2" t="s">
        <v>267</v>
      </c>
      <c r="J1397" s="2" t="s">
        <v>3942</v>
      </c>
      <c r="K1397" s="2" t="s">
        <v>5221</v>
      </c>
      <c r="L1397" s="2" t="s">
        <v>5221</v>
      </c>
      <c r="M1397" s="2" t="s">
        <v>5221</v>
      </c>
      <c r="N1397" s="2" t="s">
        <v>2317</v>
      </c>
      <c r="O1397" s="14">
        <v>4500</v>
      </c>
      <c r="P1397" s="14">
        <v>96.93</v>
      </c>
      <c r="Q1397" s="14">
        <v>138.15</v>
      </c>
      <c r="R1397" s="14">
        <v>98.09</v>
      </c>
      <c r="S1397" s="2" t="s">
        <v>1440</v>
      </c>
      <c r="T1397" s="2">
        <v>1.01</v>
      </c>
      <c r="U1397" s="2">
        <v>63.2</v>
      </c>
      <c r="V1397" s="2">
        <v>59</v>
      </c>
      <c r="W1397" s="2" t="s">
        <v>7862</v>
      </c>
      <c r="X1397" s="2" t="s">
        <v>5405</v>
      </c>
      <c r="Y1397" s="2">
        <v>3195</v>
      </c>
      <c r="Z1397" s="19" t="str">
        <f>HYPERLINK("https://ssdweb.co/ssdweb/hd/Vision360.html?d=926311298&amp;zoomslide=1&amp;z=1926311298&amp;ISCONFIRM=0","VIDEO")</f>
        <v>VIDEO</v>
      </c>
      <c r="AA1397" s="19" t="str">
        <f>HYPERLINK("https://ssdweb.co/ssdweb/CERTH/681569612.pdf","CERTI")</f>
        <v>CERTI</v>
      </c>
    </row>
    <row r="1398" spans="1:27" ht="15" x14ac:dyDescent="0.25">
      <c r="A1398" s="2">
        <v>1393</v>
      </c>
      <c r="B1398" s="39">
        <v>926311303</v>
      </c>
      <c r="C1398" s="28" t="str">
        <f>HYPERLINK("https://pld.live/RapDetail.aspx?STONELIST=926311303","DNA")</f>
        <v>DNA</v>
      </c>
      <c r="D1398" s="18" t="s">
        <v>5847</v>
      </c>
      <c r="E1398" s="18" t="s">
        <v>5128</v>
      </c>
      <c r="F1398" s="2" t="s">
        <v>7987</v>
      </c>
      <c r="G1398" s="2" t="s">
        <v>861</v>
      </c>
      <c r="H1398" s="14">
        <v>0.71</v>
      </c>
      <c r="I1398" s="2" t="s">
        <v>267</v>
      </c>
      <c r="J1398" s="2" t="s">
        <v>3942</v>
      </c>
      <c r="K1398" s="2" t="s">
        <v>5221</v>
      </c>
      <c r="L1398" s="2" t="s">
        <v>5221</v>
      </c>
      <c r="M1398" s="2" t="s">
        <v>5221</v>
      </c>
      <c r="N1398" s="2" t="s">
        <v>2317</v>
      </c>
      <c r="O1398" s="14">
        <v>4500</v>
      </c>
      <c r="P1398" s="14">
        <v>96.98</v>
      </c>
      <c r="Q1398" s="14">
        <v>135.9</v>
      </c>
      <c r="R1398" s="14">
        <v>96.49</v>
      </c>
      <c r="S1398" s="2" t="s">
        <v>2476</v>
      </c>
      <c r="T1398" s="2">
        <v>1.01</v>
      </c>
      <c r="U1398" s="2">
        <v>61.7</v>
      </c>
      <c r="V1398" s="2">
        <v>61</v>
      </c>
      <c r="W1398" s="2" t="s">
        <v>7862</v>
      </c>
      <c r="X1398" s="2" t="s">
        <v>5405</v>
      </c>
      <c r="Y1398" s="2">
        <v>3195</v>
      </c>
      <c r="Z1398" s="19" t="str">
        <f>HYPERLINK("https://ssdweb.co/ssdweb/hd/Vision360.html?d=926311303&amp;zoomslide=1&amp;z=1926311303&amp;ISCONFIRM=0","VIDEO")</f>
        <v>VIDEO</v>
      </c>
      <c r="AA1398" s="19" t="str">
        <f>HYPERLINK("https://ssdweb.co/ssdweb/CERTH/656485689.pdf","CERTI")</f>
        <v>CERTI</v>
      </c>
    </row>
    <row r="1399" spans="1:27" ht="15" x14ac:dyDescent="0.25">
      <c r="A1399" s="2">
        <v>1394</v>
      </c>
      <c r="B1399" s="39">
        <v>941071220</v>
      </c>
      <c r="C1399" s="28" t="str">
        <f>HYPERLINK("https://pld.live/RapDetail.aspx?STONELIST=941071220","DNA")</f>
        <v>DNA</v>
      </c>
      <c r="D1399" s="18" t="s">
        <v>5847</v>
      </c>
      <c r="E1399" s="18" t="s">
        <v>5128</v>
      </c>
      <c r="F1399" s="2" t="s">
        <v>7987</v>
      </c>
      <c r="G1399" s="2" t="s">
        <v>861</v>
      </c>
      <c r="H1399" s="14">
        <v>0.71</v>
      </c>
      <c r="I1399" s="2" t="s">
        <v>267</v>
      </c>
      <c r="J1399" s="2" t="s">
        <v>3942</v>
      </c>
      <c r="K1399" s="2" t="s">
        <v>5221</v>
      </c>
      <c r="L1399" s="2" t="s">
        <v>5221</v>
      </c>
      <c r="M1399" s="2" t="s">
        <v>5221</v>
      </c>
      <c r="N1399" s="2" t="s">
        <v>2317</v>
      </c>
      <c r="O1399" s="14">
        <v>4500</v>
      </c>
      <c r="P1399" s="14">
        <v>96.93</v>
      </c>
      <c r="Q1399" s="14">
        <v>138.15</v>
      </c>
      <c r="R1399" s="14">
        <v>98.09</v>
      </c>
      <c r="S1399" s="2" t="s">
        <v>1038</v>
      </c>
      <c r="T1399" s="2">
        <v>1.01</v>
      </c>
      <c r="U1399" s="2">
        <v>62.9</v>
      </c>
      <c r="V1399" s="2">
        <v>58</v>
      </c>
      <c r="W1399" s="2" t="s">
        <v>7862</v>
      </c>
      <c r="X1399" s="2" t="s">
        <v>5405</v>
      </c>
      <c r="Y1399" s="2">
        <v>3195</v>
      </c>
      <c r="Z1399" s="19" t="str">
        <f>HYPERLINK("https://ssdweb.co/ssdweb/hd/Vision360.html?d=941071220&amp;zoomslide=1&amp;z=1941071220&amp;ISCONFIRM=0","VIDEO")</f>
        <v>VIDEO</v>
      </c>
      <c r="AA1399" s="19" t="str">
        <f>HYPERLINK("https://ssdweb.co/ssdweb/CERTH/671427857.pdf","CERTI")</f>
        <v>CERTI</v>
      </c>
    </row>
    <row r="1400" spans="1:27" ht="15" x14ac:dyDescent="0.25">
      <c r="A1400" s="2">
        <v>1395</v>
      </c>
      <c r="B1400" s="39">
        <v>926211200</v>
      </c>
      <c r="C1400" s="28" t="str">
        <f>HYPERLINK("https://pld.live/RapDetail.aspx?STONELIST=926211200","DNA")</f>
        <v>DNA</v>
      </c>
      <c r="D1400" s="18" t="s">
        <v>5847</v>
      </c>
      <c r="E1400" s="18" t="s">
        <v>5128</v>
      </c>
      <c r="F1400" s="2" t="s">
        <v>7987</v>
      </c>
      <c r="G1400" s="2" t="s">
        <v>861</v>
      </c>
      <c r="H1400" s="14">
        <v>0.71</v>
      </c>
      <c r="I1400" s="2" t="s">
        <v>267</v>
      </c>
      <c r="J1400" s="2" t="s">
        <v>3942</v>
      </c>
      <c r="K1400" s="2" t="s">
        <v>5221</v>
      </c>
      <c r="L1400" s="2" t="s">
        <v>5221</v>
      </c>
      <c r="M1400" s="2" t="s">
        <v>5721</v>
      </c>
      <c r="N1400" s="2" t="s">
        <v>2317</v>
      </c>
      <c r="O1400" s="14">
        <v>4500</v>
      </c>
      <c r="P1400" s="14">
        <v>97.07</v>
      </c>
      <c r="Q1400" s="14">
        <v>131.85</v>
      </c>
      <c r="R1400" s="14">
        <v>93.61</v>
      </c>
      <c r="S1400" s="2" t="s">
        <v>2997</v>
      </c>
      <c r="T1400" s="2">
        <v>1.01</v>
      </c>
      <c r="U1400" s="2">
        <v>62.8</v>
      </c>
      <c r="V1400" s="2">
        <v>57</v>
      </c>
      <c r="W1400" s="2" t="s">
        <v>7862</v>
      </c>
      <c r="X1400" s="2" t="s">
        <v>5405</v>
      </c>
      <c r="Y1400" s="2">
        <v>3195</v>
      </c>
      <c r="Z1400" s="19" t="str">
        <f>HYPERLINK("https://ssdweb.co/ssdweb/hd/Vision360.html?d=926211200&amp;zoomslide=1&amp;z=1926211200&amp;ISCONFIRM=0","VIDEO")</f>
        <v>VIDEO</v>
      </c>
      <c r="AA1400" s="19" t="str">
        <f>HYPERLINK("https://ssdweb.co/ssdweb/CERTH/639406006.pdf","CERTI")</f>
        <v>CERTI</v>
      </c>
    </row>
    <row r="1401" spans="1:27" ht="15" x14ac:dyDescent="0.25">
      <c r="A1401" s="2">
        <v>1396</v>
      </c>
      <c r="B1401" s="39">
        <v>926221206</v>
      </c>
      <c r="C1401" s="28" t="str">
        <f>HYPERLINK("https://pld.live/RapDetail.aspx?STONELIST=926221206","DNA")</f>
        <v>DNA</v>
      </c>
      <c r="D1401" s="18" t="s">
        <v>5847</v>
      </c>
      <c r="E1401" s="18" t="s">
        <v>5128</v>
      </c>
      <c r="F1401" s="2" t="s">
        <v>7987</v>
      </c>
      <c r="G1401" s="2" t="s">
        <v>861</v>
      </c>
      <c r="H1401" s="14">
        <v>0.71</v>
      </c>
      <c r="I1401" s="2" t="s">
        <v>267</v>
      </c>
      <c r="J1401" s="2" t="s">
        <v>3942</v>
      </c>
      <c r="K1401" s="2" t="s">
        <v>5221</v>
      </c>
      <c r="L1401" s="2" t="s">
        <v>5221</v>
      </c>
      <c r="M1401" s="2" t="s">
        <v>5721</v>
      </c>
      <c r="N1401" s="2" t="s">
        <v>2317</v>
      </c>
      <c r="O1401" s="14">
        <v>4500</v>
      </c>
      <c r="P1401" s="14">
        <v>97.07</v>
      </c>
      <c r="Q1401" s="14">
        <v>131.85</v>
      </c>
      <c r="R1401" s="14">
        <v>93.61</v>
      </c>
      <c r="S1401" s="2" t="s">
        <v>709</v>
      </c>
      <c r="T1401" s="2">
        <v>1.01</v>
      </c>
      <c r="U1401" s="2">
        <v>61.3</v>
      </c>
      <c r="V1401" s="2">
        <v>61</v>
      </c>
      <c r="W1401" s="2" t="s">
        <v>7862</v>
      </c>
      <c r="X1401" s="2" t="s">
        <v>5405</v>
      </c>
      <c r="Y1401" s="2">
        <v>3195</v>
      </c>
      <c r="Z1401" s="19" t="str">
        <f>HYPERLINK("https://ssdweb.co/ssdweb/hd/Vision360.html?d=926221206&amp;zoomslide=1&amp;z=1926221206&amp;ISCONFIRM=0","VIDEO")</f>
        <v>VIDEO</v>
      </c>
      <c r="AA1401" s="19" t="str">
        <f>HYPERLINK("https://ssdweb.co/ssdweb/CERTH/639413120.pdf","CERTI")</f>
        <v>CERTI</v>
      </c>
    </row>
    <row r="1402" spans="1:27" ht="15" x14ac:dyDescent="0.25">
      <c r="A1402" s="2">
        <v>1397</v>
      </c>
      <c r="B1402" s="39">
        <v>926221334</v>
      </c>
      <c r="C1402" s="28" t="str">
        <f>HYPERLINK("https://pld.live/RapDetail.aspx?STONELIST=926221334","DNA")</f>
        <v>DNA</v>
      </c>
      <c r="D1402" s="18" t="s">
        <v>5847</v>
      </c>
      <c r="E1402" s="18" t="s">
        <v>5128</v>
      </c>
      <c r="F1402" s="2" t="s">
        <v>7987</v>
      </c>
      <c r="G1402" s="2" t="s">
        <v>861</v>
      </c>
      <c r="H1402" s="14">
        <v>0.71</v>
      </c>
      <c r="I1402" s="2" t="s">
        <v>267</v>
      </c>
      <c r="J1402" s="2" t="s">
        <v>13</v>
      </c>
      <c r="K1402" s="2" t="s">
        <v>3390</v>
      </c>
      <c r="L1402" s="2" t="s">
        <v>5221</v>
      </c>
      <c r="M1402" s="2" t="s">
        <v>5721</v>
      </c>
      <c r="N1402" s="2" t="s">
        <v>2317</v>
      </c>
      <c r="O1402" s="14">
        <v>3900</v>
      </c>
      <c r="P1402" s="14">
        <v>96.77</v>
      </c>
      <c r="Q1402" s="14">
        <v>125.97</v>
      </c>
      <c r="R1402" s="14">
        <v>89.44</v>
      </c>
      <c r="S1402" s="2" t="s">
        <v>1849</v>
      </c>
      <c r="T1402" s="2">
        <v>1.01</v>
      </c>
      <c r="U1402" s="2">
        <v>60.7</v>
      </c>
      <c r="V1402" s="2">
        <v>59</v>
      </c>
      <c r="W1402" s="2" t="s">
        <v>7862</v>
      </c>
      <c r="X1402" s="2" t="s">
        <v>5405</v>
      </c>
      <c r="Y1402" s="2">
        <v>2769</v>
      </c>
      <c r="Z1402" s="19" t="str">
        <f>HYPERLINK("https://ssdweb.co/ssdweb/hd/Vision360.html?d=926221334&amp;zoomslide=1&amp;z=1926221334&amp;ISCONFIRM=0","VIDEO")</f>
        <v>VIDEO</v>
      </c>
      <c r="AA1402" s="19" t="str">
        <f>HYPERLINK("https://ssdweb.co/ssdweb/CERTH/640473920.pdf","CERTI")</f>
        <v>CERTI</v>
      </c>
    </row>
    <row r="1403" spans="1:27" ht="15" x14ac:dyDescent="0.25">
      <c r="A1403" s="2">
        <v>1398</v>
      </c>
      <c r="B1403" s="39">
        <v>925790576</v>
      </c>
      <c r="C1403" s="28" t="str">
        <f>HYPERLINK("https://pld.live/RapDetail.aspx?STONELIST=925790576","DNA")</f>
        <v>DNA</v>
      </c>
      <c r="D1403" s="18" t="s">
        <v>5847</v>
      </c>
      <c r="E1403" s="18" t="s">
        <v>5128</v>
      </c>
      <c r="F1403" s="2" t="s">
        <v>7987</v>
      </c>
      <c r="G1403" s="2" t="s">
        <v>861</v>
      </c>
      <c r="H1403" s="14">
        <v>0.71</v>
      </c>
      <c r="I1403" s="2" t="s">
        <v>267</v>
      </c>
      <c r="J1403" s="2" t="s">
        <v>13</v>
      </c>
      <c r="K1403" s="2" t="s">
        <v>5221</v>
      </c>
      <c r="L1403" s="2" t="s">
        <v>5221</v>
      </c>
      <c r="M1403" s="2" t="s">
        <v>5221</v>
      </c>
      <c r="N1403" s="2" t="s">
        <v>2317</v>
      </c>
      <c r="O1403" s="14">
        <v>3900</v>
      </c>
      <c r="P1403" s="14">
        <v>96.77</v>
      </c>
      <c r="Q1403" s="14">
        <v>125.97</v>
      </c>
      <c r="R1403" s="14">
        <v>89.44</v>
      </c>
      <c r="S1403" s="2" t="s">
        <v>4467</v>
      </c>
      <c r="T1403" s="2">
        <v>1.01</v>
      </c>
      <c r="U1403" s="2">
        <v>58.8</v>
      </c>
      <c r="V1403" s="2">
        <v>62</v>
      </c>
      <c r="W1403" s="2" t="s">
        <v>7862</v>
      </c>
      <c r="X1403" s="2" t="s">
        <v>5405</v>
      </c>
      <c r="Y1403" s="2">
        <v>2769</v>
      </c>
      <c r="Z1403" s="19" t="str">
        <f>HYPERLINK("https://ssdweb.co/ssdweb/hd/Vision360.html?d=925790576&amp;zoomslide=1&amp;z=1925790576&amp;ISCONFIRM=0","VIDEO")</f>
        <v>VIDEO</v>
      </c>
      <c r="AA1403" s="19" t="str">
        <f>HYPERLINK("https://ssdweb.co/ssdweb/CERTH/625457873.pdf","CERTI")</f>
        <v>CERTI</v>
      </c>
    </row>
    <row r="1404" spans="1:27" ht="15" x14ac:dyDescent="0.25">
      <c r="A1404" s="2">
        <v>1399</v>
      </c>
      <c r="B1404" s="39">
        <v>821124705</v>
      </c>
      <c r="C1404" s="28" t="str">
        <f>HYPERLINK("https://pld.live/RapDetail.aspx?STONELIST=821124705","DNA")</f>
        <v>DNA</v>
      </c>
      <c r="D1404" s="18" t="s">
        <v>5847</v>
      </c>
      <c r="E1404" s="18" t="s">
        <v>5128</v>
      </c>
      <c r="F1404" s="2" t="s">
        <v>7987</v>
      </c>
      <c r="G1404" s="2" t="s">
        <v>861</v>
      </c>
      <c r="H1404" s="14">
        <v>0.71</v>
      </c>
      <c r="I1404" s="2" t="s">
        <v>267</v>
      </c>
      <c r="J1404" s="2" t="s">
        <v>13</v>
      </c>
      <c r="K1404" s="2" t="s">
        <v>5221</v>
      </c>
      <c r="L1404" s="2" t="s">
        <v>5221</v>
      </c>
      <c r="M1404" s="2" t="s">
        <v>5221</v>
      </c>
      <c r="N1404" s="2" t="s">
        <v>2317</v>
      </c>
      <c r="O1404" s="14">
        <v>3900</v>
      </c>
      <c r="P1404" s="14">
        <v>96.82</v>
      </c>
      <c r="Q1404" s="14">
        <v>124.02</v>
      </c>
      <c r="R1404" s="14">
        <v>88.05</v>
      </c>
      <c r="S1404" s="2" t="s">
        <v>4063</v>
      </c>
      <c r="T1404" s="2">
        <v>1.01</v>
      </c>
      <c r="U1404" s="2">
        <v>60.5</v>
      </c>
      <c r="V1404" s="2">
        <v>60</v>
      </c>
      <c r="W1404" s="2" t="s">
        <v>7862</v>
      </c>
      <c r="X1404" s="2" t="s">
        <v>5405</v>
      </c>
      <c r="Y1404" s="2">
        <v>2769</v>
      </c>
      <c r="Z1404" s="19" t="str">
        <f>HYPERLINK("https://ssdweb.co/ssdweb/hd/Vision360.html?d=821124705&amp;zoomslide=1&amp;z=1821124705&amp;ISCONFIRM=0","VIDEO")</f>
        <v>VIDEO</v>
      </c>
      <c r="AA1404" s="19" t="str">
        <f>HYPERLINK("https://ssdweb.co/ssdweb/CERTH/577371343.pdf","CERTI")</f>
        <v>CERTI</v>
      </c>
    </row>
    <row r="1405" spans="1:27" ht="15" x14ac:dyDescent="0.25">
      <c r="A1405" s="2">
        <v>1400</v>
      </c>
      <c r="B1405" s="39">
        <v>926250606</v>
      </c>
      <c r="C1405" s="28" t="str">
        <f>HYPERLINK("https://pld.live/RapDetail.aspx?STONELIST=926250606","DNA")</f>
        <v>DNA</v>
      </c>
      <c r="D1405" s="18" t="s">
        <v>5847</v>
      </c>
      <c r="E1405" s="18" t="s">
        <v>5128</v>
      </c>
      <c r="F1405" s="2" t="s">
        <v>7987</v>
      </c>
      <c r="G1405" s="2" t="s">
        <v>861</v>
      </c>
      <c r="H1405" s="14">
        <v>0.71</v>
      </c>
      <c r="I1405" s="2" t="s">
        <v>267</v>
      </c>
      <c r="J1405" s="2" t="s">
        <v>13</v>
      </c>
      <c r="K1405" s="2" t="s">
        <v>5221</v>
      </c>
      <c r="L1405" s="2" t="s">
        <v>5221</v>
      </c>
      <c r="M1405" s="2" t="s">
        <v>5221</v>
      </c>
      <c r="N1405" s="2" t="s">
        <v>2317</v>
      </c>
      <c r="O1405" s="14">
        <v>3900</v>
      </c>
      <c r="P1405" s="14">
        <v>96.72</v>
      </c>
      <c r="Q1405" s="14">
        <v>127.92</v>
      </c>
      <c r="R1405" s="14">
        <v>90.82</v>
      </c>
      <c r="S1405" s="2" t="s">
        <v>4514</v>
      </c>
      <c r="T1405" s="2">
        <v>1.01</v>
      </c>
      <c r="U1405" s="2">
        <v>62.6</v>
      </c>
      <c r="V1405" s="2">
        <v>58</v>
      </c>
      <c r="W1405" s="2" t="s">
        <v>7862</v>
      </c>
      <c r="X1405" s="2" t="s">
        <v>5405</v>
      </c>
      <c r="Y1405" s="2">
        <v>2769</v>
      </c>
      <c r="Z1405" s="19" t="str">
        <f>HYPERLINK("https://ssdweb.co/ssdweb/hd/Vision360.html?d=926250606&amp;zoomslide=1&amp;z=1926250606&amp;ISCONFIRM=0","VIDEO")</f>
        <v>VIDEO</v>
      </c>
      <c r="AA1405" s="19" t="str">
        <f>HYPERLINK("https://ssdweb.co/ssdweb/CERTH/640485578.pdf","CERTI")</f>
        <v>CERTI</v>
      </c>
    </row>
    <row r="1406" spans="1:27" ht="15" x14ac:dyDescent="0.25">
      <c r="A1406" s="2">
        <v>1401</v>
      </c>
      <c r="B1406" s="39">
        <v>821124670</v>
      </c>
      <c r="C1406" s="28" t="str">
        <f>HYPERLINK("https://pld.live/RapDetail.aspx?STONELIST=821124670","DNA")</f>
        <v>DNA</v>
      </c>
      <c r="D1406" s="18" t="s">
        <v>5847</v>
      </c>
      <c r="E1406" s="18" t="s">
        <v>5128</v>
      </c>
      <c r="F1406" s="2" t="s">
        <v>7987</v>
      </c>
      <c r="G1406" s="2" t="s">
        <v>861</v>
      </c>
      <c r="H1406" s="14">
        <v>0.71</v>
      </c>
      <c r="I1406" s="2" t="s">
        <v>267</v>
      </c>
      <c r="J1406" s="2" t="s">
        <v>13</v>
      </c>
      <c r="K1406" s="2" t="s">
        <v>5221</v>
      </c>
      <c r="L1406" s="2" t="s">
        <v>5221</v>
      </c>
      <c r="M1406" s="2" t="s">
        <v>5221</v>
      </c>
      <c r="N1406" s="2" t="s">
        <v>2317</v>
      </c>
      <c r="O1406" s="14">
        <v>3900</v>
      </c>
      <c r="P1406" s="14">
        <v>96.82</v>
      </c>
      <c r="Q1406" s="14">
        <v>124.02</v>
      </c>
      <c r="R1406" s="14">
        <v>88.05</v>
      </c>
      <c r="S1406" s="2" t="s">
        <v>6278</v>
      </c>
      <c r="T1406" s="2">
        <v>1.01</v>
      </c>
      <c r="U1406" s="2">
        <v>61</v>
      </c>
      <c r="V1406" s="2">
        <v>60</v>
      </c>
      <c r="W1406" s="2" t="s">
        <v>7862</v>
      </c>
      <c r="X1406" s="2" t="s">
        <v>5405</v>
      </c>
      <c r="Y1406" s="2">
        <v>2769</v>
      </c>
      <c r="Z1406" s="19" t="str">
        <f>HYPERLINK("https://ssdweb.co/ssdweb/hd/Vision360.html?d=821124670&amp;zoomslide=1&amp;z=1821124670&amp;ISCONFIRM=0","VIDEO")</f>
        <v>VIDEO</v>
      </c>
      <c r="AA1406" s="19" t="str">
        <f>HYPERLINK("https://ssdweb.co/ssdweb/CERTH/576343733.pdf","CERTI")</f>
        <v>CERTI</v>
      </c>
    </row>
    <row r="1407" spans="1:27" ht="15" x14ac:dyDescent="0.25">
      <c r="A1407" s="2">
        <v>1402</v>
      </c>
      <c r="B1407" s="39">
        <v>926221370</v>
      </c>
      <c r="C1407" s="28" t="str">
        <f>HYPERLINK("https://pld.live/RapDetail.aspx?STONELIST=926221370","DNA")</f>
        <v>DNA</v>
      </c>
      <c r="D1407" s="18" t="s">
        <v>5847</v>
      </c>
      <c r="E1407" s="18" t="s">
        <v>5128</v>
      </c>
      <c r="F1407" s="2" t="s">
        <v>7987</v>
      </c>
      <c r="G1407" s="2" t="s">
        <v>861</v>
      </c>
      <c r="H1407" s="14">
        <v>0.71</v>
      </c>
      <c r="I1407" s="2" t="s">
        <v>267</v>
      </c>
      <c r="J1407" s="2" t="s">
        <v>13</v>
      </c>
      <c r="K1407" s="2" t="s">
        <v>5221</v>
      </c>
      <c r="L1407" s="2" t="s">
        <v>5221</v>
      </c>
      <c r="M1407" s="2" t="s">
        <v>5221</v>
      </c>
      <c r="N1407" s="2" t="s">
        <v>2317</v>
      </c>
      <c r="O1407" s="14">
        <v>3900</v>
      </c>
      <c r="P1407" s="14">
        <v>96.72</v>
      </c>
      <c r="Q1407" s="14">
        <v>127.92</v>
      </c>
      <c r="R1407" s="14">
        <v>90.82</v>
      </c>
      <c r="S1407" s="2" t="s">
        <v>5042</v>
      </c>
      <c r="T1407" s="2">
        <v>1.01</v>
      </c>
      <c r="U1407" s="2">
        <v>63.3</v>
      </c>
      <c r="V1407" s="2">
        <v>56</v>
      </c>
      <c r="W1407" s="2" t="s">
        <v>7862</v>
      </c>
      <c r="X1407" s="2" t="s">
        <v>5405</v>
      </c>
      <c r="Y1407" s="2">
        <v>2769</v>
      </c>
      <c r="Z1407" s="19" t="str">
        <f>HYPERLINK("https://ssdweb.co/ssdweb/hd/Vision360.html?d=926221370&amp;zoomslide=1&amp;z=1926221370&amp;ISCONFIRM=0","VIDEO")</f>
        <v>VIDEO</v>
      </c>
      <c r="AA1407" s="19" t="str">
        <f>HYPERLINK("https://ssdweb.co/ssdweb/CERTH/640473893.pdf","CERTI")</f>
        <v>CERTI</v>
      </c>
    </row>
    <row r="1408" spans="1:27" ht="15" x14ac:dyDescent="0.25">
      <c r="A1408" s="2">
        <v>1403</v>
      </c>
      <c r="B1408" s="39">
        <v>821125843</v>
      </c>
      <c r="C1408" s="28" t="str">
        <f>HYPERLINK("https://pld.live/RapDetail.aspx?STONELIST=821125843","DNA")</f>
        <v>DNA</v>
      </c>
      <c r="D1408" s="18" t="s">
        <v>5847</v>
      </c>
      <c r="E1408" s="18" t="s">
        <v>5128</v>
      </c>
      <c r="F1408" s="2" t="s">
        <v>7987</v>
      </c>
      <c r="G1408" s="2" t="s">
        <v>861</v>
      </c>
      <c r="H1408" s="14">
        <v>0.71</v>
      </c>
      <c r="I1408" s="2" t="s">
        <v>267</v>
      </c>
      <c r="J1408" s="2" t="s">
        <v>13</v>
      </c>
      <c r="K1408" s="2" t="s">
        <v>5221</v>
      </c>
      <c r="L1408" s="2" t="s">
        <v>5221</v>
      </c>
      <c r="M1408" s="2" t="s">
        <v>5221</v>
      </c>
      <c r="N1408" s="2" t="s">
        <v>2317</v>
      </c>
      <c r="O1408" s="14">
        <v>3900</v>
      </c>
      <c r="P1408" s="14">
        <v>96.82</v>
      </c>
      <c r="Q1408" s="14">
        <v>124.02</v>
      </c>
      <c r="R1408" s="14">
        <v>88.05</v>
      </c>
      <c r="S1408" s="2" t="s">
        <v>6354</v>
      </c>
      <c r="T1408" s="2">
        <v>1.01</v>
      </c>
      <c r="U1408" s="2">
        <v>62.6</v>
      </c>
      <c r="V1408" s="2">
        <v>56</v>
      </c>
      <c r="W1408" s="2" t="s">
        <v>7862</v>
      </c>
      <c r="X1408" s="2" t="s">
        <v>5405</v>
      </c>
      <c r="Y1408" s="2">
        <v>2769</v>
      </c>
      <c r="Z1408" s="19" t="str">
        <f>HYPERLINK("https://ssdweb.co/ssdweb/hd/Vision360.html?d=821125843&amp;zoomslide=1&amp;z=1821125843&amp;ISCONFIRM=0","VIDEO")</f>
        <v>VIDEO</v>
      </c>
      <c r="AA1408" s="19" t="str">
        <f>HYPERLINK("https://ssdweb.co/ssdweb/CERTH/619437421.pdf","CERTI")</f>
        <v>CERTI</v>
      </c>
    </row>
    <row r="1409" spans="1:27" ht="15" x14ac:dyDescent="0.25">
      <c r="A1409" s="2">
        <v>1404</v>
      </c>
      <c r="B1409" s="39">
        <v>926221202</v>
      </c>
      <c r="C1409" s="28" t="str">
        <f>HYPERLINK("https://pld.live/RapDetail.aspx?STONELIST=926221202","DNA")</f>
        <v>DNA</v>
      </c>
      <c r="D1409" s="18" t="s">
        <v>5847</v>
      </c>
      <c r="E1409" s="18" t="s">
        <v>5128</v>
      </c>
      <c r="F1409" s="2" t="s">
        <v>7987</v>
      </c>
      <c r="G1409" s="2" t="s">
        <v>861</v>
      </c>
      <c r="H1409" s="14">
        <v>0.71</v>
      </c>
      <c r="I1409" s="2" t="s">
        <v>267</v>
      </c>
      <c r="J1409" s="2" t="s">
        <v>13</v>
      </c>
      <c r="K1409" s="2" t="s">
        <v>5221</v>
      </c>
      <c r="L1409" s="2" t="s">
        <v>5221</v>
      </c>
      <c r="M1409" s="2" t="s">
        <v>5221</v>
      </c>
      <c r="N1409" s="2" t="s">
        <v>2317</v>
      </c>
      <c r="O1409" s="14">
        <v>3900</v>
      </c>
      <c r="P1409" s="14">
        <v>96.72</v>
      </c>
      <c r="Q1409" s="14">
        <v>127.92</v>
      </c>
      <c r="R1409" s="14">
        <v>90.82</v>
      </c>
      <c r="S1409" s="2" t="s">
        <v>4064</v>
      </c>
      <c r="T1409" s="2">
        <v>1</v>
      </c>
      <c r="U1409" s="2">
        <v>61.1</v>
      </c>
      <c r="V1409" s="2">
        <v>58</v>
      </c>
      <c r="W1409" s="2" t="s">
        <v>7862</v>
      </c>
      <c r="X1409" s="2" t="s">
        <v>5405</v>
      </c>
      <c r="Y1409" s="2">
        <v>2769</v>
      </c>
      <c r="Z1409" s="19" t="str">
        <f>HYPERLINK("https://ssdweb.co/ssdweb/hd/Vision360.html?d=926221202&amp;zoomslide=1&amp;z=1926221202&amp;ISCONFIRM=0","VIDEO")</f>
        <v>VIDEO</v>
      </c>
      <c r="AA1409" s="19" t="str">
        <f>HYPERLINK("https://ssdweb.co/ssdweb/CERTH/639438705.pdf","CERTI")</f>
        <v>CERTI</v>
      </c>
    </row>
    <row r="1410" spans="1:27" ht="15" x14ac:dyDescent="0.25">
      <c r="A1410" s="2">
        <v>1405</v>
      </c>
      <c r="B1410" s="39">
        <v>926221218</v>
      </c>
      <c r="C1410" s="28" t="str">
        <f>HYPERLINK("https://pld.live/RapDetail.aspx?STONELIST=926221218","DNA")</f>
        <v>DNA</v>
      </c>
      <c r="D1410" s="18" t="s">
        <v>5847</v>
      </c>
      <c r="E1410" s="18" t="s">
        <v>5128</v>
      </c>
      <c r="F1410" s="2" t="s">
        <v>7987</v>
      </c>
      <c r="G1410" s="2" t="s">
        <v>861</v>
      </c>
      <c r="H1410" s="14">
        <v>0.71</v>
      </c>
      <c r="I1410" s="2" t="s">
        <v>267</v>
      </c>
      <c r="J1410" s="2" t="s">
        <v>13</v>
      </c>
      <c r="K1410" s="2" t="s">
        <v>5221</v>
      </c>
      <c r="L1410" s="2" t="s">
        <v>5221</v>
      </c>
      <c r="M1410" s="2" t="s">
        <v>5721</v>
      </c>
      <c r="N1410" s="2" t="s">
        <v>2317</v>
      </c>
      <c r="O1410" s="14">
        <v>3900</v>
      </c>
      <c r="P1410" s="14">
        <v>96.77</v>
      </c>
      <c r="Q1410" s="14">
        <v>125.97</v>
      </c>
      <c r="R1410" s="14">
        <v>89.44</v>
      </c>
      <c r="S1410" s="2" t="s">
        <v>2373</v>
      </c>
      <c r="T1410" s="2">
        <v>1.01</v>
      </c>
      <c r="U1410" s="2">
        <v>59.7</v>
      </c>
      <c r="V1410" s="2">
        <v>61</v>
      </c>
      <c r="W1410" s="2" t="s">
        <v>7862</v>
      </c>
      <c r="X1410" s="2" t="s">
        <v>5405</v>
      </c>
      <c r="Y1410" s="2">
        <v>2769</v>
      </c>
      <c r="Z1410" s="19" t="str">
        <f>HYPERLINK("https://ssdweb.co/ssdweb/hd/Vision360.html?d=926221218&amp;zoomslide=1&amp;z=1926221218&amp;ISCONFIRM=0","VIDEO")</f>
        <v>VIDEO</v>
      </c>
      <c r="AA1410" s="19" t="str">
        <f>HYPERLINK("https://ssdweb.co/ssdweb/CERTH/639413088.pdf","CERTI")</f>
        <v>CERTI</v>
      </c>
    </row>
    <row r="1411" spans="1:27" ht="15" x14ac:dyDescent="0.25">
      <c r="A1411" s="2">
        <v>1406</v>
      </c>
      <c r="B1411" s="39">
        <v>926250493</v>
      </c>
      <c r="C1411" s="28" t="str">
        <f>HYPERLINK("https://pld.live/RapDetail.aspx?STONELIST=926250493","DNA")</f>
        <v>DNA</v>
      </c>
      <c r="D1411" s="18" t="s">
        <v>5847</v>
      </c>
      <c r="E1411" s="18" t="s">
        <v>5128</v>
      </c>
      <c r="F1411" s="2" t="s">
        <v>7987</v>
      </c>
      <c r="G1411" s="2" t="s">
        <v>861</v>
      </c>
      <c r="H1411" s="14">
        <v>0.71</v>
      </c>
      <c r="I1411" s="2" t="s">
        <v>267</v>
      </c>
      <c r="J1411" s="2" t="s">
        <v>13</v>
      </c>
      <c r="K1411" s="2" t="s">
        <v>5221</v>
      </c>
      <c r="L1411" s="2" t="s">
        <v>5221</v>
      </c>
      <c r="M1411" s="2" t="s">
        <v>5721</v>
      </c>
      <c r="N1411" s="2" t="s">
        <v>2317</v>
      </c>
      <c r="O1411" s="14">
        <v>3900</v>
      </c>
      <c r="P1411" s="14">
        <v>96.77</v>
      </c>
      <c r="Q1411" s="14">
        <v>125.97</v>
      </c>
      <c r="R1411" s="14">
        <v>89.44</v>
      </c>
      <c r="S1411" s="2" t="s">
        <v>456</v>
      </c>
      <c r="T1411" s="2">
        <v>1.01</v>
      </c>
      <c r="U1411" s="2">
        <v>62.6</v>
      </c>
      <c r="V1411" s="2">
        <v>58</v>
      </c>
      <c r="W1411" s="2" t="s">
        <v>7862</v>
      </c>
      <c r="X1411" s="2" t="s">
        <v>5405</v>
      </c>
      <c r="Y1411" s="2">
        <v>2769</v>
      </c>
      <c r="Z1411" s="19" t="str">
        <f>HYPERLINK("https://ssdweb.co/ssdweb/hd/Vision360.html?d=926250493&amp;zoomslide=1&amp;z=1926250493&amp;ISCONFIRM=0","VIDEO")</f>
        <v>VIDEO</v>
      </c>
      <c r="AA1411" s="19" t="str">
        <f>HYPERLINK("https://ssdweb.co/ssdweb/CERTH/640473984.pdf","CERTI")</f>
        <v>CERTI</v>
      </c>
    </row>
    <row r="1412" spans="1:27" ht="15" x14ac:dyDescent="0.25">
      <c r="A1412" s="2">
        <v>1407</v>
      </c>
      <c r="B1412" s="39">
        <v>927132401</v>
      </c>
      <c r="C1412" s="28" t="str">
        <f>HYPERLINK("https://pld.live/RapDetail.aspx?STONELIST=927132401","DNA")</f>
        <v>DNA</v>
      </c>
      <c r="D1412" s="18" t="s">
        <v>5847</v>
      </c>
      <c r="E1412" s="18" t="s">
        <v>5128</v>
      </c>
      <c r="F1412" s="2" t="s">
        <v>7987</v>
      </c>
      <c r="G1412" s="2" t="s">
        <v>861</v>
      </c>
      <c r="H1412" s="14">
        <v>0.71</v>
      </c>
      <c r="I1412" s="2" t="s">
        <v>267</v>
      </c>
      <c r="J1412" s="2" t="s">
        <v>13</v>
      </c>
      <c r="K1412" s="2" t="s">
        <v>5221</v>
      </c>
      <c r="L1412" s="2" t="s">
        <v>5221</v>
      </c>
      <c r="M1412" s="2" t="s">
        <v>5721</v>
      </c>
      <c r="N1412" s="2" t="s">
        <v>2317</v>
      </c>
      <c r="O1412" s="14">
        <v>3900</v>
      </c>
      <c r="P1412" s="14">
        <v>96.67</v>
      </c>
      <c r="Q1412" s="14">
        <v>129.87</v>
      </c>
      <c r="R1412" s="14">
        <v>92.21</v>
      </c>
      <c r="S1412" s="2" t="s">
        <v>2818</v>
      </c>
      <c r="T1412" s="2">
        <v>1.01</v>
      </c>
      <c r="U1412" s="2">
        <v>63.5</v>
      </c>
      <c r="V1412" s="2">
        <v>57</v>
      </c>
      <c r="W1412" s="2" t="s">
        <v>7862</v>
      </c>
      <c r="X1412" s="2" t="s">
        <v>5405</v>
      </c>
      <c r="Y1412" s="2">
        <v>2769</v>
      </c>
      <c r="Z1412" s="19" t="str">
        <f>HYPERLINK("https://ssdweb.co/ssdweb/hd/Vision360.html?d=927132401&amp;zoomslide=1&amp;z=1927132401&amp;ISCONFIRM=0","VIDEO")</f>
        <v>VIDEO</v>
      </c>
      <c r="AA1412" s="19" t="str">
        <f>HYPERLINK("https://ssdweb.co/ssdweb/CERTH/670445179.pdf","CERTI")</f>
        <v>CERTI</v>
      </c>
    </row>
    <row r="1413" spans="1:27" ht="15" x14ac:dyDescent="0.25">
      <c r="A1413" s="2">
        <v>1408</v>
      </c>
      <c r="B1413" s="39">
        <v>926331722</v>
      </c>
      <c r="C1413" s="28" t="str">
        <f>HYPERLINK("https://pld.live/RapDetail.aspx?STONELIST=926331722","DNA")</f>
        <v>DNA</v>
      </c>
      <c r="D1413" s="18" t="s">
        <v>5847</v>
      </c>
      <c r="E1413" s="18" t="s">
        <v>5128</v>
      </c>
      <c r="F1413" s="2" t="s">
        <v>5597</v>
      </c>
      <c r="G1413" s="2" t="s">
        <v>861</v>
      </c>
      <c r="H1413" s="14">
        <v>0.71</v>
      </c>
      <c r="I1413" s="2" t="s">
        <v>267</v>
      </c>
      <c r="J1413" s="2" t="s">
        <v>5144</v>
      </c>
      <c r="K1413" s="2" t="s">
        <v>5221</v>
      </c>
      <c r="L1413" s="2" t="s">
        <v>5221</v>
      </c>
      <c r="M1413" s="2" t="s">
        <v>5221</v>
      </c>
      <c r="N1413" s="2" t="s">
        <v>2317</v>
      </c>
      <c r="O1413" s="14">
        <v>3400</v>
      </c>
      <c r="P1413" s="14">
        <v>92.47</v>
      </c>
      <c r="Q1413" s="14">
        <v>256.02</v>
      </c>
      <c r="R1413" s="14">
        <v>181.77</v>
      </c>
      <c r="S1413" s="2" t="s">
        <v>618</v>
      </c>
      <c r="T1413" s="2">
        <v>1.01</v>
      </c>
      <c r="U1413" s="2">
        <v>62.5</v>
      </c>
      <c r="V1413" s="2">
        <v>56</v>
      </c>
      <c r="W1413" s="2" t="s">
        <v>7862</v>
      </c>
      <c r="X1413" s="2" t="s">
        <v>5405</v>
      </c>
      <c r="Y1413" s="2">
        <v>2414</v>
      </c>
      <c r="Z1413" s="19" t="str">
        <f>HYPERLINK("https://ssdweb.co/ssdweb/hd/Vision360.html?d=926331722&amp;zoomslide=1&amp;z=1926331722&amp;ISCONFIRM=0","VIDEO")</f>
        <v>VIDEO</v>
      </c>
      <c r="AA1413" s="19" t="str">
        <f>HYPERLINK("https://ssdweb.co/ssdweb/CERTH/6492925499.pdf","CERTI")</f>
        <v>CERTI</v>
      </c>
    </row>
    <row r="1414" spans="1:27" ht="15" x14ac:dyDescent="0.25">
      <c r="A1414" s="2">
        <v>1409</v>
      </c>
      <c r="B1414" s="39">
        <v>926331691</v>
      </c>
      <c r="C1414" s="28" t="str">
        <f>HYPERLINK("https://pld.live/RapDetail.aspx?STONELIST=926331691","DNA")</f>
        <v>DNA</v>
      </c>
      <c r="D1414" s="18" t="s">
        <v>5847</v>
      </c>
      <c r="E1414" s="18" t="s">
        <v>5128</v>
      </c>
      <c r="F1414" s="2" t="s">
        <v>5597</v>
      </c>
      <c r="G1414" s="2" t="s">
        <v>861</v>
      </c>
      <c r="H1414" s="14">
        <v>0.71</v>
      </c>
      <c r="I1414" s="2" t="s">
        <v>267</v>
      </c>
      <c r="J1414" s="2" t="s">
        <v>5144</v>
      </c>
      <c r="K1414" s="2" t="s">
        <v>5221</v>
      </c>
      <c r="L1414" s="2" t="s">
        <v>5221</v>
      </c>
      <c r="M1414" s="2" t="s">
        <v>5221</v>
      </c>
      <c r="N1414" s="2" t="s">
        <v>2317</v>
      </c>
      <c r="O1414" s="14">
        <v>3400</v>
      </c>
      <c r="P1414" s="14">
        <v>92.47</v>
      </c>
      <c r="Q1414" s="14">
        <v>256.02</v>
      </c>
      <c r="R1414" s="14">
        <v>181.77</v>
      </c>
      <c r="S1414" s="2" t="s">
        <v>1135</v>
      </c>
      <c r="T1414" s="2">
        <v>1.01</v>
      </c>
      <c r="U1414" s="2">
        <v>60.8</v>
      </c>
      <c r="V1414" s="2">
        <v>57</v>
      </c>
      <c r="W1414" s="2" t="s">
        <v>7862</v>
      </c>
      <c r="X1414" s="2" t="s">
        <v>5405</v>
      </c>
      <c r="Y1414" s="2">
        <v>2414</v>
      </c>
      <c r="Z1414" s="19" t="str">
        <f>HYPERLINK("https://ssdweb.co/ssdweb/hd/Vision360.html?d=926331691&amp;zoomslide=1&amp;z=1926331691&amp;ISCONFIRM=0","VIDEO")</f>
        <v>VIDEO</v>
      </c>
      <c r="AA1414" s="19" t="str">
        <f>HYPERLINK("https://ssdweb.co/ssdweb/CERTH/2498891360.pdf","CERTI")</f>
        <v>CERTI</v>
      </c>
    </row>
    <row r="1415" spans="1:27" ht="15" x14ac:dyDescent="0.25">
      <c r="A1415" s="2">
        <v>1410</v>
      </c>
      <c r="B1415" s="39">
        <v>926311261</v>
      </c>
      <c r="C1415" s="28" t="str">
        <f>HYPERLINK("https://pld.live/RapDetail.aspx?STONELIST=926311261","DNA")</f>
        <v>DNA</v>
      </c>
      <c r="D1415" s="18" t="s">
        <v>5847</v>
      </c>
      <c r="E1415" s="18" t="s">
        <v>5128</v>
      </c>
      <c r="F1415" s="2" t="s">
        <v>7987</v>
      </c>
      <c r="G1415" s="2" t="s">
        <v>861</v>
      </c>
      <c r="H1415" s="14">
        <v>0.71</v>
      </c>
      <c r="I1415" s="2" t="s">
        <v>267</v>
      </c>
      <c r="J1415" s="2" t="s">
        <v>5144</v>
      </c>
      <c r="K1415" s="2" t="s">
        <v>5221</v>
      </c>
      <c r="L1415" s="2" t="s">
        <v>5221</v>
      </c>
      <c r="M1415" s="2" t="s">
        <v>5221</v>
      </c>
      <c r="N1415" s="2" t="s">
        <v>2317</v>
      </c>
      <c r="O1415" s="14">
        <v>3400</v>
      </c>
      <c r="P1415" s="14">
        <v>96.29</v>
      </c>
      <c r="Q1415" s="14">
        <v>126.14</v>
      </c>
      <c r="R1415" s="14">
        <v>89.56</v>
      </c>
      <c r="S1415" s="2" t="s">
        <v>6507</v>
      </c>
      <c r="T1415" s="2">
        <v>1.01</v>
      </c>
      <c r="U1415" s="2">
        <v>63.3</v>
      </c>
      <c r="V1415" s="2">
        <v>56</v>
      </c>
      <c r="W1415" s="2" t="s">
        <v>7862</v>
      </c>
      <c r="X1415" s="2" t="s">
        <v>5405</v>
      </c>
      <c r="Y1415" s="2">
        <v>2414</v>
      </c>
      <c r="Z1415" s="19" t="str">
        <f>HYPERLINK("https://ssdweb.co/ssdweb/hd/Vision360.html?d=926311261&amp;zoomslide=1&amp;z=1926311261&amp;ISCONFIRM=0","VIDEO")</f>
        <v>VIDEO</v>
      </c>
      <c r="AA1415" s="19" t="str">
        <f>HYPERLINK("https://ssdweb.co/ssdweb/CERTH/646472891.pdf","CERTI")</f>
        <v>CERTI</v>
      </c>
    </row>
    <row r="1416" spans="1:27" ht="15" x14ac:dyDescent="0.25">
      <c r="A1416" s="2">
        <v>1411</v>
      </c>
      <c r="B1416" s="39">
        <v>927130727</v>
      </c>
      <c r="C1416" s="28" t="str">
        <f>HYPERLINK("https://pld.live/RapDetail.aspx?STONELIST=927130727","DNA")</f>
        <v>DNA</v>
      </c>
      <c r="D1416" s="18" t="s">
        <v>5847</v>
      </c>
      <c r="E1416" s="18" t="s">
        <v>5128</v>
      </c>
      <c r="F1416" s="2" t="s">
        <v>7987</v>
      </c>
      <c r="G1416" s="2" t="s">
        <v>861</v>
      </c>
      <c r="H1416" s="14">
        <v>0.71</v>
      </c>
      <c r="I1416" s="2" t="s">
        <v>267</v>
      </c>
      <c r="J1416" s="2" t="s">
        <v>5144</v>
      </c>
      <c r="K1416" s="2" t="s">
        <v>5221</v>
      </c>
      <c r="L1416" s="2" t="s">
        <v>5221</v>
      </c>
      <c r="M1416" s="2" t="s">
        <v>5221</v>
      </c>
      <c r="N1416" s="2" t="s">
        <v>2317</v>
      </c>
      <c r="O1416" s="14">
        <v>3400</v>
      </c>
      <c r="P1416" s="14">
        <v>96.24</v>
      </c>
      <c r="Q1416" s="14">
        <v>127.84</v>
      </c>
      <c r="R1416" s="14">
        <v>90.77</v>
      </c>
      <c r="S1416" s="2" t="s">
        <v>4533</v>
      </c>
      <c r="T1416" s="2">
        <v>1.01</v>
      </c>
      <c r="U1416" s="2">
        <v>63.2</v>
      </c>
      <c r="V1416" s="2">
        <v>54</v>
      </c>
      <c r="W1416" s="2" t="s">
        <v>7862</v>
      </c>
      <c r="X1416" s="2" t="s">
        <v>5405</v>
      </c>
      <c r="Y1416" s="2">
        <v>2414</v>
      </c>
      <c r="Z1416" s="19" t="str">
        <f>HYPERLINK("https://ssdweb.co/ssdweb/hd/Vision360.html?d=927130727&amp;zoomslide=1&amp;z=1927130727&amp;ISCONFIRM=0","VIDEO")</f>
        <v>VIDEO</v>
      </c>
      <c r="AA1416" s="19" t="str">
        <f>HYPERLINK("https://ssdweb.co/ssdweb/CERTH/668477299.pdf","CERTI")</f>
        <v>CERTI</v>
      </c>
    </row>
    <row r="1417" spans="1:27" ht="15" x14ac:dyDescent="0.25">
      <c r="A1417" s="2">
        <v>1412</v>
      </c>
      <c r="B1417" s="39">
        <v>831010730</v>
      </c>
      <c r="C1417" s="28" t="str">
        <f>HYPERLINK("https://pld.live/RapDetail.aspx?STONELIST=831010730","DNA")</f>
        <v>DNA</v>
      </c>
      <c r="D1417" s="18" t="s">
        <v>5847</v>
      </c>
      <c r="E1417" s="18" t="s">
        <v>5128</v>
      </c>
      <c r="F1417" s="2" t="s">
        <v>5597</v>
      </c>
      <c r="G1417" s="2" t="s">
        <v>861</v>
      </c>
      <c r="H1417" s="14">
        <v>0.71</v>
      </c>
      <c r="I1417" s="2" t="s">
        <v>4761</v>
      </c>
      <c r="J1417" s="2" t="s">
        <v>6555</v>
      </c>
      <c r="K1417" s="2" t="s">
        <v>5221</v>
      </c>
      <c r="L1417" s="2" t="s">
        <v>5221</v>
      </c>
      <c r="M1417" s="2" t="s">
        <v>5221</v>
      </c>
      <c r="N1417" s="2" t="s">
        <v>2317</v>
      </c>
      <c r="O1417" s="14">
        <v>5100</v>
      </c>
      <c r="P1417" s="14">
        <v>94</v>
      </c>
      <c r="Q1417" s="14">
        <v>306</v>
      </c>
      <c r="R1417" s="14">
        <v>217.26</v>
      </c>
      <c r="S1417" s="2" t="s">
        <v>5528</v>
      </c>
      <c r="T1417" s="2">
        <v>1.01</v>
      </c>
      <c r="U1417" s="2">
        <v>62.1</v>
      </c>
      <c r="V1417" s="2">
        <v>57</v>
      </c>
      <c r="W1417" s="2" t="s">
        <v>7862</v>
      </c>
      <c r="X1417" s="2" t="s">
        <v>5405</v>
      </c>
      <c r="Y1417" s="2">
        <v>3621</v>
      </c>
      <c r="Z1417" s="19" t="str">
        <f>HYPERLINK("https://ssdweb.co/ssdweb/hd/Vision360.html?d=831010730&amp;zoomslide=1&amp;z=1831010730&amp;ISCONFIRM=0","VIDEO")</f>
        <v>VIDEO</v>
      </c>
      <c r="AA1417" s="19" t="str">
        <f>HYPERLINK("https://ssdweb.co/ssdweb/CERTH/1493867361.pdf","CERTI")</f>
        <v>CERTI</v>
      </c>
    </row>
    <row r="1418" spans="1:27" ht="15" x14ac:dyDescent="0.25">
      <c r="A1418" s="2">
        <v>1413</v>
      </c>
      <c r="B1418" s="39">
        <v>926250507</v>
      </c>
      <c r="C1418" s="28" t="str">
        <f>HYPERLINK("https://pld.live/RapDetail.aspx?STONELIST=926250507","DNA")</f>
        <v>DNA</v>
      </c>
      <c r="D1418" s="18" t="s">
        <v>5847</v>
      </c>
      <c r="E1418" s="18" t="s">
        <v>5128</v>
      </c>
      <c r="F1418" s="2" t="s">
        <v>7987</v>
      </c>
      <c r="G1418" s="2" t="s">
        <v>861</v>
      </c>
      <c r="H1418" s="14">
        <v>0.71</v>
      </c>
      <c r="I1418" s="2" t="s">
        <v>4761</v>
      </c>
      <c r="J1418" s="2" t="s">
        <v>3942</v>
      </c>
      <c r="K1418" s="2" t="s">
        <v>5221</v>
      </c>
      <c r="L1418" s="2" t="s">
        <v>5221</v>
      </c>
      <c r="M1418" s="2" t="s">
        <v>5221</v>
      </c>
      <c r="N1418" s="2" t="s">
        <v>2317</v>
      </c>
      <c r="O1418" s="14">
        <v>4200</v>
      </c>
      <c r="P1418" s="14">
        <v>96.88</v>
      </c>
      <c r="Q1418" s="14">
        <v>131.04</v>
      </c>
      <c r="R1418" s="14">
        <v>93.04</v>
      </c>
      <c r="S1418" s="2" t="s">
        <v>3060</v>
      </c>
      <c r="T1418" s="2">
        <v>1.01</v>
      </c>
      <c r="U1418" s="2">
        <v>63.2</v>
      </c>
      <c r="V1418" s="2">
        <v>56</v>
      </c>
      <c r="W1418" s="2" t="s">
        <v>7862</v>
      </c>
      <c r="X1418" s="2" t="s">
        <v>5405</v>
      </c>
      <c r="Y1418" s="2">
        <v>2982</v>
      </c>
      <c r="Z1418" s="19" t="str">
        <f>HYPERLINK("https://ssdweb.co/ssdweb/hd/Vision360.html?d=926250507&amp;zoomslide=1&amp;z=1926250507&amp;ISCONFIRM=0","VIDEO")</f>
        <v>VIDEO</v>
      </c>
      <c r="AA1418" s="19" t="str">
        <f>HYPERLINK("https://ssdweb.co/ssdweb/CERTH/640473814.pdf","CERTI")</f>
        <v>CERTI</v>
      </c>
    </row>
    <row r="1419" spans="1:27" ht="15" x14ac:dyDescent="0.25">
      <c r="A1419" s="2">
        <v>1414</v>
      </c>
      <c r="B1419" s="39">
        <v>926280745</v>
      </c>
      <c r="C1419" s="28" t="str">
        <f>HYPERLINK("https://pld.live/RapDetail.aspx?STONELIST=926280745","DNA")</f>
        <v>DNA</v>
      </c>
      <c r="D1419" s="18" t="s">
        <v>5847</v>
      </c>
      <c r="E1419" s="18" t="s">
        <v>5128</v>
      </c>
      <c r="F1419" s="2" t="s">
        <v>7987</v>
      </c>
      <c r="G1419" s="2" t="s">
        <v>861</v>
      </c>
      <c r="H1419" s="14">
        <v>0.71</v>
      </c>
      <c r="I1419" s="2" t="s">
        <v>4761</v>
      </c>
      <c r="J1419" s="2" t="s">
        <v>3942</v>
      </c>
      <c r="K1419" s="2" t="s">
        <v>5221</v>
      </c>
      <c r="L1419" s="2" t="s">
        <v>5221</v>
      </c>
      <c r="M1419" s="2" t="s">
        <v>5221</v>
      </c>
      <c r="N1419" s="2" t="s">
        <v>2317</v>
      </c>
      <c r="O1419" s="14">
        <v>4200</v>
      </c>
      <c r="P1419" s="14">
        <v>96.79</v>
      </c>
      <c r="Q1419" s="14">
        <v>134.82</v>
      </c>
      <c r="R1419" s="14">
        <v>95.72</v>
      </c>
      <c r="S1419" s="2" t="s">
        <v>1885</v>
      </c>
      <c r="T1419" s="2">
        <v>1.01</v>
      </c>
      <c r="U1419" s="2">
        <v>63.4</v>
      </c>
      <c r="V1419" s="2">
        <v>58</v>
      </c>
      <c r="W1419" s="2" t="s">
        <v>7862</v>
      </c>
      <c r="X1419" s="2" t="s">
        <v>5405</v>
      </c>
      <c r="Y1419" s="2">
        <v>2982</v>
      </c>
      <c r="Z1419" s="19" t="str">
        <f>HYPERLINK("https://ssdweb.co/ssdweb/hd/Vision360.html?d=926280745&amp;zoomslide=1&amp;z=1926280745&amp;ISCONFIRM=0","VIDEO")</f>
        <v>VIDEO</v>
      </c>
      <c r="AA1419" s="19" t="str">
        <f>HYPERLINK("https://ssdweb.co/ssdweb/CERTH/681569610.pdf","CERTI")</f>
        <v>CERTI</v>
      </c>
    </row>
    <row r="1420" spans="1:27" ht="15" x14ac:dyDescent="0.25">
      <c r="A1420" s="2">
        <v>1415</v>
      </c>
      <c r="B1420" s="39">
        <v>926311293</v>
      </c>
      <c r="C1420" s="28" t="str">
        <f>HYPERLINK("https://pld.live/RapDetail.aspx?STONELIST=926311293","DNA")</f>
        <v>DNA</v>
      </c>
      <c r="D1420" s="18" t="s">
        <v>5847</v>
      </c>
      <c r="E1420" s="18" t="s">
        <v>5128</v>
      </c>
      <c r="F1420" s="2" t="s">
        <v>7987</v>
      </c>
      <c r="G1420" s="2" t="s">
        <v>861</v>
      </c>
      <c r="H1420" s="14">
        <v>0.71</v>
      </c>
      <c r="I1420" s="2" t="s">
        <v>4761</v>
      </c>
      <c r="J1420" s="2" t="s">
        <v>3942</v>
      </c>
      <c r="K1420" s="2" t="s">
        <v>5221</v>
      </c>
      <c r="L1420" s="2" t="s">
        <v>5221</v>
      </c>
      <c r="M1420" s="2" t="s">
        <v>5221</v>
      </c>
      <c r="N1420" s="2" t="s">
        <v>2317</v>
      </c>
      <c r="O1420" s="14">
        <v>4200</v>
      </c>
      <c r="P1420" s="14">
        <v>96.88</v>
      </c>
      <c r="Q1420" s="14">
        <v>131.04</v>
      </c>
      <c r="R1420" s="14">
        <v>93.04</v>
      </c>
      <c r="S1420" s="2" t="s">
        <v>8013</v>
      </c>
      <c r="T1420" s="2">
        <v>1.01</v>
      </c>
      <c r="U1420" s="2">
        <v>63.5</v>
      </c>
      <c r="V1420" s="2">
        <v>55</v>
      </c>
      <c r="W1420" s="2" t="s">
        <v>7862</v>
      </c>
      <c r="X1420" s="2" t="s">
        <v>5405</v>
      </c>
      <c r="Y1420" s="2">
        <v>2982</v>
      </c>
      <c r="Z1420" s="19" t="str">
        <f>HYPERLINK("https://ssdweb.co/ssdweb/hd/Vision360.html?d=926311293&amp;zoomslide=1&amp;z=1926311293&amp;ISCONFIRM=0","VIDEO")</f>
        <v>VIDEO</v>
      </c>
      <c r="AA1420" s="19" t="str">
        <f>HYPERLINK("https://ssdweb.co/ssdweb/CERTH/644466751.pdf","CERTI")</f>
        <v>CERTI</v>
      </c>
    </row>
    <row r="1421" spans="1:27" ht="15" x14ac:dyDescent="0.25">
      <c r="A1421" s="2">
        <v>1416</v>
      </c>
      <c r="B1421" s="39">
        <v>926221226</v>
      </c>
      <c r="C1421" s="28" t="str">
        <f>HYPERLINK("https://pld.live/RapDetail.aspx?STONELIST=926221226","DNA")</f>
        <v>DNA</v>
      </c>
      <c r="D1421" s="18" t="s">
        <v>5847</v>
      </c>
      <c r="E1421" s="18" t="s">
        <v>5128</v>
      </c>
      <c r="F1421" s="2" t="s">
        <v>7987</v>
      </c>
      <c r="G1421" s="2" t="s">
        <v>861</v>
      </c>
      <c r="H1421" s="14">
        <v>0.71</v>
      </c>
      <c r="I1421" s="2" t="s">
        <v>4761</v>
      </c>
      <c r="J1421" s="2" t="s">
        <v>3942</v>
      </c>
      <c r="K1421" s="2" t="s">
        <v>5221</v>
      </c>
      <c r="L1421" s="2" t="s">
        <v>5721</v>
      </c>
      <c r="M1421" s="2" t="s">
        <v>5721</v>
      </c>
      <c r="N1421" s="2" t="s">
        <v>2317</v>
      </c>
      <c r="O1421" s="14">
        <v>4200</v>
      </c>
      <c r="P1421" s="14">
        <v>96.98</v>
      </c>
      <c r="Q1421" s="14">
        <v>126.84</v>
      </c>
      <c r="R1421" s="14">
        <v>90.06</v>
      </c>
      <c r="S1421" s="2" t="s">
        <v>478</v>
      </c>
      <c r="T1421" s="2">
        <v>1</v>
      </c>
      <c r="U1421" s="2">
        <v>61.5</v>
      </c>
      <c r="V1421" s="2">
        <v>60</v>
      </c>
      <c r="W1421" s="2" t="s">
        <v>7862</v>
      </c>
      <c r="X1421" s="2" t="s">
        <v>5405</v>
      </c>
      <c r="Y1421" s="2">
        <v>2982</v>
      </c>
      <c r="Z1421" s="19" t="str">
        <f>HYPERLINK("https://ssdweb.co/ssdweb/hd/Vision360.html?d=926221226&amp;zoomslide=1&amp;z=1926221226&amp;ISCONFIRM=0","VIDEO")</f>
        <v>VIDEO</v>
      </c>
      <c r="AA1421" s="19" t="str">
        <f>HYPERLINK("https://ssdweb.co/ssdweb/CERTH/639413090.pdf","CERTI")</f>
        <v>CERTI</v>
      </c>
    </row>
    <row r="1422" spans="1:27" ht="15" x14ac:dyDescent="0.25">
      <c r="A1422" s="2">
        <v>1417</v>
      </c>
      <c r="B1422" s="39">
        <v>926221224</v>
      </c>
      <c r="C1422" s="28" t="str">
        <f>HYPERLINK("https://pld.live/RapDetail.aspx?STONELIST=926221224","DNA")</f>
        <v>DNA</v>
      </c>
      <c r="D1422" s="18" t="s">
        <v>5847</v>
      </c>
      <c r="E1422" s="18" t="s">
        <v>5128</v>
      </c>
      <c r="F1422" s="2" t="s">
        <v>7987</v>
      </c>
      <c r="G1422" s="2" t="s">
        <v>861</v>
      </c>
      <c r="H1422" s="14">
        <v>0.71</v>
      </c>
      <c r="I1422" s="2" t="s">
        <v>4761</v>
      </c>
      <c r="J1422" s="2" t="s">
        <v>13</v>
      </c>
      <c r="K1422" s="2" t="s">
        <v>3390</v>
      </c>
      <c r="L1422" s="2" t="s">
        <v>5721</v>
      </c>
      <c r="M1422" s="2" t="s">
        <v>5221</v>
      </c>
      <c r="N1422" s="2" t="s">
        <v>2317</v>
      </c>
      <c r="O1422" s="14">
        <v>3700</v>
      </c>
      <c r="P1422" s="14">
        <v>96.65</v>
      </c>
      <c r="Q1422" s="14">
        <v>123.95</v>
      </c>
      <c r="R1422" s="14">
        <v>88</v>
      </c>
      <c r="S1422" s="2" t="s">
        <v>4428</v>
      </c>
      <c r="T1422" s="2">
        <v>1.01</v>
      </c>
      <c r="U1422" s="2">
        <v>59.9</v>
      </c>
      <c r="V1422" s="2">
        <v>59</v>
      </c>
      <c r="W1422" s="2" t="s">
        <v>7862</v>
      </c>
      <c r="X1422" s="2" t="s">
        <v>5405</v>
      </c>
      <c r="Y1422" s="2">
        <v>2627</v>
      </c>
      <c r="Z1422" s="19" t="str">
        <f>HYPERLINK("https://ssdweb.co/ssdweb/hd/Vision360.html?d=926221224&amp;zoomslide=1&amp;z=1926221224&amp;ISCONFIRM=0","VIDEO")</f>
        <v>VIDEO</v>
      </c>
      <c r="AA1422" s="19" t="str">
        <f>HYPERLINK("https://ssdweb.co/ssdweb/CERTH/639438712.pdf","CERTI")</f>
        <v>CERTI</v>
      </c>
    </row>
    <row r="1423" spans="1:27" ht="15" x14ac:dyDescent="0.25">
      <c r="A1423" s="2">
        <v>1418</v>
      </c>
      <c r="B1423" s="39">
        <v>925850820</v>
      </c>
      <c r="C1423" s="28" t="str">
        <f>HYPERLINK("https://pld.live/RapDetail.aspx?STONELIST=925850820","DNA")</f>
        <v>DNA</v>
      </c>
      <c r="D1423" s="18" t="s">
        <v>5847</v>
      </c>
      <c r="E1423" s="18" t="s">
        <v>5128</v>
      </c>
      <c r="F1423" s="2" t="s">
        <v>7987</v>
      </c>
      <c r="G1423" s="2" t="s">
        <v>861</v>
      </c>
      <c r="H1423" s="14">
        <v>0.71</v>
      </c>
      <c r="I1423" s="2" t="s">
        <v>4761</v>
      </c>
      <c r="J1423" s="2" t="s">
        <v>13</v>
      </c>
      <c r="K1423" s="2" t="s">
        <v>5221</v>
      </c>
      <c r="L1423" s="2" t="s">
        <v>5221</v>
      </c>
      <c r="M1423" s="2" t="s">
        <v>5221</v>
      </c>
      <c r="N1423" s="2" t="s">
        <v>2317</v>
      </c>
      <c r="O1423" s="14">
        <v>3700</v>
      </c>
      <c r="P1423" s="14">
        <v>96.65</v>
      </c>
      <c r="Q1423" s="14">
        <v>123.95</v>
      </c>
      <c r="R1423" s="14">
        <v>88</v>
      </c>
      <c r="S1423" s="2" t="s">
        <v>7716</v>
      </c>
      <c r="T1423" s="2">
        <v>1.01</v>
      </c>
      <c r="U1423" s="2">
        <v>63.6</v>
      </c>
      <c r="V1423" s="2">
        <v>54</v>
      </c>
      <c r="W1423" s="2" t="s">
        <v>7862</v>
      </c>
      <c r="X1423" s="2" t="s">
        <v>5405</v>
      </c>
      <c r="Y1423" s="2">
        <v>2627</v>
      </c>
      <c r="Z1423" s="19" t="str">
        <f>HYPERLINK("https://ssdweb.co/ssdweb/hd/Vision360.html?d=925850820&amp;zoomslide=1&amp;z=1925850820&amp;ISCONFIRM=0","VIDEO")</f>
        <v>VIDEO</v>
      </c>
      <c r="AA1423" s="19" t="str">
        <f>HYPERLINK("https://ssdweb.co/ssdweb/CERTH/627473132.pdf","CERTI")</f>
        <v>CERTI</v>
      </c>
    </row>
    <row r="1424" spans="1:27" ht="15" x14ac:dyDescent="0.25">
      <c r="A1424" s="2">
        <v>1419</v>
      </c>
      <c r="B1424" s="39">
        <v>925791202</v>
      </c>
      <c r="C1424" s="28" t="str">
        <f>HYPERLINK("https://pld.live/RapDetail.aspx?STONELIST=925791202","DNA")</f>
        <v>DNA</v>
      </c>
      <c r="D1424" s="18" t="s">
        <v>5847</v>
      </c>
      <c r="E1424" s="18" t="s">
        <v>5128</v>
      </c>
      <c r="F1424" s="2" t="s">
        <v>7987</v>
      </c>
      <c r="G1424" s="2" t="s">
        <v>861</v>
      </c>
      <c r="H1424" s="14">
        <v>0.71</v>
      </c>
      <c r="I1424" s="2" t="s">
        <v>4761</v>
      </c>
      <c r="J1424" s="2" t="s">
        <v>13</v>
      </c>
      <c r="K1424" s="2" t="s">
        <v>5221</v>
      </c>
      <c r="L1424" s="2" t="s">
        <v>5221</v>
      </c>
      <c r="M1424" s="2" t="s">
        <v>5221</v>
      </c>
      <c r="N1424" s="2" t="s">
        <v>2317</v>
      </c>
      <c r="O1424" s="14">
        <v>3700</v>
      </c>
      <c r="P1424" s="14">
        <v>96.65</v>
      </c>
      <c r="Q1424" s="14">
        <v>123.95</v>
      </c>
      <c r="R1424" s="14">
        <v>88</v>
      </c>
      <c r="S1424" s="2" t="s">
        <v>2404</v>
      </c>
      <c r="T1424" s="2">
        <v>1.01</v>
      </c>
      <c r="U1424" s="2">
        <v>63.5</v>
      </c>
      <c r="V1424" s="2">
        <v>57</v>
      </c>
      <c r="W1424" s="2" t="s">
        <v>7862</v>
      </c>
      <c r="X1424" s="2" t="s">
        <v>5405</v>
      </c>
      <c r="Y1424" s="2">
        <v>2627</v>
      </c>
      <c r="Z1424" s="19" t="str">
        <f>HYPERLINK("https://ssdweb.co/ssdweb/hd/Vision360.html?d=925791202&amp;zoomslide=1&amp;z=1925791202&amp;ISCONFIRM=0","VIDEO")</f>
        <v>VIDEO</v>
      </c>
      <c r="AA1424" s="19" t="str">
        <f>HYPERLINK("https://ssdweb.co/ssdweb/CERTH/626457163.pdf","CERTI")</f>
        <v>CERTI</v>
      </c>
    </row>
    <row r="1425" spans="1:27" ht="15" x14ac:dyDescent="0.25">
      <c r="A1425" s="2">
        <v>1420</v>
      </c>
      <c r="B1425" s="39">
        <v>926221380</v>
      </c>
      <c r="C1425" s="28" t="str">
        <f>HYPERLINK("https://pld.live/RapDetail.aspx?STONELIST=926221380","DNA")</f>
        <v>DNA</v>
      </c>
      <c r="D1425" s="18" t="s">
        <v>5847</v>
      </c>
      <c r="E1425" s="18" t="s">
        <v>5128</v>
      </c>
      <c r="F1425" s="2" t="s">
        <v>7987</v>
      </c>
      <c r="G1425" s="2" t="s">
        <v>861</v>
      </c>
      <c r="H1425" s="14">
        <v>0.71</v>
      </c>
      <c r="I1425" s="2" t="s">
        <v>4761</v>
      </c>
      <c r="J1425" s="2" t="s">
        <v>13</v>
      </c>
      <c r="K1425" s="2" t="s">
        <v>5221</v>
      </c>
      <c r="L1425" s="2" t="s">
        <v>5221</v>
      </c>
      <c r="M1425" s="2" t="s">
        <v>5221</v>
      </c>
      <c r="N1425" s="2" t="s">
        <v>2317</v>
      </c>
      <c r="O1425" s="14">
        <v>3700</v>
      </c>
      <c r="P1425" s="14">
        <v>96.59</v>
      </c>
      <c r="Q1425" s="14">
        <v>126.17</v>
      </c>
      <c r="R1425" s="14">
        <v>89.58</v>
      </c>
      <c r="S1425" s="2" t="s">
        <v>1120</v>
      </c>
      <c r="T1425" s="2">
        <v>1.01</v>
      </c>
      <c r="U1425" s="2">
        <v>62.6</v>
      </c>
      <c r="V1425" s="2">
        <v>58</v>
      </c>
      <c r="W1425" s="2" t="s">
        <v>7862</v>
      </c>
      <c r="X1425" s="2" t="s">
        <v>5405</v>
      </c>
      <c r="Y1425" s="2">
        <v>2627</v>
      </c>
      <c r="Z1425" s="19" t="str">
        <f>HYPERLINK("https://ssdweb.co/ssdweb/hd/Vision360.html?d=926221380&amp;zoomslide=1&amp;z=1926221380&amp;ISCONFIRM=0","VIDEO")</f>
        <v>VIDEO</v>
      </c>
      <c r="AA1425" s="19" t="str">
        <f>HYPERLINK("https://ssdweb.co/ssdweb/CERTH/640419131.pdf","CERTI")</f>
        <v>CERTI</v>
      </c>
    </row>
    <row r="1426" spans="1:27" ht="15" x14ac:dyDescent="0.25">
      <c r="A1426" s="2">
        <v>1421</v>
      </c>
      <c r="B1426" s="39">
        <v>926211238</v>
      </c>
      <c r="C1426" s="28" t="str">
        <f>HYPERLINK("https://pld.live/RapDetail.aspx?STONELIST=926211238","DNA")</f>
        <v>DNA</v>
      </c>
      <c r="D1426" s="18" t="s">
        <v>5847</v>
      </c>
      <c r="E1426" s="18" t="s">
        <v>5128</v>
      </c>
      <c r="F1426" s="2" t="s">
        <v>7987</v>
      </c>
      <c r="G1426" s="2" t="s">
        <v>861</v>
      </c>
      <c r="H1426" s="14">
        <v>0.71</v>
      </c>
      <c r="I1426" s="2" t="s">
        <v>4761</v>
      </c>
      <c r="J1426" s="2" t="s">
        <v>13</v>
      </c>
      <c r="K1426" s="2" t="s">
        <v>5221</v>
      </c>
      <c r="L1426" s="2" t="s">
        <v>5221</v>
      </c>
      <c r="M1426" s="2" t="s">
        <v>5221</v>
      </c>
      <c r="N1426" s="2" t="s">
        <v>2317</v>
      </c>
      <c r="O1426" s="14">
        <v>3700</v>
      </c>
      <c r="P1426" s="14">
        <v>96.59</v>
      </c>
      <c r="Q1426" s="14">
        <v>126.17</v>
      </c>
      <c r="R1426" s="14">
        <v>89.58</v>
      </c>
      <c r="S1426" s="2" t="s">
        <v>3749</v>
      </c>
      <c r="T1426" s="2">
        <v>1.01</v>
      </c>
      <c r="U1426" s="2">
        <v>63.5</v>
      </c>
      <c r="V1426" s="2">
        <v>56</v>
      </c>
      <c r="W1426" s="2" t="s">
        <v>7862</v>
      </c>
      <c r="X1426" s="2" t="s">
        <v>5405</v>
      </c>
      <c r="Y1426" s="2">
        <v>2627</v>
      </c>
      <c r="Z1426" s="19" t="str">
        <f>HYPERLINK("https://ssdweb.co/ssdweb/hd/Vision360.html?d=926211238&amp;zoomslide=1&amp;z=1926211238&amp;ISCONFIRM=0","VIDEO")</f>
        <v>VIDEO</v>
      </c>
      <c r="AA1426" s="19" t="str">
        <f>HYPERLINK("https://ssdweb.co/ssdweb/CERTH/639406087.pdf","CERTI")</f>
        <v>CERTI</v>
      </c>
    </row>
    <row r="1427" spans="1:27" ht="15" x14ac:dyDescent="0.25">
      <c r="A1427" s="2">
        <v>1422</v>
      </c>
      <c r="B1427" s="39">
        <v>926221205</v>
      </c>
      <c r="C1427" s="28" t="str">
        <f>HYPERLINK("https://pld.live/RapDetail.aspx?STONELIST=926221205","DNA")</f>
        <v>DNA</v>
      </c>
      <c r="D1427" s="18" t="s">
        <v>5847</v>
      </c>
      <c r="E1427" s="18" t="s">
        <v>5128</v>
      </c>
      <c r="F1427" s="2" t="s">
        <v>7987</v>
      </c>
      <c r="G1427" s="2" t="s">
        <v>861</v>
      </c>
      <c r="H1427" s="14">
        <v>0.71</v>
      </c>
      <c r="I1427" s="2" t="s">
        <v>4761</v>
      </c>
      <c r="J1427" s="2" t="s">
        <v>13</v>
      </c>
      <c r="K1427" s="2" t="s">
        <v>5221</v>
      </c>
      <c r="L1427" s="2" t="s">
        <v>5221</v>
      </c>
      <c r="M1427" s="2" t="s">
        <v>5221</v>
      </c>
      <c r="N1427" s="2" t="s">
        <v>2317</v>
      </c>
      <c r="O1427" s="14">
        <v>3700</v>
      </c>
      <c r="P1427" s="14">
        <v>96.59</v>
      </c>
      <c r="Q1427" s="14">
        <v>126.17</v>
      </c>
      <c r="R1427" s="14">
        <v>89.58</v>
      </c>
      <c r="S1427" s="2" t="s">
        <v>4619</v>
      </c>
      <c r="T1427" s="2">
        <v>1.01</v>
      </c>
      <c r="U1427" s="2">
        <v>62.8</v>
      </c>
      <c r="V1427" s="2">
        <v>58</v>
      </c>
      <c r="W1427" s="2" t="s">
        <v>7862</v>
      </c>
      <c r="X1427" s="2" t="s">
        <v>5405</v>
      </c>
      <c r="Y1427" s="2">
        <v>2627</v>
      </c>
      <c r="Z1427" s="19" t="str">
        <f>HYPERLINK("https://ssdweb.co/ssdweb/hd/Vision360.html?d=926221205&amp;zoomslide=1&amp;z=1926221205&amp;ISCONFIRM=0","VIDEO")</f>
        <v>VIDEO</v>
      </c>
      <c r="AA1427" s="19" t="str">
        <f>HYPERLINK("https://ssdweb.co/ssdweb/CERTH/639413119.pdf","CERTI")</f>
        <v>CERTI</v>
      </c>
    </row>
    <row r="1428" spans="1:27" ht="15" x14ac:dyDescent="0.25">
      <c r="A1428" s="2">
        <v>1423</v>
      </c>
      <c r="B1428" s="39">
        <v>926311301</v>
      </c>
      <c r="C1428" s="28" t="str">
        <f>HYPERLINK("https://pld.live/RapDetail.aspx?STONELIST=926311301","DNA")</f>
        <v>DNA</v>
      </c>
      <c r="D1428" s="18" t="s">
        <v>5847</v>
      </c>
      <c r="E1428" s="18" t="s">
        <v>5128</v>
      </c>
      <c r="F1428" s="2" t="s">
        <v>7987</v>
      </c>
      <c r="G1428" s="2" t="s">
        <v>861</v>
      </c>
      <c r="H1428" s="14">
        <v>0.71</v>
      </c>
      <c r="I1428" s="2" t="s">
        <v>4761</v>
      </c>
      <c r="J1428" s="2" t="s">
        <v>13</v>
      </c>
      <c r="K1428" s="2" t="s">
        <v>5221</v>
      </c>
      <c r="L1428" s="2" t="s">
        <v>5221</v>
      </c>
      <c r="M1428" s="2" t="s">
        <v>5221</v>
      </c>
      <c r="N1428" s="2" t="s">
        <v>2317</v>
      </c>
      <c r="O1428" s="14">
        <v>3700</v>
      </c>
      <c r="P1428" s="14">
        <v>96.59</v>
      </c>
      <c r="Q1428" s="14">
        <v>126.17</v>
      </c>
      <c r="R1428" s="14">
        <v>89.58</v>
      </c>
      <c r="S1428" s="2" t="s">
        <v>6852</v>
      </c>
      <c r="T1428" s="2">
        <v>1</v>
      </c>
      <c r="U1428" s="2">
        <v>62.8</v>
      </c>
      <c r="V1428" s="2">
        <v>57</v>
      </c>
      <c r="W1428" s="2" t="s">
        <v>7862</v>
      </c>
      <c r="X1428" s="2" t="s">
        <v>5405</v>
      </c>
      <c r="Y1428" s="2">
        <v>2627</v>
      </c>
      <c r="Z1428" s="19" t="str">
        <f>HYPERLINK("https://ssdweb.co/ssdweb/hd/Vision360.html?d=926311301&amp;zoomslide=1&amp;z=1926311301&amp;ISCONFIRM=0","VIDEO")</f>
        <v>VIDEO</v>
      </c>
      <c r="AA1428" s="19" t="str">
        <f>HYPERLINK("https://ssdweb.co/ssdweb/CERTH/644472293.pdf","CERTI")</f>
        <v>CERTI</v>
      </c>
    </row>
    <row r="1429" spans="1:27" ht="15" x14ac:dyDescent="0.25">
      <c r="A1429" s="2">
        <v>1424</v>
      </c>
      <c r="B1429" s="39">
        <v>941060398</v>
      </c>
      <c r="C1429" s="28" t="str">
        <f>HYPERLINK("https://pld.live/RapDetail.aspx?STONELIST=941060398","DNA")</f>
        <v>DNA</v>
      </c>
      <c r="D1429" s="18" t="s">
        <v>5847</v>
      </c>
      <c r="E1429" s="18" t="s">
        <v>2186</v>
      </c>
      <c r="F1429" s="2" t="s">
        <v>7987</v>
      </c>
      <c r="G1429" s="2" t="s">
        <v>861</v>
      </c>
      <c r="H1429" s="14">
        <v>0.71</v>
      </c>
      <c r="I1429" s="2" t="s">
        <v>4761</v>
      </c>
      <c r="J1429" s="2" t="s">
        <v>13</v>
      </c>
      <c r="K1429" s="2" t="s">
        <v>5221</v>
      </c>
      <c r="L1429" s="2" t="s">
        <v>5221</v>
      </c>
      <c r="M1429" s="2" t="s">
        <v>5221</v>
      </c>
      <c r="N1429" s="2" t="s">
        <v>2317</v>
      </c>
      <c r="O1429" s="14">
        <v>3700</v>
      </c>
      <c r="P1429" s="14">
        <v>96.49</v>
      </c>
      <c r="Q1429" s="14">
        <v>129.87</v>
      </c>
      <c r="R1429" s="14">
        <v>92.21</v>
      </c>
      <c r="S1429" s="2" t="s">
        <v>5066</v>
      </c>
      <c r="T1429" s="2">
        <v>1.01</v>
      </c>
      <c r="U1429" s="2">
        <v>62.8</v>
      </c>
      <c r="V1429" s="2">
        <v>55</v>
      </c>
      <c r="W1429" s="2" t="s">
        <v>7862</v>
      </c>
      <c r="X1429" s="2" t="s">
        <v>5405</v>
      </c>
      <c r="Y1429" s="2">
        <v>2627</v>
      </c>
      <c r="Z1429" s="19" t="str">
        <f>HYPERLINK("https://ssdweb.co/ssdweb/hd/Vision360.html?d=941060398&amp;zoomslide=1&amp;z=1941060398&amp;ISCONFIRM=0","VIDEO")</f>
        <v>VIDEO</v>
      </c>
      <c r="AA1429" s="19" t="str">
        <f>HYPERLINK("https://ssdweb.co/ssdweb/CERTH/671427833.pdf","CERTI")</f>
        <v>CERTI</v>
      </c>
    </row>
    <row r="1430" spans="1:27" ht="15" x14ac:dyDescent="0.25">
      <c r="A1430" s="2">
        <v>1425</v>
      </c>
      <c r="B1430" s="39">
        <v>926270869</v>
      </c>
      <c r="C1430" s="28" t="str">
        <f>HYPERLINK("https://pld.live/RapDetail.aspx?STONELIST=926270869","DNA")</f>
        <v>DNA</v>
      </c>
      <c r="D1430" s="18" t="s">
        <v>5847</v>
      </c>
      <c r="E1430" s="18" t="s">
        <v>5128</v>
      </c>
      <c r="F1430" s="2" t="s">
        <v>7987</v>
      </c>
      <c r="G1430" s="2" t="s">
        <v>861</v>
      </c>
      <c r="H1430" s="14">
        <v>0.71</v>
      </c>
      <c r="I1430" s="2" t="s">
        <v>4761</v>
      </c>
      <c r="J1430" s="2" t="s">
        <v>13</v>
      </c>
      <c r="K1430" s="2" t="s">
        <v>5221</v>
      </c>
      <c r="L1430" s="2" t="s">
        <v>5221</v>
      </c>
      <c r="M1430" s="2" t="s">
        <v>5721</v>
      </c>
      <c r="N1430" s="2" t="s">
        <v>2317</v>
      </c>
      <c r="O1430" s="14">
        <v>3700</v>
      </c>
      <c r="P1430" s="14">
        <v>96.65</v>
      </c>
      <c r="Q1430" s="14">
        <v>123.95</v>
      </c>
      <c r="R1430" s="14">
        <v>88</v>
      </c>
      <c r="S1430" s="2" t="s">
        <v>2254</v>
      </c>
      <c r="T1430" s="2">
        <v>1.01</v>
      </c>
      <c r="U1430" s="2">
        <v>62.8</v>
      </c>
      <c r="V1430" s="2">
        <v>57</v>
      </c>
      <c r="W1430" s="2" t="s">
        <v>7862</v>
      </c>
      <c r="X1430" s="2" t="s">
        <v>5405</v>
      </c>
      <c r="Y1430" s="2">
        <v>2627</v>
      </c>
      <c r="Z1430" s="19" t="str">
        <f>HYPERLINK("https://ssdweb.co/ssdweb/hd/Vision360.html?d=926270869&amp;zoomslide=1&amp;z=1926270869&amp;ISCONFIRM=0","VIDEO")</f>
        <v>VIDEO</v>
      </c>
      <c r="AA1430" s="19" t="str">
        <f>HYPERLINK("https://ssdweb.co/ssdweb/CERTH/640485496.pdf","CERTI")</f>
        <v>CERTI</v>
      </c>
    </row>
    <row r="1431" spans="1:27" ht="15" x14ac:dyDescent="0.25">
      <c r="A1431" s="2">
        <v>1426</v>
      </c>
      <c r="B1431" s="39">
        <v>926221397</v>
      </c>
      <c r="C1431" s="28" t="str">
        <f>HYPERLINK("https://pld.live/RapDetail.aspx?STONELIST=926221397","DNA")</f>
        <v>DNA</v>
      </c>
      <c r="D1431" s="18" t="s">
        <v>5847</v>
      </c>
      <c r="E1431" s="18" t="s">
        <v>5128</v>
      </c>
      <c r="F1431" s="2" t="s">
        <v>7987</v>
      </c>
      <c r="G1431" s="2" t="s">
        <v>861</v>
      </c>
      <c r="H1431" s="14">
        <v>0.71</v>
      </c>
      <c r="I1431" s="2" t="s">
        <v>4761</v>
      </c>
      <c r="J1431" s="2" t="s">
        <v>13</v>
      </c>
      <c r="K1431" s="2" t="s">
        <v>5221</v>
      </c>
      <c r="L1431" s="2" t="s">
        <v>5221</v>
      </c>
      <c r="M1431" s="2" t="s">
        <v>5721</v>
      </c>
      <c r="N1431" s="2" t="s">
        <v>2317</v>
      </c>
      <c r="O1431" s="14">
        <v>3700</v>
      </c>
      <c r="P1431" s="14">
        <v>96.65</v>
      </c>
      <c r="Q1431" s="14">
        <v>123.95</v>
      </c>
      <c r="R1431" s="14">
        <v>88</v>
      </c>
      <c r="S1431" s="2" t="s">
        <v>6452</v>
      </c>
      <c r="T1431" s="2">
        <v>1.01</v>
      </c>
      <c r="U1431" s="2">
        <v>63.1</v>
      </c>
      <c r="V1431" s="2">
        <v>56</v>
      </c>
      <c r="W1431" s="2" t="s">
        <v>7862</v>
      </c>
      <c r="X1431" s="2" t="s">
        <v>5405</v>
      </c>
      <c r="Y1431" s="2">
        <v>2627</v>
      </c>
      <c r="Z1431" s="19" t="str">
        <f>HYPERLINK("https://ssdweb.co/ssdweb/hd/Vision360.html?d=926221397&amp;zoomslide=1&amp;z=1926221397&amp;ISCONFIRM=0","VIDEO")</f>
        <v>VIDEO</v>
      </c>
      <c r="AA1431" s="19" t="str">
        <f>HYPERLINK("https://ssdweb.co/ssdweb/CERTH/648487035.pdf","CERTI")</f>
        <v>CERTI</v>
      </c>
    </row>
    <row r="1432" spans="1:27" ht="15" x14ac:dyDescent="0.25">
      <c r="A1432" s="2">
        <v>1427</v>
      </c>
      <c r="B1432" s="39">
        <v>926440776</v>
      </c>
      <c r="C1432" s="28" t="str">
        <f>HYPERLINK("https://pld.live/RapDetail.aspx?STONELIST=926440776","DNA")</f>
        <v>DNA</v>
      </c>
      <c r="D1432" s="18" t="s">
        <v>5847</v>
      </c>
      <c r="E1432" s="18" t="s">
        <v>5128</v>
      </c>
      <c r="F1432" s="2" t="s">
        <v>7987</v>
      </c>
      <c r="G1432" s="2" t="s">
        <v>861</v>
      </c>
      <c r="H1432" s="14">
        <v>0.71</v>
      </c>
      <c r="I1432" s="2" t="s">
        <v>4761</v>
      </c>
      <c r="J1432" s="2" t="s">
        <v>5144</v>
      </c>
      <c r="K1432" s="2" t="s">
        <v>5221</v>
      </c>
      <c r="L1432" s="2" t="s">
        <v>5221</v>
      </c>
      <c r="M1432" s="2" t="s">
        <v>5221</v>
      </c>
      <c r="N1432" s="2" t="s">
        <v>2317</v>
      </c>
      <c r="O1432" s="14">
        <v>3200</v>
      </c>
      <c r="P1432" s="14">
        <v>96.13</v>
      </c>
      <c r="Q1432" s="14">
        <v>123.84</v>
      </c>
      <c r="R1432" s="14">
        <v>87.93</v>
      </c>
      <c r="S1432" s="2" t="s">
        <v>6301</v>
      </c>
      <c r="T1432" s="2">
        <v>1.01</v>
      </c>
      <c r="U1432" s="2">
        <v>62.8</v>
      </c>
      <c r="V1432" s="2">
        <v>56</v>
      </c>
      <c r="W1432" s="2" t="s">
        <v>7862</v>
      </c>
      <c r="X1432" s="2" t="s">
        <v>5405</v>
      </c>
      <c r="Y1432" s="2">
        <v>2272</v>
      </c>
      <c r="Z1432" s="19" t="str">
        <f>HYPERLINK("https://ssdweb.co/ssdweb/hd/Vision360.html?d=926440776&amp;zoomslide=1&amp;z=1926440776&amp;ISCONFIRM=0","VIDEO")</f>
        <v>VIDEO</v>
      </c>
      <c r="AA1432" s="19" t="str">
        <f>HYPERLINK("https://ssdweb.co/ssdweb/CERTH/646472889.pdf","CERTI")</f>
        <v>CERTI</v>
      </c>
    </row>
    <row r="1433" spans="1:27" ht="15" x14ac:dyDescent="0.25">
      <c r="A1433" s="2">
        <v>1428</v>
      </c>
      <c r="B1433" s="39">
        <v>926311255</v>
      </c>
      <c r="C1433" s="28" t="str">
        <f>HYPERLINK("https://pld.live/RapDetail.aspx?STONELIST=926311255","DNA")</f>
        <v>DNA</v>
      </c>
      <c r="D1433" s="18" t="s">
        <v>5847</v>
      </c>
      <c r="E1433" s="18" t="s">
        <v>5128</v>
      </c>
      <c r="F1433" s="2" t="s">
        <v>7987</v>
      </c>
      <c r="G1433" s="2" t="s">
        <v>861</v>
      </c>
      <c r="H1433" s="14">
        <v>0.71</v>
      </c>
      <c r="I1433" s="2" t="s">
        <v>4761</v>
      </c>
      <c r="J1433" s="2" t="s">
        <v>5144</v>
      </c>
      <c r="K1433" s="2" t="s">
        <v>5221</v>
      </c>
      <c r="L1433" s="2" t="s">
        <v>5221</v>
      </c>
      <c r="M1433" s="2" t="s">
        <v>5221</v>
      </c>
      <c r="N1433" s="2" t="s">
        <v>2317</v>
      </c>
      <c r="O1433" s="14">
        <v>3200</v>
      </c>
      <c r="P1433" s="14">
        <v>96.13</v>
      </c>
      <c r="Q1433" s="14">
        <v>123.84</v>
      </c>
      <c r="R1433" s="14">
        <v>87.93</v>
      </c>
      <c r="S1433" s="2" t="s">
        <v>5244</v>
      </c>
      <c r="T1433" s="2">
        <v>1</v>
      </c>
      <c r="U1433" s="2">
        <v>63.6</v>
      </c>
      <c r="V1433" s="2">
        <v>56</v>
      </c>
      <c r="W1433" s="2" t="s">
        <v>7862</v>
      </c>
      <c r="X1433" s="2" t="s">
        <v>5405</v>
      </c>
      <c r="Y1433" s="2">
        <v>2272</v>
      </c>
      <c r="Z1433" s="19" t="str">
        <f>HYPERLINK("https://ssdweb.co/ssdweb/hd/Vision360.html?d=926311255&amp;zoomslide=1&amp;z=1926311255&amp;ISCONFIRM=0","VIDEO")</f>
        <v>VIDEO</v>
      </c>
      <c r="AA1433" s="19" t="str">
        <f>HYPERLINK("https://ssdweb.co/ssdweb/CERTH/644466750.pdf","CERTI")</f>
        <v>CERTI</v>
      </c>
    </row>
    <row r="1434" spans="1:27" ht="15" x14ac:dyDescent="0.25">
      <c r="A1434" s="2">
        <v>1429</v>
      </c>
      <c r="B1434" s="39">
        <v>926270883</v>
      </c>
      <c r="C1434" s="28" t="str">
        <f>HYPERLINK("https://pld.live/RapDetail.aspx?STONELIST=926270883","DNA")</f>
        <v>DNA</v>
      </c>
      <c r="D1434" s="18" t="s">
        <v>5847</v>
      </c>
      <c r="E1434" s="18" t="s">
        <v>5128</v>
      </c>
      <c r="F1434" s="2" t="s">
        <v>7987</v>
      </c>
      <c r="G1434" s="2" t="s">
        <v>861</v>
      </c>
      <c r="H1434" s="14">
        <v>0.71</v>
      </c>
      <c r="I1434" s="2" t="s">
        <v>4761</v>
      </c>
      <c r="J1434" s="2" t="s">
        <v>5144</v>
      </c>
      <c r="K1434" s="2" t="s">
        <v>5221</v>
      </c>
      <c r="L1434" s="2" t="s">
        <v>5221</v>
      </c>
      <c r="M1434" s="2" t="s">
        <v>5721</v>
      </c>
      <c r="N1434" s="2" t="s">
        <v>2317</v>
      </c>
      <c r="O1434" s="14">
        <v>3200</v>
      </c>
      <c r="P1434" s="14">
        <v>96.19</v>
      </c>
      <c r="Q1434" s="14">
        <v>121.92</v>
      </c>
      <c r="R1434" s="14">
        <v>86.56</v>
      </c>
      <c r="S1434" s="2" t="s">
        <v>4382</v>
      </c>
      <c r="T1434" s="2">
        <v>1.01</v>
      </c>
      <c r="U1434" s="2">
        <v>62.1</v>
      </c>
      <c r="V1434" s="2">
        <v>58</v>
      </c>
      <c r="W1434" s="2" t="s">
        <v>7862</v>
      </c>
      <c r="X1434" s="2" t="s">
        <v>5405</v>
      </c>
      <c r="Y1434" s="2">
        <v>2272</v>
      </c>
      <c r="Z1434" s="19" t="str">
        <f>HYPERLINK("https://ssdweb.co/ssdweb/hd/Vision360.html?d=926270883&amp;zoomslide=1&amp;z=1926270883&amp;ISCONFIRM=0","VIDEO")</f>
        <v>VIDEO</v>
      </c>
      <c r="AA1434" s="19" t="str">
        <f>HYPERLINK("https://ssdweb.co/ssdweb/CERTH/648487037.pdf","CERTI")</f>
        <v>CERTI</v>
      </c>
    </row>
    <row r="1435" spans="1:27" ht="15" x14ac:dyDescent="0.25">
      <c r="A1435" s="2">
        <v>1430</v>
      </c>
      <c r="B1435" s="39">
        <v>927120009</v>
      </c>
      <c r="C1435" s="28" t="str">
        <f>HYPERLINK("https://pld.live/RapDetail.aspx?STONELIST=927120009","DNA")</f>
        <v>DNA</v>
      </c>
      <c r="D1435" s="18" t="s">
        <v>5847</v>
      </c>
      <c r="E1435" s="18" t="s">
        <v>2186</v>
      </c>
      <c r="F1435" s="2" t="s">
        <v>7987</v>
      </c>
      <c r="G1435" s="2" t="s">
        <v>861</v>
      </c>
      <c r="H1435" s="14">
        <v>0.71</v>
      </c>
      <c r="I1435" s="2" t="s">
        <v>4699</v>
      </c>
      <c r="J1435" s="2" t="s">
        <v>3942</v>
      </c>
      <c r="K1435" s="2" t="s">
        <v>5221</v>
      </c>
      <c r="L1435" s="2" t="s">
        <v>5721</v>
      </c>
      <c r="M1435" s="2" t="s">
        <v>5721</v>
      </c>
      <c r="N1435" s="2" t="s">
        <v>2317</v>
      </c>
      <c r="O1435" s="14">
        <v>4000</v>
      </c>
      <c r="P1435" s="14">
        <v>96.9</v>
      </c>
      <c r="Q1435" s="14">
        <v>124</v>
      </c>
      <c r="R1435" s="14">
        <v>88.04</v>
      </c>
      <c r="S1435" s="2" t="s">
        <v>5916</v>
      </c>
      <c r="T1435" s="2">
        <v>1.01</v>
      </c>
      <c r="U1435" s="2">
        <v>60.9</v>
      </c>
      <c r="V1435" s="2">
        <v>61</v>
      </c>
      <c r="W1435" s="2" t="s">
        <v>7862</v>
      </c>
      <c r="X1435" s="2" t="s">
        <v>5405</v>
      </c>
      <c r="Y1435" s="2">
        <v>2840</v>
      </c>
      <c r="Z1435" s="19" t="str">
        <f>HYPERLINK("https://ssdweb.co/ssdweb/hd/Vision360.html?d=927120009&amp;zoomslide=1&amp;z=1927120009&amp;ISCONFIRM=0","VIDEO")</f>
        <v>VIDEO</v>
      </c>
      <c r="AA1435" s="19" t="str">
        <f>HYPERLINK("https://ssdweb.co/ssdweb/CERTH/668477285.pdf","CERTI")</f>
        <v>CERTI</v>
      </c>
    </row>
    <row r="1436" spans="1:27" ht="15" x14ac:dyDescent="0.25">
      <c r="A1436" s="2">
        <v>1431</v>
      </c>
      <c r="B1436" s="39">
        <v>926221277</v>
      </c>
      <c r="C1436" s="28" t="str">
        <f>HYPERLINK("https://pld.live/RapDetail.aspx?STONELIST=926221277","DNA")</f>
        <v>DNA</v>
      </c>
      <c r="D1436" s="18" t="s">
        <v>5847</v>
      </c>
      <c r="E1436" s="18" t="s">
        <v>5128</v>
      </c>
      <c r="F1436" s="2" t="s">
        <v>7987</v>
      </c>
      <c r="G1436" s="2" t="s">
        <v>861</v>
      </c>
      <c r="H1436" s="14">
        <v>0.7</v>
      </c>
      <c r="I1436" s="2" t="s">
        <v>267</v>
      </c>
      <c r="J1436" s="2" t="s">
        <v>6555</v>
      </c>
      <c r="K1436" s="2" t="s">
        <v>5221</v>
      </c>
      <c r="L1436" s="2" t="s">
        <v>5221</v>
      </c>
      <c r="M1436" s="2" t="s">
        <v>5721</v>
      </c>
      <c r="N1436" s="2" t="s">
        <v>2317</v>
      </c>
      <c r="O1436" s="14">
        <v>5800</v>
      </c>
      <c r="P1436" s="14">
        <v>97.69</v>
      </c>
      <c r="Q1436" s="14">
        <v>133.97999999999999</v>
      </c>
      <c r="R1436" s="14">
        <v>93.79</v>
      </c>
      <c r="S1436" s="2" t="s">
        <v>4788</v>
      </c>
      <c r="T1436" s="2">
        <v>1.01</v>
      </c>
      <c r="U1436" s="2">
        <v>59.3</v>
      </c>
      <c r="V1436" s="2">
        <v>62</v>
      </c>
      <c r="W1436" s="2" t="s">
        <v>7862</v>
      </c>
      <c r="X1436" s="2" t="s">
        <v>5405</v>
      </c>
      <c r="Y1436" s="2">
        <v>4060</v>
      </c>
      <c r="Z1436" s="19" t="str">
        <f>HYPERLINK("https://ssdweb.co/ssdweb/hd/Vision360.html?d=926221277&amp;zoomslide=1&amp;z=1926221277&amp;ISCONFIRM=0","VIDEO")</f>
        <v>VIDEO</v>
      </c>
      <c r="AA1436" s="19" t="str">
        <f>HYPERLINK("https://ssdweb.co/ssdweb/CERTH/640473936.pdf","CERTI")</f>
        <v>CERTI</v>
      </c>
    </row>
    <row r="1437" spans="1:27" ht="15" x14ac:dyDescent="0.25">
      <c r="A1437" s="2">
        <v>1432</v>
      </c>
      <c r="B1437" s="39">
        <v>926311305</v>
      </c>
      <c r="C1437" s="28" t="str">
        <f>HYPERLINK("https://pld.live/RapDetail.aspx?STONELIST=926311305","DNA")</f>
        <v>DNA</v>
      </c>
      <c r="D1437" s="18" t="s">
        <v>5847</v>
      </c>
      <c r="E1437" s="18" t="s">
        <v>5128</v>
      </c>
      <c r="F1437" s="2" t="s">
        <v>7987</v>
      </c>
      <c r="G1437" s="2" t="s">
        <v>861</v>
      </c>
      <c r="H1437" s="14">
        <v>0.7</v>
      </c>
      <c r="I1437" s="2" t="s">
        <v>267</v>
      </c>
      <c r="J1437" s="2" t="s">
        <v>6555</v>
      </c>
      <c r="K1437" s="2" t="s">
        <v>5221</v>
      </c>
      <c r="L1437" s="2" t="s">
        <v>5221</v>
      </c>
      <c r="M1437" s="2" t="s">
        <v>5721</v>
      </c>
      <c r="N1437" s="2" t="s">
        <v>2317</v>
      </c>
      <c r="O1437" s="14">
        <v>5800</v>
      </c>
      <c r="P1437" s="14">
        <v>97.66</v>
      </c>
      <c r="Q1437" s="14">
        <v>135.72</v>
      </c>
      <c r="R1437" s="14">
        <v>95</v>
      </c>
      <c r="S1437" s="2" t="s">
        <v>1724</v>
      </c>
      <c r="T1437" s="2">
        <v>1.01</v>
      </c>
      <c r="U1437" s="2">
        <v>62.7</v>
      </c>
      <c r="V1437" s="2">
        <v>57</v>
      </c>
      <c r="W1437" s="2" t="s">
        <v>7862</v>
      </c>
      <c r="X1437" s="2" t="s">
        <v>5405</v>
      </c>
      <c r="Y1437" s="2">
        <v>4060</v>
      </c>
      <c r="Z1437" s="19" t="str">
        <f>HYPERLINK("https://ssdweb.co/ssdweb/hd/Vision360.html?d=926311305&amp;zoomslide=1&amp;z=1926311305&amp;ISCONFIRM=0","VIDEO")</f>
        <v>VIDEO</v>
      </c>
      <c r="AA1437" s="19" t="str">
        <f>HYPERLINK("https://ssdweb.co/ssdweb/CERTH/653451024.pdf","CERTI")</f>
        <v>CERTI</v>
      </c>
    </row>
    <row r="1438" spans="1:27" ht="15" x14ac:dyDescent="0.25">
      <c r="A1438" s="2">
        <v>1433</v>
      </c>
      <c r="B1438" s="39">
        <v>926270880</v>
      </c>
      <c r="C1438" s="28" t="str">
        <f>HYPERLINK("https://pld.live/RapDetail.aspx?STONELIST=926270880","DNA")</f>
        <v>DNA</v>
      </c>
      <c r="D1438" s="18" t="s">
        <v>5847</v>
      </c>
      <c r="E1438" s="18" t="s">
        <v>5128</v>
      </c>
      <c r="F1438" s="2" t="s">
        <v>7987</v>
      </c>
      <c r="G1438" s="2" t="s">
        <v>861</v>
      </c>
      <c r="H1438" s="14">
        <v>0.7</v>
      </c>
      <c r="I1438" s="2" t="s">
        <v>267</v>
      </c>
      <c r="J1438" s="2" t="s">
        <v>3942</v>
      </c>
      <c r="K1438" s="2" t="s">
        <v>3390</v>
      </c>
      <c r="L1438" s="2" t="s">
        <v>5221</v>
      </c>
      <c r="M1438" s="2" t="s">
        <v>5721</v>
      </c>
      <c r="N1438" s="2" t="s">
        <v>2317</v>
      </c>
      <c r="O1438" s="14">
        <v>4500</v>
      </c>
      <c r="P1438" s="14">
        <v>97.07</v>
      </c>
      <c r="Q1438" s="14">
        <v>131.85</v>
      </c>
      <c r="R1438" s="14">
        <v>92.3</v>
      </c>
      <c r="S1438" s="2" t="s">
        <v>1120</v>
      </c>
      <c r="T1438" s="2">
        <v>1.01</v>
      </c>
      <c r="U1438" s="2">
        <v>62.5</v>
      </c>
      <c r="V1438" s="2">
        <v>56</v>
      </c>
      <c r="W1438" s="2" t="s">
        <v>7862</v>
      </c>
      <c r="X1438" s="2" t="s">
        <v>5405</v>
      </c>
      <c r="Y1438" s="2">
        <v>3150</v>
      </c>
      <c r="Z1438" s="19" t="str">
        <f>HYPERLINK("https://ssdweb.co/ssdweb/hd/Vision360.html?d=926270880&amp;zoomslide=1&amp;z=1926270880&amp;ISCONFIRM=0","VIDEO")</f>
        <v>VIDEO</v>
      </c>
      <c r="AA1438" s="19" t="str">
        <f>HYPERLINK("https://ssdweb.co/ssdweb/CERTH/640485484.pdf","CERTI")</f>
        <v>CERTI</v>
      </c>
    </row>
    <row r="1439" spans="1:27" ht="15" x14ac:dyDescent="0.25">
      <c r="A1439" s="2">
        <v>1434</v>
      </c>
      <c r="B1439" s="39">
        <v>926250593</v>
      </c>
      <c r="C1439" s="28" t="str">
        <f>HYPERLINK("https://pld.live/RapDetail.aspx?STONELIST=926250593","DNA")</f>
        <v>DNA</v>
      </c>
      <c r="D1439" s="18" t="s">
        <v>5847</v>
      </c>
      <c r="E1439" s="18" t="s">
        <v>5128</v>
      </c>
      <c r="F1439" s="2" t="s">
        <v>7987</v>
      </c>
      <c r="G1439" s="2" t="s">
        <v>861</v>
      </c>
      <c r="H1439" s="14">
        <v>0.7</v>
      </c>
      <c r="I1439" s="2" t="s">
        <v>267</v>
      </c>
      <c r="J1439" s="2" t="s">
        <v>3942</v>
      </c>
      <c r="K1439" s="2" t="s">
        <v>3390</v>
      </c>
      <c r="L1439" s="2" t="s">
        <v>5721</v>
      </c>
      <c r="M1439" s="2" t="s">
        <v>5221</v>
      </c>
      <c r="N1439" s="2" t="s">
        <v>2317</v>
      </c>
      <c r="O1439" s="14">
        <v>4500</v>
      </c>
      <c r="P1439" s="14">
        <v>97.02</v>
      </c>
      <c r="Q1439" s="14">
        <v>134.1</v>
      </c>
      <c r="R1439" s="14">
        <v>93.87</v>
      </c>
      <c r="S1439" s="2" t="s">
        <v>456</v>
      </c>
      <c r="T1439" s="2">
        <v>1.01</v>
      </c>
      <c r="U1439" s="2">
        <v>62.5</v>
      </c>
      <c r="V1439" s="2">
        <v>55</v>
      </c>
      <c r="W1439" s="2" t="s">
        <v>7862</v>
      </c>
      <c r="X1439" s="2" t="s">
        <v>5405</v>
      </c>
      <c r="Y1439" s="2">
        <v>3150</v>
      </c>
      <c r="Z1439" s="19" t="str">
        <f>HYPERLINK("https://ssdweb.co/ssdweb/hd/Vision360.html?d=926250593&amp;zoomslide=1&amp;z=1926250593&amp;ISCONFIRM=0","VIDEO")</f>
        <v>VIDEO</v>
      </c>
      <c r="AA1439" s="19" t="str">
        <f>HYPERLINK("https://ssdweb.co/ssdweb/CERTH/660490520.pdf","CERTI")</f>
        <v>CERTI</v>
      </c>
    </row>
    <row r="1440" spans="1:27" ht="15" x14ac:dyDescent="0.25">
      <c r="A1440" s="2">
        <v>1435</v>
      </c>
      <c r="B1440" s="39">
        <v>925900560</v>
      </c>
      <c r="C1440" s="28" t="str">
        <f>HYPERLINK("https://pld.live/RapDetail.aspx?STONELIST=925900560","DNA")</f>
        <v>DNA</v>
      </c>
      <c r="D1440" s="18" t="s">
        <v>5847</v>
      </c>
      <c r="E1440" s="18" t="s">
        <v>5128</v>
      </c>
      <c r="F1440" s="2" t="s">
        <v>7987</v>
      </c>
      <c r="G1440" s="2" t="s">
        <v>861</v>
      </c>
      <c r="H1440" s="14">
        <v>0.7</v>
      </c>
      <c r="I1440" s="2" t="s">
        <v>267</v>
      </c>
      <c r="J1440" s="2" t="s">
        <v>3942</v>
      </c>
      <c r="K1440" s="2" t="s">
        <v>5221</v>
      </c>
      <c r="L1440" s="2" t="s">
        <v>5221</v>
      </c>
      <c r="M1440" s="2" t="s">
        <v>5221</v>
      </c>
      <c r="N1440" s="2" t="s">
        <v>2317</v>
      </c>
      <c r="O1440" s="14">
        <v>4500</v>
      </c>
      <c r="P1440" s="14">
        <v>97.07</v>
      </c>
      <c r="Q1440" s="14">
        <v>131.85</v>
      </c>
      <c r="R1440" s="14">
        <v>92.3</v>
      </c>
      <c r="S1440" s="2" t="s">
        <v>4477</v>
      </c>
      <c r="T1440" s="2">
        <v>1.01</v>
      </c>
      <c r="U1440" s="2">
        <v>63.2</v>
      </c>
      <c r="V1440" s="2">
        <v>55</v>
      </c>
      <c r="W1440" s="2" t="s">
        <v>7862</v>
      </c>
      <c r="X1440" s="2" t="s">
        <v>5405</v>
      </c>
      <c r="Y1440" s="2">
        <v>3150</v>
      </c>
      <c r="Z1440" s="19" t="str">
        <f>HYPERLINK("https://ssdweb.co/ssdweb/hd/Vision360.html?d=925900560&amp;zoomslide=1&amp;z=1925900560&amp;ISCONFIRM=0","VIDEO")</f>
        <v>VIDEO</v>
      </c>
      <c r="AA1440" s="19" t="str">
        <f>HYPERLINK("https://ssdweb.co/ssdweb/CERTH/628426233.pdf","CERTI")</f>
        <v>CERTI</v>
      </c>
    </row>
    <row r="1441" spans="1:27" ht="15" x14ac:dyDescent="0.25">
      <c r="A1441" s="2">
        <v>1436</v>
      </c>
      <c r="B1441" s="39">
        <v>925790609</v>
      </c>
      <c r="C1441" s="28" t="str">
        <f>HYPERLINK("https://pld.live/RapDetail.aspx?STONELIST=925790609","DNA")</f>
        <v>DNA</v>
      </c>
      <c r="D1441" s="18" t="s">
        <v>5847</v>
      </c>
      <c r="E1441" s="18" t="s">
        <v>5128</v>
      </c>
      <c r="F1441" s="2" t="s">
        <v>7987</v>
      </c>
      <c r="G1441" s="2" t="s">
        <v>861</v>
      </c>
      <c r="H1441" s="14">
        <v>0.7</v>
      </c>
      <c r="I1441" s="2" t="s">
        <v>267</v>
      </c>
      <c r="J1441" s="2" t="s">
        <v>3942</v>
      </c>
      <c r="K1441" s="2" t="s">
        <v>5221</v>
      </c>
      <c r="L1441" s="2" t="s">
        <v>5221</v>
      </c>
      <c r="M1441" s="2" t="s">
        <v>5221</v>
      </c>
      <c r="N1441" s="2" t="s">
        <v>2317</v>
      </c>
      <c r="O1441" s="14">
        <v>4500</v>
      </c>
      <c r="P1441" s="14">
        <v>97.07</v>
      </c>
      <c r="Q1441" s="14">
        <v>131.85</v>
      </c>
      <c r="R1441" s="14">
        <v>92.3</v>
      </c>
      <c r="S1441" s="2" t="s">
        <v>1105</v>
      </c>
      <c r="T1441" s="2">
        <v>1.01</v>
      </c>
      <c r="U1441" s="2">
        <v>60.7</v>
      </c>
      <c r="V1441" s="2">
        <v>61</v>
      </c>
      <c r="W1441" s="2" t="s">
        <v>7862</v>
      </c>
      <c r="X1441" s="2" t="s">
        <v>5405</v>
      </c>
      <c r="Y1441" s="2">
        <v>3150</v>
      </c>
      <c r="Z1441" s="19" t="str">
        <f>HYPERLINK("https://ssdweb.co/ssdweb/hd/Vision360.html?d=925790609&amp;zoomslide=1&amp;z=1925790609&amp;ISCONFIRM=0","VIDEO")</f>
        <v>VIDEO</v>
      </c>
      <c r="AA1441" s="19" t="str">
        <f>HYPERLINK("https://ssdweb.co/ssdweb/CERTH/625432123.pdf","CERTI")</f>
        <v>CERTI</v>
      </c>
    </row>
    <row r="1442" spans="1:27" ht="15" x14ac:dyDescent="0.25">
      <c r="A1442" s="2">
        <v>1437</v>
      </c>
      <c r="B1442" s="39">
        <v>925870474</v>
      </c>
      <c r="C1442" s="28" t="str">
        <f>HYPERLINK("https://pld.live/RapDetail.aspx?STONELIST=925870474","DNA")</f>
        <v>DNA</v>
      </c>
      <c r="D1442" s="18" t="s">
        <v>5847</v>
      </c>
      <c r="E1442" s="18" t="s">
        <v>5128</v>
      </c>
      <c r="F1442" s="2" t="s">
        <v>7987</v>
      </c>
      <c r="G1442" s="2" t="s">
        <v>861</v>
      </c>
      <c r="H1442" s="14">
        <v>0.7</v>
      </c>
      <c r="I1442" s="2" t="s">
        <v>267</v>
      </c>
      <c r="J1442" s="2" t="s">
        <v>3942</v>
      </c>
      <c r="K1442" s="2" t="s">
        <v>5221</v>
      </c>
      <c r="L1442" s="2" t="s">
        <v>5221</v>
      </c>
      <c r="M1442" s="2" t="s">
        <v>5221</v>
      </c>
      <c r="N1442" s="2" t="s">
        <v>2317</v>
      </c>
      <c r="O1442" s="14">
        <v>4500</v>
      </c>
      <c r="P1442" s="14">
        <v>97.07</v>
      </c>
      <c r="Q1442" s="14">
        <v>131.85</v>
      </c>
      <c r="R1442" s="14">
        <v>92.3</v>
      </c>
      <c r="S1442" s="2" t="s">
        <v>2254</v>
      </c>
      <c r="T1442" s="2">
        <v>1.01</v>
      </c>
      <c r="U1442" s="2">
        <v>62.8</v>
      </c>
      <c r="V1442" s="2">
        <v>55</v>
      </c>
      <c r="W1442" s="2" t="s">
        <v>7862</v>
      </c>
      <c r="X1442" s="2" t="s">
        <v>5405</v>
      </c>
      <c r="Y1442" s="2">
        <v>3150</v>
      </c>
      <c r="Z1442" s="19" t="str">
        <f>HYPERLINK("https://ssdweb.co/ssdweb/hd/Vision360.html?d=925870474&amp;zoomslide=1&amp;z=1925870474&amp;ISCONFIRM=0","VIDEO")</f>
        <v>VIDEO</v>
      </c>
      <c r="AA1442" s="19" t="str">
        <f>HYPERLINK("https://ssdweb.co/ssdweb/CERTH/626499079.pdf","CERTI")</f>
        <v>CERTI</v>
      </c>
    </row>
    <row r="1443" spans="1:27" ht="15" x14ac:dyDescent="0.25">
      <c r="A1443" s="2">
        <v>1438</v>
      </c>
      <c r="B1443" s="39">
        <v>925850861</v>
      </c>
      <c r="C1443" s="28" t="str">
        <f>HYPERLINK("https://pld.live/RapDetail.aspx?STONELIST=925850861","DNA")</f>
        <v>DNA</v>
      </c>
      <c r="D1443" s="18" t="s">
        <v>5847</v>
      </c>
      <c r="E1443" s="18" t="s">
        <v>5128</v>
      </c>
      <c r="F1443" s="2" t="s">
        <v>7987</v>
      </c>
      <c r="G1443" s="2" t="s">
        <v>861</v>
      </c>
      <c r="H1443" s="14">
        <v>0.7</v>
      </c>
      <c r="I1443" s="2" t="s">
        <v>267</v>
      </c>
      <c r="J1443" s="2" t="s">
        <v>3942</v>
      </c>
      <c r="K1443" s="2" t="s">
        <v>5221</v>
      </c>
      <c r="L1443" s="2" t="s">
        <v>5221</v>
      </c>
      <c r="M1443" s="2" t="s">
        <v>5221</v>
      </c>
      <c r="N1443" s="2" t="s">
        <v>2317</v>
      </c>
      <c r="O1443" s="14">
        <v>4500</v>
      </c>
      <c r="P1443" s="14">
        <v>97.07</v>
      </c>
      <c r="Q1443" s="14">
        <v>131.85</v>
      </c>
      <c r="R1443" s="14">
        <v>92.3</v>
      </c>
      <c r="S1443" s="2" t="s">
        <v>6978</v>
      </c>
      <c r="T1443" s="2">
        <v>1.01</v>
      </c>
      <c r="U1443" s="2">
        <v>62.9</v>
      </c>
      <c r="V1443" s="2">
        <v>55</v>
      </c>
      <c r="W1443" s="2" t="s">
        <v>7862</v>
      </c>
      <c r="X1443" s="2" t="s">
        <v>5405</v>
      </c>
      <c r="Y1443" s="2">
        <v>3150</v>
      </c>
      <c r="Z1443" s="19" t="str">
        <f>HYPERLINK("https://ssdweb.co/ssdweb/hd/Vision360.html?d=925850861&amp;zoomslide=1&amp;z=1925850861&amp;ISCONFIRM=0","VIDEO")</f>
        <v>VIDEO</v>
      </c>
      <c r="AA1443" s="19" t="str">
        <f>HYPERLINK("https://ssdweb.co/ssdweb/CERTH/627471494.pdf","CERTI")</f>
        <v>CERTI</v>
      </c>
    </row>
    <row r="1444" spans="1:27" ht="15" x14ac:dyDescent="0.25">
      <c r="A1444" s="2">
        <v>1439</v>
      </c>
      <c r="B1444" s="39">
        <v>925900486</v>
      </c>
      <c r="C1444" s="28" t="str">
        <f>HYPERLINK("https://pld.live/RapDetail.aspx?STONELIST=925900486","DNA")</f>
        <v>DNA</v>
      </c>
      <c r="D1444" s="18" t="s">
        <v>5847</v>
      </c>
      <c r="E1444" s="18" t="s">
        <v>5128</v>
      </c>
      <c r="F1444" s="2" t="s">
        <v>7987</v>
      </c>
      <c r="G1444" s="2" t="s">
        <v>861</v>
      </c>
      <c r="H1444" s="14">
        <v>0.7</v>
      </c>
      <c r="I1444" s="2" t="s">
        <v>267</v>
      </c>
      <c r="J1444" s="2" t="s">
        <v>3942</v>
      </c>
      <c r="K1444" s="2" t="s">
        <v>5221</v>
      </c>
      <c r="L1444" s="2" t="s">
        <v>5221</v>
      </c>
      <c r="M1444" s="2" t="s">
        <v>5221</v>
      </c>
      <c r="N1444" s="2" t="s">
        <v>2317</v>
      </c>
      <c r="O1444" s="14">
        <v>4500</v>
      </c>
      <c r="P1444" s="14">
        <v>97.07</v>
      </c>
      <c r="Q1444" s="14">
        <v>131.85</v>
      </c>
      <c r="R1444" s="14">
        <v>92.3</v>
      </c>
      <c r="S1444" s="2" t="s">
        <v>4603</v>
      </c>
      <c r="T1444" s="2">
        <v>1.01</v>
      </c>
      <c r="U1444" s="2">
        <v>63.5</v>
      </c>
      <c r="V1444" s="2">
        <v>56</v>
      </c>
      <c r="W1444" s="2" t="s">
        <v>7862</v>
      </c>
      <c r="X1444" s="2" t="s">
        <v>5405</v>
      </c>
      <c r="Y1444" s="2">
        <v>3150</v>
      </c>
      <c r="Z1444" s="19" t="str">
        <f>HYPERLINK("https://ssdweb.co/ssdweb/hd/Vision360.html?d=925900486&amp;zoomslide=1&amp;z=1925900486&amp;ISCONFIRM=0","VIDEO")</f>
        <v>VIDEO</v>
      </c>
      <c r="AA1444" s="19" t="str">
        <f>HYPERLINK("https://ssdweb.co/ssdweb/CERTH/627427314.pdf","CERTI")</f>
        <v>CERTI</v>
      </c>
    </row>
    <row r="1445" spans="1:27" ht="15" x14ac:dyDescent="0.25">
      <c r="A1445" s="2">
        <v>1440</v>
      </c>
      <c r="B1445" s="39">
        <v>925900367</v>
      </c>
      <c r="C1445" s="28" t="str">
        <f>HYPERLINK("https://pld.live/RapDetail.aspx?STONELIST=925900367","DNA")</f>
        <v>DNA</v>
      </c>
      <c r="D1445" s="18" t="s">
        <v>5847</v>
      </c>
      <c r="E1445" s="18" t="s">
        <v>5128</v>
      </c>
      <c r="F1445" s="2" t="s">
        <v>7987</v>
      </c>
      <c r="G1445" s="2" t="s">
        <v>861</v>
      </c>
      <c r="H1445" s="14">
        <v>0.7</v>
      </c>
      <c r="I1445" s="2" t="s">
        <v>267</v>
      </c>
      <c r="J1445" s="2" t="s">
        <v>3942</v>
      </c>
      <c r="K1445" s="2" t="s">
        <v>5221</v>
      </c>
      <c r="L1445" s="2" t="s">
        <v>5221</v>
      </c>
      <c r="M1445" s="2" t="s">
        <v>5221</v>
      </c>
      <c r="N1445" s="2" t="s">
        <v>2317</v>
      </c>
      <c r="O1445" s="14">
        <v>4500</v>
      </c>
      <c r="P1445" s="14">
        <v>97.07</v>
      </c>
      <c r="Q1445" s="14">
        <v>131.85</v>
      </c>
      <c r="R1445" s="14">
        <v>92.3</v>
      </c>
      <c r="S1445" s="2" t="s">
        <v>2806</v>
      </c>
      <c r="T1445" s="2">
        <v>1.01</v>
      </c>
      <c r="U1445" s="2">
        <v>60.6</v>
      </c>
      <c r="V1445" s="2">
        <v>59</v>
      </c>
      <c r="W1445" s="2" t="s">
        <v>7862</v>
      </c>
      <c r="X1445" s="2" t="s">
        <v>5405</v>
      </c>
      <c r="Y1445" s="2">
        <v>3150</v>
      </c>
      <c r="Z1445" s="19" t="str">
        <f>HYPERLINK("https://ssdweb.co/ssdweb/hd/Vision360.html?d=925900367&amp;zoomslide=1&amp;z=1925900367&amp;ISCONFIRM=0","VIDEO")</f>
        <v>VIDEO</v>
      </c>
      <c r="AA1445" s="19" t="str">
        <f>HYPERLINK("https://ssdweb.co/ssdweb/CERTH/627415066.pdf","CERTI")</f>
        <v>CERTI</v>
      </c>
    </row>
    <row r="1446" spans="1:27" ht="15" x14ac:dyDescent="0.25">
      <c r="A1446" s="2">
        <v>1441</v>
      </c>
      <c r="B1446" s="39">
        <v>925790858</v>
      </c>
      <c r="C1446" s="28" t="str">
        <f>HYPERLINK("https://pld.live/RapDetail.aspx?STONELIST=925790858","DNA")</f>
        <v>DNA</v>
      </c>
      <c r="D1446" s="18" t="s">
        <v>5847</v>
      </c>
      <c r="E1446" s="18" t="s">
        <v>5128</v>
      </c>
      <c r="F1446" s="2" t="s">
        <v>7987</v>
      </c>
      <c r="G1446" s="2" t="s">
        <v>861</v>
      </c>
      <c r="H1446" s="14">
        <v>0.7</v>
      </c>
      <c r="I1446" s="2" t="s">
        <v>267</v>
      </c>
      <c r="J1446" s="2" t="s">
        <v>3942</v>
      </c>
      <c r="K1446" s="2" t="s">
        <v>5221</v>
      </c>
      <c r="L1446" s="2" t="s">
        <v>5221</v>
      </c>
      <c r="M1446" s="2" t="s">
        <v>5221</v>
      </c>
      <c r="N1446" s="2" t="s">
        <v>2317</v>
      </c>
      <c r="O1446" s="14">
        <v>4500</v>
      </c>
      <c r="P1446" s="14">
        <v>97.07</v>
      </c>
      <c r="Q1446" s="14">
        <v>131.85</v>
      </c>
      <c r="R1446" s="14">
        <v>92.3</v>
      </c>
      <c r="S1446" s="2" t="s">
        <v>6820</v>
      </c>
      <c r="T1446" s="2">
        <v>1.01</v>
      </c>
      <c r="U1446" s="2">
        <v>60.9</v>
      </c>
      <c r="V1446" s="2">
        <v>62</v>
      </c>
      <c r="W1446" s="2" t="s">
        <v>7862</v>
      </c>
      <c r="X1446" s="2" t="s">
        <v>5405</v>
      </c>
      <c r="Y1446" s="2">
        <v>3150</v>
      </c>
      <c r="Z1446" s="19" t="str">
        <f>HYPERLINK("https://ssdweb.co/ssdweb/hd/Vision360.html?d=925790858&amp;zoomslide=1&amp;z=1925790858&amp;ISCONFIRM=0","VIDEO")</f>
        <v>VIDEO</v>
      </c>
      <c r="AA1446" s="19" t="str">
        <f>HYPERLINK("https://ssdweb.co/ssdweb/CERTH/625432163.pdf","CERTI")</f>
        <v>CERTI</v>
      </c>
    </row>
    <row r="1447" spans="1:27" ht="15" x14ac:dyDescent="0.25">
      <c r="A1447" s="2">
        <v>1442</v>
      </c>
      <c r="B1447" s="39">
        <v>926671084</v>
      </c>
      <c r="C1447" s="28" t="str">
        <f>HYPERLINK("https://pld.live/RapDetail.aspx?STONELIST=926671084","DNA")</f>
        <v>DNA</v>
      </c>
      <c r="D1447" s="18" t="s">
        <v>5847</v>
      </c>
      <c r="E1447" s="18" t="s">
        <v>5128</v>
      </c>
      <c r="F1447" s="2" t="s">
        <v>7987</v>
      </c>
      <c r="G1447" s="2" t="s">
        <v>861</v>
      </c>
      <c r="H1447" s="14">
        <v>0.7</v>
      </c>
      <c r="I1447" s="2" t="s">
        <v>267</v>
      </c>
      <c r="J1447" s="2" t="s">
        <v>3942</v>
      </c>
      <c r="K1447" s="2" t="s">
        <v>5221</v>
      </c>
      <c r="L1447" s="2" t="s">
        <v>5221</v>
      </c>
      <c r="M1447" s="2" t="s">
        <v>5221</v>
      </c>
      <c r="N1447" s="2" t="s">
        <v>2317</v>
      </c>
      <c r="O1447" s="14">
        <v>4500</v>
      </c>
      <c r="P1447" s="14">
        <v>96.98</v>
      </c>
      <c r="Q1447" s="14">
        <v>135.9</v>
      </c>
      <c r="R1447" s="14">
        <v>95.13</v>
      </c>
      <c r="S1447" s="2" t="s">
        <v>7416</v>
      </c>
      <c r="T1447" s="2">
        <v>1.01</v>
      </c>
      <c r="U1447" s="2">
        <v>63</v>
      </c>
      <c r="V1447" s="2">
        <v>57</v>
      </c>
      <c r="W1447" s="2" t="s">
        <v>7862</v>
      </c>
      <c r="X1447" s="2" t="s">
        <v>5405</v>
      </c>
      <c r="Y1447" s="2">
        <v>3150</v>
      </c>
      <c r="Z1447" s="19" t="str">
        <f>HYPERLINK("https://ssdweb.co/ssdweb/hd/Vision360.html?d=926671084&amp;zoomslide=1&amp;z=1926671084&amp;ISCONFIRM=0","VIDEO")</f>
        <v>VIDEO</v>
      </c>
      <c r="AA1447" s="19" t="str">
        <f>HYPERLINK("https://ssdweb.co/ssdweb/CERTH/656485713.pdf","CERTI")</f>
        <v>CERTI</v>
      </c>
    </row>
    <row r="1448" spans="1:27" ht="15" x14ac:dyDescent="0.25">
      <c r="A1448" s="2">
        <v>1443</v>
      </c>
      <c r="B1448" s="39">
        <v>925791292</v>
      </c>
      <c r="C1448" s="28" t="str">
        <f>HYPERLINK("https://pld.live/RapDetail.aspx?STONELIST=925791292","DNA")</f>
        <v>DNA</v>
      </c>
      <c r="D1448" s="18" t="s">
        <v>5847</v>
      </c>
      <c r="E1448" s="18" t="s">
        <v>5128</v>
      </c>
      <c r="F1448" s="2" t="s">
        <v>7987</v>
      </c>
      <c r="G1448" s="2" t="s">
        <v>861</v>
      </c>
      <c r="H1448" s="14">
        <v>0.7</v>
      </c>
      <c r="I1448" s="2" t="s">
        <v>267</v>
      </c>
      <c r="J1448" s="2" t="s">
        <v>3942</v>
      </c>
      <c r="K1448" s="2" t="s">
        <v>5221</v>
      </c>
      <c r="L1448" s="2" t="s">
        <v>5221</v>
      </c>
      <c r="M1448" s="2" t="s">
        <v>5221</v>
      </c>
      <c r="N1448" s="2" t="s">
        <v>2317</v>
      </c>
      <c r="O1448" s="14">
        <v>4500</v>
      </c>
      <c r="P1448" s="14">
        <v>97.07</v>
      </c>
      <c r="Q1448" s="14">
        <v>131.85</v>
      </c>
      <c r="R1448" s="14">
        <v>92.3</v>
      </c>
      <c r="S1448" s="2" t="s">
        <v>6641</v>
      </c>
      <c r="T1448" s="2">
        <v>1.01</v>
      </c>
      <c r="U1448" s="2">
        <v>63.4</v>
      </c>
      <c r="V1448" s="2">
        <v>60</v>
      </c>
      <c r="W1448" s="2" t="s">
        <v>7862</v>
      </c>
      <c r="X1448" s="2" t="s">
        <v>5405</v>
      </c>
      <c r="Y1448" s="2">
        <v>3150</v>
      </c>
      <c r="Z1448" s="19" t="str">
        <f>HYPERLINK("https://ssdweb.co/ssdweb/hd/Vision360.html?d=925791292&amp;zoomslide=1&amp;z=1925791292&amp;ISCONFIRM=0","VIDEO")</f>
        <v>VIDEO</v>
      </c>
      <c r="AA1448" s="19" t="str">
        <f>HYPERLINK("https://ssdweb.co/ssdweb/CERTH/626466136.pdf","CERTI")</f>
        <v>CERTI</v>
      </c>
    </row>
    <row r="1449" spans="1:27" ht="15" x14ac:dyDescent="0.25">
      <c r="A1449" s="2">
        <v>1444</v>
      </c>
      <c r="B1449" s="39">
        <v>925791212</v>
      </c>
      <c r="C1449" s="28" t="str">
        <f>HYPERLINK("https://pld.live/RapDetail.aspx?STONELIST=925791212","DNA")</f>
        <v>DNA</v>
      </c>
      <c r="D1449" s="18" t="s">
        <v>5847</v>
      </c>
      <c r="E1449" s="18" t="s">
        <v>5128</v>
      </c>
      <c r="F1449" s="2" t="s">
        <v>7987</v>
      </c>
      <c r="G1449" s="2" t="s">
        <v>861</v>
      </c>
      <c r="H1449" s="14">
        <v>0.7</v>
      </c>
      <c r="I1449" s="2" t="s">
        <v>267</v>
      </c>
      <c r="J1449" s="2" t="s">
        <v>3942</v>
      </c>
      <c r="K1449" s="2" t="s">
        <v>5221</v>
      </c>
      <c r="L1449" s="2" t="s">
        <v>5221</v>
      </c>
      <c r="M1449" s="2" t="s">
        <v>5221</v>
      </c>
      <c r="N1449" s="2" t="s">
        <v>2317</v>
      </c>
      <c r="O1449" s="14">
        <v>4500</v>
      </c>
      <c r="P1449" s="14">
        <v>97.07</v>
      </c>
      <c r="Q1449" s="14">
        <v>131.85</v>
      </c>
      <c r="R1449" s="14">
        <v>92.3</v>
      </c>
      <c r="S1449" s="2" t="s">
        <v>1546</v>
      </c>
      <c r="T1449" s="2">
        <v>1.01</v>
      </c>
      <c r="U1449" s="2">
        <v>60.2</v>
      </c>
      <c r="V1449" s="2">
        <v>61</v>
      </c>
      <c r="W1449" s="2" t="s">
        <v>7862</v>
      </c>
      <c r="X1449" s="2" t="s">
        <v>5405</v>
      </c>
      <c r="Y1449" s="2">
        <v>3150</v>
      </c>
      <c r="Z1449" s="19" t="str">
        <f>HYPERLINK("https://ssdweb.co/ssdweb/hd/Vision360.html?d=925791212&amp;zoomslide=1&amp;z=1925791212&amp;ISCONFIRM=0","VIDEO")</f>
        <v>VIDEO</v>
      </c>
      <c r="AA1449" s="19" t="str">
        <f>HYPERLINK("https://ssdweb.co/ssdweb/CERTH/626466132.pdf","CERTI")</f>
        <v>CERTI</v>
      </c>
    </row>
    <row r="1450" spans="1:27" ht="15" x14ac:dyDescent="0.25">
      <c r="A1450" s="2">
        <v>1445</v>
      </c>
      <c r="B1450" s="39">
        <v>925790976</v>
      </c>
      <c r="C1450" s="28" t="str">
        <f>HYPERLINK("https://pld.live/RapDetail.aspx?STONELIST=925790976","DNA")</f>
        <v>DNA</v>
      </c>
      <c r="D1450" s="18" t="s">
        <v>5847</v>
      </c>
      <c r="E1450" s="18" t="s">
        <v>5128</v>
      </c>
      <c r="F1450" s="2" t="s">
        <v>7987</v>
      </c>
      <c r="G1450" s="2" t="s">
        <v>861</v>
      </c>
      <c r="H1450" s="14">
        <v>0.7</v>
      </c>
      <c r="I1450" s="2" t="s">
        <v>267</v>
      </c>
      <c r="J1450" s="2" t="s">
        <v>3942</v>
      </c>
      <c r="K1450" s="2" t="s">
        <v>5221</v>
      </c>
      <c r="L1450" s="2" t="s">
        <v>5221</v>
      </c>
      <c r="M1450" s="2" t="s">
        <v>5221</v>
      </c>
      <c r="N1450" s="2" t="s">
        <v>2317</v>
      </c>
      <c r="O1450" s="14">
        <v>4500</v>
      </c>
      <c r="P1450" s="14">
        <v>97.07</v>
      </c>
      <c r="Q1450" s="14">
        <v>131.85</v>
      </c>
      <c r="R1450" s="14">
        <v>92.3</v>
      </c>
      <c r="S1450" s="2" t="s">
        <v>1890</v>
      </c>
      <c r="T1450" s="2">
        <v>1.01</v>
      </c>
      <c r="U1450" s="2">
        <v>63.4</v>
      </c>
      <c r="V1450" s="2">
        <v>55</v>
      </c>
      <c r="W1450" s="2" t="s">
        <v>7862</v>
      </c>
      <c r="X1450" s="2" t="s">
        <v>5405</v>
      </c>
      <c r="Y1450" s="2">
        <v>3150</v>
      </c>
      <c r="Z1450" s="19" t="str">
        <f>HYPERLINK("https://ssdweb.co/ssdweb/hd/Vision360.html?d=925790976&amp;zoomslide=1&amp;z=1925790976&amp;ISCONFIRM=0","VIDEO")</f>
        <v>VIDEO</v>
      </c>
      <c r="AA1450" s="19" t="str">
        <f>HYPERLINK("https://ssdweb.co/ssdweb/CERTH/626466116.pdf","CERTI")</f>
        <v>CERTI</v>
      </c>
    </row>
    <row r="1451" spans="1:27" ht="15" x14ac:dyDescent="0.25">
      <c r="A1451" s="2">
        <v>1446</v>
      </c>
      <c r="B1451" s="39">
        <v>821125859</v>
      </c>
      <c r="C1451" s="28" t="str">
        <f>HYPERLINK("https://pld.live/RapDetail.aspx?STONELIST=821125859","DNA")</f>
        <v>DNA</v>
      </c>
      <c r="D1451" s="18" t="s">
        <v>5847</v>
      </c>
      <c r="E1451" s="18" t="s">
        <v>5128</v>
      </c>
      <c r="F1451" s="2" t="s">
        <v>7987</v>
      </c>
      <c r="G1451" s="2" t="s">
        <v>861</v>
      </c>
      <c r="H1451" s="14">
        <v>0.7</v>
      </c>
      <c r="I1451" s="2" t="s">
        <v>267</v>
      </c>
      <c r="J1451" s="2" t="s">
        <v>3942</v>
      </c>
      <c r="K1451" s="2" t="s">
        <v>5221</v>
      </c>
      <c r="L1451" s="2" t="s">
        <v>5221</v>
      </c>
      <c r="M1451" s="2" t="s">
        <v>5221</v>
      </c>
      <c r="N1451" s="2" t="s">
        <v>2317</v>
      </c>
      <c r="O1451" s="14">
        <v>4500</v>
      </c>
      <c r="P1451" s="14">
        <v>97.11</v>
      </c>
      <c r="Q1451" s="14">
        <v>130.05000000000001</v>
      </c>
      <c r="R1451" s="14">
        <v>91.04</v>
      </c>
      <c r="S1451" s="2" t="s">
        <v>1117</v>
      </c>
      <c r="T1451" s="2">
        <v>1.01</v>
      </c>
      <c r="U1451" s="2">
        <v>60.5</v>
      </c>
      <c r="V1451" s="2">
        <v>55</v>
      </c>
      <c r="W1451" s="2" t="s">
        <v>7862</v>
      </c>
      <c r="X1451" s="2" t="s">
        <v>5405</v>
      </c>
      <c r="Y1451" s="2">
        <v>3150</v>
      </c>
      <c r="Z1451" s="19" t="str">
        <f>HYPERLINK("https://ssdweb.co/ssdweb/hd/Vision360.html?d=821125859&amp;zoomslide=1&amp;z=1821125859&amp;ISCONFIRM=0","VIDEO")</f>
        <v>VIDEO</v>
      </c>
      <c r="AA1451" s="19" t="str">
        <f>HYPERLINK("https://ssdweb.co/ssdweb/CERTH/617472420.pdf","CERTI")</f>
        <v>CERTI</v>
      </c>
    </row>
    <row r="1452" spans="1:27" ht="15" x14ac:dyDescent="0.25">
      <c r="A1452" s="2">
        <v>1447</v>
      </c>
      <c r="B1452" s="39">
        <v>926731250</v>
      </c>
      <c r="C1452" s="28" t="str">
        <f>HYPERLINK("https://pld.live/RapDetail.aspx?STONELIST=926731250","DNA")</f>
        <v>DNA</v>
      </c>
      <c r="D1452" s="18" t="s">
        <v>5847</v>
      </c>
      <c r="E1452" s="18" t="s">
        <v>5128</v>
      </c>
      <c r="F1452" s="2" t="s">
        <v>7987</v>
      </c>
      <c r="G1452" s="2" t="s">
        <v>861</v>
      </c>
      <c r="H1452" s="14">
        <v>0.7</v>
      </c>
      <c r="I1452" s="2" t="s">
        <v>267</v>
      </c>
      <c r="J1452" s="2" t="s">
        <v>3942</v>
      </c>
      <c r="K1452" s="2" t="s">
        <v>5221</v>
      </c>
      <c r="L1452" s="2" t="s">
        <v>5221</v>
      </c>
      <c r="M1452" s="2" t="s">
        <v>5221</v>
      </c>
      <c r="N1452" s="2" t="s">
        <v>2317</v>
      </c>
      <c r="O1452" s="14">
        <v>4500</v>
      </c>
      <c r="P1452" s="14">
        <v>96.98</v>
      </c>
      <c r="Q1452" s="14">
        <v>135.9</v>
      </c>
      <c r="R1452" s="14">
        <v>95.13</v>
      </c>
      <c r="S1452" s="2" t="s">
        <v>4830</v>
      </c>
      <c r="T1452" s="2">
        <v>1.01</v>
      </c>
      <c r="U1452" s="2">
        <v>62.4</v>
      </c>
      <c r="V1452" s="2">
        <v>59</v>
      </c>
      <c r="W1452" s="2" t="s">
        <v>7862</v>
      </c>
      <c r="X1452" s="2" t="s">
        <v>5405</v>
      </c>
      <c r="Y1452" s="2">
        <v>3150</v>
      </c>
      <c r="Z1452" s="19" t="str">
        <f>HYPERLINK("https://ssdweb.co/ssdweb/hd/Vision360.html?d=926731250&amp;zoomslide=1&amp;z=1926731250&amp;ISCONFIRM=0","VIDEO")</f>
        <v>VIDEO</v>
      </c>
      <c r="AA1452" s="19" t="str">
        <f>HYPERLINK("https://ssdweb.co/ssdweb/CERTH/656485694.pdf","CERTI")</f>
        <v>CERTI</v>
      </c>
    </row>
    <row r="1453" spans="1:27" ht="15" x14ac:dyDescent="0.25">
      <c r="A1453" s="2">
        <v>1448</v>
      </c>
      <c r="B1453" s="39">
        <v>926250577</v>
      </c>
      <c r="C1453" s="28" t="str">
        <f>HYPERLINK("https://pld.live/RapDetail.aspx?STONELIST=926250577","DNA")</f>
        <v>DNA</v>
      </c>
      <c r="D1453" s="18" t="s">
        <v>5847</v>
      </c>
      <c r="E1453" s="18" t="s">
        <v>5128</v>
      </c>
      <c r="F1453" s="2" t="s">
        <v>7987</v>
      </c>
      <c r="G1453" s="2" t="s">
        <v>861</v>
      </c>
      <c r="H1453" s="14">
        <v>0.7</v>
      </c>
      <c r="I1453" s="2" t="s">
        <v>267</v>
      </c>
      <c r="J1453" s="2" t="s">
        <v>3942</v>
      </c>
      <c r="K1453" s="2" t="s">
        <v>5221</v>
      </c>
      <c r="L1453" s="2" t="s">
        <v>5221</v>
      </c>
      <c r="M1453" s="2" t="s">
        <v>5221</v>
      </c>
      <c r="N1453" s="2" t="s">
        <v>2317</v>
      </c>
      <c r="O1453" s="14">
        <v>4500</v>
      </c>
      <c r="P1453" s="14">
        <v>97.02</v>
      </c>
      <c r="Q1453" s="14">
        <v>134.1</v>
      </c>
      <c r="R1453" s="14">
        <v>93.87</v>
      </c>
      <c r="S1453" s="2" t="s">
        <v>3941</v>
      </c>
      <c r="T1453" s="2">
        <v>1.01</v>
      </c>
      <c r="U1453" s="2">
        <v>63.2</v>
      </c>
      <c r="V1453" s="2">
        <v>56</v>
      </c>
      <c r="W1453" s="2" t="s">
        <v>7862</v>
      </c>
      <c r="X1453" s="2" t="s">
        <v>5405</v>
      </c>
      <c r="Y1453" s="2">
        <v>3150</v>
      </c>
      <c r="Z1453" s="19" t="str">
        <f>HYPERLINK("https://ssdweb.co/ssdweb/hd/Vision360.html?d=926250577&amp;zoomslide=1&amp;z=1926250577&amp;ISCONFIRM=0","VIDEO")</f>
        <v>VIDEO</v>
      </c>
      <c r="AA1453" s="19" t="str">
        <f>HYPERLINK("https://ssdweb.co/ssdweb/CERTH/640485574.pdf","CERTI")</f>
        <v>CERTI</v>
      </c>
    </row>
    <row r="1454" spans="1:27" ht="15" x14ac:dyDescent="0.25">
      <c r="A1454" s="2">
        <v>1449</v>
      </c>
      <c r="B1454" s="39">
        <v>926250551</v>
      </c>
      <c r="C1454" s="28" t="str">
        <f>HYPERLINK("https://pld.live/RapDetail.aspx?STONELIST=926250551","DNA")</f>
        <v>DNA</v>
      </c>
      <c r="D1454" s="18" t="s">
        <v>5847</v>
      </c>
      <c r="E1454" s="18" t="s">
        <v>5128</v>
      </c>
      <c r="F1454" s="2" t="s">
        <v>7987</v>
      </c>
      <c r="G1454" s="2" t="s">
        <v>861</v>
      </c>
      <c r="H1454" s="14">
        <v>0.7</v>
      </c>
      <c r="I1454" s="2" t="s">
        <v>267</v>
      </c>
      <c r="J1454" s="2" t="s">
        <v>3942</v>
      </c>
      <c r="K1454" s="2" t="s">
        <v>5221</v>
      </c>
      <c r="L1454" s="2" t="s">
        <v>5221</v>
      </c>
      <c r="M1454" s="2" t="s">
        <v>5221</v>
      </c>
      <c r="N1454" s="2" t="s">
        <v>2317</v>
      </c>
      <c r="O1454" s="14">
        <v>4500</v>
      </c>
      <c r="P1454" s="14">
        <v>97.02</v>
      </c>
      <c r="Q1454" s="14">
        <v>134.1</v>
      </c>
      <c r="R1454" s="14">
        <v>93.87</v>
      </c>
      <c r="S1454" s="2" t="s">
        <v>6805</v>
      </c>
      <c r="T1454" s="2">
        <v>1.01</v>
      </c>
      <c r="U1454" s="2">
        <v>63</v>
      </c>
      <c r="V1454" s="2">
        <v>56</v>
      </c>
      <c r="W1454" s="2" t="s">
        <v>7862</v>
      </c>
      <c r="X1454" s="2" t="s">
        <v>5405</v>
      </c>
      <c r="Y1454" s="2">
        <v>3150</v>
      </c>
      <c r="Z1454" s="19" t="str">
        <f>HYPERLINK("https://ssdweb.co/ssdweb/hd/Vision360.html?d=926250551&amp;zoomslide=1&amp;z=1926250551&amp;ISCONFIRM=0","VIDEO")</f>
        <v>VIDEO</v>
      </c>
      <c r="AA1454" s="19" t="str">
        <f>HYPERLINK("https://ssdweb.co/ssdweb/CERTH/640485559.pdf","CERTI")</f>
        <v>CERTI</v>
      </c>
    </row>
    <row r="1455" spans="1:27" ht="15" x14ac:dyDescent="0.25">
      <c r="A1455" s="2">
        <v>1450</v>
      </c>
      <c r="B1455" s="39">
        <v>926211072</v>
      </c>
      <c r="C1455" s="28" t="str">
        <f>HYPERLINK("https://pld.live/RapDetail.aspx?STONELIST=926211072","DNA")</f>
        <v>DNA</v>
      </c>
      <c r="D1455" s="18" t="s">
        <v>5847</v>
      </c>
      <c r="E1455" s="18" t="s">
        <v>5128</v>
      </c>
      <c r="F1455" s="2" t="s">
        <v>7987</v>
      </c>
      <c r="G1455" s="2" t="s">
        <v>861</v>
      </c>
      <c r="H1455" s="14">
        <v>0.7</v>
      </c>
      <c r="I1455" s="2" t="s">
        <v>267</v>
      </c>
      <c r="J1455" s="2" t="s">
        <v>3942</v>
      </c>
      <c r="K1455" s="2" t="s">
        <v>5221</v>
      </c>
      <c r="L1455" s="2" t="s">
        <v>5221</v>
      </c>
      <c r="M1455" s="2" t="s">
        <v>5221</v>
      </c>
      <c r="N1455" s="2" t="s">
        <v>2317</v>
      </c>
      <c r="O1455" s="14">
        <v>4500</v>
      </c>
      <c r="P1455" s="14">
        <v>97.02</v>
      </c>
      <c r="Q1455" s="14">
        <v>134.1</v>
      </c>
      <c r="R1455" s="14">
        <v>93.87</v>
      </c>
      <c r="S1455" s="2" t="s">
        <v>6750</v>
      </c>
      <c r="T1455" s="2">
        <v>1.01</v>
      </c>
      <c r="U1455" s="2">
        <v>62.6</v>
      </c>
      <c r="V1455" s="2">
        <v>56</v>
      </c>
      <c r="W1455" s="2" t="s">
        <v>7862</v>
      </c>
      <c r="X1455" s="2" t="s">
        <v>5405</v>
      </c>
      <c r="Y1455" s="2">
        <v>3150</v>
      </c>
      <c r="Z1455" s="19" t="str">
        <f>HYPERLINK("https://ssdweb.co/ssdweb/hd/Vision360.html?d=926211072&amp;zoomslide=1&amp;z=1926211072&amp;ISCONFIRM=0","VIDEO")</f>
        <v>VIDEO</v>
      </c>
      <c r="AA1455" s="19" t="str">
        <f>HYPERLINK("https://ssdweb.co/ssdweb/CERTH/638463101.pdf","CERTI")</f>
        <v>CERTI</v>
      </c>
    </row>
    <row r="1456" spans="1:27" ht="15" x14ac:dyDescent="0.25">
      <c r="A1456" s="2">
        <v>1451</v>
      </c>
      <c r="B1456" s="39">
        <v>926250648</v>
      </c>
      <c r="C1456" s="28" t="str">
        <f>HYPERLINK("https://pld.live/RapDetail.aspx?STONELIST=926250648","DNA")</f>
        <v>DNA</v>
      </c>
      <c r="D1456" s="18" t="s">
        <v>5847</v>
      </c>
      <c r="E1456" s="18" t="s">
        <v>5128</v>
      </c>
      <c r="F1456" s="2" t="s">
        <v>7987</v>
      </c>
      <c r="G1456" s="2" t="s">
        <v>861</v>
      </c>
      <c r="H1456" s="14">
        <v>0.7</v>
      </c>
      <c r="I1456" s="2" t="s">
        <v>267</v>
      </c>
      <c r="J1456" s="2" t="s">
        <v>3942</v>
      </c>
      <c r="K1456" s="2" t="s">
        <v>5221</v>
      </c>
      <c r="L1456" s="2" t="s">
        <v>5221</v>
      </c>
      <c r="M1456" s="2" t="s">
        <v>5221</v>
      </c>
      <c r="N1456" s="2" t="s">
        <v>2317</v>
      </c>
      <c r="O1456" s="14">
        <v>4500</v>
      </c>
      <c r="P1456" s="14">
        <v>96.98</v>
      </c>
      <c r="Q1456" s="14">
        <v>135.9</v>
      </c>
      <c r="R1456" s="14">
        <v>95.13</v>
      </c>
      <c r="S1456" s="2" t="s">
        <v>5766</v>
      </c>
      <c r="T1456" s="2">
        <v>1.01</v>
      </c>
      <c r="U1456" s="2">
        <v>62.3</v>
      </c>
      <c r="V1456" s="2">
        <v>63</v>
      </c>
      <c r="W1456" s="2" t="s">
        <v>7862</v>
      </c>
      <c r="X1456" s="2" t="s">
        <v>5405</v>
      </c>
      <c r="Y1456" s="2">
        <v>3150</v>
      </c>
      <c r="Z1456" s="19" t="str">
        <f>HYPERLINK("https://ssdweb.co/ssdweb/hd/Vision360.html?d=926250648&amp;zoomslide=1&amp;z=1926250648&amp;ISCONFIRM=0","VIDEO")</f>
        <v>VIDEO</v>
      </c>
      <c r="AA1456" s="19" t="str">
        <f>HYPERLINK("https://ssdweb.co/ssdweb/CERTH/656485684.pdf","CERTI")</f>
        <v>CERTI</v>
      </c>
    </row>
    <row r="1457" spans="1:27" ht="15" x14ac:dyDescent="0.25">
      <c r="A1457" s="2">
        <v>1452</v>
      </c>
      <c r="B1457" s="39">
        <v>926211134</v>
      </c>
      <c r="C1457" s="28" t="str">
        <f>HYPERLINK("https://pld.live/RapDetail.aspx?STONELIST=926211134","DNA")</f>
        <v>DNA</v>
      </c>
      <c r="D1457" s="18" t="s">
        <v>5847</v>
      </c>
      <c r="E1457" s="18" t="s">
        <v>5128</v>
      </c>
      <c r="F1457" s="2" t="s">
        <v>7987</v>
      </c>
      <c r="G1457" s="2" t="s">
        <v>861</v>
      </c>
      <c r="H1457" s="14">
        <v>0.7</v>
      </c>
      <c r="I1457" s="2" t="s">
        <v>267</v>
      </c>
      <c r="J1457" s="2" t="s">
        <v>3942</v>
      </c>
      <c r="K1457" s="2" t="s">
        <v>5221</v>
      </c>
      <c r="L1457" s="2" t="s">
        <v>5221</v>
      </c>
      <c r="M1457" s="2" t="s">
        <v>5221</v>
      </c>
      <c r="N1457" s="2" t="s">
        <v>2317</v>
      </c>
      <c r="O1457" s="14">
        <v>4500</v>
      </c>
      <c r="P1457" s="14">
        <v>97.02</v>
      </c>
      <c r="Q1457" s="14">
        <v>134.1</v>
      </c>
      <c r="R1457" s="14">
        <v>93.87</v>
      </c>
      <c r="S1457" s="2" t="s">
        <v>7602</v>
      </c>
      <c r="T1457" s="2">
        <v>1.01</v>
      </c>
      <c r="U1457" s="2">
        <v>63.7</v>
      </c>
      <c r="V1457" s="2">
        <v>56</v>
      </c>
      <c r="W1457" s="2" t="s">
        <v>7862</v>
      </c>
      <c r="X1457" s="2" t="s">
        <v>5405</v>
      </c>
      <c r="Y1457" s="2">
        <v>3150</v>
      </c>
      <c r="Z1457" s="19" t="str">
        <f>HYPERLINK("https://ssdweb.co/ssdweb/hd/Vision360.html?d=926211134&amp;zoomslide=1&amp;z=1926211134&amp;ISCONFIRM=0","VIDEO")</f>
        <v>VIDEO</v>
      </c>
      <c r="AA1457" s="19" t="str">
        <f>HYPERLINK("https://ssdweb.co/ssdweb/CERTH/638462951.pdf","CERTI")</f>
        <v>CERTI</v>
      </c>
    </row>
    <row r="1458" spans="1:27" ht="15" x14ac:dyDescent="0.25">
      <c r="A1458" s="2">
        <v>1453</v>
      </c>
      <c r="B1458" s="39">
        <v>926250543</v>
      </c>
      <c r="C1458" s="28" t="str">
        <f>HYPERLINK("https://pld.live/RapDetail.aspx?STONELIST=926250543","DNA")</f>
        <v>DNA</v>
      </c>
      <c r="D1458" s="18" t="s">
        <v>5847</v>
      </c>
      <c r="E1458" s="18" t="s">
        <v>5128</v>
      </c>
      <c r="F1458" s="2" t="s">
        <v>7987</v>
      </c>
      <c r="G1458" s="2" t="s">
        <v>861</v>
      </c>
      <c r="H1458" s="14">
        <v>0.7</v>
      </c>
      <c r="I1458" s="2" t="s">
        <v>267</v>
      </c>
      <c r="J1458" s="2" t="s">
        <v>3942</v>
      </c>
      <c r="K1458" s="2" t="s">
        <v>5221</v>
      </c>
      <c r="L1458" s="2" t="s">
        <v>5221</v>
      </c>
      <c r="M1458" s="2" t="s">
        <v>5221</v>
      </c>
      <c r="N1458" s="2" t="s">
        <v>2317</v>
      </c>
      <c r="O1458" s="14">
        <v>4500</v>
      </c>
      <c r="P1458" s="14">
        <v>97.02</v>
      </c>
      <c r="Q1458" s="14">
        <v>134.1</v>
      </c>
      <c r="R1458" s="14">
        <v>93.87</v>
      </c>
      <c r="S1458" s="2" t="s">
        <v>354</v>
      </c>
      <c r="T1458" s="2">
        <v>1.01</v>
      </c>
      <c r="U1458" s="2">
        <v>63.5</v>
      </c>
      <c r="V1458" s="2">
        <v>56</v>
      </c>
      <c r="W1458" s="2" t="s">
        <v>7862</v>
      </c>
      <c r="X1458" s="2" t="s">
        <v>5405</v>
      </c>
      <c r="Y1458" s="2">
        <v>3150</v>
      </c>
      <c r="Z1458" s="19" t="str">
        <f>HYPERLINK("https://ssdweb.co/ssdweb/hd/Vision360.html?d=926250543&amp;zoomslide=1&amp;z=1926250543&amp;ISCONFIRM=0","VIDEO")</f>
        <v>VIDEO</v>
      </c>
      <c r="AA1458" s="19" t="str">
        <f>HYPERLINK("https://ssdweb.co/ssdweb/CERTH/640485556.pdf","CERTI")</f>
        <v>CERTI</v>
      </c>
    </row>
    <row r="1459" spans="1:27" ht="15" x14ac:dyDescent="0.25">
      <c r="A1459" s="2">
        <v>1454</v>
      </c>
      <c r="B1459" s="39">
        <v>926221234</v>
      </c>
      <c r="C1459" s="28" t="str">
        <f>HYPERLINK("https://pld.live/RapDetail.aspx?STONELIST=926221234","DNA")</f>
        <v>DNA</v>
      </c>
      <c r="D1459" s="18" t="s">
        <v>5847</v>
      </c>
      <c r="E1459" s="18" t="s">
        <v>5128</v>
      </c>
      <c r="F1459" s="2" t="s">
        <v>7987</v>
      </c>
      <c r="G1459" s="2" t="s">
        <v>861</v>
      </c>
      <c r="H1459" s="14">
        <v>0.7</v>
      </c>
      <c r="I1459" s="2" t="s">
        <v>267</v>
      </c>
      <c r="J1459" s="2" t="s">
        <v>3942</v>
      </c>
      <c r="K1459" s="2" t="s">
        <v>5221</v>
      </c>
      <c r="L1459" s="2" t="s">
        <v>5221</v>
      </c>
      <c r="M1459" s="2" t="s">
        <v>5221</v>
      </c>
      <c r="N1459" s="2" t="s">
        <v>2317</v>
      </c>
      <c r="O1459" s="14">
        <v>4500</v>
      </c>
      <c r="P1459" s="14">
        <v>97.02</v>
      </c>
      <c r="Q1459" s="14">
        <v>134.1</v>
      </c>
      <c r="R1459" s="14">
        <v>93.87</v>
      </c>
      <c r="S1459" s="2" t="s">
        <v>3994</v>
      </c>
      <c r="T1459" s="2">
        <v>1</v>
      </c>
      <c r="U1459" s="2">
        <v>63.4</v>
      </c>
      <c r="V1459" s="2">
        <v>56</v>
      </c>
      <c r="W1459" s="2" t="s">
        <v>7862</v>
      </c>
      <c r="X1459" s="2" t="s">
        <v>5405</v>
      </c>
      <c r="Y1459" s="2">
        <v>3150</v>
      </c>
      <c r="Z1459" s="19" t="str">
        <f>HYPERLINK("https://ssdweb.co/ssdweb/hd/Vision360.html?d=926221234&amp;zoomslide=1&amp;z=1926221234&amp;ISCONFIRM=0","VIDEO")</f>
        <v>VIDEO</v>
      </c>
      <c r="AA1459" s="19" t="str">
        <f>HYPERLINK("https://ssdweb.co/ssdweb/CERTH/640473879.pdf","CERTI")</f>
        <v>CERTI</v>
      </c>
    </row>
    <row r="1460" spans="1:27" ht="15" x14ac:dyDescent="0.25">
      <c r="A1460" s="2">
        <v>1455</v>
      </c>
      <c r="B1460" s="39">
        <v>926250595</v>
      </c>
      <c r="C1460" s="28" t="str">
        <f>HYPERLINK("https://pld.live/RapDetail.aspx?STONELIST=926250595","DNA")</f>
        <v>DNA</v>
      </c>
      <c r="D1460" s="18" t="s">
        <v>5847</v>
      </c>
      <c r="E1460" s="18" t="s">
        <v>5128</v>
      </c>
      <c r="F1460" s="2" t="s">
        <v>7987</v>
      </c>
      <c r="G1460" s="2" t="s">
        <v>861</v>
      </c>
      <c r="H1460" s="14">
        <v>0.7</v>
      </c>
      <c r="I1460" s="2" t="s">
        <v>267</v>
      </c>
      <c r="J1460" s="2" t="s">
        <v>3942</v>
      </c>
      <c r="K1460" s="2" t="s">
        <v>5221</v>
      </c>
      <c r="L1460" s="2" t="s">
        <v>5221</v>
      </c>
      <c r="M1460" s="2" t="s">
        <v>5221</v>
      </c>
      <c r="N1460" s="2" t="s">
        <v>2317</v>
      </c>
      <c r="O1460" s="14">
        <v>4500</v>
      </c>
      <c r="P1460" s="14">
        <v>97.02</v>
      </c>
      <c r="Q1460" s="14">
        <v>134.1</v>
      </c>
      <c r="R1460" s="14">
        <v>93.87</v>
      </c>
      <c r="S1460" s="2" t="s">
        <v>5607</v>
      </c>
      <c r="T1460" s="2">
        <v>1</v>
      </c>
      <c r="U1460" s="2">
        <v>62.8</v>
      </c>
      <c r="V1460" s="2">
        <v>56</v>
      </c>
      <c r="W1460" s="2" t="s">
        <v>7862</v>
      </c>
      <c r="X1460" s="2" t="s">
        <v>5405</v>
      </c>
      <c r="Y1460" s="2">
        <v>3150</v>
      </c>
      <c r="Z1460" s="19" t="str">
        <f>HYPERLINK("https://ssdweb.co/ssdweb/hd/Vision360.html?d=926250595&amp;zoomslide=1&amp;z=1926250595&amp;ISCONFIRM=0","VIDEO")</f>
        <v>VIDEO</v>
      </c>
      <c r="AA1460" s="19" t="str">
        <f>HYPERLINK("https://ssdweb.co/ssdweb/CERTH/640485524.pdf","CERTI")</f>
        <v>CERTI</v>
      </c>
    </row>
    <row r="1461" spans="1:27" ht="15" x14ac:dyDescent="0.25">
      <c r="A1461" s="2">
        <v>1456</v>
      </c>
      <c r="B1461" s="39">
        <v>926331738</v>
      </c>
      <c r="C1461" s="28" t="str">
        <f>HYPERLINK("https://pld.live/RapDetail.aspx?STONELIST=926331738","DNA")</f>
        <v>DNA</v>
      </c>
      <c r="D1461" s="18" t="s">
        <v>5847</v>
      </c>
      <c r="E1461" s="18" t="s">
        <v>5128</v>
      </c>
      <c r="F1461" s="2" t="s">
        <v>7987</v>
      </c>
      <c r="G1461" s="2" t="s">
        <v>861</v>
      </c>
      <c r="H1461" s="14">
        <v>0.7</v>
      </c>
      <c r="I1461" s="2" t="s">
        <v>267</v>
      </c>
      <c r="J1461" s="2" t="s">
        <v>3942</v>
      </c>
      <c r="K1461" s="2" t="s">
        <v>5221</v>
      </c>
      <c r="L1461" s="2" t="s">
        <v>5221</v>
      </c>
      <c r="M1461" s="2" t="s">
        <v>5221</v>
      </c>
      <c r="N1461" s="2" t="s">
        <v>2317</v>
      </c>
      <c r="O1461" s="14">
        <v>4500</v>
      </c>
      <c r="P1461" s="14">
        <v>96.98</v>
      </c>
      <c r="Q1461" s="14">
        <v>135.9</v>
      </c>
      <c r="R1461" s="14">
        <v>95.13</v>
      </c>
      <c r="S1461" s="2" t="s">
        <v>4618</v>
      </c>
      <c r="T1461" s="2">
        <v>1.01</v>
      </c>
      <c r="U1461" s="2">
        <v>60.2</v>
      </c>
      <c r="V1461" s="2">
        <v>60</v>
      </c>
      <c r="W1461" s="2" t="s">
        <v>7862</v>
      </c>
      <c r="X1461" s="2" t="s">
        <v>5405</v>
      </c>
      <c r="Y1461" s="2">
        <v>3150</v>
      </c>
      <c r="Z1461" s="19" t="str">
        <f>HYPERLINK("https://ssdweb.co/ssdweb/hd/Vision360.html?d=926331738&amp;zoomslide=1&amp;z=1926331738&amp;ISCONFIRM=0","VIDEO")</f>
        <v>VIDEO</v>
      </c>
      <c r="AA1461" s="19" t="str">
        <f>HYPERLINK("https://ssdweb.co/ssdweb/CERTH/660490566.pdf","CERTI")</f>
        <v>CERTI</v>
      </c>
    </row>
    <row r="1462" spans="1:27" ht="15" x14ac:dyDescent="0.25">
      <c r="A1462" s="2">
        <v>1457</v>
      </c>
      <c r="B1462" s="39">
        <v>925720738</v>
      </c>
      <c r="C1462" s="28" t="str">
        <f>HYPERLINK("https://pld.live/RapDetail.aspx?STONELIST=925720738","DNA")</f>
        <v>DNA</v>
      </c>
      <c r="D1462" s="18" t="s">
        <v>5847</v>
      </c>
      <c r="E1462" s="18" t="s">
        <v>5128</v>
      </c>
      <c r="F1462" s="2" t="s">
        <v>7987</v>
      </c>
      <c r="G1462" s="2" t="s">
        <v>861</v>
      </c>
      <c r="H1462" s="14">
        <v>0.7</v>
      </c>
      <c r="I1462" s="2" t="s">
        <v>267</v>
      </c>
      <c r="J1462" s="2" t="s">
        <v>3942</v>
      </c>
      <c r="K1462" s="2" t="s">
        <v>5221</v>
      </c>
      <c r="L1462" s="2" t="s">
        <v>5221</v>
      </c>
      <c r="M1462" s="2" t="s">
        <v>5221</v>
      </c>
      <c r="N1462" s="2" t="s">
        <v>2317</v>
      </c>
      <c r="O1462" s="14">
        <v>4500</v>
      </c>
      <c r="P1462" s="14">
        <v>97.11</v>
      </c>
      <c r="Q1462" s="14">
        <v>130.05000000000001</v>
      </c>
      <c r="R1462" s="14">
        <v>91.04</v>
      </c>
      <c r="S1462" s="2" t="s">
        <v>415</v>
      </c>
      <c r="T1462" s="2">
        <v>1.01</v>
      </c>
      <c r="U1462" s="2">
        <v>59.6</v>
      </c>
      <c r="V1462" s="2">
        <v>62</v>
      </c>
      <c r="W1462" s="2" t="s">
        <v>7862</v>
      </c>
      <c r="X1462" s="2" t="s">
        <v>5405</v>
      </c>
      <c r="Y1462" s="2">
        <v>3150</v>
      </c>
      <c r="Z1462" s="19" t="str">
        <f>HYPERLINK("https://ssdweb.co/ssdweb/hd/Vision360.html?d=925720738&amp;zoomslide=1&amp;z=1925720738&amp;ISCONFIRM=0","VIDEO")</f>
        <v>VIDEO</v>
      </c>
      <c r="AA1462" s="19" t="str">
        <f>HYPERLINK("https://ssdweb.co/ssdweb/CERTH/622461123.pdf","CERTI")</f>
        <v>CERTI</v>
      </c>
    </row>
    <row r="1463" spans="1:27" ht="15" x14ac:dyDescent="0.25">
      <c r="A1463" s="2">
        <v>1458</v>
      </c>
      <c r="B1463" s="39">
        <v>926221253</v>
      </c>
      <c r="C1463" s="28" t="str">
        <f>HYPERLINK("https://pld.live/RapDetail.aspx?STONELIST=926221253","DNA")</f>
        <v>DNA</v>
      </c>
      <c r="D1463" s="18" t="s">
        <v>5847</v>
      </c>
      <c r="E1463" s="18" t="s">
        <v>5128</v>
      </c>
      <c r="F1463" s="2" t="s">
        <v>7987</v>
      </c>
      <c r="G1463" s="2" t="s">
        <v>861</v>
      </c>
      <c r="H1463" s="14">
        <v>0.7</v>
      </c>
      <c r="I1463" s="2" t="s">
        <v>267</v>
      </c>
      <c r="J1463" s="2" t="s">
        <v>3942</v>
      </c>
      <c r="K1463" s="2" t="s">
        <v>5221</v>
      </c>
      <c r="L1463" s="2" t="s">
        <v>5221</v>
      </c>
      <c r="M1463" s="2" t="s">
        <v>5721</v>
      </c>
      <c r="N1463" s="2" t="s">
        <v>2317</v>
      </c>
      <c r="O1463" s="14">
        <v>4500</v>
      </c>
      <c r="P1463" s="14">
        <v>97.07</v>
      </c>
      <c r="Q1463" s="14">
        <v>131.85</v>
      </c>
      <c r="R1463" s="14">
        <v>92.3</v>
      </c>
      <c r="S1463" s="2" t="s">
        <v>3564</v>
      </c>
      <c r="T1463" s="2">
        <v>1</v>
      </c>
      <c r="U1463" s="2">
        <v>60.9</v>
      </c>
      <c r="V1463" s="2">
        <v>61</v>
      </c>
      <c r="W1463" s="2" t="s">
        <v>7862</v>
      </c>
      <c r="X1463" s="2" t="s">
        <v>5405</v>
      </c>
      <c r="Y1463" s="2">
        <v>3150</v>
      </c>
      <c r="Z1463" s="19" t="str">
        <f>HYPERLINK("https://ssdweb.co/ssdweb/hd/Vision360.html?d=926221253&amp;zoomslide=1&amp;z=1926221253&amp;ISCONFIRM=0","VIDEO")</f>
        <v>VIDEO</v>
      </c>
      <c r="AA1463" s="19" t="str">
        <f>HYPERLINK("https://ssdweb.co/ssdweb/CERTH/640474000.pdf","CERTI")</f>
        <v>CERTI</v>
      </c>
    </row>
    <row r="1464" spans="1:27" ht="15" x14ac:dyDescent="0.25">
      <c r="A1464" s="2">
        <v>1459</v>
      </c>
      <c r="B1464" s="39">
        <v>926211196</v>
      </c>
      <c r="C1464" s="28" t="str">
        <f>HYPERLINK("https://pld.live/RapDetail.aspx?STONELIST=926211196","DNA")</f>
        <v>DNA</v>
      </c>
      <c r="D1464" s="18" t="s">
        <v>5847</v>
      </c>
      <c r="E1464" s="18" t="s">
        <v>5128</v>
      </c>
      <c r="F1464" s="2" t="s">
        <v>7987</v>
      </c>
      <c r="G1464" s="2" t="s">
        <v>861</v>
      </c>
      <c r="H1464" s="14">
        <v>0.7</v>
      </c>
      <c r="I1464" s="2" t="s">
        <v>267</v>
      </c>
      <c r="J1464" s="2" t="s">
        <v>3942</v>
      </c>
      <c r="K1464" s="2" t="s">
        <v>5221</v>
      </c>
      <c r="L1464" s="2" t="s">
        <v>5221</v>
      </c>
      <c r="M1464" s="2" t="s">
        <v>5721</v>
      </c>
      <c r="N1464" s="2" t="s">
        <v>2317</v>
      </c>
      <c r="O1464" s="14">
        <v>4500</v>
      </c>
      <c r="P1464" s="14">
        <v>97.07</v>
      </c>
      <c r="Q1464" s="14">
        <v>131.85</v>
      </c>
      <c r="R1464" s="14">
        <v>92.3</v>
      </c>
      <c r="S1464" s="2" t="s">
        <v>3714</v>
      </c>
      <c r="T1464" s="2">
        <v>1.01</v>
      </c>
      <c r="U1464" s="2">
        <v>62.9</v>
      </c>
      <c r="V1464" s="2">
        <v>59</v>
      </c>
      <c r="W1464" s="2" t="s">
        <v>7862</v>
      </c>
      <c r="X1464" s="2" t="s">
        <v>5405</v>
      </c>
      <c r="Y1464" s="2">
        <v>3150</v>
      </c>
      <c r="Z1464" s="19" t="str">
        <f>HYPERLINK("https://ssdweb.co/ssdweb/hd/Vision360.html?d=926211196&amp;zoomslide=1&amp;z=1926211196&amp;ISCONFIRM=0","VIDEO")</f>
        <v>VIDEO</v>
      </c>
      <c r="AA1464" s="19" t="str">
        <f>HYPERLINK("https://ssdweb.co/ssdweb/CERTH/639406001.pdf","CERTI")</f>
        <v>CERTI</v>
      </c>
    </row>
    <row r="1465" spans="1:27" ht="15" x14ac:dyDescent="0.25">
      <c r="A1465" s="2">
        <v>1460</v>
      </c>
      <c r="B1465" s="39">
        <v>926211306</v>
      </c>
      <c r="C1465" s="28" t="str">
        <f>HYPERLINK("https://pld.live/RapDetail.aspx?STONELIST=926211306","DNA")</f>
        <v>DNA</v>
      </c>
      <c r="D1465" s="18" t="s">
        <v>5847</v>
      </c>
      <c r="E1465" s="18" t="s">
        <v>5128</v>
      </c>
      <c r="F1465" s="2" t="s">
        <v>7987</v>
      </c>
      <c r="G1465" s="2" t="s">
        <v>861</v>
      </c>
      <c r="H1465" s="14">
        <v>0.7</v>
      </c>
      <c r="I1465" s="2" t="s">
        <v>267</v>
      </c>
      <c r="J1465" s="2" t="s">
        <v>3942</v>
      </c>
      <c r="K1465" s="2" t="s">
        <v>5221</v>
      </c>
      <c r="L1465" s="2" t="s">
        <v>5221</v>
      </c>
      <c r="M1465" s="2" t="s">
        <v>5721</v>
      </c>
      <c r="N1465" s="2" t="s">
        <v>2317</v>
      </c>
      <c r="O1465" s="14">
        <v>4500</v>
      </c>
      <c r="P1465" s="14">
        <v>97.07</v>
      </c>
      <c r="Q1465" s="14">
        <v>131.85</v>
      </c>
      <c r="R1465" s="14">
        <v>92.3</v>
      </c>
      <c r="S1465" s="2" t="s">
        <v>5607</v>
      </c>
      <c r="T1465" s="2">
        <v>1</v>
      </c>
      <c r="U1465" s="2">
        <v>62.9</v>
      </c>
      <c r="V1465" s="2">
        <v>57</v>
      </c>
      <c r="W1465" s="2" t="s">
        <v>7862</v>
      </c>
      <c r="X1465" s="2" t="s">
        <v>5405</v>
      </c>
      <c r="Y1465" s="2">
        <v>3150</v>
      </c>
      <c r="Z1465" s="19" t="str">
        <f>HYPERLINK("https://ssdweb.co/ssdweb/hd/Vision360.html?d=926211306&amp;zoomslide=1&amp;z=1926211306&amp;ISCONFIRM=0","VIDEO")</f>
        <v>VIDEO</v>
      </c>
      <c r="AA1465" s="19" t="str">
        <f>HYPERLINK("https://ssdweb.co/ssdweb/CERTH/640473876.pdf","CERTI")</f>
        <v>CERTI</v>
      </c>
    </row>
    <row r="1466" spans="1:27" ht="15" x14ac:dyDescent="0.25">
      <c r="A1466" s="2">
        <v>1461</v>
      </c>
      <c r="B1466" s="39">
        <v>926311328</v>
      </c>
      <c r="C1466" s="28" t="str">
        <f>HYPERLINK("https://pld.live/RapDetail.aspx?STONELIST=926311328","DNA")</f>
        <v>DNA</v>
      </c>
      <c r="D1466" s="18" t="s">
        <v>5847</v>
      </c>
      <c r="E1466" s="18" t="s">
        <v>5128</v>
      </c>
      <c r="F1466" s="2" t="s">
        <v>5597</v>
      </c>
      <c r="G1466" s="2" t="s">
        <v>861</v>
      </c>
      <c r="H1466" s="14">
        <v>0.7</v>
      </c>
      <c r="I1466" s="2" t="s">
        <v>267</v>
      </c>
      <c r="J1466" s="2" t="s">
        <v>3942</v>
      </c>
      <c r="K1466" s="2" t="s">
        <v>5221</v>
      </c>
      <c r="L1466" s="2" t="s">
        <v>5221</v>
      </c>
      <c r="M1466" s="2" t="s">
        <v>5721</v>
      </c>
      <c r="N1466" s="2" t="s">
        <v>2317</v>
      </c>
      <c r="O1466" s="14">
        <v>4500</v>
      </c>
      <c r="P1466" s="14">
        <v>94.02</v>
      </c>
      <c r="Q1466" s="14">
        <v>269.10000000000002</v>
      </c>
      <c r="R1466" s="14">
        <v>188.37</v>
      </c>
      <c r="S1466" s="2" t="s">
        <v>1397</v>
      </c>
      <c r="T1466" s="2">
        <v>1.01</v>
      </c>
      <c r="U1466" s="2">
        <v>62.1</v>
      </c>
      <c r="V1466" s="2">
        <v>58</v>
      </c>
      <c r="W1466" s="2" t="s">
        <v>7862</v>
      </c>
      <c r="X1466" s="2" t="s">
        <v>5405</v>
      </c>
      <c r="Y1466" s="2">
        <v>3150</v>
      </c>
      <c r="Z1466" s="19" t="str">
        <f>HYPERLINK("https://ssdweb.co/ssdweb/hd/Vision360.html?d=926311328&amp;zoomslide=1&amp;z=1926311328&amp;ISCONFIRM=0","VIDEO")</f>
        <v>VIDEO</v>
      </c>
      <c r="AA1466" s="19" t="str">
        <f>HYPERLINK("https://ssdweb.co/ssdweb/CERTH/1493867463.pdf","CERTI")</f>
        <v>CERTI</v>
      </c>
    </row>
    <row r="1467" spans="1:27" ht="15" x14ac:dyDescent="0.25">
      <c r="A1467" s="2">
        <v>1462</v>
      </c>
      <c r="B1467" s="39">
        <v>925750603</v>
      </c>
      <c r="C1467" s="28" t="str">
        <f>HYPERLINK("https://pld.live/RapDetail.aspx?STONELIST=925750603","DNA")</f>
        <v>DNA</v>
      </c>
      <c r="D1467" s="18" t="s">
        <v>5847</v>
      </c>
      <c r="E1467" s="18" t="s">
        <v>5128</v>
      </c>
      <c r="F1467" s="2" t="s">
        <v>5597</v>
      </c>
      <c r="G1467" s="2" t="s">
        <v>861</v>
      </c>
      <c r="H1467" s="14">
        <v>0.7</v>
      </c>
      <c r="I1467" s="2" t="s">
        <v>267</v>
      </c>
      <c r="J1467" s="2" t="s">
        <v>3942</v>
      </c>
      <c r="K1467" s="2" t="s">
        <v>5221</v>
      </c>
      <c r="L1467" s="2" t="s">
        <v>5721</v>
      </c>
      <c r="M1467" s="2" t="s">
        <v>5221</v>
      </c>
      <c r="N1467" s="2" t="s">
        <v>2317</v>
      </c>
      <c r="O1467" s="14">
        <v>4500</v>
      </c>
      <c r="P1467" s="14">
        <v>94.07</v>
      </c>
      <c r="Q1467" s="14">
        <v>266.85000000000002</v>
      </c>
      <c r="R1467" s="14">
        <v>186.8</v>
      </c>
      <c r="S1467" s="2" t="s">
        <v>1430</v>
      </c>
      <c r="T1467" s="2">
        <v>1</v>
      </c>
      <c r="U1467" s="2">
        <v>59.4</v>
      </c>
      <c r="V1467" s="2">
        <v>59</v>
      </c>
      <c r="W1467" s="2" t="s">
        <v>7862</v>
      </c>
      <c r="X1467" s="2" t="s">
        <v>5405</v>
      </c>
      <c r="Y1467" s="2">
        <v>3150</v>
      </c>
      <c r="Z1467" s="19" t="str">
        <f>HYPERLINK("https://ssdweb.co/ssdweb/hd/Vision360.html?d=925750603&amp;zoomslide=1&amp;z=1925750603&amp;ISCONFIRM=0","VIDEO")</f>
        <v>VIDEO</v>
      </c>
      <c r="AA1467" s="19" t="str">
        <f>HYPERLINK("https://ssdweb.co/ssdweb/CERTH/6482715088.pdf","CERTI")</f>
        <v>CERTI</v>
      </c>
    </row>
    <row r="1468" spans="1:27" ht="15" x14ac:dyDescent="0.25">
      <c r="A1468" s="2">
        <v>1463</v>
      </c>
      <c r="B1468" s="39">
        <v>926221347</v>
      </c>
      <c r="C1468" s="28" t="str">
        <f>HYPERLINK("https://pld.live/RapDetail.aspx?STONELIST=926221347","DNA")</f>
        <v>DNA</v>
      </c>
      <c r="D1468" s="18" t="s">
        <v>5847</v>
      </c>
      <c r="E1468" s="18" t="s">
        <v>5128</v>
      </c>
      <c r="F1468" s="2" t="s">
        <v>7987</v>
      </c>
      <c r="G1468" s="2" t="s">
        <v>861</v>
      </c>
      <c r="H1468" s="14">
        <v>0.7</v>
      </c>
      <c r="I1468" s="2" t="s">
        <v>267</v>
      </c>
      <c r="J1468" s="2" t="s">
        <v>3942</v>
      </c>
      <c r="K1468" s="2" t="s">
        <v>5221</v>
      </c>
      <c r="L1468" s="2" t="s">
        <v>5721</v>
      </c>
      <c r="M1468" s="2" t="s">
        <v>5221</v>
      </c>
      <c r="N1468" s="2" t="s">
        <v>2317</v>
      </c>
      <c r="O1468" s="14">
        <v>4500</v>
      </c>
      <c r="P1468" s="14">
        <v>97.07</v>
      </c>
      <c r="Q1468" s="14">
        <v>131.85</v>
      </c>
      <c r="R1468" s="14">
        <v>92.3</v>
      </c>
      <c r="S1468" s="2" t="s">
        <v>4603</v>
      </c>
      <c r="T1468" s="2">
        <v>1.01</v>
      </c>
      <c r="U1468" s="2">
        <v>63.5</v>
      </c>
      <c r="V1468" s="2">
        <v>57</v>
      </c>
      <c r="W1468" s="2" t="s">
        <v>7862</v>
      </c>
      <c r="X1468" s="2" t="s">
        <v>5405</v>
      </c>
      <c r="Y1468" s="2">
        <v>3150</v>
      </c>
      <c r="Z1468" s="19" t="str">
        <f>HYPERLINK("https://ssdweb.co/ssdweb/hd/Vision360.html?d=926221347&amp;zoomslide=1&amp;z=1926221347&amp;ISCONFIRM=0","VIDEO")</f>
        <v>VIDEO</v>
      </c>
      <c r="AA1468" s="19" t="str">
        <f>HYPERLINK("https://ssdweb.co/ssdweb/CERTH/640473902.pdf","CERTI")</f>
        <v>CERTI</v>
      </c>
    </row>
    <row r="1469" spans="1:27" ht="15" x14ac:dyDescent="0.25">
      <c r="A1469" s="2">
        <v>1464</v>
      </c>
      <c r="B1469" s="39">
        <v>941060213</v>
      </c>
      <c r="C1469" s="28" t="str">
        <f>HYPERLINK("https://pld.live/RapDetail.aspx?STONELIST=941060213","DNA")</f>
        <v>DNA</v>
      </c>
      <c r="D1469" s="18" t="s">
        <v>5847</v>
      </c>
      <c r="E1469" s="18" t="s">
        <v>2186</v>
      </c>
      <c r="F1469" s="2" t="s">
        <v>7987</v>
      </c>
      <c r="G1469" s="2" t="s">
        <v>861</v>
      </c>
      <c r="H1469" s="14">
        <v>0.7</v>
      </c>
      <c r="I1469" s="2" t="s">
        <v>267</v>
      </c>
      <c r="J1469" s="2" t="s">
        <v>13</v>
      </c>
      <c r="K1469" s="2" t="s">
        <v>3390</v>
      </c>
      <c r="L1469" s="2" t="s">
        <v>5221</v>
      </c>
      <c r="M1469" s="2" t="s">
        <v>5721</v>
      </c>
      <c r="N1469" s="2" t="s">
        <v>2317</v>
      </c>
      <c r="O1469" s="14">
        <v>3900</v>
      </c>
      <c r="P1469" s="14">
        <v>96.67</v>
      </c>
      <c r="Q1469" s="14">
        <v>129.87</v>
      </c>
      <c r="R1469" s="14">
        <v>90.91</v>
      </c>
      <c r="S1469" s="2" t="s">
        <v>5521</v>
      </c>
      <c r="T1469" s="2">
        <v>1.01</v>
      </c>
      <c r="U1469" s="2">
        <v>61.9</v>
      </c>
      <c r="V1469" s="2">
        <v>59</v>
      </c>
      <c r="W1469" s="2" t="s">
        <v>7862</v>
      </c>
      <c r="X1469" s="2" t="s">
        <v>5405</v>
      </c>
      <c r="Y1469" s="2">
        <v>2730</v>
      </c>
      <c r="Z1469" s="19" t="str">
        <f>HYPERLINK("https://ssdweb.co/ssdweb/hd/Vision360.html?d=941060213&amp;zoomslide=1&amp;z=1941060213&amp;ISCONFIRM=0","VIDEO")</f>
        <v>VIDEO</v>
      </c>
      <c r="AA1469" s="19" t="str">
        <f>HYPERLINK("https://ssdweb.co/ssdweb/CERTH/670445180.pdf","CERTI")</f>
        <v>CERTI</v>
      </c>
    </row>
    <row r="1470" spans="1:27" ht="15" x14ac:dyDescent="0.25">
      <c r="A1470" s="2">
        <v>1465</v>
      </c>
      <c r="B1470" s="39">
        <v>926221287</v>
      </c>
      <c r="C1470" s="28" t="str">
        <f>HYPERLINK("https://pld.live/RapDetail.aspx?STONELIST=926221287","DNA")</f>
        <v>DNA</v>
      </c>
      <c r="D1470" s="18" t="s">
        <v>5847</v>
      </c>
      <c r="E1470" s="18" t="s">
        <v>5128</v>
      </c>
      <c r="F1470" s="2" t="s">
        <v>7987</v>
      </c>
      <c r="G1470" s="2" t="s">
        <v>861</v>
      </c>
      <c r="H1470" s="14">
        <v>0.7</v>
      </c>
      <c r="I1470" s="2" t="s">
        <v>267</v>
      </c>
      <c r="J1470" s="2" t="s">
        <v>13</v>
      </c>
      <c r="K1470" s="2" t="s">
        <v>3390</v>
      </c>
      <c r="L1470" s="2" t="s">
        <v>5721</v>
      </c>
      <c r="M1470" s="2" t="s">
        <v>5221</v>
      </c>
      <c r="N1470" s="2" t="s">
        <v>2317</v>
      </c>
      <c r="O1470" s="14">
        <v>3900</v>
      </c>
      <c r="P1470" s="14">
        <v>96.77</v>
      </c>
      <c r="Q1470" s="14">
        <v>125.97</v>
      </c>
      <c r="R1470" s="14">
        <v>88.18</v>
      </c>
      <c r="S1470" s="2" t="s">
        <v>6153</v>
      </c>
      <c r="T1470" s="2">
        <v>1.01</v>
      </c>
      <c r="U1470" s="2">
        <v>61.2</v>
      </c>
      <c r="V1470" s="2">
        <v>60</v>
      </c>
      <c r="W1470" s="2" t="s">
        <v>7862</v>
      </c>
      <c r="X1470" s="2" t="s">
        <v>5405</v>
      </c>
      <c r="Y1470" s="2">
        <v>2730</v>
      </c>
      <c r="Z1470" s="19" t="str">
        <f>HYPERLINK("https://ssdweb.co/ssdweb/hd/Vision360.html?d=926221287&amp;zoomslide=1&amp;z=1926221287&amp;ISCONFIRM=0","VIDEO")</f>
        <v>VIDEO</v>
      </c>
      <c r="AA1470" s="19" t="str">
        <f>HYPERLINK("https://ssdweb.co/ssdweb/CERTH/640419030.pdf","CERTI")</f>
        <v>CERTI</v>
      </c>
    </row>
    <row r="1471" spans="1:27" ht="15" x14ac:dyDescent="0.25">
      <c r="A1471" s="2">
        <v>1466</v>
      </c>
      <c r="B1471" s="39">
        <v>925790733</v>
      </c>
      <c r="C1471" s="28" t="str">
        <f>HYPERLINK("https://pld.live/RapDetail.aspx?STONELIST=925790733","DNA")</f>
        <v>DNA</v>
      </c>
      <c r="D1471" s="18" t="s">
        <v>5847</v>
      </c>
      <c r="E1471" s="18" t="s">
        <v>5128</v>
      </c>
      <c r="F1471" s="2" t="s">
        <v>7987</v>
      </c>
      <c r="G1471" s="2" t="s">
        <v>861</v>
      </c>
      <c r="H1471" s="14">
        <v>0.7</v>
      </c>
      <c r="I1471" s="2" t="s">
        <v>267</v>
      </c>
      <c r="J1471" s="2" t="s">
        <v>13</v>
      </c>
      <c r="K1471" s="2" t="s">
        <v>5221</v>
      </c>
      <c r="L1471" s="2" t="s">
        <v>5221</v>
      </c>
      <c r="M1471" s="2" t="s">
        <v>5221</v>
      </c>
      <c r="N1471" s="2" t="s">
        <v>2317</v>
      </c>
      <c r="O1471" s="14">
        <v>3900</v>
      </c>
      <c r="P1471" s="14">
        <v>96.77</v>
      </c>
      <c r="Q1471" s="14">
        <v>125.97</v>
      </c>
      <c r="R1471" s="14">
        <v>88.18</v>
      </c>
      <c r="S1471" s="2" t="s">
        <v>4877</v>
      </c>
      <c r="T1471" s="2">
        <v>1</v>
      </c>
      <c r="U1471" s="2">
        <v>60.5</v>
      </c>
      <c r="V1471" s="2">
        <v>62</v>
      </c>
      <c r="W1471" s="2" t="s">
        <v>7862</v>
      </c>
      <c r="X1471" s="2" t="s">
        <v>5405</v>
      </c>
      <c r="Y1471" s="2">
        <v>2730</v>
      </c>
      <c r="Z1471" s="19" t="str">
        <f>HYPERLINK("https://ssdweb.co/ssdweb/hd/Vision360.html?d=925790733&amp;zoomslide=1&amp;z=1925790733&amp;ISCONFIRM=0","VIDEO")</f>
        <v>VIDEO</v>
      </c>
      <c r="AA1471" s="19" t="str">
        <f>HYPERLINK("https://ssdweb.co/ssdweb/CERTH/625432128.pdf","CERTI")</f>
        <v>CERTI</v>
      </c>
    </row>
    <row r="1472" spans="1:27" ht="15" x14ac:dyDescent="0.25">
      <c r="A1472" s="2">
        <v>1467</v>
      </c>
      <c r="B1472" s="39">
        <v>925900547</v>
      </c>
      <c r="C1472" s="28" t="str">
        <f>HYPERLINK("https://pld.live/RapDetail.aspx?STONELIST=925900547","DNA")</f>
        <v>DNA</v>
      </c>
      <c r="D1472" s="18" t="s">
        <v>5847</v>
      </c>
      <c r="E1472" s="18" t="s">
        <v>5128</v>
      </c>
      <c r="F1472" s="2" t="s">
        <v>5597</v>
      </c>
      <c r="G1472" s="2" t="s">
        <v>861</v>
      </c>
      <c r="H1472" s="14">
        <v>0.7</v>
      </c>
      <c r="I1472" s="2" t="s">
        <v>267</v>
      </c>
      <c r="J1472" s="2" t="s">
        <v>13</v>
      </c>
      <c r="K1472" s="2" t="s">
        <v>5221</v>
      </c>
      <c r="L1472" s="2" t="s">
        <v>5221</v>
      </c>
      <c r="M1472" s="2" t="s">
        <v>5221</v>
      </c>
      <c r="N1472" s="2" t="s">
        <v>2317</v>
      </c>
      <c r="O1472" s="14">
        <v>3900</v>
      </c>
      <c r="P1472" s="14">
        <v>93.36</v>
      </c>
      <c r="Q1472" s="14">
        <v>258.95999999999998</v>
      </c>
      <c r="R1472" s="14">
        <v>181.27</v>
      </c>
      <c r="S1472" s="2" t="s">
        <v>2071</v>
      </c>
      <c r="T1472" s="2">
        <v>1.01</v>
      </c>
      <c r="U1472" s="2">
        <v>62.2</v>
      </c>
      <c r="V1472" s="2">
        <v>57</v>
      </c>
      <c r="W1472" s="2" t="s">
        <v>7862</v>
      </c>
      <c r="X1472" s="2" t="s">
        <v>5405</v>
      </c>
      <c r="Y1472" s="2">
        <v>2730</v>
      </c>
      <c r="Z1472" s="19" t="str">
        <f>HYPERLINK("https://ssdweb.co/ssdweb/hd/Vision360.html?d=925900547&amp;zoomslide=1&amp;z=1925900547&amp;ISCONFIRM=0","VIDEO")</f>
        <v>VIDEO</v>
      </c>
      <c r="AA1472" s="19" t="str">
        <f>HYPERLINK("https://ssdweb.co/ssdweb/CERTH/6492048665.pdf","CERTI")</f>
        <v>CERTI</v>
      </c>
    </row>
    <row r="1473" spans="1:27" ht="15" x14ac:dyDescent="0.25">
      <c r="A1473" s="2">
        <v>1468</v>
      </c>
      <c r="B1473" s="39">
        <v>925900540</v>
      </c>
      <c r="C1473" s="28" t="str">
        <f>HYPERLINK("https://pld.live/RapDetail.aspx?STONELIST=925900540","DNA")</f>
        <v>DNA</v>
      </c>
      <c r="D1473" s="18" t="s">
        <v>5847</v>
      </c>
      <c r="E1473" s="18" t="s">
        <v>5128</v>
      </c>
      <c r="F1473" s="2" t="s">
        <v>5597</v>
      </c>
      <c r="G1473" s="2" t="s">
        <v>861</v>
      </c>
      <c r="H1473" s="14">
        <v>0.7</v>
      </c>
      <c r="I1473" s="2" t="s">
        <v>267</v>
      </c>
      <c r="J1473" s="2" t="s">
        <v>13</v>
      </c>
      <c r="K1473" s="2" t="s">
        <v>5221</v>
      </c>
      <c r="L1473" s="2" t="s">
        <v>5221</v>
      </c>
      <c r="M1473" s="2" t="s">
        <v>5221</v>
      </c>
      <c r="N1473" s="2" t="s">
        <v>2317</v>
      </c>
      <c r="O1473" s="14">
        <v>3900</v>
      </c>
      <c r="P1473" s="14">
        <v>93.36</v>
      </c>
      <c r="Q1473" s="14">
        <v>258.95999999999998</v>
      </c>
      <c r="R1473" s="14">
        <v>181.27</v>
      </c>
      <c r="S1473" s="2" t="s">
        <v>2877</v>
      </c>
      <c r="T1473" s="2">
        <v>1.01</v>
      </c>
      <c r="U1473" s="2">
        <v>62.7</v>
      </c>
      <c r="V1473" s="2">
        <v>56</v>
      </c>
      <c r="W1473" s="2" t="s">
        <v>7862</v>
      </c>
      <c r="X1473" s="2" t="s">
        <v>5405</v>
      </c>
      <c r="Y1473" s="2">
        <v>2730</v>
      </c>
      <c r="Z1473" s="19" t="str">
        <f>HYPERLINK("https://ssdweb.co/ssdweb/hd/Vision360.html?d=925900540&amp;zoomslide=1&amp;z=1925900540&amp;ISCONFIRM=0","VIDEO")</f>
        <v>VIDEO</v>
      </c>
      <c r="AA1473" s="19" t="str">
        <f>HYPERLINK("https://ssdweb.co/ssdweb/CERTH/1498048945.pdf","CERTI")</f>
        <v>CERTI</v>
      </c>
    </row>
    <row r="1474" spans="1:27" ht="15" x14ac:dyDescent="0.25">
      <c r="A1474" s="2">
        <v>1469</v>
      </c>
      <c r="B1474" s="39">
        <v>925750404</v>
      </c>
      <c r="C1474" s="28" t="str">
        <f>HYPERLINK("https://pld.live/RapDetail.aspx?STONELIST=925750404","DNA")</f>
        <v>DNA</v>
      </c>
      <c r="D1474" s="18" t="s">
        <v>5847</v>
      </c>
      <c r="E1474" s="18" t="s">
        <v>5128</v>
      </c>
      <c r="F1474" s="2" t="s">
        <v>5597</v>
      </c>
      <c r="G1474" s="2" t="s">
        <v>861</v>
      </c>
      <c r="H1474" s="14">
        <v>0.7</v>
      </c>
      <c r="I1474" s="2" t="s">
        <v>267</v>
      </c>
      <c r="J1474" s="2" t="s">
        <v>13</v>
      </c>
      <c r="K1474" s="2" t="s">
        <v>5221</v>
      </c>
      <c r="L1474" s="2" t="s">
        <v>5221</v>
      </c>
      <c r="M1474" s="2" t="s">
        <v>5221</v>
      </c>
      <c r="N1474" s="2" t="s">
        <v>2317</v>
      </c>
      <c r="O1474" s="14">
        <v>3900</v>
      </c>
      <c r="P1474" s="14">
        <v>93.41</v>
      </c>
      <c r="Q1474" s="14">
        <v>257.01</v>
      </c>
      <c r="R1474" s="14">
        <v>179.91</v>
      </c>
      <c r="S1474" s="2" t="s">
        <v>6223</v>
      </c>
      <c r="T1474" s="2">
        <v>1.01</v>
      </c>
      <c r="U1474" s="2">
        <v>62.5</v>
      </c>
      <c r="V1474" s="2">
        <v>57</v>
      </c>
      <c r="W1474" s="2" t="s">
        <v>7862</v>
      </c>
      <c r="X1474" s="2" t="s">
        <v>5405</v>
      </c>
      <c r="Y1474" s="2">
        <v>2730</v>
      </c>
      <c r="Z1474" s="19" t="str">
        <f>HYPERLINK("https://ssdweb.co/ssdweb/hd/Vision360.html?d=925750404&amp;zoomslide=1&amp;z=1925750404&amp;ISCONFIRM=0","VIDEO")</f>
        <v>VIDEO</v>
      </c>
      <c r="AA1474" s="19" t="str">
        <f>HYPERLINK("https://ssdweb.co/ssdweb/CERTH/2487652976.pdf","CERTI")</f>
        <v>CERTI</v>
      </c>
    </row>
    <row r="1475" spans="1:27" ht="15" x14ac:dyDescent="0.25">
      <c r="A1475" s="2">
        <v>1470</v>
      </c>
      <c r="B1475" s="39">
        <v>925791104</v>
      </c>
      <c r="C1475" s="28" t="str">
        <f>HYPERLINK("https://pld.live/RapDetail.aspx?STONELIST=925791104","DNA")</f>
        <v>DNA</v>
      </c>
      <c r="D1475" s="18" t="s">
        <v>5847</v>
      </c>
      <c r="E1475" s="18" t="s">
        <v>5128</v>
      </c>
      <c r="F1475" s="2" t="s">
        <v>7987</v>
      </c>
      <c r="G1475" s="2" t="s">
        <v>861</v>
      </c>
      <c r="H1475" s="14">
        <v>0.7</v>
      </c>
      <c r="I1475" s="2" t="s">
        <v>267</v>
      </c>
      <c r="J1475" s="2" t="s">
        <v>13</v>
      </c>
      <c r="K1475" s="2" t="s">
        <v>5221</v>
      </c>
      <c r="L1475" s="2" t="s">
        <v>5221</v>
      </c>
      <c r="M1475" s="2" t="s">
        <v>5221</v>
      </c>
      <c r="N1475" s="2" t="s">
        <v>2317</v>
      </c>
      <c r="O1475" s="14">
        <v>3900</v>
      </c>
      <c r="P1475" s="14">
        <v>96.77</v>
      </c>
      <c r="Q1475" s="14">
        <v>125.97</v>
      </c>
      <c r="R1475" s="14">
        <v>88.18</v>
      </c>
      <c r="S1475" s="2" t="s">
        <v>1583</v>
      </c>
      <c r="T1475" s="2">
        <v>1.01</v>
      </c>
      <c r="U1475" s="2">
        <v>63.1</v>
      </c>
      <c r="V1475" s="2">
        <v>56</v>
      </c>
      <c r="W1475" s="2" t="s">
        <v>7862</v>
      </c>
      <c r="X1475" s="2" t="s">
        <v>5405</v>
      </c>
      <c r="Y1475" s="2">
        <v>2730</v>
      </c>
      <c r="Z1475" s="19" t="str">
        <f>HYPERLINK("https://ssdweb.co/ssdweb/hd/Vision360.html?d=925791104&amp;zoomslide=1&amp;z=1925791104&amp;ISCONFIRM=0","VIDEO")</f>
        <v>VIDEO</v>
      </c>
      <c r="AA1475" s="19" t="str">
        <f>HYPERLINK("https://ssdweb.co/ssdweb/CERTH/626457129.pdf","CERTI")</f>
        <v>CERTI</v>
      </c>
    </row>
    <row r="1476" spans="1:27" ht="15" x14ac:dyDescent="0.25">
      <c r="A1476" s="2">
        <v>1471</v>
      </c>
      <c r="B1476" s="39">
        <v>926221436</v>
      </c>
      <c r="C1476" s="28" t="str">
        <f>HYPERLINK("https://pld.live/RapDetail.aspx?STONELIST=926221436","DNA")</f>
        <v>DNA</v>
      </c>
      <c r="D1476" s="18" t="s">
        <v>5847</v>
      </c>
      <c r="E1476" s="18" t="s">
        <v>5128</v>
      </c>
      <c r="F1476" s="2" t="s">
        <v>7987</v>
      </c>
      <c r="G1476" s="2" t="s">
        <v>861</v>
      </c>
      <c r="H1476" s="14">
        <v>0.7</v>
      </c>
      <c r="I1476" s="2" t="s">
        <v>267</v>
      </c>
      <c r="J1476" s="2" t="s">
        <v>13</v>
      </c>
      <c r="K1476" s="2" t="s">
        <v>5221</v>
      </c>
      <c r="L1476" s="2" t="s">
        <v>5221</v>
      </c>
      <c r="M1476" s="2" t="s">
        <v>5221</v>
      </c>
      <c r="N1476" s="2" t="s">
        <v>2317</v>
      </c>
      <c r="O1476" s="14">
        <v>3900</v>
      </c>
      <c r="P1476" s="14">
        <v>96.67</v>
      </c>
      <c r="Q1476" s="14">
        <v>129.87</v>
      </c>
      <c r="R1476" s="14">
        <v>90.91</v>
      </c>
      <c r="S1476" s="2" t="s">
        <v>4354</v>
      </c>
      <c r="T1476" s="2">
        <v>1.01</v>
      </c>
      <c r="U1476" s="2">
        <v>63.1</v>
      </c>
      <c r="V1476" s="2">
        <v>57</v>
      </c>
      <c r="W1476" s="2" t="s">
        <v>7862</v>
      </c>
      <c r="X1476" s="2" t="s">
        <v>5405</v>
      </c>
      <c r="Y1476" s="2">
        <v>2730</v>
      </c>
      <c r="Z1476" s="19" t="str">
        <f>HYPERLINK("https://ssdweb.co/ssdweb/hd/Vision360.html?d=926221436&amp;zoomslide=1&amp;z=1926221436&amp;ISCONFIRM=0","VIDEO")</f>
        <v>VIDEO</v>
      </c>
      <c r="AA1476" s="19" t="str">
        <f>HYPERLINK("https://ssdweb.co/ssdweb/CERTH/660490502.pdf","CERTI")</f>
        <v>CERTI</v>
      </c>
    </row>
    <row r="1477" spans="1:27" ht="15" x14ac:dyDescent="0.25">
      <c r="A1477" s="2">
        <v>1472</v>
      </c>
      <c r="B1477" s="39">
        <v>926221412</v>
      </c>
      <c r="C1477" s="28" t="str">
        <f>HYPERLINK("https://pld.live/RapDetail.aspx?STONELIST=926221412","DNA")</f>
        <v>DNA</v>
      </c>
      <c r="D1477" s="18" t="s">
        <v>5847</v>
      </c>
      <c r="E1477" s="18" t="s">
        <v>5128</v>
      </c>
      <c r="F1477" s="2" t="s">
        <v>7987</v>
      </c>
      <c r="G1477" s="2" t="s">
        <v>861</v>
      </c>
      <c r="H1477" s="14">
        <v>0.7</v>
      </c>
      <c r="I1477" s="2" t="s">
        <v>267</v>
      </c>
      <c r="J1477" s="2" t="s">
        <v>13</v>
      </c>
      <c r="K1477" s="2" t="s">
        <v>5221</v>
      </c>
      <c r="L1477" s="2" t="s">
        <v>5221</v>
      </c>
      <c r="M1477" s="2" t="s">
        <v>5221</v>
      </c>
      <c r="N1477" s="2" t="s">
        <v>2317</v>
      </c>
      <c r="O1477" s="14">
        <v>3900</v>
      </c>
      <c r="P1477" s="14">
        <v>96.72</v>
      </c>
      <c r="Q1477" s="14">
        <v>127.92</v>
      </c>
      <c r="R1477" s="14">
        <v>89.54</v>
      </c>
      <c r="S1477" s="2" t="s">
        <v>3877</v>
      </c>
      <c r="T1477" s="2">
        <v>1.01</v>
      </c>
      <c r="U1477" s="2">
        <v>63.4</v>
      </c>
      <c r="V1477" s="2">
        <v>56</v>
      </c>
      <c r="W1477" s="2" t="s">
        <v>7862</v>
      </c>
      <c r="X1477" s="2" t="s">
        <v>5405</v>
      </c>
      <c r="Y1477" s="2">
        <v>2730</v>
      </c>
      <c r="Z1477" s="19" t="str">
        <f>HYPERLINK("https://ssdweb.co/ssdweb/hd/Vision360.html?d=926221412&amp;zoomslide=1&amp;z=1926221412&amp;ISCONFIRM=0","VIDEO")</f>
        <v>VIDEO</v>
      </c>
      <c r="AA1477" s="19" t="str">
        <f>HYPERLINK("https://ssdweb.co/ssdweb/CERTH/640485517.pdf","CERTI")</f>
        <v>CERTI</v>
      </c>
    </row>
    <row r="1478" spans="1:27" ht="15" x14ac:dyDescent="0.25">
      <c r="A1478" s="2">
        <v>1473</v>
      </c>
      <c r="B1478" s="39">
        <v>926221196</v>
      </c>
      <c r="C1478" s="28" t="str">
        <f>HYPERLINK("https://pld.live/RapDetail.aspx?STONELIST=926221196","DNA")</f>
        <v>DNA</v>
      </c>
      <c r="D1478" s="18" t="s">
        <v>5847</v>
      </c>
      <c r="E1478" s="18" t="s">
        <v>5128</v>
      </c>
      <c r="F1478" s="2" t="s">
        <v>7987</v>
      </c>
      <c r="G1478" s="2" t="s">
        <v>861</v>
      </c>
      <c r="H1478" s="14">
        <v>0.7</v>
      </c>
      <c r="I1478" s="2" t="s">
        <v>267</v>
      </c>
      <c r="J1478" s="2" t="s">
        <v>13</v>
      </c>
      <c r="K1478" s="2" t="s">
        <v>5221</v>
      </c>
      <c r="L1478" s="2" t="s">
        <v>5221</v>
      </c>
      <c r="M1478" s="2" t="s">
        <v>5221</v>
      </c>
      <c r="N1478" s="2" t="s">
        <v>2317</v>
      </c>
      <c r="O1478" s="14">
        <v>3900</v>
      </c>
      <c r="P1478" s="14">
        <v>96.72</v>
      </c>
      <c r="Q1478" s="14">
        <v>127.92</v>
      </c>
      <c r="R1478" s="14">
        <v>89.54</v>
      </c>
      <c r="S1478" s="2" t="s">
        <v>2631</v>
      </c>
      <c r="T1478" s="2">
        <v>1.01</v>
      </c>
      <c r="U1478" s="2">
        <v>60.2</v>
      </c>
      <c r="V1478" s="2">
        <v>63</v>
      </c>
      <c r="W1478" s="2" t="s">
        <v>7862</v>
      </c>
      <c r="X1478" s="2" t="s">
        <v>5405</v>
      </c>
      <c r="Y1478" s="2">
        <v>2730</v>
      </c>
      <c r="Z1478" s="19" t="str">
        <f>HYPERLINK("https://ssdweb.co/ssdweb/hd/Vision360.html?d=926221196&amp;zoomslide=1&amp;z=1926221196&amp;ISCONFIRM=0","VIDEO")</f>
        <v>VIDEO</v>
      </c>
      <c r="AA1478" s="19" t="str">
        <f>HYPERLINK("https://ssdweb.co/ssdweb/CERTH/639413112.pdf","CERTI")</f>
        <v>CERTI</v>
      </c>
    </row>
    <row r="1479" spans="1:27" ht="15" x14ac:dyDescent="0.25">
      <c r="A1479" s="2">
        <v>1474</v>
      </c>
      <c r="B1479" s="39">
        <v>926221288</v>
      </c>
      <c r="C1479" s="28" t="str">
        <f>HYPERLINK("https://pld.live/RapDetail.aspx?STONELIST=926221288","DNA")</f>
        <v>DNA</v>
      </c>
      <c r="D1479" s="18" t="s">
        <v>5847</v>
      </c>
      <c r="E1479" s="18" t="s">
        <v>5128</v>
      </c>
      <c r="F1479" s="2" t="s">
        <v>7987</v>
      </c>
      <c r="G1479" s="2" t="s">
        <v>861</v>
      </c>
      <c r="H1479" s="14">
        <v>0.7</v>
      </c>
      <c r="I1479" s="2" t="s">
        <v>267</v>
      </c>
      <c r="J1479" s="2" t="s">
        <v>13</v>
      </c>
      <c r="K1479" s="2" t="s">
        <v>5221</v>
      </c>
      <c r="L1479" s="2" t="s">
        <v>5221</v>
      </c>
      <c r="M1479" s="2" t="s">
        <v>5221</v>
      </c>
      <c r="N1479" s="2" t="s">
        <v>2317</v>
      </c>
      <c r="O1479" s="14">
        <v>3900</v>
      </c>
      <c r="P1479" s="14">
        <v>96.72</v>
      </c>
      <c r="Q1479" s="14">
        <v>127.92</v>
      </c>
      <c r="R1479" s="14">
        <v>89.54</v>
      </c>
      <c r="S1479" s="2" t="s">
        <v>1956</v>
      </c>
      <c r="T1479" s="2">
        <v>1.01</v>
      </c>
      <c r="U1479" s="2">
        <v>63.5</v>
      </c>
      <c r="V1479" s="2">
        <v>55</v>
      </c>
      <c r="W1479" s="2" t="s">
        <v>7862</v>
      </c>
      <c r="X1479" s="2" t="s">
        <v>5405</v>
      </c>
      <c r="Y1479" s="2">
        <v>2730</v>
      </c>
      <c r="Z1479" s="19" t="str">
        <f>HYPERLINK("https://ssdweb.co/ssdweb/hd/Vision360.html?d=926221288&amp;zoomslide=1&amp;z=1926221288&amp;ISCONFIRM=0","VIDEO")</f>
        <v>VIDEO</v>
      </c>
      <c r="AA1479" s="19" t="str">
        <f>HYPERLINK("https://ssdweb.co/ssdweb/CERTH/640419031.pdf","CERTI")</f>
        <v>CERTI</v>
      </c>
    </row>
    <row r="1480" spans="1:27" ht="15" x14ac:dyDescent="0.25">
      <c r="A1480" s="2">
        <v>1475</v>
      </c>
      <c r="B1480" s="39">
        <v>926270899</v>
      </c>
      <c r="C1480" s="28" t="str">
        <f>HYPERLINK("https://pld.live/RapDetail.aspx?STONELIST=926270899","DNA")</f>
        <v>DNA</v>
      </c>
      <c r="D1480" s="18" t="s">
        <v>5847</v>
      </c>
      <c r="E1480" s="18" t="s">
        <v>5128</v>
      </c>
      <c r="F1480" s="2" t="s">
        <v>7987</v>
      </c>
      <c r="G1480" s="2" t="s">
        <v>861</v>
      </c>
      <c r="H1480" s="14">
        <v>0.7</v>
      </c>
      <c r="I1480" s="2" t="s">
        <v>267</v>
      </c>
      <c r="J1480" s="2" t="s">
        <v>13</v>
      </c>
      <c r="K1480" s="2" t="s">
        <v>5221</v>
      </c>
      <c r="L1480" s="2" t="s">
        <v>5221</v>
      </c>
      <c r="M1480" s="2" t="s">
        <v>5221</v>
      </c>
      <c r="N1480" s="2" t="s">
        <v>2317</v>
      </c>
      <c r="O1480" s="14">
        <v>3900</v>
      </c>
      <c r="P1480" s="14">
        <v>96.62</v>
      </c>
      <c r="Q1480" s="14">
        <v>131.82</v>
      </c>
      <c r="R1480" s="14">
        <v>92.27</v>
      </c>
      <c r="S1480" s="2" t="s">
        <v>4354</v>
      </c>
      <c r="T1480" s="2">
        <v>1.01</v>
      </c>
      <c r="U1480" s="2">
        <v>62.8</v>
      </c>
      <c r="V1480" s="2">
        <v>57</v>
      </c>
      <c r="W1480" s="2" t="s">
        <v>7862</v>
      </c>
      <c r="X1480" s="2" t="s">
        <v>5405</v>
      </c>
      <c r="Y1480" s="2">
        <v>2730</v>
      </c>
      <c r="Z1480" s="19" t="str">
        <f>HYPERLINK("https://ssdweb.co/ssdweb/hd/Vision360.html?d=926270899&amp;zoomslide=1&amp;z=1926270899&amp;ISCONFIRM=0","VIDEO")</f>
        <v>VIDEO</v>
      </c>
      <c r="AA1480" s="19" t="str">
        <f>HYPERLINK("https://ssdweb.co/ssdweb/CERTH/681569608.pdf","CERTI")</f>
        <v>CERTI</v>
      </c>
    </row>
    <row r="1481" spans="1:27" ht="15" x14ac:dyDescent="0.25">
      <c r="A1481" s="2">
        <v>1476</v>
      </c>
      <c r="B1481" s="39">
        <v>926221194</v>
      </c>
      <c r="C1481" s="28" t="str">
        <f>HYPERLINK("https://pld.live/RapDetail.aspx?STONELIST=926221194","DNA")</f>
        <v>DNA</v>
      </c>
      <c r="D1481" s="18" t="s">
        <v>5847</v>
      </c>
      <c r="E1481" s="18" t="s">
        <v>5128</v>
      </c>
      <c r="F1481" s="2" t="s">
        <v>7987</v>
      </c>
      <c r="G1481" s="2" t="s">
        <v>861</v>
      </c>
      <c r="H1481" s="14">
        <v>0.7</v>
      </c>
      <c r="I1481" s="2" t="s">
        <v>267</v>
      </c>
      <c r="J1481" s="2" t="s">
        <v>13</v>
      </c>
      <c r="K1481" s="2" t="s">
        <v>5221</v>
      </c>
      <c r="L1481" s="2" t="s">
        <v>5221</v>
      </c>
      <c r="M1481" s="2" t="s">
        <v>5221</v>
      </c>
      <c r="N1481" s="2" t="s">
        <v>2317</v>
      </c>
      <c r="O1481" s="14">
        <v>3900</v>
      </c>
      <c r="P1481" s="14">
        <v>96.72</v>
      </c>
      <c r="Q1481" s="14">
        <v>127.92</v>
      </c>
      <c r="R1481" s="14">
        <v>89.54</v>
      </c>
      <c r="S1481" s="2" t="s">
        <v>6554</v>
      </c>
      <c r="T1481" s="2">
        <v>1.01</v>
      </c>
      <c r="U1481" s="2">
        <v>60.7</v>
      </c>
      <c r="V1481" s="2">
        <v>61</v>
      </c>
      <c r="W1481" s="2" t="s">
        <v>7862</v>
      </c>
      <c r="X1481" s="2" t="s">
        <v>5405</v>
      </c>
      <c r="Y1481" s="2">
        <v>2730</v>
      </c>
      <c r="Z1481" s="19" t="str">
        <f>HYPERLINK("https://ssdweb.co/ssdweb/hd/Vision360.html?d=926221194&amp;zoomslide=1&amp;z=1926221194&amp;ISCONFIRM=0","VIDEO")</f>
        <v>VIDEO</v>
      </c>
      <c r="AA1481" s="19" t="str">
        <f>HYPERLINK("https://ssdweb.co/ssdweb/CERTH/639413111.pdf","CERTI")</f>
        <v>CERTI</v>
      </c>
    </row>
    <row r="1482" spans="1:27" ht="15" x14ac:dyDescent="0.25">
      <c r="A1482" s="2">
        <v>1477</v>
      </c>
      <c r="B1482" s="39">
        <v>926221216</v>
      </c>
      <c r="C1482" s="28" t="str">
        <f>HYPERLINK("https://pld.live/RapDetail.aspx?STONELIST=926221216","DNA")</f>
        <v>DNA</v>
      </c>
      <c r="D1482" s="18" t="s">
        <v>5847</v>
      </c>
      <c r="E1482" s="18" t="s">
        <v>5128</v>
      </c>
      <c r="F1482" s="2" t="s">
        <v>7987</v>
      </c>
      <c r="G1482" s="2" t="s">
        <v>861</v>
      </c>
      <c r="H1482" s="14">
        <v>0.7</v>
      </c>
      <c r="I1482" s="2" t="s">
        <v>267</v>
      </c>
      <c r="J1482" s="2" t="s">
        <v>13</v>
      </c>
      <c r="K1482" s="2" t="s">
        <v>5221</v>
      </c>
      <c r="L1482" s="2" t="s">
        <v>5221</v>
      </c>
      <c r="M1482" s="2" t="s">
        <v>5221</v>
      </c>
      <c r="N1482" s="2" t="s">
        <v>2317</v>
      </c>
      <c r="O1482" s="14">
        <v>3900</v>
      </c>
      <c r="P1482" s="14">
        <v>96.72</v>
      </c>
      <c r="Q1482" s="14">
        <v>127.92</v>
      </c>
      <c r="R1482" s="14">
        <v>89.54</v>
      </c>
      <c r="S1482" s="2" t="s">
        <v>5943</v>
      </c>
      <c r="T1482" s="2">
        <v>1</v>
      </c>
      <c r="U1482" s="2">
        <v>63.4</v>
      </c>
      <c r="V1482" s="2">
        <v>57</v>
      </c>
      <c r="W1482" s="2" t="s">
        <v>7862</v>
      </c>
      <c r="X1482" s="2" t="s">
        <v>5405</v>
      </c>
      <c r="Y1482" s="2">
        <v>2730</v>
      </c>
      <c r="Z1482" s="19" t="str">
        <f>HYPERLINK("https://ssdweb.co/ssdweb/hd/Vision360.html?d=926221216&amp;zoomslide=1&amp;z=1926221216&amp;ISCONFIRM=0","VIDEO")</f>
        <v>VIDEO</v>
      </c>
      <c r="AA1482" s="19" t="str">
        <f>HYPERLINK("https://ssdweb.co/ssdweb/CERTH/639413087.pdf","CERTI")</f>
        <v>CERTI</v>
      </c>
    </row>
    <row r="1483" spans="1:27" ht="15" x14ac:dyDescent="0.25">
      <c r="A1483" s="2">
        <v>1478</v>
      </c>
      <c r="B1483" s="39">
        <v>821124700</v>
      </c>
      <c r="C1483" s="28" t="str">
        <f>HYPERLINK("https://pld.live/RapDetail.aspx?STONELIST=821124700","DNA")</f>
        <v>DNA</v>
      </c>
      <c r="D1483" s="18" t="s">
        <v>5847</v>
      </c>
      <c r="E1483" s="18" t="s">
        <v>5128</v>
      </c>
      <c r="F1483" s="2" t="s">
        <v>7987</v>
      </c>
      <c r="G1483" s="2" t="s">
        <v>861</v>
      </c>
      <c r="H1483" s="14">
        <v>0.7</v>
      </c>
      <c r="I1483" s="2" t="s">
        <v>267</v>
      </c>
      <c r="J1483" s="2" t="s">
        <v>13</v>
      </c>
      <c r="K1483" s="2" t="s">
        <v>5221</v>
      </c>
      <c r="L1483" s="2" t="s">
        <v>5221</v>
      </c>
      <c r="M1483" s="2" t="s">
        <v>5221</v>
      </c>
      <c r="N1483" s="2" t="s">
        <v>2317</v>
      </c>
      <c r="O1483" s="14">
        <v>3900</v>
      </c>
      <c r="P1483" s="14">
        <v>96.82</v>
      </c>
      <c r="Q1483" s="14">
        <v>124.02</v>
      </c>
      <c r="R1483" s="14">
        <v>86.81</v>
      </c>
      <c r="S1483" s="2" t="s">
        <v>1927</v>
      </c>
      <c r="T1483" s="2">
        <v>1.01</v>
      </c>
      <c r="U1483" s="2">
        <v>60.4</v>
      </c>
      <c r="V1483" s="2">
        <v>61</v>
      </c>
      <c r="W1483" s="2" t="s">
        <v>7862</v>
      </c>
      <c r="X1483" s="2" t="s">
        <v>5405</v>
      </c>
      <c r="Y1483" s="2">
        <v>2730</v>
      </c>
      <c r="Z1483" s="19" t="str">
        <f>HYPERLINK("https://ssdweb.co/ssdweb/hd/Vision360.html?d=821124700&amp;zoomslide=1&amp;z=1821124700&amp;ISCONFIRM=0","VIDEO")</f>
        <v>VIDEO</v>
      </c>
      <c r="AA1483" s="19" t="str">
        <f>HYPERLINK("https://ssdweb.co/ssdweb/CERTH/576343726.pdf","CERTI")</f>
        <v>CERTI</v>
      </c>
    </row>
    <row r="1484" spans="1:27" ht="15" x14ac:dyDescent="0.25">
      <c r="A1484" s="2">
        <v>1479</v>
      </c>
      <c r="B1484" s="39">
        <v>821124663</v>
      </c>
      <c r="C1484" s="28" t="str">
        <f>HYPERLINK("https://pld.live/RapDetail.aspx?STONELIST=821124663","DNA")</f>
        <v>DNA</v>
      </c>
      <c r="D1484" s="18" t="s">
        <v>5847</v>
      </c>
      <c r="E1484" s="18" t="s">
        <v>5128</v>
      </c>
      <c r="F1484" s="2" t="s">
        <v>7987</v>
      </c>
      <c r="G1484" s="2" t="s">
        <v>861</v>
      </c>
      <c r="H1484" s="14">
        <v>0.7</v>
      </c>
      <c r="I1484" s="2" t="s">
        <v>267</v>
      </c>
      <c r="J1484" s="2" t="s">
        <v>13</v>
      </c>
      <c r="K1484" s="2" t="s">
        <v>5221</v>
      </c>
      <c r="L1484" s="2" t="s">
        <v>5221</v>
      </c>
      <c r="M1484" s="2" t="s">
        <v>5221</v>
      </c>
      <c r="N1484" s="2" t="s">
        <v>2317</v>
      </c>
      <c r="O1484" s="14">
        <v>3900</v>
      </c>
      <c r="P1484" s="14">
        <v>96.82</v>
      </c>
      <c r="Q1484" s="14">
        <v>124.02</v>
      </c>
      <c r="R1484" s="14">
        <v>86.81</v>
      </c>
      <c r="S1484" s="2" t="s">
        <v>1227</v>
      </c>
      <c r="T1484" s="2">
        <v>1.01</v>
      </c>
      <c r="U1484" s="2">
        <v>60.4</v>
      </c>
      <c r="V1484" s="2">
        <v>60</v>
      </c>
      <c r="W1484" s="2" t="s">
        <v>7862</v>
      </c>
      <c r="X1484" s="2" t="s">
        <v>5405</v>
      </c>
      <c r="Y1484" s="2">
        <v>2730</v>
      </c>
      <c r="Z1484" s="19" t="str">
        <f>HYPERLINK("https://ssdweb.co/ssdweb/hd/Vision360.html?d=821124663&amp;zoomslide=1&amp;z=1821124663&amp;ISCONFIRM=0","VIDEO")</f>
        <v>VIDEO</v>
      </c>
      <c r="AA1484" s="19" t="str">
        <f>HYPERLINK("https://ssdweb.co/ssdweb/CERTH/576344575.pdf","CERTI")</f>
        <v>CERTI</v>
      </c>
    </row>
    <row r="1485" spans="1:27" ht="15" x14ac:dyDescent="0.25">
      <c r="A1485" s="2">
        <v>1480</v>
      </c>
      <c r="B1485" s="39">
        <v>926221345</v>
      </c>
      <c r="C1485" s="28" t="str">
        <f>HYPERLINK("https://pld.live/RapDetail.aspx?STONELIST=926221345","DNA")</f>
        <v>DNA</v>
      </c>
      <c r="D1485" s="18" t="s">
        <v>5847</v>
      </c>
      <c r="E1485" s="18" t="s">
        <v>5128</v>
      </c>
      <c r="F1485" s="2" t="s">
        <v>7987</v>
      </c>
      <c r="G1485" s="2" t="s">
        <v>861</v>
      </c>
      <c r="H1485" s="14">
        <v>0.7</v>
      </c>
      <c r="I1485" s="2" t="s">
        <v>267</v>
      </c>
      <c r="J1485" s="2" t="s">
        <v>13</v>
      </c>
      <c r="K1485" s="2" t="s">
        <v>5221</v>
      </c>
      <c r="L1485" s="2" t="s">
        <v>5221</v>
      </c>
      <c r="M1485" s="2" t="s">
        <v>5221</v>
      </c>
      <c r="N1485" s="2" t="s">
        <v>2317</v>
      </c>
      <c r="O1485" s="14">
        <v>3900</v>
      </c>
      <c r="P1485" s="14">
        <v>96.72</v>
      </c>
      <c r="Q1485" s="14">
        <v>127.92</v>
      </c>
      <c r="R1485" s="14">
        <v>89.54</v>
      </c>
      <c r="S1485" s="2" t="s">
        <v>7621</v>
      </c>
      <c r="T1485" s="2">
        <v>1</v>
      </c>
      <c r="U1485" s="2">
        <v>63</v>
      </c>
      <c r="V1485" s="2">
        <v>56</v>
      </c>
      <c r="W1485" s="2" t="s">
        <v>7862</v>
      </c>
      <c r="X1485" s="2" t="s">
        <v>5405</v>
      </c>
      <c r="Y1485" s="2">
        <v>2730</v>
      </c>
      <c r="Z1485" s="19" t="str">
        <f>HYPERLINK("https://ssdweb.co/ssdweb/hd/Vision360.html?d=926221345&amp;zoomslide=1&amp;z=1926221345&amp;ISCONFIRM=0","VIDEO")</f>
        <v>VIDEO</v>
      </c>
      <c r="AA1485" s="19" t="str">
        <f>HYPERLINK("https://ssdweb.co/ssdweb/CERTH/640473915.pdf","CERTI")</f>
        <v>CERTI</v>
      </c>
    </row>
    <row r="1486" spans="1:27" ht="15" x14ac:dyDescent="0.25">
      <c r="A1486" s="2">
        <v>1481</v>
      </c>
      <c r="B1486" s="39">
        <v>926211308</v>
      </c>
      <c r="C1486" s="28" t="str">
        <f>HYPERLINK("https://pld.live/RapDetail.aspx?STONELIST=926211308","DNA")</f>
        <v>DNA</v>
      </c>
      <c r="D1486" s="18" t="s">
        <v>5847</v>
      </c>
      <c r="E1486" s="18" t="s">
        <v>5128</v>
      </c>
      <c r="F1486" s="2" t="s">
        <v>7987</v>
      </c>
      <c r="G1486" s="2" t="s">
        <v>861</v>
      </c>
      <c r="H1486" s="14">
        <v>0.7</v>
      </c>
      <c r="I1486" s="2" t="s">
        <v>267</v>
      </c>
      <c r="J1486" s="2" t="s">
        <v>13</v>
      </c>
      <c r="K1486" s="2" t="s">
        <v>5221</v>
      </c>
      <c r="L1486" s="2" t="s">
        <v>5221</v>
      </c>
      <c r="M1486" s="2" t="s">
        <v>5221</v>
      </c>
      <c r="N1486" s="2" t="s">
        <v>2317</v>
      </c>
      <c r="O1486" s="14">
        <v>3900</v>
      </c>
      <c r="P1486" s="14">
        <v>96.72</v>
      </c>
      <c r="Q1486" s="14">
        <v>127.92</v>
      </c>
      <c r="R1486" s="14">
        <v>89.54</v>
      </c>
      <c r="S1486" s="2" t="s">
        <v>7618</v>
      </c>
      <c r="T1486" s="2">
        <v>1.01</v>
      </c>
      <c r="U1486" s="2">
        <v>60</v>
      </c>
      <c r="V1486" s="2">
        <v>62</v>
      </c>
      <c r="W1486" s="2" t="s">
        <v>7862</v>
      </c>
      <c r="X1486" s="2" t="s">
        <v>5405</v>
      </c>
      <c r="Y1486" s="2">
        <v>2730</v>
      </c>
      <c r="Z1486" s="19" t="str">
        <f>HYPERLINK("https://ssdweb.co/ssdweb/hd/Vision360.html?d=926211308&amp;zoomslide=1&amp;z=1926211308&amp;ISCONFIRM=0","VIDEO")</f>
        <v>VIDEO</v>
      </c>
      <c r="AA1486" s="19" t="str">
        <f>HYPERLINK("https://ssdweb.co/ssdweb/CERTH/640473877.pdf","CERTI")</f>
        <v>CERTI</v>
      </c>
    </row>
    <row r="1487" spans="1:27" ht="15" x14ac:dyDescent="0.25">
      <c r="A1487" s="2">
        <v>1482</v>
      </c>
      <c r="B1487" s="39">
        <v>926221446</v>
      </c>
      <c r="C1487" s="28" t="str">
        <f>HYPERLINK("https://pld.live/RapDetail.aspx?STONELIST=926221446","DNA")</f>
        <v>DNA</v>
      </c>
      <c r="D1487" s="18" t="s">
        <v>5847</v>
      </c>
      <c r="E1487" s="18" t="s">
        <v>5128</v>
      </c>
      <c r="F1487" s="2" t="s">
        <v>7987</v>
      </c>
      <c r="G1487" s="2" t="s">
        <v>861</v>
      </c>
      <c r="H1487" s="14">
        <v>0.7</v>
      </c>
      <c r="I1487" s="2" t="s">
        <v>267</v>
      </c>
      <c r="J1487" s="2" t="s">
        <v>13</v>
      </c>
      <c r="K1487" s="2" t="s">
        <v>5221</v>
      </c>
      <c r="L1487" s="2" t="s">
        <v>5221</v>
      </c>
      <c r="M1487" s="2" t="s">
        <v>5221</v>
      </c>
      <c r="N1487" s="2" t="s">
        <v>2317</v>
      </c>
      <c r="O1487" s="14">
        <v>3900</v>
      </c>
      <c r="P1487" s="14">
        <v>96.72</v>
      </c>
      <c r="Q1487" s="14">
        <v>127.92</v>
      </c>
      <c r="R1487" s="14">
        <v>89.54</v>
      </c>
      <c r="S1487" s="2" t="s">
        <v>539</v>
      </c>
      <c r="T1487" s="2">
        <v>1.01</v>
      </c>
      <c r="U1487" s="2">
        <v>63.1</v>
      </c>
      <c r="V1487" s="2">
        <v>56</v>
      </c>
      <c r="W1487" s="2" t="s">
        <v>7862</v>
      </c>
      <c r="X1487" s="2" t="s">
        <v>5405</v>
      </c>
      <c r="Y1487" s="2">
        <v>2730</v>
      </c>
      <c r="Z1487" s="19" t="str">
        <f>HYPERLINK("https://ssdweb.co/ssdweb/hd/Vision360.html?d=926221446&amp;zoomslide=1&amp;z=1926221446&amp;ISCONFIRM=0","VIDEO")</f>
        <v>VIDEO</v>
      </c>
      <c r="AA1487" s="19" t="str">
        <f>HYPERLINK("https://ssdweb.co/ssdweb/CERTH/640485532.pdf","CERTI")</f>
        <v>CERTI</v>
      </c>
    </row>
    <row r="1488" spans="1:27" ht="15" x14ac:dyDescent="0.25">
      <c r="A1488" s="2">
        <v>1483</v>
      </c>
      <c r="B1488" s="39">
        <v>926311383</v>
      </c>
      <c r="C1488" s="28" t="str">
        <f>HYPERLINK("https://pld.live/RapDetail.aspx?STONELIST=926311383","DNA")</f>
        <v>DNA</v>
      </c>
      <c r="D1488" s="18" t="s">
        <v>5847</v>
      </c>
      <c r="E1488" s="18" t="s">
        <v>5128</v>
      </c>
      <c r="F1488" s="2" t="s">
        <v>5597</v>
      </c>
      <c r="G1488" s="2" t="s">
        <v>861</v>
      </c>
      <c r="H1488" s="14">
        <v>0.7</v>
      </c>
      <c r="I1488" s="2" t="s">
        <v>267</v>
      </c>
      <c r="J1488" s="2" t="s">
        <v>13</v>
      </c>
      <c r="K1488" s="2" t="s">
        <v>5221</v>
      </c>
      <c r="L1488" s="2" t="s">
        <v>5221</v>
      </c>
      <c r="M1488" s="2" t="s">
        <v>5221</v>
      </c>
      <c r="N1488" s="2" t="s">
        <v>2317</v>
      </c>
      <c r="O1488" s="14">
        <v>3900</v>
      </c>
      <c r="P1488" s="14">
        <v>93.31</v>
      </c>
      <c r="Q1488" s="14">
        <v>260.91000000000003</v>
      </c>
      <c r="R1488" s="14">
        <v>182.64</v>
      </c>
      <c r="S1488" s="2" t="s">
        <v>2506</v>
      </c>
      <c r="T1488" s="2">
        <v>1.01</v>
      </c>
      <c r="U1488" s="2">
        <v>62.7</v>
      </c>
      <c r="V1488" s="2">
        <v>56</v>
      </c>
      <c r="W1488" s="2" t="s">
        <v>7862</v>
      </c>
      <c r="X1488" s="2" t="s">
        <v>5405</v>
      </c>
      <c r="Y1488" s="2">
        <v>2730</v>
      </c>
      <c r="Z1488" s="19" t="str">
        <f>HYPERLINK("https://ssdweb.co/ssdweb/hd/Vision360.html?d=926311383&amp;zoomslide=1&amp;z=1926311383&amp;ISCONFIRM=0","VIDEO")</f>
        <v>VIDEO</v>
      </c>
      <c r="AA1488" s="19" t="str">
        <f>HYPERLINK("https://ssdweb.co/ssdweb/CERTH/6491927539.pdf","CERTI")</f>
        <v>CERTI</v>
      </c>
    </row>
    <row r="1489" spans="1:27" ht="15" x14ac:dyDescent="0.25">
      <c r="A1489" s="2">
        <v>1484</v>
      </c>
      <c r="B1489" s="39">
        <v>941140204</v>
      </c>
      <c r="C1489" s="28" t="str">
        <f>HYPERLINK("https://pld.live/RapDetail.aspx?STONELIST=941140204","DNA")</f>
        <v>DNA</v>
      </c>
      <c r="D1489" s="18" t="s">
        <v>5847</v>
      </c>
      <c r="E1489" s="18" t="s">
        <v>5128</v>
      </c>
      <c r="F1489" s="2" t="s">
        <v>7987</v>
      </c>
      <c r="G1489" s="2" t="s">
        <v>861</v>
      </c>
      <c r="H1489" s="14">
        <v>0.7</v>
      </c>
      <c r="I1489" s="2" t="s">
        <v>267</v>
      </c>
      <c r="J1489" s="2" t="s">
        <v>13</v>
      </c>
      <c r="K1489" s="2" t="s">
        <v>5221</v>
      </c>
      <c r="L1489" s="2" t="s">
        <v>5221</v>
      </c>
      <c r="M1489" s="2" t="s">
        <v>5221</v>
      </c>
      <c r="N1489" s="2" t="s">
        <v>2317</v>
      </c>
      <c r="O1489" s="14">
        <v>3900</v>
      </c>
      <c r="P1489" s="14">
        <v>96.62</v>
      </c>
      <c r="Q1489" s="14">
        <v>131.82</v>
      </c>
      <c r="R1489" s="14">
        <v>92.27</v>
      </c>
      <c r="S1489" s="2" t="s">
        <v>2877</v>
      </c>
      <c r="T1489" s="2">
        <v>1.01</v>
      </c>
      <c r="U1489" s="2">
        <v>62.7</v>
      </c>
      <c r="V1489" s="2">
        <v>58</v>
      </c>
      <c r="W1489" s="2" t="s">
        <v>7862</v>
      </c>
      <c r="X1489" s="2" t="s">
        <v>5405</v>
      </c>
      <c r="Y1489" s="2">
        <v>2730</v>
      </c>
      <c r="Z1489" s="19" t="str">
        <f>HYPERLINK("https://ssdweb.co/ssdweb/hd/Vision360.html?d=941140204&amp;zoomslide=1&amp;z=1941140204&amp;ISCONFIRM=0","VIDEO")</f>
        <v>VIDEO</v>
      </c>
      <c r="AA1489" s="19" t="str">
        <f>HYPERLINK("https://ssdweb.co/ssdweb/CERTH/671477177.pdf","CERTI")</f>
        <v>CERTI</v>
      </c>
    </row>
    <row r="1490" spans="1:27" ht="15" x14ac:dyDescent="0.25">
      <c r="A1490" s="2">
        <v>1485</v>
      </c>
      <c r="B1490" s="39">
        <v>926331604</v>
      </c>
      <c r="C1490" s="28" t="str">
        <f>HYPERLINK("https://pld.live/RapDetail.aspx?STONELIST=926331604","DNA")</f>
        <v>DNA</v>
      </c>
      <c r="D1490" s="18" t="s">
        <v>5847</v>
      </c>
      <c r="E1490" s="18" t="s">
        <v>5128</v>
      </c>
      <c r="F1490" s="2" t="s">
        <v>7987</v>
      </c>
      <c r="G1490" s="2" t="s">
        <v>861</v>
      </c>
      <c r="H1490" s="14">
        <v>0.7</v>
      </c>
      <c r="I1490" s="2" t="s">
        <v>267</v>
      </c>
      <c r="J1490" s="2" t="s">
        <v>13</v>
      </c>
      <c r="K1490" s="2" t="s">
        <v>5221</v>
      </c>
      <c r="L1490" s="2" t="s">
        <v>5221</v>
      </c>
      <c r="M1490" s="2" t="s">
        <v>5221</v>
      </c>
      <c r="N1490" s="2" t="s">
        <v>2317</v>
      </c>
      <c r="O1490" s="14">
        <v>3900</v>
      </c>
      <c r="P1490" s="14">
        <v>96.72</v>
      </c>
      <c r="Q1490" s="14">
        <v>127.92</v>
      </c>
      <c r="R1490" s="14">
        <v>89.54</v>
      </c>
      <c r="S1490" s="2" t="s">
        <v>3616</v>
      </c>
      <c r="T1490" s="2">
        <v>1.01</v>
      </c>
      <c r="U1490" s="2">
        <v>63.3</v>
      </c>
      <c r="V1490" s="2">
        <v>56</v>
      </c>
      <c r="W1490" s="2" t="s">
        <v>7862</v>
      </c>
      <c r="X1490" s="2" t="s">
        <v>5405</v>
      </c>
      <c r="Y1490" s="2">
        <v>2730</v>
      </c>
      <c r="Z1490" s="19" t="str">
        <f>HYPERLINK("https://ssdweb.co/ssdweb/hd/Vision360.html?d=926331604&amp;zoomslide=1&amp;z=1926331604&amp;ISCONFIRM=0","VIDEO")</f>
        <v>VIDEO</v>
      </c>
      <c r="AA1490" s="19" t="str">
        <f>HYPERLINK("https://ssdweb.co/ssdweb/CERTH/646472847.pdf","CERTI")</f>
        <v>CERTI</v>
      </c>
    </row>
    <row r="1491" spans="1:27" ht="15" x14ac:dyDescent="0.25">
      <c r="A1491" s="2">
        <v>1486</v>
      </c>
      <c r="B1491" s="39">
        <v>926311325</v>
      </c>
      <c r="C1491" s="28" t="str">
        <f>HYPERLINK("https://pld.live/RapDetail.aspx?STONELIST=926311325","DNA")</f>
        <v>DNA</v>
      </c>
      <c r="D1491" s="18" t="s">
        <v>5847</v>
      </c>
      <c r="E1491" s="18" t="s">
        <v>5128</v>
      </c>
      <c r="F1491" s="2" t="s">
        <v>5597</v>
      </c>
      <c r="G1491" s="2" t="s">
        <v>861</v>
      </c>
      <c r="H1491" s="14">
        <v>0.7</v>
      </c>
      <c r="I1491" s="2" t="s">
        <v>267</v>
      </c>
      <c r="J1491" s="2" t="s">
        <v>13</v>
      </c>
      <c r="K1491" s="2" t="s">
        <v>5221</v>
      </c>
      <c r="L1491" s="2" t="s">
        <v>5221</v>
      </c>
      <c r="M1491" s="2" t="s">
        <v>5221</v>
      </c>
      <c r="N1491" s="2" t="s">
        <v>2317</v>
      </c>
      <c r="O1491" s="14">
        <v>3900</v>
      </c>
      <c r="P1491" s="14">
        <v>93.31</v>
      </c>
      <c r="Q1491" s="14">
        <v>260.91000000000003</v>
      </c>
      <c r="R1491" s="14">
        <v>182.64</v>
      </c>
      <c r="S1491" s="2" t="s">
        <v>3063</v>
      </c>
      <c r="T1491" s="2">
        <v>1.01</v>
      </c>
      <c r="U1491" s="2">
        <v>62.1</v>
      </c>
      <c r="V1491" s="2">
        <v>56</v>
      </c>
      <c r="W1491" s="2" t="s">
        <v>7862</v>
      </c>
      <c r="X1491" s="2" t="s">
        <v>5405</v>
      </c>
      <c r="Y1491" s="2">
        <v>2730</v>
      </c>
      <c r="Z1491" s="19" t="str">
        <f>HYPERLINK("https://ssdweb.co/ssdweb/hd/Vision360.html?d=926311325&amp;zoomslide=1&amp;z=1926311325&amp;ISCONFIRM=0","VIDEO")</f>
        <v>VIDEO</v>
      </c>
      <c r="AA1491" s="19" t="str">
        <f>HYPERLINK("https://ssdweb.co/ssdweb/CERTH/6491867512.pdf","CERTI")</f>
        <v>CERTI</v>
      </c>
    </row>
    <row r="1492" spans="1:27" ht="15" x14ac:dyDescent="0.25">
      <c r="A1492" s="2">
        <v>1487</v>
      </c>
      <c r="B1492" s="39">
        <v>926280631</v>
      </c>
      <c r="C1492" s="28" t="str">
        <f>HYPERLINK("https://pld.live/RapDetail.aspx?STONELIST=926280631","DNA")</f>
        <v>DNA</v>
      </c>
      <c r="D1492" s="18" t="s">
        <v>5847</v>
      </c>
      <c r="E1492" s="18" t="s">
        <v>5128</v>
      </c>
      <c r="F1492" s="2" t="s">
        <v>7987</v>
      </c>
      <c r="G1492" s="2" t="s">
        <v>861</v>
      </c>
      <c r="H1492" s="14">
        <v>0.7</v>
      </c>
      <c r="I1492" s="2" t="s">
        <v>267</v>
      </c>
      <c r="J1492" s="2" t="s">
        <v>13</v>
      </c>
      <c r="K1492" s="2" t="s">
        <v>5221</v>
      </c>
      <c r="L1492" s="2" t="s">
        <v>5221</v>
      </c>
      <c r="M1492" s="2" t="s">
        <v>5721</v>
      </c>
      <c r="N1492" s="2" t="s">
        <v>2317</v>
      </c>
      <c r="O1492" s="14">
        <v>3900</v>
      </c>
      <c r="P1492" s="14">
        <v>96.77</v>
      </c>
      <c r="Q1492" s="14">
        <v>125.97</v>
      </c>
      <c r="R1492" s="14">
        <v>88.18</v>
      </c>
      <c r="S1492" s="2" t="s">
        <v>6207</v>
      </c>
      <c r="T1492" s="2">
        <v>1.01</v>
      </c>
      <c r="U1492" s="2">
        <v>62.4</v>
      </c>
      <c r="V1492" s="2">
        <v>59</v>
      </c>
      <c r="W1492" s="2" t="s">
        <v>7862</v>
      </c>
      <c r="X1492" s="2" t="s">
        <v>5405</v>
      </c>
      <c r="Y1492" s="2">
        <v>2730</v>
      </c>
      <c r="Z1492" s="19" t="str">
        <f>HYPERLINK("https://ssdweb.co/ssdweb/hd/Vision360.html?d=926280631&amp;zoomslide=1&amp;z=1926280631&amp;ISCONFIRM=0","VIDEO")</f>
        <v>VIDEO</v>
      </c>
      <c r="AA1492" s="19" t="str">
        <f>HYPERLINK("https://ssdweb.co/ssdweb/CERTH/640485485.pdf","CERTI")</f>
        <v>CERTI</v>
      </c>
    </row>
    <row r="1493" spans="1:27" ht="15" x14ac:dyDescent="0.25">
      <c r="A1493" s="2">
        <v>1488</v>
      </c>
      <c r="B1493" s="39">
        <v>926211076</v>
      </c>
      <c r="C1493" s="28" t="str">
        <f>HYPERLINK("https://pld.live/RapDetail.aspx?STONELIST=926211076","DNA")</f>
        <v>DNA</v>
      </c>
      <c r="D1493" s="18" t="s">
        <v>5847</v>
      </c>
      <c r="E1493" s="18" t="s">
        <v>5128</v>
      </c>
      <c r="F1493" s="2" t="s">
        <v>7987</v>
      </c>
      <c r="G1493" s="2" t="s">
        <v>861</v>
      </c>
      <c r="H1493" s="14">
        <v>0.7</v>
      </c>
      <c r="I1493" s="2" t="s">
        <v>267</v>
      </c>
      <c r="J1493" s="2" t="s">
        <v>13</v>
      </c>
      <c r="K1493" s="2" t="s">
        <v>5221</v>
      </c>
      <c r="L1493" s="2" t="s">
        <v>5721</v>
      </c>
      <c r="M1493" s="2" t="s">
        <v>5221</v>
      </c>
      <c r="N1493" s="2" t="s">
        <v>2317</v>
      </c>
      <c r="O1493" s="14">
        <v>3900</v>
      </c>
      <c r="P1493" s="14">
        <v>96.77</v>
      </c>
      <c r="Q1493" s="14">
        <v>125.97</v>
      </c>
      <c r="R1493" s="14">
        <v>88.18</v>
      </c>
      <c r="S1493" s="2" t="s">
        <v>5607</v>
      </c>
      <c r="T1493" s="2">
        <v>1</v>
      </c>
      <c r="U1493" s="2">
        <v>62.8</v>
      </c>
      <c r="V1493" s="2">
        <v>58</v>
      </c>
      <c r="W1493" s="2" t="s">
        <v>7862</v>
      </c>
      <c r="X1493" s="2" t="s">
        <v>5405</v>
      </c>
      <c r="Y1493" s="2">
        <v>2730</v>
      </c>
      <c r="Z1493" s="19" t="str">
        <f>HYPERLINK("https://ssdweb.co/ssdweb/hd/Vision360.html?d=926211076&amp;zoomslide=1&amp;z=1926211076&amp;ISCONFIRM=0","VIDEO")</f>
        <v>VIDEO</v>
      </c>
      <c r="AA1493" s="19" t="str">
        <f>HYPERLINK("https://ssdweb.co/ssdweb/CERTH/638463105.pdf","CERTI")</f>
        <v>CERTI</v>
      </c>
    </row>
    <row r="1494" spans="1:27" ht="15" x14ac:dyDescent="0.25">
      <c r="A1494" s="2">
        <v>1489</v>
      </c>
      <c r="B1494" s="39">
        <v>926221324</v>
      </c>
      <c r="C1494" s="28" t="str">
        <f>HYPERLINK("https://pld.live/RapDetail.aspx?STONELIST=926221324","DNA")</f>
        <v>DNA</v>
      </c>
      <c r="D1494" s="18" t="s">
        <v>5847</v>
      </c>
      <c r="E1494" s="18" t="s">
        <v>5128</v>
      </c>
      <c r="F1494" s="2" t="s">
        <v>7987</v>
      </c>
      <c r="G1494" s="2" t="s">
        <v>861</v>
      </c>
      <c r="H1494" s="14">
        <v>0.7</v>
      </c>
      <c r="I1494" s="2" t="s">
        <v>267</v>
      </c>
      <c r="J1494" s="2" t="s">
        <v>13</v>
      </c>
      <c r="K1494" s="2" t="s">
        <v>5221</v>
      </c>
      <c r="L1494" s="2" t="s">
        <v>5721</v>
      </c>
      <c r="M1494" s="2" t="s">
        <v>5221</v>
      </c>
      <c r="N1494" s="2" t="s">
        <v>2317</v>
      </c>
      <c r="O1494" s="14">
        <v>3900</v>
      </c>
      <c r="P1494" s="14">
        <v>96.77</v>
      </c>
      <c r="Q1494" s="14">
        <v>125.97</v>
      </c>
      <c r="R1494" s="14">
        <v>88.18</v>
      </c>
      <c r="S1494" s="2" t="s">
        <v>7153</v>
      </c>
      <c r="T1494" s="2">
        <v>1.01</v>
      </c>
      <c r="U1494" s="2">
        <v>61.9</v>
      </c>
      <c r="V1494" s="2">
        <v>59</v>
      </c>
      <c r="W1494" s="2" t="s">
        <v>7862</v>
      </c>
      <c r="X1494" s="2" t="s">
        <v>5405</v>
      </c>
      <c r="Y1494" s="2">
        <v>2730</v>
      </c>
      <c r="Z1494" s="19" t="str">
        <f>HYPERLINK("https://ssdweb.co/ssdweb/hd/Vision360.html?d=926221324&amp;zoomslide=1&amp;z=1926221324&amp;ISCONFIRM=0","VIDEO")</f>
        <v>VIDEO</v>
      </c>
      <c r="AA1494" s="19" t="str">
        <f>HYPERLINK("https://ssdweb.co/ssdweb/CERTH/640473905.pdf","CERTI")</f>
        <v>CERTI</v>
      </c>
    </row>
    <row r="1495" spans="1:27" ht="15" x14ac:dyDescent="0.25">
      <c r="A1495" s="2">
        <v>1490</v>
      </c>
      <c r="B1495" s="39">
        <v>926221214</v>
      </c>
      <c r="C1495" s="28" t="str">
        <f>HYPERLINK("https://pld.live/RapDetail.aspx?STONELIST=926221214","DNA")</f>
        <v>DNA</v>
      </c>
      <c r="D1495" s="18" t="s">
        <v>5847</v>
      </c>
      <c r="E1495" s="18" t="s">
        <v>5128</v>
      </c>
      <c r="F1495" s="2" t="s">
        <v>7987</v>
      </c>
      <c r="G1495" s="2" t="s">
        <v>861</v>
      </c>
      <c r="H1495" s="14">
        <v>0.7</v>
      </c>
      <c r="I1495" s="2" t="s">
        <v>267</v>
      </c>
      <c r="J1495" s="2" t="s">
        <v>13</v>
      </c>
      <c r="K1495" s="2" t="s">
        <v>5221</v>
      </c>
      <c r="L1495" s="2" t="s">
        <v>5721</v>
      </c>
      <c r="M1495" s="2" t="s">
        <v>5721</v>
      </c>
      <c r="N1495" s="2" t="s">
        <v>2317</v>
      </c>
      <c r="O1495" s="14">
        <v>3900</v>
      </c>
      <c r="P1495" s="14">
        <v>96.82</v>
      </c>
      <c r="Q1495" s="14">
        <v>124.02</v>
      </c>
      <c r="R1495" s="14">
        <v>86.81</v>
      </c>
      <c r="S1495" s="2" t="s">
        <v>1773</v>
      </c>
      <c r="T1495" s="2">
        <v>1.01</v>
      </c>
      <c r="U1495" s="2">
        <v>63.5</v>
      </c>
      <c r="V1495" s="2">
        <v>58</v>
      </c>
      <c r="W1495" s="2" t="s">
        <v>7862</v>
      </c>
      <c r="X1495" s="2" t="s">
        <v>5405</v>
      </c>
      <c r="Y1495" s="2">
        <v>2730</v>
      </c>
      <c r="Z1495" s="19" t="str">
        <f>HYPERLINK("https://ssdweb.co/ssdweb/hd/Vision360.html?d=926221214&amp;zoomslide=1&amp;z=1926221214&amp;ISCONFIRM=0","VIDEO")</f>
        <v>VIDEO</v>
      </c>
      <c r="AA1495" s="19" t="str">
        <f>HYPERLINK("https://ssdweb.co/ssdweb/CERTH/639413085.pdf","CERTI")</f>
        <v>CERTI</v>
      </c>
    </row>
    <row r="1496" spans="1:27" ht="15" x14ac:dyDescent="0.25">
      <c r="A1496" s="2">
        <v>1491</v>
      </c>
      <c r="B1496" s="39">
        <v>925900508</v>
      </c>
      <c r="C1496" s="28" t="str">
        <f>HYPERLINK("https://pld.live/RapDetail.aspx?STONELIST=925900508","DNA")</f>
        <v>DNA</v>
      </c>
      <c r="D1496" s="18" t="s">
        <v>5847</v>
      </c>
      <c r="E1496" s="18" t="s">
        <v>5128</v>
      </c>
      <c r="F1496" s="2" t="s">
        <v>5597</v>
      </c>
      <c r="G1496" s="2" t="s">
        <v>861</v>
      </c>
      <c r="H1496" s="14">
        <v>0.7</v>
      </c>
      <c r="I1496" s="2" t="s">
        <v>267</v>
      </c>
      <c r="J1496" s="2" t="s">
        <v>5144</v>
      </c>
      <c r="K1496" s="2" t="s">
        <v>5221</v>
      </c>
      <c r="L1496" s="2" t="s">
        <v>5221</v>
      </c>
      <c r="M1496" s="2" t="s">
        <v>5221</v>
      </c>
      <c r="N1496" s="2" t="s">
        <v>2317</v>
      </c>
      <c r="O1496" s="14">
        <v>3400</v>
      </c>
      <c r="P1496" s="14">
        <v>92.53</v>
      </c>
      <c r="Q1496" s="14">
        <v>253.98</v>
      </c>
      <c r="R1496" s="14">
        <v>177.79</v>
      </c>
      <c r="S1496" s="2" t="s">
        <v>2040</v>
      </c>
      <c r="T1496" s="2">
        <v>1.01</v>
      </c>
      <c r="U1496" s="2">
        <v>61</v>
      </c>
      <c r="V1496" s="2">
        <v>59</v>
      </c>
      <c r="W1496" s="2" t="s">
        <v>7862</v>
      </c>
      <c r="X1496" s="2" t="s">
        <v>5405</v>
      </c>
      <c r="Y1496" s="2">
        <v>2380</v>
      </c>
      <c r="Z1496" s="19" t="str">
        <f>HYPERLINK("https://ssdweb.co/ssdweb/hd/Vision360.html?d=925900508&amp;zoomslide=1&amp;z=1925900508&amp;ISCONFIRM=0","VIDEO")</f>
        <v>VIDEO</v>
      </c>
      <c r="AA1496" s="19" t="str">
        <f>HYPERLINK("https://ssdweb.co/ssdweb/CERTH/6482994722.pdf","CERTI")</f>
        <v>CERTI</v>
      </c>
    </row>
    <row r="1497" spans="1:27" ht="15" x14ac:dyDescent="0.25">
      <c r="A1497" s="2">
        <v>1492</v>
      </c>
      <c r="B1497" s="39">
        <v>925790399</v>
      </c>
      <c r="C1497" s="28" t="str">
        <f>HYPERLINK("https://pld.live/RapDetail.aspx?STONELIST=925790399","DNA")</f>
        <v>DNA</v>
      </c>
      <c r="D1497" s="18" t="s">
        <v>5847</v>
      </c>
      <c r="E1497" s="18" t="s">
        <v>5128</v>
      </c>
      <c r="F1497" s="2" t="s">
        <v>7987</v>
      </c>
      <c r="G1497" s="2" t="s">
        <v>861</v>
      </c>
      <c r="H1497" s="14">
        <v>0.7</v>
      </c>
      <c r="I1497" s="2" t="s">
        <v>267</v>
      </c>
      <c r="J1497" s="2" t="s">
        <v>5144</v>
      </c>
      <c r="K1497" s="2" t="s">
        <v>5221</v>
      </c>
      <c r="L1497" s="2" t="s">
        <v>5221</v>
      </c>
      <c r="M1497" s="2" t="s">
        <v>5221</v>
      </c>
      <c r="N1497" s="2" t="s">
        <v>2317</v>
      </c>
      <c r="O1497" s="14">
        <v>3400</v>
      </c>
      <c r="P1497" s="14">
        <v>96.35</v>
      </c>
      <c r="Q1497" s="14">
        <v>124.1</v>
      </c>
      <c r="R1497" s="14">
        <v>86.87</v>
      </c>
      <c r="S1497" s="2" t="s">
        <v>6452</v>
      </c>
      <c r="T1497" s="2">
        <v>1.01</v>
      </c>
      <c r="U1497" s="2">
        <v>63</v>
      </c>
      <c r="V1497" s="2">
        <v>60</v>
      </c>
      <c r="W1497" s="2" t="s">
        <v>7862</v>
      </c>
      <c r="X1497" s="2" t="s">
        <v>5405</v>
      </c>
      <c r="Y1497" s="2">
        <v>2380</v>
      </c>
      <c r="Z1497" s="19" t="str">
        <f>HYPERLINK("https://ssdweb.co/ssdweb/hd/Vision360.html?d=925790399&amp;zoomslide=1&amp;z=1925790399&amp;ISCONFIRM=0","VIDEO")</f>
        <v>VIDEO</v>
      </c>
      <c r="AA1497" s="19" t="str">
        <f>HYPERLINK("https://ssdweb.co/ssdweb/CERTH/624420406.pdf","CERTI")</f>
        <v>CERTI</v>
      </c>
    </row>
    <row r="1498" spans="1:27" ht="15" x14ac:dyDescent="0.25">
      <c r="A1498" s="2">
        <v>1493</v>
      </c>
      <c r="B1498" s="39">
        <v>925840353</v>
      </c>
      <c r="C1498" s="28" t="str">
        <f>HYPERLINK("https://pld.live/RapDetail.aspx?STONELIST=925840353","DNA")</f>
        <v>DNA</v>
      </c>
      <c r="D1498" s="18" t="s">
        <v>5847</v>
      </c>
      <c r="E1498" s="18" t="s">
        <v>5128</v>
      </c>
      <c r="F1498" s="2" t="s">
        <v>7987</v>
      </c>
      <c r="G1498" s="2" t="s">
        <v>861</v>
      </c>
      <c r="H1498" s="14">
        <v>0.7</v>
      </c>
      <c r="I1498" s="2" t="s">
        <v>267</v>
      </c>
      <c r="J1498" s="2" t="s">
        <v>5144</v>
      </c>
      <c r="K1498" s="2" t="s">
        <v>5221</v>
      </c>
      <c r="L1498" s="2" t="s">
        <v>5221</v>
      </c>
      <c r="M1498" s="2" t="s">
        <v>5221</v>
      </c>
      <c r="N1498" s="2" t="s">
        <v>2317</v>
      </c>
      <c r="O1498" s="14">
        <v>3400</v>
      </c>
      <c r="P1498" s="14">
        <v>96.35</v>
      </c>
      <c r="Q1498" s="14">
        <v>124.1</v>
      </c>
      <c r="R1498" s="14">
        <v>86.87</v>
      </c>
      <c r="S1498" s="2" t="s">
        <v>6495</v>
      </c>
      <c r="T1498" s="2">
        <v>1.01</v>
      </c>
      <c r="U1498" s="2">
        <v>62.7</v>
      </c>
      <c r="V1498" s="2">
        <v>56</v>
      </c>
      <c r="W1498" s="2" t="s">
        <v>7862</v>
      </c>
      <c r="X1498" s="2" t="s">
        <v>5405</v>
      </c>
      <c r="Y1498" s="2">
        <v>2380</v>
      </c>
      <c r="Z1498" s="19" t="str">
        <f>HYPERLINK("https://ssdweb.co/ssdweb/hd/Vision360.html?d=925840353&amp;zoomslide=1&amp;z=1925840353&amp;ISCONFIRM=0","VIDEO")</f>
        <v>VIDEO</v>
      </c>
      <c r="AA1498" s="19" t="str">
        <f>HYPERLINK("https://ssdweb.co/ssdweb/CERTH/626457167.pdf","CERTI")</f>
        <v>CERTI</v>
      </c>
    </row>
    <row r="1499" spans="1:27" ht="15" x14ac:dyDescent="0.25">
      <c r="A1499" s="2">
        <v>1494</v>
      </c>
      <c r="B1499" s="39">
        <v>925750639</v>
      </c>
      <c r="C1499" s="28" t="str">
        <f>HYPERLINK("https://pld.live/RapDetail.aspx?STONELIST=925750639","DNA")</f>
        <v>DNA</v>
      </c>
      <c r="D1499" s="18" t="s">
        <v>5847</v>
      </c>
      <c r="E1499" s="18" t="s">
        <v>5128</v>
      </c>
      <c r="F1499" s="2" t="s">
        <v>7987</v>
      </c>
      <c r="G1499" s="2" t="s">
        <v>861</v>
      </c>
      <c r="H1499" s="14">
        <v>0.7</v>
      </c>
      <c r="I1499" s="2" t="s">
        <v>267</v>
      </c>
      <c r="J1499" s="2" t="s">
        <v>5144</v>
      </c>
      <c r="K1499" s="2" t="s">
        <v>5221</v>
      </c>
      <c r="L1499" s="2" t="s">
        <v>5221</v>
      </c>
      <c r="M1499" s="2" t="s">
        <v>5221</v>
      </c>
      <c r="N1499" s="2" t="s">
        <v>2317</v>
      </c>
      <c r="O1499" s="14">
        <v>3400</v>
      </c>
      <c r="P1499" s="14">
        <v>96.35</v>
      </c>
      <c r="Q1499" s="14">
        <v>124.1</v>
      </c>
      <c r="R1499" s="14">
        <v>86.87</v>
      </c>
      <c r="S1499" s="2" t="s">
        <v>7934</v>
      </c>
      <c r="T1499" s="2">
        <v>1.01</v>
      </c>
      <c r="U1499" s="2">
        <v>62.2</v>
      </c>
      <c r="V1499" s="2">
        <v>58</v>
      </c>
      <c r="W1499" s="2" t="s">
        <v>7862</v>
      </c>
      <c r="X1499" s="2" t="s">
        <v>5405</v>
      </c>
      <c r="Y1499" s="2">
        <v>2380</v>
      </c>
      <c r="Z1499" s="19" t="str">
        <f>HYPERLINK("https://ssdweb.co/ssdweb/hd/Vision360.html?d=925750639&amp;zoomslide=1&amp;z=1925750639&amp;ISCONFIRM=0","VIDEO")</f>
        <v>VIDEO</v>
      </c>
      <c r="AA1499" s="19" t="str">
        <f>HYPERLINK("https://ssdweb.co/ssdweb/CERTH/624420374.pdf","CERTI")</f>
        <v>CERTI</v>
      </c>
    </row>
    <row r="1500" spans="1:27" ht="15" x14ac:dyDescent="0.25">
      <c r="A1500" s="2">
        <v>1495</v>
      </c>
      <c r="B1500" s="39">
        <v>925830602</v>
      </c>
      <c r="C1500" s="28" t="str">
        <f>HYPERLINK("https://pld.live/RapDetail.aspx?STONELIST=925830602","DNA")</f>
        <v>DNA</v>
      </c>
      <c r="D1500" s="18" t="s">
        <v>5847</v>
      </c>
      <c r="E1500" s="18" t="s">
        <v>5128</v>
      </c>
      <c r="F1500" s="2" t="s">
        <v>7987</v>
      </c>
      <c r="G1500" s="2" t="s">
        <v>861</v>
      </c>
      <c r="H1500" s="14">
        <v>0.7</v>
      </c>
      <c r="I1500" s="2" t="s">
        <v>267</v>
      </c>
      <c r="J1500" s="2" t="s">
        <v>5144</v>
      </c>
      <c r="K1500" s="2" t="s">
        <v>5221</v>
      </c>
      <c r="L1500" s="2" t="s">
        <v>5221</v>
      </c>
      <c r="M1500" s="2" t="s">
        <v>5221</v>
      </c>
      <c r="N1500" s="2" t="s">
        <v>2317</v>
      </c>
      <c r="O1500" s="14">
        <v>3400</v>
      </c>
      <c r="P1500" s="14">
        <v>96.35</v>
      </c>
      <c r="Q1500" s="14">
        <v>124.1</v>
      </c>
      <c r="R1500" s="14">
        <v>86.87</v>
      </c>
      <c r="S1500" s="2" t="s">
        <v>8080</v>
      </c>
      <c r="T1500" s="2">
        <v>1.01</v>
      </c>
      <c r="U1500" s="2">
        <v>62.8</v>
      </c>
      <c r="V1500" s="2">
        <v>57</v>
      </c>
      <c r="W1500" s="2" t="s">
        <v>7862</v>
      </c>
      <c r="X1500" s="2" t="s">
        <v>5405</v>
      </c>
      <c r="Y1500" s="2">
        <v>2380</v>
      </c>
      <c r="Z1500" s="19" t="str">
        <f>HYPERLINK("https://ssdweb.co/ssdweb/hd/Vision360.html?d=925830602&amp;zoomslide=1&amp;z=1925830602&amp;ISCONFIRM=0","VIDEO")</f>
        <v>VIDEO</v>
      </c>
      <c r="AA1500" s="19" t="str">
        <f>HYPERLINK("https://ssdweb.co/ssdweb/CERTH/626427369.pdf","CERTI")</f>
        <v>CERTI</v>
      </c>
    </row>
    <row r="1501" spans="1:27" ht="15" x14ac:dyDescent="0.25">
      <c r="A1501" s="2">
        <v>1496</v>
      </c>
      <c r="B1501" s="39">
        <v>925750181</v>
      </c>
      <c r="C1501" s="28" t="str">
        <f>HYPERLINK("https://pld.live/RapDetail.aspx?STONELIST=925750181","DNA")</f>
        <v>DNA</v>
      </c>
      <c r="D1501" s="18" t="s">
        <v>5847</v>
      </c>
      <c r="E1501" s="18" t="s">
        <v>5128</v>
      </c>
      <c r="F1501" s="2" t="s">
        <v>7987</v>
      </c>
      <c r="G1501" s="2" t="s">
        <v>861</v>
      </c>
      <c r="H1501" s="14">
        <v>0.7</v>
      </c>
      <c r="I1501" s="2" t="s">
        <v>267</v>
      </c>
      <c r="J1501" s="2" t="s">
        <v>5144</v>
      </c>
      <c r="K1501" s="2" t="s">
        <v>5221</v>
      </c>
      <c r="L1501" s="2" t="s">
        <v>5221</v>
      </c>
      <c r="M1501" s="2" t="s">
        <v>5221</v>
      </c>
      <c r="N1501" s="2" t="s">
        <v>2317</v>
      </c>
      <c r="O1501" s="14">
        <v>3400</v>
      </c>
      <c r="P1501" s="14">
        <v>96.41</v>
      </c>
      <c r="Q1501" s="14">
        <v>122.06</v>
      </c>
      <c r="R1501" s="14">
        <v>85.44</v>
      </c>
      <c r="S1501" s="2" t="s">
        <v>6452</v>
      </c>
      <c r="T1501" s="2">
        <v>1.01</v>
      </c>
      <c r="U1501" s="2">
        <v>63.2</v>
      </c>
      <c r="V1501" s="2">
        <v>57</v>
      </c>
      <c r="W1501" s="2" t="s">
        <v>7862</v>
      </c>
      <c r="X1501" s="2" t="s">
        <v>5405</v>
      </c>
      <c r="Y1501" s="2">
        <v>2380</v>
      </c>
      <c r="Z1501" s="19" t="str">
        <f>HYPERLINK("https://ssdweb.co/ssdweb/hd/Vision360.html?d=925750181&amp;zoomslide=1&amp;z=1925750181&amp;ISCONFIRM=0","VIDEO")</f>
        <v>VIDEO</v>
      </c>
      <c r="AA1501" s="19" t="str">
        <f>HYPERLINK("https://ssdweb.co/ssdweb/CERTH/622499809.pdf","CERTI")</f>
        <v>CERTI</v>
      </c>
    </row>
    <row r="1502" spans="1:27" ht="15" x14ac:dyDescent="0.25">
      <c r="A1502" s="2">
        <v>1497</v>
      </c>
      <c r="B1502" s="39">
        <v>925791321</v>
      </c>
      <c r="C1502" s="28" t="str">
        <f>HYPERLINK("https://pld.live/RapDetail.aspx?STONELIST=925791321","DNA")</f>
        <v>DNA</v>
      </c>
      <c r="D1502" s="18" t="s">
        <v>5847</v>
      </c>
      <c r="E1502" s="18" t="s">
        <v>5128</v>
      </c>
      <c r="F1502" s="2" t="s">
        <v>7987</v>
      </c>
      <c r="G1502" s="2" t="s">
        <v>861</v>
      </c>
      <c r="H1502" s="14">
        <v>0.7</v>
      </c>
      <c r="I1502" s="2" t="s">
        <v>267</v>
      </c>
      <c r="J1502" s="2" t="s">
        <v>5144</v>
      </c>
      <c r="K1502" s="2" t="s">
        <v>5221</v>
      </c>
      <c r="L1502" s="2" t="s">
        <v>5221</v>
      </c>
      <c r="M1502" s="2" t="s">
        <v>5221</v>
      </c>
      <c r="N1502" s="2" t="s">
        <v>2317</v>
      </c>
      <c r="O1502" s="14">
        <v>3400</v>
      </c>
      <c r="P1502" s="14">
        <v>96.35</v>
      </c>
      <c r="Q1502" s="14">
        <v>124.1</v>
      </c>
      <c r="R1502" s="14">
        <v>86.87</v>
      </c>
      <c r="S1502" s="2" t="s">
        <v>7813</v>
      </c>
      <c r="T1502" s="2">
        <v>1.01</v>
      </c>
      <c r="U1502" s="2">
        <v>58.9</v>
      </c>
      <c r="V1502" s="2">
        <v>62</v>
      </c>
      <c r="W1502" s="2" t="s">
        <v>7862</v>
      </c>
      <c r="X1502" s="2" t="s">
        <v>5405</v>
      </c>
      <c r="Y1502" s="2">
        <v>2380</v>
      </c>
      <c r="Z1502" s="19" t="str">
        <f>HYPERLINK("https://ssdweb.co/ssdweb/hd/Vision360.html?d=925791321&amp;zoomslide=1&amp;z=1925791321&amp;ISCONFIRM=0","VIDEO")</f>
        <v>VIDEO</v>
      </c>
      <c r="AA1502" s="19" t="str">
        <f>HYPERLINK("https://ssdweb.co/ssdweb/CERTH/626427333.pdf","CERTI")</f>
        <v>CERTI</v>
      </c>
    </row>
    <row r="1503" spans="1:27" ht="15" x14ac:dyDescent="0.25">
      <c r="A1503" s="2">
        <v>1498</v>
      </c>
      <c r="B1503" s="39">
        <v>925870117</v>
      </c>
      <c r="C1503" s="28" t="str">
        <f>HYPERLINK("https://pld.live/RapDetail.aspx?STONELIST=925870117","DNA")</f>
        <v>DNA</v>
      </c>
      <c r="D1503" s="18" t="s">
        <v>5847</v>
      </c>
      <c r="E1503" s="18" t="s">
        <v>5128</v>
      </c>
      <c r="F1503" s="2" t="s">
        <v>7987</v>
      </c>
      <c r="G1503" s="2" t="s">
        <v>861</v>
      </c>
      <c r="H1503" s="14">
        <v>0.7</v>
      </c>
      <c r="I1503" s="2" t="s">
        <v>267</v>
      </c>
      <c r="J1503" s="2" t="s">
        <v>5144</v>
      </c>
      <c r="K1503" s="2" t="s">
        <v>5221</v>
      </c>
      <c r="L1503" s="2" t="s">
        <v>5221</v>
      </c>
      <c r="M1503" s="2" t="s">
        <v>5221</v>
      </c>
      <c r="N1503" s="2" t="s">
        <v>2317</v>
      </c>
      <c r="O1503" s="14">
        <v>3400</v>
      </c>
      <c r="P1503" s="14">
        <v>96.35</v>
      </c>
      <c r="Q1503" s="14">
        <v>124.1</v>
      </c>
      <c r="R1503" s="14">
        <v>86.87</v>
      </c>
      <c r="S1503" s="2" t="s">
        <v>1136</v>
      </c>
      <c r="T1503" s="2">
        <v>1.01</v>
      </c>
      <c r="U1503" s="2">
        <v>61</v>
      </c>
      <c r="V1503" s="2">
        <v>62</v>
      </c>
      <c r="W1503" s="2" t="s">
        <v>7862</v>
      </c>
      <c r="X1503" s="2" t="s">
        <v>5405</v>
      </c>
      <c r="Y1503" s="2">
        <v>2380</v>
      </c>
      <c r="Z1503" s="19" t="str">
        <f>HYPERLINK("https://ssdweb.co/ssdweb/hd/Vision360.html?d=925870117&amp;zoomslide=1&amp;z=1925870117&amp;ISCONFIRM=0","VIDEO")</f>
        <v>VIDEO</v>
      </c>
      <c r="AA1503" s="19" t="str">
        <f>HYPERLINK("https://ssdweb.co/ssdweb/CERTH/626457170.pdf","CERTI")</f>
        <v>CERTI</v>
      </c>
    </row>
    <row r="1504" spans="1:27" ht="15" x14ac:dyDescent="0.25">
      <c r="A1504" s="2">
        <v>1499</v>
      </c>
      <c r="B1504" s="39">
        <v>926280740</v>
      </c>
      <c r="C1504" s="28" t="str">
        <f>HYPERLINK("https://pld.live/RapDetail.aspx?STONELIST=926280740","DNA")</f>
        <v>DNA</v>
      </c>
      <c r="D1504" s="18" t="s">
        <v>5847</v>
      </c>
      <c r="E1504" s="18" t="s">
        <v>5128</v>
      </c>
      <c r="F1504" s="2" t="s">
        <v>7987</v>
      </c>
      <c r="G1504" s="2" t="s">
        <v>861</v>
      </c>
      <c r="H1504" s="14">
        <v>0.7</v>
      </c>
      <c r="I1504" s="2" t="s">
        <v>267</v>
      </c>
      <c r="J1504" s="2" t="s">
        <v>5144</v>
      </c>
      <c r="K1504" s="2" t="s">
        <v>5221</v>
      </c>
      <c r="L1504" s="2" t="s">
        <v>5221</v>
      </c>
      <c r="M1504" s="2" t="s">
        <v>5221</v>
      </c>
      <c r="N1504" s="2" t="s">
        <v>2317</v>
      </c>
      <c r="O1504" s="14">
        <v>3400</v>
      </c>
      <c r="P1504" s="14">
        <v>96.29</v>
      </c>
      <c r="Q1504" s="14">
        <v>126.14</v>
      </c>
      <c r="R1504" s="14">
        <v>88.3</v>
      </c>
      <c r="S1504" s="2" t="s">
        <v>7537</v>
      </c>
      <c r="T1504" s="2">
        <v>1.01</v>
      </c>
      <c r="U1504" s="2">
        <v>62.7</v>
      </c>
      <c r="V1504" s="2">
        <v>56</v>
      </c>
      <c r="W1504" s="2" t="s">
        <v>7862</v>
      </c>
      <c r="X1504" s="2" t="s">
        <v>5405</v>
      </c>
      <c r="Y1504" s="2">
        <v>2380</v>
      </c>
      <c r="Z1504" s="19" t="str">
        <f>HYPERLINK("https://ssdweb.co/ssdweb/hd/Vision360.html?d=926280740&amp;zoomslide=1&amp;z=1926280740&amp;ISCONFIRM=0","VIDEO")</f>
        <v>VIDEO</v>
      </c>
      <c r="AA1504" s="19" t="str">
        <f>HYPERLINK("https://ssdweb.co/ssdweb/CERTH/646472945.pdf","CERTI")</f>
        <v>CERTI</v>
      </c>
    </row>
    <row r="1505" spans="1:27" ht="15" x14ac:dyDescent="0.25">
      <c r="A1505" s="2">
        <v>1500</v>
      </c>
      <c r="B1505" s="39">
        <v>926221325</v>
      </c>
      <c r="C1505" s="28" t="str">
        <f>HYPERLINK("https://pld.live/RapDetail.aspx?STONELIST=926221325","DNA")</f>
        <v>DNA</v>
      </c>
      <c r="D1505" s="18" t="s">
        <v>5847</v>
      </c>
      <c r="E1505" s="18" t="s">
        <v>5128</v>
      </c>
      <c r="F1505" s="2" t="s">
        <v>7987</v>
      </c>
      <c r="G1505" s="2" t="s">
        <v>861</v>
      </c>
      <c r="H1505" s="14">
        <v>0.7</v>
      </c>
      <c r="I1505" s="2" t="s">
        <v>267</v>
      </c>
      <c r="J1505" s="2" t="s">
        <v>5144</v>
      </c>
      <c r="K1505" s="2" t="s">
        <v>5221</v>
      </c>
      <c r="L1505" s="2" t="s">
        <v>5221</v>
      </c>
      <c r="M1505" s="2" t="s">
        <v>5221</v>
      </c>
      <c r="N1505" s="2" t="s">
        <v>2317</v>
      </c>
      <c r="O1505" s="14">
        <v>3400</v>
      </c>
      <c r="P1505" s="14">
        <v>96.29</v>
      </c>
      <c r="Q1505" s="14">
        <v>126.14</v>
      </c>
      <c r="R1505" s="14">
        <v>88.3</v>
      </c>
      <c r="S1505" s="2" t="s">
        <v>1876</v>
      </c>
      <c r="T1505" s="2">
        <v>1.01</v>
      </c>
      <c r="U1505" s="2">
        <v>63.1</v>
      </c>
      <c r="V1505" s="2">
        <v>55</v>
      </c>
      <c r="W1505" s="2" t="s">
        <v>7862</v>
      </c>
      <c r="X1505" s="2" t="s">
        <v>5405</v>
      </c>
      <c r="Y1505" s="2">
        <v>2380</v>
      </c>
      <c r="Z1505" s="19" t="str">
        <f>HYPERLINK("https://ssdweb.co/ssdweb/hd/Vision360.html?d=926221325&amp;zoomslide=1&amp;z=1926221325&amp;ISCONFIRM=0","VIDEO")</f>
        <v>VIDEO</v>
      </c>
      <c r="AA1505" s="19" t="str">
        <f>HYPERLINK("https://ssdweb.co/ssdweb/CERTH/640473904.pdf","CERTI")</f>
        <v>CERTI</v>
      </c>
    </row>
    <row r="1506" spans="1:27" ht="15" x14ac:dyDescent="0.25">
      <c r="A1506" s="2">
        <v>1501</v>
      </c>
      <c r="B1506" s="39">
        <v>926221427</v>
      </c>
      <c r="C1506" s="28" t="str">
        <f>HYPERLINK("https://pld.live/RapDetail.aspx?STONELIST=926221427","DNA")</f>
        <v>DNA</v>
      </c>
      <c r="D1506" s="18" t="s">
        <v>5847</v>
      </c>
      <c r="E1506" s="18" t="s">
        <v>5128</v>
      </c>
      <c r="F1506" s="2" t="s">
        <v>7987</v>
      </c>
      <c r="G1506" s="2" t="s">
        <v>861</v>
      </c>
      <c r="H1506" s="14">
        <v>0.7</v>
      </c>
      <c r="I1506" s="2" t="s">
        <v>267</v>
      </c>
      <c r="J1506" s="2" t="s">
        <v>5144</v>
      </c>
      <c r="K1506" s="2" t="s">
        <v>5221</v>
      </c>
      <c r="L1506" s="2" t="s">
        <v>5221</v>
      </c>
      <c r="M1506" s="2" t="s">
        <v>5221</v>
      </c>
      <c r="N1506" s="2" t="s">
        <v>2317</v>
      </c>
      <c r="O1506" s="14">
        <v>3400</v>
      </c>
      <c r="P1506" s="14">
        <v>96.29</v>
      </c>
      <c r="Q1506" s="14">
        <v>126.14</v>
      </c>
      <c r="R1506" s="14">
        <v>88.3</v>
      </c>
      <c r="S1506" s="2" t="s">
        <v>8086</v>
      </c>
      <c r="T1506" s="2">
        <v>1.01</v>
      </c>
      <c r="U1506" s="2">
        <v>59.9</v>
      </c>
      <c r="V1506" s="2">
        <v>57</v>
      </c>
      <c r="W1506" s="2" t="s">
        <v>7862</v>
      </c>
      <c r="X1506" s="2" t="s">
        <v>5405</v>
      </c>
      <c r="Y1506" s="2">
        <v>2380</v>
      </c>
      <c r="Z1506" s="19" t="str">
        <f>HYPERLINK("https://ssdweb.co/ssdweb/hd/Vision360.html?d=926221427&amp;zoomslide=1&amp;z=1926221427&amp;ISCONFIRM=0","VIDEO")</f>
        <v>VIDEO</v>
      </c>
      <c r="AA1506" s="19" t="str">
        <f>HYPERLINK("https://ssdweb.co/ssdweb/CERTH/640485543.pdf","CERTI")</f>
        <v>CERTI</v>
      </c>
    </row>
    <row r="1507" spans="1:27" ht="15" x14ac:dyDescent="0.25">
      <c r="A1507" s="2">
        <v>1502</v>
      </c>
      <c r="B1507" s="39">
        <v>926331605</v>
      </c>
      <c r="C1507" s="28" t="str">
        <f>HYPERLINK("https://pld.live/RapDetail.aspx?STONELIST=926331605","DNA")</f>
        <v>DNA</v>
      </c>
      <c r="D1507" s="18" t="s">
        <v>5847</v>
      </c>
      <c r="E1507" s="18" t="s">
        <v>5128</v>
      </c>
      <c r="F1507" s="2" t="s">
        <v>7987</v>
      </c>
      <c r="G1507" s="2" t="s">
        <v>861</v>
      </c>
      <c r="H1507" s="14">
        <v>0.7</v>
      </c>
      <c r="I1507" s="2" t="s">
        <v>267</v>
      </c>
      <c r="J1507" s="2" t="s">
        <v>5144</v>
      </c>
      <c r="K1507" s="2" t="s">
        <v>5221</v>
      </c>
      <c r="L1507" s="2" t="s">
        <v>5221</v>
      </c>
      <c r="M1507" s="2" t="s">
        <v>5221</v>
      </c>
      <c r="N1507" s="2" t="s">
        <v>2317</v>
      </c>
      <c r="O1507" s="14">
        <v>3400</v>
      </c>
      <c r="P1507" s="14">
        <v>96.29</v>
      </c>
      <c r="Q1507" s="14">
        <v>126.14</v>
      </c>
      <c r="R1507" s="14">
        <v>88.3</v>
      </c>
      <c r="S1507" s="2" t="s">
        <v>1583</v>
      </c>
      <c r="T1507" s="2">
        <v>1.01</v>
      </c>
      <c r="U1507" s="2">
        <v>62.9</v>
      </c>
      <c r="V1507" s="2">
        <v>58</v>
      </c>
      <c r="W1507" s="2" t="s">
        <v>7862</v>
      </c>
      <c r="X1507" s="2" t="s">
        <v>5405</v>
      </c>
      <c r="Y1507" s="2">
        <v>2380</v>
      </c>
      <c r="Z1507" s="19" t="str">
        <f>HYPERLINK("https://ssdweb.co/ssdweb/hd/Vision360.html?d=926331605&amp;zoomslide=1&amp;z=1926331605&amp;ISCONFIRM=0","VIDEO")</f>
        <v>VIDEO</v>
      </c>
      <c r="AA1507" s="19" t="str">
        <f>HYPERLINK("https://ssdweb.co/ssdweb/CERTH/646472846.pdf","CERTI")</f>
        <v>CERTI</v>
      </c>
    </row>
    <row r="1508" spans="1:27" ht="15" x14ac:dyDescent="0.25">
      <c r="A1508" s="2">
        <v>1503</v>
      </c>
      <c r="B1508" s="39">
        <v>926331696</v>
      </c>
      <c r="C1508" s="28" t="str">
        <f>HYPERLINK("https://pld.live/RapDetail.aspx?STONELIST=926331696","DNA")</f>
        <v>DNA</v>
      </c>
      <c r="D1508" s="18" t="s">
        <v>5847</v>
      </c>
      <c r="E1508" s="18" t="s">
        <v>5128</v>
      </c>
      <c r="F1508" s="2" t="s">
        <v>5597</v>
      </c>
      <c r="G1508" s="2" t="s">
        <v>861</v>
      </c>
      <c r="H1508" s="14">
        <v>0.7</v>
      </c>
      <c r="I1508" s="2" t="s">
        <v>267</v>
      </c>
      <c r="J1508" s="2" t="s">
        <v>5144</v>
      </c>
      <c r="K1508" s="2" t="s">
        <v>5221</v>
      </c>
      <c r="L1508" s="2" t="s">
        <v>5221</v>
      </c>
      <c r="M1508" s="2" t="s">
        <v>5221</v>
      </c>
      <c r="N1508" s="2" t="s">
        <v>2317</v>
      </c>
      <c r="O1508" s="14">
        <v>3400</v>
      </c>
      <c r="P1508" s="14">
        <v>92.47</v>
      </c>
      <c r="Q1508" s="14">
        <v>256.02</v>
      </c>
      <c r="R1508" s="14">
        <v>179.21</v>
      </c>
      <c r="S1508" s="2" t="s">
        <v>3725</v>
      </c>
      <c r="T1508" s="2">
        <v>1.01</v>
      </c>
      <c r="U1508" s="2">
        <v>62.6</v>
      </c>
      <c r="V1508" s="2">
        <v>55</v>
      </c>
      <c r="W1508" s="2" t="s">
        <v>7862</v>
      </c>
      <c r="X1508" s="2" t="s">
        <v>5405</v>
      </c>
      <c r="Y1508" s="2">
        <v>2380</v>
      </c>
      <c r="Z1508" s="19" t="str">
        <f>HYPERLINK("https://ssdweb.co/ssdweb/hd/Vision360.html?d=926331696&amp;zoomslide=1&amp;z=1926331696&amp;ISCONFIRM=0","VIDEO")</f>
        <v>VIDEO</v>
      </c>
      <c r="AA1508" s="19" t="str">
        <f>HYPERLINK("https://ssdweb.co/ssdweb/CERTH/2498925664.pdf","CERTI")</f>
        <v>CERTI</v>
      </c>
    </row>
    <row r="1509" spans="1:27" ht="15" x14ac:dyDescent="0.25">
      <c r="A1509" s="2">
        <v>1504</v>
      </c>
      <c r="B1509" s="39">
        <v>926331735</v>
      </c>
      <c r="C1509" s="28" t="str">
        <f>HYPERLINK("https://pld.live/RapDetail.aspx?STONELIST=926331735","DNA")</f>
        <v>DNA</v>
      </c>
      <c r="D1509" s="18" t="s">
        <v>5847</v>
      </c>
      <c r="E1509" s="18" t="s">
        <v>5128</v>
      </c>
      <c r="F1509" s="2" t="s">
        <v>7987</v>
      </c>
      <c r="G1509" s="2" t="s">
        <v>861</v>
      </c>
      <c r="H1509" s="14">
        <v>0.7</v>
      </c>
      <c r="I1509" s="2" t="s">
        <v>267</v>
      </c>
      <c r="J1509" s="2" t="s">
        <v>5144</v>
      </c>
      <c r="K1509" s="2" t="s">
        <v>5221</v>
      </c>
      <c r="L1509" s="2" t="s">
        <v>5221</v>
      </c>
      <c r="M1509" s="2" t="s">
        <v>5221</v>
      </c>
      <c r="N1509" s="2" t="s">
        <v>2317</v>
      </c>
      <c r="O1509" s="14">
        <v>3400</v>
      </c>
      <c r="P1509" s="14">
        <v>96.29</v>
      </c>
      <c r="Q1509" s="14">
        <v>126.14</v>
      </c>
      <c r="R1509" s="14">
        <v>88.3</v>
      </c>
      <c r="S1509" s="2" t="s">
        <v>1495</v>
      </c>
      <c r="T1509" s="2">
        <v>1.01</v>
      </c>
      <c r="U1509" s="2">
        <v>63</v>
      </c>
      <c r="V1509" s="2">
        <v>59</v>
      </c>
      <c r="W1509" s="2" t="s">
        <v>7862</v>
      </c>
      <c r="X1509" s="2" t="s">
        <v>5405</v>
      </c>
      <c r="Y1509" s="2">
        <v>2380</v>
      </c>
      <c r="Z1509" s="19" t="str">
        <f>HYPERLINK("https://ssdweb.co/ssdweb/hd/Vision360.html?d=926331735&amp;zoomslide=1&amp;z=1926331735&amp;ISCONFIRM=0","VIDEO")</f>
        <v>VIDEO</v>
      </c>
      <c r="AA1509" s="19" t="str">
        <f>HYPERLINK("https://ssdweb.co/ssdweb/CERTH/642460566.pdf","CERTI")</f>
        <v>CERTI</v>
      </c>
    </row>
    <row r="1510" spans="1:27" ht="15" x14ac:dyDescent="0.25">
      <c r="A1510" s="2">
        <v>1505</v>
      </c>
      <c r="B1510" s="39">
        <v>927132412</v>
      </c>
      <c r="C1510" s="28" t="str">
        <f>HYPERLINK("https://pld.live/RapDetail.aspx?STONELIST=927132412","DNA")</f>
        <v>DNA</v>
      </c>
      <c r="D1510" s="18" t="s">
        <v>5847</v>
      </c>
      <c r="E1510" s="18" t="s">
        <v>5128</v>
      </c>
      <c r="F1510" s="2" t="s">
        <v>7987</v>
      </c>
      <c r="G1510" s="2" t="s">
        <v>861</v>
      </c>
      <c r="H1510" s="14">
        <v>0.7</v>
      </c>
      <c r="I1510" s="2" t="s">
        <v>267</v>
      </c>
      <c r="J1510" s="2" t="s">
        <v>5144</v>
      </c>
      <c r="K1510" s="2" t="s">
        <v>5221</v>
      </c>
      <c r="L1510" s="2" t="s">
        <v>5221</v>
      </c>
      <c r="M1510" s="2" t="s">
        <v>5721</v>
      </c>
      <c r="N1510" s="2" t="s">
        <v>2317</v>
      </c>
      <c r="O1510" s="14">
        <v>3400</v>
      </c>
      <c r="P1510" s="14">
        <v>96.24</v>
      </c>
      <c r="Q1510" s="14">
        <v>127.84</v>
      </c>
      <c r="R1510" s="14">
        <v>89.49</v>
      </c>
      <c r="S1510" s="2" t="s">
        <v>5727</v>
      </c>
      <c r="T1510" s="2">
        <v>1.01</v>
      </c>
      <c r="U1510" s="2">
        <v>58.4</v>
      </c>
      <c r="V1510" s="2">
        <v>62</v>
      </c>
      <c r="W1510" s="2" t="s">
        <v>7862</v>
      </c>
      <c r="X1510" s="2" t="s">
        <v>5405</v>
      </c>
      <c r="Y1510" s="2">
        <v>2380</v>
      </c>
      <c r="Z1510" s="19" t="str">
        <f>HYPERLINK("https://ssdweb.co/ssdweb/hd/Vision360.html?d=927132412&amp;zoomslide=1&amp;z=1927132412&amp;ISCONFIRM=0","VIDEO")</f>
        <v>VIDEO</v>
      </c>
      <c r="AA1510" s="19" t="str">
        <f>HYPERLINK("https://ssdweb.co/ssdweb/CERTH/671411153.pdf","CERTI")</f>
        <v>CERTI</v>
      </c>
    </row>
    <row r="1511" spans="1:27" ht="15" x14ac:dyDescent="0.25">
      <c r="A1511" s="2">
        <v>1506</v>
      </c>
      <c r="B1511" s="39">
        <v>925940413</v>
      </c>
      <c r="C1511" s="28" t="str">
        <f>HYPERLINK("https://pld.live/RapDetail.aspx?STONELIST=925940413","DNA")</f>
        <v>DNA</v>
      </c>
      <c r="D1511" s="18" t="s">
        <v>5847</v>
      </c>
      <c r="E1511" s="18" t="s">
        <v>5128</v>
      </c>
      <c r="F1511" s="2" t="s">
        <v>7987</v>
      </c>
      <c r="G1511" s="2" t="s">
        <v>861</v>
      </c>
      <c r="H1511" s="14">
        <v>0.7</v>
      </c>
      <c r="I1511" s="2" t="s">
        <v>267</v>
      </c>
      <c r="J1511" s="2" t="s">
        <v>5144</v>
      </c>
      <c r="K1511" s="2" t="s">
        <v>5221</v>
      </c>
      <c r="L1511" s="2" t="s">
        <v>5721</v>
      </c>
      <c r="M1511" s="2" t="s">
        <v>5221</v>
      </c>
      <c r="N1511" s="2" t="s">
        <v>2317</v>
      </c>
      <c r="O1511" s="14">
        <v>3400</v>
      </c>
      <c r="P1511" s="14">
        <v>96.41</v>
      </c>
      <c r="Q1511" s="14">
        <v>122.06</v>
      </c>
      <c r="R1511" s="14">
        <v>85.44</v>
      </c>
      <c r="S1511" s="2" t="s">
        <v>2651</v>
      </c>
      <c r="T1511" s="2">
        <v>1.01</v>
      </c>
      <c r="U1511" s="2">
        <v>59.6</v>
      </c>
      <c r="V1511" s="2">
        <v>60</v>
      </c>
      <c r="W1511" s="2" t="s">
        <v>7862</v>
      </c>
      <c r="X1511" s="2" t="s">
        <v>5405</v>
      </c>
      <c r="Y1511" s="2">
        <v>2380</v>
      </c>
      <c r="Z1511" s="19" t="str">
        <f>HYPERLINK("https://ssdweb.co/ssdweb/hd/Vision360.html?d=925940413&amp;zoomslide=1&amp;z=1925940413&amp;ISCONFIRM=0","VIDEO")</f>
        <v>VIDEO</v>
      </c>
      <c r="AA1511" s="19" t="str">
        <f>HYPERLINK("https://ssdweb.co/ssdweb/CERTH/627427294.pdf","CERTI")</f>
        <v>CERTI</v>
      </c>
    </row>
    <row r="1512" spans="1:27" ht="15" x14ac:dyDescent="0.25">
      <c r="A1512" s="2">
        <v>1507</v>
      </c>
      <c r="B1512" s="39">
        <v>926331706</v>
      </c>
      <c r="C1512" s="28" t="str">
        <f>HYPERLINK("https://pld.live/RapDetail.aspx?STONELIST=926331706","DNA")</f>
        <v>DNA</v>
      </c>
      <c r="D1512" s="18" t="s">
        <v>5847</v>
      </c>
      <c r="E1512" s="18" t="s">
        <v>5128</v>
      </c>
      <c r="F1512" s="2" t="s">
        <v>5597</v>
      </c>
      <c r="G1512" s="2" t="s">
        <v>861</v>
      </c>
      <c r="H1512" s="14">
        <v>0.7</v>
      </c>
      <c r="I1512" s="2" t="s">
        <v>267</v>
      </c>
      <c r="J1512" s="2" t="s">
        <v>444</v>
      </c>
      <c r="K1512" s="2" t="s">
        <v>5221</v>
      </c>
      <c r="L1512" s="2" t="s">
        <v>5221</v>
      </c>
      <c r="M1512" s="2" t="s">
        <v>5221</v>
      </c>
      <c r="N1512" s="2" t="s">
        <v>2317</v>
      </c>
      <c r="O1512" s="14">
        <v>3100</v>
      </c>
      <c r="P1512" s="14">
        <v>92.26</v>
      </c>
      <c r="Q1512" s="14">
        <v>239.94</v>
      </c>
      <c r="R1512" s="14">
        <v>167.96</v>
      </c>
      <c r="S1512" s="2" t="s">
        <v>4654</v>
      </c>
      <c r="T1512" s="2">
        <v>1.01</v>
      </c>
      <c r="U1512" s="2">
        <v>62.8</v>
      </c>
      <c r="V1512" s="2">
        <v>57</v>
      </c>
      <c r="W1512" s="2" t="s">
        <v>7862</v>
      </c>
      <c r="X1512" s="2" t="s">
        <v>5405</v>
      </c>
      <c r="Y1512" s="2">
        <v>2170</v>
      </c>
      <c r="Z1512" s="19" t="str">
        <f>HYPERLINK("https://ssdweb.co/ssdweb/hd/Vision360.html?d=926331706&amp;zoomslide=1&amp;z=1926331706&amp;ISCONFIRM=0","VIDEO")</f>
        <v>VIDEO</v>
      </c>
      <c r="AA1512" s="19" t="str">
        <f>HYPERLINK("https://ssdweb.co/ssdweb/CERTH/6492925555.pdf","CERTI")</f>
        <v>CERTI</v>
      </c>
    </row>
    <row r="1513" spans="1:27" ht="15" x14ac:dyDescent="0.25">
      <c r="A1513" s="2">
        <v>1508</v>
      </c>
      <c r="B1513" s="39">
        <v>926331734</v>
      </c>
      <c r="C1513" s="28" t="str">
        <f>HYPERLINK("https://pld.live/RapDetail.aspx?STONELIST=926331734","DNA")</f>
        <v>DNA</v>
      </c>
      <c r="D1513" s="18" t="s">
        <v>5847</v>
      </c>
      <c r="E1513" s="18" t="s">
        <v>5128</v>
      </c>
      <c r="F1513" s="2" t="s">
        <v>7987</v>
      </c>
      <c r="G1513" s="2" t="s">
        <v>861</v>
      </c>
      <c r="H1513" s="14">
        <v>0.7</v>
      </c>
      <c r="I1513" s="2" t="s">
        <v>4761</v>
      </c>
      <c r="J1513" s="2" t="s">
        <v>6555</v>
      </c>
      <c r="K1513" s="2" t="s">
        <v>5221</v>
      </c>
      <c r="L1513" s="2" t="s">
        <v>5221</v>
      </c>
      <c r="M1513" s="2" t="s">
        <v>5221</v>
      </c>
      <c r="N1513" s="2" t="s">
        <v>2317</v>
      </c>
      <c r="O1513" s="14">
        <v>5100</v>
      </c>
      <c r="P1513" s="14">
        <v>97.37</v>
      </c>
      <c r="Q1513" s="14">
        <v>134.13</v>
      </c>
      <c r="R1513" s="14">
        <v>93.89</v>
      </c>
      <c r="S1513" s="2" t="s">
        <v>4745</v>
      </c>
      <c r="T1513" s="2">
        <v>1.01</v>
      </c>
      <c r="U1513" s="2">
        <v>62.7</v>
      </c>
      <c r="V1513" s="2">
        <v>57</v>
      </c>
      <c r="W1513" s="2" t="s">
        <v>7862</v>
      </c>
      <c r="X1513" s="2" t="s">
        <v>5405</v>
      </c>
      <c r="Y1513" s="2">
        <v>3570</v>
      </c>
      <c r="Z1513" s="19" t="str">
        <f>HYPERLINK("https://ssdweb.co/ssdweb/hd/Vision360.html?d=926331734&amp;zoomslide=1&amp;z=1926331734&amp;ISCONFIRM=0","VIDEO")</f>
        <v>VIDEO</v>
      </c>
      <c r="AA1513" s="19" t="str">
        <f>HYPERLINK("https://ssdweb.co/ssdweb/CERTH/651401033.pdf","CERTI")</f>
        <v>CERTI</v>
      </c>
    </row>
    <row r="1514" spans="1:27" ht="15" x14ac:dyDescent="0.25">
      <c r="A1514" s="2">
        <v>1509</v>
      </c>
      <c r="B1514" s="39">
        <v>926211109</v>
      </c>
      <c r="C1514" s="28" t="str">
        <f>HYPERLINK("https://pld.live/RapDetail.aspx?STONELIST=926211109","DNA")</f>
        <v>DNA</v>
      </c>
      <c r="D1514" s="18" t="s">
        <v>5847</v>
      </c>
      <c r="E1514" s="18" t="s">
        <v>5128</v>
      </c>
      <c r="F1514" s="2" t="s">
        <v>7987</v>
      </c>
      <c r="G1514" s="2" t="s">
        <v>861</v>
      </c>
      <c r="H1514" s="14">
        <v>0.7</v>
      </c>
      <c r="I1514" s="2" t="s">
        <v>4761</v>
      </c>
      <c r="J1514" s="2" t="s">
        <v>6555</v>
      </c>
      <c r="K1514" s="2" t="s">
        <v>5221</v>
      </c>
      <c r="L1514" s="2" t="s">
        <v>5221</v>
      </c>
      <c r="M1514" s="2" t="s">
        <v>5721</v>
      </c>
      <c r="N1514" s="2" t="s">
        <v>2317</v>
      </c>
      <c r="O1514" s="14">
        <v>5100</v>
      </c>
      <c r="P1514" s="14">
        <v>97.41</v>
      </c>
      <c r="Q1514" s="14">
        <v>132.09</v>
      </c>
      <c r="R1514" s="14">
        <v>92.46</v>
      </c>
      <c r="S1514" s="2" t="s">
        <v>1773</v>
      </c>
      <c r="T1514" s="2">
        <v>1.01</v>
      </c>
      <c r="U1514" s="2">
        <v>63.5</v>
      </c>
      <c r="V1514" s="2">
        <v>59</v>
      </c>
      <c r="W1514" s="2" t="s">
        <v>7862</v>
      </c>
      <c r="X1514" s="2" t="s">
        <v>5405</v>
      </c>
      <c r="Y1514" s="2">
        <v>3570</v>
      </c>
      <c r="Z1514" s="19" t="str">
        <f>HYPERLINK("https://ssdweb.co/ssdweb/hd/Vision360.html?d=926211109&amp;zoomslide=1&amp;z=1926211109&amp;ISCONFIRM=0","VIDEO")</f>
        <v>VIDEO</v>
      </c>
      <c r="AA1514" s="19" t="str">
        <f>HYPERLINK("https://ssdweb.co/ssdweb/CERTH/638463083.pdf","CERTI")</f>
        <v>CERTI</v>
      </c>
    </row>
    <row r="1515" spans="1:27" ht="15" x14ac:dyDescent="0.25">
      <c r="A1515" s="2">
        <v>1510</v>
      </c>
      <c r="B1515" s="39">
        <v>926221223</v>
      </c>
      <c r="C1515" s="28" t="str">
        <f>HYPERLINK("https://pld.live/RapDetail.aspx?STONELIST=926221223","DNA")</f>
        <v>DNA</v>
      </c>
      <c r="D1515" s="18" t="s">
        <v>5847</v>
      </c>
      <c r="E1515" s="18" t="s">
        <v>5128</v>
      </c>
      <c r="F1515" s="2" t="s">
        <v>7987</v>
      </c>
      <c r="G1515" s="2" t="s">
        <v>861</v>
      </c>
      <c r="H1515" s="14">
        <v>0.7</v>
      </c>
      <c r="I1515" s="2" t="s">
        <v>4761</v>
      </c>
      <c r="J1515" s="2" t="s">
        <v>3942</v>
      </c>
      <c r="K1515" s="2" t="s">
        <v>3390</v>
      </c>
      <c r="L1515" s="2" t="s">
        <v>5221</v>
      </c>
      <c r="M1515" s="2" t="s">
        <v>5721</v>
      </c>
      <c r="N1515" s="2" t="s">
        <v>2317</v>
      </c>
      <c r="O1515" s="14">
        <v>4200</v>
      </c>
      <c r="P1515" s="14">
        <v>96.93</v>
      </c>
      <c r="Q1515" s="14">
        <v>128.94</v>
      </c>
      <c r="R1515" s="14">
        <v>90.26</v>
      </c>
      <c r="S1515" s="2" t="s">
        <v>2071</v>
      </c>
      <c r="T1515" s="2">
        <v>1.01</v>
      </c>
      <c r="U1515" s="2">
        <v>62.3</v>
      </c>
      <c r="V1515" s="2">
        <v>58</v>
      </c>
      <c r="W1515" s="2" t="s">
        <v>7862</v>
      </c>
      <c r="X1515" s="2" t="s">
        <v>5405</v>
      </c>
      <c r="Y1515" s="2">
        <v>2940</v>
      </c>
      <c r="Z1515" s="19" t="str">
        <f>HYPERLINK("https://ssdweb.co/ssdweb/hd/Vision360.html?d=926221223&amp;zoomslide=1&amp;z=1926221223&amp;ISCONFIRM=0","VIDEO")</f>
        <v>VIDEO</v>
      </c>
      <c r="AA1515" s="19" t="str">
        <f>HYPERLINK("https://ssdweb.co/ssdweb/CERTH/639438711.pdf","CERTI")</f>
        <v>CERTI</v>
      </c>
    </row>
    <row r="1516" spans="1:27" ht="15" x14ac:dyDescent="0.25">
      <c r="A1516" s="2">
        <v>1511</v>
      </c>
      <c r="B1516" s="39">
        <v>925800660</v>
      </c>
      <c r="C1516" s="28" t="str">
        <f>HYPERLINK("https://pld.live/RapDetail.aspx?STONELIST=925800660","DNA")</f>
        <v>DNA</v>
      </c>
      <c r="D1516" s="18" t="s">
        <v>5847</v>
      </c>
      <c r="E1516" s="18" t="s">
        <v>5128</v>
      </c>
      <c r="F1516" s="2" t="s">
        <v>7987</v>
      </c>
      <c r="G1516" s="2" t="s">
        <v>861</v>
      </c>
      <c r="H1516" s="14">
        <v>0.7</v>
      </c>
      <c r="I1516" s="2" t="s">
        <v>4761</v>
      </c>
      <c r="J1516" s="2" t="s">
        <v>3942</v>
      </c>
      <c r="K1516" s="2" t="s">
        <v>5221</v>
      </c>
      <c r="L1516" s="2" t="s">
        <v>5221</v>
      </c>
      <c r="M1516" s="2" t="s">
        <v>5221</v>
      </c>
      <c r="N1516" s="2" t="s">
        <v>2317</v>
      </c>
      <c r="O1516" s="14">
        <v>4200</v>
      </c>
      <c r="P1516" s="14">
        <v>96.93</v>
      </c>
      <c r="Q1516" s="14">
        <v>128.94</v>
      </c>
      <c r="R1516" s="14">
        <v>90.26</v>
      </c>
      <c r="S1516" s="2" t="s">
        <v>1879</v>
      </c>
      <c r="T1516" s="2">
        <v>1.01</v>
      </c>
      <c r="U1516" s="2">
        <v>58.2</v>
      </c>
      <c r="V1516" s="2">
        <v>63</v>
      </c>
      <c r="W1516" s="2" t="s">
        <v>7862</v>
      </c>
      <c r="X1516" s="2" t="s">
        <v>5405</v>
      </c>
      <c r="Y1516" s="2">
        <v>2940</v>
      </c>
      <c r="Z1516" s="19" t="str">
        <f>HYPERLINK("https://ssdweb.co/ssdweb/hd/Vision360.html?d=925800660&amp;zoomslide=1&amp;z=1925800660&amp;ISCONFIRM=0","VIDEO")</f>
        <v>VIDEO</v>
      </c>
      <c r="AA1516" s="19" t="str">
        <f>HYPERLINK("https://ssdweb.co/ssdweb/CERTH/625432171.pdf","CERTI")</f>
        <v>CERTI</v>
      </c>
    </row>
    <row r="1517" spans="1:27" ht="15" x14ac:dyDescent="0.25">
      <c r="A1517" s="2">
        <v>1512</v>
      </c>
      <c r="B1517" s="39">
        <v>926211248</v>
      </c>
      <c r="C1517" s="28" t="str">
        <f>HYPERLINK("https://pld.live/RapDetail.aspx?STONELIST=926211248","DNA")</f>
        <v>DNA</v>
      </c>
      <c r="D1517" s="18" t="s">
        <v>5847</v>
      </c>
      <c r="E1517" s="18" t="s">
        <v>5128</v>
      </c>
      <c r="F1517" s="2" t="s">
        <v>7987</v>
      </c>
      <c r="G1517" s="2" t="s">
        <v>861</v>
      </c>
      <c r="H1517" s="14">
        <v>0.7</v>
      </c>
      <c r="I1517" s="2" t="s">
        <v>4761</v>
      </c>
      <c r="J1517" s="2" t="s">
        <v>3942</v>
      </c>
      <c r="K1517" s="2" t="s">
        <v>5221</v>
      </c>
      <c r="L1517" s="2" t="s">
        <v>5221</v>
      </c>
      <c r="M1517" s="2" t="s">
        <v>5221</v>
      </c>
      <c r="N1517" s="2" t="s">
        <v>2317</v>
      </c>
      <c r="O1517" s="14">
        <v>4200</v>
      </c>
      <c r="P1517" s="14">
        <v>96.88</v>
      </c>
      <c r="Q1517" s="14">
        <v>131.04</v>
      </c>
      <c r="R1517" s="14">
        <v>91.73</v>
      </c>
      <c r="S1517" s="2" t="s">
        <v>4</v>
      </c>
      <c r="T1517" s="2">
        <v>1.01</v>
      </c>
      <c r="U1517" s="2">
        <v>63.1</v>
      </c>
      <c r="V1517" s="2">
        <v>58</v>
      </c>
      <c r="W1517" s="2" t="s">
        <v>7862</v>
      </c>
      <c r="X1517" s="2" t="s">
        <v>5405</v>
      </c>
      <c r="Y1517" s="2">
        <v>2940</v>
      </c>
      <c r="Z1517" s="19" t="str">
        <f>HYPERLINK("https://ssdweb.co/ssdweb/hd/Vision360.html?d=926211248&amp;zoomslide=1&amp;z=1926211248&amp;ISCONFIRM=0","VIDEO")</f>
        <v>VIDEO</v>
      </c>
      <c r="AA1517" s="19" t="str">
        <f>HYPERLINK("https://ssdweb.co/ssdweb/CERTH/639413126.pdf","CERTI")</f>
        <v>CERTI</v>
      </c>
    </row>
    <row r="1518" spans="1:27" ht="15" x14ac:dyDescent="0.25">
      <c r="A1518" s="2">
        <v>1513</v>
      </c>
      <c r="B1518" s="39">
        <v>926280682</v>
      </c>
      <c r="C1518" s="28" t="str">
        <f>HYPERLINK("https://pld.live/RapDetail.aspx?STONELIST=926280682","DNA")</f>
        <v>DNA</v>
      </c>
      <c r="D1518" s="18" t="s">
        <v>5847</v>
      </c>
      <c r="E1518" s="18" t="s">
        <v>5128</v>
      </c>
      <c r="F1518" s="2" t="s">
        <v>7987</v>
      </c>
      <c r="G1518" s="2" t="s">
        <v>861</v>
      </c>
      <c r="H1518" s="14">
        <v>0.7</v>
      </c>
      <c r="I1518" s="2" t="s">
        <v>4761</v>
      </c>
      <c r="J1518" s="2" t="s">
        <v>3942</v>
      </c>
      <c r="K1518" s="2" t="s">
        <v>5221</v>
      </c>
      <c r="L1518" s="2" t="s">
        <v>5221</v>
      </c>
      <c r="M1518" s="2" t="s">
        <v>5221</v>
      </c>
      <c r="N1518" s="2" t="s">
        <v>2317</v>
      </c>
      <c r="O1518" s="14">
        <v>4200</v>
      </c>
      <c r="P1518" s="14">
        <v>96.88</v>
      </c>
      <c r="Q1518" s="14">
        <v>131.04</v>
      </c>
      <c r="R1518" s="14">
        <v>91.73</v>
      </c>
      <c r="S1518" s="2" t="s">
        <v>7416</v>
      </c>
      <c r="T1518" s="2">
        <v>1.01</v>
      </c>
      <c r="U1518" s="2">
        <v>63.1</v>
      </c>
      <c r="V1518" s="2">
        <v>56</v>
      </c>
      <c r="W1518" s="2" t="s">
        <v>7862</v>
      </c>
      <c r="X1518" s="2" t="s">
        <v>5405</v>
      </c>
      <c r="Y1518" s="2">
        <v>2940</v>
      </c>
      <c r="Z1518" s="19" t="str">
        <f>HYPERLINK("https://ssdweb.co/ssdweb/hd/Vision360.html?d=926280682&amp;zoomslide=1&amp;z=1926280682&amp;ISCONFIRM=0","VIDEO")</f>
        <v>VIDEO</v>
      </c>
      <c r="AA1518" s="19" t="str">
        <f>HYPERLINK("https://ssdweb.co/ssdweb/CERTH/651401079.pdf","CERTI")</f>
        <v>CERTI</v>
      </c>
    </row>
    <row r="1519" spans="1:27" ht="15" x14ac:dyDescent="0.25">
      <c r="A1519" s="2">
        <v>1514</v>
      </c>
      <c r="B1519" s="39">
        <v>926211164</v>
      </c>
      <c r="C1519" s="28" t="str">
        <f>HYPERLINK("https://pld.live/RapDetail.aspx?STONELIST=926211164","DNA")</f>
        <v>DNA</v>
      </c>
      <c r="D1519" s="18" t="s">
        <v>5847</v>
      </c>
      <c r="E1519" s="18" t="s">
        <v>5128</v>
      </c>
      <c r="F1519" s="2" t="s">
        <v>7987</v>
      </c>
      <c r="G1519" s="2" t="s">
        <v>861</v>
      </c>
      <c r="H1519" s="14">
        <v>0.7</v>
      </c>
      <c r="I1519" s="2" t="s">
        <v>4761</v>
      </c>
      <c r="J1519" s="2" t="s">
        <v>3942</v>
      </c>
      <c r="K1519" s="2" t="s">
        <v>5221</v>
      </c>
      <c r="L1519" s="2" t="s">
        <v>5221</v>
      </c>
      <c r="M1519" s="2" t="s">
        <v>5221</v>
      </c>
      <c r="N1519" s="2" t="s">
        <v>2317</v>
      </c>
      <c r="O1519" s="14">
        <v>4200</v>
      </c>
      <c r="P1519" s="14">
        <v>96.88</v>
      </c>
      <c r="Q1519" s="14">
        <v>131.04</v>
      </c>
      <c r="R1519" s="14">
        <v>91.73</v>
      </c>
      <c r="S1519" s="2" t="s">
        <v>938</v>
      </c>
      <c r="T1519" s="2">
        <v>1.01</v>
      </c>
      <c r="U1519" s="2">
        <v>63.4</v>
      </c>
      <c r="V1519" s="2">
        <v>56</v>
      </c>
      <c r="W1519" s="2" t="s">
        <v>7862</v>
      </c>
      <c r="X1519" s="2" t="s">
        <v>5405</v>
      </c>
      <c r="Y1519" s="2">
        <v>2940</v>
      </c>
      <c r="Z1519" s="19" t="str">
        <f>HYPERLINK("https://ssdweb.co/ssdweb/hd/Vision360.html?d=926211164&amp;zoomslide=1&amp;z=1926211164&amp;ISCONFIRM=0","VIDEO")</f>
        <v>VIDEO</v>
      </c>
      <c r="AA1519" s="19" t="str">
        <f>HYPERLINK("https://ssdweb.co/ssdweb/CERTH/639406031.pdf","CERTI")</f>
        <v>CERTI</v>
      </c>
    </row>
    <row r="1520" spans="1:27" ht="15" x14ac:dyDescent="0.25">
      <c r="A1520" s="2">
        <v>1515</v>
      </c>
      <c r="B1520" s="39">
        <v>926280639</v>
      </c>
      <c r="C1520" s="28" t="str">
        <f>HYPERLINK("https://pld.live/RapDetail.aspx?STONELIST=926280639","DNA")</f>
        <v>DNA</v>
      </c>
      <c r="D1520" s="18" t="s">
        <v>5847</v>
      </c>
      <c r="E1520" s="18" t="s">
        <v>5128</v>
      </c>
      <c r="F1520" s="2" t="s">
        <v>7987</v>
      </c>
      <c r="G1520" s="2" t="s">
        <v>861</v>
      </c>
      <c r="H1520" s="14">
        <v>0.7</v>
      </c>
      <c r="I1520" s="2" t="s">
        <v>4761</v>
      </c>
      <c r="J1520" s="2" t="s">
        <v>3942</v>
      </c>
      <c r="K1520" s="2" t="s">
        <v>5221</v>
      </c>
      <c r="L1520" s="2" t="s">
        <v>5221</v>
      </c>
      <c r="M1520" s="2" t="s">
        <v>5221</v>
      </c>
      <c r="N1520" s="2" t="s">
        <v>2317</v>
      </c>
      <c r="O1520" s="14">
        <v>4200</v>
      </c>
      <c r="P1520" s="14">
        <v>96.79</v>
      </c>
      <c r="Q1520" s="14">
        <v>134.82</v>
      </c>
      <c r="R1520" s="14">
        <v>94.37</v>
      </c>
      <c r="S1520" s="2" t="s">
        <v>2651</v>
      </c>
      <c r="T1520" s="2">
        <v>1.01</v>
      </c>
      <c r="U1520" s="2">
        <v>59.5</v>
      </c>
      <c r="V1520" s="2">
        <v>62</v>
      </c>
      <c r="W1520" s="2" t="s">
        <v>7862</v>
      </c>
      <c r="X1520" s="2" t="s">
        <v>5405</v>
      </c>
      <c r="Y1520" s="2">
        <v>2940</v>
      </c>
      <c r="Z1520" s="19" t="str">
        <f>HYPERLINK("https://ssdweb.co/ssdweb/hd/Vision360.html?d=926280639&amp;zoomslide=1&amp;z=1926280639&amp;ISCONFIRM=0","VIDEO")</f>
        <v>VIDEO</v>
      </c>
      <c r="AA1520" s="19" t="str">
        <f>HYPERLINK("https://ssdweb.co/ssdweb/CERTH/681569609.pdf","CERTI")</f>
        <v>CERTI</v>
      </c>
    </row>
    <row r="1521" spans="1:27" ht="15" x14ac:dyDescent="0.25">
      <c r="A1521" s="2">
        <v>1516</v>
      </c>
      <c r="B1521" s="39">
        <v>926221198</v>
      </c>
      <c r="C1521" s="28" t="str">
        <f>HYPERLINK("https://pld.live/RapDetail.aspx?STONELIST=926221198","DNA")</f>
        <v>DNA</v>
      </c>
      <c r="D1521" s="18" t="s">
        <v>5847</v>
      </c>
      <c r="E1521" s="18" t="s">
        <v>5128</v>
      </c>
      <c r="F1521" s="2" t="s">
        <v>7987</v>
      </c>
      <c r="G1521" s="2" t="s">
        <v>861</v>
      </c>
      <c r="H1521" s="14">
        <v>0.7</v>
      </c>
      <c r="I1521" s="2" t="s">
        <v>4761</v>
      </c>
      <c r="J1521" s="2" t="s">
        <v>3942</v>
      </c>
      <c r="K1521" s="2" t="s">
        <v>5221</v>
      </c>
      <c r="L1521" s="2" t="s">
        <v>5221</v>
      </c>
      <c r="M1521" s="2" t="s">
        <v>5221</v>
      </c>
      <c r="N1521" s="2" t="s">
        <v>2317</v>
      </c>
      <c r="O1521" s="14">
        <v>4200</v>
      </c>
      <c r="P1521" s="14">
        <v>96.88</v>
      </c>
      <c r="Q1521" s="14">
        <v>131.04</v>
      </c>
      <c r="R1521" s="14">
        <v>91.73</v>
      </c>
      <c r="S1521" s="2" t="s">
        <v>23</v>
      </c>
      <c r="T1521" s="2">
        <v>1.01</v>
      </c>
      <c r="U1521" s="2">
        <v>62</v>
      </c>
      <c r="V1521" s="2">
        <v>61</v>
      </c>
      <c r="W1521" s="2" t="s">
        <v>7862</v>
      </c>
      <c r="X1521" s="2" t="s">
        <v>5405</v>
      </c>
      <c r="Y1521" s="2">
        <v>2940</v>
      </c>
      <c r="Z1521" s="19" t="str">
        <f>HYPERLINK("https://ssdweb.co/ssdweb/hd/Vision360.html?d=926221198&amp;zoomslide=1&amp;z=1926221198&amp;ISCONFIRM=0","VIDEO")</f>
        <v>VIDEO</v>
      </c>
      <c r="AA1521" s="19" t="str">
        <f>HYPERLINK("https://ssdweb.co/ssdweb/CERTH/639413113.pdf","CERTI")</f>
        <v>CERTI</v>
      </c>
    </row>
    <row r="1522" spans="1:27" ht="15" x14ac:dyDescent="0.25">
      <c r="A1522" s="2">
        <v>1517</v>
      </c>
      <c r="B1522" s="39">
        <v>926331629</v>
      </c>
      <c r="C1522" s="28" t="str">
        <f>HYPERLINK("https://pld.live/RapDetail.aspx?STONELIST=926331629","DNA")</f>
        <v>DNA</v>
      </c>
      <c r="D1522" s="18" t="s">
        <v>5847</v>
      </c>
      <c r="E1522" s="18" t="s">
        <v>5128</v>
      </c>
      <c r="F1522" s="2" t="s">
        <v>7987</v>
      </c>
      <c r="G1522" s="2" t="s">
        <v>861</v>
      </c>
      <c r="H1522" s="14">
        <v>0.7</v>
      </c>
      <c r="I1522" s="2" t="s">
        <v>4761</v>
      </c>
      <c r="J1522" s="2" t="s">
        <v>3942</v>
      </c>
      <c r="K1522" s="2" t="s">
        <v>5221</v>
      </c>
      <c r="L1522" s="2" t="s">
        <v>5221</v>
      </c>
      <c r="M1522" s="2" t="s">
        <v>5221</v>
      </c>
      <c r="N1522" s="2" t="s">
        <v>2317</v>
      </c>
      <c r="O1522" s="14">
        <v>4200</v>
      </c>
      <c r="P1522" s="14">
        <v>96.88</v>
      </c>
      <c r="Q1522" s="14">
        <v>131.04</v>
      </c>
      <c r="R1522" s="14">
        <v>91.73</v>
      </c>
      <c r="S1522" s="2" t="s">
        <v>1495</v>
      </c>
      <c r="T1522" s="2">
        <v>1.01</v>
      </c>
      <c r="U1522" s="2">
        <v>62.8</v>
      </c>
      <c r="V1522" s="2">
        <v>58</v>
      </c>
      <c r="W1522" s="2" t="s">
        <v>7862</v>
      </c>
      <c r="X1522" s="2" t="s">
        <v>5405</v>
      </c>
      <c r="Y1522" s="2">
        <v>2940</v>
      </c>
      <c r="Z1522" s="19" t="str">
        <f>HYPERLINK("https://ssdweb.co/ssdweb/hd/Vision360.html?d=926331629&amp;zoomslide=1&amp;z=1926331629&amp;ISCONFIRM=0","VIDEO")</f>
        <v>VIDEO</v>
      </c>
      <c r="AA1522" s="19" t="str">
        <f>HYPERLINK("https://ssdweb.co/ssdweb/CERTH/644466825.pdf","CERTI")</f>
        <v>CERTI</v>
      </c>
    </row>
    <row r="1523" spans="1:27" ht="15" x14ac:dyDescent="0.25">
      <c r="A1523" s="2">
        <v>1518</v>
      </c>
      <c r="B1523" s="39">
        <v>926280676</v>
      </c>
      <c r="C1523" s="28" t="str">
        <f>HYPERLINK("https://pld.live/RapDetail.aspx?STONELIST=926280676","DNA")</f>
        <v>DNA</v>
      </c>
      <c r="D1523" s="18" t="s">
        <v>5847</v>
      </c>
      <c r="E1523" s="18" t="s">
        <v>5128</v>
      </c>
      <c r="F1523" s="2" t="s">
        <v>7987</v>
      </c>
      <c r="G1523" s="2" t="s">
        <v>861</v>
      </c>
      <c r="H1523" s="14">
        <v>0.7</v>
      </c>
      <c r="I1523" s="2" t="s">
        <v>4761</v>
      </c>
      <c r="J1523" s="2" t="s">
        <v>3942</v>
      </c>
      <c r="K1523" s="2" t="s">
        <v>5221</v>
      </c>
      <c r="L1523" s="2" t="s">
        <v>5221</v>
      </c>
      <c r="M1523" s="2" t="s">
        <v>5721</v>
      </c>
      <c r="N1523" s="2" t="s">
        <v>2317</v>
      </c>
      <c r="O1523" s="14">
        <v>4200</v>
      </c>
      <c r="P1523" s="14">
        <v>96.93</v>
      </c>
      <c r="Q1523" s="14">
        <v>128.94</v>
      </c>
      <c r="R1523" s="14">
        <v>90.26</v>
      </c>
      <c r="S1523" s="2" t="s">
        <v>254</v>
      </c>
      <c r="T1523" s="2">
        <v>1.01</v>
      </c>
      <c r="U1523" s="2">
        <v>63</v>
      </c>
      <c r="V1523" s="2">
        <v>56</v>
      </c>
      <c r="W1523" s="2" t="s">
        <v>7862</v>
      </c>
      <c r="X1523" s="2" t="s">
        <v>5405</v>
      </c>
      <c r="Y1523" s="2">
        <v>2940</v>
      </c>
      <c r="Z1523" s="19" t="str">
        <f>HYPERLINK("https://ssdweb.co/ssdweb/hd/Vision360.html?d=926280676&amp;zoomslide=1&amp;z=1926280676&amp;ISCONFIRM=0","VIDEO")</f>
        <v>VIDEO</v>
      </c>
      <c r="AA1523" s="19" t="str">
        <f>HYPERLINK("https://ssdweb.co/ssdweb/CERTH/644472241.pdf","CERTI")</f>
        <v>CERTI</v>
      </c>
    </row>
    <row r="1524" spans="1:27" ht="15" x14ac:dyDescent="0.25">
      <c r="A1524" s="2">
        <v>1519</v>
      </c>
      <c r="B1524" s="39">
        <v>926291556</v>
      </c>
      <c r="C1524" s="28" t="str">
        <f>HYPERLINK("https://pld.live/RapDetail.aspx?STONELIST=926291556","DNA")</f>
        <v>DNA</v>
      </c>
      <c r="D1524" s="18" t="s">
        <v>5847</v>
      </c>
      <c r="E1524" s="18" t="s">
        <v>5128</v>
      </c>
      <c r="F1524" s="2" t="s">
        <v>7987</v>
      </c>
      <c r="G1524" s="2" t="s">
        <v>861</v>
      </c>
      <c r="H1524" s="14">
        <v>0.7</v>
      </c>
      <c r="I1524" s="2" t="s">
        <v>4761</v>
      </c>
      <c r="J1524" s="2" t="s">
        <v>3942</v>
      </c>
      <c r="K1524" s="2" t="s">
        <v>5221</v>
      </c>
      <c r="L1524" s="2" t="s">
        <v>5221</v>
      </c>
      <c r="M1524" s="2" t="s">
        <v>5721</v>
      </c>
      <c r="N1524" s="2" t="s">
        <v>2317</v>
      </c>
      <c r="O1524" s="14">
        <v>4200</v>
      </c>
      <c r="P1524" s="14">
        <v>96.93</v>
      </c>
      <c r="Q1524" s="14">
        <v>128.94</v>
      </c>
      <c r="R1524" s="14">
        <v>90.26</v>
      </c>
      <c r="S1524" s="2" t="s">
        <v>5083</v>
      </c>
      <c r="T1524" s="2">
        <v>1.01</v>
      </c>
      <c r="U1524" s="2">
        <v>63.3</v>
      </c>
      <c r="V1524" s="2">
        <v>55</v>
      </c>
      <c r="W1524" s="2" t="s">
        <v>7862</v>
      </c>
      <c r="X1524" s="2" t="s">
        <v>5405</v>
      </c>
      <c r="Y1524" s="2">
        <v>2940</v>
      </c>
      <c r="Z1524" s="19" t="str">
        <f>HYPERLINK("https://ssdweb.co/ssdweb/hd/Vision360.html?d=926291556&amp;zoomslide=1&amp;z=1926291556&amp;ISCONFIRM=0","VIDEO")</f>
        <v>VIDEO</v>
      </c>
      <c r="AA1524" s="19" t="str">
        <f>HYPERLINK("https://ssdweb.co/ssdweb/CERTH/644458732.pdf","CERTI")</f>
        <v>CERTI</v>
      </c>
    </row>
    <row r="1525" spans="1:27" ht="15" x14ac:dyDescent="0.25">
      <c r="A1525" s="2">
        <v>1520</v>
      </c>
      <c r="B1525" s="39">
        <v>926221379</v>
      </c>
      <c r="C1525" s="28" t="str">
        <f>HYPERLINK("https://pld.live/RapDetail.aspx?STONELIST=926221379","DNA")</f>
        <v>DNA</v>
      </c>
      <c r="D1525" s="18" t="s">
        <v>5847</v>
      </c>
      <c r="E1525" s="18" t="s">
        <v>5128</v>
      </c>
      <c r="F1525" s="2" t="s">
        <v>7987</v>
      </c>
      <c r="G1525" s="2" t="s">
        <v>861</v>
      </c>
      <c r="H1525" s="14">
        <v>0.7</v>
      </c>
      <c r="I1525" s="2" t="s">
        <v>4761</v>
      </c>
      <c r="J1525" s="2" t="s">
        <v>13</v>
      </c>
      <c r="K1525" s="2" t="s">
        <v>5221</v>
      </c>
      <c r="L1525" s="2" t="s">
        <v>5221</v>
      </c>
      <c r="M1525" s="2" t="s">
        <v>5221</v>
      </c>
      <c r="N1525" s="2" t="s">
        <v>2317</v>
      </c>
      <c r="O1525" s="14">
        <v>3700</v>
      </c>
      <c r="P1525" s="14">
        <v>96.59</v>
      </c>
      <c r="Q1525" s="14">
        <v>126.17</v>
      </c>
      <c r="R1525" s="14">
        <v>88.32</v>
      </c>
      <c r="S1525" s="2" t="s">
        <v>322</v>
      </c>
      <c r="T1525" s="2">
        <v>1.01</v>
      </c>
      <c r="U1525" s="2">
        <v>61.4</v>
      </c>
      <c r="V1525" s="2">
        <v>62</v>
      </c>
      <c r="W1525" s="2" t="s">
        <v>7862</v>
      </c>
      <c r="X1525" s="2" t="s">
        <v>5405</v>
      </c>
      <c r="Y1525" s="2">
        <v>2590</v>
      </c>
      <c r="Z1525" s="19" t="str">
        <f>HYPERLINK("https://ssdweb.co/ssdweb/hd/Vision360.html?d=926221379&amp;zoomslide=1&amp;z=1926221379&amp;ISCONFIRM=0","VIDEO")</f>
        <v>VIDEO</v>
      </c>
      <c r="AA1525" s="19" t="str">
        <f>HYPERLINK("https://ssdweb.co/ssdweb/CERTH/640419130.pdf","CERTI")</f>
        <v>CERTI</v>
      </c>
    </row>
    <row r="1526" spans="1:27" ht="15" x14ac:dyDescent="0.25">
      <c r="A1526" s="2">
        <v>1521</v>
      </c>
      <c r="B1526" s="39">
        <v>926221204</v>
      </c>
      <c r="C1526" s="28" t="str">
        <f>HYPERLINK("https://pld.live/RapDetail.aspx?STONELIST=926221204","DNA")</f>
        <v>DNA</v>
      </c>
      <c r="D1526" s="18" t="s">
        <v>5847</v>
      </c>
      <c r="E1526" s="18" t="s">
        <v>5128</v>
      </c>
      <c r="F1526" s="2" t="s">
        <v>7987</v>
      </c>
      <c r="G1526" s="2" t="s">
        <v>861</v>
      </c>
      <c r="H1526" s="14">
        <v>0.7</v>
      </c>
      <c r="I1526" s="2" t="s">
        <v>4761</v>
      </c>
      <c r="J1526" s="2" t="s">
        <v>13</v>
      </c>
      <c r="K1526" s="2" t="s">
        <v>5221</v>
      </c>
      <c r="L1526" s="2" t="s">
        <v>5221</v>
      </c>
      <c r="M1526" s="2" t="s">
        <v>5221</v>
      </c>
      <c r="N1526" s="2" t="s">
        <v>2317</v>
      </c>
      <c r="O1526" s="14">
        <v>3700</v>
      </c>
      <c r="P1526" s="14">
        <v>96.59</v>
      </c>
      <c r="Q1526" s="14">
        <v>126.17</v>
      </c>
      <c r="R1526" s="14">
        <v>88.32</v>
      </c>
      <c r="S1526" s="2" t="s">
        <v>6852</v>
      </c>
      <c r="T1526" s="2">
        <v>1</v>
      </c>
      <c r="U1526" s="2">
        <v>62.8</v>
      </c>
      <c r="V1526" s="2">
        <v>57</v>
      </c>
      <c r="W1526" s="2" t="s">
        <v>7862</v>
      </c>
      <c r="X1526" s="2" t="s">
        <v>5405</v>
      </c>
      <c r="Y1526" s="2">
        <v>2590</v>
      </c>
      <c r="Z1526" s="19" t="str">
        <f>HYPERLINK("https://ssdweb.co/ssdweb/hd/Vision360.html?d=926221204&amp;zoomslide=1&amp;z=1926221204&amp;ISCONFIRM=0","VIDEO")</f>
        <v>VIDEO</v>
      </c>
      <c r="AA1526" s="19" t="str">
        <f>HYPERLINK("https://ssdweb.co/ssdweb/CERTH/639413118.pdf","CERTI")</f>
        <v>CERTI</v>
      </c>
    </row>
    <row r="1527" spans="1:27" ht="15" x14ac:dyDescent="0.25">
      <c r="A1527" s="2">
        <v>1522</v>
      </c>
      <c r="B1527" s="39">
        <v>926331602</v>
      </c>
      <c r="C1527" s="28" t="str">
        <f>HYPERLINK("https://pld.live/RapDetail.aspx?STONELIST=926331602","DNA")</f>
        <v>DNA</v>
      </c>
      <c r="D1527" s="18" t="s">
        <v>5847</v>
      </c>
      <c r="E1527" s="18" t="s">
        <v>5128</v>
      </c>
      <c r="F1527" s="2" t="s">
        <v>7987</v>
      </c>
      <c r="G1527" s="2" t="s">
        <v>861</v>
      </c>
      <c r="H1527" s="14">
        <v>0.7</v>
      </c>
      <c r="I1527" s="2" t="s">
        <v>4761</v>
      </c>
      <c r="J1527" s="2" t="s">
        <v>13</v>
      </c>
      <c r="K1527" s="2" t="s">
        <v>5221</v>
      </c>
      <c r="L1527" s="2" t="s">
        <v>5221</v>
      </c>
      <c r="M1527" s="2" t="s">
        <v>5221</v>
      </c>
      <c r="N1527" s="2" t="s">
        <v>2317</v>
      </c>
      <c r="O1527" s="14">
        <v>3700</v>
      </c>
      <c r="P1527" s="14">
        <v>96.59</v>
      </c>
      <c r="Q1527" s="14">
        <v>126.17</v>
      </c>
      <c r="R1527" s="14">
        <v>88.32</v>
      </c>
      <c r="S1527" s="2" t="s">
        <v>79</v>
      </c>
      <c r="T1527" s="2">
        <v>1.01</v>
      </c>
      <c r="U1527" s="2">
        <v>63.3</v>
      </c>
      <c r="V1527" s="2">
        <v>57</v>
      </c>
      <c r="W1527" s="2" t="s">
        <v>7862</v>
      </c>
      <c r="X1527" s="2" t="s">
        <v>5405</v>
      </c>
      <c r="Y1527" s="2">
        <v>2590</v>
      </c>
      <c r="Z1527" s="19" t="str">
        <f>HYPERLINK("https://ssdweb.co/ssdweb/hd/Vision360.html?d=926331602&amp;zoomslide=1&amp;z=1926331602&amp;ISCONFIRM=0","VIDEO")</f>
        <v>VIDEO</v>
      </c>
      <c r="AA1527" s="19" t="str">
        <f>HYPERLINK("https://ssdweb.co/ssdweb/CERTH/644472381.pdf","CERTI")</f>
        <v>CERTI</v>
      </c>
    </row>
    <row r="1528" spans="1:27" ht="15" x14ac:dyDescent="0.25">
      <c r="A1528" s="2">
        <v>1523</v>
      </c>
      <c r="B1528" s="39">
        <v>926331780</v>
      </c>
      <c r="C1528" s="28" t="str">
        <f>HYPERLINK("https://pld.live/RapDetail.aspx?STONELIST=926331780","DNA")</f>
        <v>DNA</v>
      </c>
      <c r="D1528" s="18" t="s">
        <v>5847</v>
      </c>
      <c r="E1528" s="18" t="s">
        <v>5128</v>
      </c>
      <c r="F1528" s="2" t="s">
        <v>7987</v>
      </c>
      <c r="G1528" s="2" t="s">
        <v>861</v>
      </c>
      <c r="H1528" s="14">
        <v>0.7</v>
      </c>
      <c r="I1528" s="2" t="s">
        <v>4761</v>
      </c>
      <c r="J1528" s="2" t="s">
        <v>13</v>
      </c>
      <c r="K1528" s="2" t="s">
        <v>5221</v>
      </c>
      <c r="L1528" s="2" t="s">
        <v>5221</v>
      </c>
      <c r="M1528" s="2" t="s">
        <v>5221</v>
      </c>
      <c r="N1528" s="2" t="s">
        <v>2317</v>
      </c>
      <c r="O1528" s="14">
        <v>3700</v>
      </c>
      <c r="P1528" s="14">
        <v>96.59</v>
      </c>
      <c r="Q1528" s="14">
        <v>126.17</v>
      </c>
      <c r="R1528" s="14">
        <v>88.32</v>
      </c>
      <c r="S1528" s="2" t="s">
        <v>6495</v>
      </c>
      <c r="T1528" s="2">
        <v>1.01</v>
      </c>
      <c r="U1528" s="2">
        <v>62.7</v>
      </c>
      <c r="V1528" s="2">
        <v>57</v>
      </c>
      <c r="W1528" s="2" t="s">
        <v>7862</v>
      </c>
      <c r="X1528" s="2" t="s">
        <v>5405</v>
      </c>
      <c r="Y1528" s="2">
        <v>2590</v>
      </c>
      <c r="Z1528" s="19" t="str">
        <f>HYPERLINK("https://ssdweb.co/ssdweb/hd/Vision360.html?d=926331780&amp;zoomslide=1&amp;z=1926331780&amp;ISCONFIRM=0","VIDEO")</f>
        <v>VIDEO</v>
      </c>
      <c r="AA1528" s="19" t="str">
        <f>HYPERLINK("https://ssdweb.co/ssdweb/CERTH/644466828.pdf","CERTI")</f>
        <v>CERTI</v>
      </c>
    </row>
    <row r="1529" spans="1:27" ht="15" x14ac:dyDescent="0.25">
      <c r="A1529" s="2">
        <v>1524</v>
      </c>
      <c r="B1529" s="39">
        <v>926331659</v>
      </c>
      <c r="C1529" s="28" t="str">
        <f>HYPERLINK("https://pld.live/RapDetail.aspx?STONELIST=926331659","DNA")</f>
        <v>DNA</v>
      </c>
      <c r="D1529" s="18" t="s">
        <v>5847</v>
      </c>
      <c r="E1529" s="18" t="s">
        <v>5128</v>
      </c>
      <c r="F1529" s="2" t="s">
        <v>7987</v>
      </c>
      <c r="G1529" s="2" t="s">
        <v>861</v>
      </c>
      <c r="H1529" s="14">
        <v>0.7</v>
      </c>
      <c r="I1529" s="2" t="s">
        <v>4761</v>
      </c>
      <c r="J1529" s="2" t="s">
        <v>13</v>
      </c>
      <c r="K1529" s="2" t="s">
        <v>5221</v>
      </c>
      <c r="L1529" s="2" t="s">
        <v>5221</v>
      </c>
      <c r="M1529" s="2" t="s">
        <v>5221</v>
      </c>
      <c r="N1529" s="2" t="s">
        <v>2317</v>
      </c>
      <c r="O1529" s="14">
        <v>3700</v>
      </c>
      <c r="P1529" s="14">
        <v>96.59</v>
      </c>
      <c r="Q1529" s="14">
        <v>126.17</v>
      </c>
      <c r="R1529" s="14">
        <v>88.32</v>
      </c>
      <c r="S1529" s="2" t="s">
        <v>1583</v>
      </c>
      <c r="T1529" s="2">
        <v>1.01</v>
      </c>
      <c r="U1529" s="2">
        <v>62.9</v>
      </c>
      <c r="V1529" s="2">
        <v>56</v>
      </c>
      <c r="W1529" s="2" t="s">
        <v>7862</v>
      </c>
      <c r="X1529" s="2" t="s">
        <v>5405</v>
      </c>
      <c r="Y1529" s="2">
        <v>2590</v>
      </c>
      <c r="Z1529" s="19" t="str">
        <f>HYPERLINK("https://ssdweb.co/ssdweb/hd/Vision360.html?d=926331659&amp;zoomslide=1&amp;z=1926331659&amp;ISCONFIRM=0","VIDEO")</f>
        <v>VIDEO</v>
      </c>
      <c r="AA1529" s="19" t="str">
        <f>HYPERLINK("https://ssdweb.co/ssdweb/CERTH/644472382.pdf","CERTI")</f>
        <v>CERTI</v>
      </c>
    </row>
    <row r="1530" spans="1:27" ht="15" x14ac:dyDescent="0.25">
      <c r="A1530" s="2">
        <v>1525</v>
      </c>
      <c r="B1530" s="39">
        <v>926280705</v>
      </c>
      <c r="C1530" s="28" t="str">
        <f>HYPERLINK("https://pld.live/RapDetail.aspx?STONELIST=926280705","DNA")</f>
        <v>DNA</v>
      </c>
      <c r="D1530" s="18" t="s">
        <v>5847</v>
      </c>
      <c r="E1530" s="18" t="s">
        <v>5128</v>
      </c>
      <c r="F1530" s="2" t="s">
        <v>7987</v>
      </c>
      <c r="G1530" s="2" t="s">
        <v>861</v>
      </c>
      <c r="H1530" s="14">
        <v>0.7</v>
      </c>
      <c r="I1530" s="2" t="s">
        <v>4761</v>
      </c>
      <c r="J1530" s="2" t="s">
        <v>5144</v>
      </c>
      <c r="K1530" s="2" t="s">
        <v>5221</v>
      </c>
      <c r="L1530" s="2" t="s">
        <v>5221</v>
      </c>
      <c r="M1530" s="2" t="s">
        <v>5221</v>
      </c>
      <c r="N1530" s="2" t="s">
        <v>2317</v>
      </c>
      <c r="O1530" s="14">
        <v>3200</v>
      </c>
      <c r="P1530" s="14">
        <v>96.13</v>
      </c>
      <c r="Q1530" s="14">
        <v>123.84</v>
      </c>
      <c r="R1530" s="14">
        <v>86.69</v>
      </c>
      <c r="S1530" s="2" t="s">
        <v>7488</v>
      </c>
      <c r="T1530" s="2">
        <v>1.01</v>
      </c>
      <c r="U1530" s="2">
        <v>62.2</v>
      </c>
      <c r="V1530" s="2">
        <v>58</v>
      </c>
      <c r="W1530" s="2" t="s">
        <v>7862</v>
      </c>
      <c r="X1530" s="2" t="s">
        <v>5405</v>
      </c>
      <c r="Y1530" s="2">
        <v>2240</v>
      </c>
      <c r="Z1530" s="19" t="str">
        <f>HYPERLINK("https://ssdweb.co/ssdweb/hd/Vision360.html?d=926280705&amp;zoomslide=1&amp;z=1926280705&amp;ISCONFIRM=0","VIDEO")</f>
        <v>VIDEO</v>
      </c>
      <c r="AA1530" s="19" t="str">
        <f>HYPERLINK("https://ssdweb.co/ssdweb/CERTH/646472946.pdf","CERTI")</f>
        <v>CERTI</v>
      </c>
    </row>
    <row r="1531" spans="1:27" ht="15" x14ac:dyDescent="0.25">
      <c r="A1531" s="2">
        <v>1526</v>
      </c>
      <c r="B1531" s="39">
        <v>926221426</v>
      </c>
      <c r="C1531" s="28" t="str">
        <f>HYPERLINK("https://pld.live/RapDetail.aspx?STONELIST=926221426","DNA")</f>
        <v>DNA</v>
      </c>
      <c r="D1531" s="18" t="s">
        <v>5847</v>
      </c>
      <c r="E1531" s="18" t="s">
        <v>5128</v>
      </c>
      <c r="F1531" s="2" t="s">
        <v>7987</v>
      </c>
      <c r="G1531" s="2" t="s">
        <v>861</v>
      </c>
      <c r="H1531" s="14">
        <v>0.7</v>
      </c>
      <c r="I1531" s="2" t="s">
        <v>4761</v>
      </c>
      <c r="J1531" s="2" t="s">
        <v>5144</v>
      </c>
      <c r="K1531" s="2" t="s">
        <v>5221</v>
      </c>
      <c r="L1531" s="2" t="s">
        <v>5221</v>
      </c>
      <c r="M1531" s="2" t="s">
        <v>5221</v>
      </c>
      <c r="N1531" s="2" t="s">
        <v>2317</v>
      </c>
      <c r="O1531" s="14">
        <v>3200</v>
      </c>
      <c r="P1531" s="14">
        <v>96.13</v>
      </c>
      <c r="Q1531" s="14">
        <v>123.84</v>
      </c>
      <c r="R1531" s="14">
        <v>86.69</v>
      </c>
      <c r="S1531" s="2" t="s">
        <v>594</v>
      </c>
      <c r="T1531" s="2">
        <v>1.01</v>
      </c>
      <c r="U1531" s="2">
        <v>63.6</v>
      </c>
      <c r="V1531" s="2">
        <v>59</v>
      </c>
      <c r="W1531" s="2" t="s">
        <v>7862</v>
      </c>
      <c r="X1531" s="2" t="s">
        <v>5405</v>
      </c>
      <c r="Y1531" s="2">
        <v>2240</v>
      </c>
      <c r="Z1531" s="19" t="str">
        <f>HYPERLINK("https://ssdweb.co/ssdweb/hd/Vision360.html?d=926221426&amp;zoomslide=1&amp;z=1926221426&amp;ISCONFIRM=0","VIDEO")</f>
        <v>VIDEO</v>
      </c>
      <c r="AA1531" s="19" t="str">
        <f>HYPERLINK("https://ssdweb.co/ssdweb/CERTH/640485542.pdf","CERTI")</f>
        <v>CERTI</v>
      </c>
    </row>
    <row r="1532" spans="1:27" ht="15" x14ac:dyDescent="0.25">
      <c r="A1532" s="2">
        <v>1527</v>
      </c>
      <c r="B1532" s="39">
        <v>926331593</v>
      </c>
      <c r="C1532" s="28" t="str">
        <f>HYPERLINK("https://pld.live/RapDetail.aspx?STONELIST=926331593","DNA")</f>
        <v>DNA</v>
      </c>
      <c r="D1532" s="18" t="s">
        <v>5847</v>
      </c>
      <c r="E1532" s="18" t="s">
        <v>5128</v>
      </c>
      <c r="F1532" s="2" t="s">
        <v>7987</v>
      </c>
      <c r="G1532" s="2" t="s">
        <v>861</v>
      </c>
      <c r="H1532" s="14">
        <v>0.7</v>
      </c>
      <c r="I1532" s="2" t="s">
        <v>4761</v>
      </c>
      <c r="J1532" s="2" t="s">
        <v>5144</v>
      </c>
      <c r="K1532" s="2" t="s">
        <v>5221</v>
      </c>
      <c r="L1532" s="2" t="s">
        <v>5221</v>
      </c>
      <c r="M1532" s="2" t="s">
        <v>5221</v>
      </c>
      <c r="N1532" s="2" t="s">
        <v>2317</v>
      </c>
      <c r="O1532" s="14">
        <v>3200</v>
      </c>
      <c r="P1532" s="14">
        <v>96.13</v>
      </c>
      <c r="Q1532" s="14">
        <v>123.84</v>
      </c>
      <c r="R1532" s="14">
        <v>86.69</v>
      </c>
      <c r="S1532" s="2" t="s">
        <v>6990</v>
      </c>
      <c r="T1532" s="2">
        <v>1.01</v>
      </c>
      <c r="U1532" s="2">
        <v>63.4</v>
      </c>
      <c r="V1532" s="2">
        <v>57</v>
      </c>
      <c r="W1532" s="2" t="s">
        <v>7862</v>
      </c>
      <c r="X1532" s="2" t="s">
        <v>5405</v>
      </c>
      <c r="Y1532" s="2">
        <v>2240</v>
      </c>
      <c r="Z1532" s="19" t="str">
        <f>HYPERLINK("https://ssdweb.co/ssdweb/hd/Vision360.html?d=926331593&amp;zoomslide=1&amp;z=1926331593&amp;ISCONFIRM=0","VIDEO")</f>
        <v>VIDEO</v>
      </c>
      <c r="AA1532" s="19" t="str">
        <f>HYPERLINK("https://ssdweb.co/ssdweb/CERTH/646472849.pdf","CERTI")</f>
        <v>CERTI</v>
      </c>
    </row>
    <row r="1533" spans="1:27" ht="15" x14ac:dyDescent="0.25">
      <c r="A1533" s="2">
        <v>1528</v>
      </c>
      <c r="B1533" s="39">
        <v>926331769</v>
      </c>
      <c r="C1533" s="28" t="str">
        <f>HYPERLINK("https://pld.live/RapDetail.aspx?STONELIST=926331769","DNA")</f>
        <v>DNA</v>
      </c>
      <c r="D1533" s="18" t="s">
        <v>5847</v>
      </c>
      <c r="E1533" s="18" t="s">
        <v>5128</v>
      </c>
      <c r="F1533" s="2" t="s">
        <v>7987</v>
      </c>
      <c r="G1533" s="2" t="s">
        <v>861</v>
      </c>
      <c r="H1533" s="14">
        <v>0.7</v>
      </c>
      <c r="I1533" s="2" t="s">
        <v>4761</v>
      </c>
      <c r="J1533" s="2" t="s">
        <v>5144</v>
      </c>
      <c r="K1533" s="2" t="s">
        <v>5221</v>
      </c>
      <c r="L1533" s="2" t="s">
        <v>5221</v>
      </c>
      <c r="M1533" s="2" t="s">
        <v>5221</v>
      </c>
      <c r="N1533" s="2" t="s">
        <v>2317</v>
      </c>
      <c r="O1533" s="14">
        <v>3200</v>
      </c>
      <c r="P1533" s="14">
        <v>96.13</v>
      </c>
      <c r="Q1533" s="14">
        <v>123.84</v>
      </c>
      <c r="R1533" s="14">
        <v>86.69</v>
      </c>
      <c r="S1533" s="2" t="s">
        <v>4518</v>
      </c>
      <c r="T1533" s="2">
        <v>1.01</v>
      </c>
      <c r="U1533" s="2">
        <v>63.5</v>
      </c>
      <c r="V1533" s="2">
        <v>56</v>
      </c>
      <c r="W1533" s="2" t="s">
        <v>7862</v>
      </c>
      <c r="X1533" s="2" t="s">
        <v>5405</v>
      </c>
      <c r="Y1533" s="2">
        <v>2240</v>
      </c>
      <c r="Z1533" s="19" t="str">
        <f>HYPERLINK("https://ssdweb.co/ssdweb/hd/Vision360.html?d=926331769&amp;zoomslide=1&amp;z=1926331769&amp;ISCONFIRM=0","VIDEO")</f>
        <v>VIDEO</v>
      </c>
      <c r="AA1533" s="19" t="str">
        <f>HYPERLINK("https://ssdweb.co/ssdweb/CERTH/646472857.pdf","CERTI")</f>
        <v>CERTI</v>
      </c>
    </row>
    <row r="1534" spans="1:27" ht="15" x14ac:dyDescent="0.25">
      <c r="A1534" s="2">
        <v>1529</v>
      </c>
      <c r="B1534" s="39">
        <v>926311362</v>
      </c>
      <c r="C1534" s="28" t="str">
        <f>HYPERLINK("https://pld.live/RapDetail.aspx?STONELIST=926311362","DNA")</f>
        <v>DNA</v>
      </c>
      <c r="D1534" s="18" t="s">
        <v>5847</v>
      </c>
      <c r="E1534" s="18" t="s">
        <v>5128</v>
      </c>
      <c r="F1534" s="2" t="s">
        <v>7987</v>
      </c>
      <c r="G1534" s="2" t="s">
        <v>861</v>
      </c>
      <c r="H1534" s="14">
        <v>0.7</v>
      </c>
      <c r="I1534" s="2" t="s">
        <v>4761</v>
      </c>
      <c r="J1534" s="2" t="s">
        <v>5144</v>
      </c>
      <c r="K1534" s="2" t="s">
        <v>5221</v>
      </c>
      <c r="L1534" s="2" t="s">
        <v>5221</v>
      </c>
      <c r="M1534" s="2" t="s">
        <v>5221</v>
      </c>
      <c r="N1534" s="2" t="s">
        <v>2317</v>
      </c>
      <c r="O1534" s="14">
        <v>3200</v>
      </c>
      <c r="P1534" s="14">
        <v>96.13</v>
      </c>
      <c r="Q1534" s="14">
        <v>123.84</v>
      </c>
      <c r="R1534" s="14">
        <v>86.69</v>
      </c>
      <c r="S1534" s="2" t="s">
        <v>4223</v>
      </c>
      <c r="T1534" s="2">
        <v>1.01</v>
      </c>
      <c r="U1534" s="2">
        <v>62.6</v>
      </c>
      <c r="V1534" s="2">
        <v>56</v>
      </c>
      <c r="W1534" s="2" t="s">
        <v>7862</v>
      </c>
      <c r="X1534" s="2" t="s">
        <v>5405</v>
      </c>
      <c r="Y1534" s="2">
        <v>2240</v>
      </c>
      <c r="Z1534" s="19" t="str">
        <f>HYPERLINK("https://ssdweb.co/ssdweb/hd/Vision360.html?d=926311362&amp;zoomslide=1&amp;z=1926311362&amp;ISCONFIRM=0","VIDEO")</f>
        <v>VIDEO</v>
      </c>
      <c r="AA1534" s="19" t="str">
        <f>HYPERLINK("https://ssdweb.co/ssdweb/CERTH/643427968.pdf","CERTI")</f>
        <v>CERTI</v>
      </c>
    </row>
    <row r="1535" spans="1:27" ht="15" x14ac:dyDescent="0.25">
      <c r="A1535" s="2">
        <v>1530</v>
      </c>
      <c r="B1535" s="39">
        <v>926331718</v>
      </c>
      <c r="C1535" s="28" t="str">
        <f>HYPERLINK("https://pld.live/RapDetail.aspx?STONELIST=926331718","DNA")</f>
        <v>DNA</v>
      </c>
      <c r="D1535" s="18" t="s">
        <v>5847</v>
      </c>
      <c r="E1535" s="18" t="s">
        <v>5128</v>
      </c>
      <c r="F1535" s="2" t="s">
        <v>5597</v>
      </c>
      <c r="G1535" s="2" t="s">
        <v>861</v>
      </c>
      <c r="H1535" s="14">
        <v>0.7</v>
      </c>
      <c r="I1535" s="2" t="s">
        <v>4761</v>
      </c>
      <c r="J1535" s="2" t="s">
        <v>5144</v>
      </c>
      <c r="K1535" s="2" t="s">
        <v>5221</v>
      </c>
      <c r="L1535" s="2" t="s">
        <v>5221</v>
      </c>
      <c r="M1535" s="2" t="s">
        <v>5221</v>
      </c>
      <c r="N1535" s="2" t="s">
        <v>2317</v>
      </c>
      <c r="O1535" s="14">
        <v>3200</v>
      </c>
      <c r="P1535" s="14">
        <v>92.16</v>
      </c>
      <c r="Q1535" s="14">
        <v>250.88</v>
      </c>
      <c r="R1535" s="14">
        <v>175.62</v>
      </c>
      <c r="S1535" s="2" t="s">
        <v>6301</v>
      </c>
      <c r="T1535" s="2">
        <v>1.01</v>
      </c>
      <c r="U1535" s="2">
        <v>62.8</v>
      </c>
      <c r="V1535" s="2">
        <v>56</v>
      </c>
      <c r="W1535" s="2" t="s">
        <v>7862</v>
      </c>
      <c r="X1535" s="2" t="s">
        <v>5405</v>
      </c>
      <c r="Y1535" s="2">
        <v>2240</v>
      </c>
      <c r="Z1535" s="19" t="str">
        <f>HYPERLINK("https://ssdweb.co/ssdweb/hd/Vision360.html?d=926331718&amp;zoomslide=1&amp;z=1926331718&amp;ISCONFIRM=0","VIDEO")</f>
        <v>VIDEO</v>
      </c>
      <c r="AA1535" s="19" t="str">
        <f>HYPERLINK("https://ssdweb.co/ssdweb/CERTH/6495925413.pdf","CERTI")</f>
        <v>CERTI</v>
      </c>
    </row>
    <row r="1536" spans="1:27" ht="15" x14ac:dyDescent="0.25">
      <c r="A1536" s="2">
        <v>1531</v>
      </c>
      <c r="B1536" s="39">
        <v>926460731</v>
      </c>
      <c r="C1536" s="28" t="str">
        <f>HYPERLINK("https://pld.live/RapDetail.aspx?STONELIST=926460731","DNA")</f>
        <v>DNA</v>
      </c>
      <c r="D1536" s="18" t="s">
        <v>1924</v>
      </c>
      <c r="E1536" s="18" t="s">
        <v>5128</v>
      </c>
      <c r="F1536" s="2" t="s">
        <v>7987</v>
      </c>
      <c r="G1536" s="2" t="s">
        <v>861</v>
      </c>
      <c r="H1536" s="14">
        <v>0.69</v>
      </c>
      <c r="I1536" s="2" t="s">
        <v>267</v>
      </c>
      <c r="J1536" s="2" t="s">
        <v>6555</v>
      </c>
      <c r="K1536" s="2" t="s">
        <v>5221</v>
      </c>
      <c r="L1536" s="2" t="s">
        <v>5721</v>
      </c>
      <c r="M1536" s="2" t="s">
        <v>5721</v>
      </c>
      <c r="N1536" s="2" t="s">
        <v>2317</v>
      </c>
      <c r="O1536" s="14">
        <v>4600</v>
      </c>
      <c r="P1536" s="14">
        <v>96.48</v>
      </c>
      <c r="Q1536" s="14">
        <v>161.91999999999999</v>
      </c>
      <c r="R1536" s="14">
        <v>111.72</v>
      </c>
      <c r="S1536" s="2" t="s">
        <v>149</v>
      </c>
      <c r="T1536" s="2">
        <v>1.01</v>
      </c>
      <c r="U1536" s="2">
        <v>60.9</v>
      </c>
      <c r="V1536" s="2">
        <v>61</v>
      </c>
      <c r="W1536" s="2" t="s">
        <v>7862</v>
      </c>
      <c r="X1536" s="2" t="s">
        <v>5405</v>
      </c>
      <c r="Y1536" s="2">
        <v>3174</v>
      </c>
      <c r="Z1536" s="19" t="str">
        <f>HYPERLINK("https://ssdweb.co/ssdweb/hd/Vision360.html?d=926460731&amp;zoomslide=1&amp;z=1926460731&amp;ISCONFIRM=0","VIDEO")</f>
        <v>VIDEO</v>
      </c>
      <c r="AA1536" s="19" t="str">
        <f>HYPERLINK("https://ssdweb.co/ssdweb/CERTH/646472888.pdf","CERTI")</f>
        <v>CERTI</v>
      </c>
    </row>
    <row r="1537" spans="1:27" ht="15" x14ac:dyDescent="0.25">
      <c r="A1537" s="2">
        <v>1532</v>
      </c>
      <c r="B1537" s="39">
        <v>925870576</v>
      </c>
      <c r="C1537" s="28" t="str">
        <f>HYPERLINK("https://pld.live/RapDetail.aspx?STONELIST=925870576","DNA")</f>
        <v>DNA</v>
      </c>
      <c r="D1537" s="18" t="s">
        <v>1924</v>
      </c>
      <c r="E1537" s="18" t="s">
        <v>5128</v>
      </c>
      <c r="F1537" s="2" t="s">
        <v>7987</v>
      </c>
      <c r="G1537" s="2" t="s">
        <v>861</v>
      </c>
      <c r="H1537" s="14">
        <v>0.69</v>
      </c>
      <c r="I1537" s="2" t="s">
        <v>267</v>
      </c>
      <c r="J1537" s="2" t="s">
        <v>3942</v>
      </c>
      <c r="K1537" s="2" t="s">
        <v>5221</v>
      </c>
      <c r="L1537" s="2" t="s">
        <v>5221</v>
      </c>
      <c r="M1537" s="2" t="s">
        <v>5221</v>
      </c>
      <c r="N1537" s="2" t="s">
        <v>2317</v>
      </c>
      <c r="O1537" s="14">
        <v>3600</v>
      </c>
      <c r="P1537" s="14">
        <v>96.14</v>
      </c>
      <c r="Q1537" s="14">
        <v>138.96</v>
      </c>
      <c r="R1537" s="14">
        <v>95.88</v>
      </c>
      <c r="S1537" s="2" t="s">
        <v>5293</v>
      </c>
      <c r="T1537" s="2">
        <v>1.01</v>
      </c>
      <c r="U1537" s="2">
        <v>62.5</v>
      </c>
      <c r="V1537" s="2">
        <v>58</v>
      </c>
      <c r="W1537" s="2" t="s">
        <v>7862</v>
      </c>
      <c r="X1537" s="2" t="s">
        <v>5405</v>
      </c>
      <c r="Y1537" s="2">
        <v>2484</v>
      </c>
      <c r="Z1537" s="19" t="str">
        <f>HYPERLINK("https://ssdweb.co/ssdweb/hd/Vision360.html?d=925870576&amp;zoomslide=1&amp;z=1925870576&amp;ISCONFIRM=0","VIDEO")</f>
        <v>VIDEO</v>
      </c>
      <c r="AA1537" s="19" t="str">
        <f>HYPERLINK("https://ssdweb.co/ssdweb/CERTH/627427295.pdf","CERTI")</f>
        <v>CERTI</v>
      </c>
    </row>
    <row r="1538" spans="1:27" ht="15" x14ac:dyDescent="0.25">
      <c r="A1538" s="2">
        <v>1533</v>
      </c>
      <c r="B1538" s="39">
        <v>926331757</v>
      </c>
      <c r="C1538" s="28" t="str">
        <f>HYPERLINK("https://pld.live/RapDetail.aspx?STONELIST=926331757","DNA")</f>
        <v>DNA</v>
      </c>
      <c r="D1538" s="18" t="s">
        <v>1924</v>
      </c>
      <c r="E1538" s="18" t="s">
        <v>5128</v>
      </c>
      <c r="F1538" s="2" t="s">
        <v>7987</v>
      </c>
      <c r="G1538" s="2" t="s">
        <v>861</v>
      </c>
      <c r="H1538" s="14">
        <v>0.69</v>
      </c>
      <c r="I1538" s="2" t="s">
        <v>267</v>
      </c>
      <c r="J1538" s="2" t="s">
        <v>3942</v>
      </c>
      <c r="K1538" s="2" t="s">
        <v>5221</v>
      </c>
      <c r="L1538" s="2" t="s">
        <v>5221</v>
      </c>
      <c r="M1538" s="2" t="s">
        <v>5721</v>
      </c>
      <c r="N1538" s="2" t="s">
        <v>2317</v>
      </c>
      <c r="O1538" s="14">
        <v>3600</v>
      </c>
      <c r="P1538" s="14">
        <v>96.14</v>
      </c>
      <c r="Q1538" s="14">
        <v>138.96</v>
      </c>
      <c r="R1538" s="14">
        <v>95.88</v>
      </c>
      <c r="S1538" s="2" t="s">
        <v>339</v>
      </c>
      <c r="T1538" s="2">
        <v>1.01</v>
      </c>
      <c r="U1538" s="2">
        <v>63.4</v>
      </c>
      <c r="V1538" s="2">
        <v>58</v>
      </c>
      <c r="W1538" s="2" t="s">
        <v>7862</v>
      </c>
      <c r="X1538" s="2" t="s">
        <v>5405</v>
      </c>
      <c r="Y1538" s="2">
        <v>2484</v>
      </c>
      <c r="Z1538" s="19" t="str">
        <f>HYPERLINK("https://ssdweb.co/ssdweb/hd/Vision360.html?d=926331757&amp;zoomslide=1&amp;z=1926331757&amp;ISCONFIRM=0","VIDEO")</f>
        <v>VIDEO</v>
      </c>
      <c r="AA1538" s="19" t="str">
        <f>HYPERLINK("https://ssdweb.co/ssdweb/CERTH/642497625.pdf","CERTI")</f>
        <v>CERTI</v>
      </c>
    </row>
    <row r="1539" spans="1:27" ht="15" x14ac:dyDescent="0.25">
      <c r="A1539" s="2">
        <v>1534</v>
      </c>
      <c r="B1539" s="39">
        <v>925791074</v>
      </c>
      <c r="C1539" s="28" t="str">
        <f>HYPERLINK("https://pld.live/RapDetail.aspx?STONELIST=925791074","DNA")</f>
        <v>DNA</v>
      </c>
      <c r="D1539" s="18" t="s">
        <v>1924</v>
      </c>
      <c r="E1539" s="18" t="s">
        <v>5128</v>
      </c>
      <c r="F1539" s="2" t="s">
        <v>7987</v>
      </c>
      <c r="G1539" s="2" t="s">
        <v>861</v>
      </c>
      <c r="H1539" s="14">
        <v>0.69</v>
      </c>
      <c r="I1539" s="2" t="s">
        <v>267</v>
      </c>
      <c r="J1539" s="2" t="s">
        <v>13</v>
      </c>
      <c r="K1539" s="2" t="s">
        <v>5221</v>
      </c>
      <c r="L1539" s="2" t="s">
        <v>5221</v>
      </c>
      <c r="M1539" s="2" t="s">
        <v>5221</v>
      </c>
      <c r="N1539" s="2" t="s">
        <v>2317</v>
      </c>
      <c r="O1539" s="14">
        <v>3000</v>
      </c>
      <c r="P1539" s="14">
        <v>95.53</v>
      </c>
      <c r="Q1539" s="14">
        <v>134.1</v>
      </c>
      <c r="R1539" s="14">
        <v>92.53</v>
      </c>
      <c r="S1539" s="2" t="s">
        <v>383</v>
      </c>
      <c r="T1539" s="2">
        <v>1.01</v>
      </c>
      <c r="U1539" s="2">
        <v>62.8</v>
      </c>
      <c r="V1539" s="2">
        <v>56</v>
      </c>
      <c r="W1539" s="2" t="s">
        <v>7862</v>
      </c>
      <c r="X1539" s="2" t="s">
        <v>5405</v>
      </c>
      <c r="Y1539" s="2">
        <v>2070</v>
      </c>
      <c r="Z1539" s="19" t="str">
        <f>HYPERLINK("https://ssdweb.co/ssdweb/hd/Vision360.html?d=925791074&amp;zoomslide=1&amp;z=1925791074&amp;ISCONFIRM=0","VIDEO")</f>
        <v>VIDEO</v>
      </c>
      <c r="AA1539" s="19" t="str">
        <f>HYPERLINK("https://ssdweb.co/ssdweb/CERTH/626457238.pdf","CERTI")</f>
        <v>CERTI</v>
      </c>
    </row>
    <row r="1540" spans="1:27" ht="15" x14ac:dyDescent="0.25">
      <c r="A1540" s="2">
        <v>1535</v>
      </c>
      <c r="B1540" s="39">
        <v>926221451</v>
      </c>
      <c r="C1540" s="28" t="str">
        <f>HYPERLINK("https://pld.live/RapDetail.aspx?STONELIST=926221451","DNA")</f>
        <v>DNA</v>
      </c>
      <c r="D1540" s="18" t="s">
        <v>1924</v>
      </c>
      <c r="E1540" s="18" t="s">
        <v>5128</v>
      </c>
      <c r="F1540" s="2" t="s">
        <v>7987</v>
      </c>
      <c r="G1540" s="2" t="s">
        <v>861</v>
      </c>
      <c r="H1540" s="14">
        <v>0.69</v>
      </c>
      <c r="I1540" s="2" t="s">
        <v>267</v>
      </c>
      <c r="J1540" s="2" t="s">
        <v>13</v>
      </c>
      <c r="K1540" s="2" t="s">
        <v>5221</v>
      </c>
      <c r="L1540" s="2" t="s">
        <v>5221</v>
      </c>
      <c r="M1540" s="2" t="s">
        <v>5221</v>
      </c>
      <c r="N1540" s="2" t="s">
        <v>2317</v>
      </c>
      <c r="O1540" s="14">
        <v>3000</v>
      </c>
      <c r="P1540" s="14">
        <v>95.47</v>
      </c>
      <c r="Q1540" s="14">
        <v>135.9</v>
      </c>
      <c r="R1540" s="14">
        <v>93.77</v>
      </c>
      <c r="S1540" s="2" t="s">
        <v>6598</v>
      </c>
      <c r="T1540" s="2">
        <v>1.01</v>
      </c>
      <c r="U1540" s="2">
        <v>59.5</v>
      </c>
      <c r="V1540" s="2">
        <v>62</v>
      </c>
      <c r="W1540" s="2" t="s">
        <v>7862</v>
      </c>
      <c r="X1540" s="2" t="s">
        <v>5405</v>
      </c>
      <c r="Y1540" s="2">
        <v>2070</v>
      </c>
      <c r="Z1540" s="19" t="str">
        <f>HYPERLINK("https://ssdweb.co/ssdweb/hd/Vision360.html?d=926221451&amp;zoomslide=1&amp;z=1926221451&amp;ISCONFIRM=0","VIDEO")</f>
        <v>VIDEO</v>
      </c>
      <c r="AA1540" s="19" t="str">
        <f>HYPERLINK("https://ssdweb.co/ssdweb/CERTH/640485534.pdf","CERTI")</f>
        <v>CERTI</v>
      </c>
    </row>
    <row r="1541" spans="1:27" ht="15" x14ac:dyDescent="0.25">
      <c r="A1541" s="2">
        <v>1536</v>
      </c>
      <c r="B1541" s="39">
        <v>926280818</v>
      </c>
      <c r="C1541" s="28" t="str">
        <f>HYPERLINK("https://pld.live/RapDetail.aspx?STONELIST=926280818","DNA")</f>
        <v>DNA</v>
      </c>
      <c r="D1541" s="18" t="s">
        <v>1924</v>
      </c>
      <c r="E1541" s="18" t="s">
        <v>5128</v>
      </c>
      <c r="F1541" s="2" t="s">
        <v>7987</v>
      </c>
      <c r="G1541" s="2" t="s">
        <v>861</v>
      </c>
      <c r="H1541" s="14">
        <v>0.69</v>
      </c>
      <c r="I1541" s="2" t="s">
        <v>267</v>
      </c>
      <c r="J1541" s="2" t="s">
        <v>13</v>
      </c>
      <c r="K1541" s="2" t="s">
        <v>5221</v>
      </c>
      <c r="L1541" s="2" t="s">
        <v>5221</v>
      </c>
      <c r="M1541" s="2" t="s">
        <v>5721</v>
      </c>
      <c r="N1541" s="2" t="s">
        <v>2317</v>
      </c>
      <c r="O1541" s="14">
        <v>3000</v>
      </c>
      <c r="P1541" s="14">
        <v>95.53</v>
      </c>
      <c r="Q1541" s="14">
        <v>134.1</v>
      </c>
      <c r="R1541" s="14">
        <v>92.53</v>
      </c>
      <c r="S1541" s="2" t="s">
        <v>5767</v>
      </c>
      <c r="T1541" s="2">
        <v>1.01</v>
      </c>
      <c r="U1541" s="2">
        <v>63.4</v>
      </c>
      <c r="V1541" s="2">
        <v>58</v>
      </c>
      <c r="W1541" s="2" t="s">
        <v>7862</v>
      </c>
      <c r="X1541" s="2" t="s">
        <v>5405</v>
      </c>
      <c r="Y1541" s="2">
        <v>2070</v>
      </c>
      <c r="Z1541" s="19" t="str">
        <f>HYPERLINK("https://ssdweb.co/ssdweb/hd/Vision360.html?d=926280818&amp;zoomslide=1&amp;z=1926280818&amp;ISCONFIRM=0","VIDEO")</f>
        <v>VIDEO</v>
      </c>
      <c r="AA1541" s="19" t="str">
        <f>HYPERLINK("https://ssdweb.co/ssdweb/CERTH/646472812.pdf","CERTI")</f>
        <v>CERTI</v>
      </c>
    </row>
    <row r="1542" spans="1:27" ht="15" x14ac:dyDescent="0.25">
      <c r="A1542" s="2">
        <v>1537</v>
      </c>
      <c r="B1542" s="39">
        <v>926460770</v>
      </c>
      <c r="C1542" s="28" t="str">
        <f>HYPERLINK("https://pld.live/RapDetail.aspx?STONELIST=926460770","DNA")</f>
        <v>DNA</v>
      </c>
      <c r="D1542" s="18" t="s">
        <v>1924</v>
      </c>
      <c r="E1542" s="18" t="s">
        <v>5128</v>
      </c>
      <c r="F1542" s="2" t="s">
        <v>7987</v>
      </c>
      <c r="G1542" s="2" t="s">
        <v>861</v>
      </c>
      <c r="H1542" s="14">
        <v>0.69</v>
      </c>
      <c r="I1542" s="2" t="s">
        <v>267</v>
      </c>
      <c r="J1542" s="2" t="s">
        <v>13</v>
      </c>
      <c r="K1542" s="2" t="s">
        <v>5221</v>
      </c>
      <c r="L1542" s="2" t="s">
        <v>5721</v>
      </c>
      <c r="M1542" s="2" t="s">
        <v>5721</v>
      </c>
      <c r="N1542" s="2" t="s">
        <v>2317</v>
      </c>
      <c r="O1542" s="14">
        <v>3000</v>
      </c>
      <c r="P1542" s="14">
        <v>95.6</v>
      </c>
      <c r="Q1542" s="14">
        <v>132</v>
      </c>
      <c r="R1542" s="14">
        <v>91.08</v>
      </c>
      <c r="S1542" s="2" t="s">
        <v>1177</v>
      </c>
      <c r="T1542" s="2">
        <v>1.01</v>
      </c>
      <c r="U1542" s="2">
        <v>63.3</v>
      </c>
      <c r="V1542" s="2">
        <v>55</v>
      </c>
      <c r="W1542" s="2" t="s">
        <v>7862</v>
      </c>
      <c r="X1542" s="2" t="s">
        <v>5405</v>
      </c>
      <c r="Y1542" s="2">
        <v>2070</v>
      </c>
      <c r="Z1542" s="19" t="str">
        <f>HYPERLINK("https://ssdweb.co/ssdweb/hd/Vision360.html?d=926460770&amp;zoomslide=1&amp;z=1926460770&amp;ISCONFIRM=0","VIDEO")</f>
        <v>VIDEO</v>
      </c>
      <c r="AA1542" s="19" t="str">
        <f>HYPERLINK("https://ssdweb.co/ssdweb/CERTH/646472885.pdf","CERTI")</f>
        <v>CERTI</v>
      </c>
    </row>
    <row r="1543" spans="1:27" ht="15" x14ac:dyDescent="0.25">
      <c r="A1543" s="2">
        <v>1538</v>
      </c>
      <c r="B1543" s="39">
        <v>926221301</v>
      </c>
      <c r="C1543" s="28" t="str">
        <f>HYPERLINK("https://pld.live/RapDetail.aspx?STONELIST=926221301","DNA")</f>
        <v>DNA</v>
      </c>
      <c r="D1543" s="18" t="s">
        <v>1924</v>
      </c>
      <c r="E1543" s="18" t="s">
        <v>5128</v>
      </c>
      <c r="F1543" s="2" t="s">
        <v>7987</v>
      </c>
      <c r="G1543" s="2" t="s">
        <v>861</v>
      </c>
      <c r="H1543" s="14">
        <v>0.69</v>
      </c>
      <c r="I1543" s="2" t="s">
        <v>267</v>
      </c>
      <c r="J1543" s="2" t="s">
        <v>5144</v>
      </c>
      <c r="K1543" s="2" t="s">
        <v>5221</v>
      </c>
      <c r="L1543" s="2" t="s">
        <v>5221</v>
      </c>
      <c r="M1543" s="2" t="s">
        <v>5221</v>
      </c>
      <c r="N1543" s="2" t="s">
        <v>2317</v>
      </c>
      <c r="O1543" s="14">
        <v>2700</v>
      </c>
      <c r="P1543" s="14">
        <v>95.15</v>
      </c>
      <c r="Q1543" s="14">
        <v>130.94999999999999</v>
      </c>
      <c r="R1543" s="14">
        <v>90.36</v>
      </c>
      <c r="S1543" s="2" t="s">
        <v>5767</v>
      </c>
      <c r="T1543" s="2">
        <v>1.01</v>
      </c>
      <c r="U1543" s="2">
        <v>63.5</v>
      </c>
      <c r="V1543" s="2">
        <v>56</v>
      </c>
      <c r="W1543" s="2" t="s">
        <v>7862</v>
      </c>
      <c r="X1543" s="2" t="s">
        <v>5405</v>
      </c>
      <c r="Y1543" s="2">
        <v>1863</v>
      </c>
      <c r="Z1543" s="19" t="str">
        <f>HYPERLINK("https://ssdweb.co/ssdweb/hd/Vision360.html?d=926221301&amp;zoomslide=1&amp;z=1926221301&amp;ISCONFIRM=0","VIDEO")</f>
        <v>VIDEO</v>
      </c>
      <c r="AA1543" s="19" t="str">
        <f>HYPERLINK("https://ssdweb.co/ssdweb/CERTH/640419033.pdf","CERTI")</f>
        <v>CERTI</v>
      </c>
    </row>
    <row r="1544" spans="1:27" ht="15" x14ac:dyDescent="0.25">
      <c r="A1544" s="2">
        <v>1539</v>
      </c>
      <c r="B1544" s="39">
        <v>926311372</v>
      </c>
      <c r="C1544" s="28" t="str">
        <f>HYPERLINK("https://pld.live/RapDetail.aspx?STONELIST=926311372","DNA")</f>
        <v>DNA</v>
      </c>
      <c r="D1544" s="18" t="s">
        <v>1924</v>
      </c>
      <c r="E1544" s="18" t="s">
        <v>5128</v>
      </c>
      <c r="F1544" s="2" t="s">
        <v>7987</v>
      </c>
      <c r="G1544" s="2" t="s">
        <v>861</v>
      </c>
      <c r="H1544" s="14">
        <v>0.69</v>
      </c>
      <c r="I1544" s="2" t="s">
        <v>4761</v>
      </c>
      <c r="J1544" s="2" t="s">
        <v>6555</v>
      </c>
      <c r="K1544" s="2" t="s">
        <v>5221</v>
      </c>
      <c r="L1544" s="2" t="s">
        <v>5221</v>
      </c>
      <c r="M1544" s="2" t="s">
        <v>5221</v>
      </c>
      <c r="N1544" s="2" t="s">
        <v>2317</v>
      </c>
      <c r="O1544" s="14">
        <v>4000</v>
      </c>
      <c r="P1544" s="14">
        <v>95.98</v>
      </c>
      <c r="Q1544" s="14">
        <v>160.80000000000001</v>
      </c>
      <c r="R1544" s="14">
        <v>110.95</v>
      </c>
      <c r="S1544" s="2" t="s">
        <v>2647</v>
      </c>
      <c r="T1544" s="2">
        <v>1.01</v>
      </c>
      <c r="U1544" s="2">
        <v>62.8</v>
      </c>
      <c r="V1544" s="2">
        <v>56</v>
      </c>
      <c r="W1544" s="2" t="s">
        <v>7862</v>
      </c>
      <c r="X1544" s="2" t="s">
        <v>5405</v>
      </c>
      <c r="Y1544" s="2">
        <v>2760</v>
      </c>
      <c r="Z1544" s="19" t="str">
        <f>HYPERLINK("https://ssdweb.co/ssdweb/hd/Vision360.html?d=926311372&amp;zoomslide=1&amp;z=1926311372&amp;ISCONFIRM=0","VIDEO")</f>
        <v>VIDEO</v>
      </c>
      <c r="AA1544" s="19" t="str">
        <f>HYPERLINK("https://ssdweb.co/ssdweb/CERTH/646472880.pdf","CERTI")</f>
        <v>CERTI</v>
      </c>
    </row>
    <row r="1545" spans="1:27" ht="15" x14ac:dyDescent="0.25">
      <c r="A1545" s="2">
        <v>1540</v>
      </c>
      <c r="B1545" s="39">
        <v>926331758</v>
      </c>
      <c r="C1545" s="28" t="str">
        <f>HYPERLINK("https://pld.live/RapDetail.aspx?STONELIST=926331758","DNA")</f>
        <v>DNA</v>
      </c>
      <c r="D1545" s="18" t="s">
        <v>1924</v>
      </c>
      <c r="E1545" s="18" t="s">
        <v>5128</v>
      </c>
      <c r="F1545" s="2" t="s">
        <v>7987</v>
      </c>
      <c r="G1545" s="2" t="s">
        <v>861</v>
      </c>
      <c r="H1545" s="14">
        <v>0.69</v>
      </c>
      <c r="I1545" s="2" t="s">
        <v>4761</v>
      </c>
      <c r="J1545" s="2" t="s">
        <v>3942</v>
      </c>
      <c r="K1545" s="2" t="s">
        <v>5221</v>
      </c>
      <c r="L1545" s="2" t="s">
        <v>5221</v>
      </c>
      <c r="M1545" s="2" t="s">
        <v>5721</v>
      </c>
      <c r="N1545" s="2" t="s">
        <v>2317</v>
      </c>
      <c r="O1545" s="14">
        <v>3300</v>
      </c>
      <c r="P1545" s="14">
        <v>95.85</v>
      </c>
      <c r="Q1545" s="14">
        <v>136.94999999999999</v>
      </c>
      <c r="R1545" s="14">
        <v>94.5</v>
      </c>
      <c r="S1545" s="2" t="s">
        <v>7751</v>
      </c>
      <c r="T1545" s="2">
        <v>1.01</v>
      </c>
      <c r="U1545" s="2">
        <v>62.9</v>
      </c>
      <c r="V1545" s="2">
        <v>61</v>
      </c>
      <c r="W1545" s="2" t="s">
        <v>7862</v>
      </c>
      <c r="X1545" s="2" t="s">
        <v>5405</v>
      </c>
      <c r="Y1545" s="2">
        <v>2277</v>
      </c>
      <c r="Z1545" s="19" t="str">
        <f>HYPERLINK("https://ssdweb.co/ssdweb/hd/Vision360.html?d=926331758&amp;zoomslide=1&amp;z=1926331758&amp;ISCONFIRM=0","VIDEO")</f>
        <v>VIDEO</v>
      </c>
      <c r="AA1545" s="19" t="str">
        <f>HYPERLINK("https://ssdweb.co/ssdweb/CERTH/646472859.pdf","CERTI")</f>
        <v>CERTI</v>
      </c>
    </row>
    <row r="1546" spans="1:27" ht="15" x14ac:dyDescent="0.25">
      <c r="A1546" s="2">
        <v>1541</v>
      </c>
      <c r="B1546" s="39">
        <v>926331748</v>
      </c>
      <c r="C1546" s="28" t="str">
        <f>HYPERLINK("https://pld.live/RapDetail.aspx?STONELIST=926331748","DNA")</f>
        <v>DNA</v>
      </c>
      <c r="D1546" s="18" t="s">
        <v>1924</v>
      </c>
      <c r="E1546" s="18" t="s">
        <v>5128</v>
      </c>
      <c r="F1546" s="2" t="s">
        <v>7987</v>
      </c>
      <c r="G1546" s="2" t="s">
        <v>861</v>
      </c>
      <c r="H1546" s="14">
        <v>0.69</v>
      </c>
      <c r="I1546" s="2" t="s">
        <v>4761</v>
      </c>
      <c r="J1546" s="2" t="s">
        <v>3942</v>
      </c>
      <c r="K1546" s="2" t="s">
        <v>5221</v>
      </c>
      <c r="L1546" s="2" t="s">
        <v>5221</v>
      </c>
      <c r="M1546" s="2" t="s">
        <v>5721</v>
      </c>
      <c r="N1546" s="2" t="s">
        <v>2317</v>
      </c>
      <c r="O1546" s="14">
        <v>3300</v>
      </c>
      <c r="P1546" s="14">
        <v>95.85</v>
      </c>
      <c r="Q1546" s="14">
        <v>136.94999999999999</v>
      </c>
      <c r="R1546" s="14">
        <v>94.5</v>
      </c>
      <c r="S1546" s="2" t="s">
        <v>339</v>
      </c>
      <c r="T1546" s="2">
        <v>1.01</v>
      </c>
      <c r="U1546" s="2">
        <v>63.4</v>
      </c>
      <c r="V1546" s="2">
        <v>55</v>
      </c>
      <c r="W1546" s="2" t="s">
        <v>7862</v>
      </c>
      <c r="X1546" s="2" t="s">
        <v>5405</v>
      </c>
      <c r="Y1546" s="2">
        <v>2277</v>
      </c>
      <c r="Z1546" s="19" t="str">
        <f>HYPERLINK("https://ssdweb.co/ssdweb/hd/Vision360.html?d=926331748&amp;zoomslide=1&amp;z=1926331748&amp;ISCONFIRM=0","VIDEO")</f>
        <v>VIDEO</v>
      </c>
      <c r="AA1546" s="19" t="str">
        <f>HYPERLINK("https://ssdweb.co/ssdweb/CERTH/646472912.pdf","CERTI")</f>
        <v>CERTI</v>
      </c>
    </row>
    <row r="1547" spans="1:27" ht="15" x14ac:dyDescent="0.25">
      <c r="A1547" s="2">
        <v>1542</v>
      </c>
      <c r="B1547" s="39">
        <v>926440509</v>
      </c>
      <c r="C1547" s="28" t="str">
        <f>HYPERLINK("https://pld.live/RapDetail.aspx?STONELIST=926440509","DNA")</f>
        <v>DNA</v>
      </c>
      <c r="D1547" s="18" t="s">
        <v>1924</v>
      </c>
      <c r="E1547" s="18" t="s">
        <v>5128</v>
      </c>
      <c r="F1547" s="2" t="s">
        <v>7987</v>
      </c>
      <c r="G1547" s="2" t="s">
        <v>861</v>
      </c>
      <c r="H1547" s="14">
        <v>0.69</v>
      </c>
      <c r="I1547" s="2" t="s">
        <v>4761</v>
      </c>
      <c r="J1547" s="2" t="s">
        <v>13</v>
      </c>
      <c r="K1547" s="2" t="s">
        <v>5221</v>
      </c>
      <c r="L1547" s="2" t="s">
        <v>5221</v>
      </c>
      <c r="M1547" s="2" t="s">
        <v>5221</v>
      </c>
      <c r="N1547" s="2" t="s">
        <v>2317</v>
      </c>
      <c r="O1547" s="14">
        <v>2800</v>
      </c>
      <c r="P1547" s="14">
        <v>95.21</v>
      </c>
      <c r="Q1547" s="14">
        <v>134.12</v>
      </c>
      <c r="R1547" s="14">
        <v>92.54</v>
      </c>
      <c r="S1547" s="2" t="s">
        <v>6807</v>
      </c>
      <c r="T1547" s="2">
        <v>1.01</v>
      </c>
      <c r="U1547" s="2">
        <v>61.7</v>
      </c>
      <c r="V1547" s="2">
        <v>62</v>
      </c>
      <c r="W1547" s="2" t="s">
        <v>7862</v>
      </c>
      <c r="X1547" s="2" t="s">
        <v>5405</v>
      </c>
      <c r="Y1547" s="2">
        <v>1932</v>
      </c>
      <c r="Z1547" s="19" t="str">
        <f>HYPERLINK("https://ssdweb.co/ssdweb/hd/Vision360.html?d=926440509&amp;zoomslide=1&amp;z=1926440509&amp;ISCONFIRM=0","VIDEO")</f>
        <v>VIDEO</v>
      </c>
      <c r="AA1547" s="19" t="str">
        <f>HYPERLINK("https://ssdweb.co/ssdweb/CERTH/646472860.pdf","CERTI")</f>
        <v>CERTI</v>
      </c>
    </row>
    <row r="1548" spans="1:27" ht="15" x14ac:dyDescent="0.25">
      <c r="A1548" s="2">
        <v>1543</v>
      </c>
      <c r="B1548" s="39">
        <v>926280764</v>
      </c>
      <c r="C1548" s="28" t="str">
        <f>HYPERLINK("https://pld.live/RapDetail.aspx?STONELIST=926280764","DNA")</f>
        <v>DNA</v>
      </c>
      <c r="D1548" s="18" t="s">
        <v>1924</v>
      </c>
      <c r="E1548" s="18" t="s">
        <v>5128</v>
      </c>
      <c r="F1548" s="2" t="s">
        <v>7987</v>
      </c>
      <c r="G1548" s="2" t="s">
        <v>861</v>
      </c>
      <c r="H1548" s="14">
        <v>0.69</v>
      </c>
      <c r="I1548" s="2" t="s">
        <v>4761</v>
      </c>
      <c r="J1548" s="2" t="s">
        <v>13</v>
      </c>
      <c r="K1548" s="2" t="s">
        <v>5221</v>
      </c>
      <c r="L1548" s="2" t="s">
        <v>5221</v>
      </c>
      <c r="M1548" s="2" t="s">
        <v>5221</v>
      </c>
      <c r="N1548" s="2" t="s">
        <v>2317</v>
      </c>
      <c r="O1548" s="14">
        <v>2800</v>
      </c>
      <c r="P1548" s="14">
        <v>95.21</v>
      </c>
      <c r="Q1548" s="14">
        <v>134.12</v>
      </c>
      <c r="R1548" s="14">
        <v>92.54</v>
      </c>
      <c r="S1548" s="2" t="s">
        <v>4712</v>
      </c>
      <c r="T1548" s="2">
        <v>1.01</v>
      </c>
      <c r="U1548" s="2">
        <v>63.3</v>
      </c>
      <c r="V1548" s="2">
        <v>59</v>
      </c>
      <c r="W1548" s="2" t="s">
        <v>7862</v>
      </c>
      <c r="X1548" s="2" t="s">
        <v>5405</v>
      </c>
      <c r="Y1548" s="2">
        <v>1932</v>
      </c>
      <c r="Z1548" s="19" t="str">
        <f>HYPERLINK("https://ssdweb.co/ssdweb/hd/Vision360.html?d=926280764&amp;zoomslide=1&amp;z=1926280764&amp;ISCONFIRM=0","VIDEO")</f>
        <v>VIDEO</v>
      </c>
      <c r="AA1548" s="19" t="str">
        <f>HYPERLINK("https://ssdweb.co/ssdweb/CERTH/640454193.pdf","CERTI")</f>
        <v>CERTI</v>
      </c>
    </row>
    <row r="1549" spans="1:27" ht="15" x14ac:dyDescent="0.25">
      <c r="A1549" s="2">
        <v>1544</v>
      </c>
      <c r="B1549" s="39">
        <v>926331697</v>
      </c>
      <c r="C1549" s="28" t="str">
        <f>HYPERLINK("https://pld.live/RapDetail.aspx?STONELIST=926331697","DNA")</f>
        <v>DNA</v>
      </c>
      <c r="D1549" s="18" t="s">
        <v>1924</v>
      </c>
      <c r="E1549" s="18" t="s">
        <v>5128</v>
      </c>
      <c r="F1549" s="2" t="s">
        <v>7987</v>
      </c>
      <c r="G1549" s="2" t="s">
        <v>861</v>
      </c>
      <c r="H1549" s="14">
        <v>0.69</v>
      </c>
      <c r="I1549" s="2" t="s">
        <v>4761</v>
      </c>
      <c r="J1549" s="2" t="s">
        <v>13</v>
      </c>
      <c r="K1549" s="2" t="s">
        <v>5221</v>
      </c>
      <c r="L1549" s="2" t="s">
        <v>5221</v>
      </c>
      <c r="M1549" s="2" t="s">
        <v>5221</v>
      </c>
      <c r="N1549" s="2" t="s">
        <v>2317</v>
      </c>
      <c r="O1549" s="14">
        <v>2800</v>
      </c>
      <c r="P1549" s="14">
        <v>95.21</v>
      </c>
      <c r="Q1549" s="14">
        <v>134.12</v>
      </c>
      <c r="R1549" s="14">
        <v>92.54</v>
      </c>
      <c r="S1549" s="2" t="s">
        <v>4903</v>
      </c>
      <c r="T1549" s="2">
        <v>1.01</v>
      </c>
      <c r="U1549" s="2">
        <v>61.2</v>
      </c>
      <c r="V1549" s="2">
        <v>61</v>
      </c>
      <c r="W1549" s="2" t="s">
        <v>7862</v>
      </c>
      <c r="X1549" s="2" t="s">
        <v>5405</v>
      </c>
      <c r="Y1549" s="2">
        <v>1932</v>
      </c>
      <c r="Z1549" s="19" t="str">
        <f>HYPERLINK("https://ssdweb.co/ssdweb/hd/Vision360.html?d=926331697&amp;zoomslide=1&amp;z=1926331697&amp;ISCONFIRM=0","VIDEO")</f>
        <v>VIDEO</v>
      </c>
      <c r="AA1549" s="19" t="str">
        <f>HYPERLINK("https://ssdweb.co/ssdweb/CERTH/646472843.pdf","CERTI")</f>
        <v>CERTI</v>
      </c>
    </row>
    <row r="1550" spans="1:27" ht="15" x14ac:dyDescent="0.25">
      <c r="A1550" s="2">
        <v>1545</v>
      </c>
      <c r="B1550" s="39">
        <v>926250688</v>
      </c>
      <c r="C1550" s="28" t="str">
        <f>HYPERLINK("https://pld.live/RapDetail.aspx?STONELIST=926250688","DNA")</f>
        <v>DNA</v>
      </c>
      <c r="D1550" s="18" t="s">
        <v>1924</v>
      </c>
      <c r="E1550" s="18" t="s">
        <v>5128</v>
      </c>
      <c r="F1550" s="2" t="s">
        <v>7987</v>
      </c>
      <c r="G1550" s="2" t="s">
        <v>861</v>
      </c>
      <c r="H1550" s="14">
        <v>0.69</v>
      </c>
      <c r="I1550" s="2" t="s">
        <v>4761</v>
      </c>
      <c r="J1550" s="2" t="s">
        <v>13</v>
      </c>
      <c r="K1550" s="2" t="s">
        <v>5221</v>
      </c>
      <c r="L1550" s="2" t="s">
        <v>5221</v>
      </c>
      <c r="M1550" s="2" t="s">
        <v>5721</v>
      </c>
      <c r="N1550" s="2" t="s">
        <v>2317</v>
      </c>
      <c r="O1550" s="14">
        <v>2800</v>
      </c>
      <c r="P1550" s="14">
        <v>95.29</v>
      </c>
      <c r="Q1550" s="14">
        <v>131.88</v>
      </c>
      <c r="R1550" s="14">
        <v>91</v>
      </c>
      <c r="S1550" s="2" t="s">
        <v>4617</v>
      </c>
      <c r="T1550" s="2">
        <v>1.01</v>
      </c>
      <c r="U1550" s="2">
        <v>58.2</v>
      </c>
      <c r="V1550" s="2">
        <v>62</v>
      </c>
      <c r="W1550" s="2" t="s">
        <v>7862</v>
      </c>
      <c r="X1550" s="2" t="s">
        <v>5405</v>
      </c>
      <c r="Y1550" s="2">
        <v>1932</v>
      </c>
      <c r="Z1550" s="19" t="str">
        <f>HYPERLINK("https://ssdweb.co/ssdweb/hd/Vision360.html?d=926250688&amp;zoomslide=1&amp;z=1926250688&amp;ISCONFIRM=0","VIDEO")</f>
        <v>VIDEO</v>
      </c>
      <c r="AA1550" s="19" t="str">
        <f>HYPERLINK("https://ssdweb.co/ssdweb/CERTH/640454166.pdf","CERTI")</f>
        <v>CERTI</v>
      </c>
    </row>
    <row r="1551" spans="1:27" ht="15" x14ac:dyDescent="0.25">
      <c r="A1551" s="2">
        <v>1546</v>
      </c>
      <c r="B1551" s="39">
        <v>926270885</v>
      </c>
      <c r="C1551" s="28" t="str">
        <f>HYPERLINK("https://pld.live/RapDetail.aspx?STONELIST=926270885","DNA")</f>
        <v>DNA</v>
      </c>
      <c r="D1551" s="18" t="s">
        <v>1924</v>
      </c>
      <c r="E1551" s="18" t="s">
        <v>5128</v>
      </c>
      <c r="F1551" s="2" t="s">
        <v>7987</v>
      </c>
      <c r="G1551" s="2" t="s">
        <v>861</v>
      </c>
      <c r="H1551" s="14">
        <v>0.69</v>
      </c>
      <c r="I1551" s="2" t="s">
        <v>4761</v>
      </c>
      <c r="J1551" s="2" t="s">
        <v>13</v>
      </c>
      <c r="K1551" s="2" t="s">
        <v>5221</v>
      </c>
      <c r="L1551" s="2" t="s">
        <v>5721</v>
      </c>
      <c r="M1551" s="2" t="s">
        <v>5221</v>
      </c>
      <c r="N1551" s="2" t="s">
        <v>2317</v>
      </c>
      <c r="O1551" s="14">
        <v>2800</v>
      </c>
      <c r="P1551" s="14">
        <v>95.29</v>
      </c>
      <c r="Q1551" s="14">
        <v>131.88</v>
      </c>
      <c r="R1551" s="14">
        <v>91</v>
      </c>
      <c r="S1551" s="2" t="s">
        <v>4048</v>
      </c>
      <c r="T1551" s="2">
        <v>1.01</v>
      </c>
      <c r="U1551" s="2">
        <v>63.1</v>
      </c>
      <c r="V1551" s="2">
        <v>59</v>
      </c>
      <c r="W1551" s="2" t="s">
        <v>7862</v>
      </c>
      <c r="X1551" s="2" t="s">
        <v>5405</v>
      </c>
      <c r="Y1551" s="2">
        <v>1932</v>
      </c>
      <c r="Z1551" s="19" t="str">
        <f>HYPERLINK("https://ssdweb.co/ssdweb/hd/Vision360.html?d=926270885&amp;zoomslide=1&amp;z=1926270885&amp;ISCONFIRM=0","VIDEO")</f>
        <v>VIDEO</v>
      </c>
      <c r="AA1551" s="19" t="str">
        <f>HYPERLINK("https://ssdweb.co/ssdweb/CERTH/646472902.pdf","CERTI")</f>
        <v>CERTI</v>
      </c>
    </row>
    <row r="1552" spans="1:27" ht="15" x14ac:dyDescent="0.25">
      <c r="A1552" s="2">
        <v>1547</v>
      </c>
      <c r="B1552" s="39">
        <v>926550590</v>
      </c>
      <c r="C1552" s="28" t="str">
        <f>HYPERLINK("https://pld.live/RapDetail.aspx?STONELIST=926550590","DNA")</f>
        <v>DNA</v>
      </c>
      <c r="D1552" s="18" t="s">
        <v>1924</v>
      </c>
      <c r="E1552" s="18" t="s">
        <v>5128</v>
      </c>
      <c r="F1552" s="2" t="s">
        <v>7987</v>
      </c>
      <c r="G1552" s="2" t="s">
        <v>861</v>
      </c>
      <c r="H1552" s="14">
        <v>0.68</v>
      </c>
      <c r="I1552" s="2" t="s">
        <v>267</v>
      </c>
      <c r="J1552" s="2" t="s">
        <v>3942</v>
      </c>
      <c r="K1552" s="2" t="s">
        <v>5221</v>
      </c>
      <c r="L1552" s="2" t="s">
        <v>5221</v>
      </c>
      <c r="M1552" s="2" t="s">
        <v>5221</v>
      </c>
      <c r="N1552" s="2" t="s">
        <v>2317</v>
      </c>
      <c r="O1552" s="14">
        <v>3600</v>
      </c>
      <c r="P1552" s="14">
        <v>96.08</v>
      </c>
      <c r="Q1552" s="14">
        <v>141.12</v>
      </c>
      <c r="R1552" s="14">
        <v>95.96</v>
      </c>
      <c r="S1552" s="2" t="s">
        <v>1608</v>
      </c>
      <c r="T1552" s="2">
        <v>1</v>
      </c>
      <c r="U1552" s="2">
        <v>58.3</v>
      </c>
      <c r="V1552" s="2">
        <v>62</v>
      </c>
      <c r="W1552" s="2" t="s">
        <v>7862</v>
      </c>
      <c r="X1552" s="2" t="s">
        <v>5405</v>
      </c>
      <c r="Y1552" s="2">
        <v>2448</v>
      </c>
      <c r="Z1552" s="19" t="str">
        <f>HYPERLINK("https://ssdweb.co/ssdweb/hd/Vision360.html?d=926550590&amp;zoomslide=1&amp;z=1926550590&amp;ISCONFIRM=0","VIDEO")</f>
        <v>VIDEO</v>
      </c>
      <c r="AA1552" s="19" t="str">
        <f>HYPERLINK("https://ssdweb.co/ssdweb/CERTH/646472826.pdf","CERTI")</f>
        <v>CERTI</v>
      </c>
    </row>
    <row r="1553" spans="1:27" ht="15" x14ac:dyDescent="0.25">
      <c r="A1553" s="2">
        <v>1548</v>
      </c>
      <c r="B1553" s="39">
        <v>926280781</v>
      </c>
      <c r="C1553" s="28" t="str">
        <f>HYPERLINK("https://pld.live/RapDetail.aspx?STONELIST=926280781","DNA")</f>
        <v>DNA</v>
      </c>
      <c r="D1553" s="18" t="s">
        <v>1924</v>
      </c>
      <c r="E1553" s="18" t="s">
        <v>5128</v>
      </c>
      <c r="F1553" s="2" t="s">
        <v>7987</v>
      </c>
      <c r="G1553" s="2" t="s">
        <v>861</v>
      </c>
      <c r="H1553" s="14">
        <v>0.68</v>
      </c>
      <c r="I1553" s="2" t="s">
        <v>267</v>
      </c>
      <c r="J1553" s="2" t="s">
        <v>3942</v>
      </c>
      <c r="K1553" s="2" t="s">
        <v>5221</v>
      </c>
      <c r="L1553" s="2" t="s">
        <v>5221</v>
      </c>
      <c r="M1553" s="2" t="s">
        <v>5221</v>
      </c>
      <c r="N1553" s="2" t="s">
        <v>2317</v>
      </c>
      <c r="O1553" s="14">
        <v>3600</v>
      </c>
      <c r="P1553" s="14">
        <v>96.08</v>
      </c>
      <c r="Q1553" s="14">
        <v>141.12</v>
      </c>
      <c r="R1553" s="14">
        <v>95.96</v>
      </c>
      <c r="S1553" s="2" t="s">
        <v>3903</v>
      </c>
      <c r="T1553" s="2">
        <v>1.01</v>
      </c>
      <c r="U1553" s="2">
        <v>62.7</v>
      </c>
      <c r="V1553" s="2">
        <v>57</v>
      </c>
      <c r="W1553" s="2" t="s">
        <v>7862</v>
      </c>
      <c r="X1553" s="2" t="s">
        <v>5405</v>
      </c>
      <c r="Y1553" s="2">
        <v>2448</v>
      </c>
      <c r="Z1553" s="19" t="str">
        <f>HYPERLINK("https://ssdweb.co/ssdweb/hd/Vision360.html?d=926280781&amp;zoomslide=1&amp;z=1926280781&amp;ISCONFIRM=0","VIDEO")</f>
        <v>VIDEO</v>
      </c>
      <c r="AA1553" s="19" t="str">
        <f>HYPERLINK("https://ssdweb.co/ssdweb/CERTH/640454195.pdf","CERTI")</f>
        <v>CERTI</v>
      </c>
    </row>
    <row r="1554" spans="1:27" ht="15" x14ac:dyDescent="0.25">
      <c r="A1554" s="2">
        <v>1549</v>
      </c>
      <c r="B1554" s="39">
        <v>925830645</v>
      </c>
      <c r="C1554" s="28" t="str">
        <f>HYPERLINK("https://pld.live/RapDetail.aspx?STONELIST=925830645","DNA")</f>
        <v>DNA</v>
      </c>
      <c r="D1554" s="18" t="s">
        <v>1924</v>
      </c>
      <c r="E1554" s="18" t="s">
        <v>5128</v>
      </c>
      <c r="F1554" s="2" t="s">
        <v>7987</v>
      </c>
      <c r="G1554" s="2" t="s">
        <v>861</v>
      </c>
      <c r="H1554" s="14">
        <v>0.68</v>
      </c>
      <c r="I1554" s="2" t="s">
        <v>267</v>
      </c>
      <c r="J1554" s="2" t="s">
        <v>13</v>
      </c>
      <c r="K1554" s="2" t="s">
        <v>5221</v>
      </c>
      <c r="L1554" s="2" t="s">
        <v>5221</v>
      </c>
      <c r="M1554" s="2" t="s">
        <v>5221</v>
      </c>
      <c r="N1554" s="2" t="s">
        <v>2317</v>
      </c>
      <c r="O1554" s="14">
        <v>3000</v>
      </c>
      <c r="P1554" s="14">
        <v>95.53</v>
      </c>
      <c r="Q1554" s="14">
        <v>134.1</v>
      </c>
      <c r="R1554" s="14">
        <v>91.19</v>
      </c>
      <c r="S1554" s="2" t="s">
        <v>7033</v>
      </c>
      <c r="T1554" s="2">
        <v>1.01</v>
      </c>
      <c r="U1554" s="2">
        <v>60.6</v>
      </c>
      <c r="V1554" s="2">
        <v>60</v>
      </c>
      <c r="W1554" s="2" t="s">
        <v>7862</v>
      </c>
      <c r="X1554" s="2" t="s">
        <v>5405</v>
      </c>
      <c r="Y1554" s="2">
        <v>2040</v>
      </c>
      <c r="Z1554" s="19" t="str">
        <f>HYPERLINK("https://ssdweb.co/ssdweb/hd/Vision360.html?d=925830645&amp;zoomslide=1&amp;z=1925830645&amp;ISCONFIRM=0","VIDEO")</f>
        <v>VIDEO</v>
      </c>
      <c r="AA1554" s="19" t="str">
        <f>HYPERLINK("https://ssdweb.co/ssdweb/CERTH/626499075.pdf","CERTI")</f>
        <v>CERTI</v>
      </c>
    </row>
    <row r="1555" spans="1:27" ht="15" x14ac:dyDescent="0.25">
      <c r="A1555" s="2">
        <v>1550</v>
      </c>
      <c r="B1555" s="39">
        <v>926221390</v>
      </c>
      <c r="C1555" s="28" t="str">
        <f>HYPERLINK("https://pld.live/RapDetail.aspx?STONELIST=926221390","DNA")</f>
        <v>DNA</v>
      </c>
      <c r="D1555" s="18" t="s">
        <v>1924</v>
      </c>
      <c r="E1555" s="18" t="s">
        <v>5128</v>
      </c>
      <c r="F1555" s="2" t="s">
        <v>7987</v>
      </c>
      <c r="G1555" s="2" t="s">
        <v>861</v>
      </c>
      <c r="H1555" s="14">
        <v>0.68</v>
      </c>
      <c r="I1555" s="2" t="s">
        <v>267</v>
      </c>
      <c r="J1555" s="2" t="s">
        <v>13</v>
      </c>
      <c r="K1555" s="2" t="s">
        <v>5221</v>
      </c>
      <c r="L1555" s="2" t="s">
        <v>5221</v>
      </c>
      <c r="M1555" s="2" t="s">
        <v>5221</v>
      </c>
      <c r="N1555" s="2" t="s">
        <v>2317</v>
      </c>
      <c r="O1555" s="14">
        <v>3000</v>
      </c>
      <c r="P1555" s="14">
        <v>95.47</v>
      </c>
      <c r="Q1555" s="14">
        <v>135.9</v>
      </c>
      <c r="R1555" s="14">
        <v>92.41</v>
      </c>
      <c r="S1555" s="2" t="s">
        <v>1262</v>
      </c>
      <c r="T1555" s="2">
        <v>1</v>
      </c>
      <c r="U1555" s="2">
        <v>58.8</v>
      </c>
      <c r="V1555" s="2">
        <v>62</v>
      </c>
      <c r="W1555" s="2" t="s">
        <v>7862</v>
      </c>
      <c r="X1555" s="2" t="s">
        <v>5405</v>
      </c>
      <c r="Y1555" s="2">
        <v>2040</v>
      </c>
      <c r="Z1555" s="19" t="str">
        <f>HYPERLINK("https://ssdweb.co/ssdweb/hd/Vision360.html?d=926221390&amp;zoomslide=1&amp;z=1926221390&amp;ISCONFIRM=0","VIDEO")</f>
        <v>VIDEO</v>
      </c>
      <c r="AA1555" s="19" t="str">
        <f>HYPERLINK("https://ssdweb.co/ssdweb/CERTH/640473923.pdf","CERTI")</f>
        <v>CERTI</v>
      </c>
    </row>
    <row r="1556" spans="1:27" ht="15" x14ac:dyDescent="0.25">
      <c r="A1556" s="2">
        <v>1551</v>
      </c>
      <c r="B1556" s="39">
        <v>821125869</v>
      </c>
      <c r="C1556" s="28" t="str">
        <f>HYPERLINK("https://pld.live/RapDetail.aspx?STONELIST=821125869","DNA")</f>
        <v>DNA</v>
      </c>
      <c r="D1556" s="18" t="s">
        <v>1924</v>
      </c>
      <c r="E1556" s="18" t="s">
        <v>5128</v>
      </c>
      <c r="F1556" s="2" t="s">
        <v>7987</v>
      </c>
      <c r="G1556" s="2" t="s">
        <v>861</v>
      </c>
      <c r="H1556" s="14">
        <v>0.68</v>
      </c>
      <c r="I1556" s="2" t="s">
        <v>267</v>
      </c>
      <c r="J1556" s="2" t="s">
        <v>13</v>
      </c>
      <c r="K1556" s="2" t="s">
        <v>5221</v>
      </c>
      <c r="L1556" s="2" t="s">
        <v>5221</v>
      </c>
      <c r="M1556" s="2" t="s">
        <v>5221</v>
      </c>
      <c r="N1556" s="2" t="s">
        <v>2317</v>
      </c>
      <c r="O1556" s="14">
        <v>3000</v>
      </c>
      <c r="P1556" s="14">
        <v>95.6</v>
      </c>
      <c r="Q1556" s="14">
        <v>132</v>
      </c>
      <c r="R1556" s="14">
        <v>89.76</v>
      </c>
      <c r="S1556" s="2" t="s">
        <v>6994</v>
      </c>
      <c r="T1556" s="2">
        <v>1</v>
      </c>
      <c r="U1556" s="2">
        <v>60.4</v>
      </c>
      <c r="V1556" s="2">
        <v>60</v>
      </c>
      <c r="W1556" s="2" t="s">
        <v>7862</v>
      </c>
      <c r="X1556" s="2" t="s">
        <v>5405</v>
      </c>
      <c r="Y1556" s="2">
        <v>2040</v>
      </c>
      <c r="Z1556" s="19" t="str">
        <f>HYPERLINK("https://ssdweb.co/ssdweb/hd/Vision360.html?d=821125869&amp;zoomslide=1&amp;z=1821125869&amp;ISCONFIRM=0","VIDEO")</f>
        <v>VIDEO</v>
      </c>
      <c r="AA1556" s="19" t="str">
        <f>HYPERLINK("https://ssdweb.co/ssdweb/CERTH/614337055.pdf","CERTI")</f>
        <v>CERTI</v>
      </c>
    </row>
    <row r="1557" spans="1:27" ht="15" x14ac:dyDescent="0.25">
      <c r="A1557" s="2">
        <v>1552</v>
      </c>
      <c r="B1557" s="39">
        <v>926221251</v>
      </c>
      <c r="C1557" s="28" t="str">
        <f>HYPERLINK("https://pld.live/RapDetail.aspx?STONELIST=926221251","DNA")</f>
        <v>DNA</v>
      </c>
      <c r="D1557" s="18" t="s">
        <v>1924</v>
      </c>
      <c r="E1557" s="18" t="s">
        <v>5128</v>
      </c>
      <c r="F1557" s="2" t="s">
        <v>7987</v>
      </c>
      <c r="G1557" s="2" t="s">
        <v>861</v>
      </c>
      <c r="H1557" s="14">
        <v>0.68</v>
      </c>
      <c r="I1557" s="2" t="s">
        <v>267</v>
      </c>
      <c r="J1557" s="2" t="s">
        <v>5144</v>
      </c>
      <c r="K1557" s="2" t="s">
        <v>3390</v>
      </c>
      <c r="L1557" s="2" t="s">
        <v>5721</v>
      </c>
      <c r="M1557" s="2" t="s">
        <v>5221</v>
      </c>
      <c r="N1557" s="2" t="s">
        <v>2317</v>
      </c>
      <c r="O1557" s="14">
        <v>2700</v>
      </c>
      <c r="P1557" s="14">
        <v>95.22</v>
      </c>
      <c r="Q1557" s="14">
        <v>129.06</v>
      </c>
      <c r="R1557" s="14">
        <v>87.76</v>
      </c>
      <c r="S1557" s="2" t="s">
        <v>3064</v>
      </c>
      <c r="T1557" s="2">
        <v>1.01</v>
      </c>
      <c r="U1557" s="2">
        <v>61.3</v>
      </c>
      <c r="V1557" s="2">
        <v>59</v>
      </c>
      <c r="W1557" s="2" t="s">
        <v>7862</v>
      </c>
      <c r="X1557" s="2" t="s">
        <v>5405</v>
      </c>
      <c r="Y1557" s="2">
        <v>1836</v>
      </c>
      <c r="Z1557" s="19" t="str">
        <f>HYPERLINK("https://ssdweb.co/ssdweb/hd/Vision360.html?d=926221251&amp;zoomslide=1&amp;z=1926221251&amp;ISCONFIRM=0","VIDEO")</f>
        <v>VIDEO</v>
      </c>
      <c r="AA1557" s="19" t="str">
        <f>HYPERLINK("https://ssdweb.co/ssdweb/CERTH/640419027.pdf","CERTI")</f>
        <v>CERTI</v>
      </c>
    </row>
    <row r="1558" spans="1:27" ht="15" x14ac:dyDescent="0.25">
      <c r="A1558" s="2">
        <v>1553</v>
      </c>
      <c r="B1558" s="39">
        <v>925791050</v>
      </c>
      <c r="C1558" s="28" t="str">
        <f>HYPERLINK("https://pld.live/RapDetail.aspx?STONELIST=925791050","DNA")</f>
        <v>DNA</v>
      </c>
      <c r="D1558" s="18" t="s">
        <v>1924</v>
      </c>
      <c r="E1558" s="18" t="s">
        <v>5128</v>
      </c>
      <c r="F1558" s="2" t="s">
        <v>7987</v>
      </c>
      <c r="G1558" s="2" t="s">
        <v>861</v>
      </c>
      <c r="H1558" s="14">
        <v>0.68</v>
      </c>
      <c r="I1558" s="2" t="s">
        <v>267</v>
      </c>
      <c r="J1558" s="2" t="s">
        <v>5144</v>
      </c>
      <c r="K1558" s="2" t="s">
        <v>5221</v>
      </c>
      <c r="L1558" s="2" t="s">
        <v>5221</v>
      </c>
      <c r="M1558" s="2" t="s">
        <v>5221</v>
      </c>
      <c r="N1558" s="2" t="s">
        <v>2317</v>
      </c>
      <c r="O1558" s="14">
        <v>2700</v>
      </c>
      <c r="P1558" s="14">
        <v>95.22</v>
      </c>
      <c r="Q1558" s="14">
        <v>129.06</v>
      </c>
      <c r="R1558" s="14">
        <v>87.76</v>
      </c>
      <c r="S1558" s="2" t="s">
        <v>3897</v>
      </c>
      <c r="T1558" s="2">
        <v>1.01</v>
      </c>
      <c r="U1558" s="2">
        <v>58.3</v>
      </c>
      <c r="V1558" s="2">
        <v>62</v>
      </c>
      <c r="W1558" s="2" t="s">
        <v>7862</v>
      </c>
      <c r="X1558" s="2" t="s">
        <v>5405</v>
      </c>
      <c r="Y1558" s="2">
        <v>1836</v>
      </c>
      <c r="Z1558" s="19" t="str">
        <f>HYPERLINK("https://ssdweb.co/ssdweb/hd/Vision360.html?d=925791050&amp;zoomslide=1&amp;z=1925791050&amp;ISCONFIRM=0","VIDEO")</f>
        <v>VIDEO</v>
      </c>
      <c r="AA1558" s="19" t="str">
        <f>HYPERLINK("https://ssdweb.co/ssdweb/CERTH/626457237.pdf","CERTI")</f>
        <v>CERTI</v>
      </c>
    </row>
    <row r="1559" spans="1:27" ht="15" x14ac:dyDescent="0.25">
      <c r="A1559" s="2">
        <v>1554</v>
      </c>
      <c r="B1559" s="39">
        <v>821125866</v>
      </c>
      <c r="C1559" s="28" t="str">
        <f>HYPERLINK("https://pld.live/RapDetail.aspx?STONELIST=821125866","DNA")</f>
        <v>DNA</v>
      </c>
      <c r="D1559" s="18" t="s">
        <v>1924</v>
      </c>
      <c r="E1559" s="18" t="s">
        <v>5128</v>
      </c>
      <c r="F1559" s="2" t="s">
        <v>7987</v>
      </c>
      <c r="G1559" s="2" t="s">
        <v>861</v>
      </c>
      <c r="H1559" s="14">
        <v>0.68</v>
      </c>
      <c r="I1559" s="2" t="s">
        <v>4761</v>
      </c>
      <c r="J1559" s="2" t="s">
        <v>3942</v>
      </c>
      <c r="K1559" s="2" t="s">
        <v>5221</v>
      </c>
      <c r="L1559" s="2" t="s">
        <v>5221</v>
      </c>
      <c r="M1559" s="2" t="s">
        <v>5221</v>
      </c>
      <c r="N1559" s="2" t="s">
        <v>2317</v>
      </c>
      <c r="O1559" s="14">
        <v>3300</v>
      </c>
      <c r="P1559" s="14">
        <v>95.91</v>
      </c>
      <c r="Q1559" s="14">
        <v>134.97</v>
      </c>
      <c r="R1559" s="14">
        <v>91.78</v>
      </c>
      <c r="S1559" s="2" t="s">
        <v>5632</v>
      </c>
      <c r="T1559" s="2">
        <v>1.01</v>
      </c>
      <c r="U1559" s="2">
        <v>59.4</v>
      </c>
      <c r="V1559" s="2">
        <v>59</v>
      </c>
      <c r="W1559" s="2" t="s">
        <v>7862</v>
      </c>
      <c r="X1559" s="2" t="s">
        <v>5405</v>
      </c>
      <c r="Y1559" s="2">
        <v>2244</v>
      </c>
      <c r="Z1559" s="19" t="str">
        <f>HYPERLINK("https://ssdweb.co/ssdweb/hd/Vision360.html?d=821125866&amp;zoomslide=1&amp;z=1821125866&amp;ISCONFIRM=0","VIDEO")</f>
        <v>VIDEO</v>
      </c>
      <c r="AA1559" s="19" t="str">
        <f>HYPERLINK("https://ssdweb.co/ssdweb/CERTH/617451813.pdf","CERTI")</f>
        <v>CERTI</v>
      </c>
    </row>
    <row r="1560" spans="1:27" ht="15" x14ac:dyDescent="0.25">
      <c r="A1560" s="2">
        <v>1555</v>
      </c>
      <c r="B1560" s="39">
        <v>926120997</v>
      </c>
      <c r="C1560" s="28" t="str">
        <f>HYPERLINK("https://pld.live/RapDetail.aspx?STONELIST=926120997","DNA")</f>
        <v>DNA</v>
      </c>
      <c r="D1560" s="18" t="s">
        <v>1924</v>
      </c>
      <c r="E1560" s="18" t="s">
        <v>5128</v>
      </c>
      <c r="F1560" s="2" t="s">
        <v>7987</v>
      </c>
      <c r="G1560" s="2" t="s">
        <v>861</v>
      </c>
      <c r="H1560" s="14">
        <v>0.68</v>
      </c>
      <c r="I1560" s="2" t="s">
        <v>4761</v>
      </c>
      <c r="J1560" s="2" t="s">
        <v>3942</v>
      </c>
      <c r="K1560" s="2" t="s">
        <v>5221</v>
      </c>
      <c r="L1560" s="2" t="s">
        <v>5221</v>
      </c>
      <c r="M1560" s="2" t="s">
        <v>5221</v>
      </c>
      <c r="N1560" s="2" t="s">
        <v>2317</v>
      </c>
      <c r="O1560" s="14">
        <v>3300</v>
      </c>
      <c r="P1560" s="14">
        <v>95.85</v>
      </c>
      <c r="Q1560" s="14">
        <v>136.94999999999999</v>
      </c>
      <c r="R1560" s="14">
        <v>93.13</v>
      </c>
      <c r="S1560" s="2" t="s">
        <v>7504</v>
      </c>
      <c r="T1560" s="2">
        <v>1.01</v>
      </c>
      <c r="U1560" s="2">
        <v>63.2</v>
      </c>
      <c r="V1560" s="2">
        <v>58</v>
      </c>
      <c r="W1560" s="2" t="s">
        <v>7862</v>
      </c>
      <c r="X1560" s="2" t="s">
        <v>5405</v>
      </c>
      <c r="Y1560" s="2">
        <v>2244</v>
      </c>
      <c r="Z1560" s="19" t="str">
        <f>HYPERLINK("https://ssdweb.co/ssdweb/hd/Vision360.html?d=926120997&amp;zoomslide=1&amp;z=1926120997&amp;ISCONFIRM=0","VIDEO")</f>
        <v>VIDEO</v>
      </c>
      <c r="AA1560" s="19" t="str">
        <f>HYPERLINK("https://ssdweb.co/ssdweb/CERTH/634431307.pdf","CERTI")</f>
        <v>CERTI</v>
      </c>
    </row>
    <row r="1561" spans="1:27" ht="15" x14ac:dyDescent="0.25">
      <c r="A1561" s="2">
        <v>1556</v>
      </c>
      <c r="B1561" s="39">
        <v>926221433</v>
      </c>
      <c r="C1561" s="28" t="str">
        <f>HYPERLINK("https://pld.live/RapDetail.aspx?STONELIST=926221433","DNA")</f>
        <v>DNA</v>
      </c>
      <c r="D1561" s="18" t="s">
        <v>1924</v>
      </c>
      <c r="E1561" s="18" t="s">
        <v>5128</v>
      </c>
      <c r="F1561" s="2" t="s">
        <v>7987</v>
      </c>
      <c r="G1561" s="2" t="s">
        <v>861</v>
      </c>
      <c r="H1561" s="14">
        <v>0.67</v>
      </c>
      <c r="I1561" s="2" t="s">
        <v>267</v>
      </c>
      <c r="J1561" s="2" t="s">
        <v>6555</v>
      </c>
      <c r="K1561" s="2" t="s">
        <v>5221</v>
      </c>
      <c r="L1561" s="2" t="s">
        <v>5221</v>
      </c>
      <c r="M1561" s="2" t="s">
        <v>5221</v>
      </c>
      <c r="N1561" s="2" t="s">
        <v>2317</v>
      </c>
      <c r="O1561" s="14">
        <v>4600</v>
      </c>
      <c r="P1561" s="14">
        <v>96.39</v>
      </c>
      <c r="Q1561" s="14">
        <v>166.06</v>
      </c>
      <c r="R1561" s="14">
        <v>111.26</v>
      </c>
      <c r="S1561" s="2" t="s">
        <v>7011</v>
      </c>
      <c r="T1561" s="2">
        <v>1.01</v>
      </c>
      <c r="U1561" s="2">
        <v>62.7</v>
      </c>
      <c r="V1561" s="2">
        <v>57</v>
      </c>
      <c r="W1561" s="2" t="s">
        <v>7862</v>
      </c>
      <c r="X1561" s="2" t="s">
        <v>5405</v>
      </c>
      <c r="Y1561" s="2">
        <v>3082</v>
      </c>
      <c r="Z1561" s="19" t="str">
        <f>HYPERLINK("https://ssdweb.co/ssdweb/hd/Vision360.html?d=926221433&amp;zoomslide=1&amp;z=1926221433&amp;ISCONFIRM=0","VIDEO")</f>
        <v>VIDEO</v>
      </c>
      <c r="AA1561" s="19" t="str">
        <f>HYPERLINK("https://ssdweb.co/ssdweb/CERTH/640485546.pdf","CERTI")</f>
        <v>CERTI</v>
      </c>
    </row>
    <row r="1562" spans="1:27" ht="15" x14ac:dyDescent="0.25">
      <c r="A1562" s="2">
        <v>1557</v>
      </c>
      <c r="B1562" s="39">
        <v>925870442</v>
      </c>
      <c r="C1562" s="28" t="str">
        <f>HYPERLINK("https://pld.live/RapDetail.aspx?STONELIST=925870442","DNA")</f>
        <v>DNA</v>
      </c>
      <c r="D1562" s="18" t="s">
        <v>1924</v>
      </c>
      <c r="E1562" s="18" t="s">
        <v>5128</v>
      </c>
      <c r="F1562" s="2" t="s">
        <v>7987</v>
      </c>
      <c r="G1562" s="2" t="s">
        <v>861</v>
      </c>
      <c r="H1562" s="14">
        <v>0.67</v>
      </c>
      <c r="I1562" s="2" t="s">
        <v>267</v>
      </c>
      <c r="J1562" s="2" t="s">
        <v>3942</v>
      </c>
      <c r="K1562" s="2" t="s">
        <v>5221</v>
      </c>
      <c r="L1562" s="2" t="s">
        <v>5221</v>
      </c>
      <c r="M1562" s="2" t="s">
        <v>5221</v>
      </c>
      <c r="N1562" s="2" t="s">
        <v>2317</v>
      </c>
      <c r="O1562" s="14">
        <v>3600</v>
      </c>
      <c r="P1562" s="14">
        <v>96.14</v>
      </c>
      <c r="Q1562" s="14">
        <v>138.96</v>
      </c>
      <c r="R1562" s="14">
        <v>93.1</v>
      </c>
      <c r="S1562" s="2" t="s">
        <v>16</v>
      </c>
      <c r="T1562" s="2">
        <v>1.01</v>
      </c>
      <c r="U1562" s="2">
        <v>62.8</v>
      </c>
      <c r="V1562" s="2">
        <v>56</v>
      </c>
      <c r="W1562" s="2" t="s">
        <v>7862</v>
      </c>
      <c r="X1562" s="2" t="s">
        <v>5405</v>
      </c>
      <c r="Y1562" s="2">
        <v>2412</v>
      </c>
      <c r="Z1562" s="19" t="str">
        <f>HYPERLINK("https://ssdweb.co/ssdweb/hd/Vision360.html?d=925870442&amp;zoomslide=1&amp;z=1925870442&amp;ISCONFIRM=0","VIDEO")</f>
        <v>VIDEO</v>
      </c>
      <c r="AA1562" s="19" t="str">
        <f>HYPERLINK("https://ssdweb.co/ssdweb/CERTH/626499055.pdf","CERTI")</f>
        <v>CERTI</v>
      </c>
    </row>
    <row r="1563" spans="1:27" ht="15" x14ac:dyDescent="0.25">
      <c r="A1563" s="2">
        <v>1558</v>
      </c>
      <c r="B1563" s="39">
        <v>821125870</v>
      </c>
      <c r="C1563" s="28" t="str">
        <f>HYPERLINK("https://pld.live/RapDetail.aspx?STONELIST=821125870","DNA")</f>
        <v>DNA</v>
      </c>
      <c r="D1563" s="18" t="s">
        <v>1924</v>
      </c>
      <c r="E1563" s="18" t="s">
        <v>5128</v>
      </c>
      <c r="F1563" s="2" t="s">
        <v>7987</v>
      </c>
      <c r="G1563" s="2" t="s">
        <v>861</v>
      </c>
      <c r="H1563" s="14">
        <v>0.67</v>
      </c>
      <c r="I1563" s="2" t="s">
        <v>267</v>
      </c>
      <c r="J1563" s="2" t="s">
        <v>3942</v>
      </c>
      <c r="K1563" s="2" t="s">
        <v>5221</v>
      </c>
      <c r="L1563" s="2" t="s">
        <v>5221</v>
      </c>
      <c r="M1563" s="2" t="s">
        <v>5221</v>
      </c>
      <c r="N1563" s="2" t="s">
        <v>2317</v>
      </c>
      <c r="O1563" s="14">
        <v>3600</v>
      </c>
      <c r="P1563" s="14">
        <v>96.19</v>
      </c>
      <c r="Q1563" s="14">
        <v>137.16</v>
      </c>
      <c r="R1563" s="14">
        <v>91.9</v>
      </c>
      <c r="S1563" s="2" t="s">
        <v>2136</v>
      </c>
      <c r="T1563" s="2">
        <v>1.01</v>
      </c>
      <c r="U1563" s="2">
        <v>62.4</v>
      </c>
      <c r="V1563" s="2">
        <v>58</v>
      </c>
      <c r="W1563" s="2" t="s">
        <v>7862</v>
      </c>
      <c r="X1563" s="2" t="s">
        <v>5405</v>
      </c>
      <c r="Y1563" s="2">
        <v>2412</v>
      </c>
      <c r="Z1563" s="19" t="str">
        <f>HYPERLINK("https://ssdweb.co/ssdweb/hd/Vision360.html?d=821125870&amp;zoomslide=1&amp;z=1821125870&amp;ISCONFIRM=0","VIDEO")</f>
        <v>VIDEO</v>
      </c>
      <c r="AA1563" s="19" t="str">
        <f>HYPERLINK("https://ssdweb.co/ssdweb/CERTH/617451833.pdf","CERTI")</f>
        <v>CERTI</v>
      </c>
    </row>
    <row r="1564" spans="1:27" ht="15" x14ac:dyDescent="0.25">
      <c r="A1564" s="2">
        <v>1559</v>
      </c>
      <c r="B1564" s="39">
        <v>925790737</v>
      </c>
      <c r="C1564" s="28" t="str">
        <f>HYPERLINK("https://pld.live/RapDetail.aspx?STONELIST=925790737","DNA")</f>
        <v>DNA</v>
      </c>
      <c r="D1564" s="18" t="s">
        <v>1924</v>
      </c>
      <c r="E1564" s="18" t="s">
        <v>5128</v>
      </c>
      <c r="F1564" s="2" t="s">
        <v>5597</v>
      </c>
      <c r="G1564" s="2" t="s">
        <v>861</v>
      </c>
      <c r="H1564" s="14">
        <v>0.67</v>
      </c>
      <c r="I1564" s="2" t="s">
        <v>267</v>
      </c>
      <c r="J1564" s="2" t="s">
        <v>13</v>
      </c>
      <c r="K1564" s="2" t="s">
        <v>5221</v>
      </c>
      <c r="L1564" s="2" t="s">
        <v>5221</v>
      </c>
      <c r="M1564" s="2" t="s">
        <v>5221</v>
      </c>
      <c r="N1564" s="2" t="s">
        <v>2317</v>
      </c>
      <c r="O1564" s="14">
        <v>3000</v>
      </c>
      <c r="P1564" s="14">
        <v>90.53</v>
      </c>
      <c r="Q1564" s="14">
        <v>284.10000000000002</v>
      </c>
      <c r="R1564" s="14">
        <v>190.35</v>
      </c>
      <c r="S1564" s="2" t="s">
        <v>3740</v>
      </c>
      <c r="T1564" s="2">
        <v>1.01</v>
      </c>
      <c r="U1564" s="2">
        <v>61.5</v>
      </c>
      <c r="V1564" s="2">
        <v>59</v>
      </c>
      <c r="W1564" s="2" t="s">
        <v>7862</v>
      </c>
      <c r="X1564" s="2" t="s">
        <v>5405</v>
      </c>
      <c r="Y1564" s="2">
        <v>2010</v>
      </c>
      <c r="Z1564" s="19" t="str">
        <f>HYPERLINK("https://ssdweb.co/ssdweb/hd/Vision360.html?d=925790737&amp;zoomslide=1&amp;z=1925790737&amp;ISCONFIRM=0","VIDEO")</f>
        <v>VIDEO</v>
      </c>
      <c r="AA1564" s="19" t="str">
        <f>HYPERLINK("https://ssdweb.co/ssdweb/CERTH/5486808372.pdf","CERTI")</f>
        <v>CERTI</v>
      </c>
    </row>
    <row r="1565" spans="1:27" ht="15" x14ac:dyDescent="0.25">
      <c r="A1565" s="2">
        <v>1560</v>
      </c>
      <c r="B1565" s="39">
        <v>926221284</v>
      </c>
      <c r="C1565" s="28" t="str">
        <f>HYPERLINK("https://pld.live/RapDetail.aspx?STONELIST=926221284","DNA")</f>
        <v>DNA</v>
      </c>
      <c r="D1565" s="18" t="s">
        <v>1924</v>
      </c>
      <c r="E1565" s="18" t="s">
        <v>5128</v>
      </c>
      <c r="F1565" s="2" t="s">
        <v>7987</v>
      </c>
      <c r="G1565" s="2" t="s">
        <v>861</v>
      </c>
      <c r="H1565" s="14">
        <v>0.67</v>
      </c>
      <c r="I1565" s="2" t="s">
        <v>267</v>
      </c>
      <c r="J1565" s="2" t="s">
        <v>13</v>
      </c>
      <c r="K1565" s="2" t="s">
        <v>5221</v>
      </c>
      <c r="L1565" s="2" t="s">
        <v>5221</v>
      </c>
      <c r="M1565" s="2" t="s">
        <v>5221</v>
      </c>
      <c r="N1565" s="2" t="s">
        <v>2317</v>
      </c>
      <c r="O1565" s="14">
        <v>3000</v>
      </c>
      <c r="P1565" s="14">
        <v>95.47</v>
      </c>
      <c r="Q1565" s="14">
        <v>135.9</v>
      </c>
      <c r="R1565" s="14">
        <v>91.05</v>
      </c>
      <c r="S1565" s="2" t="s">
        <v>7269</v>
      </c>
      <c r="T1565" s="2">
        <v>1.01</v>
      </c>
      <c r="U1565" s="2">
        <v>62.5</v>
      </c>
      <c r="V1565" s="2">
        <v>60</v>
      </c>
      <c r="W1565" s="2" t="s">
        <v>7862</v>
      </c>
      <c r="X1565" s="2" t="s">
        <v>5405</v>
      </c>
      <c r="Y1565" s="2">
        <v>2010</v>
      </c>
      <c r="Z1565" s="19" t="str">
        <f>HYPERLINK("https://ssdweb.co/ssdweb/hd/Vision360.html?d=926221284&amp;zoomslide=1&amp;z=1926221284&amp;ISCONFIRM=0","VIDEO")</f>
        <v>VIDEO</v>
      </c>
      <c r="AA1565" s="19" t="str">
        <f>HYPERLINK("https://ssdweb.co/ssdweb/CERTH/640419028.pdf","CERTI")</f>
        <v>CERTI</v>
      </c>
    </row>
    <row r="1566" spans="1:27" ht="15" x14ac:dyDescent="0.25">
      <c r="A1566" s="2">
        <v>1561</v>
      </c>
      <c r="B1566" s="39">
        <v>926171488</v>
      </c>
      <c r="C1566" s="28" t="str">
        <f>HYPERLINK("https://pld.live/RapDetail.aspx?STONELIST=926171488","DNA")</f>
        <v>DNA</v>
      </c>
      <c r="D1566" s="18" t="s">
        <v>1924</v>
      </c>
      <c r="E1566" s="18" t="s">
        <v>5128</v>
      </c>
      <c r="F1566" s="2" t="s">
        <v>7987</v>
      </c>
      <c r="G1566" s="2" t="s">
        <v>861</v>
      </c>
      <c r="H1566" s="14">
        <v>0.67</v>
      </c>
      <c r="I1566" s="2" t="s">
        <v>267</v>
      </c>
      <c r="J1566" s="2" t="s">
        <v>13</v>
      </c>
      <c r="K1566" s="2" t="s">
        <v>5221</v>
      </c>
      <c r="L1566" s="2" t="s">
        <v>5221</v>
      </c>
      <c r="M1566" s="2" t="s">
        <v>5221</v>
      </c>
      <c r="N1566" s="2" t="s">
        <v>2317</v>
      </c>
      <c r="O1566" s="14">
        <v>3000</v>
      </c>
      <c r="P1566" s="14">
        <v>95.53</v>
      </c>
      <c r="Q1566" s="14">
        <v>134.1</v>
      </c>
      <c r="R1566" s="14">
        <v>89.85</v>
      </c>
      <c r="S1566" s="2" t="s">
        <v>3423</v>
      </c>
      <c r="T1566" s="2">
        <v>1.01</v>
      </c>
      <c r="U1566" s="2">
        <v>60.6</v>
      </c>
      <c r="V1566" s="2">
        <v>61</v>
      </c>
      <c r="W1566" s="2" t="s">
        <v>7862</v>
      </c>
      <c r="X1566" s="2" t="s">
        <v>5405</v>
      </c>
      <c r="Y1566" s="2">
        <v>2010</v>
      </c>
      <c r="Z1566" s="19" t="str">
        <f>HYPERLINK("https://ssdweb.co/ssdweb/hd/Vision360.html?d=926171488&amp;zoomslide=1&amp;z=1926171488&amp;ISCONFIRM=0","VIDEO")</f>
        <v>VIDEO</v>
      </c>
      <c r="AA1566" s="19" t="str">
        <f>HYPERLINK("https://ssdweb.co/ssdweb/CERTH/635423787.pdf","CERTI")</f>
        <v>CERTI</v>
      </c>
    </row>
    <row r="1567" spans="1:27" ht="15" x14ac:dyDescent="0.25">
      <c r="A1567" s="2">
        <v>1562</v>
      </c>
      <c r="B1567" s="39">
        <v>925991240</v>
      </c>
      <c r="C1567" s="28" t="str">
        <f>HYPERLINK("https://pld.live/RapDetail.aspx?STONELIST=925991240","DNA")</f>
        <v>DNA</v>
      </c>
      <c r="D1567" s="18" t="s">
        <v>1924</v>
      </c>
      <c r="E1567" s="18" t="s">
        <v>2186</v>
      </c>
      <c r="F1567" s="2" t="s">
        <v>7987</v>
      </c>
      <c r="G1567" s="2" t="s">
        <v>861</v>
      </c>
      <c r="H1567" s="14">
        <v>0.67</v>
      </c>
      <c r="I1567" s="2" t="s">
        <v>4761</v>
      </c>
      <c r="J1567" s="2" t="s">
        <v>6555</v>
      </c>
      <c r="K1567" s="2" t="s">
        <v>3390</v>
      </c>
      <c r="L1567" s="2" t="s">
        <v>5221</v>
      </c>
      <c r="M1567" s="2" t="s">
        <v>5221</v>
      </c>
      <c r="N1567" s="2" t="s">
        <v>2317</v>
      </c>
      <c r="O1567" s="14">
        <v>4000</v>
      </c>
      <c r="P1567" s="14">
        <v>96.03</v>
      </c>
      <c r="Q1567" s="14">
        <v>158.80000000000001</v>
      </c>
      <c r="R1567" s="14">
        <v>106.4</v>
      </c>
      <c r="S1567" s="2" t="s">
        <v>1238</v>
      </c>
      <c r="T1567" s="2">
        <v>1.01</v>
      </c>
      <c r="U1567" s="2">
        <v>61.4</v>
      </c>
      <c r="V1567" s="2">
        <v>59</v>
      </c>
      <c r="W1567" s="2" t="s">
        <v>7862</v>
      </c>
      <c r="X1567" s="2" t="s">
        <v>5405</v>
      </c>
      <c r="Y1567" s="2">
        <v>2680</v>
      </c>
      <c r="Z1567" s="19" t="str">
        <f>HYPERLINK("https://ssdweb.co/ssdweb/hd/Vision360.html?d=925991240&amp;zoomslide=1&amp;z=1925991240&amp;ISCONFIRM=0","VIDEO")</f>
        <v>VIDEO</v>
      </c>
      <c r="AA1567" s="19" t="str">
        <f>HYPERLINK("https://ssdweb.co/ssdweb/CERTH/631430059.pdf","CERTI")</f>
        <v>CERTI</v>
      </c>
    </row>
    <row r="1568" spans="1:27" ht="15" x14ac:dyDescent="0.25">
      <c r="A1568" s="2">
        <v>1563</v>
      </c>
      <c r="B1568" s="39">
        <v>821125871</v>
      </c>
      <c r="C1568" s="28" t="str">
        <f>HYPERLINK("https://pld.live/RapDetail.aspx?STONELIST=821125871","DNA")</f>
        <v>DNA</v>
      </c>
      <c r="D1568" s="18" t="s">
        <v>1924</v>
      </c>
      <c r="E1568" s="18" t="s">
        <v>5128</v>
      </c>
      <c r="F1568" s="2" t="s">
        <v>7987</v>
      </c>
      <c r="G1568" s="2" t="s">
        <v>861</v>
      </c>
      <c r="H1568" s="14">
        <v>0.67</v>
      </c>
      <c r="I1568" s="2" t="s">
        <v>4761</v>
      </c>
      <c r="J1568" s="2" t="s">
        <v>3942</v>
      </c>
      <c r="K1568" s="2" t="s">
        <v>3390</v>
      </c>
      <c r="L1568" s="2" t="s">
        <v>5221</v>
      </c>
      <c r="M1568" s="2" t="s">
        <v>5221</v>
      </c>
      <c r="N1568" s="2" t="s">
        <v>2317</v>
      </c>
      <c r="O1568" s="14">
        <v>3300</v>
      </c>
      <c r="P1568" s="14">
        <v>95.91</v>
      </c>
      <c r="Q1568" s="14">
        <v>134.97</v>
      </c>
      <c r="R1568" s="14">
        <v>90.43</v>
      </c>
      <c r="S1568" s="2" t="s">
        <v>5928</v>
      </c>
      <c r="T1568" s="2">
        <v>1.01</v>
      </c>
      <c r="U1568" s="2">
        <v>60.9</v>
      </c>
      <c r="V1568" s="2">
        <v>59</v>
      </c>
      <c r="W1568" s="2" t="s">
        <v>7862</v>
      </c>
      <c r="X1568" s="2" t="s">
        <v>5405</v>
      </c>
      <c r="Y1568" s="2">
        <v>2211</v>
      </c>
      <c r="Z1568" s="19" t="str">
        <f>HYPERLINK("https://ssdweb.co/ssdweb/hd/Vision360.html?d=821125871&amp;zoomslide=1&amp;z=1821125871&amp;ISCONFIRM=0","VIDEO")</f>
        <v>VIDEO</v>
      </c>
      <c r="AA1568" s="19" t="str">
        <f>HYPERLINK("https://ssdweb.co/ssdweb/CERTH/617451879.pdf","CERTI")</f>
        <v>CERTI</v>
      </c>
    </row>
    <row r="1569" spans="1:27" ht="15" x14ac:dyDescent="0.25">
      <c r="A1569" s="2">
        <v>1564</v>
      </c>
      <c r="B1569" s="39">
        <v>926211187</v>
      </c>
      <c r="C1569" s="28" t="str">
        <f>HYPERLINK("https://pld.live/RapDetail.aspx?STONELIST=926211187","DNA")</f>
        <v>DNA</v>
      </c>
      <c r="D1569" s="18" t="s">
        <v>1924</v>
      </c>
      <c r="E1569" s="18" t="s">
        <v>5128</v>
      </c>
      <c r="F1569" s="2" t="s">
        <v>7987</v>
      </c>
      <c r="G1569" s="2" t="s">
        <v>861</v>
      </c>
      <c r="H1569" s="14">
        <v>0.67</v>
      </c>
      <c r="I1569" s="2" t="s">
        <v>4761</v>
      </c>
      <c r="J1569" s="2" t="s">
        <v>13</v>
      </c>
      <c r="K1569" s="2" t="s">
        <v>5221</v>
      </c>
      <c r="L1569" s="2" t="s">
        <v>5221</v>
      </c>
      <c r="M1569" s="2" t="s">
        <v>5221</v>
      </c>
      <c r="N1569" s="2" t="s">
        <v>2317</v>
      </c>
      <c r="O1569" s="14">
        <v>2800</v>
      </c>
      <c r="P1569" s="14">
        <v>95.21</v>
      </c>
      <c r="Q1569" s="14">
        <v>134.12</v>
      </c>
      <c r="R1569" s="14">
        <v>89.86</v>
      </c>
      <c r="S1569" s="2" t="s">
        <v>3846</v>
      </c>
      <c r="T1569" s="2">
        <v>1.01</v>
      </c>
      <c r="U1569" s="2">
        <v>63</v>
      </c>
      <c r="V1569" s="2">
        <v>57</v>
      </c>
      <c r="W1569" s="2" t="s">
        <v>7862</v>
      </c>
      <c r="X1569" s="2" t="s">
        <v>5405</v>
      </c>
      <c r="Y1569" s="2">
        <v>1876</v>
      </c>
      <c r="Z1569" s="19" t="str">
        <f>HYPERLINK("https://ssdweb.co/ssdweb/hd/Vision360.html?d=926211187&amp;zoomslide=1&amp;z=1926211187&amp;ISCONFIRM=0","VIDEO")</f>
        <v>VIDEO</v>
      </c>
      <c r="AA1569" s="19" t="str">
        <f>HYPERLINK("https://ssdweb.co/ssdweb/CERTH/639405998.pdf","CERTI")</f>
        <v>CERTI</v>
      </c>
    </row>
    <row r="1570" spans="1:27" ht="15" x14ac:dyDescent="0.25">
      <c r="A1570" s="2">
        <v>1565</v>
      </c>
      <c r="B1570" s="39">
        <v>926631389</v>
      </c>
      <c r="C1570" s="28" t="str">
        <f>HYPERLINK("https://pld.live/RapDetail.aspx?STONELIST=926631389","DNA")</f>
        <v>DNA</v>
      </c>
      <c r="D1570" s="18" t="s">
        <v>1924</v>
      </c>
      <c r="E1570" s="18" t="s">
        <v>5128</v>
      </c>
      <c r="F1570" s="2" t="s">
        <v>7987</v>
      </c>
      <c r="G1570" s="2" t="s">
        <v>861</v>
      </c>
      <c r="H1570" s="14">
        <v>0.66</v>
      </c>
      <c r="I1570" s="2" t="s">
        <v>267</v>
      </c>
      <c r="J1570" s="2" t="s">
        <v>6555</v>
      </c>
      <c r="K1570" s="2" t="s">
        <v>3390</v>
      </c>
      <c r="L1570" s="2" t="s">
        <v>5221</v>
      </c>
      <c r="M1570" s="2" t="s">
        <v>5221</v>
      </c>
      <c r="N1570" s="2" t="s">
        <v>2317</v>
      </c>
      <c r="O1570" s="14">
        <v>4600</v>
      </c>
      <c r="P1570" s="14">
        <v>96.35</v>
      </c>
      <c r="Q1570" s="14">
        <v>167.9</v>
      </c>
      <c r="R1570" s="14">
        <v>110.81</v>
      </c>
      <c r="S1570" s="2" t="s">
        <v>5024</v>
      </c>
      <c r="T1570" s="2">
        <v>1.01</v>
      </c>
      <c r="U1570" s="2">
        <v>59.9</v>
      </c>
      <c r="V1570" s="2">
        <v>58</v>
      </c>
      <c r="W1570" s="2" t="s">
        <v>7862</v>
      </c>
      <c r="X1570" s="2" t="s">
        <v>5405</v>
      </c>
      <c r="Y1570" s="2">
        <v>3036</v>
      </c>
      <c r="Z1570" s="19" t="str">
        <f>HYPERLINK("https://ssdweb.co/ssdweb/hd/Vision360.html?d=926631389&amp;zoomslide=1&amp;z=1926631389&amp;ISCONFIRM=0","VIDEO")</f>
        <v>VIDEO</v>
      </c>
      <c r="AA1570" s="19" t="str">
        <f>HYPERLINK("https://ssdweb.co/ssdweb/CERTH/660490575.pdf","CERTI")</f>
        <v>CERTI</v>
      </c>
    </row>
    <row r="1571" spans="1:27" ht="15" x14ac:dyDescent="0.25">
      <c r="A1571" s="2">
        <v>1566</v>
      </c>
      <c r="B1571" s="39">
        <v>926670562</v>
      </c>
      <c r="C1571" s="28" t="str">
        <f>HYPERLINK("https://pld.live/RapDetail.aspx?STONELIST=926670562","DNA")</f>
        <v>DNA</v>
      </c>
      <c r="D1571" s="18" t="s">
        <v>1924</v>
      </c>
      <c r="E1571" s="18" t="s">
        <v>5128</v>
      </c>
      <c r="F1571" s="2" t="s">
        <v>7987</v>
      </c>
      <c r="G1571" s="2" t="s">
        <v>861</v>
      </c>
      <c r="H1571" s="14">
        <v>0.66</v>
      </c>
      <c r="I1571" s="2" t="s">
        <v>267</v>
      </c>
      <c r="J1571" s="2" t="s">
        <v>3942</v>
      </c>
      <c r="K1571" s="2" t="s">
        <v>5221</v>
      </c>
      <c r="L1571" s="2" t="s">
        <v>5221</v>
      </c>
      <c r="M1571" s="2" t="s">
        <v>5221</v>
      </c>
      <c r="N1571" s="2" t="s">
        <v>2317</v>
      </c>
      <c r="O1571" s="14">
        <v>3600</v>
      </c>
      <c r="P1571" s="14">
        <v>96.03</v>
      </c>
      <c r="Q1571" s="14">
        <v>142.91999999999999</v>
      </c>
      <c r="R1571" s="14">
        <v>94.33</v>
      </c>
      <c r="S1571" s="2" t="s">
        <v>2163</v>
      </c>
      <c r="T1571" s="2">
        <v>1</v>
      </c>
      <c r="U1571" s="2">
        <v>58.5</v>
      </c>
      <c r="V1571" s="2">
        <v>61</v>
      </c>
      <c r="W1571" s="2" t="s">
        <v>7862</v>
      </c>
      <c r="X1571" s="2" t="s">
        <v>5405</v>
      </c>
      <c r="Y1571" s="2">
        <v>2376</v>
      </c>
      <c r="Z1571" s="19" t="str">
        <f>HYPERLINK("https://ssdweb.co/ssdweb/hd/Vision360.html?d=926670562&amp;zoomslide=1&amp;z=1926670562&amp;ISCONFIRM=0","VIDEO")</f>
        <v>VIDEO</v>
      </c>
      <c r="AA1571" s="19" t="str">
        <f>HYPERLINK("https://ssdweb.co/ssdweb/CERTH/660490500.pdf","CERTI")</f>
        <v>CERTI</v>
      </c>
    </row>
    <row r="1572" spans="1:27" ht="15" x14ac:dyDescent="0.25">
      <c r="A1572" s="2">
        <v>1567</v>
      </c>
      <c r="B1572" s="39">
        <v>926221276</v>
      </c>
      <c r="C1572" s="28" t="str">
        <f>HYPERLINK("https://pld.live/RapDetail.aspx?STONELIST=926221276","DNA")</f>
        <v>DNA</v>
      </c>
      <c r="D1572" s="18" t="s">
        <v>1924</v>
      </c>
      <c r="E1572" s="18" t="s">
        <v>5128</v>
      </c>
      <c r="F1572" s="2" t="s">
        <v>7987</v>
      </c>
      <c r="G1572" s="2" t="s">
        <v>861</v>
      </c>
      <c r="H1572" s="14">
        <v>0.66</v>
      </c>
      <c r="I1572" s="2" t="s">
        <v>267</v>
      </c>
      <c r="J1572" s="2" t="s">
        <v>3942</v>
      </c>
      <c r="K1572" s="2" t="s">
        <v>5221</v>
      </c>
      <c r="L1572" s="2" t="s">
        <v>5221</v>
      </c>
      <c r="M1572" s="2" t="s">
        <v>5221</v>
      </c>
      <c r="N1572" s="2" t="s">
        <v>2317</v>
      </c>
      <c r="O1572" s="14">
        <v>3600</v>
      </c>
      <c r="P1572" s="14">
        <v>96.08</v>
      </c>
      <c r="Q1572" s="14">
        <v>141.12</v>
      </c>
      <c r="R1572" s="14">
        <v>93.14</v>
      </c>
      <c r="S1572" s="2" t="s">
        <v>4393</v>
      </c>
      <c r="T1572" s="2">
        <v>1.01</v>
      </c>
      <c r="U1572" s="2">
        <v>62.7</v>
      </c>
      <c r="V1572" s="2">
        <v>56</v>
      </c>
      <c r="W1572" s="2" t="s">
        <v>7862</v>
      </c>
      <c r="X1572" s="2" t="s">
        <v>5405</v>
      </c>
      <c r="Y1572" s="2">
        <v>2376</v>
      </c>
      <c r="Z1572" s="19" t="str">
        <f>HYPERLINK("https://ssdweb.co/ssdweb/hd/Vision360.html?d=926221276&amp;zoomslide=1&amp;z=1926221276&amp;ISCONFIRM=0","VIDEO")</f>
        <v>VIDEO</v>
      </c>
      <c r="AA1572" s="19" t="str">
        <f>HYPERLINK("https://ssdweb.co/ssdweb/CERTH/640473952.pdf","CERTI")</f>
        <v>CERTI</v>
      </c>
    </row>
    <row r="1573" spans="1:27" ht="15" x14ac:dyDescent="0.25">
      <c r="A1573" s="2">
        <v>1568</v>
      </c>
      <c r="B1573" s="39">
        <v>926280845</v>
      </c>
      <c r="C1573" s="28" t="str">
        <f>HYPERLINK("https://pld.live/RapDetail.aspx?STONELIST=926280845","DNA")</f>
        <v>DNA</v>
      </c>
      <c r="D1573" s="18" t="s">
        <v>1924</v>
      </c>
      <c r="E1573" s="18" t="s">
        <v>5128</v>
      </c>
      <c r="F1573" s="2" t="s">
        <v>7987</v>
      </c>
      <c r="G1573" s="2" t="s">
        <v>861</v>
      </c>
      <c r="H1573" s="14">
        <v>0.66</v>
      </c>
      <c r="I1573" s="2" t="s">
        <v>267</v>
      </c>
      <c r="J1573" s="2" t="s">
        <v>3942</v>
      </c>
      <c r="K1573" s="2" t="s">
        <v>5221</v>
      </c>
      <c r="L1573" s="2" t="s">
        <v>5221</v>
      </c>
      <c r="M1573" s="2" t="s">
        <v>5221</v>
      </c>
      <c r="N1573" s="2" t="s">
        <v>2317</v>
      </c>
      <c r="O1573" s="14">
        <v>3600</v>
      </c>
      <c r="P1573" s="14">
        <v>96.03</v>
      </c>
      <c r="Q1573" s="14">
        <v>142.91999999999999</v>
      </c>
      <c r="R1573" s="14">
        <v>94.33</v>
      </c>
      <c r="S1573" s="2" t="s">
        <v>2663</v>
      </c>
      <c r="T1573" s="2">
        <v>1.01</v>
      </c>
      <c r="U1573" s="2">
        <v>61.7</v>
      </c>
      <c r="V1573" s="2">
        <v>57</v>
      </c>
      <c r="W1573" s="2" t="s">
        <v>7862</v>
      </c>
      <c r="X1573" s="2" t="s">
        <v>5405</v>
      </c>
      <c r="Y1573" s="2">
        <v>2376</v>
      </c>
      <c r="Z1573" s="19" t="str">
        <f>HYPERLINK("https://ssdweb.co/ssdweb/hd/Vision360.html?d=926280845&amp;zoomslide=1&amp;z=1926280845&amp;ISCONFIRM=0","VIDEO")</f>
        <v>VIDEO</v>
      </c>
      <c r="AA1573" s="19" t="str">
        <f>HYPERLINK("https://ssdweb.co/ssdweb/CERTH/660490510.pdf","CERTI")</f>
        <v>CERTI</v>
      </c>
    </row>
    <row r="1574" spans="1:27" ht="15" x14ac:dyDescent="0.25">
      <c r="A1574" s="2">
        <v>1569</v>
      </c>
      <c r="B1574" s="39">
        <v>926221317</v>
      </c>
      <c r="C1574" s="28" t="str">
        <f>HYPERLINK("https://pld.live/RapDetail.aspx?STONELIST=926221317","DNA")</f>
        <v>DNA</v>
      </c>
      <c r="D1574" s="18" t="s">
        <v>1924</v>
      </c>
      <c r="E1574" s="18" t="s">
        <v>5128</v>
      </c>
      <c r="F1574" s="2" t="s">
        <v>7987</v>
      </c>
      <c r="G1574" s="2" t="s">
        <v>861</v>
      </c>
      <c r="H1574" s="14">
        <v>0.66</v>
      </c>
      <c r="I1574" s="2" t="s">
        <v>267</v>
      </c>
      <c r="J1574" s="2" t="s">
        <v>3942</v>
      </c>
      <c r="K1574" s="2" t="s">
        <v>5221</v>
      </c>
      <c r="L1574" s="2" t="s">
        <v>5221</v>
      </c>
      <c r="M1574" s="2" t="s">
        <v>5221</v>
      </c>
      <c r="N1574" s="2" t="s">
        <v>2317</v>
      </c>
      <c r="O1574" s="14">
        <v>3600</v>
      </c>
      <c r="P1574" s="14">
        <v>96.08</v>
      </c>
      <c r="Q1574" s="14">
        <v>141.12</v>
      </c>
      <c r="R1574" s="14">
        <v>93.14</v>
      </c>
      <c r="S1574" s="2" t="s">
        <v>7269</v>
      </c>
      <c r="T1574" s="2">
        <v>1.01</v>
      </c>
      <c r="U1574" s="2">
        <v>62.6</v>
      </c>
      <c r="V1574" s="2">
        <v>57</v>
      </c>
      <c r="W1574" s="2" t="s">
        <v>7862</v>
      </c>
      <c r="X1574" s="2" t="s">
        <v>5405</v>
      </c>
      <c r="Y1574" s="2">
        <v>2376</v>
      </c>
      <c r="Z1574" s="19" t="str">
        <f>HYPERLINK("https://ssdweb.co/ssdweb/hd/Vision360.html?d=926221317&amp;zoomslide=1&amp;z=1926221317&amp;ISCONFIRM=0","VIDEO")</f>
        <v>VIDEO</v>
      </c>
      <c r="AA1574" s="19" t="str">
        <f>HYPERLINK("https://ssdweb.co/ssdweb/CERTH/640473910.pdf","CERTI")</f>
        <v>CERTI</v>
      </c>
    </row>
    <row r="1575" spans="1:27" ht="15" x14ac:dyDescent="0.25">
      <c r="A1575" s="2">
        <v>1570</v>
      </c>
      <c r="B1575" s="39">
        <v>925910769</v>
      </c>
      <c r="C1575" s="28" t="str">
        <f>HYPERLINK("https://pld.live/RapDetail.aspx?STONELIST=925910769","DNA")</f>
        <v>DNA</v>
      </c>
      <c r="D1575" s="18" t="s">
        <v>1924</v>
      </c>
      <c r="E1575" s="18" t="s">
        <v>5128</v>
      </c>
      <c r="F1575" s="2" t="s">
        <v>7987</v>
      </c>
      <c r="G1575" s="2" t="s">
        <v>861</v>
      </c>
      <c r="H1575" s="14">
        <v>0.66</v>
      </c>
      <c r="I1575" s="2" t="s">
        <v>267</v>
      </c>
      <c r="J1575" s="2" t="s">
        <v>13</v>
      </c>
      <c r="K1575" s="2" t="s">
        <v>5221</v>
      </c>
      <c r="L1575" s="2" t="s">
        <v>5221</v>
      </c>
      <c r="M1575" s="2" t="s">
        <v>5221</v>
      </c>
      <c r="N1575" s="2" t="s">
        <v>2317</v>
      </c>
      <c r="O1575" s="14">
        <v>3000</v>
      </c>
      <c r="P1575" s="14">
        <v>95.53</v>
      </c>
      <c r="Q1575" s="14">
        <v>134.1</v>
      </c>
      <c r="R1575" s="14">
        <v>88.51</v>
      </c>
      <c r="S1575" s="2" t="s">
        <v>2557</v>
      </c>
      <c r="T1575" s="2">
        <v>1.01</v>
      </c>
      <c r="U1575" s="2">
        <v>62.8</v>
      </c>
      <c r="V1575" s="2">
        <v>56</v>
      </c>
      <c r="W1575" s="2" t="s">
        <v>7862</v>
      </c>
      <c r="X1575" s="2" t="s">
        <v>5405</v>
      </c>
      <c r="Y1575" s="2">
        <v>1980</v>
      </c>
      <c r="Z1575" s="19" t="str">
        <f>HYPERLINK("https://ssdweb.co/ssdweb/hd/Vision360.html?d=925910769&amp;zoomslide=1&amp;z=1925910769&amp;ISCONFIRM=0","VIDEO")</f>
        <v>VIDEO</v>
      </c>
      <c r="AA1575" s="19" t="str">
        <f>HYPERLINK("https://ssdweb.co/ssdweb/CERTH/628426780.pdf","CERTI")</f>
        <v>CERTI</v>
      </c>
    </row>
    <row r="1576" spans="1:27" ht="15" x14ac:dyDescent="0.25">
      <c r="A1576" s="2">
        <v>1571</v>
      </c>
      <c r="B1576" s="39">
        <v>821125882</v>
      </c>
      <c r="C1576" s="28" t="str">
        <f>HYPERLINK("https://pld.live/RapDetail.aspx?STONELIST=821125882","DNA")</f>
        <v>DNA</v>
      </c>
      <c r="D1576" s="18" t="s">
        <v>1924</v>
      </c>
      <c r="E1576" s="18" t="s">
        <v>5128</v>
      </c>
      <c r="F1576" s="2" t="s">
        <v>7987</v>
      </c>
      <c r="G1576" s="2" t="s">
        <v>861</v>
      </c>
      <c r="H1576" s="14">
        <v>0.66</v>
      </c>
      <c r="I1576" s="2" t="s">
        <v>267</v>
      </c>
      <c r="J1576" s="2" t="s">
        <v>13</v>
      </c>
      <c r="K1576" s="2" t="s">
        <v>5221</v>
      </c>
      <c r="L1576" s="2" t="s">
        <v>5221</v>
      </c>
      <c r="M1576" s="2" t="s">
        <v>5221</v>
      </c>
      <c r="N1576" s="2" t="s">
        <v>2317</v>
      </c>
      <c r="O1576" s="14">
        <v>3000</v>
      </c>
      <c r="P1576" s="14">
        <v>95.6</v>
      </c>
      <c r="Q1576" s="14">
        <v>132</v>
      </c>
      <c r="R1576" s="14">
        <v>87.12</v>
      </c>
      <c r="S1576" s="2" t="s">
        <v>4820</v>
      </c>
      <c r="T1576" s="2">
        <v>1</v>
      </c>
      <c r="U1576" s="2">
        <v>61.8</v>
      </c>
      <c r="V1576" s="2">
        <v>59</v>
      </c>
      <c r="W1576" s="2" t="s">
        <v>7862</v>
      </c>
      <c r="X1576" s="2" t="s">
        <v>5405</v>
      </c>
      <c r="Y1576" s="2">
        <v>1980</v>
      </c>
      <c r="Z1576" s="19" t="str">
        <f>HYPERLINK("https://ssdweb.co/ssdweb/hd/Vision360.html?d=821125882&amp;zoomslide=1&amp;z=1821125882&amp;ISCONFIRM=0","VIDEO")</f>
        <v>VIDEO</v>
      </c>
      <c r="AA1576" s="19" t="str">
        <f>HYPERLINK("https://ssdweb.co/ssdweb/CERTH/617451819.pdf","CERTI")</f>
        <v>CERTI</v>
      </c>
    </row>
    <row r="1577" spans="1:27" ht="15" x14ac:dyDescent="0.25">
      <c r="A1577" s="2">
        <v>1572</v>
      </c>
      <c r="B1577" s="39">
        <v>925110293</v>
      </c>
      <c r="C1577" s="28" t="str">
        <f>HYPERLINK("https://pld.live/RapDetail.aspx?STONELIST=925110293","DNA")</f>
        <v>DNA</v>
      </c>
      <c r="D1577" s="18" t="s">
        <v>1924</v>
      </c>
      <c r="E1577" s="18" t="s">
        <v>5128</v>
      </c>
      <c r="F1577" s="2" t="s">
        <v>7987</v>
      </c>
      <c r="G1577" s="2" t="s">
        <v>861</v>
      </c>
      <c r="H1577" s="14">
        <v>0.66</v>
      </c>
      <c r="I1577" s="2" t="s">
        <v>267</v>
      </c>
      <c r="J1577" s="2" t="s">
        <v>13</v>
      </c>
      <c r="K1577" s="2" t="s">
        <v>5221</v>
      </c>
      <c r="L1577" s="2" t="s">
        <v>5221</v>
      </c>
      <c r="M1577" s="2" t="s">
        <v>5221</v>
      </c>
      <c r="N1577" s="2" t="s">
        <v>2317</v>
      </c>
      <c r="O1577" s="14">
        <v>3000</v>
      </c>
      <c r="P1577" s="14">
        <v>95.6</v>
      </c>
      <c r="Q1577" s="14">
        <v>132</v>
      </c>
      <c r="R1577" s="14">
        <v>87.12</v>
      </c>
      <c r="S1577" s="2" t="s">
        <v>4541</v>
      </c>
      <c r="T1577" s="2">
        <v>1.01</v>
      </c>
      <c r="U1577" s="2">
        <v>59.7</v>
      </c>
      <c r="V1577" s="2">
        <v>58</v>
      </c>
      <c r="W1577" s="2" t="s">
        <v>7862</v>
      </c>
      <c r="X1577" s="2" t="s">
        <v>5405</v>
      </c>
      <c r="Y1577" s="2">
        <v>1980</v>
      </c>
      <c r="Z1577" s="19" t="str">
        <f>HYPERLINK("https://ssdweb.co/ssdweb/hd/Vision360.html?d=925110293&amp;zoomslide=1&amp;z=1925110293&amp;ISCONFIRM=0","VIDEO")</f>
        <v>VIDEO</v>
      </c>
      <c r="AA1577" s="19" t="str">
        <f>HYPERLINK("https://ssdweb.co/ssdweb/CERTH/607378428.pdf","CERTI")</f>
        <v>CERTI</v>
      </c>
    </row>
    <row r="1578" spans="1:27" ht="15" x14ac:dyDescent="0.25">
      <c r="A1578" s="2">
        <v>1573</v>
      </c>
      <c r="B1578" s="39">
        <v>926221449</v>
      </c>
      <c r="C1578" s="28" t="str">
        <f>HYPERLINK("https://pld.live/RapDetail.aspx?STONELIST=926221449","DNA")</f>
        <v>DNA</v>
      </c>
      <c r="D1578" s="18" t="s">
        <v>1924</v>
      </c>
      <c r="E1578" s="18" t="s">
        <v>5128</v>
      </c>
      <c r="F1578" s="2" t="s">
        <v>7987</v>
      </c>
      <c r="G1578" s="2" t="s">
        <v>861</v>
      </c>
      <c r="H1578" s="14">
        <v>0.66</v>
      </c>
      <c r="I1578" s="2" t="s">
        <v>267</v>
      </c>
      <c r="J1578" s="2" t="s">
        <v>13</v>
      </c>
      <c r="K1578" s="2" t="s">
        <v>5221</v>
      </c>
      <c r="L1578" s="2" t="s">
        <v>5221</v>
      </c>
      <c r="M1578" s="2" t="s">
        <v>5721</v>
      </c>
      <c r="N1578" s="2" t="s">
        <v>2317</v>
      </c>
      <c r="O1578" s="14">
        <v>3000</v>
      </c>
      <c r="P1578" s="14">
        <v>95.47</v>
      </c>
      <c r="Q1578" s="14">
        <v>135.9</v>
      </c>
      <c r="R1578" s="14">
        <v>89.69</v>
      </c>
      <c r="S1578" s="2" t="s">
        <v>3834</v>
      </c>
      <c r="T1578" s="2">
        <v>1.01</v>
      </c>
      <c r="U1578" s="2">
        <v>62.9</v>
      </c>
      <c r="V1578" s="2">
        <v>58</v>
      </c>
      <c r="W1578" s="2" t="s">
        <v>7862</v>
      </c>
      <c r="X1578" s="2" t="s">
        <v>5405</v>
      </c>
      <c r="Y1578" s="2">
        <v>1980</v>
      </c>
      <c r="Z1578" s="19" t="str">
        <f>HYPERLINK("https://ssdweb.co/ssdweb/hd/Vision360.html?d=926221449&amp;zoomslide=1&amp;z=1926221449&amp;ISCONFIRM=0","VIDEO")</f>
        <v>VIDEO</v>
      </c>
      <c r="AA1578" s="19" t="str">
        <f>HYPERLINK("https://ssdweb.co/ssdweb/CERTH/660490499.pdf","CERTI")</f>
        <v>CERTI</v>
      </c>
    </row>
    <row r="1579" spans="1:27" ht="15" x14ac:dyDescent="0.25">
      <c r="A1579" s="2">
        <v>1574</v>
      </c>
      <c r="B1579" s="39">
        <v>926301029</v>
      </c>
      <c r="C1579" s="28" t="str">
        <f>HYPERLINK("https://pld.live/RapDetail.aspx?STONELIST=926301029","DNA")</f>
        <v>DNA</v>
      </c>
      <c r="D1579" s="18" t="s">
        <v>1924</v>
      </c>
      <c r="E1579" s="18" t="s">
        <v>5128</v>
      </c>
      <c r="F1579" s="2" t="s">
        <v>7987</v>
      </c>
      <c r="G1579" s="2" t="s">
        <v>861</v>
      </c>
      <c r="H1579" s="14">
        <v>0.66</v>
      </c>
      <c r="I1579" s="2" t="s">
        <v>267</v>
      </c>
      <c r="J1579" s="2" t="s">
        <v>13</v>
      </c>
      <c r="K1579" s="2" t="s">
        <v>5221</v>
      </c>
      <c r="L1579" s="2" t="s">
        <v>5721</v>
      </c>
      <c r="M1579" s="2" t="s">
        <v>5221</v>
      </c>
      <c r="N1579" s="2" t="s">
        <v>2317</v>
      </c>
      <c r="O1579" s="14">
        <v>3000</v>
      </c>
      <c r="P1579" s="14">
        <v>95.47</v>
      </c>
      <c r="Q1579" s="14">
        <v>135.9</v>
      </c>
      <c r="R1579" s="14">
        <v>89.69</v>
      </c>
      <c r="S1579" s="2" t="s">
        <v>1321</v>
      </c>
      <c r="T1579" s="2">
        <v>1.01</v>
      </c>
      <c r="U1579" s="2">
        <v>61.2</v>
      </c>
      <c r="V1579" s="2">
        <v>57</v>
      </c>
      <c r="W1579" s="2" t="s">
        <v>7862</v>
      </c>
      <c r="X1579" s="2" t="s">
        <v>5405</v>
      </c>
      <c r="Y1579" s="2">
        <v>1980</v>
      </c>
      <c r="Z1579" s="19" t="str">
        <f>HYPERLINK("https://ssdweb.co/ssdweb/hd/Vision360.html?d=926301029&amp;zoomslide=1&amp;z=1926301029&amp;ISCONFIRM=0","VIDEO")</f>
        <v>VIDEO</v>
      </c>
      <c r="AA1579" s="19" t="str">
        <f>HYPERLINK("https://ssdweb.co/ssdweb/CERTH/660490568.pdf","CERTI")</f>
        <v>CERTI</v>
      </c>
    </row>
    <row r="1580" spans="1:27" ht="15" x14ac:dyDescent="0.25">
      <c r="A1580" s="2">
        <v>1575</v>
      </c>
      <c r="B1580" s="39">
        <v>926211202</v>
      </c>
      <c r="C1580" s="28" t="str">
        <f>HYPERLINK("https://pld.live/RapDetail.aspx?STONELIST=926211202","DNA")</f>
        <v>DNA</v>
      </c>
      <c r="D1580" s="18" t="s">
        <v>1924</v>
      </c>
      <c r="E1580" s="18" t="s">
        <v>5128</v>
      </c>
      <c r="F1580" s="2" t="s">
        <v>7987</v>
      </c>
      <c r="G1580" s="2" t="s">
        <v>861</v>
      </c>
      <c r="H1580" s="14">
        <v>0.66</v>
      </c>
      <c r="I1580" s="2" t="s">
        <v>4761</v>
      </c>
      <c r="J1580" s="2" t="s">
        <v>6555</v>
      </c>
      <c r="K1580" s="2" t="s">
        <v>3390</v>
      </c>
      <c r="L1580" s="2" t="s">
        <v>5221</v>
      </c>
      <c r="M1580" s="2" t="s">
        <v>5221</v>
      </c>
      <c r="N1580" s="2" t="s">
        <v>2317</v>
      </c>
      <c r="O1580" s="14">
        <v>4000</v>
      </c>
      <c r="P1580" s="14">
        <v>95.98</v>
      </c>
      <c r="Q1580" s="14">
        <v>160.80000000000001</v>
      </c>
      <c r="R1580" s="14">
        <v>106.13</v>
      </c>
      <c r="S1580" s="2" t="s">
        <v>6879</v>
      </c>
      <c r="T1580" s="2">
        <v>1.01</v>
      </c>
      <c r="U1580" s="2">
        <v>60.8</v>
      </c>
      <c r="V1580" s="2">
        <v>57</v>
      </c>
      <c r="W1580" s="2" t="s">
        <v>7862</v>
      </c>
      <c r="X1580" s="2" t="s">
        <v>5405</v>
      </c>
      <c r="Y1580" s="2">
        <v>2640</v>
      </c>
      <c r="Z1580" s="19" t="str">
        <f>HYPERLINK("https://ssdweb.co/ssdweb/hd/Vision360.html?d=926211202&amp;zoomslide=1&amp;z=1926211202&amp;ISCONFIRM=0","VIDEO")</f>
        <v>VIDEO</v>
      </c>
      <c r="AA1580" s="19" t="str">
        <f>HYPERLINK("https://ssdweb.co/ssdweb/CERTH/639406004.pdf","CERTI")</f>
        <v>CERTI</v>
      </c>
    </row>
    <row r="1581" spans="1:27" ht="15" x14ac:dyDescent="0.25">
      <c r="A1581" s="2">
        <v>1576</v>
      </c>
      <c r="B1581" s="39">
        <v>926311258</v>
      </c>
      <c r="C1581" s="28" t="str">
        <f>HYPERLINK("https://pld.live/RapDetail.aspx?STONELIST=926311258","DNA")</f>
        <v>DNA</v>
      </c>
      <c r="D1581" s="18" t="s">
        <v>1924</v>
      </c>
      <c r="E1581" s="18" t="s">
        <v>5128</v>
      </c>
      <c r="F1581" s="2" t="s">
        <v>7987</v>
      </c>
      <c r="G1581" s="2" t="s">
        <v>861</v>
      </c>
      <c r="H1581" s="14">
        <v>0.66</v>
      </c>
      <c r="I1581" s="2" t="s">
        <v>4761</v>
      </c>
      <c r="J1581" s="2" t="s">
        <v>3942</v>
      </c>
      <c r="K1581" s="2" t="s">
        <v>3390</v>
      </c>
      <c r="L1581" s="2" t="s">
        <v>5221</v>
      </c>
      <c r="M1581" s="2" t="s">
        <v>5221</v>
      </c>
      <c r="N1581" s="2" t="s">
        <v>2317</v>
      </c>
      <c r="O1581" s="14">
        <v>3300</v>
      </c>
      <c r="P1581" s="14">
        <v>95.79</v>
      </c>
      <c r="Q1581" s="14">
        <v>138.93</v>
      </c>
      <c r="R1581" s="14">
        <v>91.69</v>
      </c>
      <c r="S1581" s="2" t="s">
        <v>5676</v>
      </c>
      <c r="T1581" s="2">
        <v>1.01</v>
      </c>
      <c r="U1581" s="2">
        <v>62.1</v>
      </c>
      <c r="V1581" s="2">
        <v>57</v>
      </c>
      <c r="W1581" s="2" t="s">
        <v>7862</v>
      </c>
      <c r="X1581" s="2" t="s">
        <v>5405</v>
      </c>
      <c r="Y1581" s="2">
        <v>2178</v>
      </c>
      <c r="Z1581" s="19" t="str">
        <f>HYPERLINK("https://ssdweb.co/ssdweb/hd/Vision360.html?d=926311258&amp;zoomslide=1&amp;z=1926311258&amp;ISCONFIRM=0","VIDEO")</f>
        <v>VIDEO</v>
      </c>
      <c r="AA1581" s="19" t="str">
        <f>HYPERLINK("https://ssdweb.co/ssdweb/CERTH/646472892.pdf","CERTI")</f>
        <v>CERTI</v>
      </c>
    </row>
    <row r="1582" spans="1:27" ht="15" x14ac:dyDescent="0.25">
      <c r="A1582" s="2">
        <v>1577</v>
      </c>
      <c r="B1582" s="39">
        <v>821125881</v>
      </c>
      <c r="C1582" s="28" t="str">
        <f>HYPERLINK("https://pld.live/RapDetail.aspx?STONELIST=821125881","DNA")</f>
        <v>DNA</v>
      </c>
      <c r="D1582" s="18" t="s">
        <v>1924</v>
      </c>
      <c r="E1582" s="18" t="s">
        <v>5128</v>
      </c>
      <c r="F1582" s="2" t="s">
        <v>7987</v>
      </c>
      <c r="G1582" s="2" t="s">
        <v>861</v>
      </c>
      <c r="H1582" s="14">
        <v>0.66</v>
      </c>
      <c r="I1582" s="2" t="s">
        <v>4761</v>
      </c>
      <c r="J1582" s="2" t="s">
        <v>3942</v>
      </c>
      <c r="K1582" s="2" t="s">
        <v>5221</v>
      </c>
      <c r="L1582" s="2" t="s">
        <v>5221</v>
      </c>
      <c r="M1582" s="2" t="s">
        <v>5221</v>
      </c>
      <c r="N1582" s="2" t="s">
        <v>2317</v>
      </c>
      <c r="O1582" s="14">
        <v>3300</v>
      </c>
      <c r="P1582" s="14">
        <v>95.91</v>
      </c>
      <c r="Q1582" s="14">
        <v>134.97</v>
      </c>
      <c r="R1582" s="14">
        <v>89.08</v>
      </c>
      <c r="S1582" s="2" t="s">
        <v>3123</v>
      </c>
      <c r="T1582" s="2">
        <v>1.01</v>
      </c>
      <c r="U1582" s="2">
        <v>60</v>
      </c>
      <c r="V1582" s="2">
        <v>58</v>
      </c>
      <c r="W1582" s="2" t="s">
        <v>7862</v>
      </c>
      <c r="X1582" s="2" t="s">
        <v>5405</v>
      </c>
      <c r="Y1582" s="2">
        <v>2178</v>
      </c>
      <c r="Z1582" s="19" t="str">
        <f>HYPERLINK("https://ssdweb.co/ssdweb/hd/Vision360.html?d=821125881&amp;zoomslide=1&amp;z=1821125881&amp;ISCONFIRM=0","VIDEO")</f>
        <v>VIDEO</v>
      </c>
      <c r="AA1582" s="19" t="str">
        <f>HYPERLINK("https://ssdweb.co/ssdweb/CERTH/617451860.pdf","CERTI")</f>
        <v>CERTI</v>
      </c>
    </row>
    <row r="1583" spans="1:27" ht="15" x14ac:dyDescent="0.25">
      <c r="A1583" s="2">
        <v>1578</v>
      </c>
      <c r="B1583" s="39">
        <v>926211277</v>
      </c>
      <c r="C1583" s="28" t="str">
        <f>HYPERLINK("https://pld.live/RapDetail.aspx?STONELIST=926211277","DNA")</f>
        <v>DNA</v>
      </c>
      <c r="D1583" s="18" t="s">
        <v>1924</v>
      </c>
      <c r="E1583" s="18" t="s">
        <v>5128</v>
      </c>
      <c r="F1583" s="2" t="s">
        <v>7987</v>
      </c>
      <c r="G1583" s="2" t="s">
        <v>861</v>
      </c>
      <c r="H1583" s="14">
        <v>0.66</v>
      </c>
      <c r="I1583" s="2" t="s">
        <v>4761</v>
      </c>
      <c r="J1583" s="2" t="s">
        <v>3942</v>
      </c>
      <c r="K1583" s="2" t="s">
        <v>5221</v>
      </c>
      <c r="L1583" s="2" t="s">
        <v>5221</v>
      </c>
      <c r="M1583" s="2" t="s">
        <v>5221</v>
      </c>
      <c r="N1583" s="2" t="s">
        <v>2317</v>
      </c>
      <c r="O1583" s="14">
        <v>3300</v>
      </c>
      <c r="P1583" s="14">
        <v>95.79</v>
      </c>
      <c r="Q1583" s="14">
        <v>138.93</v>
      </c>
      <c r="R1583" s="14">
        <v>91.69</v>
      </c>
      <c r="S1583" s="2" t="s">
        <v>6684</v>
      </c>
      <c r="T1583" s="2">
        <v>1.01</v>
      </c>
      <c r="U1583" s="2">
        <v>63.3</v>
      </c>
      <c r="V1583" s="2">
        <v>56</v>
      </c>
      <c r="W1583" s="2" t="s">
        <v>7862</v>
      </c>
      <c r="X1583" s="2" t="s">
        <v>5405</v>
      </c>
      <c r="Y1583" s="2">
        <v>2178</v>
      </c>
      <c r="Z1583" s="19" t="str">
        <f>HYPERLINK("https://ssdweb.co/ssdweb/hd/Vision360.html?d=926211277&amp;zoomslide=1&amp;z=1926211277&amp;ISCONFIRM=0","VIDEO")</f>
        <v>VIDEO</v>
      </c>
      <c r="AA1583" s="19" t="str">
        <f>HYPERLINK("https://ssdweb.co/ssdweb/CERTH/639413197.pdf","CERTI")</f>
        <v>CERTI</v>
      </c>
    </row>
    <row r="1584" spans="1:27" ht="15" x14ac:dyDescent="0.25">
      <c r="A1584" s="2">
        <v>1579</v>
      </c>
      <c r="B1584" s="39">
        <v>925990505</v>
      </c>
      <c r="C1584" s="28" t="str">
        <f>HYPERLINK("https://pld.live/RapDetail.aspx?STONELIST=925990505","DNA")</f>
        <v>DNA</v>
      </c>
      <c r="D1584" s="18" t="s">
        <v>1924</v>
      </c>
      <c r="E1584" s="18" t="s">
        <v>2186</v>
      </c>
      <c r="F1584" s="2" t="s">
        <v>7987</v>
      </c>
      <c r="G1584" s="2" t="s">
        <v>861</v>
      </c>
      <c r="H1584" s="14">
        <v>0.66</v>
      </c>
      <c r="I1584" s="2" t="s">
        <v>4761</v>
      </c>
      <c r="J1584" s="2" t="s">
        <v>13</v>
      </c>
      <c r="K1584" s="2" t="s">
        <v>3390</v>
      </c>
      <c r="L1584" s="2" t="s">
        <v>5221</v>
      </c>
      <c r="M1584" s="2" t="s">
        <v>5221</v>
      </c>
      <c r="N1584" s="2" t="s">
        <v>2317</v>
      </c>
      <c r="O1584" s="14">
        <v>2800</v>
      </c>
      <c r="P1584" s="14">
        <v>95.14</v>
      </c>
      <c r="Q1584" s="14">
        <v>136.08000000000001</v>
      </c>
      <c r="R1584" s="14">
        <v>89.81</v>
      </c>
      <c r="S1584" s="2" t="s">
        <v>4589</v>
      </c>
      <c r="T1584" s="2">
        <v>1.01</v>
      </c>
      <c r="U1584" s="2">
        <v>62.2</v>
      </c>
      <c r="V1584" s="2">
        <v>56</v>
      </c>
      <c r="W1584" s="2" t="s">
        <v>7862</v>
      </c>
      <c r="X1584" s="2" t="s">
        <v>5405</v>
      </c>
      <c r="Y1584" s="2">
        <v>1848</v>
      </c>
      <c r="Z1584" s="19" t="str">
        <f>HYPERLINK("https://ssdweb.co/ssdweb/hd/Vision360.html?d=925990505&amp;zoomslide=1&amp;z=1925990505&amp;ISCONFIRM=0","VIDEO")</f>
        <v>VIDEO</v>
      </c>
      <c r="AA1584" s="19" t="str">
        <f>HYPERLINK("https://ssdweb.co/ssdweb/CERTH/660490505.pdf","CERTI")</f>
        <v>CERTI</v>
      </c>
    </row>
    <row r="1585" spans="1:27" ht="15" x14ac:dyDescent="0.25">
      <c r="A1585" s="2">
        <v>1580</v>
      </c>
      <c r="B1585" s="39">
        <v>925870390</v>
      </c>
      <c r="C1585" s="28" t="str">
        <f>HYPERLINK("https://pld.live/RapDetail.aspx?STONELIST=925870390","DNA")</f>
        <v>DNA</v>
      </c>
      <c r="D1585" s="18" t="s">
        <v>1924</v>
      </c>
      <c r="E1585" s="18" t="s">
        <v>5128</v>
      </c>
      <c r="F1585" s="2" t="s">
        <v>7987</v>
      </c>
      <c r="G1585" s="2" t="s">
        <v>861</v>
      </c>
      <c r="H1585" s="14">
        <v>0.65</v>
      </c>
      <c r="I1585" s="2" t="s">
        <v>267</v>
      </c>
      <c r="J1585" s="2" t="s">
        <v>13</v>
      </c>
      <c r="K1585" s="2" t="s">
        <v>3390</v>
      </c>
      <c r="L1585" s="2" t="s">
        <v>5221</v>
      </c>
      <c r="M1585" s="2" t="s">
        <v>5221</v>
      </c>
      <c r="N1585" s="2" t="s">
        <v>2317</v>
      </c>
      <c r="O1585" s="14">
        <v>3000</v>
      </c>
      <c r="P1585" s="14">
        <v>95.4</v>
      </c>
      <c r="Q1585" s="14">
        <v>138</v>
      </c>
      <c r="R1585" s="14">
        <v>89.7</v>
      </c>
      <c r="S1585" s="2" t="s">
        <v>7369</v>
      </c>
      <c r="T1585" s="2">
        <v>1</v>
      </c>
      <c r="U1585" s="2">
        <v>61.2</v>
      </c>
      <c r="V1585" s="2">
        <v>59</v>
      </c>
      <c r="W1585" s="2" t="s">
        <v>7862</v>
      </c>
      <c r="X1585" s="2" t="s">
        <v>5405</v>
      </c>
      <c r="Y1585" s="2">
        <v>1950</v>
      </c>
      <c r="Z1585" s="19" t="str">
        <f>HYPERLINK("https://ssdweb.co/ssdweb/hd/Vision360.html?d=925870390&amp;zoomslide=1&amp;z=1925870390&amp;ISCONFIRM=0","VIDEO")</f>
        <v>VIDEO</v>
      </c>
      <c r="AA1585" s="19" t="str">
        <f>HYPERLINK("https://ssdweb.co/ssdweb/CERTH/660490504.pdf","CERTI")</f>
        <v>CERTI</v>
      </c>
    </row>
    <row r="1586" spans="1:27" ht="15" x14ac:dyDescent="0.25">
      <c r="A1586" s="2">
        <v>1581</v>
      </c>
      <c r="B1586" s="39">
        <v>925870591</v>
      </c>
      <c r="C1586" s="28" t="str">
        <f>HYPERLINK("https://pld.live/RapDetail.aspx?STONELIST=925870591","DNA")</f>
        <v>DNA</v>
      </c>
      <c r="D1586" s="18" t="s">
        <v>1924</v>
      </c>
      <c r="E1586" s="18" t="s">
        <v>5128</v>
      </c>
      <c r="F1586" s="2" t="s">
        <v>5597</v>
      </c>
      <c r="G1586" s="2" t="s">
        <v>861</v>
      </c>
      <c r="H1586" s="14">
        <v>0.65</v>
      </c>
      <c r="I1586" s="2" t="s">
        <v>267</v>
      </c>
      <c r="J1586" s="2" t="s">
        <v>13</v>
      </c>
      <c r="K1586" s="2" t="s">
        <v>5221</v>
      </c>
      <c r="L1586" s="2" t="s">
        <v>5221</v>
      </c>
      <c r="M1586" s="2" t="s">
        <v>5221</v>
      </c>
      <c r="N1586" s="2" t="s">
        <v>2317</v>
      </c>
      <c r="O1586" s="14">
        <v>3000</v>
      </c>
      <c r="P1586" s="14">
        <v>90.53</v>
      </c>
      <c r="Q1586" s="14">
        <v>284.10000000000002</v>
      </c>
      <c r="R1586" s="14">
        <v>184.67</v>
      </c>
      <c r="S1586" s="2" t="s">
        <v>2644</v>
      </c>
      <c r="T1586" s="2">
        <v>1.01</v>
      </c>
      <c r="U1586" s="2">
        <v>61.9</v>
      </c>
      <c r="V1586" s="2">
        <v>59</v>
      </c>
      <c r="W1586" s="2" t="s">
        <v>7862</v>
      </c>
      <c r="X1586" s="2" t="s">
        <v>5405</v>
      </c>
      <c r="Y1586" s="2">
        <v>1950</v>
      </c>
      <c r="Z1586" s="19" t="str">
        <f>HYPERLINK("https://ssdweb.co/ssdweb/hd/Vision360.html?d=925870591&amp;zoomslide=1&amp;z=1925870591&amp;ISCONFIRM=0","VIDEO")</f>
        <v>VIDEO</v>
      </c>
      <c r="AA1586" s="19" t="str">
        <f>HYPERLINK("https://ssdweb.co/ssdweb/CERTH/1495048869.pdf","CERTI")</f>
        <v>CERTI</v>
      </c>
    </row>
    <row r="1587" spans="1:27" ht="15" x14ac:dyDescent="0.25">
      <c r="A1587" s="2">
        <v>1582</v>
      </c>
      <c r="B1587" s="39">
        <v>926221215</v>
      </c>
      <c r="C1587" s="28" t="str">
        <f>HYPERLINK("https://pld.live/RapDetail.aspx?STONELIST=926221215","DNA")</f>
        <v>DNA</v>
      </c>
      <c r="D1587" s="18" t="s">
        <v>1924</v>
      </c>
      <c r="E1587" s="18" t="s">
        <v>5128</v>
      </c>
      <c r="F1587" s="2" t="s">
        <v>7987</v>
      </c>
      <c r="G1587" s="2" t="s">
        <v>861</v>
      </c>
      <c r="H1587" s="14">
        <v>0.65</v>
      </c>
      <c r="I1587" s="2" t="s">
        <v>267</v>
      </c>
      <c r="J1587" s="2" t="s">
        <v>13</v>
      </c>
      <c r="K1587" s="2" t="s">
        <v>5221</v>
      </c>
      <c r="L1587" s="2" t="s">
        <v>5221</v>
      </c>
      <c r="M1587" s="2" t="s">
        <v>5221</v>
      </c>
      <c r="N1587" s="2" t="s">
        <v>2317</v>
      </c>
      <c r="O1587" s="14">
        <v>3000</v>
      </c>
      <c r="P1587" s="14">
        <v>95.47</v>
      </c>
      <c r="Q1587" s="14">
        <v>135.9</v>
      </c>
      <c r="R1587" s="14">
        <v>88.34</v>
      </c>
      <c r="S1587" s="2" t="s">
        <v>4545</v>
      </c>
      <c r="T1587" s="2">
        <v>1</v>
      </c>
      <c r="U1587" s="2">
        <v>60.1</v>
      </c>
      <c r="V1587" s="2">
        <v>61</v>
      </c>
      <c r="W1587" s="2" t="s">
        <v>7862</v>
      </c>
      <c r="X1587" s="2" t="s">
        <v>5405</v>
      </c>
      <c r="Y1587" s="2">
        <v>1950</v>
      </c>
      <c r="Z1587" s="19" t="str">
        <f>HYPERLINK("https://ssdweb.co/ssdweb/hd/Vision360.html?d=926221215&amp;zoomslide=1&amp;z=1926221215&amp;ISCONFIRM=0","VIDEO")</f>
        <v>VIDEO</v>
      </c>
      <c r="AA1587" s="19" t="str">
        <f>HYPERLINK("https://ssdweb.co/ssdweb/CERTH/639413086.pdf","CERTI")</f>
        <v>CERTI</v>
      </c>
    </row>
    <row r="1588" spans="1:27" ht="15" x14ac:dyDescent="0.25">
      <c r="A1588" s="2">
        <v>1583</v>
      </c>
      <c r="B1588" s="39">
        <v>925900577</v>
      </c>
      <c r="C1588" s="28" t="str">
        <f>HYPERLINK("https://pld.live/RapDetail.aspx?STONELIST=925900577","DNA")</f>
        <v>DNA</v>
      </c>
      <c r="D1588" s="18" t="s">
        <v>1924</v>
      </c>
      <c r="E1588" s="18" t="s">
        <v>5128</v>
      </c>
      <c r="F1588" s="2" t="s">
        <v>5597</v>
      </c>
      <c r="G1588" s="2" t="s">
        <v>861</v>
      </c>
      <c r="H1588" s="14">
        <v>0.65</v>
      </c>
      <c r="I1588" s="2" t="s">
        <v>4761</v>
      </c>
      <c r="J1588" s="2" t="s">
        <v>3942</v>
      </c>
      <c r="K1588" s="2" t="s">
        <v>5221</v>
      </c>
      <c r="L1588" s="2" t="s">
        <v>5221</v>
      </c>
      <c r="M1588" s="2" t="s">
        <v>5221</v>
      </c>
      <c r="N1588" s="2" t="s">
        <v>2317</v>
      </c>
      <c r="O1588" s="14">
        <v>3300</v>
      </c>
      <c r="P1588" s="14">
        <v>90.94</v>
      </c>
      <c r="Q1588" s="14">
        <v>298.98</v>
      </c>
      <c r="R1588" s="14">
        <v>194.34</v>
      </c>
      <c r="S1588" s="2" t="s">
        <v>7950</v>
      </c>
      <c r="T1588" s="2">
        <v>1</v>
      </c>
      <c r="U1588" s="2">
        <v>62.5</v>
      </c>
      <c r="V1588" s="2">
        <v>57</v>
      </c>
      <c r="W1588" s="2" t="s">
        <v>7862</v>
      </c>
      <c r="X1588" s="2" t="s">
        <v>5405</v>
      </c>
      <c r="Y1588" s="2">
        <v>2145</v>
      </c>
      <c r="Z1588" s="19" t="str">
        <f>HYPERLINK("https://ssdweb.co/ssdweb/hd/Vision360.html?d=925900577&amp;zoomslide=1&amp;z=1925900577&amp;ISCONFIRM=0","VIDEO")</f>
        <v>VIDEO</v>
      </c>
      <c r="AA1588" s="19" t="str">
        <f>HYPERLINK("https://ssdweb.co/ssdweb/CERTH/7492075823.pdf","CERTI")</f>
        <v>CERTI</v>
      </c>
    </row>
    <row r="1589" spans="1:27" ht="15" x14ac:dyDescent="0.25">
      <c r="A1589" s="2">
        <v>1584</v>
      </c>
      <c r="B1589" s="39">
        <v>926240818</v>
      </c>
      <c r="C1589" s="28" t="str">
        <f>HYPERLINK("https://pld.live/RapDetail.aspx?STONELIST=926240818","DNA")</f>
        <v>DNA</v>
      </c>
      <c r="D1589" s="18" t="s">
        <v>1924</v>
      </c>
      <c r="E1589" s="18" t="s">
        <v>5128</v>
      </c>
      <c r="F1589" s="2" t="s">
        <v>7987</v>
      </c>
      <c r="G1589" s="2" t="s">
        <v>861</v>
      </c>
      <c r="H1589" s="14">
        <v>0.65</v>
      </c>
      <c r="I1589" s="2" t="s">
        <v>4761</v>
      </c>
      <c r="J1589" s="2" t="s">
        <v>13</v>
      </c>
      <c r="K1589" s="2" t="s">
        <v>3390</v>
      </c>
      <c r="L1589" s="2" t="s">
        <v>5221</v>
      </c>
      <c r="M1589" s="2" t="s">
        <v>5721</v>
      </c>
      <c r="N1589" s="2" t="s">
        <v>2317</v>
      </c>
      <c r="O1589" s="14">
        <v>2800</v>
      </c>
      <c r="P1589" s="14">
        <v>95.21</v>
      </c>
      <c r="Q1589" s="14">
        <v>134.12</v>
      </c>
      <c r="R1589" s="14">
        <v>87.18</v>
      </c>
      <c r="S1589" s="2" t="s">
        <v>2241</v>
      </c>
      <c r="T1589" s="2">
        <v>1.01</v>
      </c>
      <c r="U1589" s="2">
        <v>59.4</v>
      </c>
      <c r="V1589" s="2">
        <v>59</v>
      </c>
      <c r="W1589" s="2" t="s">
        <v>7862</v>
      </c>
      <c r="X1589" s="2" t="s">
        <v>5405</v>
      </c>
      <c r="Y1589" s="2">
        <v>1820</v>
      </c>
      <c r="Z1589" s="19" t="str">
        <f>HYPERLINK("https://ssdweb.co/ssdweb/hd/Vision360.html?d=926240818&amp;zoomslide=1&amp;z=1926240818&amp;ISCONFIRM=0","VIDEO")</f>
        <v>VIDEO</v>
      </c>
      <c r="AA1589" s="19" t="str">
        <f>HYPERLINK("https://ssdweb.co/ssdweb/CERTH/660490497.pdf","CERTI")</f>
        <v>CERTI</v>
      </c>
    </row>
    <row r="1590" spans="1:27" ht="15" x14ac:dyDescent="0.25">
      <c r="A1590" s="2">
        <v>1585</v>
      </c>
      <c r="B1590" s="39">
        <v>925990849</v>
      </c>
      <c r="C1590" s="28" t="str">
        <f>HYPERLINK("https://pld.live/RapDetail.aspx?STONELIST=925990849","DNA")</f>
        <v>DNA</v>
      </c>
      <c r="D1590" s="18" t="s">
        <v>1924</v>
      </c>
      <c r="E1590" s="18" t="s">
        <v>2186</v>
      </c>
      <c r="F1590" s="2" t="s">
        <v>7987</v>
      </c>
      <c r="G1590" s="2" t="s">
        <v>861</v>
      </c>
      <c r="H1590" s="14">
        <v>0.65</v>
      </c>
      <c r="I1590" s="2" t="s">
        <v>4699</v>
      </c>
      <c r="J1590" s="2" t="s">
        <v>3942</v>
      </c>
      <c r="K1590" s="2" t="s">
        <v>5221</v>
      </c>
      <c r="L1590" s="2" t="s">
        <v>5221</v>
      </c>
      <c r="M1590" s="2" t="s">
        <v>5721</v>
      </c>
      <c r="N1590" s="2" t="s">
        <v>2317</v>
      </c>
      <c r="O1590" s="14">
        <v>3000</v>
      </c>
      <c r="P1590" s="14">
        <v>95.47</v>
      </c>
      <c r="Q1590" s="14">
        <v>135.9</v>
      </c>
      <c r="R1590" s="14">
        <v>88.34</v>
      </c>
      <c r="S1590" s="2" t="s">
        <v>5361</v>
      </c>
      <c r="T1590" s="2">
        <v>1.01</v>
      </c>
      <c r="U1590" s="2">
        <v>62.6</v>
      </c>
      <c r="V1590" s="2">
        <v>58</v>
      </c>
      <c r="W1590" s="2" t="s">
        <v>7862</v>
      </c>
      <c r="X1590" s="2" t="s">
        <v>5405</v>
      </c>
      <c r="Y1590" s="2">
        <v>1950</v>
      </c>
      <c r="Z1590" s="19" t="str">
        <f>HYPERLINK("https://ssdweb.co/ssdweb/hd/Vision360.html?d=925990849&amp;zoomslide=1&amp;z=1925990849&amp;ISCONFIRM=0","VIDEO")</f>
        <v>VIDEO</v>
      </c>
      <c r="AA1590" s="19" t="str">
        <f>HYPERLINK("https://ssdweb.co/ssdweb/CERTH/660490498.pdf","CERTI")</f>
        <v>CERTI</v>
      </c>
    </row>
    <row r="1591" spans="1:27" ht="15" x14ac:dyDescent="0.25">
      <c r="A1591" s="2">
        <v>1586</v>
      </c>
      <c r="B1591" s="39">
        <v>926941137</v>
      </c>
      <c r="C1591" s="28" t="str">
        <f>HYPERLINK("https://pld.live/RapDetail.aspx?STONELIST=926941137","DNA")</f>
        <v>DNA</v>
      </c>
      <c r="D1591" s="18" t="s">
        <v>1924</v>
      </c>
      <c r="E1591" s="18" t="s">
        <v>5128</v>
      </c>
      <c r="F1591" s="2" t="s">
        <v>7987</v>
      </c>
      <c r="G1591" s="2" t="s">
        <v>861</v>
      </c>
      <c r="H1591" s="14">
        <v>0.64</v>
      </c>
      <c r="I1591" s="2" t="s">
        <v>267</v>
      </c>
      <c r="J1591" s="2" t="s">
        <v>3942</v>
      </c>
      <c r="K1591" s="2" t="s">
        <v>3390</v>
      </c>
      <c r="L1591" s="2" t="s">
        <v>5221</v>
      </c>
      <c r="M1591" s="2" t="s">
        <v>5221</v>
      </c>
      <c r="N1591" s="2" t="s">
        <v>2317</v>
      </c>
      <c r="O1591" s="14">
        <v>3600</v>
      </c>
      <c r="P1591" s="14">
        <v>95.75</v>
      </c>
      <c r="Q1591" s="14">
        <v>153</v>
      </c>
      <c r="R1591" s="14">
        <v>97.92</v>
      </c>
      <c r="S1591" s="2" t="s">
        <v>7179</v>
      </c>
      <c r="T1591" s="2">
        <v>1.01</v>
      </c>
      <c r="U1591" s="2">
        <v>61.1</v>
      </c>
      <c r="V1591" s="2">
        <v>58</v>
      </c>
      <c r="W1591" s="2" t="s">
        <v>7862</v>
      </c>
      <c r="X1591" s="2" t="s">
        <v>5405</v>
      </c>
      <c r="Y1591" s="2">
        <v>2304</v>
      </c>
      <c r="Z1591" s="19" t="str">
        <f>HYPERLINK("https://ssdweb.co/ssdweb/hd/Vision360.html?d=926941137&amp;zoomslide=1&amp;z=1926941137&amp;ISCONFIRM=0","VIDEO")</f>
        <v>VIDEO</v>
      </c>
      <c r="AA1591" s="19" t="str">
        <f>HYPERLINK("https://ssdweb.co/ssdweb/CERTH/668447731.pdf","CERTI")</f>
        <v>CERTI</v>
      </c>
    </row>
    <row r="1592" spans="1:27" ht="15" x14ac:dyDescent="0.25">
      <c r="A1592" s="2">
        <v>1587</v>
      </c>
      <c r="B1592" s="39">
        <v>941360344</v>
      </c>
      <c r="C1592" s="28" t="str">
        <f>HYPERLINK("https://pld.live/RapDetail.aspx?STONELIST=941360344","DNA")</f>
        <v>DNA</v>
      </c>
      <c r="D1592" s="18" t="s">
        <v>1924</v>
      </c>
      <c r="E1592" s="18" t="s">
        <v>2186</v>
      </c>
      <c r="F1592" s="2" t="s">
        <v>7987</v>
      </c>
      <c r="G1592" s="2" t="s">
        <v>861</v>
      </c>
      <c r="H1592" s="14">
        <v>0.64</v>
      </c>
      <c r="I1592" s="2" t="s">
        <v>267</v>
      </c>
      <c r="J1592" s="2" t="s">
        <v>3942</v>
      </c>
      <c r="K1592" s="2" t="s">
        <v>3390</v>
      </c>
      <c r="L1592" s="2" t="s">
        <v>5221</v>
      </c>
      <c r="M1592" s="2" t="s">
        <v>5221</v>
      </c>
      <c r="N1592" s="2" t="s">
        <v>2317</v>
      </c>
      <c r="O1592" s="14">
        <v>3600</v>
      </c>
      <c r="P1592" s="14">
        <v>95.69</v>
      </c>
      <c r="Q1592" s="14">
        <v>155.16</v>
      </c>
      <c r="R1592" s="14">
        <v>99.3</v>
      </c>
      <c r="S1592" s="2" t="s">
        <v>809</v>
      </c>
      <c r="T1592" s="2">
        <v>1</v>
      </c>
      <c r="U1592" s="2">
        <v>61</v>
      </c>
      <c r="V1592" s="2">
        <v>58</v>
      </c>
      <c r="W1592" s="2" t="s">
        <v>7862</v>
      </c>
      <c r="X1592" s="2" t="s">
        <v>5405</v>
      </c>
      <c r="Y1592" s="2">
        <v>2304</v>
      </c>
      <c r="Z1592" s="19" t="str">
        <f>HYPERLINK("https://ssdweb.co/ssdweb/hd/Vision360.html?d=941360344&amp;zoomslide=1&amp;z=1941360344&amp;ISCONFIRM=0","VIDEO")</f>
        <v>VIDEO</v>
      </c>
      <c r="AA1592" s="19" t="str">
        <f>HYPERLINK("https://ssdweb.co/ssdweb/CERTH/689587188.pdf","CERTI")</f>
        <v>CERTI</v>
      </c>
    </row>
    <row r="1593" spans="1:27" ht="15" x14ac:dyDescent="0.25">
      <c r="A1593" s="2">
        <v>1588</v>
      </c>
      <c r="B1593" s="39">
        <v>941320500</v>
      </c>
      <c r="C1593" s="28" t="str">
        <f>HYPERLINK("https://pld.live/RapDetail.aspx?STONELIST=941320500","DNA")</f>
        <v>DNA</v>
      </c>
      <c r="D1593" s="18" t="s">
        <v>1924</v>
      </c>
      <c r="E1593" s="18" t="s">
        <v>5128</v>
      </c>
      <c r="F1593" s="2" t="s">
        <v>7987</v>
      </c>
      <c r="G1593" s="2" t="s">
        <v>861</v>
      </c>
      <c r="H1593" s="14">
        <v>0.64</v>
      </c>
      <c r="I1593" s="2" t="s">
        <v>267</v>
      </c>
      <c r="J1593" s="2" t="s">
        <v>3942</v>
      </c>
      <c r="K1593" s="2" t="s">
        <v>3390</v>
      </c>
      <c r="L1593" s="2" t="s">
        <v>5221</v>
      </c>
      <c r="M1593" s="2" t="s">
        <v>5221</v>
      </c>
      <c r="N1593" s="2" t="s">
        <v>2317</v>
      </c>
      <c r="O1593" s="14">
        <v>3600</v>
      </c>
      <c r="P1593" s="14">
        <v>95.69</v>
      </c>
      <c r="Q1593" s="14">
        <v>155.16</v>
      </c>
      <c r="R1593" s="14">
        <v>99.3</v>
      </c>
      <c r="S1593" s="2" t="s">
        <v>418</v>
      </c>
      <c r="T1593" s="2">
        <v>1.01</v>
      </c>
      <c r="U1593" s="2">
        <v>61.4</v>
      </c>
      <c r="V1593" s="2">
        <v>57</v>
      </c>
      <c r="W1593" s="2" t="s">
        <v>7862</v>
      </c>
      <c r="X1593" s="2" t="s">
        <v>5405</v>
      </c>
      <c r="Y1593" s="2">
        <v>2304</v>
      </c>
      <c r="Z1593" s="19" t="str">
        <f>HYPERLINK("https://ssdweb.co/ssdweb/hd/Vision360.html?d=941320500&amp;zoomslide=1&amp;z=1941320500&amp;ISCONFIRM=0","VIDEO")</f>
        <v>VIDEO</v>
      </c>
      <c r="AA1593" s="19" t="str">
        <f>HYPERLINK("https://ssdweb.co/ssdweb/CERTH/684505062.pdf","CERTI")</f>
        <v>CERTI</v>
      </c>
    </row>
    <row r="1594" spans="1:27" ht="15" x14ac:dyDescent="0.25">
      <c r="A1594" s="2">
        <v>1589</v>
      </c>
      <c r="B1594" s="39">
        <v>941400306</v>
      </c>
      <c r="C1594" s="28" t="str">
        <f>HYPERLINK("https://pld.live/RapDetail.aspx?STONELIST=941400306","DNA")</f>
        <v>DNA</v>
      </c>
      <c r="D1594" s="18" t="s">
        <v>1924</v>
      </c>
      <c r="E1594" s="18" t="s">
        <v>5128</v>
      </c>
      <c r="F1594" s="2" t="s">
        <v>7987</v>
      </c>
      <c r="G1594" s="2" t="s">
        <v>861</v>
      </c>
      <c r="H1594" s="14">
        <v>0.64</v>
      </c>
      <c r="I1594" s="2" t="s">
        <v>267</v>
      </c>
      <c r="J1594" s="2" t="s">
        <v>3942</v>
      </c>
      <c r="K1594" s="2" t="s">
        <v>3390</v>
      </c>
      <c r="L1594" s="2" t="s">
        <v>5221</v>
      </c>
      <c r="M1594" s="2" t="s">
        <v>5221</v>
      </c>
      <c r="N1594" s="2" t="s">
        <v>2317</v>
      </c>
      <c r="O1594" s="14">
        <v>3600</v>
      </c>
      <c r="P1594" s="14">
        <v>95.69</v>
      </c>
      <c r="Q1594" s="14">
        <v>155.16</v>
      </c>
      <c r="R1594" s="14">
        <v>99.3</v>
      </c>
      <c r="S1594" s="2" t="s">
        <v>5790</v>
      </c>
      <c r="T1594" s="2">
        <v>1.01</v>
      </c>
      <c r="U1594" s="2">
        <v>62.2</v>
      </c>
      <c r="V1594" s="2">
        <v>58</v>
      </c>
      <c r="W1594" s="2" t="s">
        <v>7862</v>
      </c>
      <c r="X1594" s="2" t="s">
        <v>5405</v>
      </c>
      <c r="Y1594" s="2">
        <v>2304</v>
      </c>
      <c r="Z1594" s="19" t="str">
        <f>HYPERLINK("https://ssdweb.co/ssdweb/hd/Vision360.html?d=941400306&amp;zoomslide=1&amp;z=1941400306&amp;ISCONFIRM=0","VIDEO")</f>
        <v>VIDEO</v>
      </c>
      <c r="AA1594" s="19" t="str">
        <f>HYPERLINK("https://ssdweb.co/ssdweb/CERTH/687591620.pdf","CERTI")</f>
        <v>CERTI</v>
      </c>
    </row>
    <row r="1595" spans="1:27" ht="15" x14ac:dyDescent="0.25">
      <c r="A1595" s="2">
        <v>1590</v>
      </c>
      <c r="B1595" s="39">
        <v>941330188</v>
      </c>
      <c r="C1595" s="28" t="str">
        <f>HYPERLINK("https://pld.live/RapDetail.aspx?STONELIST=941330188","DNA")</f>
        <v>DNA</v>
      </c>
      <c r="D1595" s="18" t="s">
        <v>1924</v>
      </c>
      <c r="E1595" s="18" t="s">
        <v>2186</v>
      </c>
      <c r="F1595" s="2" t="s">
        <v>7987</v>
      </c>
      <c r="G1595" s="2" t="s">
        <v>861</v>
      </c>
      <c r="H1595" s="14">
        <v>0.64</v>
      </c>
      <c r="I1595" s="2" t="s">
        <v>267</v>
      </c>
      <c r="J1595" s="2" t="s">
        <v>3942</v>
      </c>
      <c r="K1595" s="2" t="s">
        <v>3390</v>
      </c>
      <c r="L1595" s="2" t="s">
        <v>5221</v>
      </c>
      <c r="M1595" s="2" t="s">
        <v>5221</v>
      </c>
      <c r="N1595" s="2" t="s">
        <v>2317</v>
      </c>
      <c r="O1595" s="14">
        <v>3600</v>
      </c>
      <c r="P1595" s="14">
        <v>95.69</v>
      </c>
      <c r="Q1595" s="14">
        <v>155.16</v>
      </c>
      <c r="R1595" s="14">
        <v>99.3</v>
      </c>
      <c r="S1595" s="2" t="s">
        <v>6205</v>
      </c>
      <c r="T1595" s="2">
        <v>1.01</v>
      </c>
      <c r="U1595" s="2">
        <v>60.9</v>
      </c>
      <c r="V1595" s="2">
        <v>58</v>
      </c>
      <c r="W1595" s="2" t="s">
        <v>7862</v>
      </c>
      <c r="X1595" s="2" t="s">
        <v>5405</v>
      </c>
      <c r="Y1595" s="2">
        <v>2304</v>
      </c>
      <c r="Z1595" s="19" t="str">
        <f>HYPERLINK("https://ssdweb.co/ssdweb/hd/Vision360.html?d=941330188&amp;zoomslide=1&amp;z=1941330188&amp;ISCONFIRM=0","VIDEO")</f>
        <v>VIDEO</v>
      </c>
      <c r="AA1595" s="19" t="str">
        <f>HYPERLINK("https://ssdweb.co/ssdweb/CERTH/685590551.pdf","CERTI")</f>
        <v>CERTI</v>
      </c>
    </row>
    <row r="1596" spans="1:27" ht="15" x14ac:dyDescent="0.25">
      <c r="A1596" s="2">
        <v>1591</v>
      </c>
      <c r="B1596" s="39">
        <v>941330240</v>
      </c>
      <c r="C1596" s="28" t="str">
        <f>HYPERLINK("https://pld.live/RapDetail.aspx?STONELIST=941330240","DNA")</f>
        <v>DNA</v>
      </c>
      <c r="D1596" s="18" t="s">
        <v>1924</v>
      </c>
      <c r="E1596" s="18" t="s">
        <v>2186</v>
      </c>
      <c r="F1596" s="2" t="s">
        <v>7987</v>
      </c>
      <c r="G1596" s="2" t="s">
        <v>861</v>
      </c>
      <c r="H1596" s="14">
        <v>0.64</v>
      </c>
      <c r="I1596" s="2" t="s">
        <v>267</v>
      </c>
      <c r="J1596" s="2" t="s">
        <v>3942</v>
      </c>
      <c r="K1596" s="2" t="s">
        <v>3390</v>
      </c>
      <c r="L1596" s="2" t="s">
        <v>5221</v>
      </c>
      <c r="M1596" s="2" t="s">
        <v>5721</v>
      </c>
      <c r="N1596" s="2" t="s">
        <v>2317</v>
      </c>
      <c r="O1596" s="14">
        <v>3600</v>
      </c>
      <c r="P1596" s="14">
        <v>95.75</v>
      </c>
      <c r="Q1596" s="14">
        <v>153</v>
      </c>
      <c r="R1596" s="14">
        <v>97.92</v>
      </c>
      <c r="S1596" s="2" t="s">
        <v>4277</v>
      </c>
      <c r="T1596" s="2">
        <v>1.01</v>
      </c>
      <c r="U1596" s="2">
        <v>62</v>
      </c>
      <c r="V1596" s="2">
        <v>56</v>
      </c>
      <c r="W1596" s="2" t="s">
        <v>7862</v>
      </c>
      <c r="X1596" s="2" t="s">
        <v>5405</v>
      </c>
      <c r="Y1596" s="2">
        <v>2304</v>
      </c>
      <c r="Z1596" s="19" t="str">
        <f>HYPERLINK("https://ssdweb.co/ssdweb/hd/Vision360.html?d=941330240&amp;zoomslide=1&amp;z=1941330240&amp;ISCONFIRM=0","VIDEO")</f>
        <v>VIDEO</v>
      </c>
      <c r="AA1596" s="19" t="str">
        <f>HYPERLINK("https://ssdweb.co/ssdweb/CERTH/685590552.pdf","CERTI")</f>
        <v>CERTI</v>
      </c>
    </row>
    <row r="1597" spans="1:27" ht="15" x14ac:dyDescent="0.25">
      <c r="A1597" s="2">
        <v>1592</v>
      </c>
      <c r="B1597" s="39">
        <v>926930775</v>
      </c>
      <c r="C1597" s="28" t="str">
        <f>HYPERLINK("https://pld.live/RapDetail.aspx?STONELIST=926930775","DNA")</f>
        <v>DNA</v>
      </c>
      <c r="D1597" s="18" t="s">
        <v>1924</v>
      </c>
      <c r="E1597" s="18" t="s">
        <v>2186</v>
      </c>
      <c r="F1597" s="2" t="s">
        <v>7987</v>
      </c>
      <c r="G1597" s="2" t="s">
        <v>861</v>
      </c>
      <c r="H1597" s="14">
        <v>0.64</v>
      </c>
      <c r="I1597" s="2" t="s">
        <v>267</v>
      </c>
      <c r="J1597" s="2" t="s">
        <v>3942</v>
      </c>
      <c r="K1597" s="2" t="s">
        <v>5221</v>
      </c>
      <c r="L1597" s="2" t="s">
        <v>5221</v>
      </c>
      <c r="M1597" s="2" t="s">
        <v>5221</v>
      </c>
      <c r="N1597" s="2" t="s">
        <v>2317</v>
      </c>
      <c r="O1597" s="14">
        <v>3600</v>
      </c>
      <c r="P1597" s="14">
        <v>95.75</v>
      </c>
      <c r="Q1597" s="14">
        <v>153</v>
      </c>
      <c r="R1597" s="14">
        <v>97.92</v>
      </c>
      <c r="S1597" s="2" t="s">
        <v>6876</v>
      </c>
      <c r="T1597" s="2">
        <v>1</v>
      </c>
      <c r="U1597" s="2">
        <v>59.9</v>
      </c>
      <c r="V1597" s="2">
        <v>61</v>
      </c>
      <c r="W1597" s="2" t="s">
        <v>7862</v>
      </c>
      <c r="X1597" s="2" t="s">
        <v>5405</v>
      </c>
      <c r="Y1597" s="2">
        <v>2304</v>
      </c>
      <c r="Z1597" s="19" t="str">
        <f>HYPERLINK("https://ssdweb.co/ssdweb/hd/Vision360.html?d=926930775&amp;zoomslide=1&amp;z=1926930775&amp;ISCONFIRM=0","VIDEO")</f>
        <v>VIDEO</v>
      </c>
      <c r="AA1597" s="19" t="str">
        <f>HYPERLINK("https://ssdweb.co/ssdweb/CERTH/668447748.pdf","CERTI")</f>
        <v>CERTI</v>
      </c>
    </row>
    <row r="1598" spans="1:27" ht="15" x14ac:dyDescent="0.25">
      <c r="A1598" s="2">
        <v>1593</v>
      </c>
      <c r="B1598" s="39">
        <v>941330320</v>
      </c>
      <c r="C1598" s="28" t="str">
        <f>HYPERLINK("https://pld.live/RapDetail.aspx?STONELIST=941330320","DNA")</f>
        <v>DNA</v>
      </c>
      <c r="D1598" s="18" t="s">
        <v>1924</v>
      </c>
      <c r="E1598" s="18" t="s">
        <v>2186</v>
      </c>
      <c r="F1598" s="2" t="s">
        <v>7987</v>
      </c>
      <c r="G1598" s="2" t="s">
        <v>861</v>
      </c>
      <c r="H1598" s="14">
        <v>0.64</v>
      </c>
      <c r="I1598" s="2" t="s">
        <v>267</v>
      </c>
      <c r="J1598" s="2" t="s">
        <v>3942</v>
      </c>
      <c r="K1598" s="2" t="s">
        <v>5221</v>
      </c>
      <c r="L1598" s="2" t="s">
        <v>5221</v>
      </c>
      <c r="M1598" s="2" t="s">
        <v>5221</v>
      </c>
      <c r="N1598" s="2" t="s">
        <v>2317</v>
      </c>
      <c r="O1598" s="14">
        <v>3600</v>
      </c>
      <c r="P1598" s="14">
        <v>95.69</v>
      </c>
      <c r="Q1598" s="14">
        <v>155.16</v>
      </c>
      <c r="R1598" s="14">
        <v>99.3</v>
      </c>
      <c r="S1598" s="2" t="s">
        <v>5423</v>
      </c>
      <c r="T1598" s="2">
        <v>1</v>
      </c>
      <c r="U1598" s="2">
        <v>61.6</v>
      </c>
      <c r="V1598" s="2">
        <v>59</v>
      </c>
      <c r="W1598" s="2" t="s">
        <v>7862</v>
      </c>
      <c r="X1598" s="2" t="s">
        <v>5405</v>
      </c>
      <c r="Y1598" s="2">
        <v>2304</v>
      </c>
      <c r="Z1598" s="19" t="str">
        <f>HYPERLINK("https://ssdweb.co/ssdweb/hd/Vision360.html?d=941330320&amp;zoomslide=1&amp;z=1941330320&amp;ISCONFIRM=0","VIDEO")</f>
        <v>VIDEO</v>
      </c>
      <c r="AA1598" s="19" t="str">
        <f>HYPERLINK("https://ssdweb.co/ssdweb/CERTH/689587196.pdf","CERTI")</f>
        <v>CERTI</v>
      </c>
    </row>
    <row r="1599" spans="1:27" ht="15" x14ac:dyDescent="0.25">
      <c r="A1599" s="2">
        <v>1594</v>
      </c>
      <c r="B1599" s="39">
        <v>926941196</v>
      </c>
      <c r="C1599" s="28" t="str">
        <f>HYPERLINK("https://pld.live/RapDetail.aspx?STONELIST=926941196","DNA")</f>
        <v>DNA</v>
      </c>
      <c r="D1599" s="18" t="s">
        <v>1924</v>
      </c>
      <c r="E1599" s="18" t="s">
        <v>5128</v>
      </c>
      <c r="F1599" s="2" t="s">
        <v>7987</v>
      </c>
      <c r="G1599" s="2" t="s">
        <v>861</v>
      </c>
      <c r="H1599" s="14">
        <v>0.64</v>
      </c>
      <c r="I1599" s="2" t="s">
        <v>267</v>
      </c>
      <c r="J1599" s="2" t="s">
        <v>3942</v>
      </c>
      <c r="K1599" s="2" t="s">
        <v>5221</v>
      </c>
      <c r="L1599" s="2" t="s">
        <v>5221</v>
      </c>
      <c r="M1599" s="2" t="s">
        <v>5721</v>
      </c>
      <c r="N1599" s="2" t="s">
        <v>2317</v>
      </c>
      <c r="O1599" s="14">
        <v>3600</v>
      </c>
      <c r="P1599" s="14">
        <v>95.81</v>
      </c>
      <c r="Q1599" s="14">
        <v>150.84</v>
      </c>
      <c r="R1599" s="14">
        <v>96.54</v>
      </c>
      <c r="S1599" s="2" t="s">
        <v>4940</v>
      </c>
      <c r="T1599" s="2">
        <v>1</v>
      </c>
      <c r="U1599" s="2">
        <v>60.3</v>
      </c>
      <c r="V1599" s="2">
        <v>57</v>
      </c>
      <c r="W1599" s="2" t="s">
        <v>7862</v>
      </c>
      <c r="X1599" s="2" t="s">
        <v>5405</v>
      </c>
      <c r="Y1599" s="2">
        <v>2304</v>
      </c>
      <c r="Z1599" s="19" t="str">
        <f>HYPERLINK("https://ssdweb.co/ssdweb/hd/Vision360.html?d=926941196&amp;zoomslide=1&amp;z=1926941196&amp;ISCONFIRM=0","VIDEO")</f>
        <v>VIDEO</v>
      </c>
      <c r="AA1599" s="19" t="str">
        <f>HYPERLINK("https://ssdweb.co/ssdweb/CERTH/668447744.pdf","CERTI")</f>
        <v>CERTI</v>
      </c>
    </row>
    <row r="1600" spans="1:27" ht="15" x14ac:dyDescent="0.25">
      <c r="A1600" s="2">
        <v>1595</v>
      </c>
      <c r="B1600" s="39">
        <v>926941099</v>
      </c>
      <c r="C1600" s="28" t="str">
        <f>HYPERLINK("https://pld.live/RapDetail.aspx?STONELIST=926941099","DNA")</f>
        <v>DNA</v>
      </c>
      <c r="D1600" s="18" t="s">
        <v>1924</v>
      </c>
      <c r="E1600" s="18" t="s">
        <v>5128</v>
      </c>
      <c r="F1600" s="2" t="s">
        <v>7987</v>
      </c>
      <c r="G1600" s="2" t="s">
        <v>861</v>
      </c>
      <c r="H1600" s="14">
        <v>0.64</v>
      </c>
      <c r="I1600" s="2" t="s">
        <v>267</v>
      </c>
      <c r="J1600" s="2" t="s">
        <v>13</v>
      </c>
      <c r="K1600" s="2" t="s">
        <v>3390</v>
      </c>
      <c r="L1600" s="2" t="s">
        <v>5221</v>
      </c>
      <c r="M1600" s="2" t="s">
        <v>5221</v>
      </c>
      <c r="N1600" s="2" t="s">
        <v>2317</v>
      </c>
      <c r="O1600" s="14">
        <v>3000</v>
      </c>
      <c r="P1600" s="14">
        <v>95.07</v>
      </c>
      <c r="Q1600" s="14">
        <v>147.9</v>
      </c>
      <c r="R1600" s="14">
        <v>94.66</v>
      </c>
      <c r="S1600" s="2" t="s">
        <v>4270</v>
      </c>
      <c r="T1600" s="2">
        <v>1.01</v>
      </c>
      <c r="U1600" s="2">
        <v>62.4</v>
      </c>
      <c r="V1600" s="2">
        <v>57</v>
      </c>
      <c r="W1600" s="2" t="s">
        <v>7862</v>
      </c>
      <c r="X1600" s="2" t="s">
        <v>5405</v>
      </c>
      <c r="Y1600" s="2">
        <v>1920</v>
      </c>
      <c r="Z1600" s="19" t="str">
        <f>HYPERLINK("https://ssdweb.co/ssdweb/hd/Vision360.html?d=926941099&amp;zoomslide=1&amp;z=1926941099&amp;ISCONFIRM=0","VIDEO")</f>
        <v>VIDEO</v>
      </c>
      <c r="AA1600" s="19" t="str">
        <f>HYPERLINK("https://ssdweb.co/ssdweb/CERTH/668447753.pdf","CERTI")</f>
        <v>CERTI</v>
      </c>
    </row>
    <row r="1601" spans="1:27" ht="15" x14ac:dyDescent="0.25">
      <c r="A1601" s="2">
        <v>1596</v>
      </c>
      <c r="B1601" s="39">
        <v>926941150</v>
      </c>
      <c r="C1601" s="28" t="str">
        <f>HYPERLINK("https://pld.live/RapDetail.aspx?STONELIST=926941150","DNA")</f>
        <v>DNA</v>
      </c>
      <c r="D1601" s="18" t="s">
        <v>1924</v>
      </c>
      <c r="E1601" s="18" t="s">
        <v>5128</v>
      </c>
      <c r="F1601" s="2" t="s">
        <v>7987</v>
      </c>
      <c r="G1601" s="2" t="s">
        <v>861</v>
      </c>
      <c r="H1601" s="14">
        <v>0.64</v>
      </c>
      <c r="I1601" s="2" t="s">
        <v>267</v>
      </c>
      <c r="J1601" s="2" t="s">
        <v>13</v>
      </c>
      <c r="K1601" s="2" t="s">
        <v>3390</v>
      </c>
      <c r="L1601" s="2" t="s">
        <v>5221</v>
      </c>
      <c r="M1601" s="2" t="s">
        <v>5221</v>
      </c>
      <c r="N1601" s="2" t="s">
        <v>2317</v>
      </c>
      <c r="O1601" s="14">
        <v>3000</v>
      </c>
      <c r="P1601" s="14">
        <v>95.07</v>
      </c>
      <c r="Q1601" s="14">
        <v>147.9</v>
      </c>
      <c r="R1601" s="14">
        <v>94.66</v>
      </c>
      <c r="S1601" s="2" t="s">
        <v>6902</v>
      </c>
      <c r="T1601" s="2">
        <v>1.01</v>
      </c>
      <c r="U1601" s="2">
        <v>61</v>
      </c>
      <c r="V1601" s="2">
        <v>60</v>
      </c>
      <c r="W1601" s="2" t="s">
        <v>7862</v>
      </c>
      <c r="X1601" s="2" t="s">
        <v>5405</v>
      </c>
      <c r="Y1601" s="2">
        <v>1920</v>
      </c>
      <c r="Z1601" s="19" t="str">
        <f>HYPERLINK("https://ssdweb.co/ssdweb/hd/Vision360.html?d=926941150&amp;zoomslide=1&amp;z=1926941150&amp;ISCONFIRM=0","VIDEO")</f>
        <v>VIDEO</v>
      </c>
      <c r="AA1601" s="19" t="str">
        <f>HYPERLINK("https://ssdweb.co/ssdweb/CERTH/668447735.pdf","CERTI")</f>
        <v>CERTI</v>
      </c>
    </row>
    <row r="1602" spans="1:27" ht="15" x14ac:dyDescent="0.25">
      <c r="A1602" s="2">
        <v>1597</v>
      </c>
      <c r="B1602" s="39">
        <v>926941158</v>
      </c>
      <c r="C1602" s="28" t="str">
        <f>HYPERLINK("https://pld.live/RapDetail.aspx?STONELIST=926941158","DNA")</f>
        <v>DNA</v>
      </c>
      <c r="D1602" s="18" t="s">
        <v>1924</v>
      </c>
      <c r="E1602" s="18" t="s">
        <v>5128</v>
      </c>
      <c r="F1602" s="2" t="s">
        <v>7987</v>
      </c>
      <c r="G1602" s="2" t="s">
        <v>861</v>
      </c>
      <c r="H1602" s="14">
        <v>0.64</v>
      </c>
      <c r="I1602" s="2" t="s">
        <v>267</v>
      </c>
      <c r="J1602" s="2" t="s">
        <v>13</v>
      </c>
      <c r="K1602" s="2" t="s">
        <v>3390</v>
      </c>
      <c r="L1602" s="2" t="s">
        <v>5221</v>
      </c>
      <c r="M1602" s="2" t="s">
        <v>5221</v>
      </c>
      <c r="N1602" s="2" t="s">
        <v>2317</v>
      </c>
      <c r="O1602" s="14">
        <v>3000</v>
      </c>
      <c r="P1602" s="14">
        <v>95.07</v>
      </c>
      <c r="Q1602" s="14">
        <v>147.9</v>
      </c>
      <c r="R1602" s="14">
        <v>94.66</v>
      </c>
      <c r="S1602" s="2" t="s">
        <v>5460</v>
      </c>
      <c r="T1602" s="2">
        <v>1</v>
      </c>
      <c r="U1602" s="2">
        <v>62</v>
      </c>
      <c r="V1602" s="2">
        <v>56</v>
      </c>
      <c r="W1602" s="2" t="s">
        <v>7862</v>
      </c>
      <c r="X1602" s="2" t="s">
        <v>5405</v>
      </c>
      <c r="Y1602" s="2">
        <v>1920</v>
      </c>
      <c r="Z1602" s="19" t="str">
        <f>HYPERLINK("https://ssdweb.co/ssdweb/hd/Vision360.html?d=926941158&amp;zoomslide=1&amp;z=1926941158&amp;ISCONFIRM=0","VIDEO")</f>
        <v>VIDEO</v>
      </c>
      <c r="AA1602" s="19" t="str">
        <f>HYPERLINK("https://ssdweb.co/ssdweb/CERTH/668447737.pdf","CERTI")</f>
        <v>CERTI</v>
      </c>
    </row>
    <row r="1603" spans="1:27" ht="15" x14ac:dyDescent="0.25">
      <c r="A1603" s="2">
        <v>1598</v>
      </c>
      <c r="B1603" s="39">
        <v>941280107</v>
      </c>
      <c r="C1603" s="28" t="str">
        <f>HYPERLINK("https://pld.live/RapDetail.aspx?STONELIST=941280107","DNA")</f>
        <v>DNA</v>
      </c>
      <c r="D1603" s="18" t="s">
        <v>1924</v>
      </c>
      <c r="E1603" s="18" t="s">
        <v>2186</v>
      </c>
      <c r="F1603" s="2" t="s">
        <v>7987</v>
      </c>
      <c r="G1603" s="2" t="s">
        <v>861</v>
      </c>
      <c r="H1603" s="14">
        <v>0.64</v>
      </c>
      <c r="I1603" s="2" t="s">
        <v>267</v>
      </c>
      <c r="J1603" s="2" t="s">
        <v>13</v>
      </c>
      <c r="K1603" s="2" t="s">
        <v>3390</v>
      </c>
      <c r="L1603" s="2" t="s">
        <v>5221</v>
      </c>
      <c r="M1603" s="2" t="s">
        <v>5221</v>
      </c>
      <c r="N1603" s="2" t="s">
        <v>2317</v>
      </c>
      <c r="O1603" s="14">
        <v>3000</v>
      </c>
      <c r="P1603" s="14">
        <v>95</v>
      </c>
      <c r="Q1603" s="14">
        <v>150</v>
      </c>
      <c r="R1603" s="14">
        <v>96</v>
      </c>
      <c r="S1603" s="2" t="s">
        <v>4938</v>
      </c>
      <c r="T1603" s="2">
        <v>1.01</v>
      </c>
      <c r="U1603" s="2">
        <v>61.1</v>
      </c>
      <c r="V1603" s="2">
        <v>59</v>
      </c>
      <c r="W1603" s="2" t="s">
        <v>7862</v>
      </c>
      <c r="X1603" s="2" t="s">
        <v>5405</v>
      </c>
      <c r="Y1603" s="2">
        <v>1920</v>
      </c>
      <c r="Z1603" s="19" t="str">
        <f>HYPERLINK("https://ssdweb.co/ssdweb/hd/Vision360.html?d=941280107&amp;zoomslide=1&amp;z=1941280107&amp;ISCONFIRM=0","VIDEO")</f>
        <v>VIDEO</v>
      </c>
      <c r="AA1603" s="19" t="str">
        <f>HYPERLINK("https://ssdweb.co/ssdweb/CERTH/684505045.pdf","CERTI")</f>
        <v>CERTI</v>
      </c>
    </row>
    <row r="1604" spans="1:27" ht="15" x14ac:dyDescent="0.25">
      <c r="A1604" s="2">
        <v>1599</v>
      </c>
      <c r="B1604" s="39">
        <v>941330269</v>
      </c>
      <c r="C1604" s="28" t="str">
        <f>HYPERLINK("https://pld.live/RapDetail.aspx?STONELIST=941330269","DNA")</f>
        <v>DNA</v>
      </c>
      <c r="D1604" s="18" t="s">
        <v>1924</v>
      </c>
      <c r="E1604" s="18" t="s">
        <v>2186</v>
      </c>
      <c r="F1604" s="2" t="s">
        <v>7987</v>
      </c>
      <c r="G1604" s="2" t="s">
        <v>861</v>
      </c>
      <c r="H1604" s="14">
        <v>0.64</v>
      </c>
      <c r="I1604" s="2" t="s">
        <v>267</v>
      </c>
      <c r="J1604" s="2" t="s">
        <v>13</v>
      </c>
      <c r="K1604" s="2" t="s">
        <v>3390</v>
      </c>
      <c r="L1604" s="2" t="s">
        <v>5221</v>
      </c>
      <c r="M1604" s="2" t="s">
        <v>5221</v>
      </c>
      <c r="N1604" s="2" t="s">
        <v>2317</v>
      </c>
      <c r="O1604" s="14">
        <v>3000</v>
      </c>
      <c r="P1604" s="14">
        <v>95</v>
      </c>
      <c r="Q1604" s="14">
        <v>150</v>
      </c>
      <c r="R1604" s="14">
        <v>96</v>
      </c>
      <c r="S1604" s="2" t="s">
        <v>5213</v>
      </c>
      <c r="T1604" s="2">
        <v>1</v>
      </c>
      <c r="U1604" s="2">
        <v>61.8</v>
      </c>
      <c r="V1604" s="2">
        <v>57</v>
      </c>
      <c r="W1604" s="2" t="s">
        <v>7862</v>
      </c>
      <c r="X1604" s="2" t="s">
        <v>5405</v>
      </c>
      <c r="Y1604" s="2">
        <v>1920</v>
      </c>
      <c r="Z1604" s="19" t="str">
        <f>HYPERLINK("https://ssdweb.co/ssdweb/hd/Vision360.html?d=941330269&amp;zoomslide=1&amp;z=1941330269&amp;ISCONFIRM=0","VIDEO")</f>
        <v>VIDEO</v>
      </c>
      <c r="AA1604" s="19" t="str">
        <f>HYPERLINK("https://ssdweb.co/ssdweb/CERTH/685590554.pdf","CERTI")</f>
        <v>CERTI</v>
      </c>
    </row>
    <row r="1605" spans="1:27" ht="15" x14ac:dyDescent="0.25">
      <c r="A1605" s="2">
        <v>1600</v>
      </c>
      <c r="B1605" s="39">
        <v>941360448</v>
      </c>
      <c r="C1605" s="28" t="str">
        <f>HYPERLINK("https://pld.live/RapDetail.aspx?STONELIST=941360448","DNA")</f>
        <v>DNA</v>
      </c>
      <c r="D1605" s="18" t="s">
        <v>1924</v>
      </c>
      <c r="E1605" s="18" t="s">
        <v>2186</v>
      </c>
      <c r="F1605" s="2" t="s">
        <v>7987</v>
      </c>
      <c r="G1605" s="2" t="s">
        <v>861</v>
      </c>
      <c r="H1605" s="14">
        <v>0.64</v>
      </c>
      <c r="I1605" s="2" t="s">
        <v>267</v>
      </c>
      <c r="J1605" s="2" t="s">
        <v>13</v>
      </c>
      <c r="K1605" s="2" t="s">
        <v>3390</v>
      </c>
      <c r="L1605" s="2" t="s">
        <v>5221</v>
      </c>
      <c r="M1605" s="2" t="s">
        <v>5221</v>
      </c>
      <c r="N1605" s="2" t="s">
        <v>2317</v>
      </c>
      <c r="O1605" s="14">
        <v>3000</v>
      </c>
      <c r="P1605" s="14">
        <v>95</v>
      </c>
      <c r="Q1605" s="14">
        <v>150</v>
      </c>
      <c r="R1605" s="14">
        <v>96</v>
      </c>
      <c r="S1605" s="2" t="s">
        <v>5398</v>
      </c>
      <c r="T1605" s="2">
        <v>1.01</v>
      </c>
      <c r="U1605" s="2">
        <v>61</v>
      </c>
      <c r="V1605" s="2">
        <v>56</v>
      </c>
      <c r="W1605" s="2" t="s">
        <v>7862</v>
      </c>
      <c r="X1605" s="2" t="s">
        <v>5405</v>
      </c>
      <c r="Y1605" s="2">
        <v>1920</v>
      </c>
      <c r="Z1605" s="19" t="str">
        <f>HYPERLINK("https://ssdweb.co/ssdweb/hd/Vision360.html?d=941360448&amp;zoomslide=1&amp;z=1941360448&amp;ISCONFIRM=0","VIDEO")</f>
        <v>VIDEO</v>
      </c>
      <c r="AA1605" s="19" t="str">
        <f>HYPERLINK("https://ssdweb.co/ssdweb/CERTH/689587191.pdf","CERTI")</f>
        <v>CERTI</v>
      </c>
    </row>
    <row r="1606" spans="1:27" ht="15" x14ac:dyDescent="0.25">
      <c r="A1606" s="2">
        <v>1601</v>
      </c>
      <c r="B1606" s="39">
        <v>927130715</v>
      </c>
      <c r="C1606" s="28" t="str">
        <f>HYPERLINK("https://pld.live/RapDetail.aspx?STONELIST=927130715","DNA")</f>
        <v>DNA</v>
      </c>
      <c r="D1606" s="18" t="s">
        <v>1924</v>
      </c>
      <c r="E1606" s="18" t="s">
        <v>5128</v>
      </c>
      <c r="F1606" s="2" t="s">
        <v>7987</v>
      </c>
      <c r="G1606" s="2" t="s">
        <v>861</v>
      </c>
      <c r="H1606" s="14">
        <v>0.64</v>
      </c>
      <c r="I1606" s="2" t="s">
        <v>267</v>
      </c>
      <c r="J1606" s="2" t="s">
        <v>13</v>
      </c>
      <c r="K1606" s="2" t="s">
        <v>3390</v>
      </c>
      <c r="L1606" s="2" t="s">
        <v>5221</v>
      </c>
      <c r="M1606" s="2" t="s">
        <v>5221</v>
      </c>
      <c r="N1606" s="2" t="s">
        <v>2317</v>
      </c>
      <c r="O1606" s="14">
        <v>3000</v>
      </c>
      <c r="P1606" s="14">
        <v>95.07</v>
      </c>
      <c r="Q1606" s="14">
        <v>147.9</v>
      </c>
      <c r="R1606" s="14">
        <v>94.66</v>
      </c>
      <c r="S1606" s="2" t="s">
        <v>1524</v>
      </c>
      <c r="T1606" s="2">
        <v>1</v>
      </c>
      <c r="U1606" s="2">
        <v>61</v>
      </c>
      <c r="V1606" s="2">
        <v>59</v>
      </c>
      <c r="W1606" s="2" t="s">
        <v>7862</v>
      </c>
      <c r="X1606" s="2" t="s">
        <v>5405</v>
      </c>
      <c r="Y1606" s="2">
        <v>1920</v>
      </c>
      <c r="Z1606" s="19" t="str">
        <f>HYPERLINK("https://ssdweb.co/ssdweb/hd/Vision360.html?d=927130715&amp;zoomslide=1&amp;z=1927130715&amp;ISCONFIRM=0","VIDEO")</f>
        <v>VIDEO</v>
      </c>
      <c r="AA1606" s="19" t="str">
        <f>HYPERLINK("https://ssdweb.co/ssdweb/CERTH/666436056.pdf","CERTI")</f>
        <v>CERTI</v>
      </c>
    </row>
    <row r="1607" spans="1:27" ht="15" x14ac:dyDescent="0.25">
      <c r="A1607" s="2">
        <v>1602</v>
      </c>
      <c r="B1607" s="39">
        <v>926980629</v>
      </c>
      <c r="C1607" s="28" t="str">
        <f>HYPERLINK("https://pld.live/RapDetail.aspx?STONELIST=926980629","DNA")</f>
        <v>DNA</v>
      </c>
      <c r="D1607" s="18" t="s">
        <v>1924</v>
      </c>
      <c r="E1607" s="18" t="s">
        <v>2186</v>
      </c>
      <c r="F1607" s="2" t="s">
        <v>7987</v>
      </c>
      <c r="G1607" s="2" t="s">
        <v>861</v>
      </c>
      <c r="H1607" s="14">
        <v>0.64</v>
      </c>
      <c r="I1607" s="2" t="s">
        <v>267</v>
      </c>
      <c r="J1607" s="2" t="s">
        <v>13</v>
      </c>
      <c r="K1607" s="2" t="s">
        <v>3390</v>
      </c>
      <c r="L1607" s="2" t="s">
        <v>5721</v>
      </c>
      <c r="M1607" s="2" t="s">
        <v>5721</v>
      </c>
      <c r="N1607" s="2" t="s">
        <v>2317</v>
      </c>
      <c r="O1607" s="14">
        <v>3000</v>
      </c>
      <c r="P1607" s="14">
        <v>95.2</v>
      </c>
      <c r="Q1607" s="14">
        <v>144</v>
      </c>
      <c r="R1607" s="14">
        <v>92.16</v>
      </c>
      <c r="S1607" s="2" t="s">
        <v>4944</v>
      </c>
      <c r="T1607" s="2">
        <v>1.01</v>
      </c>
      <c r="U1607" s="2">
        <v>60.5</v>
      </c>
      <c r="V1607" s="2">
        <v>60</v>
      </c>
      <c r="W1607" s="2" t="s">
        <v>7862</v>
      </c>
      <c r="X1607" s="2" t="s">
        <v>5405</v>
      </c>
      <c r="Y1607" s="2">
        <v>1920</v>
      </c>
      <c r="Z1607" s="19" t="str">
        <f>HYPERLINK("https://ssdweb.co/ssdweb/hd/Vision360.html?d=926980629&amp;zoomslide=1&amp;z=1926980629&amp;ISCONFIRM=0","VIDEO")</f>
        <v>VIDEO</v>
      </c>
      <c r="AA1607" s="19" t="str">
        <f>HYPERLINK("https://ssdweb.co/ssdweb/CERTH/660489629.pdf","CERTI")</f>
        <v>CERTI</v>
      </c>
    </row>
    <row r="1608" spans="1:27" ht="15" x14ac:dyDescent="0.25">
      <c r="A1608" s="2">
        <v>1603</v>
      </c>
      <c r="B1608" s="39">
        <v>925360220</v>
      </c>
      <c r="C1608" s="28" t="str">
        <f>HYPERLINK("https://pld.live/RapDetail.aspx?STONELIST=925360220","DNA")</f>
        <v>DNA</v>
      </c>
      <c r="D1608" s="18" t="s">
        <v>1924</v>
      </c>
      <c r="E1608" s="18" t="s">
        <v>5128</v>
      </c>
      <c r="F1608" s="2" t="s">
        <v>7987</v>
      </c>
      <c r="G1608" s="2" t="s">
        <v>861</v>
      </c>
      <c r="H1608" s="14">
        <v>0.64</v>
      </c>
      <c r="I1608" s="2" t="s">
        <v>4761</v>
      </c>
      <c r="J1608" s="2" t="s">
        <v>5144</v>
      </c>
      <c r="K1608" s="2" t="s">
        <v>3390</v>
      </c>
      <c r="L1608" s="2" t="s">
        <v>5721</v>
      </c>
      <c r="M1608" s="2" t="s">
        <v>5221</v>
      </c>
      <c r="N1608" s="2" t="s">
        <v>2317</v>
      </c>
      <c r="O1608" s="14">
        <v>2500</v>
      </c>
      <c r="P1608" s="14">
        <v>94.72</v>
      </c>
      <c r="Q1608" s="14">
        <v>132</v>
      </c>
      <c r="R1608" s="14">
        <v>84.48</v>
      </c>
      <c r="S1608" s="2" t="s">
        <v>1501</v>
      </c>
      <c r="T1608" s="2">
        <v>1.01</v>
      </c>
      <c r="U1608" s="2">
        <v>62.4</v>
      </c>
      <c r="V1608" s="2">
        <v>56</v>
      </c>
      <c r="W1608" s="2" t="s">
        <v>7862</v>
      </c>
      <c r="X1608" s="2" t="s">
        <v>5405</v>
      </c>
      <c r="Y1608" s="2">
        <v>1600</v>
      </c>
      <c r="Z1608" s="19" t="str">
        <f>HYPERLINK("https://ssdweb.co/ssdweb/hd/Vision360.html?d=925360220&amp;zoomslide=1&amp;z=1925360220&amp;ISCONFIRM=0","VIDEO")</f>
        <v>VIDEO</v>
      </c>
      <c r="AA1608" s="19" t="str">
        <f>HYPERLINK("https://ssdweb.co/ssdweb/CERTH/615370332.pdf","CERTI")</f>
        <v>CERTI</v>
      </c>
    </row>
    <row r="1609" spans="1:27" ht="15" x14ac:dyDescent="0.25">
      <c r="A1609" s="2">
        <v>1604</v>
      </c>
      <c r="B1609" s="39">
        <v>926941129</v>
      </c>
      <c r="C1609" s="28" t="str">
        <f>HYPERLINK("https://pld.live/RapDetail.aspx?STONELIST=926941129","DNA")</f>
        <v>DNA</v>
      </c>
      <c r="D1609" s="18" t="s">
        <v>1924</v>
      </c>
      <c r="E1609" s="18" t="s">
        <v>5128</v>
      </c>
      <c r="F1609" s="2" t="s">
        <v>7987</v>
      </c>
      <c r="G1609" s="2" t="s">
        <v>861</v>
      </c>
      <c r="H1609" s="14">
        <v>0.63</v>
      </c>
      <c r="I1609" s="2" t="s">
        <v>267</v>
      </c>
      <c r="J1609" s="2" t="s">
        <v>3942</v>
      </c>
      <c r="K1609" s="2" t="s">
        <v>3390</v>
      </c>
      <c r="L1609" s="2" t="s">
        <v>5221</v>
      </c>
      <c r="M1609" s="2" t="s">
        <v>5221</v>
      </c>
      <c r="N1609" s="2" t="s">
        <v>2317</v>
      </c>
      <c r="O1609" s="14">
        <v>3600</v>
      </c>
      <c r="P1609" s="14">
        <v>95.75</v>
      </c>
      <c r="Q1609" s="14">
        <v>153</v>
      </c>
      <c r="R1609" s="14">
        <v>96.39</v>
      </c>
      <c r="S1609" s="2" t="s">
        <v>1224</v>
      </c>
      <c r="T1609" s="2">
        <v>1.01</v>
      </c>
      <c r="U1609" s="2">
        <v>62.2</v>
      </c>
      <c r="V1609" s="2">
        <v>57</v>
      </c>
      <c r="W1609" s="2" t="s">
        <v>7862</v>
      </c>
      <c r="X1609" s="2" t="s">
        <v>5405</v>
      </c>
      <c r="Y1609" s="2">
        <v>2268</v>
      </c>
      <c r="Z1609" s="19" t="str">
        <f>HYPERLINK("https://ssdweb.co/ssdweb/hd/Vision360.html?d=926941129&amp;zoomslide=1&amp;z=1926941129&amp;ISCONFIRM=0","VIDEO")</f>
        <v>VIDEO</v>
      </c>
      <c r="AA1609" s="19" t="str">
        <f>HYPERLINK("https://ssdweb.co/ssdweb/CERTH/668447729.pdf","CERTI")</f>
        <v>CERTI</v>
      </c>
    </row>
    <row r="1610" spans="1:27" ht="15" x14ac:dyDescent="0.25">
      <c r="A1610" s="2">
        <v>1605</v>
      </c>
      <c r="B1610" s="39">
        <v>924230008</v>
      </c>
      <c r="C1610" s="28" t="str">
        <f>HYPERLINK("https://pld.live/RapDetail.aspx?STONELIST=924230008","DNA")</f>
        <v>DNA</v>
      </c>
      <c r="D1610" s="18" t="s">
        <v>1924</v>
      </c>
      <c r="E1610" s="18" t="s">
        <v>5128</v>
      </c>
      <c r="F1610" s="2" t="s">
        <v>7987</v>
      </c>
      <c r="G1610" s="2" t="s">
        <v>861</v>
      </c>
      <c r="H1610" s="14">
        <v>0.63</v>
      </c>
      <c r="I1610" s="2" t="s">
        <v>267</v>
      </c>
      <c r="J1610" s="2" t="s">
        <v>3942</v>
      </c>
      <c r="K1610" s="2" t="s">
        <v>5221</v>
      </c>
      <c r="L1610" s="2" t="s">
        <v>5221</v>
      </c>
      <c r="M1610" s="2" t="s">
        <v>5221</v>
      </c>
      <c r="N1610" s="2" t="s">
        <v>2317</v>
      </c>
      <c r="O1610" s="14">
        <v>3600</v>
      </c>
      <c r="P1610" s="14">
        <v>95.92</v>
      </c>
      <c r="Q1610" s="14">
        <v>146.88</v>
      </c>
      <c r="R1610" s="14">
        <v>92.53</v>
      </c>
      <c r="S1610" s="2" t="s">
        <v>7904</v>
      </c>
      <c r="T1610" s="2">
        <v>1.01</v>
      </c>
      <c r="U1610" s="2">
        <v>60.8</v>
      </c>
      <c r="V1610" s="2">
        <v>60</v>
      </c>
      <c r="W1610" s="2" t="s">
        <v>7862</v>
      </c>
      <c r="X1610" s="2" t="s">
        <v>5405</v>
      </c>
      <c r="Y1610" s="2">
        <v>2268</v>
      </c>
      <c r="Z1610" s="19" t="str">
        <f>HYPERLINK("https://ssdweb.co/ssdweb/hd/Vision360.html?d=924230008&amp;zoomslide=1&amp;z=1924230008&amp;ISCONFIRM=0","VIDEO")</f>
        <v>VIDEO</v>
      </c>
      <c r="AA1610" s="19" t="str">
        <f>HYPERLINK("https://ssdweb.co/ssdweb/CERTH/578324707.pdf","CERTI")</f>
        <v>CERTI</v>
      </c>
    </row>
    <row r="1611" spans="1:27" ht="15" x14ac:dyDescent="0.25">
      <c r="A1611" s="2">
        <v>1606</v>
      </c>
      <c r="B1611" s="39">
        <v>941330310</v>
      </c>
      <c r="C1611" s="28" t="str">
        <f>HYPERLINK("https://pld.live/RapDetail.aspx?STONELIST=941330310","DNA")</f>
        <v>DNA</v>
      </c>
      <c r="D1611" s="18" t="s">
        <v>1924</v>
      </c>
      <c r="E1611" s="18" t="s">
        <v>2186</v>
      </c>
      <c r="F1611" s="2" t="s">
        <v>7987</v>
      </c>
      <c r="G1611" s="2" t="s">
        <v>861</v>
      </c>
      <c r="H1611" s="14">
        <v>0.63</v>
      </c>
      <c r="I1611" s="2" t="s">
        <v>267</v>
      </c>
      <c r="J1611" s="2" t="s">
        <v>3942</v>
      </c>
      <c r="K1611" s="2" t="s">
        <v>5221</v>
      </c>
      <c r="L1611" s="2" t="s">
        <v>5221</v>
      </c>
      <c r="M1611" s="2" t="s">
        <v>5221</v>
      </c>
      <c r="N1611" s="2" t="s">
        <v>2317</v>
      </c>
      <c r="O1611" s="14">
        <v>3600</v>
      </c>
      <c r="P1611" s="14">
        <v>95.69</v>
      </c>
      <c r="Q1611" s="14">
        <v>155.16</v>
      </c>
      <c r="R1611" s="14">
        <v>97.75</v>
      </c>
      <c r="S1611" s="2" t="s">
        <v>4148</v>
      </c>
      <c r="T1611" s="2">
        <v>1</v>
      </c>
      <c r="U1611" s="2">
        <v>62.3</v>
      </c>
      <c r="V1611" s="2">
        <v>56</v>
      </c>
      <c r="W1611" s="2" t="s">
        <v>7862</v>
      </c>
      <c r="X1611" s="2" t="s">
        <v>5405</v>
      </c>
      <c r="Y1611" s="2">
        <v>2268</v>
      </c>
      <c r="Z1611" s="19" t="str">
        <f>HYPERLINK("https://ssdweb.co/ssdweb/hd/Vision360.html?d=941330310&amp;zoomslide=1&amp;z=1941330310&amp;ISCONFIRM=0","VIDEO")</f>
        <v>VIDEO</v>
      </c>
      <c r="AA1611" s="19" t="str">
        <f>HYPERLINK("https://ssdweb.co/ssdweb/CERTH/689587193.pdf","CERTI")</f>
        <v>CERTI</v>
      </c>
    </row>
    <row r="1612" spans="1:27" ht="15" x14ac:dyDescent="0.25">
      <c r="A1612" s="2">
        <v>1607</v>
      </c>
      <c r="B1612" s="39">
        <v>941270712</v>
      </c>
      <c r="C1612" s="28" t="str">
        <f>HYPERLINK("https://pld.live/RapDetail.aspx?STONELIST=941270712","DNA")</f>
        <v>DNA</v>
      </c>
      <c r="D1612" s="18" t="s">
        <v>1924</v>
      </c>
      <c r="E1612" s="18" t="s">
        <v>5128</v>
      </c>
      <c r="F1612" s="2" t="s">
        <v>7987</v>
      </c>
      <c r="G1612" s="2" t="s">
        <v>861</v>
      </c>
      <c r="H1612" s="14">
        <v>0.63</v>
      </c>
      <c r="I1612" s="2" t="s">
        <v>267</v>
      </c>
      <c r="J1612" s="2" t="s">
        <v>13</v>
      </c>
      <c r="K1612" s="2" t="s">
        <v>3390</v>
      </c>
      <c r="L1612" s="2" t="s">
        <v>5221</v>
      </c>
      <c r="M1612" s="2" t="s">
        <v>5221</v>
      </c>
      <c r="N1612" s="2" t="s">
        <v>2317</v>
      </c>
      <c r="O1612" s="14">
        <v>3000</v>
      </c>
      <c r="P1612" s="14">
        <v>95</v>
      </c>
      <c r="Q1612" s="14">
        <v>150</v>
      </c>
      <c r="R1612" s="14">
        <v>94.5</v>
      </c>
      <c r="S1612" s="2" t="s">
        <v>4994</v>
      </c>
      <c r="T1612" s="2">
        <v>1.01</v>
      </c>
      <c r="U1612" s="2">
        <v>61.7</v>
      </c>
      <c r="V1612" s="2">
        <v>58</v>
      </c>
      <c r="W1612" s="2" t="s">
        <v>7862</v>
      </c>
      <c r="X1612" s="2" t="s">
        <v>5405</v>
      </c>
      <c r="Y1612" s="2">
        <v>1890</v>
      </c>
      <c r="Z1612" s="19" t="str">
        <f>HYPERLINK("https://ssdweb.co/ssdweb/hd/Vision360.html?d=941270712&amp;zoomslide=1&amp;z=1941270712&amp;ISCONFIRM=0","VIDEO")</f>
        <v>VIDEO</v>
      </c>
      <c r="AA1612" s="19" t="str">
        <f>HYPERLINK("https://ssdweb.co/ssdweb/CERTH/685590536.pdf","CERTI")</f>
        <v>CERTI</v>
      </c>
    </row>
    <row r="1613" spans="1:27" ht="15" x14ac:dyDescent="0.25">
      <c r="A1613" s="2">
        <v>1608</v>
      </c>
      <c r="B1613" s="39">
        <v>926941141</v>
      </c>
      <c r="C1613" s="28" t="str">
        <f>HYPERLINK("https://pld.live/RapDetail.aspx?STONELIST=926941141","DNA")</f>
        <v>DNA</v>
      </c>
      <c r="D1613" s="18" t="s">
        <v>1924</v>
      </c>
      <c r="E1613" s="18" t="s">
        <v>5128</v>
      </c>
      <c r="F1613" s="2" t="s">
        <v>7987</v>
      </c>
      <c r="G1613" s="2" t="s">
        <v>861</v>
      </c>
      <c r="H1613" s="14">
        <v>0.63</v>
      </c>
      <c r="I1613" s="2" t="s">
        <v>267</v>
      </c>
      <c r="J1613" s="2" t="s">
        <v>13</v>
      </c>
      <c r="K1613" s="2" t="s">
        <v>5221</v>
      </c>
      <c r="L1613" s="2" t="s">
        <v>5221</v>
      </c>
      <c r="M1613" s="2" t="s">
        <v>5221</v>
      </c>
      <c r="N1613" s="2" t="s">
        <v>2317</v>
      </c>
      <c r="O1613" s="14">
        <v>3000</v>
      </c>
      <c r="P1613" s="14">
        <v>95.07</v>
      </c>
      <c r="Q1613" s="14">
        <v>147.9</v>
      </c>
      <c r="R1613" s="14">
        <v>93.18</v>
      </c>
      <c r="S1613" s="2" t="s">
        <v>4465</v>
      </c>
      <c r="T1613" s="2">
        <v>1.01</v>
      </c>
      <c r="U1613" s="2">
        <v>62.5</v>
      </c>
      <c r="V1613" s="2">
        <v>59</v>
      </c>
      <c r="W1613" s="2" t="s">
        <v>7862</v>
      </c>
      <c r="X1613" s="2" t="s">
        <v>5405</v>
      </c>
      <c r="Y1613" s="2">
        <v>1890</v>
      </c>
      <c r="Z1613" s="19" t="str">
        <f>HYPERLINK("https://ssdweb.co/ssdweb/hd/Vision360.html?d=926941141&amp;zoomslide=1&amp;z=1926941141&amp;ISCONFIRM=0","VIDEO")</f>
        <v>VIDEO</v>
      </c>
      <c r="AA1613" s="19" t="str">
        <f>HYPERLINK("https://ssdweb.co/ssdweb/CERTH/668447733.pdf","CERTI")</f>
        <v>CERTI</v>
      </c>
    </row>
    <row r="1614" spans="1:27" ht="15" x14ac:dyDescent="0.25">
      <c r="A1614" s="2">
        <v>1609</v>
      </c>
      <c r="B1614" s="39">
        <v>926941190</v>
      </c>
      <c r="C1614" s="28" t="str">
        <f>HYPERLINK("https://pld.live/RapDetail.aspx?STONELIST=926941190","DNA")</f>
        <v>DNA</v>
      </c>
      <c r="D1614" s="18" t="s">
        <v>1924</v>
      </c>
      <c r="E1614" s="18" t="s">
        <v>5128</v>
      </c>
      <c r="F1614" s="2" t="s">
        <v>7987</v>
      </c>
      <c r="G1614" s="2" t="s">
        <v>861</v>
      </c>
      <c r="H1614" s="14">
        <v>0.63</v>
      </c>
      <c r="I1614" s="2" t="s">
        <v>4761</v>
      </c>
      <c r="J1614" s="2" t="s">
        <v>3942</v>
      </c>
      <c r="K1614" s="2" t="s">
        <v>3390</v>
      </c>
      <c r="L1614" s="2" t="s">
        <v>5221</v>
      </c>
      <c r="M1614" s="2" t="s">
        <v>5221</v>
      </c>
      <c r="N1614" s="2" t="s">
        <v>2317</v>
      </c>
      <c r="O1614" s="14">
        <v>3300</v>
      </c>
      <c r="P1614" s="14">
        <v>95.42</v>
      </c>
      <c r="Q1614" s="14">
        <v>151.13999999999999</v>
      </c>
      <c r="R1614" s="14">
        <v>95.22</v>
      </c>
      <c r="S1614" s="2" t="s">
        <v>307</v>
      </c>
      <c r="T1614" s="2">
        <v>1.01</v>
      </c>
      <c r="U1614" s="2">
        <v>59.3</v>
      </c>
      <c r="V1614" s="2">
        <v>59</v>
      </c>
      <c r="W1614" s="2" t="s">
        <v>7862</v>
      </c>
      <c r="X1614" s="2" t="s">
        <v>5405</v>
      </c>
      <c r="Y1614" s="2">
        <v>2079</v>
      </c>
      <c r="Z1614" s="19" t="str">
        <f>HYPERLINK("https://ssdweb.co/ssdweb/hd/Vision360.html?d=926941190&amp;zoomslide=1&amp;z=1926941190&amp;ISCONFIRM=0","VIDEO")</f>
        <v>VIDEO</v>
      </c>
      <c r="AA1614" s="19" t="str">
        <f>HYPERLINK("https://ssdweb.co/ssdweb/CERTH/668447743.pdf","CERTI")</f>
        <v>CERTI</v>
      </c>
    </row>
    <row r="1615" spans="1:27" ht="15" x14ac:dyDescent="0.25">
      <c r="A1615" s="2">
        <v>1610</v>
      </c>
      <c r="B1615" s="39">
        <v>941340133</v>
      </c>
      <c r="C1615" s="28" t="str">
        <f>HYPERLINK("https://pld.live/RapDetail.aspx?STONELIST=941340133","DNA")</f>
        <v>DNA</v>
      </c>
      <c r="D1615" s="18" t="s">
        <v>1924</v>
      </c>
      <c r="E1615" s="18" t="s">
        <v>2186</v>
      </c>
      <c r="F1615" s="2" t="s">
        <v>7987</v>
      </c>
      <c r="G1615" s="2" t="s">
        <v>861</v>
      </c>
      <c r="H1615" s="14">
        <v>0.62</v>
      </c>
      <c r="I1615" s="2" t="s">
        <v>267</v>
      </c>
      <c r="J1615" s="2" t="s">
        <v>6555</v>
      </c>
      <c r="K1615" s="2" t="s">
        <v>3390</v>
      </c>
      <c r="L1615" s="2" t="s">
        <v>5221</v>
      </c>
      <c r="M1615" s="2" t="s">
        <v>5221</v>
      </c>
      <c r="N1615" s="2" t="s">
        <v>2317</v>
      </c>
      <c r="O1615" s="14">
        <v>4600</v>
      </c>
      <c r="P1615" s="14">
        <v>96.09</v>
      </c>
      <c r="Q1615" s="14">
        <v>179.86</v>
      </c>
      <c r="R1615" s="14">
        <v>111.51</v>
      </c>
      <c r="S1615" s="2" t="s">
        <v>3953</v>
      </c>
      <c r="T1615" s="2">
        <v>1.01</v>
      </c>
      <c r="U1615" s="2">
        <v>61.3</v>
      </c>
      <c r="V1615" s="2">
        <v>60</v>
      </c>
      <c r="W1615" s="2" t="s">
        <v>7862</v>
      </c>
      <c r="X1615" s="2" t="s">
        <v>5405</v>
      </c>
      <c r="Y1615" s="2">
        <v>2852</v>
      </c>
      <c r="Z1615" s="19" t="str">
        <f>HYPERLINK("https://ssdweb.co/ssdweb/hd/Vision360.html?d=941340133&amp;zoomslide=1&amp;z=1941340133&amp;ISCONFIRM=0","VIDEO")</f>
        <v>VIDEO</v>
      </c>
      <c r="AA1615" s="19" t="str">
        <f>HYPERLINK("https://ssdweb.co/ssdweb/CERTH/684505066.pdf","CERTI")</f>
        <v>CERTI</v>
      </c>
    </row>
    <row r="1616" spans="1:27" ht="15" x14ac:dyDescent="0.25">
      <c r="A1616" s="2">
        <v>1611</v>
      </c>
      <c r="B1616" s="39">
        <v>926211088</v>
      </c>
      <c r="C1616" s="28" t="str">
        <f>HYPERLINK("https://pld.live/RapDetail.aspx?STONELIST=926211088","DNA")</f>
        <v>DNA</v>
      </c>
      <c r="D1616" s="18" t="s">
        <v>1924</v>
      </c>
      <c r="E1616" s="18" t="s">
        <v>5128</v>
      </c>
      <c r="F1616" s="2" t="s">
        <v>7987</v>
      </c>
      <c r="G1616" s="2" t="s">
        <v>861</v>
      </c>
      <c r="H1616" s="14">
        <v>0.62</v>
      </c>
      <c r="I1616" s="2" t="s">
        <v>267</v>
      </c>
      <c r="J1616" s="2" t="s">
        <v>6555</v>
      </c>
      <c r="K1616" s="2" t="s">
        <v>5721</v>
      </c>
      <c r="L1616" s="2" t="s">
        <v>5221</v>
      </c>
      <c r="M1616" s="2" t="s">
        <v>5221</v>
      </c>
      <c r="N1616" s="2" t="s">
        <v>2317</v>
      </c>
      <c r="O1616" s="14">
        <v>4600</v>
      </c>
      <c r="P1616" s="14">
        <v>96.22</v>
      </c>
      <c r="Q1616" s="14">
        <v>173.88</v>
      </c>
      <c r="R1616" s="14">
        <v>107.81</v>
      </c>
      <c r="S1616" s="2" t="s">
        <v>2911</v>
      </c>
      <c r="T1616" s="2">
        <v>1.01</v>
      </c>
      <c r="U1616" s="2">
        <v>63.2</v>
      </c>
      <c r="V1616" s="2">
        <v>58</v>
      </c>
      <c r="W1616" s="2" t="s">
        <v>7862</v>
      </c>
      <c r="X1616" s="2" t="s">
        <v>5405</v>
      </c>
      <c r="Y1616" s="2">
        <v>2852</v>
      </c>
      <c r="Z1616" s="19" t="str">
        <f>HYPERLINK("https://ssdweb.co/ssdweb/hd/Vision360.html?d=926211088&amp;zoomslide=1&amp;z=1926211088&amp;ISCONFIRM=0","VIDEO")</f>
        <v>VIDEO</v>
      </c>
      <c r="AA1616" s="19" t="str">
        <f>HYPERLINK("https://ssdweb.co/ssdweb/CERTH/638463054.pdf","CERTI")</f>
        <v>CERTI</v>
      </c>
    </row>
    <row r="1617" spans="1:27" ht="15" x14ac:dyDescent="0.25">
      <c r="A1617" s="2">
        <v>1612</v>
      </c>
      <c r="B1617" s="39">
        <v>926941174</v>
      </c>
      <c r="C1617" s="28" t="str">
        <f>HYPERLINK("https://pld.live/RapDetail.aspx?STONELIST=926941174","DNA")</f>
        <v>DNA</v>
      </c>
      <c r="D1617" s="18" t="s">
        <v>1924</v>
      </c>
      <c r="E1617" s="18" t="s">
        <v>5128</v>
      </c>
      <c r="F1617" s="2" t="s">
        <v>7987</v>
      </c>
      <c r="G1617" s="2" t="s">
        <v>861</v>
      </c>
      <c r="H1617" s="14">
        <v>0.62</v>
      </c>
      <c r="I1617" s="2" t="s">
        <v>267</v>
      </c>
      <c r="J1617" s="2" t="s">
        <v>3942</v>
      </c>
      <c r="K1617" s="2" t="s">
        <v>3390</v>
      </c>
      <c r="L1617" s="2" t="s">
        <v>5221</v>
      </c>
      <c r="M1617" s="2" t="s">
        <v>5721</v>
      </c>
      <c r="N1617" s="2" t="s">
        <v>2317</v>
      </c>
      <c r="O1617" s="14">
        <v>3600</v>
      </c>
      <c r="P1617" s="14">
        <v>95.81</v>
      </c>
      <c r="Q1617" s="14">
        <v>150.84</v>
      </c>
      <c r="R1617" s="14">
        <v>93.52</v>
      </c>
      <c r="S1617" s="2" t="s">
        <v>7366</v>
      </c>
      <c r="T1617" s="2">
        <v>1</v>
      </c>
      <c r="U1617" s="2">
        <v>60.6</v>
      </c>
      <c r="V1617" s="2">
        <v>56</v>
      </c>
      <c r="W1617" s="2" t="s">
        <v>7862</v>
      </c>
      <c r="X1617" s="2" t="s">
        <v>5405</v>
      </c>
      <c r="Y1617" s="2">
        <v>2232</v>
      </c>
      <c r="Z1617" s="19" t="str">
        <f>HYPERLINK("https://ssdweb.co/ssdweb/hd/Vision360.html?d=926941174&amp;zoomslide=1&amp;z=1926941174&amp;ISCONFIRM=0","VIDEO")</f>
        <v>VIDEO</v>
      </c>
      <c r="AA1617" s="19" t="str">
        <f>HYPERLINK("https://ssdweb.co/ssdweb/CERTH/668447740.pdf","CERTI")</f>
        <v>CERTI</v>
      </c>
    </row>
    <row r="1618" spans="1:27" ht="15" x14ac:dyDescent="0.25">
      <c r="A1618" s="2">
        <v>1613</v>
      </c>
      <c r="B1618" s="39">
        <v>926941179</v>
      </c>
      <c r="C1618" s="28" t="str">
        <f>HYPERLINK("https://pld.live/RapDetail.aspx?STONELIST=926941179","DNA")</f>
        <v>DNA</v>
      </c>
      <c r="D1618" s="18" t="s">
        <v>1924</v>
      </c>
      <c r="E1618" s="18" t="s">
        <v>5128</v>
      </c>
      <c r="F1618" s="2" t="s">
        <v>7987</v>
      </c>
      <c r="G1618" s="2" t="s">
        <v>861</v>
      </c>
      <c r="H1618" s="14">
        <v>0.62</v>
      </c>
      <c r="I1618" s="2" t="s">
        <v>267</v>
      </c>
      <c r="J1618" s="2" t="s">
        <v>3942</v>
      </c>
      <c r="K1618" s="2" t="s">
        <v>5221</v>
      </c>
      <c r="L1618" s="2" t="s">
        <v>5221</v>
      </c>
      <c r="M1618" s="2" t="s">
        <v>5221</v>
      </c>
      <c r="N1618" s="2" t="s">
        <v>2317</v>
      </c>
      <c r="O1618" s="14">
        <v>3600</v>
      </c>
      <c r="P1618" s="14">
        <v>95.75</v>
      </c>
      <c r="Q1618" s="14">
        <v>153</v>
      </c>
      <c r="R1618" s="14">
        <v>94.86</v>
      </c>
      <c r="S1618" s="2" t="s">
        <v>3491</v>
      </c>
      <c r="T1618" s="2">
        <v>1.01</v>
      </c>
      <c r="U1618" s="2">
        <v>62.6</v>
      </c>
      <c r="V1618" s="2">
        <v>57</v>
      </c>
      <c r="W1618" s="2" t="s">
        <v>7862</v>
      </c>
      <c r="X1618" s="2" t="s">
        <v>5405</v>
      </c>
      <c r="Y1618" s="2">
        <v>2232</v>
      </c>
      <c r="Z1618" s="19" t="str">
        <f>HYPERLINK("https://ssdweb.co/ssdweb/hd/Vision360.html?d=926941179&amp;zoomslide=1&amp;z=1926941179&amp;ISCONFIRM=0","VIDEO")</f>
        <v>VIDEO</v>
      </c>
      <c r="AA1618" s="19" t="str">
        <f>HYPERLINK("https://ssdweb.co/ssdweb/CERTH/668447741.pdf","CERTI")</f>
        <v>CERTI</v>
      </c>
    </row>
    <row r="1619" spans="1:27" ht="15" x14ac:dyDescent="0.25">
      <c r="A1619" s="2">
        <v>1614</v>
      </c>
      <c r="B1619" s="39">
        <v>941280413</v>
      </c>
      <c r="C1619" s="28" t="str">
        <f>HYPERLINK("https://pld.live/RapDetail.aspx?STONELIST=941280413","DNA")</f>
        <v>DNA</v>
      </c>
      <c r="D1619" s="18" t="s">
        <v>1924</v>
      </c>
      <c r="E1619" s="18" t="s">
        <v>2186</v>
      </c>
      <c r="F1619" s="2" t="s">
        <v>7987</v>
      </c>
      <c r="G1619" s="2" t="s">
        <v>861</v>
      </c>
      <c r="H1619" s="14">
        <v>0.62</v>
      </c>
      <c r="I1619" s="2" t="s">
        <v>267</v>
      </c>
      <c r="J1619" s="2" t="s">
        <v>13</v>
      </c>
      <c r="K1619" s="2" t="s">
        <v>3390</v>
      </c>
      <c r="L1619" s="2" t="s">
        <v>5221</v>
      </c>
      <c r="M1619" s="2" t="s">
        <v>5221</v>
      </c>
      <c r="N1619" s="2" t="s">
        <v>2317</v>
      </c>
      <c r="O1619" s="14">
        <v>3000</v>
      </c>
      <c r="P1619" s="14">
        <v>95</v>
      </c>
      <c r="Q1619" s="14">
        <v>150</v>
      </c>
      <c r="R1619" s="14">
        <v>93</v>
      </c>
      <c r="S1619" s="2" t="s">
        <v>6600</v>
      </c>
      <c r="T1619" s="2">
        <v>1.01</v>
      </c>
      <c r="U1619" s="2">
        <v>62.1</v>
      </c>
      <c r="V1619" s="2">
        <v>59</v>
      </c>
      <c r="W1619" s="2" t="s">
        <v>7862</v>
      </c>
      <c r="X1619" s="2" t="s">
        <v>5405</v>
      </c>
      <c r="Y1619" s="2">
        <v>1860</v>
      </c>
      <c r="Z1619" s="19" t="str">
        <f>HYPERLINK("https://ssdweb.co/ssdweb/hd/Vision360.html?d=941280413&amp;zoomslide=1&amp;z=1941280413&amp;ISCONFIRM=0","VIDEO")</f>
        <v>VIDEO</v>
      </c>
      <c r="AA1619" s="19" t="str">
        <f>HYPERLINK("https://ssdweb.co/ssdweb/CERTH/685590545.pdf","CERTI")</f>
        <v>CERTI</v>
      </c>
    </row>
    <row r="1620" spans="1:27" ht="15" x14ac:dyDescent="0.25">
      <c r="A1620" s="2">
        <v>1615</v>
      </c>
      <c r="B1620" s="39">
        <v>941280390</v>
      </c>
      <c r="C1620" s="28" t="str">
        <f>HYPERLINK("https://pld.live/RapDetail.aspx?STONELIST=941280390","DNA")</f>
        <v>DNA</v>
      </c>
      <c r="D1620" s="18" t="s">
        <v>1924</v>
      </c>
      <c r="E1620" s="18" t="s">
        <v>2186</v>
      </c>
      <c r="F1620" s="2" t="s">
        <v>7987</v>
      </c>
      <c r="G1620" s="2" t="s">
        <v>861</v>
      </c>
      <c r="H1620" s="14">
        <v>0.62</v>
      </c>
      <c r="I1620" s="2" t="s">
        <v>267</v>
      </c>
      <c r="J1620" s="2" t="s">
        <v>13</v>
      </c>
      <c r="K1620" s="2" t="s">
        <v>3390</v>
      </c>
      <c r="L1620" s="2" t="s">
        <v>5221</v>
      </c>
      <c r="M1620" s="2" t="s">
        <v>5221</v>
      </c>
      <c r="N1620" s="2" t="s">
        <v>2317</v>
      </c>
      <c r="O1620" s="14">
        <v>3000</v>
      </c>
      <c r="P1620" s="14">
        <v>95</v>
      </c>
      <c r="Q1620" s="14">
        <v>150</v>
      </c>
      <c r="R1620" s="14">
        <v>93</v>
      </c>
      <c r="S1620" s="2" t="s">
        <v>1334</v>
      </c>
      <c r="T1620" s="2">
        <v>1.01</v>
      </c>
      <c r="U1620" s="2">
        <v>61.4</v>
      </c>
      <c r="V1620" s="2">
        <v>59</v>
      </c>
      <c r="W1620" s="2" t="s">
        <v>7862</v>
      </c>
      <c r="X1620" s="2" t="s">
        <v>5405</v>
      </c>
      <c r="Y1620" s="2">
        <v>1860</v>
      </c>
      <c r="Z1620" s="19" t="str">
        <f>HYPERLINK("https://ssdweb.co/ssdweb/hd/Vision360.html?d=941280390&amp;zoomslide=1&amp;z=1941280390&amp;ISCONFIRM=0","VIDEO")</f>
        <v>VIDEO</v>
      </c>
      <c r="AA1620" s="19" t="str">
        <f>HYPERLINK("https://ssdweb.co/ssdweb/CERTH/685590542.pdf","CERTI")</f>
        <v>CERTI</v>
      </c>
    </row>
    <row r="1621" spans="1:27" ht="15" x14ac:dyDescent="0.25">
      <c r="A1621" s="2">
        <v>1616</v>
      </c>
      <c r="B1621" s="39">
        <v>926941116</v>
      </c>
      <c r="C1621" s="28" t="str">
        <f>HYPERLINK("https://pld.live/RapDetail.aspx?STONELIST=926941116","DNA")</f>
        <v>DNA</v>
      </c>
      <c r="D1621" s="18" t="s">
        <v>1924</v>
      </c>
      <c r="E1621" s="18" t="s">
        <v>5128</v>
      </c>
      <c r="F1621" s="2" t="s">
        <v>7987</v>
      </c>
      <c r="G1621" s="2" t="s">
        <v>861</v>
      </c>
      <c r="H1621" s="14">
        <v>0.62</v>
      </c>
      <c r="I1621" s="2" t="s">
        <v>267</v>
      </c>
      <c r="J1621" s="2" t="s">
        <v>13</v>
      </c>
      <c r="K1621" s="2" t="s">
        <v>5221</v>
      </c>
      <c r="L1621" s="2" t="s">
        <v>5221</v>
      </c>
      <c r="M1621" s="2" t="s">
        <v>5221</v>
      </c>
      <c r="N1621" s="2" t="s">
        <v>2317</v>
      </c>
      <c r="O1621" s="14">
        <v>3000</v>
      </c>
      <c r="P1621" s="14">
        <v>95.07</v>
      </c>
      <c r="Q1621" s="14">
        <v>147.9</v>
      </c>
      <c r="R1621" s="14">
        <v>91.7</v>
      </c>
      <c r="S1621" s="2" t="s">
        <v>5899</v>
      </c>
      <c r="T1621" s="2">
        <v>1.01</v>
      </c>
      <c r="U1621" s="2">
        <v>61.2</v>
      </c>
      <c r="V1621" s="2">
        <v>59</v>
      </c>
      <c r="W1621" s="2" t="s">
        <v>7862</v>
      </c>
      <c r="X1621" s="2" t="s">
        <v>5405</v>
      </c>
      <c r="Y1621" s="2">
        <v>1860</v>
      </c>
      <c r="Z1621" s="19" t="str">
        <f>HYPERLINK("https://ssdweb.co/ssdweb/hd/Vision360.html?d=926941116&amp;zoomslide=1&amp;z=1926941116&amp;ISCONFIRM=0","VIDEO")</f>
        <v>VIDEO</v>
      </c>
      <c r="AA1621" s="19" t="str">
        <f>HYPERLINK("https://ssdweb.co/ssdweb/CERTH/668447728.pdf","CERTI")</f>
        <v>CERTI</v>
      </c>
    </row>
    <row r="1622" spans="1:27" ht="15" x14ac:dyDescent="0.25">
      <c r="A1622" s="2">
        <v>1617</v>
      </c>
      <c r="B1622" s="39">
        <v>926941161</v>
      </c>
      <c r="C1622" s="28" t="str">
        <f>HYPERLINK("https://pld.live/RapDetail.aspx?STONELIST=926941161","DNA")</f>
        <v>DNA</v>
      </c>
      <c r="D1622" s="18" t="s">
        <v>1924</v>
      </c>
      <c r="E1622" s="18" t="s">
        <v>5128</v>
      </c>
      <c r="F1622" s="2" t="s">
        <v>7987</v>
      </c>
      <c r="G1622" s="2" t="s">
        <v>861</v>
      </c>
      <c r="H1622" s="14">
        <v>0.62</v>
      </c>
      <c r="I1622" s="2" t="s">
        <v>267</v>
      </c>
      <c r="J1622" s="2" t="s">
        <v>13</v>
      </c>
      <c r="K1622" s="2" t="s">
        <v>5221</v>
      </c>
      <c r="L1622" s="2" t="s">
        <v>5221</v>
      </c>
      <c r="M1622" s="2" t="s">
        <v>5221</v>
      </c>
      <c r="N1622" s="2" t="s">
        <v>2317</v>
      </c>
      <c r="O1622" s="14">
        <v>3000</v>
      </c>
      <c r="P1622" s="14">
        <v>95.07</v>
      </c>
      <c r="Q1622" s="14">
        <v>147.9</v>
      </c>
      <c r="R1622" s="14">
        <v>91.7</v>
      </c>
      <c r="S1622" s="2" t="s">
        <v>5453</v>
      </c>
      <c r="T1622" s="2">
        <v>1</v>
      </c>
      <c r="U1622" s="2">
        <v>62.4</v>
      </c>
      <c r="V1622" s="2">
        <v>56</v>
      </c>
      <c r="W1622" s="2" t="s">
        <v>7862</v>
      </c>
      <c r="X1622" s="2" t="s">
        <v>5405</v>
      </c>
      <c r="Y1622" s="2">
        <v>1860</v>
      </c>
      <c r="Z1622" s="19" t="str">
        <f>HYPERLINK("https://ssdweb.co/ssdweb/hd/Vision360.html?d=926941161&amp;zoomslide=1&amp;z=1926941161&amp;ISCONFIRM=0","VIDEO")</f>
        <v>VIDEO</v>
      </c>
      <c r="AA1622" s="19" t="str">
        <f>HYPERLINK("https://ssdweb.co/ssdweb/CERTH/668447738.pdf","CERTI")</f>
        <v>CERTI</v>
      </c>
    </row>
    <row r="1623" spans="1:27" ht="15" x14ac:dyDescent="0.25">
      <c r="A1623" s="2">
        <v>1618</v>
      </c>
      <c r="B1623" s="39">
        <v>941260921</v>
      </c>
      <c r="C1623" s="28" t="str">
        <f>HYPERLINK("https://pld.live/RapDetail.aspx?STONELIST=941260921","DNA")</f>
        <v>DNA</v>
      </c>
      <c r="D1623" s="18" t="s">
        <v>1924</v>
      </c>
      <c r="E1623" s="18" t="s">
        <v>5128</v>
      </c>
      <c r="F1623" s="2" t="s">
        <v>7987</v>
      </c>
      <c r="G1623" s="2" t="s">
        <v>861</v>
      </c>
      <c r="H1623" s="14">
        <v>0.62</v>
      </c>
      <c r="I1623" s="2" t="s">
        <v>267</v>
      </c>
      <c r="J1623" s="2" t="s">
        <v>13</v>
      </c>
      <c r="K1623" s="2" t="s">
        <v>5221</v>
      </c>
      <c r="L1623" s="2" t="s">
        <v>5221</v>
      </c>
      <c r="M1623" s="2" t="s">
        <v>5221</v>
      </c>
      <c r="N1623" s="2" t="s">
        <v>2317</v>
      </c>
      <c r="O1623" s="14">
        <v>3000</v>
      </c>
      <c r="P1623" s="14">
        <v>95</v>
      </c>
      <c r="Q1623" s="14">
        <v>150</v>
      </c>
      <c r="R1623" s="14">
        <v>93</v>
      </c>
      <c r="S1623" s="2" t="s">
        <v>1523</v>
      </c>
      <c r="T1623" s="2">
        <v>1.01</v>
      </c>
      <c r="U1623" s="2">
        <v>62.5</v>
      </c>
      <c r="V1623" s="2">
        <v>57</v>
      </c>
      <c r="W1623" s="2" t="s">
        <v>7862</v>
      </c>
      <c r="X1623" s="2" t="s">
        <v>5405</v>
      </c>
      <c r="Y1623" s="2">
        <v>1860</v>
      </c>
      <c r="Z1623" s="19" t="str">
        <f>HYPERLINK("https://ssdweb.co/ssdweb/hd/Vision360.html?d=941260921&amp;zoomslide=1&amp;z=1941260921&amp;ISCONFIRM=0","VIDEO")</f>
        <v>VIDEO</v>
      </c>
      <c r="AA1623" s="19" t="str">
        <f>HYPERLINK("https://ssdweb.co/ssdweb/CERTH/681569536.pdf","CERTI")</f>
        <v>CERTI</v>
      </c>
    </row>
    <row r="1624" spans="1:27" ht="15" x14ac:dyDescent="0.25">
      <c r="A1624" s="2">
        <v>1619</v>
      </c>
      <c r="B1624" s="39">
        <v>941330390</v>
      </c>
      <c r="C1624" s="28" t="str">
        <f>HYPERLINK("https://pld.live/RapDetail.aspx?STONELIST=941330390","DNA")</f>
        <v>DNA</v>
      </c>
      <c r="D1624" s="18" t="s">
        <v>1924</v>
      </c>
      <c r="E1624" s="18" t="s">
        <v>2186</v>
      </c>
      <c r="F1624" s="2" t="s">
        <v>7987</v>
      </c>
      <c r="G1624" s="2" t="s">
        <v>861</v>
      </c>
      <c r="H1624" s="14">
        <v>0.62</v>
      </c>
      <c r="I1624" s="2" t="s">
        <v>267</v>
      </c>
      <c r="J1624" s="2" t="s">
        <v>13</v>
      </c>
      <c r="K1624" s="2" t="s">
        <v>5221</v>
      </c>
      <c r="L1624" s="2" t="s">
        <v>5221</v>
      </c>
      <c r="M1624" s="2" t="s">
        <v>5221</v>
      </c>
      <c r="N1624" s="2" t="s">
        <v>2317</v>
      </c>
      <c r="O1624" s="14">
        <v>3000</v>
      </c>
      <c r="P1624" s="14">
        <v>95</v>
      </c>
      <c r="Q1624" s="14">
        <v>150</v>
      </c>
      <c r="R1624" s="14">
        <v>93</v>
      </c>
      <c r="S1624" s="2" t="s">
        <v>6255</v>
      </c>
      <c r="T1624" s="2">
        <v>1</v>
      </c>
      <c r="U1624" s="2">
        <v>63.3</v>
      </c>
      <c r="V1624" s="2">
        <v>57</v>
      </c>
      <c r="W1624" s="2" t="s">
        <v>7862</v>
      </c>
      <c r="X1624" s="2" t="s">
        <v>5405</v>
      </c>
      <c r="Y1624" s="2">
        <v>1860</v>
      </c>
      <c r="Z1624" s="19" t="str">
        <f>HYPERLINK("https://ssdweb.co/ssdweb/hd/Vision360.html?d=941330390&amp;zoomslide=1&amp;z=1941330390&amp;ISCONFIRM=0","VIDEO")</f>
        <v>VIDEO</v>
      </c>
      <c r="AA1624" s="19" t="str">
        <f>HYPERLINK("https://ssdweb.co/ssdweb/CERTH/689587198.pdf","CERTI")</f>
        <v>CERTI</v>
      </c>
    </row>
    <row r="1625" spans="1:27" ht="15" x14ac:dyDescent="0.25">
      <c r="A1625" s="2">
        <v>1620</v>
      </c>
      <c r="B1625" s="39">
        <v>926211096</v>
      </c>
      <c r="C1625" s="28" t="str">
        <f>HYPERLINK("https://pld.live/RapDetail.aspx?STONELIST=926211096","DNA")</f>
        <v>DNA</v>
      </c>
      <c r="D1625" s="18" t="s">
        <v>1924</v>
      </c>
      <c r="E1625" s="18" t="s">
        <v>5128</v>
      </c>
      <c r="F1625" s="2" t="s">
        <v>7987</v>
      </c>
      <c r="G1625" s="2" t="s">
        <v>861</v>
      </c>
      <c r="H1625" s="14">
        <v>0.62</v>
      </c>
      <c r="I1625" s="2" t="s">
        <v>267</v>
      </c>
      <c r="J1625" s="2" t="s">
        <v>13</v>
      </c>
      <c r="K1625" s="2" t="s">
        <v>5221</v>
      </c>
      <c r="L1625" s="2" t="s">
        <v>5221</v>
      </c>
      <c r="M1625" s="2" t="s">
        <v>5721</v>
      </c>
      <c r="N1625" s="2" t="s">
        <v>2317</v>
      </c>
      <c r="O1625" s="14">
        <v>3000</v>
      </c>
      <c r="P1625" s="14">
        <v>95.2</v>
      </c>
      <c r="Q1625" s="14">
        <v>144</v>
      </c>
      <c r="R1625" s="14">
        <v>89.28</v>
      </c>
      <c r="S1625" s="2" t="s">
        <v>2010</v>
      </c>
      <c r="T1625" s="2">
        <v>1.01</v>
      </c>
      <c r="U1625" s="2">
        <v>62.5</v>
      </c>
      <c r="V1625" s="2">
        <v>57</v>
      </c>
      <c r="W1625" s="2" t="s">
        <v>7862</v>
      </c>
      <c r="X1625" s="2" t="s">
        <v>5405</v>
      </c>
      <c r="Y1625" s="2">
        <v>1860</v>
      </c>
      <c r="Z1625" s="19" t="str">
        <f>HYPERLINK("https://ssdweb.co/ssdweb/hd/Vision360.html?d=926211096&amp;zoomslide=1&amp;z=1926211096&amp;ISCONFIRM=0","VIDEO")</f>
        <v>VIDEO</v>
      </c>
      <c r="AA1625" s="19" t="str">
        <f>HYPERLINK("https://ssdweb.co/ssdweb/CERTH/638463060.pdf","CERTI")</f>
        <v>CERTI</v>
      </c>
    </row>
    <row r="1626" spans="1:27" ht="15" x14ac:dyDescent="0.25">
      <c r="A1626" s="2">
        <v>1621</v>
      </c>
      <c r="B1626" s="39">
        <v>926941154</v>
      </c>
      <c r="C1626" s="28" t="str">
        <f>HYPERLINK("https://pld.live/RapDetail.aspx?STONELIST=926941154","DNA")</f>
        <v>DNA</v>
      </c>
      <c r="D1626" s="18" t="s">
        <v>1924</v>
      </c>
      <c r="E1626" s="18" t="s">
        <v>5128</v>
      </c>
      <c r="F1626" s="2" t="s">
        <v>7987</v>
      </c>
      <c r="G1626" s="2" t="s">
        <v>861</v>
      </c>
      <c r="H1626" s="14">
        <v>0.62</v>
      </c>
      <c r="I1626" s="2" t="s">
        <v>267</v>
      </c>
      <c r="J1626" s="2" t="s">
        <v>5144</v>
      </c>
      <c r="K1626" s="2" t="s">
        <v>3390</v>
      </c>
      <c r="L1626" s="2" t="s">
        <v>5221</v>
      </c>
      <c r="M1626" s="2" t="s">
        <v>5221</v>
      </c>
      <c r="N1626" s="2" t="s">
        <v>2317</v>
      </c>
      <c r="O1626" s="14">
        <v>2700</v>
      </c>
      <c r="P1626" s="14">
        <v>94.7</v>
      </c>
      <c r="Q1626" s="14">
        <v>143.1</v>
      </c>
      <c r="R1626" s="14">
        <v>88.72</v>
      </c>
      <c r="S1626" s="2" t="s">
        <v>7376</v>
      </c>
      <c r="T1626" s="2">
        <v>1.01</v>
      </c>
      <c r="U1626" s="2">
        <v>60.1</v>
      </c>
      <c r="V1626" s="2">
        <v>56</v>
      </c>
      <c r="W1626" s="2" t="s">
        <v>7862</v>
      </c>
      <c r="X1626" s="2" t="s">
        <v>5405</v>
      </c>
      <c r="Y1626" s="2">
        <v>1674</v>
      </c>
      <c r="Z1626" s="19" t="str">
        <f>HYPERLINK("https://ssdweb.co/ssdweb/hd/Vision360.html?d=926941154&amp;zoomslide=1&amp;z=1926941154&amp;ISCONFIRM=0","VIDEO")</f>
        <v>VIDEO</v>
      </c>
      <c r="AA1626" s="19" t="str">
        <f>HYPERLINK("https://ssdweb.co/ssdweb/CERTH/668447736.pdf","CERTI")</f>
        <v>CERTI</v>
      </c>
    </row>
    <row r="1627" spans="1:27" ht="15" x14ac:dyDescent="0.25">
      <c r="A1627" s="2">
        <v>1622</v>
      </c>
      <c r="B1627" s="39">
        <v>926941182</v>
      </c>
      <c r="C1627" s="28" t="str">
        <f>HYPERLINK("https://pld.live/RapDetail.aspx?STONELIST=926941182","DNA")</f>
        <v>DNA</v>
      </c>
      <c r="D1627" s="18" t="s">
        <v>1924</v>
      </c>
      <c r="E1627" s="18" t="s">
        <v>5128</v>
      </c>
      <c r="F1627" s="2" t="s">
        <v>7987</v>
      </c>
      <c r="G1627" s="2" t="s">
        <v>861</v>
      </c>
      <c r="H1627" s="14">
        <v>0.62</v>
      </c>
      <c r="I1627" s="2" t="s">
        <v>267</v>
      </c>
      <c r="J1627" s="2" t="s">
        <v>5144</v>
      </c>
      <c r="K1627" s="2" t="s">
        <v>5221</v>
      </c>
      <c r="L1627" s="2" t="s">
        <v>5221</v>
      </c>
      <c r="M1627" s="2" t="s">
        <v>5221</v>
      </c>
      <c r="N1627" s="2" t="s">
        <v>2317</v>
      </c>
      <c r="O1627" s="14">
        <v>2700</v>
      </c>
      <c r="P1627" s="14">
        <v>94.7</v>
      </c>
      <c r="Q1627" s="14">
        <v>143.1</v>
      </c>
      <c r="R1627" s="14">
        <v>88.72</v>
      </c>
      <c r="S1627" s="2" t="s">
        <v>12</v>
      </c>
      <c r="T1627" s="2">
        <v>1.01</v>
      </c>
      <c r="U1627" s="2">
        <v>62.6</v>
      </c>
      <c r="V1627" s="2">
        <v>56</v>
      </c>
      <c r="W1627" s="2" t="s">
        <v>7862</v>
      </c>
      <c r="X1627" s="2" t="s">
        <v>5405</v>
      </c>
      <c r="Y1627" s="2">
        <v>1674</v>
      </c>
      <c r="Z1627" s="19" t="str">
        <f>HYPERLINK("https://ssdweb.co/ssdweb/hd/Vision360.html?d=926941182&amp;zoomslide=1&amp;z=1926941182&amp;ISCONFIRM=0","VIDEO")</f>
        <v>VIDEO</v>
      </c>
      <c r="AA1627" s="19" t="str">
        <f>HYPERLINK("https://ssdweb.co/ssdweb/CERTH/668447742.pdf","CERTI")</f>
        <v>CERTI</v>
      </c>
    </row>
    <row r="1628" spans="1:27" ht="15" x14ac:dyDescent="0.25">
      <c r="A1628" s="2">
        <v>1623</v>
      </c>
      <c r="B1628" s="39">
        <v>926280795</v>
      </c>
      <c r="C1628" s="28" t="str">
        <f>HYPERLINK("https://pld.live/RapDetail.aspx?STONELIST=926280795","DNA")</f>
        <v>DNA</v>
      </c>
      <c r="D1628" s="18" t="s">
        <v>1924</v>
      </c>
      <c r="E1628" s="18" t="s">
        <v>5128</v>
      </c>
      <c r="F1628" s="2" t="s">
        <v>7987</v>
      </c>
      <c r="G1628" s="2" t="s">
        <v>861</v>
      </c>
      <c r="H1628" s="14">
        <v>0.62</v>
      </c>
      <c r="I1628" s="2" t="s">
        <v>267</v>
      </c>
      <c r="J1628" s="2" t="s">
        <v>5144</v>
      </c>
      <c r="K1628" s="2" t="s">
        <v>5221</v>
      </c>
      <c r="L1628" s="2" t="s">
        <v>5221</v>
      </c>
      <c r="M1628" s="2" t="s">
        <v>5721</v>
      </c>
      <c r="N1628" s="2" t="s">
        <v>2317</v>
      </c>
      <c r="O1628" s="14">
        <v>2700</v>
      </c>
      <c r="P1628" s="14">
        <v>94.85</v>
      </c>
      <c r="Q1628" s="14">
        <v>139.05000000000001</v>
      </c>
      <c r="R1628" s="14">
        <v>86.21</v>
      </c>
      <c r="S1628" s="2" t="s">
        <v>441</v>
      </c>
      <c r="T1628" s="2">
        <v>1.01</v>
      </c>
      <c r="U1628" s="2">
        <v>63.3</v>
      </c>
      <c r="V1628" s="2">
        <v>56</v>
      </c>
      <c r="W1628" s="2" t="s">
        <v>7862</v>
      </c>
      <c r="X1628" s="2" t="s">
        <v>5405</v>
      </c>
      <c r="Y1628" s="2">
        <v>1674</v>
      </c>
      <c r="Z1628" s="19" t="str">
        <f>HYPERLINK("https://ssdweb.co/ssdweb/hd/Vision360.html?d=926280795&amp;zoomslide=1&amp;z=1926280795&amp;ISCONFIRM=0","VIDEO")</f>
        <v>VIDEO</v>
      </c>
      <c r="AA1628" s="19" t="str">
        <f>HYPERLINK("https://ssdweb.co/ssdweb/CERTH/640454200.pdf","CERTI")</f>
        <v>CERTI</v>
      </c>
    </row>
    <row r="1629" spans="1:27" ht="15" x14ac:dyDescent="0.25">
      <c r="A1629" s="2">
        <v>1624</v>
      </c>
      <c r="B1629" s="39">
        <v>926311349</v>
      </c>
      <c r="C1629" s="28" t="str">
        <f>HYPERLINK("https://pld.live/RapDetail.aspx?STONELIST=926311349","DNA")</f>
        <v>DNA</v>
      </c>
      <c r="D1629" s="18" t="s">
        <v>1924</v>
      </c>
      <c r="E1629" s="18" t="s">
        <v>5128</v>
      </c>
      <c r="F1629" s="2" t="s">
        <v>7987</v>
      </c>
      <c r="G1629" s="2" t="s">
        <v>861</v>
      </c>
      <c r="H1629" s="14">
        <v>0.61</v>
      </c>
      <c r="I1629" s="2" t="s">
        <v>267</v>
      </c>
      <c r="J1629" s="2" t="s">
        <v>13</v>
      </c>
      <c r="K1629" s="2" t="s">
        <v>5221</v>
      </c>
      <c r="L1629" s="2" t="s">
        <v>5221</v>
      </c>
      <c r="M1629" s="2" t="s">
        <v>5221</v>
      </c>
      <c r="N1629" s="2" t="s">
        <v>2317</v>
      </c>
      <c r="O1629" s="14">
        <v>3000</v>
      </c>
      <c r="P1629" s="14">
        <v>95.13</v>
      </c>
      <c r="Q1629" s="14">
        <v>146.1</v>
      </c>
      <c r="R1629" s="14">
        <v>89.12</v>
      </c>
      <c r="S1629" s="2" t="s">
        <v>5748</v>
      </c>
      <c r="T1629" s="2">
        <v>1</v>
      </c>
      <c r="U1629" s="2">
        <v>59.7</v>
      </c>
      <c r="V1629" s="2">
        <v>59</v>
      </c>
      <c r="W1629" s="2" t="s">
        <v>7862</v>
      </c>
      <c r="X1629" s="2" t="s">
        <v>5405</v>
      </c>
      <c r="Y1629" s="2">
        <v>1830</v>
      </c>
      <c r="Z1629" s="19" t="str">
        <f>HYPERLINK("https://ssdweb.co/ssdweb/hd/Vision360.html?d=926311349&amp;zoomslide=1&amp;z=1926311349&amp;ISCONFIRM=0","VIDEO")</f>
        <v>VIDEO</v>
      </c>
      <c r="AA1629" s="19" t="str">
        <f>HYPERLINK("https://ssdweb.co/ssdweb/CERTH/644466753.pdf","CERTI")</f>
        <v>CERTI</v>
      </c>
    </row>
    <row r="1630" spans="1:27" ht="15" x14ac:dyDescent="0.25">
      <c r="A1630" s="2">
        <v>1625</v>
      </c>
      <c r="B1630" s="39">
        <v>926221299</v>
      </c>
      <c r="C1630" s="28" t="str">
        <f>HYPERLINK("https://pld.live/RapDetail.aspx?STONELIST=926221299","DNA")</f>
        <v>DNA</v>
      </c>
      <c r="D1630" s="18" t="s">
        <v>1924</v>
      </c>
      <c r="E1630" s="18" t="s">
        <v>5128</v>
      </c>
      <c r="F1630" s="2" t="s">
        <v>7987</v>
      </c>
      <c r="G1630" s="2" t="s">
        <v>861</v>
      </c>
      <c r="H1630" s="14">
        <v>0.61</v>
      </c>
      <c r="I1630" s="2" t="s">
        <v>267</v>
      </c>
      <c r="J1630" s="2" t="s">
        <v>13</v>
      </c>
      <c r="K1630" s="2" t="s">
        <v>5221</v>
      </c>
      <c r="L1630" s="2" t="s">
        <v>5221</v>
      </c>
      <c r="M1630" s="2" t="s">
        <v>5721</v>
      </c>
      <c r="N1630" s="2" t="s">
        <v>2317</v>
      </c>
      <c r="O1630" s="14">
        <v>3000</v>
      </c>
      <c r="P1630" s="14">
        <v>95.2</v>
      </c>
      <c r="Q1630" s="14">
        <v>144</v>
      </c>
      <c r="R1630" s="14">
        <v>87.84</v>
      </c>
      <c r="S1630" s="2" t="s">
        <v>7052</v>
      </c>
      <c r="T1630" s="2">
        <v>1.01</v>
      </c>
      <c r="U1630" s="2">
        <v>62.9</v>
      </c>
      <c r="V1630" s="2">
        <v>55</v>
      </c>
      <c r="W1630" s="2" t="s">
        <v>7862</v>
      </c>
      <c r="X1630" s="2" t="s">
        <v>5405</v>
      </c>
      <c r="Y1630" s="2">
        <v>1830</v>
      </c>
      <c r="Z1630" s="19" t="str">
        <f>HYPERLINK("https://ssdweb.co/ssdweb/hd/Vision360.html?d=926221299&amp;zoomslide=1&amp;z=1926221299&amp;ISCONFIRM=0","VIDEO")</f>
        <v>VIDEO</v>
      </c>
      <c r="AA1630" s="19" t="str">
        <f>HYPERLINK("https://ssdweb.co/ssdweb/CERTH/640473973.pdf","CERTI")</f>
        <v>CERTI</v>
      </c>
    </row>
    <row r="1631" spans="1:27" ht="15" x14ac:dyDescent="0.25">
      <c r="A1631" s="2">
        <v>1626</v>
      </c>
      <c r="B1631" s="39">
        <v>926801179</v>
      </c>
      <c r="C1631" s="28" t="str">
        <f>HYPERLINK("https://pld.live/RapDetail.aspx?STONELIST=926801179","DNA")</f>
        <v>DNA</v>
      </c>
      <c r="D1631" s="18" t="s">
        <v>1924</v>
      </c>
      <c r="E1631" s="18" t="s">
        <v>5128</v>
      </c>
      <c r="F1631" s="2" t="s">
        <v>7987</v>
      </c>
      <c r="G1631" s="2" t="s">
        <v>861</v>
      </c>
      <c r="H1631" s="14">
        <v>0.61</v>
      </c>
      <c r="I1631" s="2" t="s">
        <v>267</v>
      </c>
      <c r="J1631" s="2" t="s">
        <v>13</v>
      </c>
      <c r="K1631" s="2" t="s">
        <v>5221</v>
      </c>
      <c r="L1631" s="2" t="s">
        <v>5221</v>
      </c>
      <c r="M1631" s="2" t="s">
        <v>5721</v>
      </c>
      <c r="N1631" s="2" t="s">
        <v>2317</v>
      </c>
      <c r="O1631" s="14">
        <v>3000</v>
      </c>
      <c r="P1631" s="14">
        <v>95.13</v>
      </c>
      <c r="Q1631" s="14">
        <v>146.1</v>
      </c>
      <c r="R1631" s="14">
        <v>89.12</v>
      </c>
      <c r="S1631" s="2" t="s">
        <v>4360</v>
      </c>
      <c r="T1631" s="2">
        <v>1.01</v>
      </c>
      <c r="U1631" s="2">
        <v>60.4</v>
      </c>
      <c r="V1631" s="2">
        <v>61</v>
      </c>
      <c r="W1631" s="2" t="s">
        <v>7862</v>
      </c>
      <c r="X1631" s="2" t="s">
        <v>5405</v>
      </c>
      <c r="Y1631" s="2">
        <v>1830</v>
      </c>
      <c r="Z1631" s="19" t="str">
        <f>HYPERLINK("https://ssdweb.co/ssdweb/hd/Vision360.html?d=926801179&amp;zoomslide=1&amp;z=1926801179&amp;ISCONFIRM=0","VIDEO")</f>
        <v>VIDEO</v>
      </c>
      <c r="AA1631" s="19" t="str">
        <f>HYPERLINK("https://ssdweb.co/ssdweb/CERTH/653451037.pdf","CERTI")</f>
        <v>CERTI</v>
      </c>
    </row>
    <row r="1632" spans="1:27" ht="15" x14ac:dyDescent="0.25">
      <c r="A1632" s="2">
        <v>1627</v>
      </c>
      <c r="B1632" s="39">
        <v>926221271</v>
      </c>
      <c r="C1632" s="28" t="str">
        <f>HYPERLINK("https://pld.live/RapDetail.aspx?STONELIST=926221271","DNA")</f>
        <v>DNA</v>
      </c>
      <c r="D1632" s="18" t="s">
        <v>1924</v>
      </c>
      <c r="E1632" s="18" t="s">
        <v>5128</v>
      </c>
      <c r="F1632" s="2" t="s">
        <v>7987</v>
      </c>
      <c r="G1632" s="2" t="s">
        <v>861</v>
      </c>
      <c r="H1632" s="14">
        <v>0.61</v>
      </c>
      <c r="I1632" s="2" t="s">
        <v>267</v>
      </c>
      <c r="J1632" s="2" t="s">
        <v>13</v>
      </c>
      <c r="K1632" s="2" t="s">
        <v>5221</v>
      </c>
      <c r="L1632" s="2" t="s">
        <v>5721</v>
      </c>
      <c r="M1632" s="2" t="s">
        <v>5721</v>
      </c>
      <c r="N1632" s="2" t="s">
        <v>2317</v>
      </c>
      <c r="O1632" s="14">
        <v>3000</v>
      </c>
      <c r="P1632" s="14">
        <v>95.27</v>
      </c>
      <c r="Q1632" s="14">
        <v>141.9</v>
      </c>
      <c r="R1632" s="14">
        <v>86.56</v>
      </c>
      <c r="S1632" s="2" t="s">
        <v>7601</v>
      </c>
      <c r="T1632" s="2">
        <v>1.01</v>
      </c>
      <c r="U1632" s="2">
        <v>62.3</v>
      </c>
      <c r="V1632" s="2">
        <v>58</v>
      </c>
      <c r="W1632" s="2" t="s">
        <v>7862</v>
      </c>
      <c r="X1632" s="2" t="s">
        <v>5405</v>
      </c>
      <c r="Y1632" s="2">
        <v>1830</v>
      </c>
      <c r="Z1632" s="19" t="str">
        <f>HYPERLINK("https://ssdweb.co/ssdweb/hd/Vision360.html?d=926221271&amp;zoomslide=1&amp;z=1926221271&amp;ISCONFIRM=0","VIDEO")</f>
        <v>VIDEO</v>
      </c>
      <c r="AA1632" s="19" t="str">
        <f>HYPERLINK("https://ssdweb.co/ssdweb/CERTH/640473937.pdf","CERTI")</f>
        <v>CERTI</v>
      </c>
    </row>
    <row r="1633" spans="1:27" ht="15" x14ac:dyDescent="0.25">
      <c r="A1633" s="2">
        <v>1628</v>
      </c>
      <c r="B1633" s="39">
        <v>926280778</v>
      </c>
      <c r="C1633" s="28" t="str">
        <f>HYPERLINK("https://pld.live/RapDetail.aspx?STONELIST=926280778","DNA")</f>
        <v>DNA</v>
      </c>
      <c r="D1633" s="18" t="s">
        <v>1924</v>
      </c>
      <c r="E1633" s="18" t="s">
        <v>5128</v>
      </c>
      <c r="F1633" s="2" t="s">
        <v>7987</v>
      </c>
      <c r="G1633" s="2" t="s">
        <v>861</v>
      </c>
      <c r="H1633" s="14">
        <v>0.61</v>
      </c>
      <c r="I1633" s="2" t="s">
        <v>4761</v>
      </c>
      <c r="J1633" s="2" t="s">
        <v>5144</v>
      </c>
      <c r="K1633" s="2" t="s">
        <v>5221</v>
      </c>
      <c r="L1633" s="2" t="s">
        <v>5221</v>
      </c>
      <c r="M1633" s="2" t="s">
        <v>5721</v>
      </c>
      <c r="N1633" s="2" t="s">
        <v>2317</v>
      </c>
      <c r="O1633" s="14">
        <v>2500</v>
      </c>
      <c r="P1633" s="14">
        <v>94.56</v>
      </c>
      <c r="Q1633" s="14">
        <v>136</v>
      </c>
      <c r="R1633" s="14">
        <v>82.96</v>
      </c>
      <c r="S1633" s="2" t="s">
        <v>3449</v>
      </c>
      <c r="T1633" s="2">
        <v>1.01</v>
      </c>
      <c r="U1633" s="2">
        <v>60.9</v>
      </c>
      <c r="V1633" s="2">
        <v>56</v>
      </c>
      <c r="W1633" s="2" t="s">
        <v>7862</v>
      </c>
      <c r="X1633" s="2" t="s">
        <v>5405</v>
      </c>
      <c r="Y1633" s="2">
        <v>1525</v>
      </c>
      <c r="Z1633" s="19" t="str">
        <f>HYPERLINK("https://ssdweb.co/ssdweb/hd/Vision360.html?d=926280778&amp;zoomslide=1&amp;z=1926280778&amp;ISCONFIRM=0","VIDEO")</f>
        <v>VIDEO</v>
      </c>
      <c r="AA1633" s="19" t="str">
        <f>HYPERLINK("https://ssdweb.co/ssdweb/CERTH/640454203.pdf","CERTI")</f>
        <v>CERTI</v>
      </c>
    </row>
    <row r="1634" spans="1:27" ht="15" x14ac:dyDescent="0.25">
      <c r="A1634" s="2">
        <v>1629</v>
      </c>
      <c r="B1634" s="39">
        <v>926301038</v>
      </c>
      <c r="C1634" s="28" t="str">
        <f>HYPERLINK("https://pld.live/RapDetail.aspx?STONELIST=926301038","DNA")</f>
        <v>DNA</v>
      </c>
      <c r="D1634" s="18" t="s">
        <v>5466</v>
      </c>
      <c r="E1634" s="18" t="s">
        <v>5128</v>
      </c>
      <c r="F1634" s="2" t="s">
        <v>7987</v>
      </c>
      <c r="G1634" s="2" t="s">
        <v>861</v>
      </c>
      <c r="H1634" s="14">
        <v>0.59</v>
      </c>
      <c r="I1634" s="2" t="s">
        <v>267</v>
      </c>
      <c r="J1634" s="2" t="s">
        <v>6555</v>
      </c>
      <c r="K1634" s="2" t="s">
        <v>5221</v>
      </c>
      <c r="L1634" s="2" t="s">
        <v>5221</v>
      </c>
      <c r="M1634" s="2" t="s">
        <v>5721</v>
      </c>
      <c r="N1634" s="2" t="s">
        <v>2317</v>
      </c>
      <c r="O1634" s="14">
        <v>4600</v>
      </c>
      <c r="P1634" s="14">
        <v>96.8</v>
      </c>
      <c r="Q1634" s="14">
        <v>147.19999999999999</v>
      </c>
      <c r="R1634" s="14">
        <v>86.85</v>
      </c>
      <c r="S1634" s="2" t="s">
        <v>6962</v>
      </c>
      <c r="T1634" s="2">
        <v>1.01</v>
      </c>
      <c r="U1634" s="2">
        <v>62.6</v>
      </c>
      <c r="V1634" s="2">
        <v>61</v>
      </c>
      <c r="W1634" s="2" t="s">
        <v>7862</v>
      </c>
      <c r="X1634" s="2" t="s">
        <v>5405</v>
      </c>
      <c r="Y1634" s="2">
        <v>2714</v>
      </c>
      <c r="Z1634" s="19" t="str">
        <f>HYPERLINK("https://ssdweb.co/ssdweb/hd/Vision360.html?d=926301038&amp;zoomslide=1&amp;z=1926301038&amp;ISCONFIRM=0","VIDEO")</f>
        <v>VIDEO</v>
      </c>
      <c r="AA1634" s="19" t="str">
        <f>HYPERLINK("https://ssdweb.co/ssdweb/CERTH/644458734.pdf","CERTI")</f>
        <v>CERTI</v>
      </c>
    </row>
    <row r="1635" spans="1:27" ht="15" x14ac:dyDescent="0.25">
      <c r="A1635" s="2">
        <v>1630</v>
      </c>
      <c r="B1635" s="39">
        <v>925030056</v>
      </c>
      <c r="C1635" s="28" t="str">
        <f>HYPERLINK("https://pld.live/RapDetail.aspx?STONELIST=925030056","DNA")</f>
        <v>DNA</v>
      </c>
      <c r="D1635" s="18" t="s">
        <v>5466</v>
      </c>
      <c r="E1635" s="18" t="s">
        <v>5128</v>
      </c>
      <c r="F1635" s="2" t="s">
        <v>5597</v>
      </c>
      <c r="G1635" s="2" t="s">
        <v>861</v>
      </c>
      <c r="H1635" s="14">
        <v>0.59</v>
      </c>
      <c r="I1635" s="2" t="s">
        <v>267</v>
      </c>
      <c r="J1635" s="2" t="s">
        <v>6555</v>
      </c>
      <c r="K1635" s="2" t="s">
        <v>5221</v>
      </c>
      <c r="L1635" s="2" t="s">
        <v>5721</v>
      </c>
      <c r="M1635" s="2" t="s">
        <v>5221</v>
      </c>
      <c r="N1635" s="2" t="s">
        <v>2317</v>
      </c>
      <c r="O1635" s="14">
        <v>4600</v>
      </c>
      <c r="P1635" s="14">
        <v>91.74</v>
      </c>
      <c r="Q1635" s="14">
        <v>379.96</v>
      </c>
      <c r="R1635" s="14">
        <v>224.18</v>
      </c>
      <c r="S1635" s="2" t="s">
        <v>7122</v>
      </c>
      <c r="T1635" s="2">
        <v>1.01</v>
      </c>
      <c r="U1635" s="2">
        <v>62.5</v>
      </c>
      <c r="V1635" s="2">
        <v>57</v>
      </c>
      <c r="W1635" s="2" t="s">
        <v>7862</v>
      </c>
      <c r="X1635" s="2" t="s">
        <v>5405</v>
      </c>
      <c r="Y1635" s="2">
        <v>2714</v>
      </c>
      <c r="Z1635" s="19" t="str">
        <f>HYPERLINK("https://ssdweb.co/ssdweb/hd/Vision360.html?d=925030056&amp;zoomslide=1&amp;z=1925030056&amp;ISCONFIRM=0","VIDEO")</f>
        <v>VIDEO</v>
      </c>
      <c r="AA1635" s="19" t="str">
        <f>HYPERLINK("https://ssdweb.co/ssdweb/CERTH/2476853277.pdf","CERTI")</f>
        <v>CERTI</v>
      </c>
    </row>
    <row r="1636" spans="1:27" ht="15" x14ac:dyDescent="0.25">
      <c r="A1636" s="2">
        <v>1631</v>
      </c>
      <c r="B1636" s="39">
        <v>941449164</v>
      </c>
      <c r="C1636" s="28" t="str">
        <f>HYPERLINK("https://pld.live/RapDetail.aspx?STONELIST=941449164","DNA")</f>
        <v>DNA</v>
      </c>
      <c r="D1636" s="18" t="s">
        <v>5466</v>
      </c>
      <c r="E1636" s="18" t="s">
        <v>2186</v>
      </c>
      <c r="F1636" s="2" t="s">
        <v>7987</v>
      </c>
      <c r="G1636" s="2" t="s">
        <v>861</v>
      </c>
      <c r="H1636" s="14">
        <v>0.59</v>
      </c>
      <c r="I1636" s="2" t="s">
        <v>267</v>
      </c>
      <c r="J1636" s="2" t="s">
        <v>13</v>
      </c>
      <c r="K1636" s="2" t="s">
        <v>3390</v>
      </c>
      <c r="L1636" s="2" t="s">
        <v>5221</v>
      </c>
      <c r="M1636" s="2" t="s">
        <v>5221</v>
      </c>
      <c r="N1636" s="2" t="s">
        <v>2317</v>
      </c>
      <c r="O1636" s="14">
        <v>3000</v>
      </c>
      <c r="P1636" s="14">
        <v>95.4</v>
      </c>
      <c r="Q1636" s="14">
        <v>138</v>
      </c>
      <c r="R1636" s="14">
        <v>81.42</v>
      </c>
      <c r="S1636" s="2" t="s">
        <v>5880</v>
      </c>
      <c r="T1636" s="2">
        <v>1.01</v>
      </c>
      <c r="U1636" s="2">
        <v>61.3</v>
      </c>
      <c r="V1636" s="2">
        <v>58</v>
      </c>
      <c r="W1636" s="2" t="s">
        <v>7862</v>
      </c>
      <c r="X1636" s="2" t="s">
        <v>5405</v>
      </c>
      <c r="Y1636" s="2">
        <v>1770</v>
      </c>
      <c r="Z1636" s="19" t="str">
        <f>HYPERLINK("https://ssdweb.co/ssdweb/hd/Vision360.html?d=941449164&amp;zoomslide=1&amp;z=1941449164&amp;ISCONFIRM=0","VIDEO")</f>
        <v>VIDEO</v>
      </c>
      <c r="AA1636" s="19" t="str">
        <f>HYPERLINK("https://ssdweb.co/ssdweb/CERTH/693519431.pdf","CERTI")</f>
        <v>CERTI</v>
      </c>
    </row>
    <row r="1637" spans="1:27" ht="15" x14ac:dyDescent="0.25">
      <c r="A1637" s="2">
        <v>1632</v>
      </c>
      <c r="B1637" s="39">
        <v>926810870</v>
      </c>
      <c r="C1637" s="28" t="str">
        <f>HYPERLINK("https://pld.live/RapDetail.aspx?STONELIST=926810870","DNA")</f>
        <v>DNA</v>
      </c>
      <c r="D1637" s="18" t="s">
        <v>5466</v>
      </c>
      <c r="E1637" s="18" t="s">
        <v>5128</v>
      </c>
      <c r="F1637" s="2" t="s">
        <v>7987</v>
      </c>
      <c r="G1637" s="2" t="s">
        <v>861</v>
      </c>
      <c r="H1637" s="14">
        <v>0.59</v>
      </c>
      <c r="I1637" s="2" t="s">
        <v>267</v>
      </c>
      <c r="J1637" s="2" t="s">
        <v>13</v>
      </c>
      <c r="K1637" s="2" t="s">
        <v>5221</v>
      </c>
      <c r="L1637" s="2" t="s">
        <v>5221</v>
      </c>
      <c r="M1637" s="2" t="s">
        <v>5721</v>
      </c>
      <c r="N1637" s="2" t="s">
        <v>2317</v>
      </c>
      <c r="O1637" s="14">
        <v>3000</v>
      </c>
      <c r="P1637" s="14">
        <v>95.47</v>
      </c>
      <c r="Q1637" s="14">
        <v>135.9</v>
      </c>
      <c r="R1637" s="14">
        <v>80.180000000000007</v>
      </c>
      <c r="S1637" s="2" t="s">
        <v>5836</v>
      </c>
      <c r="T1637" s="2">
        <v>1.02</v>
      </c>
      <c r="U1637" s="2">
        <v>63.7</v>
      </c>
      <c r="V1637" s="2">
        <v>54</v>
      </c>
      <c r="W1637" s="2" t="s">
        <v>7862</v>
      </c>
      <c r="X1637" s="2" t="s">
        <v>5405</v>
      </c>
      <c r="Y1637" s="2">
        <v>1770</v>
      </c>
      <c r="Z1637" s="19" t="str">
        <f>HYPERLINK("https://ssdweb.co/ssdweb/hd/Vision360.html?d=926810870&amp;zoomslide=1&amp;z=1926810870&amp;ISCONFIRM=0","VIDEO")</f>
        <v>VIDEO</v>
      </c>
      <c r="AA1637" s="19" t="str">
        <f>HYPERLINK("https://ssdweb.co/ssdweb/CERTH/670484283.pdf","CERTI")</f>
        <v>CERTI</v>
      </c>
    </row>
    <row r="1638" spans="1:27" ht="15" x14ac:dyDescent="0.25">
      <c r="A1638" s="2">
        <v>1633</v>
      </c>
      <c r="B1638" s="39">
        <v>821125912</v>
      </c>
      <c r="C1638" s="28" t="str">
        <f>HYPERLINK("https://pld.live/RapDetail.aspx?STONELIST=821125912","DNA")</f>
        <v>DNA</v>
      </c>
      <c r="D1638" s="18" t="s">
        <v>5466</v>
      </c>
      <c r="E1638" s="18" t="s">
        <v>5128</v>
      </c>
      <c r="F1638" s="2" t="s">
        <v>7987</v>
      </c>
      <c r="G1638" s="2" t="s">
        <v>861</v>
      </c>
      <c r="H1638" s="14">
        <v>0.59</v>
      </c>
      <c r="I1638" s="2" t="s">
        <v>267</v>
      </c>
      <c r="J1638" s="2" t="s">
        <v>5144</v>
      </c>
      <c r="K1638" s="2" t="s">
        <v>3390</v>
      </c>
      <c r="L1638" s="2" t="s">
        <v>5221</v>
      </c>
      <c r="M1638" s="2" t="s">
        <v>5221</v>
      </c>
      <c r="N1638" s="2" t="s">
        <v>2317</v>
      </c>
      <c r="O1638" s="14">
        <v>2700</v>
      </c>
      <c r="P1638" s="14">
        <v>95.37</v>
      </c>
      <c r="Q1638" s="14">
        <v>125.01</v>
      </c>
      <c r="R1638" s="14">
        <v>73.760000000000005</v>
      </c>
      <c r="S1638" s="2" t="s">
        <v>3560</v>
      </c>
      <c r="T1638" s="2">
        <v>1.01</v>
      </c>
      <c r="U1638" s="2">
        <v>62.4</v>
      </c>
      <c r="V1638" s="2">
        <v>57</v>
      </c>
      <c r="W1638" s="2" t="s">
        <v>7862</v>
      </c>
      <c r="X1638" s="2" t="s">
        <v>5405</v>
      </c>
      <c r="Y1638" s="2">
        <v>1593</v>
      </c>
      <c r="Z1638" s="19" t="str">
        <f>HYPERLINK("https://ssdweb.co/ssdweb/hd/Vision360.html?d=821125912&amp;zoomslide=1&amp;z=1821125912&amp;ISCONFIRM=0","VIDEO")</f>
        <v>VIDEO</v>
      </c>
      <c r="AA1638" s="19" t="str">
        <f>HYPERLINK("https://ssdweb.co/ssdweb/CERTH/619437286.pdf","CERTI")</f>
        <v>CERTI</v>
      </c>
    </row>
    <row r="1639" spans="1:27" ht="15" x14ac:dyDescent="0.25">
      <c r="A1639" s="2">
        <v>1634</v>
      </c>
      <c r="B1639" s="39">
        <v>926280809</v>
      </c>
      <c r="C1639" s="28" t="str">
        <f>HYPERLINK("https://pld.live/RapDetail.aspx?STONELIST=926280809","DNA")</f>
        <v>DNA</v>
      </c>
      <c r="D1639" s="18" t="s">
        <v>5466</v>
      </c>
      <c r="E1639" s="18" t="s">
        <v>5128</v>
      </c>
      <c r="F1639" s="2" t="s">
        <v>7987</v>
      </c>
      <c r="G1639" s="2" t="s">
        <v>861</v>
      </c>
      <c r="H1639" s="14">
        <v>0.59</v>
      </c>
      <c r="I1639" s="2" t="s">
        <v>267</v>
      </c>
      <c r="J1639" s="2" t="s">
        <v>5144</v>
      </c>
      <c r="K1639" s="2" t="s">
        <v>3390</v>
      </c>
      <c r="L1639" s="2" t="s">
        <v>5721</v>
      </c>
      <c r="M1639" s="2" t="s">
        <v>5221</v>
      </c>
      <c r="N1639" s="2" t="s">
        <v>2317</v>
      </c>
      <c r="O1639" s="14">
        <v>2700</v>
      </c>
      <c r="P1639" s="14">
        <v>95.3</v>
      </c>
      <c r="Q1639" s="14">
        <v>126.9</v>
      </c>
      <c r="R1639" s="14">
        <v>74.87</v>
      </c>
      <c r="S1639" s="2" t="s">
        <v>4890</v>
      </c>
      <c r="T1639" s="2">
        <v>1.01</v>
      </c>
      <c r="U1639" s="2">
        <v>62.5</v>
      </c>
      <c r="V1639" s="2">
        <v>55</v>
      </c>
      <c r="W1639" s="2" t="s">
        <v>7862</v>
      </c>
      <c r="X1639" s="2" t="s">
        <v>5405</v>
      </c>
      <c r="Y1639" s="2">
        <v>1593</v>
      </c>
      <c r="Z1639" s="19" t="str">
        <f>HYPERLINK("https://ssdweb.co/ssdweb/hd/Vision360.html?d=926280809&amp;zoomslide=1&amp;z=1926280809&amp;ISCONFIRM=0","VIDEO")</f>
        <v>VIDEO</v>
      </c>
      <c r="AA1639" s="19" t="str">
        <f>HYPERLINK("https://ssdweb.co/ssdweb/CERTH/644472337.pdf","CERTI")</f>
        <v>CERTI</v>
      </c>
    </row>
    <row r="1640" spans="1:27" ht="15" x14ac:dyDescent="0.25">
      <c r="A1640" s="2">
        <v>1635</v>
      </c>
      <c r="B1640" s="39">
        <v>941310014</v>
      </c>
      <c r="C1640" s="28" t="str">
        <f>HYPERLINK("https://pld.live/RapDetail.aspx?STONELIST=941310014","DNA")</f>
        <v>DNA</v>
      </c>
      <c r="D1640" s="18" t="s">
        <v>5466</v>
      </c>
      <c r="E1640" s="18" t="s">
        <v>2186</v>
      </c>
      <c r="F1640" s="2" t="s">
        <v>7987</v>
      </c>
      <c r="G1640" s="2" t="s">
        <v>861</v>
      </c>
      <c r="H1640" s="14">
        <v>0.59</v>
      </c>
      <c r="I1640" s="2" t="s">
        <v>4761</v>
      </c>
      <c r="J1640" s="2" t="s">
        <v>3942</v>
      </c>
      <c r="K1640" s="2" t="s">
        <v>3390</v>
      </c>
      <c r="L1640" s="2" t="s">
        <v>5221</v>
      </c>
      <c r="M1640" s="2" t="s">
        <v>5221</v>
      </c>
      <c r="N1640" s="2" t="s">
        <v>2317</v>
      </c>
      <c r="O1640" s="14">
        <v>3300</v>
      </c>
      <c r="P1640" s="14">
        <v>95.73</v>
      </c>
      <c r="Q1640" s="14">
        <v>140.91</v>
      </c>
      <c r="R1640" s="14">
        <v>83.14</v>
      </c>
      <c r="S1640" s="2" t="s">
        <v>2539</v>
      </c>
      <c r="T1640" s="2">
        <v>1.01</v>
      </c>
      <c r="U1640" s="2">
        <v>61.4</v>
      </c>
      <c r="V1640" s="2">
        <v>58</v>
      </c>
      <c r="W1640" s="2" t="s">
        <v>7862</v>
      </c>
      <c r="X1640" s="2" t="s">
        <v>5405</v>
      </c>
      <c r="Y1640" s="2">
        <v>1947</v>
      </c>
      <c r="Z1640" s="19" t="str">
        <f>HYPERLINK("https://ssdweb.co/ssdweb/hd/Vision360.html?d=941310014&amp;zoomslide=1&amp;z=1941310014&amp;ISCONFIRM=0","VIDEO")</f>
        <v>VIDEO</v>
      </c>
      <c r="AA1640" s="19" t="str">
        <f>HYPERLINK("https://ssdweb.co/ssdweb/CERTH/685590571.pdf","CERTI")</f>
        <v>CERTI</v>
      </c>
    </row>
    <row r="1641" spans="1:27" ht="15" x14ac:dyDescent="0.25">
      <c r="A1641" s="2">
        <v>1636</v>
      </c>
      <c r="B1641" s="39">
        <v>926210998</v>
      </c>
      <c r="C1641" s="28" t="str">
        <f>HYPERLINK("https://pld.live/RapDetail.aspx?STONELIST=926210998","DNA")</f>
        <v>DNA</v>
      </c>
      <c r="D1641" s="18" t="s">
        <v>5466</v>
      </c>
      <c r="E1641" s="18" t="s">
        <v>5128</v>
      </c>
      <c r="F1641" s="2" t="s">
        <v>7987</v>
      </c>
      <c r="G1641" s="2" t="s">
        <v>861</v>
      </c>
      <c r="H1641" s="14">
        <v>0.59</v>
      </c>
      <c r="I1641" s="2" t="s">
        <v>4761</v>
      </c>
      <c r="J1641" s="2" t="s">
        <v>3942</v>
      </c>
      <c r="K1641" s="2" t="s">
        <v>5221</v>
      </c>
      <c r="L1641" s="2" t="s">
        <v>5221</v>
      </c>
      <c r="M1641" s="2" t="s">
        <v>5221</v>
      </c>
      <c r="N1641" s="2" t="s">
        <v>2317</v>
      </c>
      <c r="O1641" s="14">
        <v>3300</v>
      </c>
      <c r="P1641" s="14">
        <v>95.91</v>
      </c>
      <c r="Q1641" s="14">
        <v>134.97</v>
      </c>
      <c r="R1641" s="14">
        <v>79.63</v>
      </c>
      <c r="S1641" s="2" t="s">
        <v>3070</v>
      </c>
      <c r="T1641" s="2">
        <v>1.01</v>
      </c>
      <c r="U1641" s="2">
        <v>62.6</v>
      </c>
      <c r="V1641" s="2">
        <v>57</v>
      </c>
      <c r="W1641" s="2" t="s">
        <v>7862</v>
      </c>
      <c r="X1641" s="2" t="s">
        <v>5405</v>
      </c>
      <c r="Y1641" s="2">
        <v>1947</v>
      </c>
      <c r="Z1641" s="19" t="str">
        <f>HYPERLINK("https://ssdweb.co/ssdweb/hd/Vision360.html?d=926210998&amp;zoomslide=1&amp;z=1926210998&amp;ISCONFIRM=0","VIDEO")</f>
        <v>VIDEO</v>
      </c>
      <c r="AA1641" s="19" t="str">
        <f>HYPERLINK("https://ssdweb.co/ssdweb/CERTH/636429728.pdf","CERTI")</f>
        <v>CERTI</v>
      </c>
    </row>
    <row r="1642" spans="1:27" ht="15" x14ac:dyDescent="0.25">
      <c r="A1642" s="2">
        <v>1637</v>
      </c>
      <c r="B1642" s="39">
        <v>926221262</v>
      </c>
      <c r="C1642" s="28" t="str">
        <f>HYPERLINK("https://pld.live/RapDetail.aspx?STONELIST=926221262","DNA")</f>
        <v>DNA</v>
      </c>
      <c r="D1642" s="18" t="s">
        <v>5466</v>
      </c>
      <c r="E1642" s="18" t="s">
        <v>5128</v>
      </c>
      <c r="F1642" s="2" t="s">
        <v>7987</v>
      </c>
      <c r="G1642" s="2" t="s">
        <v>861</v>
      </c>
      <c r="H1642" s="14">
        <v>0.59</v>
      </c>
      <c r="I1642" s="2" t="s">
        <v>4761</v>
      </c>
      <c r="J1642" s="2" t="s">
        <v>3942</v>
      </c>
      <c r="K1642" s="2" t="s">
        <v>5221</v>
      </c>
      <c r="L1642" s="2" t="s">
        <v>5221</v>
      </c>
      <c r="M1642" s="2" t="s">
        <v>5721</v>
      </c>
      <c r="N1642" s="2" t="s">
        <v>2317</v>
      </c>
      <c r="O1642" s="14">
        <v>3300</v>
      </c>
      <c r="P1642" s="14">
        <v>95.91</v>
      </c>
      <c r="Q1642" s="14">
        <v>134.97</v>
      </c>
      <c r="R1642" s="14">
        <v>79.63</v>
      </c>
      <c r="S1642" s="2" t="s">
        <v>2648</v>
      </c>
      <c r="T1642" s="2">
        <v>1.01</v>
      </c>
      <c r="U1642" s="2">
        <v>63.4</v>
      </c>
      <c r="V1642" s="2">
        <v>56</v>
      </c>
      <c r="W1642" s="2" t="s">
        <v>7862</v>
      </c>
      <c r="X1642" s="2" t="s">
        <v>5405</v>
      </c>
      <c r="Y1642" s="2">
        <v>1947</v>
      </c>
      <c r="Z1642" s="19" t="str">
        <f>HYPERLINK("https://ssdweb.co/ssdweb/hd/Vision360.html?d=926221262&amp;zoomslide=1&amp;z=1926221262&amp;ISCONFIRM=0","VIDEO")</f>
        <v>VIDEO</v>
      </c>
      <c r="AA1642" s="19" t="str">
        <f>HYPERLINK("https://ssdweb.co/ssdweb/CERTH/640473995.pdf","CERTI")</f>
        <v>CERTI</v>
      </c>
    </row>
    <row r="1643" spans="1:27" ht="15" x14ac:dyDescent="0.25">
      <c r="A1643" s="2">
        <v>1638</v>
      </c>
      <c r="B1643" s="39">
        <v>926221387</v>
      </c>
      <c r="C1643" s="28" t="str">
        <f>HYPERLINK("https://pld.live/RapDetail.aspx?STONELIST=926221387","DNA")</f>
        <v>DNA</v>
      </c>
      <c r="D1643" s="18" t="s">
        <v>5466</v>
      </c>
      <c r="E1643" s="18" t="s">
        <v>5128</v>
      </c>
      <c r="F1643" s="2" t="s">
        <v>7987</v>
      </c>
      <c r="G1643" s="2" t="s">
        <v>861</v>
      </c>
      <c r="H1643" s="14">
        <v>0.59</v>
      </c>
      <c r="I1643" s="2" t="s">
        <v>4761</v>
      </c>
      <c r="J1643" s="2" t="s">
        <v>13</v>
      </c>
      <c r="K1643" s="2" t="s">
        <v>5221</v>
      </c>
      <c r="L1643" s="2" t="s">
        <v>5221</v>
      </c>
      <c r="M1643" s="2" t="s">
        <v>5221</v>
      </c>
      <c r="N1643" s="2" t="s">
        <v>2317</v>
      </c>
      <c r="O1643" s="14">
        <v>2800</v>
      </c>
      <c r="P1643" s="14">
        <v>95.29</v>
      </c>
      <c r="Q1643" s="14">
        <v>131.88</v>
      </c>
      <c r="R1643" s="14">
        <v>77.81</v>
      </c>
      <c r="S1643" s="2" t="s">
        <v>5373</v>
      </c>
      <c r="T1643" s="2">
        <v>1.01</v>
      </c>
      <c r="U1643" s="2">
        <v>59.9</v>
      </c>
      <c r="V1643" s="2">
        <v>61</v>
      </c>
      <c r="W1643" s="2" t="s">
        <v>7862</v>
      </c>
      <c r="X1643" s="2" t="s">
        <v>5405</v>
      </c>
      <c r="Y1643" s="2">
        <v>1652</v>
      </c>
      <c r="Z1643" s="19" t="str">
        <f>HYPERLINK("https://ssdweb.co/ssdweb/hd/Vision360.html?d=926221387&amp;zoomslide=1&amp;z=1926221387&amp;ISCONFIRM=0","VIDEO")</f>
        <v>VIDEO</v>
      </c>
      <c r="AA1643" s="19" t="str">
        <f>HYPERLINK("https://ssdweb.co/ssdweb/CERTH/640473924.pdf","CERTI")</f>
        <v>CERTI</v>
      </c>
    </row>
    <row r="1644" spans="1:27" ht="15" x14ac:dyDescent="0.25">
      <c r="A1644" s="2">
        <v>1639</v>
      </c>
      <c r="B1644" s="39">
        <v>924960159</v>
      </c>
      <c r="C1644" s="28" t="str">
        <f>HYPERLINK("https://pld.live/RapDetail.aspx?STONELIST=924960159","DNA")</f>
        <v>DNA</v>
      </c>
      <c r="D1644" s="18" t="s">
        <v>5466</v>
      </c>
      <c r="E1644" s="18" t="s">
        <v>5128</v>
      </c>
      <c r="F1644" s="2" t="s">
        <v>7987</v>
      </c>
      <c r="G1644" s="2" t="s">
        <v>861</v>
      </c>
      <c r="H1644" s="14">
        <v>0.57999999999999996</v>
      </c>
      <c r="I1644" s="2" t="s">
        <v>267</v>
      </c>
      <c r="J1644" s="2" t="s">
        <v>3942</v>
      </c>
      <c r="K1644" s="2" t="s">
        <v>5221</v>
      </c>
      <c r="L1644" s="2" t="s">
        <v>5221</v>
      </c>
      <c r="M1644" s="2" t="s">
        <v>5221</v>
      </c>
      <c r="N1644" s="2" t="s">
        <v>2317</v>
      </c>
      <c r="O1644" s="14">
        <v>3600</v>
      </c>
      <c r="P1644" s="14">
        <v>96.25</v>
      </c>
      <c r="Q1644" s="14">
        <v>135</v>
      </c>
      <c r="R1644" s="14">
        <v>78.3</v>
      </c>
      <c r="S1644" s="2" t="s">
        <v>4639</v>
      </c>
      <c r="T1644" s="2">
        <v>1.01</v>
      </c>
      <c r="U1644" s="2">
        <v>62.6</v>
      </c>
      <c r="V1644" s="2">
        <v>58</v>
      </c>
      <c r="W1644" s="2" t="s">
        <v>7862</v>
      </c>
      <c r="X1644" s="2" t="s">
        <v>5405</v>
      </c>
      <c r="Y1644" s="2">
        <v>2088</v>
      </c>
      <c r="Z1644" s="19" t="str">
        <f>HYPERLINK("https://ssdweb.co/ssdweb/hd/Vision360.html?d=924960159&amp;zoomslide=1&amp;z=1924960159&amp;ISCONFIRM=0","VIDEO")</f>
        <v>VIDEO</v>
      </c>
      <c r="AA1644" s="19" t="str">
        <f>HYPERLINK("https://ssdweb.co/ssdweb/CERTH/603352375.pdf","CERTI")</f>
        <v>CERTI</v>
      </c>
    </row>
    <row r="1645" spans="1:27" ht="15" x14ac:dyDescent="0.25">
      <c r="A1645" s="2">
        <v>1640</v>
      </c>
      <c r="B1645" s="39">
        <v>924960186</v>
      </c>
      <c r="C1645" s="28" t="str">
        <f>HYPERLINK("https://pld.live/RapDetail.aspx?STONELIST=924960186","DNA")</f>
        <v>DNA</v>
      </c>
      <c r="D1645" s="18" t="s">
        <v>5466</v>
      </c>
      <c r="E1645" s="18" t="s">
        <v>5128</v>
      </c>
      <c r="F1645" s="2" t="s">
        <v>7987</v>
      </c>
      <c r="G1645" s="2" t="s">
        <v>861</v>
      </c>
      <c r="H1645" s="14">
        <v>0.57999999999999996</v>
      </c>
      <c r="I1645" s="2" t="s">
        <v>267</v>
      </c>
      <c r="J1645" s="2" t="s">
        <v>3942</v>
      </c>
      <c r="K1645" s="2" t="s">
        <v>5221</v>
      </c>
      <c r="L1645" s="2" t="s">
        <v>5221</v>
      </c>
      <c r="M1645" s="2" t="s">
        <v>5221</v>
      </c>
      <c r="N1645" s="2" t="s">
        <v>2317</v>
      </c>
      <c r="O1645" s="14">
        <v>3600</v>
      </c>
      <c r="P1645" s="14">
        <v>96.25</v>
      </c>
      <c r="Q1645" s="14">
        <v>135</v>
      </c>
      <c r="R1645" s="14">
        <v>78.3</v>
      </c>
      <c r="S1645" s="2" t="s">
        <v>856</v>
      </c>
      <c r="T1645" s="2">
        <v>1</v>
      </c>
      <c r="U1645" s="2">
        <v>62.7</v>
      </c>
      <c r="V1645" s="2">
        <v>57</v>
      </c>
      <c r="W1645" s="2" t="s">
        <v>7862</v>
      </c>
      <c r="X1645" s="2" t="s">
        <v>5405</v>
      </c>
      <c r="Y1645" s="2">
        <v>2088</v>
      </c>
      <c r="Z1645" s="19" t="str">
        <f>HYPERLINK("https://ssdweb.co/ssdweb/hd/Vision360.html?d=924960186&amp;zoomslide=1&amp;z=1924960186&amp;ISCONFIRM=0","VIDEO")</f>
        <v>VIDEO</v>
      </c>
      <c r="AA1645" s="19" t="str">
        <f>HYPERLINK("https://ssdweb.co/ssdweb/CERTH/603352196.pdf","CERTI")</f>
        <v>CERTI</v>
      </c>
    </row>
    <row r="1646" spans="1:27" ht="15" x14ac:dyDescent="0.25">
      <c r="A1646" s="2">
        <v>1641</v>
      </c>
      <c r="B1646" s="39">
        <v>926220355</v>
      </c>
      <c r="C1646" s="28" t="str">
        <f>HYPERLINK("https://pld.live/RapDetail.aspx?STONELIST=926220355","DNA")</f>
        <v>DNA</v>
      </c>
      <c r="D1646" s="18" t="s">
        <v>5466</v>
      </c>
      <c r="E1646" s="18" t="s">
        <v>5128</v>
      </c>
      <c r="F1646" s="2" t="s">
        <v>7987</v>
      </c>
      <c r="G1646" s="2" t="s">
        <v>861</v>
      </c>
      <c r="H1646" s="14">
        <v>0.57999999999999996</v>
      </c>
      <c r="I1646" s="2" t="s">
        <v>267</v>
      </c>
      <c r="J1646" s="2" t="s">
        <v>3942</v>
      </c>
      <c r="K1646" s="2" t="s">
        <v>5221</v>
      </c>
      <c r="L1646" s="2" t="s">
        <v>5221</v>
      </c>
      <c r="M1646" s="2" t="s">
        <v>5221</v>
      </c>
      <c r="N1646" s="2" t="s">
        <v>2317</v>
      </c>
      <c r="O1646" s="14">
        <v>3600</v>
      </c>
      <c r="P1646" s="14">
        <v>96.19</v>
      </c>
      <c r="Q1646" s="14">
        <v>137.16</v>
      </c>
      <c r="R1646" s="14">
        <v>79.55</v>
      </c>
      <c r="S1646" s="2" t="s">
        <v>3053</v>
      </c>
      <c r="T1646" s="2">
        <v>1.01</v>
      </c>
      <c r="U1646" s="2">
        <v>62.4</v>
      </c>
      <c r="V1646" s="2">
        <v>54</v>
      </c>
      <c r="W1646" s="2" t="s">
        <v>7862</v>
      </c>
      <c r="X1646" s="2" t="s">
        <v>5405</v>
      </c>
      <c r="Y1646" s="2">
        <v>2088</v>
      </c>
      <c r="Z1646" s="19" t="str">
        <f>HYPERLINK("https://ssdweb.co/ssdweb/hd/Vision360.html?d=926220355&amp;zoomslide=1&amp;z=1926220355&amp;ISCONFIRM=0","VIDEO")</f>
        <v>VIDEO</v>
      </c>
      <c r="AA1646" s="19" t="str">
        <f>HYPERLINK("https://ssdweb.co/ssdweb/CERTH/635427072.pdf","CERTI")</f>
        <v>CERTI</v>
      </c>
    </row>
    <row r="1647" spans="1:27" ht="15" x14ac:dyDescent="0.25">
      <c r="A1647" s="2">
        <v>1642</v>
      </c>
      <c r="B1647" s="39">
        <v>926211059</v>
      </c>
      <c r="C1647" s="28" t="str">
        <f>HYPERLINK("https://pld.live/RapDetail.aspx?STONELIST=926211059","DNA")</f>
        <v>DNA</v>
      </c>
      <c r="D1647" s="18" t="s">
        <v>5466</v>
      </c>
      <c r="E1647" s="18" t="s">
        <v>5128</v>
      </c>
      <c r="F1647" s="2" t="s">
        <v>7987</v>
      </c>
      <c r="G1647" s="2" t="s">
        <v>861</v>
      </c>
      <c r="H1647" s="14">
        <v>0.57999999999999996</v>
      </c>
      <c r="I1647" s="2" t="s">
        <v>267</v>
      </c>
      <c r="J1647" s="2" t="s">
        <v>13</v>
      </c>
      <c r="K1647" s="2" t="s">
        <v>5221</v>
      </c>
      <c r="L1647" s="2" t="s">
        <v>5221</v>
      </c>
      <c r="M1647" s="2" t="s">
        <v>5221</v>
      </c>
      <c r="N1647" s="2" t="s">
        <v>2317</v>
      </c>
      <c r="O1647" s="14">
        <v>3000</v>
      </c>
      <c r="P1647" s="14">
        <v>95.53</v>
      </c>
      <c r="Q1647" s="14">
        <v>134.1</v>
      </c>
      <c r="R1647" s="14">
        <v>77.78</v>
      </c>
      <c r="S1647" s="2" t="s">
        <v>1775</v>
      </c>
      <c r="T1647" s="2">
        <v>1</v>
      </c>
      <c r="U1647" s="2">
        <v>63.2</v>
      </c>
      <c r="V1647" s="2">
        <v>58</v>
      </c>
      <c r="W1647" s="2" t="s">
        <v>7862</v>
      </c>
      <c r="X1647" s="2" t="s">
        <v>5405</v>
      </c>
      <c r="Y1647" s="2">
        <v>1740</v>
      </c>
      <c r="Z1647" s="19" t="str">
        <f>HYPERLINK("https://ssdweb.co/ssdweb/hd/Vision360.html?d=926211059&amp;zoomslide=1&amp;z=1926211059&amp;ISCONFIRM=0","VIDEO")</f>
        <v>VIDEO</v>
      </c>
      <c r="AA1647" s="19" t="str">
        <f>HYPERLINK("https://ssdweb.co/ssdweb/CERTH/638493055.pdf","CERTI")</f>
        <v>CERTI</v>
      </c>
    </row>
    <row r="1648" spans="1:27" ht="15" x14ac:dyDescent="0.25">
      <c r="A1648" s="2">
        <v>1643</v>
      </c>
      <c r="B1648" s="39">
        <v>925900268</v>
      </c>
      <c r="C1648" s="28" t="str">
        <f>HYPERLINK("https://pld.live/RapDetail.aspx?STONELIST=925900268","DNA")</f>
        <v>DNA</v>
      </c>
      <c r="D1648" s="18" t="s">
        <v>5466</v>
      </c>
      <c r="E1648" s="18" t="s">
        <v>5128</v>
      </c>
      <c r="F1648" s="2" t="s">
        <v>7987</v>
      </c>
      <c r="G1648" s="2" t="s">
        <v>861</v>
      </c>
      <c r="H1648" s="14">
        <v>0.56999999999999995</v>
      </c>
      <c r="I1648" s="2" t="s">
        <v>267</v>
      </c>
      <c r="J1648" s="2" t="s">
        <v>6555</v>
      </c>
      <c r="K1648" s="2" t="s">
        <v>3390</v>
      </c>
      <c r="L1648" s="2" t="s">
        <v>5221</v>
      </c>
      <c r="M1648" s="2" t="s">
        <v>5221</v>
      </c>
      <c r="N1648" s="2" t="s">
        <v>2317</v>
      </c>
      <c r="O1648" s="14">
        <v>4600</v>
      </c>
      <c r="P1648" s="14">
        <v>96.8</v>
      </c>
      <c r="Q1648" s="14">
        <v>147.19999999999999</v>
      </c>
      <c r="R1648" s="14">
        <v>83.9</v>
      </c>
      <c r="S1648" s="2" t="s">
        <v>7188</v>
      </c>
      <c r="T1648" s="2">
        <v>1.01</v>
      </c>
      <c r="U1648" s="2">
        <v>62.2</v>
      </c>
      <c r="V1648" s="2">
        <v>58</v>
      </c>
      <c r="W1648" s="2" t="s">
        <v>7862</v>
      </c>
      <c r="X1648" s="2" t="s">
        <v>5405</v>
      </c>
      <c r="Y1648" s="2">
        <v>2622</v>
      </c>
      <c r="Z1648" s="19" t="str">
        <f>HYPERLINK("https://ssdweb.co/ssdweb/hd/Vision360.html?d=925900268&amp;zoomslide=1&amp;z=1925900268&amp;ISCONFIRM=0","VIDEO")</f>
        <v>VIDEO</v>
      </c>
      <c r="AA1648" s="19" t="str">
        <f>HYPERLINK("https://ssdweb.co/ssdweb/CERTH/627471464.pdf","CERTI")</f>
        <v>CERTI</v>
      </c>
    </row>
    <row r="1649" spans="1:27" ht="15" x14ac:dyDescent="0.25">
      <c r="A1649" s="2">
        <v>1644</v>
      </c>
      <c r="B1649" s="39">
        <v>925870404</v>
      </c>
      <c r="C1649" s="28" t="str">
        <f>HYPERLINK("https://pld.live/RapDetail.aspx?STONELIST=925870404","DNA")</f>
        <v>DNA</v>
      </c>
      <c r="D1649" s="18" t="s">
        <v>5466</v>
      </c>
      <c r="E1649" s="18" t="s">
        <v>5128</v>
      </c>
      <c r="F1649" s="2" t="s">
        <v>7987</v>
      </c>
      <c r="G1649" s="2" t="s">
        <v>861</v>
      </c>
      <c r="H1649" s="14">
        <v>0.56999999999999995</v>
      </c>
      <c r="I1649" s="2" t="s">
        <v>267</v>
      </c>
      <c r="J1649" s="2" t="s">
        <v>3942</v>
      </c>
      <c r="K1649" s="2" t="s">
        <v>5221</v>
      </c>
      <c r="L1649" s="2" t="s">
        <v>5221</v>
      </c>
      <c r="M1649" s="2" t="s">
        <v>5221</v>
      </c>
      <c r="N1649" s="2" t="s">
        <v>2317</v>
      </c>
      <c r="O1649" s="14">
        <v>3600</v>
      </c>
      <c r="P1649" s="14">
        <v>96.19</v>
      </c>
      <c r="Q1649" s="14">
        <v>137.16</v>
      </c>
      <c r="R1649" s="14">
        <v>78.180000000000007</v>
      </c>
      <c r="S1649" s="2" t="s">
        <v>7444</v>
      </c>
      <c r="T1649" s="2">
        <v>1.01</v>
      </c>
      <c r="U1649" s="2">
        <v>62.5</v>
      </c>
      <c r="V1649" s="2">
        <v>57</v>
      </c>
      <c r="W1649" s="2" t="s">
        <v>7862</v>
      </c>
      <c r="X1649" s="2" t="s">
        <v>5405</v>
      </c>
      <c r="Y1649" s="2">
        <v>2052</v>
      </c>
      <c r="Z1649" s="19" t="str">
        <f>HYPERLINK("https://ssdweb.co/ssdweb/hd/Vision360.html?d=925870404&amp;zoomslide=1&amp;z=1925870404&amp;ISCONFIRM=0","VIDEO")</f>
        <v>VIDEO</v>
      </c>
      <c r="AA1649" s="19" t="str">
        <f>HYPERLINK("https://ssdweb.co/ssdweb/CERTH/626427343.pdf","CERTI")</f>
        <v>CERTI</v>
      </c>
    </row>
    <row r="1650" spans="1:27" ht="15" x14ac:dyDescent="0.25">
      <c r="A1650" s="2">
        <v>1645</v>
      </c>
      <c r="B1650" s="39">
        <v>926120597</v>
      </c>
      <c r="C1650" s="28" t="str">
        <f>HYPERLINK("https://pld.live/RapDetail.aspx?STONELIST=926120597","DNA")</f>
        <v>DNA</v>
      </c>
      <c r="D1650" s="18" t="s">
        <v>5466</v>
      </c>
      <c r="E1650" s="18" t="s">
        <v>5128</v>
      </c>
      <c r="F1650" s="2" t="s">
        <v>7987</v>
      </c>
      <c r="G1650" s="2" t="s">
        <v>861</v>
      </c>
      <c r="H1650" s="14">
        <v>0.56999999999999995</v>
      </c>
      <c r="I1650" s="2" t="s">
        <v>267</v>
      </c>
      <c r="J1650" s="2" t="s">
        <v>3942</v>
      </c>
      <c r="K1650" s="2" t="s">
        <v>5221</v>
      </c>
      <c r="L1650" s="2" t="s">
        <v>5221</v>
      </c>
      <c r="M1650" s="2" t="s">
        <v>5221</v>
      </c>
      <c r="N1650" s="2" t="s">
        <v>2317</v>
      </c>
      <c r="O1650" s="14">
        <v>3600</v>
      </c>
      <c r="P1650" s="14">
        <v>96.19</v>
      </c>
      <c r="Q1650" s="14">
        <v>137.16</v>
      </c>
      <c r="R1650" s="14">
        <v>78.180000000000007</v>
      </c>
      <c r="S1650" s="2" t="s">
        <v>7334</v>
      </c>
      <c r="T1650" s="2">
        <v>1.01</v>
      </c>
      <c r="U1650" s="2">
        <v>62.7</v>
      </c>
      <c r="V1650" s="2">
        <v>56</v>
      </c>
      <c r="W1650" s="2" t="s">
        <v>7862</v>
      </c>
      <c r="X1650" s="2" t="s">
        <v>5405</v>
      </c>
      <c r="Y1650" s="2">
        <v>2052</v>
      </c>
      <c r="Z1650" s="19" t="str">
        <f>HYPERLINK("https://ssdweb.co/ssdweb/hd/Vision360.html?d=926120597&amp;zoomslide=1&amp;z=1926120597&amp;ISCONFIRM=0","VIDEO")</f>
        <v>VIDEO</v>
      </c>
      <c r="AA1650" s="19" t="str">
        <f>HYPERLINK("https://ssdweb.co/ssdweb/CERTH/633473864.pdf","CERTI")</f>
        <v>CERTI</v>
      </c>
    </row>
    <row r="1651" spans="1:27" ht="15" x14ac:dyDescent="0.25">
      <c r="A1651" s="2">
        <v>1646</v>
      </c>
      <c r="B1651" s="39">
        <v>926280651</v>
      </c>
      <c r="C1651" s="28" t="str">
        <f>HYPERLINK("https://pld.live/RapDetail.aspx?STONELIST=926280651","DNA")</f>
        <v>DNA</v>
      </c>
      <c r="D1651" s="18" t="s">
        <v>5466</v>
      </c>
      <c r="E1651" s="18" t="s">
        <v>5128</v>
      </c>
      <c r="F1651" s="2" t="s">
        <v>7987</v>
      </c>
      <c r="G1651" s="2" t="s">
        <v>861</v>
      </c>
      <c r="H1651" s="14">
        <v>0.56999999999999995</v>
      </c>
      <c r="I1651" s="2" t="s">
        <v>4761</v>
      </c>
      <c r="J1651" s="2" t="s">
        <v>3942</v>
      </c>
      <c r="K1651" s="2" t="s">
        <v>3390</v>
      </c>
      <c r="L1651" s="2" t="s">
        <v>5221</v>
      </c>
      <c r="M1651" s="2" t="s">
        <v>5221</v>
      </c>
      <c r="N1651" s="2" t="s">
        <v>2317</v>
      </c>
      <c r="O1651" s="14">
        <v>3300</v>
      </c>
      <c r="P1651" s="14">
        <v>95.85</v>
      </c>
      <c r="Q1651" s="14">
        <v>136.94999999999999</v>
      </c>
      <c r="R1651" s="14">
        <v>78.06</v>
      </c>
      <c r="S1651" s="2" t="s">
        <v>5785</v>
      </c>
      <c r="T1651" s="2">
        <v>1.01</v>
      </c>
      <c r="U1651" s="2">
        <v>62.5</v>
      </c>
      <c r="V1651" s="2">
        <v>57</v>
      </c>
      <c r="W1651" s="2" t="s">
        <v>7862</v>
      </c>
      <c r="X1651" s="2" t="s">
        <v>5405</v>
      </c>
      <c r="Y1651" s="2">
        <v>1881</v>
      </c>
      <c r="Z1651" s="19" t="str">
        <f>HYPERLINK("https://ssdweb.co/ssdweb/hd/Vision360.html?d=926280651&amp;zoomslide=1&amp;z=1926280651&amp;ISCONFIRM=0","VIDEO")</f>
        <v>VIDEO</v>
      </c>
      <c r="AA1651" s="19" t="str">
        <f>HYPERLINK("https://ssdweb.co/ssdweb/CERTH/640485469.pdf","CERTI")</f>
        <v>CERTI</v>
      </c>
    </row>
    <row r="1652" spans="1:27" ht="15" x14ac:dyDescent="0.25">
      <c r="A1652" s="2">
        <v>1647</v>
      </c>
      <c r="B1652" s="39">
        <v>926220860</v>
      </c>
      <c r="C1652" s="28" t="str">
        <f>HYPERLINK("https://pld.live/RapDetail.aspx?STONELIST=926220860","DNA")</f>
        <v>DNA</v>
      </c>
      <c r="D1652" s="18" t="s">
        <v>5466</v>
      </c>
      <c r="E1652" s="18" t="s">
        <v>5128</v>
      </c>
      <c r="F1652" s="2" t="s">
        <v>7987</v>
      </c>
      <c r="G1652" s="2" t="s">
        <v>861</v>
      </c>
      <c r="H1652" s="14">
        <v>0.56999999999999995</v>
      </c>
      <c r="I1652" s="2" t="s">
        <v>4761</v>
      </c>
      <c r="J1652" s="2" t="s">
        <v>3942</v>
      </c>
      <c r="K1652" s="2" t="s">
        <v>3390</v>
      </c>
      <c r="L1652" s="2" t="s">
        <v>5221</v>
      </c>
      <c r="M1652" s="2" t="s">
        <v>5721</v>
      </c>
      <c r="N1652" s="2" t="s">
        <v>2317</v>
      </c>
      <c r="O1652" s="14">
        <v>3300</v>
      </c>
      <c r="P1652" s="14">
        <v>95.91</v>
      </c>
      <c r="Q1652" s="14">
        <v>134.97</v>
      </c>
      <c r="R1652" s="14">
        <v>76.930000000000007</v>
      </c>
      <c r="S1652" s="2" t="s">
        <v>6851</v>
      </c>
      <c r="T1652" s="2">
        <v>1.01</v>
      </c>
      <c r="U1652" s="2">
        <v>62.4</v>
      </c>
      <c r="V1652" s="2">
        <v>58</v>
      </c>
      <c r="W1652" s="2" t="s">
        <v>7862</v>
      </c>
      <c r="X1652" s="2" t="s">
        <v>5405</v>
      </c>
      <c r="Y1652" s="2">
        <v>1881</v>
      </c>
      <c r="Z1652" s="19" t="str">
        <f>HYPERLINK("https://ssdweb.co/ssdweb/hd/Vision360.html?d=926220860&amp;zoomslide=1&amp;z=1926220860&amp;ISCONFIRM=0","VIDEO")</f>
        <v>VIDEO</v>
      </c>
      <c r="AA1652" s="19" t="str">
        <f>HYPERLINK("https://ssdweb.co/ssdweb/CERTH/636430067.pdf","CERTI")</f>
        <v>CERTI</v>
      </c>
    </row>
    <row r="1653" spans="1:27" ht="15" x14ac:dyDescent="0.25">
      <c r="A1653" s="2">
        <v>1648</v>
      </c>
      <c r="B1653" s="39">
        <v>926380091</v>
      </c>
      <c r="C1653" s="28" t="str">
        <f>HYPERLINK("https://pld.live/RapDetail.aspx?STONELIST=926380091","DNA")</f>
        <v>DNA</v>
      </c>
      <c r="D1653" s="18" t="s">
        <v>5466</v>
      </c>
      <c r="E1653" s="18" t="s">
        <v>2186</v>
      </c>
      <c r="F1653" s="2" t="s">
        <v>7987</v>
      </c>
      <c r="G1653" s="2" t="s">
        <v>861</v>
      </c>
      <c r="H1653" s="14">
        <v>0.56999999999999995</v>
      </c>
      <c r="I1653" s="2" t="s">
        <v>4699</v>
      </c>
      <c r="J1653" s="2" t="s">
        <v>5144</v>
      </c>
      <c r="K1653" s="2" t="s">
        <v>5221</v>
      </c>
      <c r="L1653" s="2" t="s">
        <v>5221</v>
      </c>
      <c r="M1653" s="2" t="s">
        <v>5221</v>
      </c>
      <c r="N1653" s="2" t="s">
        <v>2317</v>
      </c>
      <c r="O1653" s="14">
        <v>2400</v>
      </c>
      <c r="P1653" s="14">
        <v>94.83</v>
      </c>
      <c r="Q1653" s="14">
        <v>124.08</v>
      </c>
      <c r="R1653" s="14">
        <v>70.73</v>
      </c>
      <c r="S1653" s="2" t="s">
        <v>7750</v>
      </c>
      <c r="T1653" s="2">
        <v>1</v>
      </c>
      <c r="U1653" s="2">
        <v>61.8</v>
      </c>
      <c r="V1653" s="2">
        <v>60</v>
      </c>
      <c r="W1653" s="2" t="s">
        <v>7862</v>
      </c>
      <c r="X1653" s="2" t="s">
        <v>5405</v>
      </c>
      <c r="Y1653" s="2">
        <v>1368</v>
      </c>
      <c r="Z1653" s="19" t="str">
        <f>HYPERLINK("https://ssdweb.co/ssdweb/hd/Vision360.html?d=926380091&amp;zoomslide=1&amp;z=1926380091&amp;ISCONFIRM=0","VIDEO")</f>
        <v>VIDEO</v>
      </c>
      <c r="AA1653" s="19" t="str">
        <f>HYPERLINK("https://ssdweb.co/ssdweb/CERTH/644472380.pdf","CERTI")</f>
        <v>CERTI</v>
      </c>
    </row>
    <row r="1654" spans="1:27" ht="15" x14ac:dyDescent="0.25">
      <c r="A1654" s="2">
        <v>1649</v>
      </c>
      <c r="B1654" s="39">
        <v>925870302</v>
      </c>
      <c r="C1654" s="28" t="str">
        <f>HYPERLINK("https://pld.live/RapDetail.aspx?STONELIST=925870302","DNA")</f>
        <v>DNA</v>
      </c>
      <c r="D1654" s="18" t="s">
        <v>5466</v>
      </c>
      <c r="E1654" s="18" t="s">
        <v>5128</v>
      </c>
      <c r="F1654" s="2" t="s">
        <v>7987</v>
      </c>
      <c r="G1654" s="2" t="s">
        <v>861</v>
      </c>
      <c r="H1654" s="14">
        <v>0.56000000000000005</v>
      </c>
      <c r="I1654" s="2" t="s">
        <v>267</v>
      </c>
      <c r="J1654" s="2" t="s">
        <v>6555</v>
      </c>
      <c r="K1654" s="2" t="s">
        <v>5221</v>
      </c>
      <c r="L1654" s="2" t="s">
        <v>5221</v>
      </c>
      <c r="M1654" s="2" t="s">
        <v>5221</v>
      </c>
      <c r="N1654" s="2" t="s">
        <v>2317</v>
      </c>
      <c r="O1654" s="14">
        <v>4600</v>
      </c>
      <c r="P1654" s="14">
        <v>96.8</v>
      </c>
      <c r="Q1654" s="14">
        <v>147.19999999999999</v>
      </c>
      <c r="R1654" s="14">
        <v>82.43</v>
      </c>
      <c r="S1654" s="2" t="s">
        <v>6367</v>
      </c>
      <c r="T1654" s="2">
        <v>1.01</v>
      </c>
      <c r="U1654" s="2">
        <v>62.9</v>
      </c>
      <c r="V1654" s="2">
        <v>56</v>
      </c>
      <c r="W1654" s="2" t="s">
        <v>7862</v>
      </c>
      <c r="X1654" s="2" t="s">
        <v>5405</v>
      </c>
      <c r="Y1654" s="2">
        <v>2576</v>
      </c>
      <c r="Z1654" s="19" t="str">
        <f>HYPERLINK("https://ssdweb.co/ssdweb/hd/Vision360.html?d=925870302&amp;zoomslide=1&amp;z=1925870302&amp;ISCONFIRM=0","VIDEO")</f>
        <v>VIDEO</v>
      </c>
      <c r="AA1654" s="19" t="str">
        <f>HYPERLINK("https://ssdweb.co/ssdweb/CERTH/626414991.pdf","CERTI")</f>
        <v>CERTI</v>
      </c>
    </row>
    <row r="1655" spans="1:27" ht="15" x14ac:dyDescent="0.25">
      <c r="A1655" s="2">
        <v>1650</v>
      </c>
      <c r="B1655" s="39">
        <v>926550681</v>
      </c>
      <c r="C1655" s="28" t="str">
        <f>HYPERLINK("https://pld.live/RapDetail.aspx?STONELIST=926550681","DNA")</f>
        <v>DNA</v>
      </c>
      <c r="D1655" s="18" t="s">
        <v>5466</v>
      </c>
      <c r="E1655" s="18" t="s">
        <v>5128</v>
      </c>
      <c r="F1655" s="2" t="s">
        <v>7987</v>
      </c>
      <c r="G1655" s="2" t="s">
        <v>861</v>
      </c>
      <c r="H1655" s="14">
        <v>0.56000000000000005</v>
      </c>
      <c r="I1655" s="2" t="s">
        <v>267</v>
      </c>
      <c r="J1655" s="2" t="s">
        <v>3942</v>
      </c>
      <c r="K1655" s="2" t="s">
        <v>5221</v>
      </c>
      <c r="L1655" s="2" t="s">
        <v>5221</v>
      </c>
      <c r="M1655" s="2" t="s">
        <v>5221</v>
      </c>
      <c r="N1655" s="2" t="s">
        <v>2317</v>
      </c>
      <c r="O1655" s="14">
        <v>3600</v>
      </c>
      <c r="P1655" s="14">
        <v>96.14</v>
      </c>
      <c r="Q1655" s="14">
        <v>138.96</v>
      </c>
      <c r="R1655" s="14">
        <v>77.819999999999993</v>
      </c>
      <c r="S1655" s="2" t="s">
        <v>5362</v>
      </c>
      <c r="T1655" s="2">
        <v>1.01</v>
      </c>
      <c r="U1655" s="2">
        <v>59.6</v>
      </c>
      <c r="V1655" s="2">
        <v>59</v>
      </c>
      <c r="W1655" s="2" t="s">
        <v>7862</v>
      </c>
      <c r="X1655" s="2" t="s">
        <v>5405</v>
      </c>
      <c r="Y1655" s="2">
        <v>2016</v>
      </c>
      <c r="Z1655" s="19" t="str">
        <f>HYPERLINK("https://ssdweb.co/ssdweb/hd/Vision360.html?d=926550681&amp;zoomslide=1&amp;z=1926550681&amp;ISCONFIRM=0","VIDEO")</f>
        <v>VIDEO</v>
      </c>
      <c r="AA1655" s="19" t="str">
        <f>HYPERLINK("https://ssdweb.co/ssdweb/CERTH/646472934.pdf","CERTI")</f>
        <v>CERTI</v>
      </c>
    </row>
    <row r="1656" spans="1:27" ht="15" x14ac:dyDescent="0.25">
      <c r="A1656" s="2">
        <v>1651</v>
      </c>
      <c r="B1656" s="39">
        <v>925040215</v>
      </c>
      <c r="C1656" s="28" t="str">
        <f>HYPERLINK("https://pld.live/RapDetail.aspx?STONELIST=925040215","DNA")</f>
        <v>DNA</v>
      </c>
      <c r="D1656" s="18" t="s">
        <v>5466</v>
      </c>
      <c r="E1656" s="18" t="s">
        <v>5128</v>
      </c>
      <c r="F1656" s="2" t="s">
        <v>5597</v>
      </c>
      <c r="G1656" s="2" t="s">
        <v>861</v>
      </c>
      <c r="H1656" s="14">
        <v>0.56000000000000005</v>
      </c>
      <c r="I1656" s="2" t="s">
        <v>267</v>
      </c>
      <c r="J1656" s="2" t="s">
        <v>13</v>
      </c>
      <c r="K1656" s="2" t="s">
        <v>5721</v>
      </c>
      <c r="L1656" s="2" t="s">
        <v>5221</v>
      </c>
      <c r="M1656" s="2" t="s">
        <v>5221</v>
      </c>
      <c r="N1656" s="2" t="s">
        <v>2317</v>
      </c>
      <c r="O1656" s="14">
        <v>3000</v>
      </c>
      <c r="P1656" s="14">
        <v>90.83</v>
      </c>
      <c r="Q1656" s="14">
        <v>275.10000000000002</v>
      </c>
      <c r="R1656" s="14">
        <v>154.06</v>
      </c>
      <c r="S1656" s="2" t="s">
        <v>5069</v>
      </c>
      <c r="T1656" s="2">
        <v>1.01</v>
      </c>
      <c r="U1656" s="2">
        <v>62.8</v>
      </c>
      <c r="V1656" s="2">
        <v>57</v>
      </c>
      <c r="W1656" s="2" t="s">
        <v>7862</v>
      </c>
      <c r="X1656" s="2" t="s">
        <v>5405</v>
      </c>
      <c r="Y1656" s="2">
        <v>1680</v>
      </c>
      <c r="Z1656" s="19" t="str">
        <f>HYPERLINK("https://ssdweb.co/ssdweb/hd/Vision360.html?d=925040215&amp;zoomslide=1&amp;z=1925040215&amp;ISCONFIRM=0","VIDEO")</f>
        <v>VIDEO</v>
      </c>
      <c r="AA1656" s="19" t="str">
        <f>HYPERLINK("https://ssdweb.co/ssdweb/CERTH/2476922790.pdf","CERTI")</f>
        <v>CERTI</v>
      </c>
    </row>
    <row r="1657" spans="1:27" ht="15" x14ac:dyDescent="0.25">
      <c r="A1657" s="2">
        <v>1652</v>
      </c>
      <c r="B1657" s="39">
        <v>926460819</v>
      </c>
      <c r="C1657" s="28" t="str">
        <f>HYPERLINK("https://pld.live/RapDetail.aspx?STONELIST=926460819","DNA")</f>
        <v>DNA</v>
      </c>
      <c r="D1657" s="18" t="s">
        <v>5466</v>
      </c>
      <c r="E1657" s="18" t="s">
        <v>5128</v>
      </c>
      <c r="F1657" s="2" t="s">
        <v>7987</v>
      </c>
      <c r="G1657" s="2" t="s">
        <v>861</v>
      </c>
      <c r="H1657" s="14">
        <v>0.56000000000000005</v>
      </c>
      <c r="I1657" s="2" t="s">
        <v>267</v>
      </c>
      <c r="J1657" s="2" t="s">
        <v>5144</v>
      </c>
      <c r="K1657" s="2" t="s">
        <v>3390</v>
      </c>
      <c r="L1657" s="2" t="s">
        <v>5221</v>
      </c>
      <c r="M1657" s="2" t="s">
        <v>5221</v>
      </c>
      <c r="N1657" s="2" t="s">
        <v>2317</v>
      </c>
      <c r="O1657" s="14">
        <v>2700</v>
      </c>
      <c r="P1657" s="14">
        <v>95.22</v>
      </c>
      <c r="Q1657" s="14">
        <v>129.06</v>
      </c>
      <c r="R1657" s="14">
        <v>72.27</v>
      </c>
      <c r="S1657" s="2" t="s">
        <v>500</v>
      </c>
      <c r="T1657" s="2">
        <v>1.01</v>
      </c>
      <c r="U1657" s="2">
        <v>61.6</v>
      </c>
      <c r="V1657" s="2">
        <v>60</v>
      </c>
      <c r="W1657" s="2" t="s">
        <v>7862</v>
      </c>
      <c r="X1657" s="2" t="s">
        <v>5405</v>
      </c>
      <c r="Y1657" s="2">
        <v>1512</v>
      </c>
      <c r="Z1657" s="19" t="str">
        <f>HYPERLINK("https://ssdweb.co/ssdweb/hd/Vision360.html?d=926460819&amp;zoomslide=1&amp;z=1926460819&amp;ISCONFIRM=0","VIDEO")</f>
        <v>VIDEO</v>
      </c>
      <c r="AA1657" s="19" t="str">
        <f>HYPERLINK("https://ssdweb.co/ssdweb/CERTH/644472302.pdf","CERTI")</f>
        <v>CERTI</v>
      </c>
    </row>
    <row r="1658" spans="1:27" ht="15" x14ac:dyDescent="0.25">
      <c r="A1658" s="2">
        <v>1653</v>
      </c>
      <c r="B1658" s="39">
        <v>925791079</v>
      </c>
      <c r="C1658" s="28" t="str">
        <f>HYPERLINK("https://pld.live/RapDetail.aspx?STONELIST=925791079","DNA")</f>
        <v>DNA</v>
      </c>
      <c r="D1658" s="18" t="s">
        <v>5466</v>
      </c>
      <c r="E1658" s="18" t="s">
        <v>5128</v>
      </c>
      <c r="F1658" s="2" t="s">
        <v>5597</v>
      </c>
      <c r="G1658" s="2" t="s">
        <v>861</v>
      </c>
      <c r="H1658" s="14">
        <v>0.56000000000000005</v>
      </c>
      <c r="I1658" s="2" t="s">
        <v>267</v>
      </c>
      <c r="J1658" s="2" t="s">
        <v>444</v>
      </c>
      <c r="K1658" s="2" t="s">
        <v>5221</v>
      </c>
      <c r="L1658" s="2" t="s">
        <v>5721</v>
      </c>
      <c r="M1658" s="2" t="s">
        <v>5221</v>
      </c>
      <c r="N1658" s="2" t="s">
        <v>2317</v>
      </c>
      <c r="O1658" s="14">
        <v>2400</v>
      </c>
      <c r="P1658" s="14">
        <v>89.79</v>
      </c>
      <c r="Q1658" s="14">
        <v>245.04</v>
      </c>
      <c r="R1658" s="14">
        <v>137.22</v>
      </c>
      <c r="S1658" s="2" t="s">
        <v>4566</v>
      </c>
      <c r="T1658" s="2">
        <v>1.01</v>
      </c>
      <c r="U1658" s="2">
        <v>62.4</v>
      </c>
      <c r="V1658" s="2">
        <v>57</v>
      </c>
      <c r="W1658" s="2" t="s">
        <v>7862</v>
      </c>
      <c r="X1658" s="2" t="s">
        <v>5405</v>
      </c>
      <c r="Y1658" s="2">
        <v>1344</v>
      </c>
      <c r="Z1658" s="19" t="str">
        <f>HYPERLINK("https://ssdweb.co/ssdweb/hd/Vision360.html?d=925791079&amp;zoomslide=1&amp;z=1925791079&amp;ISCONFIRM=0","VIDEO")</f>
        <v>VIDEO</v>
      </c>
      <c r="AA1658" s="19" t="str">
        <f>HYPERLINK("https://ssdweb.co/ssdweb/CERTH/1489822457.pdf","CERTI")</f>
        <v>CERTI</v>
      </c>
    </row>
    <row r="1659" spans="1:27" ht="15" x14ac:dyDescent="0.25">
      <c r="A1659" s="2">
        <v>1654</v>
      </c>
      <c r="B1659" s="39">
        <v>925790897</v>
      </c>
      <c r="C1659" s="28" t="str">
        <f>HYPERLINK("https://pld.live/RapDetail.aspx?STONELIST=925790897","DNA")</f>
        <v>DNA</v>
      </c>
      <c r="D1659" s="18" t="s">
        <v>5466</v>
      </c>
      <c r="E1659" s="18" t="s">
        <v>5128</v>
      </c>
      <c r="F1659" s="2" t="s">
        <v>5597</v>
      </c>
      <c r="G1659" s="2" t="s">
        <v>861</v>
      </c>
      <c r="H1659" s="14">
        <v>0.56000000000000005</v>
      </c>
      <c r="I1659" s="2" t="s">
        <v>4761</v>
      </c>
      <c r="J1659" s="2" t="s">
        <v>6555</v>
      </c>
      <c r="K1659" s="2" t="s">
        <v>5221</v>
      </c>
      <c r="L1659" s="2" t="s">
        <v>5221</v>
      </c>
      <c r="M1659" s="2" t="s">
        <v>5221</v>
      </c>
      <c r="N1659" s="2" t="s">
        <v>2317</v>
      </c>
      <c r="O1659" s="14">
        <v>4000</v>
      </c>
      <c r="P1659" s="14">
        <v>90.53</v>
      </c>
      <c r="Q1659" s="14">
        <v>378.8</v>
      </c>
      <c r="R1659" s="14">
        <v>212.13</v>
      </c>
      <c r="S1659" s="2" t="s">
        <v>7606</v>
      </c>
      <c r="T1659" s="2">
        <v>1.01</v>
      </c>
      <c r="U1659" s="2">
        <v>62.6</v>
      </c>
      <c r="V1659" s="2">
        <v>58</v>
      </c>
      <c r="W1659" s="2" t="s">
        <v>7862</v>
      </c>
      <c r="X1659" s="2" t="s">
        <v>5405</v>
      </c>
      <c r="Y1659" s="2">
        <v>2240</v>
      </c>
      <c r="Z1659" s="19" t="str">
        <f>HYPERLINK("https://ssdweb.co/ssdweb/hd/Vision360.html?d=925790897&amp;zoomslide=1&amp;z=1925790897&amp;ISCONFIRM=0","VIDEO")</f>
        <v>VIDEO</v>
      </c>
      <c r="AA1659" s="19" t="str">
        <f>HYPERLINK("https://ssdweb.co/ssdweb/CERTH/6481808371.pdf","CERTI")</f>
        <v>CERTI</v>
      </c>
    </row>
    <row r="1660" spans="1:27" ht="15" x14ac:dyDescent="0.25">
      <c r="A1660" s="2">
        <v>1655</v>
      </c>
      <c r="B1660" s="39">
        <v>926120750</v>
      </c>
      <c r="C1660" s="28" t="str">
        <f>HYPERLINK("https://pld.live/RapDetail.aspx?STONELIST=926120750","DNA")</f>
        <v>DNA</v>
      </c>
      <c r="D1660" s="18" t="s">
        <v>5466</v>
      </c>
      <c r="E1660" s="18" t="s">
        <v>5128</v>
      </c>
      <c r="F1660" s="2" t="s">
        <v>7987</v>
      </c>
      <c r="G1660" s="2" t="s">
        <v>861</v>
      </c>
      <c r="H1660" s="14">
        <v>0.56000000000000005</v>
      </c>
      <c r="I1660" s="2" t="s">
        <v>4761</v>
      </c>
      <c r="J1660" s="2" t="s">
        <v>3942</v>
      </c>
      <c r="K1660" s="2" t="s">
        <v>5221</v>
      </c>
      <c r="L1660" s="2" t="s">
        <v>5221</v>
      </c>
      <c r="M1660" s="2" t="s">
        <v>5221</v>
      </c>
      <c r="N1660" s="2" t="s">
        <v>2317</v>
      </c>
      <c r="O1660" s="14">
        <v>3300</v>
      </c>
      <c r="P1660" s="14">
        <v>95.91</v>
      </c>
      <c r="Q1660" s="14">
        <v>134.97</v>
      </c>
      <c r="R1660" s="14">
        <v>75.58</v>
      </c>
      <c r="S1660" s="2" t="s">
        <v>7606</v>
      </c>
      <c r="T1660" s="2">
        <v>1.01</v>
      </c>
      <c r="U1660" s="2">
        <v>62.6</v>
      </c>
      <c r="V1660" s="2">
        <v>57</v>
      </c>
      <c r="W1660" s="2" t="s">
        <v>7862</v>
      </c>
      <c r="X1660" s="2" t="s">
        <v>5405</v>
      </c>
      <c r="Y1660" s="2">
        <v>1848</v>
      </c>
      <c r="Z1660" s="19" t="str">
        <f>HYPERLINK("https://ssdweb.co/ssdweb/hd/Vision360.html?d=926120750&amp;zoomslide=1&amp;z=1926120750&amp;ISCONFIRM=0","VIDEO")</f>
        <v>VIDEO</v>
      </c>
      <c r="AA1660" s="19" t="str">
        <f>HYPERLINK("https://ssdweb.co/ssdweb/CERTH/633490459.pdf","CERTI")</f>
        <v>CERTI</v>
      </c>
    </row>
    <row r="1661" spans="1:27" ht="15" x14ac:dyDescent="0.25">
      <c r="A1661" s="2">
        <v>1656</v>
      </c>
      <c r="B1661" s="39">
        <v>926460829</v>
      </c>
      <c r="C1661" s="28" t="str">
        <f>HYPERLINK("https://pld.live/RapDetail.aspx?STONELIST=926460829","DNA")</f>
        <v>DNA</v>
      </c>
      <c r="D1661" s="18" t="s">
        <v>5466</v>
      </c>
      <c r="E1661" s="18" t="s">
        <v>5128</v>
      </c>
      <c r="F1661" s="2" t="s">
        <v>5597</v>
      </c>
      <c r="G1661" s="2" t="s">
        <v>861</v>
      </c>
      <c r="H1661" s="14">
        <v>0.56000000000000005</v>
      </c>
      <c r="I1661" s="2" t="s">
        <v>4761</v>
      </c>
      <c r="J1661" s="2" t="s">
        <v>5144</v>
      </c>
      <c r="K1661" s="2" t="s">
        <v>5221</v>
      </c>
      <c r="L1661" s="2" t="s">
        <v>5221</v>
      </c>
      <c r="M1661" s="2" t="s">
        <v>5221</v>
      </c>
      <c r="N1661" s="2" t="s">
        <v>2317</v>
      </c>
      <c r="O1661" s="14">
        <v>2500</v>
      </c>
      <c r="P1661" s="14">
        <v>89.36</v>
      </c>
      <c r="Q1661" s="14">
        <v>266</v>
      </c>
      <c r="R1661" s="14">
        <v>148.96</v>
      </c>
      <c r="S1661" s="2" t="s">
        <v>3949</v>
      </c>
      <c r="T1661" s="2">
        <v>1.01</v>
      </c>
      <c r="U1661" s="2">
        <v>59.9</v>
      </c>
      <c r="V1661" s="2">
        <v>59</v>
      </c>
      <c r="W1661" s="2" t="s">
        <v>7862</v>
      </c>
      <c r="X1661" s="2" t="s">
        <v>5405</v>
      </c>
      <c r="Y1661" s="2">
        <v>1400</v>
      </c>
      <c r="Z1661" s="19" t="str">
        <f>HYPERLINK("https://ssdweb.co/ssdweb/hd/Vision360.html?d=926460829&amp;zoomslide=1&amp;z=1926460829&amp;ISCONFIRM=0","VIDEO")</f>
        <v>VIDEO</v>
      </c>
      <c r="AA1661" s="19" t="str">
        <f>HYPERLINK("https://ssdweb.co/ssdweb/CERTH/1497979234.pdf","CERTI")</f>
        <v>CERTI</v>
      </c>
    </row>
    <row r="1662" spans="1:27" ht="15" x14ac:dyDescent="0.25">
      <c r="A1662" s="2">
        <v>1657</v>
      </c>
      <c r="B1662" s="39">
        <v>925420025</v>
      </c>
      <c r="C1662" s="28" t="str">
        <f>HYPERLINK("https://pld.live/RapDetail.aspx?STONELIST=925420025","DNA")</f>
        <v>DNA</v>
      </c>
      <c r="D1662" s="18" t="s">
        <v>5466</v>
      </c>
      <c r="E1662" s="18" t="s">
        <v>5128</v>
      </c>
      <c r="F1662" s="2" t="s">
        <v>5597</v>
      </c>
      <c r="G1662" s="2" t="s">
        <v>861</v>
      </c>
      <c r="H1662" s="14">
        <v>0.56000000000000005</v>
      </c>
      <c r="I1662" s="2" t="s">
        <v>4761</v>
      </c>
      <c r="J1662" s="2" t="s">
        <v>5144</v>
      </c>
      <c r="K1662" s="2" t="s">
        <v>5221</v>
      </c>
      <c r="L1662" s="2" t="s">
        <v>5221</v>
      </c>
      <c r="M1662" s="2" t="s">
        <v>5221</v>
      </c>
      <c r="N1662" s="2" t="s">
        <v>2317</v>
      </c>
      <c r="O1662" s="14">
        <v>2500</v>
      </c>
      <c r="P1662" s="14">
        <v>89.52</v>
      </c>
      <c r="Q1662" s="14">
        <v>262</v>
      </c>
      <c r="R1662" s="14">
        <v>146.72</v>
      </c>
      <c r="S1662" s="2" t="s">
        <v>7979</v>
      </c>
      <c r="T1662" s="2">
        <v>1</v>
      </c>
      <c r="U1662" s="2">
        <v>59.5</v>
      </c>
      <c r="V1662" s="2">
        <v>59</v>
      </c>
      <c r="W1662" s="2" t="s">
        <v>7862</v>
      </c>
      <c r="X1662" s="2" t="s">
        <v>5405</v>
      </c>
      <c r="Y1662" s="2">
        <v>1400</v>
      </c>
      <c r="Z1662" s="19" t="str">
        <f>HYPERLINK("https://ssdweb.co/ssdweb/hd/Vision360.html?d=925420025&amp;zoomslide=1&amp;z=1925420025&amp;ISCONFIRM=0","VIDEO")</f>
        <v>VIDEO</v>
      </c>
      <c r="AA1662" s="19" t="str">
        <f>HYPERLINK("https://ssdweb.co/ssdweb/CERTH/2484278471.pdf","CERTI")</f>
        <v>CERTI</v>
      </c>
    </row>
    <row r="1663" spans="1:27" ht="15" x14ac:dyDescent="0.25">
      <c r="A1663" s="2">
        <v>1658</v>
      </c>
      <c r="B1663" s="39">
        <v>926220785</v>
      </c>
      <c r="C1663" s="28" t="str">
        <f>HYPERLINK("https://pld.live/RapDetail.aspx?STONELIST=926220785","DNA")</f>
        <v>DNA</v>
      </c>
      <c r="D1663" s="18" t="s">
        <v>5466</v>
      </c>
      <c r="E1663" s="18" t="s">
        <v>5128</v>
      </c>
      <c r="F1663" s="2" t="s">
        <v>7987</v>
      </c>
      <c r="G1663" s="2" t="s">
        <v>861</v>
      </c>
      <c r="H1663" s="14">
        <v>0.55000000000000004</v>
      </c>
      <c r="I1663" s="2" t="s">
        <v>267</v>
      </c>
      <c r="J1663" s="2" t="s">
        <v>3942</v>
      </c>
      <c r="K1663" s="2" t="s">
        <v>3390</v>
      </c>
      <c r="L1663" s="2" t="s">
        <v>5721</v>
      </c>
      <c r="M1663" s="2" t="s">
        <v>5721</v>
      </c>
      <c r="N1663" s="2" t="s">
        <v>2317</v>
      </c>
      <c r="O1663" s="14">
        <v>3600</v>
      </c>
      <c r="P1663" s="14">
        <v>96.31</v>
      </c>
      <c r="Q1663" s="14">
        <v>132.84</v>
      </c>
      <c r="R1663" s="14">
        <v>73.06</v>
      </c>
      <c r="S1663" s="2" t="s">
        <v>5612</v>
      </c>
      <c r="T1663" s="2">
        <v>1</v>
      </c>
      <c r="U1663" s="2">
        <v>62.2</v>
      </c>
      <c r="V1663" s="2">
        <v>57</v>
      </c>
      <c r="W1663" s="2" t="s">
        <v>7862</v>
      </c>
      <c r="X1663" s="2" t="s">
        <v>5405</v>
      </c>
      <c r="Y1663" s="2">
        <v>1980</v>
      </c>
      <c r="Z1663" s="19" t="str">
        <f>HYPERLINK("https://ssdweb.co/ssdweb/hd/Vision360.html?d=926220785&amp;zoomslide=1&amp;z=1926220785&amp;ISCONFIRM=0","VIDEO")</f>
        <v>VIDEO</v>
      </c>
      <c r="AA1663" s="19" t="str">
        <f>HYPERLINK("https://ssdweb.co/ssdweb/CERTH/636430066.pdf","CERTI")</f>
        <v>CERTI</v>
      </c>
    </row>
    <row r="1664" spans="1:27" ht="15" x14ac:dyDescent="0.25">
      <c r="A1664" s="2">
        <v>1659</v>
      </c>
      <c r="B1664" s="39">
        <v>925870535</v>
      </c>
      <c r="C1664" s="28" t="str">
        <f>HYPERLINK("https://pld.live/RapDetail.aspx?STONELIST=925870535","DNA")</f>
        <v>DNA</v>
      </c>
      <c r="D1664" s="18" t="s">
        <v>5466</v>
      </c>
      <c r="E1664" s="18" t="s">
        <v>5128</v>
      </c>
      <c r="F1664" s="2" t="s">
        <v>7987</v>
      </c>
      <c r="G1664" s="2" t="s">
        <v>861</v>
      </c>
      <c r="H1664" s="14">
        <v>0.55000000000000004</v>
      </c>
      <c r="I1664" s="2" t="s">
        <v>267</v>
      </c>
      <c r="J1664" s="2" t="s">
        <v>3942</v>
      </c>
      <c r="K1664" s="2" t="s">
        <v>5221</v>
      </c>
      <c r="L1664" s="2" t="s">
        <v>5221</v>
      </c>
      <c r="M1664" s="2" t="s">
        <v>5221</v>
      </c>
      <c r="N1664" s="2" t="s">
        <v>2317</v>
      </c>
      <c r="O1664" s="14">
        <v>3600</v>
      </c>
      <c r="P1664" s="14">
        <v>96.19</v>
      </c>
      <c r="Q1664" s="14">
        <v>137.16</v>
      </c>
      <c r="R1664" s="14">
        <v>75.44</v>
      </c>
      <c r="S1664" s="2" t="s">
        <v>6747</v>
      </c>
      <c r="T1664" s="2">
        <v>1.01</v>
      </c>
      <c r="U1664" s="2">
        <v>62.6</v>
      </c>
      <c r="V1664" s="2">
        <v>55</v>
      </c>
      <c r="W1664" s="2" t="s">
        <v>7862</v>
      </c>
      <c r="X1664" s="2" t="s">
        <v>5405</v>
      </c>
      <c r="Y1664" s="2">
        <v>1980</v>
      </c>
      <c r="Z1664" s="19" t="str">
        <f>HYPERLINK("https://ssdweb.co/ssdweb/hd/Vision360.html?d=925870535&amp;zoomslide=1&amp;z=1925870535&amp;ISCONFIRM=0","VIDEO")</f>
        <v>VIDEO</v>
      </c>
      <c r="AA1664" s="19" t="str">
        <f>HYPERLINK("https://ssdweb.co/ssdweb/CERTH/627473147.pdf","CERTI")</f>
        <v>CERTI</v>
      </c>
    </row>
    <row r="1665" spans="1:27" ht="15" x14ac:dyDescent="0.25">
      <c r="A1665" s="2">
        <v>1660</v>
      </c>
      <c r="B1665" s="39">
        <v>821126668</v>
      </c>
      <c r="C1665" s="28" t="str">
        <f>HYPERLINK("https://pld.live/RapDetail.aspx?STONELIST=821126668","DNA")</f>
        <v>DNA</v>
      </c>
      <c r="D1665" s="18" t="s">
        <v>5466</v>
      </c>
      <c r="E1665" s="18" t="s">
        <v>5128</v>
      </c>
      <c r="F1665" s="2" t="s">
        <v>7987</v>
      </c>
      <c r="G1665" s="2" t="s">
        <v>861</v>
      </c>
      <c r="H1665" s="14">
        <v>0.55000000000000004</v>
      </c>
      <c r="I1665" s="2" t="s">
        <v>267</v>
      </c>
      <c r="J1665" s="2" t="s">
        <v>3942</v>
      </c>
      <c r="K1665" s="2" t="s">
        <v>5221</v>
      </c>
      <c r="L1665" s="2" t="s">
        <v>5221</v>
      </c>
      <c r="M1665" s="2" t="s">
        <v>5221</v>
      </c>
      <c r="N1665" s="2" t="s">
        <v>2317</v>
      </c>
      <c r="O1665" s="14">
        <v>3600</v>
      </c>
      <c r="P1665" s="14">
        <v>96.19</v>
      </c>
      <c r="Q1665" s="14">
        <v>137.16</v>
      </c>
      <c r="R1665" s="14">
        <v>75.44</v>
      </c>
      <c r="S1665" s="2" t="s">
        <v>7342</v>
      </c>
      <c r="T1665" s="2">
        <v>1.01</v>
      </c>
      <c r="U1665" s="2">
        <v>62.8</v>
      </c>
      <c r="V1665" s="2">
        <v>55</v>
      </c>
      <c r="W1665" s="2" t="s">
        <v>7862</v>
      </c>
      <c r="X1665" s="2" t="s">
        <v>5405</v>
      </c>
      <c r="Y1665" s="2">
        <v>1980</v>
      </c>
      <c r="Z1665" s="19" t="str">
        <f>HYPERLINK("https://ssdweb.co/ssdweb/hd/Vision360.html?d=821126668&amp;zoomslide=1&amp;z=1821126668&amp;ISCONFIRM=0","VIDEO")</f>
        <v>VIDEO</v>
      </c>
      <c r="AA1665" s="19" t="str">
        <f>HYPERLINK("https://ssdweb.co/ssdweb/CERTH/623407566.pdf","CERTI")</f>
        <v>CERTI</v>
      </c>
    </row>
    <row r="1666" spans="1:27" ht="15" x14ac:dyDescent="0.25">
      <c r="A1666" s="2">
        <v>1661</v>
      </c>
      <c r="B1666" s="39">
        <v>925791391</v>
      </c>
      <c r="C1666" s="28" t="str">
        <f>HYPERLINK("https://pld.live/RapDetail.aspx?STONELIST=925791391","DNA")</f>
        <v>DNA</v>
      </c>
      <c r="D1666" s="18" t="s">
        <v>5466</v>
      </c>
      <c r="E1666" s="18" t="s">
        <v>5128</v>
      </c>
      <c r="F1666" s="2" t="s">
        <v>5597</v>
      </c>
      <c r="G1666" s="2" t="s">
        <v>861</v>
      </c>
      <c r="H1666" s="14">
        <v>0.55000000000000004</v>
      </c>
      <c r="I1666" s="2" t="s">
        <v>267</v>
      </c>
      <c r="J1666" s="2" t="s">
        <v>3942</v>
      </c>
      <c r="K1666" s="2" t="s">
        <v>5221</v>
      </c>
      <c r="L1666" s="2" t="s">
        <v>5221</v>
      </c>
      <c r="M1666" s="2" t="s">
        <v>5721</v>
      </c>
      <c r="N1666" s="2" t="s">
        <v>2317</v>
      </c>
      <c r="O1666" s="14">
        <v>3600</v>
      </c>
      <c r="P1666" s="14">
        <v>91.75</v>
      </c>
      <c r="Q1666" s="14">
        <v>297</v>
      </c>
      <c r="R1666" s="14">
        <v>163.35</v>
      </c>
      <c r="S1666" s="2" t="s">
        <v>7282</v>
      </c>
      <c r="T1666" s="2">
        <v>1.01</v>
      </c>
      <c r="U1666" s="2">
        <v>59.7</v>
      </c>
      <c r="V1666" s="2">
        <v>59</v>
      </c>
      <c r="W1666" s="2" t="s">
        <v>7862</v>
      </c>
      <c r="X1666" s="2" t="s">
        <v>5405</v>
      </c>
      <c r="Y1666" s="2">
        <v>1980</v>
      </c>
      <c r="Z1666" s="19" t="str">
        <f>HYPERLINK("https://ssdweb.co/ssdweb/hd/Vision360.html?d=925791391&amp;zoomslide=1&amp;z=1925791391&amp;ISCONFIRM=0","VIDEO")</f>
        <v>VIDEO</v>
      </c>
      <c r="AA1666" s="19" t="str">
        <f>HYPERLINK("https://ssdweb.co/ssdweb/CERTH/2487966198.pdf","CERTI")</f>
        <v>CERTI</v>
      </c>
    </row>
    <row r="1667" spans="1:27" ht="15" x14ac:dyDescent="0.25">
      <c r="A1667" s="2">
        <v>1662</v>
      </c>
      <c r="B1667" s="39">
        <v>925870424</v>
      </c>
      <c r="C1667" s="28" t="str">
        <f>HYPERLINK("https://pld.live/RapDetail.aspx?STONELIST=925870424","DNA")</f>
        <v>DNA</v>
      </c>
      <c r="D1667" s="18" t="s">
        <v>5466</v>
      </c>
      <c r="E1667" s="18" t="s">
        <v>5128</v>
      </c>
      <c r="F1667" s="2" t="s">
        <v>7987</v>
      </c>
      <c r="G1667" s="2" t="s">
        <v>861</v>
      </c>
      <c r="H1667" s="14">
        <v>0.55000000000000004</v>
      </c>
      <c r="I1667" s="2" t="s">
        <v>267</v>
      </c>
      <c r="J1667" s="2" t="s">
        <v>13</v>
      </c>
      <c r="K1667" s="2" t="s">
        <v>5221</v>
      </c>
      <c r="L1667" s="2" t="s">
        <v>5221</v>
      </c>
      <c r="M1667" s="2" t="s">
        <v>5221</v>
      </c>
      <c r="N1667" s="2" t="s">
        <v>2317</v>
      </c>
      <c r="O1667" s="14">
        <v>3000</v>
      </c>
      <c r="P1667" s="14">
        <v>95.6</v>
      </c>
      <c r="Q1667" s="14">
        <v>132</v>
      </c>
      <c r="R1667" s="14">
        <v>72.599999999999994</v>
      </c>
      <c r="S1667" s="2" t="s">
        <v>1792</v>
      </c>
      <c r="T1667" s="2">
        <v>1.01</v>
      </c>
      <c r="U1667" s="2">
        <v>63</v>
      </c>
      <c r="V1667" s="2">
        <v>57</v>
      </c>
      <c r="W1667" s="2" t="s">
        <v>7862</v>
      </c>
      <c r="X1667" s="2" t="s">
        <v>5405</v>
      </c>
      <c r="Y1667" s="2">
        <v>1650</v>
      </c>
      <c r="Z1667" s="19" t="str">
        <f>HYPERLINK("https://ssdweb.co/ssdweb/hd/Vision360.html?d=925870424&amp;zoomslide=1&amp;z=1925870424&amp;ISCONFIRM=0","VIDEO")</f>
        <v>VIDEO</v>
      </c>
      <c r="AA1667" s="19" t="str">
        <f>HYPERLINK("https://ssdweb.co/ssdweb/CERTH/626499103.pdf","CERTI")</f>
        <v>CERTI</v>
      </c>
    </row>
    <row r="1668" spans="1:27" ht="15" x14ac:dyDescent="0.25">
      <c r="A1668" s="2">
        <v>1663</v>
      </c>
      <c r="B1668" s="39">
        <v>926120603</v>
      </c>
      <c r="C1668" s="28" t="str">
        <f>HYPERLINK("https://pld.live/RapDetail.aspx?STONELIST=926120603","DNA")</f>
        <v>DNA</v>
      </c>
      <c r="D1668" s="18" t="s">
        <v>5466</v>
      </c>
      <c r="E1668" s="18" t="s">
        <v>5128</v>
      </c>
      <c r="F1668" s="2" t="s">
        <v>7987</v>
      </c>
      <c r="G1668" s="2" t="s">
        <v>861</v>
      </c>
      <c r="H1668" s="14">
        <v>0.55000000000000004</v>
      </c>
      <c r="I1668" s="2" t="s">
        <v>267</v>
      </c>
      <c r="J1668" s="2" t="s">
        <v>13</v>
      </c>
      <c r="K1668" s="2" t="s">
        <v>5221</v>
      </c>
      <c r="L1668" s="2" t="s">
        <v>5721</v>
      </c>
      <c r="M1668" s="2" t="s">
        <v>5221</v>
      </c>
      <c r="N1668" s="2" t="s">
        <v>2317</v>
      </c>
      <c r="O1668" s="14">
        <v>3000</v>
      </c>
      <c r="P1668" s="14">
        <v>95.67</v>
      </c>
      <c r="Q1668" s="14">
        <v>129.9</v>
      </c>
      <c r="R1668" s="14">
        <v>71.45</v>
      </c>
      <c r="S1668" s="2" t="s">
        <v>3931</v>
      </c>
      <c r="T1668" s="2">
        <v>1.01</v>
      </c>
      <c r="U1668" s="2">
        <v>63.1</v>
      </c>
      <c r="V1668" s="2">
        <v>56</v>
      </c>
      <c r="W1668" s="2" t="s">
        <v>7862</v>
      </c>
      <c r="X1668" s="2" t="s">
        <v>5405</v>
      </c>
      <c r="Y1668" s="2">
        <v>1650</v>
      </c>
      <c r="Z1668" s="19" t="str">
        <f>HYPERLINK("https://ssdweb.co/ssdweb/hd/Vision360.html?d=926120603&amp;zoomslide=1&amp;z=1926120603&amp;ISCONFIRM=0","VIDEO")</f>
        <v>VIDEO</v>
      </c>
      <c r="AA1668" s="19" t="str">
        <f>HYPERLINK("https://ssdweb.co/ssdweb/CERTH/633473865.pdf","CERTI")</f>
        <v>CERTI</v>
      </c>
    </row>
    <row r="1669" spans="1:27" ht="15" x14ac:dyDescent="0.25">
      <c r="A1669" s="2">
        <v>1664</v>
      </c>
      <c r="B1669" s="39">
        <v>926121010</v>
      </c>
      <c r="C1669" s="28" t="str">
        <f>HYPERLINK("https://pld.live/RapDetail.aspx?STONELIST=926121010","DNA")</f>
        <v>DNA</v>
      </c>
      <c r="D1669" s="18" t="s">
        <v>5466</v>
      </c>
      <c r="E1669" s="18" t="s">
        <v>5128</v>
      </c>
      <c r="F1669" s="2" t="s">
        <v>5597</v>
      </c>
      <c r="G1669" s="2" t="s">
        <v>861</v>
      </c>
      <c r="H1669" s="14">
        <v>0.55000000000000004</v>
      </c>
      <c r="I1669" s="2" t="s">
        <v>267</v>
      </c>
      <c r="J1669" s="2" t="s">
        <v>5144</v>
      </c>
      <c r="K1669" s="2" t="s">
        <v>5221</v>
      </c>
      <c r="L1669" s="2" t="s">
        <v>5221</v>
      </c>
      <c r="M1669" s="2" t="s">
        <v>5221</v>
      </c>
      <c r="N1669" s="2" t="s">
        <v>2317</v>
      </c>
      <c r="O1669" s="14">
        <v>2700</v>
      </c>
      <c r="P1669" s="14">
        <v>90.04</v>
      </c>
      <c r="Q1669" s="14">
        <v>268.92</v>
      </c>
      <c r="R1669" s="14">
        <v>147.91</v>
      </c>
      <c r="S1669" s="2" t="s">
        <v>1121</v>
      </c>
      <c r="T1669" s="2">
        <v>1.01</v>
      </c>
      <c r="U1669" s="2">
        <v>62.4</v>
      </c>
      <c r="V1669" s="2">
        <v>56</v>
      </c>
      <c r="W1669" s="2" t="s">
        <v>7862</v>
      </c>
      <c r="X1669" s="2" t="s">
        <v>5405</v>
      </c>
      <c r="Y1669" s="2">
        <v>1485</v>
      </c>
      <c r="Z1669" s="19" t="str">
        <f>HYPERLINK("https://ssdweb.co/ssdweb/hd/Vision360.html?d=926121010&amp;zoomslide=1&amp;z=1926121010&amp;ISCONFIRM=0","VIDEO")</f>
        <v>VIDEO</v>
      </c>
      <c r="AA1669" s="19" t="str">
        <f>HYPERLINK("https://ssdweb.co/ssdweb/CERTH/2497494298.pdf","CERTI")</f>
        <v>CERTI</v>
      </c>
    </row>
    <row r="1670" spans="1:27" ht="15" x14ac:dyDescent="0.25">
      <c r="A1670" s="2">
        <v>1665</v>
      </c>
      <c r="B1670" s="39">
        <v>821126619</v>
      </c>
      <c r="C1670" s="28" t="str">
        <f>HYPERLINK("https://pld.live/RapDetail.aspx?STONELIST=821126619","DNA")</f>
        <v>DNA</v>
      </c>
      <c r="D1670" s="18" t="s">
        <v>5466</v>
      </c>
      <c r="E1670" s="18" t="s">
        <v>5128</v>
      </c>
      <c r="F1670" s="2" t="s">
        <v>7987</v>
      </c>
      <c r="G1670" s="2" t="s">
        <v>861</v>
      </c>
      <c r="H1670" s="14">
        <v>0.54</v>
      </c>
      <c r="I1670" s="2" t="s">
        <v>267</v>
      </c>
      <c r="J1670" s="2" t="s">
        <v>6555</v>
      </c>
      <c r="K1670" s="2" t="s">
        <v>3390</v>
      </c>
      <c r="L1670" s="2" t="s">
        <v>5221</v>
      </c>
      <c r="M1670" s="2" t="s">
        <v>5221</v>
      </c>
      <c r="N1670" s="2" t="s">
        <v>2317</v>
      </c>
      <c r="O1670" s="14">
        <v>4600</v>
      </c>
      <c r="P1670" s="14">
        <v>96.65</v>
      </c>
      <c r="Q1670" s="14">
        <v>154.1</v>
      </c>
      <c r="R1670" s="14">
        <v>83.21</v>
      </c>
      <c r="S1670" s="2" t="s">
        <v>3520</v>
      </c>
      <c r="T1670" s="2">
        <v>1</v>
      </c>
      <c r="U1670" s="2">
        <v>60.2</v>
      </c>
      <c r="V1670" s="2">
        <v>58</v>
      </c>
      <c r="W1670" s="2" t="s">
        <v>7862</v>
      </c>
      <c r="X1670" s="2" t="s">
        <v>5405</v>
      </c>
      <c r="Y1670" s="2">
        <v>2484</v>
      </c>
      <c r="Z1670" s="19" t="str">
        <f>HYPERLINK("https://ssdweb.co/ssdweb/hd/Vision360.html?d=821126619&amp;zoomslide=1&amp;z=1821126619&amp;ISCONFIRM=0","VIDEO")</f>
        <v>VIDEO</v>
      </c>
      <c r="AA1670" s="19" t="str">
        <f>HYPERLINK("https://ssdweb.co/ssdweb/CERTH/623407021.pdf","CERTI")</f>
        <v>CERTI</v>
      </c>
    </row>
    <row r="1671" spans="1:27" ht="15" x14ac:dyDescent="0.25">
      <c r="A1671" s="2">
        <v>1666</v>
      </c>
      <c r="B1671" s="39">
        <v>821126344</v>
      </c>
      <c r="C1671" s="28" t="str">
        <f>HYPERLINK("https://pld.live/RapDetail.aspx?STONELIST=821126344","DNA")</f>
        <v>DNA</v>
      </c>
      <c r="D1671" s="18" t="s">
        <v>5466</v>
      </c>
      <c r="E1671" s="18" t="s">
        <v>5128</v>
      </c>
      <c r="F1671" s="2" t="s">
        <v>7987</v>
      </c>
      <c r="G1671" s="2" t="s">
        <v>861</v>
      </c>
      <c r="H1671" s="14">
        <v>0.54</v>
      </c>
      <c r="I1671" s="2" t="s">
        <v>267</v>
      </c>
      <c r="J1671" s="2" t="s">
        <v>6555</v>
      </c>
      <c r="K1671" s="2" t="s">
        <v>3390</v>
      </c>
      <c r="L1671" s="2" t="s">
        <v>5221</v>
      </c>
      <c r="M1671" s="2" t="s">
        <v>5221</v>
      </c>
      <c r="N1671" s="2" t="s">
        <v>2317</v>
      </c>
      <c r="O1671" s="14">
        <v>4600</v>
      </c>
      <c r="P1671" s="14">
        <v>96.7</v>
      </c>
      <c r="Q1671" s="14">
        <v>151.80000000000001</v>
      </c>
      <c r="R1671" s="14">
        <v>81.97</v>
      </c>
      <c r="S1671" s="2" t="s">
        <v>7203</v>
      </c>
      <c r="T1671" s="2">
        <v>1.01</v>
      </c>
      <c r="U1671" s="2">
        <v>61.8</v>
      </c>
      <c r="V1671" s="2">
        <v>58</v>
      </c>
      <c r="W1671" s="2" t="s">
        <v>7862</v>
      </c>
      <c r="X1671" s="2" t="s">
        <v>5405</v>
      </c>
      <c r="Y1671" s="2">
        <v>2484</v>
      </c>
      <c r="Z1671" s="19" t="str">
        <f>HYPERLINK("https://ssdweb.co/ssdweb/hd/Vision360.html?d=821126344&amp;zoomslide=1&amp;z=1821126344&amp;ISCONFIRM=0","VIDEO")</f>
        <v>VIDEO</v>
      </c>
      <c r="AA1671" s="19" t="str">
        <f>HYPERLINK("https://ssdweb.co/ssdweb/CERTH/620421118.pdf","CERTI")</f>
        <v>CERTI</v>
      </c>
    </row>
    <row r="1672" spans="1:27" ht="15" x14ac:dyDescent="0.25">
      <c r="A1672" s="2">
        <v>1667</v>
      </c>
      <c r="B1672" s="39">
        <v>925870198</v>
      </c>
      <c r="C1672" s="28" t="str">
        <f>HYPERLINK("https://pld.live/RapDetail.aspx?STONELIST=925870198","DNA")</f>
        <v>DNA</v>
      </c>
      <c r="D1672" s="18" t="s">
        <v>5466</v>
      </c>
      <c r="E1672" s="18" t="s">
        <v>5128</v>
      </c>
      <c r="F1672" s="2" t="s">
        <v>7987</v>
      </c>
      <c r="G1672" s="2" t="s">
        <v>861</v>
      </c>
      <c r="H1672" s="14">
        <v>0.54</v>
      </c>
      <c r="I1672" s="2" t="s">
        <v>267</v>
      </c>
      <c r="J1672" s="2" t="s">
        <v>6555</v>
      </c>
      <c r="K1672" s="2" t="s">
        <v>5221</v>
      </c>
      <c r="L1672" s="2" t="s">
        <v>5221</v>
      </c>
      <c r="M1672" s="2" t="s">
        <v>5221</v>
      </c>
      <c r="N1672" s="2" t="s">
        <v>2317</v>
      </c>
      <c r="O1672" s="14">
        <v>4600</v>
      </c>
      <c r="P1672" s="14">
        <v>96.65</v>
      </c>
      <c r="Q1672" s="14">
        <v>154.1</v>
      </c>
      <c r="R1672" s="14">
        <v>83.21</v>
      </c>
      <c r="S1672" s="2" t="s">
        <v>5960</v>
      </c>
      <c r="T1672" s="2">
        <v>1.01</v>
      </c>
      <c r="U1672" s="2">
        <v>62.8</v>
      </c>
      <c r="V1672" s="2">
        <v>59</v>
      </c>
      <c r="W1672" s="2" t="s">
        <v>7862</v>
      </c>
      <c r="X1672" s="2" t="s">
        <v>5405</v>
      </c>
      <c r="Y1672" s="2">
        <v>2484</v>
      </c>
      <c r="Z1672" s="19" t="str">
        <f>HYPERLINK("https://ssdweb.co/ssdweb/hd/Vision360.html?d=925870198&amp;zoomslide=1&amp;z=1925870198&amp;ISCONFIRM=0","VIDEO")</f>
        <v>VIDEO</v>
      </c>
      <c r="AA1672" s="19" t="str">
        <f>HYPERLINK("https://ssdweb.co/ssdweb/CERTH/626466137.pdf","CERTI")</f>
        <v>CERTI</v>
      </c>
    </row>
    <row r="1673" spans="1:27" ht="15" x14ac:dyDescent="0.25">
      <c r="A1673" s="2">
        <v>1668</v>
      </c>
      <c r="B1673" s="39">
        <v>821126741</v>
      </c>
      <c r="C1673" s="28" t="str">
        <f>HYPERLINK("https://pld.live/RapDetail.aspx?STONELIST=821126741","DNA")</f>
        <v>DNA</v>
      </c>
      <c r="D1673" s="18" t="s">
        <v>5466</v>
      </c>
      <c r="E1673" s="18" t="s">
        <v>5128</v>
      </c>
      <c r="F1673" s="2" t="s">
        <v>7987</v>
      </c>
      <c r="G1673" s="2" t="s">
        <v>861</v>
      </c>
      <c r="H1673" s="14">
        <v>0.54</v>
      </c>
      <c r="I1673" s="2" t="s">
        <v>267</v>
      </c>
      <c r="J1673" s="2" t="s">
        <v>3942</v>
      </c>
      <c r="K1673" s="2" t="s">
        <v>3390</v>
      </c>
      <c r="L1673" s="2" t="s">
        <v>5221</v>
      </c>
      <c r="M1673" s="2" t="s">
        <v>5221</v>
      </c>
      <c r="N1673" s="2" t="s">
        <v>2317</v>
      </c>
      <c r="O1673" s="14">
        <v>3600</v>
      </c>
      <c r="P1673" s="14">
        <v>96.06</v>
      </c>
      <c r="Q1673" s="14">
        <v>141.84</v>
      </c>
      <c r="R1673" s="14">
        <v>76.59</v>
      </c>
      <c r="S1673" s="2" t="s">
        <v>8075</v>
      </c>
      <c r="T1673" s="2">
        <v>1</v>
      </c>
      <c r="U1673" s="2">
        <v>61.6</v>
      </c>
      <c r="V1673" s="2">
        <v>57</v>
      </c>
      <c r="W1673" s="2" t="s">
        <v>7862</v>
      </c>
      <c r="X1673" s="2" t="s">
        <v>5405</v>
      </c>
      <c r="Y1673" s="2">
        <v>1944</v>
      </c>
      <c r="Z1673" s="19" t="str">
        <f>HYPERLINK("https://ssdweb.co/ssdweb/hd/Vision360.html?d=821126741&amp;zoomslide=1&amp;z=1821126741&amp;ISCONFIRM=0","VIDEO")</f>
        <v>VIDEO</v>
      </c>
      <c r="AA1673" s="19" t="str">
        <f>HYPERLINK("https://ssdweb.co/ssdweb/CERTH/621445941.pdf","CERTI")</f>
        <v>CERTI</v>
      </c>
    </row>
    <row r="1674" spans="1:27" ht="15" x14ac:dyDescent="0.25">
      <c r="A1674" s="2">
        <v>1669</v>
      </c>
      <c r="B1674" s="39">
        <v>821126582</v>
      </c>
      <c r="C1674" s="28" t="str">
        <f>HYPERLINK("https://pld.live/RapDetail.aspx?STONELIST=821126582","DNA")</f>
        <v>DNA</v>
      </c>
      <c r="D1674" s="18" t="s">
        <v>5466</v>
      </c>
      <c r="E1674" s="18" t="s">
        <v>5128</v>
      </c>
      <c r="F1674" s="2" t="s">
        <v>7987</v>
      </c>
      <c r="G1674" s="2" t="s">
        <v>861</v>
      </c>
      <c r="H1674" s="14">
        <v>0.54</v>
      </c>
      <c r="I1674" s="2" t="s">
        <v>267</v>
      </c>
      <c r="J1674" s="2" t="s">
        <v>3942</v>
      </c>
      <c r="K1674" s="2" t="s">
        <v>3390</v>
      </c>
      <c r="L1674" s="2" t="s">
        <v>5221</v>
      </c>
      <c r="M1674" s="2" t="s">
        <v>5221</v>
      </c>
      <c r="N1674" s="2" t="s">
        <v>2317</v>
      </c>
      <c r="O1674" s="14">
        <v>3600</v>
      </c>
      <c r="P1674" s="14">
        <v>96.06</v>
      </c>
      <c r="Q1674" s="14">
        <v>141.84</v>
      </c>
      <c r="R1674" s="14">
        <v>76.59</v>
      </c>
      <c r="S1674" s="2" t="s">
        <v>516</v>
      </c>
      <c r="T1674" s="2">
        <v>1.01</v>
      </c>
      <c r="U1674" s="2">
        <v>62.4</v>
      </c>
      <c r="V1674" s="2">
        <v>59</v>
      </c>
      <c r="W1674" s="2" t="s">
        <v>7862</v>
      </c>
      <c r="X1674" s="2" t="s">
        <v>5405</v>
      </c>
      <c r="Y1674" s="2">
        <v>1944</v>
      </c>
      <c r="Z1674" s="19" t="str">
        <f>HYPERLINK("https://ssdweb.co/ssdweb/hd/Vision360.html?d=821126582&amp;zoomslide=1&amp;z=1821126582&amp;ISCONFIRM=0","VIDEO")</f>
        <v>VIDEO</v>
      </c>
      <c r="AA1674" s="19" t="str">
        <f>HYPERLINK("https://ssdweb.co/ssdweb/CERTH/621430794.pdf","CERTI")</f>
        <v>CERTI</v>
      </c>
    </row>
    <row r="1675" spans="1:27" ht="15" x14ac:dyDescent="0.25">
      <c r="A1675" s="2">
        <v>1670</v>
      </c>
      <c r="B1675" s="39">
        <v>821126258</v>
      </c>
      <c r="C1675" s="28" t="str">
        <f>HYPERLINK("https://pld.live/RapDetail.aspx?STONELIST=821126258","DNA")</f>
        <v>DNA</v>
      </c>
      <c r="D1675" s="18" t="s">
        <v>5466</v>
      </c>
      <c r="E1675" s="18" t="s">
        <v>5128</v>
      </c>
      <c r="F1675" s="2" t="s">
        <v>7987</v>
      </c>
      <c r="G1675" s="2" t="s">
        <v>861</v>
      </c>
      <c r="H1675" s="14">
        <v>0.54</v>
      </c>
      <c r="I1675" s="2" t="s">
        <v>267</v>
      </c>
      <c r="J1675" s="2" t="s">
        <v>3942</v>
      </c>
      <c r="K1675" s="2" t="s">
        <v>3390</v>
      </c>
      <c r="L1675" s="2" t="s">
        <v>5221</v>
      </c>
      <c r="M1675" s="2" t="s">
        <v>5221</v>
      </c>
      <c r="N1675" s="2" t="s">
        <v>2317</v>
      </c>
      <c r="O1675" s="14">
        <v>3600</v>
      </c>
      <c r="P1675" s="14">
        <v>96.06</v>
      </c>
      <c r="Q1675" s="14">
        <v>141.84</v>
      </c>
      <c r="R1675" s="14">
        <v>76.59</v>
      </c>
      <c r="S1675" s="2" t="s">
        <v>2135</v>
      </c>
      <c r="T1675" s="2">
        <v>1.01</v>
      </c>
      <c r="U1675" s="2">
        <v>60.6</v>
      </c>
      <c r="V1675" s="2">
        <v>58</v>
      </c>
      <c r="W1675" s="2" t="s">
        <v>7862</v>
      </c>
      <c r="X1675" s="2" t="s">
        <v>5405</v>
      </c>
      <c r="Y1675" s="2">
        <v>1944</v>
      </c>
      <c r="Z1675" s="19" t="str">
        <f>HYPERLINK("https://ssdweb.co/ssdweb/hd/Vision360.html?d=821126258&amp;zoomslide=1&amp;z=1821126258&amp;ISCONFIRM=0","VIDEO")</f>
        <v>VIDEO</v>
      </c>
      <c r="AA1675" s="19" t="str">
        <f>HYPERLINK("https://ssdweb.co/ssdweb/CERTH/621444835.pdf","CERTI")</f>
        <v>CERTI</v>
      </c>
    </row>
    <row r="1676" spans="1:27" ht="15" x14ac:dyDescent="0.25">
      <c r="A1676" s="2">
        <v>1671</v>
      </c>
      <c r="B1676" s="39">
        <v>821126770</v>
      </c>
      <c r="C1676" s="28" t="str">
        <f>HYPERLINK("https://pld.live/RapDetail.aspx?STONELIST=821126770","DNA")</f>
        <v>DNA</v>
      </c>
      <c r="D1676" s="18" t="s">
        <v>5466</v>
      </c>
      <c r="E1676" s="18" t="s">
        <v>5128</v>
      </c>
      <c r="F1676" s="2" t="s">
        <v>7987</v>
      </c>
      <c r="G1676" s="2" t="s">
        <v>861</v>
      </c>
      <c r="H1676" s="14">
        <v>0.54</v>
      </c>
      <c r="I1676" s="2" t="s">
        <v>267</v>
      </c>
      <c r="J1676" s="2" t="s">
        <v>3942</v>
      </c>
      <c r="K1676" s="2" t="s">
        <v>3390</v>
      </c>
      <c r="L1676" s="2" t="s">
        <v>5221</v>
      </c>
      <c r="M1676" s="2" t="s">
        <v>5221</v>
      </c>
      <c r="N1676" s="2" t="s">
        <v>2317</v>
      </c>
      <c r="O1676" s="14">
        <v>3600</v>
      </c>
      <c r="P1676" s="14">
        <v>96.06</v>
      </c>
      <c r="Q1676" s="14">
        <v>141.84</v>
      </c>
      <c r="R1676" s="14">
        <v>76.59</v>
      </c>
      <c r="S1676" s="2" t="s">
        <v>4043</v>
      </c>
      <c r="T1676" s="2">
        <v>1.01</v>
      </c>
      <c r="U1676" s="2">
        <v>60.9</v>
      </c>
      <c r="V1676" s="2">
        <v>59</v>
      </c>
      <c r="W1676" s="2" t="s">
        <v>7862</v>
      </c>
      <c r="X1676" s="2" t="s">
        <v>5405</v>
      </c>
      <c r="Y1676" s="2">
        <v>1944</v>
      </c>
      <c r="Z1676" s="19" t="str">
        <f>HYPERLINK("https://ssdweb.co/ssdweb/hd/Vision360.html?d=821126770&amp;zoomslide=1&amp;z=1821126770&amp;ISCONFIRM=0","VIDEO")</f>
        <v>VIDEO</v>
      </c>
      <c r="AA1676" s="19" t="str">
        <f>HYPERLINK("https://ssdweb.co/ssdweb/CERTH/621445933.pdf","CERTI")</f>
        <v>CERTI</v>
      </c>
    </row>
    <row r="1677" spans="1:27" ht="15" x14ac:dyDescent="0.25">
      <c r="A1677" s="2">
        <v>1672</v>
      </c>
      <c r="B1677" s="39">
        <v>926220697</v>
      </c>
      <c r="C1677" s="28" t="str">
        <f>HYPERLINK("https://pld.live/RapDetail.aspx?STONELIST=926220697","DNA")</f>
        <v>DNA</v>
      </c>
      <c r="D1677" s="18" t="s">
        <v>5466</v>
      </c>
      <c r="E1677" s="18" t="s">
        <v>5128</v>
      </c>
      <c r="F1677" s="2" t="s">
        <v>7987</v>
      </c>
      <c r="G1677" s="2" t="s">
        <v>861</v>
      </c>
      <c r="H1677" s="14">
        <v>0.54</v>
      </c>
      <c r="I1677" s="2" t="s">
        <v>267</v>
      </c>
      <c r="J1677" s="2" t="s">
        <v>3942</v>
      </c>
      <c r="K1677" s="2" t="s">
        <v>3390</v>
      </c>
      <c r="L1677" s="2" t="s">
        <v>5721</v>
      </c>
      <c r="M1677" s="2" t="s">
        <v>5221</v>
      </c>
      <c r="N1677" s="2" t="s">
        <v>2317</v>
      </c>
      <c r="O1677" s="14">
        <v>3600</v>
      </c>
      <c r="P1677" s="14">
        <v>96.06</v>
      </c>
      <c r="Q1677" s="14">
        <v>141.84</v>
      </c>
      <c r="R1677" s="14">
        <v>76.59</v>
      </c>
      <c r="S1677" s="2" t="s">
        <v>7715</v>
      </c>
      <c r="T1677" s="2">
        <v>1.01</v>
      </c>
      <c r="U1677" s="2">
        <v>62.4</v>
      </c>
      <c r="V1677" s="2">
        <v>57</v>
      </c>
      <c r="W1677" s="2" t="s">
        <v>7862</v>
      </c>
      <c r="X1677" s="2" t="s">
        <v>5405</v>
      </c>
      <c r="Y1677" s="2">
        <v>1944</v>
      </c>
      <c r="Z1677" s="19" t="str">
        <f>HYPERLINK("https://ssdweb.co/ssdweb/hd/Vision360.html?d=926220697&amp;zoomslide=1&amp;z=1926220697&amp;ISCONFIRM=0","VIDEO")</f>
        <v>VIDEO</v>
      </c>
      <c r="AA1677" s="19" t="str">
        <f>HYPERLINK("https://ssdweb.co/ssdweb/CERTH/635423828.pdf","CERTI")</f>
        <v>CERTI</v>
      </c>
    </row>
    <row r="1678" spans="1:27" ht="15" x14ac:dyDescent="0.25">
      <c r="A1678" s="2">
        <v>1673</v>
      </c>
      <c r="B1678" s="39">
        <v>925900459</v>
      </c>
      <c r="C1678" s="28" t="str">
        <f>HYPERLINK("https://pld.live/RapDetail.aspx?STONELIST=925900459","DNA")</f>
        <v>DNA</v>
      </c>
      <c r="D1678" s="18" t="s">
        <v>5466</v>
      </c>
      <c r="E1678" s="18" t="s">
        <v>5128</v>
      </c>
      <c r="F1678" s="2" t="s">
        <v>7987</v>
      </c>
      <c r="G1678" s="2" t="s">
        <v>861</v>
      </c>
      <c r="H1678" s="14">
        <v>0.54</v>
      </c>
      <c r="I1678" s="2" t="s">
        <v>267</v>
      </c>
      <c r="J1678" s="2" t="s">
        <v>3942</v>
      </c>
      <c r="K1678" s="2" t="s">
        <v>5221</v>
      </c>
      <c r="L1678" s="2" t="s">
        <v>5221</v>
      </c>
      <c r="M1678" s="2" t="s">
        <v>5221</v>
      </c>
      <c r="N1678" s="2" t="s">
        <v>2317</v>
      </c>
      <c r="O1678" s="14">
        <v>3600</v>
      </c>
      <c r="P1678" s="14">
        <v>96</v>
      </c>
      <c r="Q1678" s="14">
        <v>144</v>
      </c>
      <c r="R1678" s="14">
        <v>77.760000000000005</v>
      </c>
      <c r="S1678" s="2" t="s">
        <v>5369</v>
      </c>
      <c r="T1678" s="2">
        <v>1.01</v>
      </c>
      <c r="U1678" s="2">
        <v>62.2</v>
      </c>
      <c r="V1678" s="2">
        <v>58</v>
      </c>
      <c r="W1678" s="2" t="s">
        <v>7862</v>
      </c>
      <c r="X1678" s="2" t="s">
        <v>5405</v>
      </c>
      <c r="Y1678" s="2">
        <v>1944</v>
      </c>
      <c r="Z1678" s="19" t="str">
        <f>HYPERLINK("https://ssdweb.co/ssdweb/hd/Vision360.html?d=925900459&amp;zoomslide=1&amp;z=1925900459&amp;ISCONFIRM=0","VIDEO")</f>
        <v>VIDEO</v>
      </c>
      <c r="AA1678" s="19" t="str">
        <f>HYPERLINK("https://ssdweb.co/ssdweb/CERTH/627431659.pdf","CERTI")</f>
        <v>CERTI</v>
      </c>
    </row>
    <row r="1679" spans="1:27" ht="15" x14ac:dyDescent="0.25">
      <c r="A1679" s="2">
        <v>1674</v>
      </c>
      <c r="B1679" s="39">
        <v>925900345</v>
      </c>
      <c r="C1679" s="28" t="str">
        <f>HYPERLINK("https://pld.live/RapDetail.aspx?STONELIST=925900345","DNA")</f>
        <v>DNA</v>
      </c>
      <c r="D1679" s="18" t="s">
        <v>5466</v>
      </c>
      <c r="E1679" s="18" t="s">
        <v>5128</v>
      </c>
      <c r="F1679" s="2" t="s">
        <v>7987</v>
      </c>
      <c r="G1679" s="2" t="s">
        <v>861</v>
      </c>
      <c r="H1679" s="14">
        <v>0.54</v>
      </c>
      <c r="I1679" s="2" t="s">
        <v>267</v>
      </c>
      <c r="J1679" s="2" t="s">
        <v>3942</v>
      </c>
      <c r="K1679" s="2" t="s">
        <v>5221</v>
      </c>
      <c r="L1679" s="2" t="s">
        <v>5221</v>
      </c>
      <c r="M1679" s="2" t="s">
        <v>5221</v>
      </c>
      <c r="N1679" s="2" t="s">
        <v>2317</v>
      </c>
      <c r="O1679" s="14">
        <v>3600</v>
      </c>
      <c r="P1679" s="14">
        <v>96</v>
      </c>
      <c r="Q1679" s="14">
        <v>144</v>
      </c>
      <c r="R1679" s="14">
        <v>77.760000000000005</v>
      </c>
      <c r="S1679" s="2" t="s">
        <v>2139</v>
      </c>
      <c r="T1679" s="2">
        <v>1.01</v>
      </c>
      <c r="U1679" s="2">
        <v>62.6</v>
      </c>
      <c r="V1679" s="2">
        <v>56</v>
      </c>
      <c r="W1679" s="2" t="s">
        <v>7862</v>
      </c>
      <c r="X1679" s="2" t="s">
        <v>5405</v>
      </c>
      <c r="Y1679" s="2">
        <v>1944</v>
      </c>
      <c r="Z1679" s="19" t="str">
        <f>HYPERLINK("https://ssdweb.co/ssdweb/hd/Vision360.html?d=925900345&amp;zoomslide=1&amp;z=1925900345&amp;ISCONFIRM=0","VIDEO")</f>
        <v>VIDEO</v>
      </c>
      <c r="AA1679" s="19" t="str">
        <f>HYPERLINK("https://ssdweb.co/ssdweb/CERTH/627496981.pdf","CERTI")</f>
        <v>CERTI</v>
      </c>
    </row>
    <row r="1680" spans="1:27" ht="15" x14ac:dyDescent="0.25">
      <c r="A1680" s="2">
        <v>1675</v>
      </c>
      <c r="B1680" s="39">
        <v>925870519</v>
      </c>
      <c r="C1680" s="28" t="str">
        <f>HYPERLINK("https://pld.live/RapDetail.aspx?STONELIST=925870519","DNA")</f>
        <v>DNA</v>
      </c>
      <c r="D1680" s="18" t="s">
        <v>5466</v>
      </c>
      <c r="E1680" s="18" t="s">
        <v>5128</v>
      </c>
      <c r="F1680" s="2" t="s">
        <v>7987</v>
      </c>
      <c r="G1680" s="2" t="s">
        <v>861</v>
      </c>
      <c r="H1680" s="14">
        <v>0.54</v>
      </c>
      <c r="I1680" s="2" t="s">
        <v>267</v>
      </c>
      <c r="J1680" s="2" t="s">
        <v>3942</v>
      </c>
      <c r="K1680" s="2" t="s">
        <v>5221</v>
      </c>
      <c r="L1680" s="2" t="s">
        <v>5221</v>
      </c>
      <c r="M1680" s="2" t="s">
        <v>5221</v>
      </c>
      <c r="N1680" s="2" t="s">
        <v>2317</v>
      </c>
      <c r="O1680" s="14">
        <v>3600</v>
      </c>
      <c r="P1680" s="14">
        <v>96</v>
      </c>
      <c r="Q1680" s="14">
        <v>144</v>
      </c>
      <c r="R1680" s="14">
        <v>77.760000000000005</v>
      </c>
      <c r="S1680" s="2" t="s">
        <v>1727</v>
      </c>
      <c r="T1680" s="2">
        <v>1.01</v>
      </c>
      <c r="U1680" s="2">
        <v>62.8</v>
      </c>
      <c r="V1680" s="2">
        <v>56</v>
      </c>
      <c r="W1680" s="2" t="s">
        <v>7862</v>
      </c>
      <c r="X1680" s="2" t="s">
        <v>5405</v>
      </c>
      <c r="Y1680" s="2">
        <v>1944</v>
      </c>
      <c r="Z1680" s="19" t="str">
        <f>HYPERLINK("https://ssdweb.co/ssdweb/hd/Vision360.html?d=925870519&amp;zoomslide=1&amp;z=1925870519&amp;ISCONFIRM=0","VIDEO")</f>
        <v>VIDEO</v>
      </c>
      <c r="AA1680" s="19" t="str">
        <f>HYPERLINK("https://ssdweb.co/ssdweb/CERTH/627473170.pdf","CERTI")</f>
        <v>CERTI</v>
      </c>
    </row>
    <row r="1681" spans="1:27" ht="15" x14ac:dyDescent="0.25">
      <c r="A1681" s="2">
        <v>1676</v>
      </c>
      <c r="B1681" s="39">
        <v>821125018</v>
      </c>
      <c r="C1681" s="28" t="str">
        <f>HYPERLINK("https://pld.live/RapDetail.aspx?STONELIST=821125018","DNA")</f>
        <v>DNA</v>
      </c>
      <c r="D1681" s="18" t="s">
        <v>5466</v>
      </c>
      <c r="E1681" s="18" t="s">
        <v>5128</v>
      </c>
      <c r="F1681" s="2" t="s">
        <v>7987</v>
      </c>
      <c r="G1681" s="2" t="s">
        <v>861</v>
      </c>
      <c r="H1681" s="14">
        <v>0.54</v>
      </c>
      <c r="I1681" s="2" t="s">
        <v>267</v>
      </c>
      <c r="J1681" s="2" t="s">
        <v>3942</v>
      </c>
      <c r="K1681" s="2" t="s">
        <v>5221</v>
      </c>
      <c r="L1681" s="2" t="s">
        <v>5221</v>
      </c>
      <c r="M1681" s="2" t="s">
        <v>5221</v>
      </c>
      <c r="N1681" s="2" t="s">
        <v>2317</v>
      </c>
      <c r="O1681" s="14">
        <v>3600</v>
      </c>
      <c r="P1681" s="14">
        <v>96.06</v>
      </c>
      <c r="Q1681" s="14">
        <v>141.84</v>
      </c>
      <c r="R1681" s="14">
        <v>76.59</v>
      </c>
      <c r="S1681" s="2" t="s">
        <v>1607</v>
      </c>
      <c r="T1681" s="2">
        <v>1.01</v>
      </c>
      <c r="U1681" s="2">
        <v>62.3</v>
      </c>
      <c r="V1681" s="2">
        <v>59</v>
      </c>
      <c r="W1681" s="2" t="s">
        <v>7862</v>
      </c>
      <c r="X1681" s="2" t="s">
        <v>5405</v>
      </c>
      <c r="Y1681" s="2">
        <v>1944</v>
      </c>
      <c r="Z1681" s="19" t="str">
        <f>HYPERLINK("https://ssdweb.co/ssdweb/hd/Vision360.html?d=821125018&amp;zoomslide=1&amp;z=1821125018&amp;ISCONFIRM=0","VIDEO")</f>
        <v>VIDEO</v>
      </c>
      <c r="AA1681" s="19" t="str">
        <f>HYPERLINK("https://ssdweb.co/ssdweb/CERTH/598305406.pdf","CERTI")</f>
        <v>CERTI</v>
      </c>
    </row>
    <row r="1682" spans="1:27" ht="15" x14ac:dyDescent="0.25">
      <c r="A1682" s="2">
        <v>1677</v>
      </c>
      <c r="B1682" s="39">
        <v>926120661</v>
      </c>
      <c r="C1682" s="28" t="str">
        <f>HYPERLINK("https://pld.live/RapDetail.aspx?STONELIST=926120661","DNA")</f>
        <v>DNA</v>
      </c>
      <c r="D1682" s="18" t="s">
        <v>5466</v>
      </c>
      <c r="E1682" s="18" t="s">
        <v>5128</v>
      </c>
      <c r="F1682" s="2" t="s">
        <v>7987</v>
      </c>
      <c r="G1682" s="2" t="s">
        <v>861</v>
      </c>
      <c r="H1682" s="14">
        <v>0.54</v>
      </c>
      <c r="I1682" s="2" t="s">
        <v>267</v>
      </c>
      <c r="J1682" s="2" t="s">
        <v>3942</v>
      </c>
      <c r="K1682" s="2" t="s">
        <v>5221</v>
      </c>
      <c r="L1682" s="2" t="s">
        <v>5221</v>
      </c>
      <c r="M1682" s="2" t="s">
        <v>5221</v>
      </c>
      <c r="N1682" s="2" t="s">
        <v>2317</v>
      </c>
      <c r="O1682" s="14">
        <v>3600</v>
      </c>
      <c r="P1682" s="14">
        <v>96</v>
      </c>
      <c r="Q1682" s="14">
        <v>144</v>
      </c>
      <c r="R1682" s="14">
        <v>77.760000000000005</v>
      </c>
      <c r="S1682" s="2" t="s">
        <v>2558</v>
      </c>
      <c r="T1682" s="2">
        <v>1.01</v>
      </c>
      <c r="U1682" s="2">
        <v>62.6</v>
      </c>
      <c r="V1682" s="2">
        <v>57</v>
      </c>
      <c r="W1682" s="2" t="s">
        <v>7862</v>
      </c>
      <c r="X1682" s="2" t="s">
        <v>5405</v>
      </c>
      <c r="Y1682" s="2">
        <v>1944</v>
      </c>
      <c r="Z1682" s="19" t="str">
        <f>HYPERLINK("https://ssdweb.co/ssdweb/hd/Vision360.html?d=926120661&amp;zoomslide=1&amp;z=1926120661&amp;ISCONFIRM=0","VIDEO")</f>
        <v>VIDEO</v>
      </c>
      <c r="AA1682" s="19" t="str">
        <f>HYPERLINK("https://ssdweb.co/ssdweb/CERTH/633473872.pdf","CERTI")</f>
        <v>CERTI</v>
      </c>
    </row>
    <row r="1683" spans="1:27" ht="15" x14ac:dyDescent="0.25">
      <c r="A1683" s="2">
        <v>1678</v>
      </c>
      <c r="B1683" s="39">
        <v>926671039</v>
      </c>
      <c r="C1683" s="28" t="str">
        <f>HYPERLINK("https://pld.live/RapDetail.aspx?STONELIST=926671039","DNA")</f>
        <v>DNA</v>
      </c>
      <c r="D1683" s="18" t="s">
        <v>5466</v>
      </c>
      <c r="E1683" s="18" t="s">
        <v>5128</v>
      </c>
      <c r="F1683" s="2" t="s">
        <v>5597</v>
      </c>
      <c r="G1683" s="2" t="s">
        <v>861</v>
      </c>
      <c r="H1683" s="14">
        <v>0.54</v>
      </c>
      <c r="I1683" s="2" t="s">
        <v>267</v>
      </c>
      <c r="J1683" s="2" t="s">
        <v>3942</v>
      </c>
      <c r="K1683" s="2" t="s">
        <v>5221</v>
      </c>
      <c r="L1683" s="2" t="s">
        <v>5721</v>
      </c>
      <c r="M1683" s="2" t="s">
        <v>5221</v>
      </c>
      <c r="N1683" s="2" t="s">
        <v>2317</v>
      </c>
      <c r="O1683" s="14">
        <v>3600</v>
      </c>
      <c r="P1683" s="14">
        <v>91.42</v>
      </c>
      <c r="Q1683" s="14">
        <v>308.88</v>
      </c>
      <c r="R1683" s="14">
        <v>166.8</v>
      </c>
      <c r="S1683" s="2" t="s">
        <v>5623</v>
      </c>
      <c r="T1683" s="2">
        <v>1</v>
      </c>
      <c r="U1683" s="2">
        <v>60.4</v>
      </c>
      <c r="V1683" s="2">
        <v>59</v>
      </c>
      <c r="W1683" s="2" t="s">
        <v>7862</v>
      </c>
      <c r="X1683" s="2" t="s">
        <v>5405</v>
      </c>
      <c r="Y1683" s="2">
        <v>1944</v>
      </c>
      <c r="Z1683" s="19" t="str">
        <f>HYPERLINK("https://ssdweb.co/ssdweb/hd/Vision360.html?d=926671039&amp;zoomslide=1&amp;z=1926671039&amp;ISCONFIRM=0","VIDEO")</f>
        <v>VIDEO</v>
      </c>
      <c r="AA1683" s="19" t="str">
        <f>HYPERLINK("https://ssdweb.co/ssdweb/CERTH/2506300120.pdf","CERTI")</f>
        <v>CERTI</v>
      </c>
    </row>
    <row r="1684" spans="1:27" ht="15" x14ac:dyDescent="0.25">
      <c r="A1684" s="2">
        <v>1679</v>
      </c>
      <c r="B1684" s="39">
        <v>925840327</v>
      </c>
      <c r="C1684" s="28" t="str">
        <f>HYPERLINK("https://pld.live/RapDetail.aspx?STONELIST=925840327","DNA")</f>
        <v>DNA</v>
      </c>
      <c r="D1684" s="18" t="s">
        <v>5466</v>
      </c>
      <c r="E1684" s="18" t="s">
        <v>5128</v>
      </c>
      <c r="F1684" s="2" t="s">
        <v>5597</v>
      </c>
      <c r="G1684" s="2" t="s">
        <v>861</v>
      </c>
      <c r="H1684" s="14">
        <v>0.54</v>
      </c>
      <c r="I1684" s="2" t="s">
        <v>267</v>
      </c>
      <c r="J1684" s="2" t="s">
        <v>3942</v>
      </c>
      <c r="K1684" s="2" t="s">
        <v>5721</v>
      </c>
      <c r="L1684" s="2" t="s">
        <v>5221</v>
      </c>
      <c r="M1684" s="2" t="s">
        <v>5221</v>
      </c>
      <c r="N1684" s="2" t="s">
        <v>2317</v>
      </c>
      <c r="O1684" s="14">
        <v>3600</v>
      </c>
      <c r="P1684" s="14">
        <v>91.47</v>
      </c>
      <c r="Q1684" s="14">
        <v>307.08</v>
      </c>
      <c r="R1684" s="14">
        <v>165.82</v>
      </c>
      <c r="S1684" s="2" t="s">
        <v>3642</v>
      </c>
      <c r="T1684" s="2">
        <v>1.01</v>
      </c>
      <c r="U1684" s="2">
        <v>62.6</v>
      </c>
      <c r="V1684" s="2">
        <v>59</v>
      </c>
      <c r="W1684" s="2" t="s">
        <v>7862</v>
      </c>
      <c r="X1684" s="2" t="s">
        <v>5405</v>
      </c>
      <c r="Y1684" s="2">
        <v>1944</v>
      </c>
      <c r="Z1684" s="19" t="str">
        <f>HYPERLINK("https://ssdweb.co/ssdweb/hd/Vision360.html?d=925840327&amp;zoomslide=1&amp;z=1925840327&amp;ISCONFIRM=0","VIDEO")</f>
        <v>VIDEO</v>
      </c>
      <c r="AA1684" s="19" t="str">
        <f>HYPERLINK("https://ssdweb.co/ssdweb/CERTH/2487822480.pdf","CERTI")</f>
        <v>CERTI</v>
      </c>
    </row>
    <row r="1685" spans="1:27" ht="15" x14ac:dyDescent="0.25">
      <c r="A1685" s="2">
        <v>1680</v>
      </c>
      <c r="B1685" s="39">
        <v>926221106</v>
      </c>
      <c r="C1685" s="28" t="str">
        <f>HYPERLINK("https://pld.live/RapDetail.aspx?STONELIST=926221106","DNA")</f>
        <v>DNA</v>
      </c>
      <c r="D1685" s="18" t="s">
        <v>5466</v>
      </c>
      <c r="E1685" s="18" t="s">
        <v>5128</v>
      </c>
      <c r="F1685" s="2" t="s">
        <v>7987</v>
      </c>
      <c r="G1685" s="2" t="s">
        <v>861</v>
      </c>
      <c r="H1685" s="14">
        <v>0.54</v>
      </c>
      <c r="I1685" s="2" t="s">
        <v>267</v>
      </c>
      <c r="J1685" s="2" t="s">
        <v>13</v>
      </c>
      <c r="K1685" s="2" t="s">
        <v>3390</v>
      </c>
      <c r="L1685" s="2" t="s">
        <v>5221</v>
      </c>
      <c r="M1685" s="2" t="s">
        <v>5721</v>
      </c>
      <c r="N1685" s="2" t="s">
        <v>2317</v>
      </c>
      <c r="O1685" s="14">
        <v>3000</v>
      </c>
      <c r="P1685" s="14">
        <v>95.43</v>
      </c>
      <c r="Q1685" s="14">
        <v>137.1</v>
      </c>
      <c r="R1685" s="14">
        <v>74.03</v>
      </c>
      <c r="S1685" s="2" t="s">
        <v>2130</v>
      </c>
      <c r="T1685" s="2">
        <v>1.01</v>
      </c>
      <c r="U1685" s="2">
        <v>60.5</v>
      </c>
      <c r="V1685" s="2">
        <v>57</v>
      </c>
      <c r="W1685" s="2" t="s">
        <v>7862</v>
      </c>
      <c r="X1685" s="2" t="s">
        <v>5405</v>
      </c>
      <c r="Y1685" s="2">
        <v>1620</v>
      </c>
      <c r="Z1685" s="19" t="str">
        <f>HYPERLINK("https://ssdweb.co/ssdweb/hd/Vision360.html?d=926221106&amp;zoomslide=1&amp;z=1926221106&amp;ISCONFIRM=0","VIDEO")</f>
        <v>VIDEO</v>
      </c>
      <c r="AA1685" s="19" t="str">
        <f>HYPERLINK("https://ssdweb.co/ssdweb/CERTH/636429773.pdf","CERTI")</f>
        <v>CERTI</v>
      </c>
    </row>
    <row r="1686" spans="1:27" ht="15" x14ac:dyDescent="0.25">
      <c r="A1686" s="2">
        <v>1681</v>
      </c>
      <c r="B1686" s="39">
        <v>925870532</v>
      </c>
      <c r="C1686" s="28" t="str">
        <f>HYPERLINK("https://pld.live/RapDetail.aspx?STONELIST=925870532","DNA")</f>
        <v>DNA</v>
      </c>
      <c r="D1686" s="18" t="s">
        <v>5466</v>
      </c>
      <c r="E1686" s="18" t="s">
        <v>5128</v>
      </c>
      <c r="F1686" s="2" t="s">
        <v>7987</v>
      </c>
      <c r="G1686" s="2" t="s">
        <v>861</v>
      </c>
      <c r="H1686" s="14">
        <v>0.54</v>
      </c>
      <c r="I1686" s="2" t="s">
        <v>267</v>
      </c>
      <c r="J1686" s="2" t="s">
        <v>13</v>
      </c>
      <c r="K1686" s="2" t="s">
        <v>5221</v>
      </c>
      <c r="L1686" s="2" t="s">
        <v>5221</v>
      </c>
      <c r="M1686" s="2" t="s">
        <v>5221</v>
      </c>
      <c r="N1686" s="2" t="s">
        <v>2317</v>
      </c>
      <c r="O1686" s="14">
        <v>3000</v>
      </c>
      <c r="P1686" s="14">
        <v>95.37</v>
      </c>
      <c r="Q1686" s="14">
        <v>138.9</v>
      </c>
      <c r="R1686" s="14">
        <v>75.010000000000005</v>
      </c>
      <c r="S1686" s="2" t="s">
        <v>2587</v>
      </c>
      <c r="T1686" s="2">
        <v>1.01</v>
      </c>
      <c r="U1686" s="2">
        <v>62.7</v>
      </c>
      <c r="V1686" s="2">
        <v>56</v>
      </c>
      <c r="W1686" s="2" t="s">
        <v>7862</v>
      </c>
      <c r="X1686" s="2" t="s">
        <v>5405</v>
      </c>
      <c r="Y1686" s="2">
        <v>1620</v>
      </c>
      <c r="Z1686" s="19" t="str">
        <f>HYPERLINK("https://ssdweb.co/ssdweb/hd/Vision360.html?d=925870532&amp;zoomslide=1&amp;z=1925870532&amp;ISCONFIRM=0","VIDEO")</f>
        <v>VIDEO</v>
      </c>
      <c r="AA1686" s="19" t="str">
        <f>HYPERLINK("https://ssdweb.co/ssdweb/CERTH/627473173.pdf","CERTI")</f>
        <v>CERTI</v>
      </c>
    </row>
    <row r="1687" spans="1:27" ht="15" x14ac:dyDescent="0.25">
      <c r="A1687" s="2">
        <v>1682</v>
      </c>
      <c r="B1687" s="39">
        <v>926671082</v>
      </c>
      <c r="C1687" s="28" t="str">
        <f>HYPERLINK("https://pld.live/RapDetail.aspx?STONELIST=926671082","DNA")</f>
        <v>DNA</v>
      </c>
      <c r="D1687" s="18" t="s">
        <v>5466</v>
      </c>
      <c r="E1687" s="18" t="s">
        <v>5128</v>
      </c>
      <c r="F1687" s="2" t="s">
        <v>5597</v>
      </c>
      <c r="G1687" s="2" t="s">
        <v>861</v>
      </c>
      <c r="H1687" s="14">
        <v>0.54</v>
      </c>
      <c r="I1687" s="2" t="s">
        <v>267</v>
      </c>
      <c r="J1687" s="2" t="s">
        <v>5144</v>
      </c>
      <c r="K1687" s="2" t="s">
        <v>5221</v>
      </c>
      <c r="L1687" s="2" t="s">
        <v>5221</v>
      </c>
      <c r="M1687" s="2" t="s">
        <v>5221</v>
      </c>
      <c r="N1687" s="2" t="s">
        <v>2317</v>
      </c>
      <c r="O1687" s="14">
        <v>2700</v>
      </c>
      <c r="P1687" s="14">
        <v>89.59</v>
      </c>
      <c r="Q1687" s="14">
        <v>281.07</v>
      </c>
      <c r="R1687" s="14">
        <v>151.78</v>
      </c>
      <c r="S1687" s="2" t="s">
        <v>6759</v>
      </c>
      <c r="T1687" s="2">
        <v>1</v>
      </c>
      <c r="U1687" s="2">
        <v>61.6</v>
      </c>
      <c r="V1687" s="2">
        <v>56</v>
      </c>
      <c r="W1687" s="2" t="s">
        <v>7862</v>
      </c>
      <c r="X1687" s="2" t="s">
        <v>5405</v>
      </c>
      <c r="Y1687" s="2">
        <v>1458</v>
      </c>
      <c r="Z1687" s="19" t="str">
        <f>HYPERLINK("https://ssdweb.co/ssdweb/hd/Vision360.html?d=926671082&amp;zoomslide=1&amp;z=1926671082&amp;ISCONFIRM=0","VIDEO")</f>
        <v>VIDEO</v>
      </c>
      <c r="AA1687" s="19" t="str">
        <f>HYPERLINK("https://ssdweb.co/ssdweb/CERTH/2506359650.pdf","CERTI")</f>
        <v>CERTI</v>
      </c>
    </row>
    <row r="1688" spans="1:27" ht="15" x14ac:dyDescent="0.25">
      <c r="A1688" s="2">
        <v>1683</v>
      </c>
      <c r="B1688" s="39">
        <v>925780511</v>
      </c>
      <c r="C1688" s="28" t="str">
        <f>HYPERLINK("https://pld.live/RapDetail.aspx?STONELIST=925780511","DNA")</f>
        <v>DNA</v>
      </c>
      <c r="D1688" s="18" t="s">
        <v>5466</v>
      </c>
      <c r="E1688" s="18" t="s">
        <v>5128</v>
      </c>
      <c r="F1688" s="2" t="s">
        <v>5597</v>
      </c>
      <c r="G1688" s="2" t="s">
        <v>861</v>
      </c>
      <c r="H1688" s="14">
        <v>0.54</v>
      </c>
      <c r="I1688" s="2" t="s">
        <v>267</v>
      </c>
      <c r="J1688" s="2" t="s">
        <v>5144</v>
      </c>
      <c r="K1688" s="2" t="s">
        <v>5221</v>
      </c>
      <c r="L1688" s="2" t="s">
        <v>5221</v>
      </c>
      <c r="M1688" s="2" t="s">
        <v>5221</v>
      </c>
      <c r="N1688" s="2" t="s">
        <v>2317</v>
      </c>
      <c r="O1688" s="14">
        <v>2700</v>
      </c>
      <c r="P1688" s="14">
        <v>89.67</v>
      </c>
      <c r="Q1688" s="14">
        <v>278.91000000000003</v>
      </c>
      <c r="R1688" s="14">
        <v>150.61000000000001</v>
      </c>
      <c r="S1688" s="2" t="s">
        <v>4757</v>
      </c>
      <c r="T1688" s="2">
        <v>1</v>
      </c>
      <c r="U1688" s="2">
        <v>61.4</v>
      </c>
      <c r="V1688" s="2">
        <v>56</v>
      </c>
      <c r="W1688" s="2" t="s">
        <v>7862</v>
      </c>
      <c r="X1688" s="2" t="s">
        <v>5405</v>
      </c>
      <c r="Y1688" s="2">
        <v>1458</v>
      </c>
      <c r="Z1688" s="19" t="str">
        <f>HYPERLINK("https://ssdweb.co/ssdweb/hd/Vision360.html?d=925780511&amp;zoomslide=1&amp;z=1925780511&amp;ISCONFIRM=0","VIDEO")</f>
        <v>VIDEO</v>
      </c>
      <c r="AA1688" s="19" t="str">
        <f>HYPERLINK("https://ssdweb.co/ssdweb/CERTH/7482732303.pdf","CERTI")</f>
        <v>CERTI</v>
      </c>
    </row>
    <row r="1689" spans="1:27" ht="15" x14ac:dyDescent="0.25">
      <c r="A1689" s="2">
        <v>1684</v>
      </c>
      <c r="B1689" s="39">
        <v>925530097</v>
      </c>
      <c r="C1689" s="28" t="str">
        <f>HYPERLINK("https://pld.live/RapDetail.aspx?STONELIST=925530097","DNA")</f>
        <v>DNA</v>
      </c>
      <c r="D1689" s="18" t="s">
        <v>5466</v>
      </c>
      <c r="E1689" s="18" t="s">
        <v>2186</v>
      </c>
      <c r="F1689" s="2" t="s">
        <v>7987</v>
      </c>
      <c r="G1689" s="2" t="s">
        <v>861</v>
      </c>
      <c r="H1689" s="14">
        <v>0.54</v>
      </c>
      <c r="I1689" s="2" t="s">
        <v>267</v>
      </c>
      <c r="J1689" s="2" t="s">
        <v>5144</v>
      </c>
      <c r="K1689" s="2" t="s">
        <v>5221</v>
      </c>
      <c r="L1689" s="2" t="s">
        <v>5221</v>
      </c>
      <c r="M1689" s="2" t="s">
        <v>5221</v>
      </c>
      <c r="N1689" s="2" t="s">
        <v>2317</v>
      </c>
      <c r="O1689" s="14">
        <v>2700</v>
      </c>
      <c r="P1689" s="14">
        <v>95.11</v>
      </c>
      <c r="Q1689" s="14">
        <v>132.03</v>
      </c>
      <c r="R1689" s="14">
        <v>71.3</v>
      </c>
      <c r="S1689" s="2" t="s">
        <v>4965</v>
      </c>
      <c r="T1689" s="2">
        <v>1.01</v>
      </c>
      <c r="U1689" s="2">
        <v>59.4</v>
      </c>
      <c r="V1689" s="2">
        <v>60</v>
      </c>
      <c r="W1689" s="2" t="s">
        <v>7862</v>
      </c>
      <c r="X1689" s="2" t="s">
        <v>5405</v>
      </c>
      <c r="Y1689" s="2">
        <v>1458</v>
      </c>
      <c r="Z1689" s="19" t="str">
        <f>HYPERLINK("https://ssdweb.co/ssdweb/hd/Vision360.html?d=925530097&amp;zoomslide=1&amp;z=1925530097&amp;ISCONFIRM=0","VIDEO")</f>
        <v>VIDEO</v>
      </c>
      <c r="AA1689" s="19" t="str">
        <f>HYPERLINK("https://ssdweb.co/ssdweb/CERTH/617485782.pdf","CERTI")</f>
        <v>CERTI</v>
      </c>
    </row>
    <row r="1690" spans="1:27" ht="15" x14ac:dyDescent="0.25">
      <c r="A1690" s="2">
        <v>1685</v>
      </c>
      <c r="B1690" s="39">
        <v>926120715</v>
      </c>
      <c r="C1690" s="28" t="str">
        <f>HYPERLINK("https://pld.live/RapDetail.aspx?STONELIST=926120715","DNA")</f>
        <v>DNA</v>
      </c>
      <c r="D1690" s="18" t="s">
        <v>5466</v>
      </c>
      <c r="E1690" s="18" t="s">
        <v>5128</v>
      </c>
      <c r="F1690" s="2" t="s">
        <v>5597</v>
      </c>
      <c r="G1690" s="2" t="s">
        <v>861</v>
      </c>
      <c r="H1690" s="14">
        <v>0.54</v>
      </c>
      <c r="I1690" s="2" t="s">
        <v>267</v>
      </c>
      <c r="J1690" s="2" t="s">
        <v>5144</v>
      </c>
      <c r="K1690" s="2" t="s">
        <v>5221</v>
      </c>
      <c r="L1690" s="2" t="s">
        <v>5221</v>
      </c>
      <c r="M1690" s="2" t="s">
        <v>5221</v>
      </c>
      <c r="N1690" s="2" t="s">
        <v>2317</v>
      </c>
      <c r="O1690" s="14">
        <v>2700</v>
      </c>
      <c r="P1690" s="14">
        <v>89.67</v>
      </c>
      <c r="Q1690" s="14">
        <v>278.91000000000003</v>
      </c>
      <c r="R1690" s="14">
        <v>150.61000000000001</v>
      </c>
      <c r="S1690" s="2" t="s">
        <v>1861</v>
      </c>
      <c r="T1690" s="2">
        <v>1.01</v>
      </c>
      <c r="U1690" s="2">
        <v>60.5</v>
      </c>
      <c r="V1690" s="2">
        <v>58</v>
      </c>
      <c r="W1690" s="2" t="s">
        <v>7862</v>
      </c>
      <c r="X1690" s="2" t="s">
        <v>5405</v>
      </c>
      <c r="Y1690" s="2">
        <v>1458</v>
      </c>
      <c r="Z1690" s="19" t="str">
        <f>HYPERLINK("https://ssdweb.co/ssdweb/hd/Vision360.html?d=926120715&amp;zoomslide=1&amp;z=1926120715&amp;ISCONFIRM=0","VIDEO")</f>
        <v>VIDEO</v>
      </c>
      <c r="AA1690" s="19" t="str">
        <f>HYPERLINK("https://ssdweb.co/ssdweb/CERTH/2494318210.pdf","CERTI")</f>
        <v>CERTI</v>
      </c>
    </row>
    <row r="1691" spans="1:27" ht="15" x14ac:dyDescent="0.25">
      <c r="A1691" s="2">
        <v>1686</v>
      </c>
      <c r="B1691" s="39">
        <v>925280150</v>
      </c>
      <c r="C1691" s="28" t="str">
        <f>HYPERLINK("https://pld.live/RapDetail.aspx?STONELIST=925280150","DNA")</f>
        <v>DNA</v>
      </c>
      <c r="D1691" s="18" t="s">
        <v>5466</v>
      </c>
      <c r="E1691" s="18" t="s">
        <v>5128</v>
      </c>
      <c r="F1691" s="2" t="s">
        <v>5597</v>
      </c>
      <c r="G1691" s="2" t="s">
        <v>861</v>
      </c>
      <c r="H1691" s="14">
        <v>0.54</v>
      </c>
      <c r="I1691" s="2" t="s">
        <v>4761</v>
      </c>
      <c r="J1691" s="2" t="s">
        <v>6555</v>
      </c>
      <c r="K1691" s="2" t="s">
        <v>5221</v>
      </c>
      <c r="L1691" s="2" t="s">
        <v>5221</v>
      </c>
      <c r="M1691" s="2" t="s">
        <v>5221</v>
      </c>
      <c r="N1691" s="2" t="s">
        <v>2317</v>
      </c>
      <c r="O1691" s="14">
        <v>4000</v>
      </c>
      <c r="P1691" s="14">
        <v>90.33</v>
      </c>
      <c r="Q1691" s="14">
        <v>386.8</v>
      </c>
      <c r="R1691" s="14">
        <v>208.87</v>
      </c>
      <c r="S1691" s="2" t="s">
        <v>4002</v>
      </c>
      <c r="T1691" s="2">
        <v>1.01</v>
      </c>
      <c r="U1691" s="2">
        <v>62.3</v>
      </c>
      <c r="V1691" s="2">
        <v>56</v>
      </c>
      <c r="W1691" s="2" t="s">
        <v>7862</v>
      </c>
      <c r="X1691" s="2" t="s">
        <v>5405</v>
      </c>
      <c r="Y1691" s="2">
        <v>2160</v>
      </c>
      <c r="Z1691" s="19" t="str">
        <f>HYPERLINK("https://ssdweb.co/ssdweb/hd/Vision360.html?d=925280150&amp;zoomslide=1&amp;z=1925280150&amp;ISCONFIRM=0","VIDEO")</f>
        <v>VIDEO</v>
      </c>
      <c r="AA1691" s="19" t="str">
        <f>HYPERLINK("https://ssdweb.co/ssdweb/CERTH/5486199561.pdf","CERTI")</f>
        <v>CERTI</v>
      </c>
    </row>
    <row r="1692" spans="1:27" ht="15" x14ac:dyDescent="0.25">
      <c r="A1692" s="2">
        <v>1687</v>
      </c>
      <c r="B1692" s="39">
        <v>925680074</v>
      </c>
      <c r="C1692" s="28" t="str">
        <f>HYPERLINK("https://pld.live/RapDetail.aspx?STONELIST=925680074","DNA")</f>
        <v>DNA</v>
      </c>
      <c r="D1692" s="18" t="s">
        <v>5466</v>
      </c>
      <c r="E1692" s="18" t="s">
        <v>2186</v>
      </c>
      <c r="F1692" s="2" t="s">
        <v>7987</v>
      </c>
      <c r="G1692" s="2" t="s">
        <v>861</v>
      </c>
      <c r="H1692" s="14">
        <v>0.54</v>
      </c>
      <c r="I1692" s="2" t="s">
        <v>4761</v>
      </c>
      <c r="J1692" s="2" t="s">
        <v>5144</v>
      </c>
      <c r="K1692" s="2" t="s">
        <v>3390</v>
      </c>
      <c r="L1692" s="2" t="s">
        <v>5221</v>
      </c>
      <c r="M1692" s="2" t="s">
        <v>5721</v>
      </c>
      <c r="N1692" s="2" t="s">
        <v>2317</v>
      </c>
      <c r="O1692" s="14">
        <v>2500</v>
      </c>
      <c r="P1692" s="14">
        <v>94.8</v>
      </c>
      <c r="Q1692" s="14">
        <v>130</v>
      </c>
      <c r="R1692" s="14">
        <v>70.2</v>
      </c>
      <c r="S1692" s="2" t="s">
        <v>2702</v>
      </c>
      <c r="T1692" s="2">
        <v>1.01</v>
      </c>
      <c r="U1692" s="2">
        <v>61.2</v>
      </c>
      <c r="V1692" s="2">
        <v>60</v>
      </c>
      <c r="W1692" s="2" t="s">
        <v>7862</v>
      </c>
      <c r="X1692" s="2" t="s">
        <v>5405</v>
      </c>
      <c r="Y1692" s="2">
        <v>1350</v>
      </c>
      <c r="Z1692" s="19" t="str">
        <f>HYPERLINK("https://ssdweb.co/ssdweb/hd/Vision360.html?d=925680074&amp;zoomslide=1&amp;z=1925680074&amp;ISCONFIRM=0","VIDEO")</f>
        <v>VIDEO</v>
      </c>
      <c r="AA1692" s="19" t="str">
        <f>HYPERLINK("https://ssdweb.co/ssdweb/CERTH/624499582.pdf","CERTI")</f>
        <v>CERTI</v>
      </c>
    </row>
    <row r="1693" spans="1:27" ht="15" x14ac:dyDescent="0.25">
      <c r="A1693" s="2">
        <v>1688</v>
      </c>
      <c r="B1693" s="39">
        <v>926671075</v>
      </c>
      <c r="C1693" s="28" t="str">
        <f>HYPERLINK("https://pld.live/RapDetail.aspx?STONELIST=926671075","DNA")</f>
        <v>DNA</v>
      </c>
      <c r="D1693" s="18" t="s">
        <v>5466</v>
      </c>
      <c r="E1693" s="18" t="s">
        <v>5128</v>
      </c>
      <c r="F1693" s="2" t="s">
        <v>7987</v>
      </c>
      <c r="G1693" s="2" t="s">
        <v>861</v>
      </c>
      <c r="H1693" s="14">
        <v>0.53</v>
      </c>
      <c r="I1693" s="2" t="s">
        <v>267</v>
      </c>
      <c r="J1693" s="2" t="s">
        <v>3942</v>
      </c>
      <c r="K1693" s="2" t="s">
        <v>3390</v>
      </c>
      <c r="L1693" s="2" t="s">
        <v>5221</v>
      </c>
      <c r="M1693" s="2" t="s">
        <v>5221</v>
      </c>
      <c r="N1693" s="2" t="s">
        <v>2317</v>
      </c>
      <c r="O1693" s="14">
        <v>3600</v>
      </c>
      <c r="P1693" s="14">
        <v>95.83</v>
      </c>
      <c r="Q1693" s="14">
        <v>150.12</v>
      </c>
      <c r="R1693" s="14">
        <v>79.56</v>
      </c>
      <c r="S1693" s="2" t="s">
        <v>2357</v>
      </c>
      <c r="T1693" s="2">
        <v>1</v>
      </c>
      <c r="U1693" s="2">
        <v>61.9</v>
      </c>
      <c r="V1693" s="2">
        <v>59</v>
      </c>
      <c r="W1693" s="2" t="s">
        <v>7862</v>
      </c>
      <c r="X1693" s="2" t="s">
        <v>5405</v>
      </c>
      <c r="Y1693" s="2">
        <v>1908</v>
      </c>
      <c r="Z1693" s="19" t="str">
        <f>HYPERLINK("https://ssdweb.co/ssdweb/hd/Vision360.html?d=926671075&amp;zoomslide=1&amp;z=1926671075&amp;ISCONFIRM=0","VIDEO")</f>
        <v>VIDEO</v>
      </c>
      <c r="AA1693" s="19" t="str">
        <f>HYPERLINK("https://ssdweb.co/ssdweb/CERTH/670484234.pdf","CERTI")</f>
        <v>CERTI</v>
      </c>
    </row>
    <row r="1694" spans="1:27" ht="15" x14ac:dyDescent="0.25">
      <c r="A1694" s="2">
        <v>1689</v>
      </c>
      <c r="B1694" s="39">
        <v>821125950</v>
      </c>
      <c r="C1694" s="28" t="str">
        <f>HYPERLINK("https://pld.live/RapDetail.aspx?STONELIST=821125950","DNA")</f>
        <v>DNA</v>
      </c>
      <c r="D1694" s="18" t="s">
        <v>5466</v>
      </c>
      <c r="E1694" s="18" t="s">
        <v>5128</v>
      </c>
      <c r="F1694" s="2" t="s">
        <v>7987</v>
      </c>
      <c r="G1694" s="2" t="s">
        <v>861</v>
      </c>
      <c r="H1694" s="14">
        <v>0.53</v>
      </c>
      <c r="I1694" s="2" t="s">
        <v>267</v>
      </c>
      <c r="J1694" s="2" t="s">
        <v>3942</v>
      </c>
      <c r="K1694" s="2" t="s">
        <v>3390</v>
      </c>
      <c r="L1694" s="2" t="s">
        <v>5221</v>
      </c>
      <c r="M1694" s="2" t="s">
        <v>5221</v>
      </c>
      <c r="N1694" s="2" t="s">
        <v>2317</v>
      </c>
      <c r="O1694" s="14">
        <v>3600</v>
      </c>
      <c r="P1694" s="14">
        <v>96.06</v>
      </c>
      <c r="Q1694" s="14">
        <v>141.84</v>
      </c>
      <c r="R1694" s="14">
        <v>75.180000000000007</v>
      </c>
      <c r="S1694" s="2" t="s">
        <v>1822</v>
      </c>
      <c r="T1694" s="2">
        <v>1.01</v>
      </c>
      <c r="U1694" s="2">
        <v>60.3</v>
      </c>
      <c r="V1694" s="2">
        <v>59</v>
      </c>
      <c r="W1694" s="2" t="s">
        <v>7862</v>
      </c>
      <c r="X1694" s="2" t="s">
        <v>5405</v>
      </c>
      <c r="Y1694" s="2">
        <v>1908</v>
      </c>
      <c r="Z1694" s="19" t="str">
        <f>HYPERLINK("https://ssdweb.co/ssdweb/hd/Vision360.html?d=821125950&amp;zoomslide=1&amp;z=1821125950&amp;ISCONFIRM=0","VIDEO")</f>
        <v>VIDEO</v>
      </c>
      <c r="AA1694" s="19" t="str">
        <f>HYPERLINK("https://ssdweb.co/ssdweb/CERTH/620423805.pdf","CERTI")</f>
        <v>CERTI</v>
      </c>
    </row>
    <row r="1695" spans="1:27" ht="15" x14ac:dyDescent="0.25">
      <c r="A1695" s="2">
        <v>1690</v>
      </c>
      <c r="B1695" s="39">
        <v>941390361</v>
      </c>
      <c r="C1695" s="28" t="str">
        <f>HYPERLINK("https://pld.live/RapDetail.aspx?STONELIST=941390361","DNA")</f>
        <v>DNA</v>
      </c>
      <c r="D1695" s="18" t="s">
        <v>5466</v>
      </c>
      <c r="E1695" s="18" t="s">
        <v>2186</v>
      </c>
      <c r="F1695" s="2" t="s">
        <v>7987</v>
      </c>
      <c r="G1695" s="2" t="s">
        <v>861</v>
      </c>
      <c r="H1695" s="14">
        <v>0.53</v>
      </c>
      <c r="I1695" s="2" t="s">
        <v>267</v>
      </c>
      <c r="J1695" s="2" t="s">
        <v>3942</v>
      </c>
      <c r="K1695" s="2" t="s">
        <v>3390</v>
      </c>
      <c r="L1695" s="2" t="s">
        <v>5221</v>
      </c>
      <c r="M1695" s="2" t="s">
        <v>5221</v>
      </c>
      <c r="N1695" s="2" t="s">
        <v>2317</v>
      </c>
      <c r="O1695" s="14">
        <v>3600</v>
      </c>
      <c r="P1695" s="14">
        <v>95.83</v>
      </c>
      <c r="Q1695" s="14">
        <v>150.12</v>
      </c>
      <c r="R1695" s="14">
        <v>79.56</v>
      </c>
      <c r="S1695" s="2" t="s">
        <v>664</v>
      </c>
      <c r="T1695" s="2">
        <v>1.01</v>
      </c>
      <c r="U1695" s="2">
        <v>62.1</v>
      </c>
      <c r="V1695" s="2">
        <v>57</v>
      </c>
      <c r="W1695" s="2" t="s">
        <v>7862</v>
      </c>
      <c r="X1695" s="2" t="s">
        <v>5405</v>
      </c>
      <c r="Y1695" s="2">
        <v>1908</v>
      </c>
      <c r="Z1695" s="19" t="str">
        <f>HYPERLINK("https://ssdweb.co/ssdweb/hd/Vision360.html?d=941390361&amp;zoomslide=1&amp;z=1941390361&amp;ISCONFIRM=0","VIDEO")</f>
        <v>VIDEO</v>
      </c>
      <c r="AA1695" s="19" t="str">
        <f>HYPERLINK("https://ssdweb.co/ssdweb/CERTH/689543213.pdf","CERTI")</f>
        <v>CERTI</v>
      </c>
    </row>
    <row r="1696" spans="1:27" ht="15" x14ac:dyDescent="0.25">
      <c r="A1696" s="2">
        <v>1691</v>
      </c>
      <c r="B1696" s="39">
        <v>926220696</v>
      </c>
      <c r="C1696" s="28" t="str">
        <f>HYPERLINK("https://pld.live/RapDetail.aspx?STONELIST=926220696","DNA")</f>
        <v>DNA</v>
      </c>
      <c r="D1696" s="18" t="s">
        <v>5466</v>
      </c>
      <c r="E1696" s="18" t="s">
        <v>5128</v>
      </c>
      <c r="F1696" s="2" t="s">
        <v>7987</v>
      </c>
      <c r="G1696" s="2" t="s">
        <v>861</v>
      </c>
      <c r="H1696" s="14">
        <v>0.53</v>
      </c>
      <c r="I1696" s="2" t="s">
        <v>267</v>
      </c>
      <c r="J1696" s="2" t="s">
        <v>3942</v>
      </c>
      <c r="K1696" s="2" t="s">
        <v>3390</v>
      </c>
      <c r="L1696" s="2" t="s">
        <v>5221</v>
      </c>
      <c r="M1696" s="2" t="s">
        <v>5721</v>
      </c>
      <c r="N1696" s="2" t="s">
        <v>2317</v>
      </c>
      <c r="O1696" s="14">
        <v>3600</v>
      </c>
      <c r="P1696" s="14">
        <v>96.06</v>
      </c>
      <c r="Q1696" s="14">
        <v>141.84</v>
      </c>
      <c r="R1696" s="14">
        <v>75.180000000000007</v>
      </c>
      <c r="S1696" s="2" t="s">
        <v>7872</v>
      </c>
      <c r="T1696" s="2">
        <v>1.01</v>
      </c>
      <c r="U1696" s="2">
        <v>61.6</v>
      </c>
      <c r="V1696" s="2">
        <v>58</v>
      </c>
      <c r="W1696" s="2" t="s">
        <v>7862</v>
      </c>
      <c r="X1696" s="2" t="s">
        <v>5405</v>
      </c>
      <c r="Y1696" s="2">
        <v>1908</v>
      </c>
      <c r="Z1696" s="19" t="str">
        <f>HYPERLINK("https://ssdweb.co/ssdweb/hd/Vision360.html?d=926220696&amp;zoomslide=1&amp;z=1926220696&amp;ISCONFIRM=0","VIDEO")</f>
        <v>VIDEO</v>
      </c>
      <c r="AA1696" s="19" t="str">
        <f>HYPERLINK("https://ssdweb.co/ssdweb/CERTH/635427045.pdf","CERTI")</f>
        <v>CERTI</v>
      </c>
    </row>
    <row r="1697" spans="1:27" ht="15" x14ac:dyDescent="0.25">
      <c r="A1697" s="2">
        <v>1692</v>
      </c>
      <c r="B1697" s="39">
        <v>925780640</v>
      </c>
      <c r="C1697" s="28" t="str">
        <f>HYPERLINK("https://pld.live/RapDetail.aspx?STONELIST=925780640","DNA")</f>
        <v>DNA</v>
      </c>
      <c r="D1697" s="18" t="s">
        <v>5466</v>
      </c>
      <c r="E1697" s="18" t="s">
        <v>5128</v>
      </c>
      <c r="F1697" s="2" t="s">
        <v>7987</v>
      </c>
      <c r="G1697" s="2" t="s">
        <v>861</v>
      </c>
      <c r="H1697" s="14">
        <v>0.53</v>
      </c>
      <c r="I1697" s="2" t="s">
        <v>267</v>
      </c>
      <c r="J1697" s="2" t="s">
        <v>3942</v>
      </c>
      <c r="K1697" s="2" t="s">
        <v>5221</v>
      </c>
      <c r="L1697" s="2" t="s">
        <v>5221</v>
      </c>
      <c r="M1697" s="2" t="s">
        <v>5221</v>
      </c>
      <c r="N1697" s="2" t="s">
        <v>2317</v>
      </c>
      <c r="O1697" s="14">
        <v>3600</v>
      </c>
      <c r="P1697" s="14">
        <v>96</v>
      </c>
      <c r="Q1697" s="14">
        <v>144</v>
      </c>
      <c r="R1697" s="14">
        <v>76.319999999999993</v>
      </c>
      <c r="S1697" s="2" t="s">
        <v>2642</v>
      </c>
      <c r="T1697" s="2">
        <v>1</v>
      </c>
      <c r="U1697" s="2">
        <v>60.5</v>
      </c>
      <c r="V1697" s="2">
        <v>61</v>
      </c>
      <c r="W1697" s="2" t="s">
        <v>7862</v>
      </c>
      <c r="X1697" s="2" t="s">
        <v>5405</v>
      </c>
      <c r="Y1697" s="2">
        <v>1908</v>
      </c>
      <c r="Z1697" s="19" t="str">
        <f>HYPERLINK("https://ssdweb.co/ssdweb/hd/Vision360.html?d=925780640&amp;zoomslide=1&amp;z=1925780640&amp;ISCONFIRM=0","VIDEO")</f>
        <v>VIDEO</v>
      </c>
      <c r="AA1697" s="19" t="str">
        <f>HYPERLINK("https://ssdweb.co/ssdweb/CERTH/625457858.pdf","CERTI")</f>
        <v>CERTI</v>
      </c>
    </row>
    <row r="1698" spans="1:27" ht="15" x14ac:dyDescent="0.25">
      <c r="A1698" s="2">
        <v>1693</v>
      </c>
      <c r="B1698" s="39">
        <v>925910750</v>
      </c>
      <c r="C1698" s="28" t="str">
        <f>HYPERLINK("https://pld.live/RapDetail.aspx?STONELIST=925910750","DNA")</f>
        <v>DNA</v>
      </c>
      <c r="D1698" s="18" t="s">
        <v>5466</v>
      </c>
      <c r="E1698" s="18" t="s">
        <v>5128</v>
      </c>
      <c r="F1698" s="2" t="s">
        <v>7987</v>
      </c>
      <c r="G1698" s="2" t="s">
        <v>861</v>
      </c>
      <c r="H1698" s="14">
        <v>0.53</v>
      </c>
      <c r="I1698" s="2" t="s">
        <v>267</v>
      </c>
      <c r="J1698" s="2" t="s">
        <v>3942</v>
      </c>
      <c r="K1698" s="2" t="s">
        <v>5221</v>
      </c>
      <c r="L1698" s="2" t="s">
        <v>5221</v>
      </c>
      <c r="M1698" s="2" t="s">
        <v>5221</v>
      </c>
      <c r="N1698" s="2" t="s">
        <v>2317</v>
      </c>
      <c r="O1698" s="14">
        <v>3600</v>
      </c>
      <c r="P1698" s="14">
        <v>96</v>
      </c>
      <c r="Q1698" s="14">
        <v>144</v>
      </c>
      <c r="R1698" s="14">
        <v>76.319999999999993</v>
      </c>
      <c r="S1698" s="2" t="s">
        <v>7481</v>
      </c>
      <c r="T1698" s="2">
        <v>1</v>
      </c>
      <c r="U1698" s="2">
        <v>62.7</v>
      </c>
      <c r="V1698" s="2">
        <v>57</v>
      </c>
      <c r="W1698" s="2" t="s">
        <v>7862</v>
      </c>
      <c r="X1698" s="2" t="s">
        <v>5405</v>
      </c>
      <c r="Y1698" s="2">
        <v>1908</v>
      </c>
      <c r="Z1698" s="19" t="str">
        <f>HYPERLINK("https://ssdweb.co/ssdweb/hd/Vision360.html?d=925910750&amp;zoomslide=1&amp;z=1925910750&amp;ISCONFIRM=0","VIDEO")</f>
        <v>VIDEO</v>
      </c>
      <c r="AA1698" s="19" t="str">
        <f>HYPERLINK("https://ssdweb.co/ssdweb/CERTH/628426237.pdf","CERTI")</f>
        <v>CERTI</v>
      </c>
    </row>
    <row r="1699" spans="1:27" ht="15" x14ac:dyDescent="0.25">
      <c r="A1699" s="2">
        <v>1694</v>
      </c>
      <c r="B1699" s="39">
        <v>821125985</v>
      </c>
      <c r="C1699" s="28" t="str">
        <f>HYPERLINK("https://pld.live/RapDetail.aspx?STONELIST=821125985","DNA")</f>
        <v>DNA</v>
      </c>
      <c r="D1699" s="18" t="s">
        <v>5466</v>
      </c>
      <c r="E1699" s="18" t="s">
        <v>5128</v>
      </c>
      <c r="F1699" s="2" t="s">
        <v>7987</v>
      </c>
      <c r="G1699" s="2" t="s">
        <v>861</v>
      </c>
      <c r="H1699" s="14">
        <v>0.53</v>
      </c>
      <c r="I1699" s="2" t="s">
        <v>267</v>
      </c>
      <c r="J1699" s="2" t="s">
        <v>3942</v>
      </c>
      <c r="K1699" s="2" t="s">
        <v>5221</v>
      </c>
      <c r="L1699" s="2" t="s">
        <v>5221</v>
      </c>
      <c r="M1699" s="2" t="s">
        <v>5221</v>
      </c>
      <c r="N1699" s="2" t="s">
        <v>2317</v>
      </c>
      <c r="O1699" s="14">
        <v>3600</v>
      </c>
      <c r="P1699" s="14">
        <v>96.06</v>
      </c>
      <c r="Q1699" s="14">
        <v>141.84</v>
      </c>
      <c r="R1699" s="14">
        <v>75.180000000000007</v>
      </c>
      <c r="S1699" s="2" t="s">
        <v>7837</v>
      </c>
      <c r="T1699" s="2">
        <v>1.01</v>
      </c>
      <c r="U1699" s="2">
        <v>62.3</v>
      </c>
      <c r="V1699" s="2">
        <v>58</v>
      </c>
      <c r="W1699" s="2" t="s">
        <v>7862</v>
      </c>
      <c r="X1699" s="2" t="s">
        <v>5405</v>
      </c>
      <c r="Y1699" s="2">
        <v>1908</v>
      </c>
      <c r="Z1699" s="19" t="str">
        <f>HYPERLINK("https://ssdweb.co/ssdweb/hd/Vision360.html?d=821125985&amp;zoomslide=1&amp;z=1821125985&amp;ISCONFIRM=0","VIDEO")</f>
        <v>VIDEO</v>
      </c>
      <c r="AA1699" s="19" t="str">
        <f>HYPERLINK("https://ssdweb.co/ssdweb/CERTH/619469257.pdf","CERTI")</f>
        <v>CERTI</v>
      </c>
    </row>
    <row r="1700" spans="1:27" ht="15" x14ac:dyDescent="0.25">
      <c r="A1700" s="2">
        <v>1695</v>
      </c>
      <c r="B1700" s="39">
        <v>821125976</v>
      </c>
      <c r="C1700" s="28" t="str">
        <f>HYPERLINK("https://pld.live/RapDetail.aspx?STONELIST=821125976","DNA")</f>
        <v>DNA</v>
      </c>
      <c r="D1700" s="18" t="s">
        <v>5466</v>
      </c>
      <c r="E1700" s="18" t="s">
        <v>5128</v>
      </c>
      <c r="F1700" s="2" t="s">
        <v>7987</v>
      </c>
      <c r="G1700" s="2" t="s">
        <v>861</v>
      </c>
      <c r="H1700" s="14">
        <v>0.53</v>
      </c>
      <c r="I1700" s="2" t="s">
        <v>267</v>
      </c>
      <c r="J1700" s="2" t="s">
        <v>3942</v>
      </c>
      <c r="K1700" s="2" t="s">
        <v>5221</v>
      </c>
      <c r="L1700" s="2" t="s">
        <v>5221</v>
      </c>
      <c r="M1700" s="2" t="s">
        <v>5221</v>
      </c>
      <c r="N1700" s="2" t="s">
        <v>2317</v>
      </c>
      <c r="O1700" s="14">
        <v>3600</v>
      </c>
      <c r="P1700" s="14">
        <v>96.06</v>
      </c>
      <c r="Q1700" s="14">
        <v>141.84</v>
      </c>
      <c r="R1700" s="14">
        <v>75.180000000000007</v>
      </c>
      <c r="S1700" s="2" t="s">
        <v>3820</v>
      </c>
      <c r="T1700" s="2">
        <v>1.01</v>
      </c>
      <c r="U1700" s="2">
        <v>62.7</v>
      </c>
      <c r="V1700" s="2">
        <v>57</v>
      </c>
      <c r="W1700" s="2" t="s">
        <v>7862</v>
      </c>
      <c r="X1700" s="2" t="s">
        <v>5405</v>
      </c>
      <c r="Y1700" s="2">
        <v>1908</v>
      </c>
      <c r="Z1700" s="19" t="str">
        <f>HYPERLINK("https://ssdweb.co/ssdweb/hd/Vision360.html?d=821125976&amp;zoomslide=1&amp;z=1821125976&amp;ISCONFIRM=0","VIDEO")</f>
        <v>VIDEO</v>
      </c>
      <c r="AA1700" s="19" t="str">
        <f>HYPERLINK("https://ssdweb.co/ssdweb/CERTH/620423767.pdf","CERTI")</f>
        <v>CERTI</v>
      </c>
    </row>
    <row r="1701" spans="1:27" ht="15" x14ac:dyDescent="0.25">
      <c r="A1701" s="2">
        <v>1696</v>
      </c>
      <c r="B1701" s="39">
        <v>925290407</v>
      </c>
      <c r="C1701" s="28" t="str">
        <f>HYPERLINK("https://pld.live/RapDetail.aspx?STONELIST=925290407","DNA")</f>
        <v>DNA</v>
      </c>
      <c r="D1701" s="18" t="s">
        <v>5466</v>
      </c>
      <c r="E1701" s="18" t="s">
        <v>5128</v>
      </c>
      <c r="F1701" s="2" t="s">
        <v>7987</v>
      </c>
      <c r="G1701" s="2" t="s">
        <v>861</v>
      </c>
      <c r="H1701" s="14">
        <v>0.53</v>
      </c>
      <c r="I1701" s="2" t="s">
        <v>267</v>
      </c>
      <c r="J1701" s="2" t="s">
        <v>3942</v>
      </c>
      <c r="K1701" s="2" t="s">
        <v>5221</v>
      </c>
      <c r="L1701" s="2" t="s">
        <v>5221</v>
      </c>
      <c r="M1701" s="2" t="s">
        <v>5221</v>
      </c>
      <c r="N1701" s="2" t="s">
        <v>2317</v>
      </c>
      <c r="O1701" s="14">
        <v>3600</v>
      </c>
      <c r="P1701" s="14">
        <v>96.06</v>
      </c>
      <c r="Q1701" s="14">
        <v>141.84</v>
      </c>
      <c r="R1701" s="14">
        <v>75.180000000000007</v>
      </c>
      <c r="S1701" s="2" t="s">
        <v>7351</v>
      </c>
      <c r="T1701" s="2">
        <v>1.01</v>
      </c>
      <c r="U1701" s="2">
        <v>59.1</v>
      </c>
      <c r="V1701" s="2">
        <v>60</v>
      </c>
      <c r="W1701" s="2" t="s">
        <v>7862</v>
      </c>
      <c r="X1701" s="2" t="s">
        <v>5405</v>
      </c>
      <c r="Y1701" s="2">
        <v>1908</v>
      </c>
      <c r="Z1701" s="19" t="str">
        <f>HYPERLINK("https://ssdweb.co/ssdweb/hd/Vision360.html?d=925290407&amp;zoomslide=1&amp;z=1925290407&amp;ISCONFIRM=0","VIDEO")</f>
        <v>VIDEO</v>
      </c>
      <c r="AA1701" s="19" t="str">
        <f>HYPERLINK("https://ssdweb.co/ssdweb/CERTH/615370291.pdf","CERTI")</f>
        <v>CERTI</v>
      </c>
    </row>
    <row r="1702" spans="1:27" ht="15" x14ac:dyDescent="0.25">
      <c r="A1702" s="2">
        <v>1697</v>
      </c>
      <c r="B1702" s="39">
        <v>941280389</v>
      </c>
      <c r="C1702" s="28" t="str">
        <f>HYPERLINK("https://pld.live/RapDetail.aspx?STONELIST=941280389","DNA")</f>
        <v>DNA</v>
      </c>
      <c r="D1702" s="18" t="s">
        <v>5466</v>
      </c>
      <c r="E1702" s="18" t="s">
        <v>2186</v>
      </c>
      <c r="F1702" s="2" t="s">
        <v>7987</v>
      </c>
      <c r="G1702" s="2" t="s">
        <v>861</v>
      </c>
      <c r="H1702" s="14">
        <v>0.53</v>
      </c>
      <c r="I1702" s="2" t="s">
        <v>267</v>
      </c>
      <c r="J1702" s="2" t="s">
        <v>3942</v>
      </c>
      <c r="K1702" s="2" t="s">
        <v>5221</v>
      </c>
      <c r="L1702" s="2" t="s">
        <v>5221</v>
      </c>
      <c r="M1702" s="2" t="s">
        <v>5221</v>
      </c>
      <c r="N1702" s="2" t="s">
        <v>2317</v>
      </c>
      <c r="O1702" s="14">
        <v>3600</v>
      </c>
      <c r="P1702" s="14">
        <v>95.83</v>
      </c>
      <c r="Q1702" s="14">
        <v>150.12</v>
      </c>
      <c r="R1702" s="14">
        <v>79.56</v>
      </c>
      <c r="S1702" s="2" t="s">
        <v>6975</v>
      </c>
      <c r="T1702" s="2">
        <v>1</v>
      </c>
      <c r="U1702" s="2">
        <v>61.7</v>
      </c>
      <c r="V1702" s="2">
        <v>58</v>
      </c>
      <c r="W1702" s="2" t="s">
        <v>7862</v>
      </c>
      <c r="X1702" s="2" t="s">
        <v>5405</v>
      </c>
      <c r="Y1702" s="2">
        <v>1908</v>
      </c>
      <c r="Z1702" s="19" t="str">
        <f>HYPERLINK("https://ssdweb.co/ssdweb/hd/Vision360.html?d=941280389&amp;zoomslide=1&amp;z=1941280389&amp;ISCONFIRM=0","VIDEO")</f>
        <v>VIDEO</v>
      </c>
      <c r="AA1702" s="19" t="str">
        <f>HYPERLINK("https://ssdweb.co/ssdweb/CERTH/685590541.pdf","CERTI")</f>
        <v>CERTI</v>
      </c>
    </row>
    <row r="1703" spans="1:27" ht="15" x14ac:dyDescent="0.25">
      <c r="A1703" s="2">
        <v>1698</v>
      </c>
      <c r="B1703" s="39">
        <v>925290284</v>
      </c>
      <c r="C1703" s="28" t="str">
        <f>HYPERLINK("https://pld.live/RapDetail.aspx?STONELIST=925290284","DNA")</f>
        <v>DNA</v>
      </c>
      <c r="D1703" s="18" t="s">
        <v>5466</v>
      </c>
      <c r="E1703" s="18" t="s">
        <v>5128</v>
      </c>
      <c r="F1703" s="2" t="s">
        <v>5597</v>
      </c>
      <c r="G1703" s="2" t="s">
        <v>861</v>
      </c>
      <c r="H1703" s="14">
        <v>0.53</v>
      </c>
      <c r="I1703" s="2" t="s">
        <v>267</v>
      </c>
      <c r="J1703" s="2" t="s">
        <v>3942</v>
      </c>
      <c r="K1703" s="2" t="s">
        <v>5221</v>
      </c>
      <c r="L1703" s="2" t="s">
        <v>5721</v>
      </c>
      <c r="M1703" s="2" t="s">
        <v>5221</v>
      </c>
      <c r="N1703" s="2" t="s">
        <v>2317</v>
      </c>
      <c r="O1703" s="14">
        <v>3600</v>
      </c>
      <c r="P1703" s="14">
        <v>91.53</v>
      </c>
      <c r="Q1703" s="14">
        <v>304.92</v>
      </c>
      <c r="R1703" s="14">
        <v>161.61000000000001</v>
      </c>
      <c r="S1703" s="2" t="s">
        <v>5184</v>
      </c>
      <c r="T1703" s="2">
        <v>1.01</v>
      </c>
      <c r="U1703" s="2">
        <v>60.1</v>
      </c>
      <c r="V1703" s="2">
        <v>59</v>
      </c>
      <c r="W1703" s="2" t="s">
        <v>7862</v>
      </c>
      <c r="X1703" s="2" t="s">
        <v>5405</v>
      </c>
      <c r="Y1703" s="2">
        <v>1908</v>
      </c>
      <c r="Z1703" s="19" t="str">
        <f>HYPERLINK("https://ssdweb.co/ssdweb/hd/Vision360.html?d=925290284&amp;zoomslide=1&amp;z=1925290284&amp;ISCONFIRM=0","VIDEO")</f>
        <v>VIDEO</v>
      </c>
      <c r="AA1703" s="19" t="str">
        <f>HYPERLINK("https://ssdweb.co/ssdweb/CERTH/1487252970.pdf","CERTI")</f>
        <v>CERTI</v>
      </c>
    </row>
    <row r="1704" spans="1:27" ht="15" x14ac:dyDescent="0.25">
      <c r="A1704" s="2">
        <v>1699</v>
      </c>
      <c r="B1704" s="39">
        <v>926671095</v>
      </c>
      <c r="C1704" s="28" t="str">
        <f>HYPERLINK("https://pld.live/RapDetail.aspx?STONELIST=926671095","DNA")</f>
        <v>DNA</v>
      </c>
      <c r="D1704" s="18" t="s">
        <v>5466</v>
      </c>
      <c r="E1704" s="18" t="s">
        <v>5128</v>
      </c>
      <c r="F1704" s="2" t="s">
        <v>5597</v>
      </c>
      <c r="G1704" s="2" t="s">
        <v>861</v>
      </c>
      <c r="H1704" s="14">
        <v>0.53</v>
      </c>
      <c r="I1704" s="2" t="s">
        <v>267</v>
      </c>
      <c r="J1704" s="2" t="s">
        <v>5144</v>
      </c>
      <c r="K1704" s="2" t="s">
        <v>5221</v>
      </c>
      <c r="L1704" s="2" t="s">
        <v>5221</v>
      </c>
      <c r="M1704" s="2" t="s">
        <v>5221</v>
      </c>
      <c r="N1704" s="2" t="s">
        <v>2317</v>
      </c>
      <c r="O1704" s="14">
        <v>2700</v>
      </c>
      <c r="P1704" s="14">
        <v>89.59</v>
      </c>
      <c r="Q1704" s="14">
        <v>281.07</v>
      </c>
      <c r="R1704" s="14">
        <v>148.97</v>
      </c>
      <c r="S1704" s="2" t="s">
        <v>857</v>
      </c>
      <c r="T1704" s="2">
        <v>1</v>
      </c>
      <c r="U1704" s="2">
        <v>60.5</v>
      </c>
      <c r="V1704" s="2">
        <v>59</v>
      </c>
      <c r="W1704" s="2" t="s">
        <v>7862</v>
      </c>
      <c r="X1704" s="2" t="s">
        <v>5405</v>
      </c>
      <c r="Y1704" s="2">
        <v>1431</v>
      </c>
      <c r="Z1704" s="19" t="str">
        <f>HYPERLINK("https://ssdweb.co/ssdweb/hd/Vision360.html?d=926671095&amp;zoomslide=1&amp;z=1926671095&amp;ISCONFIRM=0","VIDEO")</f>
        <v>VIDEO</v>
      </c>
      <c r="AA1704" s="19" t="str">
        <f>HYPERLINK("https://ssdweb.co/ssdweb/CERTH/3505359175.pdf","CERTI")</f>
        <v>CERTI</v>
      </c>
    </row>
    <row r="1705" spans="1:27" ht="15" x14ac:dyDescent="0.25">
      <c r="A1705" s="2">
        <v>1700</v>
      </c>
      <c r="B1705" s="39">
        <v>925910332</v>
      </c>
      <c r="C1705" s="28" t="str">
        <f>HYPERLINK("https://pld.live/RapDetail.aspx?STONELIST=925910332","DNA")</f>
        <v>DNA</v>
      </c>
      <c r="D1705" s="18" t="s">
        <v>5466</v>
      </c>
      <c r="E1705" s="18" t="s">
        <v>5128</v>
      </c>
      <c r="F1705" s="2" t="s">
        <v>7987</v>
      </c>
      <c r="G1705" s="2" t="s">
        <v>861</v>
      </c>
      <c r="H1705" s="14">
        <v>0.53</v>
      </c>
      <c r="I1705" s="2" t="s">
        <v>4761</v>
      </c>
      <c r="J1705" s="2" t="s">
        <v>3942</v>
      </c>
      <c r="K1705" s="2" t="s">
        <v>5221</v>
      </c>
      <c r="L1705" s="2" t="s">
        <v>5221</v>
      </c>
      <c r="M1705" s="2" t="s">
        <v>5721</v>
      </c>
      <c r="N1705" s="2" t="s">
        <v>2317</v>
      </c>
      <c r="O1705" s="14">
        <v>3300</v>
      </c>
      <c r="P1705" s="14">
        <v>95.76</v>
      </c>
      <c r="Q1705" s="14">
        <v>139.91999999999999</v>
      </c>
      <c r="R1705" s="14">
        <v>74.16</v>
      </c>
      <c r="S1705" s="2" t="s">
        <v>260</v>
      </c>
      <c r="T1705" s="2">
        <v>1.01</v>
      </c>
      <c r="U1705" s="2">
        <v>63</v>
      </c>
      <c r="V1705" s="2">
        <v>58</v>
      </c>
      <c r="W1705" s="2" t="s">
        <v>7862</v>
      </c>
      <c r="X1705" s="2" t="s">
        <v>5405</v>
      </c>
      <c r="Y1705" s="2">
        <v>1749</v>
      </c>
      <c r="Z1705" s="19" t="str">
        <f>HYPERLINK("https://ssdweb.co/ssdweb/hd/Vision360.html?d=925910332&amp;zoomslide=1&amp;z=1925910332&amp;ISCONFIRM=0","VIDEO")</f>
        <v>VIDEO</v>
      </c>
      <c r="AA1705" s="19" t="str">
        <f>HYPERLINK("https://ssdweb.co/ssdweb/CERTH/627496975.pdf","CERTI")</f>
        <v>CERTI</v>
      </c>
    </row>
    <row r="1706" spans="1:27" ht="15" x14ac:dyDescent="0.25">
      <c r="A1706" s="2">
        <v>1701</v>
      </c>
      <c r="B1706" s="39">
        <v>926661297</v>
      </c>
      <c r="C1706" s="28" t="str">
        <f>HYPERLINK("https://pld.live/RapDetail.aspx?STONELIST=926661297","DNA")</f>
        <v>DNA</v>
      </c>
      <c r="D1706" s="18" t="s">
        <v>5466</v>
      </c>
      <c r="E1706" s="18" t="s">
        <v>5128</v>
      </c>
      <c r="F1706" s="2" t="s">
        <v>7987</v>
      </c>
      <c r="G1706" s="2" t="s">
        <v>861</v>
      </c>
      <c r="H1706" s="14">
        <v>0.52</v>
      </c>
      <c r="I1706" s="2" t="s">
        <v>267</v>
      </c>
      <c r="J1706" s="2" t="s">
        <v>6555</v>
      </c>
      <c r="K1706" s="2" t="s">
        <v>3390</v>
      </c>
      <c r="L1706" s="2" t="s">
        <v>5221</v>
      </c>
      <c r="M1706" s="2" t="s">
        <v>5221</v>
      </c>
      <c r="N1706" s="2" t="s">
        <v>2317</v>
      </c>
      <c r="O1706" s="14">
        <v>4600</v>
      </c>
      <c r="P1706" s="14">
        <v>96.57</v>
      </c>
      <c r="Q1706" s="14">
        <v>157.78</v>
      </c>
      <c r="R1706" s="14">
        <v>82.05</v>
      </c>
      <c r="S1706" s="2" t="s">
        <v>6129</v>
      </c>
      <c r="T1706" s="2">
        <v>1</v>
      </c>
      <c r="U1706" s="2">
        <v>60.4</v>
      </c>
      <c r="V1706" s="2">
        <v>58</v>
      </c>
      <c r="W1706" s="2" t="s">
        <v>7862</v>
      </c>
      <c r="X1706" s="2" t="s">
        <v>5405</v>
      </c>
      <c r="Y1706" s="2">
        <v>2392</v>
      </c>
      <c r="Z1706" s="19" t="str">
        <f>HYPERLINK("https://ssdweb.co/ssdweb/hd/Vision360.html?d=926661297&amp;zoomslide=1&amp;z=1926661297&amp;ISCONFIRM=0","VIDEO")</f>
        <v>VIDEO</v>
      </c>
      <c r="AA1706" s="19" t="str">
        <f>HYPERLINK("https://ssdweb.co/ssdweb/CERTH/668477283.pdf","CERTI")</f>
        <v>CERTI</v>
      </c>
    </row>
    <row r="1707" spans="1:27" ht="15" x14ac:dyDescent="0.25">
      <c r="A1707" s="2">
        <v>1702</v>
      </c>
      <c r="B1707" s="39">
        <v>926661468</v>
      </c>
      <c r="C1707" s="28" t="str">
        <f>HYPERLINK("https://pld.live/RapDetail.aspx?STONELIST=926661468","DNA")</f>
        <v>DNA</v>
      </c>
      <c r="D1707" s="18" t="s">
        <v>5466</v>
      </c>
      <c r="E1707" s="18" t="s">
        <v>5128</v>
      </c>
      <c r="F1707" s="2" t="s">
        <v>7987</v>
      </c>
      <c r="G1707" s="2" t="s">
        <v>861</v>
      </c>
      <c r="H1707" s="14">
        <v>0.52</v>
      </c>
      <c r="I1707" s="2" t="s">
        <v>267</v>
      </c>
      <c r="J1707" s="2" t="s">
        <v>6555</v>
      </c>
      <c r="K1707" s="2" t="s">
        <v>3390</v>
      </c>
      <c r="L1707" s="2" t="s">
        <v>5221</v>
      </c>
      <c r="M1707" s="2" t="s">
        <v>5221</v>
      </c>
      <c r="N1707" s="2" t="s">
        <v>2317</v>
      </c>
      <c r="O1707" s="14">
        <v>4600</v>
      </c>
      <c r="P1707" s="14">
        <v>96.61</v>
      </c>
      <c r="Q1707" s="14">
        <v>155.94</v>
      </c>
      <c r="R1707" s="14">
        <v>81.09</v>
      </c>
      <c r="S1707" s="2" t="s">
        <v>7134</v>
      </c>
      <c r="T1707" s="2">
        <v>1.01</v>
      </c>
      <c r="U1707" s="2">
        <v>62.3</v>
      </c>
      <c r="V1707" s="2">
        <v>57</v>
      </c>
      <c r="W1707" s="2" t="s">
        <v>7862</v>
      </c>
      <c r="X1707" s="2" t="s">
        <v>5405</v>
      </c>
      <c r="Y1707" s="2">
        <v>2392</v>
      </c>
      <c r="Z1707" s="19" t="str">
        <f>HYPERLINK("https://ssdweb.co/ssdweb/hd/Vision360.html?d=926661468&amp;zoomslide=1&amp;z=1926661468&amp;ISCONFIRM=0","VIDEO")</f>
        <v>VIDEO</v>
      </c>
      <c r="AA1707" s="19" t="str">
        <f>HYPERLINK("https://ssdweb.co/ssdweb/CERTH/651401145.pdf","CERTI")</f>
        <v>CERTI</v>
      </c>
    </row>
    <row r="1708" spans="1:27" ht="15" x14ac:dyDescent="0.25">
      <c r="A1708" s="2">
        <v>1703</v>
      </c>
      <c r="B1708" s="39">
        <v>926670919</v>
      </c>
      <c r="C1708" s="28" t="str">
        <f>HYPERLINK("https://pld.live/RapDetail.aspx?STONELIST=926670919","DNA")</f>
        <v>DNA</v>
      </c>
      <c r="D1708" s="18" t="s">
        <v>5466</v>
      </c>
      <c r="E1708" s="18" t="s">
        <v>5128</v>
      </c>
      <c r="F1708" s="2" t="s">
        <v>7987</v>
      </c>
      <c r="G1708" s="2" t="s">
        <v>861</v>
      </c>
      <c r="H1708" s="14">
        <v>0.52</v>
      </c>
      <c r="I1708" s="2" t="s">
        <v>267</v>
      </c>
      <c r="J1708" s="2" t="s">
        <v>6555</v>
      </c>
      <c r="K1708" s="2" t="s">
        <v>3390</v>
      </c>
      <c r="L1708" s="2" t="s">
        <v>5221</v>
      </c>
      <c r="M1708" s="2" t="s">
        <v>5221</v>
      </c>
      <c r="N1708" s="2" t="s">
        <v>2317</v>
      </c>
      <c r="O1708" s="14">
        <v>4600</v>
      </c>
      <c r="P1708" s="14">
        <v>96.57</v>
      </c>
      <c r="Q1708" s="14">
        <v>157.78</v>
      </c>
      <c r="R1708" s="14">
        <v>82.05</v>
      </c>
      <c r="S1708" s="2" t="s">
        <v>4836</v>
      </c>
      <c r="T1708" s="2">
        <v>1</v>
      </c>
      <c r="U1708" s="2">
        <v>61.1</v>
      </c>
      <c r="V1708" s="2">
        <v>56</v>
      </c>
      <c r="W1708" s="2" t="s">
        <v>7862</v>
      </c>
      <c r="X1708" s="2" t="s">
        <v>5405</v>
      </c>
      <c r="Y1708" s="2">
        <v>2392</v>
      </c>
      <c r="Z1708" s="19" t="str">
        <f>HYPERLINK("https://ssdweb.co/ssdweb/hd/Vision360.html?d=926670919&amp;zoomslide=1&amp;z=1926670919&amp;ISCONFIRM=0","VIDEO")</f>
        <v>VIDEO</v>
      </c>
      <c r="AA1708" s="19" t="str">
        <f>HYPERLINK("https://ssdweb.co/ssdweb/CERTH/668447759.pdf","CERTI")</f>
        <v>CERTI</v>
      </c>
    </row>
    <row r="1709" spans="1:27" ht="15" x14ac:dyDescent="0.25">
      <c r="A1709" s="2">
        <v>1704</v>
      </c>
      <c r="B1709" s="39">
        <v>926690921</v>
      </c>
      <c r="C1709" s="28" t="str">
        <f>HYPERLINK("https://pld.live/RapDetail.aspx?STONELIST=926690921","DNA")</f>
        <v>DNA</v>
      </c>
      <c r="D1709" s="18" t="s">
        <v>5466</v>
      </c>
      <c r="E1709" s="18" t="s">
        <v>5128</v>
      </c>
      <c r="F1709" s="2" t="s">
        <v>7987</v>
      </c>
      <c r="G1709" s="2" t="s">
        <v>861</v>
      </c>
      <c r="H1709" s="14">
        <v>0.52</v>
      </c>
      <c r="I1709" s="2" t="s">
        <v>267</v>
      </c>
      <c r="J1709" s="2" t="s">
        <v>6555</v>
      </c>
      <c r="K1709" s="2" t="s">
        <v>3390</v>
      </c>
      <c r="L1709" s="2" t="s">
        <v>5221</v>
      </c>
      <c r="M1709" s="2" t="s">
        <v>5221</v>
      </c>
      <c r="N1709" s="2" t="s">
        <v>2317</v>
      </c>
      <c r="O1709" s="14">
        <v>4600</v>
      </c>
      <c r="P1709" s="14">
        <v>96.57</v>
      </c>
      <c r="Q1709" s="14">
        <v>157.78</v>
      </c>
      <c r="R1709" s="14">
        <v>82.05</v>
      </c>
      <c r="S1709" s="2" t="s">
        <v>3260</v>
      </c>
      <c r="T1709" s="2">
        <v>1.01</v>
      </c>
      <c r="U1709" s="2">
        <v>62.4</v>
      </c>
      <c r="V1709" s="2">
        <v>57</v>
      </c>
      <c r="W1709" s="2" t="s">
        <v>7862</v>
      </c>
      <c r="X1709" s="2" t="s">
        <v>5405</v>
      </c>
      <c r="Y1709" s="2">
        <v>2392</v>
      </c>
      <c r="Z1709" s="19" t="str">
        <f>HYPERLINK("https://ssdweb.co/ssdweb/hd/Vision360.html?d=926690921&amp;zoomslide=1&amp;z=1926690921&amp;ISCONFIRM=0","VIDEO")</f>
        <v>VIDEO</v>
      </c>
      <c r="AA1709" s="19" t="str">
        <f>HYPERLINK("https://ssdweb.co/ssdweb/CERTH/668477317.pdf","CERTI")</f>
        <v>CERTI</v>
      </c>
    </row>
    <row r="1710" spans="1:27" ht="15" x14ac:dyDescent="0.25">
      <c r="A1710" s="2">
        <v>1705</v>
      </c>
      <c r="B1710" s="39">
        <v>926690868</v>
      </c>
      <c r="C1710" s="28" t="str">
        <f>HYPERLINK("https://pld.live/RapDetail.aspx?STONELIST=926690868","DNA")</f>
        <v>DNA</v>
      </c>
      <c r="D1710" s="18" t="s">
        <v>5466</v>
      </c>
      <c r="E1710" s="18" t="s">
        <v>5128</v>
      </c>
      <c r="F1710" s="2" t="s">
        <v>7987</v>
      </c>
      <c r="G1710" s="2" t="s">
        <v>861</v>
      </c>
      <c r="H1710" s="14">
        <v>0.52</v>
      </c>
      <c r="I1710" s="2" t="s">
        <v>267</v>
      </c>
      <c r="J1710" s="2" t="s">
        <v>6555</v>
      </c>
      <c r="K1710" s="2" t="s">
        <v>3390</v>
      </c>
      <c r="L1710" s="2" t="s">
        <v>5221</v>
      </c>
      <c r="M1710" s="2" t="s">
        <v>5221</v>
      </c>
      <c r="N1710" s="2" t="s">
        <v>2317</v>
      </c>
      <c r="O1710" s="14">
        <v>4600</v>
      </c>
      <c r="P1710" s="14">
        <v>96.57</v>
      </c>
      <c r="Q1710" s="14">
        <v>157.78</v>
      </c>
      <c r="R1710" s="14">
        <v>82.05</v>
      </c>
      <c r="S1710" s="2" t="s">
        <v>5197</v>
      </c>
      <c r="T1710" s="2">
        <v>1.01</v>
      </c>
      <c r="U1710" s="2">
        <v>62</v>
      </c>
      <c r="V1710" s="2">
        <v>57</v>
      </c>
      <c r="W1710" s="2" t="s">
        <v>7862</v>
      </c>
      <c r="X1710" s="2" t="s">
        <v>5405</v>
      </c>
      <c r="Y1710" s="2">
        <v>2392</v>
      </c>
      <c r="Z1710" s="19" t="str">
        <f>HYPERLINK("https://ssdweb.co/ssdweb/hd/Vision360.html?d=926690868&amp;zoomslide=1&amp;z=1926690868&amp;ISCONFIRM=0","VIDEO")</f>
        <v>VIDEO</v>
      </c>
      <c r="AA1710" s="19" t="str">
        <f>HYPERLINK("https://ssdweb.co/ssdweb/CERTH/668447763.pdf","CERTI")</f>
        <v>CERTI</v>
      </c>
    </row>
    <row r="1711" spans="1:27" ht="15" x14ac:dyDescent="0.25">
      <c r="A1711" s="2">
        <v>1706</v>
      </c>
      <c r="B1711" s="39">
        <v>926690816</v>
      </c>
      <c r="C1711" s="28" t="str">
        <f>HYPERLINK("https://pld.live/RapDetail.aspx?STONELIST=926690816","DNA")</f>
        <v>DNA</v>
      </c>
      <c r="D1711" s="18" t="s">
        <v>5466</v>
      </c>
      <c r="E1711" s="18" t="s">
        <v>5128</v>
      </c>
      <c r="F1711" s="2" t="s">
        <v>7987</v>
      </c>
      <c r="G1711" s="2" t="s">
        <v>861</v>
      </c>
      <c r="H1711" s="14">
        <v>0.52</v>
      </c>
      <c r="I1711" s="2" t="s">
        <v>267</v>
      </c>
      <c r="J1711" s="2" t="s">
        <v>6555</v>
      </c>
      <c r="K1711" s="2" t="s">
        <v>3390</v>
      </c>
      <c r="L1711" s="2" t="s">
        <v>5221</v>
      </c>
      <c r="M1711" s="2" t="s">
        <v>5221</v>
      </c>
      <c r="N1711" s="2" t="s">
        <v>2317</v>
      </c>
      <c r="O1711" s="14">
        <v>4600</v>
      </c>
      <c r="P1711" s="14">
        <v>96.57</v>
      </c>
      <c r="Q1711" s="14">
        <v>157.78</v>
      </c>
      <c r="R1711" s="14">
        <v>82.05</v>
      </c>
      <c r="S1711" s="2" t="s">
        <v>4000</v>
      </c>
      <c r="T1711" s="2">
        <v>1</v>
      </c>
      <c r="U1711" s="2">
        <v>61.7</v>
      </c>
      <c r="V1711" s="2">
        <v>58</v>
      </c>
      <c r="W1711" s="2" t="s">
        <v>7862</v>
      </c>
      <c r="X1711" s="2" t="s">
        <v>5405</v>
      </c>
      <c r="Y1711" s="2">
        <v>2392</v>
      </c>
      <c r="Z1711" s="19" t="str">
        <f>HYPERLINK("https://ssdweb.co/ssdweb/hd/Vision360.html?d=926690816&amp;zoomslide=1&amp;z=1926690816&amp;ISCONFIRM=0","VIDEO")</f>
        <v>VIDEO</v>
      </c>
      <c r="AA1711" s="19" t="str">
        <f>HYPERLINK("https://ssdweb.co/ssdweb/CERTH/668447761.pdf","CERTI")</f>
        <v>CERTI</v>
      </c>
    </row>
    <row r="1712" spans="1:27" ht="15" x14ac:dyDescent="0.25">
      <c r="A1712" s="2">
        <v>1707</v>
      </c>
      <c r="B1712" s="39">
        <v>926690777</v>
      </c>
      <c r="C1712" s="28" t="str">
        <f>HYPERLINK("https://pld.live/RapDetail.aspx?STONELIST=926690777","DNA")</f>
        <v>DNA</v>
      </c>
      <c r="D1712" s="18" t="s">
        <v>5466</v>
      </c>
      <c r="E1712" s="18" t="s">
        <v>5128</v>
      </c>
      <c r="F1712" s="2" t="s">
        <v>7987</v>
      </c>
      <c r="G1712" s="2" t="s">
        <v>861</v>
      </c>
      <c r="H1712" s="14">
        <v>0.52</v>
      </c>
      <c r="I1712" s="2" t="s">
        <v>267</v>
      </c>
      <c r="J1712" s="2" t="s">
        <v>6555</v>
      </c>
      <c r="K1712" s="2" t="s">
        <v>3390</v>
      </c>
      <c r="L1712" s="2" t="s">
        <v>5221</v>
      </c>
      <c r="M1712" s="2" t="s">
        <v>5221</v>
      </c>
      <c r="N1712" s="2" t="s">
        <v>2317</v>
      </c>
      <c r="O1712" s="14">
        <v>4600</v>
      </c>
      <c r="P1712" s="14">
        <v>96.57</v>
      </c>
      <c r="Q1712" s="14">
        <v>157.78</v>
      </c>
      <c r="R1712" s="14">
        <v>82.05</v>
      </c>
      <c r="S1712" s="2" t="s">
        <v>4571</v>
      </c>
      <c r="T1712" s="2">
        <v>1.01</v>
      </c>
      <c r="U1712" s="2">
        <v>61.8</v>
      </c>
      <c r="V1712" s="2">
        <v>58</v>
      </c>
      <c r="W1712" s="2" t="s">
        <v>7862</v>
      </c>
      <c r="X1712" s="2" t="s">
        <v>5405</v>
      </c>
      <c r="Y1712" s="2">
        <v>2392</v>
      </c>
      <c r="Z1712" s="19" t="str">
        <f>HYPERLINK("https://ssdweb.co/ssdweb/hd/Vision360.html?d=926690777&amp;zoomslide=1&amp;z=1926690777&amp;ISCONFIRM=0","VIDEO")</f>
        <v>VIDEO</v>
      </c>
      <c r="AA1712" s="19" t="str">
        <f>HYPERLINK("https://ssdweb.co/ssdweb/CERTH/668447760.pdf","CERTI")</f>
        <v>CERTI</v>
      </c>
    </row>
    <row r="1713" spans="1:27" ht="15" x14ac:dyDescent="0.25">
      <c r="A1713" s="2">
        <v>1708</v>
      </c>
      <c r="B1713" s="39">
        <v>941190262</v>
      </c>
      <c r="C1713" s="28" t="str">
        <f>HYPERLINK("https://pld.live/RapDetail.aspx?STONELIST=941190262","DNA")</f>
        <v>DNA</v>
      </c>
      <c r="D1713" s="18" t="s">
        <v>5466</v>
      </c>
      <c r="E1713" s="18" t="s">
        <v>5128</v>
      </c>
      <c r="F1713" s="2" t="s">
        <v>7987</v>
      </c>
      <c r="G1713" s="2" t="s">
        <v>861</v>
      </c>
      <c r="H1713" s="14">
        <v>0.52</v>
      </c>
      <c r="I1713" s="2" t="s">
        <v>267</v>
      </c>
      <c r="J1713" s="2" t="s">
        <v>6555</v>
      </c>
      <c r="K1713" s="2" t="s">
        <v>3390</v>
      </c>
      <c r="L1713" s="2" t="s">
        <v>5221</v>
      </c>
      <c r="M1713" s="2" t="s">
        <v>5221</v>
      </c>
      <c r="N1713" s="2" t="s">
        <v>2317</v>
      </c>
      <c r="O1713" s="14">
        <v>4600</v>
      </c>
      <c r="P1713" s="14">
        <v>96.52</v>
      </c>
      <c r="Q1713" s="14">
        <v>160.08000000000001</v>
      </c>
      <c r="R1713" s="14">
        <v>83.24</v>
      </c>
      <c r="S1713" s="2" t="s">
        <v>7164</v>
      </c>
      <c r="T1713" s="2">
        <v>1.01</v>
      </c>
      <c r="U1713" s="2">
        <v>60.2</v>
      </c>
      <c r="V1713" s="2">
        <v>59</v>
      </c>
      <c r="W1713" s="2" t="s">
        <v>7862</v>
      </c>
      <c r="X1713" s="2" t="s">
        <v>5405</v>
      </c>
      <c r="Y1713" s="2">
        <v>2392</v>
      </c>
      <c r="Z1713" s="19" t="str">
        <f>HYPERLINK("https://ssdweb.co/ssdweb/hd/Vision360.html?d=941190262&amp;zoomslide=1&amp;z=1941190262&amp;ISCONFIRM=0","VIDEO")</f>
        <v>VIDEO</v>
      </c>
      <c r="AA1713" s="19" t="str">
        <f>HYPERLINK("https://ssdweb.co/ssdweb/CERTH/675596789.pdf","CERTI")</f>
        <v>CERTI</v>
      </c>
    </row>
    <row r="1714" spans="1:27" ht="15" x14ac:dyDescent="0.25">
      <c r="A1714" s="2">
        <v>1709</v>
      </c>
      <c r="B1714" s="39">
        <v>941190773</v>
      </c>
      <c r="C1714" s="28" t="str">
        <f>HYPERLINK("https://pld.live/RapDetail.aspx?STONELIST=941190773","DNA")</f>
        <v>DNA</v>
      </c>
      <c r="D1714" s="18" t="s">
        <v>5466</v>
      </c>
      <c r="E1714" s="18" t="s">
        <v>5128</v>
      </c>
      <c r="F1714" s="2" t="s">
        <v>7987</v>
      </c>
      <c r="G1714" s="2" t="s">
        <v>861</v>
      </c>
      <c r="H1714" s="14">
        <v>0.52</v>
      </c>
      <c r="I1714" s="2" t="s">
        <v>267</v>
      </c>
      <c r="J1714" s="2" t="s">
        <v>6555</v>
      </c>
      <c r="K1714" s="2" t="s">
        <v>3390</v>
      </c>
      <c r="L1714" s="2" t="s">
        <v>5221</v>
      </c>
      <c r="M1714" s="2" t="s">
        <v>5221</v>
      </c>
      <c r="N1714" s="2" t="s">
        <v>2317</v>
      </c>
      <c r="O1714" s="14">
        <v>4600</v>
      </c>
      <c r="P1714" s="14">
        <v>96.52</v>
      </c>
      <c r="Q1714" s="14">
        <v>160.08000000000001</v>
      </c>
      <c r="R1714" s="14">
        <v>83.24</v>
      </c>
      <c r="S1714" s="2" t="s">
        <v>2187</v>
      </c>
      <c r="T1714" s="2">
        <v>1</v>
      </c>
      <c r="U1714" s="2">
        <v>61.2</v>
      </c>
      <c r="V1714" s="2">
        <v>58</v>
      </c>
      <c r="W1714" s="2" t="s">
        <v>7862</v>
      </c>
      <c r="X1714" s="2" t="s">
        <v>5405</v>
      </c>
      <c r="Y1714" s="2">
        <v>2392</v>
      </c>
      <c r="Z1714" s="19" t="str">
        <f>HYPERLINK("https://ssdweb.co/ssdweb/hd/Vision360.html?d=941190773&amp;zoomslide=1&amp;z=1941190773&amp;ISCONFIRM=0","VIDEO")</f>
        <v>VIDEO</v>
      </c>
      <c r="AA1714" s="19" t="str">
        <f>HYPERLINK("https://ssdweb.co/ssdweb/CERTH/678550414.pdf","CERTI")</f>
        <v>CERTI</v>
      </c>
    </row>
    <row r="1715" spans="1:27" ht="15" x14ac:dyDescent="0.25">
      <c r="A1715" s="2">
        <v>1710</v>
      </c>
      <c r="B1715" s="39">
        <v>926731248</v>
      </c>
      <c r="C1715" s="28" t="str">
        <f>HYPERLINK("https://pld.live/RapDetail.aspx?STONELIST=926731248","DNA")</f>
        <v>DNA</v>
      </c>
      <c r="D1715" s="18" t="s">
        <v>5466</v>
      </c>
      <c r="E1715" s="18" t="s">
        <v>5128</v>
      </c>
      <c r="F1715" s="2" t="s">
        <v>7987</v>
      </c>
      <c r="G1715" s="2" t="s">
        <v>861</v>
      </c>
      <c r="H1715" s="14">
        <v>0.52</v>
      </c>
      <c r="I1715" s="2" t="s">
        <v>267</v>
      </c>
      <c r="J1715" s="2" t="s">
        <v>6555</v>
      </c>
      <c r="K1715" s="2" t="s">
        <v>5221</v>
      </c>
      <c r="L1715" s="2" t="s">
        <v>5221</v>
      </c>
      <c r="M1715" s="2" t="s">
        <v>5221</v>
      </c>
      <c r="N1715" s="2" t="s">
        <v>2317</v>
      </c>
      <c r="O1715" s="14">
        <v>4600</v>
      </c>
      <c r="P1715" s="14">
        <v>96.57</v>
      </c>
      <c r="Q1715" s="14">
        <v>157.78</v>
      </c>
      <c r="R1715" s="14">
        <v>82.05</v>
      </c>
      <c r="S1715" s="2" t="s">
        <v>2083</v>
      </c>
      <c r="T1715" s="2">
        <v>1</v>
      </c>
      <c r="U1715" s="2">
        <v>60.2</v>
      </c>
      <c r="V1715" s="2">
        <v>61</v>
      </c>
      <c r="W1715" s="2" t="s">
        <v>7862</v>
      </c>
      <c r="X1715" s="2" t="s">
        <v>5405</v>
      </c>
      <c r="Y1715" s="2">
        <v>2392</v>
      </c>
      <c r="Z1715" s="19" t="str">
        <f>HYPERLINK("https://ssdweb.co/ssdweb/hd/Vision360.html?d=926731248&amp;zoomslide=1&amp;z=1926731248&amp;ISCONFIRM=0","VIDEO")</f>
        <v>VIDEO</v>
      </c>
      <c r="AA1715" s="19" t="str">
        <f>HYPERLINK("https://ssdweb.co/ssdweb/CERTH/653451055.pdf","CERTI")</f>
        <v>CERTI</v>
      </c>
    </row>
    <row r="1716" spans="1:27" ht="15" x14ac:dyDescent="0.25">
      <c r="A1716" s="2">
        <v>1711</v>
      </c>
      <c r="B1716" s="39">
        <v>926670993</v>
      </c>
      <c r="C1716" s="28" t="str">
        <f>HYPERLINK("https://pld.live/RapDetail.aspx?STONELIST=926670993","DNA")</f>
        <v>DNA</v>
      </c>
      <c r="D1716" s="18" t="s">
        <v>5466</v>
      </c>
      <c r="E1716" s="18" t="s">
        <v>5128</v>
      </c>
      <c r="F1716" s="2" t="s">
        <v>7987</v>
      </c>
      <c r="G1716" s="2" t="s">
        <v>861</v>
      </c>
      <c r="H1716" s="14">
        <v>0.52</v>
      </c>
      <c r="I1716" s="2" t="s">
        <v>267</v>
      </c>
      <c r="J1716" s="2" t="s">
        <v>3942</v>
      </c>
      <c r="K1716" s="2" t="s">
        <v>3390</v>
      </c>
      <c r="L1716" s="2" t="s">
        <v>5221</v>
      </c>
      <c r="M1716" s="2" t="s">
        <v>5221</v>
      </c>
      <c r="N1716" s="2" t="s">
        <v>2317</v>
      </c>
      <c r="O1716" s="14">
        <v>3600</v>
      </c>
      <c r="P1716" s="14">
        <v>95.89</v>
      </c>
      <c r="Q1716" s="14">
        <v>147.96</v>
      </c>
      <c r="R1716" s="14">
        <v>76.94</v>
      </c>
      <c r="S1716" s="2" t="s">
        <v>7346</v>
      </c>
      <c r="T1716" s="2">
        <v>1</v>
      </c>
      <c r="U1716" s="2">
        <v>61.4</v>
      </c>
      <c r="V1716" s="2">
        <v>60</v>
      </c>
      <c r="W1716" s="2" t="s">
        <v>7862</v>
      </c>
      <c r="X1716" s="2" t="s">
        <v>5405</v>
      </c>
      <c r="Y1716" s="2">
        <v>1872</v>
      </c>
      <c r="Z1716" s="19" t="str">
        <f>HYPERLINK("https://ssdweb.co/ssdweb/hd/Vision360.html?d=926670993&amp;zoomslide=1&amp;z=1926670993&amp;ISCONFIRM=0","VIDEO")</f>
        <v>VIDEO</v>
      </c>
      <c r="AA1716" s="19" t="str">
        <f>HYPERLINK("https://ssdweb.co/ssdweb/CERTH/656485714.pdf","CERTI")</f>
        <v>CERTI</v>
      </c>
    </row>
    <row r="1717" spans="1:27" ht="15" x14ac:dyDescent="0.25">
      <c r="A1717" s="2">
        <v>1712</v>
      </c>
      <c r="B1717" s="39">
        <v>926950161</v>
      </c>
      <c r="C1717" s="28" t="str">
        <f>HYPERLINK("https://pld.live/RapDetail.aspx?STONELIST=926950161","DNA")</f>
        <v>DNA</v>
      </c>
      <c r="D1717" s="18" t="s">
        <v>5466</v>
      </c>
      <c r="E1717" s="18" t="s">
        <v>5128</v>
      </c>
      <c r="F1717" s="2" t="s">
        <v>7987</v>
      </c>
      <c r="G1717" s="2" t="s">
        <v>861</v>
      </c>
      <c r="H1717" s="14">
        <v>0.52</v>
      </c>
      <c r="I1717" s="2" t="s">
        <v>267</v>
      </c>
      <c r="J1717" s="2" t="s">
        <v>3942</v>
      </c>
      <c r="K1717" s="2" t="s">
        <v>3390</v>
      </c>
      <c r="L1717" s="2" t="s">
        <v>5221</v>
      </c>
      <c r="M1717" s="2" t="s">
        <v>5221</v>
      </c>
      <c r="N1717" s="2" t="s">
        <v>2317</v>
      </c>
      <c r="O1717" s="14">
        <v>3600</v>
      </c>
      <c r="P1717" s="14">
        <v>95.83</v>
      </c>
      <c r="Q1717" s="14">
        <v>150.12</v>
      </c>
      <c r="R1717" s="14">
        <v>78.06</v>
      </c>
      <c r="S1717" s="2" t="s">
        <v>5486</v>
      </c>
      <c r="T1717" s="2">
        <v>1.01</v>
      </c>
      <c r="U1717" s="2">
        <v>61.2</v>
      </c>
      <c r="V1717" s="2">
        <v>60</v>
      </c>
      <c r="W1717" s="2" t="s">
        <v>7862</v>
      </c>
      <c r="X1717" s="2" t="s">
        <v>5405</v>
      </c>
      <c r="Y1717" s="2">
        <v>1872</v>
      </c>
      <c r="Z1717" s="19" t="str">
        <f>HYPERLINK("https://ssdweb.co/ssdweb/hd/Vision360.html?d=926950161&amp;zoomslide=1&amp;z=1926950161&amp;ISCONFIRM=0","VIDEO")</f>
        <v>VIDEO</v>
      </c>
      <c r="AA1717" s="19" t="str">
        <f>HYPERLINK("https://ssdweb.co/ssdweb/CERTH/670484261.pdf","CERTI")</f>
        <v>CERTI</v>
      </c>
    </row>
    <row r="1718" spans="1:27" ht="15" x14ac:dyDescent="0.25">
      <c r="A1718" s="2">
        <v>1713</v>
      </c>
      <c r="B1718" s="39">
        <v>821128453</v>
      </c>
      <c r="C1718" s="28" t="str">
        <f>HYPERLINK("https://pld.live/RapDetail.aspx?STONELIST=821128453","DNA")</f>
        <v>DNA</v>
      </c>
      <c r="D1718" s="18" t="s">
        <v>5466</v>
      </c>
      <c r="E1718" s="18" t="s">
        <v>5128</v>
      </c>
      <c r="F1718" s="2" t="s">
        <v>7987</v>
      </c>
      <c r="G1718" s="2" t="s">
        <v>861</v>
      </c>
      <c r="H1718" s="14">
        <v>0.52</v>
      </c>
      <c r="I1718" s="2" t="s">
        <v>267</v>
      </c>
      <c r="J1718" s="2" t="s">
        <v>3942</v>
      </c>
      <c r="K1718" s="2" t="s">
        <v>3390</v>
      </c>
      <c r="L1718" s="2" t="s">
        <v>5221</v>
      </c>
      <c r="M1718" s="2" t="s">
        <v>5221</v>
      </c>
      <c r="N1718" s="2" t="s">
        <v>2317</v>
      </c>
      <c r="O1718" s="14">
        <v>3600</v>
      </c>
      <c r="P1718" s="14">
        <v>95.83</v>
      </c>
      <c r="Q1718" s="14">
        <v>150.12</v>
      </c>
      <c r="R1718" s="14">
        <v>78.06</v>
      </c>
      <c r="S1718" s="2" t="s">
        <v>1087</v>
      </c>
      <c r="T1718" s="2">
        <v>1.01</v>
      </c>
      <c r="U1718" s="2">
        <v>62.3</v>
      </c>
      <c r="V1718" s="2">
        <v>60</v>
      </c>
      <c r="W1718" s="2" t="s">
        <v>7862</v>
      </c>
      <c r="X1718" s="2" t="s">
        <v>5405</v>
      </c>
      <c r="Y1718" s="2">
        <v>1872</v>
      </c>
      <c r="Z1718" s="19" t="str">
        <f>HYPERLINK("https://ssdweb.co/ssdweb/hd/Vision360.html?d=821128453&amp;zoomslide=1&amp;z=1821128453&amp;ISCONFIRM=0","VIDEO")</f>
        <v>VIDEO</v>
      </c>
      <c r="AA1718" s="19" t="str">
        <f>HYPERLINK("https://ssdweb.co/ssdweb/CERTH/655426602.pdf","CERTI")</f>
        <v>CERTI</v>
      </c>
    </row>
    <row r="1719" spans="1:27" ht="15" x14ac:dyDescent="0.25">
      <c r="A1719" s="2">
        <v>1714</v>
      </c>
      <c r="B1719" s="39">
        <v>821128459</v>
      </c>
      <c r="C1719" s="28" t="str">
        <f>HYPERLINK("https://pld.live/RapDetail.aspx?STONELIST=821128459","DNA")</f>
        <v>DNA</v>
      </c>
      <c r="D1719" s="18" t="s">
        <v>5466</v>
      </c>
      <c r="E1719" s="18" t="s">
        <v>5128</v>
      </c>
      <c r="F1719" s="2" t="s">
        <v>7987</v>
      </c>
      <c r="G1719" s="2" t="s">
        <v>861</v>
      </c>
      <c r="H1719" s="14">
        <v>0.52</v>
      </c>
      <c r="I1719" s="2" t="s">
        <v>267</v>
      </c>
      <c r="J1719" s="2" t="s">
        <v>3942</v>
      </c>
      <c r="K1719" s="2" t="s">
        <v>3390</v>
      </c>
      <c r="L1719" s="2" t="s">
        <v>5221</v>
      </c>
      <c r="M1719" s="2" t="s">
        <v>5221</v>
      </c>
      <c r="N1719" s="2" t="s">
        <v>2317</v>
      </c>
      <c r="O1719" s="14">
        <v>3600</v>
      </c>
      <c r="P1719" s="14">
        <v>95.83</v>
      </c>
      <c r="Q1719" s="14">
        <v>150.12</v>
      </c>
      <c r="R1719" s="14">
        <v>78.06</v>
      </c>
      <c r="S1719" s="2" t="s">
        <v>6710</v>
      </c>
      <c r="T1719" s="2">
        <v>1.01</v>
      </c>
      <c r="U1719" s="2">
        <v>61</v>
      </c>
      <c r="V1719" s="2">
        <v>60</v>
      </c>
      <c r="W1719" s="2" t="s">
        <v>7862</v>
      </c>
      <c r="X1719" s="2" t="s">
        <v>5405</v>
      </c>
      <c r="Y1719" s="2">
        <v>1872</v>
      </c>
      <c r="Z1719" s="19" t="str">
        <f>HYPERLINK("https://ssdweb.co/ssdweb/hd/Vision360.html?d=821128459&amp;zoomslide=1&amp;z=1821128459&amp;ISCONFIRM=0","VIDEO")</f>
        <v>VIDEO</v>
      </c>
      <c r="AA1719" s="19" t="str">
        <f>HYPERLINK("https://ssdweb.co/ssdweb/CERTH/680502813.pdf","CERTI")</f>
        <v>CERTI</v>
      </c>
    </row>
    <row r="1720" spans="1:27" ht="15" x14ac:dyDescent="0.25">
      <c r="A1720" s="2">
        <v>1715</v>
      </c>
      <c r="B1720" s="39">
        <v>821128468</v>
      </c>
      <c r="C1720" s="28" t="str">
        <f>HYPERLINK("https://pld.live/RapDetail.aspx?STONELIST=821128468","DNA")</f>
        <v>DNA</v>
      </c>
      <c r="D1720" s="18" t="s">
        <v>5466</v>
      </c>
      <c r="E1720" s="18" t="s">
        <v>5128</v>
      </c>
      <c r="F1720" s="2" t="s">
        <v>7987</v>
      </c>
      <c r="G1720" s="2" t="s">
        <v>861</v>
      </c>
      <c r="H1720" s="14">
        <v>0.52</v>
      </c>
      <c r="I1720" s="2" t="s">
        <v>267</v>
      </c>
      <c r="J1720" s="2" t="s">
        <v>3942</v>
      </c>
      <c r="K1720" s="2" t="s">
        <v>3390</v>
      </c>
      <c r="L1720" s="2" t="s">
        <v>5221</v>
      </c>
      <c r="M1720" s="2" t="s">
        <v>5221</v>
      </c>
      <c r="N1720" s="2" t="s">
        <v>2317</v>
      </c>
      <c r="O1720" s="14">
        <v>3600</v>
      </c>
      <c r="P1720" s="14">
        <v>95.83</v>
      </c>
      <c r="Q1720" s="14">
        <v>150.12</v>
      </c>
      <c r="R1720" s="14">
        <v>78.06</v>
      </c>
      <c r="S1720" s="2" t="s">
        <v>4033</v>
      </c>
      <c r="T1720" s="2">
        <v>1</v>
      </c>
      <c r="U1720" s="2">
        <v>60.3</v>
      </c>
      <c r="V1720" s="2">
        <v>59</v>
      </c>
      <c r="W1720" s="2" t="s">
        <v>7862</v>
      </c>
      <c r="X1720" s="2" t="s">
        <v>5405</v>
      </c>
      <c r="Y1720" s="2">
        <v>1872</v>
      </c>
      <c r="Z1720" s="19" t="str">
        <f>HYPERLINK("https://ssdweb.co/ssdweb/hd/Vision360.html?d=821128468&amp;zoomslide=1&amp;z=1821128468&amp;ISCONFIRM=0","VIDEO")</f>
        <v>VIDEO</v>
      </c>
      <c r="AA1720" s="19" t="str">
        <f>HYPERLINK("https://ssdweb.co/ssdweb/CERTH/681595486.pdf","CERTI")</f>
        <v>CERTI</v>
      </c>
    </row>
    <row r="1721" spans="1:27" ht="15" x14ac:dyDescent="0.25">
      <c r="A1721" s="2">
        <v>1716</v>
      </c>
      <c r="B1721" s="39">
        <v>941400297</v>
      </c>
      <c r="C1721" s="28" t="str">
        <f>HYPERLINK("https://pld.live/RapDetail.aspx?STONELIST=941400297","DNA")</f>
        <v>DNA</v>
      </c>
      <c r="D1721" s="18" t="s">
        <v>5466</v>
      </c>
      <c r="E1721" s="18" t="s">
        <v>5128</v>
      </c>
      <c r="F1721" s="2" t="s">
        <v>7987</v>
      </c>
      <c r="G1721" s="2" t="s">
        <v>861</v>
      </c>
      <c r="H1721" s="14">
        <v>0.52</v>
      </c>
      <c r="I1721" s="2" t="s">
        <v>267</v>
      </c>
      <c r="J1721" s="2" t="s">
        <v>3942</v>
      </c>
      <c r="K1721" s="2" t="s">
        <v>3390</v>
      </c>
      <c r="L1721" s="2" t="s">
        <v>5221</v>
      </c>
      <c r="M1721" s="2" t="s">
        <v>5221</v>
      </c>
      <c r="N1721" s="2" t="s">
        <v>2317</v>
      </c>
      <c r="O1721" s="14">
        <v>3600</v>
      </c>
      <c r="P1721" s="14">
        <v>95.83</v>
      </c>
      <c r="Q1721" s="14">
        <v>150.12</v>
      </c>
      <c r="R1721" s="14">
        <v>78.06</v>
      </c>
      <c r="S1721" s="2" t="s">
        <v>5917</v>
      </c>
      <c r="T1721" s="2">
        <v>1</v>
      </c>
      <c r="U1721" s="2">
        <v>61.7</v>
      </c>
      <c r="V1721" s="2">
        <v>58</v>
      </c>
      <c r="W1721" s="2" t="s">
        <v>7862</v>
      </c>
      <c r="X1721" s="2" t="s">
        <v>5405</v>
      </c>
      <c r="Y1721" s="2">
        <v>1872</v>
      </c>
      <c r="Z1721" s="19" t="str">
        <f>HYPERLINK("https://ssdweb.co/ssdweb/hd/Vision360.html?d=941400297&amp;zoomslide=1&amp;z=1941400297&amp;ISCONFIRM=0","VIDEO")</f>
        <v>VIDEO</v>
      </c>
      <c r="AA1721" s="19" t="str">
        <f>HYPERLINK("https://ssdweb.co/ssdweb/CERTH/687591619.pdf","CERTI")</f>
        <v>CERTI</v>
      </c>
    </row>
    <row r="1722" spans="1:27" ht="15" x14ac:dyDescent="0.25">
      <c r="A1722" s="2">
        <v>1717</v>
      </c>
      <c r="B1722" s="39">
        <v>941400389</v>
      </c>
      <c r="C1722" s="28" t="str">
        <f>HYPERLINK("https://pld.live/RapDetail.aspx?STONELIST=941400389","DNA")</f>
        <v>DNA</v>
      </c>
      <c r="D1722" s="18" t="s">
        <v>5466</v>
      </c>
      <c r="E1722" s="18" t="s">
        <v>5128</v>
      </c>
      <c r="F1722" s="2" t="s">
        <v>7987</v>
      </c>
      <c r="G1722" s="2" t="s">
        <v>861</v>
      </c>
      <c r="H1722" s="14">
        <v>0.52</v>
      </c>
      <c r="I1722" s="2" t="s">
        <v>267</v>
      </c>
      <c r="J1722" s="2" t="s">
        <v>3942</v>
      </c>
      <c r="K1722" s="2" t="s">
        <v>3390</v>
      </c>
      <c r="L1722" s="2" t="s">
        <v>5221</v>
      </c>
      <c r="M1722" s="2" t="s">
        <v>5221</v>
      </c>
      <c r="N1722" s="2" t="s">
        <v>2317</v>
      </c>
      <c r="O1722" s="14">
        <v>3600</v>
      </c>
      <c r="P1722" s="14">
        <v>95.83</v>
      </c>
      <c r="Q1722" s="14">
        <v>150.12</v>
      </c>
      <c r="R1722" s="14">
        <v>78.06</v>
      </c>
      <c r="S1722" s="2" t="s">
        <v>5633</v>
      </c>
      <c r="T1722" s="2">
        <v>1</v>
      </c>
      <c r="U1722" s="2">
        <v>61.6</v>
      </c>
      <c r="V1722" s="2">
        <v>57</v>
      </c>
      <c r="W1722" s="2" t="s">
        <v>7862</v>
      </c>
      <c r="X1722" s="2" t="s">
        <v>5405</v>
      </c>
      <c r="Y1722" s="2">
        <v>1872</v>
      </c>
      <c r="Z1722" s="19" t="str">
        <f>HYPERLINK("https://ssdweb.co/ssdweb/hd/Vision360.html?d=941400389&amp;zoomslide=1&amp;z=1941400389&amp;ISCONFIRM=0","VIDEO")</f>
        <v>VIDEO</v>
      </c>
      <c r="AA1722" s="19" t="str">
        <f>HYPERLINK("https://ssdweb.co/ssdweb/CERTH/687591622.pdf","CERTI")</f>
        <v>CERTI</v>
      </c>
    </row>
    <row r="1723" spans="1:27" ht="15" x14ac:dyDescent="0.25">
      <c r="A1723" s="2">
        <v>1718</v>
      </c>
      <c r="B1723" s="39">
        <v>941370507</v>
      </c>
      <c r="C1723" s="28" t="str">
        <f>HYPERLINK("https://pld.live/RapDetail.aspx?STONELIST=941370507","DNA")</f>
        <v>DNA</v>
      </c>
      <c r="D1723" s="18" t="s">
        <v>5466</v>
      </c>
      <c r="E1723" s="18" t="s">
        <v>5128</v>
      </c>
      <c r="F1723" s="2" t="s">
        <v>7987</v>
      </c>
      <c r="G1723" s="2" t="s">
        <v>861</v>
      </c>
      <c r="H1723" s="14">
        <v>0.52</v>
      </c>
      <c r="I1723" s="2" t="s">
        <v>267</v>
      </c>
      <c r="J1723" s="2" t="s">
        <v>3942</v>
      </c>
      <c r="K1723" s="2" t="s">
        <v>3390</v>
      </c>
      <c r="L1723" s="2" t="s">
        <v>5221</v>
      </c>
      <c r="M1723" s="2" t="s">
        <v>5221</v>
      </c>
      <c r="N1723" s="2" t="s">
        <v>2317</v>
      </c>
      <c r="O1723" s="14">
        <v>3600</v>
      </c>
      <c r="P1723" s="14">
        <v>95.83</v>
      </c>
      <c r="Q1723" s="14">
        <v>150.12</v>
      </c>
      <c r="R1723" s="14">
        <v>78.06</v>
      </c>
      <c r="S1723" s="2" t="s">
        <v>7134</v>
      </c>
      <c r="T1723" s="2">
        <v>1.01</v>
      </c>
      <c r="U1723" s="2">
        <v>62.2</v>
      </c>
      <c r="V1723" s="2">
        <v>57</v>
      </c>
      <c r="W1723" s="2" t="s">
        <v>7862</v>
      </c>
      <c r="X1723" s="2" t="s">
        <v>5405</v>
      </c>
      <c r="Y1723" s="2">
        <v>1872</v>
      </c>
      <c r="Z1723" s="19" t="str">
        <f>HYPERLINK("https://ssdweb.co/ssdweb/hd/Vision360.html?d=941370507&amp;zoomslide=1&amp;z=1941370507&amp;ISCONFIRM=0","VIDEO")</f>
        <v>VIDEO</v>
      </c>
      <c r="AA1723" s="19" t="str">
        <f>HYPERLINK("https://ssdweb.co/ssdweb/CERTH/685590585.pdf","CERTI")</f>
        <v>CERTI</v>
      </c>
    </row>
    <row r="1724" spans="1:27" ht="15" x14ac:dyDescent="0.25">
      <c r="A1724" s="2">
        <v>1719</v>
      </c>
      <c r="B1724" s="39">
        <v>941280091</v>
      </c>
      <c r="C1724" s="28" t="str">
        <f>HYPERLINK("https://pld.live/RapDetail.aspx?STONELIST=941280091","DNA")</f>
        <v>DNA</v>
      </c>
      <c r="D1724" s="18" t="s">
        <v>5466</v>
      </c>
      <c r="E1724" s="18" t="s">
        <v>2186</v>
      </c>
      <c r="F1724" s="2" t="s">
        <v>7987</v>
      </c>
      <c r="G1724" s="2" t="s">
        <v>861</v>
      </c>
      <c r="H1724" s="14">
        <v>0.52</v>
      </c>
      <c r="I1724" s="2" t="s">
        <v>267</v>
      </c>
      <c r="J1724" s="2" t="s">
        <v>3942</v>
      </c>
      <c r="K1724" s="2" t="s">
        <v>3390</v>
      </c>
      <c r="L1724" s="2" t="s">
        <v>5221</v>
      </c>
      <c r="M1724" s="2" t="s">
        <v>5221</v>
      </c>
      <c r="N1724" s="2" t="s">
        <v>2317</v>
      </c>
      <c r="O1724" s="14">
        <v>3600</v>
      </c>
      <c r="P1724" s="14">
        <v>95.83</v>
      </c>
      <c r="Q1724" s="14">
        <v>150.12</v>
      </c>
      <c r="R1724" s="14">
        <v>78.06</v>
      </c>
      <c r="S1724" s="2" t="s">
        <v>7775</v>
      </c>
      <c r="T1724" s="2">
        <v>1</v>
      </c>
      <c r="U1724" s="2">
        <v>60.8</v>
      </c>
      <c r="V1724" s="2">
        <v>60</v>
      </c>
      <c r="W1724" s="2" t="s">
        <v>7862</v>
      </c>
      <c r="X1724" s="2" t="s">
        <v>5405</v>
      </c>
      <c r="Y1724" s="2">
        <v>1872</v>
      </c>
      <c r="Z1724" s="19" t="str">
        <f>HYPERLINK("https://ssdweb.co/ssdweb/hd/Vision360.html?d=941280091&amp;zoomslide=1&amp;z=1941280091&amp;ISCONFIRM=0","VIDEO")</f>
        <v>VIDEO</v>
      </c>
      <c r="AA1724" s="19" t="str">
        <f>HYPERLINK("https://ssdweb.co/ssdweb/CERTH/684505044.pdf","CERTI")</f>
        <v>CERTI</v>
      </c>
    </row>
    <row r="1725" spans="1:27" ht="15" x14ac:dyDescent="0.25">
      <c r="A1725" s="2">
        <v>1720</v>
      </c>
      <c r="B1725" s="39">
        <v>941270637</v>
      </c>
      <c r="C1725" s="28" t="str">
        <f>HYPERLINK("https://pld.live/RapDetail.aspx?STONELIST=941270637","DNA")</f>
        <v>DNA</v>
      </c>
      <c r="D1725" s="18" t="s">
        <v>5466</v>
      </c>
      <c r="E1725" s="18" t="s">
        <v>5128</v>
      </c>
      <c r="F1725" s="2" t="s">
        <v>7987</v>
      </c>
      <c r="G1725" s="2" t="s">
        <v>861</v>
      </c>
      <c r="H1725" s="14">
        <v>0.52</v>
      </c>
      <c r="I1725" s="2" t="s">
        <v>267</v>
      </c>
      <c r="J1725" s="2" t="s">
        <v>3942</v>
      </c>
      <c r="K1725" s="2" t="s">
        <v>3390</v>
      </c>
      <c r="L1725" s="2" t="s">
        <v>5221</v>
      </c>
      <c r="M1725" s="2" t="s">
        <v>5221</v>
      </c>
      <c r="N1725" s="2" t="s">
        <v>2317</v>
      </c>
      <c r="O1725" s="14">
        <v>3600</v>
      </c>
      <c r="P1725" s="14">
        <v>95.83</v>
      </c>
      <c r="Q1725" s="14">
        <v>150.12</v>
      </c>
      <c r="R1725" s="14">
        <v>78.06</v>
      </c>
      <c r="S1725" s="2" t="s">
        <v>7775</v>
      </c>
      <c r="T1725" s="2">
        <v>1</v>
      </c>
      <c r="U1725" s="2">
        <v>60.6</v>
      </c>
      <c r="V1725" s="2">
        <v>58</v>
      </c>
      <c r="W1725" s="2" t="s">
        <v>7862</v>
      </c>
      <c r="X1725" s="2" t="s">
        <v>5405</v>
      </c>
      <c r="Y1725" s="2">
        <v>1872</v>
      </c>
      <c r="Z1725" s="19" t="str">
        <f>HYPERLINK("https://ssdweb.co/ssdweb/hd/Vision360.html?d=941270637&amp;zoomslide=1&amp;z=1941270637&amp;ISCONFIRM=0","VIDEO")</f>
        <v>VIDEO</v>
      </c>
      <c r="AA1725" s="19" t="str">
        <f>HYPERLINK("https://ssdweb.co/ssdweb/CERTH/684505079.pdf","CERTI")</f>
        <v>CERTI</v>
      </c>
    </row>
    <row r="1726" spans="1:27" ht="15" x14ac:dyDescent="0.25">
      <c r="A1726" s="2">
        <v>1721</v>
      </c>
      <c r="B1726" s="39">
        <v>941270638</v>
      </c>
      <c r="C1726" s="28" t="str">
        <f>HYPERLINK("https://pld.live/RapDetail.aspx?STONELIST=941270638","DNA")</f>
        <v>DNA</v>
      </c>
      <c r="D1726" s="18" t="s">
        <v>5466</v>
      </c>
      <c r="E1726" s="18" t="s">
        <v>5128</v>
      </c>
      <c r="F1726" s="2" t="s">
        <v>7987</v>
      </c>
      <c r="G1726" s="2" t="s">
        <v>861</v>
      </c>
      <c r="H1726" s="14">
        <v>0.52</v>
      </c>
      <c r="I1726" s="2" t="s">
        <v>267</v>
      </c>
      <c r="J1726" s="2" t="s">
        <v>3942</v>
      </c>
      <c r="K1726" s="2" t="s">
        <v>3390</v>
      </c>
      <c r="L1726" s="2" t="s">
        <v>5221</v>
      </c>
      <c r="M1726" s="2" t="s">
        <v>5221</v>
      </c>
      <c r="N1726" s="2" t="s">
        <v>2317</v>
      </c>
      <c r="O1726" s="14">
        <v>3600</v>
      </c>
      <c r="P1726" s="14">
        <v>95.83</v>
      </c>
      <c r="Q1726" s="14">
        <v>150.12</v>
      </c>
      <c r="R1726" s="14">
        <v>78.06</v>
      </c>
      <c r="S1726" s="2" t="s">
        <v>4296</v>
      </c>
      <c r="T1726" s="2">
        <v>1.01</v>
      </c>
      <c r="U1726" s="2">
        <v>61.5</v>
      </c>
      <c r="V1726" s="2">
        <v>58</v>
      </c>
      <c r="W1726" s="2" t="s">
        <v>7862</v>
      </c>
      <c r="X1726" s="2" t="s">
        <v>5405</v>
      </c>
      <c r="Y1726" s="2">
        <v>1872</v>
      </c>
      <c r="Z1726" s="19" t="str">
        <f>HYPERLINK("https://ssdweb.co/ssdweb/hd/Vision360.html?d=941270638&amp;zoomslide=1&amp;z=1941270638&amp;ISCONFIRM=0","VIDEO")</f>
        <v>VIDEO</v>
      </c>
      <c r="AA1726" s="19" t="str">
        <f>HYPERLINK("https://ssdweb.co/ssdweb/CERTH/684505080.pdf","CERTI")</f>
        <v>CERTI</v>
      </c>
    </row>
    <row r="1727" spans="1:27" ht="15" x14ac:dyDescent="0.25">
      <c r="A1727" s="2">
        <v>1722</v>
      </c>
      <c r="B1727" s="39">
        <v>941380160</v>
      </c>
      <c r="C1727" s="28" t="str">
        <f>HYPERLINK("https://pld.live/RapDetail.aspx?STONELIST=941380160","DNA")</f>
        <v>DNA</v>
      </c>
      <c r="D1727" s="18" t="s">
        <v>5466</v>
      </c>
      <c r="E1727" s="18" t="s">
        <v>2186</v>
      </c>
      <c r="F1727" s="2" t="s">
        <v>7987</v>
      </c>
      <c r="G1727" s="2" t="s">
        <v>861</v>
      </c>
      <c r="H1727" s="14">
        <v>0.52</v>
      </c>
      <c r="I1727" s="2" t="s">
        <v>267</v>
      </c>
      <c r="J1727" s="2" t="s">
        <v>3942</v>
      </c>
      <c r="K1727" s="2" t="s">
        <v>3390</v>
      </c>
      <c r="L1727" s="2" t="s">
        <v>5221</v>
      </c>
      <c r="M1727" s="2" t="s">
        <v>5221</v>
      </c>
      <c r="N1727" s="2" t="s">
        <v>2317</v>
      </c>
      <c r="O1727" s="14">
        <v>3600</v>
      </c>
      <c r="P1727" s="14">
        <v>95.83</v>
      </c>
      <c r="Q1727" s="14">
        <v>150.12</v>
      </c>
      <c r="R1727" s="14">
        <v>78.06</v>
      </c>
      <c r="S1727" s="2" t="s">
        <v>857</v>
      </c>
      <c r="T1727" s="2">
        <v>1</v>
      </c>
      <c r="U1727" s="2">
        <v>60.5</v>
      </c>
      <c r="V1727" s="2">
        <v>59</v>
      </c>
      <c r="W1727" s="2" t="s">
        <v>7862</v>
      </c>
      <c r="X1727" s="2" t="s">
        <v>5405</v>
      </c>
      <c r="Y1727" s="2">
        <v>1872</v>
      </c>
      <c r="Z1727" s="19" t="str">
        <f>HYPERLINK("https://ssdweb.co/ssdweb/hd/Vision360.html?d=941380160&amp;zoomslide=1&amp;z=1941380160&amp;ISCONFIRM=0","VIDEO")</f>
        <v>VIDEO</v>
      </c>
      <c r="AA1727" s="19" t="str">
        <f>HYPERLINK("https://ssdweb.co/ssdweb/CERTH/691533673.pdf","CERTI")</f>
        <v>CERTI</v>
      </c>
    </row>
    <row r="1728" spans="1:27" ht="15" x14ac:dyDescent="0.25">
      <c r="A1728" s="2">
        <v>1723</v>
      </c>
      <c r="B1728" s="39">
        <v>941380226</v>
      </c>
      <c r="C1728" s="28" t="str">
        <f>HYPERLINK("https://pld.live/RapDetail.aspx?STONELIST=941380226","DNA")</f>
        <v>DNA</v>
      </c>
      <c r="D1728" s="18" t="s">
        <v>5466</v>
      </c>
      <c r="E1728" s="18" t="s">
        <v>2186</v>
      </c>
      <c r="F1728" s="2" t="s">
        <v>7987</v>
      </c>
      <c r="G1728" s="2" t="s">
        <v>861</v>
      </c>
      <c r="H1728" s="14">
        <v>0.52</v>
      </c>
      <c r="I1728" s="2" t="s">
        <v>267</v>
      </c>
      <c r="J1728" s="2" t="s">
        <v>3942</v>
      </c>
      <c r="K1728" s="2" t="s">
        <v>3390</v>
      </c>
      <c r="L1728" s="2" t="s">
        <v>5221</v>
      </c>
      <c r="M1728" s="2" t="s">
        <v>5221</v>
      </c>
      <c r="N1728" s="2" t="s">
        <v>2317</v>
      </c>
      <c r="O1728" s="14">
        <v>3600</v>
      </c>
      <c r="P1728" s="14">
        <v>95.83</v>
      </c>
      <c r="Q1728" s="14">
        <v>150.12</v>
      </c>
      <c r="R1728" s="14">
        <v>78.06</v>
      </c>
      <c r="S1728" s="2" t="s">
        <v>2932</v>
      </c>
      <c r="T1728" s="2">
        <v>1.01</v>
      </c>
      <c r="U1728" s="2">
        <v>60.8</v>
      </c>
      <c r="V1728" s="2">
        <v>59</v>
      </c>
      <c r="W1728" s="2" t="s">
        <v>7862</v>
      </c>
      <c r="X1728" s="2" t="s">
        <v>5405</v>
      </c>
      <c r="Y1728" s="2">
        <v>1872</v>
      </c>
      <c r="Z1728" s="19" t="str">
        <f>HYPERLINK("https://ssdweb.co/ssdweb/hd/Vision360.html?d=941380226&amp;zoomslide=1&amp;z=1941380226&amp;ISCONFIRM=0","VIDEO")</f>
        <v>VIDEO</v>
      </c>
      <c r="AA1728" s="19" t="str">
        <f>HYPERLINK("https://ssdweb.co/ssdweb/CERTH/691533676.pdf","CERTI")</f>
        <v>CERTI</v>
      </c>
    </row>
    <row r="1729" spans="1:27" ht="15" x14ac:dyDescent="0.25">
      <c r="A1729" s="2">
        <v>1724</v>
      </c>
      <c r="B1729" s="39">
        <v>821128465</v>
      </c>
      <c r="C1729" s="28" t="str">
        <f>HYPERLINK("https://pld.live/RapDetail.aspx?STONELIST=821128465","DNA")</f>
        <v>DNA</v>
      </c>
      <c r="D1729" s="18" t="s">
        <v>5466</v>
      </c>
      <c r="E1729" s="18" t="s">
        <v>5128</v>
      </c>
      <c r="F1729" s="2" t="s">
        <v>7987</v>
      </c>
      <c r="G1729" s="2" t="s">
        <v>861</v>
      </c>
      <c r="H1729" s="14">
        <v>0.52</v>
      </c>
      <c r="I1729" s="2" t="s">
        <v>267</v>
      </c>
      <c r="J1729" s="2" t="s">
        <v>3942</v>
      </c>
      <c r="K1729" s="2" t="s">
        <v>5221</v>
      </c>
      <c r="L1729" s="2" t="s">
        <v>5221</v>
      </c>
      <c r="M1729" s="2" t="s">
        <v>5221</v>
      </c>
      <c r="N1729" s="2" t="s">
        <v>2317</v>
      </c>
      <c r="O1729" s="14">
        <v>3600</v>
      </c>
      <c r="P1729" s="14">
        <v>95.83</v>
      </c>
      <c r="Q1729" s="14">
        <v>150.12</v>
      </c>
      <c r="R1729" s="14">
        <v>78.06</v>
      </c>
      <c r="S1729" s="2" t="s">
        <v>7481</v>
      </c>
      <c r="T1729" s="2">
        <v>1</v>
      </c>
      <c r="U1729" s="2">
        <v>62.7</v>
      </c>
      <c r="V1729" s="2">
        <v>55</v>
      </c>
      <c r="W1729" s="2" t="s">
        <v>7862</v>
      </c>
      <c r="X1729" s="2" t="s">
        <v>5405</v>
      </c>
      <c r="Y1729" s="2">
        <v>1872</v>
      </c>
      <c r="Z1729" s="19" t="str">
        <f>HYPERLINK("https://ssdweb.co/ssdweb/hd/Vision360.html?d=821128465&amp;zoomslide=1&amp;z=1821128465&amp;ISCONFIRM=0","VIDEO")</f>
        <v>VIDEO</v>
      </c>
      <c r="AA1729" s="19" t="str">
        <f>HYPERLINK("https://ssdweb.co/ssdweb/CERTH/681595678.pdf","CERTI")</f>
        <v>CERTI</v>
      </c>
    </row>
    <row r="1730" spans="1:27" ht="15" x14ac:dyDescent="0.25">
      <c r="A1730" s="2">
        <v>1725</v>
      </c>
      <c r="B1730" s="39">
        <v>926941065</v>
      </c>
      <c r="C1730" s="28" t="str">
        <f>HYPERLINK("https://pld.live/RapDetail.aspx?STONELIST=926941065","DNA")</f>
        <v>DNA</v>
      </c>
      <c r="D1730" s="18" t="s">
        <v>5466</v>
      </c>
      <c r="E1730" s="18" t="s">
        <v>5128</v>
      </c>
      <c r="F1730" s="2" t="s">
        <v>7987</v>
      </c>
      <c r="G1730" s="2" t="s">
        <v>861</v>
      </c>
      <c r="H1730" s="14">
        <v>0.52</v>
      </c>
      <c r="I1730" s="2" t="s">
        <v>267</v>
      </c>
      <c r="J1730" s="2" t="s">
        <v>3942</v>
      </c>
      <c r="K1730" s="2" t="s">
        <v>5221</v>
      </c>
      <c r="L1730" s="2" t="s">
        <v>5221</v>
      </c>
      <c r="M1730" s="2" t="s">
        <v>5221</v>
      </c>
      <c r="N1730" s="2" t="s">
        <v>2317</v>
      </c>
      <c r="O1730" s="14">
        <v>3600</v>
      </c>
      <c r="P1730" s="14">
        <v>95.83</v>
      </c>
      <c r="Q1730" s="14">
        <v>150.12</v>
      </c>
      <c r="R1730" s="14">
        <v>78.06</v>
      </c>
      <c r="S1730" s="2" t="s">
        <v>185</v>
      </c>
      <c r="T1730" s="2">
        <v>1.01</v>
      </c>
      <c r="U1730" s="2">
        <v>62.9</v>
      </c>
      <c r="V1730" s="2">
        <v>58</v>
      </c>
      <c r="W1730" s="2" t="s">
        <v>7862</v>
      </c>
      <c r="X1730" s="2" t="s">
        <v>5405</v>
      </c>
      <c r="Y1730" s="2">
        <v>1872</v>
      </c>
      <c r="Z1730" s="19" t="str">
        <f>HYPERLINK("https://ssdweb.co/ssdweb/hd/Vision360.html?d=926941065&amp;zoomslide=1&amp;z=1926941065&amp;ISCONFIRM=0","VIDEO")</f>
        <v>VIDEO</v>
      </c>
      <c r="AA1730" s="19" t="str">
        <f>HYPERLINK("https://ssdweb.co/ssdweb/CERTH/670484257.pdf","CERTI")</f>
        <v>CERTI</v>
      </c>
    </row>
    <row r="1731" spans="1:27" ht="15" x14ac:dyDescent="0.25">
      <c r="A1731" s="2">
        <v>1726</v>
      </c>
      <c r="B1731" s="39">
        <v>941190181</v>
      </c>
      <c r="C1731" s="28" t="str">
        <f>HYPERLINK("https://pld.live/RapDetail.aspx?STONELIST=941190181","DNA")</f>
        <v>DNA</v>
      </c>
      <c r="D1731" s="18" t="s">
        <v>5466</v>
      </c>
      <c r="E1731" s="18" t="s">
        <v>5128</v>
      </c>
      <c r="F1731" s="2" t="s">
        <v>7987</v>
      </c>
      <c r="G1731" s="2" t="s">
        <v>861</v>
      </c>
      <c r="H1731" s="14">
        <v>0.52</v>
      </c>
      <c r="I1731" s="2" t="s">
        <v>267</v>
      </c>
      <c r="J1731" s="2" t="s">
        <v>3942</v>
      </c>
      <c r="K1731" s="2" t="s">
        <v>5221</v>
      </c>
      <c r="L1731" s="2" t="s">
        <v>5221</v>
      </c>
      <c r="M1731" s="2" t="s">
        <v>5221</v>
      </c>
      <c r="N1731" s="2" t="s">
        <v>2317</v>
      </c>
      <c r="O1731" s="14">
        <v>3600</v>
      </c>
      <c r="P1731" s="14">
        <v>95.83</v>
      </c>
      <c r="Q1731" s="14">
        <v>150.12</v>
      </c>
      <c r="R1731" s="14">
        <v>78.06</v>
      </c>
      <c r="S1731" s="2" t="s">
        <v>1542</v>
      </c>
      <c r="T1731" s="2">
        <v>1</v>
      </c>
      <c r="U1731" s="2">
        <v>62</v>
      </c>
      <c r="V1731" s="2">
        <v>58</v>
      </c>
      <c r="W1731" s="2" t="s">
        <v>7862</v>
      </c>
      <c r="X1731" s="2" t="s">
        <v>5405</v>
      </c>
      <c r="Y1731" s="2">
        <v>1872</v>
      </c>
      <c r="Z1731" s="19" t="str">
        <f>HYPERLINK("https://ssdweb.co/ssdweb/hd/Vision360.html?d=941190181&amp;zoomslide=1&amp;z=1941190181&amp;ISCONFIRM=0","VIDEO")</f>
        <v>VIDEO</v>
      </c>
      <c r="AA1731" s="19" t="str">
        <f>HYPERLINK("https://ssdweb.co/ssdweb/CERTH/675596633.pdf","CERTI")</f>
        <v>CERTI</v>
      </c>
    </row>
    <row r="1732" spans="1:27" ht="15" x14ac:dyDescent="0.25">
      <c r="A1732" s="2">
        <v>1727</v>
      </c>
      <c r="B1732" s="39">
        <v>941190431</v>
      </c>
      <c r="C1732" s="28" t="str">
        <f>HYPERLINK("https://pld.live/RapDetail.aspx?STONELIST=941190431","DNA")</f>
        <v>DNA</v>
      </c>
      <c r="D1732" s="18" t="s">
        <v>5466</v>
      </c>
      <c r="E1732" s="18" t="s">
        <v>5128</v>
      </c>
      <c r="F1732" s="2" t="s">
        <v>7987</v>
      </c>
      <c r="G1732" s="2" t="s">
        <v>861</v>
      </c>
      <c r="H1732" s="14">
        <v>0.52</v>
      </c>
      <c r="I1732" s="2" t="s">
        <v>267</v>
      </c>
      <c r="J1732" s="2" t="s">
        <v>3942</v>
      </c>
      <c r="K1732" s="2" t="s">
        <v>5221</v>
      </c>
      <c r="L1732" s="2" t="s">
        <v>5221</v>
      </c>
      <c r="M1732" s="2" t="s">
        <v>5221</v>
      </c>
      <c r="N1732" s="2" t="s">
        <v>2317</v>
      </c>
      <c r="O1732" s="14">
        <v>3600</v>
      </c>
      <c r="P1732" s="14">
        <v>95.83</v>
      </c>
      <c r="Q1732" s="14">
        <v>150.12</v>
      </c>
      <c r="R1732" s="14">
        <v>78.06</v>
      </c>
      <c r="S1732" s="2" t="s">
        <v>1263</v>
      </c>
      <c r="T1732" s="2">
        <v>1.01</v>
      </c>
      <c r="U1732" s="2">
        <v>60.4</v>
      </c>
      <c r="V1732" s="2">
        <v>61</v>
      </c>
      <c r="W1732" s="2" t="s">
        <v>7862</v>
      </c>
      <c r="X1732" s="2" t="s">
        <v>5405</v>
      </c>
      <c r="Y1732" s="2">
        <v>1872</v>
      </c>
      <c r="Z1732" s="19" t="str">
        <f>HYPERLINK("https://ssdweb.co/ssdweb/hd/Vision360.html?d=941190431&amp;zoomslide=1&amp;z=1941190431&amp;ISCONFIRM=0","VIDEO")</f>
        <v>VIDEO</v>
      </c>
      <c r="AA1732" s="19" t="str">
        <f>HYPERLINK("https://ssdweb.co/ssdweb/CERTH/677510668.pdf","CERTI")</f>
        <v>CERTI</v>
      </c>
    </row>
    <row r="1733" spans="1:27" ht="15" x14ac:dyDescent="0.25">
      <c r="A1733" s="2">
        <v>1728</v>
      </c>
      <c r="B1733" s="39">
        <v>926440768</v>
      </c>
      <c r="C1733" s="28" t="str">
        <f>HYPERLINK("https://pld.live/RapDetail.aspx?STONELIST=926440768","DNA")</f>
        <v>DNA</v>
      </c>
      <c r="D1733" s="18" t="s">
        <v>5466</v>
      </c>
      <c r="E1733" s="18" t="s">
        <v>5128</v>
      </c>
      <c r="F1733" s="2" t="s">
        <v>5597</v>
      </c>
      <c r="G1733" s="2" t="s">
        <v>861</v>
      </c>
      <c r="H1733" s="14">
        <v>0.52</v>
      </c>
      <c r="I1733" s="2" t="s">
        <v>267</v>
      </c>
      <c r="J1733" s="2" t="s">
        <v>3942</v>
      </c>
      <c r="K1733" s="2" t="s">
        <v>5221</v>
      </c>
      <c r="L1733" s="2" t="s">
        <v>5221</v>
      </c>
      <c r="M1733" s="2" t="s">
        <v>5721</v>
      </c>
      <c r="N1733" s="2" t="s">
        <v>2317</v>
      </c>
      <c r="O1733" s="14">
        <v>3600</v>
      </c>
      <c r="P1733" s="14">
        <v>91.42</v>
      </c>
      <c r="Q1733" s="14">
        <v>308.88</v>
      </c>
      <c r="R1733" s="14">
        <v>160.62</v>
      </c>
      <c r="S1733" s="2" t="s">
        <v>228</v>
      </c>
      <c r="T1733" s="2">
        <v>1</v>
      </c>
      <c r="U1733" s="2">
        <v>62.7</v>
      </c>
      <c r="V1733" s="2">
        <v>55</v>
      </c>
      <c r="W1733" s="2" t="s">
        <v>7862</v>
      </c>
      <c r="X1733" s="2" t="s">
        <v>5405</v>
      </c>
      <c r="Y1733" s="2">
        <v>1872</v>
      </c>
      <c r="Z1733" s="19" t="str">
        <f>HYPERLINK("https://ssdweb.co/ssdweb/hd/Vision360.html?d=926440768&amp;zoomslide=1&amp;z=1926440768&amp;ISCONFIRM=0","VIDEO")</f>
        <v>VIDEO</v>
      </c>
      <c r="AA1733" s="19" t="str">
        <f>HYPERLINK("https://ssdweb.co/ssdweb/CERTH/6491927567.pdf","CERTI")</f>
        <v>CERTI</v>
      </c>
    </row>
    <row r="1734" spans="1:27" ht="15" x14ac:dyDescent="0.25">
      <c r="A1734" s="2">
        <v>1729</v>
      </c>
      <c r="B1734" s="39">
        <v>926960828</v>
      </c>
      <c r="C1734" s="28" t="str">
        <f>HYPERLINK("https://pld.live/RapDetail.aspx?STONELIST=926960828","DNA")</f>
        <v>DNA</v>
      </c>
      <c r="D1734" s="18" t="s">
        <v>5466</v>
      </c>
      <c r="E1734" s="18" t="s">
        <v>5128</v>
      </c>
      <c r="F1734" s="2" t="s">
        <v>7987</v>
      </c>
      <c r="G1734" s="2" t="s">
        <v>861</v>
      </c>
      <c r="H1734" s="14">
        <v>0.52</v>
      </c>
      <c r="I1734" s="2" t="s">
        <v>267</v>
      </c>
      <c r="J1734" s="2" t="s">
        <v>3942</v>
      </c>
      <c r="K1734" s="2" t="s">
        <v>5221</v>
      </c>
      <c r="L1734" s="2" t="s">
        <v>5221</v>
      </c>
      <c r="M1734" s="2" t="s">
        <v>5721</v>
      </c>
      <c r="N1734" s="2" t="s">
        <v>2317</v>
      </c>
      <c r="O1734" s="14">
        <v>3600</v>
      </c>
      <c r="P1734" s="14">
        <v>95.89</v>
      </c>
      <c r="Q1734" s="14">
        <v>147.96</v>
      </c>
      <c r="R1734" s="14">
        <v>76.94</v>
      </c>
      <c r="S1734" s="2" t="s">
        <v>5045</v>
      </c>
      <c r="T1734" s="2">
        <v>1.01</v>
      </c>
      <c r="U1734" s="2">
        <v>59.8</v>
      </c>
      <c r="V1734" s="2">
        <v>60</v>
      </c>
      <c r="W1734" s="2" t="s">
        <v>7862</v>
      </c>
      <c r="X1734" s="2" t="s">
        <v>5405</v>
      </c>
      <c r="Y1734" s="2">
        <v>1872</v>
      </c>
      <c r="Z1734" s="19" t="str">
        <f>HYPERLINK("https://ssdweb.co/ssdweb/hd/Vision360.html?d=926960828&amp;zoomslide=1&amp;z=1926960828&amp;ISCONFIRM=0","VIDEO")</f>
        <v>VIDEO</v>
      </c>
      <c r="AA1734" s="19" t="str">
        <f>HYPERLINK("https://ssdweb.co/ssdweb/CERTH/670484262.pdf","CERTI")</f>
        <v>CERTI</v>
      </c>
    </row>
    <row r="1735" spans="1:27" ht="15" x14ac:dyDescent="0.25">
      <c r="A1735" s="2">
        <v>1730</v>
      </c>
      <c r="B1735" s="39">
        <v>941220072</v>
      </c>
      <c r="C1735" s="28" t="str">
        <f>HYPERLINK("https://pld.live/RapDetail.aspx?STONELIST=941220072","DNA")</f>
        <v>DNA</v>
      </c>
      <c r="D1735" s="18" t="s">
        <v>5466</v>
      </c>
      <c r="E1735" s="18" t="s">
        <v>2186</v>
      </c>
      <c r="F1735" s="2" t="s">
        <v>7987</v>
      </c>
      <c r="G1735" s="2" t="s">
        <v>861</v>
      </c>
      <c r="H1735" s="14">
        <v>0.52</v>
      </c>
      <c r="I1735" s="2" t="s">
        <v>267</v>
      </c>
      <c r="J1735" s="2" t="s">
        <v>3942</v>
      </c>
      <c r="K1735" s="2" t="s">
        <v>5221</v>
      </c>
      <c r="L1735" s="2" t="s">
        <v>5221</v>
      </c>
      <c r="M1735" s="2" t="s">
        <v>5721</v>
      </c>
      <c r="N1735" s="2" t="s">
        <v>2317</v>
      </c>
      <c r="O1735" s="14">
        <v>3600</v>
      </c>
      <c r="P1735" s="14">
        <v>95.89</v>
      </c>
      <c r="Q1735" s="14">
        <v>147.96</v>
      </c>
      <c r="R1735" s="14">
        <v>76.94</v>
      </c>
      <c r="S1735" s="2" t="s">
        <v>19</v>
      </c>
      <c r="T1735" s="2">
        <v>1</v>
      </c>
      <c r="U1735" s="2">
        <v>62.1</v>
      </c>
      <c r="V1735" s="2">
        <v>60</v>
      </c>
      <c r="W1735" s="2" t="s">
        <v>7862</v>
      </c>
      <c r="X1735" s="2" t="s">
        <v>5405</v>
      </c>
      <c r="Y1735" s="2">
        <v>1872</v>
      </c>
      <c r="Z1735" s="19" t="str">
        <f>HYPERLINK("https://ssdweb.co/ssdweb/hd/Vision360.html?d=941220072&amp;zoomslide=1&amp;z=1941220072&amp;ISCONFIRM=0","VIDEO")</f>
        <v>VIDEO</v>
      </c>
      <c r="AA1735" s="19" t="str">
        <f>HYPERLINK("https://ssdweb.co/ssdweb/CERTH/680505067.pdf","CERTI")</f>
        <v>CERTI</v>
      </c>
    </row>
    <row r="1736" spans="1:27" ht="15" x14ac:dyDescent="0.25">
      <c r="A1736" s="2">
        <v>1731</v>
      </c>
      <c r="B1736" s="39">
        <v>926671116</v>
      </c>
      <c r="C1736" s="28" t="str">
        <f>HYPERLINK("https://pld.live/RapDetail.aspx?STONELIST=926671116","DNA")</f>
        <v>DNA</v>
      </c>
      <c r="D1736" s="18" t="s">
        <v>5466</v>
      </c>
      <c r="E1736" s="18" t="s">
        <v>5128</v>
      </c>
      <c r="F1736" s="2" t="s">
        <v>5597</v>
      </c>
      <c r="G1736" s="2" t="s">
        <v>861</v>
      </c>
      <c r="H1736" s="14">
        <v>0.52</v>
      </c>
      <c r="I1736" s="2" t="s">
        <v>267</v>
      </c>
      <c r="J1736" s="2" t="s">
        <v>3942</v>
      </c>
      <c r="K1736" s="2" t="s">
        <v>5221</v>
      </c>
      <c r="L1736" s="2" t="s">
        <v>5721</v>
      </c>
      <c r="M1736" s="2" t="s">
        <v>5221</v>
      </c>
      <c r="N1736" s="2" t="s">
        <v>2317</v>
      </c>
      <c r="O1736" s="14">
        <v>3600</v>
      </c>
      <c r="P1736" s="14">
        <v>91.42</v>
      </c>
      <c r="Q1736" s="14">
        <v>308.88</v>
      </c>
      <c r="R1736" s="14">
        <v>160.62</v>
      </c>
      <c r="S1736" s="2" t="s">
        <v>1972</v>
      </c>
      <c r="T1736" s="2">
        <v>1.01</v>
      </c>
      <c r="U1736" s="2">
        <v>61.7</v>
      </c>
      <c r="V1736" s="2">
        <v>58</v>
      </c>
      <c r="W1736" s="2" t="s">
        <v>7862</v>
      </c>
      <c r="X1736" s="2" t="s">
        <v>5405</v>
      </c>
      <c r="Y1736" s="2">
        <v>1872</v>
      </c>
      <c r="Z1736" s="19" t="str">
        <f>HYPERLINK("https://ssdweb.co/ssdweb/hd/Vision360.html?d=926671116&amp;zoomslide=1&amp;z=1926671116&amp;ISCONFIRM=0","VIDEO")</f>
        <v>VIDEO</v>
      </c>
      <c r="AA1736" s="19" t="str">
        <f>HYPERLINK("https://ssdweb.co/ssdweb/CERTH/6501388698.pdf","CERTI")</f>
        <v>CERTI</v>
      </c>
    </row>
    <row r="1737" spans="1:27" ht="15" x14ac:dyDescent="0.25">
      <c r="A1737" s="2">
        <v>1732</v>
      </c>
      <c r="B1737" s="39">
        <v>926972145</v>
      </c>
      <c r="C1737" s="28" t="str">
        <f>HYPERLINK("https://pld.live/RapDetail.aspx?STONELIST=926972145","DNA")</f>
        <v>DNA</v>
      </c>
      <c r="D1737" s="18" t="s">
        <v>5466</v>
      </c>
      <c r="E1737" s="18" t="s">
        <v>5128</v>
      </c>
      <c r="F1737" s="2" t="s">
        <v>7987</v>
      </c>
      <c r="G1737" s="2" t="s">
        <v>861</v>
      </c>
      <c r="H1737" s="14">
        <v>0.52</v>
      </c>
      <c r="I1737" s="2" t="s">
        <v>267</v>
      </c>
      <c r="J1737" s="2" t="s">
        <v>13</v>
      </c>
      <c r="K1737" s="2" t="s">
        <v>3390</v>
      </c>
      <c r="L1737" s="2" t="s">
        <v>5221</v>
      </c>
      <c r="M1737" s="2" t="s">
        <v>5221</v>
      </c>
      <c r="N1737" s="2" t="s">
        <v>2317</v>
      </c>
      <c r="O1737" s="14">
        <v>3000</v>
      </c>
      <c r="P1737" s="14">
        <v>95.23</v>
      </c>
      <c r="Q1737" s="14">
        <v>143.1</v>
      </c>
      <c r="R1737" s="14">
        <v>74.41</v>
      </c>
      <c r="S1737" s="2" t="s">
        <v>7275</v>
      </c>
      <c r="T1737" s="2">
        <v>1.01</v>
      </c>
      <c r="U1737" s="2">
        <v>60.5</v>
      </c>
      <c r="V1737" s="2">
        <v>59</v>
      </c>
      <c r="W1737" s="2" t="s">
        <v>7862</v>
      </c>
      <c r="X1737" s="2" t="s">
        <v>5405</v>
      </c>
      <c r="Y1737" s="2">
        <v>1560</v>
      </c>
      <c r="Z1737" s="19" t="str">
        <f>HYPERLINK("https://ssdweb.co/ssdweb/hd/Vision360.html?d=926972145&amp;zoomslide=1&amp;z=1926972145&amp;ISCONFIRM=0","VIDEO")</f>
        <v>VIDEO</v>
      </c>
      <c r="AA1737" s="19" t="str">
        <f>HYPERLINK("https://ssdweb.co/ssdweb/CERTH/660489627.pdf","CERTI")</f>
        <v>CERTI</v>
      </c>
    </row>
    <row r="1738" spans="1:27" ht="15" x14ac:dyDescent="0.25">
      <c r="A1738" s="2">
        <v>1733</v>
      </c>
      <c r="B1738" s="39">
        <v>941270613</v>
      </c>
      <c r="C1738" s="28" t="str">
        <f>HYPERLINK("https://pld.live/RapDetail.aspx?STONELIST=941270613","DNA")</f>
        <v>DNA</v>
      </c>
      <c r="D1738" s="18" t="s">
        <v>5466</v>
      </c>
      <c r="E1738" s="18" t="s">
        <v>5128</v>
      </c>
      <c r="F1738" s="2" t="s">
        <v>7987</v>
      </c>
      <c r="G1738" s="2" t="s">
        <v>861</v>
      </c>
      <c r="H1738" s="14">
        <v>0.52</v>
      </c>
      <c r="I1738" s="2" t="s">
        <v>267</v>
      </c>
      <c r="J1738" s="2" t="s">
        <v>13</v>
      </c>
      <c r="K1738" s="2" t="s">
        <v>3390</v>
      </c>
      <c r="L1738" s="2" t="s">
        <v>5221</v>
      </c>
      <c r="M1738" s="2" t="s">
        <v>5221</v>
      </c>
      <c r="N1738" s="2" t="s">
        <v>2317</v>
      </c>
      <c r="O1738" s="14">
        <v>3000</v>
      </c>
      <c r="P1738" s="14">
        <v>95.17</v>
      </c>
      <c r="Q1738" s="14">
        <v>144.9</v>
      </c>
      <c r="R1738" s="14">
        <v>75.349999999999994</v>
      </c>
      <c r="S1738" s="2" t="s">
        <v>5486</v>
      </c>
      <c r="T1738" s="2">
        <v>1.01</v>
      </c>
      <c r="U1738" s="2">
        <v>61.1</v>
      </c>
      <c r="V1738" s="2">
        <v>59</v>
      </c>
      <c r="W1738" s="2" t="s">
        <v>7862</v>
      </c>
      <c r="X1738" s="2" t="s">
        <v>5405</v>
      </c>
      <c r="Y1738" s="2">
        <v>1560</v>
      </c>
      <c r="Z1738" s="19" t="str">
        <f>HYPERLINK("https://ssdweb.co/ssdweb/hd/Vision360.html?d=941270613&amp;zoomslide=1&amp;z=1941270613&amp;ISCONFIRM=0","VIDEO")</f>
        <v>VIDEO</v>
      </c>
      <c r="AA1738" s="19" t="str">
        <f>HYPERLINK("https://ssdweb.co/ssdweb/CERTH/694508316.pdf","CERTI")</f>
        <v>CERTI</v>
      </c>
    </row>
    <row r="1739" spans="1:27" ht="15" x14ac:dyDescent="0.25">
      <c r="A1739" s="2">
        <v>1734</v>
      </c>
      <c r="B1739" s="39">
        <v>941190175</v>
      </c>
      <c r="C1739" s="28" t="str">
        <f>HYPERLINK("https://pld.live/RapDetail.aspx?STONELIST=941190175","DNA")</f>
        <v>DNA</v>
      </c>
      <c r="D1739" s="18" t="s">
        <v>5466</v>
      </c>
      <c r="E1739" s="18" t="s">
        <v>5128</v>
      </c>
      <c r="F1739" s="2" t="s">
        <v>7987</v>
      </c>
      <c r="G1739" s="2" t="s">
        <v>861</v>
      </c>
      <c r="H1739" s="14">
        <v>0.52</v>
      </c>
      <c r="I1739" s="2" t="s">
        <v>267</v>
      </c>
      <c r="J1739" s="2" t="s">
        <v>13</v>
      </c>
      <c r="K1739" s="2" t="s">
        <v>3390</v>
      </c>
      <c r="L1739" s="2" t="s">
        <v>5221</v>
      </c>
      <c r="M1739" s="2" t="s">
        <v>5221</v>
      </c>
      <c r="N1739" s="2" t="s">
        <v>2317</v>
      </c>
      <c r="O1739" s="14">
        <v>3000</v>
      </c>
      <c r="P1739" s="14">
        <v>95.17</v>
      </c>
      <c r="Q1739" s="14">
        <v>144.9</v>
      </c>
      <c r="R1739" s="14">
        <v>75.349999999999994</v>
      </c>
      <c r="S1739" s="2" t="s">
        <v>6059</v>
      </c>
      <c r="T1739" s="2">
        <v>1</v>
      </c>
      <c r="U1739" s="2">
        <v>62</v>
      </c>
      <c r="V1739" s="2">
        <v>58</v>
      </c>
      <c r="W1739" s="2" t="s">
        <v>7862</v>
      </c>
      <c r="X1739" s="2" t="s">
        <v>5405</v>
      </c>
      <c r="Y1739" s="2">
        <v>1560</v>
      </c>
      <c r="Z1739" s="19" t="str">
        <f>HYPERLINK("https://ssdweb.co/ssdweb/hd/Vision360.html?d=941190175&amp;zoomslide=1&amp;z=1941190175&amp;ISCONFIRM=0","VIDEO")</f>
        <v>VIDEO</v>
      </c>
      <c r="AA1739" s="19" t="str">
        <f>HYPERLINK("https://ssdweb.co/ssdweb/CERTH/675504597.pdf","CERTI")</f>
        <v>CERTI</v>
      </c>
    </row>
    <row r="1740" spans="1:27" ht="15" x14ac:dyDescent="0.25">
      <c r="A1740" s="2">
        <v>1735</v>
      </c>
      <c r="B1740" s="39">
        <v>941190124</v>
      </c>
      <c r="C1740" s="28" t="str">
        <f>HYPERLINK("https://pld.live/RapDetail.aspx?STONELIST=941190124","DNA")</f>
        <v>DNA</v>
      </c>
      <c r="D1740" s="18" t="s">
        <v>5466</v>
      </c>
      <c r="E1740" s="18" t="s">
        <v>5128</v>
      </c>
      <c r="F1740" s="2" t="s">
        <v>7987</v>
      </c>
      <c r="G1740" s="2" t="s">
        <v>861</v>
      </c>
      <c r="H1740" s="14">
        <v>0.52</v>
      </c>
      <c r="I1740" s="2" t="s">
        <v>267</v>
      </c>
      <c r="J1740" s="2" t="s">
        <v>13</v>
      </c>
      <c r="K1740" s="2" t="s">
        <v>3390</v>
      </c>
      <c r="L1740" s="2" t="s">
        <v>5221</v>
      </c>
      <c r="M1740" s="2" t="s">
        <v>5221</v>
      </c>
      <c r="N1740" s="2" t="s">
        <v>2317</v>
      </c>
      <c r="O1740" s="14">
        <v>3000</v>
      </c>
      <c r="P1740" s="14">
        <v>95.17</v>
      </c>
      <c r="Q1740" s="14">
        <v>144.9</v>
      </c>
      <c r="R1740" s="14">
        <v>75.349999999999994</v>
      </c>
      <c r="S1740" s="2" t="s">
        <v>5206</v>
      </c>
      <c r="T1740" s="2">
        <v>1.01</v>
      </c>
      <c r="U1740" s="2">
        <v>60.9</v>
      </c>
      <c r="V1740" s="2">
        <v>58</v>
      </c>
      <c r="W1740" s="2" t="s">
        <v>7862</v>
      </c>
      <c r="X1740" s="2" t="s">
        <v>5405</v>
      </c>
      <c r="Y1740" s="2">
        <v>1560</v>
      </c>
      <c r="Z1740" s="19" t="str">
        <f>HYPERLINK("https://ssdweb.co/ssdweb/hd/Vision360.html?d=941190124&amp;zoomslide=1&amp;z=1941190124&amp;ISCONFIRM=0","VIDEO")</f>
        <v>VIDEO</v>
      </c>
      <c r="AA1740" s="19" t="str">
        <f>HYPERLINK("https://ssdweb.co/ssdweb/CERTH/675504607.pdf","CERTI")</f>
        <v>CERTI</v>
      </c>
    </row>
    <row r="1741" spans="1:27" ht="15" x14ac:dyDescent="0.25">
      <c r="A1741" s="2">
        <v>1736</v>
      </c>
      <c r="B1741" s="39">
        <v>941350921</v>
      </c>
      <c r="C1741" s="28" t="str">
        <f>HYPERLINK("https://pld.live/RapDetail.aspx?STONELIST=941350921","DNA")</f>
        <v>DNA</v>
      </c>
      <c r="D1741" s="18" t="s">
        <v>5466</v>
      </c>
      <c r="E1741" s="18" t="s">
        <v>5128</v>
      </c>
      <c r="F1741" s="2" t="s">
        <v>7987</v>
      </c>
      <c r="G1741" s="2" t="s">
        <v>861</v>
      </c>
      <c r="H1741" s="14">
        <v>0.52</v>
      </c>
      <c r="I1741" s="2" t="s">
        <v>267</v>
      </c>
      <c r="J1741" s="2" t="s">
        <v>13</v>
      </c>
      <c r="K1741" s="2" t="s">
        <v>3390</v>
      </c>
      <c r="L1741" s="2" t="s">
        <v>5221</v>
      </c>
      <c r="M1741" s="2" t="s">
        <v>5221</v>
      </c>
      <c r="N1741" s="2" t="s">
        <v>2317</v>
      </c>
      <c r="O1741" s="14">
        <v>3000</v>
      </c>
      <c r="P1741" s="14">
        <v>95.17</v>
      </c>
      <c r="Q1741" s="14">
        <v>144.9</v>
      </c>
      <c r="R1741" s="14">
        <v>75.349999999999994</v>
      </c>
      <c r="S1741" s="2" t="s">
        <v>4207</v>
      </c>
      <c r="T1741" s="2">
        <v>1.01</v>
      </c>
      <c r="U1741" s="2">
        <v>61.3</v>
      </c>
      <c r="V1741" s="2">
        <v>57</v>
      </c>
      <c r="W1741" s="2" t="s">
        <v>7862</v>
      </c>
      <c r="X1741" s="2" t="s">
        <v>5405</v>
      </c>
      <c r="Y1741" s="2">
        <v>1560</v>
      </c>
      <c r="Z1741" s="19" t="str">
        <f>HYPERLINK("https://ssdweb.co/ssdweb/hd/Vision360.html?d=941350921&amp;zoomslide=1&amp;z=1941350921&amp;ISCONFIRM=0","VIDEO")</f>
        <v>VIDEO</v>
      </c>
      <c r="AA1741" s="19" t="str">
        <f>HYPERLINK("https://ssdweb.co/ssdweb/CERTH/685590576.pdf","CERTI")</f>
        <v>CERTI</v>
      </c>
    </row>
    <row r="1742" spans="1:27" ht="15" x14ac:dyDescent="0.25">
      <c r="A1742" s="2">
        <v>1737</v>
      </c>
      <c r="B1742" s="39">
        <v>941280361</v>
      </c>
      <c r="C1742" s="28" t="str">
        <f>HYPERLINK("https://pld.live/RapDetail.aspx?STONELIST=941280361","DNA")</f>
        <v>DNA</v>
      </c>
      <c r="D1742" s="18" t="s">
        <v>5466</v>
      </c>
      <c r="E1742" s="18" t="s">
        <v>2186</v>
      </c>
      <c r="F1742" s="2" t="s">
        <v>7987</v>
      </c>
      <c r="G1742" s="2" t="s">
        <v>861</v>
      </c>
      <c r="H1742" s="14">
        <v>0.52</v>
      </c>
      <c r="I1742" s="2" t="s">
        <v>267</v>
      </c>
      <c r="J1742" s="2" t="s">
        <v>13</v>
      </c>
      <c r="K1742" s="2" t="s">
        <v>3390</v>
      </c>
      <c r="L1742" s="2" t="s">
        <v>5221</v>
      </c>
      <c r="M1742" s="2" t="s">
        <v>5221</v>
      </c>
      <c r="N1742" s="2" t="s">
        <v>2317</v>
      </c>
      <c r="O1742" s="14">
        <v>3000</v>
      </c>
      <c r="P1742" s="14">
        <v>95.17</v>
      </c>
      <c r="Q1742" s="14">
        <v>144.9</v>
      </c>
      <c r="R1742" s="14">
        <v>75.349999999999994</v>
      </c>
      <c r="S1742" s="2" t="s">
        <v>3109</v>
      </c>
      <c r="T1742" s="2">
        <v>1.01</v>
      </c>
      <c r="U1742" s="2">
        <v>61.7</v>
      </c>
      <c r="V1742" s="2">
        <v>58</v>
      </c>
      <c r="W1742" s="2" t="s">
        <v>7862</v>
      </c>
      <c r="X1742" s="2" t="s">
        <v>5405</v>
      </c>
      <c r="Y1742" s="2">
        <v>1560</v>
      </c>
      <c r="Z1742" s="19" t="str">
        <f>HYPERLINK("https://ssdweb.co/ssdweb/hd/Vision360.html?d=941280361&amp;zoomslide=1&amp;z=1941280361&amp;ISCONFIRM=0","VIDEO")</f>
        <v>VIDEO</v>
      </c>
      <c r="AA1742" s="19" t="str">
        <f>HYPERLINK("https://ssdweb.co/ssdweb/CERTH/685590539.pdf","CERTI")</f>
        <v>CERTI</v>
      </c>
    </row>
    <row r="1743" spans="1:27" ht="15" x14ac:dyDescent="0.25">
      <c r="A1743" s="2">
        <v>1738</v>
      </c>
      <c r="B1743" s="39">
        <v>941190255</v>
      </c>
      <c r="C1743" s="28" t="str">
        <f>HYPERLINK("https://pld.live/RapDetail.aspx?STONELIST=941190255","DNA")</f>
        <v>DNA</v>
      </c>
      <c r="D1743" s="18" t="s">
        <v>5466</v>
      </c>
      <c r="E1743" s="18" t="s">
        <v>5128</v>
      </c>
      <c r="F1743" s="2" t="s">
        <v>7987</v>
      </c>
      <c r="G1743" s="2" t="s">
        <v>861</v>
      </c>
      <c r="H1743" s="14">
        <v>0.52</v>
      </c>
      <c r="I1743" s="2" t="s">
        <v>267</v>
      </c>
      <c r="J1743" s="2" t="s">
        <v>13</v>
      </c>
      <c r="K1743" s="2" t="s">
        <v>3390</v>
      </c>
      <c r="L1743" s="2" t="s">
        <v>5221</v>
      </c>
      <c r="M1743" s="2" t="s">
        <v>5221</v>
      </c>
      <c r="N1743" s="2" t="s">
        <v>2317</v>
      </c>
      <c r="O1743" s="14">
        <v>3000</v>
      </c>
      <c r="P1743" s="14">
        <v>95.17</v>
      </c>
      <c r="Q1743" s="14">
        <v>144.9</v>
      </c>
      <c r="R1743" s="14">
        <v>75.349999999999994</v>
      </c>
      <c r="S1743" s="2" t="s">
        <v>1842</v>
      </c>
      <c r="T1743" s="2">
        <v>1</v>
      </c>
      <c r="U1743" s="2">
        <v>61.4</v>
      </c>
      <c r="V1743" s="2">
        <v>59</v>
      </c>
      <c r="W1743" s="2" t="s">
        <v>7862</v>
      </c>
      <c r="X1743" s="2" t="s">
        <v>5405</v>
      </c>
      <c r="Y1743" s="2">
        <v>1560</v>
      </c>
      <c r="Z1743" s="19" t="str">
        <f>HYPERLINK("https://ssdweb.co/ssdweb/hd/Vision360.html?d=941190255&amp;zoomslide=1&amp;z=1941190255&amp;ISCONFIRM=0","VIDEO")</f>
        <v>VIDEO</v>
      </c>
      <c r="AA1743" s="19" t="str">
        <f>HYPERLINK("https://ssdweb.co/ssdweb/CERTH/675596736.pdf","CERTI")</f>
        <v>CERTI</v>
      </c>
    </row>
    <row r="1744" spans="1:27" ht="15" x14ac:dyDescent="0.25">
      <c r="A1744" s="2">
        <v>1739</v>
      </c>
      <c r="B1744" s="39">
        <v>941190339</v>
      </c>
      <c r="C1744" s="28" t="str">
        <f>HYPERLINK("https://pld.live/RapDetail.aspx?STONELIST=941190339","DNA")</f>
        <v>DNA</v>
      </c>
      <c r="D1744" s="18" t="s">
        <v>5466</v>
      </c>
      <c r="E1744" s="18" t="s">
        <v>5128</v>
      </c>
      <c r="F1744" s="2" t="s">
        <v>7987</v>
      </c>
      <c r="G1744" s="2" t="s">
        <v>861</v>
      </c>
      <c r="H1744" s="14">
        <v>0.52</v>
      </c>
      <c r="I1744" s="2" t="s">
        <v>267</v>
      </c>
      <c r="J1744" s="2" t="s">
        <v>13</v>
      </c>
      <c r="K1744" s="2" t="s">
        <v>3390</v>
      </c>
      <c r="L1744" s="2" t="s">
        <v>5221</v>
      </c>
      <c r="M1744" s="2" t="s">
        <v>5221</v>
      </c>
      <c r="N1744" s="2" t="s">
        <v>2317</v>
      </c>
      <c r="O1744" s="14">
        <v>3000</v>
      </c>
      <c r="P1744" s="14">
        <v>95.17</v>
      </c>
      <c r="Q1744" s="14">
        <v>144.9</v>
      </c>
      <c r="R1744" s="14">
        <v>75.349999999999994</v>
      </c>
      <c r="S1744" s="2" t="s">
        <v>3625</v>
      </c>
      <c r="T1744" s="2">
        <v>1.01</v>
      </c>
      <c r="U1744" s="2">
        <v>62</v>
      </c>
      <c r="V1744" s="2">
        <v>58</v>
      </c>
      <c r="W1744" s="2" t="s">
        <v>7862</v>
      </c>
      <c r="X1744" s="2" t="s">
        <v>5405</v>
      </c>
      <c r="Y1744" s="2">
        <v>1560</v>
      </c>
      <c r="Z1744" s="19" t="str">
        <f>HYPERLINK("https://ssdweb.co/ssdweb/hd/Vision360.html?d=941190339&amp;zoomslide=1&amp;z=1941190339&amp;ISCONFIRM=0","VIDEO")</f>
        <v>VIDEO</v>
      </c>
      <c r="AA1744" s="19" t="str">
        <f>HYPERLINK("https://ssdweb.co/ssdweb/CERTH/675596835.pdf","CERTI")</f>
        <v>CERTI</v>
      </c>
    </row>
    <row r="1745" spans="1:27" ht="15" x14ac:dyDescent="0.25">
      <c r="A1745" s="2">
        <v>1740</v>
      </c>
      <c r="B1745" s="39">
        <v>941230268</v>
      </c>
      <c r="C1745" s="28" t="str">
        <f>HYPERLINK("https://pld.live/RapDetail.aspx?STONELIST=941230268","DNA")</f>
        <v>DNA</v>
      </c>
      <c r="D1745" s="18" t="s">
        <v>5466</v>
      </c>
      <c r="E1745" s="18" t="s">
        <v>2186</v>
      </c>
      <c r="F1745" s="2" t="s">
        <v>7987</v>
      </c>
      <c r="G1745" s="2" t="s">
        <v>861</v>
      </c>
      <c r="H1745" s="14">
        <v>0.52</v>
      </c>
      <c r="I1745" s="2" t="s">
        <v>267</v>
      </c>
      <c r="J1745" s="2" t="s">
        <v>13</v>
      </c>
      <c r="K1745" s="2" t="s">
        <v>3390</v>
      </c>
      <c r="L1745" s="2" t="s">
        <v>5221</v>
      </c>
      <c r="M1745" s="2" t="s">
        <v>5221</v>
      </c>
      <c r="N1745" s="2" t="s">
        <v>2317</v>
      </c>
      <c r="O1745" s="14">
        <v>3000</v>
      </c>
      <c r="P1745" s="14">
        <v>95.17</v>
      </c>
      <c r="Q1745" s="14">
        <v>144.9</v>
      </c>
      <c r="R1745" s="14">
        <v>75.349999999999994</v>
      </c>
      <c r="S1745" s="2" t="s">
        <v>186</v>
      </c>
      <c r="T1745" s="2">
        <v>1</v>
      </c>
      <c r="U1745" s="2">
        <v>60.8</v>
      </c>
      <c r="V1745" s="2">
        <v>58</v>
      </c>
      <c r="W1745" s="2" t="s">
        <v>7862</v>
      </c>
      <c r="X1745" s="2" t="s">
        <v>5405</v>
      </c>
      <c r="Y1745" s="2">
        <v>1560</v>
      </c>
      <c r="Z1745" s="19" t="str">
        <f>HYPERLINK("https://ssdweb.co/ssdweb/hd/Vision360.html?d=941230268&amp;zoomslide=1&amp;z=1941230268&amp;ISCONFIRM=0","VIDEO")</f>
        <v>VIDEO</v>
      </c>
      <c r="AA1745" s="19" t="str">
        <f>HYPERLINK("https://ssdweb.co/ssdweb/CERTH/680505071.pdf","CERTI")</f>
        <v>CERTI</v>
      </c>
    </row>
    <row r="1746" spans="1:27" ht="15" x14ac:dyDescent="0.25">
      <c r="A1746" s="2">
        <v>1741</v>
      </c>
      <c r="B1746" s="39">
        <v>941220132</v>
      </c>
      <c r="C1746" s="28" t="str">
        <f>HYPERLINK("https://pld.live/RapDetail.aspx?STONELIST=941220132","DNA")</f>
        <v>DNA</v>
      </c>
      <c r="D1746" s="18" t="s">
        <v>5466</v>
      </c>
      <c r="E1746" s="18" t="s">
        <v>2186</v>
      </c>
      <c r="F1746" s="2" t="s">
        <v>7987</v>
      </c>
      <c r="G1746" s="2" t="s">
        <v>861</v>
      </c>
      <c r="H1746" s="14">
        <v>0.52</v>
      </c>
      <c r="I1746" s="2" t="s">
        <v>267</v>
      </c>
      <c r="J1746" s="2" t="s">
        <v>13</v>
      </c>
      <c r="K1746" s="2" t="s">
        <v>3390</v>
      </c>
      <c r="L1746" s="2" t="s">
        <v>5221</v>
      </c>
      <c r="M1746" s="2" t="s">
        <v>5221</v>
      </c>
      <c r="N1746" s="2" t="s">
        <v>2317</v>
      </c>
      <c r="O1746" s="14">
        <v>3000</v>
      </c>
      <c r="P1746" s="14">
        <v>95.17</v>
      </c>
      <c r="Q1746" s="14">
        <v>144.9</v>
      </c>
      <c r="R1746" s="14">
        <v>75.349999999999994</v>
      </c>
      <c r="S1746" s="2" t="s">
        <v>256</v>
      </c>
      <c r="T1746" s="2">
        <v>1</v>
      </c>
      <c r="U1746" s="2">
        <v>62.1</v>
      </c>
      <c r="V1746" s="2">
        <v>56</v>
      </c>
      <c r="W1746" s="2" t="s">
        <v>7862</v>
      </c>
      <c r="X1746" s="2" t="s">
        <v>5405</v>
      </c>
      <c r="Y1746" s="2">
        <v>1560</v>
      </c>
      <c r="Z1746" s="19" t="str">
        <f>HYPERLINK("https://ssdweb.co/ssdweb/hd/Vision360.html?d=941220132&amp;zoomslide=1&amp;z=1941220132&amp;ISCONFIRM=0","VIDEO")</f>
        <v>VIDEO</v>
      </c>
      <c r="AA1746" s="19" t="str">
        <f>HYPERLINK("https://ssdweb.co/ssdweb/CERTH/680505069.pdf","CERTI")</f>
        <v>CERTI</v>
      </c>
    </row>
    <row r="1747" spans="1:27" ht="15" x14ac:dyDescent="0.25">
      <c r="A1747" s="2">
        <v>1742</v>
      </c>
      <c r="B1747" s="39">
        <v>941220181</v>
      </c>
      <c r="C1747" s="28" t="str">
        <f>HYPERLINK("https://pld.live/RapDetail.aspx?STONELIST=941220181","DNA")</f>
        <v>DNA</v>
      </c>
      <c r="D1747" s="18" t="s">
        <v>5466</v>
      </c>
      <c r="E1747" s="18" t="s">
        <v>2186</v>
      </c>
      <c r="F1747" s="2" t="s">
        <v>7987</v>
      </c>
      <c r="G1747" s="2" t="s">
        <v>861</v>
      </c>
      <c r="H1747" s="14">
        <v>0.52</v>
      </c>
      <c r="I1747" s="2" t="s">
        <v>267</v>
      </c>
      <c r="J1747" s="2" t="s">
        <v>13</v>
      </c>
      <c r="K1747" s="2" t="s">
        <v>3390</v>
      </c>
      <c r="L1747" s="2" t="s">
        <v>5221</v>
      </c>
      <c r="M1747" s="2" t="s">
        <v>5221</v>
      </c>
      <c r="N1747" s="2" t="s">
        <v>2317</v>
      </c>
      <c r="O1747" s="14">
        <v>3000</v>
      </c>
      <c r="P1747" s="14">
        <v>95.17</v>
      </c>
      <c r="Q1747" s="14">
        <v>144.9</v>
      </c>
      <c r="R1747" s="14">
        <v>75.349999999999994</v>
      </c>
      <c r="S1747" s="2" t="s">
        <v>6604</v>
      </c>
      <c r="T1747" s="2">
        <v>1</v>
      </c>
      <c r="U1747" s="2">
        <v>61.4</v>
      </c>
      <c r="V1747" s="2">
        <v>58</v>
      </c>
      <c r="W1747" s="2" t="s">
        <v>7862</v>
      </c>
      <c r="X1747" s="2" t="s">
        <v>5405</v>
      </c>
      <c r="Y1747" s="2">
        <v>1560</v>
      </c>
      <c r="Z1747" s="19" t="str">
        <f>HYPERLINK("https://ssdweb.co/ssdweb/hd/Vision360.html?d=941220181&amp;zoomslide=1&amp;z=1941220181&amp;ISCONFIRM=0","VIDEO")</f>
        <v>VIDEO</v>
      </c>
      <c r="AA1747" s="19" t="str">
        <f>HYPERLINK("https://ssdweb.co/ssdweb/CERTH/680505070.pdf","CERTI")</f>
        <v>CERTI</v>
      </c>
    </row>
    <row r="1748" spans="1:27" ht="15" x14ac:dyDescent="0.25">
      <c r="A1748" s="2">
        <v>1743</v>
      </c>
      <c r="B1748" s="39">
        <v>941190358</v>
      </c>
      <c r="C1748" s="28" t="str">
        <f>HYPERLINK("https://pld.live/RapDetail.aspx?STONELIST=941190358","DNA")</f>
        <v>DNA</v>
      </c>
      <c r="D1748" s="18" t="s">
        <v>5466</v>
      </c>
      <c r="E1748" s="18" t="s">
        <v>5128</v>
      </c>
      <c r="F1748" s="2" t="s">
        <v>7987</v>
      </c>
      <c r="G1748" s="2" t="s">
        <v>861</v>
      </c>
      <c r="H1748" s="14">
        <v>0.52</v>
      </c>
      <c r="I1748" s="2" t="s">
        <v>267</v>
      </c>
      <c r="J1748" s="2" t="s">
        <v>13</v>
      </c>
      <c r="K1748" s="2" t="s">
        <v>3390</v>
      </c>
      <c r="L1748" s="2" t="s">
        <v>5221</v>
      </c>
      <c r="M1748" s="2" t="s">
        <v>5221</v>
      </c>
      <c r="N1748" s="2" t="s">
        <v>2317</v>
      </c>
      <c r="O1748" s="14">
        <v>3000</v>
      </c>
      <c r="P1748" s="14">
        <v>95.17</v>
      </c>
      <c r="Q1748" s="14">
        <v>144.9</v>
      </c>
      <c r="R1748" s="14">
        <v>75.349999999999994</v>
      </c>
      <c r="S1748" s="2" t="s">
        <v>6831</v>
      </c>
      <c r="T1748" s="2">
        <v>1.01</v>
      </c>
      <c r="U1748" s="2">
        <v>60.9</v>
      </c>
      <c r="V1748" s="2">
        <v>59</v>
      </c>
      <c r="W1748" s="2" t="s">
        <v>7862</v>
      </c>
      <c r="X1748" s="2" t="s">
        <v>5405</v>
      </c>
      <c r="Y1748" s="2">
        <v>1560</v>
      </c>
      <c r="Z1748" s="19" t="str">
        <f>HYPERLINK("https://ssdweb.co/ssdweb/hd/Vision360.html?d=941190358&amp;zoomslide=1&amp;z=1941190358&amp;ISCONFIRM=0","VIDEO")</f>
        <v>VIDEO</v>
      </c>
      <c r="AA1748" s="19" t="str">
        <f>HYPERLINK("https://ssdweb.co/ssdweb/CERTH/675596595.pdf","CERTI")</f>
        <v>CERTI</v>
      </c>
    </row>
    <row r="1749" spans="1:27" ht="15" x14ac:dyDescent="0.25">
      <c r="A1749" s="2">
        <v>1744</v>
      </c>
      <c r="B1749" s="39">
        <v>941190436</v>
      </c>
      <c r="C1749" s="28" t="str">
        <f>HYPERLINK("https://pld.live/RapDetail.aspx?STONELIST=941190436","DNA")</f>
        <v>DNA</v>
      </c>
      <c r="D1749" s="18" t="s">
        <v>5466</v>
      </c>
      <c r="E1749" s="18" t="s">
        <v>5128</v>
      </c>
      <c r="F1749" s="2" t="s">
        <v>7987</v>
      </c>
      <c r="G1749" s="2" t="s">
        <v>861</v>
      </c>
      <c r="H1749" s="14">
        <v>0.52</v>
      </c>
      <c r="I1749" s="2" t="s">
        <v>267</v>
      </c>
      <c r="J1749" s="2" t="s">
        <v>13</v>
      </c>
      <c r="K1749" s="2" t="s">
        <v>3390</v>
      </c>
      <c r="L1749" s="2" t="s">
        <v>5221</v>
      </c>
      <c r="M1749" s="2" t="s">
        <v>5221</v>
      </c>
      <c r="N1749" s="2" t="s">
        <v>2317</v>
      </c>
      <c r="O1749" s="14">
        <v>3000</v>
      </c>
      <c r="P1749" s="14">
        <v>95.17</v>
      </c>
      <c r="Q1749" s="14">
        <v>144.9</v>
      </c>
      <c r="R1749" s="14">
        <v>75.349999999999994</v>
      </c>
      <c r="S1749" s="2" t="s">
        <v>1297</v>
      </c>
      <c r="T1749" s="2">
        <v>1.01</v>
      </c>
      <c r="U1749" s="2">
        <v>61.7</v>
      </c>
      <c r="V1749" s="2">
        <v>56</v>
      </c>
      <c r="W1749" s="2" t="s">
        <v>7862</v>
      </c>
      <c r="X1749" s="2" t="s">
        <v>5405</v>
      </c>
      <c r="Y1749" s="2">
        <v>1560</v>
      </c>
      <c r="Z1749" s="19" t="str">
        <f>HYPERLINK("https://ssdweb.co/ssdweb/hd/Vision360.html?d=941190436&amp;zoomslide=1&amp;z=1941190436&amp;ISCONFIRM=0","VIDEO")</f>
        <v>VIDEO</v>
      </c>
      <c r="AA1749" s="19" t="str">
        <f>HYPERLINK("https://ssdweb.co/ssdweb/CERTH/677510674.pdf","CERTI")</f>
        <v>CERTI</v>
      </c>
    </row>
    <row r="1750" spans="1:27" ht="15" x14ac:dyDescent="0.25">
      <c r="A1750" s="2">
        <v>1745</v>
      </c>
      <c r="B1750" s="39">
        <v>941190372</v>
      </c>
      <c r="C1750" s="28" t="str">
        <f>HYPERLINK("https://pld.live/RapDetail.aspx?STONELIST=941190372","DNA")</f>
        <v>DNA</v>
      </c>
      <c r="D1750" s="18" t="s">
        <v>5466</v>
      </c>
      <c r="E1750" s="18" t="s">
        <v>5128</v>
      </c>
      <c r="F1750" s="2" t="s">
        <v>7987</v>
      </c>
      <c r="G1750" s="2" t="s">
        <v>861</v>
      </c>
      <c r="H1750" s="14">
        <v>0.52</v>
      </c>
      <c r="I1750" s="2" t="s">
        <v>267</v>
      </c>
      <c r="J1750" s="2" t="s">
        <v>13</v>
      </c>
      <c r="K1750" s="2" t="s">
        <v>3390</v>
      </c>
      <c r="L1750" s="2" t="s">
        <v>5221</v>
      </c>
      <c r="M1750" s="2" t="s">
        <v>5221</v>
      </c>
      <c r="N1750" s="2" t="s">
        <v>2317</v>
      </c>
      <c r="O1750" s="14">
        <v>3000</v>
      </c>
      <c r="P1750" s="14">
        <v>95.17</v>
      </c>
      <c r="Q1750" s="14">
        <v>144.9</v>
      </c>
      <c r="R1750" s="14">
        <v>75.349999999999994</v>
      </c>
      <c r="S1750" s="2" t="s">
        <v>739</v>
      </c>
      <c r="T1750" s="2">
        <v>1</v>
      </c>
      <c r="U1750" s="2">
        <v>61.5</v>
      </c>
      <c r="V1750" s="2">
        <v>57</v>
      </c>
      <c r="W1750" s="2" t="s">
        <v>7862</v>
      </c>
      <c r="X1750" s="2" t="s">
        <v>5405</v>
      </c>
      <c r="Y1750" s="2">
        <v>1560</v>
      </c>
      <c r="Z1750" s="19" t="str">
        <f>HYPERLINK("https://ssdweb.co/ssdweb/hd/Vision360.html?d=941190372&amp;zoomslide=1&amp;z=1941190372&amp;ISCONFIRM=0","VIDEO")</f>
        <v>VIDEO</v>
      </c>
      <c r="AA1750" s="19" t="str">
        <f>HYPERLINK("https://ssdweb.co/ssdweb/CERTH/677510705.pdf","CERTI")</f>
        <v>CERTI</v>
      </c>
    </row>
    <row r="1751" spans="1:27" ht="15" x14ac:dyDescent="0.25">
      <c r="A1751" s="2">
        <v>1746</v>
      </c>
      <c r="B1751" s="39">
        <v>941360535</v>
      </c>
      <c r="C1751" s="28" t="str">
        <f>HYPERLINK("https://pld.live/RapDetail.aspx?STONELIST=941360535","DNA")</f>
        <v>DNA</v>
      </c>
      <c r="D1751" s="18" t="s">
        <v>5466</v>
      </c>
      <c r="E1751" s="18" t="s">
        <v>2186</v>
      </c>
      <c r="F1751" s="2" t="s">
        <v>7987</v>
      </c>
      <c r="G1751" s="2" t="s">
        <v>861</v>
      </c>
      <c r="H1751" s="14">
        <v>0.52</v>
      </c>
      <c r="I1751" s="2" t="s">
        <v>267</v>
      </c>
      <c r="J1751" s="2" t="s">
        <v>13</v>
      </c>
      <c r="K1751" s="2" t="s">
        <v>3390</v>
      </c>
      <c r="L1751" s="2" t="s">
        <v>5221</v>
      </c>
      <c r="M1751" s="2" t="s">
        <v>5221</v>
      </c>
      <c r="N1751" s="2" t="s">
        <v>2317</v>
      </c>
      <c r="O1751" s="14">
        <v>3000</v>
      </c>
      <c r="P1751" s="14">
        <v>95.17</v>
      </c>
      <c r="Q1751" s="14">
        <v>144.9</v>
      </c>
      <c r="R1751" s="14">
        <v>75.349999999999994</v>
      </c>
      <c r="S1751" s="2" t="s">
        <v>2335</v>
      </c>
      <c r="T1751" s="2">
        <v>1.01</v>
      </c>
      <c r="U1751" s="2">
        <v>62.5</v>
      </c>
      <c r="V1751" s="2">
        <v>57</v>
      </c>
      <c r="W1751" s="2" t="s">
        <v>7862</v>
      </c>
      <c r="X1751" s="2" t="s">
        <v>5405</v>
      </c>
      <c r="Y1751" s="2">
        <v>1560</v>
      </c>
      <c r="Z1751" s="19" t="str">
        <f>HYPERLINK("https://ssdweb.co/ssdweb/hd/Vision360.html?d=941360535&amp;zoomslide=1&amp;z=1941360535&amp;ISCONFIRM=0","VIDEO")</f>
        <v>VIDEO</v>
      </c>
      <c r="AA1751" s="19" t="str">
        <f>HYPERLINK("https://ssdweb.co/ssdweb/CERTH/687591613.pdf","CERTI")</f>
        <v>CERTI</v>
      </c>
    </row>
    <row r="1752" spans="1:27" ht="15" x14ac:dyDescent="0.25">
      <c r="A1752" s="2">
        <v>1747</v>
      </c>
      <c r="B1752" s="39">
        <v>941190398</v>
      </c>
      <c r="C1752" s="28" t="str">
        <f>HYPERLINK("https://pld.live/RapDetail.aspx?STONELIST=941190398","DNA")</f>
        <v>DNA</v>
      </c>
      <c r="D1752" s="18" t="s">
        <v>5466</v>
      </c>
      <c r="E1752" s="18" t="s">
        <v>5128</v>
      </c>
      <c r="F1752" s="2" t="s">
        <v>7987</v>
      </c>
      <c r="G1752" s="2" t="s">
        <v>861</v>
      </c>
      <c r="H1752" s="14">
        <v>0.52</v>
      </c>
      <c r="I1752" s="2" t="s">
        <v>267</v>
      </c>
      <c r="J1752" s="2" t="s">
        <v>13</v>
      </c>
      <c r="K1752" s="2" t="s">
        <v>3390</v>
      </c>
      <c r="L1752" s="2" t="s">
        <v>5221</v>
      </c>
      <c r="M1752" s="2" t="s">
        <v>5221</v>
      </c>
      <c r="N1752" s="2" t="s">
        <v>2317</v>
      </c>
      <c r="O1752" s="14">
        <v>3000</v>
      </c>
      <c r="P1752" s="14">
        <v>95.17</v>
      </c>
      <c r="Q1752" s="14">
        <v>144.9</v>
      </c>
      <c r="R1752" s="14">
        <v>75.349999999999994</v>
      </c>
      <c r="S1752" s="2" t="s">
        <v>3609</v>
      </c>
      <c r="T1752" s="2">
        <v>1</v>
      </c>
      <c r="U1752" s="2">
        <v>62</v>
      </c>
      <c r="V1752" s="2">
        <v>56</v>
      </c>
      <c r="W1752" s="2" t="s">
        <v>7862</v>
      </c>
      <c r="X1752" s="2" t="s">
        <v>5405</v>
      </c>
      <c r="Y1752" s="2">
        <v>1560</v>
      </c>
      <c r="Z1752" s="19" t="str">
        <f>HYPERLINK("https://ssdweb.co/ssdweb/hd/Vision360.html?d=941190398&amp;zoomslide=1&amp;z=1941190398&amp;ISCONFIRM=0","VIDEO")</f>
        <v>VIDEO</v>
      </c>
      <c r="AA1752" s="19" t="str">
        <f>HYPERLINK("https://ssdweb.co/ssdweb/CERTH/677510738.pdf","CERTI")</f>
        <v>CERTI</v>
      </c>
    </row>
    <row r="1753" spans="1:27" ht="15" x14ac:dyDescent="0.25">
      <c r="A1753" s="2">
        <v>1748</v>
      </c>
      <c r="B1753" s="39">
        <v>941190405</v>
      </c>
      <c r="C1753" s="28" t="str">
        <f>HYPERLINK("https://pld.live/RapDetail.aspx?STONELIST=941190405","DNA")</f>
        <v>DNA</v>
      </c>
      <c r="D1753" s="18" t="s">
        <v>5466</v>
      </c>
      <c r="E1753" s="18" t="s">
        <v>5128</v>
      </c>
      <c r="F1753" s="2" t="s">
        <v>7987</v>
      </c>
      <c r="G1753" s="2" t="s">
        <v>861</v>
      </c>
      <c r="H1753" s="14">
        <v>0.52</v>
      </c>
      <c r="I1753" s="2" t="s">
        <v>267</v>
      </c>
      <c r="J1753" s="2" t="s">
        <v>13</v>
      </c>
      <c r="K1753" s="2" t="s">
        <v>3390</v>
      </c>
      <c r="L1753" s="2" t="s">
        <v>5221</v>
      </c>
      <c r="M1753" s="2" t="s">
        <v>5221</v>
      </c>
      <c r="N1753" s="2" t="s">
        <v>2317</v>
      </c>
      <c r="O1753" s="14">
        <v>3000</v>
      </c>
      <c r="P1753" s="14">
        <v>95.17</v>
      </c>
      <c r="Q1753" s="14">
        <v>144.9</v>
      </c>
      <c r="R1753" s="14">
        <v>75.349999999999994</v>
      </c>
      <c r="S1753" s="2" t="s">
        <v>179</v>
      </c>
      <c r="T1753" s="2">
        <v>1</v>
      </c>
      <c r="U1753" s="2">
        <v>62.1</v>
      </c>
      <c r="V1753" s="2">
        <v>58</v>
      </c>
      <c r="W1753" s="2" t="s">
        <v>7862</v>
      </c>
      <c r="X1753" s="2" t="s">
        <v>5405</v>
      </c>
      <c r="Y1753" s="2">
        <v>1560</v>
      </c>
      <c r="Z1753" s="19" t="str">
        <f>HYPERLINK("https://ssdweb.co/ssdweb/hd/Vision360.html?d=941190405&amp;zoomslide=1&amp;z=1941190405&amp;ISCONFIRM=0","VIDEO")</f>
        <v>VIDEO</v>
      </c>
      <c r="AA1753" s="19" t="str">
        <f>HYPERLINK("https://ssdweb.co/ssdweb/CERTH/677510693.pdf","CERTI")</f>
        <v>CERTI</v>
      </c>
    </row>
    <row r="1754" spans="1:27" ht="15" x14ac:dyDescent="0.25">
      <c r="A1754" s="2">
        <v>1749</v>
      </c>
      <c r="B1754" s="39">
        <v>941400288</v>
      </c>
      <c r="C1754" s="28" t="str">
        <f>HYPERLINK("https://pld.live/RapDetail.aspx?STONELIST=941400288","DNA")</f>
        <v>DNA</v>
      </c>
      <c r="D1754" s="18" t="s">
        <v>5466</v>
      </c>
      <c r="E1754" s="18" t="s">
        <v>5128</v>
      </c>
      <c r="F1754" s="2" t="s">
        <v>7987</v>
      </c>
      <c r="G1754" s="2" t="s">
        <v>861</v>
      </c>
      <c r="H1754" s="14">
        <v>0.52</v>
      </c>
      <c r="I1754" s="2" t="s">
        <v>267</v>
      </c>
      <c r="J1754" s="2" t="s">
        <v>13</v>
      </c>
      <c r="K1754" s="2" t="s">
        <v>3390</v>
      </c>
      <c r="L1754" s="2" t="s">
        <v>5221</v>
      </c>
      <c r="M1754" s="2" t="s">
        <v>5221</v>
      </c>
      <c r="N1754" s="2" t="s">
        <v>2317</v>
      </c>
      <c r="O1754" s="14">
        <v>3000</v>
      </c>
      <c r="P1754" s="14">
        <v>95.17</v>
      </c>
      <c r="Q1754" s="14">
        <v>144.9</v>
      </c>
      <c r="R1754" s="14">
        <v>75.349999999999994</v>
      </c>
      <c r="S1754" s="2" t="s">
        <v>5641</v>
      </c>
      <c r="T1754" s="2">
        <v>1.01</v>
      </c>
      <c r="U1754" s="2">
        <v>59.9</v>
      </c>
      <c r="V1754" s="2">
        <v>57</v>
      </c>
      <c r="W1754" s="2" t="s">
        <v>7862</v>
      </c>
      <c r="X1754" s="2" t="s">
        <v>5405</v>
      </c>
      <c r="Y1754" s="2">
        <v>1560</v>
      </c>
      <c r="Z1754" s="19" t="str">
        <f>HYPERLINK("https://ssdweb.co/ssdweb/hd/Vision360.html?d=941400288&amp;zoomslide=1&amp;z=1941400288&amp;ISCONFIRM=0","VIDEO")</f>
        <v>VIDEO</v>
      </c>
      <c r="AA1754" s="19" t="str">
        <f>HYPERLINK("https://ssdweb.co/ssdweb/CERTH/687560889.pdf","CERTI")</f>
        <v>CERTI</v>
      </c>
    </row>
    <row r="1755" spans="1:27" ht="15" x14ac:dyDescent="0.25">
      <c r="A1755" s="2">
        <v>1750</v>
      </c>
      <c r="B1755" s="39">
        <v>941390202</v>
      </c>
      <c r="C1755" s="28" t="str">
        <f>HYPERLINK("https://pld.live/RapDetail.aspx?STONELIST=941390202","DNA")</f>
        <v>DNA</v>
      </c>
      <c r="D1755" s="18" t="s">
        <v>5466</v>
      </c>
      <c r="E1755" s="18" t="s">
        <v>2186</v>
      </c>
      <c r="F1755" s="2" t="s">
        <v>7987</v>
      </c>
      <c r="G1755" s="2" t="s">
        <v>861</v>
      </c>
      <c r="H1755" s="14">
        <v>0.52</v>
      </c>
      <c r="I1755" s="2" t="s">
        <v>267</v>
      </c>
      <c r="J1755" s="2" t="s">
        <v>13</v>
      </c>
      <c r="K1755" s="2" t="s">
        <v>3390</v>
      </c>
      <c r="L1755" s="2" t="s">
        <v>5221</v>
      </c>
      <c r="M1755" s="2" t="s">
        <v>5721</v>
      </c>
      <c r="N1755" s="2" t="s">
        <v>2317</v>
      </c>
      <c r="O1755" s="14">
        <v>3000</v>
      </c>
      <c r="P1755" s="14">
        <v>95.23</v>
      </c>
      <c r="Q1755" s="14">
        <v>143.1</v>
      </c>
      <c r="R1755" s="14">
        <v>74.41</v>
      </c>
      <c r="S1755" s="2" t="s">
        <v>5494</v>
      </c>
      <c r="T1755" s="2">
        <v>1.01</v>
      </c>
      <c r="U1755" s="2">
        <v>61.9</v>
      </c>
      <c r="V1755" s="2">
        <v>59</v>
      </c>
      <c r="W1755" s="2" t="s">
        <v>7862</v>
      </c>
      <c r="X1755" s="2" t="s">
        <v>5405</v>
      </c>
      <c r="Y1755" s="2">
        <v>1560</v>
      </c>
      <c r="Z1755" s="19" t="str">
        <f>HYPERLINK("https://ssdweb.co/ssdweb/hd/Vision360.html?d=941390202&amp;zoomslide=1&amp;z=1941390202&amp;ISCONFIRM=0","VIDEO")</f>
        <v>VIDEO</v>
      </c>
      <c r="AA1755" s="19" t="str">
        <f>HYPERLINK("https://ssdweb.co/ssdweb/CERTH/687591617.pdf","CERTI")</f>
        <v>CERTI</v>
      </c>
    </row>
    <row r="1756" spans="1:27" ht="15" x14ac:dyDescent="0.25">
      <c r="A1756" s="2">
        <v>1751</v>
      </c>
      <c r="B1756" s="39">
        <v>926960691</v>
      </c>
      <c r="C1756" s="28" t="str">
        <f>HYPERLINK("https://pld.live/RapDetail.aspx?STONELIST=926960691","DNA")</f>
        <v>DNA</v>
      </c>
      <c r="D1756" s="18" t="s">
        <v>5466</v>
      </c>
      <c r="E1756" s="18" t="s">
        <v>5128</v>
      </c>
      <c r="F1756" s="2" t="s">
        <v>7987</v>
      </c>
      <c r="G1756" s="2" t="s">
        <v>861</v>
      </c>
      <c r="H1756" s="14">
        <v>0.52</v>
      </c>
      <c r="I1756" s="2" t="s">
        <v>267</v>
      </c>
      <c r="J1756" s="2" t="s">
        <v>13</v>
      </c>
      <c r="K1756" s="2" t="s">
        <v>5221</v>
      </c>
      <c r="L1756" s="2" t="s">
        <v>5221</v>
      </c>
      <c r="M1756" s="2" t="s">
        <v>5221</v>
      </c>
      <c r="N1756" s="2" t="s">
        <v>2317</v>
      </c>
      <c r="O1756" s="14">
        <v>3000</v>
      </c>
      <c r="P1756" s="14">
        <v>95.23</v>
      </c>
      <c r="Q1756" s="14">
        <v>143.1</v>
      </c>
      <c r="R1756" s="14">
        <v>74.41</v>
      </c>
      <c r="S1756" s="2" t="s">
        <v>166</v>
      </c>
      <c r="T1756" s="2">
        <v>1.01</v>
      </c>
      <c r="U1756" s="2">
        <v>63</v>
      </c>
      <c r="V1756" s="2">
        <v>57</v>
      </c>
      <c r="W1756" s="2" t="s">
        <v>7862</v>
      </c>
      <c r="X1756" s="2" t="s">
        <v>5405</v>
      </c>
      <c r="Y1756" s="2">
        <v>1560</v>
      </c>
      <c r="Z1756" s="19" t="str">
        <f>HYPERLINK("https://ssdweb.co/ssdweb/hd/Vision360.html?d=926960691&amp;zoomslide=1&amp;z=1926960691&amp;ISCONFIRM=0","VIDEO")</f>
        <v>VIDEO</v>
      </c>
      <c r="AA1756" s="19" t="str">
        <f>HYPERLINK("https://ssdweb.co/ssdweb/CERTH/659436936.pdf","CERTI")</f>
        <v>CERTI</v>
      </c>
    </row>
    <row r="1757" spans="1:27" ht="15" x14ac:dyDescent="0.25">
      <c r="A1757" s="2">
        <v>1752</v>
      </c>
      <c r="B1757" s="39">
        <v>941190379</v>
      </c>
      <c r="C1757" s="28" t="str">
        <f>HYPERLINK("https://pld.live/RapDetail.aspx?STONELIST=941190379","DNA")</f>
        <v>DNA</v>
      </c>
      <c r="D1757" s="18" t="s">
        <v>5466</v>
      </c>
      <c r="E1757" s="18" t="s">
        <v>5128</v>
      </c>
      <c r="F1757" s="2" t="s">
        <v>7987</v>
      </c>
      <c r="G1757" s="2" t="s">
        <v>861</v>
      </c>
      <c r="H1757" s="14">
        <v>0.52</v>
      </c>
      <c r="I1757" s="2" t="s">
        <v>267</v>
      </c>
      <c r="J1757" s="2" t="s">
        <v>13</v>
      </c>
      <c r="K1757" s="2" t="s">
        <v>5221</v>
      </c>
      <c r="L1757" s="2" t="s">
        <v>5221</v>
      </c>
      <c r="M1757" s="2" t="s">
        <v>5221</v>
      </c>
      <c r="N1757" s="2" t="s">
        <v>2317</v>
      </c>
      <c r="O1757" s="14">
        <v>3000</v>
      </c>
      <c r="P1757" s="14">
        <v>95.17</v>
      </c>
      <c r="Q1757" s="14">
        <v>144.9</v>
      </c>
      <c r="R1757" s="14">
        <v>75.349999999999994</v>
      </c>
      <c r="S1757" s="2" t="s">
        <v>7962</v>
      </c>
      <c r="T1757" s="2">
        <v>1.01</v>
      </c>
      <c r="U1757" s="2">
        <v>62.5</v>
      </c>
      <c r="V1757" s="2">
        <v>58</v>
      </c>
      <c r="W1757" s="2" t="s">
        <v>7862</v>
      </c>
      <c r="X1757" s="2" t="s">
        <v>5405</v>
      </c>
      <c r="Y1757" s="2">
        <v>1560</v>
      </c>
      <c r="Z1757" s="19" t="str">
        <f>HYPERLINK("https://ssdweb.co/ssdweb/hd/Vision360.html?d=941190379&amp;zoomslide=1&amp;z=1941190379&amp;ISCONFIRM=0","VIDEO")</f>
        <v>VIDEO</v>
      </c>
      <c r="AA1757" s="19" t="str">
        <f>HYPERLINK("https://ssdweb.co/ssdweb/CERTH/677510860.pdf","CERTI")</f>
        <v>CERTI</v>
      </c>
    </row>
    <row r="1758" spans="1:27" ht="15" x14ac:dyDescent="0.25">
      <c r="A1758" s="2">
        <v>1753</v>
      </c>
      <c r="B1758" s="39">
        <v>927092151</v>
      </c>
      <c r="C1758" s="28" t="str">
        <f>HYPERLINK("https://pld.live/RapDetail.aspx?STONELIST=927092151","DNA")</f>
        <v>DNA</v>
      </c>
      <c r="D1758" s="18" t="s">
        <v>5466</v>
      </c>
      <c r="E1758" s="18" t="s">
        <v>5128</v>
      </c>
      <c r="F1758" s="2" t="s">
        <v>7987</v>
      </c>
      <c r="G1758" s="2" t="s">
        <v>861</v>
      </c>
      <c r="H1758" s="14">
        <v>0.52</v>
      </c>
      <c r="I1758" s="2" t="s">
        <v>267</v>
      </c>
      <c r="J1758" s="2" t="s">
        <v>13</v>
      </c>
      <c r="K1758" s="2" t="s">
        <v>5221</v>
      </c>
      <c r="L1758" s="2" t="s">
        <v>5221</v>
      </c>
      <c r="M1758" s="2" t="s">
        <v>5221</v>
      </c>
      <c r="N1758" s="2" t="s">
        <v>2317</v>
      </c>
      <c r="O1758" s="14">
        <v>3000</v>
      </c>
      <c r="P1758" s="14">
        <v>95.23</v>
      </c>
      <c r="Q1758" s="14">
        <v>143.1</v>
      </c>
      <c r="R1758" s="14">
        <v>74.41</v>
      </c>
      <c r="S1758" s="2" t="s">
        <v>3084</v>
      </c>
      <c r="T1758" s="2">
        <v>1</v>
      </c>
      <c r="U1758" s="2">
        <v>61.4</v>
      </c>
      <c r="V1758" s="2">
        <v>60</v>
      </c>
      <c r="W1758" s="2" t="s">
        <v>7862</v>
      </c>
      <c r="X1758" s="2" t="s">
        <v>5405</v>
      </c>
      <c r="Y1758" s="2">
        <v>1560</v>
      </c>
      <c r="Z1758" s="19" t="str">
        <f>HYPERLINK("https://ssdweb.co/ssdweb/hd/Vision360.html?d=927092151&amp;zoomslide=1&amp;z=1927092151&amp;ISCONFIRM=0","VIDEO")</f>
        <v>VIDEO</v>
      </c>
      <c r="AA1758" s="19" t="str">
        <f>HYPERLINK("https://ssdweb.co/ssdweb/CERTH/662452699.pdf","CERTI")</f>
        <v>CERTI</v>
      </c>
    </row>
    <row r="1759" spans="1:27" ht="15" x14ac:dyDescent="0.25">
      <c r="A1759" s="2">
        <v>1754</v>
      </c>
      <c r="B1759" s="39">
        <v>941190160</v>
      </c>
      <c r="C1759" s="28" t="str">
        <f>HYPERLINK("https://pld.live/RapDetail.aspx?STONELIST=941190160","DNA")</f>
        <v>DNA</v>
      </c>
      <c r="D1759" s="18" t="s">
        <v>5466</v>
      </c>
      <c r="E1759" s="18" t="s">
        <v>5128</v>
      </c>
      <c r="F1759" s="2" t="s">
        <v>7987</v>
      </c>
      <c r="G1759" s="2" t="s">
        <v>861</v>
      </c>
      <c r="H1759" s="14">
        <v>0.52</v>
      </c>
      <c r="I1759" s="2" t="s">
        <v>267</v>
      </c>
      <c r="J1759" s="2" t="s">
        <v>5144</v>
      </c>
      <c r="K1759" s="2" t="s">
        <v>5221</v>
      </c>
      <c r="L1759" s="2" t="s">
        <v>5221</v>
      </c>
      <c r="M1759" s="2" t="s">
        <v>5221</v>
      </c>
      <c r="N1759" s="2" t="s">
        <v>2317</v>
      </c>
      <c r="O1759" s="14">
        <v>2700</v>
      </c>
      <c r="P1759" s="14">
        <v>94.81</v>
      </c>
      <c r="Q1759" s="14">
        <v>140.13</v>
      </c>
      <c r="R1759" s="14">
        <v>72.87</v>
      </c>
      <c r="S1759" s="2" t="s">
        <v>3502</v>
      </c>
      <c r="T1759" s="2">
        <v>1.01</v>
      </c>
      <c r="U1759" s="2">
        <v>60</v>
      </c>
      <c r="V1759" s="2">
        <v>58</v>
      </c>
      <c r="W1759" s="2" t="s">
        <v>7862</v>
      </c>
      <c r="X1759" s="2" t="s">
        <v>5405</v>
      </c>
      <c r="Y1759" s="2">
        <v>1404</v>
      </c>
      <c r="Z1759" s="19" t="str">
        <f>HYPERLINK("https://ssdweb.co/ssdweb/hd/Vision360.html?d=941190160&amp;zoomslide=1&amp;z=1941190160&amp;ISCONFIRM=0","VIDEO")</f>
        <v>VIDEO</v>
      </c>
      <c r="AA1759" s="19" t="str">
        <f>HYPERLINK("https://ssdweb.co/ssdweb/CERTH/675504611.pdf","CERTI")</f>
        <v>CERTI</v>
      </c>
    </row>
    <row r="1760" spans="1:27" ht="15" x14ac:dyDescent="0.25">
      <c r="A1760" s="2">
        <v>1755</v>
      </c>
      <c r="B1760" s="39">
        <v>926671096</v>
      </c>
      <c r="C1760" s="28" t="str">
        <f>HYPERLINK("https://pld.live/RapDetail.aspx?STONELIST=926671096","DNA")</f>
        <v>DNA</v>
      </c>
      <c r="D1760" s="18" t="s">
        <v>5466</v>
      </c>
      <c r="E1760" s="18" t="s">
        <v>5128</v>
      </c>
      <c r="F1760" s="2" t="s">
        <v>5597</v>
      </c>
      <c r="G1760" s="2" t="s">
        <v>861</v>
      </c>
      <c r="H1760" s="14">
        <v>0.52</v>
      </c>
      <c r="I1760" s="2" t="s">
        <v>267</v>
      </c>
      <c r="J1760" s="2" t="s">
        <v>5144</v>
      </c>
      <c r="K1760" s="2" t="s">
        <v>5221</v>
      </c>
      <c r="L1760" s="2" t="s">
        <v>5721</v>
      </c>
      <c r="M1760" s="2" t="s">
        <v>5221</v>
      </c>
      <c r="N1760" s="2" t="s">
        <v>2317</v>
      </c>
      <c r="O1760" s="14">
        <v>2700</v>
      </c>
      <c r="P1760" s="14">
        <v>89.67</v>
      </c>
      <c r="Q1760" s="14">
        <v>278.91000000000003</v>
      </c>
      <c r="R1760" s="14">
        <v>145.03</v>
      </c>
      <c r="S1760" s="2" t="s">
        <v>5198</v>
      </c>
      <c r="T1760" s="2">
        <v>1</v>
      </c>
      <c r="U1760" s="2">
        <v>60</v>
      </c>
      <c r="V1760" s="2">
        <v>58</v>
      </c>
      <c r="W1760" s="2" t="s">
        <v>7862</v>
      </c>
      <c r="X1760" s="2" t="s">
        <v>5405</v>
      </c>
      <c r="Y1760" s="2">
        <v>1404</v>
      </c>
      <c r="Z1760" s="19" t="str">
        <f>HYPERLINK("https://ssdweb.co/ssdweb/hd/Vision360.html?d=926671096&amp;zoomslide=1&amp;z=1926671096&amp;ISCONFIRM=0","VIDEO")</f>
        <v>VIDEO</v>
      </c>
      <c r="AA1760" s="19" t="str">
        <f>HYPERLINK("https://ssdweb.co/ssdweb/CERTH/2506359676.pdf","CERTI")</f>
        <v>CERTI</v>
      </c>
    </row>
    <row r="1761" spans="1:27" ht="15" x14ac:dyDescent="0.25">
      <c r="A1761" s="2">
        <v>1756</v>
      </c>
      <c r="B1761" s="39">
        <v>926661728</v>
      </c>
      <c r="C1761" s="28" t="str">
        <f>HYPERLINK("https://pld.live/RapDetail.aspx?STONELIST=926661728","DNA")</f>
        <v>DNA</v>
      </c>
      <c r="D1761" s="18" t="s">
        <v>5466</v>
      </c>
      <c r="E1761" s="18" t="s">
        <v>5128</v>
      </c>
      <c r="F1761" s="2" t="s">
        <v>5597</v>
      </c>
      <c r="G1761" s="2" t="s">
        <v>861</v>
      </c>
      <c r="H1761" s="14">
        <v>0.52</v>
      </c>
      <c r="I1761" s="2" t="s">
        <v>267</v>
      </c>
      <c r="J1761" s="2" t="s">
        <v>444</v>
      </c>
      <c r="K1761" s="2" t="s">
        <v>5221</v>
      </c>
      <c r="L1761" s="2" t="s">
        <v>5221</v>
      </c>
      <c r="M1761" s="2" t="s">
        <v>5221</v>
      </c>
      <c r="N1761" s="2" t="s">
        <v>2317</v>
      </c>
      <c r="O1761" s="14">
        <v>2400</v>
      </c>
      <c r="P1761" s="14">
        <v>89.58</v>
      </c>
      <c r="Q1761" s="14">
        <v>250.08</v>
      </c>
      <c r="R1761" s="14">
        <v>130.04</v>
      </c>
      <c r="S1761" s="2" t="s">
        <v>7035</v>
      </c>
      <c r="T1761" s="2">
        <v>1.01</v>
      </c>
      <c r="U1761" s="2">
        <v>61.6</v>
      </c>
      <c r="V1761" s="2">
        <v>56</v>
      </c>
      <c r="W1761" s="2" t="s">
        <v>7862</v>
      </c>
      <c r="X1761" s="2" t="s">
        <v>5405</v>
      </c>
      <c r="Y1761" s="2">
        <v>1248</v>
      </c>
      <c r="Z1761" s="19" t="str">
        <f>HYPERLINK("https://ssdweb.co/ssdweb/hd/Vision360.html?d=926661728&amp;zoomslide=1&amp;z=1926661728&amp;ISCONFIRM=0","VIDEO")</f>
        <v>VIDEO</v>
      </c>
      <c r="AA1761" s="19" t="str">
        <f>HYPERLINK("https://ssdweb.co/ssdweb/CERTH/6501359685.pdf","CERTI")</f>
        <v>CERTI</v>
      </c>
    </row>
    <row r="1762" spans="1:27" ht="15" x14ac:dyDescent="0.25">
      <c r="A1762" s="2">
        <v>1757</v>
      </c>
      <c r="B1762" s="39">
        <v>941400417</v>
      </c>
      <c r="C1762" s="28" t="str">
        <f>HYPERLINK("https://pld.live/RapDetail.aspx?STONELIST=941400417","DNA")</f>
        <v>DNA</v>
      </c>
      <c r="D1762" s="18" t="s">
        <v>5466</v>
      </c>
      <c r="E1762" s="18" t="s">
        <v>5128</v>
      </c>
      <c r="F1762" s="2" t="s">
        <v>7987</v>
      </c>
      <c r="G1762" s="2" t="s">
        <v>861</v>
      </c>
      <c r="H1762" s="14">
        <v>0.52</v>
      </c>
      <c r="I1762" s="2" t="s">
        <v>4761</v>
      </c>
      <c r="J1762" s="2" t="s">
        <v>6555</v>
      </c>
      <c r="K1762" s="2" t="s">
        <v>3390</v>
      </c>
      <c r="L1762" s="2" t="s">
        <v>5221</v>
      </c>
      <c r="M1762" s="2" t="s">
        <v>5221</v>
      </c>
      <c r="N1762" s="2" t="s">
        <v>2317</v>
      </c>
      <c r="O1762" s="14">
        <v>4000</v>
      </c>
      <c r="P1762" s="14">
        <v>96.05</v>
      </c>
      <c r="Q1762" s="14">
        <v>158</v>
      </c>
      <c r="R1762" s="14">
        <v>82.16</v>
      </c>
      <c r="S1762" s="2" t="s">
        <v>5211</v>
      </c>
      <c r="T1762" s="2">
        <v>1.01</v>
      </c>
      <c r="U1762" s="2">
        <v>61.9</v>
      </c>
      <c r="V1762" s="2">
        <v>57</v>
      </c>
      <c r="W1762" s="2" t="s">
        <v>7862</v>
      </c>
      <c r="X1762" s="2" t="s">
        <v>5405</v>
      </c>
      <c r="Y1762" s="2">
        <v>2080</v>
      </c>
      <c r="Z1762" s="19" t="str">
        <f>HYPERLINK("https://ssdweb.co/ssdweb/hd/Vision360.html?d=941400417&amp;zoomslide=1&amp;z=1941400417&amp;ISCONFIRM=0","VIDEO")</f>
        <v>VIDEO</v>
      </c>
      <c r="AA1762" s="19" t="str">
        <f>HYPERLINK("https://ssdweb.co/ssdweb/CERTH/687591626.pdf","CERTI")</f>
        <v>CERTI</v>
      </c>
    </row>
    <row r="1763" spans="1:27" ht="15" x14ac:dyDescent="0.25">
      <c r="A1763" s="2">
        <v>1758</v>
      </c>
      <c r="B1763" s="39">
        <v>941200074</v>
      </c>
      <c r="C1763" s="28" t="str">
        <f>HYPERLINK("https://pld.live/RapDetail.aspx?STONELIST=941200074","DNA")</f>
        <v>DNA</v>
      </c>
      <c r="D1763" s="18" t="s">
        <v>5466</v>
      </c>
      <c r="E1763" s="18" t="s">
        <v>2186</v>
      </c>
      <c r="F1763" s="2" t="s">
        <v>7987</v>
      </c>
      <c r="G1763" s="2" t="s">
        <v>861</v>
      </c>
      <c r="H1763" s="14">
        <v>0.52</v>
      </c>
      <c r="I1763" s="2" t="s">
        <v>4761</v>
      </c>
      <c r="J1763" s="2" t="s">
        <v>6555</v>
      </c>
      <c r="K1763" s="2" t="s">
        <v>3390</v>
      </c>
      <c r="L1763" s="2" t="s">
        <v>5221</v>
      </c>
      <c r="M1763" s="2" t="s">
        <v>5221</v>
      </c>
      <c r="N1763" s="2" t="s">
        <v>2317</v>
      </c>
      <c r="O1763" s="14">
        <v>4000</v>
      </c>
      <c r="P1763" s="14">
        <v>96.05</v>
      </c>
      <c r="Q1763" s="14">
        <v>158</v>
      </c>
      <c r="R1763" s="14">
        <v>82.16</v>
      </c>
      <c r="S1763" s="2" t="s">
        <v>7775</v>
      </c>
      <c r="T1763" s="2">
        <v>1</v>
      </c>
      <c r="U1763" s="2">
        <v>60.6</v>
      </c>
      <c r="V1763" s="2">
        <v>58</v>
      </c>
      <c r="W1763" s="2" t="s">
        <v>7862</v>
      </c>
      <c r="X1763" s="2" t="s">
        <v>5405</v>
      </c>
      <c r="Y1763" s="2">
        <v>2080</v>
      </c>
      <c r="Z1763" s="19" t="str">
        <f>HYPERLINK("https://ssdweb.co/ssdweb/hd/Vision360.html?d=941200074&amp;zoomslide=1&amp;z=1941200074&amp;ISCONFIRM=0","VIDEO")</f>
        <v>VIDEO</v>
      </c>
      <c r="AA1763" s="19" t="str">
        <f>HYPERLINK("https://ssdweb.co/ssdweb/CERTH/680505066.pdf","CERTI")</f>
        <v>CERTI</v>
      </c>
    </row>
    <row r="1764" spans="1:27" ht="15" x14ac:dyDescent="0.25">
      <c r="A1764" s="2">
        <v>1759</v>
      </c>
      <c r="B1764" s="39">
        <v>926460758</v>
      </c>
      <c r="C1764" s="28" t="str">
        <f>HYPERLINK("https://pld.live/RapDetail.aspx?STONELIST=926460758","DNA")</f>
        <v>DNA</v>
      </c>
      <c r="D1764" s="18" t="s">
        <v>5466</v>
      </c>
      <c r="E1764" s="18" t="s">
        <v>5128</v>
      </c>
      <c r="F1764" s="2" t="s">
        <v>5597</v>
      </c>
      <c r="G1764" s="2" t="s">
        <v>861</v>
      </c>
      <c r="H1764" s="14">
        <v>0.52</v>
      </c>
      <c r="I1764" s="2" t="s">
        <v>4761</v>
      </c>
      <c r="J1764" s="2" t="s">
        <v>6555</v>
      </c>
      <c r="K1764" s="2" t="s">
        <v>5221</v>
      </c>
      <c r="L1764" s="2" t="s">
        <v>5721</v>
      </c>
      <c r="M1764" s="2" t="s">
        <v>5221</v>
      </c>
      <c r="N1764" s="2" t="s">
        <v>2317</v>
      </c>
      <c r="O1764" s="14">
        <v>4000</v>
      </c>
      <c r="P1764" s="14">
        <v>90.28</v>
      </c>
      <c r="Q1764" s="14">
        <v>388.8</v>
      </c>
      <c r="R1764" s="14">
        <v>202.18</v>
      </c>
      <c r="S1764" s="2" t="s">
        <v>3977</v>
      </c>
      <c r="T1764" s="2">
        <v>1.01</v>
      </c>
      <c r="U1764" s="2">
        <v>62.2</v>
      </c>
      <c r="V1764" s="2">
        <v>58</v>
      </c>
      <c r="W1764" s="2" t="s">
        <v>7862</v>
      </c>
      <c r="X1764" s="2" t="s">
        <v>5405</v>
      </c>
      <c r="Y1764" s="2">
        <v>2080</v>
      </c>
      <c r="Z1764" s="19" t="str">
        <f>HYPERLINK("https://ssdweb.co/ssdweb/hd/Vision360.html?d=926460758&amp;zoomslide=1&amp;z=1926460758&amp;ISCONFIRM=0","VIDEO")</f>
        <v>VIDEO</v>
      </c>
      <c r="AA1764" s="19" t="str">
        <f>HYPERLINK("https://ssdweb.co/ssdweb/CERTH/2496935313.pdf","CERTI")</f>
        <v>CERTI</v>
      </c>
    </row>
    <row r="1765" spans="1:27" ht="15" x14ac:dyDescent="0.25">
      <c r="A1765" s="2">
        <v>1760</v>
      </c>
      <c r="B1765" s="39">
        <v>941080554</v>
      </c>
      <c r="C1765" s="28" t="str">
        <f>HYPERLINK("https://pld.live/RapDetail.aspx?STONELIST=941080554","DNA")</f>
        <v>DNA</v>
      </c>
      <c r="D1765" s="18" t="s">
        <v>5466</v>
      </c>
      <c r="E1765" s="18" t="s">
        <v>2186</v>
      </c>
      <c r="F1765" s="2" t="s">
        <v>7987</v>
      </c>
      <c r="G1765" s="2" t="s">
        <v>861</v>
      </c>
      <c r="H1765" s="14">
        <v>0.52</v>
      </c>
      <c r="I1765" s="2" t="s">
        <v>4761</v>
      </c>
      <c r="J1765" s="2" t="s">
        <v>13</v>
      </c>
      <c r="K1765" s="2" t="s">
        <v>3390</v>
      </c>
      <c r="L1765" s="2" t="s">
        <v>5221</v>
      </c>
      <c r="M1765" s="2" t="s">
        <v>5721</v>
      </c>
      <c r="N1765" s="2" t="s">
        <v>2317</v>
      </c>
      <c r="O1765" s="14">
        <v>2800</v>
      </c>
      <c r="P1765" s="14">
        <v>94.96</v>
      </c>
      <c r="Q1765" s="14">
        <v>141.12</v>
      </c>
      <c r="R1765" s="14">
        <v>73.38</v>
      </c>
      <c r="S1765" s="2" t="s">
        <v>4703</v>
      </c>
      <c r="T1765" s="2">
        <v>1.01</v>
      </c>
      <c r="U1765" s="2">
        <v>62.1</v>
      </c>
      <c r="V1765" s="2">
        <v>55</v>
      </c>
      <c r="W1765" s="2" t="s">
        <v>7862</v>
      </c>
      <c r="X1765" s="2" t="s">
        <v>5405</v>
      </c>
      <c r="Y1765" s="2">
        <v>1456</v>
      </c>
      <c r="Z1765" s="19" t="str">
        <f>HYPERLINK("https://ssdweb.co/ssdweb/hd/Vision360.html?d=941080554&amp;zoomslide=1&amp;z=1941080554&amp;ISCONFIRM=0","VIDEO")</f>
        <v>VIDEO</v>
      </c>
      <c r="AA1765" s="19" t="str">
        <f>HYPERLINK("https://ssdweb.co/ssdweb/CERTH/671427883.pdf","CERTI")</f>
        <v>CERTI</v>
      </c>
    </row>
    <row r="1766" spans="1:27" ht="15" x14ac:dyDescent="0.25">
      <c r="A1766" s="2">
        <v>1761</v>
      </c>
      <c r="B1766" s="39">
        <v>926460806</v>
      </c>
      <c r="C1766" s="28" t="str">
        <f>HYPERLINK("https://pld.live/RapDetail.aspx?STONELIST=926460806","DNA")</f>
        <v>DNA</v>
      </c>
      <c r="D1766" s="18" t="s">
        <v>5466</v>
      </c>
      <c r="E1766" s="18" t="s">
        <v>5128</v>
      </c>
      <c r="F1766" s="2" t="s">
        <v>5597</v>
      </c>
      <c r="G1766" s="2" t="s">
        <v>861</v>
      </c>
      <c r="H1766" s="14">
        <v>0.52</v>
      </c>
      <c r="I1766" s="2" t="s">
        <v>4761</v>
      </c>
      <c r="J1766" s="2" t="s">
        <v>5144</v>
      </c>
      <c r="K1766" s="2" t="s">
        <v>5221</v>
      </c>
      <c r="L1766" s="2" t="s">
        <v>5221</v>
      </c>
      <c r="M1766" s="2" t="s">
        <v>5221</v>
      </c>
      <c r="N1766" s="2" t="s">
        <v>2317</v>
      </c>
      <c r="O1766" s="14">
        <v>2500</v>
      </c>
      <c r="P1766" s="14">
        <v>88.96</v>
      </c>
      <c r="Q1766" s="14">
        <v>276</v>
      </c>
      <c r="R1766" s="14">
        <v>143.52000000000001</v>
      </c>
      <c r="S1766" s="2" t="s">
        <v>6609</v>
      </c>
      <c r="T1766" s="2">
        <v>1.01</v>
      </c>
      <c r="U1766" s="2">
        <v>60.7</v>
      </c>
      <c r="V1766" s="2">
        <v>58</v>
      </c>
      <c r="W1766" s="2" t="s">
        <v>7862</v>
      </c>
      <c r="X1766" s="2" t="s">
        <v>5405</v>
      </c>
      <c r="Y1766" s="2">
        <v>1300</v>
      </c>
      <c r="Z1766" s="19" t="str">
        <f>HYPERLINK("https://ssdweb.co/ssdweb/hd/Vision360.html?d=926460806&amp;zoomslide=1&amp;z=1926460806&amp;ISCONFIRM=0","VIDEO")</f>
        <v>VIDEO</v>
      </c>
      <c r="AA1766" s="19" t="str">
        <f>HYPERLINK("https://ssdweb.co/ssdweb/CERTH/1497979413.pdf","CERTI")</f>
        <v>CERTI</v>
      </c>
    </row>
    <row r="1767" spans="1:27" ht="15" x14ac:dyDescent="0.25">
      <c r="A1767" s="2">
        <v>1762</v>
      </c>
      <c r="B1767" s="39">
        <v>926771212</v>
      </c>
      <c r="C1767" s="28" t="str">
        <f>HYPERLINK("https://pld.live/RapDetail.aspx?STONELIST=926771212","DNA")</f>
        <v>DNA</v>
      </c>
      <c r="D1767" s="18" t="s">
        <v>5466</v>
      </c>
      <c r="E1767" s="18" t="s">
        <v>5128</v>
      </c>
      <c r="F1767" s="2" t="s">
        <v>5597</v>
      </c>
      <c r="G1767" s="2" t="s">
        <v>861</v>
      </c>
      <c r="H1767" s="14">
        <v>0.52</v>
      </c>
      <c r="I1767" s="2" t="s">
        <v>4761</v>
      </c>
      <c r="J1767" s="2" t="s">
        <v>5144</v>
      </c>
      <c r="K1767" s="2" t="s">
        <v>5221</v>
      </c>
      <c r="L1767" s="2" t="s">
        <v>5221</v>
      </c>
      <c r="M1767" s="2" t="s">
        <v>5221</v>
      </c>
      <c r="N1767" s="2" t="s">
        <v>2317</v>
      </c>
      <c r="O1767" s="14">
        <v>2500</v>
      </c>
      <c r="P1767" s="14">
        <v>88.88</v>
      </c>
      <c r="Q1767" s="14">
        <v>278</v>
      </c>
      <c r="R1767" s="14">
        <v>144.56</v>
      </c>
      <c r="S1767" s="2" t="s">
        <v>3693</v>
      </c>
      <c r="T1767" s="2">
        <v>1</v>
      </c>
      <c r="U1767" s="2">
        <v>61.5</v>
      </c>
      <c r="V1767" s="2">
        <v>57</v>
      </c>
      <c r="W1767" s="2" t="s">
        <v>7862</v>
      </c>
      <c r="X1767" s="2" t="s">
        <v>5405</v>
      </c>
      <c r="Y1767" s="2">
        <v>1300</v>
      </c>
      <c r="Z1767" s="19" t="str">
        <f>HYPERLINK("https://ssdweb.co/ssdweb/hd/Vision360.html?d=926771212&amp;zoomslide=1&amp;z=1926771212&amp;ISCONFIRM=0","VIDEO")</f>
        <v>VIDEO</v>
      </c>
      <c r="AA1767" s="19" t="str">
        <f>HYPERLINK("https://ssdweb.co/ssdweb/CERTH/7501459170.pdf","CERTI")</f>
        <v>CERTI</v>
      </c>
    </row>
    <row r="1768" spans="1:27" ht="15" x14ac:dyDescent="0.25">
      <c r="A1768" s="2">
        <v>1763</v>
      </c>
      <c r="B1768" s="39">
        <v>941190058</v>
      </c>
      <c r="C1768" s="28" t="str">
        <f>HYPERLINK("https://pld.live/RapDetail.aspx?STONELIST=941190058","DNA")</f>
        <v>DNA</v>
      </c>
      <c r="D1768" s="18" t="s">
        <v>5466</v>
      </c>
      <c r="E1768" s="18" t="s">
        <v>5128</v>
      </c>
      <c r="F1768" s="2" t="s">
        <v>7987</v>
      </c>
      <c r="G1768" s="2" t="s">
        <v>861</v>
      </c>
      <c r="H1768" s="14">
        <v>0.51</v>
      </c>
      <c r="I1768" s="2" t="s">
        <v>267</v>
      </c>
      <c r="J1768" s="2" t="s">
        <v>6555</v>
      </c>
      <c r="K1768" s="2" t="s">
        <v>3390</v>
      </c>
      <c r="L1768" s="2" t="s">
        <v>5221</v>
      </c>
      <c r="M1768" s="2" t="s">
        <v>5221</v>
      </c>
      <c r="N1768" s="2" t="s">
        <v>2317</v>
      </c>
      <c r="O1768" s="14">
        <v>4600</v>
      </c>
      <c r="P1768" s="14">
        <v>96.52</v>
      </c>
      <c r="Q1768" s="14">
        <v>160.08000000000001</v>
      </c>
      <c r="R1768" s="14">
        <v>81.64</v>
      </c>
      <c r="S1768" s="2" t="s">
        <v>6374</v>
      </c>
      <c r="T1768" s="2">
        <v>1.01</v>
      </c>
      <c r="U1768" s="2">
        <v>61.6</v>
      </c>
      <c r="V1768" s="2">
        <v>57</v>
      </c>
      <c r="W1768" s="2" t="s">
        <v>7862</v>
      </c>
      <c r="X1768" s="2" t="s">
        <v>5405</v>
      </c>
      <c r="Y1768" s="2">
        <v>2346</v>
      </c>
      <c r="Z1768" s="19" t="str">
        <f>HYPERLINK("https://ssdweb.co/ssdweb/hd/Vision360.html?d=941190058&amp;zoomslide=1&amp;z=1941190058&amp;ISCONFIRM=0","VIDEO")</f>
        <v>VIDEO</v>
      </c>
      <c r="AA1768" s="19" t="str">
        <f>HYPERLINK("https://ssdweb.co/ssdweb/CERTH/674532484.pdf","CERTI")</f>
        <v>CERTI</v>
      </c>
    </row>
    <row r="1769" spans="1:27" ht="15" x14ac:dyDescent="0.25">
      <c r="A1769" s="2">
        <v>1764</v>
      </c>
      <c r="B1769" s="39">
        <v>941380239</v>
      </c>
      <c r="C1769" s="28" t="str">
        <f>HYPERLINK("https://pld.live/RapDetail.aspx?STONELIST=941380239","DNA")</f>
        <v>DNA</v>
      </c>
      <c r="D1769" s="18" t="s">
        <v>5466</v>
      </c>
      <c r="E1769" s="18" t="s">
        <v>2186</v>
      </c>
      <c r="F1769" s="2" t="s">
        <v>7987</v>
      </c>
      <c r="G1769" s="2" t="s">
        <v>861</v>
      </c>
      <c r="H1769" s="14">
        <v>0.51</v>
      </c>
      <c r="I1769" s="2" t="s">
        <v>267</v>
      </c>
      <c r="J1769" s="2" t="s">
        <v>3942</v>
      </c>
      <c r="K1769" s="2" t="s">
        <v>3390</v>
      </c>
      <c r="L1769" s="2" t="s">
        <v>5221</v>
      </c>
      <c r="M1769" s="2" t="s">
        <v>5221</v>
      </c>
      <c r="N1769" s="2" t="s">
        <v>2317</v>
      </c>
      <c r="O1769" s="14">
        <v>3600</v>
      </c>
      <c r="P1769" s="14">
        <v>95.83</v>
      </c>
      <c r="Q1769" s="14">
        <v>150.12</v>
      </c>
      <c r="R1769" s="14">
        <v>76.56</v>
      </c>
      <c r="S1769" s="2" t="s">
        <v>6478</v>
      </c>
      <c r="T1769" s="2">
        <v>1.01</v>
      </c>
      <c r="U1769" s="2">
        <v>62.2</v>
      </c>
      <c r="V1769" s="2">
        <v>57</v>
      </c>
      <c r="W1769" s="2" t="s">
        <v>7862</v>
      </c>
      <c r="X1769" s="2" t="s">
        <v>5405</v>
      </c>
      <c r="Y1769" s="2">
        <v>1836</v>
      </c>
      <c r="Z1769" s="19" t="str">
        <f>HYPERLINK("https://ssdweb.co/ssdweb/hd/Vision360.html?d=941380239&amp;zoomslide=1&amp;z=1941380239&amp;ISCONFIRM=0","VIDEO")</f>
        <v>VIDEO</v>
      </c>
      <c r="AA1769" s="19" t="str">
        <f>HYPERLINK("https://ssdweb.co/ssdweb/CERTH/691577877.pdf","CERTI")</f>
        <v>CERTI</v>
      </c>
    </row>
    <row r="1770" spans="1:27" ht="15" x14ac:dyDescent="0.25">
      <c r="A1770" s="2">
        <v>1765</v>
      </c>
      <c r="B1770" s="39">
        <v>941360361</v>
      </c>
      <c r="C1770" s="28" t="str">
        <f>HYPERLINK("https://pld.live/RapDetail.aspx?STONELIST=941360361","DNA")</f>
        <v>DNA</v>
      </c>
      <c r="D1770" s="18" t="s">
        <v>5466</v>
      </c>
      <c r="E1770" s="18" t="s">
        <v>2186</v>
      </c>
      <c r="F1770" s="2" t="s">
        <v>7987</v>
      </c>
      <c r="G1770" s="2" t="s">
        <v>861</v>
      </c>
      <c r="H1770" s="14">
        <v>0.51</v>
      </c>
      <c r="I1770" s="2" t="s">
        <v>267</v>
      </c>
      <c r="J1770" s="2" t="s">
        <v>3942</v>
      </c>
      <c r="K1770" s="2" t="s">
        <v>3390</v>
      </c>
      <c r="L1770" s="2" t="s">
        <v>5221</v>
      </c>
      <c r="M1770" s="2" t="s">
        <v>5221</v>
      </c>
      <c r="N1770" s="2" t="s">
        <v>2317</v>
      </c>
      <c r="O1770" s="14">
        <v>3600</v>
      </c>
      <c r="P1770" s="14">
        <v>95.83</v>
      </c>
      <c r="Q1770" s="14">
        <v>150.12</v>
      </c>
      <c r="R1770" s="14">
        <v>76.56</v>
      </c>
      <c r="S1770" s="2" t="s">
        <v>7592</v>
      </c>
      <c r="T1770" s="2">
        <v>1</v>
      </c>
      <c r="U1770" s="2">
        <v>61.9</v>
      </c>
      <c r="V1770" s="2">
        <v>58</v>
      </c>
      <c r="W1770" s="2" t="s">
        <v>7862</v>
      </c>
      <c r="X1770" s="2" t="s">
        <v>5405</v>
      </c>
      <c r="Y1770" s="2">
        <v>1836</v>
      </c>
      <c r="Z1770" s="19" t="str">
        <f>HYPERLINK("https://ssdweb.co/ssdweb/hd/Vision360.html?d=941360361&amp;zoomslide=1&amp;z=1941360361&amp;ISCONFIRM=0","VIDEO")</f>
        <v>VIDEO</v>
      </c>
      <c r="AA1770" s="19" t="str">
        <f>HYPERLINK("https://ssdweb.co/ssdweb/CERTH/689587189.pdf","CERTI")</f>
        <v>CERTI</v>
      </c>
    </row>
    <row r="1771" spans="1:27" ht="15" x14ac:dyDescent="0.25">
      <c r="A1771" s="2">
        <v>1766</v>
      </c>
      <c r="B1771" s="39">
        <v>941190535</v>
      </c>
      <c r="C1771" s="28" t="str">
        <f>HYPERLINK("https://pld.live/RapDetail.aspx?STONELIST=941190535","DNA")</f>
        <v>DNA</v>
      </c>
      <c r="D1771" s="18" t="s">
        <v>5466</v>
      </c>
      <c r="E1771" s="18" t="s">
        <v>5128</v>
      </c>
      <c r="F1771" s="2" t="s">
        <v>7987</v>
      </c>
      <c r="G1771" s="2" t="s">
        <v>861</v>
      </c>
      <c r="H1771" s="14">
        <v>0.51</v>
      </c>
      <c r="I1771" s="2" t="s">
        <v>267</v>
      </c>
      <c r="J1771" s="2" t="s">
        <v>3942</v>
      </c>
      <c r="K1771" s="2" t="s">
        <v>3390</v>
      </c>
      <c r="L1771" s="2" t="s">
        <v>5221</v>
      </c>
      <c r="M1771" s="2" t="s">
        <v>5721</v>
      </c>
      <c r="N1771" s="2" t="s">
        <v>2317</v>
      </c>
      <c r="O1771" s="14">
        <v>3600</v>
      </c>
      <c r="P1771" s="14">
        <v>95.89</v>
      </c>
      <c r="Q1771" s="14">
        <v>147.96</v>
      </c>
      <c r="R1771" s="14">
        <v>75.459999999999994</v>
      </c>
      <c r="S1771" s="2" t="s">
        <v>3593</v>
      </c>
      <c r="T1771" s="2">
        <v>1.01</v>
      </c>
      <c r="U1771" s="2">
        <v>62.3</v>
      </c>
      <c r="V1771" s="2">
        <v>56</v>
      </c>
      <c r="W1771" s="2" t="s">
        <v>7862</v>
      </c>
      <c r="X1771" s="2" t="s">
        <v>5405</v>
      </c>
      <c r="Y1771" s="2">
        <v>1836</v>
      </c>
      <c r="Z1771" s="19" t="str">
        <f>HYPERLINK("https://ssdweb.co/ssdweb/hd/Vision360.html?d=941190535&amp;zoomslide=1&amp;z=1941190535&amp;ISCONFIRM=0","VIDEO")</f>
        <v>VIDEO</v>
      </c>
      <c r="AA1771" s="19" t="str">
        <f>HYPERLINK("https://ssdweb.co/ssdweb/CERTH/678550400.pdf","CERTI")</f>
        <v>CERTI</v>
      </c>
    </row>
    <row r="1772" spans="1:27" ht="15" x14ac:dyDescent="0.25">
      <c r="A1772" s="2">
        <v>1767</v>
      </c>
      <c r="B1772" s="39">
        <v>941190760</v>
      </c>
      <c r="C1772" s="28" t="str">
        <f>HYPERLINK("https://pld.live/RapDetail.aspx?STONELIST=941190760","DNA")</f>
        <v>DNA</v>
      </c>
      <c r="D1772" s="18" t="s">
        <v>5466</v>
      </c>
      <c r="E1772" s="18" t="s">
        <v>5128</v>
      </c>
      <c r="F1772" s="2" t="s">
        <v>7987</v>
      </c>
      <c r="G1772" s="2" t="s">
        <v>861</v>
      </c>
      <c r="H1772" s="14">
        <v>0.51</v>
      </c>
      <c r="I1772" s="2" t="s">
        <v>267</v>
      </c>
      <c r="J1772" s="2" t="s">
        <v>3942</v>
      </c>
      <c r="K1772" s="2" t="s">
        <v>3390</v>
      </c>
      <c r="L1772" s="2" t="s">
        <v>5221</v>
      </c>
      <c r="M1772" s="2" t="s">
        <v>5721</v>
      </c>
      <c r="N1772" s="2" t="s">
        <v>2317</v>
      </c>
      <c r="O1772" s="14">
        <v>3600</v>
      </c>
      <c r="P1772" s="14">
        <v>95.89</v>
      </c>
      <c r="Q1772" s="14">
        <v>147.96</v>
      </c>
      <c r="R1772" s="14">
        <v>75.459999999999994</v>
      </c>
      <c r="S1772" s="2" t="s">
        <v>154</v>
      </c>
      <c r="T1772" s="2">
        <v>1.01</v>
      </c>
      <c r="U1772" s="2">
        <v>60.3</v>
      </c>
      <c r="V1772" s="2">
        <v>57</v>
      </c>
      <c r="W1772" s="2" t="s">
        <v>7862</v>
      </c>
      <c r="X1772" s="2" t="s">
        <v>5405</v>
      </c>
      <c r="Y1772" s="2">
        <v>1836</v>
      </c>
      <c r="Z1772" s="19" t="str">
        <f>HYPERLINK("https://ssdweb.co/ssdweb/hd/Vision360.html?d=941190760&amp;zoomslide=1&amp;z=1941190760&amp;ISCONFIRM=0","VIDEO")</f>
        <v>VIDEO</v>
      </c>
      <c r="AA1772" s="19" t="str">
        <f>HYPERLINK("https://ssdweb.co/ssdweb/CERTH/678550402.pdf","CERTI")</f>
        <v>CERTI</v>
      </c>
    </row>
    <row r="1773" spans="1:27" ht="15" x14ac:dyDescent="0.25">
      <c r="A1773" s="2">
        <v>1768</v>
      </c>
      <c r="B1773" s="39">
        <v>926330396</v>
      </c>
      <c r="C1773" s="28" t="str">
        <f>HYPERLINK("https://pld.live/RapDetail.aspx?STONELIST=926330396","DNA")</f>
        <v>DNA</v>
      </c>
      <c r="D1773" s="18" t="s">
        <v>5466</v>
      </c>
      <c r="E1773" s="18" t="s">
        <v>5128</v>
      </c>
      <c r="F1773" s="2" t="s">
        <v>7987</v>
      </c>
      <c r="G1773" s="2" t="s">
        <v>861</v>
      </c>
      <c r="H1773" s="14">
        <v>0.51</v>
      </c>
      <c r="I1773" s="2" t="s">
        <v>267</v>
      </c>
      <c r="J1773" s="2" t="s">
        <v>3942</v>
      </c>
      <c r="K1773" s="2" t="s">
        <v>3390</v>
      </c>
      <c r="L1773" s="2" t="s">
        <v>5221</v>
      </c>
      <c r="M1773" s="2" t="s">
        <v>5721</v>
      </c>
      <c r="N1773" s="2" t="s">
        <v>2317</v>
      </c>
      <c r="O1773" s="14">
        <v>3600</v>
      </c>
      <c r="P1773" s="14">
        <v>96</v>
      </c>
      <c r="Q1773" s="14">
        <v>144</v>
      </c>
      <c r="R1773" s="14">
        <v>73.44</v>
      </c>
      <c r="S1773" s="2" t="s">
        <v>2829</v>
      </c>
      <c r="T1773" s="2">
        <v>1</v>
      </c>
      <c r="U1773" s="2">
        <v>60.8</v>
      </c>
      <c r="V1773" s="2">
        <v>60</v>
      </c>
      <c r="W1773" s="2" t="s">
        <v>7862</v>
      </c>
      <c r="X1773" s="2" t="s">
        <v>5405</v>
      </c>
      <c r="Y1773" s="2">
        <v>1836</v>
      </c>
      <c r="Z1773" s="19" t="str">
        <f>HYPERLINK("https://ssdweb.co/ssdweb/hd/Vision360.html?d=926330396&amp;zoomslide=1&amp;z=1926330396&amp;ISCONFIRM=0","VIDEO")</f>
        <v>VIDEO</v>
      </c>
      <c r="AA1773" s="19" t="str">
        <f>HYPERLINK("https://ssdweb.co/ssdweb/CERTH/648487110.pdf","CERTI")</f>
        <v>CERTI</v>
      </c>
    </row>
    <row r="1774" spans="1:27" ht="15" x14ac:dyDescent="0.25">
      <c r="A1774" s="2">
        <v>1769</v>
      </c>
      <c r="B1774" s="39">
        <v>926330699</v>
      </c>
      <c r="C1774" s="28" t="str">
        <f>HYPERLINK("https://pld.live/RapDetail.aspx?STONELIST=926330699","DNA")</f>
        <v>DNA</v>
      </c>
      <c r="D1774" s="18" t="s">
        <v>5466</v>
      </c>
      <c r="E1774" s="18" t="s">
        <v>5128</v>
      </c>
      <c r="F1774" s="2" t="s">
        <v>7987</v>
      </c>
      <c r="G1774" s="2" t="s">
        <v>861</v>
      </c>
      <c r="H1774" s="14">
        <v>0.51</v>
      </c>
      <c r="I1774" s="2" t="s">
        <v>267</v>
      </c>
      <c r="J1774" s="2" t="s">
        <v>3942</v>
      </c>
      <c r="K1774" s="2" t="s">
        <v>3390</v>
      </c>
      <c r="L1774" s="2" t="s">
        <v>5221</v>
      </c>
      <c r="M1774" s="2" t="s">
        <v>5721</v>
      </c>
      <c r="N1774" s="2" t="s">
        <v>2317</v>
      </c>
      <c r="O1774" s="14">
        <v>3600</v>
      </c>
      <c r="P1774" s="14">
        <v>96</v>
      </c>
      <c r="Q1774" s="14">
        <v>144</v>
      </c>
      <c r="R1774" s="14">
        <v>73.44</v>
      </c>
      <c r="S1774" s="2" t="s">
        <v>6780</v>
      </c>
      <c r="T1774" s="2">
        <v>1.01</v>
      </c>
      <c r="U1774" s="2">
        <v>61.7</v>
      </c>
      <c r="V1774" s="2">
        <v>59</v>
      </c>
      <c r="W1774" s="2" t="s">
        <v>7862</v>
      </c>
      <c r="X1774" s="2" t="s">
        <v>5405</v>
      </c>
      <c r="Y1774" s="2">
        <v>1836</v>
      </c>
      <c r="Z1774" s="19" t="str">
        <f>HYPERLINK("https://ssdweb.co/ssdweb/hd/Vision360.html?d=926330699&amp;zoomslide=1&amp;z=1926330699&amp;ISCONFIRM=0","VIDEO")</f>
        <v>VIDEO</v>
      </c>
      <c r="AA1774" s="19" t="str">
        <f>HYPERLINK("https://ssdweb.co/ssdweb/CERTH/639438757.pdf","CERTI")</f>
        <v>CERTI</v>
      </c>
    </row>
    <row r="1775" spans="1:27" ht="15" x14ac:dyDescent="0.25">
      <c r="A1775" s="2">
        <v>1770</v>
      </c>
      <c r="B1775" s="39">
        <v>926330768</v>
      </c>
      <c r="C1775" s="28" t="str">
        <f>HYPERLINK("https://pld.live/RapDetail.aspx?STONELIST=926330768","DNA")</f>
        <v>DNA</v>
      </c>
      <c r="D1775" s="18" t="s">
        <v>5466</v>
      </c>
      <c r="E1775" s="18" t="s">
        <v>5128</v>
      </c>
      <c r="F1775" s="2" t="s">
        <v>7987</v>
      </c>
      <c r="G1775" s="2" t="s">
        <v>861</v>
      </c>
      <c r="H1775" s="14">
        <v>0.51</v>
      </c>
      <c r="I1775" s="2" t="s">
        <v>267</v>
      </c>
      <c r="J1775" s="2" t="s">
        <v>3942</v>
      </c>
      <c r="K1775" s="2" t="s">
        <v>3390</v>
      </c>
      <c r="L1775" s="2" t="s">
        <v>5221</v>
      </c>
      <c r="M1775" s="2" t="s">
        <v>5721</v>
      </c>
      <c r="N1775" s="2" t="s">
        <v>2317</v>
      </c>
      <c r="O1775" s="14">
        <v>3600</v>
      </c>
      <c r="P1775" s="14">
        <v>96</v>
      </c>
      <c r="Q1775" s="14">
        <v>144</v>
      </c>
      <c r="R1775" s="14">
        <v>73.44</v>
      </c>
      <c r="S1775" s="2" t="s">
        <v>2214</v>
      </c>
      <c r="T1775" s="2">
        <v>1.01</v>
      </c>
      <c r="U1775" s="2">
        <v>61.3</v>
      </c>
      <c r="V1775" s="2">
        <v>59</v>
      </c>
      <c r="W1775" s="2" t="s">
        <v>7862</v>
      </c>
      <c r="X1775" s="2" t="s">
        <v>5405</v>
      </c>
      <c r="Y1775" s="2">
        <v>1836</v>
      </c>
      <c r="Z1775" s="19" t="str">
        <f>HYPERLINK("https://ssdweb.co/ssdweb/hd/Vision360.html?d=926330768&amp;zoomslide=1&amp;z=1926330768&amp;ISCONFIRM=0","VIDEO")</f>
        <v>VIDEO</v>
      </c>
      <c r="AA1775" s="19" t="str">
        <f>HYPERLINK("https://ssdweb.co/ssdweb/CERTH/639413189.pdf","CERTI")</f>
        <v>CERTI</v>
      </c>
    </row>
    <row r="1776" spans="1:27" ht="15" x14ac:dyDescent="0.25">
      <c r="A1776" s="2">
        <v>1771</v>
      </c>
      <c r="B1776" s="39">
        <v>941230579</v>
      </c>
      <c r="C1776" s="28" t="str">
        <f>HYPERLINK("https://pld.live/RapDetail.aspx?STONELIST=941230579","DNA")</f>
        <v>DNA</v>
      </c>
      <c r="D1776" s="18" t="s">
        <v>5466</v>
      </c>
      <c r="E1776" s="18" t="s">
        <v>2186</v>
      </c>
      <c r="F1776" s="2" t="s">
        <v>7987</v>
      </c>
      <c r="G1776" s="2" t="s">
        <v>861</v>
      </c>
      <c r="H1776" s="14">
        <v>0.51</v>
      </c>
      <c r="I1776" s="2" t="s">
        <v>267</v>
      </c>
      <c r="J1776" s="2" t="s">
        <v>3942</v>
      </c>
      <c r="K1776" s="2" t="s">
        <v>5221</v>
      </c>
      <c r="L1776" s="2" t="s">
        <v>5221</v>
      </c>
      <c r="M1776" s="2" t="s">
        <v>5221</v>
      </c>
      <c r="N1776" s="2" t="s">
        <v>2317</v>
      </c>
      <c r="O1776" s="14">
        <v>3600</v>
      </c>
      <c r="P1776" s="14">
        <v>95.83</v>
      </c>
      <c r="Q1776" s="14">
        <v>150.12</v>
      </c>
      <c r="R1776" s="14">
        <v>76.56</v>
      </c>
      <c r="S1776" s="2" t="s">
        <v>7641</v>
      </c>
      <c r="T1776" s="2">
        <v>1</v>
      </c>
      <c r="U1776" s="2">
        <v>59.7</v>
      </c>
      <c r="V1776" s="2">
        <v>59</v>
      </c>
      <c r="W1776" s="2" t="s">
        <v>7862</v>
      </c>
      <c r="X1776" s="2" t="s">
        <v>5405</v>
      </c>
      <c r="Y1776" s="2">
        <v>1836</v>
      </c>
      <c r="Z1776" s="19" t="str">
        <f>HYPERLINK("https://ssdweb.co/ssdweb/hd/Vision360.html?d=941230579&amp;zoomslide=1&amp;z=1941230579&amp;ISCONFIRM=0","VIDEO")</f>
        <v>VIDEO</v>
      </c>
      <c r="AA1776" s="19" t="str">
        <f>HYPERLINK("https://ssdweb.co/ssdweb/CERTH/681569572.pdf","CERTI")</f>
        <v>CERTI</v>
      </c>
    </row>
    <row r="1777" spans="1:27" ht="15" x14ac:dyDescent="0.25">
      <c r="A1777" s="2">
        <v>1772</v>
      </c>
      <c r="B1777" s="39">
        <v>941190199</v>
      </c>
      <c r="C1777" s="28" t="str">
        <f>HYPERLINK("https://pld.live/RapDetail.aspx?STONELIST=941190199","DNA")</f>
        <v>DNA</v>
      </c>
      <c r="D1777" s="18" t="s">
        <v>5466</v>
      </c>
      <c r="E1777" s="18" t="s">
        <v>5128</v>
      </c>
      <c r="F1777" s="2" t="s">
        <v>7987</v>
      </c>
      <c r="G1777" s="2" t="s">
        <v>861</v>
      </c>
      <c r="H1777" s="14">
        <v>0.51</v>
      </c>
      <c r="I1777" s="2" t="s">
        <v>267</v>
      </c>
      <c r="J1777" s="2" t="s">
        <v>3942</v>
      </c>
      <c r="K1777" s="2" t="s">
        <v>5221</v>
      </c>
      <c r="L1777" s="2" t="s">
        <v>5221</v>
      </c>
      <c r="M1777" s="2" t="s">
        <v>5221</v>
      </c>
      <c r="N1777" s="2" t="s">
        <v>2317</v>
      </c>
      <c r="O1777" s="14">
        <v>3600</v>
      </c>
      <c r="P1777" s="14">
        <v>95.83</v>
      </c>
      <c r="Q1777" s="14">
        <v>150.12</v>
      </c>
      <c r="R1777" s="14">
        <v>76.56</v>
      </c>
      <c r="S1777" s="2" t="s">
        <v>5301</v>
      </c>
      <c r="T1777" s="2">
        <v>1</v>
      </c>
      <c r="U1777" s="2">
        <v>59.5</v>
      </c>
      <c r="V1777" s="2">
        <v>59</v>
      </c>
      <c r="W1777" s="2" t="s">
        <v>7862</v>
      </c>
      <c r="X1777" s="2" t="s">
        <v>5405</v>
      </c>
      <c r="Y1777" s="2">
        <v>1836</v>
      </c>
      <c r="Z1777" s="19" t="str">
        <f>HYPERLINK("https://ssdweb.co/ssdweb/hd/Vision360.html?d=941190199&amp;zoomslide=1&amp;z=1941190199&amp;ISCONFIRM=0","VIDEO")</f>
        <v>VIDEO</v>
      </c>
      <c r="AA1777" s="19" t="str">
        <f>HYPERLINK("https://ssdweb.co/ssdweb/CERTH/675596825.pdf","CERTI")</f>
        <v>CERTI</v>
      </c>
    </row>
    <row r="1778" spans="1:27" ht="15" x14ac:dyDescent="0.25">
      <c r="A1778" s="2">
        <v>1773</v>
      </c>
      <c r="B1778" s="39">
        <v>926320631</v>
      </c>
      <c r="C1778" s="28" t="str">
        <f>HYPERLINK("https://pld.live/RapDetail.aspx?STONELIST=926320631","DNA")</f>
        <v>DNA</v>
      </c>
      <c r="D1778" s="18" t="s">
        <v>5466</v>
      </c>
      <c r="E1778" s="18" t="s">
        <v>5128</v>
      </c>
      <c r="F1778" s="2" t="s">
        <v>7987</v>
      </c>
      <c r="G1778" s="2" t="s">
        <v>861</v>
      </c>
      <c r="H1778" s="14">
        <v>0.51</v>
      </c>
      <c r="I1778" s="2" t="s">
        <v>267</v>
      </c>
      <c r="J1778" s="2" t="s">
        <v>3942</v>
      </c>
      <c r="K1778" s="2" t="s">
        <v>5221</v>
      </c>
      <c r="L1778" s="2" t="s">
        <v>5221</v>
      </c>
      <c r="M1778" s="2" t="s">
        <v>5721</v>
      </c>
      <c r="N1778" s="2" t="s">
        <v>2317</v>
      </c>
      <c r="O1778" s="14">
        <v>3600</v>
      </c>
      <c r="P1778" s="14">
        <v>96</v>
      </c>
      <c r="Q1778" s="14">
        <v>144</v>
      </c>
      <c r="R1778" s="14">
        <v>73.44</v>
      </c>
      <c r="S1778" s="2" t="s">
        <v>1461</v>
      </c>
      <c r="T1778" s="2">
        <v>1.01</v>
      </c>
      <c r="U1778" s="2">
        <v>62.7</v>
      </c>
      <c r="V1778" s="2">
        <v>57</v>
      </c>
      <c r="W1778" s="2" t="s">
        <v>7862</v>
      </c>
      <c r="X1778" s="2" t="s">
        <v>5405</v>
      </c>
      <c r="Y1778" s="2">
        <v>1836</v>
      </c>
      <c r="Z1778" s="19" t="str">
        <f>HYPERLINK("https://ssdweb.co/ssdweb/hd/Vision360.html?d=926320631&amp;zoomslide=1&amp;z=1926320631&amp;ISCONFIRM=0","VIDEO")</f>
        <v>VIDEO</v>
      </c>
      <c r="AA1778" s="19" t="str">
        <f>HYPERLINK("https://ssdweb.co/ssdweb/CERTH/646472872.pdf","CERTI")</f>
        <v>CERTI</v>
      </c>
    </row>
    <row r="1779" spans="1:27" ht="15" x14ac:dyDescent="0.25">
      <c r="A1779" s="2">
        <v>1774</v>
      </c>
      <c r="B1779" s="39">
        <v>821128455</v>
      </c>
      <c r="C1779" s="28" t="str">
        <f>HYPERLINK("https://pld.live/RapDetail.aspx?STONELIST=821128455","DNA")</f>
        <v>DNA</v>
      </c>
      <c r="D1779" s="18" t="s">
        <v>5466</v>
      </c>
      <c r="E1779" s="18" t="s">
        <v>5128</v>
      </c>
      <c r="F1779" s="2" t="s">
        <v>7987</v>
      </c>
      <c r="G1779" s="2" t="s">
        <v>861</v>
      </c>
      <c r="H1779" s="14">
        <v>0.51</v>
      </c>
      <c r="I1779" s="2" t="s">
        <v>267</v>
      </c>
      <c r="J1779" s="2" t="s">
        <v>13</v>
      </c>
      <c r="K1779" s="2" t="s">
        <v>3390</v>
      </c>
      <c r="L1779" s="2" t="s">
        <v>5221</v>
      </c>
      <c r="M1779" s="2" t="s">
        <v>5221</v>
      </c>
      <c r="N1779" s="2" t="s">
        <v>2317</v>
      </c>
      <c r="O1779" s="14">
        <v>3000</v>
      </c>
      <c r="P1779" s="14">
        <v>95.17</v>
      </c>
      <c r="Q1779" s="14">
        <v>144.9</v>
      </c>
      <c r="R1779" s="14">
        <v>73.900000000000006</v>
      </c>
      <c r="S1779" s="2" t="s">
        <v>2203</v>
      </c>
      <c r="T1779" s="2">
        <v>1.01</v>
      </c>
      <c r="U1779" s="2">
        <v>62.3</v>
      </c>
      <c r="V1779" s="2">
        <v>57</v>
      </c>
      <c r="W1779" s="2" t="s">
        <v>7862</v>
      </c>
      <c r="X1779" s="2" t="s">
        <v>5405</v>
      </c>
      <c r="Y1779" s="2">
        <v>1530</v>
      </c>
      <c r="Z1779" s="19" t="str">
        <f>HYPERLINK("https://ssdweb.co/ssdweb/hd/Vision360.html?d=821128455&amp;zoomslide=1&amp;z=1821128455&amp;ISCONFIRM=0","VIDEO")</f>
        <v>VIDEO</v>
      </c>
      <c r="AA1779" s="19" t="str">
        <f>HYPERLINK("https://ssdweb.co/ssdweb/CERTH/679501340.pdf","CERTI")</f>
        <v>CERTI</v>
      </c>
    </row>
    <row r="1780" spans="1:27" ht="15" x14ac:dyDescent="0.25">
      <c r="A1780" s="2">
        <v>1775</v>
      </c>
      <c r="B1780" s="39">
        <v>941270688</v>
      </c>
      <c r="C1780" s="28" t="str">
        <f>HYPERLINK("https://pld.live/RapDetail.aspx?STONELIST=941270688","DNA")</f>
        <v>DNA</v>
      </c>
      <c r="D1780" s="18" t="s">
        <v>5466</v>
      </c>
      <c r="E1780" s="18" t="s">
        <v>5128</v>
      </c>
      <c r="F1780" s="2" t="s">
        <v>7987</v>
      </c>
      <c r="G1780" s="2" t="s">
        <v>861</v>
      </c>
      <c r="H1780" s="14">
        <v>0.51</v>
      </c>
      <c r="I1780" s="2" t="s">
        <v>267</v>
      </c>
      <c r="J1780" s="2" t="s">
        <v>13</v>
      </c>
      <c r="K1780" s="2" t="s">
        <v>3390</v>
      </c>
      <c r="L1780" s="2" t="s">
        <v>5221</v>
      </c>
      <c r="M1780" s="2" t="s">
        <v>5221</v>
      </c>
      <c r="N1780" s="2" t="s">
        <v>2317</v>
      </c>
      <c r="O1780" s="14">
        <v>3000</v>
      </c>
      <c r="P1780" s="14">
        <v>95.17</v>
      </c>
      <c r="Q1780" s="14">
        <v>144.9</v>
      </c>
      <c r="R1780" s="14">
        <v>73.900000000000006</v>
      </c>
      <c r="S1780" s="2" t="s">
        <v>6203</v>
      </c>
      <c r="T1780" s="2">
        <v>1.01</v>
      </c>
      <c r="U1780" s="2">
        <v>62.2</v>
      </c>
      <c r="V1780" s="2">
        <v>58</v>
      </c>
      <c r="W1780" s="2" t="s">
        <v>7862</v>
      </c>
      <c r="X1780" s="2" t="s">
        <v>5405</v>
      </c>
      <c r="Y1780" s="2">
        <v>1530</v>
      </c>
      <c r="Z1780" s="19" t="str">
        <f>HYPERLINK("https://ssdweb.co/ssdweb/hd/Vision360.html?d=941270688&amp;zoomslide=1&amp;z=1941270688&amp;ISCONFIRM=0","VIDEO")</f>
        <v>VIDEO</v>
      </c>
      <c r="AA1780" s="19" t="str">
        <f>HYPERLINK("https://ssdweb.co/ssdweb/CERTH/694508319.pdf","CERTI")</f>
        <v>CERTI</v>
      </c>
    </row>
    <row r="1781" spans="1:27" ht="15" x14ac:dyDescent="0.25">
      <c r="A1781" s="2">
        <v>1776</v>
      </c>
      <c r="B1781" s="39">
        <v>941270660</v>
      </c>
      <c r="C1781" s="28" t="str">
        <f>HYPERLINK("https://pld.live/RapDetail.aspx?STONELIST=941270660","DNA")</f>
        <v>DNA</v>
      </c>
      <c r="D1781" s="18" t="s">
        <v>5466</v>
      </c>
      <c r="E1781" s="18" t="s">
        <v>5128</v>
      </c>
      <c r="F1781" s="2" t="s">
        <v>7987</v>
      </c>
      <c r="G1781" s="2" t="s">
        <v>861</v>
      </c>
      <c r="H1781" s="14">
        <v>0.51</v>
      </c>
      <c r="I1781" s="2" t="s">
        <v>267</v>
      </c>
      <c r="J1781" s="2" t="s">
        <v>13</v>
      </c>
      <c r="K1781" s="2" t="s">
        <v>3390</v>
      </c>
      <c r="L1781" s="2" t="s">
        <v>5221</v>
      </c>
      <c r="M1781" s="2" t="s">
        <v>5221</v>
      </c>
      <c r="N1781" s="2" t="s">
        <v>2317</v>
      </c>
      <c r="O1781" s="14">
        <v>3000</v>
      </c>
      <c r="P1781" s="14">
        <v>95.17</v>
      </c>
      <c r="Q1781" s="14">
        <v>144.9</v>
      </c>
      <c r="R1781" s="14">
        <v>73.900000000000006</v>
      </c>
      <c r="S1781" s="2" t="s">
        <v>6404</v>
      </c>
      <c r="T1781" s="2">
        <v>1.01</v>
      </c>
      <c r="U1781" s="2">
        <v>62.4</v>
      </c>
      <c r="V1781" s="2">
        <v>57</v>
      </c>
      <c r="W1781" s="2" t="s">
        <v>7862</v>
      </c>
      <c r="X1781" s="2" t="s">
        <v>5405</v>
      </c>
      <c r="Y1781" s="2">
        <v>1530</v>
      </c>
      <c r="Z1781" s="19" t="str">
        <f>HYPERLINK("https://ssdweb.co/ssdweb/hd/Vision360.html?d=941270660&amp;zoomslide=1&amp;z=1941270660&amp;ISCONFIRM=0","VIDEO")</f>
        <v>VIDEO</v>
      </c>
      <c r="AA1781" s="19" t="str">
        <f>HYPERLINK("https://ssdweb.co/ssdweb/CERTH/694508318.pdf","CERTI")</f>
        <v>CERTI</v>
      </c>
    </row>
    <row r="1782" spans="1:27" ht="15" x14ac:dyDescent="0.25">
      <c r="A1782" s="2">
        <v>1777</v>
      </c>
      <c r="B1782" s="39">
        <v>941270608</v>
      </c>
      <c r="C1782" s="28" t="str">
        <f>HYPERLINK("https://pld.live/RapDetail.aspx?STONELIST=941270608","DNA")</f>
        <v>DNA</v>
      </c>
      <c r="D1782" s="18" t="s">
        <v>5466</v>
      </c>
      <c r="E1782" s="18" t="s">
        <v>5128</v>
      </c>
      <c r="F1782" s="2" t="s">
        <v>7987</v>
      </c>
      <c r="G1782" s="2" t="s">
        <v>861</v>
      </c>
      <c r="H1782" s="14">
        <v>0.51</v>
      </c>
      <c r="I1782" s="2" t="s">
        <v>267</v>
      </c>
      <c r="J1782" s="2" t="s">
        <v>13</v>
      </c>
      <c r="K1782" s="2" t="s">
        <v>3390</v>
      </c>
      <c r="L1782" s="2" t="s">
        <v>5221</v>
      </c>
      <c r="M1782" s="2" t="s">
        <v>5221</v>
      </c>
      <c r="N1782" s="2" t="s">
        <v>2317</v>
      </c>
      <c r="O1782" s="14">
        <v>3000</v>
      </c>
      <c r="P1782" s="14">
        <v>95.17</v>
      </c>
      <c r="Q1782" s="14">
        <v>144.9</v>
      </c>
      <c r="R1782" s="14">
        <v>73.900000000000006</v>
      </c>
      <c r="S1782" s="2" t="s">
        <v>1827</v>
      </c>
      <c r="T1782" s="2">
        <v>1.01</v>
      </c>
      <c r="U1782" s="2">
        <v>62</v>
      </c>
      <c r="V1782" s="2">
        <v>58</v>
      </c>
      <c r="W1782" s="2" t="s">
        <v>7862</v>
      </c>
      <c r="X1782" s="2" t="s">
        <v>5405</v>
      </c>
      <c r="Y1782" s="2">
        <v>1530</v>
      </c>
      <c r="Z1782" s="19" t="str">
        <f>HYPERLINK("https://ssdweb.co/ssdweb/hd/Vision360.html?d=941270608&amp;zoomslide=1&amp;z=1941270608&amp;ISCONFIRM=0","VIDEO")</f>
        <v>VIDEO</v>
      </c>
      <c r="AA1782" s="19" t="str">
        <f>HYPERLINK("https://ssdweb.co/ssdweb/CERTH/694508315.pdf","CERTI")</f>
        <v>CERTI</v>
      </c>
    </row>
    <row r="1783" spans="1:27" ht="15" x14ac:dyDescent="0.25">
      <c r="A1783" s="2">
        <v>1778</v>
      </c>
      <c r="B1783" s="39">
        <v>926320394</v>
      </c>
      <c r="C1783" s="28" t="str">
        <f>HYPERLINK("https://pld.live/RapDetail.aspx?STONELIST=926320394","DNA")</f>
        <v>DNA</v>
      </c>
      <c r="D1783" s="18" t="s">
        <v>5466</v>
      </c>
      <c r="E1783" s="18" t="s">
        <v>5128</v>
      </c>
      <c r="F1783" s="2" t="s">
        <v>7987</v>
      </c>
      <c r="G1783" s="2" t="s">
        <v>861</v>
      </c>
      <c r="H1783" s="14">
        <v>0.51</v>
      </c>
      <c r="I1783" s="2" t="s">
        <v>267</v>
      </c>
      <c r="J1783" s="2" t="s">
        <v>13</v>
      </c>
      <c r="K1783" s="2" t="s">
        <v>3390</v>
      </c>
      <c r="L1783" s="2" t="s">
        <v>5221</v>
      </c>
      <c r="M1783" s="2" t="s">
        <v>5721</v>
      </c>
      <c r="N1783" s="2" t="s">
        <v>2317</v>
      </c>
      <c r="O1783" s="14">
        <v>3000</v>
      </c>
      <c r="P1783" s="14">
        <v>95.37</v>
      </c>
      <c r="Q1783" s="14">
        <v>138.9</v>
      </c>
      <c r="R1783" s="14">
        <v>70.84</v>
      </c>
      <c r="S1783" s="2" t="s">
        <v>6370</v>
      </c>
      <c r="T1783" s="2">
        <v>1.01</v>
      </c>
      <c r="U1783" s="2">
        <v>61.3</v>
      </c>
      <c r="V1783" s="2">
        <v>58</v>
      </c>
      <c r="W1783" s="2" t="s">
        <v>7862</v>
      </c>
      <c r="X1783" s="2" t="s">
        <v>5405</v>
      </c>
      <c r="Y1783" s="2">
        <v>1530</v>
      </c>
      <c r="Z1783" s="19" t="str">
        <f>HYPERLINK("https://ssdweb.co/ssdweb/hd/Vision360.html?d=926320394&amp;zoomslide=1&amp;z=1926320394&amp;ISCONFIRM=0","VIDEO")</f>
        <v>VIDEO</v>
      </c>
      <c r="AA1783" s="19" t="str">
        <f>HYPERLINK("https://ssdweb.co/ssdweb/CERTH/642447749.pdf","CERTI")</f>
        <v>CERTI</v>
      </c>
    </row>
    <row r="1784" spans="1:27" ht="15" x14ac:dyDescent="0.25">
      <c r="A1784" s="2">
        <v>1779</v>
      </c>
      <c r="B1784" s="39">
        <v>926330753</v>
      </c>
      <c r="C1784" s="28" t="str">
        <f>HYPERLINK("https://pld.live/RapDetail.aspx?STONELIST=926330753","DNA")</f>
        <v>DNA</v>
      </c>
      <c r="D1784" s="18" t="s">
        <v>5466</v>
      </c>
      <c r="E1784" s="18" t="s">
        <v>5128</v>
      </c>
      <c r="F1784" s="2" t="s">
        <v>7987</v>
      </c>
      <c r="G1784" s="2" t="s">
        <v>861</v>
      </c>
      <c r="H1784" s="14">
        <v>0.51</v>
      </c>
      <c r="I1784" s="2" t="s">
        <v>267</v>
      </c>
      <c r="J1784" s="2" t="s">
        <v>13</v>
      </c>
      <c r="K1784" s="2" t="s">
        <v>3390</v>
      </c>
      <c r="L1784" s="2" t="s">
        <v>5721</v>
      </c>
      <c r="M1784" s="2" t="s">
        <v>5221</v>
      </c>
      <c r="N1784" s="2" t="s">
        <v>2317</v>
      </c>
      <c r="O1784" s="14">
        <v>3000</v>
      </c>
      <c r="P1784" s="14">
        <v>95.37</v>
      </c>
      <c r="Q1784" s="14">
        <v>138.9</v>
      </c>
      <c r="R1784" s="14">
        <v>70.84</v>
      </c>
      <c r="S1784" s="2" t="s">
        <v>4726</v>
      </c>
      <c r="T1784" s="2">
        <v>1</v>
      </c>
      <c r="U1784" s="2">
        <v>61.1</v>
      </c>
      <c r="V1784" s="2">
        <v>56</v>
      </c>
      <c r="W1784" s="2" t="s">
        <v>7862</v>
      </c>
      <c r="X1784" s="2" t="s">
        <v>5405</v>
      </c>
      <c r="Y1784" s="2">
        <v>1530</v>
      </c>
      <c r="Z1784" s="19" t="str">
        <f>HYPERLINK("https://ssdweb.co/ssdweb/hd/Vision360.html?d=926330753&amp;zoomslide=1&amp;z=1926330753&amp;ISCONFIRM=0","VIDEO")</f>
        <v>VIDEO</v>
      </c>
      <c r="AA1784" s="19" t="str">
        <f>HYPERLINK("https://ssdweb.co/ssdweb/CERTH/639413259.pdf","CERTI")</f>
        <v>CERTI</v>
      </c>
    </row>
    <row r="1785" spans="1:27" ht="15" x14ac:dyDescent="0.25">
      <c r="A1785" s="2">
        <v>1780</v>
      </c>
      <c r="B1785" s="39">
        <v>926330940</v>
      </c>
      <c r="C1785" s="28" t="str">
        <f>HYPERLINK("https://pld.live/RapDetail.aspx?STONELIST=926330940","DNA")</f>
        <v>DNA</v>
      </c>
      <c r="D1785" s="18" t="s">
        <v>5466</v>
      </c>
      <c r="E1785" s="18" t="s">
        <v>5128</v>
      </c>
      <c r="F1785" s="2" t="s">
        <v>7987</v>
      </c>
      <c r="G1785" s="2" t="s">
        <v>861</v>
      </c>
      <c r="H1785" s="14">
        <v>0.51</v>
      </c>
      <c r="I1785" s="2" t="s">
        <v>267</v>
      </c>
      <c r="J1785" s="2" t="s">
        <v>13</v>
      </c>
      <c r="K1785" s="2" t="s">
        <v>3390</v>
      </c>
      <c r="L1785" s="2" t="s">
        <v>5721</v>
      </c>
      <c r="M1785" s="2" t="s">
        <v>5221</v>
      </c>
      <c r="N1785" s="2" t="s">
        <v>2317</v>
      </c>
      <c r="O1785" s="14">
        <v>3000</v>
      </c>
      <c r="P1785" s="14">
        <v>95.37</v>
      </c>
      <c r="Q1785" s="14">
        <v>138.9</v>
      </c>
      <c r="R1785" s="14">
        <v>70.84</v>
      </c>
      <c r="S1785" s="2" t="s">
        <v>776</v>
      </c>
      <c r="T1785" s="2">
        <v>1.01</v>
      </c>
      <c r="U1785" s="2">
        <v>62.2</v>
      </c>
      <c r="V1785" s="2">
        <v>57</v>
      </c>
      <c r="W1785" s="2" t="s">
        <v>7862</v>
      </c>
      <c r="X1785" s="2" t="s">
        <v>5405</v>
      </c>
      <c r="Y1785" s="2">
        <v>1530</v>
      </c>
      <c r="Z1785" s="19" t="str">
        <f>HYPERLINK("https://ssdweb.co/ssdweb/hd/Vision360.html?d=926330940&amp;zoomslide=1&amp;z=1926330940&amp;ISCONFIRM=0","VIDEO")</f>
        <v>VIDEO</v>
      </c>
      <c r="AA1785" s="19" t="str">
        <f>HYPERLINK("https://ssdweb.co/ssdweb/CERTH/639413062.pdf","CERTI")</f>
        <v>CERTI</v>
      </c>
    </row>
    <row r="1786" spans="1:27" ht="15" x14ac:dyDescent="0.25">
      <c r="A1786" s="2">
        <v>1781</v>
      </c>
      <c r="B1786" s="39">
        <v>941220020</v>
      </c>
      <c r="C1786" s="28" t="str">
        <f>HYPERLINK("https://pld.live/RapDetail.aspx?STONELIST=941220020","DNA")</f>
        <v>DNA</v>
      </c>
      <c r="D1786" s="18" t="s">
        <v>5466</v>
      </c>
      <c r="E1786" s="18" t="s">
        <v>2186</v>
      </c>
      <c r="F1786" s="2" t="s">
        <v>7987</v>
      </c>
      <c r="G1786" s="2" t="s">
        <v>861</v>
      </c>
      <c r="H1786" s="14">
        <v>0.51</v>
      </c>
      <c r="I1786" s="2" t="s">
        <v>267</v>
      </c>
      <c r="J1786" s="2" t="s">
        <v>13</v>
      </c>
      <c r="K1786" s="2" t="s">
        <v>5221</v>
      </c>
      <c r="L1786" s="2" t="s">
        <v>5221</v>
      </c>
      <c r="M1786" s="2" t="s">
        <v>5221</v>
      </c>
      <c r="N1786" s="2" t="s">
        <v>2317</v>
      </c>
      <c r="O1786" s="14">
        <v>3000</v>
      </c>
      <c r="P1786" s="14">
        <v>95.17</v>
      </c>
      <c r="Q1786" s="14">
        <v>144.9</v>
      </c>
      <c r="R1786" s="14">
        <v>73.900000000000006</v>
      </c>
      <c r="S1786" s="2" t="s">
        <v>4816</v>
      </c>
      <c r="T1786" s="2">
        <v>1.01</v>
      </c>
      <c r="U1786" s="2">
        <v>59.3</v>
      </c>
      <c r="V1786" s="2">
        <v>59</v>
      </c>
      <c r="W1786" s="2" t="s">
        <v>7862</v>
      </c>
      <c r="X1786" s="2" t="s">
        <v>5405</v>
      </c>
      <c r="Y1786" s="2">
        <v>1530</v>
      </c>
      <c r="Z1786" s="19" t="str">
        <f>HYPERLINK("https://ssdweb.co/ssdweb/hd/Vision360.html?d=941220020&amp;zoomslide=1&amp;z=1941220020&amp;ISCONFIRM=0","VIDEO")</f>
        <v>VIDEO</v>
      </c>
      <c r="AA1786" s="19" t="str">
        <f>HYPERLINK("https://ssdweb.co/ssdweb/CERTH/680505058.pdf","CERTI")</f>
        <v>CERTI</v>
      </c>
    </row>
    <row r="1787" spans="1:27" ht="15" x14ac:dyDescent="0.25">
      <c r="A1787" s="2">
        <v>1782</v>
      </c>
      <c r="B1787" s="39">
        <v>941360314</v>
      </c>
      <c r="C1787" s="28" t="str">
        <f>HYPERLINK("https://pld.live/RapDetail.aspx?STONELIST=941360314","DNA")</f>
        <v>DNA</v>
      </c>
      <c r="D1787" s="18" t="s">
        <v>5466</v>
      </c>
      <c r="E1787" s="18" t="s">
        <v>2186</v>
      </c>
      <c r="F1787" s="2" t="s">
        <v>7987</v>
      </c>
      <c r="G1787" s="2" t="s">
        <v>861</v>
      </c>
      <c r="H1787" s="14">
        <v>0.51</v>
      </c>
      <c r="I1787" s="2" t="s">
        <v>267</v>
      </c>
      <c r="J1787" s="2" t="s">
        <v>5144</v>
      </c>
      <c r="K1787" s="2" t="s">
        <v>3390</v>
      </c>
      <c r="L1787" s="2" t="s">
        <v>5221</v>
      </c>
      <c r="M1787" s="2" t="s">
        <v>5221</v>
      </c>
      <c r="N1787" s="2" t="s">
        <v>2317</v>
      </c>
      <c r="O1787" s="14">
        <v>2700</v>
      </c>
      <c r="P1787" s="14">
        <v>94.81</v>
      </c>
      <c r="Q1787" s="14">
        <v>140.13</v>
      </c>
      <c r="R1787" s="14">
        <v>71.47</v>
      </c>
      <c r="S1787" s="2" t="s">
        <v>1934</v>
      </c>
      <c r="T1787" s="2">
        <v>1.01</v>
      </c>
      <c r="U1787" s="2">
        <v>61.8</v>
      </c>
      <c r="V1787" s="2">
        <v>57</v>
      </c>
      <c r="W1787" s="2" t="s">
        <v>7862</v>
      </c>
      <c r="X1787" s="2" t="s">
        <v>5405</v>
      </c>
      <c r="Y1787" s="2">
        <v>1377</v>
      </c>
      <c r="Z1787" s="19" t="str">
        <f>HYPERLINK("https://ssdweb.co/ssdweb/hd/Vision360.html?d=941360314&amp;zoomslide=1&amp;z=1941360314&amp;ISCONFIRM=0","VIDEO")</f>
        <v>VIDEO</v>
      </c>
      <c r="AA1787" s="19" t="str">
        <f>HYPERLINK("https://ssdweb.co/ssdweb/CERTH/689587184.pdf","CERTI")</f>
        <v>CERTI</v>
      </c>
    </row>
    <row r="1788" spans="1:27" ht="15" x14ac:dyDescent="0.25">
      <c r="A1788" s="2">
        <v>1783</v>
      </c>
      <c r="B1788" s="39">
        <v>925090822</v>
      </c>
      <c r="C1788" s="28" t="str">
        <f>HYPERLINK("https://pld.live/RapDetail.aspx?STONELIST=925090822","DNA")</f>
        <v>DNA</v>
      </c>
      <c r="D1788" s="18" t="s">
        <v>5466</v>
      </c>
      <c r="E1788" s="18" t="s">
        <v>5128</v>
      </c>
      <c r="F1788" s="2" t="s">
        <v>5597</v>
      </c>
      <c r="G1788" s="2" t="s">
        <v>861</v>
      </c>
      <c r="H1788" s="14">
        <v>0.51</v>
      </c>
      <c r="I1788" s="2" t="s">
        <v>267</v>
      </c>
      <c r="J1788" s="2" t="s">
        <v>5144</v>
      </c>
      <c r="K1788" s="2" t="s">
        <v>5721</v>
      </c>
      <c r="L1788" s="2" t="s">
        <v>5221</v>
      </c>
      <c r="M1788" s="2" t="s">
        <v>5221</v>
      </c>
      <c r="N1788" s="2" t="s">
        <v>2317</v>
      </c>
      <c r="O1788" s="14">
        <v>2700</v>
      </c>
      <c r="P1788" s="14">
        <v>89.81</v>
      </c>
      <c r="Q1788" s="14">
        <v>275.13</v>
      </c>
      <c r="R1788" s="14">
        <v>140.32</v>
      </c>
      <c r="S1788" s="2" t="s">
        <v>553</v>
      </c>
      <c r="T1788" s="2">
        <v>1</v>
      </c>
      <c r="U1788" s="2">
        <v>62.6</v>
      </c>
      <c r="V1788" s="2">
        <v>57</v>
      </c>
      <c r="W1788" s="2" t="s">
        <v>7862</v>
      </c>
      <c r="X1788" s="2" t="s">
        <v>5405</v>
      </c>
      <c r="Y1788" s="2">
        <v>1377</v>
      </c>
      <c r="Z1788" s="19" t="str">
        <f>HYPERLINK("https://ssdweb.co/ssdweb/hd/Vision360.html?d=925090822&amp;zoomslide=1&amp;z=1925090822&amp;ISCONFIRM=0","VIDEO")</f>
        <v>VIDEO</v>
      </c>
      <c r="AA1788" s="19" t="str">
        <f>HYPERLINK("https://ssdweb.co/ssdweb/CERTH/2487018515.pdf","CERTI")</f>
        <v>CERTI</v>
      </c>
    </row>
    <row r="1789" spans="1:27" ht="15" x14ac:dyDescent="0.25">
      <c r="A1789" s="2">
        <v>1784</v>
      </c>
      <c r="B1789" s="39">
        <v>926771263</v>
      </c>
      <c r="C1789" s="28" t="str">
        <f>HYPERLINK("https://pld.live/RapDetail.aspx?STONELIST=926771263","DNA")</f>
        <v>DNA</v>
      </c>
      <c r="D1789" s="18" t="s">
        <v>5466</v>
      </c>
      <c r="E1789" s="18" t="s">
        <v>5128</v>
      </c>
      <c r="F1789" s="2" t="s">
        <v>5597</v>
      </c>
      <c r="G1789" s="2" t="s">
        <v>861</v>
      </c>
      <c r="H1789" s="14">
        <v>0.51</v>
      </c>
      <c r="I1789" s="2" t="s">
        <v>4761</v>
      </c>
      <c r="J1789" s="2" t="s">
        <v>5144</v>
      </c>
      <c r="K1789" s="2" t="s">
        <v>5221</v>
      </c>
      <c r="L1789" s="2" t="s">
        <v>5221</v>
      </c>
      <c r="M1789" s="2" t="s">
        <v>5221</v>
      </c>
      <c r="N1789" s="2" t="s">
        <v>2317</v>
      </c>
      <c r="O1789" s="14">
        <v>2500</v>
      </c>
      <c r="P1789" s="14">
        <v>88.88</v>
      </c>
      <c r="Q1789" s="14">
        <v>278</v>
      </c>
      <c r="R1789" s="14">
        <v>141.78</v>
      </c>
      <c r="S1789" s="2" t="s">
        <v>4730</v>
      </c>
      <c r="T1789" s="2">
        <v>1.01</v>
      </c>
      <c r="U1789" s="2">
        <v>60.9</v>
      </c>
      <c r="V1789" s="2">
        <v>59</v>
      </c>
      <c r="W1789" s="2" t="s">
        <v>7862</v>
      </c>
      <c r="X1789" s="2" t="s">
        <v>5405</v>
      </c>
      <c r="Y1789" s="2">
        <v>1275</v>
      </c>
      <c r="Z1789" s="19" t="str">
        <f>HYPERLINK("https://ssdweb.co/ssdweb/hd/Vision360.html?d=926771263&amp;zoomslide=1&amp;z=1926771263&amp;ISCONFIRM=0","VIDEO")</f>
        <v>VIDEO</v>
      </c>
      <c r="AA1789" s="19" t="str">
        <f>HYPERLINK("https://ssdweb.co/ssdweb/CERTH/2504516554.pdf","CERTI")</f>
        <v>CERTI</v>
      </c>
    </row>
    <row r="1790" spans="1:27" ht="15" x14ac:dyDescent="0.25">
      <c r="A1790" s="2">
        <v>1785</v>
      </c>
      <c r="B1790" s="39">
        <v>941330282</v>
      </c>
      <c r="C1790" s="28" t="str">
        <f>HYPERLINK("https://pld.live/RapDetail.aspx?STONELIST=941330282","DNA")</f>
        <v>DNA</v>
      </c>
      <c r="D1790" s="18" t="s">
        <v>5466</v>
      </c>
      <c r="E1790" s="18" t="s">
        <v>2186</v>
      </c>
      <c r="F1790" s="2" t="s">
        <v>7987</v>
      </c>
      <c r="G1790" s="2" t="s">
        <v>861</v>
      </c>
      <c r="H1790" s="14">
        <v>0.5</v>
      </c>
      <c r="I1790" s="2" t="s">
        <v>267</v>
      </c>
      <c r="J1790" s="2" t="s">
        <v>3942</v>
      </c>
      <c r="K1790" s="2" t="s">
        <v>3390</v>
      </c>
      <c r="L1790" s="2" t="s">
        <v>5221</v>
      </c>
      <c r="M1790" s="2" t="s">
        <v>5221</v>
      </c>
      <c r="N1790" s="2" t="s">
        <v>2317</v>
      </c>
      <c r="O1790" s="14">
        <v>3600</v>
      </c>
      <c r="P1790" s="14">
        <v>95.83</v>
      </c>
      <c r="Q1790" s="14">
        <v>150.12</v>
      </c>
      <c r="R1790" s="14">
        <v>75.06</v>
      </c>
      <c r="S1790" s="2" t="s">
        <v>1409</v>
      </c>
      <c r="T1790" s="2">
        <v>1.01</v>
      </c>
      <c r="U1790" s="2">
        <v>60.8</v>
      </c>
      <c r="V1790" s="2">
        <v>60</v>
      </c>
      <c r="W1790" s="2" t="s">
        <v>7862</v>
      </c>
      <c r="X1790" s="2" t="s">
        <v>5405</v>
      </c>
      <c r="Y1790" s="2">
        <v>1800</v>
      </c>
      <c r="Z1790" s="19" t="str">
        <f>HYPERLINK("https://ssdweb.co/ssdweb/hd/Vision360.html?d=941330282&amp;zoomslide=1&amp;z=1941330282&amp;ISCONFIRM=0","VIDEO")</f>
        <v>VIDEO</v>
      </c>
      <c r="AA1790" s="19" t="str">
        <f>HYPERLINK("https://ssdweb.co/ssdweb/CERTH/689587250.pdf","CERTI")</f>
        <v>CERTI</v>
      </c>
    </row>
    <row r="1791" spans="1:27" ht="15" x14ac:dyDescent="0.25">
      <c r="A1791" s="2">
        <v>1786</v>
      </c>
      <c r="B1791" s="39">
        <v>941270734</v>
      </c>
      <c r="C1791" s="28" t="str">
        <f>HYPERLINK("https://pld.live/RapDetail.aspx?STONELIST=941270734","DNA")</f>
        <v>DNA</v>
      </c>
      <c r="D1791" s="18" t="s">
        <v>5466</v>
      </c>
      <c r="E1791" s="18" t="s">
        <v>5128</v>
      </c>
      <c r="F1791" s="2" t="s">
        <v>7987</v>
      </c>
      <c r="G1791" s="2" t="s">
        <v>861</v>
      </c>
      <c r="H1791" s="14">
        <v>0.5</v>
      </c>
      <c r="I1791" s="2" t="s">
        <v>267</v>
      </c>
      <c r="J1791" s="2" t="s">
        <v>3942</v>
      </c>
      <c r="K1791" s="2" t="s">
        <v>3390</v>
      </c>
      <c r="L1791" s="2" t="s">
        <v>5221</v>
      </c>
      <c r="M1791" s="2" t="s">
        <v>5721</v>
      </c>
      <c r="N1791" s="2" t="s">
        <v>2317</v>
      </c>
      <c r="O1791" s="14">
        <v>3600</v>
      </c>
      <c r="P1791" s="14">
        <v>95.89</v>
      </c>
      <c r="Q1791" s="14">
        <v>147.96</v>
      </c>
      <c r="R1791" s="14">
        <v>73.98</v>
      </c>
      <c r="S1791" s="2" t="s">
        <v>2051</v>
      </c>
      <c r="T1791" s="2">
        <v>1.01</v>
      </c>
      <c r="U1791" s="2">
        <v>62.3</v>
      </c>
      <c r="V1791" s="2">
        <v>54</v>
      </c>
      <c r="W1791" s="2" t="s">
        <v>7862</v>
      </c>
      <c r="X1791" s="2" t="s">
        <v>5405</v>
      </c>
      <c r="Y1791" s="2">
        <v>1800</v>
      </c>
      <c r="Z1791" s="19" t="str">
        <f>HYPERLINK("https://ssdweb.co/ssdweb/hd/Vision360.html?d=941270734&amp;zoomslide=1&amp;z=1941270734&amp;ISCONFIRM=0","VIDEO")</f>
        <v>VIDEO</v>
      </c>
      <c r="AA1791" s="19" t="str">
        <f>HYPERLINK("https://ssdweb.co/ssdweb/CERTH/685590538.pdf","CERTI")</f>
        <v>CERTI</v>
      </c>
    </row>
    <row r="1792" spans="1:27" ht="15" x14ac:dyDescent="0.25">
      <c r="A1792" s="2">
        <v>1787</v>
      </c>
      <c r="B1792" s="39">
        <v>941270581</v>
      </c>
      <c r="C1792" s="28" t="str">
        <f>HYPERLINK("https://pld.live/RapDetail.aspx?STONELIST=941270581","DNA")</f>
        <v>DNA</v>
      </c>
      <c r="D1792" s="18" t="s">
        <v>5466</v>
      </c>
      <c r="E1792" s="18" t="s">
        <v>5128</v>
      </c>
      <c r="F1792" s="2" t="s">
        <v>7987</v>
      </c>
      <c r="G1792" s="2" t="s">
        <v>861</v>
      </c>
      <c r="H1792" s="14">
        <v>0.5</v>
      </c>
      <c r="I1792" s="2" t="s">
        <v>267</v>
      </c>
      <c r="J1792" s="2" t="s">
        <v>3942</v>
      </c>
      <c r="K1792" s="2" t="s">
        <v>3390</v>
      </c>
      <c r="L1792" s="2" t="s">
        <v>5221</v>
      </c>
      <c r="M1792" s="2" t="s">
        <v>5721</v>
      </c>
      <c r="N1792" s="2" t="s">
        <v>2317</v>
      </c>
      <c r="O1792" s="14">
        <v>3600</v>
      </c>
      <c r="P1792" s="14">
        <v>95.89</v>
      </c>
      <c r="Q1792" s="14">
        <v>147.96</v>
      </c>
      <c r="R1792" s="14">
        <v>73.98</v>
      </c>
      <c r="S1792" s="2" t="s">
        <v>1020</v>
      </c>
      <c r="T1792" s="2">
        <v>1.01</v>
      </c>
      <c r="U1792" s="2">
        <v>61.8</v>
      </c>
      <c r="V1792" s="2">
        <v>56</v>
      </c>
      <c r="W1792" s="2" t="s">
        <v>7862</v>
      </c>
      <c r="X1792" s="2" t="s">
        <v>5405</v>
      </c>
      <c r="Y1792" s="2">
        <v>1800</v>
      </c>
      <c r="Z1792" s="19" t="str">
        <f>HYPERLINK("https://ssdweb.co/ssdweb/hd/Vision360.html?d=941270581&amp;zoomslide=1&amp;z=1941270581&amp;ISCONFIRM=0","VIDEO")</f>
        <v>VIDEO</v>
      </c>
      <c r="AA1792" s="19" t="str">
        <f>HYPERLINK("https://ssdweb.co/ssdweb/CERTH/681569543.pdf","CERTI")</f>
        <v>CERTI</v>
      </c>
    </row>
    <row r="1793" spans="1:27" ht="15" x14ac:dyDescent="0.25">
      <c r="A1793" s="2">
        <v>1788</v>
      </c>
      <c r="B1793" s="39">
        <v>941190891</v>
      </c>
      <c r="C1793" s="28" t="str">
        <f>HYPERLINK("https://pld.live/RapDetail.aspx?STONELIST=941190891","DNA")</f>
        <v>DNA</v>
      </c>
      <c r="D1793" s="18" t="s">
        <v>5466</v>
      </c>
      <c r="E1793" s="18" t="s">
        <v>5128</v>
      </c>
      <c r="F1793" s="2" t="s">
        <v>7987</v>
      </c>
      <c r="G1793" s="2" t="s">
        <v>861</v>
      </c>
      <c r="H1793" s="14">
        <v>0.5</v>
      </c>
      <c r="I1793" s="2" t="s">
        <v>267</v>
      </c>
      <c r="J1793" s="2" t="s">
        <v>3942</v>
      </c>
      <c r="K1793" s="2" t="s">
        <v>5221</v>
      </c>
      <c r="L1793" s="2" t="s">
        <v>5221</v>
      </c>
      <c r="M1793" s="2" t="s">
        <v>5221</v>
      </c>
      <c r="N1793" s="2" t="s">
        <v>2317</v>
      </c>
      <c r="O1793" s="14">
        <v>3600</v>
      </c>
      <c r="P1793" s="14">
        <v>95.83</v>
      </c>
      <c r="Q1793" s="14">
        <v>150.12</v>
      </c>
      <c r="R1793" s="14">
        <v>75.06</v>
      </c>
      <c r="S1793" s="2" t="s">
        <v>797</v>
      </c>
      <c r="T1793" s="2">
        <v>1</v>
      </c>
      <c r="U1793" s="2">
        <v>61.5</v>
      </c>
      <c r="V1793" s="2">
        <v>59</v>
      </c>
      <c r="W1793" s="2" t="s">
        <v>7862</v>
      </c>
      <c r="X1793" s="2" t="s">
        <v>5405</v>
      </c>
      <c r="Y1793" s="2">
        <v>1800</v>
      </c>
      <c r="Z1793" s="19" t="str">
        <f>HYPERLINK("https://ssdweb.co/ssdweb/hd/Vision360.html?d=941190891&amp;zoomslide=1&amp;z=1941190891&amp;ISCONFIRM=0","VIDEO")</f>
        <v>VIDEO</v>
      </c>
      <c r="AA1793" s="19" t="str">
        <f>HYPERLINK("https://ssdweb.co/ssdweb/CERTH/678550381.pdf","CERTI")</f>
        <v>CERTI</v>
      </c>
    </row>
    <row r="1794" spans="1:27" ht="15" x14ac:dyDescent="0.25">
      <c r="A1794" s="2">
        <v>1789</v>
      </c>
      <c r="B1794" s="39">
        <v>941220052</v>
      </c>
      <c r="C1794" s="28" t="str">
        <f>HYPERLINK("https://pld.live/RapDetail.aspx?STONELIST=941220052","DNA")</f>
        <v>DNA</v>
      </c>
      <c r="D1794" s="18" t="s">
        <v>5466</v>
      </c>
      <c r="E1794" s="18" t="s">
        <v>2186</v>
      </c>
      <c r="F1794" s="2" t="s">
        <v>7987</v>
      </c>
      <c r="G1794" s="2" t="s">
        <v>861</v>
      </c>
      <c r="H1794" s="14">
        <v>0.5</v>
      </c>
      <c r="I1794" s="2" t="s">
        <v>267</v>
      </c>
      <c r="J1794" s="2" t="s">
        <v>3942</v>
      </c>
      <c r="K1794" s="2" t="s">
        <v>5221</v>
      </c>
      <c r="L1794" s="2" t="s">
        <v>5221</v>
      </c>
      <c r="M1794" s="2" t="s">
        <v>5221</v>
      </c>
      <c r="N1794" s="2" t="s">
        <v>2317</v>
      </c>
      <c r="O1794" s="14">
        <v>3600</v>
      </c>
      <c r="P1794" s="14">
        <v>95.83</v>
      </c>
      <c r="Q1794" s="14">
        <v>150.12</v>
      </c>
      <c r="R1794" s="14">
        <v>75.06</v>
      </c>
      <c r="S1794" s="2" t="s">
        <v>109</v>
      </c>
      <c r="T1794" s="2">
        <v>1.01</v>
      </c>
      <c r="U1794" s="2">
        <v>59.5</v>
      </c>
      <c r="V1794" s="2">
        <v>61</v>
      </c>
      <c r="W1794" s="2" t="s">
        <v>7862</v>
      </c>
      <c r="X1794" s="2" t="s">
        <v>5405</v>
      </c>
      <c r="Y1794" s="2">
        <v>1800</v>
      </c>
      <c r="Z1794" s="19" t="str">
        <f>HYPERLINK("https://ssdweb.co/ssdweb/hd/Vision360.html?d=941220052&amp;zoomslide=1&amp;z=1941220052&amp;ISCONFIRM=0","VIDEO")</f>
        <v>VIDEO</v>
      </c>
      <c r="AA1794" s="19" t="str">
        <f>HYPERLINK("https://ssdweb.co/ssdweb/CERTH/689587217.pdf","CERTI")</f>
        <v>CERTI</v>
      </c>
    </row>
    <row r="1795" spans="1:27" ht="15" x14ac:dyDescent="0.25">
      <c r="A1795" s="2">
        <v>1790</v>
      </c>
      <c r="B1795" s="39">
        <v>941220084</v>
      </c>
      <c r="C1795" s="28" t="str">
        <f>HYPERLINK("https://pld.live/RapDetail.aspx?STONELIST=941220084","DNA")</f>
        <v>DNA</v>
      </c>
      <c r="D1795" s="18" t="s">
        <v>5466</v>
      </c>
      <c r="E1795" s="18" t="s">
        <v>2186</v>
      </c>
      <c r="F1795" s="2" t="s">
        <v>7987</v>
      </c>
      <c r="G1795" s="2" t="s">
        <v>861</v>
      </c>
      <c r="H1795" s="14">
        <v>0.5</v>
      </c>
      <c r="I1795" s="2" t="s">
        <v>267</v>
      </c>
      <c r="J1795" s="2" t="s">
        <v>3942</v>
      </c>
      <c r="K1795" s="2" t="s">
        <v>5221</v>
      </c>
      <c r="L1795" s="2" t="s">
        <v>5221</v>
      </c>
      <c r="M1795" s="2" t="s">
        <v>5221</v>
      </c>
      <c r="N1795" s="2" t="s">
        <v>2317</v>
      </c>
      <c r="O1795" s="14">
        <v>3600</v>
      </c>
      <c r="P1795" s="14">
        <v>95.83</v>
      </c>
      <c r="Q1795" s="14">
        <v>150.12</v>
      </c>
      <c r="R1795" s="14">
        <v>75.06</v>
      </c>
      <c r="S1795" s="2" t="s">
        <v>7395</v>
      </c>
      <c r="T1795" s="2">
        <v>1</v>
      </c>
      <c r="U1795" s="2">
        <v>59.9</v>
      </c>
      <c r="V1795" s="2">
        <v>61</v>
      </c>
      <c r="W1795" s="2" t="s">
        <v>7862</v>
      </c>
      <c r="X1795" s="2" t="s">
        <v>5405</v>
      </c>
      <c r="Y1795" s="2">
        <v>1800</v>
      </c>
      <c r="Z1795" s="19" t="str">
        <f>HYPERLINK("https://ssdweb.co/ssdweb/hd/Vision360.html?d=941220084&amp;zoomslide=1&amp;z=1941220084&amp;ISCONFIRM=0","VIDEO")</f>
        <v>VIDEO</v>
      </c>
      <c r="AA1795" s="19" t="str">
        <f>HYPERLINK("https://ssdweb.co/ssdweb/CERTH/689587218.pdf","CERTI")</f>
        <v>CERTI</v>
      </c>
    </row>
    <row r="1796" spans="1:27" ht="15" x14ac:dyDescent="0.25">
      <c r="A1796" s="2">
        <v>1791</v>
      </c>
      <c r="B1796" s="39">
        <v>941230207</v>
      </c>
      <c r="C1796" s="28" t="str">
        <f>HYPERLINK("https://pld.live/RapDetail.aspx?STONELIST=941230207","DNA")</f>
        <v>DNA</v>
      </c>
      <c r="D1796" s="18" t="s">
        <v>5466</v>
      </c>
      <c r="E1796" s="18" t="s">
        <v>2186</v>
      </c>
      <c r="F1796" s="2" t="s">
        <v>7987</v>
      </c>
      <c r="G1796" s="2" t="s">
        <v>861</v>
      </c>
      <c r="H1796" s="14">
        <v>0.5</v>
      </c>
      <c r="I1796" s="2" t="s">
        <v>267</v>
      </c>
      <c r="J1796" s="2" t="s">
        <v>3942</v>
      </c>
      <c r="K1796" s="2" t="s">
        <v>5221</v>
      </c>
      <c r="L1796" s="2" t="s">
        <v>5221</v>
      </c>
      <c r="M1796" s="2" t="s">
        <v>5221</v>
      </c>
      <c r="N1796" s="2" t="s">
        <v>2317</v>
      </c>
      <c r="O1796" s="14">
        <v>3600</v>
      </c>
      <c r="P1796" s="14">
        <v>95.83</v>
      </c>
      <c r="Q1796" s="14">
        <v>150.12</v>
      </c>
      <c r="R1796" s="14">
        <v>75.06</v>
      </c>
      <c r="S1796" s="2" t="s">
        <v>364</v>
      </c>
      <c r="T1796" s="2">
        <v>1.01</v>
      </c>
      <c r="U1796" s="2">
        <v>58.8</v>
      </c>
      <c r="V1796" s="2">
        <v>61</v>
      </c>
      <c r="W1796" s="2" t="s">
        <v>7862</v>
      </c>
      <c r="X1796" s="2" t="s">
        <v>5405</v>
      </c>
      <c r="Y1796" s="2">
        <v>1800</v>
      </c>
      <c r="Z1796" s="19" t="str">
        <f>HYPERLINK("https://ssdweb.co/ssdweb/hd/Vision360.html?d=941230207&amp;zoomslide=1&amp;z=1941230207&amp;ISCONFIRM=0","VIDEO")</f>
        <v>VIDEO</v>
      </c>
      <c r="AA1796" s="19" t="str">
        <f>HYPERLINK("https://ssdweb.co/ssdweb/CERTH/680505042.pdf","CERTI")</f>
        <v>CERTI</v>
      </c>
    </row>
    <row r="1797" spans="1:27" ht="15" x14ac:dyDescent="0.25">
      <c r="A1797" s="2">
        <v>1792</v>
      </c>
      <c r="B1797" s="39">
        <v>941340424</v>
      </c>
      <c r="C1797" s="28" t="str">
        <f>HYPERLINK("https://pld.live/RapDetail.aspx?STONELIST=941340424","DNA")</f>
        <v>DNA</v>
      </c>
      <c r="D1797" s="18" t="s">
        <v>5466</v>
      </c>
      <c r="E1797" s="18" t="s">
        <v>2186</v>
      </c>
      <c r="F1797" s="2" t="s">
        <v>7987</v>
      </c>
      <c r="G1797" s="2" t="s">
        <v>861</v>
      </c>
      <c r="H1797" s="14">
        <v>0.5</v>
      </c>
      <c r="I1797" s="2" t="s">
        <v>267</v>
      </c>
      <c r="J1797" s="2" t="s">
        <v>3942</v>
      </c>
      <c r="K1797" s="2" t="s">
        <v>5221</v>
      </c>
      <c r="L1797" s="2" t="s">
        <v>5221</v>
      </c>
      <c r="M1797" s="2" t="s">
        <v>5221</v>
      </c>
      <c r="N1797" s="2" t="s">
        <v>2317</v>
      </c>
      <c r="O1797" s="14">
        <v>3600</v>
      </c>
      <c r="P1797" s="14">
        <v>95.83</v>
      </c>
      <c r="Q1797" s="14">
        <v>150.12</v>
      </c>
      <c r="R1797" s="14">
        <v>75.06</v>
      </c>
      <c r="S1797" s="2" t="s">
        <v>6834</v>
      </c>
      <c r="T1797" s="2">
        <v>1.01</v>
      </c>
      <c r="U1797" s="2">
        <v>60.5</v>
      </c>
      <c r="V1797" s="2">
        <v>59</v>
      </c>
      <c r="W1797" s="2" t="s">
        <v>7862</v>
      </c>
      <c r="X1797" s="2" t="s">
        <v>5405</v>
      </c>
      <c r="Y1797" s="2">
        <v>1800</v>
      </c>
      <c r="Z1797" s="19" t="str">
        <f>HYPERLINK("https://ssdweb.co/ssdweb/hd/Vision360.html?d=941340424&amp;zoomslide=1&amp;z=1941340424&amp;ISCONFIRM=0","VIDEO")</f>
        <v>VIDEO</v>
      </c>
      <c r="AA1797" s="19" t="str">
        <f>HYPERLINK("https://ssdweb.co/ssdweb/CERTH/689587199.pdf","CERTI")</f>
        <v>CERTI</v>
      </c>
    </row>
    <row r="1798" spans="1:27" ht="15" x14ac:dyDescent="0.25">
      <c r="A1798" s="2">
        <v>1793</v>
      </c>
      <c r="B1798" s="39">
        <v>941230013</v>
      </c>
      <c r="C1798" s="28" t="str">
        <f>HYPERLINK("https://pld.live/RapDetail.aspx?STONELIST=941230013","DNA")</f>
        <v>DNA</v>
      </c>
      <c r="D1798" s="18" t="s">
        <v>5466</v>
      </c>
      <c r="E1798" s="18" t="s">
        <v>2186</v>
      </c>
      <c r="F1798" s="2" t="s">
        <v>7987</v>
      </c>
      <c r="G1798" s="2" t="s">
        <v>861</v>
      </c>
      <c r="H1798" s="14">
        <v>0.5</v>
      </c>
      <c r="I1798" s="2" t="s">
        <v>267</v>
      </c>
      <c r="J1798" s="2" t="s">
        <v>3942</v>
      </c>
      <c r="K1798" s="2" t="s">
        <v>5221</v>
      </c>
      <c r="L1798" s="2" t="s">
        <v>5721</v>
      </c>
      <c r="M1798" s="2" t="s">
        <v>5721</v>
      </c>
      <c r="N1798" s="2" t="s">
        <v>2317</v>
      </c>
      <c r="O1798" s="14">
        <v>3600</v>
      </c>
      <c r="P1798" s="14">
        <v>95.94</v>
      </c>
      <c r="Q1798" s="14">
        <v>146.16</v>
      </c>
      <c r="R1798" s="14">
        <v>73.08</v>
      </c>
      <c r="S1798" s="2" t="s">
        <v>3857</v>
      </c>
      <c r="T1798" s="2">
        <v>1.01</v>
      </c>
      <c r="U1798" s="2">
        <v>62</v>
      </c>
      <c r="V1798" s="2">
        <v>61</v>
      </c>
      <c r="W1798" s="2" t="s">
        <v>7862</v>
      </c>
      <c r="X1798" s="2" t="s">
        <v>5405</v>
      </c>
      <c r="Y1798" s="2">
        <v>1800</v>
      </c>
      <c r="Z1798" s="19" t="str">
        <f>HYPERLINK("https://ssdweb.co/ssdweb/hd/Vision360.html?d=941230013&amp;zoomslide=1&amp;z=1941230013&amp;ISCONFIRM=0","VIDEO")</f>
        <v>VIDEO</v>
      </c>
      <c r="AA1798" s="19" t="str">
        <f>HYPERLINK("https://ssdweb.co/ssdweb/CERTH/680505040.pdf","CERTI")</f>
        <v>CERTI</v>
      </c>
    </row>
    <row r="1799" spans="1:27" ht="15" x14ac:dyDescent="0.25">
      <c r="A1799" s="2">
        <v>1794</v>
      </c>
      <c r="B1799" s="39">
        <v>821128457</v>
      </c>
      <c r="C1799" s="28" t="str">
        <f>HYPERLINK("https://pld.live/RapDetail.aspx?STONELIST=821128457","DNA")</f>
        <v>DNA</v>
      </c>
      <c r="D1799" s="18" t="s">
        <v>5466</v>
      </c>
      <c r="E1799" s="18" t="s">
        <v>5128</v>
      </c>
      <c r="F1799" s="2" t="s">
        <v>7987</v>
      </c>
      <c r="G1799" s="2" t="s">
        <v>861</v>
      </c>
      <c r="H1799" s="14">
        <v>0.5</v>
      </c>
      <c r="I1799" s="2" t="s">
        <v>267</v>
      </c>
      <c r="J1799" s="2" t="s">
        <v>13</v>
      </c>
      <c r="K1799" s="2" t="s">
        <v>3390</v>
      </c>
      <c r="L1799" s="2" t="s">
        <v>5221</v>
      </c>
      <c r="M1799" s="2" t="s">
        <v>5221</v>
      </c>
      <c r="N1799" s="2" t="s">
        <v>2317</v>
      </c>
      <c r="O1799" s="14">
        <v>3000</v>
      </c>
      <c r="P1799" s="14">
        <v>95.17</v>
      </c>
      <c r="Q1799" s="14">
        <v>144.9</v>
      </c>
      <c r="R1799" s="14">
        <v>72.45</v>
      </c>
      <c r="S1799" s="2" t="s">
        <v>5162</v>
      </c>
      <c r="T1799" s="2">
        <v>1.01</v>
      </c>
      <c r="U1799" s="2">
        <v>61</v>
      </c>
      <c r="V1799" s="2">
        <v>56</v>
      </c>
      <c r="W1799" s="2" t="s">
        <v>7862</v>
      </c>
      <c r="X1799" s="2" t="s">
        <v>5405</v>
      </c>
      <c r="Y1799" s="2">
        <v>1500</v>
      </c>
      <c r="Z1799" s="19" t="str">
        <f>HYPERLINK("https://ssdweb.co/ssdweb/hd/Vision360.html?d=821128457&amp;zoomslide=1&amp;z=1821128457&amp;ISCONFIRM=0","VIDEO")</f>
        <v>VIDEO</v>
      </c>
      <c r="AA1799" s="19" t="str">
        <f>HYPERLINK("https://ssdweb.co/ssdweb/CERTH/679501339.pdf","CERTI")</f>
        <v>CERTI</v>
      </c>
    </row>
    <row r="1800" spans="1:27" ht="15" x14ac:dyDescent="0.25">
      <c r="A1800" s="2">
        <v>1795</v>
      </c>
      <c r="B1800" s="39">
        <v>941380376</v>
      </c>
      <c r="C1800" s="28" t="str">
        <f>HYPERLINK("https://pld.live/RapDetail.aspx?STONELIST=941380376","DNA")</f>
        <v>DNA</v>
      </c>
      <c r="D1800" s="18" t="s">
        <v>5466</v>
      </c>
      <c r="E1800" s="18" t="s">
        <v>2186</v>
      </c>
      <c r="F1800" s="2" t="s">
        <v>7987</v>
      </c>
      <c r="G1800" s="2" t="s">
        <v>861</v>
      </c>
      <c r="H1800" s="14">
        <v>0.5</v>
      </c>
      <c r="I1800" s="2" t="s">
        <v>267</v>
      </c>
      <c r="J1800" s="2" t="s">
        <v>13</v>
      </c>
      <c r="K1800" s="2" t="s">
        <v>3390</v>
      </c>
      <c r="L1800" s="2" t="s">
        <v>5221</v>
      </c>
      <c r="M1800" s="2" t="s">
        <v>5221</v>
      </c>
      <c r="N1800" s="2" t="s">
        <v>2317</v>
      </c>
      <c r="O1800" s="14">
        <v>3000</v>
      </c>
      <c r="P1800" s="14">
        <v>95.17</v>
      </c>
      <c r="Q1800" s="14">
        <v>144.9</v>
      </c>
      <c r="R1800" s="14">
        <v>72.45</v>
      </c>
      <c r="S1800" s="2" t="s">
        <v>2550</v>
      </c>
      <c r="T1800" s="2">
        <v>1.01</v>
      </c>
      <c r="U1800" s="2">
        <v>61.8</v>
      </c>
      <c r="V1800" s="2">
        <v>58</v>
      </c>
      <c r="W1800" s="2" t="s">
        <v>7862</v>
      </c>
      <c r="X1800" s="2" t="s">
        <v>5405</v>
      </c>
      <c r="Y1800" s="2">
        <v>1500</v>
      </c>
      <c r="Z1800" s="19" t="str">
        <f>HYPERLINK("https://ssdweb.co/ssdweb/hd/Vision360.html?d=941380376&amp;zoomslide=1&amp;z=1941380376&amp;ISCONFIRM=0","VIDEO")</f>
        <v>VIDEO</v>
      </c>
      <c r="AA1800" s="19" t="str">
        <f>HYPERLINK("https://ssdweb.co/ssdweb/CERTH/692533950.pdf","CERTI")</f>
        <v>CERTI</v>
      </c>
    </row>
    <row r="1801" spans="1:27" ht="15" x14ac:dyDescent="0.25">
      <c r="A1801" s="2">
        <v>1796</v>
      </c>
      <c r="B1801" s="39">
        <v>941320503</v>
      </c>
      <c r="C1801" s="28" t="str">
        <f>HYPERLINK("https://pld.live/RapDetail.aspx?STONELIST=941320503","DNA")</f>
        <v>DNA</v>
      </c>
      <c r="D1801" s="18" t="s">
        <v>5466</v>
      </c>
      <c r="E1801" s="18" t="s">
        <v>5128</v>
      </c>
      <c r="F1801" s="2" t="s">
        <v>7987</v>
      </c>
      <c r="G1801" s="2" t="s">
        <v>861</v>
      </c>
      <c r="H1801" s="14">
        <v>0.5</v>
      </c>
      <c r="I1801" s="2" t="s">
        <v>267</v>
      </c>
      <c r="J1801" s="2" t="s">
        <v>13</v>
      </c>
      <c r="K1801" s="2" t="s">
        <v>3390</v>
      </c>
      <c r="L1801" s="2" t="s">
        <v>5221</v>
      </c>
      <c r="M1801" s="2" t="s">
        <v>5221</v>
      </c>
      <c r="N1801" s="2" t="s">
        <v>2317</v>
      </c>
      <c r="O1801" s="14">
        <v>3000</v>
      </c>
      <c r="P1801" s="14">
        <v>95.17</v>
      </c>
      <c r="Q1801" s="14">
        <v>144.9</v>
      </c>
      <c r="R1801" s="14">
        <v>72.45</v>
      </c>
      <c r="S1801" s="2" t="s">
        <v>1692</v>
      </c>
      <c r="T1801" s="2">
        <v>1.01</v>
      </c>
      <c r="U1801" s="2">
        <v>60.6</v>
      </c>
      <c r="V1801" s="2">
        <v>59</v>
      </c>
      <c r="W1801" s="2" t="s">
        <v>7862</v>
      </c>
      <c r="X1801" s="2" t="s">
        <v>5405</v>
      </c>
      <c r="Y1801" s="2">
        <v>1500</v>
      </c>
      <c r="Z1801" s="19" t="str">
        <f>HYPERLINK("https://ssdweb.co/ssdweb/hd/Vision360.html?d=941320503&amp;zoomslide=1&amp;z=1941320503&amp;ISCONFIRM=0","VIDEO")</f>
        <v>VIDEO</v>
      </c>
      <c r="AA1801" s="19" t="str">
        <f>HYPERLINK("https://ssdweb.co/ssdweb/CERTH/694508323.pdf","CERTI")</f>
        <v>CERTI</v>
      </c>
    </row>
    <row r="1802" spans="1:27" ht="15" x14ac:dyDescent="0.25">
      <c r="A1802" s="2">
        <v>1797</v>
      </c>
      <c r="B1802" s="39">
        <v>941260999</v>
      </c>
      <c r="C1802" s="28" t="str">
        <f>HYPERLINK("https://pld.live/RapDetail.aspx?STONELIST=941260999","DNA")</f>
        <v>DNA</v>
      </c>
      <c r="D1802" s="18" t="s">
        <v>5466</v>
      </c>
      <c r="E1802" s="18" t="s">
        <v>5128</v>
      </c>
      <c r="F1802" s="2" t="s">
        <v>7987</v>
      </c>
      <c r="G1802" s="2" t="s">
        <v>861</v>
      </c>
      <c r="H1802" s="14">
        <v>0.5</v>
      </c>
      <c r="I1802" s="2" t="s">
        <v>267</v>
      </c>
      <c r="J1802" s="2" t="s">
        <v>13</v>
      </c>
      <c r="K1802" s="2" t="s">
        <v>3390</v>
      </c>
      <c r="L1802" s="2" t="s">
        <v>5221</v>
      </c>
      <c r="M1802" s="2" t="s">
        <v>5221</v>
      </c>
      <c r="N1802" s="2" t="s">
        <v>2317</v>
      </c>
      <c r="O1802" s="14">
        <v>3000</v>
      </c>
      <c r="P1802" s="14">
        <v>95.17</v>
      </c>
      <c r="Q1802" s="14">
        <v>144.9</v>
      </c>
      <c r="R1802" s="14">
        <v>72.45</v>
      </c>
      <c r="S1802" s="2" t="s">
        <v>1298</v>
      </c>
      <c r="T1802" s="2">
        <v>1.01</v>
      </c>
      <c r="U1802" s="2">
        <v>60.1</v>
      </c>
      <c r="V1802" s="2">
        <v>59</v>
      </c>
      <c r="W1802" s="2" t="s">
        <v>7862</v>
      </c>
      <c r="X1802" s="2" t="s">
        <v>5405</v>
      </c>
      <c r="Y1802" s="2">
        <v>1500</v>
      </c>
      <c r="Z1802" s="19" t="str">
        <f>HYPERLINK("https://ssdweb.co/ssdweb/hd/Vision360.html?d=941260999&amp;zoomslide=1&amp;z=1941260999&amp;ISCONFIRM=0","VIDEO")</f>
        <v>VIDEO</v>
      </c>
      <c r="AA1802" s="19" t="str">
        <f>HYPERLINK("https://ssdweb.co/ssdweb/CERTH/694508314.pdf","CERTI")</f>
        <v>CERTI</v>
      </c>
    </row>
    <row r="1803" spans="1:27" ht="15" x14ac:dyDescent="0.25">
      <c r="A1803" s="2">
        <v>1798</v>
      </c>
      <c r="B1803" s="39">
        <v>941270652</v>
      </c>
      <c r="C1803" s="28" t="str">
        <f>HYPERLINK("https://pld.live/RapDetail.aspx?STONELIST=941270652","DNA")</f>
        <v>DNA</v>
      </c>
      <c r="D1803" s="18" t="s">
        <v>5466</v>
      </c>
      <c r="E1803" s="18" t="s">
        <v>5128</v>
      </c>
      <c r="F1803" s="2" t="s">
        <v>7987</v>
      </c>
      <c r="G1803" s="2" t="s">
        <v>861</v>
      </c>
      <c r="H1803" s="14">
        <v>0.5</v>
      </c>
      <c r="I1803" s="2" t="s">
        <v>267</v>
      </c>
      <c r="J1803" s="2" t="s">
        <v>13</v>
      </c>
      <c r="K1803" s="2" t="s">
        <v>3390</v>
      </c>
      <c r="L1803" s="2" t="s">
        <v>5221</v>
      </c>
      <c r="M1803" s="2" t="s">
        <v>5221</v>
      </c>
      <c r="N1803" s="2" t="s">
        <v>2317</v>
      </c>
      <c r="O1803" s="14">
        <v>3000</v>
      </c>
      <c r="P1803" s="14">
        <v>95.17</v>
      </c>
      <c r="Q1803" s="14">
        <v>144.9</v>
      </c>
      <c r="R1803" s="14">
        <v>72.45</v>
      </c>
      <c r="S1803" s="2" t="s">
        <v>6374</v>
      </c>
      <c r="T1803" s="2">
        <v>1.01</v>
      </c>
      <c r="U1803" s="2">
        <v>61.7</v>
      </c>
      <c r="V1803" s="2">
        <v>57</v>
      </c>
      <c r="W1803" s="2" t="s">
        <v>7862</v>
      </c>
      <c r="X1803" s="2" t="s">
        <v>5405</v>
      </c>
      <c r="Y1803" s="2">
        <v>1500</v>
      </c>
      <c r="Z1803" s="19" t="str">
        <f>HYPERLINK("https://ssdweb.co/ssdweb/hd/Vision360.html?d=941270652&amp;zoomslide=1&amp;z=1941270652&amp;ISCONFIRM=0","VIDEO")</f>
        <v>VIDEO</v>
      </c>
      <c r="AA1803" s="19" t="str">
        <f>HYPERLINK("https://ssdweb.co/ssdweb/CERTH/694508317.pdf","CERTI")</f>
        <v>CERTI</v>
      </c>
    </row>
    <row r="1804" spans="1:27" ht="15" x14ac:dyDescent="0.25">
      <c r="A1804" s="2">
        <v>1799</v>
      </c>
      <c r="B1804" s="39">
        <v>821128462</v>
      </c>
      <c r="C1804" s="28" t="str">
        <f>HYPERLINK("https://pld.live/RapDetail.aspx?STONELIST=821128462","DNA")</f>
        <v>DNA</v>
      </c>
      <c r="D1804" s="18" t="s">
        <v>5466</v>
      </c>
      <c r="E1804" s="18" t="s">
        <v>5128</v>
      </c>
      <c r="F1804" s="2" t="s">
        <v>7987</v>
      </c>
      <c r="G1804" s="2" t="s">
        <v>861</v>
      </c>
      <c r="H1804" s="14">
        <v>0.5</v>
      </c>
      <c r="I1804" s="2" t="s">
        <v>267</v>
      </c>
      <c r="J1804" s="2" t="s">
        <v>13</v>
      </c>
      <c r="K1804" s="2" t="s">
        <v>5221</v>
      </c>
      <c r="L1804" s="2" t="s">
        <v>5221</v>
      </c>
      <c r="M1804" s="2" t="s">
        <v>5221</v>
      </c>
      <c r="N1804" s="2" t="s">
        <v>2317</v>
      </c>
      <c r="O1804" s="14">
        <v>3000</v>
      </c>
      <c r="P1804" s="14">
        <v>95.17</v>
      </c>
      <c r="Q1804" s="14">
        <v>144.9</v>
      </c>
      <c r="R1804" s="14">
        <v>72.45</v>
      </c>
      <c r="S1804" s="2" t="s">
        <v>2664</v>
      </c>
      <c r="T1804" s="2">
        <v>1.01</v>
      </c>
      <c r="U1804" s="2">
        <v>62.7</v>
      </c>
      <c r="V1804" s="2">
        <v>56</v>
      </c>
      <c r="W1804" s="2" t="s">
        <v>7862</v>
      </c>
      <c r="X1804" s="2" t="s">
        <v>5405</v>
      </c>
      <c r="Y1804" s="2">
        <v>1500</v>
      </c>
      <c r="Z1804" s="19" t="str">
        <f>HYPERLINK("https://ssdweb.co/ssdweb/hd/Vision360.html?d=821128462&amp;zoomslide=1&amp;z=1821128462&amp;ISCONFIRM=0","VIDEO")</f>
        <v>VIDEO</v>
      </c>
      <c r="AA1804" s="19" t="str">
        <f>HYPERLINK("https://ssdweb.co/ssdweb/CERTH/681595384.pdf","CERTI")</f>
        <v>CERTI</v>
      </c>
    </row>
    <row r="1805" spans="1:27" ht="15" x14ac:dyDescent="0.25">
      <c r="A1805" s="2">
        <v>1800</v>
      </c>
      <c r="B1805" s="39">
        <v>941330526</v>
      </c>
      <c r="C1805" s="28" t="str">
        <f>HYPERLINK("https://pld.live/RapDetail.aspx?STONELIST=941330526","DNA")</f>
        <v>DNA</v>
      </c>
      <c r="D1805" s="18" t="s">
        <v>5466</v>
      </c>
      <c r="E1805" s="18" t="s">
        <v>2186</v>
      </c>
      <c r="F1805" s="2" t="s">
        <v>7987</v>
      </c>
      <c r="G1805" s="2" t="s">
        <v>861</v>
      </c>
      <c r="H1805" s="14">
        <v>0.5</v>
      </c>
      <c r="I1805" s="2" t="s">
        <v>267</v>
      </c>
      <c r="J1805" s="2" t="s">
        <v>13</v>
      </c>
      <c r="K1805" s="2" t="s">
        <v>5221</v>
      </c>
      <c r="L1805" s="2" t="s">
        <v>5221</v>
      </c>
      <c r="M1805" s="2" t="s">
        <v>5221</v>
      </c>
      <c r="N1805" s="2" t="s">
        <v>2317</v>
      </c>
      <c r="O1805" s="14">
        <v>3000</v>
      </c>
      <c r="P1805" s="14">
        <v>95.17</v>
      </c>
      <c r="Q1805" s="14">
        <v>144.9</v>
      </c>
      <c r="R1805" s="14">
        <v>72.45</v>
      </c>
      <c r="S1805" s="2" t="s">
        <v>6869</v>
      </c>
      <c r="T1805" s="2">
        <v>1.01</v>
      </c>
      <c r="U1805" s="2">
        <v>60.1</v>
      </c>
      <c r="V1805" s="2">
        <v>59</v>
      </c>
      <c r="W1805" s="2" t="s">
        <v>7862</v>
      </c>
      <c r="X1805" s="2" t="s">
        <v>5405</v>
      </c>
      <c r="Y1805" s="2">
        <v>1500</v>
      </c>
      <c r="Z1805" s="19" t="str">
        <f>HYPERLINK("https://ssdweb.co/ssdweb/hd/Vision360.html?d=941330526&amp;zoomslide=1&amp;z=1941330526&amp;ISCONFIRM=0","VIDEO")</f>
        <v>VIDEO</v>
      </c>
      <c r="AA1805" s="19" t="str">
        <f>HYPERLINK("https://ssdweb.co/ssdweb/CERTH/689543210.pdf","CERTI")</f>
        <v>CERTI</v>
      </c>
    </row>
    <row r="1806" spans="1:27" ht="15" x14ac:dyDescent="0.25">
      <c r="A1806" s="2">
        <v>1801</v>
      </c>
      <c r="B1806" s="39">
        <v>941270621</v>
      </c>
      <c r="C1806" s="28" t="str">
        <f>HYPERLINK("https://pld.live/RapDetail.aspx?STONELIST=941270621","DNA")</f>
        <v>DNA</v>
      </c>
      <c r="D1806" s="18" t="s">
        <v>5466</v>
      </c>
      <c r="E1806" s="18" t="s">
        <v>5128</v>
      </c>
      <c r="F1806" s="2" t="s">
        <v>7987</v>
      </c>
      <c r="G1806" s="2" t="s">
        <v>861</v>
      </c>
      <c r="H1806" s="14">
        <v>0.5</v>
      </c>
      <c r="I1806" s="2" t="s">
        <v>267</v>
      </c>
      <c r="J1806" s="2" t="s">
        <v>13</v>
      </c>
      <c r="K1806" s="2" t="s">
        <v>5221</v>
      </c>
      <c r="L1806" s="2" t="s">
        <v>5221</v>
      </c>
      <c r="M1806" s="2" t="s">
        <v>5221</v>
      </c>
      <c r="N1806" s="2" t="s">
        <v>2317</v>
      </c>
      <c r="O1806" s="14">
        <v>3000</v>
      </c>
      <c r="P1806" s="14">
        <v>95.17</v>
      </c>
      <c r="Q1806" s="14">
        <v>144.9</v>
      </c>
      <c r="R1806" s="14">
        <v>72.45</v>
      </c>
      <c r="S1806" s="2" t="s">
        <v>71</v>
      </c>
      <c r="T1806" s="2">
        <v>1.01</v>
      </c>
      <c r="U1806" s="2">
        <v>58.7</v>
      </c>
      <c r="V1806" s="2">
        <v>61</v>
      </c>
      <c r="W1806" s="2" t="s">
        <v>7862</v>
      </c>
      <c r="X1806" s="2" t="s">
        <v>5405</v>
      </c>
      <c r="Y1806" s="2">
        <v>1500</v>
      </c>
      <c r="Z1806" s="19" t="str">
        <f>HYPERLINK("https://ssdweb.co/ssdweb/hd/Vision360.html?d=941270621&amp;zoomslide=1&amp;z=1941270621&amp;ISCONFIRM=0","VIDEO")</f>
        <v>VIDEO</v>
      </c>
      <c r="AA1806" s="19" t="str">
        <f>HYPERLINK("https://ssdweb.co/ssdweb/CERTH/681569554.pdf","CERTI")</f>
        <v>CERTI</v>
      </c>
    </row>
    <row r="1807" spans="1:27" ht="15" x14ac:dyDescent="0.25">
      <c r="A1807" s="2">
        <v>1802</v>
      </c>
      <c r="B1807" s="39">
        <v>941260775</v>
      </c>
      <c r="C1807" s="28" t="str">
        <f>HYPERLINK("https://pld.live/RapDetail.aspx?STONELIST=941260775","DNA")</f>
        <v>DNA</v>
      </c>
      <c r="D1807" s="18" t="s">
        <v>5466</v>
      </c>
      <c r="E1807" s="18" t="s">
        <v>5128</v>
      </c>
      <c r="F1807" s="2" t="s">
        <v>7987</v>
      </c>
      <c r="G1807" s="2" t="s">
        <v>861</v>
      </c>
      <c r="H1807" s="14">
        <v>0.5</v>
      </c>
      <c r="I1807" s="2" t="s">
        <v>267</v>
      </c>
      <c r="J1807" s="2" t="s">
        <v>13</v>
      </c>
      <c r="K1807" s="2" t="s">
        <v>5221</v>
      </c>
      <c r="L1807" s="2" t="s">
        <v>5221</v>
      </c>
      <c r="M1807" s="2" t="s">
        <v>5221</v>
      </c>
      <c r="N1807" s="2" t="s">
        <v>2317</v>
      </c>
      <c r="O1807" s="14">
        <v>3000</v>
      </c>
      <c r="P1807" s="14">
        <v>95.17</v>
      </c>
      <c r="Q1807" s="14">
        <v>144.9</v>
      </c>
      <c r="R1807" s="14">
        <v>72.45</v>
      </c>
      <c r="S1807" s="2" t="s">
        <v>2088</v>
      </c>
      <c r="T1807" s="2">
        <v>1.01</v>
      </c>
      <c r="U1807" s="2">
        <v>58.1</v>
      </c>
      <c r="V1807" s="2">
        <v>62</v>
      </c>
      <c r="W1807" s="2" t="s">
        <v>7862</v>
      </c>
      <c r="X1807" s="2" t="s">
        <v>5405</v>
      </c>
      <c r="Y1807" s="2">
        <v>1500</v>
      </c>
      <c r="Z1807" s="19" t="str">
        <f>HYPERLINK("https://ssdweb.co/ssdweb/hd/Vision360.html?d=941260775&amp;zoomslide=1&amp;z=1941260775&amp;ISCONFIRM=0","VIDEO")</f>
        <v>VIDEO</v>
      </c>
      <c r="AA1807" s="19" t="str">
        <f>HYPERLINK("https://ssdweb.co/ssdweb/CERTH/680505048.pdf","CERTI")</f>
        <v>CERTI</v>
      </c>
    </row>
    <row r="1808" spans="1:27" ht="15" x14ac:dyDescent="0.25">
      <c r="A1808" s="2">
        <v>1803</v>
      </c>
      <c r="B1808" s="39">
        <v>941270409</v>
      </c>
      <c r="C1808" s="28" t="str">
        <f>HYPERLINK("https://pld.live/RapDetail.aspx?STONELIST=941270409","DNA")</f>
        <v>DNA</v>
      </c>
      <c r="D1808" s="18" t="s">
        <v>5466</v>
      </c>
      <c r="E1808" s="18" t="s">
        <v>5128</v>
      </c>
      <c r="F1808" s="2" t="s">
        <v>7987</v>
      </c>
      <c r="G1808" s="2" t="s">
        <v>861</v>
      </c>
      <c r="H1808" s="14">
        <v>0.5</v>
      </c>
      <c r="I1808" s="2" t="s">
        <v>267</v>
      </c>
      <c r="J1808" s="2" t="s">
        <v>5144</v>
      </c>
      <c r="K1808" s="2" t="s">
        <v>3390</v>
      </c>
      <c r="L1808" s="2" t="s">
        <v>5221</v>
      </c>
      <c r="M1808" s="2" t="s">
        <v>5221</v>
      </c>
      <c r="N1808" s="2" t="s">
        <v>2317</v>
      </c>
      <c r="O1808" s="14">
        <v>2700</v>
      </c>
      <c r="P1808" s="14">
        <v>94.81</v>
      </c>
      <c r="Q1808" s="14">
        <v>140.13</v>
      </c>
      <c r="R1808" s="14">
        <v>70.069999999999993</v>
      </c>
      <c r="S1808" s="2" t="s">
        <v>362</v>
      </c>
      <c r="T1808" s="2">
        <v>1.01</v>
      </c>
      <c r="U1808" s="2">
        <v>62</v>
      </c>
      <c r="V1808" s="2">
        <v>54</v>
      </c>
      <c r="W1808" s="2" t="s">
        <v>7862</v>
      </c>
      <c r="X1808" s="2" t="s">
        <v>5405</v>
      </c>
      <c r="Y1808" s="2">
        <v>1350</v>
      </c>
      <c r="Z1808" s="19" t="str">
        <f>HYPERLINK("https://ssdweb.co/ssdweb/hd/Vision360.html?d=941270409&amp;zoomslide=1&amp;z=1941270409&amp;ISCONFIRM=0","VIDEO")</f>
        <v>VIDEO</v>
      </c>
      <c r="AA1808" s="19" t="str">
        <f>HYPERLINK("https://ssdweb.co/ssdweb/CERTH/681569542.pdf","CERTI")</f>
        <v>CERTI</v>
      </c>
    </row>
    <row r="1809" spans="1:27" ht="15" x14ac:dyDescent="0.25">
      <c r="A1809" s="2">
        <v>1804</v>
      </c>
      <c r="B1809" s="39">
        <v>941270616</v>
      </c>
      <c r="C1809" s="28" t="str">
        <f>HYPERLINK("https://pld.live/RapDetail.aspx?STONELIST=941270616","DNA")</f>
        <v>DNA</v>
      </c>
      <c r="D1809" s="18" t="s">
        <v>5466</v>
      </c>
      <c r="E1809" s="18" t="s">
        <v>5128</v>
      </c>
      <c r="F1809" s="2" t="s">
        <v>7987</v>
      </c>
      <c r="G1809" s="2" t="s">
        <v>861</v>
      </c>
      <c r="H1809" s="14">
        <v>0.5</v>
      </c>
      <c r="I1809" s="2" t="s">
        <v>267</v>
      </c>
      <c r="J1809" s="2" t="s">
        <v>5144</v>
      </c>
      <c r="K1809" s="2" t="s">
        <v>5221</v>
      </c>
      <c r="L1809" s="2" t="s">
        <v>5221</v>
      </c>
      <c r="M1809" s="2" t="s">
        <v>5221</v>
      </c>
      <c r="N1809" s="2" t="s">
        <v>2317</v>
      </c>
      <c r="O1809" s="14">
        <v>2700</v>
      </c>
      <c r="P1809" s="14">
        <v>94.81</v>
      </c>
      <c r="Q1809" s="14">
        <v>140.13</v>
      </c>
      <c r="R1809" s="14">
        <v>70.069999999999993</v>
      </c>
      <c r="S1809" s="2" t="s">
        <v>3546</v>
      </c>
      <c r="T1809" s="2">
        <v>1.01</v>
      </c>
      <c r="U1809" s="2">
        <v>63.1</v>
      </c>
      <c r="V1809" s="2">
        <v>54</v>
      </c>
      <c r="W1809" s="2" t="s">
        <v>7862</v>
      </c>
      <c r="X1809" s="2" t="s">
        <v>5405</v>
      </c>
      <c r="Y1809" s="2">
        <v>1350</v>
      </c>
      <c r="Z1809" s="19" t="str">
        <f>HYPERLINK("https://ssdweb.co/ssdweb/hd/Vision360.html?d=941270616&amp;zoomslide=1&amp;z=1941270616&amp;ISCONFIRM=0","VIDEO")</f>
        <v>VIDEO</v>
      </c>
      <c r="AA1809" s="19" t="str">
        <f>HYPERLINK("https://ssdweb.co/ssdweb/CERTH/681569551.pdf","CERTI")</f>
        <v>CERTI</v>
      </c>
    </row>
    <row r="1810" spans="1:27" ht="15" x14ac:dyDescent="0.25">
      <c r="A1810" s="2">
        <v>1805</v>
      </c>
      <c r="B1810" s="39">
        <v>941400471</v>
      </c>
      <c r="C1810" s="28" t="str">
        <f>HYPERLINK("https://pld.live/RapDetail.aspx?STONELIST=941400471","DNA")</f>
        <v>DNA</v>
      </c>
      <c r="D1810" s="18" t="s">
        <v>5466</v>
      </c>
      <c r="E1810" s="18" t="s">
        <v>5128</v>
      </c>
      <c r="F1810" s="2" t="s">
        <v>7987</v>
      </c>
      <c r="G1810" s="2" t="s">
        <v>861</v>
      </c>
      <c r="H1810" s="14">
        <v>0.5</v>
      </c>
      <c r="I1810" s="2" t="s">
        <v>4761</v>
      </c>
      <c r="J1810" s="2" t="s">
        <v>6555</v>
      </c>
      <c r="K1810" s="2" t="s">
        <v>3390</v>
      </c>
      <c r="L1810" s="2" t="s">
        <v>5221</v>
      </c>
      <c r="M1810" s="2" t="s">
        <v>5221</v>
      </c>
      <c r="N1810" s="2" t="s">
        <v>2317</v>
      </c>
      <c r="O1810" s="14">
        <v>4000</v>
      </c>
      <c r="P1810" s="14">
        <v>96.05</v>
      </c>
      <c r="Q1810" s="14">
        <v>158</v>
      </c>
      <c r="R1810" s="14">
        <v>79</v>
      </c>
      <c r="S1810" s="2" t="s">
        <v>5463</v>
      </c>
      <c r="T1810" s="2">
        <v>1.01</v>
      </c>
      <c r="U1810" s="2">
        <v>61.3</v>
      </c>
      <c r="V1810" s="2">
        <v>57</v>
      </c>
      <c r="W1810" s="2" t="s">
        <v>7862</v>
      </c>
      <c r="X1810" s="2" t="s">
        <v>5405</v>
      </c>
      <c r="Y1810" s="2">
        <v>2000</v>
      </c>
      <c r="Z1810" s="19" t="str">
        <f>HYPERLINK("https://ssdweb.co/ssdweb/hd/Vision360.html?d=941400471&amp;zoomslide=1&amp;z=1941400471&amp;ISCONFIRM=0","VIDEO")</f>
        <v>VIDEO</v>
      </c>
      <c r="AA1810" s="19" t="str">
        <f>HYPERLINK("https://ssdweb.co/ssdweb/CERTH/687591630.pdf","CERTI")</f>
        <v>CERTI</v>
      </c>
    </row>
    <row r="1811" spans="1:27" ht="15" x14ac:dyDescent="0.25">
      <c r="A1811" s="2">
        <v>1806</v>
      </c>
      <c r="B1811" s="39">
        <v>926330541</v>
      </c>
      <c r="C1811" s="28" t="str">
        <f>HYPERLINK("https://pld.live/RapDetail.aspx?STONELIST=926330541","DNA")</f>
        <v>DNA</v>
      </c>
      <c r="D1811" s="18" t="s">
        <v>5466</v>
      </c>
      <c r="E1811" s="18" t="s">
        <v>5128</v>
      </c>
      <c r="F1811" s="2" t="s">
        <v>7987</v>
      </c>
      <c r="G1811" s="2" t="s">
        <v>861</v>
      </c>
      <c r="H1811" s="14">
        <v>0.5</v>
      </c>
      <c r="I1811" s="2" t="s">
        <v>4761</v>
      </c>
      <c r="J1811" s="2" t="s">
        <v>3942</v>
      </c>
      <c r="K1811" s="2" t="s">
        <v>3390</v>
      </c>
      <c r="L1811" s="2" t="s">
        <v>5721</v>
      </c>
      <c r="M1811" s="2" t="s">
        <v>5721</v>
      </c>
      <c r="N1811" s="2" t="s">
        <v>2317</v>
      </c>
      <c r="O1811" s="14">
        <v>3300</v>
      </c>
      <c r="P1811" s="14">
        <v>95.7</v>
      </c>
      <c r="Q1811" s="14">
        <v>141.9</v>
      </c>
      <c r="R1811" s="14">
        <v>70.95</v>
      </c>
      <c r="S1811" s="2" t="s">
        <v>2292</v>
      </c>
      <c r="T1811" s="2">
        <v>1.01</v>
      </c>
      <c r="U1811" s="2">
        <v>62.4</v>
      </c>
      <c r="V1811" s="2">
        <v>56</v>
      </c>
      <c r="W1811" s="2" t="s">
        <v>7862</v>
      </c>
      <c r="X1811" s="2" t="s">
        <v>5405</v>
      </c>
      <c r="Y1811" s="2">
        <v>1650</v>
      </c>
      <c r="Z1811" s="19" t="str">
        <f>HYPERLINK("https://ssdweb.co/ssdweb/hd/Vision360.html?d=926330541&amp;zoomslide=1&amp;z=1926330541&amp;ISCONFIRM=0","VIDEO")</f>
        <v>VIDEO</v>
      </c>
      <c r="AA1811" s="19" t="str">
        <f>HYPERLINK("https://ssdweb.co/ssdweb/CERTH/667408240.pdf","CERTI")</f>
        <v>CERTI</v>
      </c>
    </row>
    <row r="1812" spans="1:27" ht="15" x14ac:dyDescent="0.25">
      <c r="A1812" s="2">
        <v>1807</v>
      </c>
      <c r="B1812" s="39">
        <v>941260892</v>
      </c>
      <c r="C1812" s="28" t="str">
        <f>HYPERLINK("https://pld.live/RapDetail.aspx?STONELIST=941260892","DNA")</f>
        <v>DNA</v>
      </c>
      <c r="D1812" s="18" t="s">
        <v>5466</v>
      </c>
      <c r="E1812" s="18" t="s">
        <v>5128</v>
      </c>
      <c r="F1812" s="2" t="s">
        <v>7987</v>
      </c>
      <c r="G1812" s="2" t="s">
        <v>861</v>
      </c>
      <c r="H1812" s="14">
        <v>0.5</v>
      </c>
      <c r="I1812" s="2" t="s">
        <v>4761</v>
      </c>
      <c r="J1812" s="2" t="s">
        <v>5144</v>
      </c>
      <c r="K1812" s="2" t="s">
        <v>5221</v>
      </c>
      <c r="L1812" s="2" t="s">
        <v>5221</v>
      </c>
      <c r="M1812" s="2" t="s">
        <v>5221</v>
      </c>
      <c r="N1812" s="2" t="s">
        <v>2317</v>
      </c>
      <c r="O1812" s="14">
        <v>2500</v>
      </c>
      <c r="P1812" s="14">
        <v>94.48</v>
      </c>
      <c r="Q1812" s="14">
        <v>138</v>
      </c>
      <c r="R1812" s="14">
        <v>69</v>
      </c>
      <c r="S1812" s="2" t="s">
        <v>7202</v>
      </c>
      <c r="T1812" s="2">
        <v>1.01</v>
      </c>
      <c r="U1812" s="2">
        <v>63.4</v>
      </c>
      <c r="V1812" s="2">
        <v>53</v>
      </c>
      <c r="W1812" s="2" t="s">
        <v>7862</v>
      </c>
      <c r="X1812" s="2" t="s">
        <v>5405</v>
      </c>
      <c r="Y1812" s="2">
        <v>1250</v>
      </c>
      <c r="Z1812" s="19" t="str">
        <f>HYPERLINK("https://ssdweb.co/ssdweb/hd/Vision360.html?d=941260892&amp;zoomslide=1&amp;z=1941260892&amp;ISCONFIRM=0","VIDEO")</f>
        <v>VIDEO</v>
      </c>
      <c r="AA1812" s="19" t="str">
        <f>HYPERLINK("https://ssdweb.co/ssdweb/CERTH/681517234.pdf","CERTI")</f>
        <v>CERTI</v>
      </c>
    </row>
    <row r="1813" spans="1:27" ht="15" x14ac:dyDescent="0.25">
      <c r="A1813" s="2">
        <v>1808</v>
      </c>
      <c r="B1813" s="39">
        <v>926350466</v>
      </c>
      <c r="C1813" s="28" t="str">
        <f>HYPERLINK("https://pld.live/RapDetail.aspx?STONELIST=926350466","DNA")</f>
        <v>DNA</v>
      </c>
      <c r="D1813" s="18" t="s">
        <v>684</v>
      </c>
      <c r="E1813" s="18" t="s">
        <v>5128</v>
      </c>
      <c r="F1813" s="2" t="s">
        <v>7987</v>
      </c>
      <c r="G1813" s="2" t="s">
        <v>861</v>
      </c>
      <c r="H1813" s="14">
        <v>0.48</v>
      </c>
      <c r="I1813" s="2" t="s">
        <v>267</v>
      </c>
      <c r="J1813" s="2" t="s">
        <v>5144</v>
      </c>
      <c r="K1813" s="2" t="s">
        <v>3390</v>
      </c>
      <c r="L1813" s="2" t="s">
        <v>5721</v>
      </c>
      <c r="M1813" s="2" t="s">
        <v>5721</v>
      </c>
      <c r="N1813" s="2" t="s">
        <v>2317</v>
      </c>
      <c r="O1813" s="14">
        <v>2100</v>
      </c>
      <c r="P1813" s="14">
        <v>94.76</v>
      </c>
      <c r="Q1813" s="14">
        <v>110.04</v>
      </c>
      <c r="R1813" s="14">
        <v>52.82</v>
      </c>
      <c r="S1813" s="2" t="s">
        <v>2191</v>
      </c>
      <c r="T1813" s="2">
        <v>1.01</v>
      </c>
      <c r="U1813" s="2">
        <v>61.5</v>
      </c>
      <c r="V1813" s="2">
        <v>53</v>
      </c>
      <c r="W1813" s="2" t="s">
        <v>7862</v>
      </c>
      <c r="X1813" s="2" t="s">
        <v>5405</v>
      </c>
      <c r="Y1813" s="2">
        <v>1008</v>
      </c>
      <c r="Z1813" s="19" t="str">
        <f>HYPERLINK("https://ssdweb.co/ssdweb/hd/Vision360.html?d=926350466&amp;zoomslide=1&amp;z=1926350466&amp;ISCONFIRM=0","VIDEO")</f>
        <v>VIDEO</v>
      </c>
      <c r="AA1813" s="19" t="str">
        <f>HYPERLINK("https://ssdweb.co/ssdweb/CERTH/646472913.pdf","CERTI")</f>
        <v>CERTI</v>
      </c>
    </row>
    <row r="1814" spans="1:27" ht="15" x14ac:dyDescent="0.25">
      <c r="A1814" s="2">
        <v>1809</v>
      </c>
      <c r="B1814" s="39">
        <v>926320654</v>
      </c>
      <c r="C1814" s="28" t="str">
        <f>HYPERLINK("https://pld.live/RapDetail.aspx?STONELIST=926320654","DNA")</f>
        <v>DNA</v>
      </c>
      <c r="D1814" s="18" t="s">
        <v>684</v>
      </c>
      <c r="E1814" s="18" t="s">
        <v>5128</v>
      </c>
      <c r="F1814" s="2" t="s">
        <v>7987</v>
      </c>
      <c r="G1814" s="2" t="s">
        <v>861</v>
      </c>
      <c r="H1814" s="14">
        <v>0.47</v>
      </c>
      <c r="I1814" s="2" t="s">
        <v>267</v>
      </c>
      <c r="J1814" s="2" t="s">
        <v>3942</v>
      </c>
      <c r="K1814" s="2" t="s">
        <v>5221</v>
      </c>
      <c r="L1814" s="2" t="s">
        <v>5221</v>
      </c>
      <c r="M1814" s="2" t="s">
        <v>5221</v>
      </c>
      <c r="N1814" s="2" t="s">
        <v>2317</v>
      </c>
      <c r="O1814" s="14">
        <v>2500</v>
      </c>
      <c r="P1814" s="14">
        <v>95.04</v>
      </c>
      <c r="Q1814" s="14">
        <v>124</v>
      </c>
      <c r="R1814" s="14">
        <v>58.28</v>
      </c>
      <c r="S1814" s="2" t="s">
        <v>6330</v>
      </c>
      <c r="T1814" s="2">
        <v>1.01</v>
      </c>
      <c r="U1814" s="2">
        <v>63.4</v>
      </c>
      <c r="V1814" s="2">
        <v>55</v>
      </c>
      <c r="W1814" s="2" t="s">
        <v>7862</v>
      </c>
      <c r="X1814" s="2" t="s">
        <v>5405</v>
      </c>
      <c r="Y1814" s="2">
        <v>1175</v>
      </c>
      <c r="Z1814" s="19" t="str">
        <f>HYPERLINK("https://ssdweb.co/ssdweb/hd/Vision360.html?d=926320654&amp;zoomslide=1&amp;z=1926320654&amp;ISCONFIRM=0","VIDEO")</f>
        <v>VIDEO</v>
      </c>
      <c r="AA1814" s="19" t="str">
        <f>HYPERLINK("https://ssdweb.co/ssdweb/CERTH/639406065.pdf","CERTI")</f>
        <v>CERTI</v>
      </c>
    </row>
    <row r="1815" spans="1:27" ht="15" x14ac:dyDescent="0.25">
      <c r="A1815" s="2">
        <v>1810</v>
      </c>
      <c r="B1815" s="39">
        <v>926320719</v>
      </c>
      <c r="C1815" s="28" t="str">
        <f>HYPERLINK("https://pld.live/RapDetail.aspx?STONELIST=926320719","DNA")</f>
        <v>DNA</v>
      </c>
      <c r="D1815" s="18" t="s">
        <v>684</v>
      </c>
      <c r="E1815" s="18" t="s">
        <v>5128</v>
      </c>
      <c r="F1815" s="2" t="s">
        <v>7987</v>
      </c>
      <c r="G1815" s="2" t="s">
        <v>861</v>
      </c>
      <c r="H1815" s="14">
        <v>0.47</v>
      </c>
      <c r="I1815" s="2" t="s">
        <v>267</v>
      </c>
      <c r="J1815" s="2" t="s">
        <v>3942</v>
      </c>
      <c r="K1815" s="2" t="s">
        <v>5221</v>
      </c>
      <c r="L1815" s="2" t="s">
        <v>5221</v>
      </c>
      <c r="M1815" s="2" t="s">
        <v>5721</v>
      </c>
      <c r="N1815" s="2" t="s">
        <v>2317</v>
      </c>
      <c r="O1815" s="14">
        <v>2500</v>
      </c>
      <c r="P1815" s="14">
        <v>95.16</v>
      </c>
      <c r="Q1815" s="14">
        <v>121</v>
      </c>
      <c r="R1815" s="14">
        <v>56.87</v>
      </c>
      <c r="S1815" s="2" t="s">
        <v>1276</v>
      </c>
      <c r="T1815" s="2">
        <v>1.01</v>
      </c>
      <c r="U1815" s="2">
        <v>60</v>
      </c>
      <c r="V1815" s="2">
        <v>55</v>
      </c>
      <c r="W1815" s="2" t="s">
        <v>7862</v>
      </c>
      <c r="X1815" s="2" t="s">
        <v>5405</v>
      </c>
      <c r="Y1815" s="2">
        <v>1175</v>
      </c>
      <c r="Z1815" s="19" t="str">
        <f>HYPERLINK("https://ssdweb.co/ssdweb/hd/Vision360.html?d=926320719&amp;zoomslide=1&amp;z=1926320719&amp;ISCONFIRM=0","VIDEO")</f>
        <v>VIDEO</v>
      </c>
      <c r="AA1815" s="19" t="str">
        <f>HYPERLINK("https://ssdweb.co/ssdweb/CERTH/639413172.pdf","CERTI")</f>
        <v>CERTI</v>
      </c>
    </row>
    <row r="1816" spans="1:27" ht="15" x14ac:dyDescent="0.25">
      <c r="A1816" s="2">
        <v>1811</v>
      </c>
      <c r="B1816" s="39">
        <v>925910235</v>
      </c>
      <c r="C1816" s="28" t="str">
        <f>HYPERLINK("https://pld.live/RapDetail.aspx?STONELIST=925910235","DNA")</f>
        <v>DNA</v>
      </c>
      <c r="D1816" s="18" t="s">
        <v>684</v>
      </c>
      <c r="E1816" s="18" t="s">
        <v>5128</v>
      </c>
      <c r="F1816" s="2" t="s">
        <v>7987</v>
      </c>
      <c r="G1816" s="2" t="s">
        <v>861</v>
      </c>
      <c r="H1816" s="14">
        <v>0.47</v>
      </c>
      <c r="I1816" s="2" t="s">
        <v>267</v>
      </c>
      <c r="J1816" s="2" t="s">
        <v>13</v>
      </c>
      <c r="K1816" s="2" t="s">
        <v>5221</v>
      </c>
      <c r="L1816" s="2" t="s">
        <v>5221</v>
      </c>
      <c r="M1816" s="2" t="s">
        <v>5221</v>
      </c>
      <c r="N1816" s="2" t="s">
        <v>2317</v>
      </c>
      <c r="O1816" s="14">
        <v>2300</v>
      </c>
      <c r="P1816" s="14">
        <v>94.96</v>
      </c>
      <c r="Q1816" s="14">
        <v>115.92</v>
      </c>
      <c r="R1816" s="14">
        <v>54.48</v>
      </c>
      <c r="S1816" s="2" t="s">
        <v>212</v>
      </c>
      <c r="T1816" s="2">
        <v>1.01</v>
      </c>
      <c r="U1816" s="2">
        <v>63.1</v>
      </c>
      <c r="V1816" s="2">
        <v>54</v>
      </c>
      <c r="W1816" s="2" t="s">
        <v>7862</v>
      </c>
      <c r="X1816" s="2" t="s">
        <v>5405</v>
      </c>
      <c r="Y1816" s="2">
        <v>1081</v>
      </c>
      <c r="Z1816" s="19" t="str">
        <f>HYPERLINK("https://ssdweb.co/ssdweb/hd/Vision360.html?d=925910235&amp;zoomslide=1&amp;z=1925910235&amp;ISCONFIRM=0","VIDEO")</f>
        <v>VIDEO</v>
      </c>
      <c r="AA1816" s="19" t="str">
        <f>HYPERLINK("https://ssdweb.co/ssdweb/CERTH/627471461.pdf","CERTI")</f>
        <v>CERTI</v>
      </c>
    </row>
    <row r="1817" spans="1:27" ht="15" x14ac:dyDescent="0.25">
      <c r="A1817" s="2">
        <v>1812</v>
      </c>
      <c r="B1817" s="39">
        <v>926661436</v>
      </c>
      <c r="C1817" s="28" t="str">
        <f>HYPERLINK("https://pld.live/RapDetail.aspx?STONELIST=926661436","DNA")</f>
        <v>DNA</v>
      </c>
      <c r="D1817" s="18" t="s">
        <v>684</v>
      </c>
      <c r="E1817" s="18" t="s">
        <v>5128</v>
      </c>
      <c r="F1817" s="2" t="s">
        <v>7987</v>
      </c>
      <c r="G1817" s="2" t="s">
        <v>861</v>
      </c>
      <c r="H1817" s="14">
        <v>0.47</v>
      </c>
      <c r="I1817" s="2" t="s">
        <v>267</v>
      </c>
      <c r="J1817" s="2" t="s">
        <v>13</v>
      </c>
      <c r="K1817" s="2" t="s">
        <v>5221</v>
      </c>
      <c r="L1817" s="2" t="s">
        <v>5221</v>
      </c>
      <c r="M1817" s="2" t="s">
        <v>5221</v>
      </c>
      <c r="N1817" s="2" t="s">
        <v>2317</v>
      </c>
      <c r="O1817" s="14">
        <v>2300</v>
      </c>
      <c r="P1817" s="14">
        <v>94.7</v>
      </c>
      <c r="Q1817" s="14">
        <v>121.9</v>
      </c>
      <c r="R1817" s="14">
        <v>57.29</v>
      </c>
      <c r="S1817" s="2" t="s">
        <v>4888</v>
      </c>
      <c r="T1817" s="2">
        <v>1.01</v>
      </c>
      <c r="U1817" s="2">
        <v>63.3</v>
      </c>
      <c r="V1817" s="2">
        <v>58</v>
      </c>
      <c r="W1817" s="2" t="s">
        <v>7862</v>
      </c>
      <c r="X1817" s="2" t="s">
        <v>5405</v>
      </c>
      <c r="Y1817" s="2">
        <v>1081</v>
      </c>
      <c r="Z1817" s="19" t="str">
        <f>HYPERLINK("https://ssdweb.co/ssdweb/hd/Vision360.html?d=926661436&amp;zoomslide=1&amp;z=1926661436&amp;ISCONFIRM=0","VIDEO")</f>
        <v>VIDEO</v>
      </c>
      <c r="AA1817" s="19" t="str">
        <f>HYPERLINK("https://ssdweb.co/ssdweb/CERTH/666407929.pdf","CERTI")</f>
        <v>CERTI</v>
      </c>
    </row>
    <row r="1818" spans="1:27" ht="15" x14ac:dyDescent="0.25">
      <c r="A1818" s="2">
        <v>1813</v>
      </c>
      <c r="B1818" s="39">
        <v>926331674</v>
      </c>
      <c r="C1818" s="28" t="str">
        <f>HYPERLINK("https://pld.live/RapDetail.aspx?STONELIST=926331674","DNA")</f>
        <v>DNA</v>
      </c>
      <c r="D1818" s="18" t="s">
        <v>684</v>
      </c>
      <c r="E1818" s="18" t="s">
        <v>5128</v>
      </c>
      <c r="F1818" s="2" t="s">
        <v>7987</v>
      </c>
      <c r="G1818" s="2" t="s">
        <v>861</v>
      </c>
      <c r="H1818" s="14">
        <v>0.47</v>
      </c>
      <c r="I1818" s="2" t="s">
        <v>4761</v>
      </c>
      <c r="J1818" s="2" t="s">
        <v>3942</v>
      </c>
      <c r="K1818" s="2" t="s">
        <v>5221</v>
      </c>
      <c r="L1818" s="2" t="s">
        <v>5721</v>
      </c>
      <c r="M1818" s="2" t="s">
        <v>5721</v>
      </c>
      <c r="N1818" s="2" t="s">
        <v>2317</v>
      </c>
      <c r="O1818" s="14">
        <v>2300</v>
      </c>
      <c r="P1818" s="14">
        <v>94.96</v>
      </c>
      <c r="Q1818" s="14">
        <v>115.92</v>
      </c>
      <c r="R1818" s="14">
        <v>54.48</v>
      </c>
      <c r="S1818" s="2" t="s">
        <v>3438</v>
      </c>
      <c r="T1818" s="2">
        <v>1.01</v>
      </c>
      <c r="U1818" s="2">
        <v>60.7</v>
      </c>
      <c r="V1818" s="2">
        <v>58</v>
      </c>
      <c r="W1818" s="2" t="s">
        <v>7862</v>
      </c>
      <c r="X1818" s="2" t="s">
        <v>5405</v>
      </c>
      <c r="Y1818" s="2">
        <v>1081</v>
      </c>
      <c r="Z1818" s="19" t="str">
        <f>HYPERLINK("https://ssdweb.co/ssdweb/hd/Vision360.html?d=926331674&amp;zoomslide=1&amp;z=1926331674&amp;ISCONFIRM=0","VIDEO")</f>
        <v>VIDEO</v>
      </c>
      <c r="AA1818" s="19" t="str">
        <f>HYPERLINK("https://ssdweb.co/ssdweb/CERTH/642442901.pdf","CERTI")</f>
        <v>CERTI</v>
      </c>
    </row>
    <row r="1819" spans="1:27" ht="15" x14ac:dyDescent="0.25">
      <c r="A1819" s="2">
        <v>1814</v>
      </c>
      <c r="B1819" s="39">
        <v>926550382</v>
      </c>
      <c r="C1819" s="28" t="str">
        <f>HYPERLINK("https://pld.live/RapDetail.aspx?STONELIST=926550382","DNA")</f>
        <v>DNA</v>
      </c>
      <c r="D1819" s="18" t="s">
        <v>684</v>
      </c>
      <c r="E1819" s="18" t="s">
        <v>5128</v>
      </c>
      <c r="F1819" s="2" t="s">
        <v>7987</v>
      </c>
      <c r="G1819" s="2" t="s">
        <v>861</v>
      </c>
      <c r="H1819" s="14">
        <v>0.47</v>
      </c>
      <c r="I1819" s="2" t="s">
        <v>4761</v>
      </c>
      <c r="J1819" s="2" t="s">
        <v>13</v>
      </c>
      <c r="K1819" s="2" t="s">
        <v>5221</v>
      </c>
      <c r="L1819" s="2" t="s">
        <v>5221</v>
      </c>
      <c r="M1819" s="2" t="s">
        <v>5221</v>
      </c>
      <c r="N1819" s="2" t="s">
        <v>2317</v>
      </c>
      <c r="O1819" s="14">
        <v>2100</v>
      </c>
      <c r="P1819" s="14">
        <v>94.43</v>
      </c>
      <c r="Q1819" s="14">
        <v>116.97</v>
      </c>
      <c r="R1819" s="14">
        <v>54.98</v>
      </c>
      <c r="S1819" s="2" t="s">
        <v>1643</v>
      </c>
      <c r="T1819" s="2">
        <v>1</v>
      </c>
      <c r="U1819" s="2">
        <v>59.3</v>
      </c>
      <c r="V1819" s="2">
        <v>62</v>
      </c>
      <c r="W1819" s="2" t="s">
        <v>7862</v>
      </c>
      <c r="X1819" s="2" t="s">
        <v>5405</v>
      </c>
      <c r="Y1819" s="2">
        <v>987</v>
      </c>
      <c r="Z1819" s="19" t="str">
        <f>HYPERLINK("https://ssdweb.co/ssdweb/hd/Vision360.html?d=926550382&amp;zoomslide=1&amp;z=1926550382&amp;ISCONFIRM=0","VIDEO")</f>
        <v>VIDEO</v>
      </c>
      <c r="AA1819" s="19" t="str">
        <f>HYPERLINK("https://ssdweb.co/ssdweb/CERTH/646472824.pdf","CERTI")</f>
        <v>CERTI</v>
      </c>
    </row>
    <row r="1820" spans="1:27" ht="15" x14ac:dyDescent="0.25">
      <c r="A1820" s="2">
        <v>1815</v>
      </c>
      <c r="B1820" s="39">
        <v>926280772</v>
      </c>
      <c r="C1820" s="28" t="str">
        <f>HYPERLINK("https://pld.live/RapDetail.aspx?STONELIST=926280772","DNA")</f>
        <v>DNA</v>
      </c>
      <c r="D1820" s="18" t="s">
        <v>684</v>
      </c>
      <c r="E1820" s="18" t="s">
        <v>5128</v>
      </c>
      <c r="F1820" s="2" t="s">
        <v>7987</v>
      </c>
      <c r="G1820" s="2" t="s">
        <v>861</v>
      </c>
      <c r="H1820" s="14">
        <v>0.47</v>
      </c>
      <c r="I1820" s="2" t="s">
        <v>4761</v>
      </c>
      <c r="J1820" s="2" t="s">
        <v>13</v>
      </c>
      <c r="K1820" s="2" t="s">
        <v>5221</v>
      </c>
      <c r="L1820" s="2" t="s">
        <v>5221</v>
      </c>
      <c r="M1820" s="2" t="s">
        <v>5221</v>
      </c>
      <c r="N1820" s="2" t="s">
        <v>2317</v>
      </c>
      <c r="O1820" s="14">
        <v>2100</v>
      </c>
      <c r="P1820" s="14">
        <v>94.43</v>
      </c>
      <c r="Q1820" s="14">
        <v>116.97</v>
      </c>
      <c r="R1820" s="14">
        <v>54.98</v>
      </c>
      <c r="S1820" s="2" t="s">
        <v>219</v>
      </c>
      <c r="T1820" s="2">
        <v>1.01</v>
      </c>
      <c r="U1820" s="2">
        <v>63.5</v>
      </c>
      <c r="V1820" s="2">
        <v>55</v>
      </c>
      <c r="W1820" s="2" t="s">
        <v>7862</v>
      </c>
      <c r="X1820" s="2" t="s">
        <v>5405</v>
      </c>
      <c r="Y1820" s="2">
        <v>987</v>
      </c>
      <c r="Z1820" s="19" t="str">
        <f>HYPERLINK("https://ssdweb.co/ssdweb/hd/Vision360.html?d=926280772&amp;zoomslide=1&amp;z=1926280772&amp;ISCONFIRM=0","VIDEO")</f>
        <v>VIDEO</v>
      </c>
      <c r="AA1820" s="19" t="str">
        <f>HYPERLINK("https://ssdweb.co/ssdweb/CERTH/640454198.pdf","CERTI")</f>
        <v>CERTI</v>
      </c>
    </row>
    <row r="1821" spans="1:27" ht="15" x14ac:dyDescent="0.25">
      <c r="A1821" s="2">
        <v>1816</v>
      </c>
      <c r="B1821" s="39">
        <v>926320717</v>
      </c>
      <c r="C1821" s="28" t="str">
        <f>HYPERLINK("https://pld.live/RapDetail.aspx?STONELIST=926320717","DNA")</f>
        <v>DNA</v>
      </c>
      <c r="D1821" s="18" t="s">
        <v>684</v>
      </c>
      <c r="E1821" s="18" t="s">
        <v>5128</v>
      </c>
      <c r="F1821" s="2" t="s">
        <v>7987</v>
      </c>
      <c r="G1821" s="2" t="s">
        <v>861</v>
      </c>
      <c r="H1821" s="14">
        <v>0.47</v>
      </c>
      <c r="I1821" s="2" t="s">
        <v>4761</v>
      </c>
      <c r="J1821" s="2" t="s">
        <v>13</v>
      </c>
      <c r="K1821" s="2" t="s">
        <v>5221</v>
      </c>
      <c r="L1821" s="2" t="s">
        <v>5221</v>
      </c>
      <c r="M1821" s="2" t="s">
        <v>5221</v>
      </c>
      <c r="N1821" s="2" t="s">
        <v>2317</v>
      </c>
      <c r="O1821" s="14">
        <v>2100</v>
      </c>
      <c r="P1821" s="14">
        <v>94.43</v>
      </c>
      <c r="Q1821" s="14">
        <v>116.97</v>
      </c>
      <c r="R1821" s="14">
        <v>54.98</v>
      </c>
      <c r="S1821" s="2" t="s">
        <v>2298</v>
      </c>
      <c r="T1821" s="2">
        <v>1.01</v>
      </c>
      <c r="U1821" s="2">
        <v>63.5</v>
      </c>
      <c r="V1821" s="2">
        <v>59</v>
      </c>
      <c r="W1821" s="2" t="s">
        <v>7862</v>
      </c>
      <c r="X1821" s="2" t="s">
        <v>5405</v>
      </c>
      <c r="Y1821" s="2">
        <v>987</v>
      </c>
      <c r="Z1821" s="19" t="str">
        <f>HYPERLINK("https://ssdweb.co/ssdweb/hd/Vision360.html?d=926320717&amp;zoomslide=1&amp;z=1926320717&amp;ISCONFIRM=0","VIDEO")</f>
        <v>VIDEO</v>
      </c>
      <c r="AA1821" s="19" t="str">
        <f>HYPERLINK("https://ssdweb.co/ssdweb/CERTH/639413060.pdf","CERTI")</f>
        <v>CERTI</v>
      </c>
    </row>
    <row r="1822" spans="1:27" ht="15" x14ac:dyDescent="0.25">
      <c r="A1822" s="2">
        <v>1817</v>
      </c>
      <c r="B1822" s="39">
        <v>926320546</v>
      </c>
      <c r="C1822" s="28" t="str">
        <f>HYPERLINK("https://pld.live/RapDetail.aspx?STONELIST=926320546","DNA")</f>
        <v>DNA</v>
      </c>
      <c r="D1822" s="18" t="s">
        <v>684</v>
      </c>
      <c r="E1822" s="18" t="s">
        <v>5128</v>
      </c>
      <c r="F1822" s="2" t="s">
        <v>7987</v>
      </c>
      <c r="G1822" s="2" t="s">
        <v>861</v>
      </c>
      <c r="H1822" s="14">
        <v>0.47</v>
      </c>
      <c r="I1822" s="2" t="s">
        <v>4761</v>
      </c>
      <c r="J1822" s="2" t="s">
        <v>13</v>
      </c>
      <c r="K1822" s="2" t="s">
        <v>5221</v>
      </c>
      <c r="L1822" s="2" t="s">
        <v>5221</v>
      </c>
      <c r="M1822" s="2" t="s">
        <v>5721</v>
      </c>
      <c r="N1822" s="2" t="s">
        <v>2317</v>
      </c>
      <c r="O1822" s="14">
        <v>2100</v>
      </c>
      <c r="P1822" s="14">
        <v>94.57</v>
      </c>
      <c r="Q1822" s="14">
        <v>114.03</v>
      </c>
      <c r="R1822" s="14">
        <v>53.59</v>
      </c>
      <c r="S1822" s="2" t="s">
        <v>2430</v>
      </c>
      <c r="T1822" s="2">
        <v>1.01</v>
      </c>
      <c r="U1822" s="2">
        <v>62.9</v>
      </c>
      <c r="V1822" s="2">
        <v>56</v>
      </c>
      <c r="W1822" s="2" t="s">
        <v>7862</v>
      </c>
      <c r="X1822" s="2" t="s">
        <v>5405</v>
      </c>
      <c r="Y1822" s="2">
        <v>987</v>
      </c>
      <c r="Z1822" s="19" t="str">
        <f>HYPERLINK("https://ssdweb.co/ssdweb/hd/Vision360.html?d=926320546&amp;zoomslide=1&amp;z=1926320546&amp;ISCONFIRM=0","VIDEO")</f>
        <v>VIDEO</v>
      </c>
      <c r="AA1822" s="19" t="str">
        <f>HYPERLINK("https://ssdweb.co/ssdweb/CERTH/639406061.pdf","CERTI")</f>
        <v>CERTI</v>
      </c>
    </row>
    <row r="1823" spans="1:27" ht="15" x14ac:dyDescent="0.25">
      <c r="A1823" s="2">
        <v>1818</v>
      </c>
      <c r="B1823" s="39">
        <v>925090400</v>
      </c>
      <c r="C1823" s="28" t="str">
        <f>HYPERLINK("https://pld.live/RapDetail.aspx?STONELIST=925090400","DNA")</f>
        <v>DNA</v>
      </c>
      <c r="D1823" s="18" t="s">
        <v>684</v>
      </c>
      <c r="E1823" s="18" t="s">
        <v>5128</v>
      </c>
      <c r="F1823" s="2" t="s">
        <v>7987</v>
      </c>
      <c r="G1823" s="2" t="s">
        <v>861</v>
      </c>
      <c r="H1823" s="14">
        <v>0.46</v>
      </c>
      <c r="I1823" s="2" t="s">
        <v>267</v>
      </c>
      <c r="J1823" s="2" t="s">
        <v>3942</v>
      </c>
      <c r="K1823" s="2" t="s">
        <v>5221</v>
      </c>
      <c r="L1823" s="2" t="s">
        <v>5221</v>
      </c>
      <c r="M1823" s="2" t="s">
        <v>5721</v>
      </c>
      <c r="N1823" s="2" t="s">
        <v>2317</v>
      </c>
      <c r="O1823" s="14">
        <v>2500</v>
      </c>
      <c r="P1823" s="14">
        <v>95.24</v>
      </c>
      <c r="Q1823" s="14">
        <v>119</v>
      </c>
      <c r="R1823" s="14">
        <v>54.74</v>
      </c>
      <c r="S1823" s="2" t="s">
        <v>6454</v>
      </c>
      <c r="T1823" s="2">
        <v>1</v>
      </c>
      <c r="U1823" s="2">
        <v>62.7</v>
      </c>
      <c r="V1823" s="2">
        <v>55</v>
      </c>
      <c r="W1823" s="2" t="s">
        <v>7862</v>
      </c>
      <c r="X1823" s="2" t="s">
        <v>5405</v>
      </c>
      <c r="Y1823" s="2">
        <v>1150</v>
      </c>
      <c r="Z1823" s="19" t="str">
        <f>HYPERLINK("https://ssdweb.co/ssdweb/hd/Vision360.html?d=925090400&amp;zoomslide=1&amp;z=1925090400&amp;ISCONFIRM=0","VIDEO")</f>
        <v>VIDEO</v>
      </c>
      <c r="AA1823" s="19" t="str">
        <f>HYPERLINK("https://ssdweb.co/ssdweb/CERTH/628426746.pdf","CERTI")</f>
        <v>CERTI</v>
      </c>
    </row>
    <row r="1824" spans="1:27" ht="15" x14ac:dyDescent="0.25">
      <c r="A1824" s="2">
        <v>1819</v>
      </c>
      <c r="B1824" s="39">
        <v>924580127</v>
      </c>
      <c r="C1824" s="28" t="str">
        <f>HYPERLINK("https://pld.live/RapDetail.aspx?STONELIST=924580127","DNA")</f>
        <v>DNA</v>
      </c>
      <c r="D1824" s="18" t="s">
        <v>684</v>
      </c>
      <c r="E1824" s="18" t="s">
        <v>5128</v>
      </c>
      <c r="F1824" s="2" t="s">
        <v>5597</v>
      </c>
      <c r="G1824" s="2" t="s">
        <v>861</v>
      </c>
      <c r="H1824" s="14">
        <v>0.46</v>
      </c>
      <c r="I1824" s="2" t="s">
        <v>267</v>
      </c>
      <c r="J1824" s="2" t="s">
        <v>3942</v>
      </c>
      <c r="K1824" s="2" t="s">
        <v>5721</v>
      </c>
      <c r="L1824" s="2" t="s">
        <v>5221</v>
      </c>
      <c r="M1824" s="2" t="s">
        <v>5221</v>
      </c>
      <c r="N1824" s="2" t="s">
        <v>2317</v>
      </c>
      <c r="O1824" s="14">
        <v>2500</v>
      </c>
      <c r="P1824" s="14">
        <v>90.92</v>
      </c>
      <c r="Q1824" s="14">
        <v>227</v>
      </c>
      <c r="R1824" s="14">
        <v>104.42</v>
      </c>
      <c r="S1824" s="2" t="s">
        <v>1746</v>
      </c>
      <c r="T1824" s="2">
        <v>1</v>
      </c>
      <c r="U1824" s="2">
        <v>61.9</v>
      </c>
      <c r="V1824" s="2">
        <v>60</v>
      </c>
      <c r="W1824" s="2" t="s">
        <v>7862</v>
      </c>
      <c r="X1824" s="2" t="s">
        <v>5405</v>
      </c>
      <c r="Y1824" s="2">
        <v>1150</v>
      </c>
      <c r="Z1824" s="19" t="str">
        <f>HYPERLINK("https://ssdweb.co/ssdweb/hd/Vision360.html?d=924580127&amp;zoomslide=1&amp;z=1924580127&amp;ISCONFIRM=0","VIDEO")</f>
        <v>VIDEO</v>
      </c>
      <c r="AA1824" s="19" t="str">
        <f>HYPERLINK("https://ssdweb.co/ssdweb/CERTH/6471333158.pdf","CERTI")</f>
        <v>CERTI</v>
      </c>
    </row>
    <row r="1825" spans="1:27" ht="15" x14ac:dyDescent="0.25">
      <c r="A1825" s="2">
        <v>1820</v>
      </c>
      <c r="B1825" s="39">
        <v>925840837</v>
      </c>
      <c r="C1825" s="28" t="str">
        <f>HYPERLINK("https://pld.live/RapDetail.aspx?STONELIST=925840837","DNA")</f>
        <v>DNA</v>
      </c>
      <c r="D1825" s="18" t="s">
        <v>684</v>
      </c>
      <c r="E1825" s="18" t="s">
        <v>5128</v>
      </c>
      <c r="F1825" s="2" t="s">
        <v>7987</v>
      </c>
      <c r="G1825" s="2" t="s">
        <v>861</v>
      </c>
      <c r="H1825" s="14">
        <v>0.46</v>
      </c>
      <c r="I1825" s="2" t="s">
        <v>267</v>
      </c>
      <c r="J1825" s="2" t="s">
        <v>13</v>
      </c>
      <c r="K1825" s="2" t="s">
        <v>3390</v>
      </c>
      <c r="L1825" s="2" t="s">
        <v>5221</v>
      </c>
      <c r="M1825" s="2" t="s">
        <v>5721</v>
      </c>
      <c r="N1825" s="2" t="s">
        <v>2317</v>
      </c>
      <c r="O1825" s="14">
        <v>2300</v>
      </c>
      <c r="P1825" s="14">
        <v>95.09</v>
      </c>
      <c r="Q1825" s="14">
        <v>112.93</v>
      </c>
      <c r="R1825" s="14">
        <v>51.95</v>
      </c>
      <c r="S1825" s="2" t="s">
        <v>5862</v>
      </c>
      <c r="T1825" s="2">
        <v>1</v>
      </c>
      <c r="U1825" s="2">
        <v>62.3</v>
      </c>
      <c r="V1825" s="2">
        <v>58</v>
      </c>
      <c r="W1825" s="2" t="s">
        <v>7862</v>
      </c>
      <c r="X1825" s="2" t="s">
        <v>5405</v>
      </c>
      <c r="Y1825" s="2">
        <v>1058</v>
      </c>
      <c r="Z1825" s="19" t="str">
        <f>HYPERLINK("https://ssdweb.co/ssdweb/hd/Vision360.html?d=925840837&amp;zoomslide=1&amp;z=1925840837&amp;ISCONFIRM=0","VIDEO")</f>
        <v>VIDEO</v>
      </c>
      <c r="AA1825" s="19" t="str">
        <f>HYPERLINK("https://ssdweb.co/ssdweb/CERTH/627415103.pdf","CERTI")</f>
        <v>CERTI</v>
      </c>
    </row>
    <row r="1826" spans="1:27" ht="15" x14ac:dyDescent="0.25">
      <c r="A1826" s="2">
        <v>1821</v>
      </c>
      <c r="B1826" s="39">
        <v>926661566</v>
      </c>
      <c r="C1826" s="28" t="str">
        <f>HYPERLINK("https://pld.live/RapDetail.aspx?STONELIST=926661566","DNA")</f>
        <v>DNA</v>
      </c>
      <c r="D1826" s="18" t="s">
        <v>684</v>
      </c>
      <c r="E1826" s="18" t="s">
        <v>5128</v>
      </c>
      <c r="F1826" s="2" t="s">
        <v>7987</v>
      </c>
      <c r="G1826" s="2" t="s">
        <v>861</v>
      </c>
      <c r="H1826" s="14">
        <v>0.46</v>
      </c>
      <c r="I1826" s="2" t="s">
        <v>267</v>
      </c>
      <c r="J1826" s="2" t="s">
        <v>13</v>
      </c>
      <c r="K1826" s="2" t="s">
        <v>3390</v>
      </c>
      <c r="L1826" s="2" t="s">
        <v>5221</v>
      </c>
      <c r="M1826" s="2" t="s">
        <v>5721</v>
      </c>
      <c r="N1826" s="2" t="s">
        <v>2317</v>
      </c>
      <c r="O1826" s="14">
        <v>2300</v>
      </c>
      <c r="P1826" s="14">
        <v>94.83</v>
      </c>
      <c r="Q1826" s="14">
        <v>118.91</v>
      </c>
      <c r="R1826" s="14">
        <v>54.7</v>
      </c>
      <c r="S1826" s="2" t="s">
        <v>2779</v>
      </c>
      <c r="T1826" s="2">
        <v>1.01</v>
      </c>
      <c r="U1826" s="2">
        <v>62.3</v>
      </c>
      <c r="V1826" s="2">
        <v>59</v>
      </c>
      <c r="W1826" s="2" t="s">
        <v>7862</v>
      </c>
      <c r="X1826" s="2" t="s">
        <v>5405</v>
      </c>
      <c r="Y1826" s="2">
        <v>1058</v>
      </c>
      <c r="Z1826" s="19" t="str">
        <f>HYPERLINK("https://ssdweb.co/ssdweb/hd/Vision360.html?d=926661566&amp;zoomslide=1&amp;z=1926661566&amp;ISCONFIRM=0","VIDEO")</f>
        <v>VIDEO</v>
      </c>
      <c r="AA1826" s="19" t="str">
        <f>HYPERLINK("https://ssdweb.co/ssdweb/CERTH/668446532.pdf","CERTI")</f>
        <v>CERTI</v>
      </c>
    </row>
    <row r="1827" spans="1:27" ht="15" x14ac:dyDescent="0.25">
      <c r="A1827" s="2">
        <v>1822</v>
      </c>
      <c r="B1827" s="39">
        <v>925730874</v>
      </c>
      <c r="C1827" s="28" t="str">
        <f>HYPERLINK("https://pld.live/RapDetail.aspx?STONELIST=925730874","DNA")</f>
        <v>DNA</v>
      </c>
      <c r="D1827" s="18" t="s">
        <v>684</v>
      </c>
      <c r="E1827" s="18" t="s">
        <v>5128</v>
      </c>
      <c r="F1827" s="2" t="s">
        <v>7987</v>
      </c>
      <c r="G1827" s="2" t="s">
        <v>861</v>
      </c>
      <c r="H1827" s="14">
        <v>0.46</v>
      </c>
      <c r="I1827" s="2" t="s">
        <v>267</v>
      </c>
      <c r="J1827" s="2" t="s">
        <v>13</v>
      </c>
      <c r="K1827" s="2" t="s">
        <v>5221</v>
      </c>
      <c r="L1827" s="2" t="s">
        <v>5221</v>
      </c>
      <c r="M1827" s="2" t="s">
        <v>5221</v>
      </c>
      <c r="N1827" s="2" t="s">
        <v>2317</v>
      </c>
      <c r="O1827" s="14">
        <v>2300</v>
      </c>
      <c r="P1827" s="14">
        <v>94.96</v>
      </c>
      <c r="Q1827" s="14">
        <v>115.92</v>
      </c>
      <c r="R1827" s="14">
        <v>53.32</v>
      </c>
      <c r="S1827" s="2" t="s">
        <v>7247</v>
      </c>
      <c r="T1827" s="2">
        <v>1.01</v>
      </c>
      <c r="U1827" s="2">
        <v>58.2</v>
      </c>
      <c r="V1827" s="2">
        <v>62</v>
      </c>
      <c r="W1827" s="2" t="s">
        <v>7862</v>
      </c>
      <c r="X1827" s="2" t="s">
        <v>5405</v>
      </c>
      <c r="Y1827" s="2">
        <v>1058</v>
      </c>
      <c r="Z1827" s="19" t="str">
        <f>HYPERLINK("https://ssdweb.co/ssdweb/hd/Vision360.html?d=925730874&amp;zoomslide=1&amp;z=1925730874&amp;ISCONFIRM=0","VIDEO")</f>
        <v>VIDEO</v>
      </c>
      <c r="AA1827" s="19" t="str">
        <f>HYPERLINK("https://ssdweb.co/ssdweb/CERTH/624499567.pdf","CERTI")</f>
        <v>CERTI</v>
      </c>
    </row>
    <row r="1828" spans="1:27" ht="15" x14ac:dyDescent="0.25">
      <c r="A1828" s="2">
        <v>1823</v>
      </c>
      <c r="B1828" s="39">
        <v>926300915</v>
      </c>
      <c r="C1828" s="28" t="str">
        <f>HYPERLINK("https://pld.live/RapDetail.aspx?STONELIST=926300915","DNA")</f>
        <v>DNA</v>
      </c>
      <c r="D1828" s="18" t="s">
        <v>684</v>
      </c>
      <c r="E1828" s="18" t="s">
        <v>5128</v>
      </c>
      <c r="F1828" s="2" t="s">
        <v>7987</v>
      </c>
      <c r="G1828" s="2" t="s">
        <v>861</v>
      </c>
      <c r="H1828" s="14">
        <v>0.46</v>
      </c>
      <c r="I1828" s="2" t="s">
        <v>267</v>
      </c>
      <c r="J1828" s="2" t="s">
        <v>5144</v>
      </c>
      <c r="K1828" s="2" t="s">
        <v>5221</v>
      </c>
      <c r="L1828" s="2" t="s">
        <v>5221</v>
      </c>
      <c r="M1828" s="2" t="s">
        <v>5221</v>
      </c>
      <c r="N1828" s="2" t="s">
        <v>2317</v>
      </c>
      <c r="O1828" s="14">
        <v>2100</v>
      </c>
      <c r="P1828" s="14">
        <v>94.48</v>
      </c>
      <c r="Q1828" s="14">
        <v>115.92</v>
      </c>
      <c r="R1828" s="14">
        <v>53.32</v>
      </c>
      <c r="S1828" s="2" t="s">
        <v>7272</v>
      </c>
      <c r="T1828" s="2">
        <v>1.01</v>
      </c>
      <c r="U1828" s="2">
        <v>63.3</v>
      </c>
      <c r="V1828" s="2">
        <v>54</v>
      </c>
      <c r="W1828" s="2" t="s">
        <v>7862</v>
      </c>
      <c r="X1828" s="2" t="s">
        <v>5405</v>
      </c>
      <c r="Y1828" s="2">
        <v>966</v>
      </c>
      <c r="Z1828" s="19" t="str">
        <f>HYPERLINK("https://ssdweb.co/ssdweb/hd/Vision360.html?d=926300915&amp;zoomslide=1&amp;z=1926300915&amp;ISCONFIRM=0","VIDEO")</f>
        <v>VIDEO</v>
      </c>
      <c r="AA1828" s="19" t="str">
        <f>HYPERLINK("https://ssdweb.co/ssdweb/CERTH/639405994.pdf","CERTI")</f>
        <v>CERTI</v>
      </c>
    </row>
    <row r="1829" spans="1:27" ht="15" x14ac:dyDescent="0.25">
      <c r="A1829" s="2">
        <v>1824</v>
      </c>
      <c r="B1829" s="39">
        <v>926320951</v>
      </c>
      <c r="C1829" s="28" t="str">
        <f>HYPERLINK("https://pld.live/RapDetail.aspx?STONELIST=926320951","DNA")</f>
        <v>DNA</v>
      </c>
      <c r="D1829" s="18" t="s">
        <v>684</v>
      </c>
      <c r="E1829" s="18" t="s">
        <v>5128</v>
      </c>
      <c r="F1829" s="2" t="s">
        <v>7987</v>
      </c>
      <c r="G1829" s="2" t="s">
        <v>861</v>
      </c>
      <c r="H1829" s="14">
        <v>0.46</v>
      </c>
      <c r="I1829" s="2" t="s">
        <v>4761</v>
      </c>
      <c r="J1829" s="2" t="s">
        <v>13</v>
      </c>
      <c r="K1829" s="2" t="s">
        <v>3390</v>
      </c>
      <c r="L1829" s="2" t="s">
        <v>5721</v>
      </c>
      <c r="M1829" s="2" t="s">
        <v>5221</v>
      </c>
      <c r="N1829" s="2" t="s">
        <v>2317</v>
      </c>
      <c r="O1829" s="14">
        <v>2100</v>
      </c>
      <c r="P1829" s="14">
        <v>94.57</v>
      </c>
      <c r="Q1829" s="14">
        <v>114.03</v>
      </c>
      <c r="R1829" s="14">
        <v>52.45</v>
      </c>
      <c r="S1829" s="2" t="s">
        <v>6636</v>
      </c>
      <c r="T1829" s="2">
        <v>1.01</v>
      </c>
      <c r="U1829" s="2">
        <v>61.4</v>
      </c>
      <c r="V1829" s="2">
        <v>58</v>
      </c>
      <c r="W1829" s="2" t="s">
        <v>7862</v>
      </c>
      <c r="X1829" s="2" t="s">
        <v>5405</v>
      </c>
      <c r="Y1829" s="2">
        <v>966</v>
      </c>
      <c r="Z1829" s="19" t="str">
        <f>HYPERLINK("https://ssdweb.co/ssdweb/hd/Vision360.html?d=926320951&amp;zoomslide=1&amp;z=1926320951&amp;ISCONFIRM=0","VIDEO")</f>
        <v>VIDEO</v>
      </c>
      <c r="AA1829" s="19" t="str">
        <f>HYPERLINK("https://ssdweb.co/ssdweb/CERTH/646472878.pdf","CERTI")</f>
        <v>CERTI</v>
      </c>
    </row>
    <row r="1830" spans="1:27" ht="15" x14ac:dyDescent="0.25">
      <c r="A1830" s="2">
        <v>1825</v>
      </c>
      <c r="B1830" s="39">
        <v>926180856</v>
      </c>
      <c r="C1830" s="28" t="str">
        <f>HYPERLINK("https://pld.live/RapDetail.aspx?STONELIST=926180856","DNA")</f>
        <v>DNA</v>
      </c>
      <c r="D1830" s="18" t="s">
        <v>684</v>
      </c>
      <c r="E1830" s="18" t="s">
        <v>5128</v>
      </c>
      <c r="F1830" s="2" t="s">
        <v>7987</v>
      </c>
      <c r="G1830" s="2" t="s">
        <v>861</v>
      </c>
      <c r="H1830" s="14">
        <v>0.46</v>
      </c>
      <c r="I1830" s="2" t="s">
        <v>4761</v>
      </c>
      <c r="J1830" s="2" t="s">
        <v>13</v>
      </c>
      <c r="K1830" s="2" t="s">
        <v>5221</v>
      </c>
      <c r="L1830" s="2" t="s">
        <v>5721</v>
      </c>
      <c r="M1830" s="2" t="s">
        <v>5721</v>
      </c>
      <c r="N1830" s="2" t="s">
        <v>2317</v>
      </c>
      <c r="O1830" s="14">
        <v>2100</v>
      </c>
      <c r="P1830" s="14">
        <v>94.81</v>
      </c>
      <c r="Q1830" s="14">
        <v>108.99</v>
      </c>
      <c r="R1830" s="14">
        <v>50.14</v>
      </c>
      <c r="S1830" s="2" t="s">
        <v>4663</v>
      </c>
      <c r="T1830" s="2">
        <v>1</v>
      </c>
      <c r="U1830" s="2">
        <v>62.7</v>
      </c>
      <c r="V1830" s="2">
        <v>58</v>
      </c>
      <c r="W1830" s="2" t="s">
        <v>7862</v>
      </c>
      <c r="X1830" s="2" t="s">
        <v>5405</v>
      </c>
      <c r="Y1830" s="2">
        <v>966</v>
      </c>
      <c r="Z1830" s="19" t="str">
        <f>HYPERLINK("https://ssdweb.co/ssdweb/hd/Vision360.html?d=926180856&amp;zoomslide=1&amp;z=1926180856&amp;ISCONFIRM=0","VIDEO")</f>
        <v>VIDEO</v>
      </c>
      <c r="AA1830" s="19" t="str">
        <f>HYPERLINK("https://ssdweb.co/ssdweb/CERTH/634431357.pdf","CERTI")</f>
        <v>CERTI</v>
      </c>
    </row>
    <row r="1831" spans="1:27" ht="15" x14ac:dyDescent="0.25">
      <c r="A1831" s="2">
        <v>1826</v>
      </c>
      <c r="B1831" s="39">
        <v>926181012</v>
      </c>
      <c r="C1831" s="28" t="str">
        <f>HYPERLINK("https://pld.live/RapDetail.aspx?STONELIST=926181012","DNA")</f>
        <v>DNA</v>
      </c>
      <c r="D1831" s="18" t="s">
        <v>684</v>
      </c>
      <c r="E1831" s="18" t="s">
        <v>5128</v>
      </c>
      <c r="F1831" s="2" t="s">
        <v>7987</v>
      </c>
      <c r="G1831" s="2" t="s">
        <v>861</v>
      </c>
      <c r="H1831" s="14">
        <v>0.46</v>
      </c>
      <c r="I1831" s="2" t="s">
        <v>4761</v>
      </c>
      <c r="J1831" s="2" t="s">
        <v>13</v>
      </c>
      <c r="K1831" s="2" t="s">
        <v>5221</v>
      </c>
      <c r="L1831" s="2" t="s">
        <v>5721</v>
      </c>
      <c r="M1831" s="2" t="s">
        <v>5721</v>
      </c>
      <c r="N1831" s="2" t="s">
        <v>2317</v>
      </c>
      <c r="O1831" s="14">
        <v>2100</v>
      </c>
      <c r="P1831" s="14">
        <v>94.71</v>
      </c>
      <c r="Q1831" s="14">
        <v>111.09</v>
      </c>
      <c r="R1831" s="14">
        <v>51.1</v>
      </c>
      <c r="S1831" s="2" t="s">
        <v>1820</v>
      </c>
      <c r="T1831" s="2">
        <v>1.01</v>
      </c>
      <c r="U1831" s="2">
        <v>60.2</v>
      </c>
      <c r="V1831" s="2">
        <v>59</v>
      </c>
      <c r="W1831" s="2" t="s">
        <v>7862</v>
      </c>
      <c r="X1831" s="2" t="s">
        <v>5405</v>
      </c>
      <c r="Y1831" s="2">
        <v>966</v>
      </c>
      <c r="Z1831" s="19" t="str">
        <f>HYPERLINK("https://ssdweb.co/ssdweb/hd/Vision360.html?d=926181012&amp;zoomslide=1&amp;z=1926181012&amp;ISCONFIRM=0","VIDEO")</f>
        <v>VIDEO</v>
      </c>
      <c r="AA1831" s="19" t="str">
        <f>HYPERLINK("https://ssdweb.co/ssdweb/CERTH/636429680.pdf","CERTI")</f>
        <v>CERTI</v>
      </c>
    </row>
    <row r="1832" spans="1:27" ht="15" x14ac:dyDescent="0.25">
      <c r="A1832" s="2">
        <v>1827</v>
      </c>
      <c r="B1832" s="39">
        <v>926301247</v>
      </c>
      <c r="C1832" s="28" t="str">
        <f>HYPERLINK("https://pld.live/RapDetail.aspx?STONELIST=926301247","DNA")</f>
        <v>DNA</v>
      </c>
      <c r="D1832" s="18" t="s">
        <v>684</v>
      </c>
      <c r="E1832" s="18" t="s">
        <v>5128</v>
      </c>
      <c r="F1832" s="2" t="s">
        <v>7987</v>
      </c>
      <c r="G1832" s="2" t="s">
        <v>861</v>
      </c>
      <c r="H1832" s="14">
        <v>0.46</v>
      </c>
      <c r="I1832" s="2" t="s">
        <v>4761</v>
      </c>
      <c r="J1832" s="2" t="s">
        <v>5144</v>
      </c>
      <c r="K1832" s="2" t="s">
        <v>3390</v>
      </c>
      <c r="L1832" s="2" t="s">
        <v>5221</v>
      </c>
      <c r="M1832" s="2" t="s">
        <v>5221</v>
      </c>
      <c r="N1832" s="2" t="s">
        <v>2317</v>
      </c>
      <c r="O1832" s="14">
        <v>2000</v>
      </c>
      <c r="P1832" s="14">
        <v>94.25</v>
      </c>
      <c r="Q1832" s="14">
        <v>115</v>
      </c>
      <c r="R1832" s="14">
        <v>52.9</v>
      </c>
      <c r="S1832" s="2" t="s">
        <v>5509</v>
      </c>
      <c r="T1832" s="2">
        <v>1</v>
      </c>
      <c r="U1832" s="2">
        <v>62.3</v>
      </c>
      <c r="V1832" s="2">
        <v>59</v>
      </c>
      <c r="W1832" s="2" t="s">
        <v>7862</v>
      </c>
      <c r="X1832" s="2" t="s">
        <v>5405</v>
      </c>
      <c r="Y1832" s="2">
        <v>920</v>
      </c>
      <c r="Z1832" s="19" t="str">
        <f>HYPERLINK("https://ssdweb.co/ssdweb/hd/Vision360.html?d=926301247&amp;zoomslide=1&amp;z=1926301247&amp;ISCONFIRM=0","VIDEO")</f>
        <v>VIDEO</v>
      </c>
      <c r="AA1832" s="19" t="str">
        <f>HYPERLINK("https://ssdweb.co/ssdweb/CERTH/642497656.pdf","CERTI")</f>
        <v>CERTI</v>
      </c>
    </row>
    <row r="1833" spans="1:27" ht="15" x14ac:dyDescent="0.25">
      <c r="A1833" s="2">
        <v>1828</v>
      </c>
      <c r="B1833" s="39">
        <v>925910249</v>
      </c>
      <c r="C1833" s="28" t="str">
        <f>HYPERLINK("https://pld.live/RapDetail.aspx?STONELIST=925910249","DNA")</f>
        <v>DNA</v>
      </c>
      <c r="D1833" s="18" t="s">
        <v>684</v>
      </c>
      <c r="E1833" s="18" t="s">
        <v>5128</v>
      </c>
      <c r="F1833" s="2" t="s">
        <v>7987</v>
      </c>
      <c r="G1833" s="2" t="s">
        <v>861</v>
      </c>
      <c r="H1833" s="14">
        <v>0.45</v>
      </c>
      <c r="I1833" s="2" t="s">
        <v>267</v>
      </c>
      <c r="J1833" s="2" t="s">
        <v>3942</v>
      </c>
      <c r="K1833" s="2" t="s">
        <v>5221</v>
      </c>
      <c r="L1833" s="2" t="s">
        <v>5221</v>
      </c>
      <c r="M1833" s="2" t="s">
        <v>5221</v>
      </c>
      <c r="N1833" s="2" t="s">
        <v>2317</v>
      </c>
      <c r="O1833" s="14">
        <v>2500</v>
      </c>
      <c r="P1833" s="14">
        <v>95.12</v>
      </c>
      <c r="Q1833" s="14">
        <v>122</v>
      </c>
      <c r="R1833" s="14">
        <v>54.9</v>
      </c>
      <c r="S1833" s="2" t="s">
        <v>4670</v>
      </c>
      <c r="T1833" s="2">
        <v>1.01</v>
      </c>
      <c r="U1833" s="2">
        <v>62.9</v>
      </c>
      <c r="V1833" s="2">
        <v>55</v>
      </c>
      <c r="W1833" s="2" t="s">
        <v>7862</v>
      </c>
      <c r="X1833" s="2" t="s">
        <v>5405</v>
      </c>
      <c r="Y1833" s="2">
        <v>1125</v>
      </c>
      <c r="Z1833" s="19" t="str">
        <f>HYPERLINK("https://ssdweb.co/ssdweb/hd/Vision360.html?d=925910249&amp;zoomslide=1&amp;z=1925910249&amp;ISCONFIRM=0","VIDEO")</f>
        <v>VIDEO</v>
      </c>
      <c r="AA1833" s="19" t="str">
        <f>HYPERLINK("https://ssdweb.co/ssdweb/CERTH/627473124.pdf","CERTI")</f>
        <v>CERTI</v>
      </c>
    </row>
    <row r="1834" spans="1:27" ht="15" x14ac:dyDescent="0.25">
      <c r="A1834" s="2">
        <v>1829</v>
      </c>
      <c r="B1834" s="39">
        <v>925750523</v>
      </c>
      <c r="C1834" s="28" t="str">
        <f>HYPERLINK("https://pld.live/RapDetail.aspx?STONELIST=925750523","DNA")</f>
        <v>DNA</v>
      </c>
      <c r="D1834" s="18" t="s">
        <v>684</v>
      </c>
      <c r="E1834" s="18" t="s">
        <v>5128</v>
      </c>
      <c r="F1834" s="2" t="s">
        <v>7987</v>
      </c>
      <c r="G1834" s="2" t="s">
        <v>861</v>
      </c>
      <c r="H1834" s="14">
        <v>0.45</v>
      </c>
      <c r="I1834" s="2" t="s">
        <v>267</v>
      </c>
      <c r="J1834" s="2" t="s">
        <v>13</v>
      </c>
      <c r="K1834" s="2" t="s">
        <v>5221</v>
      </c>
      <c r="L1834" s="2" t="s">
        <v>5221</v>
      </c>
      <c r="M1834" s="2" t="s">
        <v>5221</v>
      </c>
      <c r="N1834" s="2" t="s">
        <v>2317</v>
      </c>
      <c r="O1834" s="14">
        <v>2300</v>
      </c>
      <c r="P1834" s="14">
        <v>94.96</v>
      </c>
      <c r="Q1834" s="14">
        <v>115.92</v>
      </c>
      <c r="R1834" s="14">
        <v>52.16</v>
      </c>
      <c r="S1834" s="2" t="s">
        <v>5495</v>
      </c>
      <c r="T1834" s="2">
        <v>1.01</v>
      </c>
      <c r="U1834" s="2">
        <v>62.9</v>
      </c>
      <c r="V1834" s="2">
        <v>57</v>
      </c>
      <c r="W1834" s="2" t="s">
        <v>7862</v>
      </c>
      <c r="X1834" s="2" t="s">
        <v>5405</v>
      </c>
      <c r="Y1834" s="2">
        <v>1035</v>
      </c>
      <c r="Z1834" s="19" t="str">
        <f>HYPERLINK("https://ssdweb.co/ssdweb/hd/Vision360.html?d=925750523&amp;zoomslide=1&amp;z=1925750523&amp;ISCONFIRM=0","VIDEO")</f>
        <v>VIDEO</v>
      </c>
      <c r="AA1834" s="19" t="str">
        <f>HYPERLINK("https://ssdweb.co/ssdweb/CERTH/623492946.pdf","CERTI")</f>
        <v>CERTI</v>
      </c>
    </row>
    <row r="1835" spans="1:27" ht="15" x14ac:dyDescent="0.25">
      <c r="A1835" s="2">
        <v>1830</v>
      </c>
      <c r="B1835" s="39">
        <v>925870605</v>
      </c>
      <c r="C1835" s="28" t="str">
        <f>HYPERLINK("https://pld.live/RapDetail.aspx?STONELIST=925870605","DNA")</f>
        <v>DNA</v>
      </c>
      <c r="D1835" s="18" t="s">
        <v>684</v>
      </c>
      <c r="E1835" s="18" t="s">
        <v>5128</v>
      </c>
      <c r="F1835" s="2" t="s">
        <v>7987</v>
      </c>
      <c r="G1835" s="2" t="s">
        <v>861</v>
      </c>
      <c r="H1835" s="14">
        <v>0.45</v>
      </c>
      <c r="I1835" s="2" t="s">
        <v>267</v>
      </c>
      <c r="J1835" s="2" t="s">
        <v>13</v>
      </c>
      <c r="K1835" s="2" t="s">
        <v>5221</v>
      </c>
      <c r="L1835" s="2" t="s">
        <v>5221</v>
      </c>
      <c r="M1835" s="2" t="s">
        <v>5221</v>
      </c>
      <c r="N1835" s="2" t="s">
        <v>2317</v>
      </c>
      <c r="O1835" s="14">
        <v>2300</v>
      </c>
      <c r="P1835" s="14">
        <v>94.96</v>
      </c>
      <c r="Q1835" s="14">
        <v>115.92</v>
      </c>
      <c r="R1835" s="14">
        <v>52.16</v>
      </c>
      <c r="S1835" s="2" t="s">
        <v>4006</v>
      </c>
      <c r="T1835" s="2">
        <v>1.01</v>
      </c>
      <c r="U1835" s="2">
        <v>62.8</v>
      </c>
      <c r="V1835" s="2">
        <v>57</v>
      </c>
      <c r="W1835" s="2" t="s">
        <v>7862</v>
      </c>
      <c r="X1835" s="2" t="s">
        <v>5405</v>
      </c>
      <c r="Y1835" s="2">
        <v>1035</v>
      </c>
      <c r="Z1835" s="19" t="str">
        <f>HYPERLINK("https://ssdweb.co/ssdweb/hd/Vision360.html?d=925870605&amp;zoomslide=1&amp;z=1925870605&amp;ISCONFIRM=0","VIDEO")</f>
        <v>VIDEO</v>
      </c>
      <c r="AA1835" s="19" t="str">
        <f>HYPERLINK("https://ssdweb.co/ssdweb/CERTH/629435568.pdf","CERTI")</f>
        <v>CERTI</v>
      </c>
    </row>
    <row r="1836" spans="1:27" ht="15" x14ac:dyDescent="0.25">
      <c r="A1836" s="2">
        <v>1831</v>
      </c>
      <c r="B1836" s="39">
        <v>821127842</v>
      </c>
      <c r="C1836" s="28" t="str">
        <f>HYPERLINK("https://pld.live/RapDetail.aspx?STONELIST=821127842","DNA")</f>
        <v>DNA</v>
      </c>
      <c r="D1836" s="18" t="s">
        <v>684</v>
      </c>
      <c r="E1836" s="18" t="s">
        <v>5128</v>
      </c>
      <c r="F1836" s="2" t="s">
        <v>7987</v>
      </c>
      <c r="G1836" s="2" t="s">
        <v>861</v>
      </c>
      <c r="H1836" s="14">
        <v>0.45</v>
      </c>
      <c r="I1836" s="2" t="s">
        <v>267</v>
      </c>
      <c r="J1836" s="2" t="s">
        <v>13</v>
      </c>
      <c r="K1836" s="2" t="s">
        <v>5221</v>
      </c>
      <c r="L1836" s="2" t="s">
        <v>5721</v>
      </c>
      <c r="M1836" s="2" t="s">
        <v>5221</v>
      </c>
      <c r="N1836" s="2" t="s">
        <v>2317</v>
      </c>
      <c r="O1836" s="14">
        <v>2300</v>
      </c>
      <c r="P1836" s="14">
        <v>95.09</v>
      </c>
      <c r="Q1836" s="14">
        <v>112.93</v>
      </c>
      <c r="R1836" s="14">
        <v>50.82</v>
      </c>
      <c r="S1836" s="2" t="s">
        <v>1331</v>
      </c>
      <c r="T1836" s="2">
        <v>1</v>
      </c>
      <c r="U1836" s="2">
        <v>63.2</v>
      </c>
      <c r="V1836" s="2">
        <v>58</v>
      </c>
      <c r="W1836" s="2" t="s">
        <v>7862</v>
      </c>
      <c r="X1836" s="2" t="s">
        <v>5405</v>
      </c>
      <c r="Y1836" s="2">
        <v>1035</v>
      </c>
      <c r="Z1836" s="19" t="str">
        <f>HYPERLINK("https://ssdweb.co/ssdweb/hd/Vision360.html?d=821127842&amp;zoomslide=1&amp;z=1821127842&amp;ISCONFIRM=0","VIDEO")</f>
        <v>VIDEO</v>
      </c>
      <c r="AA1836" s="19" t="str">
        <f>HYPERLINK("https://ssdweb.co/ssdweb/CERTH/633499558.pdf","CERTI")</f>
        <v>CERTI</v>
      </c>
    </row>
    <row r="1837" spans="1:27" ht="15" x14ac:dyDescent="0.25">
      <c r="A1837" s="2">
        <v>1832</v>
      </c>
      <c r="B1837" s="39">
        <v>925840680</v>
      </c>
      <c r="C1837" s="28" t="str">
        <f>HYPERLINK("https://pld.live/RapDetail.aspx?STONELIST=925840680","DNA")</f>
        <v>DNA</v>
      </c>
      <c r="D1837" s="18" t="s">
        <v>2802</v>
      </c>
      <c r="E1837" s="18" t="s">
        <v>5128</v>
      </c>
      <c r="F1837" s="2" t="s">
        <v>5597</v>
      </c>
      <c r="G1837" s="2" t="s">
        <v>861</v>
      </c>
      <c r="H1837" s="14">
        <v>0.44</v>
      </c>
      <c r="I1837" s="2" t="s">
        <v>267</v>
      </c>
      <c r="J1837" s="2" t="s">
        <v>6555</v>
      </c>
      <c r="K1837" s="2" t="s">
        <v>5221</v>
      </c>
      <c r="L1837" s="2" t="s">
        <v>5221</v>
      </c>
      <c r="M1837" s="2" t="s">
        <v>5221</v>
      </c>
      <c r="N1837" s="2" t="s">
        <v>2317</v>
      </c>
      <c r="O1837" s="14">
        <v>2900</v>
      </c>
      <c r="P1837" s="14">
        <v>90.45</v>
      </c>
      <c r="Q1837" s="14">
        <v>276.95</v>
      </c>
      <c r="R1837" s="14">
        <v>121.86</v>
      </c>
      <c r="S1837" s="2" t="s">
        <v>6151</v>
      </c>
      <c r="T1837" s="2">
        <v>1.01</v>
      </c>
      <c r="U1837" s="2">
        <v>61.6</v>
      </c>
      <c r="V1837" s="2">
        <v>58</v>
      </c>
      <c r="W1837" s="2" t="s">
        <v>7862</v>
      </c>
      <c r="X1837" s="2" t="s">
        <v>5405</v>
      </c>
      <c r="Y1837" s="2">
        <v>1276</v>
      </c>
      <c r="Z1837" s="19" t="str">
        <f>HYPERLINK("https://ssdweb.co/ssdweb/hd/Vision360.html?d=925840680&amp;zoomslide=1&amp;z=1925840680&amp;ISCONFIRM=0","VIDEO")</f>
        <v>VIDEO</v>
      </c>
      <c r="AA1837" s="19" t="str">
        <f>HYPERLINK("https://ssdweb.co/ssdweb/CERTH/6485892190.pdf","CERTI")</f>
        <v>CERTI</v>
      </c>
    </row>
    <row r="1838" spans="1:27" ht="15" x14ac:dyDescent="0.25">
      <c r="A1838" s="2">
        <v>1833</v>
      </c>
      <c r="B1838" s="39">
        <v>925910666</v>
      </c>
      <c r="C1838" s="28" t="str">
        <f>HYPERLINK("https://pld.live/RapDetail.aspx?STONELIST=925910666","DNA")</f>
        <v>DNA</v>
      </c>
      <c r="D1838" s="18" t="s">
        <v>2802</v>
      </c>
      <c r="E1838" s="18" t="s">
        <v>5128</v>
      </c>
      <c r="F1838" s="2" t="s">
        <v>5597</v>
      </c>
      <c r="G1838" s="2" t="s">
        <v>861</v>
      </c>
      <c r="H1838" s="14">
        <v>0.44</v>
      </c>
      <c r="I1838" s="2" t="s">
        <v>267</v>
      </c>
      <c r="J1838" s="2" t="s">
        <v>3942</v>
      </c>
      <c r="K1838" s="2" t="s">
        <v>5221</v>
      </c>
      <c r="L1838" s="2" t="s">
        <v>5221</v>
      </c>
      <c r="M1838" s="2" t="s">
        <v>5221</v>
      </c>
      <c r="N1838" s="2" t="s">
        <v>2317</v>
      </c>
      <c r="O1838" s="14">
        <v>2500</v>
      </c>
      <c r="P1838" s="14">
        <v>89.68</v>
      </c>
      <c r="Q1838" s="14">
        <v>258</v>
      </c>
      <c r="R1838" s="14">
        <v>113.52</v>
      </c>
      <c r="S1838" s="2" t="s">
        <v>5810</v>
      </c>
      <c r="T1838" s="2">
        <v>1.01</v>
      </c>
      <c r="U1838" s="2">
        <v>62.8</v>
      </c>
      <c r="V1838" s="2">
        <v>56</v>
      </c>
      <c r="W1838" s="2" t="s">
        <v>7862</v>
      </c>
      <c r="X1838" s="2" t="s">
        <v>5405</v>
      </c>
      <c r="Y1838" s="2">
        <v>1100</v>
      </c>
      <c r="Z1838" s="19" t="str">
        <f>HYPERLINK("https://ssdweb.co/ssdweb/hd/Vision360.html?d=925910666&amp;zoomslide=1&amp;z=1925910666&amp;ISCONFIRM=0","VIDEO")</f>
        <v>VIDEO</v>
      </c>
      <c r="AA1838" s="19" t="str">
        <f>HYPERLINK("https://ssdweb.co/ssdweb/CERTH/6481994215.pdf","CERTI")</f>
        <v>CERTI</v>
      </c>
    </row>
    <row r="1839" spans="1:27" ht="15" x14ac:dyDescent="0.25">
      <c r="A1839" s="2">
        <v>1834</v>
      </c>
      <c r="B1839" s="39">
        <v>926101532</v>
      </c>
      <c r="C1839" s="28" t="str">
        <f>HYPERLINK("https://pld.live/RapDetail.aspx?STONELIST=926101532","DNA")</f>
        <v>DNA</v>
      </c>
      <c r="D1839" s="18" t="s">
        <v>2802</v>
      </c>
      <c r="E1839" s="18" t="s">
        <v>5128</v>
      </c>
      <c r="F1839" s="2" t="s">
        <v>7987</v>
      </c>
      <c r="G1839" s="2" t="s">
        <v>861</v>
      </c>
      <c r="H1839" s="14">
        <v>0.44</v>
      </c>
      <c r="I1839" s="2" t="s">
        <v>267</v>
      </c>
      <c r="J1839" s="2" t="s">
        <v>13</v>
      </c>
      <c r="K1839" s="2" t="s">
        <v>3390</v>
      </c>
      <c r="L1839" s="2" t="s">
        <v>5221</v>
      </c>
      <c r="M1839" s="2" t="s">
        <v>5221</v>
      </c>
      <c r="N1839" s="2" t="s">
        <v>2317</v>
      </c>
      <c r="O1839" s="14">
        <v>2300</v>
      </c>
      <c r="P1839" s="14">
        <v>94.96</v>
      </c>
      <c r="Q1839" s="14">
        <v>115.92</v>
      </c>
      <c r="R1839" s="14">
        <v>51</v>
      </c>
      <c r="S1839" s="2" t="s">
        <v>4181</v>
      </c>
      <c r="T1839" s="2">
        <v>1.01</v>
      </c>
      <c r="U1839" s="2">
        <v>61.4</v>
      </c>
      <c r="V1839" s="2">
        <v>59</v>
      </c>
      <c r="W1839" s="2" t="s">
        <v>7862</v>
      </c>
      <c r="X1839" s="2" t="s">
        <v>5405</v>
      </c>
      <c r="Y1839" s="2">
        <v>1012</v>
      </c>
      <c r="Z1839" s="19" t="str">
        <f>HYPERLINK("https://ssdweb.co/ssdweb/hd/Vision360.html?d=926101532&amp;zoomslide=1&amp;z=1926101532&amp;ISCONFIRM=0","VIDEO")</f>
        <v>VIDEO</v>
      </c>
      <c r="AA1839" s="19" t="str">
        <f>HYPERLINK("https://ssdweb.co/ssdweb/CERTH/632404588.pdf","CERTI")</f>
        <v>CERTI</v>
      </c>
    </row>
    <row r="1840" spans="1:27" ht="15" x14ac:dyDescent="0.25">
      <c r="A1840" s="2">
        <v>1835</v>
      </c>
      <c r="B1840" s="39">
        <v>925870547</v>
      </c>
      <c r="C1840" s="28" t="str">
        <f>HYPERLINK("https://pld.live/RapDetail.aspx?STONELIST=925870547","DNA")</f>
        <v>DNA</v>
      </c>
      <c r="D1840" s="18" t="s">
        <v>2802</v>
      </c>
      <c r="E1840" s="18" t="s">
        <v>5128</v>
      </c>
      <c r="F1840" s="2" t="s">
        <v>7987</v>
      </c>
      <c r="G1840" s="2" t="s">
        <v>861</v>
      </c>
      <c r="H1840" s="14">
        <v>0.44</v>
      </c>
      <c r="I1840" s="2" t="s">
        <v>267</v>
      </c>
      <c r="J1840" s="2" t="s">
        <v>13</v>
      </c>
      <c r="K1840" s="2" t="s">
        <v>3390</v>
      </c>
      <c r="L1840" s="2" t="s">
        <v>5221</v>
      </c>
      <c r="M1840" s="2" t="s">
        <v>5721</v>
      </c>
      <c r="N1840" s="2" t="s">
        <v>2317</v>
      </c>
      <c r="O1840" s="14">
        <v>2300</v>
      </c>
      <c r="P1840" s="14">
        <v>95.09</v>
      </c>
      <c r="Q1840" s="14">
        <v>112.93</v>
      </c>
      <c r="R1840" s="14">
        <v>49.69</v>
      </c>
      <c r="S1840" s="2" t="s">
        <v>2963</v>
      </c>
      <c r="T1840" s="2">
        <v>1.01</v>
      </c>
      <c r="U1840" s="2">
        <v>60.7</v>
      </c>
      <c r="V1840" s="2">
        <v>60</v>
      </c>
      <c r="W1840" s="2" t="s">
        <v>7862</v>
      </c>
      <c r="X1840" s="2" t="s">
        <v>5405</v>
      </c>
      <c r="Y1840" s="2">
        <v>1012</v>
      </c>
      <c r="Z1840" s="19" t="str">
        <f>HYPERLINK("https://ssdweb.co/ssdweb/hd/Vision360.html?d=925870547&amp;zoomslide=1&amp;z=1925870547&amp;ISCONFIRM=0","VIDEO")</f>
        <v>VIDEO</v>
      </c>
      <c r="AA1840" s="19" t="str">
        <f>HYPERLINK("https://ssdweb.co/ssdweb/CERTH/627415107.pdf","CERTI")</f>
        <v>CERTI</v>
      </c>
    </row>
    <row r="1841" spans="1:27" ht="15" x14ac:dyDescent="0.25">
      <c r="A1841" s="2">
        <v>1836</v>
      </c>
      <c r="B1841" s="39">
        <v>925840786</v>
      </c>
      <c r="C1841" s="28" t="str">
        <f>HYPERLINK("https://pld.live/RapDetail.aspx?STONELIST=925840786","DNA")</f>
        <v>DNA</v>
      </c>
      <c r="D1841" s="18" t="s">
        <v>2802</v>
      </c>
      <c r="E1841" s="18" t="s">
        <v>5128</v>
      </c>
      <c r="F1841" s="2" t="s">
        <v>5597</v>
      </c>
      <c r="G1841" s="2" t="s">
        <v>861</v>
      </c>
      <c r="H1841" s="14">
        <v>0.44</v>
      </c>
      <c r="I1841" s="2" t="s">
        <v>267</v>
      </c>
      <c r="J1841" s="2" t="s">
        <v>13</v>
      </c>
      <c r="K1841" s="2" t="s">
        <v>5221</v>
      </c>
      <c r="L1841" s="2" t="s">
        <v>5221</v>
      </c>
      <c r="M1841" s="2" t="s">
        <v>5221</v>
      </c>
      <c r="N1841" s="2" t="s">
        <v>2317</v>
      </c>
      <c r="O1841" s="14">
        <v>2300</v>
      </c>
      <c r="P1841" s="14">
        <v>89.57</v>
      </c>
      <c r="Q1841" s="14">
        <v>239.89</v>
      </c>
      <c r="R1841" s="14">
        <v>105.55</v>
      </c>
      <c r="S1841" s="2" t="s">
        <v>311</v>
      </c>
      <c r="T1841" s="2">
        <v>1.01</v>
      </c>
      <c r="U1841" s="2">
        <v>61.1</v>
      </c>
      <c r="V1841" s="2">
        <v>59</v>
      </c>
      <c r="W1841" s="2" t="s">
        <v>7862</v>
      </c>
      <c r="X1841" s="2" t="s">
        <v>5405</v>
      </c>
      <c r="Y1841" s="2">
        <v>1012</v>
      </c>
      <c r="Z1841" s="19" t="str">
        <f>HYPERLINK("https://ssdweb.co/ssdweb/hd/Vision360.html?d=925840786&amp;zoomslide=1&amp;z=1925840786&amp;ISCONFIRM=0","VIDEO")</f>
        <v>VIDEO</v>
      </c>
      <c r="AA1841" s="19" t="str">
        <f>HYPERLINK("https://ssdweb.co/ssdweb/CERTH/7488907298.pdf","CERTI")</f>
        <v>CERTI</v>
      </c>
    </row>
    <row r="1842" spans="1:27" ht="15" x14ac:dyDescent="0.25">
      <c r="A1842" s="2">
        <v>1837</v>
      </c>
      <c r="B1842" s="39">
        <v>925780345</v>
      </c>
      <c r="C1842" s="28" t="str">
        <f>HYPERLINK("https://pld.live/RapDetail.aspx?STONELIST=925780345","DNA")</f>
        <v>DNA</v>
      </c>
      <c r="D1842" s="18" t="s">
        <v>2802</v>
      </c>
      <c r="E1842" s="18" t="s">
        <v>5128</v>
      </c>
      <c r="F1842" s="2" t="s">
        <v>5597</v>
      </c>
      <c r="G1842" s="2" t="s">
        <v>861</v>
      </c>
      <c r="H1842" s="14">
        <v>0.44</v>
      </c>
      <c r="I1842" s="2" t="s">
        <v>267</v>
      </c>
      <c r="J1842" s="2" t="s">
        <v>13</v>
      </c>
      <c r="K1842" s="2" t="s">
        <v>5221</v>
      </c>
      <c r="L1842" s="2" t="s">
        <v>5221</v>
      </c>
      <c r="M1842" s="2" t="s">
        <v>5221</v>
      </c>
      <c r="N1842" s="2" t="s">
        <v>2317</v>
      </c>
      <c r="O1842" s="14">
        <v>2300</v>
      </c>
      <c r="P1842" s="14">
        <v>89.57</v>
      </c>
      <c r="Q1842" s="14">
        <v>239.89</v>
      </c>
      <c r="R1842" s="14">
        <v>105.55</v>
      </c>
      <c r="S1842" s="2" t="s">
        <v>6468</v>
      </c>
      <c r="T1842" s="2">
        <v>1</v>
      </c>
      <c r="U1842" s="2">
        <v>62.3</v>
      </c>
      <c r="V1842" s="2">
        <v>57</v>
      </c>
      <c r="W1842" s="2" t="s">
        <v>7862</v>
      </c>
      <c r="X1842" s="2" t="s">
        <v>5405</v>
      </c>
      <c r="Y1842" s="2">
        <v>1012</v>
      </c>
      <c r="Z1842" s="19" t="str">
        <f>HYPERLINK("https://ssdweb.co/ssdweb/hd/Vision360.html?d=925780345&amp;zoomslide=1&amp;z=1925780345&amp;ISCONFIRM=0","VIDEO")</f>
        <v>VIDEO</v>
      </c>
      <c r="AA1842" s="19" t="str">
        <f>HYPERLINK("https://ssdweb.co/ssdweb/CERTH/2484716539.pdf","CERTI")</f>
        <v>CERTI</v>
      </c>
    </row>
    <row r="1843" spans="1:27" ht="15" x14ac:dyDescent="0.25">
      <c r="A1843" s="2">
        <v>1838</v>
      </c>
      <c r="B1843" s="39">
        <v>821121164</v>
      </c>
      <c r="C1843" s="28" t="str">
        <f>HYPERLINK("https://pld.live/RapDetail.aspx?STONELIST=821121164","DNA")</f>
        <v>DNA</v>
      </c>
      <c r="D1843" s="18" t="s">
        <v>2802</v>
      </c>
      <c r="E1843" s="18" t="s">
        <v>5128</v>
      </c>
      <c r="F1843" s="2" t="s">
        <v>7987</v>
      </c>
      <c r="G1843" s="2" t="s">
        <v>861</v>
      </c>
      <c r="H1843" s="14">
        <v>0.44</v>
      </c>
      <c r="I1843" s="2" t="s">
        <v>267</v>
      </c>
      <c r="J1843" s="2" t="s">
        <v>13</v>
      </c>
      <c r="K1843" s="2" t="s">
        <v>5221</v>
      </c>
      <c r="L1843" s="2" t="s">
        <v>5221</v>
      </c>
      <c r="M1843" s="2" t="s">
        <v>5221</v>
      </c>
      <c r="N1843" s="2" t="s">
        <v>2317</v>
      </c>
      <c r="O1843" s="14">
        <v>2300</v>
      </c>
      <c r="P1843" s="14">
        <v>94.96</v>
      </c>
      <c r="Q1843" s="14">
        <v>115.92</v>
      </c>
      <c r="R1843" s="14">
        <v>51</v>
      </c>
      <c r="S1843" s="2" t="s">
        <v>3479</v>
      </c>
      <c r="T1843" s="2">
        <v>0.99</v>
      </c>
      <c r="U1843" s="2">
        <v>62.2</v>
      </c>
      <c r="V1843" s="2">
        <v>56</v>
      </c>
      <c r="W1843" s="2" t="s">
        <v>7862</v>
      </c>
      <c r="X1843" s="2" t="s">
        <v>5405</v>
      </c>
      <c r="Y1843" s="2">
        <v>1012</v>
      </c>
      <c r="Z1843" s="19" t="str">
        <f>HYPERLINK("https://ssdweb.co/ssdweb/hd/Vision360.html?d=821121164&amp;zoomslide=1&amp;z=1821121164&amp;ISCONFIRM=0","VIDEO")</f>
        <v>VIDEO</v>
      </c>
      <c r="AA1843" s="19" t="str">
        <f>HYPERLINK("https://ssdweb.co/ssdweb/CERTH/588354887.pdf","CERTI")</f>
        <v>CERTI</v>
      </c>
    </row>
    <row r="1844" spans="1:27" ht="15" x14ac:dyDescent="0.25">
      <c r="A1844" s="2">
        <v>1839</v>
      </c>
      <c r="B1844" s="39">
        <v>821127841</v>
      </c>
      <c r="C1844" s="28" t="str">
        <f>HYPERLINK("https://pld.live/RapDetail.aspx?STONELIST=821127841","DNA")</f>
        <v>DNA</v>
      </c>
      <c r="D1844" s="18" t="s">
        <v>2802</v>
      </c>
      <c r="E1844" s="18" t="s">
        <v>5128</v>
      </c>
      <c r="F1844" s="2" t="s">
        <v>7987</v>
      </c>
      <c r="G1844" s="2" t="s">
        <v>861</v>
      </c>
      <c r="H1844" s="14">
        <v>0.44</v>
      </c>
      <c r="I1844" s="2" t="s">
        <v>267</v>
      </c>
      <c r="J1844" s="2" t="s">
        <v>13</v>
      </c>
      <c r="K1844" s="2" t="s">
        <v>5221</v>
      </c>
      <c r="L1844" s="2" t="s">
        <v>5221</v>
      </c>
      <c r="M1844" s="2" t="s">
        <v>5221</v>
      </c>
      <c r="N1844" s="2" t="s">
        <v>2317</v>
      </c>
      <c r="O1844" s="14">
        <v>2300</v>
      </c>
      <c r="P1844" s="14">
        <v>94.96</v>
      </c>
      <c r="Q1844" s="14">
        <v>115.92</v>
      </c>
      <c r="R1844" s="14">
        <v>51</v>
      </c>
      <c r="S1844" s="2" t="s">
        <v>5779</v>
      </c>
      <c r="T1844" s="2">
        <v>1.01</v>
      </c>
      <c r="U1844" s="2">
        <v>61.7</v>
      </c>
      <c r="V1844" s="2">
        <v>62</v>
      </c>
      <c r="W1844" s="2" t="s">
        <v>7862</v>
      </c>
      <c r="X1844" s="2" t="s">
        <v>5405</v>
      </c>
      <c r="Y1844" s="2">
        <v>1012</v>
      </c>
      <c r="Z1844" s="19" t="str">
        <f>HYPERLINK("https://ssdweb.co/ssdweb/hd/Vision360.html?d=821127841&amp;zoomslide=1&amp;z=1821127841&amp;ISCONFIRM=0","VIDEO")</f>
        <v>VIDEO</v>
      </c>
      <c r="AA1844" s="19" t="str">
        <f>HYPERLINK("https://ssdweb.co/ssdweb/CERTH/633499557.pdf","CERTI")</f>
        <v>CERTI</v>
      </c>
    </row>
    <row r="1845" spans="1:27" ht="15" x14ac:dyDescent="0.25">
      <c r="A1845" s="2">
        <v>1840</v>
      </c>
      <c r="B1845" s="39">
        <v>925220049</v>
      </c>
      <c r="C1845" s="28" t="str">
        <f>HYPERLINK("https://pld.live/RapDetail.aspx?STONELIST=925220049","DNA")</f>
        <v>DNA</v>
      </c>
      <c r="D1845" s="18" t="s">
        <v>2802</v>
      </c>
      <c r="E1845" s="18" t="s">
        <v>5128</v>
      </c>
      <c r="F1845" s="2" t="s">
        <v>5597</v>
      </c>
      <c r="G1845" s="2" t="s">
        <v>861</v>
      </c>
      <c r="H1845" s="14">
        <v>0.44</v>
      </c>
      <c r="I1845" s="2" t="s">
        <v>267</v>
      </c>
      <c r="J1845" s="2" t="s">
        <v>13</v>
      </c>
      <c r="K1845" s="2" t="s">
        <v>5221</v>
      </c>
      <c r="L1845" s="2" t="s">
        <v>5221</v>
      </c>
      <c r="M1845" s="2" t="s">
        <v>5221</v>
      </c>
      <c r="N1845" s="2" t="s">
        <v>2317</v>
      </c>
      <c r="O1845" s="14">
        <v>2300</v>
      </c>
      <c r="P1845" s="14">
        <v>89.57</v>
      </c>
      <c r="Q1845" s="14">
        <v>239.89</v>
      </c>
      <c r="R1845" s="14">
        <v>105.55</v>
      </c>
      <c r="S1845" s="2" t="s">
        <v>777</v>
      </c>
      <c r="T1845" s="2">
        <v>1.01</v>
      </c>
      <c r="U1845" s="2">
        <v>61.1</v>
      </c>
      <c r="V1845" s="2">
        <v>59</v>
      </c>
      <c r="W1845" s="2" t="s">
        <v>7862</v>
      </c>
      <c r="X1845" s="2" t="s">
        <v>5405</v>
      </c>
      <c r="Y1845" s="2">
        <v>1012</v>
      </c>
      <c r="Z1845" s="19" t="str">
        <f>HYPERLINK("https://ssdweb.co/ssdweb/hd/Vision360.html?d=925220049&amp;zoomslide=1&amp;z=1925220049&amp;ISCONFIRM=0","VIDEO")</f>
        <v>VIDEO</v>
      </c>
      <c r="AA1845" s="19" t="str">
        <f>HYPERLINK("https://ssdweb.co/ssdweb/CERTH/7483175630.pdf","CERTI")</f>
        <v>CERTI</v>
      </c>
    </row>
    <row r="1846" spans="1:27" ht="15" x14ac:dyDescent="0.25">
      <c r="A1846" s="2">
        <v>1841</v>
      </c>
      <c r="B1846" s="39">
        <v>925870524</v>
      </c>
      <c r="C1846" s="28" t="str">
        <f>HYPERLINK("https://pld.live/RapDetail.aspx?STONELIST=925870524","DNA")</f>
        <v>DNA</v>
      </c>
      <c r="D1846" s="18" t="s">
        <v>2802</v>
      </c>
      <c r="E1846" s="18" t="s">
        <v>5128</v>
      </c>
      <c r="F1846" s="2" t="s">
        <v>7987</v>
      </c>
      <c r="G1846" s="2" t="s">
        <v>861</v>
      </c>
      <c r="H1846" s="14">
        <v>0.44</v>
      </c>
      <c r="I1846" s="2" t="s">
        <v>267</v>
      </c>
      <c r="J1846" s="2" t="s">
        <v>13</v>
      </c>
      <c r="K1846" s="2" t="s">
        <v>5221</v>
      </c>
      <c r="L1846" s="2" t="s">
        <v>5221</v>
      </c>
      <c r="M1846" s="2" t="s">
        <v>5721</v>
      </c>
      <c r="N1846" s="2" t="s">
        <v>2317</v>
      </c>
      <c r="O1846" s="14">
        <v>2300</v>
      </c>
      <c r="P1846" s="14">
        <v>95.09</v>
      </c>
      <c r="Q1846" s="14">
        <v>112.93</v>
      </c>
      <c r="R1846" s="14">
        <v>49.69</v>
      </c>
      <c r="S1846" s="2" t="s">
        <v>7009</v>
      </c>
      <c r="T1846" s="2">
        <v>1.01</v>
      </c>
      <c r="U1846" s="2">
        <v>62.9</v>
      </c>
      <c r="V1846" s="2">
        <v>57</v>
      </c>
      <c r="W1846" s="2" t="s">
        <v>7862</v>
      </c>
      <c r="X1846" s="2" t="s">
        <v>5405</v>
      </c>
      <c r="Y1846" s="2">
        <v>1012</v>
      </c>
      <c r="Z1846" s="19" t="str">
        <f>HYPERLINK("https://ssdweb.co/ssdweb/hd/Vision360.html?d=925870524&amp;zoomslide=1&amp;z=1925870524&amp;ISCONFIRM=0","VIDEO")</f>
        <v>VIDEO</v>
      </c>
      <c r="AA1846" s="19" t="str">
        <f>HYPERLINK("https://ssdweb.co/ssdweb/CERTH/627473154.pdf","CERTI")</f>
        <v>CERTI</v>
      </c>
    </row>
    <row r="1847" spans="1:27" ht="15" x14ac:dyDescent="0.25">
      <c r="A1847" s="2">
        <v>1842</v>
      </c>
      <c r="B1847" s="39">
        <v>924340252</v>
      </c>
      <c r="C1847" s="28" t="str">
        <f>HYPERLINK("https://pld.live/RapDetail.aspx?STONELIST=924340252","DNA")</f>
        <v>DNA</v>
      </c>
      <c r="D1847" s="18" t="s">
        <v>2802</v>
      </c>
      <c r="E1847" s="18" t="s">
        <v>5128</v>
      </c>
      <c r="F1847" s="2" t="s">
        <v>7987</v>
      </c>
      <c r="G1847" s="2" t="s">
        <v>861</v>
      </c>
      <c r="H1847" s="14">
        <v>0.44</v>
      </c>
      <c r="I1847" s="2" t="s">
        <v>267</v>
      </c>
      <c r="J1847" s="2" t="s">
        <v>5144</v>
      </c>
      <c r="K1847" s="2" t="s">
        <v>3390</v>
      </c>
      <c r="L1847" s="2" t="s">
        <v>5221</v>
      </c>
      <c r="M1847" s="2" t="s">
        <v>5221</v>
      </c>
      <c r="N1847" s="2" t="s">
        <v>2317</v>
      </c>
      <c r="O1847" s="14">
        <v>2100</v>
      </c>
      <c r="P1847" s="14">
        <v>94.57</v>
      </c>
      <c r="Q1847" s="14">
        <v>114.03</v>
      </c>
      <c r="R1847" s="14">
        <v>50.17</v>
      </c>
      <c r="S1847" s="2" t="s">
        <v>5779</v>
      </c>
      <c r="T1847" s="2">
        <v>1.01</v>
      </c>
      <c r="U1847" s="2">
        <v>61.9</v>
      </c>
      <c r="V1847" s="2">
        <v>58</v>
      </c>
      <c r="W1847" s="2" t="s">
        <v>7862</v>
      </c>
      <c r="X1847" s="2" t="s">
        <v>5405</v>
      </c>
      <c r="Y1847" s="2">
        <v>924</v>
      </c>
      <c r="Z1847" s="19" t="str">
        <f>HYPERLINK("https://ssdweb.co/ssdweb/hd/Vision360.html?d=924340252&amp;zoomslide=1&amp;z=1924340252&amp;ISCONFIRM=0","VIDEO")</f>
        <v>VIDEO</v>
      </c>
      <c r="AA1847" s="19" t="str">
        <f>HYPERLINK("https://ssdweb.co/ssdweb/CERTH/585327483.pdf","CERTI")</f>
        <v>CERTI</v>
      </c>
    </row>
    <row r="1848" spans="1:27" ht="15" x14ac:dyDescent="0.25">
      <c r="A1848" s="2">
        <v>1843</v>
      </c>
      <c r="B1848" s="39">
        <v>924400298</v>
      </c>
      <c r="C1848" s="28" t="str">
        <f>HYPERLINK("https://pld.live/RapDetail.aspx?STONELIST=924400298","DNA")</f>
        <v>DNA</v>
      </c>
      <c r="D1848" s="18" t="s">
        <v>2802</v>
      </c>
      <c r="E1848" s="18" t="s">
        <v>5128</v>
      </c>
      <c r="F1848" s="2" t="s">
        <v>7987</v>
      </c>
      <c r="G1848" s="2" t="s">
        <v>861</v>
      </c>
      <c r="H1848" s="14">
        <v>0.44</v>
      </c>
      <c r="I1848" s="2" t="s">
        <v>267</v>
      </c>
      <c r="J1848" s="2" t="s">
        <v>5144</v>
      </c>
      <c r="K1848" s="2" t="s">
        <v>3390</v>
      </c>
      <c r="L1848" s="2" t="s">
        <v>5221</v>
      </c>
      <c r="M1848" s="2" t="s">
        <v>5221</v>
      </c>
      <c r="N1848" s="2" t="s">
        <v>2317</v>
      </c>
      <c r="O1848" s="14">
        <v>2100</v>
      </c>
      <c r="P1848" s="14">
        <v>94.57</v>
      </c>
      <c r="Q1848" s="14">
        <v>114.03</v>
      </c>
      <c r="R1848" s="14">
        <v>50.17</v>
      </c>
      <c r="S1848" s="2" t="s">
        <v>5683</v>
      </c>
      <c r="T1848" s="2">
        <v>1</v>
      </c>
      <c r="U1848" s="2">
        <v>61</v>
      </c>
      <c r="V1848" s="2">
        <v>58</v>
      </c>
      <c r="W1848" s="2" t="s">
        <v>7862</v>
      </c>
      <c r="X1848" s="2" t="s">
        <v>5405</v>
      </c>
      <c r="Y1848" s="2">
        <v>924</v>
      </c>
      <c r="Z1848" s="19" t="str">
        <f>HYPERLINK("https://ssdweb.co/ssdweb/hd/Vision360.html?d=924400298&amp;zoomslide=1&amp;z=1924400298&amp;ISCONFIRM=0","VIDEO")</f>
        <v>VIDEO</v>
      </c>
      <c r="AA1848" s="19" t="str">
        <f>HYPERLINK("https://ssdweb.co/ssdweb/CERTH/589382103.pdf","CERTI")</f>
        <v>CERTI</v>
      </c>
    </row>
    <row r="1849" spans="1:27" ht="15" x14ac:dyDescent="0.25">
      <c r="A1849" s="2">
        <v>1844</v>
      </c>
      <c r="B1849" s="39">
        <v>926101594</v>
      </c>
      <c r="C1849" s="28" t="str">
        <f>HYPERLINK("https://pld.live/RapDetail.aspx?STONELIST=926101594","DNA")</f>
        <v>DNA</v>
      </c>
      <c r="D1849" s="18" t="s">
        <v>2802</v>
      </c>
      <c r="E1849" s="18" t="s">
        <v>5128</v>
      </c>
      <c r="F1849" s="2" t="s">
        <v>7987</v>
      </c>
      <c r="G1849" s="2" t="s">
        <v>861</v>
      </c>
      <c r="H1849" s="14">
        <v>0.44</v>
      </c>
      <c r="I1849" s="2" t="s">
        <v>267</v>
      </c>
      <c r="J1849" s="2" t="s">
        <v>5144</v>
      </c>
      <c r="K1849" s="2" t="s">
        <v>3390</v>
      </c>
      <c r="L1849" s="2" t="s">
        <v>5221</v>
      </c>
      <c r="M1849" s="2" t="s">
        <v>5721</v>
      </c>
      <c r="N1849" s="2" t="s">
        <v>2317</v>
      </c>
      <c r="O1849" s="14">
        <v>2100</v>
      </c>
      <c r="P1849" s="14">
        <v>94.71</v>
      </c>
      <c r="Q1849" s="14">
        <v>111.09</v>
      </c>
      <c r="R1849" s="14">
        <v>48.88</v>
      </c>
      <c r="S1849" s="2" t="s">
        <v>8104</v>
      </c>
      <c r="T1849" s="2">
        <v>1.01</v>
      </c>
      <c r="U1849" s="2">
        <v>61.5</v>
      </c>
      <c r="V1849" s="2">
        <v>58</v>
      </c>
      <c r="W1849" s="2" t="s">
        <v>7862</v>
      </c>
      <c r="X1849" s="2" t="s">
        <v>5405</v>
      </c>
      <c r="Y1849" s="2">
        <v>924</v>
      </c>
      <c r="Z1849" s="19" t="str">
        <f>HYPERLINK("https://ssdweb.co/ssdweb/hd/Vision360.html?d=926101594&amp;zoomslide=1&amp;z=1926101594&amp;ISCONFIRM=0","VIDEO")</f>
        <v>VIDEO</v>
      </c>
      <c r="AA1849" s="19" t="str">
        <f>HYPERLINK("https://ssdweb.co/ssdweb/CERTH/632421379.pdf","CERTI")</f>
        <v>CERTI</v>
      </c>
    </row>
    <row r="1850" spans="1:27" ht="15" x14ac:dyDescent="0.25">
      <c r="A1850" s="2">
        <v>1845</v>
      </c>
      <c r="B1850" s="39">
        <v>925840185</v>
      </c>
      <c r="C1850" s="28" t="str">
        <f>HYPERLINK("https://pld.live/RapDetail.aspx?STONELIST=925840185","DNA")</f>
        <v>DNA</v>
      </c>
      <c r="D1850" s="18" t="s">
        <v>2802</v>
      </c>
      <c r="E1850" s="18" t="s">
        <v>5128</v>
      </c>
      <c r="F1850" s="2" t="s">
        <v>5597</v>
      </c>
      <c r="G1850" s="2" t="s">
        <v>861</v>
      </c>
      <c r="H1850" s="14">
        <v>0.44</v>
      </c>
      <c r="I1850" s="2" t="s">
        <v>267</v>
      </c>
      <c r="J1850" s="2" t="s">
        <v>5144</v>
      </c>
      <c r="K1850" s="2" t="s">
        <v>5221</v>
      </c>
      <c r="L1850" s="2" t="s">
        <v>5221</v>
      </c>
      <c r="M1850" s="2" t="s">
        <v>5221</v>
      </c>
      <c r="N1850" s="2" t="s">
        <v>2317</v>
      </c>
      <c r="O1850" s="14">
        <v>2100</v>
      </c>
      <c r="P1850" s="14">
        <v>90.19</v>
      </c>
      <c r="Q1850" s="14">
        <v>206.01</v>
      </c>
      <c r="R1850" s="14">
        <v>90.64</v>
      </c>
      <c r="S1850" s="2" t="s">
        <v>967</v>
      </c>
      <c r="T1850" s="2">
        <v>1</v>
      </c>
      <c r="U1850" s="2">
        <v>61.8</v>
      </c>
      <c r="V1850" s="2">
        <v>56</v>
      </c>
      <c r="W1850" s="2" t="s">
        <v>7862</v>
      </c>
      <c r="X1850" s="2" t="s">
        <v>5405</v>
      </c>
      <c r="Y1850" s="2">
        <v>924</v>
      </c>
      <c r="Z1850" s="19" t="str">
        <f>HYPERLINK("https://ssdweb.co/ssdweb/hd/Vision360.html?d=925840185&amp;zoomslide=1&amp;z=1925840185&amp;ISCONFIRM=0","VIDEO")</f>
        <v>VIDEO</v>
      </c>
      <c r="AA1850" s="19" t="str">
        <f>HYPERLINK("https://ssdweb.co/ssdweb/CERTH/2487824149.pdf","CERTI")</f>
        <v>CERTI</v>
      </c>
    </row>
    <row r="1851" spans="1:27" ht="15" x14ac:dyDescent="0.25">
      <c r="A1851" s="2">
        <v>1846</v>
      </c>
      <c r="B1851" s="39">
        <v>925910581</v>
      </c>
      <c r="C1851" s="28" t="str">
        <f>HYPERLINK("https://pld.live/RapDetail.aspx?STONELIST=925910581","DNA")</f>
        <v>DNA</v>
      </c>
      <c r="D1851" s="18" t="s">
        <v>2802</v>
      </c>
      <c r="E1851" s="18" t="s">
        <v>5128</v>
      </c>
      <c r="F1851" s="2" t="s">
        <v>5597</v>
      </c>
      <c r="G1851" s="2" t="s">
        <v>861</v>
      </c>
      <c r="H1851" s="14">
        <v>0.44</v>
      </c>
      <c r="I1851" s="2" t="s">
        <v>267</v>
      </c>
      <c r="J1851" s="2" t="s">
        <v>5144</v>
      </c>
      <c r="K1851" s="2" t="s">
        <v>5221</v>
      </c>
      <c r="L1851" s="2" t="s">
        <v>5221</v>
      </c>
      <c r="M1851" s="2" t="s">
        <v>5221</v>
      </c>
      <c r="N1851" s="2" t="s">
        <v>2317</v>
      </c>
      <c r="O1851" s="14">
        <v>2100</v>
      </c>
      <c r="P1851" s="14">
        <v>90.19</v>
      </c>
      <c r="Q1851" s="14">
        <v>206.01</v>
      </c>
      <c r="R1851" s="14">
        <v>90.64</v>
      </c>
      <c r="S1851" s="2" t="s">
        <v>4872</v>
      </c>
      <c r="T1851" s="2">
        <v>1.01</v>
      </c>
      <c r="U1851" s="2">
        <v>62.5</v>
      </c>
      <c r="V1851" s="2">
        <v>56</v>
      </c>
      <c r="W1851" s="2" t="s">
        <v>7862</v>
      </c>
      <c r="X1851" s="2" t="s">
        <v>5405</v>
      </c>
      <c r="Y1851" s="2">
        <v>924</v>
      </c>
      <c r="Z1851" s="19" t="str">
        <f>HYPERLINK("https://ssdweb.co/ssdweb/hd/Vision360.html?d=925910581&amp;zoomslide=1&amp;z=1925910581&amp;ISCONFIRM=0","VIDEO")</f>
        <v>VIDEO</v>
      </c>
      <c r="AA1851" s="19" t="str">
        <f>HYPERLINK("https://ssdweb.co/ssdweb/CERTH/2487994821.pdf","CERTI")</f>
        <v>CERTI</v>
      </c>
    </row>
    <row r="1852" spans="1:27" ht="15" x14ac:dyDescent="0.25">
      <c r="A1852" s="2">
        <v>1847</v>
      </c>
      <c r="B1852" s="39">
        <v>926081394</v>
      </c>
      <c r="C1852" s="28" t="str">
        <f>HYPERLINK("https://pld.live/RapDetail.aspx?STONELIST=926081394","DNA")</f>
        <v>DNA</v>
      </c>
      <c r="D1852" s="18" t="s">
        <v>2802</v>
      </c>
      <c r="E1852" s="18" t="s">
        <v>5128</v>
      </c>
      <c r="F1852" s="2" t="s">
        <v>7987</v>
      </c>
      <c r="G1852" s="2" t="s">
        <v>861</v>
      </c>
      <c r="H1852" s="14">
        <v>0.44</v>
      </c>
      <c r="I1852" s="2" t="s">
        <v>267</v>
      </c>
      <c r="J1852" s="2" t="s">
        <v>5144</v>
      </c>
      <c r="K1852" s="2" t="s">
        <v>5221</v>
      </c>
      <c r="L1852" s="2" t="s">
        <v>5221</v>
      </c>
      <c r="M1852" s="2" t="s">
        <v>5221</v>
      </c>
      <c r="N1852" s="2" t="s">
        <v>2317</v>
      </c>
      <c r="O1852" s="14">
        <v>2100</v>
      </c>
      <c r="P1852" s="14">
        <v>94.57</v>
      </c>
      <c r="Q1852" s="14">
        <v>114.03</v>
      </c>
      <c r="R1852" s="14">
        <v>50.17</v>
      </c>
      <c r="S1852" s="2" t="s">
        <v>5778</v>
      </c>
      <c r="T1852" s="2">
        <v>1.01</v>
      </c>
      <c r="U1852" s="2">
        <v>63.5</v>
      </c>
      <c r="V1852" s="2">
        <v>57</v>
      </c>
      <c r="W1852" s="2" t="s">
        <v>7862</v>
      </c>
      <c r="X1852" s="2" t="s">
        <v>5405</v>
      </c>
      <c r="Y1852" s="2">
        <v>924</v>
      </c>
      <c r="Z1852" s="19" t="str">
        <f>HYPERLINK("https://ssdweb.co/ssdweb/hd/Vision360.html?d=926081394&amp;zoomslide=1&amp;z=1926081394&amp;ISCONFIRM=0","VIDEO")</f>
        <v>VIDEO</v>
      </c>
      <c r="AA1852" s="19" t="str">
        <f>HYPERLINK("https://ssdweb.co/ssdweb/CERTH/631464001.pdf","CERTI")</f>
        <v>CERTI</v>
      </c>
    </row>
    <row r="1853" spans="1:27" ht="15" x14ac:dyDescent="0.25">
      <c r="A1853" s="2">
        <v>1848</v>
      </c>
      <c r="B1853" s="39">
        <v>924010570</v>
      </c>
      <c r="C1853" s="28" t="str">
        <f>HYPERLINK("https://pld.live/RapDetail.aspx?STONELIST=924010570","DNA")</f>
        <v>DNA</v>
      </c>
      <c r="D1853" s="18" t="s">
        <v>2802</v>
      </c>
      <c r="E1853" s="18" t="s">
        <v>5128</v>
      </c>
      <c r="F1853" s="2" t="s">
        <v>7987</v>
      </c>
      <c r="G1853" s="2" t="s">
        <v>861</v>
      </c>
      <c r="H1853" s="14">
        <v>0.44</v>
      </c>
      <c r="I1853" s="2" t="s">
        <v>4761</v>
      </c>
      <c r="J1853" s="2" t="s">
        <v>6555</v>
      </c>
      <c r="K1853" s="2" t="s">
        <v>3390</v>
      </c>
      <c r="L1853" s="2" t="s">
        <v>5221</v>
      </c>
      <c r="M1853" s="2" t="s">
        <v>5221</v>
      </c>
      <c r="N1853" s="2" t="s">
        <v>2317</v>
      </c>
      <c r="O1853" s="14">
        <v>2600</v>
      </c>
      <c r="P1853" s="14">
        <v>94.92</v>
      </c>
      <c r="Q1853" s="14">
        <v>132.08000000000001</v>
      </c>
      <c r="R1853" s="14">
        <v>58.12</v>
      </c>
      <c r="S1853" s="2" t="s">
        <v>7736</v>
      </c>
      <c r="T1853" s="2">
        <v>1.01</v>
      </c>
      <c r="U1853" s="2">
        <v>62.2</v>
      </c>
      <c r="V1853" s="2">
        <v>55.5</v>
      </c>
      <c r="W1853" s="2" t="s">
        <v>7862</v>
      </c>
      <c r="X1853" s="2" t="s">
        <v>5405</v>
      </c>
      <c r="Y1853" s="2">
        <v>1144</v>
      </c>
      <c r="Z1853" s="19" t="str">
        <f>HYPERLINK("https://ssdweb.co/ssdweb/hd/Vision360.html?d=924010570&amp;zoomslide=1&amp;z=1924010570&amp;ISCONFIRM=0","VIDEO")</f>
        <v>VIDEO</v>
      </c>
      <c r="AA1853" s="19" t="str">
        <f>HYPERLINK("https://ssdweb.co/ssdweb/CERTH/570371349.pdf","CERTI")</f>
        <v>CERTI</v>
      </c>
    </row>
    <row r="1854" spans="1:27" ht="15" x14ac:dyDescent="0.25">
      <c r="A1854" s="2">
        <v>1849</v>
      </c>
      <c r="B1854" s="39">
        <v>924400447</v>
      </c>
      <c r="C1854" s="28" t="str">
        <f>HYPERLINK("https://pld.live/RapDetail.aspx?STONELIST=924400447","DNA")</f>
        <v>DNA</v>
      </c>
      <c r="D1854" s="18" t="s">
        <v>2802</v>
      </c>
      <c r="E1854" s="18" t="s">
        <v>5128</v>
      </c>
      <c r="F1854" s="2" t="s">
        <v>7987</v>
      </c>
      <c r="G1854" s="2" t="s">
        <v>861</v>
      </c>
      <c r="H1854" s="14">
        <v>0.44</v>
      </c>
      <c r="I1854" s="2" t="s">
        <v>4761</v>
      </c>
      <c r="J1854" s="2" t="s">
        <v>3942</v>
      </c>
      <c r="K1854" s="2" t="s">
        <v>5221</v>
      </c>
      <c r="L1854" s="2" t="s">
        <v>5221</v>
      </c>
      <c r="M1854" s="2" t="s">
        <v>5221</v>
      </c>
      <c r="N1854" s="2" t="s">
        <v>2317</v>
      </c>
      <c r="O1854" s="14">
        <v>2300</v>
      </c>
      <c r="P1854" s="14">
        <v>94.78</v>
      </c>
      <c r="Q1854" s="14">
        <v>120.06</v>
      </c>
      <c r="R1854" s="14">
        <v>52.83</v>
      </c>
      <c r="S1854" s="2" t="s">
        <v>1531</v>
      </c>
      <c r="T1854" s="2">
        <v>1.01</v>
      </c>
      <c r="U1854" s="2">
        <v>62.5</v>
      </c>
      <c r="V1854" s="2">
        <v>57</v>
      </c>
      <c r="W1854" s="2" t="s">
        <v>7862</v>
      </c>
      <c r="X1854" s="2" t="s">
        <v>5405</v>
      </c>
      <c r="Y1854" s="2">
        <v>1012</v>
      </c>
      <c r="Z1854" s="19" t="str">
        <f>HYPERLINK("https://ssdweb.co/ssdweb/hd/Vision360.html?d=924400447&amp;zoomslide=1&amp;z=1924400447&amp;ISCONFIRM=0","VIDEO")</f>
        <v>VIDEO</v>
      </c>
      <c r="AA1854" s="19" t="str">
        <f>HYPERLINK("https://ssdweb.co/ssdweb/CERTH/589306685.pdf","CERTI")</f>
        <v>CERTI</v>
      </c>
    </row>
    <row r="1855" spans="1:27" ht="15" x14ac:dyDescent="0.25">
      <c r="A1855" s="2">
        <v>1850</v>
      </c>
      <c r="B1855" s="39">
        <v>925840423</v>
      </c>
      <c r="C1855" s="28" t="str">
        <f>HYPERLINK("https://pld.live/RapDetail.aspx?STONELIST=925840423","DNA")</f>
        <v>DNA</v>
      </c>
      <c r="D1855" s="18" t="s">
        <v>2802</v>
      </c>
      <c r="E1855" s="18" t="s">
        <v>5128</v>
      </c>
      <c r="F1855" s="2" t="s">
        <v>5597</v>
      </c>
      <c r="G1855" s="2" t="s">
        <v>861</v>
      </c>
      <c r="H1855" s="14">
        <v>0.44</v>
      </c>
      <c r="I1855" s="2" t="s">
        <v>4761</v>
      </c>
      <c r="J1855" s="2" t="s">
        <v>3942</v>
      </c>
      <c r="K1855" s="2" t="s">
        <v>5221</v>
      </c>
      <c r="L1855" s="2" t="s">
        <v>5221</v>
      </c>
      <c r="M1855" s="2" t="s">
        <v>5221</v>
      </c>
      <c r="N1855" s="2" t="s">
        <v>2317</v>
      </c>
      <c r="O1855" s="14">
        <v>2300</v>
      </c>
      <c r="P1855" s="14">
        <v>89.26</v>
      </c>
      <c r="Q1855" s="14">
        <v>247.02</v>
      </c>
      <c r="R1855" s="14">
        <v>108.69</v>
      </c>
      <c r="S1855" s="2" t="s">
        <v>2467</v>
      </c>
      <c r="T1855" s="2">
        <v>1.01</v>
      </c>
      <c r="U1855" s="2">
        <v>61.9</v>
      </c>
      <c r="V1855" s="2">
        <v>58</v>
      </c>
      <c r="W1855" s="2" t="s">
        <v>7862</v>
      </c>
      <c r="X1855" s="2" t="s">
        <v>5405</v>
      </c>
      <c r="Y1855" s="2">
        <v>1012</v>
      </c>
      <c r="Z1855" s="19" t="str">
        <f>HYPERLINK("https://ssdweb.co/ssdweb/hd/Vision360.html?d=925840423&amp;zoomslide=1&amp;z=1925840423&amp;ISCONFIRM=0","VIDEO")</f>
        <v>VIDEO</v>
      </c>
      <c r="AA1855" s="19" t="str">
        <f>HYPERLINK("https://ssdweb.co/ssdweb/CERTH/2486854865.pdf","CERTI")</f>
        <v>CERTI</v>
      </c>
    </row>
    <row r="1856" spans="1:27" ht="15" x14ac:dyDescent="0.25">
      <c r="A1856" s="2">
        <v>1851</v>
      </c>
      <c r="B1856" s="39">
        <v>821127840</v>
      </c>
      <c r="C1856" s="28" t="str">
        <f>HYPERLINK("https://pld.live/RapDetail.aspx?STONELIST=821127840","DNA")</f>
        <v>DNA</v>
      </c>
      <c r="D1856" s="18" t="s">
        <v>2802</v>
      </c>
      <c r="E1856" s="18" t="s">
        <v>5128</v>
      </c>
      <c r="F1856" s="2" t="s">
        <v>7987</v>
      </c>
      <c r="G1856" s="2" t="s">
        <v>861</v>
      </c>
      <c r="H1856" s="14">
        <v>0.44</v>
      </c>
      <c r="I1856" s="2" t="s">
        <v>4761</v>
      </c>
      <c r="J1856" s="2" t="s">
        <v>13</v>
      </c>
      <c r="K1856" s="2" t="s">
        <v>3390</v>
      </c>
      <c r="L1856" s="2" t="s">
        <v>5721</v>
      </c>
      <c r="M1856" s="2" t="s">
        <v>5221</v>
      </c>
      <c r="N1856" s="2" t="s">
        <v>2317</v>
      </c>
      <c r="O1856" s="14">
        <v>2100</v>
      </c>
      <c r="P1856" s="14">
        <v>94.67</v>
      </c>
      <c r="Q1856" s="14">
        <v>111.93</v>
      </c>
      <c r="R1856" s="14">
        <v>49.25</v>
      </c>
      <c r="S1856" s="2" t="s">
        <v>4627</v>
      </c>
      <c r="T1856" s="2">
        <v>1.01</v>
      </c>
      <c r="U1856" s="2">
        <v>61.9</v>
      </c>
      <c r="V1856" s="2">
        <v>59</v>
      </c>
      <c r="W1856" s="2" t="s">
        <v>7862</v>
      </c>
      <c r="X1856" s="2" t="s">
        <v>5405</v>
      </c>
      <c r="Y1856" s="2">
        <v>924</v>
      </c>
      <c r="Z1856" s="19" t="str">
        <f>HYPERLINK("https://ssdweb.co/ssdweb/hd/Vision360.html?d=821127840&amp;zoomslide=1&amp;z=1821127840&amp;ISCONFIRM=0","VIDEO")</f>
        <v>VIDEO</v>
      </c>
      <c r="AA1856" s="19" t="str">
        <f>HYPERLINK("https://ssdweb.co/ssdweb/CERTH/633499576.pdf","CERTI")</f>
        <v>CERTI</v>
      </c>
    </row>
    <row r="1857" spans="1:27" ht="15" x14ac:dyDescent="0.25">
      <c r="A1857" s="2">
        <v>1852</v>
      </c>
      <c r="B1857" s="39">
        <v>925330009</v>
      </c>
      <c r="C1857" s="28" t="str">
        <f>HYPERLINK("https://pld.live/RapDetail.aspx?STONELIST=925330009","DNA")</f>
        <v>DNA</v>
      </c>
      <c r="D1857" s="18" t="s">
        <v>2802</v>
      </c>
      <c r="E1857" s="18" t="s">
        <v>2186</v>
      </c>
      <c r="F1857" s="2" t="s">
        <v>5597</v>
      </c>
      <c r="G1857" s="2" t="s">
        <v>861</v>
      </c>
      <c r="H1857" s="14">
        <v>0.44</v>
      </c>
      <c r="I1857" s="2" t="s">
        <v>4761</v>
      </c>
      <c r="J1857" s="2" t="s">
        <v>13</v>
      </c>
      <c r="K1857" s="2" t="s">
        <v>5221</v>
      </c>
      <c r="L1857" s="2" t="s">
        <v>5221</v>
      </c>
      <c r="M1857" s="2" t="s">
        <v>5221</v>
      </c>
      <c r="N1857" s="2" t="s">
        <v>2317</v>
      </c>
      <c r="O1857" s="14">
        <v>2100</v>
      </c>
      <c r="P1857" s="14">
        <v>89.67</v>
      </c>
      <c r="Q1857" s="14">
        <v>216.93</v>
      </c>
      <c r="R1857" s="14">
        <v>95.45</v>
      </c>
      <c r="S1857" s="2" t="s">
        <v>1351</v>
      </c>
      <c r="T1857" s="2">
        <v>1.01</v>
      </c>
      <c r="U1857" s="2">
        <v>61.9</v>
      </c>
      <c r="V1857" s="2">
        <v>59</v>
      </c>
      <c r="W1857" s="2" t="s">
        <v>7862</v>
      </c>
      <c r="X1857" s="2" t="s">
        <v>5405</v>
      </c>
      <c r="Y1857" s="2">
        <v>924</v>
      </c>
      <c r="Z1857" s="19" t="str">
        <f>HYPERLINK("https://ssdweb.co/ssdweb/hd/Vision360.html?d=925330009&amp;zoomslide=1&amp;z=1925330009&amp;ISCONFIRM=0","VIDEO")</f>
        <v>VIDEO</v>
      </c>
      <c r="AA1857" s="19" t="str">
        <f>HYPERLINK("https://ssdweb.co/ssdweb/CERTH/5486257494.pdf","CERTI")</f>
        <v>CERTI</v>
      </c>
    </row>
    <row r="1858" spans="1:27" ht="15" x14ac:dyDescent="0.25">
      <c r="A1858" s="2">
        <v>1853</v>
      </c>
      <c r="B1858" s="39">
        <v>924420002</v>
      </c>
      <c r="C1858" s="28" t="str">
        <f>HYPERLINK("https://pld.live/RapDetail.aspx?STONELIST=924420002","DNA")</f>
        <v>DNA</v>
      </c>
      <c r="D1858" s="18" t="s">
        <v>2802</v>
      </c>
      <c r="E1858" s="18" t="s">
        <v>5128</v>
      </c>
      <c r="F1858" s="2" t="s">
        <v>7987</v>
      </c>
      <c r="G1858" s="2" t="s">
        <v>861</v>
      </c>
      <c r="H1858" s="14">
        <v>0.44</v>
      </c>
      <c r="I1858" s="2" t="s">
        <v>4761</v>
      </c>
      <c r="J1858" s="2" t="s">
        <v>444</v>
      </c>
      <c r="K1858" s="2" t="s">
        <v>5221</v>
      </c>
      <c r="L1858" s="2" t="s">
        <v>5221</v>
      </c>
      <c r="M1858" s="2" t="s">
        <v>5221</v>
      </c>
      <c r="N1858" s="2" t="s">
        <v>2317</v>
      </c>
      <c r="O1858" s="14">
        <v>1900</v>
      </c>
      <c r="P1858" s="14">
        <v>93.84</v>
      </c>
      <c r="Q1858" s="14">
        <v>117.04</v>
      </c>
      <c r="R1858" s="14">
        <v>51.5</v>
      </c>
      <c r="S1858" s="2" t="s">
        <v>3403</v>
      </c>
      <c r="T1858" s="2">
        <v>1.01</v>
      </c>
      <c r="U1858" s="2">
        <v>62.7</v>
      </c>
      <c r="V1858" s="2">
        <v>55</v>
      </c>
      <c r="W1858" s="2" t="s">
        <v>7862</v>
      </c>
      <c r="X1858" s="2" t="s">
        <v>5405</v>
      </c>
      <c r="Y1858" s="2">
        <v>836</v>
      </c>
      <c r="Z1858" s="19" t="str">
        <f>HYPERLINK("https://ssdweb.co/ssdweb/hd/Vision360.html?d=924420002&amp;zoomslide=1&amp;z=1924420002&amp;ISCONFIRM=0","VIDEO")</f>
        <v>VIDEO</v>
      </c>
      <c r="AA1858" s="19" t="str">
        <f>HYPERLINK("https://ssdweb.co/ssdweb/CERTH/589306371.pdf","CERTI")</f>
        <v>CERTI</v>
      </c>
    </row>
    <row r="1859" spans="1:27" ht="15" x14ac:dyDescent="0.25">
      <c r="A1859" s="2">
        <v>1854</v>
      </c>
      <c r="B1859" s="39">
        <v>925290273</v>
      </c>
      <c r="C1859" s="28" t="str">
        <f>HYPERLINK("https://pld.live/RapDetail.aspx?STONELIST=925290273","DNA")</f>
        <v>DNA</v>
      </c>
      <c r="D1859" s="18" t="s">
        <v>2802</v>
      </c>
      <c r="E1859" s="18" t="s">
        <v>5128</v>
      </c>
      <c r="F1859" s="2" t="s">
        <v>5597</v>
      </c>
      <c r="G1859" s="2" t="s">
        <v>861</v>
      </c>
      <c r="H1859" s="14">
        <v>0.44</v>
      </c>
      <c r="I1859" s="2" t="s">
        <v>4699</v>
      </c>
      <c r="J1859" s="2" t="s">
        <v>13</v>
      </c>
      <c r="K1859" s="2" t="s">
        <v>5221</v>
      </c>
      <c r="L1859" s="2" t="s">
        <v>5221</v>
      </c>
      <c r="M1859" s="2" t="s">
        <v>5221</v>
      </c>
      <c r="N1859" s="2" t="s">
        <v>2317</v>
      </c>
      <c r="O1859" s="14">
        <v>2000</v>
      </c>
      <c r="P1859" s="14">
        <v>89.4</v>
      </c>
      <c r="Q1859" s="14">
        <v>212</v>
      </c>
      <c r="R1859" s="14">
        <v>93.28</v>
      </c>
      <c r="S1859" s="2" t="s">
        <v>1761</v>
      </c>
      <c r="T1859" s="2">
        <v>1.01</v>
      </c>
      <c r="U1859" s="2">
        <v>61.3</v>
      </c>
      <c r="V1859" s="2">
        <v>59</v>
      </c>
      <c r="W1859" s="2" t="s">
        <v>7862</v>
      </c>
      <c r="X1859" s="2" t="s">
        <v>5405</v>
      </c>
      <c r="Y1859" s="2">
        <v>880</v>
      </c>
      <c r="Z1859" s="19" t="str">
        <f>HYPERLINK("https://ssdweb.co/ssdweb/hd/Vision360.html?d=925290273&amp;zoomslide=1&amp;z=1925290273&amp;ISCONFIRM=0","VIDEO")</f>
        <v>VIDEO</v>
      </c>
      <c r="AA1859" s="19" t="str">
        <f>HYPERLINK("https://ssdweb.co/ssdweb/CERTH/1487257452.pdf","CERTI")</f>
        <v>CERTI</v>
      </c>
    </row>
    <row r="1860" spans="1:27" ht="15" x14ac:dyDescent="0.25">
      <c r="A1860" s="2">
        <v>1855</v>
      </c>
      <c r="B1860" s="39">
        <v>923730423</v>
      </c>
      <c r="C1860" s="28" t="str">
        <f>HYPERLINK("https://pld.live/RapDetail.aspx?STONELIST=923730423","DNA")</f>
        <v>DNA</v>
      </c>
      <c r="D1860" s="18" t="s">
        <v>2802</v>
      </c>
      <c r="E1860" s="18" t="s">
        <v>5128</v>
      </c>
      <c r="F1860" s="2" t="s">
        <v>7987</v>
      </c>
      <c r="G1860" s="2" t="s">
        <v>861</v>
      </c>
      <c r="H1860" s="14">
        <v>0.43</v>
      </c>
      <c r="I1860" s="2" t="s">
        <v>267</v>
      </c>
      <c r="J1860" s="2" t="s">
        <v>6555</v>
      </c>
      <c r="K1860" s="2" t="s">
        <v>3390</v>
      </c>
      <c r="L1860" s="2" t="s">
        <v>5221</v>
      </c>
      <c r="M1860" s="2" t="s">
        <v>5221</v>
      </c>
      <c r="N1860" s="2" t="s">
        <v>2317</v>
      </c>
      <c r="O1860" s="14">
        <v>2900</v>
      </c>
      <c r="P1860" s="14">
        <v>94.93</v>
      </c>
      <c r="Q1860" s="14">
        <v>147.03</v>
      </c>
      <c r="R1860" s="14">
        <v>63.22</v>
      </c>
      <c r="S1860" s="2" t="s">
        <v>3875</v>
      </c>
      <c r="T1860" s="2">
        <v>1.01</v>
      </c>
      <c r="U1860" s="2">
        <v>62.4</v>
      </c>
      <c r="V1860" s="2">
        <v>58</v>
      </c>
      <c r="W1860" s="2" t="s">
        <v>7862</v>
      </c>
      <c r="X1860" s="2" t="s">
        <v>5405</v>
      </c>
      <c r="Y1860" s="2">
        <v>1247</v>
      </c>
      <c r="Z1860" s="19" t="str">
        <f>HYPERLINK("https://ssdweb.co/ssdweb/hd/Vision360.html?d=923730423&amp;zoomslide=1&amp;z=1923730423&amp;ISCONFIRM=0","VIDEO")</f>
        <v>VIDEO</v>
      </c>
      <c r="AA1860" s="19" t="str">
        <f>HYPERLINK("https://ssdweb.co/ssdweb/CERTH/559272743.pdf","CERTI")</f>
        <v>CERTI</v>
      </c>
    </row>
    <row r="1861" spans="1:27" ht="15" x14ac:dyDescent="0.25">
      <c r="A1861" s="2">
        <v>1856</v>
      </c>
      <c r="B1861" s="39">
        <v>923710355</v>
      </c>
      <c r="C1861" s="28" t="str">
        <f>HYPERLINK("https://pld.live/RapDetail.aspx?STONELIST=923710355","DNA")</f>
        <v>DNA</v>
      </c>
      <c r="D1861" s="18" t="s">
        <v>2802</v>
      </c>
      <c r="E1861" s="18" t="s">
        <v>5128</v>
      </c>
      <c r="F1861" s="2" t="s">
        <v>7987</v>
      </c>
      <c r="G1861" s="2" t="s">
        <v>861</v>
      </c>
      <c r="H1861" s="14">
        <v>0.43</v>
      </c>
      <c r="I1861" s="2" t="s">
        <v>267</v>
      </c>
      <c r="J1861" s="2" t="s">
        <v>3942</v>
      </c>
      <c r="K1861" s="2" t="s">
        <v>3390</v>
      </c>
      <c r="L1861" s="2" t="s">
        <v>5221</v>
      </c>
      <c r="M1861" s="2" t="s">
        <v>5221</v>
      </c>
      <c r="N1861" s="2" t="s">
        <v>2317</v>
      </c>
      <c r="O1861" s="14">
        <v>2500</v>
      </c>
      <c r="P1861" s="14">
        <v>94.8</v>
      </c>
      <c r="Q1861" s="14">
        <v>130</v>
      </c>
      <c r="R1861" s="14">
        <v>55.9</v>
      </c>
      <c r="S1861" s="2" t="s">
        <v>6313</v>
      </c>
      <c r="T1861" s="2">
        <v>1.01</v>
      </c>
      <c r="U1861" s="2">
        <v>62.2</v>
      </c>
      <c r="V1861" s="2">
        <v>57.5</v>
      </c>
      <c r="W1861" s="2" t="s">
        <v>7862</v>
      </c>
      <c r="X1861" s="2" t="s">
        <v>5405</v>
      </c>
      <c r="Y1861" s="2">
        <v>1075</v>
      </c>
      <c r="Z1861" s="19" t="str">
        <f>HYPERLINK("https://ssdweb.co/ssdweb/hd/Vision360.html?d=923710355&amp;zoomslide=1&amp;z=1923710355&amp;ISCONFIRM=0","VIDEO")</f>
        <v>VIDEO</v>
      </c>
      <c r="AA1861" s="19" t="str">
        <f>HYPERLINK("https://ssdweb.co/ssdweb/CERTH/557239643.pdf","CERTI")</f>
        <v>CERTI</v>
      </c>
    </row>
    <row r="1862" spans="1:27" ht="15" x14ac:dyDescent="0.25">
      <c r="A1862" s="2">
        <v>1857</v>
      </c>
      <c r="B1862" s="39">
        <v>925910661</v>
      </c>
      <c r="C1862" s="28" t="str">
        <f>HYPERLINK("https://pld.live/RapDetail.aspx?STONELIST=925910661","DNA")</f>
        <v>DNA</v>
      </c>
      <c r="D1862" s="18" t="s">
        <v>2802</v>
      </c>
      <c r="E1862" s="18" t="s">
        <v>5128</v>
      </c>
      <c r="F1862" s="2" t="s">
        <v>7987</v>
      </c>
      <c r="G1862" s="2" t="s">
        <v>861</v>
      </c>
      <c r="H1862" s="14">
        <v>0.43</v>
      </c>
      <c r="I1862" s="2" t="s">
        <v>267</v>
      </c>
      <c r="J1862" s="2" t="s">
        <v>3942</v>
      </c>
      <c r="K1862" s="2" t="s">
        <v>3390</v>
      </c>
      <c r="L1862" s="2" t="s">
        <v>5221</v>
      </c>
      <c r="M1862" s="2" t="s">
        <v>5221</v>
      </c>
      <c r="N1862" s="2" t="s">
        <v>2317</v>
      </c>
      <c r="O1862" s="14">
        <v>2500</v>
      </c>
      <c r="P1862" s="14">
        <v>94.8</v>
      </c>
      <c r="Q1862" s="14">
        <v>130</v>
      </c>
      <c r="R1862" s="14">
        <v>55.9</v>
      </c>
      <c r="S1862" s="2" t="s">
        <v>696</v>
      </c>
      <c r="T1862" s="2">
        <v>1.01</v>
      </c>
      <c r="U1862" s="2">
        <v>61.1</v>
      </c>
      <c r="V1862" s="2">
        <v>59</v>
      </c>
      <c r="W1862" s="2" t="s">
        <v>7862</v>
      </c>
      <c r="X1862" s="2" t="s">
        <v>5405</v>
      </c>
      <c r="Y1862" s="2">
        <v>1075</v>
      </c>
      <c r="Z1862" s="19" t="str">
        <f>HYPERLINK("https://ssdweb.co/ssdweb/hd/Vision360.html?d=925910661&amp;zoomslide=1&amp;z=1925910661&amp;ISCONFIRM=0","VIDEO")</f>
        <v>VIDEO</v>
      </c>
      <c r="AA1862" s="19" t="str">
        <f>HYPERLINK("https://ssdweb.co/ssdweb/CERTH/636470059.pdf","CERTI")</f>
        <v>CERTI</v>
      </c>
    </row>
    <row r="1863" spans="1:27" ht="15" x14ac:dyDescent="0.25">
      <c r="A1863" s="2">
        <v>1858</v>
      </c>
      <c r="B1863" s="39">
        <v>925840709</v>
      </c>
      <c r="C1863" s="28" t="str">
        <f>HYPERLINK("https://pld.live/RapDetail.aspx?STONELIST=925840709","DNA")</f>
        <v>DNA</v>
      </c>
      <c r="D1863" s="18" t="s">
        <v>2802</v>
      </c>
      <c r="E1863" s="18" t="s">
        <v>5128</v>
      </c>
      <c r="F1863" s="2" t="s">
        <v>5597</v>
      </c>
      <c r="G1863" s="2" t="s">
        <v>861</v>
      </c>
      <c r="H1863" s="14">
        <v>0.43</v>
      </c>
      <c r="I1863" s="2" t="s">
        <v>267</v>
      </c>
      <c r="J1863" s="2" t="s">
        <v>3942</v>
      </c>
      <c r="K1863" s="2" t="s">
        <v>5221</v>
      </c>
      <c r="L1863" s="2" t="s">
        <v>5221</v>
      </c>
      <c r="M1863" s="2" t="s">
        <v>5221</v>
      </c>
      <c r="N1863" s="2" t="s">
        <v>2317</v>
      </c>
      <c r="O1863" s="14">
        <v>2500</v>
      </c>
      <c r="P1863" s="14">
        <v>89.68</v>
      </c>
      <c r="Q1863" s="14">
        <v>258</v>
      </c>
      <c r="R1863" s="14">
        <v>110.94</v>
      </c>
      <c r="S1863" s="2" t="s">
        <v>420</v>
      </c>
      <c r="T1863" s="2">
        <v>1</v>
      </c>
      <c r="U1863" s="2">
        <v>62.4</v>
      </c>
      <c r="V1863" s="2">
        <v>58</v>
      </c>
      <c r="W1863" s="2" t="s">
        <v>7862</v>
      </c>
      <c r="X1863" s="2" t="s">
        <v>5405</v>
      </c>
      <c r="Y1863" s="2">
        <v>1075</v>
      </c>
      <c r="Z1863" s="19" t="str">
        <f>HYPERLINK("https://ssdweb.co/ssdweb/hd/Vision360.html?d=925840709&amp;zoomslide=1&amp;z=1925840709&amp;ISCONFIRM=0","VIDEO")</f>
        <v>VIDEO</v>
      </c>
      <c r="AA1863" s="19" t="str">
        <f>HYPERLINK("https://ssdweb.co/ssdweb/CERTH/6481892253.pdf","CERTI")</f>
        <v>CERTI</v>
      </c>
    </row>
    <row r="1864" spans="1:27" ht="15" x14ac:dyDescent="0.25">
      <c r="A1864" s="2">
        <v>1859</v>
      </c>
      <c r="B1864" s="39">
        <v>924460313</v>
      </c>
      <c r="C1864" s="28" t="str">
        <f>HYPERLINK("https://pld.live/RapDetail.aspx?STONELIST=924460313","DNA")</f>
        <v>DNA</v>
      </c>
      <c r="D1864" s="18" t="s">
        <v>2802</v>
      </c>
      <c r="E1864" s="18" t="s">
        <v>5128</v>
      </c>
      <c r="F1864" s="2" t="s">
        <v>7987</v>
      </c>
      <c r="G1864" s="2" t="s">
        <v>861</v>
      </c>
      <c r="H1864" s="14">
        <v>0.43</v>
      </c>
      <c r="I1864" s="2" t="s">
        <v>267</v>
      </c>
      <c r="J1864" s="2" t="s">
        <v>3942</v>
      </c>
      <c r="K1864" s="2" t="s">
        <v>5221</v>
      </c>
      <c r="L1864" s="2" t="s">
        <v>5221</v>
      </c>
      <c r="M1864" s="2" t="s">
        <v>5221</v>
      </c>
      <c r="N1864" s="2" t="s">
        <v>2317</v>
      </c>
      <c r="O1864" s="14">
        <v>2500</v>
      </c>
      <c r="P1864" s="14">
        <v>94.8</v>
      </c>
      <c r="Q1864" s="14">
        <v>130</v>
      </c>
      <c r="R1864" s="14">
        <v>55.9</v>
      </c>
      <c r="S1864" s="2" t="s">
        <v>60</v>
      </c>
      <c r="T1864" s="2">
        <v>1.01</v>
      </c>
      <c r="U1864" s="2">
        <v>63</v>
      </c>
      <c r="V1864" s="2">
        <v>57</v>
      </c>
      <c r="W1864" s="2" t="s">
        <v>7862</v>
      </c>
      <c r="X1864" s="2" t="s">
        <v>5405</v>
      </c>
      <c r="Y1864" s="2">
        <v>1075</v>
      </c>
      <c r="Z1864" s="19" t="str">
        <f>HYPERLINK("https://ssdweb.co/ssdweb/hd/Vision360.html?d=924460313&amp;zoomslide=1&amp;z=1924460313&amp;ISCONFIRM=0","VIDEO")</f>
        <v>VIDEO</v>
      </c>
      <c r="AA1864" s="19" t="str">
        <f>HYPERLINK("https://ssdweb.co/ssdweb/CERTH/591308321.pdf","CERTI")</f>
        <v>CERTI</v>
      </c>
    </row>
    <row r="1865" spans="1:27" ht="15" x14ac:dyDescent="0.25">
      <c r="A1865" s="2">
        <v>1860</v>
      </c>
      <c r="B1865" s="39">
        <v>925840754</v>
      </c>
      <c r="C1865" s="28" t="str">
        <f>HYPERLINK("https://pld.live/RapDetail.aspx?STONELIST=925840754","DNA")</f>
        <v>DNA</v>
      </c>
      <c r="D1865" s="18" t="s">
        <v>2802</v>
      </c>
      <c r="E1865" s="18" t="s">
        <v>5128</v>
      </c>
      <c r="F1865" s="2" t="s">
        <v>5597</v>
      </c>
      <c r="G1865" s="2" t="s">
        <v>861</v>
      </c>
      <c r="H1865" s="14">
        <v>0.43</v>
      </c>
      <c r="I1865" s="2" t="s">
        <v>267</v>
      </c>
      <c r="J1865" s="2" t="s">
        <v>3942</v>
      </c>
      <c r="K1865" s="2" t="s">
        <v>5221</v>
      </c>
      <c r="L1865" s="2" t="s">
        <v>5221</v>
      </c>
      <c r="M1865" s="2" t="s">
        <v>5221</v>
      </c>
      <c r="N1865" s="2" t="s">
        <v>2317</v>
      </c>
      <c r="O1865" s="14">
        <v>2500</v>
      </c>
      <c r="P1865" s="14">
        <v>89.68</v>
      </c>
      <c r="Q1865" s="14">
        <v>258</v>
      </c>
      <c r="R1865" s="14">
        <v>110.94</v>
      </c>
      <c r="S1865" s="2" t="s">
        <v>2790</v>
      </c>
      <c r="T1865" s="2">
        <v>1.01</v>
      </c>
      <c r="U1865" s="2">
        <v>62.2</v>
      </c>
      <c r="V1865" s="2">
        <v>56</v>
      </c>
      <c r="W1865" s="2" t="s">
        <v>7862</v>
      </c>
      <c r="X1865" s="2" t="s">
        <v>5405</v>
      </c>
      <c r="Y1865" s="2">
        <v>1075</v>
      </c>
      <c r="Z1865" s="19" t="str">
        <f>HYPERLINK("https://ssdweb.co/ssdweb/hd/Vision360.html?d=925840754&amp;zoomslide=1&amp;z=1925840754&amp;ISCONFIRM=0","VIDEO")</f>
        <v>VIDEO</v>
      </c>
      <c r="AA1865" s="19" t="str">
        <f>HYPERLINK("https://ssdweb.co/ssdweb/CERTH/6485907276.pdf","CERTI")</f>
        <v>CERTI</v>
      </c>
    </row>
    <row r="1866" spans="1:27" ht="15" x14ac:dyDescent="0.25">
      <c r="A1866" s="2">
        <v>1861</v>
      </c>
      <c r="B1866" s="39">
        <v>925780927</v>
      </c>
      <c r="C1866" s="28" t="str">
        <f>HYPERLINK("https://pld.live/RapDetail.aspx?STONELIST=925780927","DNA")</f>
        <v>DNA</v>
      </c>
      <c r="D1866" s="18" t="s">
        <v>2802</v>
      </c>
      <c r="E1866" s="18" t="s">
        <v>5128</v>
      </c>
      <c r="F1866" s="2" t="s">
        <v>5597</v>
      </c>
      <c r="G1866" s="2" t="s">
        <v>861</v>
      </c>
      <c r="H1866" s="14">
        <v>0.43</v>
      </c>
      <c r="I1866" s="2" t="s">
        <v>267</v>
      </c>
      <c r="J1866" s="2" t="s">
        <v>3942</v>
      </c>
      <c r="K1866" s="2" t="s">
        <v>5221</v>
      </c>
      <c r="L1866" s="2" t="s">
        <v>5221</v>
      </c>
      <c r="M1866" s="2" t="s">
        <v>5221</v>
      </c>
      <c r="N1866" s="2" t="s">
        <v>2317</v>
      </c>
      <c r="O1866" s="14">
        <v>2500</v>
      </c>
      <c r="P1866" s="14">
        <v>89.68</v>
      </c>
      <c r="Q1866" s="14">
        <v>258</v>
      </c>
      <c r="R1866" s="14">
        <v>110.94</v>
      </c>
      <c r="S1866" s="2" t="s">
        <v>2924</v>
      </c>
      <c r="T1866" s="2">
        <v>1.01</v>
      </c>
      <c r="U1866" s="2">
        <v>61.6</v>
      </c>
      <c r="V1866" s="2">
        <v>57</v>
      </c>
      <c r="W1866" s="2" t="s">
        <v>7862</v>
      </c>
      <c r="X1866" s="2" t="s">
        <v>5405</v>
      </c>
      <c r="Y1866" s="2">
        <v>1075</v>
      </c>
      <c r="Z1866" s="19" t="str">
        <f>HYPERLINK("https://ssdweb.co/ssdweb/hd/Vision360.html?d=925780927&amp;zoomslide=1&amp;z=1925780927&amp;ISCONFIRM=0","VIDEO")</f>
        <v>VIDEO</v>
      </c>
      <c r="AA1866" s="19" t="str">
        <f>HYPERLINK("https://ssdweb.co/ssdweb/CERTH/2484892212.pdf","CERTI")</f>
        <v>CERTI</v>
      </c>
    </row>
    <row r="1867" spans="1:27" ht="15" x14ac:dyDescent="0.25">
      <c r="A1867" s="2">
        <v>1862</v>
      </c>
      <c r="B1867" s="39">
        <v>831010712</v>
      </c>
      <c r="C1867" s="28" t="str">
        <f>HYPERLINK("https://pld.live/RapDetail.aspx?STONELIST=831010712","DNA")</f>
        <v>DNA</v>
      </c>
      <c r="D1867" s="18" t="s">
        <v>2802</v>
      </c>
      <c r="E1867" s="18" t="s">
        <v>5128</v>
      </c>
      <c r="F1867" s="2" t="s">
        <v>5597</v>
      </c>
      <c r="G1867" s="2" t="s">
        <v>861</v>
      </c>
      <c r="H1867" s="14">
        <v>0.43</v>
      </c>
      <c r="I1867" s="2" t="s">
        <v>267</v>
      </c>
      <c r="J1867" s="2" t="s">
        <v>3942</v>
      </c>
      <c r="K1867" s="2" t="s">
        <v>5221</v>
      </c>
      <c r="L1867" s="2" t="s">
        <v>5221</v>
      </c>
      <c r="M1867" s="2" t="s">
        <v>5221</v>
      </c>
      <c r="N1867" s="2" t="s">
        <v>2317</v>
      </c>
      <c r="O1867" s="14">
        <v>2500</v>
      </c>
      <c r="P1867" s="14">
        <v>89.68</v>
      </c>
      <c r="Q1867" s="14">
        <v>258</v>
      </c>
      <c r="R1867" s="14">
        <v>110.94</v>
      </c>
      <c r="S1867" s="2" t="s">
        <v>6313</v>
      </c>
      <c r="T1867" s="2">
        <v>1.01</v>
      </c>
      <c r="U1867" s="2">
        <v>62.1</v>
      </c>
      <c r="V1867" s="2">
        <v>58</v>
      </c>
      <c r="W1867" s="2" t="s">
        <v>7862</v>
      </c>
      <c r="X1867" s="2" t="s">
        <v>5405</v>
      </c>
      <c r="Y1867" s="2">
        <v>1075</v>
      </c>
      <c r="Z1867" s="19" t="str">
        <f>HYPERLINK("https://ssdweb.co/ssdweb/hd/Vision360.html?d=831010712&amp;zoomslide=1&amp;z=1831010712&amp;ISCONFIRM=0","VIDEO")</f>
        <v>VIDEO</v>
      </c>
      <c r="AA1867" s="19" t="str">
        <f>HYPERLINK("https://ssdweb.co/ssdweb/CERTH/1483854856.pdf","CERTI")</f>
        <v>CERTI</v>
      </c>
    </row>
    <row r="1868" spans="1:27" ht="15" x14ac:dyDescent="0.25">
      <c r="A1868" s="2">
        <v>1863</v>
      </c>
      <c r="B1868" s="39">
        <v>925910783</v>
      </c>
      <c r="C1868" s="28" t="str">
        <f>HYPERLINK("https://pld.live/RapDetail.aspx?STONELIST=925910783","DNA")</f>
        <v>DNA</v>
      </c>
      <c r="D1868" s="18" t="s">
        <v>2802</v>
      </c>
      <c r="E1868" s="18" t="s">
        <v>5128</v>
      </c>
      <c r="F1868" s="2" t="s">
        <v>5597</v>
      </c>
      <c r="G1868" s="2" t="s">
        <v>861</v>
      </c>
      <c r="H1868" s="14">
        <v>0.43</v>
      </c>
      <c r="I1868" s="2" t="s">
        <v>267</v>
      </c>
      <c r="J1868" s="2" t="s">
        <v>13</v>
      </c>
      <c r="K1868" s="2" t="s">
        <v>5221</v>
      </c>
      <c r="L1868" s="2" t="s">
        <v>5221</v>
      </c>
      <c r="M1868" s="2" t="s">
        <v>5221</v>
      </c>
      <c r="N1868" s="2" t="s">
        <v>2317</v>
      </c>
      <c r="O1868" s="14">
        <v>2300</v>
      </c>
      <c r="P1868" s="14">
        <v>89.57</v>
      </c>
      <c r="Q1868" s="14">
        <v>239.89</v>
      </c>
      <c r="R1868" s="14">
        <v>103.15</v>
      </c>
      <c r="S1868" s="2" t="s">
        <v>294</v>
      </c>
      <c r="T1868" s="2">
        <v>1.01</v>
      </c>
      <c r="U1868" s="2">
        <v>61</v>
      </c>
      <c r="V1868" s="2">
        <v>57</v>
      </c>
      <c r="W1868" s="2" t="s">
        <v>7862</v>
      </c>
      <c r="X1868" s="2" t="s">
        <v>5405</v>
      </c>
      <c r="Y1868" s="2">
        <v>989</v>
      </c>
      <c r="Z1868" s="19" t="str">
        <f>HYPERLINK("https://ssdweb.co/ssdweb/hd/Vision360.html?d=925910783&amp;zoomslide=1&amp;z=1925910783&amp;ISCONFIRM=0","VIDEO")</f>
        <v>VIDEO</v>
      </c>
      <c r="AA1868" s="19" t="str">
        <f>HYPERLINK("https://ssdweb.co/ssdweb/CERTH/5496059094.pdf","CERTI")</f>
        <v>CERTI</v>
      </c>
    </row>
    <row r="1869" spans="1:27" ht="15" x14ac:dyDescent="0.25">
      <c r="A1869" s="2">
        <v>1864</v>
      </c>
      <c r="B1869" s="39">
        <v>925840519</v>
      </c>
      <c r="C1869" s="28" t="str">
        <f>HYPERLINK("https://pld.live/RapDetail.aspx?STONELIST=925840519","DNA")</f>
        <v>DNA</v>
      </c>
      <c r="D1869" s="18" t="s">
        <v>2802</v>
      </c>
      <c r="E1869" s="18" t="s">
        <v>5128</v>
      </c>
      <c r="F1869" s="2" t="s">
        <v>5597</v>
      </c>
      <c r="G1869" s="2" t="s">
        <v>861</v>
      </c>
      <c r="H1869" s="14">
        <v>0.43</v>
      </c>
      <c r="I1869" s="2" t="s">
        <v>267</v>
      </c>
      <c r="J1869" s="2" t="s">
        <v>13</v>
      </c>
      <c r="K1869" s="2" t="s">
        <v>5221</v>
      </c>
      <c r="L1869" s="2" t="s">
        <v>5221</v>
      </c>
      <c r="M1869" s="2" t="s">
        <v>5221</v>
      </c>
      <c r="N1869" s="2" t="s">
        <v>2317</v>
      </c>
      <c r="O1869" s="14">
        <v>2300</v>
      </c>
      <c r="P1869" s="14">
        <v>89.57</v>
      </c>
      <c r="Q1869" s="14">
        <v>239.89</v>
      </c>
      <c r="R1869" s="14">
        <v>103.15</v>
      </c>
      <c r="S1869" s="2" t="s">
        <v>6350</v>
      </c>
      <c r="T1869" s="2">
        <v>1.01</v>
      </c>
      <c r="U1869" s="2">
        <v>61.4</v>
      </c>
      <c r="V1869" s="2">
        <v>58</v>
      </c>
      <c r="W1869" s="2" t="s">
        <v>7862</v>
      </c>
      <c r="X1869" s="2" t="s">
        <v>5405</v>
      </c>
      <c r="Y1869" s="2">
        <v>989</v>
      </c>
      <c r="Z1869" s="19" t="str">
        <f>HYPERLINK("https://ssdweb.co/ssdweb/hd/Vision360.html?d=925840519&amp;zoomslide=1&amp;z=1925840519&amp;ISCONFIRM=0","VIDEO")</f>
        <v>VIDEO</v>
      </c>
      <c r="AA1869" s="19" t="str">
        <f>HYPERLINK("https://ssdweb.co/ssdweb/CERTH/7483854642.pdf","CERTI")</f>
        <v>CERTI</v>
      </c>
    </row>
    <row r="1870" spans="1:27" ht="15" x14ac:dyDescent="0.25">
      <c r="A1870" s="2">
        <v>1865</v>
      </c>
      <c r="B1870" s="39">
        <v>831010486</v>
      </c>
      <c r="C1870" s="28" t="str">
        <f>HYPERLINK("https://pld.live/RapDetail.aspx?STONELIST=831010486","DNA")</f>
        <v>DNA</v>
      </c>
      <c r="D1870" s="18" t="s">
        <v>2802</v>
      </c>
      <c r="E1870" s="18" t="s">
        <v>5128</v>
      </c>
      <c r="F1870" s="2" t="s">
        <v>5597</v>
      </c>
      <c r="G1870" s="2" t="s">
        <v>861</v>
      </c>
      <c r="H1870" s="14">
        <v>0.43</v>
      </c>
      <c r="I1870" s="2" t="s">
        <v>267</v>
      </c>
      <c r="J1870" s="2" t="s">
        <v>13</v>
      </c>
      <c r="K1870" s="2" t="s">
        <v>5221</v>
      </c>
      <c r="L1870" s="2" t="s">
        <v>5221</v>
      </c>
      <c r="M1870" s="2" t="s">
        <v>5221</v>
      </c>
      <c r="N1870" s="2" t="s">
        <v>2317</v>
      </c>
      <c r="O1870" s="14">
        <v>2300</v>
      </c>
      <c r="P1870" s="14">
        <v>89.57</v>
      </c>
      <c r="Q1870" s="14">
        <v>239.89</v>
      </c>
      <c r="R1870" s="14">
        <v>103.15</v>
      </c>
      <c r="S1870" s="2" t="s">
        <v>6921</v>
      </c>
      <c r="T1870" s="2">
        <v>1.01</v>
      </c>
      <c r="U1870" s="2">
        <v>62.1</v>
      </c>
      <c r="V1870" s="2">
        <v>58</v>
      </c>
      <c r="W1870" s="2" t="s">
        <v>7862</v>
      </c>
      <c r="X1870" s="2" t="s">
        <v>5405</v>
      </c>
      <c r="Y1870" s="2">
        <v>989</v>
      </c>
      <c r="Z1870" s="19" t="str">
        <f>HYPERLINK("https://ssdweb.co/ssdweb/hd/Vision360.html?d=831010486&amp;zoomslide=1&amp;z=1831010486&amp;ISCONFIRM=0","VIDEO")</f>
        <v>VIDEO</v>
      </c>
      <c r="AA1870" s="19" t="str">
        <f>HYPERLINK("https://ssdweb.co/ssdweb/CERTH/7488716573.pdf","CERTI")</f>
        <v>CERTI</v>
      </c>
    </row>
    <row r="1871" spans="1:27" ht="15" x14ac:dyDescent="0.25">
      <c r="A1871" s="2">
        <v>1866</v>
      </c>
      <c r="B1871" s="39">
        <v>941220209</v>
      </c>
      <c r="C1871" s="28" t="str">
        <f>HYPERLINK("https://pld.live/RapDetail.aspx?STONELIST=941220209","DNA")</f>
        <v>DNA</v>
      </c>
      <c r="D1871" s="18" t="s">
        <v>2802</v>
      </c>
      <c r="E1871" s="18" t="s">
        <v>2186</v>
      </c>
      <c r="F1871" s="2" t="s">
        <v>7987</v>
      </c>
      <c r="G1871" s="2" t="s">
        <v>861</v>
      </c>
      <c r="H1871" s="14">
        <v>0.43</v>
      </c>
      <c r="I1871" s="2" t="s">
        <v>267</v>
      </c>
      <c r="J1871" s="2" t="s">
        <v>13</v>
      </c>
      <c r="K1871" s="2" t="s">
        <v>5221</v>
      </c>
      <c r="L1871" s="2" t="s">
        <v>5221</v>
      </c>
      <c r="M1871" s="2" t="s">
        <v>5221</v>
      </c>
      <c r="N1871" s="2" t="s">
        <v>2317</v>
      </c>
      <c r="O1871" s="14">
        <v>2300</v>
      </c>
      <c r="P1871" s="14">
        <v>94.43</v>
      </c>
      <c r="Q1871" s="14">
        <v>128.11000000000001</v>
      </c>
      <c r="R1871" s="14">
        <v>55.09</v>
      </c>
      <c r="S1871" s="2" t="s">
        <v>4950</v>
      </c>
      <c r="T1871" s="2">
        <v>1.01</v>
      </c>
      <c r="U1871" s="2">
        <v>60.7</v>
      </c>
      <c r="V1871" s="2">
        <v>60</v>
      </c>
      <c r="W1871" s="2" t="s">
        <v>7862</v>
      </c>
      <c r="X1871" s="2" t="s">
        <v>5405</v>
      </c>
      <c r="Y1871" s="2">
        <v>989</v>
      </c>
      <c r="Z1871" s="19" t="str">
        <f>HYPERLINK("https://ssdweb.co/ssdweb/hd/Vision360.html?d=941220209&amp;zoomslide=1&amp;z=1941220209&amp;ISCONFIRM=0","VIDEO")</f>
        <v>VIDEO</v>
      </c>
      <c r="AA1871" s="19" t="str">
        <f>HYPERLINK("https://ssdweb.co/ssdweb/CERTH/678550375.pdf","CERTI")</f>
        <v>CERTI</v>
      </c>
    </row>
    <row r="1872" spans="1:27" ht="15" x14ac:dyDescent="0.25">
      <c r="A1872" s="2">
        <v>1867</v>
      </c>
      <c r="B1872" s="39">
        <v>925200015</v>
      </c>
      <c r="C1872" s="28" t="str">
        <f>HYPERLINK("https://pld.live/RapDetail.aspx?STONELIST=925200015","DNA")</f>
        <v>DNA</v>
      </c>
      <c r="D1872" s="18" t="s">
        <v>2802</v>
      </c>
      <c r="E1872" s="18" t="s">
        <v>5128</v>
      </c>
      <c r="F1872" s="2" t="s">
        <v>5597</v>
      </c>
      <c r="G1872" s="2" t="s">
        <v>861</v>
      </c>
      <c r="H1872" s="14">
        <v>0.43</v>
      </c>
      <c r="I1872" s="2" t="s">
        <v>267</v>
      </c>
      <c r="J1872" s="2" t="s">
        <v>13</v>
      </c>
      <c r="K1872" s="2" t="s">
        <v>5221</v>
      </c>
      <c r="L1872" s="2" t="s">
        <v>5221</v>
      </c>
      <c r="M1872" s="2" t="s">
        <v>5721</v>
      </c>
      <c r="N1872" s="2" t="s">
        <v>2317</v>
      </c>
      <c r="O1872" s="14">
        <v>2300</v>
      </c>
      <c r="P1872" s="14">
        <v>89.7</v>
      </c>
      <c r="Q1872" s="14">
        <v>236.9</v>
      </c>
      <c r="R1872" s="14">
        <v>101.87</v>
      </c>
      <c r="S1872" s="2" t="s">
        <v>7685</v>
      </c>
      <c r="T1872" s="2">
        <v>1.01</v>
      </c>
      <c r="U1872" s="2">
        <v>60.6</v>
      </c>
      <c r="V1872" s="2">
        <v>59</v>
      </c>
      <c r="W1872" s="2" t="s">
        <v>7862</v>
      </c>
      <c r="X1872" s="2" t="s">
        <v>5405</v>
      </c>
      <c r="Y1872" s="2">
        <v>989</v>
      </c>
      <c r="Z1872" s="19" t="str">
        <f>HYPERLINK("https://ssdweb.co/ssdweb/hd/Vision360.html?d=925200015&amp;zoomslide=1&amp;z=1925200015&amp;ISCONFIRM=0","VIDEO")</f>
        <v>VIDEO</v>
      </c>
      <c r="AA1872" s="19" t="str">
        <f>HYPERLINK("https://ssdweb.co/ssdweb/CERTH/7486175665.pdf","CERTI")</f>
        <v>CERTI</v>
      </c>
    </row>
    <row r="1873" spans="1:27" ht="15" x14ac:dyDescent="0.25">
      <c r="A1873" s="2">
        <v>1868</v>
      </c>
      <c r="B1873" s="39">
        <v>926000008</v>
      </c>
      <c r="C1873" s="28" t="str">
        <f>HYPERLINK("https://pld.live/RapDetail.aspx?STONELIST=926000008","DNA")</f>
        <v>DNA</v>
      </c>
      <c r="D1873" s="18" t="s">
        <v>2802</v>
      </c>
      <c r="E1873" s="18" t="s">
        <v>2186</v>
      </c>
      <c r="F1873" s="2" t="s">
        <v>7987</v>
      </c>
      <c r="G1873" s="2" t="s">
        <v>861</v>
      </c>
      <c r="H1873" s="14">
        <v>0.43</v>
      </c>
      <c r="I1873" s="2" t="s">
        <v>267</v>
      </c>
      <c r="J1873" s="2" t="s">
        <v>13</v>
      </c>
      <c r="K1873" s="2" t="s">
        <v>5221</v>
      </c>
      <c r="L1873" s="2" t="s">
        <v>5721</v>
      </c>
      <c r="M1873" s="2" t="s">
        <v>5721</v>
      </c>
      <c r="N1873" s="2" t="s">
        <v>2317</v>
      </c>
      <c r="O1873" s="14">
        <v>2300</v>
      </c>
      <c r="P1873" s="14">
        <v>94.87</v>
      </c>
      <c r="Q1873" s="14">
        <v>117.99</v>
      </c>
      <c r="R1873" s="14">
        <v>50.74</v>
      </c>
      <c r="S1873" s="2" t="s">
        <v>7009</v>
      </c>
      <c r="T1873" s="2">
        <v>1.01</v>
      </c>
      <c r="U1873" s="2">
        <v>62.8</v>
      </c>
      <c r="V1873" s="2">
        <v>56</v>
      </c>
      <c r="W1873" s="2" t="s">
        <v>7862</v>
      </c>
      <c r="X1873" s="2" t="s">
        <v>5405</v>
      </c>
      <c r="Y1873" s="2">
        <v>989</v>
      </c>
      <c r="Z1873" s="19" t="str">
        <f>HYPERLINK("https://ssdweb.co/ssdweb/hd/Vision360.html?d=926000008&amp;zoomslide=1&amp;z=1926000008&amp;ISCONFIRM=0","VIDEO")</f>
        <v>VIDEO</v>
      </c>
      <c r="AA1873" s="19" t="str">
        <f>HYPERLINK("https://ssdweb.co/ssdweb/CERTH/636470064.pdf","CERTI")</f>
        <v>CERTI</v>
      </c>
    </row>
    <row r="1874" spans="1:27" ht="15" x14ac:dyDescent="0.25">
      <c r="A1874" s="2">
        <v>1869</v>
      </c>
      <c r="B1874" s="39">
        <v>924540178</v>
      </c>
      <c r="C1874" s="28" t="str">
        <f>HYPERLINK("https://pld.live/RapDetail.aspx?STONELIST=924540178","DNA")</f>
        <v>DNA</v>
      </c>
      <c r="D1874" s="18" t="s">
        <v>2802</v>
      </c>
      <c r="E1874" s="18" t="s">
        <v>5128</v>
      </c>
      <c r="F1874" s="2" t="s">
        <v>7987</v>
      </c>
      <c r="G1874" s="2" t="s">
        <v>861</v>
      </c>
      <c r="H1874" s="14">
        <v>0.43</v>
      </c>
      <c r="I1874" s="2" t="s">
        <v>267</v>
      </c>
      <c r="J1874" s="2" t="s">
        <v>5144</v>
      </c>
      <c r="K1874" s="2" t="s">
        <v>3390</v>
      </c>
      <c r="L1874" s="2" t="s">
        <v>5221</v>
      </c>
      <c r="M1874" s="2" t="s">
        <v>5221</v>
      </c>
      <c r="N1874" s="2" t="s">
        <v>2317</v>
      </c>
      <c r="O1874" s="14">
        <v>2100</v>
      </c>
      <c r="P1874" s="14">
        <v>94.24</v>
      </c>
      <c r="Q1874" s="14">
        <v>120.96</v>
      </c>
      <c r="R1874" s="14">
        <v>52.01</v>
      </c>
      <c r="S1874" s="2" t="s">
        <v>2772</v>
      </c>
      <c r="T1874" s="2">
        <v>1</v>
      </c>
      <c r="U1874" s="2">
        <v>61.7</v>
      </c>
      <c r="V1874" s="2">
        <v>55</v>
      </c>
      <c r="W1874" s="2" t="s">
        <v>7862</v>
      </c>
      <c r="X1874" s="2" t="s">
        <v>5405</v>
      </c>
      <c r="Y1874" s="2">
        <v>903</v>
      </c>
      <c r="Z1874" s="19" t="str">
        <f>HYPERLINK("https://ssdweb.co/ssdweb/hd/Vision360.html?d=924540178&amp;zoomslide=1&amp;z=1924540178&amp;ISCONFIRM=0","VIDEO")</f>
        <v>VIDEO</v>
      </c>
      <c r="AA1874" s="19" t="str">
        <f>HYPERLINK("https://ssdweb.co/ssdweb/CERTH/592323679.pdf","CERTI")</f>
        <v>CERTI</v>
      </c>
    </row>
    <row r="1875" spans="1:27" ht="15" x14ac:dyDescent="0.25">
      <c r="A1875" s="2">
        <v>1870</v>
      </c>
      <c r="B1875" s="39">
        <v>924220516</v>
      </c>
      <c r="C1875" s="28" t="str">
        <f>HYPERLINK("https://pld.live/RapDetail.aspx?STONELIST=924220516","DNA")</f>
        <v>DNA</v>
      </c>
      <c r="D1875" s="18" t="s">
        <v>2802</v>
      </c>
      <c r="E1875" s="18" t="s">
        <v>5128</v>
      </c>
      <c r="F1875" s="2" t="s">
        <v>7987</v>
      </c>
      <c r="G1875" s="2" t="s">
        <v>861</v>
      </c>
      <c r="H1875" s="14">
        <v>0.43</v>
      </c>
      <c r="I1875" s="2" t="s">
        <v>267</v>
      </c>
      <c r="J1875" s="2" t="s">
        <v>5144</v>
      </c>
      <c r="K1875" s="2" t="s">
        <v>3390</v>
      </c>
      <c r="L1875" s="2" t="s">
        <v>5221</v>
      </c>
      <c r="M1875" s="2" t="s">
        <v>5221</v>
      </c>
      <c r="N1875" s="2" t="s">
        <v>2317</v>
      </c>
      <c r="O1875" s="14">
        <v>2100</v>
      </c>
      <c r="P1875" s="14">
        <v>94.24</v>
      </c>
      <c r="Q1875" s="14">
        <v>120.96</v>
      </c>
      <c r="R1875" s="14">
        <v>52.01</v>
      </c>
      <c r="S1875" s="2" t="s">
        <v>5089</v>
      </c>
      <c r="T1875" s="2">
        <v>1.01</v>
      </c>
      <c r="U1875" s="2">
        <v>62.2</v>
      </c>
      <c r="V1875" s="2">
        <v>56</v>
      </c>
      <c r="W1875" s="2" t="s">
        <v>7862</v>
      </c>
      <c r="X1875" s="2" t="s">
        <v>5405</v>
      </c>
      <c r="Y1875" s="2">
        <v>903</v>
      </c>
      <c r="Z1875" s="19" t="str">
        <f>HYPERLINK("https://ssdweb.co/ssdweb/hd/Vision360.html?d=924220516&amp;zoomslide=1&amp;z=1924220516&amp;ISCONFIRM=0","VIDEO")</f>
        <v>VIDEO</v>
      </c>
      <c r="AA1875" s="19" t="str">
        <f>HYPERLINK("https://ssdweb.co/ssdweb/CERTH/578324252.pdf","CERTI")</f>
        <v>CERTI</v>
      </c>
    </row>
    <row r="1876" spans="1:27" ht="15" x14ac:dyDescent="0.25">
      <c r="A1876" s="2">
        <v>1871</v>
      </c>
      <c r="B1876" s="39">
        <v>924460086</v>
      </c>
      <c r="C1876" s="28" t="str">
        <f>HYPERLINK("https://pld.live/RapDetail.aspx?STONELIST=924460086","DNA")</f>
        <v>DNA</v>
      </c>
      <c r="D1876" s="18" t="s">
        <v>2802</v>
      </c>
      <c r="E1876" s="18" t="s">
        <v>5128</v>
      </c>
      <c r="F1876" s="2" t="s">
        <v>7987</v>
      </c>
      <c r="G1876" s="2" t="s">
        <v>861</v>
      </c>
      <c r="H1876" s="14">
        <v>0.43</v>
      </c>
      <c r="I1876" s="2" t="s">
        <v>267</v>
      </c>
      <c r="J1876" s="2" t="s">
        <v>5144</v>
      </c>
      <c r="K1876" s="2" t="s">
        <v>3390</v>
      </c>
      <c r="L1876" s="2" t="s">
        <v>5221</v>
      </c>
      <c r="M1876" s="2" t="s">
        <v>5221</v>
      </c>
      <c r="N1876" s="2" t="s">
        <v>2317</v>
      </c>
      <c r="O1876" s="14">
        <v>2100</v>
      </c>
      <c r="P1876" s="14">
        <v>94.24</v>
      </c>
      <c r="Q1876" s="14">
        <v>120.96</v>
      </c>
      <c r="R1876" s="14">
        <v>52.01</v>
      </c>
      <c r="S1876" s="2" t="s">
        <v>7869</v>
      </c>
      <c r="T1876" s="2">
        <v>1.01</v>
      </c>
      <c r="U1876" s="2">
        <v>61.8</v>
      </c>
      <c r="V1876" s="2">
        <v>56</v>
      </c>
      <c r="W1876" s="2" t="s">
        <v>7862</v>
      </c>
      <c r="X1876" s="2" t="s">
        <v>5405</v>
      </c>
      <c r="Y1876" s="2">
        <v>903</v>
      </c>
      <c r="Z1876" s="19" t="str">
        <f>HYPERLINK("https://ssdweb.co/ssdweb/hd/Vision360.html?d=924460086&amp;zoomslide=1&amp;z=1924460086&amp;ISCONFIRM=0","VIDEO")</f>
        <v>VIDEO</v>
      </c>
      <c r="AA1876" s="19" t="str">
        <f>HYPERLINK("https://ssdweb.co/ssdweb/CERTH/591390537.pdf","CERTI")</f>
        <v>CERTI</v>
      </c>
    </row>
    <row r="1877" spans="1:27" ht="15" x14ac:dyDescent="0.25">
      <c r="A1877" s="2">
        <v>1872</v>
      </c>
      <c r="B1877" s="39">
        <v>924460335</v>
      </c>
      <c r="C1877" s="28" t="str">
        <f>HYPERLINK("https://pld.live/RapDetail.aspx?STONELIST=924460335","DNA")</f>
        <v>DNA</v>
      </c>
      <c r="D1877" s="18" t="s">
        <v>2802</v>
      </c>
      <c r="E1877" s="18" t="s">
        <v>5128</v>
      </c>
      <c r="F1877" s="2" t="s">
        <v>7987</v>
      </c>
      <c r="G1877" s="2" t="s">
        <v>861</v>
      </c>
      <c r="H1877" s="14">
        <v>0.43</v>
      </c>
      <c r="I1877" s="2" t="s">
        <v>267</v>
      </c>
      <c r="J1877" s="2" t="s">
        <v>5144</v>
      </c>
      <c r="K1877" s="2" t="s">
        <v>3390</v>
      </c>
      <c r="L1877" s="2" t="s">
        <v>5221</v>
      </c>
      <c r="M1877" s="2" t="s">
        <v>5221</v>
      </c>
      <c r="N1877" s="2" t="s">
        <v>2317</v>
      </c>
      <c r="O1877" s="14">
        <v>2100</v>
      </c>
      <c r="P1877" s="14">
        <v>94.24</v>
      </c>
      <c r="Q1877" s="14">
        <v>120.96</v>
      </c>
      <c r="R1877" s="14">
        <v>52.01</v>
      </c>
      <c r="S1877" s="2" t="s">
        <v>3232</v>
      </c>
      <c r="T1877" s="2">
        <v>1.01</v>
      </c>
      <c r="U1877" s="2">
        <v>61.9</v>
      </c>
      <c r="V1877" s="2">
        <v>59</v>
      </c>
      <c r="W1877" s="2" t="s">
        <v>7862</v>
      </c>
      <c r="X1877" s="2" t="s">
        <v>5405</v>
      </c>
      <c r="Y1877" s="2">
        <v>903</v>
      </c>
      <c r="Z1877" s="19" t="str">
        <f>HYPERLINK("https://ssdweb.co/ssdweb/hd/Vision360.html?d=924460335&amp;zoomslide=1&amp;z=1924460335&amp;ISCONFIRM=0","VIDEO")</f>
        <v>VIDEO</v>
      </c>
      <c r="AA1877" s="19" t="str">
        <f>HYPERLINK("https://ssdweb.co/ssdweb/CERTH/591308323.pdf","CERTI")</f>
        <v>CERTI</v>
      </c>
    </row>
    <row r="1878" spans="1:27" ht="15" x14ac:dyDescent="0.25">
      <c r="A1878" s="2">
        <v>1873</v>
      </c>
      <c r="B1878" s="39">
        <v>925840333</v>
      </c>
      <c r="C1878" s="28" t="str">
        <f>HYPERLINK("https://pld.live/RapDetail.aspx?STONELIST=925840333","DNA")</f>
        <v>DNA</v>
      </c>
      <c r="D1878" s="18" t="s">
        <v>2802</v>
      </c>
      <c r="E1878" s="18" t="s">
        <v>5128</v>
      </c>
      <c r="F1878" s="2" t="s">
        <v>5597</v>
      </c>
      <c r="G1878" s="2" t="s">
        <v>861</v>
      </c>
      <c r="H1878" s="14">
        <v>0.43</v>
      </c>
      <c r="I1878" s="2" t="s">
        <v>267</v>
      </c>
      <c r="J1878" s="2" t="s">
        <v>5144</v>
      </c>
      <c r="K1878" s="2" t="s">
        <v>5221</v>
      </c>
      <c r="L1878" s="2" t="s">
        <v>5221</v>
      </c>
      <c r="M1878" s="2" t="s">
        <v>5221</v>
      </c>
      <c r="N1878" s="2" t="s">
        <v>2317</v>
      </c>
      <c r="O1878" s="14">
        <v>2100</v>
      </c>
      <c r="P1878" s="14">
        <v>90.19</v>
      </c>
      <c r="Q1878" s="14">
        <v>206.01</v>
      </c>
      <c r="R1878" s="14">
        <v>88.58</v>
      </c>
      <c r="S1878" s="2" t="s">
        <v>6350</v>
      </c>
      <c r="T1878" s="2">
        <v>1.01</v>
      </c>
      <c r="U1878" s="2">
        <v>61.4</v>
      </c>
      <c r="V1878" s="2">
        <v>59</v>
      </c>
      <c r="W1878" s="2" t="s">
        <v>7862</v>
      </c>
      <c r="X1878" s="2" t="s">
        <v>5405</v>
      </c>
      <c r="Y1878" s="2">
        <v>903</v>
      </c>
      <c r="Z1878" s="19" t="str">
        <f>HYPERLINK("https://ssdweb.co/ssdweb/hd/Vision360.html?d=925840333&amp;zoomslide=1&amp;z=1925840333&amp;ISCONFIRM=0","VIDEO")</f>
        <v>VIDEO</v>
      </c>
      <c r="AA1878" s="19" t="str">
        <f>HYPERLINK("https://ssdweb.co/ssdweb/CERTH/6485824259.pdf","CERTI")</f>
        <v>CERTI</v>
      </c>
    </row>
    <row r="1879" spans="1:27" ht="15" x14ac:dyDescent="0.25">
      <c r="A1879" s="2">
        <v>1874</v>
      </c>
      <c r="B1879" s="39">
        <v>831010261</v>
      </c>
      <c r="C1879" s="28" t="str">
        <f>HYPERLINK("https://pld.live/RapDetail.aspx?STONELIST=831010261","DNA")</f>
        <v>DNA</v>
      </c>
      <c r="D1879" s="18" t="s">
        <v>2802</v>
      </c>
      <c r="E1879" s="18" t="s">
        <v>5128</v>
      </c>
      <c r="F1879" s="2" t="s">
        <v>5597</v>
      </c>
      <c r="G1879" s="2" t="s">
        <v>861</v>
      </c>
      <c r="H1879" s="14">
        <v>0.43</v>
      </c>
      <c r="I1879" s="2" t="s">
        <v>267</v>
      </c>
      <c r="J1879" s="2" t="s">
        <v>444</v>
      </c>
      <c r="K1879" s="2" t="s">
        <v>5221</v>
      </c>
      <c r="L1879" s="2" t="s">
        <v>5221</v>
      </c>
      <c r="M1879" s="2" t="s">
        <v>5221</v>
      </c>
      <c r="N1879" s="2" t="s">
        <v>2317</v>
      </c>
      <c r="O1879" s="14">
        <v>2000</v>
      </c>
      <c r="P1879" s="14">
        <v>90.4</v>
      </c>
      <c r="Q1879" s="14">
        <v>192</v>
      </c>
      <c r="R1879" s="14">
        <v>82.56</v>
      </c>
      <c r="S1879" s="2" t="s">
        <v>4950</v>
      </c>
      <c r="T1879" s="2">
        <v>1.01</v>
      </c>
      <c r="U1879" s="2">
        <v>60.5</v>
      </c>
      <c r="V1879" s="2">
        <v>59</v>
      </c>
      <c r="W1879" s="2" t="s">
        <v>7862</v>
      </c>
      <c r="X1879" s="2" t="s">
        <v>5405</v>
      </c>
      <c r="Y1879" s="2">
        <v>860</v>
      </c>
      <c r="Z1879" s="19" t="str">
        <f>HYPERLINK("https://ssdweb.co/ssdweb/hd/Vision360.html?d=831010261&amp;zoomslide=1&amp;z=1831010261&amp;ISCONFIRM=0","VIDEO")</f>
        <v>VIDEO</v>
      </c>
      <c r="AA1879" s="19" t="str">
        <f>HYPERLINK("https://ssdweb.co/ssdweb/CERTH/1488175711.pdf","CERTI")</f>
        <v>CERTI</v>
      </c>
    </row>
    <row r="1880" spans="1:27" ht="15" x14ac:dyDescent="0.25">
      <c r="A1880" s="2">
        <v>1875</v>
      </c>
      <c r="B1880" s="39">
        <v>924110179</v>
      </c>
      <c r="C1880" s="28" t="str">
        <f>HYPERLINK("https://pld.live/RapDetail.aspx?STONELIST=924110179","DNA")</f>
        <v>DNA</v>
      </c>
      <c r="D1880" s="18" t="s">
        <v>2802</v>
      </c>
      <c r="E1880" s="18" t="s">
        <v>5128</v>
      </c>
      <c r="F1880" s="2" t="s">
        <v>7987</v>
      </c>
      <c r="G1880" s="2" t="s">
        <v>861</v>
      </c>
      <c r="H1880" s="14">
        <v>0.43</v>
      </c>
      <c r="I1880" s="2" t="s">
        <v>4761</v>
      </c>
      <c r="J1880" s="2" t="s">
        <v>3942</v>
      </c>
      <c r="K1880" s="2" t="s">
        <v>3390</v>
      </c>
      <c r="L1880" s="2" t="s">
        <v>5221</v>
      </c>
      <c r="M1880" s="2" t="s">
        <v>5221</v>
      </c>
      <c r="N1880" s="2" t="s">
        <v>2317</v>
      </c>
      <c r="O1880" s="14">
        <v>2300</v>
      </c>
      <c r="P1880" s="14">
        <v>94.39</v>
      </c>
      <c r="Q1880" s="14">
        <v>129.03</v>
      </c>
      <c r="R1880" s="14">
        <v>55.48</v>
      </c>
      <c r="S1880" s="2" t="s">
        <v>6261</v>
      </c>
      <c r="T1880" s="2">
        <v>1.01</v>
      </c>
      <c r="U1880" s="2">
        <v>61.3</v>
      </c>
      <c r="V1880" s="2">
        <v>57.5</v>
      </c>
      <c r="W1880" s="2" t="s">
        <v>7862</v>
      </c>
      <c r="X1880" s="2" t="s">
        <v>5405</v>
      </c>
      <c r="Y1880" s="2">
        <v>989</v>
      </c>
      <c r="Z1880" s="19" t="str">
        <f>HYPERLINK("https://ssdweb.co/ssdweb/hd/Vision360.html?d=924110179&amp;zoomslide=1&amp;z=1924110179&amp;ISCONFIRM=0","VIDEO")</f>
        <v>VIDEO</v>
      </c>
      <c r="AA1880" s="19" t="str">
        <f>HYPERLINK("https://ssdweb.co/ssdweb/CERTH/575374566.pdf","CERTI")</f>
        <v>CERTI</v>
      </c>
    </row>
    <row r="1881" spans="1:27" ht="15" x14ac:dyDescent="0.25">
      <c r="A1881" s="2">
        <v>1876</v>
      </c>
      <c r="B1881" s="39">
        <v>821127870</v>
      </c>
      <c r="C1881" s="28" t="str">
        <f>HYPERLINK("https://pld.live/RapDetail.aspx?STONELIST=821127870","DNA")</f>
        <v>DNA</v>
      </c>
      <c r="D1881" s="18" t="s">
        <v>2802</v>
      </c>
      <c r="E1881" s="18" t="s">
        <v>5128</v>
      </c>
      <c r="F1881" s="2" t="s">
        <v>7987</v>
      </c>
      <c r="G1881" s="2" t="s">
        <v>861</v>
      </c>
      <c r="H1881" s="14">
        <v>0.43</v>
      </c>
      <c r="I1881" s="2" t="s">
        <v>4761</v>
      </c>
      <c r="J1881" s="2" t="s">
        <v>3942</v>
      </c>
      <c r="K1881" s="2" t="s">
        <v>5221</v>
      </c>
      <c r="L1881" s="2" t="s">
        <v>5721</v>
      </c>
      <c r="M1881" s="2" t="s">
        <v>5721</v>
      </c>
      <c r="N1881" s="2" t="s">
        <v>2317</v>
      </c>
      <c r="O1881" s="14">
        <v>2300</v>
      </c>
      <c r="P1881" s="14">
        <v>94.65</v>
      </c>
      <c r="Q1881" s="14">
        <v>123.05</v>
      </c>
      <c r="R1881" s="14">
        <v>52.91</v>
      </c>
      <c r="S1881" s="2" t="s">
        <v>436</v>
      </c>
      <c r="T1881" s="2">
        <v>1.01</v>
      </c>
      <c r="U1881" s="2">
        <v>62.3</v>
      </c>
      <c r="V1881" s="2">
        <v>61</v>
      </c>
      <c r="W1881" s="2" t="s">
        <v>7862</v>
      </c>
      <c r="X1881" s="2" t="s">
        <v>5405</v>
      </c>
      <c r="Y1881" s="2">
        <v>989</v>
      </c>
      <c r="Z1881" s="19" t="str">
        <f>HYPERLINK("https://ssdweb.co/ssdweb/hd/Vision360.html?d=821127870&amp;zoomslide=1&amp;z=1821127870&amp;ISCONFIRM=0","VIDEO")</f>
        <v>VIDEO</v>
      </c>
      <c r="AA1881" s="19" t="str">
        <f>HYPERLINK("https://ssdweb.co/ssdweb/CERTH/633499536.pdf","CERTI")</f>
        <v>CERTI</v>
      </c>
    </row>
    <row r="1882" spans="1:27" ht="15" x14ac:dyDescent="0.25">
      <c r="A1882" s="2">
        <v>1877</v>
      </c>
      <c r="B1882" s="39">
        <v>926771036</v>
      </c>
      <c r="C1882" s="28" t="str">
        <f>HYPERLINK("https://pld.live/RapDetail.aspx?STONELIST=926771036","DNA")</f>
        <v>DNA</v>
      </c>
      <c r="D1882" s="18" t="s">
        <v>2802</v>
      </c>
      <c r="E1882" s="18" t="s">
        <v>5128</v>
      </c>
      <c r="F1882" s="2" t="s">
        <v>7987</v>
      </c>
      <c r="G1882" s="2" t="s">
        <v>861</v>
      </c>
      <c r="H1882" s="14">
        <v>0.43</v>
      </c>
      <c r="I1882" s="2" t="s">
        <v>4761</v>
      </c>
      <c r="J1882" s="2" t="s">
        <v>13</v>
      </c>
      <c r="K1882" s="2" t="s">
        <v>3390</v>
      </c>
      <c r="L1882" s="2" t="s">
        <v>5221</v>
      </c>
      <c r="M1882" s="2" t="s">
        <v>5221</v>
      </c>
      <c r="N1882" s="2" t="s">
        <v>2317</v>
      </c>
      <c r="O1882" s="14">
        <v>2100</v>
      </c>
      <c r="P1882" s="14">
        <v>94.1</v>
      </c>
      <c r="Q1882" s="14">
        <v>123.9</v>
      </c>
      <c r="R1882" s="14">
        <v>53.28</v>
      </c>
      <c r="S1882" s="2" t="s">
        <v>6248</v>
      </c>
      <c r="T1882" s="2">
        <v>1.01</v>
      </c>
      <c r="U1882" s="2">
        <v>60.4</v>
      </c>
      <c r="V1882" s="2">
        <v>58</v>
      </c>
      <c r="W1882" s="2" t="s">
        <v>7862</v>
      </c>
      <c r="X1882" s="2" t="s">
        <v>5405</v>
      </c>
      <c r="Y1882" s="2">
        <v>903</v>
      </c>
      <c r="Z1882" s="19" t="str">
        <f>HYPERLINK("https://ssdweb.co/ssdweb/hd/Vision360.html?d=926771036&amp;zoomslide=1&amp;z=1926771036&amp;ISCONFIRM=0","VIDEO")</f>
        <v>VIDEO</v>
      </c>
      <c r="AA1882" s="19" t="str">
        <f>HYPERLINK("https://ssdweb.co/ssdweb/CERTH/653444259.pdf","CERTI")</f>
        <v>CERTI</v>
      </c>
    </row>
    <row r="1883" spans="1:27" ht="15" x14ac:dyDescent="0.25">
      <c r="A1883" s="2">
        <v>1878</v>
      </c>
      <c r="B1883" s="39">
        <v>925370223</v>
      </c>
      <c r="C1883" s="28" t="str">
        <f>HYPERLINK("https://pld.live/RapDetail.aspx?STONELIST=925370223","DNA")</f>
        <v>DNA</v>
      </c>
      <c r="D1883" s="18" t="s">
        <v>2802</v>
      </c>
      <c r="E1883" s="18" t="s">
        <v>5128</v>
      </c>
      <c r="F1883" s="2" t="s">
        <v>7987</v>
      </c>
      <c r="G1883" s="2" t="s">
        <v>861</v>
      </c>
      <c r="H1883" s="14">
        <v>0.43</v>
      </c>
      <c r="I1883" s="2" t="s">
        <v>4761</v>
      </c>
      <c r="J1883" s="2" t="s">
        <v>5144</v>
      </c>
      <c r="K1883" s="2" t="s">
        <v>3390</v>
      </c>
      <c r="L1883" s="2" t="s">
        <v>5221</v>
      </c>
      <c r="M1883" s="2" t="s">
        <v>5221</v>
      </c>
      <c r="N1883" s="2" t="s">
        <v>2317</v>
      </c>
      <c r="O1883" s="14">
        <v>2000</v>
      </c>
      <c r="P1883" s="14">
        <v>94.1</v>
      </c>
      <c r="Q1883" s="14">
        <v>118</v>
      </c>
      <c r="R1883" s="14">
        <v>50.74</v>
      </c>
      <c r="S1883" s="2" t="s">
        <v>6539</v>
      </c>
      <c r="T1883" s="2">
        <v>1.01</v>
      </c>
      <c r="U1883" s="2">
        <v>62.2</v>
      </c>
      <c r="V1883" s="2">
        <v>58</v>
      </c>
      <c r="W1883" s="2" t="s">
        <v>7862</v>
      </c>
      <c r="X1883" s="2" t="s">
        <v>5405</v>
      </c>
      <c r="Y1883" s="2">
        <v>860</v>
      </c>
      <c r="Z1883" s="19" t="str">
        <f>HYPERLINK("https://ssdweb.co/ssdweb/hd/Vision360.html?d=925370223&amp;zoomslide=1&amp;z=1925370223&amp;ISCONFIRM=0","VIDEO")</f>
        <v>VIDEO</v>
      </c>
      <c r="AA1883" s="19" t="str">
        <f>HYPERLINK("https://ssdweb.co/ssdweb/CERTH/615370374.pdf","CERTI")</f>
        <v>CERTI</v>
      </c>
    </row>
    <row r="1884" spans="1:27" ht="15" x14ac:dyDescent="0.25">
      <c r="A1884" s="2">
        <v>1879</v>
      </c>
      <c r="B1884" s="39">
        <v>924170186</v>
      </c>
      <c r="C1884" s="28" t="str">
        <f>HYPERLINK("https://pld.live/RapDetail.aspx?STONELIST=924170186","DNA")</f>
        <v>DNA</v>
      </c>
      <c r="D1884" s="18" t="s">
        <v>2802</v>
      </c>
      <c r="E1884" s="18" t="s">
        <v>5128</v>
      </c>
      <c r="F1884" s="2" t="s">
        <v>7987</v>
      </c>
      <c r="G1884" s="2" t="s">
        <v>861</v>
      </c>
      <c r="H1884" s="14">
        <v>0.43</v>
      </c>
      <c r="I1884" s="2" t="s">
        <v>4761</v>
      </c>
      <c r="J1884" s="2" t="s">
        <v>444</v>
      </c>
      <c r="K1884" s="2" t="s">
        <v>3390</v>
      </c>
      <c r="L1884" s="2" t="s">
        <v>5221</v>
      </c>
      <c r="M1884" s="2" t="s">
        <v>5221</v>
      </c>
      <c r="N1884" s="2" t="s">
        <v>2317</v>
      </c>
      <c r="O1884" s="14">
        <v>1900</v>
      </c>
      <c r="P1884" s="14">
        <v>93.89</v>
      </c>
      <c r="Q1884" s="14">
        <v>116.09</v>
      </c>
      <c r="R1884" s="14">
        <v>49.92</v>
      </c>
      <c r="S1884" s="2" t="s">
        <v>2411</v>
      </c>
      <c r="T1884" s="2">
        <v>1.01</v>
      </c>
      <c r="U1884" s="2">
        <v>62.3</v>
      </c>
      <c r="V1884" s="2">
        <v>56</v>
      </c>
      <c r="W1884" s="2" t="s">
        <v>7862</v>
      </c>
      <c r="X1884" s="2" t="s">
        <v>5405</v>
      </c>
      <c r="Y1884" s="2">
        <v>817</v>
      </c>
      <c r="Z1884" s="19" t="str">
        <f>HYPERLINK("https://ssdweb.co/ssdweb/hd/Vision360.html?d=924170186&amp;zoomslide=1&amp;z=1924170186&amp;ISCONFIRM=0","VIDEO")</f>
        <v>VIDEO</v>
      </c>
      <c r="AA1884" s="19" t="str">
        <f>HYPERLINK("https://ssdweb.co/ssdweb/CERTH/578324766.pdf","CERTI")</f>
        <v>CERTI</v>
      </c>
    </row>
    <row r="1885" spans="1:27" ht="15" x14ac:dyDescent="0.25">
      <c r="A1885" s="2">
        <v>1880</v>
      </c>
      <c r="B1885" s="39">
        <v>924460023</v>
      </c>
      <c r="C1885" s="28" t="str">
        <f>HYPERLINK("https://pld.live/RapDetail.aspx?STONELIST=924460023","DNA")</f>
        <v>DNA</v>
      </c>
      <c r="D1885" s="18" t="s">
        <v>2802</v>
      </c>
      <c r="E1885" s="18" t="s">
        <v>5128</v>
      </c>
      <c r="F1885" s="2" t="s">
        <v>7987</v>
      </c>
      <c r="G1885" s="2" t="s">
        <v>861</v>
      </c>
      <c r="H1885" s="14">
        <v>0.43</v>
      </c>
      <c r="I1885" s="2" t="s">
        <v>4761</v>
      </c>
      <c r="J1885" s="2" t="s">
        <v>444</v>
      </c>
      <c r="K1885" s="2" t="s">
        <v>3390</v>
      </c>
      <c r="L1885" s="2" t="s">
        <v>5221</v>
      </c>
      <c r="M1885" s="2" t="s">
        <v>5221</v>
      </c>
      <c r="N1885" s="2" t="s">
        <v>2317</v>
      </c>
      <c r="O1885" s="14">
        <v>1900</v>
      </c>
      <c r="P1885" s="14">
        <v>93.89</v>
      </c>
      <c r="Q1885" s="14">
        <v>116.09</v>
      </c>
      <c r="R1885" s="14">
        <v>49.92</v>
      </c>
      <c r="S1885" s="2" t="s">
        <v>7685</v>
      </c>
      <c r="T1885" s="2">
        <v>1.01</v>
      </c>
      <c r="U1885" s="2">
        <v>60.7</v>
      </c>
      <c r="V1885" s="2">
        <v>60</v>
      </c>
      <c r="W1885" s="2" t="s">
        <v>7862</v>
      </c>
      <c r="X1885" s="2" t="s">
        <v>5405</v>
      </c>
      <c r="Y1885" s="2">
        <v>817</v>
      </c>
      <c r="Z1885" s="19" t="str">
        <f>HYPERLINK("https://ssdweb.co/ssdweb/hd/Vision360.html?d=924460023&amp;zoomslide=1&amp;z=1924460023&amp;ISCONFIRM=0","VIDEO")</f>
        <v>VIDEO</v>
      </c>
      <c r="AA1885" s="19" t="str">
        <f>HYPERLINK("https://ssdweb.co/ssdweb/CERTH/591390527.pdf","CERTI")</f>
        <v>CERTI</v>
      </c>
    </row>
    <row r="1886" spans="1:27" ht="15" x14ac:dyDescent="0.25">
      <c r="A1886" s="2">
        <v>1881</v>
      </c>
      <c r="B1886" s="39">
        <v>926801293</v>
      </c>
      <c r="C1886" s="28" t="str">
        <f>HYPERLINK("https://pld.live/RapDetail.aspx?STONELIST=926801293","DNA")</f>
        <v>DNA</v>
      </c>
      <c r="D1886" s="18" t="s">
        <v>2802</v>
      </c>
      <c r="E1886" s="18" t="s">
        <v>5128</v>
      </c>
      <c r="F1886" s="2" t="s">
        <v>7987</v>
      </c>
      <c r="G1886" s="2" t="s">
        <v>861</v>
      </c>
      <c r="H1886" s="14">
        <v>0.42</v>
      </c>
      <c r="I1886" s="2" t="s">
        <v>267</v>
      </c>
      <c r="J1886" s="2" t="s">
        <v>6555</v>
      </c>
      <c r="K1886" s="2" t="s">
        <v>3390</v>
      </c>
      <c r="L1886" s="2" t="s">
        <v>5221</v>
      </c>
      <c r="M1886" s="2" t="s">
        <v>5221</v>
      </c>
      <c r="N1886" s="2" t="s">
        <v>2317</v>
      </c>
      <c r="O1886" s="14">
        <v>2900</v>
      </c>
      <c r="P1886" s="14">
        <v>94.72</v>
      </c>
      <c r="Q1886" s="14">
        <v>153.12</v>
      </c>
      <c r="R1886" s="14">
        <v>64.31</v>
      </c>
      <c r="S1886" s="2" t="s">
        <v>2691</v>
      </c>
      <c r="T1886" s="2">
        <v>1</v>
      </c>
      <c r="U1886" s="2">
        <v>61.9</v>
      </c>
      <c r="V1886" s="2">
        <v>58</v>
      </c>
      <c r="W1886" s="2" t="s">
        <v>7862</v>
      </c>
      <c r="X1886" s="2" t="s">
        <v>5405</v>
      </c>
      <c r="Y1886" s="2">
        <v>1218</v>
      </c>
      <c r="Z1886" s="19" t="str">
        <f>HYPERLINK("https://ssdweb.co/ssdweb/hd/Vision360.html?d=926801293&amp;zoomslide=1&amp;z=1926801293&amp;ISCONFIRM=0","VIDEO")</f>
        <v>VIDEO</v>
      </c>
      <c r="AA1886" s="19" t="str">
        <f>HYPERLINK("https://ssdweb.co/ssdweb/CERTH/670484277.pdf","CERTI")</f>
        <v>CERTI</v>
      </c>
    </row>
    <row r="1887" spans="1:27" ht="15" x14ac:dyDescent="0.25">
      <c r="A1887" s="2">
        <v>1882</v>
      </c>
      <c r="B1887" s="39">
        <v>926100948</v>
      </c>
      <c r="C1887" s="28" t="str">
        <f>HYPERLINK("https://pld.live/RapDetail.aspx?STONELIST=926100948","DNA")</f>
        <v>DNA</v>
      </c>
      <c r="D1887" s="18" t="s">
        <v>2802</v>
      </c>
      <c r="E1887" s="18" t="s">
        <v>5128</v>
      </c>
      <c r="F1887" s="2" t="s">
        <v>7987</v>
      </c>
      <c r="G1887" s="2" t="s">
        <v>861</v>
      </c>
      <c r="H1887" s="14">
        <v>0.42</v>
      </c>
      <c r="I1887" s="2" t="s">
        <v>267</v>
      </c>
      <c r="J1887" s="2" t="s">
        <v>6555</v>
      </c>
      <c r="K1887" s="2" t="s">
        <v>3390</v>
      </c>
      <c r="L1887" s="2" t="s">
        <v>5221</v>
      </c>
      <c r="M1887" s="2" t="s">
        <v>5221</v>
      </c>
      <c r="N1887" s="2" t="s">
        <v>2317</v>
      </c>
      <c r="O1887" s="14">
        <v>2900</v>
      </c>
      <c r="P1887" s="14">
        <v>94.86</v>
      </c>
      <c r="Q1887" s="14">
        <v>149.06</v>
      </c>
      <c r="R1887" s="14">
        <v>62.61</v>
      </c>
      <c r="S1887" s="2" t="s">
        <v>5599</v>
      </c>
      <c r="T1887" s="2">
        <v>1.01</v>
      </c>
      <c r="U1887" s="2">
        <v>62.4</v>
      </c>
      <c r="V1887" s="2">
        <v>59</v>
      </c>
      <c r="W1887" s="2" t="s">
        <v>7862</v>
      </c>
      <c r="X1887" s="2" t="s">
        <v>5405</v>
      </c>
      <c r="Y1887" s="2">
        <v>1218</v>
      </c>
      <c r="Z1887" s="19" t="str">
        <f>HYPERLINK("https://ssdweb.co/ssdweb/hd/Vision360.html?d=926100948&amp;zoomslide=1&amp;z=1926100948&amp;ISCONFIRM=0","VIDEO")</f>
        <v>VIDEO</v>
      </c>
      <c r="AA1887" s="19" t="str">
        <f>HYPERLINK("https://ssdweb.co/ssdweb/CERTH/636470051.pdf","CERTI")</f>
        <v>CERTI</v>
      </c>
    </row>
    <row r="1888" spans="1:27" ht="15" x14ac:dyDescent="0.25">
      <c r="A1888" s="2">
        <v>1883</v>
      </c>
      <c r="B1888" s="39">
        <v>926810808</v>
      </c>
      <c r="C1888" s="28" t="str">
        <f>HYPERLINK("https://pld.live/RapDetail.aspx?STONELIST=926810808","DNA")</f>
        <v>DNA</v>
      </c>
      <c r="D1888" s="18" t="s">
        <v>2802</v>
      </c>
      <c r="E1888" s="18" t="s">
        <v>5128</v>
      </c>
      <c r="F1888" s="2" t="s">
        <v>7987</v>
      </c>
      <c r="G1888" s="2" t="s">
        <v>861</v>
      </c>
      <c r="H1888" s="14">
        <v>0.42</v>
      </c>
      <c r="I1888" s="2" t="s">
        <v>267</v>
      </c>
      <c r="J1888" s="2" t="s">
        <v>6555</v>
      </c>
      <c r="K1888" s="2" t="s">
        <v>3390</v>
      </c>
      <c r="L1888" s="2" t="s">
        <v>5221</v>
      </c>
      <c r="M1888" s="2" t="s">
        <v>5721</v>
      </c>
      <c r="N1888" s="2" t="s">
        <v>2317</v>
      </c>
      <c r="O1888" s="14">
        <v>2900</v>
      </c>
      <c r="P1888" s="14">
        <v>94.83</v>
      </c>
      <c r="Q1888" s="14">
        <v>149.93</v>
      </c>
      <c r="R1888" s="14">
        <v>62.97</v>
      </c>
      <c r="S1888" s="2" t="s">
        <v>634</v>
      </c>
      <c r="T1888" s="2">
        <v>1</v>
      </c>
      <c r="U1888" s="2">
        <v>61.4</v>
      </c>
      <c r="V1888" s="2">
        <v>60</v>
      </c>
      <c r="W1888" s="2" t="s">
        <v>7862</v>
      </c>
      <c r="X1888" s="2" t="s">
        <v>5405</v>
      </c>
      <c r="Y1888" s="2">
        <v>1218</v>
      </c>
      <c r="Z1888" s="19" t="str">
        <f>HYPERLINK("https://ssdweb.co/ssdweb/hd/Vision360.html?d=926810808&amp;zoomslide=1&amp;z=1926810808&amp;ISCONFIRM=0","VIDEO")</f>
        <v>VIDEO</v>
      </c>
      <c r="AA1888" s="19" t="str">
        <f>HYPERLINK("https://ssdweb.co/ssdweb/CERTH/668446535.pdf","CERTI")</f>
        <v>CERTI</v>
      </c>
    </row>
    <row r="1889" spans="1:27" ht="15" x14ac:dyDescent="0.25">
      <c r="A1889" s="2">
        <v>1884</v>
      </c>
      <c r="B1889" s="39">
        <v>926101039</v>
      </c>
      <c r="C1889" s="28" t="str">
        <f>HYPERLINK("https://pld.live/RapDetail.aspx?STONELIST=926101039","DNA")</f>
        <v>DNA</v>
      </c>
      <c r="D1889" s="18" t="s">
        <v>2802</v>
      </c>
      <c r="E1889" s="18" t="s">
        <v>5128</v>
      </c>
      <c r="F1889" s="2" t="s">
        <v>7987</v>
      </c>
      <c r="G1889" s="2" t="s">
        <v>861</v>
      </c>
      <c r="H1889" s="14">
        <v>0.42</v>
      </c>
      <c r="I1889" s="2" t="s">
        <v>267</v>
      </c>
      <c r="J1889" s="2" t="s">
        <v>6555</v>
      </c>
      <c r="K1889" s="2" t="s">
        <v>5221</v>
      </c>
      <c r="L1889" s="2" t="s">
        <v>5221</v>
      </c>
      <c r="M1889" s="2" t="s">
        <v>5221</v>
      </c>
      <c r="N1889" s="2" t="s">
        <v>2317</v>
      </c>
      <c r="O1889" s="14">
        <v>2900</v>
      </c>
      <c r="P1889" s="14">
        <v>94.93</v>
      </c>
      <c r="Q1889" s="14">
        <v>147.03</v>
      </c>
      <c r="R1889" s="14">
        <v>61.75</v>
      </c>
      <c r="S1889" s="2" t="s">
        <v>416</v>
      </c>
      <c r="T1889" s="2">
        <v>1</v>
      </c>
      <c r="U1889" s="2">
        <v>61.4</v>
      </c>
      <c r="V1889" s="2">
        <v>59</v>
      </c>
      <c r="W1889" s="2" t="s">
        <v>7862</v>
      </c>
      <c r="X1889" s="2" t="s">
        <v>5405</v>
      </c>
      <c r="Y1889" s="2">
        <v>1218</v>
      </c>
      <c r="Z1889" s="19" t="str">
        <f>HYPERLINK("https://ssdweb.co/ssdweb/hd/Vision360.html?d=926101039&amp;zoomslide=1&amp;z=1926101039&amp;ISCONFIRM=0","VIDEO")</f>
        <v>VIDEO</v>
      </c>
      <c r="AA1889" s="19" t="str">
        <f>HYPERLINK("https://ssdweb.co/ssdweb/CERTH/636470054.pdf","CERTI")</f>
        <v>CERTI</v>
      </c>
    </row>
    <row r="1890" spans="1:27" ht="15" x14ac:dyDescent="0.25">
      <c r="A1890" s="2">
        <v>1885</v>
      </c>
      <c r="B1890" s="39">
        <v>926301142</v>
      </c>
      <c r="C1890" s="28" t="str">
        <f>HYPERLINK("https://pld.live/RapDetail.aspx?STONELIST=926301142","DNA")</f>
        <v>DNA</v>
      </c>
      <c r="D1890" s="18" t="s">
        <v>2802</v>
      </c>
      <c r="E1890" s="18" t="s">
        <v>5128</v>
      </c>
      <c r="F1890" s="2" t="s">
        <v>7987</v>
      </c>
      <c r="G1890" s="2" t="s">
        <v>861</v>
      </c>
      <c r="H1890" s="14">
        <v>0.42</v>
      </c>
      <c r="I1890" s="2" t="s">
        <v>267</v>
      </c>
      <c r="J1890" s="2" t="s">
        <v>6555</v>
      </c>
      <c r="K1890" s="2" t="s">
        <v>5221</v>
      </c>
      <c r="L1890" s="2" t="s">
        <v>5721</v>
      </c>
      <c r="M1890" s="2" t="s">
        <v>5721</v>
      </c>
      <c r="N1890" s="2" t="s">
        <v>2317</v>
      </c>
      <c r="O1890" s="14">
        <v>2900</v>
      </c>
      <c r="P1890" s="14">
        <v>95.07</v>
      </c>
      <c r="Q1890" s="14">
        <v>142.97</v>
      </c>
      <c r="R1890" s="14">
        <v>60.05</v>
      </c>
      <c r="S1890" s="2" t="s">
        <v>4773</v>
      </c>
      <c r="T1890" s="2">
        <v>1</v>
      </c>
      <c r="U1890" s="2">
        <v>62.6</v>
      </c>
      <c r="V1890" s="2">
        <v>58</v>
      </c>
      <c r="W1890" s="2" t="s">
        <v>7862</v>
      </c>
      <c r="X1890" s="2" t="s">
        <v>5405</v>
      </c>
      <c r="Y1890" s="2">
        <v>1218</v>
      </c>
      <c r="Z1890" s="19" t="str">
        <f>HYPERLINK("https://ssdweb.co/ssdweb/hd/Vision360.html?d=926301142&amp;zoomslide=1&amp;z=1926301142&amp;ISCONFIRM=0","VIDEO")</f>
        <v>VIDEO</v>
      </c>
      <c r="AA1890" s="19" t="str">
        <f>HYPERLINK("https://ssdweb.co/ssdweb/CERTH/644458738.pdf","CERTI")</f>
        <v>CERTI</v>
      </c>
    </row>
    <row r="1891" spans="1:27" ht="15" x14ac:dyDescent="0.25">
      <c r="A1891" s="2">
        <v>1886</v>
      </c>
      <c r="B1891" s="39">
        <v>926440944</v>
      </c>
      <c r="C1891" s="28" t="str">
        <f>HYPERLINK("https://pld.live/RapDetail.aspx?STONELIST=926440944","DNA")</f>
        <v>DNA</v>
      </c>
      <c r="D1891" s="18" t="s">
        <v>2802</v>
      </c>
      <c r="E1891" s="18" t="s">
        <v>5128</v>
      </c>
      <c r="F1891" s="2" t="s">
        <v>7987</v>
      </c>
      <c r="G1891" s="2" t="s">
        <v>861</v>
      </c>
      <c r="H1891" s="14">
        <v>0.42</v>
      </c>
      <c r="I1891" s="2" t="s">
        <v>267</v>
      </c>
      <c r="J1891" s="2" t="s">
        <v>3942</v>
      </c>
      <c r="K1891" s="2" t="s">
        <v>3390</v>
      </c>
      <c r="L1891" s="2" t="s">
        <v>5221</v>
      </c>
      <c r="M1891" s="2" t="s">
        <v>5221</v>
      </c>
      <c r="N1891" s="2" t="s">
        <v>2317</v>
      </c>
      <c r="O1891" s="14">
        <v>2500</v>
      </c>
      <c r="P1891" s="14">
        <v>94.72</v>
      </c>
      <c r="Q1891" s="14">
        <v>132</v>
      </c>
      <c r="R1891" s="14">
        <v>55.44</v>
      </c>
      <c r="S1891" s="2" t="s">
        <v>3042</v>
      </c>
      <c r="T1891" s="2">
        <v>1.01</v>
      </c>
      <c r="U1891" s="2">
        <v>61.4</v>
      </c>
      <c r="V1891" s="2">
        <v>60</v>
      </c>
      <c r="W1891" s="2" t="s">
        <v>7862</v>
      </c>
      <c r="X1891" s="2" t="s">
        <v>5405</v>
      </c>
      <c r="Y1891" s="2">
        <v>1050</v>
      </c>
      <c r="Z1891" s="19" t="str">
        <f>HYPERLINK("https://ssdweb.co/ssdweb/hd/Vision360.html?d=926440944&amp;zoomslide=1&amp;z=1926440944&amp;ISCONFIRM=0","VIDEO")</f>
        <v>VIDEO</v>
      </c>
      <c r="AA1891" s="19" t="str">
        <f>HYPERLINK("https://ssdweb.co/ssdweb/CERTH/648487046.pdf","CERTI")</f>
        <v>CERTI</v>
      </c>
    </row>
    <row r="1892" spans="1:27" ht="15" x14ac:dyDescent="0.25">
      <c r="A1892" s="2">
        <v>1887</v>
      </c>
      <c r="B1892" s="39">
        <v>926661703</v>
      </c>
      <c r="C1892" s="28" t="str">
        <f>HYPERLINK("https://pld.live/RapDetail.aspx?STONELIST=926661703","DNA")</f>
        <v>DNA</v>
      </c>
      <c r="D1892" s="18" t="s">
        <v>2802</v>
      </c>
      <c r="E1892" s="18" t="s">
        <v>5128</v>
      </c>
      <c r="F1892" s="2" t="s">
        <v>7987</v>
      </c>
      <c r="G1892" s="2" t="s">
        <v>861</v>
      </c>
      <c r="H1892" s="14">
        <v>0.42</v>
      </c>
      <c r="I1892" s="2" t="s">
        <v>267</v>
      </c>
      <c r="J1892" s="2" t="s">
        <v>3942</v>
      </c>
      <c r="K1892" s="2" t="s">
        <v>3390</v>
      </c>
      <c r="L1892" s="2" t="s">
        <v>5221</v>
      </c>
      <c r="M1892" s="2" t="s">
        <v>5221</v>
      </c>
      <c r="N1892" s="2" t="s">
        <v>2317</v>
      </c>
      <c r="O1892" s="14">
        <v>2500</v>
      </c>
      <c r="P1892" s="14">
        <v>94.64</v>
      </c>
      <c r="Q1892" s="14">
        <v>134</v>
      </c>
      <c r="R1892" s="14">
        <v>56.28</v>
      </c>
      <c r="S1892" s="2" t="s">
        <v>8098</v>
      </c>
      <c r="T1892" s="2">
        <v>1.01</v>
      </c>
      <c r="U1892" s="2">
        <v>61.1</v>
      </c>
      <c r="V1892" s="2">
        <v>59</v>
      </c>
      <c r="W1892" s="2" t="s">
        <v>7862</v>
      </c>
      <c r="X1892" s="2" t="s">
        <v>5405</v>
      </c>
      <c r="Y1892" s="2">
        <v>1050</v>
      </c>
      <c r="Z1892" s="19" t="str">
        <f>HYPERLINK("https://ssdweb.co/ssdweb/hd/Vision360.html?d=926661703&amp;zoomslide=1&amp;z=1926661703&amp;ISCONFIRM=0","VIDEO")</f>
        <v>VIDEO</v>
      </c>
      <c r="AA1892" s="19" t="str">
        <f>HYPERLINK("https://ssdweb.co/ssdweb/CERTH/653444238.pdf","CERTI")</f>
        <v>CERTI</v>
      </c>
    </row>
    <row r="1893" spans="1:27" ht="15" x14ac:dyDescent="0.25">
      <c r="A1893" s="2">
        <v>1888</v>
      </c>
      <c r="B1893" s="39">
        <v>924010417</v>
      </c>
      <c r="C1893" s="28" t="str">
        <f>HYPERLINK("https://pld.live/RapDetail.aspx?STONELIST=924010417","DNA")</f>
        <v>DNA</v>
      </c>
      <c r="D1893" s="18" t="s">
        <v>2802</v>
      </c>
      <c r="E1893" s="18" t="s">
        <v>5128</v>
      </c>
      <c r="F1893" s="2" t="s">
        <v>7987</v>
      </c>
      <c r="G1893" s="2" t="s">
        <v>861</v>
      </c>
      <c r="H1893" s="14">
        <v>0.42</v>
      </c>
      <c r="I1893" s="2" t="s">
        <v>267</v>
      </c>
      <c r="J1893" s="2" t="s">
        <v>3942</v>
      </c>
      <c r="K1893" s="2" t="s">
        <v>3390</v>
      </c>
      <c r="L1893" s="2" t="s">
        <v>5221</v>
      </c>
      <c r="M1893" s="2" t="s">
        <v>5221</v>
      </c>
      <c r="N1893" s="2" t="s">
        <v>2317</v>
      </c>
      <c r="O1893" s="14">
        <v>2500</v>
      </c>
      <c r="P1893" s="14">
        <v>94.8</v>
      </c>
      <c r="Q1893" s="14">
        <v>130</v>
      </c>
      <c r="R1893" s="14">
        <v>54.6</v>
      </c>
      <c r="S1893" s="2" t="s">
        <v>436</v>
      </c>
      <c r="T1893" s="2">
        <v>1.01</v>
      </c>
      <c r="U1893" s="2">
        <v>62.4</v>
      </c>
      <c r="V1893" s="2">
        <v>56</v>
      </c>
      <c r="W1893" s="2" t="s">
        <v>7862</v>
      </c>
      <c r="X1893" s="2" t="s">
        <v>5405</v>
      </c>
      <c r="Y1893" s="2">
        <v>1050</v>
      </c>
      <c r="Z1893" s="19" t="str">
        <f>HYPERLINK("https://ssdweb.co/ssdweb/hd/Vision360.html?d=924010417&amp;zoomslide=1&amp;z=1924010417&amp;ISCONFIRM=0","VIDEO")</f>
        <v>VIDEO</v>
      </c>
      <c r="AA1893" s="19" t="str">
        <f>HYPERLINK("https://ssdweb.co/ssdweb/CERTH/569330297.pdf","CERTI")</f>
        <v>CERTI</v>
      </c>
    </row>
    <row r="1894" spans="1:27" ht="15" x14ac:dyDescent="0.25">
      <c r="A1894" s="2">
        <v>1889</v>
      </c>
      <c r="B1894" s="39">
        <v>926661515</v>
      </c>
      <c r="C1894" s="28" t="str">
        <f>HYPERLINK("https://pld.live/RapDetail.aspx?STONELIST=926661515","DNA")</f>
        <v>DNA</v>
      </c>
      <c r="D1894" s="18" t="s">
        <v>2802</v>
      </c>
      <c r="E1894" s="18" t="s">
        <v>5128</v>
      </c>
      <c r="F1894" s="2" t="s">
        <v>7987</v>
      </c>
      <c r="G1894" s="2" t="s">
        <v>861</v>
      </c>
      <c r="H1894" s="14">
        <v>0.42</v>
      </c>
      <c r="I1894" s="2" t="s">
        <v>267</v>
      </c>
      <c r="J1894" s="2" t="s">
        <v>3942</v>
      </c>
      <c r="K1894" s="2" t="s">
        <v>3390</v>
      </c>
      <c r="L1894" s="2" t="s">
        <v>5221</v>
      </c>
      <c r="M1894" s="2" t="s">
        <v>5221</v>
      </c>
      <c r="N1894" s="2" t="s">
        <v>2317</v>
      </c>
      <c r="O1894" s="14">
        <v>2500</v>
      </c>
      <c r="P1894" s="14">
        <v>94.72</v>
      </c>
      <c r="Q1894" s="14">
        <v>132</v>
      </c>
      <c r="R1894" s="14">
        <v>55.44</v>
      </c>
      <c r="S1894" s="2" t="s">
        <v>6315</v>
      </c>
      <c r="T1894" s="2">
        <v>1</v>
      </c>
      <c r="U1894" s="2">
        <v>60.3</v>
      </c>
      <c r="V1894" s="2">
        <v>60</v>
      </c>
      <c r="W1894" s="2" t="s">
        <v>7862</v>
      </c>
      <c r="X1894" s="2" t="s">
        <v>5405</v>
      </c>
      <c r="Y1894" s="2">
        <v>1050</v>
      </c>
      <c r="Z1894" s="19" t="str">
        <f>HYPERLINK("https://ssdweb.co/ssdweb/hd/Vision360.html?d=926661515&amp;zoomslide=1&amp;z=1926661515&amp;ISCONFIRM=0","VIDEO")</f>
        <v>VIDEO</v>
      </c>
      <c r="AA1894" s="19" t="str">
        <f>HYPERLINK("https://ssdweb.co/ssdweb/CERTH/648487065.pdf","CERTI")</f>
        <v>CERTI</v>
      </c>
    </row>
    <row r="1895" spans="1:27" ht="15" x14ac:dyDescent="0.25">
      <c r="A1895" s="2">
        <v>1890</v>
      </c>
      <c r="B1895" s="39">
        <v>926440930</v>
      </c>
      <c r="C1895" s="28" t="str">
        <f>HYPERLINK("https://pld.live/RapDetail.aspx?STONELIST=926440930","DNA")</f>
        <v>DNA</v>
      </c>
      <c r="D1895" s="18" t="s">
        <v>2802</v>
      </c>
      <c r="E1895" s="18" t="s">
        <v>5128</v>
      </c>
      <c r="F1895" s="2" t="s">
        <v>7987</v>
      </c>
      <c r="G1895" s="2" t="s">
        <v>861</v>
      </c>
      <c r="H1895" s="14">
        <v>0.42</v>
      </c>
      <c r="I1895" s="2" t="s">
        <v>267</v>
      </c>
      <c r="J1895" s="2" t="s">
        <v>3942</v>
      </c>
      <c r="K1895" s="2" t="s">
        <v>3390</v>
      </c>
      <c r="L1895" s="2" t="s">
        <v>5221</v>
      </c>
      <c r="M1895" s="2" t="s">
        <v>5221</v>
      </c>
      <c r="N1895" s="2" t="s">
        <v>2317</v>
      </c>
      <c r="O1895" s="14">
        <v>2500</v>
      </c>
      <c r="P1895" s="14">
        <v>94.64</v>
      </c>
      <c r="Q1895" s="14">
        <v>134</v>
      </c>
      <c r="R1895" s="14">
        <v>56.28</v>
      </c>
      <c r="S1895" s="2" t="s">
        <v>2250</v>
      </c>
      <c r="T1895" s="2">
        <v>1</v>
      </c>
      <c r="U1895" s="2">
        <v>62</v>
      </c>
      <c r="V1895" s="2">
        <v>59</v>
      </c>
      <c r="W1895" s="2" t="s">
        <v>7862</v>
      </c>
      <c r="X1895" s="2" t="s">
        <v>5405</v>
      </c>
      <c r="Y1895" s="2">
        <v>1050</v>
      </c>
      <c r="Z1895" s="19" t="str">
        <f>HYPERLINK("https://ssdweb.co/ssdweb/hd/Vision360.html?d=926440930&amp;zoomslide=1&amp;z=1926440930&amp;ISCONFIRM=0","VIDEO")</f>
        <v>VIDEO</v>
      </c>
      <c r="AA1895" s="19" t="str">
        <f>HYPERLINK("https://ssdweb.co/ssdweb/CERTH/651401103.pdf","CERTI")</f>
        <v>CERTI</v>
      </c>
    </row>
    <row r="1896" spans="1:27" ht="15" x14ac:dyDescent="0.25">
      <c r="A1896" s="2">
        <v>1891</v>
      </c>
      <c r="B1896" s="39">
        <v>926491251</v>
      </c>
      <c r="C1896" s="28" t="str">
        <f>HYPERLINK("https://pld.live/RapDetail.aspx?STONELIST=926491251","DNA")</f>
        <v>DNA</v>
      </c>
      <c r="D1896" s="18" t="s">
        <v>2802</v>
      </c>
      <c r="E1896" s="18" t="s">
        <v>5128</v>
      </c>
      <c r="F1896" s="2" t="s">
        <v>7987</v>
      </c>
      <c r="G1896" s="2" t="s">
        <v>861</v>
      </c>
      <c r="H1896" s="14">
        <v>0.42</v>
      </c>
      <c r="I1896" s="2" t="s">
        <v>267</v>
      </c>
      <c r="J1896" s="2" t="s">
        <v>3942</v>
      </c>
      <c r="K1896" s="2" t="s">
        <v>3390</v>
      </c>
      <c r="L1896" s="2" t="s">
        <v>5221</v>
      </c>
      <c r="M1896" s="2" t="s">
        <v>5221</v>
      </c>
      <c r="N1896" s="2" t="s">
        <v>2317</v>
      </c>
      <c r="O1896" s="14">
        <v>2500</v>
      </c>
      <c r="P1896" s="14">
        <v>94.72</v>
      </c>
      <c r="Q1896" s="14">
        <v>132</v>
      </c>
      <c r="R1896" s="14">
        <v>55.44</v>
      </c>
      <c r="S1896" s="2" t="s">
        <v>4655</v>
      </c>
      <c r="T1896" s="2">
        <v>1.01</v>
      </c>
      <c r="U1896" s="2">
        <v>60.4</v>
      </c>
      <c r="V1896" s="2">
        <v>59</v>
      </c>
      <c r="W1896" s="2" t="s">
        <v>7862</v>
      </c>
      <c r="X1896" s="2" t="s">
        <v>5405</v>
      </c>
      <c r="Y1896" s="2">
        <v>1050</v>
      </c>
      <c r="Z1896" s="19" t="str">
        <f>HYPERLINK("https://ssdweb.co/ssdweb/hd/Vision360.html?d=926491251&amp;zoomslide=1&amp;z=1926491251&amp;ISCONFIRM=0","VIDEO")</f>
        <v>VIDEO</v>
      </c>
      <c r="AA1896" s="19" t="str">
        <f>HYPERLINK("https://ssdweb.co/ssdweb/CERTH/648487061.pdf","CERTI")</f>
        <v>CERTI</v>
      </c>
    </row>
    <row r="1897" spans="1:27" ht="15" x14ac:dyDescent="0.25">
      <c r="A1897" s="2">
        <v>1892</v>
      </c>
      <c r="B1897" s="39">
        <v>926771034</v>
      </c>
      <c r="C1897" s="28" t="str">
        <f>HYPERLINK("https://pld.live/RapDetail.aspx?STONELIST=926771034","DNA")</f>
        <v>DNA</v>
      </c>
      <c r="D1897" s="18" t="s">
        <v>2802</v>
      </c>
      <c r="E1897" s="18" t="s">
        <v>5128</v>
      </c>
      <c r="F1897" s="2" t="s">
        <v>7987</v>
      </c>
      <c r="G1897" s="2" t="s">
        <v>861</v>
      </c>
      <c r="H1897" s="14">
        <v>0.42</v>
      </c>
      <c r="I1897" s="2" t="s">
        <v>267</v>
      </c>
      <c r="J1897" s="2" t="s">
        <v>3942</v>
      </c>
      <c r="K1897" s="2" t="s">
        <v>3390</v>
      </c>
      <c r="L1897" s="2" t="s">
        <v>5221</v>
      </c>
      <c r="M1897" s="2" t="s">
        <v>5221</v>
      </c>
      <c r="N1897" s="2" t="s">
        <v>2317</v>
      </c>
      <c r="O1897" s="14">
        <v>2500</v>
      </c>
      <c r="P1897" s="14">
        <v>94.64</v>
      </c>
      <c r="Q1897" s="14">
        <v>134</v>
      </c>
      <c r="R1897" s="14">
        <v>56.28</v>
      </c>
      <c r="S1897" s="2" t="s">
        <v>7174</v>
      </c>
      <c r="T1897" s="2">
        <v>1.01</v>
      </c>
      <c r="U1897" s="2">
        <v>62.4</v>
      </c>
      <c r="V1897" s="2">
        <v>59</v>
      </c>
      <c r="W1897" s="2" t="s">
        <v>7862</v>
      </c>
      <c r="X1897" s="2" t="s">
        <v>5405</v>
      </c>
      <c r="Y1897" s="2">
        <v>1050</v>
      </c>
      <c r="Z1897" s="19" t="str">
        <f>HYPERLINK("https://ssdweb.co/ssdweb/hd/Vision360.html?d=926771034&amp;zoomslide=1&amp;z=1926771034&amp;ISCONFIRM=0","VIDEO")</f>
        <v>VIDEO</v>
      </c>
      <c r="AA1897" s="19" t="str">
        <f>HYPERLINK("https://ssdweb.co/ssdweb/CERTH/653444258.pdf","CERTI")</f>
        <v>CERTI</v>
      </c>
    </row>
    <row r="1898" spans="1:27" ht="15" x14ac:dyDescent="0.25">
      <c r="A1898" s="2">
        <v>1893</v>
      </c>
      <c r="B1898" s="39">
        <v>926801192</v>
      </c>
      <c r="C1898" s="28" t="str">
        <f>HYPERLINK("https://pld.live/RapDetail.aspx?STONELIST=926801192","DNA")</f>
        <v>DNA</v>
      </c>
      <c r="D1898" s="18" t="s">
        <v>2802</v>
      </c>
      <c r="E1898" s="18" t="s">
        <v>5128</v>
      </c>
      <c r="F1898" s="2" t="s">
        <v>7987</v>
      </c>
      <c r="G1898" s="2" t="s">
        <v>861</v>
      </c>
      <c r="H1898" s="14">
        <v>0.42</v>
      </c>
      <c r="I1898" s="2" t="s">
        <v>267</v>
      </c>
      <c r="J1898" s="2" t="s">
        <v>3942</v>
      </c>
      <c r="K1898" s="2" t="s">
        <v>3390</v>
      </c>
      <c r="L1898" s="2" t="s">
        <v>5221</v>
      </c>
      <c r="M1898" s="2" t="s">
        <v>5221</v>
      </c>
      <c r="N1898" s="2" t="s">
        <v>2317</v>
      </c>
      <c r="O1898" s="14">
        <v>2500</v>
      </c>
      <c r="P1898" s="14">
        <v>94.56</v>
      </c>
      <c r="Q1898" s="14">
        <v>136</v>
      </c>
      <c r="R1898" s="14">
        <v>57.12</v>
      </c>
      <c r="S1898" s="2" t="s">
        <v>7300</v>
      </c>
      <c r="T1898" s="2">
        <v>1</v>
      </c>
      <c r="U1898" s="2">
        <v>61.2</v>
      </c>
      <c r="V1898" s="2">
        <v>58</v>
      </c>
      <c r="W1898" s="2" t="s">
        <v>7862</v>
      </c>
      <c r="X1898" s="2" t="s">
        <v>5405</v>
      </c>
      <c r="Y1898" s="2">
        <v>1050</v>
      </c>
      <c r="Z1898" s="19" t="str">
        <f>HYPERLINK("https://ssdweb.co/ssdweb/hd/Vision360.html?d=926801192&amp;zoomslide=1&amp;z=1926801192&amp;ISCONFIRM=0","VIDEO")</f>
        <v>VIDEO</v>
      </c>
      <c r="AA1898" s="19" t="str">
        <f>HYPERLINK("https://ssdweb.co/ssdweb/CERTH/670484244.pdf","CERTI")</f>
        <v>CERTI</v>
      </c>
    </row>
    <row r="1899" spans="1:27" ht="15" x14ac:dyDescent="0.25">
      <c r="A1899" s="2">
        <v>1894</v>
      </c>
      <c r="B1899" s="39">
        <v>941230062</v>
      </c>
      <c r="C1899" s="28" t="str">
        <f>HYPERLINK("https://pld.live/RapDetail.aspx?STONELIST=941230062","DNA")</f>
        <v>DNA</v>
      </c>
      <c r="D1899" s="18" t="s">
        <v>2802</v>
      </c>
      <c r="E1899" s="18" t="s">
        <v>2186</v>
      </c>
      <c r="F1899" s="2" t="s">
        <v>7987</v>
      </c>
      <c r="G1899" s="2" t="s">
        <v>861</v>
      </c>
      <c r="H1899" s="14">
        <v>0.42</v>
      </c>
      <c r="I1899" s="2" t="s">
        <v>267</v>
      </c>
      <c r="J1899" s="2" t="s">
        <v>3942</v>
      </c>
      <c r="K1899" s="2" t="s">
        <v>3390</v>
      </c>
      <c r="L1899" s="2" t="s">
        <v>5221</v>
      </c>
      <c r="M1899" s="2" t="s">
        <v>5221</v>
      </c>
      <c r="N1899" s="2" t="s">
        <v>2317</v>
      </c>
      <c r="O1899" s="14">
        <v>2500</v>
      </c>
      <c r="P1899" s="14">
        <v>94.56</v>
      </c>
      <c r="Q1899" s="14">
        <v>136</v>
      </c>
      <c r="R1899" s="14">
        <v>57.12</v>
      </c>
      <c r="S1899" s="2" t="s">
        <v>6580</v>
      </c>
      <c r="T1899" s="2">
        <v>1.01</v>
      </c>
      <c r="U1899" s="2">
        <v>60.4</v>
      </c>
      <c r="V1899" s="2">
        <v>59</v>
      </c>
      <c r="W1899" s="2" t="s">
        <v>7862</v>
      </c>
      <c r="X1899" s="2" t="s">
        <v>5405</v>
      </c>
      <c r="Y1899" s="2">
        <v>1050</v>
      </c>
      <c r="Z1899" s="19" t="str">
        <f>HYPERLINK("https://ssdweb.co/ssdweb/hd/Vision360.html?d=941230062&amp;zoomslide=1&amp;z=1941230062&amp;ISCONFIRM=0","VIDEO")</f>
        <v>VIDEO</v>
      </c>
      <c r="AA1899" s="19" t="str">
        <f>HYPERLINK("https://ssdweb.co/ssdweb/CERTH/689587238.pdf","CERTI")</f>
        <v>CERTI</v>
      </c>
    </row>
    <row r="1900" spans="1:27" ht="15" x14ac:dyDescent="0.25">
      <c r="A1900" s="2">
        <v>1895</v>
      </c>
      <c r="B1900" s="39">
        <v>941230055</v>
      </c>
      <c r="C1900" s="28" t="str">
        <f>HYPERLINK("https://pld.live/RapDetail.aspx?STONELIST=941230055","DNA")</f>
        <v>DNA</v>
      </c>
      <c r="D1900" s="18" t="s">
        <v>2802</v>
      </c>
      <c r="E1900" s="18" t="s">
        <v>2186</v>
      </c>
      <c r="F1900" s="2" t="s">
        <v>7987</v>
      </c>
      <c r="G1900" s="2" t="s">
        <v>861</v>
      </c>
      <c r="H1900" s="14">
        <v>0.42</v>
      </c>
      <c r="I1900" s="2" t="s">
        <v>267</v>
      </c>
      <c r="J1900" s="2" t="s">
        <v>3942</v>
      </c>
      <c r="K1900" s="2" t="s">
        <v>3390</v>
      </c>
      <c r="L1900" s="2" t="s">
        <v>5221</v>
      </c>
      <c r="M1900" s="2" t="s">
        <v>5221</v>
      </c>
      <c r="N1900" s="2" t="s">
        <v>2317</v>
      </c>
      <c r="O1900" s="14">
        <v>2500</v>
      </c>
      <c r="P1900" s="14">
        <v>94.56</v>
      </c>
      <c r="Q1900" s="14">
        <v>136</v>
      </c>
      <c r="R1900" s="14">
        <v>57.12</v>
      </c>
      <c r="S1900" s="2" t="s">
        <v>884</v>
      </c>
      <c r="T1900" s="2">
        <v>1.01</v>
      </c>
      <c r="U1900" s="2">
        <v>60.2</v>
      </c>
      <c r="V1900" s="2">
        <v>58</v>
      </c>
      <c r="W1900" s="2" t="s">
        <v>7862</v>
      </c>
      <c r="X1900" s="2" t="s">
        <v>5405</v>
      </c>
      <c r="Y1900" s="2">
        <v>1050</v>
      </c>
      <c r="Z1900" s="19" t="str">
        <f>HYPERLINK("https://ssdweb.co/ssdweb/hd/Vision360.html?d=941230055&amp;zoomslide=1&amp;z=1941230055&amp;ISCONFIRM=0","VIDEO")</f>
        <v>VIDEO</v>
      </c>
      <c r="AA1900" s="19" t="str">
        <f>HYPERLINK("https://ssdweb.co/ssdweb/CERTH/689587236.pdf","CERTI")</f>
        <v>CERTI</v>
      </c>
    </row>
    <row r="1901" spans="1:27" ht="15" x14ac:dyDescent="0.25">
      <c r="A1901" s="2">
        <v>1896</v>
      </c>
      <c r="B1901" s="39">
        <v>941230039</v>
      </c>
      <c r="C1901" s="28" t="str">
        <f>HYPERLINK("https://pld.live/RapDetail.aspx?STONELIST=941230039","DNA")</f>
        <v>DNA</v>
      </c>
      <c r="D1901" s="18" t="s">
        <v>2802</v>
      </c>
      <c r="E1901" s="18" t="s">
        <v>2186</v>
      </c>
      <c r="F1901" s="2" t="s">
        <v>7987</v>
      </c>
      <c r="G1901" s="2" t="s">
        <v>861</v>
      </c>
      <c r="H1901" s="14">
        <v>0.42</v>
      </c>
      <c r="I1901" s="2" t="s">
        <v>267</v>
      </c>
      <c r="J1901" s="2" t="s">
        <v>3942</v>
      </c>
      <c r="K1901" s="2" t="s">
        <v>3390</v>
      </c>
      <c r="L1901" s="2" t="s">
        <v>5221</v>
      </c>
      <c r="M1901" s="2" t="s">
        <v>5221</v>
      </c>
      <c r="N1901" s="2" t="s">
        <v>2317</v>
      </c>
      <c r="O1901" s="14">
        <v>2500</v>
      </c>
      <c r="P1901" s="14">
        <v>94.56</v>
      </c>
      <c r="Q1901" s="14">
        <v>136</v>
      </c>
      <c r="R1901" s="14">
        <v>57.12</v>
      </c>
      <c r="S1901" s="2" t="s">
        <v>4655</v>
      </c>
      <c r="T1901" s="2">
        <v>1.01</v>
      </c>
      <c r="U1901" s="2">
        <v>60.5</v>
      </c>
      <c r="V1901" s="2">
        <v>56</v>
      </c>
      <c r="W1901" s="2" t="s">
        <v>7862</v>
      </c>
      <c r="X1901" s="2" t="s">
        <v>5405</v>
      </c>
      <c r="Y1901" s="2">
        <v>1050</v>
      </c>
      <c r="Z1901" s="19" t="str">
        <f>HYPERLINK("https://ssdweb.co/ssdweb/hd/Vision360.html?d=941230039&amp;zoomslide=1&amp;z=1941230039&amp;ISCONFIRM=0","VIDEO")</f>
        <v>VIDEO</v>
      </c>
      <c r="AA1901" s="19" t="str">
        <f>HYPERLINK("https://ssdweb.co/ssdweb/CERTH/689587235.pdf","CERTI")</f>
        <v>CERTI</v>
      </c>
    </row>
    <row r="1902" spans="1:27" ht="15" x14ac:dyDescent="0.25">
      <c r="A1902" s="2">
        <v>1897</v>
      </c>
      <c r="B1902" s="39">
        <v>941230030</v>
      </c>
      <c r="C1902" s="28" t="str">
        <f>HYPERLINK("https://pld.live/RapDetail.aspx?STONELIST=941230030","DNA")</f>
        <v>DNA</v>
      </c>
      <c r="D1902" s="18" t="s">
        <v>2802</v>
      </c>
      <c r="E1902" s="18" t="s">
        <v>2186</v>
      </c>
      <c r="F1902" s="2" t="s">
        <v>7987</v>
      </c>
      <c r="G1902" s="2" t="s">
        <v>861</v>
      </c>
      <c r="H1902" s="14">
        <v>0.42</v>
      </c>
      <c r="I1902" s="2" t="s">
        <v>267</v>
      </c>
      <c r="J1902" s="2" t="s">
        <v>3942</v>
      </c>
      <c r="K1902" s="2" t="s">
        <v>3390</v>
      </c>
      <c r="L1902" s="2" t="s">
        <v>5221</v>
      </c>
      <c r="M1902" s="2" t="s">
        <v>5221</v>
      </c>
      <c r="N1902" s="2" t="s">
        <v>2317</v>
      </c>
      <c r="O1902" s="14">
        <v>2500</v>
      </c>
      <c r="P1902" s="14">
        <v>94.56</v>
      </c>
      <c r="Q1902" s="14">
        <v>136</v>
      </c>
      <c r="R1902" s="14">
        <v>57.12</v>
      </c>
      <c r="S1902" s="2" t="s">
        <v>2194</v>
      </c>
      <c r="T1902" s="2">
        <v>1.01</v>
      </c>
      <c r="U1902" s="2">
        <v>61.7</v>
      </c>
      <c r="V1902" s="2">
        <v>59</v>
      </c>
      <c r="W1902" s="2" t="s">
        <v>7862</v>
      </c>
      <c r="X1902" s="2" t="s">
        <v>5405</v>
      </c>
      <c r="Y1902" s="2">
        <v>1050</v>
      </c>
      <c r="Z1902" s="19" t="str">
        <f>HYPERLINK("https://ssdweb.co/ssdweb/hd/Vision360.html?d=941230030&amp;zoomslide=1&amp;z=1941230030&amp;ISCONFIRM=0","VIDEO")</f>
        <v>VIDEO</v>
      </c>
      <c r="AA1902" s="19" t="str">
        <f>HYPERLINK("https://ssdweb.co/ssdweb/CERTH/689587234.pdf","CERTI")</f>
        <v>CERTI</v>
      </c>
    </row>
    <row r="1903" spans="1:27" ht="15" x14ac:dyDescent="0.25">
      <c r="A1903" s="2">
        <v>1898</v>
      </c>
      <c r="B1903" s="39">
        <v>926430878</v>
      </c>
      <c r="C1903" s="28" t="str">
        <f>HYPERLINK("https://pld.live/RapDetail.aspx?STONELIST=926430878","DNA")</f>
        <v>DNA</v>
      </c>
      <c r="D1903" s="18" t="s">
        <v>2802</v>
      </c>
      <c r="E1903" s="18" t="s">
        <v>5128</v>
      </c>
      <c r="F1903" s="2" t="s">
        <v>7987</v>
      </c>
      <c r="G1903" s="2" t="s">
        <v>861</v>
      </c>
      <c r="H1903" s="14">
        <v>0.42</v>
      </c>
      <c r="I1903" s="2" t="s">
        <v>267</v>
      </c>
      <c r="J1903" s="2" t="s">
        <v>3942</v>
      </c>
      <c r="K1903" s="2" t="s">
        <v>3390</v>
      </c>
      <c r="L1903" s="2" t="s">
        <v>5221</v>
      </c>
      <c r="M1903" s="2" t="s">
        <v>5221</v>
      </c>
      <c r="N1903" s="2" t="s">
        <v>2317</v>
      </c>
      <c r="O1903" s="14">
        <v>2500</v>
      </c>
      <c r="P1903" s="14">
        <v>94.72</v>
      </c>
      <c r="Q1903" s="14">
        <v>132</v>
      </c>
      <c r="R1903" s="14">
        <v>55.44</v>
      </c>
      <c r="S1903" s="2" t="s">
        <v>305</v>
      </c>
      <c r="T1903" s="2">
        <v>1.01</v>
      </c>
      <c r="U1903" s="2">
        <v>62.3</v>
      </c>
      <c r="V1903" s="2">
        <v>59</v>
      </c>
      <c r="W1903" s="2" t="s">
        <v>7862</v>
      </c>
      <c r="X1903" s="2" t="s">
        <v>5405</v>
      </c>
      <c r="Y1903" s="2">
        <v>1050</v>
      </c>
      <c r="Z1903" s="19" t="str">
        <f>HYPERLINK("https://ssdweb.co/ssdweb/hd/Vision360.html?d=926430878&amp;zoomslide=1&amp;z=1926430878&amp;ISCONFIRM=0","VIDEO")</f>
        <v>VIDEO</v>
      </c>
      <c r="AA1903" s="19" t="str">
        <f>HYPERLINK("https://ssdweb.co/ssdweb/CERTH/646472863.pdf","CERTI")</f>
        <v>CERTI</v>
      </c>
    </row>
    <row r="1904" spans="1:27" ht="15" x14ac:dyDescent="0.25">
      <c r="A1904" s="2">
        <v>1899</v>
      </c>
      <c r="B1904" s="39">
        <v>941230021</v>
      </c>
      <c r="C1904" s="28" t="str">
        <f>HYPERLINK("https://pld.live/RapDetail.aspx?STONELIST=941230021","DNA")</f>
        <v>DNA</v>
      </c>
      <c r="D1904" s="18" t="s">
        <v>2802</v>
      </c>
      <c r="E1904" s="18" t="s">
        <v>2186</v>
      </c>
      <c r="F1904" s="2" t="s">
        <v>7987</v>
      </c>
      <c r="G1904" s="2" t="s">
        <v>861</v>
      </c>
      <c r="H1904" s="14">
        <v>0.42</v>
      </c>
      <c r="I1904" s="2" t="s">
        <v>267</v>
      </c>
      <c r="J1904" s="2" t="s">
        <v>3942</v>
      </c>
      <c r="K1904" s="2" t="s">
        <v>3390</v>
      </c>
      <c r="L1904" s="2" t="s">
        <v>5221</v>
      </c>
      <c r="M1904" s="2" t="s">
        <v>5221</v>
      </c>
      <c r="N1904" s="2" t="s">
        <v>2317</v>
      </c>
      <c r="O1904" s="14">
        <v>2500</v>
      </c>
      <c r="P1904" s="14">
        <v>94.56</v>
      </c>
      <c r="Q1904" s="14">
        <v>136</v>
      </c>
      <c r="R1904" s="14">
        <v>57.12</v>
      </c>
      <c r="S1904" s="2" t="s">
        <v>305</v>
      </c>
      <c r="T1904" s="2">
        <v>1.01</v>
      </c>
      <c r="U1904" s="2">
        <v>62.2</v>
      </c>
      <c r="V1904" s="2">
        <v>59</v>
      </c>
      <c r="W1904" s="2" t="s">
        <v>7862</v>
      </c>
      <c r="X1904" s="2" t="s">
        <v>5405</v>
      </c>
      <c r="Y1904" s="2">
        <v>1050</v>
      </c>
      <c r="Z1904" s="19" t="str">
        <f>HYPERLINK("https://ssdweb.co/ssdweb/hd/Vision360.html?d=941230021&amp;zoomslide=1&amp;z=1941230021&amp;ISCONFIRM=0","VIDEO")</f>
        <v>VIDEO</v>
      </c>
      <c r="AA1904" s="19" t="str">
        <f>HYPERLINK("https://ssdweb.co/ssdweb/CERTH/689587233.pdf","CERTI")</f>
        <v>CERTI</v>
      </c>
    </row>
    <row r="1905" spans="1:27" ht="15" x14ac:dyDescent="0.25">
      <c r="A1905" s="2">
        <v>1900</v>
      </c>
      <c r="B1905" s="39">
        <v>926321147</v>
      </c>
      <c r="C1905" s="28" t="str">
        <f>HYPERLINK("https://pld.live/RapDetail.aspx?STONELIST=926321147","DNA")</f>
        <v>DNA</v>
      </c>
      <c r="D1905" s="18" t="s">
        <v>2802</v>
      </c>
      <c r="E1905" s="18" t="s">
        <v>5128</v>
      </c>
      <c r="F1905" s="2" t="s">
        <v>7987</v>
      </c>
      <c r="G1905" s="2" t="s">
        <v>861</v>
      </c>
      <c r="H1905" s="14">
        <v>0.42</v>
      </c>
      <c r="I1905" s="2" t="s">
        <v>267</v>
      </c>
      <c r="J1905" s="2" t="s">
        <v>3942</v>
      </c>
      <c r="K1905" s="2" t="s">
        <v>3390</v>
      </c>
      <c r="L1905" s="2" t="s">
        <v>5221</v>
      </c>
      <c r="M1905" s="2" t="s">
        <v>5221</v>
      </c>
      <c r="N1905" s="2" t="s">
        <v>2317</v>
      </c>
      <c r="O1905" s="14">
        <v>2500</v>
      </c>
      <c r="P1905" s="14">
        <v>94.72</v>
      </c>
      <c r="Q1905" s="14">
        <v>132</v>
      </c>
      <c r="R1905" s="14">
        <v>55.44</v>
      </c>
      <c r="S1905" s="2" t="s">
        <v>6806</v>
      </c>
      <c r="T1905" s="2">
        <v>1</v>
      </c>
      <c r="U1905" s="2">
        <v>62.2</v>
      </c>
      <c r="V1905" s="2">
        <v>58</v>
      </c>
      <c r="W1905" s="2" t="s">
        <v>7862</v>
      </c>
      <c r="X1905" s="2" t="s">
        <v>5405</v>
      </c>
      <c r="Y1905" s="2">
        <v>1050</v>
      </c>
      <c r="Z1905" s="19" t="str">
        <f>HYPERLINK("https://ssdweb.co/ssdweb/hd/Vision360.html?d=926321147&amp;zoomslide=1&amp;z=1926321147&amp;ISCONFIRM=0","VIDEO")</f>
        <v>VIDEO</v>
      </c>
      <c r="AA1905" s="19" t="str">
        <f>HYPERLINK("https://ssdweb.co/ssdweb/CERTH/643443158.pdf","CERTI")</f>
        <v>CERTI</v>
      </c>
    </row>
    <row r="1906" spans="1:27" ht="15" x14ac:dyDescent="0.25">
      <c r="A1906" s="2">
        <v>1901</v>
      </c>
      <c r="B1906" s="39">
        <v>926321164</v>
      </c>
      <c r="C1906" s="28" t="str">
        <f>HYPERLINK("https://pld.live/RapDetail.aspx?STONELIST=926321164","DNA")</f>
        <v>DNA</v>
      </c>
      <c r="D1906" s="18" t="s">
        <v>2802</v>
      </c>
      <c r="E1906" s="18" t="s">
        <v>5128</v>
      </c>
      <c r="F1906" s="2" t="s">
        <v>7987</v>
      </c>
      <c r="G1906" s="2" t="s">
        <v>861</v>
      </c>
      <c r="H1906" s="14">
        <v>0.42</v>
      </c>
      <c r="I1906" s="2" t="s">
        <v>267</v>
      </c>
      <c r="J1906" s="2" t="s">
        <v>3942</v>
      </c>
      <c r="K1906" s="2" t="s">
        <v>3390</v>
      </c>
      <c r="L1906" s="2" t="s">
        <v>5221</v>
      </c>
      <c r="M1906" s="2" t="s">
        <v>5221</v>
      </c>
      <c r="N1906" s="2" t="s">
        <v>2317</v>
      </c>
      <c r="O1906" s="14">
        <v>2500</v>
      </c>
      <c r="P1906" s="14">
        <v>94.72</v>
      </c>
      <c r="Q1906" s="14">
        <v>132</v>
      </c>
      <c r="R1906" s="14">
        <v>55.44</v>
      </c>
      <c r="S1906" s="2" t="s">
        <v>7206</v>
      </c>
      <c r="T1906" s="2">
        <v>1</v>
      </c>
      <c r="U1906" s="2">
        <v>61.1</v>
      </c>
      <c r="V1906" s="2">
        <v>59</v>
      </c>
      <c r="W1906" s="2" t="s">
        <v>7862</v>
      </c>
      <c r="X1906" s="2" t="s">
        <v>5405</v>
      </c>
      <c r="Y1906" s="2">
        <v>1050</v>
      </c>
      <c r="Z1906" s="19" t="str">
        <f>HYPERLINK("https://ssdweb.co/ssdweb/hd/Vision360.html?d=926321164&amp;zoomslide=1&amp;z=1926321164&amp;ISCONFIRM=0","VIDEO")</f>
        <v>VIDEO</v>
      </c>
      <c r="AA1906" s="19" t="str">
        <f>HYPERLINK("https://ssdweb.co/ssdweb/CERTH/643443156.pdf","CERTI")</f>
        <v>CERTI</v>
      </c>
    </row>
    <row r="1907" spans="1:27" ht="15" x14ac:dyDescent="0.25">
      <c r="A1907" s="2">
        <v>1902</v>
      </c>
      <c r="B1907" s="39">
        <v>926321217</v>
      </c>
      <c r="C1907" s="28" t="str">
        <f>HYPERLINK("https://pld.live/RapDetail.aspx?STONELIST=926321217","DNA")</f>
        <v>DNA</v>
      </c>
      <c r="D1907" s="18" t="s">
        <v>2802</v>
      </c>
      <c r="E1907" s="18" t="s">
        <v>5128</v>
      </c>
      <c r="F1907" s="2" t="s">
        <v>7987</v>
      </c>
      <c r="G1907" s="2" t="s">
        <v>861</v>
      </c>
      <c r="H1907" s="14">
        <v>0.42</v>
      </c>
      <c r="I1907" s="2" t="s">
        <v>267</v>
      </c>
      <c r="J1907" s="2" t="s">
        <v>3942</v>
      </c>
      <c r="K1907" s="2" t="s">
        <v>3390</v>
      </c>
      <c r="L1907" s="2" t="s">
        <v>5221</v>
      </c>
      <c r="M1907" s="2" t="s">
        <v>5221</v>
      </c>
      <c r="N1907" s="2" t="s">
        <v>2317</v>
      </c>
      <c r="O1907" s="14">
        <v>2500</v>
      </c>
      <c r="P1907" s="14">
        <v>94.72</v>
      </c>
      <c r="Q1907" s="14">
        <v>132</v>
      </c>
      <c r="R1907" s="14">
        <v>55.44</v>
      </c>
      <c r="S1907" s="2" t="s">
        <v>6530</v>
      </c>
      <c r="T1907" s="2">
        <v>1.01</v>
      </c>
      <c r="U1907" s="2">
        <v>61.2</v>
      </c>
      <c r="V1907" s="2">
        <v>59</v>
      </c>
      <c r="W1907" s="2" t="s">
        <v>7862</v>
      </c>
      <c r="X1907" s="2" t="s">
        <v>5405</v>
      </c>
      <c r="Y1907" s="2">
        <v>1050</v>
      </c>
      <c r="Z1907" s="19" t="str">
        <f>HYPERLINK("https://ssdweb.co/ssdweb/hd/Vision360.html?d=926321217&amp;zoomslide=1&amp;z=1926321217&amp;ISCONFIRM=0","VIDEO")</f>
        <v>VIDEO</v>
      </c>
      <c r="AA1907" s="19" t="str">
        <f>HYPERLINK("https://ssdweb.co/ssdweb/CERTH/644472324.pdf","CERTI")</f>
        <v>CERTI</v>
      </c>
    </row>
    <row r="1908" spans="1:27" ht="15" x14ac:dyDescent="0.25">
      <c r="A1908" s="2">
        <v>1903</v>
      </c>
      <c r="B1908" s="39">
        <v>926801389</v>
      </c>
      <c r="C1908" s="28" t="str">
        <f>HYPERLINK("https://pld.live/RapDetail.aspx?STONELIST=926801389","DNA")</f>
        <v>DNA</v>
      </c>
      <c r="D1908" s="18" t="s">
        <v>2802</v>
      </c>
      <c r="E1908" s="18" t="s">
        <v>5128</v>
      </c>
      <c r="F1908" s="2" t="s">
        <v>7987</v>
      </c>
      <c r="G1908" s="2" t="s">
        <v>861</v>
      </c>
      <c r="H1908" s="14">
        <v>0.42</v>
      </c>
      <c r="I1908" s="2" t="s">
        <v>267</v>
      </c>
      <c r="J1908" s="2" t="s">
        <v>3942</v>
      </c>
      <c r="K1908" s="2" t="s">
        <v>3390</v>
      </c>
      <c r="L1908" s="2" t="s">
        <v>5221</v>
      </c>
      <c r="M1908" s="2" t="s">
        <v>5721</v>
      </c>
      <c r="N1908" s="2" t="s">
        <v>2317</v>
      </c>
      <c r="O1908" s="14">
        <v>2500</v>
      </c>
      <c r="P1908" s="14">
        <v>94.68</v>
      </c>
      <c r="Q1908" s="14">
        <v>133</v>
      </c>
      <c r="R1908" s="14">
        <v>55.86</v>
      </c>
      <c r="S1908" s="2" t="s">
        <v>6447</v>
      </c>
      <c r="T1908" s="2">
        <v>1</v>
      </c>
      <c r="U1908" s="2">
        <v>59.6</v>
      </c>
      <c r="V1908" s="2">
        <v>59</v>
      </c>
      <c r="W1908" s="2" t="s">
        <v>7862</v>
      </c>
      <c r="X1908" s="2" t="s">
        <v>5405</v>
      </c>
      <c r="Y1908" s="2">
        <v>1050</v>
      </c>
      <c r="Z1908" s="19" t="str">
        <f>HYPERLINK("https://ssdweb.co/ssdweb/hd/Vision360.html?d=926801389&amp;zoomslide=1&amp;z=1926801389&amp;ISCONFIRM=0","VIDEO")</f>
        <v>VIDEO</v>
      </c>
      <c r="AA1908" s="19" t="str">
        <f>HYPERLINK("https://ssdweb.co/ssdweb/CERTH/670484282.pdf","CERTI")</f>
        <v>CERTI</v>
      </c>
    </row>
    <row r="1909" spans="1:27" ht="15" x14ac:dyDescent="0.25">
      <c r="A1909" s="2">
        <v>1904</v>
      </c>
      <c r="B1909" s="39">
        <v>926801340</v>
      </c>
      <c r="C1909" s="28" t="str">
        <f>HYPERLINK("https://pld.live/RapDetail.aspx?STONELIST=926801340","DNA")</f>
        <v>DNA</v>
      </c>
      <c r="D1909" s="18" t="s">
        <v>2802</v>
      </c>
      <c r="E1909" s="18" t="s">
        <v>5128</v>
      </c>
      <c r="F1909" s="2" t="s">
        <v>7987</v>
      </c>
      <c r="G1909" s="2" t="s">
        <v>861</v>
      </c>
      <c r="H1909" s="14">
        <v>0.42</v>
      </c>
      <c r="I1909" s="2" t="s">
        <v>267</v>
      </c>
      <c r="J1909" s="2" t="s">
        <v>3942</v>
      </c>
      <c r="K1909" s="2" t="s">
        <v>3390</v>
      </c>
      <c r="L1909" s="2" t="s">
        <v>5221</v>
      </c>
      <c r="M1909" s="2" t="s">
        <v>5721</v>
      </c>
      <c r="N1909" s="2" t="s">
        <v>2317</v>
      </c>
      <c r="O1909" s="14">
        <v>2500</v>
      </c>
      <c r="P1909" s="14">
        <v>94.68</v>
      </c>
      <c r="Q1909" s="14">
        <v>133</v>
      </c>
      <c r="R1909" s="14">
        <v>55.86</v>
      </c>
      <c r="S1909" s="2" t="s">
        <v>2326</v>
      </c>
      <c r="T1909" s="2">
        <v>1.01</v>
      </c>
      <c r="U1909" s="2">
        <v>61.4</v>
      </c>
      <c r="V1909" s="2">
        <v>59</v>
      </c>
      <c r="W1909" s="2" t="s">
        <v>7862</v>
      </c>
      <c r="X1909" s="2" t="s">
        <v>5405</v>
      </c>
      <c r="Y1909" s="2">
        <v>1050</v>
      </c>
      <c r="Z1909" s="19" t="str">
        <f>HYPERLINK("https://ssdweb.co/ssdweb/hd/Vision360.html?d=926801340&amp;zoomslide=1&amp;z=1926801340&amp;ISCONFIRM=0","VIDEO")</f>
        <v>VIDEO</v>
      </c>
      <c r="AA1909" s="19" t="str">
        <f>HYPERLINK("https://ssdweb.co/ssdweb/CERTH/668446527.pdf","CERTI")</f>
        <v>CERTI</v>
      </c>
    </row>
    <row r="1910" spans="1:27" ht="15" x14ac:dyDescent="0.25">
      <c r="A1910" s="2">
        <v>1905</v>
      </c>
      <c r="B1910" s="39">
        <v>926801298</v>
      </c>
      <c r="C1910" s="28" t="str">
        <f>HYPERLINK("https://pld.live/RapDetail.aspx?STONELIST=926801298","DNA")</f>
        <v>DNA</v>
      </c>
      <c r="D1910" s="18" t="s">
        <v>2802</v>
      </c>
      <c r="E1910" s="18" t="s">
        <v>5128</v>
      </c>
      <c r="F1910" s="2" t="s">
        <v>7987</v>
      </c>
      <c r="G1910" s="2" t="s">
        <v>861</v>
      </c>
      <c r="H1910" s="14">
        <v>0.42</v>
      </c>
      <c r="I1910" s="2" t="s">
        <v>267</v>
      </c>
      <c r="J1910" s="2" t="s">
        <v>3942</v>
      </c>
      <c r="K1910" s="2" t="s">
        <v>3390</v>
      </c>
      <c r="L1910" s="2" t="s">
        <v>5221</v>
      </c>
      <c r="M1910" s="2" t="s">
        <v>5721</v>
      </c>
      <c r="N1910" s="2" t="s">
        <v>2317</v>
      </c>
      <c r="O1910" s="14">
        <v>2500</v>
      </c>
      <c r="P1910" s="14">
        <v>94.68</v>
      </c>
      <c r="Q1910" s="14">
        <v>133</v>
      </c>
      <c r="R1910" s="14">
        <v>55.86</v>
      </c>
      <c r="S1910" s="2" t="s">
        <v>6013</v>
      </c>
      <c r="T1910" s="2">
        <v>1.01</v>
      </c>
      <c r="U1910" s="2">
        <v>62.3</v>
      </c>
      <c r="V1910" s="2">
        <v>56</v>
      </c>
      <c r="W1910" s="2" t="s">
        <v>7862</v>
      </c>
      <c r="X1910" s="2" t="s">
        <v>5405</v>
      </c>
      <c r="Y1910" s="2">
        <v>1050</v>
      </c>
      <c r="Z1910" s="19" t="str">
        <f>HYPERLINK("https://ssdweb.co/ssdweb/hd/Vision360.html?d=926801298&amp;zoomslide=1&amp;z=1926801298&amp;ISCONFIRM=0","VIDEO")</f>
        <v>VIDEO</v>
      </c>
      <c r="AA1910" s="19" t="str">
        <f>HYPERLINK("https://ssdweb.co/ssdweb/CERTH/668446523.pdf","CERTI")</f>
        <v>CERTI</v>
      </c>
    </row>
    <row r="1911" spans="1:27" ht="15" x14ac:dyDescent="0.25">
      <c r="A1911" s="2">
        <v>1906</v>
      </c>
      <c r="B1911" s="39">
        <v>926050198</v>
      </c>
      <c r="C1911" s="28" t="str">
        <f>HYPERLINK("https://pld.live/RapDetail.aspx?STONELIST=926050198","DNA")</f>
        <v>DNA</v>
      </c>
      <c r="D1911" s="18" t="s">
        <v>2802</v>
      </c>
      <c r="E1911" s="18" t="s">
        <v>2186</v>
      </c>
      <c r="F1911" s="2" t="s">
        <v>7987</v>
      </c>
      <c r="G1911" s="2" t="s">
        <v>861</v>
      </c>
      <c r="H1911" s="14">
        <v>0.42</v>
      </c>
      <c r="I1911" s="2" t="s">
        <v>267</v>
      </c>
      <c r="J1911" s="2" t="s">
        <v>3942</v>
      </c>
      <c r="K1911" s="2" t="s">
        <v>3390</v>
      </c>
      <c r="L1911" s="2" t="s">
        <v>5721</v>
      </c>
      <c r="M1911" s="2" t="s">
        <v>5221</v>
      </c>
      <c r="N1911" s="2" t="s">
        <v>2317</v>
      </c>
      <c r="O1911" s="14">
        <v>2500</v>
      </c>
      <c r="P1911" s="14">
        <v>94.92</v>
      </c>
      <c r="Q1911" s="14">
        <v>127</v>
      </c>
      <c r="R1911" s="14">
        <v>53.34</v>
      </c>
      <c r="S1911" s="2" t="s">
        <v>1736</v>
      </c>
      <c r="T1911" s="2">
        <v>1.01</v>
      </c>
      <c r="U1911" s="2">
        <v>60.5</v>
      </c>
      <c r="V1911" s="2">
        <v>60</v>
      </c>
      <c r="W1911" s="2" t="s">
        <v>7862</v>
      </c>
      <c r="X1911" s="2" t="s">
        <v>5405</v>
      </c>
      <c r="Y1911" s="2">
        <v>1050</v>
      </c>
      <c r="Z1911" s="19" t="str">
        <f>HYPERLINK("https://ssdweb.co/ssdweb/hd/Vision360.html?d=926050198&amp;zoomslide=1&amp;z=1926050198&amp;ISCONFIRM=0","VIDEO")</f>
        <v>VIDEO</v>
      </c>
      <c r="AA1911" s="19" t="str">
        <f>HYPERLINK("https://ssdweb.co/ssdweb/CERTH/631464011.pdf","CERTI")</f>
        <v>CERTI</v>
      </c>
    </row>
    <row r="1912" spans="1:27" ht="15" x14ac:dyDescent="0.25">
      <c r="A1912" s="2">
        <v>1907</v>
      </c>
      <c r="B1912" s="39">
        <v>831010718</v>
      </c>
      <c r="C1912" s="28" t="str">
        <f>HYPERLINK("https://pld.live/RapDetail.aspx?STONELIST=831010718","DNA")</f>
        <v>DNA</v>
      </c>
      <c r="D1912" s="18" t="s">
        <v>2802</v>
      </c>
      <c r="E1912" s="18" t="s">
        <v>5128</v>
      </c>
      <c r="F1912" s="2" t="s">
        <v>5597</v>
      </c>
      <c r="G1912" s="2" t="s">
        <v>861</v>
      </c>
      <c r="H1912" s="14">
        <v>0.42</v>
      </c>
      <c r="I1912" s="2" t="s">
        <v>267</v>
      </c>
      <c r="J1912" s="2" t="s">
        <v>3942</v>
      </c>
      <c r="K1912" s="2" t="s">
        <v>5221</v>
      </c>
      <c r="L1912" s="2" t="s">
        <v>5221</v>
      </c>
      <c r="M1912" s="2" t="s">
        <v>5221</v>
      </c>
      <c r="N1912" s="2" t="s">
        <v>2317</v>
      </c>
      <c r="O1912" s="14">
        <v>2500</v>
      </c>
      <c r="P1912" s="14">
        <v>89.68</v>
      </c>
      <c r="Q1912" s="14">
        <v>258</v>
      </c>
      <c r="R1912" s="14">
        <v>108.36</v>
      </c>
      <c r="S1912" s="2" t="s">
        <v>4725</v>
      </c>
      <c r="T1912" s="2">
        <v>1.01</v>
      </c>
      <c r="U1912" s="2">
        <v>62.1</v>
      </c>
      <c r="V1912" s="2">
        <v>57</v>
      </c>
      <c r="W1912" s="2" t="s">
        <v>7862</v>
      </c>
      <c r="X1912" s="2" t="s">
        <v>5405</v>
      </c>
      <c r="Y1912" s="2">
        <v>1050</v>
      </c>
      <c r="Z1912" s="19" t="str">
        <f>HYPERLINK("https://ssdweb.co/ssdweb/hd/Vision360.html?d=831010718&amp;zoomslide=1&amp;z=1831010718&amp;ISCONFIRM=0","VIDEO")</f>
        <v>VIDEO</v>
      </c>
      <c r="AA1912" s="19" t="str">
        <f>HYPERLINK("https://ssdweb.co/ssdweb/CERTH/1488994170.pdf","CERTI")</f>
        <v>CERTI</v>
      </c>
    </row>
    <row r="1913" spans="1:27" ht="15" x14ac:dyDescent="0.25">
      <c r="A1913" s="2">
        <v>1908</v>
      </c>
      <c r="B1913" s="39">
        <v>831010719</v>
      </c>
      <c r="C1913" s="28" t="str">
        <f>HYPERLINK("https://pld.live/RapDetail.aspx?STONELIST=831010719","DNA")</f>
        <v>DNA</v>
      </c>
      <c r="D1913" s="18" t="s">
        <v>2802</v>
      </c>
      <c r="E1913" s="18" t="s">
        <v>5128</v>
      </c>
      <c r="F1913" s="2" t="s">
        <v>5597</v>
      </c>
      <c r="G1913" s="2" t="s">
        <v>861</v>
      </c>
      <c r="H1913" s="14">
        <v>0.42</v>
      </c>
      <c r="I1913" s="2" t="s">
        <v>267</v>
      </c>
      <c r="J1913" s="2" t="s">
        <v>3942</v>
      </c>
      <c r="K1913" s="2" t="s">
        <v>5221</v>
      </c>
      <c r="L1913" s="2" t="s">
        <v>5221</v>
      </c>
      <c r="M1913" s="2" t="s">
        <v>5221</v>
      </c>
      <c r="N1913" s="2" t="s">
        <v>2317</v>
      </c>
      <c r="O1913" s="14">
        <v>2500</v>
      </c>
      <c r="P1913" s="14">
        <v>89.6</v>
      </c>
      <c r="Q1913" s="14">
        <v>260</v>
      </c>
      <c r="R1913" s="14">
        <v>109.2</v>
      </c>
      <c r="S1913" s="2" t="s">
        <v>6193</v>
      </c>
      <c r="T1913" s="2">
        <v>1.01</v>
      </c>
      <c r="U1913" s="2">
        <v>60.9</v>
      </c>
      <c r="V1913" s="2">
        <v>58</v>
      </c>
      <c r="W1913" s="2" t="s">
        <v>7862</v>
      </c>
      <c r="X1913" s="2" t="s">
        <v>5405</v>
      </c>
      <c r="Y1913" s="2">
        <v>1050</v>
      </c>
      <c r="Z1913" s="19" t="str">
        <f>HYPERLINK("https://ssdweb.co/ssdweb/hd/Vision360.html?d=831010719&amp;zoomslide=1&amp;z=1831010719&amp;ISCONFIRM=0","VIDEO")</f>
        <v>VIDEO</v>
      </c>
      <c r="AA1913" s="19" t="str">
        <f>HYPERLINK("https://ssdweb.co/ssdweb/CERTH/2497925148.pdf","CERTI")</f>
        <v>CERTI</v>
      </c>
    </row>
    <row r="1914" spans="1:27" ht="15" x14ac:dyDescent="0.25">
      <c r="A1914" s="2">
        <v>1909</v>
      </c>
      <c r="B1914" s="39">
        <v>926801164</v>
      </c>
      <c r="C1914" s="28" t="str">
        <f>HYPERLINK("https://pld.live/RapDetail.aspx?STONELIST=926801164","DNA")</f>
        <v>DNA</v>
      </c>
      <c r="D1914" s="18" t="s">
        <v>2802</v>
      </c>
      <c r="E1914" s="18" t="s">
        <v>5128</v>
      </c>
      <c r="F1914" s="2" t="s">
        <v>7987</v>
      </c>
      <c r="G1914" s="2" t="s">
        <v>861</v>
      </c>
      <c r="H1914" s="14">
        <v>0.42</v>
      </c>
      <c r="I1914" s="2" t="s">
        <v>267</v>
      </c>
      <c r="J1914" s="2" t="s">
        <v>3942</v>
      </c>
      <c r="K1914" s="2" t="s">
        <v>5221</v>
      </c>
      <c r="L1914" s="2" t="s">
        <v>5221</v>
      </c>
      <c r="M1914" s="2" t="s">
        <v>5221</v>
      </c>
      <c r="N1914" s="2" t="s">
        <v>2317</v>
      </c>
      <c r="O1914" s="14">
        <v>2500</v>
      </c>
      <c r="P1914" s="14">
        <v>94.56</v>
      </c>
      <c r="Q1914" s="14">
        <v>136</v>
      </c>
      <c r="R1914" s="14">
        <v>57.12</v>
      </c>
      <c r="S1914" s="2" t="s">
        <v>2827</v>
      </c>
      <c r="T1914" s="2">
        <v>1.01</v>
      </c>
      <c r="U1914" s="2">
        <v>59.8</v>
      </c>
      <c r="V1914" s="2">
        <v>59</v>
      </c>
      <c r="W1914" s="2" t="s">
        <v>7862</v>
      </c>
      <c r="X1914" s="2" t="s">
        <v>5405</v>
      </c>
      <c r="Y1914" s="2">
        <v>1050</v>
      </c>
      <c r="Z1914" s="19" t="str">
        <f>HYPERLINK("https://ssdweb.co/ssdweb/hd/Vision360.html?d=926801164&amp;zoomslide=1&amp;z=1926801164&amp;ISCONFIRM=0","VIDEO")</f>
        <v>VIDEO</v>
      </c>
      <c r="AA1914" s="19" t="str">
        <f>HYPERLINK("https://ssdweb.co/ssdweb/CERTH/670484242.pdf","CERTI")</f>
        <v>CERTI</v>
      </c>
    </row>
    <row r="1915" spans="1:27" ht="15" x14ac:dyDescent="0.25">
      <c r="A1915" s="2">
        <v>1910</v>
      </c>
      <c r="B1915" s="39">
        <v>831010720</v>
      </c>
      <c r="C1915" s="28" t="str">
        <f>HYPERLINK("https://pld.live/RapDetail.aspx?STONELIST=831010720","DNA")</f>
        <v>DNA</v>
      </c>
      <c r="D1915" s="18" t="s">
        <v>2802</v>
      </c>
      <c r="E1915" s="18" t="s">
        <v>5128</v>
      </c>
      <c r="F1915" s="2" t="s">
        <v>5597</v>
      </c>
      <c r="G1915" s="2" t="s">
        <v>861</v>
      </c>
      <c r="H1915" s="14">
        <v>0.42</v>
      </c>
      <c r="I1915" s="2" t="s">
        <v>267</v>
      </c>
      <c r="J1915" s="2" t="s">
        <v>3942</v>
      </c>
      <c r="K1915" s="2" t="s">
        <v>5221</v>
      </c>
      <c r="L1915" s="2" t="s">
        <v>5221</v>
      </c>
      <c r="M1915" s="2" t="s">
        <v>5221</v>
      </c>
      <c r="N1915" s="2" t="s">
        <v>2317</v>
      </c>
      <c r="O1915" s="14">
        <v>2500</v>
      </c>
      <c r="P1915" s="14">
        <v>89.6</v>
      </c>
      <c r="Q1915" s="14">
        <v>260</v>
      </c>
      <c r="R1915" s="14">
        <v>109.2</v>
      </c>
      <c r="S1915" s="2" t="s">
        <v>4738</v>
      </c>
      <c r="T1915" s="2">
        <v>1.01</v>
      </c>
      <c r="U1915" s="2">
        <v>61</v>
      </c>
      <c r="V1915" s="2">
        <v>58</v>
      </c>
      <c r="W1915" s="2" t="s">
        <v>7862</v>
      </c>
      <c r="X1915" s="2" t="s">
        <v>5405</v>
      </c>
      <c r="Y1915" s="2">
        <v>1050</v>
      </c>
      <c r="Z1915" s="19" t="str">
        <f>HYPERLINK("https://ssdweb.co/ssdweb/hd/Vision360.html?d=831010720&amp;zoomslide=1&amp;z=1831010720&amp;ISCONFIRM=0","VIDEO")</f>
        <v>VIDEO</v>
      </c>
      <c r="AA1915" s="19" t="str">
        <f>HYPERLINK("https://ssdweb.co/ssdweb/CERTH/3495979139.pdf","CERTI")</f>
        <v>CERTI</v>
      </c>
    </row>
    <row r="1916" spans="1:27" ht="15" x14ac:dyDescent="0.25">
      <c r="A1916" s="2">
        <v>1911</v>
      </c>
      <c r="B1916" s="39">
        <v>941230096</v>
      </c>
      <c r="C1916" s="28" t="str">
        <f>HYPERLINK("https://pld.live/RapDetail.aspx?STONELIST=941230096","DNA")</f>
        <v>DNA</v>
      </c>
      <c r="D1916" s="18" t="s">
        <v>2802</v>
      </c>
      <c r="E1916" s="18" t="s">
        <v>2186</v>
      </c>
      <c r="F1916" s="2" t="s">
        <v>7987</v>
      </c>
      <c r="G1916" s="2" t="s">
        <v>861</v>
      </c>
      <c r="H1916" s="14">
        <v>0.42</v>
      </c>
      <c r="I1916" s="2" t="s">
        <v>267</v>
      </c>
      <c r="J1916" s="2" t="s">
        <v>3942</v>
      </c>
      <c r="K1916" s="2" t="s">
        <v>5221</v>
      </c>
      <c r="L1916" s="2" t="s">
        <v>5221</v>
      </c>
      <c r="M1916" s="2" t="s">
        <v>5221</v>
      </c>
      <c r="N1916" s="2" t="s">
        <v>2317</v>
      </c>
      <c r="O1916" s="14">
        <v>2500</v>
      </c>
      <c r="P1916" s="14">
        <v>94.56</v>
      </c>
      <c r="Q1916" s="14">
        <v>136</v>
      </c>
      <c r="R1916" s="14">
        <v>57.12</v>
      </c>
      <c r="S1916" s="2" t="s">
        <v>3975</v>
      </c>
      <c r="T1916" s="2">
        <v>1</v>
      </c>
      <c r="U1916" s="2">
        <v>59.8</v>
      </c>
      <c r="V1916" s="2">
        <v>59</v>
      </c>
      <c r="W1916" s="2" t="s">
        <v>7862</v>
      </c>
      <c r="X1916" s="2" t="s">
        <v>5405</v>
      </c>
      <c r="Y1916" s="2">
        <v>1050</v>
      </c>
      <c r="Z1916" s="19" t="str">
        <f>HYPERLINK("https://ssdweb.co/ssdweb/hd/Vision360.html?d=941230096&amp;zoomslide=1&amp;z=1941230096&amp;ISCONFIRM=0","VIDEO")</f>
        <v>VIDEO</v>
      </c>
      <c r="AA1916" s="19" t="str">
        <f>HYPERLINK("https://ssdweb.co/ssdweb/CERTH/689587253.pdf","CERTI")</f>
        <v>CERTI</v>
      </c>
    </row>
    <row r="1917" spans="1:27" ht="15" x14ac:dyDescent="0.25">
      <c r="A1917" s="2">
        <v>1912</v>
      </c>
      <c r="B1917" s="39">
        <v>941220093</v>
      </c>
      <c r="C1917" s="28" t="str">
        <f>HYPERLINK("https://pld.live/RapDetail.aspx?STONELIST=941220093","DNA")</f>
        <v>DNA</v>
      </c>
      <c r="D1917" s="18" t="s">
        <v>2802</v>
      </c>
      <c r="E1917" s="18" t="s">
        <v>2186</v>
      </c>
      <c r="F1917" s="2" t="s">
        <v>7987</v>
      </c>
      <c r="G1917" s="2" t="s">
        <v>861</v>
      </c>
      <c r="H1917" s="14">
        <v>0.42</v>
      </c>
      <c r="I1917" s="2" t="s">
        <v>267</v>
      </c>
      <c r="J1917" s="2" t="s">
        <v>3942</v>
      </c>
      <c r="K1917" s="2" t="s">
        <v>5221</v>
      </c>
      <c r="L1917" s="2" t="s">
        <v>5221</v>
      </c>
      <c r="M1917" s="2" t="s">
        <v>5221</v>
      </c>
      <c r="N1917" s="2" t="s">
        <v>2317</v>
      </c>
      <c r="O1917" s="14">
        <v>2500</v>
      </c>
      <c r="P1917" s="14">
        <v>94.56</v>
      </c>
      <c r="Q1917" s="14">
        <v>136</v>
      </c>
      <c r="R1917" s="14">
        <v>57.12</v>
      </c>
      <c r="S1917" s="2" t="s">
        <v>4998</v>
      </c>
      <c r="T1917" s="2">
        <v>1</v>
      </c>
      <c r="U1917" s="2">
        <v>62.7</v>
      </c>
      <c r="V1917" s="2">
        <v>58</v>
      </c>
      <c r="W1917" s="2" t="s">
        <v>7862</v>
      </c>
      <c r="X1917" s="2" t="s">
        <v>5405</v>
      </c>
      <c r="Y1917" s="2">
        <v>1050</v>
      </c>
      <c r="Z1917" s="19" t="str">
        <f>HYPERLINK("https://ssdweb.co/ssdweb/hd/Vision360.html?d=941220093&amp;zoomslide=1&amp;z=1941220093&amp;ISCONFIRM=0","VIDEO")</f>
        <v>VIDEO</v>
      </c>
      <c r="AA1917" s="19" t="str">
        <f>HYPERLINK("https://ssdweb.co/ssdweb/CERTH/689587220.pdf","CERTI")</f>
        <v>CERTI</v>
      </c>
    </row>
    <row r="1918" spans="1:27" ht="15" x14ac:dyDescent="0.25">
      <c r="A1918" s="2">
        <v>1913</v>
      </c>
      <c r="B1918" s="39">
        <v>926181006</v>
      </c>
      <c r="C1918" s="28" t="str">
        <f>HYPERLINK("https://pld.live/RapDetail.aspx?STONELIST=926181006","DNA")</f>
        <v>DNA</v>
      </c>
      <c r="D1918" s="18" t="s">
        <v>2802</v>
      </c>
      <c r="E1918" s="18" t="s">
        <v>5128</v>
      </c>
      <c r="F1918" s="2" t="s">
        <v>7987</v>
      </c>
      <c r="G1918" s="2" t="s">
        <v>861</v>
      </c>
      <c r="H1918" s="14">
        <v>0.42</v>
      </c>
      <c r="I1918" s="2" t="s">
        <v>267</v>
      </c>
      <c r="J1918" s="2" t="s">
        <v>3942</v>
      </c>
      <c r="K1918" s="2" t="s">
        <v>5221</v>
      </c>
      <c r="L1918" s="2" t="s">
        <v>5721</v>
      </c>
      <c r="M1918" s="2" t="s">
        <v>5721</v>
      </c>
      <c r="N1918" s="2" t="s">
        <v>2317</v>
      </c>
      <c r="O1918" s="14">
        <v>2500</v>
      </c>
      <c r="P1918" s="14">
        <v>94.96</v>
      </c>
      <c r="Q1918" s="14">
        <v>126</v>
      </c>
      <c r="R1918" s="14">
        <v>52.92</v>
      </c>
      <c r="S1918" s="2" t="s">
        <v>4453</v>
      </c>
      <c r="T1918" s="2">
        <v>1</v>
      </c>
      <c r="U1918" s="2">
        <v>59.5</v>
      </c>
      <c r="V1918" s="2">
        <v>60</v>
      </c>
      <c r="W1918" s="2" t="s">
        <v>7862</v>
      </c>
      <c r="X1918" s="2" t="s">
        <v>5405</v>
      </c>
      <c r="Y1918" s="2">
        <v>1050</v>
      </c>
      <c r="Z1918" s="19" t="str">
        <f>HYPERLINK("https://ssdweb.co/ssdweb/hd/Vision360.html?d=926181006&amp;zoomslide=1&amp;z=1926181006&amp;ISCONFIRM=0","VIDEO")</f>
        <v>VIDEO</v>
      </c>
      <c r="AA1918" s="19" t="str">
        <f>HYPERLINK("https://ssdweb.co/ssdweb/CERTH/636429938.pdf","CERTI")</f>
        <v>CERTI</v>
      </c>
    </row>
    <row r="1919" spans="1:27" ht="15" x14ac:dyDescent="0.25">
      <c r="A1919" s="2">
        <v>1914</v>
      </c>
      <c r="B1919" s="39">
        <v>925840801</v>
      </c>
      <c r="C1919" s="28" t="str">
        <f>HYPERLINK("https://pld.live/RapDetail.aspx?STONELIST=925840801","DNA")</f>
        <v>DNA</v>
      </c>
      <c r="D1919" s="18" t="s">
        <v>2802</v>
      </c>
      <c r="E1919" s="18" t="s">
        <v>5128</v>
      </c>
      <c r="F1919" s="2" t="s">
        <v>5597</v>
      </c>
      <c r="G1919" s="2" t="s">
        <v>861</v>
      </c>
      <c r="H1919" s="14">
        <v>0.42</v>
      </c>
      <c r="I1919" s="2" t="s">
        <v>267</v>
      </c>
      <c r="J1919" s="2" t="s">
        <v>3942</v>
      </c>
      <c r="K1919" s="2" t="s">
        <v>5721</v>
      </c>
      <c r="L1919" s="2" t="s">
        <v>5221</v>
      </c>
      <c r="M1919" s="2" t="s">
        <v>5221</v>
      </c>
      <c r="N1919" s="2" t="s">
        <v>2317</v>
      </c>
      <c r="O1919" s="14">
        <v>2500</v>
      </c>
      <c r="P1919" s="14">
        <v>89.88</v>
      </c>
      <c r="Q1919" s="14">
        <v>253</v>
      </c>
      <c r="R1919" s="14">
        <v>106.26</v>
      </c>
      <c r="S1919" s="2" t="s">
        <v>3487</v>
      </c>
      <c r="T1919" s="2">
        <v>1.01</v>
      </c>
      <c r="U1919" s="2">
        <v>59.8</v>
      </c>
      <c r="V1919" s="2">
        <v>59</v>
      </c>
      <c r="W1919" s="2" t="s">
        <v>7862</v>
      </c>
      <c r="X1919" s="2" t="s">
        <v>5405</v>
      </c>
      <c r="Y1919" s="2">
        <v>1050</v>
      </c>
      <c r="Z1919" s="19" t="str">
        <f>HYPERLINK("https://ssdweb.co/ssdweb/hd/Vision360.html?d=925840801&amp;zoomslide=1&amp;z=1925840801&amp;ISCONFIRM=0","VIDEO")</f>
        <v>VIDEO</v>
      </c>
      <c r="AA1919" s="19" t="str">
        <f>HYPERLINK("https://ssdweb.co/ssdweb/CERTH/1489909622.pdf","CERTI")</f>
        <v>CERTI</v>
      </c>
    </row>
    <row r="1920" spans="1:27" ht="15" x14ac:dyDescent="0.25">
      <c r="A1920" s="2">
        <v>1915</v>
      </c>
      <c r="B1920" s="39">
        <v>926801184</v>
      </c>
      <c r="C1920" s="28" t="str">
        <f>HYPERLINK("https://pld.live/RapDetail.aspx?STONELIST=926801184","DNA")</f>
        <v>DNA</v>
      </c>
      <c r="D1920" s="18" t="s">
        <v>2802</v>
      </c>
      <c r="E1920" s="18" t="s">
        <v>5128</v>
      </c>
      <c r="F1920" s="2" t="s">
        <v>7987</v>
      </c>
      <c r="G1920" s="2" t="s">
        <v>861</v>
      </c>
      <c r="H1920" s="14">
        <v>0.42</v>
      </c>
      <c r="I1920" s="2" t="s">
        <v>267</v>
      </c>
      <c r="J1920" s="2" t="s">
        <v>3942</v>
      </c>
      <c r="K1920" s="2" t="s">
        <v>5721</v>
      </c>
      <c r="L1920" s="2" t="s">
        <v>5221</v>
      </c>
      <c r="M1920" s="2" t="s">
        <v>5221</v>
      </c>
      <c r="N1920" s="2" t="s">
        <v>2317</v>
      </c>
      <c r="O1920" s="14">
        <v>2500</v>
      </c>
      <c r="P1920" s="14">
        <v>94.88</v>
      </c>
      <c r="Q1920" s="14">
        <v>128</v>
      </c>
      <c r="R1920" s="14">
        <v>53.76</v>
      </c>
      <c r="S1920" s="2" t="s">
        <v>5581</v>
      </c>
      <c r="T1920" s="2">
        <v>1.01</v>
      </c>
      <c r="U1920" s="2">
        <v>63.4</v>
      </c>
      <c r="V1920" s="2">
        <v>57</v>
      </c>
      <c r="W1920" s="2" t="s">
        <v>7862</v>
      </c>
      <c r="X1920" s="2" t="s">
        <v>5405</v>
      </c>
      <c r="Y1920" s="2">
        <v>1050</v>
      </c>
      <c r="Z1920" s="19" t="str">
        <f>HYPERLINK("https://ssdweb.co/ssdweb/hd/Vision360.html?d=926801184&amp;zoomslide=1&amp;z=1926801184&amp;ISCONFIRM=0","VIDEO")</f>
        <v>VIDEO</v>
      </c>
      <c r="AA1920" s="19" t="str">
        <f>HYPERLINK("https://ssdweb.co/ssdweb/CERTH/670484243.pdf","CERTI")</f>
        <v>CERTI</v>
      </c>
    </row>
    <row r="1921" spans="1:27" ht="15" x14ac:dyDescent="0.25">
      <c r="A1921" s="2">
        <v>1916</v>
      </c>
      <c r="B1921" s="39">
        <v>924560372</v>
      </c>
      <c r="C1921" s="28" t="str">
        <f>HYPERLINK("https://pld.live/RapDetail.aspx?STONELIST=924560372","DNA")</f>
        <v>DNA</v>
      </c>
      <c r="D1921" s="18" t="s">
        <v>2802</v>
      </c>
      <c r="E1921" s="18" t="s">
        <v>5128</v>
      </c>
      <c r="F1921" s="2" t="s">
        <v>7987</v>
      </c>
      <c r="G1921" s="2" t="s">
        <v>861</v>
      </c>
      <c r="H1921" s="14">
        <v>0.42</v>
      </c>
      <c r="I1921" s="2" t="s">
        <v>267</v>
      </c>
      <c r="J1921" s="2" t="s">
        <v>13</v>
      </c>
      <c r="K1921" s="2" t="s">
        <v>3390</v>
      </c>
      <c r="L1921" s="2" t="s">
        <v>5221</v>
      </c>
      <c r="M1921" s="2" t="s">
        <v>5221</v>
      </c>
      <c r="N1921" s="2" t="s">
        <v>2317</v>
      </c>
      <c r="O1921" s="14">
        <v>2300</v>
      </c>
      <c r="P1921" s="14">
        <v>94.7</v>
      </c>
      <c r="Q1921" s="14">
        <v>121.9</v>
      </c>
      <c r="R1921" s="14">
        <v>51.2</v>
      </c>
      <c r="S1921" s="2" t="s">
        <v>7383</v>
      </c>
      <c r="T1921" s="2">
        <v>1.01</v>
      </c>
      <c r="U1921" s="2">
        <v>61.6</v>
      </c>
      <c r="V1921" s="2">
        <v>59</v>
      </c>
      <c r="W1921" s="2" t="s">
        <v>7862</v>
      </c>
      <c r="X1921" s="2" t="s">
        <v>5405</v>
      </c>
      <c r="Y1921" s="2">
        <v>966</v>
      </c>
      <c r="Z1921" s="19" t="str">
        <f>HYPERLINK("https://ssdweb.co/ssdweb/hd/Vision360.html?d=924560372&amp;zoomslide=1&amp;z=1924560372&amp;ISCONFIRM=0","VIDEO")</f>
        <v>VIDEO</v>
      </c>
      <c r="AA1921" s="19" t="str">
        <f>HYPERLINK("https://ssdweb.co/ssdweb/CERTH/598373852.pdf","CERTI")</f>
        <v>CERTI</v>
      </c>
    </row>
    <row r="1922" spans="1:27" ht="15" x14ac:dyDescent="0.25">
      <c r="A1922" s="2">
        <v>1917</v>
      </c>
      <c r="B1922" s="39">
        <v>926661732</v>
      </c>
      <c r="C1922" s="28" t="str">
        <f>HYPERLINK("https://pld.live/RapDetail.aspx?STONELIST=926661732","DNA")</f>
        <v>DNA</v>
      </c>
      <c r="D1922" s="18" t="s">
        <v>2802</v>
      </c>
      <c r="E1922" s="18" t="s">
        <v>5128</v>
      </c>
      <c r="F1922" s="2" t="s">
        <v>7987</v>
      </c>
      <c r="G1922" s="2" t="s">
        <v>861</v>
      </c>
      <c r="H1922" s="14">
        <v>0.42</v>
      </c>
      <c r="I1922" s="2" t="s">
        <v>267</v>
      </c>
      <c r="J1922" s="2" t="s">
        <v>13</v>
      </c>
      <c r="K1922" s="2" t="s">
        <v>3390</v>
      </c>
      <c r="L1922" s="2" t="s">
        <v>5221</v>
      </c>
      <c r="M1922" s="2" t="s">
        <v>5221</v>
      </c>
      <c r="N1922" s="2" t="s">
        <v>2317</v>
      </c>
      <c r="O1922" s="14">
        <v>2300</v>
      </c>
      <c r="P1922" s="14">
        <v>94.52</v>
      </c>
      <c r="Q1922" s="14">
        <v>126.04</v>
      </c>
      <c r="R1922" s="14">
        <v>52.94</v>
      </c>
      <c r="S1922" s="2" t="s">
        <v>3757</v>
      </c>
      <c r="T1922" s="2">
        <v>1.01</v>
      </c>
      <c r="U1922" s="2">
        <v>61.6</v>
      </c>
      <c r="V1922" s="2">
        <v>57</v>
      </c>
      <c r="W1922" s="2" t="s">
        <v>7862</v>
      </c>
      <c r="X1922" s="2" t="s">
        <v>5405</v>
      </c>
      <c r="Y1922" s="2">
        <v>966</v>
      </c>
      <c r="Z1922" s="19" t="str">
        <f>HYPERLINK("https://ssdweb.co/ssdweb/hd/Vision360.html?d=926661732&amp;zoomslide=1&amp;z=1926661732&amp;ISCONFIRM=0","VIDEO")</f>
        <v>VIDEO</v>
      </c>
      <c r="AA1922" s="19" t="str">
        <f>HYPERLINK("https://ssdweb.co/ssdweb/CERTH/653444239.pdf","CERTI")</f>
        <v>CERTI</v>
      </c>
    </row>
    <row r="1923" spans="1:27" ht="15" x14ac:dyDescent="0.25">
      <c r="A1923" s="2">
        <v>1918</v>
      </c>
      <c r="B1923" s="39">
        <v>926571311</v>
      </c>
      <c r="C1923" s="28" t="str">
        <f>HYPERLINK("https://pld.live/RapDetail.aspx?STONELIST=926571311","DNA")</f>
        <v>DNA</v>
      </c>
      <c r="D1923" s="18" t="s">
        <v>2802</v>
      </c>
      <c r="E1923" s="18" t="s">
        <v>5128</v>
      </c>
      <c r="F1923" s="2" t="s">
        <v>7987</v>
      </c>
      <c r="G1923" s="2" t="s">
        <v>861</v>
      </c>
      <c r="H1923" s="14">
        <v>0.42</v>
      </c>
      <c r="I1923" s="2" t="s">
        <v>267</v>
      </c>
      <c r="J1923" s="2" t="s">
        <v>13</v>
      </c>
      <c r="K1923" s="2" t="s">
        <v>3390</v>
      </c>
      <c r="L1923" s="2" t="s">
        <v>5221</v>
      </c>
      <c r="M1923" s="2" t="s">
        <v>5221</v>
      </c>
      <c r="N1923" s="2" t="s">
        <v>2317</v>
      </c>
      <c r="O1923" s="14">
        <v>2300</v>
      </c>
      <c r="P1923" s="14">
        <v>94.52</v>
      </c>
      <c r="Q1923" s="14">
        <v>126.04</v>
      </c>
      <c r="R1923" s="14">
        <v>52.94</v>
      </c>
      <c r="S1923" s="2" t="s">
        <v>1039</v>
      </c>
      <c r="T1923" s="2">
        <v>1.01</v>
      </c>
      <c r="U1923" s="2">
        <v>60.7</v>
      </c>
      <c r="V1923" s="2">
        <v>58</v>
      </c>
      <c r="W1923" s="2" t="s">
        <v>7862</v>
      </c>
      <c r="X1923" s="2" t="s">
        <v>5405</v>
      </c>
      <c r="Y1923" s="2">
        <v>966</v>
      </c>
      <c r="Z1923" s="19" t="str">
        <f>HYPERLINK("https://ssdweb.co/ssdweb/hd/Vision360.html?d=926571311&amp;zoomslide=1&amp;z=1926571311&amp;ISCONFIRM=0","VIDEO")</f>
        <v>VIDEO</v>
      </c>
      <c r="AA1923" s="19" t="str">
        <f>HYPERLINK("https://ssdweb.co/ssdweb/CERTH/656412844.pdf","CERTI")</f>
        <v>CERTI</v>
      </c>
    </row>
    <row r="1924" spans="1:27" ht="15" x14ac:dyDescent="0.25">
      <c r="A1924" s="2">
        <v>1919</v>
      </c>
      <c r="B1924" s="39">
        <v>926661518</v>
      </c>
      <c r="C1924" s="28" t="str">
        <f>HYPERLINK("https://pld.live/RapDetail.aspx?STONELIST=926661518","DNA")</f>
        <v>DNA</v>
      </c>
      <c r="D1924" s="18" t="s">
        <v>2802</v>
      </c>
      <c r="E1924" s="18" t="s">
        <v>5128</v>
      </c>
      <c r="F1924" s="2" t="s">
        <v>7987</v>
      </c>
      <c r="G1924" s="2" t="s">
        <v>861</v>
      </c>
      <c r="H1924" s="14">
        <v>0.42</v>
      </c>
      <c r="I1924" s="2" t="s">
        <v>267</v>
      </c>
      <c r="J1924" s="2" t="s">
        <v>13</v>
      </c>
      <c r="K1924" s="2" t="s">
        <v>3390</v>
      </c>
      <c r="L1924" s="2" t="s">
        <v>5221</v>
      </c>
      <c r="M1924" s="2" t="s">
        <v>5221</v>
      </c>
      <c r="N1924" s="2" t="s">
        <v>2317</v>
      </c>
      <c r="O1924" s="14">
        <v>2300</v>
      </c>
      <c r="P1924" s="14">
        <v>94.52</v>
      </c>
      <c r="Q1924" s="14">
        <v>126.04</v>
      </c>
      <c r="R1924" s="14">
        <v>52.94</v>
      </c>
      <c r="S1924" s="2" t="s">
        <v>3385</v>
      </c>
      <c r="T1924" s="2">
        <v>1</v>
      </c>
      <c r="U1924" s="2">
        <v>60.7</v>
      </c>
      <c r="V1924" s="2">
        <v>59</v>
      </c>
      <c r="W1924" s="2" t="s">
        <v>7862</v>
      </c>
      <c r="X1924" s="2" t="s">
        <v>5405</v>
      </c>
      <c r="Y1924" s="2">
        <v>966</v>
      </c>
      <c r="Z1924" s="19" t="str">
        <f>HYPERLINK("https://ssdweb.co/ssdweb/hd/Vision360.html?d=926661518&amp;zoomslide=1&amp;z=1926661518&amp;ISCONFIRM=0","VIDEO")</f>
        <v>VIDEO</v>
      </c>
      <c r="AA1924" s="19" t="str">
        <f>HYPERLINK("https://ssdweb.co/ssdweb/CERTH/653444234.pdf","CERTI")</f>
        <v>CERTI</v>
      </c>
    </row>
    <row r="1925" spans="1:27" ht="15" x14ac:dyDescent="0.25">
      <c r="A1925" s="2">
        <v>1920</v>
      </c>
      <c r="B1925" s="39">
        <v>926661567</v>
      </c>
      <c r="C1925" s="28" t="str">
        <f>HYPERLINK("https://pld.live/RapDetail.aspx?STONELIST=926661567","DNA")</f>
        <v>DNA</v>
      </c>
      <c r="D1925" s="18" t="s">
        <v>2802</v>
      </c>
      <c r="E1925" s="18" t="s">
        <v>5128</v>
      </c>
      <c r="F1925" s="2" t="s">
        <v>7987</v>
      </c>
      <c r="G1925" s="2" t="s">
        <v>861</v>
      </c>
      <c r="H1925" s="14">
        <v>0.42</v>
      </c>
      <c r="I1925" s="2" t="s">
        <v>267</v>
      </c>
      <c r="J1925" s="2" t="s">
        <v>13</v>
      </c>
      <c r="K1925" s="2" t="s">
        <v>3390</v>
      </c>
      <c r="L1925" s="2" t="s">
        <v>5221</v>
      </c>
      <c r="M1925" s="2" t="s">
        <v>5221</v>
      </c>
      <c r="N1925" s="2" t="s">
        <v>2317</v>
      </c>
      <c r="O1925" s="14">
        <v>2300</v>
      </c>
      <c r="P1925" s="14">
        <v>94.52</v>
      </c>
      <c r="Q1925" s="14">
        <v>126.04</v>
      </c>
      <c r="R1925" s="14">
        <v>52.94</v>
      </c>
      <c r="S1925" s="2" t="s">
        <v>5318</v>
      </c>
      <c r="T1925" s="2">
        <v>1.01</v>
      </c>
      <c r="U1925" s="2">
        <v>59.7</v>
      </c>
      <c r="V1925" s="2">
        <v>59</v>
      </c>
      <c r="W1925" s="2" t="s">
        <v>7862</v>
      </c>
      <c r="X1925" s="2" t="s">
        <v>5405</v>
      </c>
      <c r="Y1925" s="2">
        <v>966</v>
      </c>
      <c r="Z1925" s="19" t="str">
        <f>HYPERLINK("https://ssdweb.co/ssdweb/hd/Vision360.html?d=926661567&amp;zoomslide=1&amp;z=1926661567&amp;ISCONFIRM=0","VIDEO")</f>
        <v>VIDEO</v>
      </c>
      <c r="AA1925" s="19" t="str">
        <f>HYPERLINK("https://ssdweb.co/ssdweb/CERTH/653444235.pdf","CERTI")</f>
        <v>CERTI</v>
      </c>
    </row>
    <row r="1926" spans="1:27" ht="15" x14ac:dyDescent="0.25">
      <c r="A1926" s="2">
        <v>1921</v>
      </c>
      <c r="B1926" s="39">
        <v>926801204</v>
      </c>
      <c r="C1926" s="28" t="str">
        <f>HYPERLINK("https://pld.live/RapDetail.aspx?STONELIST=926801204","DNA")</f>
        <v>DNA</v>
      </c>
      <c r="D1926" s="18" t="s">
        <v>2802</v>
      </c>
      <c r="E1926" s="18" t="s">
        <v>5128</v>
      </c>
      <c r="F1926" s="2" t="s">
        <v>7987</v>
      </c>
      <c r="G1926" s="2" t="s">
        <v>861</v>
      </c>
      <c r="H1926" s="14">
        <v>0.42</v>
      </c>
      <c r="I1926" s="2" t="s">
        <v>267</v>
      </c>
      <c r="J1926" s="2" t="s">
        <v>13</v>
      </c>
      <c r="K1926" s="2" t="s">
        <v>3390</v>
      </c>
      <c r="L1926" s="2" t="s">
        <v>5221</v>
      </c>
      <c r="M1926" s="2" t="s">
        <v>5221</v>
      </c>
      <c r="N1926" s="2" t="s">
        <v>2317</v>
      </c>
      <c r="O1926" s="14">
        <v>2300</v>
      </c>
      <c r="P1926" s="14">
        <v>94.43</v>
      </c>
      <c r="Q1926" s="14">
        <v>128.11000000000001</v>
      </c>
      <c r="R1926" s="14">
        <v>53.81</v>
      </c>
      <c r="S1926" s="2" t="s">
        <v>981</v>
      </c>
      <c r="T1926" s="2">
        <v>1</v>
      </c>
      <c r="U1926" s="2">
        <v>61.7</v>
      </c>
      <c r="V1926" s="2">
        <v>58</v>
      </c>
      <c r="W1926" s="2" t="s">
        <v>7862</v>
      </c>
      <c r="X1926" s="2" t="s">
        <v>5405</v>
      </c>
      <c r="Y1926" s="2">
        <v>966</v>
      </c>
      <c r="Z1926" s="19" t="str">
        <f>HYPERLINK("https://ssdweb.co/ssdweb/hd/Vision360.html?d=926801204&amp;zoomslide=1&amp;z=1926801204&amp;ISCONFIRM=0","VIDEO")</f>
        <v>VIDEO</v>
      </c>
      <c r="AA1926" s="19" t="str">
        <f>HYPERLINK("https://ssdweb.co/ssdweb/CERTH/670484265.pdf","CERTI")</f>
        <v>CERTI</v>
      </c>
    </row>
    <row r="1927" spans="1:27" ht="15" x14ac:dyDescent="0.25">
      <c r="A1927" s="2">
        <v>1922</v>
      </c>
      <c r="B1927" s="39">
        <v>920470456</v>
      </c>
      <c r="C1927" s="28" t="str">
        <f>HYPERLINK("https://pld.live/RapDetail.aspx?STONELIST=920470456","DNA")</f>
        <v>DNA</v>
      </c>
      <c r="D1927" s="18" t="s">
        <v>2802</v>
      </c>
      <c r="E1927" s="18" t="s">
        <v>7909</v>
      </c>
      <c r="F1927" s="2" t="s">
        <v>7987</v>
      </c>
      <c r="G1927" s="2" t="s">
        <v>861</v>
      </c>
      <c r="H1927" s="14">
        <v>0.42</v>
      </c>
      <c r="I1927" s="2" t="s">
        <v>267</v>
      </c>
      <c r="J1927" s="2" t="s">
        <v>13</v>
      </c>
      <c r="K1927" s="2" t="s">
        <v>3390</v>
      </c>
      <c r="L1927" s="2" t="s">
        <v>5221</v>
      </c>
      <c r="M1927" s="2" t="s">
        <v>5221</v>
      </c>
      <c r="N1927" s="2" t="s">
        <v>2317</v>
      </c>
      <c r="O1927" s="14">
        <v>2300</v>
      </c>
      <c r="P1927" s="14">
        <v>94.7</v>
      </c>
      <c r="Q1927" s="14">
        <v>121.9</v>
      </c>
      <c r="R1927" s="14">
        <v>51.2</v>
      </c>
      <c r="S1927" s="2" t="s">
        <v>2617</v>
      </c>
      <c r="T1927" s="2">
        <v>1</v>
      </c>
      <c r="U1927" s="2">
        <v>62.4</v>
      </c>
      <c r="V1927" s="2">
        <v>58</v>
      </c>
      <c r="W1927" s="2" t="s">
        <v>7862</v>
      </c>
      <c r="X1927" s="2" t="s">
        <v>5405</v>
      </c>
      <c r="Y1927" s="2">
        <v>966</v>
      </c>
      <c r="Z1927" s="19" t="str">
        <f>HYPERLINK("https://ssdweb.co/ssdweb/hd/Vision360.html?d=920470456&amp;zoomslide=1&amp;z=1920470456&amp;ISCONFIRM=0","VIDEO")</f>
        <v>VIDEO</v>
      </c>
      <c r="AA1927" s="19" t="str">
        <f>HYPERLINK("https://ssdweb.co/ssdweb/CERTH/626427354.pdf","CERTI")</f>
        <v>CERTI</v>
      </c>
    </row>
    <row r="1928" spans="1:27" ht="15" x14ac:dyDescent="0.25">
      <c r="A1928" s="2">
        <v>1923</v>
      </c>
      <c r="B1928" s="39">
        <v>926801276</v>
      </c>
      <c r="C1928" s="28" t="str">
        <f>HYPERLINK("https://pld.live/RapDetail.aspx?STONELIST=926801276","DNA")</f>
        <v>DNA</v>
      </c>
      <c r="D1928" s="18" t="s">
        <v>2802</v>
      </c>
      <c r="E1928" s="18" t="s">
        <v>5128</v>
      </c>
      <c r="F1928" s="2" t="s">
        <v>7987</v>
      </c>
      <c r="G1928" s="2" t="s">
        <v>861</v>
      </c>
      <c r="H1928" s="14">
        <v>0.42</v>
      </c>
      <c r="I1928" s="2" t="s">
        <v>267</v>
      </c>
      <c r="J1928" s="2" t="s">
        <v>13</v>
      </c>
      <c r="K1928" s="2" t="s">
        <v>3390</v>
      </c>
      <c r="L1928" s="2" t="s">
        <v>5221</v>
      </c>
      <c r="M1928" s="2" t="s">
        <v>5221</v>
      </c>
      <c r="N1928" s="2" t="s">
        <v>2317</v>
      </c>
      <c r="O1928" s="14">
        <v>2300</v>
      </c>
      <c r="P1928" s="14">
        <v>94.43</v>
      </c>
      <c r="Q1928" s="14">
        <v>128.11000000000001</v>
      </c>
      <c r="R1928" s="14">
        <v>53.81</v>
      </c>
      <c r="S1928" s="2" t="s">
        <v>4599</v>
      </c>
      <c r="T1928" s="2">
        <v>1</v>
      </c>
      <c r="U1928" s="2">
        <v>61.3</v>
      </c>
      <c r="V1928" s="2">
        <v>58</v>
      </c>
      <c r="W1928" s="2" t="s">
        <v>7862</v>
      </c>
      <c r="X1928" s="2" t="s">
        <v>5405</v>
      </c>
      <c r="Y1928" s="2">
        <v>966</v>
      </c>
      <c r="Z1928" s="19" t="str">
        <f>HYPERLINK("https://ssdweb.co/ssdweb/hd/Vision360.html?d=926801276&amp;zoomslide=1&amp;z=1926801276&amp;ISCONFIRM=0","VIDEO")</f>
        <v>VIDEO</v>
      </c>
      <c r="AA1928" s="19" t="str">
        <f>HYPERLINK("https://ssdweb.co/ssdweb/CERTH/670484274.pdf","CERTI")</f>
        <v>CERTI</v>
      </c>
    </row>
    <row r="1929" spans="1:27" ht="15" x14ac:dyDescent="0.25">
      <c r="A1929" s="2">
        <v>1924</v>
      </c>
      <c r="B1929" s="39">
        <v>926771104</v>
      </c>
      <c r="C1929" s="28" t="str">
        <f>HYPERLINK("https://pld.live/RapDetail.aspx?STONELIST=926771104","DNA")</f>
        <v>DNA</v>
      </c>
      <c r="D1929" s="18" t="s">
        <v>2802</v>
      </c>
      <c r="E1929" s="18" t="s">
        <v>5128</v>
      </c>
      <c r="F1929" s="2" t="s">
        <v>7987</v>
      </c>
      <c r="G1929" s="2" t="s">
        <v>861</v>
      </c>
      <c r="H1929" s="14">
        <v>0.42</v>
      </c>
      <c r="I1929" s="2" t="s">
        <v>267</v>
      </c>
      <c r="J1929" s="2" t="s">
        <v>13</v>
      </c>
      <c r="K1929" s="2" t="s">
        <v>3390</v>
      </c>
      <c r="L1929" s="2" t="s">
        <v>5221</v>
      </c>
      <c r="M1929" s="2" t="s">
        <v>5221</v>
      </c>
      <c r="N1929" s="2" t="s">
        <v>2317</v>
      </c>
      <c r="O1929" s="14">
        <v>2300</v>
      </c>
      <c r="P1929" s="14">
        <v>94.52</v>
      </c>
      <c r="Q1929" s="14">
        <v>126.04</v>
      </c>
      <c r="R1929" s="14">
        <v>52.94</v>
      </c>
      <c r="S1929" s="2" t="s">
        <v>5786</v>
      </c>
      <c r="T1929" s="2">
        <v>1</v>
      </c>
      <c r="U1929" s="2">
        <v>60.9</v>
      </c>
      <c r="V1929" s="2">
        <v>59</v>
      </c>
      <c r="W1929" s="2" t="s">
        <v>7862</v>
      </c>
      <c r="X1929" s="2" t="s">
        <v>5405</v>
      </c>
      <c r="Y1929" s="2">
        <v>966</v>
      </c>
      <c r="Z1929" s="19" t="str">
        <f>HYPERLINK("https://ssdweb.co/ssdweb/hd/Vision360.html?d=926771104&amp;zoomslide=1&amp;z=1926771104&amp;ISCONFIRM=0","VIDEO")</f>
        <v>VIDEO</v>
      </c>
      <c r="AA1929" s="19" t="str">
        <f>HYPERLINK("https://ssdweb.co/ssdweb/CERTH/653444260.pdf","CERTI")</f>
        <v>CERTI</v>
      </c>
    </row>
    <row r="1930" spans="1:27" ht="15" x14ac:dyDescent="0.25">
      <c r="A1930" s="2">
        <v>1925</v>
      </c>
      <c r="B1930" s="39">
        <v>926930898</v>
      </c>
      <c r="C1930" s="28" t="str">
        <f>HYPERLINK("https://pld.live/RapDetail.aspx?STONELIST=926930898","DNA")</f>
        <v>DNA</v>
      </c>
      <c r="D1930" s="18" t="s">
        <v>2802</v>
      </c>
      <c r="E1930" s="18" t="s">
        <v>2186</v>
      </c>
      <c r="F1930" s="2" t="s">
        <v>7987</v>
      </c>
      <c r="G1930" s="2" t="s">
        <v>861</v>
      </c>
      <c r="H1930" s="14">
        <v>0.42</v>
      </c>
      <c r="I1930" s="2" t="s">
        <v>267</v>
      </c>
      <c r="J1930" s="2" t="s">
        <v>13</v>
      </c>
      <c r="K1930" s="2" t="s">
        <v>3390</v>
      </c>
      <c r="L1930" s="2" t="s">
        <v>5221</v>
      </c>
      <c r="M1930" s="2" t="s">
        <v>5221</v>
      </c>
      <c r="N1930" s="2" t="s">
        <v>2317</v>
      </c>
      <c r="O1930" s="14">
        <v>2300</v>
      </c>
      <c r="P1930" s="14">
        <v>94.52</v>
      </c>
      <c r="Q1930" s="14">
        <v>126.04</v>
      </c>
      <c r="R1930" s="14">
        <v>52.94</v>
      </c>
      <c r="S1930" s="2" t="s">
        <v>6032</v>
      </c>
      <c r="T1930" s="2">
        <v>1.01</v>
      </c>
      <c r="U1930" s="2">
        <v>61.8</v>
      </c>
      <c r="V1930" s="2">
        <v>59</v>
      </c>
      <c r="W1930" s="2" t="s">
        <v>7862</v>
      </c>
      <c r="X1930" s="2" t="s">
        <v>5405</v>
      </c>
      <c r="Y1930" s="2">
        <v>966</v>
      </c>
      <c r="Z1930" s="19" t="str">
        <f>HYPERLINK("https://ssdweb.co/ssdweb/hd/Vision360.html?d=926930898&amp;zoomslide=1&amp;z=1926930898&amp;ISCONFIRM=0","VIDEO")</f>
        <v>VIDEO</v>
      </c>
      <c r="AA1930" s="19" t="str">
        <f>HYPERLINK("https://ssdweb.co/ssdweb/CERTH/660489609.pdf","CERTI")</f>
        <v>CERTI</v>
      </c>
    </row>
    <row r="1931" spans="1:27" ht="15" x14ac:dyDescent="0.25">
      <c r="A1931" s="2">
        <v>1926</v>
      </c>
      <c r="B1931" s="39">
        <v>926321241</v>
      </c>
      <c r="C1931" s="28" t="str">
        <f>HYPERLINK("https://pld.live/RapDetail.aspx?STONELIST=926321241","DNA")</f>
        <v>DNA</v>
      </c>
      <c r="D1931" s="18" t="s">
        <v>2802</v>
      </c>
      <c r="E1931" s="18" t="s">
        <v>5128</v>
      </c>
      <c r="F1931" s="2" t="s">
        <v>7987</v>
      </c>
      <c r="G1931" s="2" t="s">
        <v>861</v>
      </c>
      <c r="H1931" s="14">
        <v>0.42</v>
      </c>
      <c r="I1931" s="2" t="s">
        <v>267</v>
      </c>
      <c r="J1931" s="2" t="s">
        <v>13</v>
      </c>
      <c r="K1931" s="2" t="s">
        <v>3390</v>
      </c>
      <c r="L1931" s="2" t="s">
        <v>5221</v>
      </c>
      <c r="M1931" s="2" t="s">
        <v>5221</v>
      </c>
      <c r="N1931" s="2" t="s">
        <v>2317</v>
      </c>
      <c r="O1931" s="14">
        <v>2300</v>
      </c>
      <c r="P1931" s="14">
        <v>94.61</v>
      </c>
      <c r="Q1931" s="14">
        <v>123.97</v>
      </c>
      <c r="R1931" s="14">
        <v>52.07</v>
      </c>
      <c r="S1931" s="2" t="s">
        <v>1274</v>
      </c>
      <c r="T1931" s="2">
        <v>1.01</v>
      </c>
      <c r="U1931" s="2">
        <v>61.5</v>
      </c>
      <c r="V1931" s="2">
        <v>57</v>
      </c>
      <c r="W1931" s="2" t="s">
        <v>7862</v>
      </c>
      <c r="X1931" s="2" t="s">
        <v>5405</v>
      </c>
      <c r="Y1931" s="2">
        <v>966</v>
      </c>
      <c r="Z1931" s="19" t="str">
        <f>HYPERLINK("https://ssdweb.co/ssdweb/hd/Vision360.html?d=926321241&amp;zoomslide=1&amp;z=1926321241&amp;ISCONFIRM=0","VIDEO")</f>
        <v>VIDEO</v>
      </c>
      <c r="AA1931" s="19" t="str">
        <f>HYPERLINK("https://ssdweb.co/ssdweb/CERTH/646472832.pdf","CERTI")</f>
        <v>CERTI</v>
      </c>
    </row>
    <row r="1932" spans="1:27" ht="15" x14ac:dyDescent="0.25">
      <c r="A1932" s="2">
        <v>1927</v>
      </c>
      <c r="B1932" s="39">
        <v>941220028</v>
      </c>
      <c r="C1932" s="28" t="str">
        <f>HYPERLINK("https://pld.live/RapDetail.aspx?STONELIST=941220028","DNA")</f>
        <v>DNA</v>
      </c>
      <c r="D1932" s="18" t="s">
        <v>2802</v>
      </c>
      <c r="E1932" s="18" t="s">
        <v>2186</v>
      </c>
      <c r="F1932" s="2" t="s">
        <v>7987</v>
      </c>
      <c r="G1932" s="2" t="s">
        <v>861</v>
      </c>
      <c r="H1932" s="14">
        <v>0.42</v>
      </c>
      <c r="I1932" s="2" t="s">
        <v>267</v>
      </c>
      <c r="J1932" s="2" t="s">
        <v>13</v>
      </c>
      <c r="K1932" s="2" t="s">
        <v>3390</v>
      </c>
      <c r="L1932" s="2" t="s">
        <v>5221</v>
      </c>
      <c r="M1932" s="2" t="s">
        <v>5221</v>
      </c>
      <c r="N1932" s="2" t="s">
        <v>2317</v>
      </c>
      <c r="O1932" s="14">
        <v>2300</v>
      </c>
      <c r="P1932" s="14">
        <v>94.43</v>
      </c>
      <c r="Q1932" s="14">
        <v>128.11000000000001</v>
      </c>
      <c r="R1932" s="14">
        <v>53.81</v>
      </c>
      <c r="S1932" s="2" t="s">
        <v>5496</v>
      </c>
      <c r="T1932" s="2">
        <v>1.01</v>
      </c>
      <c r="U1932" s="2">
        <v>62.3</v>
      </c>
      <c r="V1932" s="2">
        <v>59</v>
      </c>
      <c r="W1932" s="2" t="s">
        <v>7862</v>
      </c>
      <c r="X1932" s="2" t="s">
        <v>5405</v>
      </c>
      <c r="Y1932" s="2">
        <v>966</v>
      </c>
      <c r="Z1932" s="19" t="str">
        <f>HYPERLINK("https://ssdweb.co/ssdweb/hd/Vision360.html?d=941220028&amp;zoomslide=1&amp;z=1941220028&amp;ISCONFIRM=0","VIDEO")</f>
        <v>VIDEO</v>
      </c>
      <c r="AA1932" s="19" t="str">
        <f>HYPERLINK("https://ssdweb.co/ssdweb/CERTH/689587216.pdf","CERTI")</f>
        <v>CERTI</v>
      </c>
    </row>
    <row r="1933" spans="1:27" ht="15" x14ac:dyDescent="0.25">
      <c r="A1933" s="2">
        <v>1928</v>
      </c>
      <c r="B1933" s="39">
        <v>926321243</v>
      </c>
      <c r="C1933" s="28" t="str">
        <f>HYPERLINK("https://pld.live/RapDetail.aspx?STONELIST=926321243","DNA")</f>
        <v>DNA</v>
      </c>
      <c r="D1933" s="18" t="s">
        <v>2802</v>
      </c>
      <c r="E1933" s="18" t="s">
        <v>5128</v>
      </c>
      <c r="F1933" s="2" t="s">
        <v>7987</v>
      </c>
      <c r="G1933" s="2" t="s">
        <v>861</v>
      </c>
      <c r="H1933" s="14">
        <v>0.42</v>
      </c>
      <c r="I1933" s="2" t="s">
        <v>267</v>
      </c>
      <c r="J1933" s="2" t="s">
        <v>13</v>
      </c>
      <c r="K1933" s="2" t="s">
        <v>3390</v>
      </c>
      <c r="L1933" s="2" t="s">
        <v>5221</v>
      </c>
      <c r="M1933" s="2" t="s">
        <v>5221</v>
      </c>
      <c r="N1933" s="2" t="s">
        <v>2317</v>
      </c>
      <c r="O1933" s="14">
        <v>2300</v>
      </c>
      <c r="P1933" s="14">
        <v>94.61</v>
      </c>
      <c r="Q1933" s="14">
        <v>123.97</v>
      </c>
      <c r="R1933" s="14">
        <v>52.07</v>
      </c>
      <c r="S1933" s="2" t="s">
        <v>7604</v>
      </c>
      <c r="T1933" s="2">
        <v>1</v>
      </c>
      <c r="U1933" s="2">
        <v>61.4</v>
      </c>
      <c r="V1933" s="2">
        <v>58</v>
      </c>
      <c r="W1933" s="2" t="s">
        <v>7862</v>
      </c>
      <c r="X1933" s="2" t="s">
        <v>5405</v>
      </c>
      <c r="Y1933" s="2">
        <v>966</v>
      </c>
      <c r="Z1933" s="19" t="str">
        <f>HYPERLINK("https://ssdweb.co/ssdweb/hd/Vision360.html?d=926321243&amp;zoomslide=1&amp;z=1926321243&amp;ISCONFIRM=0","VIDEO")</f>
        <v>VIDEO</v>
      </c>
      <c r="AA1933" s="19" t="str">
        <f>HYPERLINK("https://ssdweb.co/ssdweb/CERTH/648487107.pdf","CERTI")</f>
        <v>CERTI</v>
      </c>
    </row>
    <row r="1934" spans="1:27" ht="15" x14ac:dyDescent="0.25">
      <c r="A1934" s="2">
        <v>1929</v>
      </c>
      <c r="B1934" s="39">
        <v>926801233</v>
      </c>
      <c r="C1934" s="28" t="str">
        <f>HYPERLINK("https://pld.live/RapDetail.aspx?STONELIST=926801233","DNA")</f>
        <v>DNA</v>
      </c>
      <c r="D1934" s="18" t="s">
        <v>2802</v>
      </c>
      <c r="E1934" s="18" t="s">
        <v>5128</v>
      </c>
      <c r="F1934" s="2" t="s">
        <v>7987</v>
      </c>
      <c r="G1934" s="2" t="s">
        <v>861</v>
      </c>
      <c r="H1934" s="14">
        <v>0.42</v>
      </c>
      <c r="I1934" s="2" t="s">
        <v>267</v>
      </c>
      <c r="J1934" s="2" t="s">
        <v>13</v>
      </c>
      <c r="K1934" s="2" t="s">
        <v>3390</v>
      </c>
      <c r="L1934" s="2" t="s">
        <v>5221</v>
      </c>
      <c r="M1934" s="2" t="s">
        <v>5721</v>
      </c>
      <c r="N1934" s="2" t="s">
        <v>2317</v>
      </c>
      <c r="O1934" s="14">
        <v>2300</v>
      </c>
      <c r="P1934" s="14">
        <v>94.57</v>
      </c>
      <c r="Q1934" s="14">
        <v>124.89</v>
      </c>
      <c r="R1934" s="14">
        <v>52.45</v>
      </c>
      <c r="S1934" s="2" t="s">
        <v>3591</v>
      </c>
      <c r="T1934" s="2">
        <v>1.01</v>
      </c>
      <c r="U1934" s="2">
        <v>61.7</v>
      </c>
      <c r="V1934" s="2">
        <v>56</v>
      </c>
      <c r="W1934" s="2" t="s">
        <v>7862</v>
      </c>
      <c r="X1934" s="2" t="s">
        <v>5405</v>
      </c>
      <c r="Y1934" s="2">
        <v>966</v>
      </c>
      <c r="Z1934" s="19" t="str">
        <f>HYPERLINK("https://ssdweb.co/ssdweb/hd/Vision360.html?d=926801233&amp;zoomslide=1&amp;z=1926801233&amp;ISCONFIRM=0","VIDEO")</f>
        <v>VIDEO</v>
      </c>
      <c r="AA1934" s="19" t="str">
        <f>HYPERLINK("https://ssdweb.co/ssdweb/CERTH/670484268.pdf","CERTI")</f>
        <v>CERTI</v>
      </c>
    </row>
    <row r="1935" spans="1:27" ht="15" x14ac:dyDescent="0.25">
      <c r="A1935" s="2">
        <v>1930</v>
      </c>
      <c r="B1935" s="39">
        <v>926801361</v>
      </c>
      <c r="C1935" s="28" t="str">
        <f>HYPERLINK("https://pld.live/RapDetail.aspx?STONELIST=926801361","DNA")</f>
        <v>DNA</v>
      </c>
      <c r="D1935" s="18" t="s">
        <v>2802</v>
      </c>
      <c r="E1935" s="18" t="s">
        <v>5128</v>
      </c>
      <c r="F1935" s="2" t="s">
        <v>7987</v>
      </c>
      <c r="G1935" s="2" t="s">
        <v>861</v>
      </c>
      <c r="H1935" s="14">
        <v>0.42</v>
      </c>
      <c r="I1935" s="2" t="s">
        <v>267</v>
      </c>
      <c r="J1935" s="2" t="s">
        <v>13</v>
      </c>
      <c r="K1935" s="2" t="s">
        <v>3390</v>
      </c>
      <c r="L1935" s="2" t="s">
        <v>5221</v>
      </c>
      <c r="M1935" s="2" t="s">
        <v>5721</v>
      </c>
      <c r="N1935" s="2" t="s">
        <v>2317</v>
      </c>
      <c r="O1935" s="14">
        <v>2300</v>
      </c>
      <c r="P1935" s="14">
        <v>94.57</v>
      </c>
      <c r="Q1935" s="14">
        <v>124.89</v>
      </c>
      <c r="R1935" s="14">
        <v>52.45</v>
      </c>
      <c r="S1935" s="2" t="s">
        <v>7191</v>
      </c>
      <c r="T1935" s="2">
        <v>1.01</v>
      </c>
      <c r="U1935" s="2">
        <v>61.6</v>
      </c>
      <c r="V1935" s="2">
        <v>56</v>
      </c>
      <c r="W1935" s="2" t="s">
        <v>7862</v>
      </c>
      <c r="X1935" s="2" t="s">
        <v>5405</v>
      </c>
      <c r="Y1935" s="2">
        <v>966</v>
      </c>
      <c r="Z1935" s="19" t="str">
        <f>HYPERLINK("https://ssdweb.co/ssdweb/hd/Vision360.html?d=926801361&amp;zoomslide=1&amp;z=1926801361&amp;ISCONFIRM=0","VIDEO")</f>
        <v>VIDEO</v>
      </c>
      <c r="AA1935" s="19" t="str">
        <f>HYPERLINK("https://ssdweb.co/ssdweb/CERTH/670484280.pdf","CERTI")</f>
        <v>CERTI</v>
      </c>
    </row>
    <row r="1936" spans="1:27" ht="15" x14ac:dyDescent="0.25">
      <c r="A1936" s="2">
        <v>1931</v>
      </c>
      <c r="B1936" s="39">
        <v>941220162</v>
      </c>
      <c r="C1936" s="28" t="str">
        <f>HYPERLINK("https://pld.live/RapDetail.aspx?STONELIST=941220162","DNA")</f>
        <v>DNA</v>
      </c>
      <c r="D1936" s="18" t="s">
        <v>2802</v>
      </c>
      <c r="E1936" s="18" t="s">
        <v>2186</v>
      </c>
      <c r="F1936" s="2" t="s">
        <v>7987</v>
      </c>
      <c r="G1936" s="2" t="s">
        <v>861</v>
      </c>
      <c r="H1936" s="14">
        <v>0.42</v>
      </c>
      <c r="I1936" s="2" t="s">
        <v>267</v>
      </c>
      <c r="J1936" s="2" t="s">
        <v>13</v>
      </c>
      <c r="K1936" s="2" t="s">
        <v>3390</v>
      </c>
      <c r="L1936" s="2" t="s">
        <v>5221</v>
      </c>
      <c r="M1936" s="2" t="s">
        <v>5721</v>
      </c>
      <c r="N1936" s="2" t="s">
        <v>2317</v>
      </c>
      <c r="O1936" s="14">
        <v>2300</v>
      </c>
      <c r="P1936" s="14">
        <v>94.57</v>
      </c>
      <c r="Q1936" s="14">
        <v>124.89</v>
      </c>
      <c r="R1936" s="14">
        <v>52.45</v>
      </c>
      <c r="S1936" s="2" t="s">
        <v>5315</v>
      </c>
      <c r="T1936" s="2">
        <v>1</v>
      </c>
      <c r="U1936" s="2">
        <v>59.3</v>
      </c>
      <c r="V1936" s="2">
        <v>57</v>
      </c>
      <c r="W1936" s="2" t="s">
        <v>7862</v>
      </c>
      <c r="X1936" s="2" t="s">
        <v>5405</v>
      </c>
      <c r="Y1936" s="2">
        <v>966</v>
      </c>
      <c r="Z1936" s="19" t="str">
        <f>HYPERLINK("https://ssdweb.co/ssdweb/hd/Vision360.html?d=941220162&amp;zoomslide=1&amp;z=1941220162&amp;ISCONFIRM=0","VIDEO")</f>
        <v>VIDEO</v>
      </c>
      <c r="AA1936" s="19" t="str">
        <f>HYPERLINK("https://ssdweb.co/ssdweb/CERTH/689587219.pdf","CERTI")</f>
        <v>CERTI</v>
      </c>
    </row>
    <row r="1937" spans="1:27" ht="15" x14ac:dyDescent="0.25">
      <c r="A1937" s="2">
        <v>1932</v>
      </c>
      <c r="B1937" s="39">
        <v>926801383</v>
      </c>
      <c r="C1937" s="28" t="str">
        <f>HYPERLINK("https://pld.live/RapDetail.aspx?STONELIST=926801383","DNA")</f>
        <v>DNA</v>
      </c>
      <c r="D1937" s="18" t="s">
        <v>2802</v>
      </c>
      <c r="E1937" s="18" t="s">
        <v>5128</v>
      </c>
      <c r="F1937" s="2" t="s">
        <v>7987</v>
      </c>
      <c r="G1937" s="2" t="s">
        <v>861</v>
      </c>
      <c r="H1937" s="14">
        <v>0.42</v>
      </c>
      <c r="I1937" s="2" t="s">
        <v>267</v>
      </c>
      <c r="J1937" s="2" t="s">
        <v>13</v>
      </c>
      <c r="K1937" s="2" t="s">
        <v>3390</v>
      </c>
      <c r="L1937" s="2" t="s">
        <v>5721</v>
      </c>
      <c r="M1937" s="2" t="s">
        <v>5721</v>
      </c>
      <c r="N1937" s="2" t="s">
        <v>2317</v>
      </c>
      <c r="O1937" s="14">
        <v>2300</v>
      </c>
      <c r="P1937" s="14">
        <v>94.7</v>
      </c>
      <c r="Q1937" s="14">
        <v>121.9</v>
      </c>
      <c r="R1937" s="14">
        <v>51.2</v>
      </c>
      <c r="S1937" s="2" t="s">
        <v>4784</v>
      </c>
      <c r="T1937" s="2">
        <v>1</v>
      </c>
      <c r="U1937" s="2">
        <v>60.6</v>
      </c>
      <c r="V1937" s="2">
        <v>58</v>
      </c>
      <c r="W1937" s="2" t="s">
        <v>7862</v>
      </c>
      <c r="X1937" s="2" t="s">
        <v>5405</v>
      </c>
      <c r="Y1937" s="2">
        <v>966</v>
      </c>
      <c r="Z1937" s="19" t="str">
        <f>HYPERLINK("https://ssdweb.co/ssdweb/hd/Vision360.html?d=926801383&amp;zoomslide=1&amp;z=1926801383&amp;ISCONFIRM=0","VIDEO")</f>
        <v>VIDEO</v>
      </c>
      <c r="AA1937" s="19" t="str">
        <f>HYPERLINK("https://ssdweb.co/ssdweb/CERTH/670484281.pdf","CERTI")</f>
        <v>CERTI</v>
      </c>
    </row>
    <row r="1938" spans="1:27" ht="15" x14ac:dyDescent="0.25">
      <c r="A1938" s="2">
        <v>1933</v>
      </c>
      <c r="B1938" s="39">
        <v>925910810</v>
      </c>
      <c r="C1938" s="28" t="str">
        <f>HYPERLINK("https://pld.live/RapDetail.aspx?STONELIST=925910810","DNA")</f>
        <v>DNA</v>
      </c>
      <c r="D1938" s="18" t="s">
        <v>2802</v>
      </c>
      <c r="E1938" s="18" t="s">
        <v>5128</v>
      </c>
      <c r="F1938" s="2" t="s">
        <v>5597</v>
      </c>
      <c r="G1938" s="2" t="s">
        <v>861</v>
      </c>
      <c r="H1938" s="14">
        <v>0.42</v>
      </c>
      <c r="I1938" s="2" t="s">
        <v>267</v>
      </c>
      <c r="J1938" s="2" t="s">
        <v>13</v>
      </c>
      <c r="K1938" s="2" t="s">
        <v>5221</v>
      </c>
      <c r="L1938" s="2" t="s">
        <v>5221</v>
      </c>
      <c r="M1938" s="2" t="s">
        <v>5221</v>
      </c>
      <c r="N1938" s="2" t="s">
        <v>2317</v>
      </c>
      <c r="O1938" s="14">
        <v>2300</v>
      </c>
      <c r="P1938" s="14">
        <v>89.57</v>
      </c>
      <c r="Q1938" s="14">
        <v>239.89</v>
      </c>
      <c r="R1938" s="14">
        <v>100.75</v>
      </c>
      <c r="S1938" s="2" t="s">
        <v>4112</v>
      </c>
      <c r="T1938" s="2">
        <v>1.01</v>
      </c>
      <c r="U1938" s="2">
        <v>59.6</v>
      </c>
      <c r="V1938" s="2">
        <v>59</v>
      </c>
      <c r="W1938" s="2" t="s">
        <v>7862</v>
      </c>
      <c r="X1938" s="2" t="s">
        <v>5405</v>
      </c>
      <c r="Y1938" s="2">
        <v>966</v>
      </c>
      <c r="Z1938" s="19" t="str">
        <f>HYPERLINK("https://ssdweb.co/ssdweb/hd/Vision360.html?d=925910810&amp;zoomslide=1&amp;z=1925910810&amp;ISCONFIRM=0","VIDEO")</f>
        <v>VIDEO</v>
      </c>
      <c r="AA1938" s="19" t="str">
        <f>HYPERLINK("https://ssdweb.co/ssdweb/CERTH/6495075855.pdf","CERTI")</f>
        <v>CERTI</v>
      </c>
    </row>
    <row r="1939" spans="1:27" ht="15" x14ac:dyDescent="0.25">
      <c r="A1939" s="2">
        <v>1934</v>
      </c>
      <c r="B1939" s="39">
        <v>926801236</v>
      </c>
      <c r="C1939" s="28" t="str">
        <f>HYPERLINK("https://pld.live/RapDetail.aspx?STONELIST=926801236","DNA")</f>
        <v>DNA</v>
      </c>
      <c r="D1939" s="18" t="s">
        <v>2802</v>
      </c>
      <c r="E1939" s="18" t="s">
        <v>5128</v>
      </c>
      <c r="F1939" s="2" t="s">
        <v>7987</v>
      </c>
      <c r="G1939" s="2" t="s">
        <v>861</v>
      </c>
      <c r="H1939" s="14">
        <v>0.42</v>
      </c>
      <c r="I1939" s="2" t="s">
        <v>267</v>
      </c>
      <c r="J1939" s="2" t="s">
        <v>13</v>
      </c>
      <c r="K1939" s="2" t="s">
        <v>5221</v>
      </c>
      <c r="L1939" s="2" t="s">
        <v>5221</v>
      </c>
      <c r="M1939" s="2" t="s">
        <v>5221</v>
      </c>
      <c r="N1939" s="2" t="s">
        <v>2317</v>
      </c>
      <c r="O1939" s="14">
        <v>2300</v>
      </c>
      <c r="P1939" s="14">
        <v>94.43</v>
      </c>
      <c r="Q1939" s="14">
        <v>128.11000000000001</v>
      </c>
      <c r="R1939" s="14">
        <v>53.81</v>
      </c>
      <c r="S1939" s="2" t="s">
        <v>5762</v>
      </c>
      <c r="T1939" s="2">
        <v>1</v>
      </c>
      <c r="U1939" s="2">
        <v>60.1</v>
      </c>
      <c r="V1939" s="2">
        <v>60</v>
      </c>
      <c r="W1939" s="2" t="s">
        <v>7862</v>
      </c>
      <c r="X1939" s="2" t="s">
        <v>5405</v>
      </c>
      <c r="Y1939" s="2">
        <v>966</v>
      </c>
      <c r="Z1939" s="19" t="str">
        <f>HYPERLINK("https://ssdweb.co/ssdweb/hd/Vision360.html?d=926801236&amp;zoomslide=1&amp;z=1926801236&amp;ISCONFIRM=0","VIDEO")</f>
        <v>VIDEO</v>
      </c>
      <c r="AA1939" s="19" t="str">
        <f>HYPERLINK("https://ssdweb.co/ssdweb/CERTH/670484270.pdf","CERTI")</f>
        <v>CERTI</v>
      </c>
    </row>
    <row r="1940" spans="1:27" ht="15" x14ac:dyDescent="0.25">
      <c r="A1940" s="2">
        <v>1935</v>
      </c>
      <c r="B1940" s="39">
        <v>926801244</v>
      </c>
      <c r="C1940" s="28" t="str">
        <f>HYPERLINK("https://pld.live/RapDetail.aspx?STONELIST=926801244","DNA")</f>
        <v>DNA</v>
      </c>
      <c r="D1940" s="18" t="s">
        <v>2802</v>
      </c>
      <c r="E1940" s="18" t="s">
        <v>5128</v>
      </c>
      <c r="F1940" s="2" t="s">
        <v>7987</v>
      </c>
      <c r="G1940" s="2" t="s">
        <v>861</v>
      </c>
      <c r="H1940" s="14">
        <v>0.42</v>
      </c>
      <c r="I1940" s="2" t="s">
        <v>267</v>
      </c>
      <c r="J1940" s="2" t="s">
        <v>13</v>
      </c>
      <c r="K1940" s="2" t="s">
        <v>5221</v>
      </c>
      <c r="L1940" s="2" t="s">
        <v>5221</v>
      </c>
      <c r="M1940" s="2" t="s">
        <v>5221</v>
      </c>
      <c r="N1940" s="2" t="s">
        <v>2317</v>
      </c>
      <c r="O1940" s="14">
        <v>2300</v>
      </c>
      <c r="P1940" s="14">
        <v>94.43</v>
      </c>
      <c r="Q1940" s="14">
        <v>128.11000000000001</v>
      </c>
      <c r="R1940" s="14">
        <v>53.81</v>
      </c>
      <c r="S1940" s="2" t="s">
        <v>3499</v>
      </c>
      <c r="T1940" s="2">
        <v>1.01</v>
      </c>
      <c r="U1940" s="2">
        <v>62.9</v>
      </c>
      <c r="V1940" s="2">
        <v>57</v>
      </c>
      <c r="W1940" s="2" t="s">
        <v>7862</v>
      </c>
      <c r="X1940" s="2" t="s">
        <v>5405</v>
      </c>
      <c r="Y1940" s="2">
        <v>966</v>
      </c>
      <c r="Z1940" s="19" t="str">
        <f>HYPERLINK("https://ssdweb.co/ssdweb/hd/Vision360.html?d=926801244&amp;zoomslide=1&amp;z=1926801244&amp;ISCONFIRM=0","VIDEO")</f>
        <v>VIDEO</v>
      </c>
      <c r="AA1940" s="19" t="str">
        <f>HYPERLINK("https://ssdweb.co/ssdweb/CERTH/670484271.pdf","CERTI")</f>
        <v>CERTI</v>
      </c>
    </row>
    <row r="1941" spans="1:27" ht="15" x14ac:dyDescent="0.25">
      <c r="A1941" s="2">
        <v>1936</v>
      </c>
      <c r="B1941" s="39">
        <v>941220019</v>
      </c>
      <c r="C1941" s="28" t="str">
        <f>HYPERLINK("https://pld.live/RapDetail.aspx?STONELIST=941220019","DNA")</f>
        <v>DNA</v>
      </c>
      <c r="D1941" s="18" t="s">
        <v>2802</v>
      </c>
      <c r="E1941" s="18" t="s">
        <v>2186</v>
      </c>
      <c r="F1941" s="2" t="s">
        <v>7987</v>
      </c>
      <c r="G1941" s="2" t="s">
        <v>861</v>
      </c>
      <c r="H1941" s="14">
        <v>0.42</v>
      </c>
      <c r="I1941" s="2" t="s">
        <v>267</v>
      </c>
      <c r="J1941" s="2" t="s">
        <v>13</v>
      </c>
      <c r="K1941" s="2" t="s">
        <v>5221</v>
      </c>
      <c r="L1941" s="2" t="s">
        <v>5221</v>
      </c>
      <c r="M1941" s="2" t="s">
        <v>5221</v>
      </c>
      <c r="N1941" s="2" t="s">
        <v>2317</v>
      </c>
      <c r="O1941" s="14">
        <v>2300</v>
      </c>
      <c r="P1941" s="14">
        <v>94.43</v>
      </c>
      <c r="Q1941" s="14">
        <v>128.11000000000001</v>
      </c>
      <c r="R1941" s="14">
        <v>53.81</v>
      </c>
      <c r="S1941" s="2" t="s">
        <v>1572</v>
      </c>
      <c r="T1941" s="2">
        <v>1</v>
      </c>
      <c r="U1941" s="2">
        <v>62.6</v>
      </c>
      <c r="V1941" s="2">
        <v>56</v>
      </c>
      <c r="W1941" s="2" t="s">
        <v>7862</v>
      </c>
      <c r="X1941" s="2" t="s">
        <v>5405</v>
      </c>
      <c r="Y1941" s="2">
        <v>966</v>
      </c>
      <c r="Z1941" s="19" t="str">
        <f>HYPERLINK("https://ssdweb.co/ssdweb/hd/Vision360.html?d=941220019&amp;zoomslide=1&amp;z=1941220019&amp;ISCONFIRM=0","VIDEO")</f>
        <v>VIDEO</v>
      </c>
      <c r="AA1941" s="19" t="str">
        <f>HYPERLINK("https://ssdweb.co/ssdweb/CERTH/689587215.pdf","CERTI")</f>
        <v>CERTI</v>
      </c>
    </row>
    <row r="1942" spans="1:27" ht="15" x14ac:dyDescent="0.25">
      <c r="A1942" s="2">
        <v>1937</v>
      </c>
      <c r="B1942" s="39">
        <v>941200234</v>
      </c>
      <c r="C1942" s="28" t="str">
        <f>HYPERLINK("https://pld.live/RapDetail.aspx?STONELIST=941200234","DNA")</f>
        <v>DNA</v>
      </c>
      <c r="D1942" s="18" t="s">
        <v>2802</v>
      </c>
      <c r="E1942" s="18" t="s">
        <v>2186</v>
      </c>
      <c r="F1942" s="2" t="s">
        <v>7987</v>
      </c>
      <c r="G1942" s="2" t="s">
        <v>861</v>
      </c>
      <c r="H1942" s="14">
        <v>0.42</v>
      </c>
      <c r="I1942" s="2" t="s">
        <v>267</v>
      </c>
      <c r="J1942" s="2" t="s">
        <v>13</v>
      </c>
      <c r="K1942" s="2" t="s">
        <v>5221</v>
      </c>
      <c r="L1942" s="2" t="s">
        <v>5221</v>
      </c>
      <c r="M1942" s="2" t="s">
        <v>5221</v>
      </c>
      <c r="N1942" s="2" t="s">
        <v>2317</v>
      </c>
      <c r="O1942" s="14">
        <v>2300</v>
      </c>
      <c r="P1942" s="14">
        <v>94.43</v>
      </c>
      <c r="Q1942" s="14">
        <v>128.11000000000001</v>
      </c>
      <c r="R1942" s="14">
        <v>53.81</v>
      </c>
      <c r="S1942" s="2" t="s">
        <v>1367</v>
      </c>
      <c r="T1942" s="2">
        <v>1.01</v>
      </c>
      <c r="U1942" s="2">
        <v>62.8</v>
      </c>
      <c r="V1942" s="2">
        <v>56</v>
      </c>
      <c r="W1942" s="2" t="s">
        <v>7862</v>
      </c>
      <c r="X1942" s="2" t="s">
        <v>5405</v>
      </c>
      <c r="Y1942" s="2">
        <v>966</v>
      </c>
      <c r="Z1942" s="19" t="str">
        <f>HYPERLINK("https://ssdweb.co/ssdweb/hd/Vision360.html?d=941200234&amp;zoomslide=1&amp;z=1941200234&amp;ISCONFIRM=0","VIDEO")</f>
        <v>VIDEO</v>
      </c>
      <c r="AA1942" s="19" t="str">
        <f>HYPERLINK("https://ssdweb.co/ssdweb/CERTH/689587213.pdf","CERTI")</f>
        <v>CERTI</v>
      </c>
    </row>
    <row r="1943" spans="1:27" ht="15" x14ac:dyDescent="0.25">
      <c r="A1943" s="2">
        <v>1938</v>
      </c>
      <c r="B1943" s="39">
        <v>926801288</v>
      </c>
      <c r="C1943" s="28" t="str">
        <f>HYPERLINK("https://pld.live/RapDetail.aspx?STONELIST=926801288","DNA")</f>
        <v>DNA</v>
      </c>
      <c r="D1943" s="18" t="s">
        <v>2802</v>
      </c>
      <c r="E1943" s="18" t="s">
        <v>5128</v>
      </c>
      <c r="F1943" s="2" t="s">
        <v>7987</v>
      </c>
      <c r="G1943" s="2" t="s">
        <v>861</v>
      </c>
      <c r="H1943" s="14">
        <v>0.42</v>
      </c>
      <c r="I1943" s="2" t="s">
        <v>267</v>
      </c>
      <c r="J1943" s="2" t="s">
        <v>13</v>
      </c>
      <c r="K1943" s="2" t="s">
        <v>5221</v>
      </c>
      <c r="L1943" s="2" t="s">
        <v>5221</v>
      </c>
      <c r="M1943" s="2" t="s">
        <v>5721</v>
      </c>
      <c r="N1943" s="2" t="s">
        <v>2317</v>
      </c>
      <c r="O1943" s="14">
        <v>2300</v>
      </c>
      <c r="P1943" s="14">
        <v>94.57</v>
      </c>
      <c r="Q1943" s="14">
        <v>124.89</v>
      </c>
      <c r="R1943" s="14">
        <v>52.45</v>
      </c>
      <c r="S1943" s="2" t="s">
        <v>4588</v>
      </c>
      <c r="T1943" s="2">
        <v>1</v>
      </c>
      <c r="U1943" s="2">
        <v>62.7</v>
      </c>
      <c r="V1943" s="2">
        <v>56</v>
      </c>
      <c r="W1943" s="2" t="s">
        <v>7862</v>
      </c>
      <c r="X1943" s="2" t="s">
        <v>5405</v>
      </c>
      <c r="Y1943" s="2">
        <v>966</v>
      </c>
      <c r="Z1943" s="19" t="str">
        <f>HYPERLINK("https://ssdweb.co/ssdweb/hd/Vision360.html?d=926801288&amp;zoomslide=1&amp;z=1926801288&amp;ISCONFIRM=0","VIDEO")</f>
        <v>VIDEO</v>
      </c>
      <c r="AA1943" s="19" t="str">
        <f>HYPERLINK("https://ssdweb.co/ssdweb/CERTH/670484276.pdf","CERTI")</f>
        <v>CERTI</v>
      </c>
    </row>
    <row r="1944" spans="1:27" ht="15" x14ac:dyDescent="0.25">
      <c r="A1944" s="2">
        <v>1939</v>
      </c>
      <c r="B1944" s="39">
        <v>926801328</v>
      </c>
      <c r="C1944" s="28" t="str">
        <f>HYPERLINK("https://pld.live/RapDetail.aspx?STONELIST=926801328","DNA")</f>
        <v>DNA</v>
      </c>
      <c r="D1944" s="18" t="s">
        <v>2802</v>
      </c>
      <c r="E1944" s="18" t="s">
        <v>5128</v>
      </c>
      <c r="F1944" s="2" t="s">
        <v>7987</v>
      </c>
      <c r="G1944" s="2" t="s">
        <v>861</v>
      </c>
      <c r="H1944" s="14">
        <v>0.42</v>
      </c>
      <c r="I1944" s="2" t="s">
        <v>267</v>
      </c>
      <c r="J1944" s="2" t="s">
        <v>5144</v>
      </c>
      <c r="K1944" s="2" t="s">
        <v>3390</v>
      </c>
      <c r="L1944" s="2" t="s">
        <v>5221</v>
      </c>
      <c r="M1944" s="2" t="s">
        <v>5221</v>
      </c>
      <c r="N1944" s="2" t="s">
        <v>2317</v>
      </c>
      <c r="O1944" s="14">
        <v>2100</v>
      </c>
      <c r="P1944" s="14">
        <v>93.95</v>
      </c>
      <c r="Q1944" s="14">
        <v>127.05</v>
      </c>
      <c r="R1944" s="14">
        <v>53.36</v>
      </c>
      <c r="S1944" s="2" t="s">
        <v>6833</v>
      </c>
      <c r="T1944" s="2">
        <v>1.01</v>
      </c>
      <c r="U1944" s="2">
        <v>62.1</v>
      </c>
      <c r="V1944" s="2">
        <v>57</v>
      </c>
      <c r="W1944" s="2" t="s">
        <v>7862</v>
      </c>
      <c r="X1944" s="2" t="s">
        <v>5405</v>
      </c>
      <c r="Y1944" s="2">
        <v>882</v>
      </c>
      <c r="Z1944" s="19" t="str">
        <f>HYPERLINK("https://ssdweb.co/ssdweb/hd/Vision360.html?d=926801328&amp;zoomslide=1&amp;z=1926801328&amp;ISCONFIRM=0","VIDEO")</f>
        <v>VIDEO</v>
      </c>
      <c r="AA1944" s="19" t="str">
        <f>HYPERLINK("https://ssdweb.co/ssdweb/CERTH/670484278.pdf","CERTI")</f>
        <v>CERTI</v>
      </c>
    </row>
    <row r="1945" spans="1:27" ht="15" x14ac:dyDescent="0.25">
      <c r="A1945" s="2">
        <v>1940</v>
      </c>
      <c r="B1945" s="39">
        <v>926761085</v>
      </c>
      <c r="C1945" s="28" t="str">
        <f>HYPERLINK("https://pld.live/RapDetail.aspx?STONELIST=926761085","DNA")</f>
        <v>DNA</v>
      </c>
      <c r="D1945" s="18" t="s">
        <v>2802</v>
      </c>
      <c r="E1945" s="18" t="s">
        <v>5128</v>
      </c>
      <c r="F1945" s="2" t="s">
        <v>7987</v>
      </c>
      <c r="G1945" s="2" t="s">
        <v>861</v>
      </c>
      <c r="H1945" s="14">
        <v>0.42</v>
      </c>
      <c r="I1945" s="2" t="s">
        <v>267</v>
      </c>
      <c r="J1945" s="2" t="s">
        <v>5144</v>
      </c>
      <c r="K1945" s="2" t="s">
        <v>3390</v>
      </c>
      <c r="L1945" s="2" t="s">
        <v>5221</v>
      </c>
      <c r="M1945" s="2" t="s">
        <v>5221</v>
      </c>
      <c r="N1945" s="2" t="s">
        <v>2317</v>
      </c>
      <c r="O1945" s="14">
        <v>2100</v>
      </c>
      <c r="P1945" s="14">
        <v>94.05</v>
      </c>
      <c r="Q1945" s="14">
        <v>124.95</v>
      </c>
      <c r="R1945" s="14">
        <v>52.48</v>
      </c>
      <c r="S1945" s="2" t="s">
        <v>6443</v>
      </c>
      <c r="T1945" s="2">
        <v>1.01</v>
      </c>
      <c r="U1945" s="2">
        <v>61.4</v>
      </c>
      <c r="V1945" s="2">
        <v>58</v>
      </c>
      <c r="W1945" s="2" t="s">
        <v>7862</v>
      </c>
      <c r="X1945" s="2" t="s">
        <v>5405</v>
      </c>
      <c r="Y1945" s="2">
        <v>882</v>
      </c>
      <c r="Z1945" s="19" t="str">
        <f>HYPERLINK("https://ssdweb.co/ssdweb/hd/Vision360.html?d=926761085&amp;zoomslide=1&amp;z=1926761085&amp;ISCONFIRM=0","VIDEO")</f>
        <v>VIDEO</v>
      </c>
      <c r="AA1945" s="19" t="str">
        <f>HYPERLINK("https://ssdweb.co/ssdweb/CERTH/653444256.pdf","CERTI")</f>
        <v>CERTI</v>
      </c>
    </row>
    <row r="1946" spans="1:27" ht="15" x14ac:dyDescent="0.25">
      <c r="A1946" s="2">
        <v>1941</v>
      </c>
      <c r="B1946" s="39">
        <v>926761084</v>
      </c>
      <c r="C1946" s="28" t="str">
        <f>HYPERLINK("https://pld.live/RapDetail.aspx?STONELIST=926761084","DNA")</f>
        <v>DNA</v>
      </c>
      <c r="D1946" s="18" t="s">
        <v>2802</v>
      </c>
      <c r="E1946" s="18" t="s">
        <v>5128</v>
      </c>
      <c r="F1946" s="2" t="s">
        <v>7987</v>
      </c>
      <c r="G1946" s="2" t="s">
        <v>861</v>
      </c>
      <c r="H1946" s="14">
        <v>0.42</v>
      </c>
      <c r="I1946" s="2" t="s">
        <v>267</v>
      </c>
      <c r="J1946" s="2" t="s">
        <v>5144</v>
      </c>
      <c r="K1946" s="2" t="s">
        <v>3390</v>
      </c>
      <c r="L1946" s="2" t="s">
        <v>5221</v>
      </c>
      <c r="M1946" s="2" t="s">
        <v>5221</v>
      </c>
      <c r="N1946" s="2" t="s">
        <v>2317</v>
      </c>
      <c r="O1946" s="14">
        <v>2100</v>
      </c>
      <c r="P1946" s="14">
        <v>94.05</v>
      </c>
      <c r="Q1946" s="14">
        <v>124.95</v>
      </c>
      <c r="R1946" s="14">
        <v>52.48</v>
      </c>
      <c r="S1946" s="2" t="s">
        <v>6463</v>
      </c>
      <c r="T1946" s="2">
        <v>1.01</v>
      </c>
      <c r="U1946" s="2">
        <v>62.4</v>
      </c>
      <c r="V1946" s="2">
        <v>57</v>
      </c>
      <c r="W1946" s="2" t="s">
        <v>7862</v>
      </c>
      <c r="X1946" s="2" t="s">
        <v>5405</v>
      </c>
      <c r="Y1946" s="2">
        <v>882</v>
      </c>
      <c r="Z1946" s="19" t="str">
        <f>HYPERLINK("https://ssdweb.co/ssdweb/hd/Vision360.html?d=926761084&amp;zoomslide=1&amp;z=1926761084&amp;ISCONFIRM=0","VIDEO")</f>
        <v>VIDEO</v>
      </c>
      <c r="AA1946" s="19" t="str">
        <f>HYPERLINK("https://ssdweb.co/ssdweb/CERTH/653444255.pdf","CERTI")</f>
        <v>CERTI</v>
      </c>
    </row>
    <row r="1947" spans="1:27" ht="15" x14ac:dyDescent="0.25">
      <c r="A1947" s="2">
        <v>1942</v>
      </c>
      <c r="B1947" s="39">
        <v>941190224</v>
      </c>
      <c r="C1947" s="28" t="str">
        <f>HYPERLINK("https://pld.live/RapDetail.aspx?STONELIST=941190224","DNA")</f>
        <v>DNA</v>
      </c>
      <c r="D1947" s="18" t="s">
        <v>2802</v>
      </c>
      <c r="E1947" s="18" t="s">
        <v>5128</v>
      </c>
      <c r="F1947" s="2" t="s">
        <v>7987</v>
      </c>
      <c r="G1947" s="2" t="s">
        <v>861</v>
      </c>
      <c r="H1947" s="14">
        <v>0.42</v>
      </c>
      <c r="I1947" s="2" t="s">
        <v>267</v>
      </c>
      <c r="J1947" s="2" t="s">
        <v>5144</v>
      </c>
      <c r="K1947" s="2" t="s">
        <v>3390</v>
      </c>
      <c r="L1947" s="2" t="s">
        <v>5221</v>
      </c>
      <c r="M1947" s="2" t="s">
        <v>5221</v>
      </c>
      <c r="N1947" s="2" t="s">
        <v>2317</v>
      </c>
      <c r="O1947" s="14">
        <v>2100</v>
      </c>
      <c r="P1947" s="14">
        <v>93.95</v>
      </c>
      <c r="Q1947" s="14">
        <v>127.05</v>
      </c>
      <c r="R1947" s="14">
        <v>53.36</v>
      </c>
      <c r="S1947" s="2" t="s">
        <v>7191</v>
      </c>
      <c r="T1947" s="2">
        <v>1.01</v>
      </c>
      <c r="U1947" s="2">
        <v>61.8</v>
      </c>
      <c r="V1947" s="2">
        <v>58</v>
      </c>
      <c r="W1947" s="2" t="s">
        <v>7862</v>
      </c>
      <c r="X1947" s="2" t="s">
        <v>5405</v>
      </c>
      <c r="Y1947" s="2">
        <v>882</v>
      </c>
      <c r="Z1947" s="19" t="str">
        <f>HYPERLINK("https://ssdweb.co/ssdweb/hd/Vision360.html?d=941190224&amp;zoomslide=1&amp;z=1941190224&amp;ISCONFIRM=0","VIDEO")</f>
        <v>VIDEO</v>
      </c>
      <c r="AA1947" s="19" t="str">
        <f>HYPERLINK("https://ssdweb.co/ssdweb/CERTH/675596767.pdf","CERTI")</f>
        <v>CERTI</v>
      </c>
    </row>
    <row r="1948" spans="1:27" ht="15" x14ac:dyDescent="0.25">
      <c r="A1948" s="2">
        <v>1943</v>
      </c>
      <c r="B1948" s="39">
        <v>926321132</v>
      </c>
      <c r="C1948" s="28" t="str">
        <f>HYPERLINK("https://pld.live/RapDetail.aspx?STONELIST=926321132","DNA")</f>
        <v>DNA</v>
      </c>
      <c r="D1948" s="18" t="s">
        <v>2802</v>
      </c>
      <c r="E1948" s="18" t="s">
        <v>5128</v>
      </c>
      <c r="F1948" s="2" t="s">
        <v>5597</v>
      </c>
      <c r="G1948" s="2" t="s">
        <v>861</v>
      </c>
      <c r="H1948" s="14">
        <v>0.42</v>
      </c>
      <c r="I1948" s="2" t="s">
        <v>267</v>
      </c>
      <c r="J1948" s="2" t="s">
        <v>5144</v>
      </c>
      <c r="K1948" s="2" t="s">
        <v>5221</v>
      </c>
      <c r="L1948" s="2" t="s">
        <v>5221</v>
      </c>
      <c r="M1948" s="2" t="s">
        <v>5221</v>
      </c>
      <c r="N1948" s="2" t="s">
        <v>2317</v>
      </c>
      <c r="O1948" s="14">
        <v>2100</v>
      </c>
      <c r="P1948" s="14">
        <v>90.1</v>
      </c>
      <c r="Q1948" s="14">
        <v>207.9</v>
      </c>
      <c r="R1948" s="14">
        <v>87.32</v>
      </c>
      <c r="S1948" s="2" t="s">
        <v>5401</v>
      </c>
      <c r="T1948" s="2">
        <v>1.01</v>
      </c>
      <c r="U1948" s="2">
        <v>60.7</v>
      </c>
      <c r="V1948" s="2">
        <v>58</v>
      </c>
      <c r="W1948" s="2" t="s">
        <v>7862</v>
      </c>
      <c r="X1948" s="2" t="s">
        <v>5405</v>
      </c>
      <c r="Y1948" s="2">
        <v>882</v>
      </c>
      <c r="Z1948" s="19" t="str">
        <f>HYPERLINK("https://ssdweb.co/ssdweb/hd/Vision360.html?d=926321132&amp;zoomslide=1&amp;z=1926321132&amp;ISCONFIRM=0","VIDEO")</f>
        <v>VIDEO</v>
      </c>
      <c r="AA1948" s="19" t="str">
        <f>HYPERLINK("https://ssdweb.co/ssdweb/CERTH/6491937984.pdf","CERTI")</f>
        <v>CERTI</v>
      </c>
    </row>
    <row r="1949" spans="1:27" ht="15" x14ac:dyDescent="0.25">
      <c r="A1949" s="2">
        <v>1944</v>
      </c>
      <c r="B1949" s="39">
        <v>926321134</v>
      </c>
      <c r="C1949" s="28" t="str">
        <f>HYPERLINK("https://pld.live/RapDetail.aspx?STONELIST=926321134","DNA")</f>
        <v>DNA</v>
      </c>
      <c r="D1949" s="18" t="s">
        <v>2802</v>
      </c>
      <c r="E1949" s="18" t="s">
        <v>5128</v>
      </c>
      <c r="F1949" s="2" t="s">
        <v>5597</v>
      </c>
      <c r="G1949" s="2" t="s">
        <v>861</v>
      </c>
      <c r="H1949" s="14">
        <v>0.42</v>
      </c>
      <c r="I1949" s="2" t="s">
        <v>267</v>
      </c>
      <c r="J1949" s="2" t="s">
        <v>5144</v>
      </c>
      <c r="K1949" s="2" t="s">
        <v>5221</v>
      </c>
      <c r="L1949" s="2" t="s">
        <v>5221</v>
      </c>
      <c r="M1949" s="2" t="s">
        <v>5221</v>
      </c>
      <c r="N1949" s="2" t="s">
        <v>2317</v>
      </c>
      <c r="O1949" s="14">
        <v>2100</v>
      </c>
      <c r="P1949" s="14">
        <v>90.1</v>
      </c>
      <c r="Q1949" s="14">
        <v>207.9</v>
      </c>
      <c r="R1949" s="14">
        <v>87.32</v>
      </c>
      <c r="S1949" s="2" t="s">
        <v>2250</v>
      </c>
      <c r="T1949" s="2">
        <v>1</v>
      </c>
      <c r="U1949" s="2">
        <v>61.9</v>
      </c>
      <c r="V1949" s="2">
        <v>59</v>
      </c>
      <c r="W1949" s="2" t="s">
        <v>7862</v>
      </c>
      <c r="X1949" s="2" t="s">
        <v>5405</v>
      </c>
      <c r="Y1949" s="2">
        <v>882</v>
      </c>
      <c r="Z1949" s="19" t="str">
        <f>HYPERLINK("https://ssdweb.co/ssdweb/hd/Vision360.html?d=926321134&amp;zoomslide=1&amp;z=1926321134&amp;ISCONFIRM=0","VIDEO")</f>
        <v>VIDEO</v>
      </c>
      <c r="AA1949" s="19" t="str">
        <f>HYPERLINK("https://ssdweb.co/ssdweb/CERTH/2496937980.pdf","CERTI")</f>
        <v>CERTI</v>
      </c>
    </row>
    <row r="1950" spans="1:27" ht="15" x14ac:dyDescent="0.25">
      <c r="A1950" s="2">
        <v>1945</v>
      </c>
      <c r="B1950" s="39">
        <v>926321137</v>
      </c>
      <c r="C1950" s="28" t="str">
        <f>HYPERLINK("https://pld.live/RapDetail.aspx?STONELIST=926321137","DNA")</f>
        <v>DNA</v>
      </c>
      <c r="D1950" s="18" t="s">
        <v>2802</v>
      </c>
      <c r="E1950" s="18" t="s">
        <v>5128</v>
      </c>
      <c r="F1950" s="2" t="s">
        <v>5597</v>
      </c>
      <c r="G1950" s="2" t="s">
        <v>861</v>
      </c>
      <c r="H1950" s="14">
        <v>0.42</v>
      </c>
      <c r="I1950" s="2" t="s">
        <v>267</v>
      </c>
      <c r="J1950" s="2" t="s">
        <v>5144</v>
      </c>
      <c r="K1950" s="2" t="s">
        <v>5221</v>
      </c>
      <c r="L1950" s="2" t="s">
        <v>5221</v>
      </c>
      <c r="M1950" s="2" t="s">
        <v>5221</v>
      </c>
      <c r="N1950" s="2" t="s">
        <v>2317</v>
      </c>
      <c r="O1950" s="14">
        <v>2100</v>
      </c>
      <c r="P1950" s="14">
        <v>90.1</v>
      </c>
      <c r="Q1950" s="14">
        <v>207.9</v>
      </c>
      <c r="R1950" s="14">
        <v>87.32</v>
      </c>
      <c r="S1950" s="2" t="s">
        <v>1257</v>
      </c>
      <c r="T1950" s="2">
        <v>1.01</v>
      </c>
      <c r="U1950" s="2">
        <v>61.7</v>
      </c>
      <c r="V1950" s="2">
        <v>59</v>
      </c>
      <c r="W1950" s="2" t="s">
        <v>7862</v>
      </c>
      <c r="X1950" s="2" t="s">
        <v>5405</v>
      </c>
      <c r="Y1950" s="2">
        <v>882</v>
      </c>
      <c r="Z1950" s="19" t="str">
        <f>HYPERLINK("https://ssdweb.co/ssdweb/hd/Vision360.html?d=926321137&amp;zoomslide=1&amp;z=1926321137&amp;ISCONFIRM=0","VIDEO")</f>
        <v>VIDEO</v>
      </c>
      <c r="AA1950" s="19" t="str">
        <f>HYPERLINK("https://ssdweb.co/ssdweb/CERTH/2497938028.pdf","CERTI")</f>
        <v>CERTI</v>
      </c>
    </row>
    <row r="1951" spans="1:27" ht="15" x14ac:dyDescent="0.25">
      <c r="A1951" s="2">
        <v>1946</v>
      </c>
      <c r="B1951" s="39">
        <v>926321177</v>
      </c>
      <c r="C1951" s="28" t="str">
        <f>HYPERLINK("https://pld.live/RapDetail.aspx?STONELIST=926321177","DNA")</f>
        <v>DNA</v>
      </c>
      <c r="D1951" s="18" t="s">
        <v>2802</v>
      </c>
      <c r="E1951" s="18" t="s">
        <v>5128</v>
      </c>
      <c r="F1951" s="2" t="s">
        <v>5597</v>
      </c>
      <c r="G1951" s="2" t="s">
        <v>861</v>
      </c>
      <c r="H1951" s="14">
        <v>0.42</v>
      </c>
      <c r="I1951" s="2" t="s">
        <v>267</v>
      </c>
      <c r="J1951" s="2" t="s">
        <v>5144</v>
      </c>
      <c r="K1951" s="2" t="s">
        <v>5221</v>
      </c>
      <c r="L1951" s="2" t="s">
        <v>5221</v>
      </c>
      <c r="M1951" s="2" t="s">
        <v>5221</v>
      </c>
      <c r="N1951" s="2" t="s">
        <v>2317</v>
      </c>
      <c r="O1951" s="14">
        <v>2100</v>
      </c>
      <c r="P1951" s="14">
        <v>90.1</v>
      </c>
      <c r="Q1951" s="14">
        <v>207.9</v>
      </c>
      <c r="R1951" s="14">
        <v>87.32</v>
      </c>
      <c r="S1951" s="2" t="s">
        <v>981</v>
      </c>
      <c r="T1951" s="2">
        <v>1</v>
      </c>
      <c r="U1951" s="2">
        <v>61.8</v>
      </c>
      <c r="V1951" s="2">
        <v>58</v>
      </c>
      <c r="W1951" s="2" t="s">
        <v>7862</v>
      </c>
      <c r="X1951" s="2" t="s">
        <v>5405</v>
      </c>
      <c r="Y1951" s="2">
        <v>882</v>
      </c>
      <c r="Z1951" s="19" t="str">
        <f>HYPERLINK("https://ssdweb.co/ssdweb/hd/Vision360.html?d=926321177&amp;zoomslide=1&amp;z=1926321177&amp;ISCONFIRM=0","VIDEO")</f>
        <v>VIDEO</v>
      </c>
      <c r="AA1951" s="19" t="str">
        <f>HYPERLINK("https://ssdweb.co/ssdweb/CERTH/5496978867.pdf","CERTI")</f>
        <v>CERTI</v>
      </c>
    </row>
    <row r="1952" spans="1:27" ht="15" x14ac:dyDescent="0.25">
      <c r="A1952" s="2">
        <v>1947</v>
      </c>
      <c r="B1952" s="39">
        <v>924540012</v>
      </c>
      <c r="C1952" s="28" t="str">
        <f>HYPERLINK("https://pld.live/RapDetail.aspx?STONELIST=924540012","DNA")</f>
        <v>DNA</v>
      </c>
      <c r="D1952" s="18" t="s">
        <v>2802</v>
      </c>
      <c r="E1952" s="18" t="s">
        <v>5128</v>
      </c>
      <c r="F1952" s="2" t="s">
        <v>7987</v>
      </c>
      <c r="G1952" s="2" t="s">
        <v>861</v>
      </c>
      <c r="H1952" s="14">
        <v>0.42</v>
      </c>
      <c r="I1952" s="2" t="s">
        <v>267</v>
      </c>
      <c r="J1952" s="2" t="s">
        <v>444</v>
      </c>
      <c r="K1952" s="2" t="s">
        <v>3390</v>
      </c>
      <c r="L1952" s="2" t="s">
        <v>5221</v>
      </c>
      <c r="M1952" s="2" t="s">
        <v>5221</v>
      </c>
      <c r="N1952" s="2" t="s">
        <v>2317</v>
      </c>
      <c r="O1952" s="14">
        <v>2000</v>
      </c>
      <c r="P1952" s="14">
        <v>94.1</v>
      </c>
      <c r="Q1952" s="14">
        <v>118</v>
      </c>
      <c r="R1952" s="14">
        <v>49.56</v>
      </c>
      <c r="S1952" s="2" t="s">
        <v>5647</v>
      </c>
      <c r="T1952" s="2">
        <v>1.01</v>
      </c>
      <c r="U1952" s="2">
        <v>60.9</v>
      </c>
      <c r="V1952" s="2">
        <v>58</v>
      </c>
      <c r="W1952" s="2" t="s">
        <v>7862</v>
      </c>
      <c r="X1952" s="2" t="s">
        <v>5405</v>
      </c>
      <c r="Y1952" s="2">
        <v>840</v>
      </c>
      <c r="Z1952" s="19" t="str">
        <f>HYPERLINK("https://ssdweb.co/ssdweb/hd/Vision360.html?d=924540012&amp;zoomslide=1&amp;z=1924540012&amp;ISCONFIRM=0","VIDEO")</f>
        <v>VIDEO</v>
      </c>
      <c r="AA1952" s="19" t="str">
        <f>HYPERLINK("https://ssdweb.co/ssdweb/CERTH/591308268.pdf","CERTI")</f>
        <v>CERTI</v>
      </c>
    </row>
    <row r="1953" spans="1:27" ht="15" x14ac:dyDescent="0.25">
      <c r="A1953" s="2">
        <v>1948</v>
      </c>
      <c r="B1953" s="39">
        <v>926321146</v>
      </c>
      <c r="C1953" s="28" t="str">
        <f>HYPERLINK("https://pld.live/RapDetail.aspx?STONELIST=926321146","DNA")</f>
        <v>DNA</v>
      </c>
      <c r="D1953" s="18" t="s">
        <v>2802</v>
      </c>
      <c r="E1953" s="18" t="s">
        <v>5128</v>
      </c>
      <c r="F1953" s="2" t="s">
        <v>5597</v>
      </c>
      <c r="G1953" s="2" t="s">
        <v>861</v>
      </c>
      <c r="H1953" s="14">
        <v>0.42</v>
      </c>
      <c r="I1953" s="2" t="s">
        <v>4761</v>
      </c>
      <c r="J1953" s="2" t="s">
        <v>6555</v>
      </c>
      <c r="K1953" s="2" t="s">
        <v>5221</v>
      </c>
      <c r="L1953" s="2" t="s">
        <v>5221</v>
      </c>
      <c r="M1953" s="2" t="s">
        <v>5221</v>
      </c>
      <c r="N1953" s="2" t="s">
        <v>2317</v>
      </c>
      <c r="O1953" s="14">
        <v>2600</v>
      </c>
      <c r="P1953" s="14">
        <v>89.69</v>
      </c>
      <c r="Q1953" s="14">
        <v>268.06</v>
      </c>
      <c r="R1953" s="14">
        <v>112.59</v>
      </c>
      <c r="S1953" s="2" t="s">
        <v>4998</v>
      </c>
      <c r="T1953" s="2">
        <v>1</v>
      </c>
      <c r="U1953" s="2">
        <v>62.6</v>
      </c>
      <c r="V1953" s="2">
        <v>56</v>
      </c>
      <c r="W1953" s="2" t="s">
        <v>7862</v>
      </c>
      <c r="X1953" s="2" t="s">
        <v>5405</v>
      </c>
      <c r="Y1953" s="2">
        <v>1092</v>
      </c>
      <c r="Z1953" s="19" t="str">
        <f>HYPERLINK("https://ssdweb.co/ssdweb/hd/Vision360.html?d=926321146&amp;zoomslide=1&amp;z=1926321146&amp;ISCONFIRM=0","VIDEO")</f>
        <v>VIDEO</v>
      </c>
      <c r="AA1953" s="19" t="str">
        <f>HYPERLINK("https://ssdweb.co/ssdweb/CERTH/2494938056.pdf","CERTI")</f>
        <v>CERTI</v>
      </c>
    </row>
    <row r="1954" spans="1:27" ht="15" x14ac:dyDescent="0.25">
      <c r="A1954" s="2">
        <v>1949</v>
      </c>
      <c r="B1954" s="39">
        <v>941310025</v>
      </c>
      <c r="C1954" s="28" t="str">
        <f>HYPERLINK("https://pld.live/RapDetail.aspx?STONELIST=941310025","DNA")</f>
        <v>DNA</v>
      </c>
      <c r="D1954" s="18" t="s">
        <v>2802</v>
      </c>
      <c r="E1954" s="18" t="s">
        <v>2186</v>
      </c>
      <c r="F1954" s="2" t="s">
        <v>7987</v>
      </c>
      <c r="G1954" s="2" t="s">
        <v>861</v>
      </c>
      <c r="H1954" s="14">
        <v>0.42</v>
      </c>
      <c r="I1954" s="2" t="s">
        <v>4761</v>
      </c>
      <c r="J1954" s="2" t="s">
        <v>3942</v>
      </c>
      <c r="K1954" s="2" t="s">
        <v>3390</v>
      </c>
      <c r="L1954" s="2" t="s">
        <v>5221</v>
      </c>
      <c r="M1954" s="2" t="s">
        <v>5221</v>
      </c>
      <c r="N1954" s="2" t="s">
        <v>2317</v>
      </c>
      <c r="O1954" s="14">
        <v>2300</v>
      </c>
      <c r="P1954" s="14">
        <v>94.13</v>
      </c>
      <c r="Q1954" s="14">
        <v>135.01</v>
      </c>
      <c r="R1954" s="14">
        <v>56.7</v>
      </c>
      <c r="S1954" s="2" t="s">
        <v>2857</v>
      </c>
      <c r="T1954" s="2">
        <v>1.01</v>
      </c>
      <c r="U1954" s="2">
        <v>60.6</v>
      </c>
      <c r="V1954" s="2">
        <v>58</v>
      </c>
      <c r="W1954" s="2" t="s">
        <v>7862</v>
      </c>
      <c r="X1954" s="2" t="s">
        <v>5405</v>
      </c>
      <c r="Y1954" s="2">
        <v>966</v>
      </c>
      <c r="Z1954" s="19" t="str">
        <f>HYPERLINK("https://ssdweb.co/ssdweb/hd/Vision360.html?d=941310025&amp;zoomslide=1&amp;z=1941310025&amp;ISCONFIRM=0","VIDEO")</f>
        <v>VIDEO</v>
      </c>
      <c r="AA1954" s="19" t="str">
        <f>HYPERLINK("https://ssdweb.co/ssdweb/CERTH/684505087.pdf","CERTI")</f>
        <v>CERTI</v>
      </c>
    </row>
    <row r="1955" spans="1:27" ht="15" x14ac:dyDescent="0.25">
      <c r="A1955" s="2">
        <v>1950</v>
      </c>
      <c r="B1955" s="39">
        <v>925910813</v>
      </c>
      <c r="C1955" s="28" t="str">
        <f>HYPERLINK("https://pld.live/RapDetail.aspx?STONELIST=925910813","DNA")</f>
        <v>DNA</v>
      </c>
      <c r="D1955" s="18" t="s">
        <v>2802</v>
      </c>
      <c r="E1955" s="18" t="s">
        <v>5128</v>
      </c>
      <c r="F1955" s="2" t="s">
        <v>5597</v>
      </c>
      <c r="G1955" s="2" t="s">
        <v>861</v>
      </c>
      <c r="H1955" s="14">
        <v>0.42</v>
      </c>
      <c r="I1955" s="2" t="s">
        <v>4761</v>
      </c>
      <c r="J1955" s="2" t="s">
        <v>3942</v>
      </c>
      <c r="K1955" s="2" t="s">
        <v>5221</v>
      </c>
      <c r="L1955" s="2" t="s">
        <v>5221</v>
      </c>
      <c r="M1955" s="2" t="s">
        <v>5221</v>
      </c>
      <c r="N1955" s="2" t="s">
        <v>2317</v>
      </c>
      <c r="O1955" s="14">
        <v>2300</v>
      </c>
      <c r="P1955" s="14">
        <v>89.26</v>
      </c>
      <c r="Q1955" s="14">
        <v>247.02</v>
      </c>
      <c r="R1955" s="14">
        <v>103.75</v>
      </c>
      <c r="S1955" s="2" t="s">
        <v>7140</v>
      </c>
      <c r="T1955" s="2">
        <v>1</v>
      </c>
      <c r="U1955" s="2">
        <v>62.5</v>
      </c>
      <c r="V1955" s="2">
        <v>56</v>
      </c>
      <c r="W1955" s="2" t="s">
        <v>7862</v>
      </c>
      <c r="X1955" s="2" t="s">
        <v>5405</v>
      </c>
      <c r="Y1955" s="2">
        <v>966</v>
      </c>
      <c r="Z1955" s="19" t="str">
        <f>HYPERLINK("https://ssdweb.co/ssdweb/hd/Vision360.html?d=925910813&amp;zoomslide=1&amp;z=1925910813&amp;ISCONFIRM=0","VIDEO")</f>
        <v>VIDEO</v>
      </c>
      <c r="AA1955" s="19" t="str">
        <f>HYPERLINK("https://ssdweb.co/ssdweb/CERTH/3495075865.pdf","CERTI")</f>
        <v>CERTI</v>
      </c>
    </row>
    <row r="1956" spans="1:27" ht="15" x14ac:dyDescent="0.25">
      <c r="A1956" s="2">
        <v>1951</v>
      </c>
      <c r="B1956" s="39">
        <v>926321015</v>
      </c>
      <c r="C1956" s="28" t="str">
        <f>HYPERLINK("https://pld.live/RapDetail.aspx?STONELIST=926321015","DNA")</f>
        <v>DNA</v>
      </c>
      <c r="D1956" s="18" t="s">
        <v>2802</v>
      </c>
      <c r="E1956" s="18" t="s">
        <v>5128</v>
      </c>
      <c r="F1956" s="2" t="s">
        <v>5597</v>
      </c>
      <c r="G1956" s="2" t="s">
        <v>861</v>
      </c>
      <c r="H1956" s="14">
        <v>0.42</v>
      </c>
      <c r="I1956" s="2" t="s">
        <v>4761</v>
      </c>
      <c r="J1956" s="2" t="s">
        <v>3942</v>
      </c>
      <c r="K1956" s="2" t="s">
        <v>5221</v>
      </c>
      <c r="L1956" s="2" t="s">
        <v>5721</v>
      </c>
      <c r="M1956" s="2" t="s">
        <v>5221</v>
      </c>
      <c r="N1956" s="2" t="s">
        <v>2317</v>
      </c>
      <c r="O1956" s="14">
        <v>2300</v>
      </c>
      <c r="P1956" s="14">
        <v>89.3</v>
      </c>
      <c r="Q1956" s="14">
        <v>246.1</v>
      </c>
      <c r="R1956" s="14">
        <v>103.36</v>
      </c>
      <c r="S1956" s="2" t="s">
        <v>7664</v>
      </c>
      <c r="T1956" s="2">
        <v>1</v>
      </c>
      <c r="U1956" s="2">
        <v>60.4</v>
      </c>
      <c r="V1956" s="2">
        <v>58</v>
      </c>
      <c r="W1956" s="2" t="s">
        <v>7862</v>
      </c>
      <c r="X1956" s="2" t="s">
        <v>5405</v>
      </c>
      <c r="Y1956" s="2">
        <v>966</v>
      </c>
      <c r="Z1956" s="19" t="str">
        <f>HYPERLINK("https://ssdweb.co/ssdweb/hd/Vision360.html?d=926321015&amp;zoomslide=1&amp;z=1926321015&amp;ISCONFIRM=0","VIDEO")</f>
        <v>VIDEO</v>
      </c>
      <c r="AA1956" s="19" t="str">
        <f>HYPERLINK("https://ssdweb.co/ssdweb/CERTH/2497866391.pdf","CERTI")</f>
        <v>CERTI</v>
      </c>
    </row>
    <row r="1957" spans="1:27" ht="15" x14ac:dyDescent="0.25">
      <c r="A1957" s="2">
        <v>1952</v>
      </c>
      <c r="B1957" s="39">
        <v>924750288</v>
      </c>
      <c r="C1957" s="28" t="str">
        <f>HYPERLINK("https://pld.live/RapDetail.aspx?STONELIST=924750288","DNA")</f>
        <v>DNA</v>
      </c>
      <c r="D1957" s="18" t="s">
        <v>2802</v>
      </c>
      <c r="E1957" s="18" t="s">
        <v>5128</v>
      </c>
      <c r="F1957" s="2" t="s">
        <v>7987</v>
      </c>
      <c r="G1957" s="2" t="s">
        <v>861</v>
      </c>
      <c r="H1957" s="14">
        <v>0.42</v>
      </c>
      <c r="I1957" s="2" t="s">
        <v>4761</v>
      </c>
      <c r="J1957" s="2" t="s">
        <v>5144</v>
      </c>
      <c r="K1957" s="2" t="s">
        <v>5221</v>
      </c>
      <c r="L1957" s="2" t="s">
        <v>5221</v>
      </c>
      <c r="M1957" s="2" t="s">
        <v>5221</v>
      </c>
      <c r="N1957" s="2" t="s">
        <v>2317</v>
      </c>
      <c r="O1957" s="14">
        <v>2000</v>
      </c>
      <c r="P1957" s="14">
        <v>94.1</v>
      </c>
      <c r="Q1957" s="14">
        <v>118</v>
      </c>
      <c r="R1957" s="14">
        <v>49.56</v>
      </c>
      <c r="S1957" s="2" t="s">
        <v>2192</v>
      </c>
      <c r="T1957" s="2">
        <v>1.01</v>
      </c>
      <c r="U1957" s="2">
        <v>59.4</v>
      </c>
      <c r="V1957" s="2">
        <v>59</v>
      </c>
      <c r="W1957" s="2" t="s">
        <v>7862</v>
      </c>
      <c r="X1957" s="2" t="s">
        <v>5405</v>
      </c>
      <c r="Y1957" s="2">
        <v>840</v>
      </c>
      <c r="Z1957" s="19" t="str">
        <f>HYPERLINK("https://ssdweb.co/ssdweb/hd/Vision360.html?d=924750288&amp;zoomslide=1&amp;z=1924750288&amp;ISCONFIRM=0","VIDEO")</f>
        <v>VIDEO</v>
      </c>
      <c r="AA1957" s="19" t="str">
        <f>HYPERLINK("https://ssdweb.co/ssdweb/CERTH/598378375.pdf","CERTI")</f>
        <v>CERTI</v>
      </c>
    </row>
    <row r="1958" spans="1:27" ht="15" x14ac:dyDescent="0.25">
      <c r="A1958" s="2">
        <v>1953</v>
      </c>
      <c r="B1958" s="39">
        <v>924340385</v>
      </c>
      <c r="C1958" s="28" t="str">
        <f>HYPERLINK("https://pld.live/RapDetail.aspx?STONELIST=924340385","DNA")</f>
        <v>DNA</v>
      </c>
      <c r="D1958" s="18" t="s">
        <v>2802</v>
      </c>
      <c r="E1958" s="18" t="s">
        <v>5128</v>
      </c>
      <c r="F1958" s="2" t="s">
        <v>7987</v>
      </c>
      <c r="G1958" s="2" t="s">
        <v>861</v>
      </c>
      <c r="H1958" s="14">
        <v>0.42</v>
      </c>
      <c r="I1958" s="2" t="s">
        <v>4761</v>
      </c>
      <c r="J1958" s="2" t="s">
        <v>444</v>
      </c>
      <c r="K1958" s="2" t="s">
        <v>3390</v>
      </c>
      <c r="L1958" s="2" t="s">
        <v>5221</v>
      </c>
      <c r="M1958" s="2" t="s">
        <v>5221</v>
      </c>
      <c r="N1958" s="2" t="s">
        <v>2317</v>
      </c>
      <c r="O1958" s="14">
        <v>1900</v>
      </c>
      <c r="P1958" s="14">
        <v>93.89</v>
      </c>
      <c r="Q1958" s="14">
        <v>116.09</v>
      </c>
      <c r="R1958" s="14">
        <v>48.76</v>
      </c>
      <c r="S1958" s="2" t="s">
        <v>538</v>
      </c>
      <c r="T1958" s="2">
        <v>1.01</v>
      </c>
      <c r="U1958" s="2">
        <v>62.4</v>
      </c>
      <c r="V1958" s="2">
        <v>57</v>
      </c>
      <c r="W1958" s="2" t="s">
        <v>7862</v>
      </c>
      <c r="X1958" s="2" t="s">
        <v>5405</v>
      </c>
      <c r="Y1958" s="2">
        <v>798</v>
      </c>
      <c r="Z1958" s="19" t="str">
        <f>HYPERLINK("https://ssdweb.co/ssdweb/hd/Vision360.html?d=924340385&amp;zoomslide=1&amp;z=1924340385&amp;ISCONFIRM=0","VIDEO")</f>
        <v>VIDEO</v>
      </c>
      <c r="AA1958" s="19" t="str">
        <f>HYPERLINK("https://ssdweb.co/ssdweb/CERTH/586356283.pdf","CERTI")</f>
        <v>CERTI</v>
      </c>
    </row>
    <row r="1959" spans="1:27" ht="15" x14ac:dyDescent="0.25">
      <c r="A1959" s="2">
        <v>1954</v>
      </c>
      <c r="B1959" s="39">
        <v>941230084</v>
      </c>
      <c r="C1959" s="28" t="str">
        <f>HYPERLINK("https://pld.live/RapDetail.aspx?STONELIST=941230084","DNA")</f>
        <v>DNA</v>
      </c>
      <c r="D1959" s="18" t="s">
        <v>2802</v>
      </c>
      <c r="E1959" s="18" t="s">
        <v>2186</v>
      </c>
      <c r="F1959" s="2" t="s">
        <v>7987</v>
      </c>
      <c r="G1959" s="2" t="s">
        <v>861</v>
      </c>
      <c r="H1959" s="14">
        <v>0.41</v>
      </c>
      <c r="I1959" s="2" t="s">
        <v>267</v>
      </c>
      <c r="J1959" s="2" t="s">
        <v>6555</v>
      </c>
      <c r="K1959" s="2" t="s">
        <v>5221</v>
      </c>
      <c r="L1959" s="2" t="s">
        <v>5221</v>
      </c>
      <c r="M1959" s="2" t="s">
        <v>5221</v>
      </c>
      <c r="N1959" s="2" t="s">
        <v>2317</v>
      </c>
      <c r="O1959" s="14">
        <v>2900</v>
      </c>
      <c r="P1959" s="14">
        <v>94.72</v>
      </c>
      <c r="Q1959" s="14">
        <v>153.12</v>
      </c>
      <c r="R1959" s="14">
        <v>62.78</v>
      </c>
      <c r="S1959" s="2" t="s">
        <v>7752</v>
      </c>
      <c r="T1959" s="2">
        <v>1.01</v>
      </c>
      <c r="U1959" s="2">
        <v>59.4</v>
      </c>
      <c r="V1959" s="2">
        <v>59</v>
      </c>
      <c r="W1959" s="2" t="s">
        <v>7862</v>
      </c>
      <c r="X1959" s="2" t="s">
        <v>5405</v>
      </c>
      <c r="Y1959" s="2">
        <v>1189</v>
      </c>
      <c r="Z1959" s="19" t="str">
        <f>HYPERLINK("https://ssdweb.co/ssdweb/hd/Vision360.html?d=941230084&amp;zoomslide=1&amp;z=1941230084&amp;ISCONFIRM=0","VIDEO")</f>
        <v>VIDEO</v>
      </c>
      <c r="AA1959" s="19" t="str">
        <f>HYPERLINK("https://ssdweb.co/ssdweb/CERTH/689587241.pdf","CERTI")</f>
        <v>CERTI</v>
      </c>
    </row>
    <row r="1960" spans="1:27" ht="15" x14ac:dyDescent="0.25">
      <c r="A1960" s="2">
        <v>1955</v>
      </c>
      <c r="B1960" s="39">
        <v>941230064</v>
      </c>
      <c r="C1960" s="28" t="str">
        <f>HYPERLINK("https://pld.live/RapDetail.aspx?STONELIST=941230064","DNA")</f>
        <v>DNA</v>
      </c>
      <c r="D1960" s="18" t="s">
        <v>2802</v>
      </c>
      <c r="E1960" s="18" t="s">
        <v>2186</v>
      </c>
      <c r="F1960" s="2" t="s">
        <v>7987</v>
      </c>
      <c r="G1960" s="2" t="s">
        <v>861</v>
      </c>
      <c r="H1960" s="14">
        <v>0.41</v>
      </c>
      <c r="I1960" s="2" t="s">
        <v>267</v>
      </c>
      <c r="J1960" s="2" t="s">
        <v>6555</v>
      </c>
      <c r="K1960" s="2" t="s">
        <v>5221</v>
      </c>
      <c r="L1960" s="2" t="s">
        <v>5221</v>
      </c>
      <c r="M1960" s="2" t="s">
        <v>5221</v>
      </c>
      <c r="N1960" s="2" t="s">
        <v>2317</v>
      </c>
      <c r="O1960" s="14">
        <v>2900</v>
      </c>
      <c r="P1960" s="14">
        <v>94.72</v>
      </c>
      <c r="Q1960" s="14">
        <v>153.12</v>
      </c>
      <c r="R1960" s="14">
        <v>62.78</v>
      </c>
      <c r="S1960" s="2" t="s">
        <v>7712</v>
      </c>
      <c r="T1960" s="2">
        <v>1.01</v>
      </c>
      <c r="U1960" s="2">
        <v>60.9</v>
      </c>
      <c r="V1960" s="2">
        <v>60</v>
      </c>
      <c r="W1960" s="2" t="s">
        <v>7862</v>
      </c>
      <c r="X1960" s="2" t="s">
        <v>5405</v>
      </c>
      <c r="Y1960" s="2">
        <v>1189</v>
      </c>
      <c r="Z1960" s="19" t="str">
        <f>HYPERLINK("https://ssdweb.co/ssdweb/hd/Vision360.html?d=941230064&amp;zoomslide=1&amp;z=1941230064&amp;ISCONFIRM=0","VIDEO")</f>
        <v>VIDEO</v>
      </c>
      <c r="AA1960" s="19" t="str">
        <f>HYPERLINK("https://ssdweb.co/ssdweb/CERTH/689587239.pdf","CERTI")</f>
        <v>CERTI</v>
      </c>
    </row>
    <row r="1961" spans="1:27" ht="15" x14ac:dyDescent="0.25">
      <c r="A1961" s="2">
        <v>1956</v>
      </c>
      <c r="B1961" s="39">
        <v>941450107</v>
      </c>
      <c r="C1961" s="28" t="str">
        <f>HYPERLINK("https://pld.live/RapDetail.aspx?STONELIST=941450107","DNA")</f>
        <v>DNA</v>
      </c>
      <c r="D1961" s="18" t="s">
        <v>2802</v>
      </c>
      <c r="E1961" s="18" t="s">
        <v>2186</v>
      </c>
      <c r="F1961" s="2" t="s">
        <v>7987</v>
      </c>
      <c r="G1961" s="2" t="s">
        <v>861</v>
      </c>
      <c r="H1961" s="14">
        <v>0.41</v>
      </c>
      <c r="I1961" s="2" t="s">
        <v>267</v>
      </c>
      <c r="J1961" s="2" t="s">
        <v>3942</v>
      </c>
      <c r="K1961" s="2" t="s">
        <v>3390</v>
      </c>
      <c r="L1961" s="2" t="s">
        <v>5221</v>
      </c>
      <c r="M1961" s="2" t="s">
        <v>5221</v>
      </c>
      <c r="N1961" s="2" t="s">
        <v>2317</v>
      </c>
      <c r="O1961" s="14">
        <v>2500</v>
      </c>
      <c r="P1961" s="14">
        <v>94.56</v>
      </c>
      <c r="Q1961" s="14">
        <v>136</v>
      </c>
      <c r="R1961" s="14">
        <v>55.76</v>
      </c>
      <c r="S1961" s="2" t="s">
        <v>2633</v>
      </c>
      <c r="T1961" s="2">
        <v>1.01</v>
      </c>
      <c r="U1961" s="2">
        <v>61.7</v>
      </c>
      <c r="V1961" s="2">
        <v>57</v>
      </c>
      <c r="W1961" s="2" t="s">
        <v>7862</v>
      </c>
      <c r="X1961" s="2" t="s">
        <v>5405</v>
      </c>
      <c r="Y1961" s="2">
        <v>1025</v>
      </c>
      <c r="Z1961" s="19" t="str">
        <f>HYPERLINK("https://ssdweb.co/ssdweb/hd/Vision360.html?d=941450107&amp;zoomslide=1&amp;z=1941450107&amp;ISCONFIRM=0","VIDEO")</f>
        <v>VIDEO</v>
      </c>
      <c r="AA1961" s="19" t="str">
        <f>HYPERLINK("https://ssdweb.co/ssdweb/CERTH/692533952.pdf","CERTI")</f>
        <v>CERTI</v>
      </c>
    </row>
    <row r="1962" spans="1:27" ht="15" x14ac:dyDescent="0.25">
      <c r="A1962" s="2">
        <v>1957</v>
      </c>
      <c r="B1962" s="39">
        <v>941380438</v>
      </c>
      <c r="C1962" s="28" t="str">
        <f>HYPERLINK("https://pld.live/RapDetail.aspx?STONELIST=941380438","DNA")</f>
        <v>DNA</v>
      </c>
      <c r="D1962" s="18" t="s">
        <v>2802</v>
      </c>
      <c r="E1962" s="18" t="s">
        <v>2186</v>
      </c>
      <c r="F1962" s="2" t="s">
        <v>7987</v>
      </c>
      <c r="G1962" s="2" t="s">
        <v>861</v>
      </c>
      <c r="H1962" s="14">
        <v>0.41</v>
      </c>
      <c r="I1962" s="2" t="s">
        <v>267</v>
      </c>
      <c r="J1962" s="2" t="s">
        <v>3942</v>
      </c>
      <c r="K1962" s="2" t="s">
        <v>3390</v>
      </c>
      <c r="L1962" s="2" t="s">
        <v>5221</v>
      </c>
      <c r="M1962" s="2" t="s">
        <v>5221</v>
      </c>
      <c r="N1962" s="2" t="s">
        <v>2317</v>
      </c>
      <c r="O1962" s="14">
        <v>2500</v>
      </c>
      <c r="P1962" s="14">
        <v>94.56</v>
      </c>
      <c r="Q1962" s="14">
        <v>136</v>
      </c>
      <c r="R1962" s="14">
        <v>55.76</v>
      </c>
      <c r="S1962" s="2" t="s">
        <v>7528</v>
      </c>
      <c r="T1962" s="2">
        <v>1.01</v>
      </c>
      <c r="U1962" s="2">
        <v>61</v>
      </c>
      <c r="V1962" s="2">
        <v>59</v>
      </c>
      <c r="W1962" s="2" t="s">
        <v>7862</v>
      </c>
      <c r="X1962" s="2" t="s">
        <v>5405</v>
      </c>
      <c r="Y1962" s="2">
        <v>1025</v>
      </c>
      <c r="Z1962" s="19" t="str">
        <f>HYPERLINK("https://ssdweb.co/ssdweb/hd/Vision360.html?d=941380438&amp;zoomslide=1&amp;z=1941380438&amp;ISCONFIRM=0","VIDEO")</f>
        <v>VIDEO</v>
      </c>
      <c r="AA1962" s="19" t="str">
        <f>HYPERLINK("https://ssdweb.co/ssdweb/CERTH/693519430.pdf","CERTI")</f>
        <v>CERTI</v>
      </c>
    </row>
    <row r="1963" spans="1:27" ht="15" x14ac:dyDescent="0.25">
      <c r="A1963" s="2">
        <v>1958</v>
      </c>
      <c r="B1963" s="39">
        <v>941190592</v>
      </c>
      <c r="C1963" s="28" t="str">
        <f>HYPERLINK("https://pld.live/RapDetail.aspx?STONELIST=941190592","DNA")</f>
        <v>DNA</v>
      </c>
      <c r="D1963" s="18" t="s">
        <v>2802</v>
      </c>
      <c r="E1963" s="18" t="s">
        <v>5128</v>
      </c>
      <c r="F1963" s="2" t="s">
        <v>7987</v>
      </c>
      <c r="G1963" s="2" t="s">
        <v>861</v>
      </c>
      <c r="H1963" s="14">
        <v>0.41</v>
      </c>
      <c r="I1963" s="2" t="s">
        <v>267</v>
      </c>
      <c r="J1963" s="2" t="s">
        <v>3942</v>
      </c>
      <c r="K1963" s="2" t="s">
        <v>3390</v>
      </c>
      <c r="L1963" s="2" t="s">
        <v>5221</v>
      </c>
      <c r="M1963" s="2" t="s">
        <v>5221</v>
      </c>
      <c r="N1963" s="2" t="s">
        <v>2317</v>
      </c>
      <c r="O1963" s="14">
        <v>2500</v>
      </c>
      <c r="P1963" s="14">
        <v>94.56</v>
      </c>
      <c r="Q1963" s="14">
        <v>136</v>
      </c>
      <c r="R1963" s="14">
        <v>55.76</v>
      </c>
      <c r="S1963" s="2" t="s">
        <v>4347</v>
      </c>
      <c r="T1963" s="2">
        <v>1.01</v>
      </c>
      <c r="U1963" s="2">
        <v>60.6</v>
      </c>
      <c r="V1963" s="2">
        <v>58</v>
      </c>
      <c r="W1963" s="2" t="s">
        <v>7862</v>
      </c>
      <c r="X1963" s="2" t="s">
        <v>5405</v>
      </c>
      <c r="Y1963" s="2">
        <v>1025</v>
      </c>
      <c r="Z1963" s="19" t="str">
        <f>HYPERLINK("https://ssdweb.co/ssdweb/hd/Vision360.html?d=941190592&amp;zoomslide=1&amp;z=1941190592&amp;ISCONFIRM=0","VIDEO")</f>
        <v>VIDEO</v>
      </c>
      <c r="AA1963" s="19" t="str">
        <f>HYPERLINK("https://ssdweb.co/ssdweb/CERTH/678550371.pdf","CERTI")</f>
        <v>CERTI</v>
      </c>
    </row>
    <row r="1964" spans="1:27" ht="15" x14ac:dyDescent="0.25">
      <c r="A1964" s="2">
        <v>1959</v>
      </c>
      <c r="B1964" s="39">
        <v>926431025</v>
      </c>
      <c r="C1964" s="28" t="str">
        <f>HYPERLINK("https://pld.live/RapDetail.aspx?STONELIST=926431025","DNA")</f>
        <v>DNA</v>
      </c>
      <c r="D1964" s="18" t="s">
        <v>2802</v>
      </c>
      <c r="E1964" s="18" t="s">
        <v>5128</v>
      </c>
      <c r="F1964" s="2" t="s">
        <v>7987</v>
      </c>
      <c r="G1964" s="2" t="s">
        <v>861</v>
      </c>
      <c r="H1964" s="14">
        <v>0.41</v>
      </c>
      <c r="I1964" s="2" t="s">
        <v>267</v>
      </c>
      <c r="J1964" s="2" t="s">
        <v>3942</v>
      </c>
      <c r="K1964" s="2" t="s">
        <v>3390</v>
      </c>
      <c r="L1964" s="2" t="s">
        <v>5221</v>
      </c>
      <c r="M1964" s="2" t="s">
        <v>5221</v>
      </c>
      <c r="N1964" s="2" t="s">
        <v>2317</v>
      </c>
      <c r="O1964" s="14">
        <v>2500</v>
      </c>
      <c r="P1964" s="14">
        <v>94.72</v>
      </c>
      <c r="Q1964" s="14">
        <v>132</v>
      </c>
      <c r="R1964" s="14">
        <v>54.12</v>
      </c>
      <c r="S1964" s="2" t="s">
        <v>1992</v>
      </c>
      <c r="T1964" s="2">
        <v>1.01</v>
      </c>
      <c r="U1964" s="2">
        <v>61.8</v>
      </c>
      <c r="V1964" s="2">
        <v>57</v>
      </c>
      <c r="W1964" s="2" t="s">
        <v>7862</v>
      </c>
      <c r="X1964" s="2" t="s">
        <v>5405</v>
      </c>
      <c r="Y1964" s="2">
        <v>1025</v>
      </c>
      <c r="Z1964" s="19" t="str">
        <f>HYPERLINK("https://ssdweb.co/ssdweb/hd/Vision360.html?d=926431025&amp;zoomslide=1&amp;z=1926431025&amp;ISCONFIRM=0","VIDEO")</f>
        <v>VIDEO</v>
      </c>
      <c r="AA1964" s="19" t="str">
        <f>HYPERLINK("https://ssdweb.co/ssdweb/CERTH/649416412.pdf","CERTI")</f>
        <v>CERTI</v>
      </c>
    </row>
    <row r="1965" spans="1:27" ht="15" x14ac:dyDescent="0.25">
      <c r="A1965" s="2">
        <v>1960</v>
      </c>
      <c r="B1965" s="39">
        <v>941360336</v>
      </c>
      <c r="C1965" s="28" t="str">
        <f>HYPERLINK("https://pld.live/RapDetail.aspx?STONELIST=941360336","DNA")</f>
        <v>DNA</v>
      </c>
      <c r="D1965" s="18" t="s">
        <v>2802</v>
      </c>
      <c r="E1965" s="18" t="s">
        <v>2186</v>
      </c>
      <c r="F1965" s="2" t="s">
        <v>7987</v>
      </c>
      <c r="G1965" s="2" t="s">
        <v>861</v>
      </c>
      <c r="H1965" s="14">
        <v>0.41</v>
      </c>
      <c r="I1965" s="2" t="s">
        <v>267</v>
      </c>
      <c r="J1965" s="2" t="s">
        <v>3942</v>
      </c>
      <c r="K1965" s="2" t="s">
        <v>3390</v>
      </c>
      <c r="L1965" s="2" t="s">
        <v>5221</v>
      </c>
      <c r="M1965" s="2" t="s">
        <v>5721</v>
      </c>
      <c r="N1965" s="2" t="s">
        <v>2317</v>
      </c>
      <c r="O1965" s="14">
        <v>2500</v>
      </c>
      <c r="P1965" s="14">
        <v>94.68</v>
      </c>
      <c r="Q1965" s="14">
        <v>133</v>
      </c>
      <c r="R1965" s="14">
        <v>54.53</v>
      </c>
      <c r="S1965" s="2" t="s">
        <v>4176</v>
      </c>
      <c r="T1965" s="2">
        <v>1.01</v>
      </c>
      <c r="U1965" s="2">
        <v>62.2</v>
      </c>
      <c r="V1965" s="2">
        <v>57</v>
      </c>
      <c r="W1965" s="2" t="s">
        <v>7862</v>
      </c>
      <c r="X1965" s="2" t="s">
        <v>5405</v>
      </c>
      <c r="Y1965" s="2">
        <v>1025</v>
      </c>
      <c r="Z1965" s="19" t="str">
        <f>HYPERLINK("https://ssdweb.co/ssdweb/hd/Vision360.html?d=941360336&amp;zoomslide=1&amp;z=1941360336&amp;ISCONFIRM=0","VIDEO")</f>
        <v>VIDEO</v>
      </c>
      <c r="AA1965" s="19" t="str">
        <f>HYPERLINK("https://ssdweb.co/ssdweb/CERTH/689587186.pdf","CERTI")</f>
        <v>CERTI</v>
      </c>
    </row>
    <row r="1966" spans="1:27" ht="15" x14ac:dyDescent="0.25">
      <c r="A1966" s="2">
        <v>1961</v>
      </c>
      <c r="B1966" s="39">
        <v>926301120</v>
      </c>
      <c r="C1966" s="28" t="str">
        <f>HYPERLINK("https://pld.live/RapDetail.aspx?STONELIST=926301120","DNA")</f>
        <v>DNA</v>
      </c>
      <c r="D1966" s="18" t="s">
        <v>2802</v>
      </c>
      <c r="E1966" s="18" t="s">
        <v>5128</v>
      </c>
      <c r="F1966" s="2" t="s">
        <v>7987</v>
      </c>
      <c r="G1966" s="2" t="s">
        <v>861</v>
      </c>
      <c r="H1966" s="14">
        <v>0.41</v>
      </c>
      <c r="I1966" s="2" t="s">
        <v>267</v>
      </c>
      <c r="J1966" s="2" t="s">
        <v>3942</v>
      </c>
      <c r="K1966" s="2" t="s">
        <v>3390</v>
      </c>
      <c r="L1966" s="2" t="s">
        <v>5221</v>
      </c>
      <c r="M1966" s="2" t="s">
        <v>5721</v>
      </c>
      <c r="N1966" s="2" t="s">
        <v>2317</v>
      </c>
      <c r="O1966" s="14">
        <v>2500</v>
      </c>
      <c r="P1966" s="14">
        <v>94.84</v>
      </c>
      <c r="Q1966" s="14">
        <v>129</v>
      </c>
      <c r="R1966" s="14">
        <v>52.89</v>
      </c>
      <c r="S1966" s="2" t="s">
        <v>551</v>
      </c>
      <c r="T1966" s="2">
        <v>1.01</v>
      </c>
      <c r="U1966" s="2">
        <v>61.1</v>
      </c>
      <c r="V1966" s="2">
        <v>60</v>
      </c>
      <c r="W1966" s="2" t="s">
        <v>7862</v>
      </c>
      <c r="X1966" s="2" t="s">
        <v>5405</v>
      </c>
      <c r="Y1966" s="2">
        <v>1025</v>
      </c>
      <c r="Z1966" s="19" t="str">
        <f>HYPERLINK("https://ssdweb.co/ssdweb/hd/Vision360.html?d=926301120&amp;zoomslide=1&amp;z=1926301120&amp;ISCONFIRM=0","VIDEO")</f>
        <v>VIDEO</v>
      </c>
      <c r="AA1966" s="19" t="str">
        <f>HYPERLINK("https://ssdweb.co/ssdweb/CERTH/644458737.pdf","CERTI")</f>
        <v>CERTI</v>
      </c>
    </row>
    <row r="1967" spans="1:27" ht="15" x14ac:dyDescent="0.25">
      <c r="A1967" s="2">
        <v>1962</v>
      </c>
      <c r="B1967" s="39">
        <v>926101040</v>
      </c>
      <c r="C1967" s="28" t="str">
        <f>HYPERLINK("https://pld.live/RapDetail.aspx?STONELIST=926101040","DNA")</f>
        <v>DNA</v>
      </c>
      <c r="D1967" s="18" t="s">
        <v>2802</v>
      </c>
      <c r="E1967" s="18" t="s">
        <v>5128</v>
      </c>
      <c r="F1967" s="2" t="s">
        <v>7987</v>
      </c>
      <c r="G1967" s="2" t="s">
        <v>861</v>
      </c>
      <c r="H1967" s="14">
        <v>0.41</v>
      </c>
      <c r="I1967" s="2" t="s">
        <v>267</v>
      </c>
      <c r="J1967" s="2" t="s">
        <v>3942</v>
      </c>
      <c r="K1967" s="2" t="s">
        <v>3390</v>
      </c>
      <c r="L1967" s="2" t="s">
        <v>5221</v>
      </c>
      <c r="M1967" s="2" t="s">
        <v>5721</v>
      </c>
      <c r="N1967" s="2" t="s">
        <v>2317</v>
      </c>
      <c r="O1967" s="14">
        <v>2500</v>
      </c>
      <c r="P1967" s="14">
        <v>94.84</v>
      </c>
      <c r="Q1967" s="14">
        <v>129</v>
      </c>
      <c r="R1967" s="14">
        <v>52.89</v>
      </c>
      <c r="S1967" s="2" t="s">
        <v>3997</v>
      </c>
      <c r="T1967" s="2">
        <v>1</v>
      </c>
      <c r="U1967" s="2">
        <v>60.6</v>
      </c>
      <c r="V1967" s="2">
        <v>59</v>
      </c>
      <c r="W1967" s="2" t="s">
        <v>7862</v>
      </c>
      <c r="X1967" s="2" t="s">
        <v>5405</v>
      </c>
      <c r="Y1967" s="2">
        <v>1025</v>
      </c>
      <c r="Z1967" s="19" t="str">
        <f>HYPERLINK("https://ssdweb.co/ssdweb/hd/Vision360.html?d=926101040&amp;zoomslide=1&amp;z=1926101040&amp;ISCONFIRM=0","VIDEO")</f>
        <v>VIDEO</v>
      </c>
      <c r="AA1967" s="19" t="str">
        <f>HYPERLINK("https://ssdweb.co/ssdweb/CERTH/644472267.pdf","CERTI")</f>
        <v>CERTI</v>
      </c>
    </row>
    <row r="1968" spans="1:27" ht="15" x14ac:dyDescent="0.25">
      <c r="A1968" s="2">
        <v>1963</v>
      </c>
      <c r="B1968" s="39">
        <v>925910778</v>
      </c>
      <c r="C1968" s="28" t="str">
        <f>HYPERLINK("https://pld.live/RapDetail.aspx?STONELIST=925910778","DNA")</f>
        <v>DNA</v>
      </c>
      <c r="D1968" s="18" t="s">
        <v>2802</v>
      </c>
      <c r="E1968" s="18" t="s">
        <v>5128</v>
      </c>
      <c r="F1968" s="2" t="s">
        <v>5597</v>
      </c>
      <c r="G1968" s="2" t="s">
        <v>861</v>
      </c>
      <c r="H1968" s="14">
        <v>0.41</v>
      </c>
      <c r="I1968" s="2" t="s">
        <v>267</v>
      </c>
      <c r="J1968" s="2" t="s">
        <v>3942</v>
      </c>
      <c r="K1968" s="2" t="s">
        <v>5721</v>
      </c>
      <c r="L1968" s="2" t="s">
        <v>5221</v>
      </c>
      <c r="M1968" s="2" t="s">
        <v>5221</v>
      </c>
      <c r="N1968" s="2" t="s">
        <v>2317</v>
      </c>
      <c r="O1968" s="14">
        <v>2500</v>
      </c>
      <c r="P1968" s="14">
        <v>89.88</v>
      </c>
      <c r="Q1968" s="14">
        <v>253</v>
      </c>
      <c r="R1968" s="14">
        <v>103.73</v>
      </c>
      <c r="S1968" s="2" t="s">
        <v>5064</v>
      </c>
      <c r="T1968" s="2">
        <v>1.01</v>
      </c>
      <c r="U1968" s="2">
        <v>61.8</v>
      </c>
      <c r="V1968" s="2">
        <v>59</v>
      </c>
      <c r="W1968" s="2" t="s">
        <v>7862</v>
      </c>
      <c r="X1968" s="2" t="s">
        <v>5405</v>
      </c>
      <c r="Y1968" s="2">
        <v>1025</v>
      </c>
      <c r="Z1968" s="19" t="str">
        <f>HYPERLINK("https://ssdweb.co/ssdweb/hd/Vision360.html?d=925910778&amp;zoomslide=1&amp;z=1925910778&amp;ISCONFIRM=0","VIDEO")</f>
        <v>VIDEO</v>
      </c>
      <c r="AA1968" s="19" t="str">
        <f>HYPERLINK("https://ssdweb.co/ssdweb/CERTH/6495059347.pdf","CERTI")</f>
        <v>CERTI</v>
      </c>
    </row>
    <row r="1969" spans="1:27" ht="15" x14ac:dyDescent="0.25">
      <c r="A1969" s="2">
        <v>1964</v>
      </c>
      <c r="B1969" s="39">
        <v>941280407</v>
      </c>
      <c r="C1969" s="28" t="str">
        <f>HYPERLINK("https://pld.live/RapDetail.aspx?STONELIST=941280407","DNA")</f>
        <v>DNA</v>
      </c>
      <c r="D1969" s="18" t="s">
        <v>2802</v>
      </c>
      <c r="E1969" s="18" t="s">
        <v>2186</v>
      </c>
      <c r="F1969" s="2" t="s">
        <v>7987</v>
      </c>
      <c r="G1969" s="2" t="s">
        <v>861</v>
      </c>
      <c r="H1969" s="14">
        <v>0.41</v>
      </c>
      <c r="I1969" s="2" t="s">
        <v>267</v>
      </c>
      <c r="J1969" s="2" t="s">
        <v>13</v>
      </c>
      <c r="K1969" s="2" t="s">
        <v>3390</v>
      </c>
      <c r="L1969" s="2" t="s">
        <v>5221</v>
      </c>
      <c r="M1969" s="2" t="s">
        <v>5221</v>
      </c>
      <c r="N1969" s="2" t="s">
        <v>2317</v>
      </c>
      <c r="O1969" s="14">
        <v>2300</v>
      </c>
      <c r="P1969" s="14">
        <v>94.43</v>
      </c>
      <c r="Q1969" s="14">
        <v>128.11000000000001</v>
      </c>
      <c r="R1969" s="14">
        <v>52.53</v>
      </c>
      <c r="S1969" s="2" t="s">
        <v>7880</v>
      </c>
      <c r="T1969" s="2">
        <v>1.01</v>
      </c>
      <c r="U1969" s="2">
        <v>60.5</v>
      </c>
      <c r="V1969" s="2">
        <v>57</v>
      </c>
      <c r="W1969" s="2" t="s">
        <v>7862</v>
      </c>
      <c r="X1969" s="2" t="s">
        <v>5405</v>
      </c>
      <c r="Y1969" s="2">
        <v>943</v>
      </c>
      <c r="Z1969" s="19" t="str">
        <f>HYPERLINK("https://ssdweb.co/ssdweb/hd/Vision360.html?d=941280407&amp;zoomslide=1&amp;z=1941280407&amp;ISCONFIRM=0","VIDEO")</f>
        <v>VIDEO</v>
      </c>
      <c r="AA1969" s="19" t="str">
        <f>HYPERLINK("https://ssdweb.co/ssdweb/CERTH/685590543.pdf","CERTI")</f>
        <v>CERTI</v>
      </c>
    </row>
    <row r="1970" spans="1:27" ht="15" x14ac:dyDescent="0.25">
      <c r="A1970" s="2">
        <v>1965</v>
      </c>
      <c r="B1970" s="39">
        <v>941270566</v>
      </c>
      <c r="C1970" s="28" t="str">
        <f>HYPERLINK("https://pld.live/RapDetail.aspx?STONELIST=941270566","DNA")</f>
        <v>DNA</v>
      </c>
      <c r="D1970" s="18" t="s">
        <v>2802</v>
      </c>
      <c r="E1970" s="18" t="s">
        <v>5128</v>
      </c>
      <c r="F1970" s="2" t="s">
        <v>7987</v>
      </c>
      <c r="G1970" s="2" t="s">
        <v>861</v>
      </c>
      <c r="H1970" s="14">
        <v>0.41</v>
      </c>
      <c r="I1970" s="2" t="s">
        <v>267</v>
      </c>
      <c r="J1970" s="2" t="s">
        <v>13</v>
      </c>
      <c r="K1970" s="2" t="s">
        <v>3390</v>
      </c>
      <c r="L1970" s="2" t="s">
        <v>5221</v>
      </c>
      <c r="M1970" s="2" t="s">
        <v>5221</v>
      </c>
      <c r="N1970" s="2" t="s">
        <v>2317</v>
      </c>
      <c r="O1970" s="14">
        <v>2300</v>
      </c>
      <c r="P1970" s="14">
        <v>94.43</v>
      </c>
      <c r="Q1970" s="14">
        <v>128.11000000000001</v>
      </c>
      <c r="R1970" s="14">
        <v>52.53</v>
      </c>
      <c r="S1970" s="2" t="s">
        <v>6959</v>
      </c>
      <c r="T1970" s="2">
        <v>1.01</v>
      </c>
      <c r="U1970" s="2">
        <v>60.7</v>
      </c>
      <c r="V1970" s="2">
        <v>59</v>
      </c>
      <c r="W1970" s="2" t="s">
        <v>7862</v>
      </c>
      <c r="X1970" s="2" t="s">
        <v>5405</v>
      </c>
      <c r="Y1970" s="2">
        <v>943</v>
      </c>
      <c r="Z1970" s="19" t="str">
        <f>HYPERLINK("https://ssdweb.co/ssdweb/hd/Vision360.html?d=941270566&amp;zoomslide=1&amp;z=1941270566&amp;ISCONFIRM=0","VIDEO")</f>
        <v>VIDEO</v>
      </c>
      <c r="AA1970" s="19" t="str">
        <f>HYPERLINK("https://ssdweb.co/ssdweb/CERTH/681517244.pdf","CERTI")</f>
        <v>CERTI</v>
      </c>
    </row>
    <row r="1971" spans="1:27" ht="15" x14ac:dyDescent="0.25">
      <c r="A1971" s="2">
        <v>1966</v>
      </c>
      <c r="B1971" s="39">
        <v>941190263</v>
      </c>
      <c r="C1971" s="28" t="str">
        <f>HYPERLINK("https://pld.live/RapDetail.aspx?STONELIST=941190263","DNA")</f>
        <v>DNA</v>
      </c>
      <c r="D1971" s="18" t="s">
        <v>2802</v>
      </c>
      <c r="E1971" s="18" t="s">
        <v>5128</v>
      </c>
      <c r="F1971" s="2" t="s">
        <v>7987</v>
      </c>
      <c r="G1971" s="2" t="s">
        <v>861</v>
      </c>
      <c r="H1971" s="14">
        <v>0.41</v>
      </c>
      <c r="I1971" s="2" t="s">
        <v>267</v>
      </c>
      <c r="J1971" s="2" t="s">
        <v>13</v>
      </c>
      <c r="K1971" s="2" t="s">
        <v>3390</v>
      </c>
      <c r="L1971" s="2" t="s">
        <v>5221</v>
      </c>
      <c r="M1971" s="2" t="s">
        <v>5221</v>
      </c>
      <c r="N1971" s="2" t="s">
        <v>2317</v>
      </c>
      <c r="O1971" s="14">
        <v>2300</v>
      </c>
      <c r="P1971" s="14">
        <v>94.43</v>
      </c>
      <c r="Q1971" s="14">
        <v>128.11000000000001</v>
      </c>
      <c r="R1971" s="14">
        <v>52.53</v>
      </c>
      <c r="S1971" s="2" t="s">
        <v>590</v>
      </c>
      <c r="T1971" s="2">
        <v>1.01</v>
      </c>
      <c r="U1971" s="2">
        <v>59.9</v>
      </c>
      <c r="V1971" s="2">
        <v>59</v>
      </c>
      <c r="W1971" s="2" t="s">
        <v>7862</v>
      </c>
      <c r="X1971" s="2" t="s">
        <v>5405</v>
      </c>
      <c r="Y1971" s="2">
        <v>943</v>
      </c>
      <c r="Z1971" s="19" t="str">
        <f>HYPERLINK("https://ssdweb.co/ssdweb/hd/Vision360.html?d=941190263&amp;zoomslide=1&amp;z=1941190263&amp;ISCONFIRM=0","VIDEO")</f>
        <v>VIDEO</v>
      </c>
      <c r="AA1971" s="19" t="str">
        <f>HYPERLINK("https://ssdweb.co/ssdweb/CERTH/675596807.pdf","CERTI")</f>
        <v>CERTI</v>
      </c>
    </row>
    <row r="1972" spans="1:27" ht="15" x14ac:dyDescent="0.25">
      <c r="A1972" s="2">
        <v>1967</v>
      </c>
      <c r="B1972" s="39">
        <v>941190301</v>
      </c>
      <c r="C1972" s="28" t="str">
        <f>HYPERLINK("https://pld.live/RapDetail.aspx?STONELIST=941190301","DNA")</f>
        <v>DNA</v>
      </c>
      <c r="D1972" s="18" t="s">
        <v>2802</v>
      </c>
      <c r="E1972" s="18" t="s">
        <v>5128</v>
      </c>
      <c r="F1972" s="2" t="s">
        <v>7987</v>
      </c>
      <c r="G1972" s="2" t="s">
        <v>861</v>
      </c>
      <c r="H1972" s="14">
        <v>0.41</v>
      </c>
      <c r="I1972" s="2" t="s">
        <v>267</v>
      </c>
      <c r="J1972" s="2" t="s">
        <v>13</v>
      </c>
      <c r="K1972" s="2" t="s">
        <v>3390</v>
      </c>
      <c r="L1972" s="2" t="s">
        <v>5221</v>
      </c>
      <c r="M1972" s="2" t="s">
        <v>5221</v>
      </c>
      <c r="N1972" s="2" t="s">
        <v>2317</v>
      </c>
      <c r="O1972" s="14">
        <v>2300</v>
      </c>
      <c r="P1972" s="14">
        <v>94.43</v>
      </c>
      <c r="Q1972" s="14">
        <v>128.11000000000001</v>
      </c>
      <c r="R1972" s="14">
        <v>52.53</v>
      </c>
      <c r="S1972" s="2" t="s">
        <v>1908</v>
      </c>
      <c r="T1972" s="2">
        <v>1.01</v>
      </c>
      <c r="U1972" s="2">
        <v>62</v>
      </c>
      <c r="V1972" s="2">
        <v>59</v>
      </c>
      <c r="W1972" s="2" t="s">
        <v>7862</v>
      </c>
      <c r="X1972" s="2" t="s">
        <v>5405</v>
      </c>
      <c r="Y1972" s="2">
        <v>943</v>
      </c>
      <c r="Z1972" s="19" t="str">
        <f>HYPERLINK("https://ssdweb.co/ssdweb/hd/Vision360.html?d=941190301&amp;zoomslide=1&amp;z=1941190301&amp;ISCONFIRM=0","VIDEO")</f>
        <v>VIDEO</v>
      </c>
      <c r="AA1972" s="19" t="str">
        <f>HYPERLINK("https://ssdweb.co/ssdweb/CERTH/675596651.pdf","CERTI")</f>
        <v>CERTI</v>
      </c>
    </row>
    <row r="1973" spans="1:27" ht="15" x14ac:dyDescent="0.25">
      <c r="A1973" s="2">
        <v>1968</v>
      </c>
      <c r="B1973" s="39">
        <v>941230266</v>
      </c>
      <c r="C1973" s="28" t="str">
        <f>HYPERLINK("https://pld.live/RapDetail.aspx?STONELIST=941230266","DNA")</f>
        <v>DNA</v>
      </c>
      <c r="D1973" s="18" t="s">
        <v>2802</v>
      </c>
      <c r="E1973" s="18" t="s">
        <v>2186</v>
      </c>
      <c r="F1973" s="2" t="s">
        <v>7987</v>
      </c>
      <c r="G1973" s="2" t="s">
        <v>861</v>
      </c>
      <c r="H1973" s="14">
        <v>0.41</v>
      </c>
      <c r="I1973" s="2" t="s">
        <v>267</v>
      </c>
      <c r="J1973" s="2" t="s">
        <v>13</v>
      </c>
      <c r="K1973" s="2" t="s">
        <v>3390</v>
      </c>
      <c r="L1973" s="2" t="s">
        <v>5221</v>
      </c>
      <c r="M1973" s="2" t="s">
        <v>5221</v>
      </c>
      <c r="N1973" s="2" t="s">
        <v>2317</v>
      </c>
      <c r="O1973" s="14">
        <v>2300</v>
      </c>
      <c r="P1973" s="14">
        <v>94.43</v>
      </c>
      <c r="Q1973" s="14">
        <v>128.11000000000001</v>
      </c>
      <c r="R1973" s="14">
        <v>52.53</v>
      </c>
      <c r="S1973" s="2" t="s">
        <v>4440</v>
      </c>
      <c r="T1973" s="2">
        <v>1</v>
      </c>
      <c r="U1973" s="2">
        <v>61.7</v>
      </c>
      <c r="V1973" s="2">
        <v>58</v>
      </c>
      <c r="W1973" s="2" t="s">
        <v>7862</v>
      </c>
      <c r="X1973" s="2" t="s">
        <v>5405</v>
      </c>
      <c r="Y1973" s="2">
        <v>943</v>
      </c>
      <c r="Z1973" s="19" t="str">
        <f>HYPERLINK("https://ssdweb.co/ssdweb/hd/Vision360.html?d=941230266&amp;zoomslide=1&amp;z=1941230266&amp;ISCONFIRM=0","VIDEO")</f>
        <v>VIDEO</v>
      </c>
      <c r="AA1973" s="19" t="str">
        <f>HYPERLINK("https://ssdweb.co/ssdweb/CERTH/680505032.pdf","CERTI")</f>
        <v>CERTI</v>
      </c>
    </row>
    <row r="1974" spans="1:27" ht="15" x14ac:dyDescent="0.25">
      <c r="A1974" s="2">
        <v>1969</v>
      </c>
      <c r="B1974" s="39">
        <v>941280306</v>
      </c>
      <c r="C1974" s="28" t="str">
        <f>HYPERLINK("https://pld.live/RapDetail.aspx?STONELIST=941280306","DNA")</f>
        <v>DNA</v>
      </c>
      <c r="D1974" s="18" t="s">
        <v>2802</v>
      </c>
      <c r="E1974" s="18" t="s">
        <v>2186</v>
      </c>
      <c r="F1974" s="2" t="s">
        <v>7987</v>
      </c>
      <c r="G1974" s="2" t="s">
        <v>861</v>
      </c>
      <c r="H1974" s="14">
        <v>0.41</v>
      </c>
      <c r="I1974" s="2" t="s">
        <v>267</v>
      </c>
      <c r="J1974" s="2" t="s">
        <v>13</v>
      </c>
      <c r="K1974" s="2" t="s">
        <v>3390</v>
      </c>
      <c r="L1974" s="2" t="s">
        <v>5221</v>
      </c>
      <c r="M1974" s="2" t="s">
        <v>5221</v>
      </c>
      <c r="N1974" s="2" t="s">
        <v>2317</v>
      </c>
      <c r="O1974" s="14">
        <v>2300</v>
      </c>
      <c r="P1974" s="14">
        <v>94.43</v>
      </c>
      <c r="Q1974" s="14">
        <v>128.11000000000001</v>
      </c>
      <c r="R1974" s="14">
        <v>52.53</v>
      </c>
      <c r="S1974" s="2" t="s">
        <v>915</v>
      </c>
      <c r="T1974" s="2">
        <v>1.01</v>
      </c>
      <c r="U1974" s="2">
        <v>61</v>
      </c>
      <c r="V1974" s="2">
        <v>59</v>
      </c>
      <c r="W1974" s="2" t="s">
        <v>7862</v>
      </c>
      <c r="X1974" s="2" t="s">
        <v>5405</v>
      </c>
      <c r="Y1974" s="2">
        <v>943</v>
      </c>
      <c r="Z1974" s="19" t="str">
        <f>HYPERLINK("https://ssdweb.co/ssdweb/hd/Vision360.html?d=941280306&amp;zoomslide=1&amp;z=1941280306&amp;ISCONFIRM=0","VIDEO")</f>
        <v>VIDEO</v>
      </c>
      <c r="AA1974" s="19" t="str">
        <f>HYPERLINK("https://ssdweb.co/ssdweb/CERTH/684505083.pdf","CERTI")</f>
        <v>CERTI</v>
      </c>
    </row>
    <row r="1975" spans="1:27" ht="15" x14ac:dyDescent="0.25">
      <c r="A1975" s="2">
        <v>1970</v>
      </c>
      <c r="B1975" s="39">
        <v>941270318</v>
      </c>
      <c r="C1975" s="28" t="str">
        <f>HYPERLINK("https://pld.live/RapDetail.aspx?STONELIST=941270318","DNA")</f>
        <v>DNA</v>
      </c>
      <c r="D1975" s="18" t="s">
        <v>2802</v>
      </c>
      <c r="E1975" s="18" t="s">
        <v>5128</v>
      </c>
      <c r="F1975" s="2" t="s">
        <v>7987</v>
      </c>
      <c r="G1975" s="2" t="s">
        <v>861</v>
      </c>
      <c r="H1975" s="14">
        <v>0.41</v>
      </c>
      <c r="I1975" s="2" t="s">
        <v>267</v>
      </c>
      <c r="J1975" s="2" t="s">
        <v>13</v>
      </c>
      <c r="K1975" s="2" t="s">
        <v>3390</v>
      </c>
      <c r="L1975" s="2" t="s">
        <v>5221</v>
      </c>
      <c r="M1975" s="2" t="s">
        <v>5221</v>
      </c>
      <c r="N1975" s="2" t="s">
        <v>2317</v>
      </c>
      <c r="O1975" s="14">
        <v>2300</v>
      </c>
      <c r="P1975" s="14">
        <v>94.43</v>
      </c>
      <c r="Q1975" s="14">
        <v>128.11000000000001</v>
      </c>
      <c r="R1975" s="14">
        <v>52.53</v>
      </c>
      <c r="S1975" s="2" t="s">
        <v>5678</v>
      </c>
      <c r="T1975" s="2">
        <v>1.01</v>
      </c>
      <c r="U1975" s="2">
        <v>61.3</v>
      </c>
      <c r="V1975" s="2">
        <v>58</v>
      </c>
      <c r="W1975" s="2" t="s">
        <v>7862</v>
      </c>
      <c r="X1975" s="2" t="s">
        <v>5405</v>
      </c>
      <c r="Y1975" s="2">
        <v>943</v>
      </c>
      <c r="Z1975" s="19" t="str">
        <f>HYPERLINK("https://ssdweb.co/ssdweb/hd/Vision360.html?d=941270318&amp;zoomslide=1&amp;z=1941270318&amp;ISCONFIRM=0","VIDEO")</f>
        <v>VIDEO</v>
      </c>
      <c r="AA1975" s="19" t="str">
        <f>HYPERLINK("https://ssdweb.co/ssdweb/CERTH/680505036.pdf","CERTI")</f>
        <v>CERTI</v>
      </c>
    </row>
    <row r="1976" spans="1:27" ht="15" x14ac:dyDescent="0.25">
      <c r="A1976" s="2">
        <v>1971</v>
      </c>
      <c r="B1976" s="39">
        <v>941280139</v>
      </c>
      <c r="C1976" s="28" t="str">
        <f>HYPERLINK("https://pld.live/RapDetail.aspx?STONELIST=941280139","DNA")</f>
        <v>DNA</v>
      </c>
      <c r="D1976" s="18" t="s">
        <v>2802</v>
      </c>
      <c r="E1976" s="18" t="s">
        <v>2186</v>
      </c>
      <c r="F1976" s="2" t="s">
        <v>7987</v>
      </c>
      <c r="G1976" s="2" t="s">
        <v>861</v>
      </c>
      <c r="H1976" s="14">
        <v>0.41</v>
      </c>
      <c r="I1976" s="2" t="s">
        <v>267</v>
      </c>
      <c r="J1976" s="2" t="s">
        <v>13</v>
      </c>
      <c r="K1976" s="2" t="s">
        <v>3390</v>
      </c>
      <c r="L1976" s="2" t="s">
        <v>5221</v>
      </c>
      <c r="M1976" s="2" t="s">
        <v>5221</v>
      </c>
      <c r="N1976" s="2" t="s">
        <v>2317</v>
      </c>
      <c r="O1976" s="14">
        <v>2300</v>
      </c>
      <c r="P1976" s="14">
        <v>94.43</v>
      </c>
      <c r="Q1976" s="14">
        <v>128.11000000000001</v>
      </c>
      <c r="R1976" s="14">
        <v>52.53</v>
      </c>
      <c r="S1976" s="2" t="s">
        <v>5881</v>
      </c>
      <c r="T1976" s="2">
        <v>1</v>
      </c>
      <c r="U1976" s="2">
        <v>61.9</v>
      </c>
      <c r="V1976" s="2">
        <v>56</v>
      </c>
      <c r="W1976" s="2" t="s">
        <v>7862</v>
      </c>
      <c r="X1976" s="2" t="s">
        <v>5405</v>
      </c>
      <c r="Y1976" s="2">
        <v>943</v>
      </c>
      <c r="Z1976" s="19" t="str">
        <f>HYPERLINK("https://ssdweb.co/ssdweb/hd/Vision360.html?d=941280139&amp;zoomslide=1&amp;z=1941280139&amp;ISCONFIRM=0","VIDEO")</f>
        <v>VIDEO</v>
      </c>
      <c r="AA1976" s="19" t="str">
        <f>HYPERLINK("https://ssdweb.co/ssdweb/CERTH/684505048.pdf","CERTI")</f>
        <v>CERTI</v>
      </c>
    </row>
    <row r="1977" spans="1:27" ht="15" x14ac:dyDescent="0.25">
      <c r="A1977" s="2">
        <v>1972</v>
      </c>
      <c r="B1977" s="39">
        <v>941230148</v>
      </c>
      <c r="C1977" s="28" t="str">
        <f>HYPERLINK("https://pld.live/RapDetail.aspx?STONELIST=941230148","DNA")</f>
        <v>DNA</v>
      </c>
      <c r="D1977" s="18" t="s">
        <v>2802</v>
      </c>
      <c r="E1977" s="18" t="s">
        <v>2186</v>
      </c>
      <c r="F1977" s="2" t="s">
        <v>7987</v>
      </c>
      <c r="G1977" s="2" t="s">
        <v>861</v>
      </c>
      <c r="H1977" s="14">
        <v>0.41</v>
      </c>
      <c r="I1977" s="2" t="s">
        <v>267</v>
      </c>
      <c r="J1977" s="2" t="s">
        <v>13</v>
      </c>
      <c r="K1977" s="2" t="s">
        <v>3390</v>
      </c>
      <c r="L1977" s="2" t="s">
        <v>5221</v>
      </c>
      <c r="M1977" s="2" t="s">
        <v>5721</v>
      </c>
      <c r="N1977" s="2" t="s">
        <v>2317</v>
      </c>
      <c r="O1977" s="14">
        <v>2300</v>
      </c>
      <c r="P1977" s="14">
        <v>94.57</v>
      </c>
      <c r="Q1977" s="14">
        <v>124.89</v>
      </c>
      <c r="R1977" s="14">
        <v>51.2</v>
      </c>
      <c r="S1977" s="2" t="s">
        <v>7737</v>
      </c>
      <c r="T1977" s="2">
        <v>1.01</v>
      </c>
      <c r="U1977" s="2">
        <v>60.4</v>
      </c>
      <c r="V1977" s="2">
        <v>57</v>
      </c>
      <c r="W1977" s="2" t="s">
        <v>7862</v>
      </c>
      <c r="X1977" s="2" t="s">
        <v>5405</v>
      </c>
      <c r="Y1977" s="2">
        <v>943</v>
      </c>
      <c r="Z1977" s="19" t="str">
        <f>HYPERLINK("https://ssdweb.co/ssdweb/hd/Vision360.html?d=941230148&amp;zoomslide=1&amp;z=1941230148&amp;ISCONFIRM=0","VIDEO")</f>
        <v>VIDEO</v>
      </c>
      <c r="AA1977" s="19" t="str">
        <f>HYPERLINK("https://ssdweb.co/ssdweb/CERTH/678550372.pdf","CERTI")</f>
        <v>CERTI</v>
      </c>
    </row>
    <row r="1978" spans="1:27" ht="15" x14ac:dyDescent="0.25">
      <c r="A1978" s="2">
        <v>1973</v>
      </c>
      <c r="B1978" s="39">
        <v>926100945</v>
      </c>
      <c r="C1978" s="28" t="str">
        <f>HYPERLINK("https://pld.live/RapDetail.aspx?STONELIST=926100945","DNA")</f>
        <v>DNA</v>
      </c>
      <c r="D1978" s="18" t="s">
        <v>2802</v>
      </c>
      <c r="E1978" s="18" t="s">
        <v>5128</v>
      </c>
      <c r="F1978" s="2" t="s">
        <v>7987</v>
      </c>
      <c r="G1978" s="2" t="s">
        <v>861</v>
      </c>
      <c r="H1978" s="14">
        <v>0.41</v>
      </c>
      <c r="I1978" s="2" t="s">
        <v>267</v>
      </c>
      <c r="J1978" s="2" t="s">
        <v>13</v>
      </c>
      <c r="K1978" s="2" t="s">
        <v>3390</v>
      </c>
      <c r="L1978" s="2" t="s">
        <v>5221</v>
      </c>
      <c r="M1978" s="2" t="s">
        <v>5721</v>
      </c>
      <c r="N1978" s="2" t="s">
        <v>2317</v>
      </c>
      <c r="O1978" s="14">
        <v>2300</v>
      </c>
      <c r="P1978" s="14">
        <v>94.74</v>
      </c>
      <c r="Q1978" s="14">
        <v>120.98</v>
      </c>
      <c r="R1978" s="14">
        <v>49.6</v>
      </c>
      <c r="S1978" s="2" t="s">
        <v>1193</v>
      </c>
      <c r="T1978" s="2">
        <v>1.01</v>
      </c>
      <c r="U1978" s="2">
        <v>62.2</v>
      </c>
      <c r="V1978" s="2">
        <v>57</v>
      </c>
      <c r="W1978" s="2" t="s">
        <v>7862</v>
      </c>
      <c r="X1978" s="2" t="s">
        <v>5405</v>
      </c>
      <c r="Y1978" s="2">
        <v>943</v>
      </c>
      <c r="Z1978" s="19" t="str">
        <f>HYPERLINK("https://ssdweb.co/ssdweb/hd/Vision360.html?d=926100945&amp;zoomslide=1&amp;z=1926100945&amp;ISCONFIRM=0","VIDEO")</f>
        <v>VIDEO</v>
      </c>
      <c r="AA1978" s="19" t="str">
        <f>HYPERLINK("https://ssdweb.co/ssdweb/CERTH/644472266.pdf","CERTI")</f>
        <v>CERTI</v>
      </c>
    </row>
    <row r="1979" spans="1:27" ht="15" x14ac:dyDescent="0.25">
      <c r="A1979" s="2">
        <v>1974</v>
      </c>
      <c r="B1979" s="39">
        <v>926320835</v>
      </c>
      <c r="C1979" s="28" t="str">
        <f>HYPERLINK("https://pld.live/RapDetail.aspx?STONELIST=926320835","DNA")</f>
        <v>DNA</v>
      </c>
      <c r="D1979" s="18" t="s">
        <v>2802</v>
      </c>
      <c r="E1979" s="18" t="s">
        <v>5128</v>
      </c>
      <c r="F1979" s="2" t="s">
        <v>7987</v>
      </c>
      <c r="G1979" s="2" t="s">
        <v>861</v>
      </c>
      <c r="H1979" s="14">
        <v>0.41</v>
      </c>
      <c r="I1979" s="2" t="s">
        <v>267</v>
      </c>
      <c r="J1979" s="2" t="s">
        <v>13</v>
      </c>
      <c r="K1979" s="2" t="s">
        <v>3390</v>
      </c>
      <c r="L1979" s="2" t="s">
        <v>5721</v>
      </c>
      <c r="M1979" s="2" t="s">
        <v>5221</v>
      </c>
      <c r="N1979" s="2" t="s">
        <v>2317</v>
      </c>
      <c r="O1979" s="14">
        <v>2300</v>
      </c>
      <c r="P1979" s="14">
        <v>94.74</v>
      </c>
      <c r="Q1979" s="14">
        <v>120.98</v>
      </c>
      <c r="R1979" s="14">
        <v>49.6</v>
      </c>
      <c r="S1979" s="2" t="s">
        <v>4925</v>
      </c>
      <c r="T1979" s="2">
        <v>1.01</v>
      </c>
      <c r="U1979" s="2">
        <v>61.9</v>
      </c>
      <c r="V1979" s="2">
        <v>55</v>
      </c>
      <c r="W1979" s="2" t="s">
        <v>7862</v>
      </c>
      <c r="X1979" s="2" t="s">
        <v>5405</v>
      </c>
      <c r="Y1979" s="2">
        <v>943</v>
      </c>
      <c r="Z1979" s="19" t="str">
        <f>HYPERLINK("https://ssdweb.co/ssdweb/hd/Vision360.html?d=926320835&amp;zoomslide=1&amp;z=1926320835&amp;ISCONFIRM=0","VIDEO")</f>
        <v>VIDEO</v>
      </c>
      <c r="AA1979" s="19" t="str">
        <f>HYPERLINK("https://ssdweb.co/ssdweb/CERTH/640419108.pdf","CERTI")</f>
        <v>CERTI</v>
      </c>
    </row>
    <row r="1980" spans="1:27" ht="15" x14ac:dyDescent="0.25">
      <c r="A1980" s="2">
        <v>1975</v>
      </c>
      <c r="B1980" s="39">
        <v>926100956</v>
      </c>
      <c r="C1980" s="28" t="str">
        <f>HYPERLINK("https://pld.live/RapDetail.aspx?STONELIST=926100956","DNA")</f>
        <v>DNA</v>
      </c>
      <c r="D1980" s="18" t="s">
        <v>2802</v>
      </c>
      <c r="E1980" s="18" t="s">
        <v>5128</v>
      </c>
      <c r="F1980" s="2" t="s">
        <v>7987</v>
      </c>
      <c r="G1980" s="2" t="s">
        <v>861</v>
      </c>
      <c r="H1980" s="14">
        <v>0.41</v>
      </c>
      <c r="I1980" s="2" t="s">
        <v>267</v>
      </c>
      <c r="J1980" s="2" t="s">
        <v>13</v>
      </c>
      <c r="K1980" s="2" t="s">
        <v>3390</v>
      </c>
      <c r="L1980" s="2" t="s">
        <v>5721</v>
      </c>
      <c r="M1980" s="2" t="s">
        <v>5221</v>
      </c>
      <c r="N1980" s="2" t="s">
        <v>2317</v>
      </c>
      <c r="O1980" s="14">
        <v>2300</v>
      </c>
      <c r="P1980" s="14">
        <v>94.74</v>
      </c>
      <c r="Q1980" s="14">
        <v>120.98</v>
      </c>
      <c r="R1980" s="14">
        <v>49.6</v>
      </c>
      <c r="S1980" s="2" t="s">
        <v>4287</v>
      </c>
      <c r="T1980" s="2">
        <v>1.01</v>
      </c>
      <c r="U1980" s="2">
        <v>62.3</v>
      </c>
      <c r="V1980" s="2">
        <v>56</v>
      </c>
      <c r="W1980" s="2" t="s">
        <v>7862</v>
      </c>
      <c r="X1980" s="2" t="s">
        <v>5405</v>
      </c>
      <c r="Y1980" s="2">
        <v>943</v>
      </c>
      <c r="Z1980" s="19" t="str">
        <f>HYPERLINK("https://ssdweb.co/ssdweb/hd/Vision360.html?d=926100956&amp;zoomslide=1&amp;z=1926100956&amp;ISCONFIRM=0","VIDEO")</f>
        <v>VIDEO</v>
      </c>
      <c r="AA1980" s="19" t="str">
        <f>HYPERLINK("https://ssdweb.co/ssdweb/CERTH/644466809.pdf","CERTI")</f>
        <v>CERTI</v>
      </c>
    </row>
    <row r="1981" spans="1:27" ht="15" x14ac:dyDescent="0.25">
      <c r="A1981" s="2">
        <v>1976</v>
      </c>
      <c r="B1981" s="39">
        <v>941230176</v>
      </c>
      <c r="C1981" s="28" t="str">
        <f>HYPERLINK("https://pld.live/RapDetail.aspx?STONELIST=941230176","DNA")</f>
        <v>DNA</v>
      </c>
      <c r="D1981" s="18" t="s">
        <v>2802</v>
      </c>
      <c r="E1981" s="18" t="s">
        <v>2186</v>
      </c>
      <c r="F1981" s="2" t="s">
        <v>7987</v>
      </c>
      <c r="G1981" s="2" t="s">
        <v>861</v>
      </c>
      <c r="H1981" s="14">
        <v>0.41</v>
      </c>
      <c r="I1981" s="2" t="s">
        <v>267</v>
      </c>
      <c r="J1981" s="2" t="s">
        <v>13</v>
      </c>
      <c r="K1981" s="2" t="s">
        <v>5221</v>
      </c>
      <c r="L1981" s="2" t="s">
        <v>5221</v>
      </c>
      <c r="M1981" s="2" t="s">
        <v>5221</v>
      </c>
      <c r="N1981" s="2" t="s">
        <v>2317</v>
      </c>
      <c r="O1981" s="14">
        <v>2300</v>
      </c>
      <c r="P1981" s="14">
        <v>94.43</v>
      </c>
      <c r="Q1981" s="14">
        <v>128.11000000000001</v>
      </c>
      <c r="R1981" s="14">
        <v>52.53</v>
      </c>
      <c r="S1981" s="2" t="s">
        <v>6553</v>
      </c>
      <c r="T1981" s="2">
        <v>1</v>
      </c>
      <c r="U1981" s="2">
        <v>61.4</v>
      </c>
      <c r="V1981" s="2">
        <v>60</v>
      </c>
      <c r="W1981" s="2" t="s">
        <v>7862</v>
      </c>
      <c r="X1981" s="2" t="s">
        <v>5405</v>
      </c>
      <c r="Y1981" s="2">
        <v>943</v>
      </c>
      <c r="Z1981" s="19" t="str">
        <f>HYPERLINK("https://ssdweb.co/ssdweb/hd/Vision360.html?d=941230176&amp;zoomslide=1&amp;z=1941230176&amp;ISCONFIRM=0","VIDEO")</f>
        <v>VIDEO</v>
      </c>
      <c r="AA1981" s="19" t="str">
        <f>HYPERLINK("https://ssdweb.co/ssdweb/CERTH/678550373.pdf","CERTI")</f>
        <v>CERTI</v>
      </c>
    </row>
    <row r="1982" spans="1:27" ht="15" x14ac:dyDescent="0.25">
      <c r="A1982" s="2">
        <v>1977</v>
      </c>
      <c r="B1982" s="39">
        <v>925910459</v>
      </c>
      <c r="C1982" s="28" t="str">
        <f>HYPERLINK("https://pld.live/RapDetail.aspx?STONELIST=925910459","DNA")</f>
        <v>DNA</v>
      </c>
      <c r="D1982" s="18" t="s">
        <v>2802</v>
      </c>
      <c r="E1982" s="18" t="s">
        <v>5128</v>
      </c>
      <c r="F1982" s="2" t="s">
        <v>7987</v>
      </c>
      <c r="G1982" s="2" t="s">
        <v>861</v>
      </c>
      <c r="H1982" s="14">
        <v>0.41</v>
      </c>
      <c r="I1982" s="2" t="s">
        <v>267</v>
      </c>
      <c r="J1982" s="2" t="s">
        <v>13</v>
      </c>
      <c r="K1982" s="2" t="s">
        <v>5221</v>
      </c>
      <c r="L1982" s="2" t="s">
        <v>5221</v>
      </c>
      <c r="M1982" s="2" t="s">
        <v>5721</v>
      </c>
      <c r="N1982" s="2" t="s">
        <v>2317</v>
      </c>
      <c r="O1982" s="14">
        <v>2300</v>
      </c>
      <c r="P1982" s="14">
        <v>94.74</v>
      </c>
      <c r="Q1982" s="14">
        <v>120.98</v>
      </c>
      <c r="R1982" s="14">
        <v>49.6</v>
      </c>
      <c r="S1982" s="2" t="s">
        <v>1160</v>
      </c>
      <c r="T1982" s="2">
        <v>1.01</v>
      </c>
      <c r="U1982" s="2">
        <v>60.1</v>
      </c>
      <c r="V1982" s="2">
        <v>59</v>
      </c>
      <c r="W1982" s="2" t="s">
        <v>7862</v>
      </c>
      <c r="X1982" s="2" t="s">
        <v>5405</v>
      </c>
      <c r="Y1982" s="2">
        <v>943</v>
      </c>
      <c r="Z1982" s="19" t="str">
        <f>HYPERLINK("https://ssdweb.co/ssdweb/hd/Vision360.html?d=925910459&amp;zoomslide=1&amp;z=1925910459&amp;ISCONFIRM=0","VIDEO")</f>
        <v>VIDEO</v>
      </c>
      <c r="AA1982" s="19" t="str">
        <f>HYPERLINK("https://ssdweb.co/ssdweb/CERTH/644472366.pdf","CERTI")</f>
        <v>CERTI</v>
      </c>
    </row>
    <row r="1983" spans="1:27" ht="15" x14ac:dyDescent="0.25">
      <c r="A1983" s="2">
        <v>1978</v>
      </c>
      <c r="B1983" s="39">
        <v>821127844</v>
      </c>
      <c r="C1983" s="28" t="str">
        <f>HYPERLINK("https://pld.live/RapDetail.aspx?STONELIST=821127844","DNA")</f>
        <v>DNA</v>
      </c>
      <c r="D1983" s="18" t="s">
        <v>2802</v>
      </c>
      <c r="E1983" s="18" t="s">
        <v>5128</v>
      </c>
      <c r="F1983" s="2" t="s">
        <v>7987</v>
      </c>
      <c r="G1983" s="2" t="s">
        <v>861</v>
      </c>
      <c r="H1983" s="14">
        <v>0.41</v>
      </c>
      <c r="I1983" s="2" t="s">
        <v>267</v>
      </c>
      <c r="J1983" s="2" t="s">
        <v>13</v>
      </c>
      <c r="K1983" s="2" t="s">
        <v>5221</v>
      </c>
      <c r="L1983" s="2" t="s">
        <v>5221</v>
      </c>
      <c r="M1983" s="2" t="s">
        <v>5721</v>
      </c>
      <c r="N1983" s="2" t="s">
        <v>2317</v>
      </c>
      <c r="O1983" s="14">
        <v>2300</v>
      </c>
      <c r="P1983" s="14">
        <v>94.83</v>
      </c>
      <c r="Q1983" s="14">
        <v>118.91</v>
      </c>
      <c r="R1983" s="14">
        <v>48.75</v>
      </c>
      <c r="S1983" s="2" t="s">
        <v>5983</v>
      </c>
      <c r="T1983" s="2">
        <v>1.01</v>
      </c>
      <c r="U1983" s="2">
        <v>62.9</v>
      </c>
      <c r="V1983" s="2">
        <v>56</v>
      </c>
      <c r="W1983" s="2" t="s">
        <v>7862</v>
      </c>
      <c r="X1983" s="2" t="s">
        <v>5405</v>
      </c>
      <c r="Y1983" s="2">
        <v>943</v>
      </c>
      <c r="Z1983" s="19" t="str">
        <f>HYPERLINK("https://ssdweb.co/ssdweb/hd/Vision360.html?d=821127844&amp;zoomslide=1&amp;z=1821127844&amp;ISCONFIRM=0","VIDEO")</f>
        <v>VIDEO</v>
      </c>
      <c r="AA1983" s="19" t="str">
        <f>HYPERLINK("https://ssdweb.co/ssdweb/CERTH/633499560.pdf","CERTI")</f>
        <v>CERTI</v>
      </c>
    </row>
    <row r="1984" spans="1:27" ht="15" x14ac:dyDescent="0.25">
      <c r="A1984" s="2">
        <v>1979</v>
      </c>
      <c r="B1984" s="39">
        <v>941230302</v>
      </c>
      <c r="C1984" s="28" t="str">
        <f>HYPERLINK("https://pld.live/RapDetail.aspx?STONELIST=941230302","DNA")</f>
        <v>DNA</v>
      </c>
      <c r="D1984" s="18" t="s">
        <v>2802</v>
      </c>
      <c r="E1984" s="18" t="s">
        <v>2186</v>
      </c>
      <c r="F1984" s="2" t="s">
        <v>7987</v>
      </c>
      <c r="G1984" s="2" t="s">
        <v>861</v>
      </c>
      <c r="H1984" s="14">
        <v>0.41</v>
      </c>
      <c r="I1984" s="2" t="s">
        <v>267</v>
      </c>
      <c r="J1984" s="2" t="s">
        <v>5144</v>
      </c>
      <c r="K1984" s="2" t="s">
        <v>3390</v>
      </c>
      <c r="L1984" s="2" t="s">
        <v>5221</v>
      </c>
      <c r="M1984" s="2" t="s">
        <v>5221</v>
      </c>
      <c r="N1984" s="2" t="s">
        <v>2317</v>
      </c>
      <c r="O1984" s="14">
        <v>2100</v>
      </c>
      <c r="P1984" s="14">
        <v>93.95</v>
      </c>
      <c r="Q1984" s="14">
        <v>127.05</v>
      </c>
      <c r="R1984" s="14">
        <v>52.09</v>
      </c>
      <c r="S1984" s="2" t="s">
        <v>6193</v>
      </c>
      <c r="T1984" s="2">
        <v>1.01</v>
      </c>
      <c r="U1984" s="2">
        <v>60.9</v>
      </c>
      <c r="V1984" s="2">
        <v>58</v>
      </c>
      <c r="W1984" s="2" t="s">
        <v>7862</v>
      </c>
      <c r="X1984" s="2" t="s">
        <v>5405</v>
      </c>
      <c r="Y1984" s="2">
        <v>861</v>
      </c>
      <c r="Z1984" s="19" t="str">
        <f>HYPERLINK("https://ssdweb.co/ssdweb/hd/Vision360.html?d=941230302&amp;zoomslide=1&amp;z=1941230302&amp;ISCONFIRM=0","VIDEO")</f>
        <v>VIDEO</v>
      </c>
      <c r="AA1984" s="19" t="str">
        <f>HYPERLINK("https://ssdweb.co/ssdweb/CERTH/680505034.pdf","CERTI")</f>
        <v>CERTI</v>
      </c>
    </row>
    <row r="1985" spans="1:27" ht="15" x14ac:dyDescent="0.25">
      <c r="A1985" s="2">
        <v>1980</v>
      </c>
      <c r="B1985" s="39">
        <v>941180052</v>
      </c>
      <c r="C1985" s="28" t="str">
        <f>HYPERLINK("https://pld.live/RapDetail.aspx?STONELIST=941180052","DNA")</f>
        <v>DNA</v>
      </c>
      <c r="D1985" s="18" t="s">
        <v>2802</v>
      </c>
      <c r="E1985" s="18" t="s">
        <v>2186</v>
      </c>
      <c r="F1985" s="2" t="s">
        <v>7987</v>
      </c>
      <c r="G1985" s="2" t="s">
        <v>861</v>
      </c>
      <c r="H1985" s="14">
        <v>0.41</v>
      </c>
      <c r="I1985" s="2" t="s">
        <v>267</v>
      </c>
      <c r="J1985" s="2" t="s">
        <v>5144</v>
      </c>
      <c r="K1985" s="2" t="s">
        <v>3390</v>
      </c>
      <c r="L1985" s="2" t="s">
        <v>5221</v>
      </c>
      <c r="M1985" s="2" t="s">
        <v>5221</v>
      </c>
      <c r="N1985" s="2" t="s">
        <v>2317</v>
      </c>
      <c r="O1985" s="14">
        <v>2100</v>
      </c>
      <c r="P1985" s="14">
        <v>93.95</v>
      </c>
      <c r="Q1985" s="14">
        <v>127.05</v>
      </c>
      <c r="R1985" s="14">
        <v>52.09</v>
      </c>
      <c r="S1985" s="2" t="s">
        <v>5892</v>
      </c>
      <c r="T1985" s="2">
        <v>1</v>
      </c>
      <c r="U1985" s="2">
        <v>60.4</v>
      </c>
      <c r="V1985" s="2">
        <v>58</v>
      </c>
      <c r="W1985" s="2" t="s">
        <v>7862</v>
      </c>
      <c r="X1985" s="2" t="s">
        <v>5405</v>
      </c>
      <c r="Y1985" s="2">
        <v>861</v>
      </c>
      <c r="Z1985" s="19" t="str">
        <f>HYPERLINK("https://ssdweb.co/ssdweb/hd/Vision360.html?d=941180052&amp;zoomslide=1&amp;z=1941180052&amp;ISCONFIRM=0","VIDEO")</f>
        <v>VIDEO</v>
      </c>
      <c r="AA1985" s="19" t="str">
        <f>HYPERLINK("https://ssdweb.co/ssdweb/CERTH/675504536.pdf","CERTI")</f>
        <v>CERTI</v>
      </c>
    </row>
    <row r="1986" spans="1:27" ht="15" x14ac:dyDescent="0.25">
      <c r="A1986" s="2">
        <v>1981</v>
      </c>
      <c r="B1986" s="39">
        <v>925791273</v>
      </c>
      <c r="C1986" s="28" t="str">
        <f>HYPERLINK("https://pld.live/RapDetail.aspx?STONELIST=925791273","DNA")</f>
        <v>DNA</v>
      </c>
      <c r="D1986" s="18" t="s">
        <v>2802</v>
      </c>
      <c r="E1986" s="18" t="s">
        <v>5128</v>
      </c>
      <c r="F1986" s="2" t="s">
        <v>5597</v>
      </c>
      <c r="G1986" s="2" t="s">
        <v>861</v>
      </c>
      <c r="H1986" s="14">
        <v>0.41</v>
      </c>
      <c r="I1986" s="2" t="s">
        <v>267</v>
      </c>
      <c r="J1986" s="2" t="s">
        <v>5144</v>
      </c>
      <c r="K1986" s="2" t="s">
        <v>5221</v>
      </c>
      <c r="L1986" s="2" t="s">
        <v>5221</v>
      </c>
      <c r="M1986" s="2" t="s">
        <v>5221</v>
      </c>
      <c r="N1986" s="2" t="s">
        <v>2317</v>
      </c>
      <c r="O1986" s="14">
        <v>2100</v>
      </c>
      <c r="P1986" s="14">
        <v>90.19</v>
      </c>
      <c r="Q1986" s="14">
        <v>206.01</v>
      </c>
      <c r="R1986" s="14">
        <v>84.46</v>
      </c>
      <c r="S1986" s="2" t="s">
        <v>2873</v>
      </c>
      <c r="T1986" s="2">
        <v>1.01</v>
      </c>
      <c r="U1986" s="2">
        <v>62.5</v>
      </c>
      <c r="V1986" s="2">
        <v>56</v>
      </c>
      <c r="W1986" s="2" t="s">
        <v>7862</v>
      </c>
      <c r="X1986" s="2" t="s">
        <v>5405</v>
      </c>
      <c r="Y1986" s="2">
        <v>861</v>
      </c>
      <c r="Z1986" s="19" t="str">
        <f>HYPERLINK("https://ssdweb.co/ssdweb/hd/Vision360.html?d=925791273&amp;zoomslide=1&amp;z=1925791273&amp;ISCONFIRM=0","VIDEO")</f>
        <v>VIDEO</v>
      </c>
      <c r="AA1986" s="19" t="str">
        <f>HYPERLINK("https://ssdweb.co/ssdweb/CERTH/2486854543.pdf","CERTI")</f>
        <v>CERTI</v>
      </c>
    </row>
    <row r="1987" spans="1:27" ht="15" x14ac:dyDescent="0.25">
      <c r="A1987" s="2">
        <v>1982</v>
      </c>
      <c r="B1987" s="39">
        <v>925910777</v>
      </c>
      <c r="C1987" s="28" t="str">
        <f>HYPERLINK("https://pld.live/RapDetail.aspx?STONELIST=925910777","DNA")</f>
        <v>DNA</v>
      </c>
      <c r="D1987" s="18" t="s">
        <v>2802</v>
      </c>
      <c r="E1987" s="18" t="s">
        <v>5128</v>
      </c>
      <c r="F1987" s="2" t="s">
        <v>5597</v>
      </c>
      <c r="G1987" s="2" t="s">
        <v>861</v>
      </c>
      <c r="H1987" s="14">
        <v>0.41</v>
      </c>
      <c r="I1987" s="2" t="s">
        <v>267</v>
      </c>
      <c r="J1987" s="2" t="s">
        <v>5144</v>
      </c>
      <c r="K1987" s="2" t="s">
        <v>5221</v>
      </c>
      <c r="L1987" s="2" t="s">
        <v>5221</v>
      </c>
      <c r="M1987" s="2" t="s">
        <v>5221</v>
      </c>
      <c r="N1987" s="2" t="s">
        <v>2317</v>
      </c>
      <c r="O1987" s="14">
        <v>2100</v>
      </c>
      <c r="P1987" s="14">
        <v>90.19</v>
      </c>
      <c r="Q1987" s="14">
        <v>206.01</v>
      </c>
      <c r="R1987" s="14">
        <v>84.46</v>
      </c>
      <c r="S1987" s="2" t="s">
        <v>7739</v>
      </c>
      <c r="T1987" s="2">
        <v>1</v>
      </c>
      <c r="U1987" s="2">
        <v>62.7</v>
      </c>
      <c r="V1987" s="2">
        <v>56</v>
      </c>
      <c r="W1987" s="2" t="s">
        <v>7862</v>
      </c>
      <c r="X1987" s="2" t="s">
        <v>5405</v>
      </c>
      <c r="Y1987" s="2">
        <v>861</v>
      </c>
      <c r="Z1987" s="19" t="str">
        <f>HYPERLINK("https://ssdweb.co/ssdweb/hd/Vision360.html?d=925910777&amp;zoomslide=1&amp;z=1925910777&amp;ISCONFIRM=0","VIDEO")</f>
        <v>VIDEO</v>
      </c>
      <c r="AA1987" s="19" t="str">
        <f>HYPERLINK("https://ssdweb.co/ssdweb/CERTH/2497059141.pdf","CERTI")</f>
        <v>CERTI</v>
      </c>
    </row>
    <row r="1988" spans="1:27" ht="15" x14ac:dyDescent="0.25">
      <c r="A1988" s="2">
        <v>1983</v>
      </c>
      <c r="B1988" s="39">
        <v>926321221</v>
      </c>
      <c r="C1988" s="28" t="str">
        <f>HYPERLINK("https://pld.live/RapDetail.aspx?STONELIST=926321221","DNA")</f>
        <v>DNA</v>
      </c>
      <c r="D1988" s="18" t="s">
        <v>2802</v>
      </c>
      <c r="E1988" s="18" t="s">
        <v>5128</v>
      </c>
      <c r="F1988" s="2" t="s">
        <v>5597</v>
      </c>
      <c r="G1988" s="2" t="s">
        <v>861</v>
      </c>
      <c r="H1988" s="14">
        <v>0.41</v>
      </c>
      <c r="I1988" s="2" t="s">
        <v>267</v>
      </c>
      <c r="J1988" s="2" t="s">
        <v>5144</v>
      </c>
      <c r="K1988" s="2" t="s">
        <v>5221</v>
      </c>
      <c r="L1988" s="2" t="s">
        <v>5221</v>
      </c>
      <c r="M1988" s="2" t="s">
        <v>5221</v>
      </c>
      <c r="N1988" s="2" t="s">
        <v>2317</v>
      </c>
      <c r="O1988" s="14">
        <v>2100</v>
      </c>
      <c r="P1988" s="14">
        <v>90.1</v>
      </c>
      <c r="Q1988" s="14">
        <v>207.9</v>
      </c>
      <c r="R1988" s="14">
        <v>85.24</v>
      </c>
      <c r="S1988" s="2" t="s">
        <v>7864</v>
      </c>
      <c r="T1988" s="2">
        <v>1</v>
      </c>
      <c r="U1988" s="2">
        <v>61.6</v>
      </c>
      <c r="V1988" s="2">
        <v>58</v>
      </c>
      <c r="W1988" s="2" t="s">
        <v>7862</v>
      </c>
      <c r="X1988" s="2" t="s">
        <v>5405</v>
      </c>
      <c r="Y1988" s="2">
        <v>861</v>
      </c>
      <c r="Z1988" s="19" t="str">
        <f>HYPERLINK("https://ssdweb.co/ssdweb/hd/Vision360.html?d=926321221&amp;zoomslide=1&amp;z=1926321221&amp;ISCONFIRM=0","VIDEO")</f>
        <v>VIDEO</v>
      </c>
      <c r="AA1988" s="19" t="str">
        <f>HYPERLINK("https://ssdweb.co/ssdweb/CERTH/1495983945.pdf","CERTI")</f>
        <v>CERTI</v>
      </c>
    </row>
    <row r="1989" spans="1:27" ht="15" x14ac:dyDescent="0.25">
      <c r="A1989" s="2">
        <v>1984</v>
      </c>
      <c r="B1989" s="39">
        <v>924400020</v>
      </c>
      <c r="C1989" s="28" t="str">
        <f>HYPERLINK("https://pld.live/RapDetail.aspx?STONELIST=924400020","DNA")</f>
        <v>DNA</v>
      </c>
      <c r="D1989" s="18" t="s">
        <v>2802</v>
      </c>
      <c r="E1989" s="18" t="s">
        <v>5128</v>
      </c>
      <c r="F1989" s="2" t="s">
        <v>7987</v>
      </c>
      <c r="G1989" s="2" t="s">
        <v>861</v>
      </c>
      <c r="H1989" s="14">
        <v>0.41</v>
      </c>
      <c r="I1989" s="2" t="s">
        <v>267</v>
      </c>
      <c r="J1989" s="2" t="s">
        <v>444</v>
      </c>
      <c r="K1989" s="2" t="s">
        <v>3390</v>
      </c>
      <c r="L1989" s="2" t="s">
        <v>5221</v>
      </c>
      <c r="M1989" s="2" t="s">
        <v>5221</v>
      </c>
      <c r="N1989" s="2" t="s">
        <v>2317</v>
      </c>
      <c r="O1989" s="14">
        <v>2000</v>
      </c>
      <c r="P1989" s="14">
        <v>94.1</v>
      </c>
      <c r="Q1989" s="14">
        <v>118</v>
      </c>
      <c r="R1989" s="14">
        <v>48.38</v>
      </c>
      <c r="S1989" s="2" t="s">
        <v>1908</v>
      </c>
      <c r="T1989" s="2">
        <v>1.01</v>
      </c>
      <c r="U1989" s="2">
        <v>62.1</v>
      </c>
      <c r="V1989" s="2">
        <v>58</v>
      </c>
      <c r="W1989" s="2" t="s">
        <v>7862</v>
      </c>
      <c r="X1989" s="2" t="s">
        <v>5405</v>
      </c>
      <c r="Y1989" s="2">
        <v>820</v>
      </c>
      <c r="Z1989" s="19" t="str">
        <f>HYPERLINK("https://ssdweb.co/ssdweb/hd/Vision360.html?d=924400020&amp;zoomslide=1&amp;z=1924400020&amp;ISCONFIRM=0","VIDEO")</f>
        <v>VIDEO</v>
      </c>
      <c r="AA1989" s="19" t="str">
        <f>HYPERLINK("https://ssdweb.co/ssdweb/CERTH/588354744.pdf","CERTI")</f>
        <v>CERTI</v>
      </c>
    </row>
    <row r="1990" spans="1:27" ht="15" x14ac:dyDescent="0.25">
      <c r="A1990" s="2">
        <v>1985</v>
      </c>
      <c r="B1990" s="39">
        <v>924340800</v>
      </c>
      <c r="C1990" s="28" t="str">
        <f>HYPERLINK("https://pld.live/RapDetail.aspx?STONELIST=924340800","DNA")</f>
        <v>DNA</v>
      </c>
      <c r="D1990" s="18" t="s">
        <v>2802</v>
      </c>
      <c r="E1990" s="18" t="s">
        <v>5128</v>
      </c>
      <c r="F1990" s="2" t="s">
        <v>7987</v>
      </c>
      <c r="G1990" s="2" t="s">
        <v>861</v>
      </c>
      <c r="H1990" s="14">
        <v>0.41</v>
      </c>
      <c r="I1990" s="2" t="s">
        <v>267</v>
      </c>
      <c r="J1990" s="2" t="s">
        <v>444</v>
      </c>
      <c r="K1990" s="2" t="s">
        <v>3390</v>
      </c>
      <c r="L1990" s="2" t="s">
        <v>5221</v>
      </c>
      <c r="M1990" s="2" t="s">
        <v>5221</v>
      </c>
      <c r="N1990" s="2" t="s">
        <v>2317</v>
      </c>
      <c r="O1990" s="14">
        <v>2000</v>
      </c>
      <c r="P1990" s="14">
        <v>94.1</v>
      </c>
      <c r="Q1990" s="14">
        <v>118</v>
      </c>
      <c r="R1990" s="14">
        <v>48.38</v>
      </c>
      <c r="S1990" s="2" t="s">
        <v>6824</v>
      </c>
      <c r="T1990" s="2">
        <v>1.01</v>
      </c>
      <c r="U1990" s="2">
        <v>62.5</v>
      </c>
      <c r="V1990" s="2">
        <v>58</v>
      </c>
      <c r="W1990" s="2" t="s">
        <v>7862</v>
      </c>
      <c r="X1990" s="2" t="s">
        <v>5405</v>
      </c>
      <c r="Y1990" s="2">
        <v>820</v>
      </c>
      <c r="Z1990" s="19" t="str">
        <f>HYPERLINK("https://ssdweb.co/ssdweb/hd/Vision360.html?d=924340800&amp;zoomslide=1&amp;z=1924340800&amp;ISCONFIRM=0","VIDEO")</f>
        <v>VIDEO</v>
      </c>
      <c r="AA1990" s="19" t="str">
        <f>HYPERLINK("https://ssdweb.co/ssdweb/CERTH/586381179.pdf","CERTI")</f>
        <v>CERTI</v>
      </c>
    </row>
    <row r="1991" spans="1:27" ht="15" x14ac:dyDescent="0.25">
      <c r="A1991" s="2">
        <v>1986</v>
      </c>
      <c r="B1991" s="39">
        <v>924540061</v>
      </c>
      <c r="C1991" s="28" t="str">
        <f>HYPERLINK("https://pld.live/RapDetail.aspx?STONELIST=924540061","DNA")</f>
        <v>DNA</v>
      </c>
      <c r="D1991" s="18" t="s">
        <v>2802</v>
      </c>
      <c r="E1991" s="18" t="s">
        <v>5128</v>
      </c>
      <c r="F1991" s="2" t="s">
        <v>7987</v>
      </c>
      <c r="G1991" s="2" t="s">
        <v>861</v>
      </c>
      <c r="H1991" s="14">
        <v>0.41</v>
      </c>
      <c r="I1991" s="2" t="s">
        <v>267</v>
      </c>
      <c r="J1991" s="2" t="s">
        <v>444</v>
      </c>
      <c r="K1991" s="2" t="s">
        <v>5221</v>
      </c>
      <c r="L1991" s="2" t="s">
        <v>5221</v>
      </c>
      <c r="M1991" s="2" t="s">
        <v>5221</v>
      </c>
      <c r="N1991" s="2" t="s">
        <v>2317</v>
      </c>
      <c r="O1991" s="14">
        <v>2000</v>
      </c>
      <c r="P1991" s="14">
        <v>94.1</v>
      </c>
      <c r="Q1991" s="14">
        <v>118</v>
      </c>
      <c r="R1991" s="14">
        <v>48.38</v>
      </c>
      <c r="S1991" s="2" t="s">
        <v>6393</v>
      </c>
      <c r="T1991" s="2">
        <v>1</v>
      </c>
      <c r="U1991" s="2">
        <v>59</v>
      </c>
      <c r="V1991" s="2">
        <v>59</v>
      </c>
      <c r="W1991" s="2" t="s">
        <v>7862</v>
      </c>
      <c r="X1991" s="2" t="s">
        <v>5405</v>
      </c>
      <c r="Y1991" s="2">
        <v>820</v>
      </c>
      <c r="Z1991" s="19" t="str">
        <f>HYPERLINK("https://ssdweb.co/ssdweb/hd/Vision360.html?d=924540061&amp;zoomslide=1&amp;z=1924540061&amp;ISCONFIRM=0","VIDEO")</f>
        <v>VIDEO</v>
      </c>
      <c r="AA1991" s="19" t="str">
        <f>HYPERLINK("https://ssdweb.co/ssdweb/CERTH/592323755.pdf","CERTI")</f>
        <v>CERTI</v>
      </c>
    </row>
    <row r="1992" spans="1:27" ht="15" x14ac:dyDescent="0.25">
      <c r="A1992" s="2">
        <v>1987</v>
      </c>
      <c r="B1992" s="39">
        <v>926321110</v>
      </c>
      <c r="C1992" s="28" t="str">
        <f>HYPERLINK("https://pld.live/RapDetail.aspx?STONELIST=926321110","DNA")</f>
        <v>DNA</v>
      </c>
      <c r="D1992" s="18" t="s">
        <v>2802</v>
      </c>
      <c r="E1992" s="18" t="s">
        <v>5128</v>
      </c>
      <c r="F1992" s="2" t="s">
        <v>5597</v>
      </c>
      <c r="G1992" s="2" t="s">
        <v>861</v>
      </c>
      <c r="H1992" s="14">
        <v>0.41</v>
      </c>
      <c r="I1992" s="2" t="s">
        <v>267</v>
      </c>
      <c r="J1992" s="2" t="s">
        <v>444</v>
      </c>
      <c r="K1992" s="2" t="s">
        <v>5221</v>
      </c>
      <c r="L1992" s="2" t="s">
        <v>5221</v>
      </c>
      <c r="M1992" s="2" t="s">
        <v>5221</v>
      </c>
      <c r="N1992" s="2" t="s">
        <v>2317</v>
      </c>
      <c r="O1992" s="14">
        <v>2000</v>
      </c>
      <c r="P1992" s="14">
        <v>90.3</v>
      </c>
      <c r="Q1992" s="14">
        <v>194</v>
      </c>
      <c r="R1992" s="14">
        <v>79.540000000000006</v>
      </c>
      <c r="S1992" s="2" t="s">
        <v>7836</v>
      </c>
      <c r="T1992" s="2">
        <v>1</v>
      </c>
      <c r="U1992" s="2">
        <v>59.8</v>
      </c>
      <c r="V1992" s="2">
        <v>59</v>
      </c>
      <c r="W1992" s="2" t="s">
        <v>7862</v>
      </c>
      <c r="X1992" s="2" t="s">
        <v>5405</v>
      </c>
      <c r="Y1992" s="2">
        <v>820</v>
      </c>
      <c r="Z1992" s="19" t="str">
        <f>HYPERLINK("https://ssdweb.co/ssdweb/hd/Vision360.html?d=926321110&amp;zoomslide=1&amp;z=1926321110&amp;ISCONFIRM=0","VIDEO")</f>
        <v>VIDEO</v>
      </c>
      <c r="AA1992" s="19" t="str">
        <f>HYPERLINK("https://ssdweb.co/ssdweb/CERTH/5493938206.pdf","CERTI")</f>
        <v>CERTI</v>
      </c>
    </row>
    <row r="1993" spans="1:27" ht="15" x14ac:dyDescent="0.25">
      <c r="A1993" s="2">
        <v>1988</v>
      </c>
      <c r="B1993" s="39">
        <v>941270493</v>
      </c>
      <c r="C1993" s="28" t="str">
        <f>HYPERLINK("https://pld.live/RapDetail.aspx?STONELIST=941270493","DNA")</f>
        <v>DNA</v>
      </c>
      <c r="D1993" s="18" t="s">
        <v>2802</v>
      </c>
      <c r="E1993" s="18" t="s">
        <v>5128</v>
      </c>
      <c r="F1993" s="2" t="s">
        <v>7987</v>
      </c>
      <c r="G1993" s="2" t="s">
        <v>861</v>
      </c>
      <c r="H1993" s="14">
        <v>0.41</v>
      </c>
      <c r="I1993" s="2" t="s">
        <v>4761</v>
      </c>
      <c r="J1993" s="2" t="s">
        <v>3942</v>
      </c>
      <c r="K1993" s="2" t="s">
        <v>3390</v>
      </c>
      <c r="L1993" s="2" t="s">
        <v>5221</v>
      </c>
      <c r="M1993" s="2" t="s">
        <v>5221</v>
      </c>
      <c r="N1993" s="2" t="s">
        <v>2317</v>
      </c>
      <c r="O1993" s="14">
        <v>2300</v>
      </c>
      <c r="P1993" s="14">
        <v>94.13</v>
      </c>
      <c r="Q1993" s="14">
        <v>135.01</v>
      </c>
      <c r="R1993" s="14">
        <v>55.35</v>
      </c>
      <c r="S1993" s="2" t="s">
        <v>261</v>
      </c>
      <c r="T1993" s="2">
        <v>1</v>
      </c>
      <c r="U1993" s="2">
        <v>62</v>
      </c>
      <c r="V1993" s="2">
        <v>58</v>
      </c>
      <c r="W1993" s="2" t="s">
        <v>7862</v>
      </c>
      <c r="X1993" s="2" t="s">
        <v>5405</v>
      </c>
      <c r="Y1993" s="2">
        <v>943</v>
      </c>
      <c r="Z1993" s="19" t="str">
        <f>HYPERLINK("https://ssdweb.co/ssdweb/hd/Vision360.html?d=941270493&amp;zoomslide=1&amp;z=1941270493&amp;ISCONFIRM=0","VIDEO")</f>
        <v>VIDEO</v>
      </c>
      <c r="AA1993" s="19" t="str">
        <f>HYPERLINK("https://ssdweb.co/ssdweb/CERTH/681517236.pdf","CERTI")</f>
        <v>CERTI</v>
      </c>
    </row>
    <row r="1994" spans="1:27" ht="15" x14ac:dyDescent="0.25">
      <c r="A1994" s="2">
        <v>1989</v>
      </c>
      <c r="B1994" s="39">
        <v>925780699</v>
      </c>
      <c r="C1994" s="28" t="str">
        <f>HYPERLINK("https://pld.live/RapDetail.aspx?STONELIST=925780699","DNA")</f>
        <v>DNA</v>
      </c>
      <c r="D1994" s="18" t="s">
        <v>2802</v>
      </c>
      <c r="E1994" s="18" t="s">
        <v>5128</v>
      </c>
      <c r="F1994" s="2" t="s">
        <v>5597</v>
      </c>
      <c r="G1994" s="2" t="s">
        <v>861</v>
      </c>
      <c r="H1994" s="14">
        <v>0.41</v>
      </c>
      <c r="I1994" s="2" t="s">
        <v>4761</v>
      </c>
      <c r="J1994" s="2" t="s">
        <v>3942</v>
      </c>
      <c r="K1994" s="2" t="s">
        <v>5221</v>
      </c>
      <c r="L1994" s="2" t="s">
        <v>5221</v>
      </c>
      <c r="M1994" s="2" t="s">
        <v>5221</v>
      </c>
      <c r="N1994" s="2" t="s">
        <v>2317</v>
      </c>
      <c r="O1994" s="14">
        <v>2300</v>
      </c>
      <c r="P1994" s="14">
        <v>89.26</v>
      </c>
      <c r="Q1994" s="14">
        <v>247.02</v>
      </c>
      <c r="R1994" s="14">
        <v>101.28</v>
      </c>
      <c r="S1994" s="2" t="s">
        <v>3220</v>
      </c>
      <c r="T1994" s="2">
        <v>1.01</v>
      </c>
      <c r="U1994" s="2">
        <v>62</v>
      </c>
      <c r="V1994" s="2">
        <v>57</v>
      </c>
      <c r="W1994" s="2" t="s">
        <v>7862</v>
      </c>
      <c r="X1994" s="2" t="s">
        <v>5405</v>
      </c>
      <c r="Y1994" s="2">
        <v>943</v>
      </c>
      <c r="Z1994" s="19" t="str">
        <f>HYPERLINK("https://ssdweb.co/ssdweb/hd/Vision360.html?d=925780699&amp;zoomslide=1&amp;z=1925780699&amp;ISCONFIRM=0","VIDEO")</f>
        <v>VIDEO</v>
      </c>
      <c r="AA1994" s="19" t="str">
        <f>HYPERLINK("https://ssdweb.co/ssdweb/CERTH/6482765353.pdf","CERTI")</f>
        <v>CERTI</v>
      </c>
    </row>
    <row r="1995" spans="1:27" ht="15" x14ac:dyDescent="0.25">
      <c r="A1995" s="2">
        <v>1990</v>
      </c>
      <c r="B1995" s="39">
        <v>926321198</v>
      </c>
      <c r="C1995" s="28" t="str">
        <f>HYPERLINK("https://pld.live/RapDetail.aspx?STONELIST=926321198","DNA")</f>
        <v>DNA</v>
      </c>
      <c r="D1995" s="18" t="s">
        <v>2802</v>
      </c>
      <c r="E1995" s="18" t="s">
        <v>5128</v>
      </c>
      <c r="F1995" s="2" t="s">
        <v>5597</v>
      </c>
      <c r="G1995" s="2" t="s">
        <v>861</v>
      </c>
      <c r="H1995" s="14">
        <v>0.41</v>
      </c>
      <c r="I1995" s="2" t="s">
        <v>4761</v>
      </c>
      <c r="J1995" s="2" t="s">
        <v>3942</v>
      </c>
      <c r="K1995" s="2" t="s">
        <v>5221</v>
      </c>
      <c r="L1995" s="2" t="s">
        <v>5221</v>
      </c>
      <c r="M1995" s="2" t="s">
        <v>5221</v>
      </c>
      <c r="N1995" s="2" t="s">
        <v>2317</v>
      </c>
      <c r="O1995" s="14">
        <v>2300</v>
      </c>
      <c r="P1995" s="14">
        <v>89.17</v>
      </c>
      <c r="Q1995" s="14">
        <v>249.09</v>
      </c>
      <c r="R1995" s="14">
        <v>102.13</v>
      </c>
      <c r="S1995" s="2" t="s">
        <v>4176</v>
      </c>
      <c r="T1995" s="2">
        <v>1.01</v>
      </c>
      <c r="U1995" s="2">
        <v>62.2</v>
      </c>
      <c r="V1995" s="2">
        <v>56</v>
      </c>
      <c r="W1995" s="2" t="s">
        <v>7862</v>
      </c>
      <c r="X1995" s="2" t="s">
        <v>5405</v>
      </c>
      <c r="Y1995" s="2">
        <v>943</v>
      </c>
      <c r="Z1995" s="19" t="str">
        <f>HYPERLINK("https://ssdweb.co/ssdweb/hd/Vision360.html?d=926321198&amp;zoomslide=1&amp;z=1926321198&amp;ISCONFIRM=0","VIDEO")</f>
        <v>VIDEO</v>
      </c>
      <c r="AA1995" s="19" t="str">
        <f>HYPERLINK("https://ssdweb.co/ssdweb/CERTH/1498983916.pdf","CERTI")</f>
        <v>CERTI</v>
      </c>
    </row>
    <row r="1996" spans="1:27" ht="15" x14ac:dyDescent="0.25">
      <c r="A1996" s="2">
        <v>1991</v>
      </c>
      <c r="B1996" s="39">
        <v>926721340</v>
      </c>
      <c r="C1996" s="28" t="str">
        <f>HYPERLINK("https://pld.live/RapDetail.aspx?STONELIST=926721340","DNA")</f>
        <v>DNA</v>
      </c>
      <c r="D1996" s="18" t="s">
        <v>2802</v>
      </c>
      <c r="E1996" s="18" t="s">
        <v>5128</v>
      </c>
      <c r="F1996" s="2" t="s">
        <v>7987</v>
      </c>
      <c r="G1996" s="2" t="s">
        <v>861</v>
      </c>
      <c r="H1996" s="14">
        <v>0.41</v>
      </c>
      <c r="I1996" s="2" t="s">
        <v>4761</v>
      </c>
      <c r="J1996" s="2" t="s">
        <v>13</v>
      </c>
      <c r="K1996" s="2" t="s">
        <v>3390</v>
      </c>
      <c r="L1996" s="2" t="s">
        <v>5221</v>
      </c>
      <c r="M1996" s="2" t="s">
        <v>5221</v>
      </c>
      <c r="N1996" s="2" t="s">
        <v>2317</v>
      </c>
      <c r="O1996" s="14">
        <v>2100</v>
      </c>
      <c r="P1996" s="14">
        <v>94.1</v>
      </c>
      <c r="Q1996" s="14">
        <v>123.9</v>
      </c>
      <c r="R1996" s="14">
        <v>50.8</v>
      </c>
      <c r="S1996" s="2" t="s">
        <v>5747</v>
      </c>
      <c r="T1996" s="2">
        <v>1.01</v>
      </c>
      <c r="U1996" s="2">
        <v>60.8</v>
      </c>
      <c r="V1996" s="2">
        <v>56</v>
      </c>
      <c r="W1996" s="2" t="s">
        <v>7862</v>
      </c>
      <c r="X1996" s="2" t="s">
        <v>5405</v>
      </c>
      <c r="Y1996" s="2">
        <v>861</v>
      </c>
      <c r="Z1996" s="19" t="str">
        <f>HYPERLINK("https://ssdweb.co/ssdweb/hd/Vision360.html?d=926721340&amp;zoomslide=1&amp;z=1926721340&amp;ISCONFIRM=0","VIDEO")</f>
        <v>VIDEO</v>
      </c>
      <c r="AA1996" s="19" t="str">
        <f>HYPERLINK("https://ssdweb.co/ssdweb/CERTH/656412841.pdf","CERTI")</f>
        <v>CERTI</v>
      </c>
    </row>
    <row r="1997" spans="1:27" ht="15" x14ac:dyDescent="0.25">
      <c r="A1997" s="2">
        <v>1992</v>
      </c>
      <c r="B1997" s="39">
        <v>941270532</v>
      </c>
      <c r="C1997" s="28" t="str">
        <f>HYPERLINK("https://pld.live/RapDetail.aspx?STONELIST=941270532","DNA")</f>
        <v>DNA</v>
      </c>
      <c r="D1997" s="18" t="s">
        <v>2802</v>
      </c>
      <c r="E1997" s="18" t="s">
        <v>5128</v>
      </c>
      <c r="F1997" s="2" t="s">
        <v>7987</v>
      </c>
      <c r="G1997" s="2" t="s">
        <v>861</v>
      </c>
      <c r="H1997" s="14">
        <v>0.41</v>
      </c>
      <c r="I1997" s="2" t="s">
        <v>4761</v>
      </c>
      <c r="J1997" s="2" t="s">
        <v>13</v>
      </c>
      <c r="K1997" s="2" t="s">
        <v>3390</v>
      </c>
      <c r="L1997" s="2" t="s">
        <v>5221</v>
      </c>
      <c r="M1997" s="2" t="s">
        <v>5221</v>
      </c>
      <c r="N1997" s="2" t="s">
        <v>2317</v>
      </c>
      <c r="O1997" s="14">
        <v>2100</v>
      </c>
      <c r="P1997" s="14">
        <v>94</v>
      </c>
      <c r="Q1997" s="14">
        <v>126</v>
      </c>
      <c r="R1997" s="14">
        <v>51.66</v>
      </c>
      <c r="S1997" s="2" t="s">
        <v>5194</v>
      </c>
      <c r="T1997" s="2">
        <v>1</v>
      </c>
      <c r="U1997" s="2">
        <v>60.7</v>
      </c>
      <c r="V1997" s="2">
        <v>59</v>
      </c>
      <c r="W1997" s="2" t="s">
        <v>7862</v>
      </c>
      <c r="X1997" s="2" t="s">
        <v>5405</v>
      </c>
      <c r="Y1997" s="2">
        <v>861</v>
      </c>
      <c r="Z1997" s="19" t="str">
        <f>HYPERLINK("https://ssdweb.co/ssdweb/hd/Vision360.html?d=941270532&amp;zoomslide=1&amp;z=1941270532&amp;ISCONFIRM=0","VIDEO")</f>
        <v>VIDEO</v>
      </c>
      <c r="AA1997" s="19" t="str">
        <f>HYPERLINK("https://ssdweb.co/ssdweb/CERTH/681517238.pdf","CERTI")</f>
        <v>CERTI</v>
      </c>
    </row>
    <row r="1998" spans="1:27" ht="15" x14ac:dyDescent="0.25">
      <c r="A1998" s="2">
        <v>1993</v>
      </c>
      <c r="B1998" s="39">
        <v>941230305</v>
      </c>
      <c r="C1998" s="28" t="str">
        <f>HYPERLINK("https://pld.live/RapDetail.aspx?STONELIST=941230305","DNA")</f>
        <v>DNA</v>
      </c>
      <c r="D1998" s="18" t="s">
        <v>2802</v>
      </c>
      <c r="E1998" s="18" t="s">
        <v>2186</v>
      </c>
      <c r="F1998" s="2" t="s">
        <v>7987</v>
      </c>
      <c r="G1998" s="2" t="s">
        <v>861</v>
      </c>
      <c r="H1998" s="14">
        <v>0.41</v>
      </c>
      <c r="I1998" s="2" t="s">
        <v>4761</v>
      </c>
      <c r="J1998" s="2" t="s">
        <v>13</v>
      </c>
      <c r="K1998" s="2" t="s">
        <v>3390</v>
      </c>
      <c r="L1998" s="2" t="s">
        <v>5221</v>
      </c>
      <c r="M1998" s="2" t="s">
        <v>5221</v>
      </c>
      <c r="N1998" s="2" t="s">
        <v>2317</v>
      </c>
      <c r="O1998" s="14">
        <v>2100</v>
      </c>
      <c r="P1998" s="14">
        <v>94</v>
      </c>
      <c r="Q1998" s="14">
        <v>126</v>
      </c>
      <c r="R1998" s="14">
        <v>51.66</v>
      </c>
      <c r="S1998" s="2" t="s">
        <v>7206</v>
      </c>
      <c r="T1998" s="2">
        <v>1</v>
      </c>
      <c r="U1998" s="2">
        <v>61.1</v>
      </c>
      <c r="V1998" s="2">
        <v>59</v>
      </c>
      <c r="W1998" s="2" t="s">
        <v>7862</v>
      </c>
      <c r="X1998" s="2" t="s">
        <v>5405</v>
      </c>
      <c r="Y1998" s="2">
        <v>861</v>
      </c>
      <c r="Z1998" s="19" t="str">
        <f>HYPERLINK("https://ssdweb.co/ssdweb/hd/Vision360.html?d=941230305&amp;zoomslide=1&amp;z=1941230305&amp;ISCONFIRM=0","VIDEO")</f>
        <v>VIDEO</v>
      </c>
      <c r="AA1998" s="19" t="str">
        <f>HYPERLINK("https://ssdweb.co/ssdweb/CERTH/680505035.pdf","CERTI")</f>
        <v>CERTI</v>
      </c>
    </row>
    <row r="1999" spans="1:27" ht="15" x14ac:dyDescent="0.25">
      <c r="A1999" s="2">
        <v>1994</v>
      </c>
      <c r="B1999" s="39">
        <v>926120077</v>
      </c>
      <c r="C1999" s="28" t="str">
        <f>HYPERLINK("https://pld.live/RapDetail.aspx?STONELIST=926120077","DNA")</f>
        <v>DNA</v>
      </c>
      <c r="D1999" s="18" t="s">
        <v>2802</v>
      </c>
      <c r="E1999" s="18" t="s">
        <v>5128</v>
      </c>
      <c r="F1999" s="2" t="s">
        <v>7987</v>
      </c>
      <c r="G1999" s="2" t="s">
        <v>861</v>
      </c>
      <c r="H1999" s="14">
        <v>0.41</v>
      </c>
      <c r="I1999" s="2" t="s">
        <v>4761</v>
      </c>
      <c r="J1999" s="2" t="s">
        <v>13</v>
      </c>
      <c r="K1999" s="2" t="s">
        <v>5221</v>
      </c>
      <c r="L1999" s="2" t="s">
        <v>5221</v>
      </c>
      <c r="M1999" s="2" t="s">
        <v>5721</v>
      </c>
      <c r="N1999" s="2" t="s">
        <v>2317</v>
      </c>
      <c r="O1999" s="14">
        <v>2100</v>
      </c>
      <c r="P1999" s="14">
        <v>94.24</v>
      </c>
      <c r="Q1999" s="14">
        <v>120.96</v>
      </c>
      <c r="R1999" s="14">
        <v>49.59</v>
      </c>
      <c r="S1999" s="2" t="s">
        <v>6108</v>
      </c>
      <c r="T1999" s="2">
        <v>1.01</v>
      </c>
      <c r="U1999" s="2">
        <v>60.2</v>
      </c>
      <c r="V1999" s="2">
        <v>61</v>
      </c>
      <c r="W1999" s="2" t="s">
        <v>7862</v>
      </c>
      <c r="X1999" s="2" t="s">
        <v>5405</v>
      </c>
      <c r="Y1999" s="2">
        <v>861</v>
      </c>
      <c r="Z1999" s="19" t="str">
        <f>HYPERLINK("https://ssdweb.co/ssdweb/hd/Vision360.html?d=926120077&amp;zoomslide=1&amp;z=1926120077&amp;ISCONFIRM=0","VIDEO")</f>
        <v>VIDEO</v>
      </c>
      <c r="AA1999" s="19" t="str">
        <f>HYPERLINK("https://ssdweb.co/ssdweb/CERTH/660490511.pdf","CERTI")</f>
        <v>CERTI</v>
      </c>
    </row>
    <row r="2000" spans="1:27" ht="15" x14ac:dyDescent="0.25">
      <c r="A2000" s="2">
        <v>1995</v>
      </c>
      <c r="B2000" s="39">
        <v>941320726</v>
      </c>
      <c r="C2000" s="28" t="str">
        <f>HYPERLINK("https://pld.live/RapDetail.aspx?STONELIST=941320726","DNA")</f>
        <v>DNA</v>
      </c>
      <c r="D2000" s="18" t="s">
        <v>2802</v>
      </c>
      <c r="E2000" s="18" t="s">
        <v>5128</v>
      </c>
      <c r="F2000" s="2" t="s">
        <v>7987</v>
      </c>
      <c r="G2000" s="2" t="s">
        <v>861</v>
      </c>
      <c r="H2000" s="14">
        <v>0.4</v>
      </c>
      <c r="I2000" s="2" t="s">
        <v>267</v>
      </c>
      <c r="J2000" s="2" t="s">
        <v>6555</v>
      </c>
      <c r="K2000" s="2" t="s">
        <v>3390</v>
      </c>
      <c r="L2000" s="2" t="s">
        <v>5221</v>
      </c>
      <c r="M2000" s="2" t="s">
        <v>5221</v>
      </c>
      <c r="N2000" s="2" t="s">
        <v>2317</v>
      </c>
      <c r="O2000" s="14">
        <v>2900</v>
      </c>
      <c r="P2000" s="14">
        <v>94.72</v>
      </c>
      <c r="Q2000" s="14">
        <v>153.12</v>
      </c>
      <c r="R2000" s="14">
        <v>61.25</v>
      </c>
      <c r="S2000" s="2" t="s">
        <v>1023</v>
      </c>
      <c r="T2000" s="2">
        <v>1.01</v>
      </c>
      <c r="U2000" s="2">
        <v>61.3</v>
      </c>
      <c r="V2000" s="2">
        <v>58</v>
      </c>
      <c r="W2000" s="2" t="s">
        <v>7862</v>
      </c>
      <c r="X2000" s="2" t="s">
        <v>5405</v>
      </c>
      <c r="Y2000" s="2">
        <v>1160</v>
      </c>
      <c r="Z2000" s="19" t="str">
        <f>HYPERLINK("https://ssdweb.co/ssdweb/hd/Vision360.html?d=941320726&amp;zoomslide=1&amp;z=1941320726&amp;ISCONFIRM=0","VIDEO")</f>
        <v>VIDEO</v>
      </c>
      <c r="AA2000" s="19" t="str">
        <f>HYPERLINK("https://ssdweb.co/ssdweb/CERTH/684505063.pdf","CERTI")</f>
        <v>CERTI</v>
      </c>
    </row>
    <row r="2001" spans="1:27" ht="15" x14ac:dyDescent="0.25">
      <c r="A2001" s="2">
        <v>1996</v>
      </c>
      <c r="B2001" s="39">
        <v>941270359</v>
      </c>
      <c r="C2001" s="28" t="str">
        <f>HYPERLINK("https://pld.live/RapDetail.aspx?STONELIST=941270359","DNA")</f>
        <v>DNA</v>
      </c>
      <c r="D2001" s="18" t="s">
        <v>2802</v>
      </c>
      <c r="E2001" s="18" t="s">
        <v>5128</v>
      </c>
      <c r="F2001" s="2" t="s">
        <v>7987</v>
      </c>
      <c r="G2001" s="2" t="s">
        <v>861</v>
      </c>
      <c r="H2001" s="14">
        <v>0.4</v>
      </c>
      <c r="I2001" s="2" t="s">
        <v>267</v>
      </c>
      <c r="J2001" s="2" t="s">
        <v>3942</v>
      </c>
      <c r="K2001" s="2" t="s">
        <v>3390</v>
      </c>
      <c r="L2001" s="2" t="s">
        <v>5221</v>
      </c>
      <c r="M2001" s="2" t="s">
        <v>5221</v>
      </c>
      <c r="N2001" s="2" t="s">
        <v>2317</v>
      </c>
      <c r="O2001" s="14">
        <v>2500</v>
      </c>
      <c r="P2001" s="14">
        <v>94.56</v>
      </c>
      <c r="Q2001" s="14">
        <v>136</v>
      </c>
      <c r="R2001" s="14">
        <v>54.4</v>
      </c>
      <c r="S2001" s="2" t="s">
        <v>6099</v>
      </c>
      <c r="T2001" s="2">
        <v>1.01</v>
      </c>
      <c r="U2001" s="2">
        <v>62.3</v>
      </c>
      <c r="V2001" s="2">
        <v>56</v>
      </c>
      <c r="W2001" s="2" t="s">
        <v>7862</v>
      </c>
      <c r="X2001" s="2" t="s">
        <v>5405</v>
      </c>
      <c r="Y2001" s="2">
        <v>1000</v>
      </c>
      <c r="Z2001" s="19" t="str">
        <f>HYPERLINK("https://ssdweb.co/ssdweb/hd/Vision360.html?d=941270359&amp;zoomslide=1&amp;z=1941270359&amp;ISCONFIRM=0","VIDEO")</f>
        <v>VIDEO</v>
      </c>
      <c r="AA2001" s="19" t="str">
        <f>HYPERLINK("https://ssdweb.co/ssdweb/CERTH/680505031.pdf","CERTI")</f>
        <v>CERTI</v>
      </c>
    </row>
    <row r="2002" spans="1:27" ht="15" x14ac:dyDescent="0.25">
      <c r="A2002" s="2">
        <v>1997</v>
      </c>
      <c r="B2002" s="39">
        <v>926301167</v>
      </c>
      <c r="C2002" s="28" t="str">
        <f>HYPERLINK("https://pld.live/RapDetail.aspx?STONELIST=926301167","DNA")</f>
        <v>DNA</v>
      </c>
      <c r="D2002" s="18" t="s">
        <v>2802</v>
      </c>
      <c r="E2002" s="18" t="s">
        <v>5128</v>
      </c>
      <c r="F2002" s="2" t="s">
        <v>7987</v>
      </c>
      <c r="G2002" s="2" t="s">
        <v>861</v>
      </c>
      <c r="H2002" s="14">
        <v>0.4</v>
      </c>
      <c r="I2002" s="2" t="s">
        <v>267</v>
      </c>
      <c r="J2002" s="2" t="s">
        <v>3942</v>
      </c>
      <c r="K2002" s="2" t="s">
        <v>3390</v>
      </c>
      <c r="L2002" s="2" t="s">
        <v>5721</v>
      </c>
      <c r="M2002" s="2" t="s">
        <v>5721</v>
      </c>
      <c r="N2002" s="2" t="s">
        <v>2317</v>
      </c>
      <c r="O2002" s="14">
        <v>2500</v>
      </c>
      <c r="P2002" s="14">
        <v>94.96</v>
      </c>
      <c r="Q2002" s="14">
        <v>126</v>
      </c>
      <c r="R2002" s="14">
        <v>50.4</v>
      </c>
      <c r="S2002" s="2" t="s">
        <v>6542</v>
      </c>
      <c r="T2002" s="2">
        <v>1.01</v>
      </c>
      <c r="U2002" s="2">
        <v>60.7</v>
      </c>
      <c r="V2002" s="2">
        <v>60</v>
      </c>
      <c r="W2002" s="2" t="s">
        <v>7862</v>
      </c>
      <c r="X2002" s="2" t="s">
        <v>5405</v>
      </c>
      <c r="Y2002" s="2">
        <v>1000</v>
      </c>
      <c r="Z2002" s="19" t="str">
        <f>HYPERLINK("https://ssdweb.co/ssdweb/hd/Vision360.html?d=926301167&amp;zoomslide=1&amp;z=1926301167&amp;ISCONFIRM=0","VIDEO")</f>
        <v>VIDEO</v>
      </c>
      <c r="AA2002" s="19" t="str">
        <f>HYPERLINK("https://ssdweb.co/ssdweb/CERTH/649416419.pdf","CERTI")</f>
        <v>CERTI</v>
      </c>
    </row>
    <row r="2003" spans="1:27" ht="15" x14ac:dyDescent="0.25">
      <c r="A2003" s="2">
        <v>1998</v>
      </c>
      <c r="B2003" s="39">
        <v>941190756</v>
      </c>
      <c r="C2003" s="28" t="str">
        <f>HYPERLINK("https://pld.live/RapDetail.aspx?STONELIST=941190756","DNA")</f>
        <v>DNA</v>
      </c>
      <c r="D2003" s="18" t="s">
        <v>2802</v>
      </c>
      <c r="E2003" s="18" t="s">
        <v>5128</v>
      </c>
      <c r="F2003" s="2" t="s">
        <v>7987</v>
      </c>
      <c r="G2003" s="2" t="s">
        <v>861</v>
      </c>
      <c r="H2003" s="14">
        <v>0.4</v>
      </c>
      <c r="I2003" s="2" t="s">
        <v>267</v>
      </c>
      <c r="J2003" s="2" t="s">
        <v>3942</v>
      </c>
      <c r="K2003" s="2" t="s">
        <v>5221</v>
      </c>
      <c r="L2003" s="2" t="s">
        <v>5221</v>
      </c>
      <c r="M2003" s="2" t="s">
        <v>5221</v>
      </c>
      <c r="N2003" s="2" t="s">
        <v>2317</v>
      </c>
      <c r="O2003" s="14">
        <v>2500</v>
      </c>
      <c r="P2003" s="14">
        <v>94.56</v>
      </c>
      <c r="Q2003" s="14">
        <v>136</v>
      </c>
      <c r="R2003" s="14">
        <v>54.4</v>
      </c>
      <c r="S2003" s="2" t="s">
        <v>376</v>
      </c>
      <c r="T2003" s="2">
        <v>1</v>
      </c>
      <c r="U2003" s="2">
        <v>61.8</v>
      </c>
      <c r="V2003" s="2">
        <v>57</v>
      </c>
      <c r="W2003" s="2" t="s">
        <v>7862</v>
      </c>
      <c r="X2003" s="2" t="s">
        <v>5405</v>
      </c>
      <c r="Y2003" s="2">
        <v>1000</v>
      </c>
      <c r="Z2003" s="19" t="str">
        <f>HYPERLINK("https://ssdweb.co/ssdweb/hd/Vision360.html?d=941190756&amp;zoomslide=1&amp;z=1941190756&amp;ISCONFIRM=0","VIDEO")</f>
        <v>VIDEO</v>
      </c>
      <c r="AA2003" s="19" t="str">
        <f>HYPERLINK("https://ssdweb.co/ssdweb/CERTH/678550367.pdf","CERTI")</f>
        <v>CERTI</v>
      </c>
    </row>
    <row r="2004" spans="1:27" ht="15" x14ac:dyDescent="0.25">
      <c r="A2004" s="2">
        <v>1999</v>
      </c>
      <c r="B2004" s="39">
        <v>941270620</v>
      </c>
      <c r="C2004" s="28" t="str">
        <f>HYPERLINK("https://pld.live/RapDetail.aspx?STONELIST=941270620","DNA")</f>
        <v>DNA</v>
      </c>
      <c r="D2004" s="18" t="s">
        <v>2802</v>
      </c>
      <c r="E2004" s="18" t="s">
        <v>5128</v>
      </c>
      <c r="F2004" s="2" t="s">
        <v>7987</v>
      </c>
      <c r="G2004" s="2" t="s">
        <v>861</v>
      </c>
      <c r="H2004" s="14">
        <v>0.4</v>
      </c>
      <c r="I2004" s="2" t="s">
        <v>267</v>
      </c>
      <c r="J2004" s="2" t="s">
        <v>3942</v>
      </c>
      <c r="K2004" s="2" t="s">
        <v>5221</v>
      </c>
      <c r="L2004" s="2" t="s">
        <v>5221</v>
      </c>
      <c r="M2004" s="2" t="s">
        <v>5221</v>
      </c>
      <c r="N2004" s="2" t="s">
        <v>2317</v>
      </c>
      <c r="O2004" s="14">
        <v>2500</v>
      </c>
      <c r="P2004" s="14">
        <v>94.56</v>
      </c>
      <c r="Q2004" s="14">
        <v>136</v>
      </c>
      <c r="R2004" s="14">
        <v>54.4</v>
      </c>
      <c r="S2004" s="2" t="s">
        <v>6529</v>
      </c>
      <c r="T2004" s="2">
        <v>1.01</v>
      </c>
      <c r="U2004" s="2">
        <v>62.8</v>
      </c>
      <c r="V2004" s="2">
        <v>57</v>
      </c>
      <c r="W2004" s="2" t="s">
        <v>7862</v>
      </c>
      <c r="X2004" s="2" t="s">
        <v>5405</v>
      </c>
      <c r="Y2004" s="2">
        <v>1000</v>
      </c>
      <c r="Z2004" s="19" t="str">
        <f>HYPERLINK("https://ssdweb.co/ssdweb/hd/Vision360.html?d=941270620&amp;zoomslide=1&amp;z=1941270620&amp;ISCONFIRM=0","VIDEO")</f>
        <v>VIDEO</v>
      </c>
      <c r="AA2004" s="19" t="str">
        <f>HYPERLINK("https://ssdweb.co/ssdweb/CERTH/681569553.pdf","CERTI")</f>
        <v>CERTI</v>
      </c>
    </row>
    <row r="2005" spans="1:27" ht="15" x14ac:dyDescent="0.25">
      <c r="A2005" s="2">
        <v>2000</v>
      </c>
      <c r="B2005" s="39">
        <v>941190226</v>
      </c>
      <c r="C2005" s="28" t="str">
        <f>HYPERLINK("https://pld.live/RapDetail.aspx?STONELIST=941190226","DNA")</f>
        <v>DNA</v>
      </c>
      <c r="D2005" s="18" t="s">
        <v>2802</v>
      </c>
      <c r="E2005" s="18" t="s">
        <v>5128</v>
      </c>
      <c r="F2005" s="2" t="s">
        <v>7987</v>
      </c>
      <c r="G2005" s="2" t="s">
        <v>861</v>
      </c>
      <c r="H2005" s="14">
        <v>0.4</v>
      </c>
      <c r="I2005" s="2" t="s">
        <v>267</v>
      </c>
      <c r="J2005" s="2" t="s">
        <v>3942</v>
      </c>
      <c r="K2005" s="2" t="s">
        <v>5221</v>
      </c>
      <c r="L2005" s="2" t="s">
        <v>5221</v>
      </c>
      <c r="M2005" s="2" t="s">
        <v>5721</v>
      </c>
      <c r="N2005" s="2" t="s">
        <v>2317</v>
      </c>
      <c r="O2005" s="14">
        <v>2500</v>
      </c>
      <c r="P2005" s="14">
        <v>94.68</v>
      </c>
      <c r="Q2005" s="14">
        <v>133</v>
      </c>
      <c r="R2005" s="14">
        <v>53.2</v>
      </c>
      <c r="S2005" s="2" t="s">
        <v>6824</v>
      </c>
      <c r="T2005" s="2">
        <v>1.01</v>
      </c>
      <c r="U2005" s="2">
        <v>62.6</v>
      </c>
      <c r="V2005" s="2">
        <v>57</v>
      </c>
      <c r="W2005" s="2" t="s">
        <v>7862</v>
      </c>
      <c r="X2005" s="2" t="s">
        <v>5405</v>
      </c>
      <c r="Y2005" s="2">
        <v>1000</v>
      </c>
      <c r="Z2005" s="19" t="str">
        <f>HYPERLINK("https://ssdweb.co/ssdweb/hd/Vision360.html?d=941190226&amp;zoomslide=1&amp;z=1941190226&amp;ISCONFIRM=0","VIDEO")</f>
        <v>VIDEO</v>
      </c>
      <c r="AA2005" s="19" t="str">
        <f>HYPERLINK("https://ssdweb.co/ssdweb/CERTH/675596765.pdf","CERTI")</f>
        <v>CERTI</v>
      </c>
    </row>
    <row r="2006" spans="1:27" ht="15" x14ac:dyDescent="0.25">
      <c r="A2006" s="2">
        <v>2001</v>
      </c>
      <c r="B2006" s="39">
        <v>926300269</v>
      </c>
      <c r="C2006" s="28" t="str">
        <f>HYPERLINK("https://pld.live/RapDetail.aspx?STONELIST=926300269","DNA")</f>
        <v>DNA</v>
      </c>
      <c r="D2006" s="18" t="s">
        <v>2802</v>
      </c>
      <c r="E2006" s="18" t="s">
        <v>5128</v>
      </c>
      <c r="F2006" s="2" t="s">
        <v>7987</v>
      </c>
      <c r="G2006" s="2" t="s">
        <v>861</v>
      </c>
      <c r="H2006" s="14">
        <v>0.4</v>
      </c>
      <c r="I2006" s="2" t="s">
        <v>267</v>
      </c>
      <c r="J2006" s="2" t="s">
        <v>3942</v>
      </c>
      <c r="K2006" s="2" t="s">
        <v>5221</v>
      </c>
      <c r="L2006" s="2" t="s">
        <v>5721</v>
      </c>
      <c r="M2006" s="2" t="s">
        <v>5721</v>
      </c>
      <c r="N2006" s="2" t="s">
        <v>2317</v>
      </c>
      <c r="O2006" s="14">
        <v>2500</v>
      </c>
      <c r="P2006" s="14">
        <v>94.96</v>
      </c>
      <c r="Q2006" s="14">
        <v>126</v>
      </c>
      <c r="R2006" s="14">
        <v>50.4</v>
      </c>
      <c r="S2006" s="2" t="s">
        <v>2825</v>
      </c>
      <c r="T2006" s="2">
        <v>1</v>
      </c>
      <c r="U2006" s="2">
        <v>63.5</v>
      </c>
      <c r="V2006" s="2">
        <v>57</v>
      </c>
      <c r="W2006" s="2" t="s">
        <v>7862</v>
      </c>
      <c r="X2006" s="2" t="s">
        <v>5405</v>
      </c>
      <c r="Y2006" s="2">
        <v>1000</v>
      </c>
      <c r="Z2006" s="19" t="str">
        <f>HYPERLINK("https://ssdweb.co/ssdweb/hd/Vision360.html?d=926300269&amp;zoomslide=1&amp;z=1926300269&amp;ISCONFIRM=0","VIDEO")</f>
        <v>VIDEO</v>
      </c>
      <c r="AA2006" s="19" t="str">
        <f>HYPERLINK("https://ssdweb.co/ssdweb/CERTH/637467279.pdf","CERTI")</f>
        <v>CERTI</v>
      </c>
    </row>
    <row r="2007" spans="1:27" ht="15" x14ac:dyDescent="0.25">
      <c r="A2007" s="2">
        <v>2002</v>
      </c>
      <c r="B2007" s="39">
        <v>926550391</v>
      </c>
      <c r="C2007" s="28" t="str">
        <f>HYPERLINK("https://pld.live/RapDetail.aspx?STONELIST=926550391","DNA")</f>
        <v>DNA</v>
      </c>
      <c r="D2007" s="18" t="s">
        <v>2802</v>
      </c>
      <c r="E2007" s="18" t="s">
        <v>5128</v>
      </c>
      <c r="F2007" s="2" t="s">
        <v>7987</v>
      </c>
      <c r="G2007" s="2" t="s">
        <v>861</v>
      </c>
      <c r="H2007" s="14">
        <v>0.4</v>
      </c>
      <c r="I2007" s="2" t="s">
        <v>267</v>
      </c>
      <c r="J2007" s="2" t="s">
        <v>3942</v>
      </c>
      <c r="K2007" s="2" t="s">
        <v>5721</v>
      </c>
      <c r="L2007" s="2" t="s">
        <v>5721</v>
      </c>
      <c r="M2007" s="2" t="s">
        <v>5721</v>
      </c>
      <c r="N2007" s="2" t="s">
        <v>2317</v>
      </c>
      <c r="O2007" s="14">
        <v>2500</v>
      </c>
      <c r="P2007" s="14">
        <v>95.04</v>
      </c>
      <c r="Q2007" s="14">
        <v>124</v>
      </c>
      <c r="R2007" s="14">
        <v>49.6</v>
      </c>
      <c r="S2007" s="2" t="s">
        <v>973</v>
      </c>
      <c r="T2007" s="2">
        <v>1</v>
      </c>
      <c r="U2007" s="2">
        <v>63.1</v>
      </c>
      <c r="V2007" s="2">
        <v>56</v>
      </c>
      <c r="W2007" s="2" t="s">
        <v>7862</v>
      </c>
      <c r="X2007" s="2" t="s">
        <v>5405</v>
      </c>
      <c r="Y2007" s="2">
        <v>1000</v>
      </c>
      <c r="Z2007" s="19" t="str">
        <f>HYPERLINK("https://ssdweb.co/ssdweb/hd/Vision360.html?d=926550391&amp;zoomslide=1&amp;z=1926550391&amp;ISCONFIRM=0","VIDEO")</f>
        <v>VIDEO</v>
      </c>
      <c r="AA2007" s="19" t="str">
        <f>HYPERLINK("https://ssdweb.co/ssdweb/CERTH/646472822.pdf","CERTI")</f>
        <v>CERTI</v>
      </c>
    </row>
    <row r="2008" spans="1:27" ht="15" x14ac:dyDescent="0.25">
      <c r="A2008" s="2">
        <v>2003</v>
      </c>
      <c r="B2008" s="39">
        <v>941190098</v>
      </c>
      <c r="C2008" s="28" t="str">
        <f>HYPERLINK("https://pld.live/RapDetail.aspx?STONELIST=941190098","DNA")</f>
        <v>DNA</v>
      </c>
      <c r="D2008" s="18" t="s">
        <v>2802</v>
      </c>
      <c r="E2008" s="18" t="s">
        <v>5128</v>
      </c>
      <c r="F2008" s="2" t="s">
        <v>7987</v>
      </c>
      <c r="G2008" s="2" t="s">
        <v>861</v>
      </c>
      <c r="H2008" s="14">
        <v>0.4</v>
      </c>
      <c r="I2008" s="2" t="s">
        <v>267</v>
      </c>
      <c r="J2008" s="2" t="s">
        <v>13</v>
      </c>
      <c r="K2008" s="2" t="s">
        <v>3390</v>
      </c>
      <c r="L2008" s="2" t="s">
        <v>5221</v>
      </c>
      <c r="M2008" s="2" t="s">
        <v>5221</v>
      </c>
      <c r="N2008" s="2" t="s">
        <v>2317</v>
      </c>
      <c r="O2008" s="14">
        <v>2300</v>
      </c>
      <c r="P2008" s="14">
        <v>94.43</v>
      </c>
      <c r="Q2008" s="14">
        <v>128.11000000000001</v>
      </c>
      <c r="R2008" s="14">
        <v>51.24</v>
      </c>
      <c r="S2008" s="2" t="s">
        <v>1609</v>
      </c>
      <c r="T2008" s="2">
        <v>1</v>
      </c>
      <c r="U2008" s="2">
        <v>61.5</v>
      </c>
      <c r="V2008" s="2">
        <v>57</v>
      </c>
      <c r="W2008" s="2" t="s">
        <v>7862</v>
      </c>
      <c r="X2008" s="2" t="s">
        <v>5405</v>
      </c>
      <c r="Y2008" s="2">
        <v>920</v>
      </c>
      <c r="Z2008" s="19" t="str">
        <f>HYPERLINK("https://ssdweb.co/ssdweb/hd/Vision360.html?d=941190098&amp;zoomslide=1&amp;z=1941190098&amp;ISCONFIRM=0","VIDEO")</f>
        <v>VIDEO</v>
      </c>
      <c r="AA2008" s="19" t="str">
        <f>HYPERLINK("https://ssdweb.co/ssdweb/CERTH/675504527.pdf","CERTI")</f>
        <v>CERTI</v>
      </c>
    </row>
    <row r="2009" spans="1:27" ht="15" x14ac:dyDescent="0.25">
      <c r="A2009" s="2">
        <v>2004</v>
      </c>
      <c r="B2009" s="39">
        <v>941270730</v>
      </c>
      <c r="C2009" s="28" t="str">
        <f>HYPERLINK("https://pld.live/RapDetail.aspx?STONELIST=941270730","DNA")</f>
        <v>DNA</v>
      </c>
      <c r="D2009" s="18" t="s">
        <v>2802</v>
      </c>
      <c r="E2009" s="18" t="s">
        <v>5128</v>
      </c>
      <c r="F2009" s="2" t="s">
        <v>7987</v>
      </c>
      <c r="G2009" s="2" t="s">
        <v>861</v>
      </c>
      <c r="H2009" s="14">
        <v>0.4</v>
      </c>
      <c r="I2009" s="2" t="s">
        <v>267</v>
      </c>
      <c r="J2009" s="2" t="s">
        <v>13</v>
      </c>
      <c r="K2009" s="2" t="s">
        <v>3390</v>
      </c>
      <c r="L2009" s="2" t="s">
        <v>5221</v>
      </c>
      <c r="M2009" s="2" t="s">
        <v>5221</v>
      </c>
      <c r="N2009" s="2" t="s">
        <v>2317</v>
      </c>
      <c r="O2009" s="14">
        <v>2300</v>
      </c>
      <c r="P2009" s="14">
        <v>94.43</v>
      </c>
      <c r="Q2009" s="14">
        <v>128.11000000000001</v>
      </c>
      <c r="R2009" s="14">
        <v>51.24</v>
      </c>
      <c r="S2009" s="2" t="s">
        <v>2344</v>
      </c>
      <c r="T2009" s="2">
        <v>1</v>
      </c>
      <c r="U2009" s="2">
        <v>61.7</v>
      </c>
      <c r="V2009" s="2">
        <v>59</v>
      </c>
      <c r="W2009" s="2" t="s">
        <v>7862</v>
      </c>
      <c r="X2009" s="2" t="s">
        <v>5405</v>
      </c>
      <c r="Y2009" s="2">
        <v>920</v>
      </c>
      <c r="Z2009" s="19" t="str">
        <f>HYPERLINK("https://ssdweb.co/ssdweb/hd/Vision360.html?d=941270730&amp;zoomslide=1&amp;z=1941270730&amp;ISCONFIRM=0","VIDEO")</f>
        <v>VIDEO</v>
      </c>
      <c r="AA2009" s="19" t="str">
        <f>HYPERLINK("https://ssdweb.co/ssdweb/CERTH/684505042.pdf","CERTI")</f>
        <v>CERTI</v>
      </c>
    </row>
    <row r="2010" spans="1:27" ht="15" x14ac:dyDescent="0.25">
      <c r="A2010" s="2">
        <v>2005</v>
      </c>
      <c r="B2010" s="39">
        <v>941270609</v>
      </c>
      <c r="C2010" s="28" t="str">
        <f>HYPERLINK("https://pld.live/RapDetail.aspx?STONELIST=941270609","DNA")</f>
        <v>DNA</v>
      </c>
      <c r="D2010" s="18" t="s">
        <v>2802</v>
      </c>
      <c r="E2010" s="18" t="s">
        <v>5128</v>
      </c>
      <c r="F2010" s="2" t="s">
        <v>7987</v>
      </c>
      <c r="G2010" s="2" t="s">
        <v>861</v>
      </c>
      <c r="H2010" s="14">
        <v>0.4</v>
      </c>
      <c r="I2010" s="2" t="s">
        <v>267</v>
      </c>
      <c r="J2010" s="2" t="s">
        <v>13</v>
      </c>
      <c r="K2010" s="2" t="s">
        <v>3390</v>
      </c>
      <c r="L2010" s="2" t="s">
        <v>5221</v>
      </c>
      <c r="M2010" s="2" t="s">
        <v>5221</v>
      </c>
      <c r="N2010" s="2" t="s">
        <v>2317</v>
      </c>
      <c r="O2010" s="14">
        <v>2300</v>
      </c>
      <c r="P2010" s="14">
        <v>94.43</v>
      </c>
      <c r="Q2010" s="14">
        <v>128.11000000000001</v>
      </c>
      <c r="R2010" s="14">
        <v>51.24</v>
      </c>
      <c r="S2010" s="2" t="s">
        <v>7834</v>
      </c>
      <c r="T2010" s="2">
        <v>1.01</v>
      </c>
      <c r="U2010" s="2">
        <v>60</v>
      </c>
      <c r="V2010" s="2">
        <v>59</v>
      </c>
      <c r="W2010" s="2" t="s">
        <v>7862</v>
      </c>
      <c r="X2010" s="2" t="s">
        <v>5405</v>
      </c>
      <c r="Y2010" s="2">
        <v>920</v>
      </c>
      <c r="Z2010" s="19" t="str">
        <f>HYPERLINK("https://ssdweb.co/ssdweb/hd/Vision360.html?d=941270609&amp;zoomslide=1&amp;z=1941270609&amp;ISCONFIRM=0","VIDEO")</f>
        <v>VIDEO</v>
      </c>
      <c r="AA2010" s="19" t="str">
        <f>HYPERLINK("https://ssdweb.co/ssdweb/CERTH/681569549.pdf","CERTI")</f>
        <v>CERTI</v>
      </c>
    </row>
    <row r="2011" spans="1:27" ht="15" x14ac:dyDescent="0.25">
      <c r="A2011" s="2">
        <v>2006</v>
      </c>
      <c r="B2011" s="39">
        <v>941270704</v>
      </c>
      <c r="C2011" s="28" t="str">
        <f>HYPERLINK("https://pld.live/RapDetail.aspx?STONELIST=941270704","DNA")</f>
        <v>DNA</v>
      </c>
      <c r="D2011" s="18" t="s">
        <v>2802</v>
      </c>
      <c r="E2011" s="18" t="s">
        <v>5128</v>
      </c>
      <c r="F2011" s="2" t="s">
        <v>7987</v>
      </c>
      <c r="G2011" s="2" t="s">
        <v>861</v>
      </c>
      <c r="H2011" s="14">
        <v>0.4</v>
      </c>
      <c r="I2011" s="2" t="s">
        <v>267</v>
      </c>
      <c r="J2011" s="2" t="s">
        <v>13</v>
      </c>
      <c r="K2011" s="2" t="s">
        <v>3390</v>
      </c>
      <c r="L2011" s="2" t="s">
        <v>5221</v>
      </c>
      <c r="M2011" s="2" t="s">
        <v>5221</v>
      </c>
      <c r="N2011" s="2" t="s">
        <v>2317</v>
      </c>
      <c r="O2011" s="14">
        <v>2300</v>
      </c>
      <c r="P2011" s="14">
        <v>94.43</v>
      </c>
      <c r="Q2011" s="14">
        <v>128.11000000000001</v>
      </c>
      <c r="R2011" s="14">
        <v>51.24</v>
      </c>
      <c r="S2011" s="2" t="s">
        <v>4401</v>
      </c>
      <c r="T2011" s="2">
        <v>1</v>
      </c>
      <c r="U2011" s="2">
        <v>60</v>
      </c>
      <c r="V2011" s="2">
        <v>58</v>
      </c>
      <c r="W2011" s="2" t="s">
        <v>7862</v>
      </c>
      <c r="X2011" s="2" t="s">
        <v>5405</v>
      </c>
      <c r="Y2011" s="2">
        <v>920</v>
      </c>
      <c r="Z2011" s="19" t="str">
        <f>HYPERLINK("https://ssdweb.co/ssdweb/hd/Vision360.html?d=941270704&amp;zoomslide=1&amp;z=1941270704&amp;ISCONFIRM=0","VIDEO")</f>
        <v>VIDEO</v>
      </c>
      <c r="AA2011" s="19" t="str">
        <f>HYPERLINK("https://ssdweb.co/ssdweb/CERTH/684505059.pdf","CERTI")</f>
        <v>CERTI</v>
      </c>
    </row>
    <row r="2012" spans="1:27" ht="15" x14ac:dyDescent="0.25">
      <c r="A2012" s="2">
        <v>2007</v>
      </c>
      <c r="B2012" s="39">
        <v>941360296</v>
      </c>
      <c r="C2012" s="28" t="str">
        <f>HYPERLINK("https://pld.live/RapDetail.aspx?STONELIST=941360296","DNA")</f>
        <v>DNA</v>
      </c>
      <c r="D2012" s="18" t="s">
        <v>2802</v>
      </c>
      <c r="E2012" s="18" t="s">
        <v>2186</v>
      </c>
      <c r="F2012" s="2" t="s">
        <v>7987</v>
      </c>
      <c r="G2012" s="2" t="s">
        <v>861</v>
      </c>
      <c r="H2012" s="14">
        <v>0.4</v>
      </c>
      <c r="I2012" s="2" t="s">
        <v>267</v>
      </c>
      <c r="J2012" s="2" t="s">
        <v>13</v>
      </c>
      <c r="K2012" s="2" t="s">
        <v>3390</v>
      </c>
      <c r="L2012" s="2" t="s">
        <v>5221</v>
      </c>
      <c r="M2012" s="2" t="s">
        <v>5221</v>
      </c>
      <c r="N2012" s="2" t="s">
        <v>2317</v>
      </c>
      <c r="O2012" s="14">
        <v>2300</v>
      </c>
      <c r="P2012" s="14">
        <v>94.43</v>
      </c>
      <c r="Q2012" s="14">
        <v>128.11000000000001</v>
      </c>
      <c r="R2012" s="14">
        <v>51.24</v>
      </c>
      <c r="S2012" s="2" t="s">
        <v>4379</v>
      </c>
      <c r="T2012" s="2">
        <v>1</v>
      </c>
      <c r="U2012" s="2">
        <v>61</v>
      </c>
      <c r="V2012" s="2">
        <v>58</v>
      </c>
      <c r="W2012" s="2" t="s">
        <v>7862</v>
      </c>
      <c r="X2012" s="2" t="s">
        <v>5405</v>
      </c>
      <c r="Y2012" s="2">
        <v>920</v>
      </c>
      <c r="Z2012" s="19" t="str">
        <f>HYPERLINK("https://ssdweb.co/ssdweb/hd/Vision360.html?d=941360296&amp;zoomslide=1&amp;z=1941360296&amp;ISCONFIRM=0","VIDEO")</f>
        <v>VIDEO</v>
      </c>
      <c r="AA2012" s="19" t="str">
        <f>HYPERLINK("https://ssdweb.co/ssdweb/CERTH/685590581.pdf","CERTI")</f>
        <v>CERTI</v>
      </c>
    </row>
    <row r="2013" spans="1:27" ht="15" x14ac:dyDescent="0.25">
      <c r="A2013" s="2">
        <v>2008</v>
      </c>
      <c r="B2013" s="39">
        <v>941220598</v>
      </c>
      <c r="C2013" s="28" t="str">
        <f>HYPERLINK("https://pld.live/RapDetail.aspx?STONELIST=941220598","DNA")</f>
        <v>DNA</v>
      </c>
      <c r="D2013" s="18" t="s">
        <v>2802</v>
      </c>
      <c r="E2013" s="18" t="s">
        <v>2186</v>
      </c>
      <c r="F2013" s="2" t="s">
        <v>7987</v>
      </c>
      <c r="G2013" s="2" t="s">
        <v>861</v>
      </c>
      <c r="H2013" s="14">
        <v>0.4</v>
      </c>
      <c r="I2013" s="2" t="s">
        <v>267</v>
      </c>
      <c r="J2013" s="2" t="s">
        <v>13</v>
      </c>
      <c r="K2013" s="2" t="s">
        <v>3390</v>
      </c>
      <c r="L2013" s="2" t="s">
        <v>5221</v>
      </c>
      <c r="M2013" s="2" t="s">
        <v>5221</v>
      </c>
      <c r="N2013" s="2" t="s">
        <v>2317</v>
      </c>
      <c r="O2013" s="14">
        <v>2300</v>
      </c>
      <c r="P2013" s="14">
        <v>94.43</v>
      </c>
      <c r="Q2013" s="14">
        <v>128.11000000000001</v>
      </c>
      <c r="R2013" s="14">
        <v>51.24</v>
      </c>
      <c r="S2013" s="2" t="s">
        <v>1387</v>
      </c>
      <c r="T2013" s="2">
        <v>1</v>
      </c>
      <c r="U2013" s="2">
        <v>59.9</v>
      </c>
      <c r="V2013" s="2">
        <v>59</v>
      </c>
      <c r="W2013" s="2" t="s">
        <v>7862</v>
      </c>
      <c r="X2013" s="2" t="s">
        <v>5405</v>
      </c>
      <c r="Y2013" s="2">
        <v>920</v>
      </c>
      <c r="Z2013" s="19" t="str">
        <f>HYPERLINK("https://ssdweb.co/ssdweb/hd/Vision360.html?d=941220598&amp;zoomslide=1&amp;z=1941220598&amp;ISCONFIRM=0","VIDEO")</f>
        <v>VIDEO</v>
      </c>
      <c r="AA2013" s="19" t="str">
        <f>HYPERLINK("https://ssdweb.co/ssdweb/CERTH/681569571.pdf","CERTI")</f>
        <v>CERTI</v>
      </c>
    </row>
    <row r="2014" spans="1:27" ht="15" x14ac:dyDescent="0.25">
      <c r="A2014" s="2">
        <v>2009</v>
      </c>
      <c r="B2014" s="39">
        <v>941340589</v>
      </c>
      <c r="C2014" s="28" t="str">
        <f>HYPERLINK("https://pld.live/RapDetail.aspx?STONELIST=941340589","DNA")</f>
        <v>DNA</v>
      </c>
      <c r="D2014" s="18" t="s">
        <v>2802</v>
      </c>
      <c r="E2014" s="18" t="s">
        <v>2186</v>
      </c>
      <c r="F2014" s="2" t="s">
        <v>7987</v>
      </c>
      <c r="G2014" s="2" t="s">
        <v>861</v>
      </c>
      <c r="H2014" s="14">
        <v>0.4</v>
      </c>
      <c r="I2014" s="2" t="s">
        <v>267</v>
      </c>
      <c r="J2014" s="2" t="s">
        <v>13</v>
      </c>
      <c r="K2014" s="2" t="s">
        <v>3390</v>
      </c>
      <c r="L2014" s="2" t="s">
        <v>5221</v>
      </c>
      <c r="M2014" s="2" t="s">
        <v>5221</v>
      </c>
      <c r="N2014" s="2" t="s">
        <v>2317</v>
      </c>
      <c r="O2014" s="14">
        <v>2300</v>
      </c>
      <c r="P2014" s="14">
        <v>94.43</v>
      </c>
      <c r="Q2014" s="14">
        <v>128.11000000000001</v>
      </c>
      <c r="R2014" s="14">
        <v>51.24</v>
      </c>
      <c r="S2014" s="2" t="s">
        <v>7647</v>
      </c>
      <c r="T2014" s="2">
        <v>1.01</v>
      </c>
      <c r="U2014" s="2">
        <v>61.9</v>
      </c>
      <c r="V2014" s="2">
        <v>57</v>
      </c>
      <c r="W2014" s="2" t="s">
        <v>7862</v>
      </c>
      <c r="X2014" s="2" t="s">
        <v>5405</v>
      </c>
      <c r="Y2014" s="2">
        <v>920</v>
      </c>
      <c r="Z2014" s="19" t="str">
        <f>HYPERLINK("https://ssdweb.co/ssdweb/hd/Vision360.html?d=941340589&amp;zoomslide=1&amp;z=1941340589&amp;ISCONFIRM=0","VIDEO")</f>
        <v>VIDEO</v>
      </c>
      <c r="AA2014" s="19" t="str">
        <f>HYPERLINK("https://ssdweb.co/ssdweb/CERTH/685590564.pdf","CERTI")</f>
        <v>CERTI</v>
      </c>
    </row>
    <row r="2015" spans="1:27" ht="15" x14ac:dyDescent="0.25">
      <c r="A2015" s="2">
        <v>2010</v>
      </c>
      <c r="B2015" s="39">
        <v>941190330</v>
      </c>
      <c r="C2015" s="28" t="str">
        <f>HYPERLINK("https://pld.live/RapDetail.aspx?STONELIST=941190330","DNA")</f>
        <v>DNA</v>
      </c>
      <c r="D2015" s="18" t="s">
        <v>2802</v>
      </c>
      <c r="E2015" s="18" t="s">
        <v>5128</v>
      </c>
      <c r="F2015" s="2" t="s">
        <v>7987</v>
      </c>
      <c r="G2015" s="2" t="s">
        <v>861</v>
      </c>
      <c r="H2015" s="14">
        <v>0.4</v>
      </c>
      <c r="I2015" s="2" t="s">
        <v>267</v>
      </c>
      <c r="J2015" s="2" t="s">
        <v>13</v>
      </c>
      <c r="K2015" s="2" t="s">
        <v>3390</v>
      </c>
      <c r="L2015" s="2" t="s">
        <v>5221</v>
      </c>
      <c r="M2015" s="2" t="s">
        <v>5221</v>
      </c>
      <c r="N2015" s="2" t="s">
        <v>2317</v>
      </c>
      <c r="O2015" s="14">
        <v>2300</v>
      </c>
      <c r="P2015" s="14">
        <v>94.43</v>
      </c>
      <c r="Q2015" s="14">
        <v>128.11000000000001</v>
      </c>
      <c r="R2015" s="14">
        <v>51.24</v>
      </c>
      <c r="S2015" s="2" t="s">
        <v>1479</v>
      </c>
      <c r="T2015" s="2">
        <v>1.01</v>
      </c>
      <c r="U2015" s="2">
        <v>61.8</v>
      </c>
      <c r="V2015" s="2">
        <v>54</v>
      </c>
      <c r="W2015" s="2" t="s">
        <v>7862</v>
      </c>
      <c r="X2015" s="2" t="s">
        <v>5405</v>
      </c>
      <c r="Y2015" s="2">
        <v>920</v>
      </c>
      <c r="Z2015" s="19" t="str">
        <f>HYPERLINK("https://ssdweb.co/ssdweb/hd/Vision360.html?d=941190330&amp;zoomslide=1&amp;z=1941190330&amp;ISCONFIRM=0","VIDEO")</f>
        <v>VIDEO</v>
      </c>
      <c r="AA2015" s="19" t="str">
        <f>HYPERLINK("https://ssdweb.co/ssdweb/CERTH/675596847.pdf","CERTI")</f>
        <v>CERTI</v>
      </c>
    </row>
    <row r="2016" spans="1:27" ht="15" x14ac:dyDescent="0.25">
      <c r="A2016" s="2">
        <v>2011</v>
      </c>
      <c r="B2016" s="39">
        <v>941250011</v>
      </c>
      <c r="C2016" s="28" t="str">
        <f>HYPERLINK("https://pld.live/RapDetail.aspx?STONELIST=941250011","DNA")</f>
        <v>DNA</v>
      </c>
      <c r="D2016" s="18" t="s">
        <v>2802</v>
      </c>
      <c r="E2016" s="18" t="s">
        <v>2186</v>
      </c>
      <c r="F2016" s="2" t="s">
        <v>7987</v>
      </c>
      <c r="G2016" s="2" t="s">
        <v>861</v>
      </c>
      <c r="H2016" s="14">
        <v>0.4</v>
      </c>
      <c r="I2016" s="2" t="s">
        <v>267</v>
      </c>
      <c r="J2016" s="2" t="s">
        <v>13</v>
      </c>
      <c r="K2016" s="2" t="s">
        <v>3390</v>
      </c>
      <c r="L2016" s="2" t="s">
        <v>5221</v>
      </c>
      <c r="M2016" s="2" t="s">
        <v>5221</v>
      </c>
      <c r="N2016" s="2" t="s">
        <v>2317</v>
      </c>
      <c r="O2016" s="14">
        <v>2300</v>
      </c>
      <c r="P2016" s="14">
        <v>94.43</v>
      </c>
      <c r="Q2016" s="14">
        <v>128.11000000000001</v>
      </c>
      <c r="R2016" s="14">
        <v>51.24</v>
      </c>
      <c r="S2016" s="2" t="s">
        <v>361</v>
      </c>
      <c r="T2016" s="2">
        <v>1.01</v>
      </c>
      <c r="U2016" s="2">
        <v>60.1</v>
      </c>
      <c r="V2016" s="2">
        <v>60</v>
      </c>
      <c r="W2016" s="2" t="s">
        <v>7862</v>
      </c>
      <c r="X2016" s="2" t="s">
        <v>5405</v>
      </c>
      <c r="Y2016" s="2">
        <v>920</v>
      </c>
      <c r="Z2016" s="19" t="str">
        <f>HYPERLINK("https://ssdweb.co/ssdweb/hd/Vision360.html?d=941250011&amp;zoomslide=1&amp;z=1941250011&amp;ISCONFIRM=0","VIDEO")</f>
        <v>VIDEO</v>
      </c>
      <c r="AA2016" s="19" t="str">
        <f>HYPERLINK("https://ssdweb.co/ssdweb/CERTH/689587255.pdf","CERTI")</f>
        <v>CERTI</v>
      </c>
    </row>
    <row r="2017" spans="1:27" ht="15" x14ac:dyDescent="0.25">
      <c r="A2017" s="2">
        <v>2012</v>
      </c>
      <c r="B2017" s="39">
        <v>941190367</v>
      </c>
      <c r="C2017" s="28" t="str">
        <f>HYPERLINK("https://pld.live/RapDetail.aspx?STONELIST=941190367","DNA")</f>
        <v>DNA</v>
      </c>
      <c r="D2017" s="18" t="s">
        <v>2802</v>
      </c>
      <c r="E2017" s="18" t="s">
        <v>5128</v>
      </c>
      <c r="F2017" s="2" t="s">
        <v>7987</v>
      </c>
      <c r="G2017" s="2" t="s">
        <v>861</v>
      </c>
      <c r="H2017" s="14">
        <v>0.4</v>
      </c>
      <c r="I2017" s="2" t="s">
        <v>267</v>
      </c>
      <c r="J2017" s="2" t="s">
        <v>13</v>
      </c>
      <c r="K2017" s="2" t="s">
        <v>3390</v>
      </c>
      <c r="L2017" s="2" t="s">
        <v>5221</v>
      </c>
      <c r="M2017" s="2" t="s">
        <v>5221</v>
      </c>
      <c r="N2017" s="2" t="s">
        <v>2317</v>
      </c>
      <c r="O2017" s="14">
        <v>2300</v>
      </c>
      <c r="P2017" s="14">
        <v>94.43</v>
      </c>
      <c r="Q2017" s="14">
        <v>128.11000000000001</v>
      </c>
      <c r="R2017" s="14">
        <v>51.24</v>
      </c>
      <c r="S2017" s="2" t="s">
        <v>3189</v>
      </c>
      <c r="T2017" s="2">
        <v>1.01</v>
      </c>
      <c r="U2017" s="2">
        <v>62.3</v>
      </c>
      <c r="V2017" s="2">
        <v>57</v>
      </c>
      <c r="W2017" s="2" t="s">
        <v>7862</v>
      </c>
      <c r="X2017" s="2" t="s">
        <v>5405</v>
      </c>
      <c r="Y2017" s="2">
        <v>920</v>
      </c>
      <c r="Z2017" s="19" t="str">
        <f>HYPERLINK("https://ssdweb.co/ssdweb/hd/Vision360.html?d=941190367&amp;zoomslide=1&amp;z=1941190367&amp;ISCONFIRM=0","VIDEO")</f>
        <v>VIDEO</v>
      </c>
      <c r="AA2017" s="19" t="str">
        <f>HYPERLINK("https://ssdweb.co/ssdweb/CERTH/675596584.pdf","CERTI")</f>
        <v>CERTI</v>
      </c>
    </row>
    <row r="2018" spans="1:27" ht="15" x14ac:dyDescent="0.25">
      <c r="A2018" s="2">
        <v>2013</v>
      </c>
      <c r="B2018" s="39">
        <v>941220008</v>
      </c>
      <c r="C2018" s="28" t="str">
        <f>HYPERLINK("https://pld.live/RapDetail.aspx?STONELIST=941220008","DNA")</f>
        <v>DNA</v>
      </c>
      <c r="D2018" s="18" t="s">
        <v>2802</v>
      </c>
      <c r="E2018" s="18" t="s">
        <v>2186</v>
      </c>
      <c r="F2018" s="2" t="s">
        <v>7987</v>
      </c>
      <c r="G2018" s="2" t="s">
        <v>861</v>
      </c>
      <c r="H2018" s="14">
        <v>0.4</v>
      </c>
      <c r="I2018" s="2" t="s">
        <v>267</v>
      </c>
      <c r="J2018" s="2" t="s">
        <v>13</v>
      </c>
      <c r="K2018" s="2" t="s">
        <v>5221</v>
      </c>
      <c r="L2018" s="2" t="s">
        <v>5221</v>
      </c>
      <c r="M2018" s="2" t="s">
        <v>5221</v>
      </c>
      <c r="N2018" s="2" t="s">
        <v>2317</v>
      </c>
      <c r="O2018" s="14">
        <v>2300</v>
      </c>
      <c r="P2018" s="14">
        <v>94.43</v>
      </c>
      <c r="Q2018" s="14">
        <v>128.11000000000001</v>
      </c>
      <c r="R2018" s="14">
        <v>51.24</v>
      </c>
      <c r="S2018" s="2" t="s">
        <v>2267</v>
      </c>
      <c r="T2018" s="2">
        <v>1.01</v>
      </c>
      <c r="U2018" s="2">
        <v>60.9</v>
      </c>
      <c r="V2018" s="2">
        <v>58</v>
      </c>
      <c r="W2018" s="2" t="s">
        <v>7862</v>
      </c>
      <c r="X2018" s="2" t="s">
        <v>5405</v>
      </c>
      <c r="Y2018" s="2">
        <v>920</v>
      </c>
      <c r="Z2018" s="19" t="str">
        <f>HYPERLINK("https://ssdweb.co/ssdweb/hd/Vision360.html?d=941220008&amp;zoomslide=1&amp;z=1941220008&amp;ISCONFIRM=0","VIDEO")</f>
        <v>VIDEO</v>
      </c>
      <c r="AA2018" s="19" t="str">
        <f>HYPERLINK("https://ssdweb.co/ssdweb/CERTH/689587214.pdf","CERTI")</f>
        <v>CERTI</v>
      </c>
    </row>
    <row r="2019" spans="1:27" ht="15" x14ac:dyDescent="0.25">
      <c r="A2019" s="2">
        <v>2014</v>
      </c>
      <c r="B2019" s="39">
        <v>941350631</v>
      </c>
      <c r="C2019" s="28" t="str">
        <f>HYPERLINK("https://pld.live/RapDetail.aspx?STONELIST=941350631","DNA")</f>
        <v>DNA</v>
      </c>
      <c r="D2019" s="18" t="s">
        <v>2802</v>
      </c>
      <c r="E2019" s="18" t="s">
        <v>5128</v>
      </c>
      <c r="F2019" s="2" t="s">
        <v>7987</v>
      </c>
      <c r="G2019" s="2" t="s">
        <v>861</v>
      </c>
      <c r="H2019" s="14">
        <v>0.4</v>
      </c>
      <c r="I2019" s="2" t="s">
        <v>267</v>
      </c>
      <c r="J2019" s="2" t="s">
        <v>13</v>
      </c>
      <c r="K2019" s="2" t="s">
        <v>5221</v>
      </c>
      <c r="L2019" s="2" t="s">
        <v>5221</v>
      </c>
      <c r="M2019" s="2" t="s">
        <v>5221</v>
      </c>
      <c r="N2019" s="2" t="s">
        <v>2317</v>
      </c>
      <c r="O2019" s="14">
        <v>2300</v>
      </c>
      <c r="P2019" s="14">
        <v>94.43</v>
      </c>
      <c r="Q2019" s="14">
        <v>128.11000000000001</v>
      </c>
      <c r="R2019" s="14">
        <v>51.24</v>
      </c>
      <c r="S2019" s="2" t="s">
        <v>2526</v>
      </c>
      <c r="T2019" s="2">
        <v>1.01</v>
      </c>
      <c r="U2019" s="2">
        <v>61.9</v>
      </c>
      <c r="V2019" s="2">
        <v>57</v>
      </c>
      <c r="W2019" s="2" t="s">
        <v>7862</v>
      </c>
      <c r="X2019" s="2" t="s">
        <v>5405</v>
      </c>
      <c r="Y2019" s="2">
        <v>920</v>
      </c>
      <c r="Z2019" s="19" t="str">
        <f>HYPERLINK("https://ssdweb.co/ssdweb/hd/Vision360.html?d=941350631&amp;zoomslide=1&amp;z=1941350631&amp;ISCONFIRM=0","VIDEO")</f>
        <v>VIDEO</v>
      </c>
      <c r="AA2019" s="19" t="str">
        <f>HYPERLINK("https://ssdweb.co/ssdweb/CERTH/684505092.pdf","CERTI")</f>
        <v>CERTI</v>
      </c>
    </row>
    <row r="2020" spans="1:27" ht="15" x14ac:dyDescent="0.25">
      <c r="A2020" s="2">
        <v>2015</v>
      </c>
      <c r="B2020" s="39">
        <v>941250082</v>
      </c>
      <c r="C2020" s="28" t="str">
        <f>HYPERLINK("https://pld.live/RapDetail.aspx?STONELIST=941250082","DNA")</f>
        <v>DNA</v>
      </c>
      <c r="D2020" s="18" t="s">
        <v>2802</v>
      </c>
      <c r="E2020" s="18" t="s">
        <v>2186</v>
      </c>
      <c r="F2020" s="2" t="s">
        <v>7987</v>
      </c>
      <c r="G2020" s="2" t="s">
        <v>861</v>
      </c>
      <c r="H2020" s="14">
        <v>0.4</v>
      </c>
      <c r="I2020" s="2" t="s">
        <v>267</v>
      </c>
      <c r="J2020" s="2" t="s">
        <v>13</v>
      </c>
      <c r="K2020" s="2" t="s">
        <v>5221</v>
      </c>
      <c r="L2020" s="2" t="s">
        <v>5221</v>
      </c>
      <c r="M2020" s="2" t="s">
        <v>5221</v>
      </c>
      <c r="N2020" s="2" t="s">
        <v>2317</v>
      </c>
      <c r="O2020" s="14">
        <v>2300</v>
      </c>
      <c r="P2020" s="14">
        <v>94.43</v>
      </c>
      <c r="Q2020" s="14">
        <v>128.11000000000001</v>
      </c>
      <c r="R2020" s="14">
        <v>51.24</v>
      </c>
      <c r="S2020" s="2" t="s">
        <v>6601</v>
      </c>
      <c r="T2020" s="2">
        <v>1.01</v>
      </c>
      <c r="U2020" s="2">
        <v>62.1</v>
      </c>
      <c r="V2020" s="2">
        <v>59</v>
      </c>
      <c r="W2020" s="2" t="s">
        <v>7862</v>
      </c>
      <c r="X2020" s="2" t="s">
        <v>5405</v>
      </c>
      <c r="Y2020" s="2">
        <v>920</v>
      </c>
      <c r="Z2020" s="19" t="str">
        <f>HYPERLINK("https://ssdweb.co/ssdweb/hd/Vision360.html?d=941250082&amp;zoomslide=1&amp;z=1941250082&amp;ISCONFIRM=0","VIDEO")</f>
        <v>VIDEO</v>
      </c>
      <c r="AA2020" s="19" t="str">
        <f>HYPERLINK("https://ssdweb.co/ssdweb/CERTH/678550369.pdf","CERTI")</f>
        <v>CERTI</v>
      </c>
    </row>
    <row r="2021" spans="1:27" ht="15" x14ac:dyDescent="0.25">
      <c r="A2021" s="2">
        <v>2016</v>
      </c>
      <c r="B2021" s="39">
        <v>941270656</v>
      </c>
      <c r="C2021" s="28" t="str">
        <f>HYPERLINK("https://pld.live/RapDetail.aspx?STONELIST=941270656","DNA")</f>
        <v>DNA</v>
      </c>
      <c r="D2021" s="18" t="s">
        <v>2802</v>
      </c>
      <c r="E2021" s="18" t="s">
        <v>5128</v>
      </c>
      <c r="F2021" s="2" t="s">
        <v>7987</v>
      </c>
      <c r="G2021" s="2" t="s">
        <v>861</v>
      </c>
      <c r="H2021" s="14">
        <v>0.4</v>
      </c>
      <c r="I2021" s="2" t="s">
        <v>267</v>
      </c>
      <c r="J2021" s="2" t="s">
        <v>13</v>
      </c>
      <c r="K2021" s="2" t="s">
        <v>5221</v>
      </c>
      <c r="L2021" s="2" t="s">
        <v>5221</v>
      </c>
      <c r="M2021" s="2" t="s">
        <v>5221</v>
      </c>
      <c r="N2021" s="2" t="s">
        <v>2317</v>
      </c>
      <c r="O2021" s="14">
        <v>2300</v>
      </c>
      <c r="P2021" s="14">
        <v>94.43</v>
      </c>
      <c r="Q2021" s="14">
        <v>128.11000000000001</v>
      </c>
      <c r="R2021" s="14">
        <v>51.24</v>
      </c>
      <c r="S2021" s="2" t="s">
        <v>6164</v>
      </c>
      <c r="T2021" s="2">
        <v>1.01</v>
      </c>
      <c r="U2021" s="2">
        <v>63.1</v>
      </c>
      <c r="V2021" s="2">
        <v>57</v>
      </c>
      <c r="W2021" s="2" t="s">
        <v>7862</v>
      </c>
      <c r="X2021" s="2" t="s">
        <v>5405</v>
      </c>
      <c r="Y2021" s="2">
        <v>920</v>
      </c>
      <c r="Z2021" s="19" t="str">
        <f>HYPERLINK("https://ssdweb.co/ssdweb/hd/Vision360.html?d=941270656&amp;zoomslide=1&amp;z=1941270656&amp;ISCONFIRM=0","VIDEO")</f>
        <v>VIDEO</v>
      </c>
      <c r="AA2021" s="19" t="str">
        <f>HYPERLINK("https://ssdweb.co/ssdweb/CERTH/684505054.pdf","CERTI")</f>
        <v>CERTI</v>
      </c>
    </row>
    <row r="2022" spans="1:27" ht="15" x14ac:dyDescent="0.25">
      <c r="A2022" s="2">
        <v>2017</v>
      </c>
      <c r="B2022" s="39">
        <v>941270634</v>
      </c>
      <c r="C2022" s="28" t="str">
        <f>HYPERLINK("https://pld.live/RapDetail.aspx?STONELIST=941270634","DNA")</f>
        <v>DNA</v>
      </c>
      <c r="D2022" s="18" t="s">
        <v>2802</v>
      </c>
      <c r="E2022" s="18" t="s">
        <v>5128</v>
      </c>
      <c r="F2022" s="2" t="s">
        <v>7987</v>
      </c>
      <c r="G2022" s="2" t="s">
        <v>861</v>
      </c>
      <c r="H2022" s="14">
        <v>0.4</v>
      </c>
      <c r="I2022" s="2" t="s">
        <v>267</v>
      </c>
      <c r="J2022" s="2" t="s">
        <v>13</v>
      </c>
      <c r="K2022" s="2" t="s">
        <v>5221</v>
      </c>
      <c r="L2022" s="2" t="s">
        <v>5221</v>
      </c>
      <c r="M2022" s="2" t="s">
        <v>5221</v>
      </c>
      <c r="N2022" s="2" t="s">
        <v>2317</v>
      </c>
      <c r="O2022" s="14">
        <v>2300</v>
      </c>
      <c r="P2022" s="14">
        <v>94.43</v>
      </c>
      <c r="Q2022" s="14">
        <v>128.11000000000001</v>
      </c>
      <c r="R2022" s="14">
        <v>51.24</v>
      </c>
      <c r="S2022" s="2" t="s">
        <v>4813</v>
      </c>
      <c r="T2022" s="2">
        <v>1.01</v>
      </c>
      <c r="U2022" s="2">
        <v>59.7</v>
      </c>
      <c r="V2022" s="2">
        <v>58</v>
      </c>
      <c r="W2022" s="2" t="s">
        <v>7862</v>
      </c>
      <c r="X2022" s="2" t="s">
        <v>5405</v>
      </c>
      <c r="Y2022" s="2">
        <v>920</v>
      </c>
      <c r="Z2022" s="19" t="str">
        <f>HYPERLINK("https://ssdweb.co/ssdweb/hd/Vision360.html?d=941270634&amp;zoomslide=1&amp;z=1941270634&amp;ISCONFIRM=0","VIDEO")</f>
        <v>VIDEO</v>
      </c>
      <c r="AA2022" s="19" t="str">
        <f>HYPERLINK("https://ssdweb.co/ssdweb/CERTH/684505078.pdf","CERTI")</f>
        <v>CERTI</v>
      </c>
    </row>
    <row r="2023" spans="1:27" ht="15" x14ac:dyDescent="0.25">
      <c r="A2023" s="2">
        <v>2018</v>
      </c>
      <c r="B2023" s="39">
        <v>941230117</v>
      </c>
      <c r="C2023" s="28" t="str">
        <f>HYPERLINK("https://pld.live/RapDetail.aspx?STONELIST=941230117","DNA")</f>
        <v>DNA</v>
      </c>
      <c r="D2023" s="18" t="s">
        <v>2802</v>
      </c>
      <c r="E2023" s="18" t="s">
        <v>2186</v>
      </c>
      <c r="F2023" s="2" t="s">
        <v>7987</v>
      </c>
      <c r="G2023" s="2" t="s">
        <v>861</v>
      </c>
      <c r="H2023" s="14">
        <v>0.4</v>
      </c>
      <c r="I2023" s="2" t="s">
        <v>267</v>
      </c>
      <c r="J2023" s="2" t="s">
        <v>13</v>
      </c>
      <c r="K2023" s="2" t="s">
        <v>5221</v>
      </c>
      <c r="L2023" s="2" t="s">
        <v>5221</v>
      </c>
      <c r="M2023" s="2" t="s">
        <v>5221</v>
      </c>
      <c r="N2023" s="2" t="s">
        <v>2317</v>
      </c>
      <c r="O2023" s="14">
        <v>2300</v>
      </c>
      <c r="P2023" s="14">
        <v>94.43</v>
      </c>
      <c r="Q2023" s="14">
        <v>128.11000000000001</v>
      </c>
      <c r="R2023" s="14">
        <v>51.24</v>
      </c>
      <c r="S2023" s="2" t="s">
        <v>4017</v>
      </c>
      <c r="T2023" s="2">
        <v>1.01</v>
      </c>
      <c r="U2023" s="2">
        <v>63.6</v>
      </c>
      <c r="V2023" s="2">
        <v>58</v>
      </c>
      <c r="W2023" s="2" t="s">
        <v>7862</v>
      </c>
      <c r="X2023" s="2" t="s">
        <v>5405</v>
      </c>
      <c r="Y2023" s="2">
        <v>920</v>
      </c>
      <c r="Z2023" s="19" t="str">
        <f>HYPERLINK("https://ssdweb.co/ssdweb/hd/Vision360.html?d=941230117&amp;zoomslide=1&amp;z=1941230117&amp;ISCONFIRM=0","VIDEO")</f>
        <v>VIDEO</v>
      </c>
      <c r="AA2023" s="19" t="str">
        <f>HYPERLINK("https://ssdweb.co/ssdweb/CERTH/689587254.pdf","CERTI")</f>
        <v>CERTI</v>
      </c>
    </row>
    <row r="2024" spans="1:27" ht="15" x14ac:dyDescent="0.25">
      <c r="A2024" s="2">
        <v>2019</v>
      </c>
      <c r="B2024" s="39">
        <v>926300536</v>
      </c>
      <c r="C2024" s="28" t="str">
        <f>HYPERLINK("https://pld.live/RapDetail.aspx?STONELIST=926300536","DNA")</f>
        <v>DNA</v>
      </c>
      <c r="D2024" s="18" t="s">
        <v>2802</v>
      </c>
      <c r="E2024" s="18" t="s">
        <v>5128</v>
      </c>
      <c r="F2024" s="2" t="s">
        <v>7987</v>
      </c>
      <c r="G2024" s="2" t="s">
        <v>861</v>
      </c>
      <c r="H2024" s="14">
        <v>0.4</v>
      </c>
      <c r="I2024" s="2" t="s">
        <v>267</v>
      </c>
      <c r="J2024" s="2" t="s">
        <v>13</v>
      </c>
      <c r="K2024" s="2" t="s">
        <v>5221</v>
      </c>
      <c r="L2024" s="2" t="s">
        <v>5721</v>
      </c>
      <c r="M2024" s="2" t="s">
        <v>5721</v>
      </c>
      <c r="N2024" s="2" t="s">
        <v>2317</v>
      </c>
      <c r="O2024" s="14">
        <v>2300</v>
      </c>
      <c r="P2024" s="14">
        <v>94.87</v>
      </c>
      <c r="Q2024" s="14">
        <v>117.99</v>
      </c>
      <c r="R2024" s="14">
        <v>47.2</v>
      </c>
      <c r="S2024" s="2" t="s">
        <v>6690</v>
      </c>
      <c r="T2024" s="2">
        <v>1</v>
      </c>
      <c r="U2024" s="2">
        <v>60.4</v>
      </c>
      <c r="V2024" s="2">
        <v>61</v>
      </c>
      <c r="W2024" s="2" t="s">
        <v>7862</v>
      </c>
      <c r="X2024" s="2" t="s">
        <v>5405</v>
      </c>
      <c r="Y2024" s="2">
        <v>920</v>
      </c>
      <c r="Z2024" s="19" t="str">
        <f>HYPERLINK("https://ssdweb.co/ssdweb/hd/Vision360.html?d=926300536&amp;zoomslide=1&amp;z=1926300536&amp;ISCONFIRM=0","VIDEO")</f>
        <v>VIDEO</v>
      </c>
      <c r="AA2024" s="19" t="str">
        <f>HYPERLINK("https://ssdweb.co/ssdweb/CERTH/637467337.pdf","CERTI")</f>
        <v>CERTI</v>
      </c>
    </row>
    <row r="2025" spans="1:27" ht="15" x14ac:dyDescent="0.25">
      <c r="A2025" s="2">
        <v>2020</v>
      </c>
      <c r="B2025" s="39">
        <v>926771182</v>
      </c>
      <c r="C2025" s="28" t="str">
        <f>HYPERLINK("https://pld.live/RapDetail.aspx?STONELIST=926771182","DNA")</f>
        <v>DNA</v>
      </c>
      <c r="D2025" s="18" t="s">
        <v>2802</v>
      </c>
      <c r="E2025" s="18" t="s">
        <v>5128</v>
      </c>
      <c r="F2025" s="2" t="s">
        <v>7987</v>
      </c>
      <c r="G2025" s="2" t="s">
        <v>861</v>
      </c>
      <c r="H2025" s="14">
        <v>0.4</v>
      </c>
      <c r="I2025" s="2" t="s">
        <v>267</v>
      </c>
      <c r="J2025" s="2" t="s">
        <v>5144</v>
      </c>
      <c r="K2025" s="2" t="s">
        <v>3390</v>
      </c>
      <c r="L2025" s="2" t="s">
        <v>5221</v>
      </c>
      <c r="M2025" s="2" t="s">
        <v>5721</v>
      </c>
      <c r="N2025" s="2" t="s">
        <v>2317</v>
      </c>
      <c r="O2025" s="14">
        <v>2100</v>
      </c>
      <c r="P2025" s="14">
        <v>94.19</v>
      </c>
      <c r="Q2025" s="14">
        <v>122.01</v>
      </c>
      <c r="R2025" s="14">
        <v>48.8</v>
      </c>
      <c r="S2025" s="2" t="s">
        <v>1479</v>
      </c>
      <c r="T2025" s="2">
        <v>1.01</v>
      </c>
      <c r="U2025" s="2">
        <v>61.9</v>
      </c>
      <c r="V2025" s="2">
        <v>58</v>
      </c>
      <c r="W2025" s="2" t="s">
        <v>7862</v>
      </c>
      <c r="X2025" s="2" t="s">
        <v>5405</v>
      </c>
      <c r="Y2025" s="2">
        <v>840</v>
      </c>
      <c r="Z2025" s="19" t="str">
        <f>HYPERLINK("https://ssdweb.co/ssdweb/hd/Vision360.html?d=926771182&amp;zoomslide=1&amp;z=1926771182&amp;ISCONFIRM=0","VIDEO")</f>
        <v>VIDEO</v>
      </c>
      <c r="AA2025" s="19" t="str">
        <f>HYPERLINK("https://ssdweb.co/ssdweb/CERTH/660490537.pdf","CERTI")</f>
        <v>CERTI</v>
      </c>
    </row>
    <row r="2026" spans="1:27" ht="15" x14ac:dyDescent="0.25">
      <c r="A2026" s="2">
        <v>2021</v>
      </c>
      <c r="B2026" s="39">
        <v>926341611</v>
      </c>
      <c r="C2026" s="28" t="str">
        <f>HYPERLINK("https://pld.live/RapDetail.aspx?STONELIST=926341611","DNA")</f>
        <v>DNA</v>
      </c>
      <c r="D2026" s="18" t="s">
        <v>2802</v>
      </c>
      <c r="E2026" s="18" t="s">
        <v>5128</v>
      </c>
      <c r="F2026" s="2" t="s">
        <v>7987</v>
      </c>
      <c r="G2026" s="2" t="s">
        <v>861</v>
      </c>
      <c r="H2026" s="14">
        <v>0.4</v>
      </c>
      <c r="I2026" s="2" t="s">
        <v>267</v>
      </c>
      <c r="J2026" s="2" t="s">
        <v>5144</v>
      </c>
      <c r="K2026" s="2" t="s">
        <v>3390</v>
      </c>
      <c r="L2026" s="2" t="s">
        <v>5221</v>
      </c>
      <c r="M2026" s="2" t="s">
        <v>5721</v>
      </c>
      <c r="N2026" s="2" t="s">
        <v>2317</v>
      </c>
      <c r="O2026" s="14">
        <v>2100</v>
      </c>
      <c r="P2026" s="14">
        <v>94.29</v>
      </c>
      <c r="Q2026" s="14">
        <v>119.91</v>
      </c>
      <c r="R2026" s="14">
        <v>47.96</v>
      </c>
      <c r="S2026" s="2" t="s">
        <v>3517</v>
      </c>
      <c r="T2026" s="2">
        <v>1</v>
      </c>
      <c r="U2026" s="2">
        <v>60.5</v>
      </c>
      <c r="V2026" s="2">
        <v>58</v>
      </c>
      <c r="W2026" s="2" t="s">
        <v>7862</v>
      </c>
      <c r="X2026" s="2" t="s">
        <v>5405</v>
      </c>
      <c r="Y2026" s="2">
        <v>840</v>
      </c>
      <c r="Z2026" s="19" t="str">
        <f>HYPERLINK("https://ssdweb.co/ssdweb/hd/Vision360.html?d=926341611&amp;zoomslide=1&amp;z=1926341611&amp;ISCONFIRM=0","VIDEO")</f>
        <v>VIDEO</v>
      </c>
      <c r="AA2026" s="19" t="str">
        <f>HYPERLINK("https://ssdweb.co/ssdweb/CERTH/646472910.pdf","CERTI")</f>
        <v>CERTI</v>
      </c>
    </row>
    <row r="2027" spans="1:27" ht="15" x14ac:dyDescent="0.25">
      <c r="A2027" s="2">
        <v>2022</v>
      </c>
      <c r="B2027" s="39">
        <v>926391254</v>
      </c>
      <c r="C2027" s="28" t="str">
        <f>HYPERLINK("https://pld.live/RapDetail.aspx?STONELIST=926391254","DNA")</f>
        <v>DNA</v>
      </c>
      <c r="D2027" s="18" t="s">
        <v>2802</v>
      </c>
      <c r="E2027" s="18" t="s">
        <v>5128</v>
      </c>
      <c r="F2027" s="2" t="s">
        <v>7987</v>
      </c>
      <c r="G2027" s="2" t="s">
        <v>861</v>
      </c>
      <c r="H2027" s="14">
        <v>0.4</v>
      </c>
      <c r="I2027" s="2" t="s">
        <v>267</v>
      </c>
      <c r="J2027" s="2" t="s">
        <v>5144</v>
      </c>
      <c r="K2027" s="2" t="s">
        <v>3390</v>
      </c>
      <c r="L2027" s="2" t="s">
        <v>5221</v>
      </c>
      <c r="M2027" s="2" t="s">
        <v>5721</v>
      </c>
      <c r="N2027" s="2" t="s">
        <v>2317</v>
      </c>
      <c r="O2027" s="14">
        <v>2100</v>
      </c>
      <c r="P2027" s="14">
        <v>94.29</v>
      </c>
      <c r="Q2027" s="14">
        <v>119.91</v>
      </c>
      <c r="R2027" s="14">
        <v>47.96</v>
      </c>
      <c r="S2027" s="2" t="s">
        <v>300</v>
      </c>
      <c r="T2027" s="2">
        <v>1.01</v>
      </c>
      <c r="U2027" s="2">
        <v>62</v>
      </c>
      <c r="V2027" s="2">
        <v>57</v>
      </c>
      <c r="W2027" s="2" t="s">
        <v>7862</v>
      </c>
      <c r="X2027" s="2" t="s">
        <v>5405</v>
      </c>
      <c r="Y2027" s="2">
        <v>840</v>
      </c>
      <c r="Z2027" s="19" t="str">
        <f>HYPERLINK("https://ssdweb.co/ssdweb/hd/Vision360.html?d=926391254&amp;zoomslide=1&amp;z=1926391254&amp;ISCONFIRM=0","VIDEO")</f>
        <v>VIDEO</v>
      </c>
      <c r="AA2027" s="19" t="str">
        <f>HYPERLINK("https://ssdweb.co/ssdweb/CERTH/646472865.pdf","CERTI")</f>
        <v>CERTI</v>
      </c>
    </row>
    <row r="2028" spans="1:27" ht="15" x14ac:dyDescent="0.25">
      <c r="A2028" s="2">
        <v>2023</v>
      </c>
      <c r="B2028" s="39">
        <v>941170277</v>
      </c>
      <c r="C2028" s="28" t="str">
        <f>HYPERLINK("https://pld.live/RapDetail.aspx?STONELIST=941170277","DNA")</f>
        <v>DNA</v>
      </c>
      <c r="D2028" s="18" t="s">
        <v>2802</v>
      </c>
      <c r="E2028" s="18" t="s">
        <v>5128</v>
      </c>
      <c r="F2028" s="2" t="s">
        <v>7987</v>
      </c>
      <c r="G2028" s="2" t="s">
        <v>861</v>
      </c>
      <c r="H2028" s="14">
        <v>0.4</v>
      </c>
      <c r="I2028" s="2" t="s">
        <v>267</v>
      </c>
      <c r="J2028" s="2" t="s">
        <v>5144</v>
      </c>
      <c r="K2028" s="2" t="s">
        <v>5221</v>
      </c>
      <c r="L2028" s="2" t="s">
        <v>5221</v>
      </c>
      <c r="M2028" s="2" t="s">
        <v>5221</v>
      </c>
      <c r="N2028" s="2" t="s">
        <v>2317</v>
      </c>
      <c r="O2028" s="14">
        <v>2100</v>
      </c>
      <c r="P2028" s="14">
        <v>93.95</v>
      </c>
      <c r="Q2028" s="14">
        <v>127.05</v>
      </c>
      <c r="R2028" s="14">
        <v>50.82</v>
      </c>
      <c r="S2028" s="2" t="s">
        <v>800</v>
      </c>
      <c r="T2028" s="2">
        <v>1.01</v>
      </c>
      <c r="U2028" s="2">
        <v>62.7</v>
      </c>
      <c r="V2028" s="2">
        <v>58</v>
      </c>
      <c r="W2028" s="2" t="s">
        <v>7862</v>
      </c>
      <c r="X2028" s="2" t="s">
        <v>5405</v>
      </c>
      <c r="Y2028" s="2">
        <v>840</v>
      </c>
      <c r="Z2028" s="19" t="str">
        <f>HYPERLINK("https://ssdweb.co/ssdweb/hd/Vision360.html?d=941170277&amp;zoomslide=1&amp;z=1941170277&amp;ISCONFIRM=0","VIDEO")</f>
        <v>VIDEO</v>
      </c>
      <c r="AA2028" s="19" t="str">
        <f>HYPERLINK("https://ssdweb.co/ssdweb/CERTH/675504554.pdf","CERTI")</f>
        <v>CERTI</v>
      </c>
    </row>
    <row r="2029" spans="1:27" ht="15" x14ac:dyDescent="0.25">
      <c r="A2029" s="2">
        <v>2024</v>
      </c>
      <c r="B2029" s="39">
        <v>926321113</v>
      </c>
      <c r="C2029" s="28" t="str">
        <f>HYPERLINK("https://pld.live/RapDetail.aspx?STONELIST=926321113","DNA")</f>
        <v>DNA</v>
      </c>
      <c r="D2029" s="18" t="s">
        <v>2802</v>
      </c>
      <c r="E2029" s="18" t="s">
        <v>5128</v>
      </c>
      <c r="F2029" s="2" t="s">
        <v>7987</v>
      </c>
      <c r="G2029" s="2" t="s">
        <v>861</v>
      </c>
      <c r="H2029" s="14">
        <v>0.4</v>
      </c>
      <c r="I2029" s="2" t="s">
        <v>267</v>
      </c>
      <c r="J2029" s="2" t="s">
        <v>5144</v>
      </c>
      <c r="K2029" s="2" t="s">
        <v>5221</v>
      </c>
      <c r="L2029" s="2" t="s">
        <v>5221</v>
      </c>
      <c r="M2029" s="2" t="s">
        <v>5721</v>
      </c>
      <c r="N2029" s="2" t="s">
        <v>2317</v>
      </c>
      <c r="O2029" s="14">
        <v>2100</v>
      </c>
      <c r="P2029" s="14">
        <v>94.29</v>
      </c>
      <c r="Q2029" s="14">
        <v>119.91</v>
      </c>
      <c r="R2029" s="14">
        <v>47.96</v>
      </c>
      <c r="S2029" s="2" t="s">
        <v>7657</v>
      </c>
      <c r="T2029" s="2">
        <v>1.01</v>
      </c>
      <c r="U2029" s="2">
        <v>63.6</v>
      </c>
      <c r="V2029" s="2">
        <v>56</v>
      </c>
      <c r="W2029" s="2" t="s">
        <v>7862</v>
      </c>
      <c r="X2029" s="2" t="s">
        <v>5405</v>
      </c>
      <c r="Y2029" s="2">
        <v>840</v>
      </c>
      <c r="Z2029" s="19" t="str">
        <f>HYPERLINK("https://ssdweb.co/ssdweb/hd/Vision360.html?d=926321113&amp;zoomslide=1&amp;z=1926321113&amp;ISCONFIRM=0","VIDEO")</f>
        <v>VIDEO</v>
      </c>
      <c r="AA2029" s="19" t="str">
        <f>HYPERLINK("https://ssdweb.co/ssdweb/CERTH/643428043.pdf","CERTI")</f>
        <v>CERTI</v>
      </c>
    </row>
    <row r="2030" spans="1:27" ht="15" x14ac:dyDescent="0.25">
      <c r="A2030" s="2">
        <v>2025</v>
      </c>
      <c r="B2030" s="39">
        <v>926300266</v>
      </c>
      <c r="C2030" s="28" t="str">
        <f>HYPERLINK("https://pld.live/RapDetail.aspx?STONELIST=926300266","DNA")</f>
        <v>DNA</v>
      </c>
      <c r="D2030" s="18" t="s">
        <v>2802</v>
      </c>
      <c r="E2030" s="18" t="s">
        <v>5128</v>
      </c>
      <c r="F2030" s="2" t="s">
        <v>7987</v>
      </c>
      <c r="G2030" s="2" t="s">
        <v>861</v>
      </c>
      <c r="H2030" s="14">
        <v>0.4</v>
      </c>
      <c r="I2030" s="2" t="s">
        <v>267</v>
      </c>
      <c r="J2030" s="2" t="s">
        <v>5144</v>
      </c>
      <c r="K2030" s="2" t="s">
        <v>5221</v>
      </c>
      <c r="L2030" s="2" t="s">
        <v>5721</v>
      </c>
      <c r="M2030" s="2" t="s">
        <v>5721</v>
      </c>
      <c r="N2030" s="2" t="s">
        <v>2317</v>
      </c>
      <c r="O2030" s="14">
        <v>2100</v>
      </c>
      <c r="P2030" s="14">
        <v>94.43</v>
      </c>
      <c r="Q2030" s="14">
        <v>116.97</v>
      </c>
      <c r="R2030" s="14">
        <v>46.79</v>
      </c>
      <c r="S2030" s="2" t="s">
        <v>5849</v>
      </c>
      <c r="T2030" s="2">
        <v>1.01</v>
      </c>
      <c r="U2030" s="2">
        <v>61.6</v>
      </c>
      <c r="V2030" s="2">
        <v>59</v>
      </c>
      <c r="W2030" s="2" t="s">
        <v>7862</v>
      </c>
      <c r="X2030" s="2" t="s">
        <v>5405</v>
      </c>
      <c r="Y2030" s="2">
        <v>840</v>
      </c>
      <c r="Z2030" s="19" t="str">
        <f>HYPERLINK("https://ssdweb.co/ssdweb/hd/Vision360.html?d=926300266&amp;zoomslide=1&amp;z=1926300266&amp;ISCONFIRM=0","VIDEO")</f>
        <v>VIDEO</v>
      </c>
      <c r="AA2030" s="19" t="str">
        <f>HYPERLINK("https://ssdweb.co/ssdweb/CERTH/637467276.pdf","CERTI")</f>
        <v>CERTI</v>
      </c>
    </row>
    <row r="2031" spans="1:27" ht="15" x14ac:dyDescent="0.25">
      <c r="A2031" s="2">
        <v>2026</v>
      </c>
      <c r="B2031" s="39">
        <v>924460595</v>
      </c>
      <c r="C2031" s="28" t="str">
        <f>HYPERLINK("https://pld.live/RapDetail.aspx?STONELIST=924460595","DNA")</f>
        <v>DNA</v>
      </c>
      <c r="D2031" s="18" t="s">
        <v>2802</v>
      </c>
      <c r="E2031" s="18" t="s">
        <v>5128</v>
      </c>
      <c r="F2031" s="2" t="s">
        <v>7987</v>
      </c>
      <c r="G2031" s="2" t="s">
        <v>861</v>
      </c>
      <c r="H2031" s="14">
        <v>0.4</v>
      </c>
      <c r="I2031" s="2" t="s">
        <v>267</v>
      </c>
      <c r="J2031" s="2" t="s">
        <v>444</v>
      </c>
      <c r="K2031" s="2" t="s">
        <v>3390</v>
      </c>
      <c r="L2031" s="2" t="s">
        <v>5221</v>
      </c>
      <c r="M2031" s="2" t="s">
        <v>5221</v>
      </c>
      <c r="N2031" s="2" t="s">
        <v>2317</v>
      </c>
      <c r="O2031" s="14">
        <v>2000</v>
      </c>
      <c r="P2031" s="14">
        <v>94.1</v>
      </c>
      <c r="Q2031" s="14">
        <v>118</v>
      </c>
      <c r="R2031" s="14">
        <v>47.2</v>
      </c>
      <c r="S2031" s="2" t="s">
        <v>2761</v>
      </c>
      <c r="T2031" s="2">
        <v>1.01</v>
      </c>
      <c r="U2031" s="2">
        <v>62.1</v>
      </c>
      <c r="V2031" s="2">
        <v>57</v>
      </c>
      <c r="W2031" s="2" t="s">
        <v>7862</v>
      </c>
      <c r="X2031" s="2" t="s">
        <v>5405</v>
      </c>
      <c r="Y2031" s="2">
        <v>800</v>
      </c>
      <c r="Z2031" s="19" t="str">
        <f>HYPERLINK("https://ssdweb.co/ssdweb/hd/Vision360.html?d=924460595&amp;zoomslide=1&amp;z=1924460595&amp;ISCONFIRM=0","VIDEO")</f>
        <v>VIDEO</v>
      </c>
      <c r="AA2031" s="19" t="str">
        <f>HYPERLINK("https://ssdweb.co/ssdweb/CERTH/592360888.pdf","CERTI")</f>
        <v>CERTI</v>
      </c>
    </row>
    <row r="2032" spans="1:27" ht="15" x14ac:dyDescent="0.25">
      <c r="A2032" s="2">
        <v>2027</v>
      </c>
      <c r="B2032" s="39">
        <v>925290164</v>
      </c>
      <c r="C2032" s="28" t="str">
        <f>HYPERLINK("https://pld.live/RapDetail.aspx?STONELIST=925290164","DNA")</f>
        <v>DNA</v>
      </c>
      <c r="D2032" s="18" t="s">
        <v>2802</v>
      </c>
      <c r="E2032" s="18" t="s">
        <v>5128</v>
      </c>
      <c r="F2032" s="2" t="s">
        <v>5597</v>
      </c>
      <c r="G2032" s="2" t="s">
        <v>861</v>
      </c>
      <c r="H2032" s="14">
        <v>0.4</v>
      </c>
      <c r="I2032" s="2" t="s">
        <v>267</v>
      </c>
      <c r="J2032" s="2" t="s">
        <v>444</v>
      </c>
      <c r="K2032" s="2" t="s">
        <v>5221</v>
      </c>
      <c r="L2032" s="2" t="s">
        <v>5221</v>
      </c>
      <c r="M2032" s="2" t="s">
        <v>5221</v>
      </c>
      <c r="N2032" s="2" t="s">
        <v>2317</v>
      </c>
      <c r="O2032" s="14">
        <v>2000</v>
      </c>
      <c r="P2032" s="14">
        <v>90.4</v>
      </c>
      <c r="Q2032" s="14">
        <v>192</v>
      </c>
      <c r="R2032" s="14">
        <v>76.8</v>
      </c>
      <c r="S2032" s="2" t="s">
        <v>4434</v>
      </c>
      <c r="T2032" s="2">
        <v>1.01</v>
      </c>
      <c r="U2032" s="2">
        <v>61.7</v>
      </c>
      <c r="V2032" s="2">
        <v>56</v>
      </c>
      <c r="W2032" s="2" t="s">
        <v>7862</v>
      </c>
      <c r="X2032" s="2" t="s">
        <v>5405</v>
      </c>
      <c r="Y2032" s="2">
        <v>800</v>
      </c>
      <c r="Z2032" s="19" t="str">
        <f>HYPERLINK("https://ssdweb.co/ssdweb/hd/Vision360.html?d=925290164&amp;zoomslide=1&amp;z=1925290164&amp;ISCONFIRM=0","VIDEO")</f>
        <v>VIDEO</v>
      </c>
      <c r="AA2032" s="19" t="str">
        <f>HYPERLINK("https://ssdweb.co/ssdweb/CERTH/1489225253.pdf","CERTI")</f>
        <v>CERTI</v>
      </c>
    </row>
    <row r="2033" spans="1:27" ht="15" x14ac:dyDescent="0.25">
      <c r="A2033" s="2">
        <v>2028</v>
      </c>
      <c r="B2033" s="39">
        <v>924560117</v>
      </c>
      <c r="C2033" s="28" t="str">
        <f>HYPERLINK("https://pld.live/RapDetail.aspx?STONELIST=924560117","DNA")</f>
        <v>DNA</v>
      </c>
      <c r="D2033" s="18" t="s">
        <v>2802</v>
      </c>
      <c r="E2033" s="18" t="s">
        <v>5128</v>
      </c>
      <c r="F2033" s="2" t="s">
        <v>7987</v>
      </c>
      <c r="G2033" s="2" t="s">
        <v>861</v>
      </c>
      <c r="H2033" s="14">
        <v>0.4</v>
      </c>
      <c r="I2033" s="2" t="s">
        <v>4761</v>
      </c>
      <c r="J2033" s="2" t="s">
        <v>6555</v>
      </c>
      <c r="K2033" s="2" t="s">
        <v>5221</v>
      </c>
      <c r="L2033" s="2" t="s">
        <v>5221</v>
      </c>
      <c r="M2033" s="2" t="s">
        <v>5221</v>
      </c>
      <c r="N2033" s="2" t="s">
        <v>2317</v>
      </c>
      <c r="O2033" s="14">
        <v>2600</v>
      </c>
      <c r="P2033" s="14">
        <v>94.46</v>
      </c>
      <c r="Q2033" s="14">
        <v>144.04</v>
      </c>
      <c r="R2033" s="14">
        <v>57.62</v>
      </c>
      <c r="S2033" s="2" t="s">
        <v>1769</v>
      </c>
      <c r="T2033" s="2">
        <v>1</v>
      </c>
      <c r="U2033" s="2">
        <v>62.8</v>
      </c>
      <c r="V2033" s="2">
        <v>55</v>
      </c>
      <c r="W2033" s="2" t="s">
        <v>7862</v>
      </c>
      <c r="X2033" s="2" t="s">
        <v>5405</v>
      </c>
      <c r="Y2033" s="2">
        <v>1040</v>
      </c>
      <c r="Z2033" s="19" t="str">
        <f>HYPERLINK("https://ssdweb.co/ssdweb/hd/Vision360.html?d=924560117&amp;zoomslide=1&amp;z=1924560117&amp;ISCONFIRM=0","VIDEO")</f>
        <v>VIDEO</v>
      </c>
      <c r="AA2033" s="19" t="str">
        <f>HYPERLINK("https://ssdweb.co/ssdweb/CERTH/593387503.pdf","CERTI")</f>
        <v>CERTI</v>
      </c>
    </row>
    <row r="2034" spans="1:27" ht="15" x14ac:dyDescent="0.25">
      <c r="A2034" s="2">
        <v>2029</v>
      </c>
      <c r="B2034" s="39">
        <v>941230057</v>
      </c>
      <c r="C2034" s="28" t="str">
        <f>HYPERLINK("https://pld.live/RapDetail.aspx?STONELIST=941230057","DNA")</f>
        <v>DNA</v>
      </c>
      <c r="D2034" s="18" t="s">
        <v>2802</v>
      </c>
      <c r="E2034" s="18" t="s">
        <v>2186</v>
      </c>
      <c r="F2034" s="2" t="s">
        <v>7987</v>
      </c>
      <c r="G2034" s="2" t="s">
        <v>861</v>
      </c>
      <c r="H2034" s="14">
        <v>0.4</v>
      </c>
      <c r="I2034" s="2" t="s">
        <v>4761</v>
      </c>
      <c r="J2034" s="2" t="s">
        <v>13</v>
      </c>
      <c r="K2034" s="2" t="s">
        <v>3390</v>
      </c>
      <c r="L2034" s="2" t="s">
        <v>5221</v>
      </c>
      <c r="M2034" s="2" t="s">
        <v>5221</v>
      </c>
      <c r="N2034" s="2" t="s">
        <v>2317</v>
      </c>
      <c r="O2034" s="14">
        <v>2100</v>
      </c>
      <c r="P2034" s="14">
        <v>94</v>
      </c>
      <c r="Q2034" s="14">
        <v>126</v>
      </c>
      <c r="R2034" s="14">
        <v>50.4</v>
      </c>
      <c r="S2034" s="2" t="s">
        <v>1479</v>
      </c>
      <c r="T2034" s="2">
        <v>1.01</v>
      </c>
      <c r="U2034" s="2">
        <v>62</v>
      </c>
      <c r="V2034" s="2">
        <v>58</v>
      </c>
      <c r="W2034" s="2" t="s">
        <v>7862</v>
      </c>
      <c r="X2034" s="2" t="s">
        <v>5405</v>
      </c>
      <c r="Y2034" s="2">
        <v>840</v>
      </c>
      <c r="Z2034" s="19" t="str">
        <f>HYPERLINK("https://ssdweb.co/ssdweb/hd/Vision360.html?d=941230057&amp;zoomslide=1&amp;z=1941230057&amp;ISCONFIRM=0","VIDEO")</f>
        <v>VIDEO</v>
      </c>
      <c r="AA2034" s="19" t="str">
        <f>HYPERLINK("https://ssdweb.co/ssdweb/CERTH/689587237.pdf","CERTI")</f>
        <v>CERTI</v>
      </c>
    </row>
    <row r="2035" spans="1:27" ht="15" x14ac:dyDescent="0.25">
      <c r="A2035" s="2">
        <v>2030</v>
      </c>
      <c r="B2035" s="39">
        <v>926300264</v>
      </c>
      <c r="C2035" s="28" t="str">
        <f>HYPERLINK("https://pld.live/RapDetail.aspx?STONELIST=926300264","DNA")</f>
        <v>DNA</v>
      </c>
      <c r="D2035" s="18" t="s">
        <v>2802</v>
      </c>
      <c r="E2035" s="18" t="s">
        <v>5128</v>
      </c>
      <c r="F2035" s="2" t="s">
        <v>7987</v>
      </c>
      <c r="G2035" s="2" t="s">
        <v>861</v>
      </c>
      <c r="H2035" s="14">
        <v>0.4</v>
      </c>
      <c r="I2035" s="2" t="s">
        <v>4761</v>
      </c>
      <c r="J2035" s="2" t="s">
        <v>13</v>
      </c>
      <c r="K2035" s="2" t="s">
        <v>3390</v>
      </c>
      <c r="L2035" s="2" t="s">
        <v>5221</v>
      </c>
      <c r="M2035" s="2" t="s">
        <v>5721</v>
      </c>
      <c r="N2035" s="2" t="s">
        <v>2317</v>
      </c>
      <c r="O2035" s="14">
        <v>2100</v>
      </c>
      <c r="P2035" s="14">
        <v>94.33</v>
      </c>
      <c r="Q2035" s="14">
        <v>119.07</v>
      </c>
      <c r="R2035" s="14">
        <v>47.63</v>
      </c>
      <c r="S2035" s="2" t="s">
        <v>6540</v>
      </c>
      <c r="T2035" s="2">
        <v>1.01</v>
      </c>
      <c r="U2035" s="2">
        <v>61.6</v>
      </c>
      <c r="V2035" s="2">
        <v>60</v>
      </c>
      <c r="W2035" s="2" t="s">
        <v>7862</v>
      </c>
      <c r="X2035" s="2" t="s">
        <v>5405</v>
      </c>
      <c r="Y2035" s="2">
        <v>840</v>
      </c>
      <c r="Z2035" s="19" t="str">
        <f>HYPERLINK("https://ssdweb.co/ssdweb/hd/Vision360.html?d=926300264&amp;zoomslide=1&amp;z=1926300264&amp;ISCONFIRM=0","VIDEO")</f>
        <v>VIDEO</v>
      </c>
      <c r="AA2035" s="19" t="str">
        <f>HYPERLINK("https://ssdweb.co/ssdweb/CERTH/637467334.pdf","CERTI")</f>
        <v>CERTI</v>
      </c>
    </row>
    <row r="2036" spans="1:27" ht="15" x14ac:dyDescent="0.25">
      <c r="A2036" s="2">
        <v>2031</v>
      </c>
      <c r="B2036" s="39">
        <v>926341463</v>
      </c>
      <c r="C2036" s="28" t="str">
        <f>HYPERLINK("https://pld.live/RapDetail.aspx?STONELIST=926341463","DNA")</f>
        <v>DNA</v>
      </c>
      <c r="D2036" s="18" t="s">
        <v>2802</v>
      </c>
      <c r="E2036" s="18" t="s">
        <v>5128</v>
      </c>
      <c r="F2036" s="2" t="s">
        <v>7987</v>
      </c>
      <c r="G2036" s="2" t="s">
        <v>861</v>
      </c>
      <c r="H2036" s="14">
        <v>0.4</v>
      </c>
      <c r="I2036" s="2" t="s">
        <v>4761</v>
      </c>
      <c r="J2036" s="2" t="s">
        <v>13</v>
      </c>
      <c r="K2036" s="2" t="s">
        <v>5221</v>
      </c>
      <c r="L2036" s="2" t="s">
        <v>5221</v>
      </c>
      <c r="M2036" s="2" t="s">
        <v>5721</v>
      </c>
      <c r="N2036" s="2" t="s">
        <v>2317</v>
      </c>
      <c r="O2036" s="14">
        <v>2100</v>
      </c>
      <c r="P2036" s="14">
        <v>94.24</v>
      </c>
      <c r="Q2036" s="14">
        <v>120.96</v>
      </c>
      <c r="R2036" s="14">
        <v>48.38</v>
      </c>
      <c r="S2036" s="2" t="s">
        <v>1074</v>
      </c>
      <c r="T2036" s="2">
        <v>1.01</v>
      </c>
      <c r="U2036" s="2">
        <v>62.8</v>
      </c>
      <c r="V2036" s="2">
        <v>57</v>
      </c>
      <c r="W2036" s="2" t="s">
        <v>7862</v>
      </c>
      <c r="X2036" s="2" t="s">
        <v>5405</v>
      </c>
      <c r="Y2036" s="2">
        <v>840</v>
      </c>
      <c r="Z2036" s="19" t="str">
        <f>HYPERLINK("https://ssdweb.co/ssdweb/hd/Vision360.html?d=926341463&amp;zoomslide=1&amp;z=1926341463&amp;ISCONFIRM=0","VIDEO")</f>
        <v>VIDEO</v>
      </c>
      <c r="AA2036" s="19" t="str">
        <f>HYPERLINK("https://ssdweb.co/ssdweb/CERTH/660490513.pdf","CERTI")</f>
        <v>CERTI</v>
      </c>
    </row>
    <row r="2037" spans="1:27" ht="15" x14ac:dyDescent="0.25">
      <c r="A2037" s="2">
        <v>2032</v>
      </c>
      <c r="B2037" s="39">
        <v>941380292</v>
      </c>
      <c r="C2037" s="28" t="str">
        <f>HYPERLINK("https://pld.live/RapDetail.aspx?STONELIST=941380292","DNA")</f>
        <v>DNA</v>
      </c>
      <c r="D2037" s="18" t="s">
        <v>2802</v>
      </c>
      <c r="E2037" s="18" t="s">
        <v>2186</v>
      </c>
      <c r="F2037" s="2" t="s">
        <v>7987</v>
      </c>
      <c r="G2037" s="2" t="s">
        <v>861</v>
      </c>
      <c r="H2037" s="14">
        <v>0.4</v>
      </c>
      <c r="I2037" s="2" t="s">
        <v>4761</v>
      </c>
      <c r="J2037" s="2" t="s">
        <v>5144</v>
      </c>
      <c r="K2037" s="2" t="s">
        <v>5221</v>
      </c>
      <c r="L2037" s="2" t="s">
        <v>5221</v>
      </c>
      <c r="M2037" s="2" t="s">
        <v>5221</v>
      </c>
      <c r="N2037" s="2" t="s">
        <v>2317</v>
      </c>
      <c r="O2037" s="14">
        <v>2000</v>
      </c>
      <c r="P2037" s="14">
        <v>93.8</v>
      </c>
      <c r="Q2037" s="14">
        <v>124</v>
      </c>
      <c r="R2037" s="14">
        <v>49.6</v>
      </c>
      <c r="S2037" s="2" t="s">
        <v>1312</v>
      </c>
      <c r="T2037" s="2">
        <v>1</v>
      </c>
      <c r="U2037" s="2">
        <v>62.4</v>
      </c>
      <c r="V2037" s="2">
        <v>60</v>
      </c>
      <c r="W2037" s="2" t="s">
        <v>7862</v>
      </c>
      <c r="X2037" s="2" t="s">
        <v>5405</v>
      </c>
      <c r="Y2037" s="2">
        <v>800</v>
      </c>
      <c r="Z2037" s="19" t="str">
        <f>HYPERLINK("https://ssdweb.co/ssdweb/hd/Vision360.html?d=941380292&amp;zoomslide=1&amp;z=1941380292&amp;ISCONFIRM=0","VIDEO")</f>
        <v>VIDEO</v>
      </c>
      <c r="AA2037" s="19" t="str">
        <f>HYPERLINK("https://ssdweb.co/ssdweb/CERTH/691577878.pdf","CERTI")</f>
        <v>CERTI</v>
      </c>
    </row>
    <row r="2038" spans="1:27" ht="15" x14ac:dyDescent="0.25">
      <c r="A2038" s="2">
        <v>2033</v>
      </c>
      <c r="B2038" s="39">
        <v>927091854</v>
      </c>
      <c r="C2038" s="28" t="str">
        <f>HYPERLINK("https://pld.live/RapDetail.aspx?STONELIST=927091854","DNA")</f>
        <v>DNA</v>
      </c>
      <c r="D2038" s="18" t="s">
        <v>533</v>
      </c>
      <c r="E2038" s="18" t="s">
        <v>5128</v>
      </c>
      <c r="F2038" s="2" t="s">
        <v>7987</v>
      </c>
      <c r="G2038" s="2" t="s">
        <v>861</v>
      </c>
      <c r="H2038" s="14">
        <v>0.39</v>
      </c>
      <c r="I2038" s="2" t="s">
        <v>267</v>
      </c>
      <c r="J2038" s="2" t="s">
        <v>6555</v>
      </c>
      <c r="K2038" s="2" t="s">
        <v>3390</v>
      </c>
      <c r="L2038" s="2" t="s">
        <v>5221</v>
      </c>
      <c r="M2038" s="2" t="s">
        <v>5721</v>
      </c>
      <c r="N2038" s="2" t="s">
        <v>2317</v>
      </c>
      <c r="O2038" s="14">
        <v>2500</v>
      </c>
      <c r="P2038" s="14">
        <v>94.2</v>
      </c>
      <c r="Q2038" s="14">
        <v>145</v>
      </c>
      <c r="R2038" s="14">
        <v>56.55</v>
      </c>
      <c r="S2038" s="2" t="s">
        <v>2737</v>
      </c>
      <c r="T2038" s="2">
        <v>1.01</v>
      </c>
      <c r="U2038" s="2">
        <v>61</v>
      </c>
      <c r="V2038" s="2">
        <v>58</v>
      </c>
      <c r="W2038" s="2" t="s">
        <v>7862</v>
      </c>
      <c r="X2038" s="2" t="s">
        <v>5405</v>
      </c>
      <c r="Y2038" s="2">
        <v>975</v>
      </c>
      <c r="Z2038" s="19" t="str">
        <f>HYPERLINK("https://ssdweb.co/ssdweb/hd/Vision360.html?d=927091854&amp;zoomslide=1&amp;z=1927091854&amp;ISCONFIRM=0","VIDEO")</f>
        <v>VIDEO</v>
      </c>
      <c r="AA2038" s="19" t="str">
        <f>HYPERLINK("https://ssdweb.co/ssdweb/CERTH/666436070.pdf","CERTI")</f>
        <v>CERTI</v>
      </c>
    </row>
    <row r="2039" spans="1:27" ht="15" x14ac:dyDescent="0.25">
      <c r="A2039" s="2">
        <v>2034</v>
      </c>
      <c r="B2039" s="39">
        <v>926261143</v>
      </c>
      <c r="C2039" s="28" t="str">
        <f>HYPERLINK("https://pld.live/RapDetail.aspx?STONELIST=926261143","DNA")</f>
        <v>DNA</v>
      </c>
      <c r="D2039" s="18" t="s">
        <v>533</v>
      </c>
      <c r="E2039" s="18" t="s">
        <v>5128</v>
      </c>
      <c r="F2039" s="2" t="s">
        <v>7987</v>
      </c>
      <c r="G2039" s="2" t="s">
        <v>861</v>
      </c>
      <c r="H2039" s="14">
        <v>0.39</v>
      </c>
      <c r="I2039" s="2" t="s">
        <v>267</v>
      </c>
      <c r="J2039" s="2" t="s">
        <v>13</v>
      </c>
      <c r="K2039" s="2" t="s">
        <v>3390</v>
      </c>
      <c r="L2039" s="2" t="s">
        <v>5221</v>
      </c>
      <c r="M2039" s="2" t="s">
        <v>5721</v>
      </c>
      <c r="N2039" s="2" t="s">
        <v>2317</v>
      </c>
      <c r="O2039" s="14">
        <v>2000</v>
      </c>
      <c r="P2039" s="14">
        <v>93.9</v>
      </c>
      <c r="Q2039" s="14">
        <v>122</v>
      </c>
      <c r="R2039" s="14">
        <v>47.58</v>
      </c>
      <c r="S2039" s="2" t="s">
        <v>7274</v>
      </c>
      <c r="T2039" s="2">
        <v>1.01</v>
      </c>
      <c r="U2039" s="2">
        <v>62.3</v>
      </c>
      <c r="V2039" s="2">
        <v>54</v>
      </c>
      <c r="W2039" s="2" t="s">
        <v>7862</v>
      </c>
      <c r="X2039" s="2" t="s">
        <v>5405</v>
      </c>
      <c r="Y2039" s="2">
        <v>780</v>
      </c>
      <c r="Z2039" s="19" t="str">
        <f>HYPERLINK("https://ssdweb.co/ssdweb/hd/Vision360.html?d=926261143&amp;zoomslide=1&amp;z=1926261143&amp;ISCONFIRM=0","VIDEO")</f>
        <v>VIDEO</v>
      </c>
      <c r="AA2039" s="19" t="str">
        <f>HYPERLINK("https://ssdweb.co/ssdweb/CERTH/637467445.pdf","CERTI")</f>
        <v>CERTI</v>
      </c>
    </row>
    <row r="2040" spans="1:27" ht="15" x14ac:dyDescent="0.25">
      <c r="A2040" s="2">
        <v>2035</v>
      </c>
      <c r="B2040" s="39">
        <v>926230270</v>
      </c>
      <c r="C2040" s="28" t="str">
        <f>HYPERLINK("https://pld.live/RapDetail.aspx?STONELIST=926230270","DNA")</f>
        <v>DNA</v>
      </c>
      <c r="D2040" s="18" t="s">
        <v>533</v>
      </c>
      <c r="E2040" s="18" t="s">
        <v>5128</v>
      </c>
      <c r="F2040" s="2" t="s">
        <v>7987</v>
      </c>
      <c r="G2040" s="2" t="s">
        <v>861</v>
      </c>
      <c r="H2040" s="14">
        <v>0.39</v>
      </c>
      <c r="I2040" s="2" t="s">
        <v>267</v>
      </c>
      <c r="J2040" s="2" t="s">
        <v>13</v>
      </c>
      <c r="K2040" s="2" t="s">
        <v>5721</v>
      </c>
      <c r="L2040" s="2" t="s">
        <v>5221</v>
      </c>
      <c r="M2040" s="2" t="s">
        <v>5221</v>
      </c>
      <c r="N2040" s="2" t="s">
        <v>2317</v>
      </c>
      <c r="O2040" s="14">
        <v>2000</v>
      </c>
      <c r="P2040" s="14">
        <v>94.15</v>
      </c>
      <c r="Q2040" s="14">
        <v>117</v>
      </c>
      <c r="R2040" s="14">
        <v>45.63</v>
      </c>
      <c r="S2040" s="2" t="s">
        <v>3360</v>
      </c>
      <c r="T2040" s="2">
        <v>1.01</v>
      </c>
      <c r="U2040" s="2">
        <v>63.8</v>
      </c>
      <c r="V2040" s="2">
        <v>58</v>
      </c>
      <c r="W2040" s="2" t="s">
        <v>7862</v>
      </c>
      <c r="X2040" s="2" t="s">
        <v>5405</v>
      </c>
      <c r="Y2040" s="2">
        <v>780</v>
      </c>
      <c r="Z2040" s="19" t="str">
        <f>HYPERLINK("https://ssdweb.co/ssdweb/hd/Vision360.html?d=926230270&amp;zoomslide=1&amp;z=1926230270&amp;ISCONFIRM=0","VIDEO")</f>
        <v>VIDEO</v>
      </c>
      <c r="AA2040" s="19" t="str">
        <f>HYPERLINK("https://ssdweb.co/ssdweb/CERTH/634431367.pdf","CERTI")</f>
        <v>CERTI</v>
      </c>
    </row>
    <row r="2041" spans="1:27" ht="15" x14ac:dyDescent="0.25">
      <c r="A2041" s="2">
        <v>2036</v>
      </c>
      <c r="B2041" s="39">
        <v>924010040</v>
      </c>
      <c r="C2041" s="28" t="str">
        <f>HYPERLINK("https://pld.live/RapDetail.aspx?STONELIST=924010040","DNA")</f>
        <v>DNA</v>
      </c>
      <c r="D2041" s="18" t="s">
        <v>533</v>
      </c>
      <c r="E2041" s="18" t="s">
        <v>5128</v>
      </c>
      <c r="F2041" s="2" t="s">
        <v>7987</v>
      </c>
      <c r="G2041" s="2" t="s">
        <v>861</v>
      </c>
      <c r="H2041" s="14">
        <v>0.39</v>
      </c>
      <c r="I2041" s="2" t="s">
        <v>267</v>
      </c>
      <c r="J2041" s="2" t="s">
        <v>5144</v>
      </c>
      <c r="K2041" s="2" t="s">
        <v>3390</v>
      </c>
      <c r="L2041" s="2" t="s">
        <v>5221</v>
      </c>
      <c r="M2041" s="2" t="s">
        <v>5221</v>
      </c>
      <c r="N2041" s="2" t="s">
        <v>2317</v>
      </c>
      <c r="O2041" s="14">
        <v>1800</v>
      </c>
      <c r="P2041" s="14">
        <v>93.39</v>
      </c>
      <c r="Q2041" s="14">
        <v>118.98</v>
      </c>
      <c r="R2041" s="14">
        <v>46.4</v>
      </c>
      <c r="S2041" s="2" t="s">
        <v>155</v>
      </c>
      <c r="T2041" s="2">
        <v>1.01</v>
      </c>
      <c r="U2041" s="2">
        <v>62</v>
      </c>
      <c r="V2041" s="2">
        <v>58</v>
      </c>
      <c r="W2041" s="2" t="s">
        <v>7862</v>
      </c>
      <c r="X2041" s="2" t="s">
        <v>5405</v>
      </c>
      <c r="Y2041" s="2">
        <v>702</v>
      </c>
      <c r="Z2041" s="19" t="str">
        <f>HYPERLINK("https://ssdweb.co/ssdweb/hd/Vision360.html?d=924010040&amp;zoomslide=1&amp;z=1924010040&amp;ISCONFIRM=0","VIDEO")</f>
        <v>VIDEO</v>
      </c>
      <c r="AA2041" s="19" t="str">
        <f>HYPERLINK("https://ssdweb.co/ssdweb/CERTH/577397037.pdf","CERTI")</f>
        <v>CERTI</v>
      </c>
    </row>
    <row r="2042" spans="1:27" ht="15" x14ac:dyDescent="0.25">
      <c r="A2042" s="2">
        <v>2037</v>
      </c>
      <c r="B2042" s="39">
        <v>924030763</v>
      </c>
      <c r="C2042" s="28" t="str">
        <f>HYPERLINK("https://pld.live/RapDetail.aspx?STONELIST=924030763","DNA")</f>
        <v>DNA</v>
      </c>
      <c r="D2042" s="18" t="s">
        <v>533</v>
      </c>
      <c r="E2042" s="18" t="s">
        <v>5128</v>
      </c>
      <c r="F2042" s="2" t="s">
        <v>7987</v>
      </c>
      <c r="G2042" s="2" t="s">
        <v>861</v>
      </c>
      <c r="H2042" s="14">
        <v>0.39</v>
      </c>
      <c r="I2042" s="2" t="s">
        <v>267</v>
      </c>
      <c r="J2042" s="2" t="s">
        <v>5144</v>
      </c>
      <c r="K2042" s="2" t="s">
        <v>3390</v>
      </c>
      <c r="L2042" s="2" t="s">
        <v>5221</v>
      </c>
      <c r="M2042" s="2" t="s">
        <v>5221</v>
      </c>
      <c r="N2042" s="2" t="s">
        <v>2317</v>
      </c>
      <c r="O2042" s="14">
        <v>1800</v>
      </c>
      <c r="P2042" s="14">
        <v>93.39</v>
      </c>
      <c r="Q2042" s="14">
        <v>118.98</v>
      </c>
      <c r="R2042" s="14">
        <v>46.4</v>
      </c>
      <c r="S2042" s="2" t="s">
        <v>6212</v>
      </c>
      <c r="T2042" s="2">
        <v>1</v>
      </c>
      <c r="U2042" s="2">
        <v>61</v>
      </c>
      <c r="V2042" s="2">
        <v>56.5</v>
      </c>
      <c r="W2042" s="2" t="s">
        <v>7862</v>
      </c>
      <c r="X2042" s="2" t="s">
        <v>5405</v>
      </c>
      <c r="Y2042" s="2">
        <v>702</v>
      </c>
      <c r="Z2042" s="19" t="str">
        <f>HYPERLINK("https://ssdweb.co/ssdweb/hd/Vision360.html?d=924030763&amp;zoomslide=1&amp;z=1924030763&amp;ISCONFIRM=0","VIDEO")</f>
        <v>VIDEO</v>
      </c>
      <c r="AA2042" s="19" t="str">
        <f>HYPERLINK("https://ssdweb.co/ssdweb/CERTH/572368611.pdf","CERTI")</f>
        <v>CERTI</v>
      </c>
    </row>
    <row r="2043" spans="1:27" ht="15" x14ac:dyDescent="0.25">
      <c r="A2043" s="2">
        <v>2038</v>
      </c>
      <c r="B2043" s="39">
        <v>924040094</v>
      </c>
      <c r="C2043" s="28" t="str">
        <f>HYPERLINK("https://pld.live/RapDetail.aspx?STONELIST=924040094","DNA")</f>
        <v>DNA</v>
      </c>
      <c r="D2043" s="18" t="s">
        <v>533</v>
      </c>
      <c r="E2043" s="18" t="s">
        <v>5128</v>
      </c>
      <c r="F2043" s="2" t="s">
        <v>7987</v>
      </c>
      <c r="G2043" s="2" t="s">
        <v>861</v>
      </c>
      <c r="H2043" s="14">
        <v>0.39</v>
      </c>
      <c r="I2043" s="2" t="s">
        <v>267</v>
      </c>
      <c r="J2043" s="2" t="s">
        <v>5144</v>
      </c>
      <c r="K2043" s="2" t="s">
        <v>3390</v>
      </c>
      <c r="L2043" s="2" t="s">
        <v>5221</v>
      </c>
      <c r="M2043" s="2" t="s">
        <v>5221</v>
      </c>
      <c r="N2043" s="2" t="s">
        <v>2317</v>
      </c>
      <c r="O2043" s="14">
        <v>1800</v>
      </c>
      <c r="P2043" s="14">
        <v>93.39</v>
      </c>
      <c r="Q2043" s="14">
        <v>118.98</v>
      </c>
      <c r="R2043" s="14">
        <v>46.4</v>
      </c>
      <c r="S2043" s="2" t="s">
        <v>7815</v>
      </c>
      <c r="T2043" s="2">
        <v>1</v>
      </c>
      <c r="U2043" s="2">
        <v>61.7</v>
      </c>
      <c r="V2043" s="2">
        <v>55</v>
      </c>
      <c r="W2043" s="2" t="s">
        <v>7862</v>
      </c>
      <c r="X2043" s="2" t="s">
        <v>5405</v>
      </c>
      <c r="Y2043" s="2">
        <v>702</v>
      </c>
      <c r="Z2043" s="19" t="str">
        <f>HYPERLINK("https://ssdweb.co/ssdweb/hd/Vision360.html?d=924040094&amp;zoomslide=1&amp;z=1924040094&amp;ISCONFIRM=0","VIDEO")</f>
        <v>VIDEO</v>
      </c>
      <c r="AA2043" s="19" t="str">
        <f>HYPERLINK("https://ssdweb.co/ssdweb/CERTH/572338352.pdf","CERTI")</f>
        <v>CERTI</v>
      </c>
    </row>
    <row r="2044" spans="1:27" ht="15" x14ac:dyDescent="0.25">
      <c r="A2044" s="2">
        <v>2039</v>
      </c>
      <c r="B2044" s="39">
        <v>924040489</v>
      </c>
      <c r="C2044" s="28" t="str">
        <f>HYPERLINK("https://pld.live/RapDetail.aspx?STONELIST=924040489","DNA")</f>
        <v>DNA</v>
      </c>
      <c r="D2044" s="18" t="s">
        <v>533</v>
      </c>
      <c r="E2044" s="18" t="s">
        <v>5128</v>
      </c>
      <c r="F2044" s="2" t="s">
        <v>7987</v>
      </c>
      <c r="G2044" s="2" t="s">
        <v>861</v>
      </c>
      <c r="H2044" s="14">
        <v>0.39</v>
      </c>
      <c r="I2044" s="2" t="s">
        <v>267</v>
      </c>
      <c r="J2044" s="2" t="s">
        <v>5144</v>
      </c>
      <c r="K2044" s="2" t="s">
        <v>3390</v>
      </c>
      <c r="L2044" s="2" t="s">
        <v>5221</v>
      </c>
      <c r="M2044" s="2" t="s">
        <v>5221</v>
      </c>
      <c r="N2044" s="2" t="s">
        <v>2317</v>
      </c>
      <c r="O2044" s="14">
        <v>1800</v>
      </c>
      <c r="P2044" s="14">
        <v>93.39</v>
      </c>
      <c r="Q2044" s="14">
        <v>118.98</v>
      </c>
      <c r="R2044" s="14">
        <v>46.4</v>
      </c>
      <c r="S2044" s="2" t="s">
        <v>7347</v>
      </c>
      <c r="T2044" s="2">
        <v>1.01</v>
      </c>
      <c r="U2044" s="2">
        <v>60.6</v>
      </c>
      <c r="V2044" s="2">
        <v>59.5</v>
      </c>
      <c r="W2044" s="2" t="s">
        <v>7862</v>
      </c>
      <c r="X2044" s="2" t="s">
        <v>5405</v>
      </c>
      <c r="Y2044" s="2">
        <v>702</v>
      </c>
      <c r="Z2044" s="19" t="str">
        <f>HYPERLINK("https://ssdweb.co/ssdweb/hd/Vision360.html?d=924040489&amp;zoomslide=1&amp;z=1924040489&amp;ISCONFIRM=0","VIDEO")</f>
        <v>VIDEO</v>
      </c>
      <c r="AA2044" s="19" t="str">
        <f>HYPERLINK("https://ssdweb.co/ssdweb/CERTH/572352877.pdf","CERTI")</f>
        <v>CERTI</v>
      </c>
    </row>
    <row r="2045" spans="1:27" ht="15" x14ac:dyDescent="0.25">
      <c r="A2045" s="2">
        <v>2040</v>
      </c>
      <c r="B2045" s="39">
        <v>924040586</v>
      </c>
      <c r="C2045" s="28" t="str">
        <f>HYPERLINK("https://pld.live/RapDetail.aspx?STONELIST=924040586","DNA")</f>
        <v>DNA</v>
      </c>
      <c r="D2045" s="18" t="s">
        <v>533</v>
      </c>
      <c r="E2045" s="18" t="s">
        <v>5128</v>
      </c>
      <c r="F2045" s="2" t="s">
        <v>7987</v>
      </c>
      <c r="G2045" s="2" t="s">
        <v>861</v>
      </c>
      <c r="H2045" s="14">
        <v>0.39</v>
      </c>
      <c r="I2045" s="2" t="s">
        <v>267</v>
      </c>
      <c r="J2045" s="2" t="s">
        <v>5144</v>
      </c>
      <c r="K2045" s="2" t="s">
        <v>3390</v>
      </c>
      <c r="L2045" s="2" t="s">
        <v>5221</v>
      </c>
      <c r="M2045" s="2" t="s">
        <v>5221</v>
      </c>
      <c r="N2045" s="2" t="s">
        <v>2317</v>
      </c>
      <c r="O2045" s="14">
        <v>1800</v>
      </c>
      <c r="P2045" s="14">
        <v>93.39</v>
      </c>
      <c r="Q2045" s="14">
        <v>118.98</v>
      </c>
      <c r="R2045" s="14">
        <v>46.4</v>
      </c>
      <c r="S2045" s="2" t="s">
        <v>5458</v>
      </c>
      <c r="T2045" s="2">
        <v>1.01</v>
      </c>
      <c r="U2045" s="2">
        <v>62</v>
      </c>
      <c r="V2045" s="2">
        <v>57.5</v>
      </c>
      <c r="W2045" s="2" t="s">
        <v>7862</v>
      </c>
      <c r="X2045" s="2" t="s">
        <v>5405</v>
      </c>
      <c r="Y2045" s="2">
        <v>702</v>
      </c>
      <c r="Z2045" s="19" t="str">
        <f>HYPERLINK("https://ssdweb.co/ssdweb/hd/Vision360.html?d=924040586&amp;zoomslide=1&amp;z=1924040586&amp;ISCONFIRM=0","VIDEO")</f>
        <v>VIDEO</v>
      </c>
      <c r="AA2045" s="19" t="str">
        <f>HYPERLINK("https://ssdweb.co/ssdweb/CERTH/572368685.pdf","CERTI")</f>
        <v>CERTI</v>
      </c>
    </row>
    <row r="2046" spans="1:27" ht="15" x14ac:dyDescent="0.25">
      <c r="A2046" s="2">
        <v>2041</v>
      </c>
      <c r="B2046" s="39">
        <v>925780346</v>
      </c>
      <c r="C2046" s="28" t="str">
        <f>HYPERLINK("https://pld.live/RapDetail.aspx?STONELIST=925780346","DNA")</f>
        <v>DNA</v>
      </c>
      <c r="D2046" s="18" t="s">
        <v>533</v>
      </c>
      <c r="E2046" s="18" t="s">
        <v>5128</v>
      </c>
      <c r="F2046" s="2" t="s">
        <v>7987</v>
      </c>
      <c r="G2046" s="2" t="s">
        <v>861</v>
      </c>
      <c r="H2046" s="14">
        <v>0.39</v>
      </c>
      <c r="I2046" s="2" t="s">
        <v>267</v>
      </c>
      <c r="J2046" s="2" t="s">
        <v>5144</v>
      </c>
      <c r="K2046" s="2" t="s">
        <v>3390</v>
      </c>
      <c r="L2046" s="2" t="s">
        <v>5221</v>
      </c>
      <c r="M2046" s="2" t="s">
        <v>5221</v>
      </c>
      <c r="N2046" s="2" t="s">
        <v>2317</v>
      </c>
      <c r="O2046" s="14">
        <v>1800</v>
      </c>
      <c r="P2046" s="14">
        <v>93.33</v>
      </c>
      <c r="Q2046" s="14">
        <v>120.06</v>
      </c>
      <c r="R2046" s="14">
        <v>46.82</v>
      </c>
      <c r="S2046" s="2" t="s">
        <v>292</v>
      </c>
      <c r="T2046" s="2">
        <v>1.01</v>
      </c>
      <c r="U2046" s="2">
        <v>62.5</v>
      </c>
      <c r="V2046" s="2">
        <v>58</v>
      </c>
      <c r="W2046" s="2" t="s">
        <v>7862</v>
      </c>
      <c r="X2046" s="2" t="s">
        <v>5405</v>
      </c>
      <c r="Y2046" s="2">
        <v>702</v>
      </c>
      <c r="Z2046" s="19" t="str">
        <f>HYPERLINK("https://ssdweb.co/ssdweb/hd/Vision360.html?d=925780346&amp;zoomslide=1&amp;z=1925780346&amp;ISCONFIRM=0","VIDEO")</f>
        <v>VIDEO</v>
      </c>
      <c r="AA2046" s="19" t="str">
        <f>HYPERLINK("https://ssdweb.co/ssdweb/CERTH/623492932.pdf","CERTI")</f>
        <v>CERTI</v>
      </c>
    </row>
    <row r="2047" spans="1:27" ht="15" x14ac:dyDescent="0.25">
      <c r="A2047" s="2">
        <v>2042</v>
      </c>
      <c r="B2047" s="39">
        <v>925720083</v>
      </c>
      <c r="C2047" s="28" t="str">
        <f>HYPERLINK("https://pld.live/RapDetail.aspx?STONELIST=925720083","DNA")</f>
        <v>DNA</v>
      </c>
      <c r="D2047" s="18" t="s">
        <v>533</v>
      </c>
      <c r="E2047" s="18" t="s">
        <v>5128</v>
      </c>
      <c r="F2047" s="2" t="s">
        <v>7987</v>
      </c>
      <c r="G2047" s="2" t="s">
        <v>861</v>
      </c>
      <c r="H2047" s="14">
        <v>0.39</v>
      </c>
      <c r="I2047" s="2" t="s">
        <v>267</v>
      </c>
      <c r="J2047" s="2" t="s">
        <v>5144</v>
      </c>
      <c r="K2047" s="2" t="s">
        <v>3390</v>
      </c>
      <c r="L2047" s="2" t="s">
        <v>5221</v>
      </c>
      <c r="M2047" s="2" t="s">
        <v>5221</v>
      </c>
      <c r="N2047" s="2" t="s">
        <v>2317</v>
      </c>
      <c r="O2047" s="14">
        <v>1800</v>
      </c>
      <c r="P2047" s="14">
        <v>93.39</v>
      </c>
      <c r="Q2047" s="14">
        <v>118.98</v>
      </c>
      <c r="R2047" s="14">
        <v>46.4</v>
      </c>
      <c r="S2047" s="2" t="s">
        <v>155</v>
      </c>
      <c r="T2047" s="2">
        <v>1.01</v>
      </c>
      <c r="U2047" s="2">
        <v>61.8</v>
      </c>
      <c r="V2047" s="2">
        <v>59</v>
      </c>
      <c r="W2047" s="2" t="s">
        <v>7862</v>
      </c>
      <c r="X2047" s="2" t="s">
        <v>5405</v>
      </c>
      <c r="Y2047" s="2">
        <v>702</v>
      </c>
      <c r="Z2047" s="19" t="str">
        <f>HYPERLINK("https://ssdweb.co/ssdweb/hd/Vision360.html?d=925720083&amp;zoomslide=1&amp;z=1925720083&amp;ISCONFIRM=0","VIDEO")</f>
        <v>VIDEO</v>
      </c>
      <c r="AA2047" s="19" t="str">
        <f>HYPERLINK("https://ssdweb.co/ssdweb/CERTH/620448828.pdf","CERTI")</f>
        <v>CERTI</v>
      </c>
    </row>
    <row r="2048" spans="1:27" ht="15" x14ac:dyDescent="0.25">
      <c r="A2048" s="2">
        <v>2043</v>
      </c>
      <c r="B2048" s="39">
        <v>923970341</v>
      </c>
      <c r="C2048" s="28" t="str">
        <f>HYPERLINK("https://pld.live/RapDetail.aspx?STONELIST=923970341","DNA")</f>
        <v>DNA</v>
      </c>
      <c r="D2048" s="18" t="s">
        <v>533</v>
      </c>
      <c r="E2048" s="18" t="s">
        <v>5128</v>
      </c>
      <c r="F2048" s="2" t="s">
        <v>7987</v>
      </c>
      <c r="G2048" s="2" t="s">
        <v>861</v>
      </c>
      <c r="H2048" s="14">
        <v>0.39</v>
      </c>
      <c r="I2048" s="2" t="s">
        <v>267</v>
      </c>
      <c r="J2048" s="2" t="s">
        <v>5144</v>
      </c>
      <c r="K2048" s="2" t="s">
        <v>5221</v>
      </c>
      <c r="L2048" s="2" t="s">
        <v>5221</v>
      </c>
      <c r="M2048" s="2" t="s">
        <v>5221</v>
      </c>
      <c r="N2048" s="2" t="s">
        <v>2317</v>
      </c>
      <c r="O2048" s="14">
        <v>1800</v>
      </c>
      <c r="P2048" s="14">
        <v>93.39</v>
      </c>
      <c r="Q2048" s="14">
        <v>118.98</v>
      </c>
      <c r="R2048" s="14">
        <v>46.4</v>
      </c>
      <c r="S2048" s="2" t="s">
        <v>4011</v>
      </c>
      <c r="T2048" s="2">
        <v>1.01</v>
      </c>
      <c r="U2048" s="2">
        <v>61.9</v>
      </c>
      <c r="V2048" s="2">
        <v>56</v>
      </c>
      <c r="W2048" s="2" t="s">
        <v>7862</v>
      </c>
      <c r="X2048" s="2" t="s">
        <v>5405</v>
      </c>
      <c r="Y2048" s="2">
        <v>702</v>
      </c>
      <c r="Z2048" s="19" t="str">
        <f>HYPERLINK("https://ssdweb.co/ssdweb/hd/Vision360.html?d=923970341&amp;zoomslide=1&amp;z=1923970341&amp;ISCONFIRM=0","VIDEO")</f>
        <v>VIDEO</v>
      </c>
      <c r="AA2048" s="19" t="str">
        <f>HYPERLINK("https://ssdweb.co/ssdweb/CERTH/577396987.pdf","CERTI")</f>
        <v>CERTI</v>
      </c>
    </row>
    <row r="2049" spans="1:27" ht="15" x14ac:dyDescent="0.25">
      <c r="A2049" s="2">
        <v>2044</v>
      </c>
      <c r="B2049" s="39">
        <v>924400708</v>
      </c>
      <c r="C2049" s="28" t="str">
        <f>HYPERLINK("https://pld.live/RapDetail.aspx?STONELIST=924400708","DNA")</f>
        <v>DNA</v>
      </c>
      <c r="D2049" s="18" t="s">
        <v>533</v>
      </c>
      <c r="E2049" s="18" t="s">
        <v>5128</v>
      </c>
      <c r="F2049" s="2" t="s">
        <v>7987</v>
      </c>
      <c r="G2049" s="2" t="s">
        <v>861</v>
      </c>
      <c r="H2049" s="14">
        <v>0.39</v>
      </c>
      <c r="I2049" s="2" t="s">
        <v>267</v>
      </c>
      <c r="J2049" s="2" t="s">
        <v>5144</v>
      </c>
      <c r="K2049" s="2" t="s">
        <v>5221</v>
      </c>
      <c r="L2049" s="2" t="s">
        <v>5221</v>
      </c>
      <c r="M2049" s="2" t="s">
        <v>5221</v>
      </c>
      <c r="N2049" s="2" t="s">
        <v>2317</v>
      </c>
      <c r="O2049" s="14">
        <v>1800</v>
      </c>
      <c r="P2049" s="14">
        <v>93.39</v>
      </c>
      <c r="Q2049" s="14">
        <v>118.98</v>
      </c>
      <c r="R2049" s="14">
        <v>46.4</v>
      </c>
      <c r="S2049" s="2" t="s">
        <v>4107</v>
      </c>
      <c r="T2049" s="2">
        <v>1.01</v>
      </c>
      <c r="U2049" s="2">
        <v>62.1</v>
      </c>
      <c r="V2049" s="2">
        <v>58</v>
      </c>
      <c r="W2049" s="2" t="s">
        <v>7862</v>
      </c>
      <c r="X2049" s="2" t="s">
        <v>5405</v>
      </c>
      <c r="Y2049" s="2">
        <v>702</v>
      </c>
      <c r="Z2049" s="19" t="str">
        <f>HYPERLINK("https://ssdweb.co/ssdweb/hd/Vision360.html?d=924400708&amp;zoomslide=1&amp;z=1924400708&amp;ISCONFIRM=0","VIDEO")</f>
        <v>VIDEO</v>
      </c>
      <c r="AA2049" s="19" t="str">
        <f>HYPERLINK("https://ssdweb.co/ssdweb/CERTH/591308283.pdf","CERTI")</f>
        <v>CERTI</v>
      </c>
    </row>
    <row r="2050" spans="1:27" ht="15" x14ac:dyDescent="0.25">
      <c r="A2050" s="2">
        <v>2045</v>
      </c>
      <c r="B2050" s="39">
        <v>926300408</v>
      </c>
      <c r="C2050" s="28" t="str">
        <f>HYPERLINK("https://pld.live/RapDetail.aspx?STONELIST=926300408","DNA")</f>
        <v>DNA</v>
      </c>
      <c r="D2050" s="18" t="s">
        <v>533</v>
      </c>
      <c r="E2050" s="18" t="s">
        <v>5128</v>
      </c>
      <c r="F2050" s="2" t="s">
        <v>7987</v>
      </c>
      <c r="G2050" s="2" t="s">
        <v>861</v>
      </c>
      <c r="H2050" s="14">
        <v>0.39</v>
      </c>
      <c r="I2050" s="2" t="s">
        <v>4761</v>
      </c>
      <c r="J2050" s="2" t="s">
        <v>13</v>
      </c>
      <c r="K2050" s="2" t="s">
        <v>3390</v>
      </c>
      <c r="L2050" s="2" t="s">
        <v>5221</v>
      </c>
      <c r="M2050" s="2" t="s">
        <v>5721</v>
      </c>
      <c r="N2050" s="2" t="s">
        <v>2317</v>
      </c>
      <c r="O2050" s="14">
        <v>1800</v>
      </c>
      <c r="P2050" s="14">
        <v>93.28</v>
      </c>
      <c r="Q2050" s="14">
        <v>120.96</v>
      </c>
      <c r="R2050" s="14">
        <v>47.17</v>
      </c>
      <c r="S2050" s="2" t="s">
        <v>6888</v>
      </c>
      <c r="T2050" s="2">
        <v>1.01</v>
      </c>
      <c r="U2050" s="2">
        <v>62.4</v>
      </c>
      <c r="V2050" s="2">
        <v>58</v>
      </c>
      <c r="W2050" s="2" t="s">
        <v>7862</v>
      </c>
      <c r="X2050" s="2" t="s">
        <v>5405</v>
      </c>
      <c r="Y2050" s="2">
        <v>702</v>
      </c>
      <c r="Z2050" s="19" t="str">
        <f>HYPERLINK("https://ssdweb.co/ssdweb/hd/Vision360.html?d=926300408&amp;zoomslide=1&amp;z=1926300408&amp;ISCONFIRM=0","VIDEO")</f>
        <v>VIDEO</v>
      </c>
      <c r="AA2050" s="19" t="str">
        <f>HYPERLINK("https://ssdweb.co/ssdweb/CERTH/637467304.pdf","CERTI")</f>
        <v>CERTI</v>
      </c>
    </row>
    <row r="2051" spans="1:27" ht="15" x14ac:dyDescent="0.25">
      <c r="A2051" s="2">
        <v>2046</v>
      </c>
      <c r="B2051" s="39">
        <v>923970360</v>
      </c>
      <c r="C2051" s="28" t="str">
        <f>HYPERLINK("https://pld.live/RapDetail.aspx?STONELIST=923970360","DNA")</f>
        <v>DNA</v>
      </c>
      <c r="D2051" s="18" t="s">
        <v>533</v>
      </c>
      <c r="E2051" s="18" t="s">
        <v>5128</v>
      </c>
      <c r="F2051" s="2" t="s">
        <v>7987</v>
      </c>
      <c r="G2051" s="2" t="s">
        <v>861</v>
      </c>
      <c r="H2051" s="14">
        <v>0.39</v>
      </c>
      <c r="I2051" s="2" t="s">
        <v>4761</v>
      </c>
      <c r="J2051" s="2" t="s">
        <v>5144</v>
      </c>
      <c r="K2051" s="2" t="s">
        <v>3390</v>
      </c>
      <c r="L2051" s="2" t="s">
        <v>5221</v>
      </c>
      <c r="M2051" s="2" t="s">
        <v>5221</v>
      </c>
      <c r="N2051" s="2" t="s">
        <v>2317</v>
      </c>
      <c r="O2051" s="14">
        <v>1700</v>
      </c>
      <c r="P2051" s="14">
        <v>93.06</v>
      </c>
      <c r="Q2051" s="14">
        <v>117.98</v>
      </c>
      <c r="R2051" s="14">
        <v>46.01</v>
      </c>
      <c r="S2051" s="2" t="s">
        <v>2964</v>
      </c>
      <c r="T2051" s="2">
        <v>1</v>
      </c>
      <c r="U2051" s="2">
        <v>61.3</v>
      </c>
      <c r="V2051" s="2">
        <v>58</v>
      </c>
      <c r="W2051" s="2" t="s">
        <v>7862</v>
      </c>
      <c r="X2051" s="2" t="s">
        <v>5405</v>
      </c>
      <c r="Y2051" s="2">
        <v>663</v>
      </c>
      <c r="Z2051" s="19" t="str">
        <f>HYPERLINK("https://ssdweb.co/ssdweb/hd/Vision360.html?d=923970360&amp;zoomslide=1&amp;z=1923970360&amp;ISCONFIRM=0","VIDEO")</f>
        <v>VIDEO</v>
      </c>
      <c r="AA2051" s="19" t="str">
        <f>HYPERLINK("https://ssdweb.co/ssdweb/CERTH/577396986.pdf","CERTI")</f>
        <v>CERTI</v>
      </c>
    </row>
    <row r="2052" spans="1:27" ht="15" x14ac:dyDescent="0.25">
      <c r="A2052" s="2">
        <v>2047</v>
      </c>
      <c r="B2052" s="39">
        <v>924010289</v>
      </c>
      <c r="C2052" s="28" t="str">
        <f>HYPERLINK("https://pld.live/RapDetail.aspx?STONELIST=924010289","DNA")</f>
        <v>DNA</v>
      </c>
      <c r="D2052" s="18" t="s">
        <v>533</v>
      </c>
      <c r="E2052" s="18" t="s">
        <v>5128</v>
      </c>
      <c r="F2052" s="2" t="s">
        <v>7987</v>
      </c>
      <c r="G2052" s="2" t="s">
        <v>861</v>
      </c>
      <c r="H2052" s="14">
        <v>0.39</v>
      </c>
      <c r="I2052" s="2" t="s">
        <v>4761</v>
      </c>
      <c r="J2052" s="2" t="s">
        <v>5144</v>
      </c>
      <c r="K2052" s="2" t="s">
        <v>3390</v>
      </c>
      <c r="L2052" s="2" t="s">
        <v>5221</v>
      </c>
      <c r="M2052" s="2" t="s">
        <v>5221</v>
      </c>
      <c r="N2052" s="2" t="s">
        <v>2317</v>
      </c>
      <c r="O2052" s="14">
        <v>1700</v>
      </c>
      <c r="P2052" s="14">
        <v>93.06</v>
      </c>
      <c r="Q2052" s="14">
        <v>117.98</v>
      </c>
      <c r="R2052" s="14">
        <v>46.01</v>
      </c>
      <c r="S2052" s="2" t="s">
        <v>5780</v>
      </c>
      <c r="T2052" s="2">
        <v>1.01</v>
      </c>
      <c r="U2052" s="2">
        <v>62.1</v>
      </c>
      <c r="V2052" s="2">
        <v>56</v>
      </c>
      <c r="W2052" s="2" t="s">
        <v>7862</v>
      </c>
      <c r="X2052" s="2" t="s">
        <v>5405</v>
      </c>
      <c r="Y2052" s="2">
        <v>663</v>
      </c>
      <c r="Z2052" s="19" t="str">
        <f>HYPERLINK("https://ssdweb.co/ssdweb/hd/Vision360.html?d=924010289&amp;zoomslide=1&amp;z=1924010289&amp;ISCONFIRM=0","VIDEO")</f>
        <v>VIDEO</v>
      </c>
      <c r="AA2052" s="19" t="str">
        <f>HYPERLINK("https://ssdweb.co/ssdweb/CERTH/577396898.pdf","CERTI")</f>
        <v>CERTI</v>
      </c>
    </row>
    <row r="2053" spans="1:27" ht="15" x14ac:dyDescent="0.25">
      <c r="A2053" s="2">
        <v>2048</v>
      </c>
      <c r="B2053" s="39">
        <v>924010439</v>
      </c>
      <c r="C2053" s="28" t="str">
        <f>HYPERLINK("https://pld.live/RapDetail.aspx?STONELIST=924010439","DNA")</f>
        <v>DNA</v>
      </c>
      <c r="D2053" s="18" t="s">
        <v>533</v>
      </c>
      <c r="E2053" s="18" t="s">
        <v>5128</v>
      </c>
      <c r="F2053" s="2" t="s">
        <v>7987</v>
      </c>
      <c r="G2053" s="2" t="s">
        <v>861</v>
      </c>
      <c r="H2053" s="14">
        <v>0.39</v>
      </c>
      <c r="I2053" s="2" t="s">
        <v>4761</v>
      </c>
      <c r="J2053" s="2" t="s">
        <v>5144</v>
      </c>
      <c r="K2053" s="2" t="s">
        <v>3390</v>
      </c>
      <c r="L2053" s="2" t="s">
        <v>5221</v>
      </c>
      <c r="M2053" s="2" t="s">
        <v>5221</v>
      </c>
      <c r="N2053" s="2" t="s">
        <v>2317</v>
      </c>
      <c r="O2053" s="14">
        <v>1700</v>
      </c>
      <c r="P2053" s="14">
        <v>93.06</v>
      </c>
      <c r="Q2053" s="14">
        <v>117.98</v>
      </c>
      <c r="R2053" s="14">
        <v>46.01</v>
      </c>
      <c r="S2053" s="2" t="s">
        <v>6342</v>
      </c>
      <c r="T2053" s="2">
        <v>1</v>
      </c>
      <c r="U2053" s="2">
        <v>61.4</v>
      </c>
      <c r="V2053" s="2">
        <v>57</v>
      </c>
      <c r="W2053" s="2" t="s">
        <v>7862</v>
      </c>
      <c r="X2053" s="2" t="s">
        <v>5405</v>
      </c>
      <c r="Y2053" s="2">
        <v>663</v>
      </c>
      <c r="Z2053" s="19" t="str">
        <f>HYPERLINK("https://ssdweb.co/ssdweb/hd/Vision360.html?d=924010439&amp;zoomslide=1&amp;z=1924010439&amp;ISCONFIRM=0","VIDEO")</f>
        <v>VIDEO</v>
      </c>
      <c r="AA2053" s="19" t="str">
        <f>HYPERLINK("https://ssdweb.co/ssdweb/CERTH/577397828.pdf","CERTI")</f>
        <v>CERTI</v>
      </c>
    </row>
    <row r="2054" spans="1:27" ht="15" x14ac:dyDescent="0.25">
      <c r="A2054" s="2">
        <v>2049</v>
      </c>
      <c r="B2054" s="39">
        <v>924010538</v>
      </c>
      <c r="C2054" s="28" t="str">
        <f>HYPERLINK("https://pld.live/RapDetail.aspx?STONELIST=924010538","DNA")</f>
        <v>DNA</v>
      </c>
      <c r="D2054" s="18" t="s">
        <v>533</v>
      </c>
      <c r="E2054" s="18" t="s">
        <v>5128</v>
      </c>
      <c r="F2054" s="2" t="s">
        <v>7987</v>
      </c>
      <c r="G2054" s="2" t="s">
        <v>861</v>
      </c>
      <c r="H2054" s="14">
        <v>0.39</v>
      </c>
      <c r="I2054" s="2" t="s">
        <v>4761</v>
      </c>
      <c r="J2054" s="2" t="s">
        <v>5144</v>
      </c>
      <c r="K2054" s="2" t="s">
        <v>3390</v>
      </c>
      <c r="L2054" s="2" t="s">
        <v>5221</v>
      </c>
      <c r="M2054" s="2" t="s">
        <v>5221</v>
      </c>
      <c r="N2054" s="2" t="s">
        <v>2317</v>
      </c>
      <c r="O2054" s="14">
        <v>1700</v>
      </c>
      <c r="P2054" s="14">
        <v>93.06</v>
      </c>
      <c r="Q2054" s="14">
        <v>117.98</v>
      </c>
      <c r="R2054" s="14">
        <v>46.01</v>
      </c>
      <c r="S2054" s="2" t="s">
        <v>5617</v>
      </c>
      <c r="T2054" s="2">
        <v>1.01</v>
      </c>
      <c r="U2054" s="2">
        <v>62.2</v>
      </c>
      <c r="V2054" s="2">
        <v>57</v>
      </c>
      <c r="W2054" s="2" t="s">
        <v>7862</v>
      </c>
      <c r="X2054" s="2" t="s">
        <v>5405</v>
      </c>
      <c r="Y2054" s="2">
        <v>663</v>
      </c>
      <c r="Z2054" s="19" t="str">
        <f>HYPERLINK("https://ssdweb.co/ssdweb/hd/Vision360.html?d=924010538&amp;zoomslide=1&amp;z=1924010538&amp;ISCONFIRM=0","VIDEO")</f>
        <v>VIDEO</v>
      </c>
      <c r="AA2054" s="19" t="str">
        <f>HYPERLINK("https://ssdweb.co/ssdweb/CERTH/577396979.pdf","CERTI")</f>
        <v>CERTI</v>
      </c>
    </row>
    <row r="2055" spans="1:27" ht="15" x14ac:dyDescent="0.25">
      <c r="A2055" s="2">
        <v>2050</v>
      </c>
      <c r="B2055" s="39">
        <v>925670076</v>
      </c>
      <c r="C2055" s="28" t="str">
        <f>HYPERLINK("https://pld.live/RapDetail.aspx?STONELIST=925670076","DNA")</f>
        <v>DNA</v>
      </c>
      <c r="D2055" s="18" t="s">
        <v>533</v>
      </c>
      <c r="E2055" s="18" t="s">
        <v>2186</v>
      </c>
      <c r="F2055" s="2" t="s">
        <v>7987</v>
      </c>
      <c r="G2055" s="2" t="s">
        <v>861</v>
      </c>
      <c r="H2055" s="14">
        <v>0.39</v>
      </c>
      <c r="I2055" s="2" t="s">
        <v>4761</v>
      </c>
      <c r="J2055" s="2" t="s">
        <v>5144</v>
      </c>
      <c r="K2055" s="2" t="s">
        <v>3390</v>
      </c>
      <c r="L2055" s="2" t="s">
        <v>5221</v>
      </c>
      <c r="M2055" s="2" t="s">
        <v>5221</v>
      </c>
      <c r="N2055" s="2" t="s">
        <v>2317</v>
      </c>
      <c r="O2055" s="14">
        <v>1700</v>
      </c>
      <c r="P2055" s="14">
        <v>93</v>
      </c>
      <c r="Q2055" s="14">
        <v>119</v>
      </c>
      <c r="R2055" s="14">
        <v>46.41</v>
      </c>
      <c r="S2055" s="2" t="s">
        <v>7406</v>
      </c>
      <c r="T2055" s="2">
        <v>1.01</v>
      </c>
      <c r="U2055" s="2">
        <v>61.3</v>
      </c>
      <c r="V2055" s="2">
        <v>59</v>
      </c>
      <c r="W2055" s="2" t="s">
        <v>7862</v>
      </c>
      <c r="X2055" s="2" t="s">
        <v>5405</v>
      </c>
      <c r="Y2055" s="2">
        <v>663</v>
      </c>
      <c r="Z2055" s="19" t="str">
        <f>HYPERLINK("https://ssdweb.co/ssdweb/hd/Vision360.html?d=925670076&amp;zoomslide=1&amp;z=1925670076&amp;ISCONFIRM=0","VIDEO")</f>
        <v>VIDEO</v>
      </c>
      <c r="AA2055" s="19" t="str">
        <f>HYPERLINK("https://ssdweb.co/ssdweb/CERTH/623449225.pdf","CERTI")</f>
        <v>CERTI</v>
      </c>
    </row>
    <row r="2056" spans="1:27" ht="15" x14ac:dyDescent="0.25">
      <c r="A2056" s="2">
        <v>2051</v>
      </c>
      <c r="B2056" s="39">
        <v>924040388</v>
      </c>
      <c r="C2056" s="28" t="str">
        <f>HYPERLINK("https://pld.live/RapDetail.aspx?STONELIST=924040388","DNA")</f>
        <v>DNA</v>
      </c>
      <c r="D2056" s="18" t="s">
        <v>533</v>
      </c>
      <c r="E2056" s="18" t="s">
        <v>5128</v>
      </c>
      <c r="F2056" s="2" t="s">
        <v>7987</v>
      </c>
      <c r="G2056" s="2" t="s">
        <v>861</v>
      </c>
      <c r="H2056" s="14">
        <v>0.39</v>
      </c>
      <c r="I2056" s="2" t="s">
        <v>4761</v>
      </c>
      <c r="J2056" s="2" t="s">
        <v>5144</v>
      </c>
      <c r="K2056" s="2" t="s">
        <v>5221</v>
      </c>
      <c r="L2056" s="2" t="s">
        <v>5221</v>
      </c>
      <c r="M2056" s="2" t="s">
        <v>5221</v>
      </c>
      <c r="N2056" s="2" t="s">
        <v>2317</v>
      </c>
      <c r="O2056" s="14">
        <v>1700</v>
      </c>
      <c r="P2056" s="14">
        <v>93.06</v>
      </c>
      <c r="Q2056" s="14">
        <v>117.98</v>
      </c>
      <c r="R2056" s="14">
        <v>46.01</v>
      </c>
      <c r="S2056" s="2" t="s">
        <v>571</v>
      </c>
      <c r="T2056" s="2">
        <v>1.01</v>
      </c>
      <c r="U2056" s="2">
        <v>62.5</v>
      </c>
      <c r="V2056" s="2">
        <v>52.5</v>
      </c>
      <c r="W2056" s="2" t="s">
        <v>7862</v>
      </c>
      <c r="X2056" s="2" t="s">
        <v>5405</v>
      </c>
      <c r="Y2056" s="2">
        <v>663</v>
      </c>
      <c r="Z2056" s="19" t="str">
        <f>HYPERLINK("https://ssdweb.co/ssdweb/hd/Vision360.html?d=924040388&amp;zoomslide=1&amp;z=1924040388&amp;ISCONFIRM=0","VIDEO")</f>
        <v>VIDEO</v>
      </c>
      <c r="AA2056" s="19" t="str">
        <f>HYPERLINK("https://ssdweb.co/ssdweb/CERTH/572352361.pdf","CERTI")</f>
        <v>CERTI</v>
      </c>
    </row>
    <row r="2057" spans="1:27" ht="15" x14ac:dyDescent="0.25">
      <c r="A2057" s="2">
        <v>2052</v>
      </c>
      <c r="B2057" s="39">
        <v>924040704</v>
      </c>
      <c r="C2057" s="28" t="str">
        <f>HYPERLINK("https://pld.live/RapDetail.aspx?STONELIST=924040704","DNA")</f>
        <v>DNA</v>
      </c>
      <c r="D2057" s="18" t="s">
        <v>533</v>
      </c>
      <c r="E2057" s="18" t="s">
        <v>5128</v>
      </c>
      <c r="F2057" s="2" t="s">
        <v>7987</v>
      </c>
      <c r="G2057" s="2" t="s">
        <v>861</v>
      </c>
      <c r="H2057" s="14">
        <v>0.39</v>
      </c>
      <c r="I2057" s="2" t="s">
        <v>4761</v>
      </c>
      <c r="J2057" s="2" t="s">
        <v>5144</v>
      </c>
      <c r="K2057" s="2" t="s">
        <v>5221</v>
      </c>
      <c r="L2057" s="2" t="s">
        <v>5221</v>
      </c>
      <c r="M2057" s="2" t="s">
        <v>5221</v>
      </c>
      <c r="N2057" s="2" t="s">
        <v>2317</v>
      </c>
      <c r="O2057" s="14">
        <v>1700</v>
      </c>
      <c r="P2057" s="14">
        <v>93.06</v>
      </c>
      <c r="Q2057" s="14">
        <v>117.98</v>
      </c>
      <c r="R2057" s="14">
        <v>46.01</v>
      </c>
      <c r="S2057" s="2" t="s">
        <v>815</v>
      </c>
      <c r="T2057" s="2">
        <v>1.01</v>
      </c>
      <c r="U2057" s="2">
        <v>62.6</v>
      </c>
      <c r="V2057" s="2">
        <v>57</v>
      </c>
      <c r="W2057" s="2" t="s">
        <v>7862</v>
      </c>
      <c r="X2057" s="2" t="s">
        <v>5405</v>
      </c>
      <c r="Y2057" s="2">
        <v>663</v>
      </c>
      <c r="Z2057" s="19" t="str">
        <f>HYPERLINK("https://ssdweb.co/ssdweb/hd/Vision360.html?d=924040704&amp;zoomslide=1&amp;z=1924040704&amp;ISCONFIRM=0","VIDEO")</f>
        <v>VIDEO</v>
      </c>
      <c r="AA2057" s="19" t="str">
        <f>HYPERLINK("https://ssdweb.co/ssdweb/CERTH/573389650.pdf","CERTI")</f>
        <v>CERTI</v>
      </c>
    </row>
    <row r="2058" spans="1:27" ht="15" x14ac:dyDescent="0.25">
      <c r="A2058" s="2">
        <v>2053</v>
      </c>
      <c r="B2058" s="39">
        <v>927010452</v>
      </c>
      <c r="C2058" s="28" t="str">
        <f>HYPERLINK("https://pld.live/RapDetail.aspx?STONELIST=927010452","DNA")</f>
        <v>DNA</v>
      </c>
      <c r="D2058" s="18" t="s">
        <v>533</v>
      </c>
      <c r="E2058" s="18" t="s">
        <v>2186</v>
      </c>
      <c r="F2058" s="2" t="s">
        <v>7987</v>
      </c>
      <c r="G2058" s="2" t="s">
        <v>861</v>
      </c>
      <c r="H2058" s="14">
        <v>0.38</v>
      </c>
      <c r="I2058" s="2" t="s">
        <v>267</v>
      </c>
      <c r="J2058" s="2" t="s">
        <v>3942</v>
      </c>
      <c r="K2058" s="2" t="s">
        <v>3390</v>
      </c>
      <c r="L2058" s="2" t="s">
        <v>5221</v>
      </c>
      <c r="M2058" s="2" t="s">
        <v>5221</v>
      </c>
      <c r="N2058" s="2" t="s">
        <v>2317</v>
      </c>
      <c r="O2058" s="14">
        <v>2200</v>
      </c>
      <c r="P2058" s="14">
        <v>93.73</v>
      </c>
      <c r="Q2058" s="14">
        <v>137.94</v>
      </c>
      <c r="R2058" s="14">
        <v>52.42</v>
      </c>
      <c r="S2058" s="2" t="s">
        <v>7335</v>
      </c>
      <c r="T2058" s="2">
        <v>1.01</v>
      </c>
      <c r="U2058" s="2">
        <v>61.9</v>
      </c>
      <c r="V2058" s="2">
        <v>58</v>
      </c>
      <c r="W2058" s="2" t="s">
        <v>7862</v>
      </c>
      <c r="X2058" s="2" t="s">
        <v>5405</v>
      </c>
      <c r="Y2058" s="2">
        <v>836</v>
      </c>
      <c r="Z2058" s="19" t="str">
        <f>HYPERLINK("https://ssdweb.co/ssdweb/hd/Vision360.html?d=927010452&amp;zoomslide=1&amp;z=1927010452&amp;ISCONFIRM=0","VIDEO")</f>
        <v>VIDEO</v>
      </c>
      <c r="AA2058" s="19" t="str">
        <f>HYPERLINK("https://ssdweb.co/ssdweb/CERTH/666436067.pdf","CERTI")</f>
        <v>CERTI</v>
      </c>
    </row>
    <row r="2059" spans="1:27" ht="15" x14ac:dyDescent="0.25">
      <c r="A2059" s="2">
        <v>2054</v>
      </c>
      <c r="B2059" s="39">
        <v>821127867</v>
      </c>
      <c r="C2059" s="28" t="str">
        <f>HYPERLINK("https://pld.live/RapDetail.aspx?STONELIST=821127867","DNA")</f>
        <v>DNA</v>
      </c>
      <c r="D2059" s="18" t="s">
        <v>533</v>
      </c>
      <c r="E2059" s="18" t="s">
        <v>5128</v>
      </c>
      <c r="F2059" s="2" t="s">
        <v>7987</v>
      </c>
      <c r="G2059" s="2" t="s">
        <v>861</v>
      </c>
      <c r="H2059" s="14">
        <v>0.38</v>
      </c>
      <c r="I2059" s="2" t="s">
        <v>267</v>
      </c>
      <c r="J2059" s="2" t="s">
        <v>13</v>
      </c>
      <c r="K2059" s="2" t="s">
        <v>3390</v>
      </c>
      <c r="L2059" s="2" t="s">
        <v>5721</v>
      </c>
      <c r="M2059" s="2" t="s">
        <v>5721</v>
      </c>
      <c r="N2059" s="2" t="s">
        <v>2317</v>
      </c>
      <c r="O2059" s="14">
        <v>2000</v>
      </c>
      <c r="P2059" s="14">
        <v>94</v>
      </c>
      <c r="Q2059" s="14">
        <v>120</v>
      </c>
      <c r="R2059" s="14">
        <v>45.6</v>
      </c>
      <c r="S2059" s="2" t="s">
        <v>595</v>
      </c>
      <c r="T2059" s="2">
        <v>1.01</v>
      </c>
      <c r="U2059" s="2">
        <v>61</v>
      </c>
      <c r="V2059" s="2">
        <v>59</v>
      </c>
      <c r="W2059" s="2" t="s">
        <v>7862</v>
      </c>
      <c r="X2059" s="2" t="s">
        <v>5405</v>
      </c>
      <c r="Y2059" s="2">
        <v>760</v>
      </c>
      <c r="Z2059" s="19" t="str">
        <f>HYPERLINK("https://ssdweb.co/ssdweb/hd/Vision360.html?d=821127867&amp;zoomslide=1&amp;z=1821127867&amp;ISCONFIRM=0","VIDEO")</f>
        <v>VIDEO</v>
      </c>
      <c r="AA2059" s="19" t="str">
        <f>HYPERLINK("https://ssdweb.co/ssdweb/CERTH/633499533.pdf","CERTI")</f>
        <v>CERTI</v>
      </c>
    </row>
    <row r="2060" spans="1:27" ht="15" x14ac:dyDescent="0.25">
      <c r="A2060" s="2">
        <v>2055</v>
      </c>
      <c r="B2060" s="39">
        <v>923940153</v>
      </c>
      <c r="C2060" s="28" t="str">
        <f>HYPERLINK("https://pld.live/RapDetail.aspx?STONELIST=923940153","DNA")</f>
        <v>DNA</v>
      </c>
      <c r="D2060" s="18" t="s">
        <v>533</v>
      </c>
      <c r="E2060" s="18" t="s">
        <v>5128</v>
      </c>
      <c r="F2060" s="2" t="s">
        <v>7987</v>
      </c>
      <c r="G2060" s="2" t="s">
        <v>861</v>
      </c>
      <c r="H2060" s="14">
        <v>0.38</v>
      </c>
      <c r="I2060" s="2" t="s">
        <v>267</v>
      </c>
      <c r="J2060" s="2" t="s">
        <v>5144</v>
      </c>
      <c r="K2060" s="2" t="s">
        <v>3390</v>
      </c>
      <c r="L2060" s="2" t="s">
        <v>5221</v>
      </c>
      <c r="M2060" s="2" t="s">
        <v>5221</v>
      </c>
      <c r="N2060" s="2" t="s">
        <v>2317</v>
      </c>
      <c r="O2060" s="14">
        <v>1800</v>
      </c>
      <c r="P2060" s="14">
        <v>93.39</v>
      </c>
      <c r="Q2060" s="14">
        <v>118.98</v>
      </c>
      <c r="R2060" s="14">
        <v>45.21</v>
      </c>
      <c r="S2060" s="2" t="s">
        <v>89</v>
      </c>
      <c r="T2060" s="2">
        <v>1.01</v>
      </c>
      <c r="U2060" s="2">
        <v>60.3</v>
      </c>
      <c r="V2060" s="2">
        <v>58</v>
      </c>
      <c r="W2060" s="2" t="s">
        <v>7862</v>
      </c>
      <c r="X2060" s="2" t="s">
        <v>5405</v>
      </c>
      <c r="Y2060" s="2">
        <v>684</v>
      </c>
      <c r="Z2060" s="19" t="str">
        <f>HYPERLINK("https://ssdweb.co/ssdweb/hd/Vision360.html?d=923940153&amp;zoomslide=1&amp;z=1923940153&amp;ISCONFIRM=0","VIDEO")</f>
        <v>VIDEO</v>
      </c>
      <c r="AA2060" s="19" t="str">
        <f>HYPERLINK("https://ssdweb.co/ssdweb/CERTH/577397169.pdf","CERTI")</f>
        <v>CERTI</v>
      </c>
    </row>
    <row r="2061" spans="1:27" ht="15" x14ac:dyDescent="0.25">
      <c r="A2061" s="2">
        <v>2056</v>
      </c>
      <c r="B2061" s="39">
        <v>923970217</v>
      </c>
      <c r="C2061" s="28" t="str">
        <f>HYPERLINK("https://pld.live/RapDetail.aspx?STONELIST=923970217","DNA")</f>
        <v>DNA</v>
      </c>
      <c r="D2061" s="18" t="s">
        <v>533</v>
      </c>
      <c r="E2061" s="18" t="s">
        <v>5128</v>
      </c>
      <c r="F2061" s="2" t="s">
        <v>7987</v>
      </c>
      <c r="G2061" s="2" t="s">
        <v>861</v>
      </c>
      <c r="H2061" s="14">
        <v>0.38</v>
      </c>
      <c r="I2061" s="2" t="s">
        <v>267</v>
      </c>
      <c r="J2061" s="2" t="s">
        <v>5144</v>
      </c>
      <c r="K2061" s="2" t="s">
        <v>3390</v>
      </c>
      <c r="L2061" s="2" t="s">
        <v>5221</v>
      </c>
      <c r="M2061" s="2" t="s">
        <v>5221</v>
      </c>
      <c r="N2061" s="2" t="s">
        <v>2317</v>
      </c>
      <c r="O2061" s="14">
        <v>1800</v>
      </c>
      <c r="P2061" s="14">
        <v>93.39</v>
      </c>
      <c r="Q2061" s="14">
        <v>118.98</v>
      </c>
      <c r="R2061" s="14">
        <v>45.21</v>
      </c>
      <c r="S2061" s="2" t="s">
        <v>7873</v>
      </c>
      <c r="T2061" s="2">
        <v>1.01</v>
      </c>
      <c r="U2061" s="2">
        <v>60.1</v>
      </c>
      <c r="V2061" s="2">
        <v>59</v>
      </c>
      <c r="W2061" s="2" t="s">
        <v>7862</v>
      </c>
      <c r="X2061" s="2" t="s">
        <v>5405</v>
      </c>
      <c r="Y2061" s="2">
        <v>684</v>
      </c>
      <c r="Z2061" s="19" t="str">
        <f>HYPERLINK("https://ssdweb.co/ssdweb/hd/Vision360.html?d=923970217&amp;zoomslide=1&amp;z=1923970217&amp;ISCONFIRM=0","VIDEO")</f>
        <v>VIDEO</v>
      </c>
      <c r="AA2061" s="19" t="str">
        <f>HYPERLINK("https://ssdweb.co/ssdweb/CERTH/577396925.pdf","CERTI")</f>
        <v>CERTI</v>
      </c>
    </row>
    <row r="2062" spans="1:27" ht="15" x14ac:dyDescent="0.25">
      <c r="A2062" s="2">
        <v>2057</v>
      </c>
      <c r="B2062" s="39">
        <v>924570501</v>
      </c>
      <c r="C2062" s="28" t="str">
        <f>HYPERLINK("https://pld.live/RapDetail.aspx?STONELIST=924570501","DNA")</f>
        <v>DNA</v>
      </c>
      <c r="D2062" s="18" t="s">
        <v>533</v>
      </c>
      <c r="E2062" s="18" t="s">
        <v>2186</v>
      </c>
      <c r="F2062" s="2" t="s">
        <v>7987</v>
      </c>
      <c r="G2062" s="2" t="s">
        <v>861</v>
      </c>
      <c r="H2062" s="14">
        <v>0.38</v>
      </c>
      <c r="I2062" s="2" t="s">
        <v>267</v>
      </c>
      <c r="J2062" s="2" t="s">
        <v>5144</v>
      </c>
      <c r="K2062" s="2" t="s">
        <v>3390</v>
      </c>
      <c r="L2062" s="2" t="s">
        <v>5221</v>
      </c>
      <c r="M2062" s="2" t="s">
        <v>5221</v>
      </c>
      <c r="N2062" s="2" t="s">
        <v>2317</v>
      </c>
      <c r="O2062" s="14">
        <v>1800</v>
      </c>
      <c r="P2062" s="14">
        <v>93.39</v>
      </c>
      <c r="Q2062" s="14">
        <v>118.98</v>
      </c>
      <c r="R2062" s="14">
        <v>45.21</v>
      </c>
      <c r="S2062" s="2" t="s">
        <v>4021</v>
      </c>
      <c r="T2062" s="2">
        <v>1</v>
      </c>
      <c r="U2062" s="2">
        <v>61.9</v>
      </c>
      <c r="V2062" s="2">
        <v>59</v>
      </c>
      <c r="W2062" s="2" t="s">
        <v>7862</v>
      </c>
      <c r="X2062" s="2" t="s">
        <v>5405</v>
      </c>
      <c r="Y2062" s="2">
        <v>684</v>
      </c>
      <c r="Z2062" s="19" t="str">
        <f>HYPERLINK("https://ssdweb.co/ssdweb/hd/Vision360.html?d=924570501&amp;zoomslide=1&amp;z=1924570501&amp;ISCONFIRM=0","VIDEO")</f>
        <v>VIDEO</v>
      </c>
      <c r="AA2062" s="19" t="str">
        <f>HYPERLINK("https://ssdweb.co/ssdweb/CERTH/596307630.pdf","CERTI")</f>
        <v>CERTI</v>
      </c>
    </row>
    <row r="2063" spans="1:27" ht="15" x14ac:dyDescent="0.25">
      <c r="A2063" s="2">
        <v>2058</v>
      </c>
      <c r="B2063" s="39">
        <v>924600023</v>
      </c>
      <c r="C2063" s="28" t="str">
        <f>HYPERLINK("https://pld.live/RapDetail.aspx?STONELIST=924600023","DNA")</f>
        <v>DNA</v>
      </c>
      <c r="D2063" s="18" t="s">
        <v>533</v>
      </c>
      <c r="E2063" s="18" t="s">
        <v>5128</v>
      </c>
      <c r="F2063" s="2" t="s">
        <v>7987</v>
      </c>
      <c r="G2063" s="2" t="s">
        <v>861</v>
      </c>
      <c r="H2063" s="14">
        <v>0.38</v>
      </c>
      <c r="I2063" s="2" t="s">
        <v>267</v>
      </c>
      <c r="J2063" s="2" t="s">
        <v>5144</v>
      </c>
      <c r="K2063" s="2" t="s">
        <v>3390</v>
      </c>
      <c r="L2063" s="2" t="s">
        <v>5221</v>
      </c>
      <c r="M2063" s="2" t="s">
        <v>5221</v>
      </c>
      <c r="N2063" s="2" t="s">
        <v>2317</v>
      </c>
      <c r="O2063" s="14">
        <v>1800</v>
      </c>
      <c r="P2063" s="14">
        <v>93.39</v>
      </c>
      <c r="Q2063" s="14">
        <v>118.98</v>
      </c>
      <c r="R2063" s="14">
        <v>45.21</v>
      </c>
      <c r="S2063" s="2" t="s">
        <v>5228</v>
      </c>
      <c r="T2063" s="2">
        <v>1.01</v>
      </c>
      <c r="U2063" s="2">
        <v>62.4</v>
      </c>
      <c r="V2063" s="2">
        <v>58</v>
      </c>
      <c r="W2063" s="2" t="s">
        <v>7862</v>
      </c>
      <c r="X2063" s="2" t="s">
        <v>5405</v>
      </c>
      <c r="Y2063" s="2">
        <v>684</v>
      </c>
      <c r="Z2063" s="19" t="str">
        <f>HYPERLINK("https://ssdweb.co/ssdweb/hd/Vision360.html?d=924600023&amp;zoomslide=1&amp;z=1924600023&amp;ISCONFIRM=0","VIDEO")</f>
        <v>VIDEO</v>
      </c>
      <c r="AA2063" s="19" t="str">
        <f>HYPERLINK("https://ssdweb.co/ssdweb/CERTH/595368539.pdf","CERTI")</f>
        <v>CERTI</v>
      </c>
    </row>
    <row r="2064" spans="1:27" ht="15" x14ac:dyDescent="0.25">
      <c r="A2064" s="2">
        <v>2059</v>
      </c>
      <c r="B2064" s="39">
        <v>924270186</v>
      </c>
      <c r="C2064" s="28" t="str">
        <f>HYPERLINK("https://pld.live/RapDetail.aspx?STONELIST=924270186","DNA")</f>
        <v>DNA</v>
      </c>
      <c r="D2064" s="18" t="s">
        <v>533</v>
      </c>
      <c r="E2064" s="18" t="s">
        <v>5128</v>
      </c>
      <c r="F2064" s="2" t="s">
        <v>7987</v>
      </c>
      <c r="G2064" s="2" t="s">
        <v>861</v>
      </c>
      <c r="H2064" s="14">
        <v>0.38</v>
      </c>
      <c r="I2064" s="2" t="s">
        <v>267</v>
      </c>
      <c r="J2064" s="2" t="s">
        <v>5144</v>
      </c>
      <c r="K2064" s="2" t="s">
        <v>3390</v>
      </c>
      <c r="L2064" s="2" t="s">
        <v>5221</v>
      </c>
      <c r="M2064" s="2" t="s">
        <v>5221</v>
      </c>
      <c r="N2064" s="2" t="s">
        <v>2317</v>
      </c>
      <c r="O2064" s="14">
        <v>1800</v>
      </c>
      <c r="P2064" s="14">
        <v>93.39</v>
      </c>
      <c r="Q2064" s="14">
        <v>118.98</v>
      </c>
      <c r="R2064" s="14">
        <v>45.21</v>
      </c>
      <c r="S2064" s="2" t="s">
        <v>2466</v>
      </c>
      <c r="T2064" s="2">
        <v>1.01</v>
      </c>
      <c r="U2064" s="2">
        <v>62.1</v>
      </c>
      <c r="V2064" s="2">
        <v>58</v>
      </c>
      <c r="W2064" s="2" t="s">
        <v>7862</v>
      </c>
      <c r="X2064" s="2" t="s">
        <v>5405</v>
      </c>
      <c r="Y2064" s="2">
        <v>684</v>
      </c>
      <c r="Z2064" s="19" t="str">
        <f>HYPERLINK("https://ssdweb.co/ssdweb/hd/Vision360.html?d=924270186&amp;zoomslide=1&amp;z=1924270186&amp;ISCONFIRM=0","VIDEO")</f>
        <v>VIDEO</v>
      </c>
      <c r="AA2064" s="19" t="str">
        <f>HYPERLINK("https://ssdweb.co/ssdweb/CERTH/581308006.pdf","CERTI")</f>
        <v>CERTI</v>
      </c>
    </row>
    <row r="2065" spans="1:27" ht="15" x14ac:dyDescent="0.25">
      <c r="A2065" s="2">
        <v>2060</v>
      </c>
      <c r="B2065" s="39">
        <v>924540182</v>
      </c>
      <c r="C2065" s="28" t="str">
        <f>HYPERLINK("https://pld.live/RapDetail.aspx?STONELIST=924540182","DNA")</f>
        <v>DNA</v>
      </c>
      <c r="D2065" s="18" t="s">
        <v>533</v>
      </c>
      <c r="E2065" s="18" t="s">
        <v>5128</v>
      </c>
      <c r="F2065" s="2" t="s">
        <v>7987</v>
      </c>
      <c r="G2065" s="2" t="s">
        <v>861</v>
      </c>
      <c r="H2065" s="14">
        <v>0.38</v>
      </c>
      <c r="I2065" s="2" t="s">
        <v>267</v>
      </c>
      <c r="J2065" s="2" t="s">
        <v>5144</v>
      </c>
      <c r="K2065" s="2" t="s">
        <v>3390</v>
      </c>
      <c r="L2065" s="2" t="s">
        <v>5221</v>
      </c>
      <c r="M2065" s="2" t="s">
        <v>5221</v>
      </c>
      <c r="N2065" s="2" t="s">
        <v>2317</v>
      </c>
      <c r="O2065" s="14">
        <v>1800</v>
      </c>
      <c r="P2065" s="14">
        <v>93.39</v>
      </c>
      <c r="Q2065" s="14">
        <v>118.98</v>
      </c>
      <c r="R2065" s="14">
        <v>45.21</v>
      </c>
      <c r="S2065" s="2" t="s">
        <v>4394</v>
      </c>
      <c r="T2065" s="2">
        <v>1</v>
      </c>
      <c r="U2065" s="2">
        <v>60.9</v>
      </c>
      <c r="V2065" s="2">
        <v>58</v>
      </c>
      <c r="W2065" s="2" t="s">
        <v>7862</v>
      </c>
      <c r="X2065" s="2" t="s">
        <v>5405</v>
      </c>
      <c r="Y2065" s="2">
        <v>684</v>
      </c>
      <c r="Z2065" s="19" t="str">
        <f>HYPERLINK("https://ssdweb.co/ssdweb/hd/Vision360.html?d=924540182&amp;zoomslide=1&amp;z=1924540182&amp;ISCONFIRM=0","VIDEO")</f>
        <v>VIDEO</v>
      </c>
      <c r="AA2065" s="19" t="str">
        <f>HYPERLINK("https://ssdweb.co/ssdweb/CERTH/592323361.pdf","CERTI")</f>
        <v>CERTI</v>
      </c>
    </row>
    <row r="2066" spans="1:27" ht="15" x14ac:dyDescent="0.25">
      <c r="A2066" s="2">
        <v>2061</v>
      </c>
      <c r="B2066" s="39">
        <v>924220451</v>
      </c>
      <c r="C2066" s="28" t="str">
        <f>HYPERLINK("https://pld.live/RapDetail.aspx?STONELIST=924220451","DNA")</f>
        <v>DNA</v>
      </c>
      <c r="D2066" s="18" t="s">
        <v>533</v>
      </c>
      <c r="E2066" s="18" t="s">
        <v>5128</v>
      </c>
      <c r="F2066" s="2" t="s">
        <v>7987</v>
      </c>
      <c r="G2066" s="2" t="s">
        <v>861</v>
      </c>
      <c r="H2066" s="14">
        <v>0.38</v>
      </c>
      <c r="I2066" s="2" t="s">
        <v>267</v>
      </c>
      <c r="J2066" s="2" t="s">
        <v>5144</v>
      </c>
      <c r="K2066" s="2" t="s">
        <v>3390</v>
      </c>
      <c r="L2066" s="2" t="s">
        <v>5221</v>
      </c>
      <c r="M2066" s="2" t="s">
        <v>5221</v>
      </c>
      <c r="N2066" s="2" t="s">
        <v>2317</v>
      </c>
      <c r="O2066" s="14">
        <v>1800</v>
      </c>
      <c r="P2066" s="14">
        <v>93.39</v>
      </c>
      <c r="Q2066" s="14">
        <v>118.98</v>
      </c>
      <c r="R2066" s="14">
        <v>45.21</v>
      </c>
      <c r="S2066" s="2" t="s">
        <v>7469</v>
      </c>
      <c r="T2066" s="2">
        <v>1.01</v>
      </c>
      <c r="U2066" s="2">
        <v>60.1</v>
      </c>
      <c r="V2066" s="2">
        <v>59</v>
      </c>
      <c r="W2066" s="2" t="s">
        <v>7862</v>
      </c>
      <c r="X2066" s="2" t="s">
        <v>5405</v>
      </c>
      <c r="Y2066" s="2">
        <v>684</v>
      </c>
      <c r="Z2066" s="19" t="str">
        <f>HYPERLINK("https://ssdweb.co/ssdweb/hd/Vision360.html?d=924220451&amp;zoomslide=1&amp;z=1924220451&amp;ISCONFIRM=0","VIDEO")</f>
        <v>VIDEO</v>
      </c>
      <c r="AA2066" s="19" t="str">
        <f>HYPERLINK("https://ssdweb.co/ssdweb/CERTH/587317405.pdf","CERTI")</f>
        <v>CERTI</v>
      </c>
    </row>
    <row r="2067" spans="1:27" ht="15" x14ac:dyDescent="0.25">
      <c r="A2067" s="2">
        <v>2062</v>
      </c>
      <c r="B2067" s="39">
        <v>924220326</v>
      </c>
      <c r="C2067" s="28" t="str">
        <f>HYPERLINK("https://pld.live/RapDetail.aspx?STONELIST=924220326","DNA")</f>
        <v>DNA</v>
      </c>
      <c r="D2067" s="18" t="s">
        <v>533</v>
      </c>
      <c r="E2067" s="18" t="s">
        <v>5128</v>
      </c>
      <c r="F2067" s="2" t="s">
        <v>7987</v>
      </c>
      <c r="G2067" s="2" t="s">
        <v>861</v>
      </c>
      <c r="H2067" s="14">
        <v>0.38</v>
      </c>
      <c r="I2067" s="2" t="s">
        <v>267</v>
      </c>
      <c r="J2067" s="2" t="s">
        <v>5144</v>
      </c>
      <c r="K2067" s="2" t="s">
        <v>3390</v>
      </c>
      <c r="L2067" s="2" t="s">
        <v>5221</v>
      </c>
      <c r="M2067" s="2" t="s">
        <v>5221</v>
      </c>
      <c r="N2067" s="2" t="s">
        <v>2317</v>
      </c>
      <c r="O2067" s="14">
        <v>1800</v>
      </c>
      <c r="P2067" s="14">
        <v>93.39</v>
      </c>
      <c r="Q2067" s="14">
        <v>118.98</v>
      </c>
      <c r="R2067" s="14">
        <v>45.21</v>
      </c>
      <c r="S2067" s="2" t="s">
        <v>1588</v>
      </c>
      <c r="T2067" s="2">
        <v>1.01</v>
      </c>
      <c r="U2067" s="2">
        <v>62.2</v>
      </c>
      <c r="V2067" s="2">
        <v>58</v>
      </c>
      <c r="W2067" s="2" t="s">
        <v>7862</v>
      </c>
      <c r="X2067" s="2" t="s">
        <v>5405</v>
      </c>
      <c r="Y2067" s="2">
        <v>684</v>
      </c>
      <c r="Z2067" s="19" t="str">
        <f>HYPERLINK("https://ssdweb.co/ssdweb/hd/Vision360.html?d=924220326&amp;zoomslide=1&amp;z=1924220326&amp;ISCONFIRM=0","VIDEO")</f>
        <v>VIDEO</v>
      </c>
      <c r="AA2067" s="19" t="str">
        <f>HYPERLINK("https://ssdweb.co/ssdweb/CERTH/577396852.pdf","CERTI")</f>
        <v>CERTI</v>
      </c>
    </row>
    <row r="2068" spans="1:27" ht="15" x14ac:dyDescent="0.25">
      <c r="A2068" s="2">
        <v>2063</v>
      </c>
      <c r="B2068" s="39">
        <v>924220280</v>
      </c>
      <c r="C2068" s="28" t="str">
        <f>HYPERLINK("https://pld.live/RapDetail.aspx?STONELIST=924220280","DNA")</f>
        <v>DNA</v>
      </c>
      <c r="D2068" s="18" t="s">
        <v>533</v>
      </c>
      <c r="E2068" s="18" t="s">
        <v>5128</v>
      </c>
      <c r="F2068" s="2" t="s">
        <v>7987</v>
      </c>
      <c r="G2068" s="2" t="s">
        <v>861</v>
      </c>
      <c r="H2068" s="14">
        <v>0.38</v>
      </c>
      <c r="I2068" s="2" t="s">
        <v>267</v>
      </c>
      <c r="J2068" s="2" t="s">
        <v>5144</v>
      </c>
      <c r="K2068" s="2" t="s">
        <v>3390</v>
      </c>
      <c r="L2068" s="2" t="s">
        <v>5221</v>
      </c>
      <c r="M2068" s="2" t="s">
        <v>5221</v>
      </c>
      <c r="N2068" s="2" t="s">
        <v>2317</v>
      </c>
      <c r="O2068" s="14">
        <v>1800</v>
      </c>
      <c r="P2068" s="14">
        <v>93.39</v>
      </c>
      <c r="Q2068" s="14">
        <v>118.98</v>
      </c>
      <c r="R2068" s="14">
        <v>45.21</v>
      </c>
      <c r="S2068" s="2" t="s">
        <v>1513</v>
      </c>
      <c r="T2068" s="2">
        <v>1.01</v>
      </c>
      <c r="U2068" s="2">
        <v>62.1</v>
      </c>
      <c r="V2068" s="2">
        <v>58</v>
      </c>
      <c r="W2068" s="2" t="s">
        <v>7862</v>
      </c>
      <c r="X2068" s="2" t="s">
        <v>5405</v>
      </c>
      <c r="Y2068" s="2">
        <v>684</v>
      </c>
      <c r="Z2068" s="19" t="str">
        <f>HYPERLINK("https://ssdweb.co/ssdweb/hd/Vision360.html?d=924220280&amp;zoomslide=1&amp;z=1924220280&amp;ISCONFIRM=0","VIDEO")</f>
        <v>VIDEO</v>
      </c>
      <c r="AA2068" s="19" t="str">
        <f>HYPERLINK("https://ssdweb.co/ssdweb/CERTH/577397005.pdf","CERTI")</f>
        <v>CERTI</v>
      </c>
    </row>
    <row r="2069" spans="1:27" ht="15" x14ac:dyDescent="0.25">
      <c r="A2069" s="2">
        <v>2064</v>
      </c>
      <c r="B2069" s="39">
        <v>924070719</v>
      </c>
      <c r="C2069" s="28" t="str">
        <f>HYPERLINK("https://pld.live/RapDetail.aspx?STONELIST=924070719","DNA")</f>
        <v>DNA</v>
      </c>
      <c r="D2069" s="18" t="s">
        <v>533</v>
      </c>
      <c r="E2069" s="18" t="s">
        <v>5128</v>
      </c>
      <c r="F2069" s="2" t="s">
        <v>7987</v>
      </c>
      <c r="G2069" s="2" t="s">
        <v>861</v>
      </c>
      <c r="H2069" s="14">
        <v>0.38</v>
      </c>
      <c r="I2069" s="2" t="s">
        <v>267</v>
      </c>
      <c r="J2069" s="2" t="s">
        <v>5144</v>
      </c>
      <c r="K2069" s="2" t="s">
        <v>3390</v>
      </c>
      <c r="L2069" s="2" t="s">
        <v>5221</v>
      </c>
      <c r="M2069" s="2" t="s">
        <v>5221</v>
      </c>
      <c r="N2069" s="2" t="s">
        <v>2317</v>
      </c>
      <c r="O2069" s="14">
        <v>1800</v>
      </c>
      <c r="P2069" s="14">
        <v>93.39</v>
      </c>
      <c r="Q2069" s="14">
        <v>118.98</v>
      </c>
      <c r="R2069" s="14">
        <v>45.21</v>
      </c>
      <c r="S2069" s="2" t="s">
        <v>2687</v>
      </c>
      <c r="T2069" s="2">
        <v>1.01</v>
      </c>
      <c r="U2069" s="2">
        <v>61.8</v>
      </c>
      <c r="V2069" s="2">
        <v>56</v>
      </c>
      <c r="W2069" s="2" t="s">
        <v>7862</v>
      </c>
      <c r="X2069" s="2" t="s">
        <v>5405</v>
      </c>
      <c r="Y2069" s="2">
        <v>684</v>
      </c>
      <c r="Z2069" s="19" t="str">
        <f>HYPERLINK("https://ssdweb.co/ssdweb/hd/Vision360.html?d=924070719&amp;zoomslide=1&amp;z=1924070719&amp;ISCONFIRM=0","VIDEO")</f>
        <v>VIDEO</v>
      </c>
      <c r="AA2069" s="19" t="str">
        <f>HYPERLINK("https://ssdweb.co/ssdweb/CERTH/575374500.pdf","CERTI")</f>
        <v>CERTI</v>
      </c>
    </row>
    <row r="2070" spans="1:27" ht="15" x14ac:dyDescent="0.25">
      <c r="A2070" s="2">
        <v>2065</v>
      </c>
      <c r="B2070" s="39">
        <v>924510006</v>
      </c>
      <c r="C2070" s="28" t="str">
        <f>HYPERLINK("https://pld.live/RapDetail.aspx?STONELIST=924510006","DNA")</f>
        <v>DNA</v>
      </c>
      <c r="D2070" s="18" t="s">
        <v>533</v>
      </c>
      <c r="E2070" s="18" t="s">
        <v>2186</v>
      </c>
      <c r="F2070" s="2" t="s">
        <v>7987</v>
      </c>
      <c r="G2070" s="2" t="s">
        <v>861</v>
      </c>
      <c r="H2070" s="14">
        <v>0.38</v>
      </c>
      <c r="I2070" s="2" t="s">
        <v>267</v>
      </c>
      <c r="J2070" s="2" t="s">
        <v>5144</v>
      </c>
      <c r="K2070" s="2" t="s">
        <v>3390</v>
      </c>
      <c r="L2070" s="2" t="s">
        <v>5221</v>
      </c>
      <c r="M2070" s="2" t="s">
        <v>5221</v>
      </c>
      <c r="N2070" s="2" t="s">
        <v>2317</v>
      </c>
      <c r="O2070" s="14">
        <v>1800</v>
      </c>
      <c r="P2070" s="14">
        <v>93.39</v>
      </c>
      <c r="Q2070" s="14">
        <v>118.98</v>
      </c>
      <c r="R2070" s="14">
        <v>45.21</v>
      </c>
      <c r="S2070" s="2" t="s">
        <v>1588</v>
      </c>
      <c r="T2070" s="2">
        <v>1.01</v>
      </c>
      <c r="U2070" s="2">
        <v>62.2</v>
      </c>
      <c r="V2070" s="2">
        <v>57</v>
      </c>
      <c r="W2070" s="2" t="s">
        <v>7862</v>
      </c>
      <c r="X2070" s="2" t="s">
        <v>5405</v>
      </c>
      <c r="Y2070" s="2">
        <v>684</v>
      </c>
      <c r="Z2070" s="19" t="str">
        <f>HYPERLINK("https://ssdweb.co/ssdweb/hd/Vision360.html?d=924510006&amp;zoomslide=1&amp;z=1924510006&amp;ISCONFIRM=0","VIDEO")</f>
        <v>VIDEO</v>
      </c>
      <c r="AA2070" s="19" t="str">
        <f>HYPERLINK("https://ssdweb.co/ssdweb/CERTH/593373173.pdf","CERTI")</f>
        <v>CERTI</v>
      </c>
    </row>
    <row r="2071" spans="1:27" ht="15" x14ac:dyDescent="0.25">
      <c r="A2071" s="2">
        <v>2066</v>
      </c>
      <c r="B2071" s="39">
        <v>924170018</v>
      </c>
      <c r="C2071" s="28" t="str">
        <f>HYPERLINK("https://pld.live/RapDetail.aspx?STONELIST=924170018","DNA")</f>
        <v>DNA</v>
      </c>
      <c r="D2071" s="18" t="s">
        <v>533</v>
      </c>
      <c r="E2071" s="18" t="s">
        <v>5128</v>
      </c>
      <c r="F2071" s="2" t="s">
        <v>7987</v>
      </c>
      <c r="G2071" s="2" t="s">
        <v>861</v>
      </c>
      <c r="H2071" s="14">
        <v>0.38</v>
      </c>
      <c r="I2071" s="2" t="s">
        <v>267</v>
      </c>
      <c r="J2071" s="2" t="s">
        <v>5144</v>
      </c>
      <c r="K2071" s="2" t="s">
        <v>3390</v>
      </c>
      <c r="L2071" s="2" t="s">
        <v>5221</v>
      </c>
      <c r="M2071" s="2" t="s">
        <v>5221</v>
      </c>
      <c r="N2071" s="2" t="s">
        <v>2317</v>
      </c>
      <c r="O2071" s="14">
        <v>1800</v>
      </c>
      <c r="P2071" s="14">
        <v>93.39</v>
      </c>
      <c r="Q2071" s="14">
        <v>118.98</v>
      </c>
      <c r="R2071" s="14">
        <v>45.21</v>
      </c>
      <c r="S2071" s="2" t="s">
        <v>2982</v>
      </c>
      <c r="T2071" s="2">
        <v>1</v>
      </c>
      <c r="U2071" s="2">
        <v>62.3</v>
      </c>
      <c r="V2071" s="2">
        <v>57</v>
      </c>
      <c r="W2071" s="2" t="s">
        <v>7862</v>
      </c>
      <c r="X2071" s="2" t="s">
        <v>5405</v>
      </c>
      <c r="Y2071" s="2">
        <v>684</v>
      </c>
      <c r="Z2071" s="19" t="str">
        <f>HYPERLINK("https://ssdweb.co/ssdweb/hd/Vision360.html?d=924170018&amp;zoomslide=1&amp;z=1924170018&amp;ISCONFIRM=0","VIDEO")</f>
        <v>VIDEO</v>
      </c>
      <c r="AA2071" s="19" t="str">
        <f>HYPERLINK("https://ssdweb.co/ssdweb/CERTH/577396873.pdf","CERTI")</f>
        <v>CERTI</v>
      </c>
    </row>
    <row r="2072" spans="1:27" ht="15" x14ac:dyDescent="0.25">
      <c r="A2072" s="2">
        <v>2067</v>
      </c>
      <c r="B2072" s="39">
        <v>924120030</v>
      </c>
      <c r="C2072" s="28" t="str">
        <f>HYPERLINK("https://pld.live/RapDetail.aspx?STONELIST=924120030","DNA")</f>
        <v>DNA</v>
      </c>
      <c r="D2072" s="18" t="s">
        <v>533</v>
      </c>
      <c r="E2072" s="18" t="s">
        <v>2186</v>
      </c>
      <c r="F2072" s="2" t="s">
        <v>7987</v>
      </c>
      <c r="G2072" s="2" t="s">
        <v>861</v>
      </c>
      <c r="H2072" s="14">
        <v>0.38</v>
      </c>
      <c r="I2072" s="2" t="s">
        <v>267</v>
      </c>
      <c r="J2072" s="2" t="s">
        <v>5144</v>
      </c>
      <c r="K2072" s="2" t="s">
        <v>3390</v>
      </c>
      <c r="L2072" s="2" t="s">
        <v>5221</v>
      </c>
      <c r="M2072" s="2" t="s">
        <v>5221</v>
      </c>
      <c r="N2072" s="2" t="s">
        <v>2317</v>
      </c>
      <c r="O2072" s="14">
        <v>1800</v>
      </c>
      <c r="P2072" s="14">
        <v>93.39</v>
      </c>
      <c r="Q2072" s="14">
        <v>118.98</v>
      </c>
      <c r="R2072" s="14">
        <v>45.21</v>
      </c>
      <c r="S2072" s="2" t="s">
        <v>1770</v>
      </c>
      <c r="T2072" s="2">
        <v>1.01</v>
      </c>
      <c r="U2072" s="2">
        <v>60.3</v>
      </c>
      <c r="V2072" s="2">
        <v>58</v>
      </c>
      <c r="W2072" s="2" t="s">
        <v>7862</v>
      </c>
      <c r="X2072" s="2" t="s">
        <v>5405</v>
      </c>
      <c r="Y2072" s="2">
        <v>684</v>
      </c>
      <c r="Z2072" s="19" t="str">
        <f>HYPERLINK("https://ssdweb.co/ssdweb/hd/Vision360.html?d=924120030&amp;zoomslide=1&amp;z=1924120030&amp;ISCONFIRM=0","VIDEO")</f>
        <v>VIDEO</v>
      </c>
      <c r="AA2072" s="19" t="str">
        <f>HYPERLINK("https://ssdweb.co/ssdweb/CERTH/577396914.pdf","CERTI")</f>
        <v>CERTI</v>
      </c>
    </row>
    <row r="2073" spans="1:27" ht="15" x14ac:dyDescent="0.25">
      <c r="A2073" s="2">
        <v>2068</v>
      </c>
      <c r="B2073" s="39">
        <v>924110268</v>
      </c>
      <c r="C2073" s="28" t="str">
        <f>HYPERLINK("https://pld.live/RapDetail.aspx?STONELIST=924110268","DNA")</f>
        <v>DNA</v>
      </c>
      <c r="D2073" s="18" t="s">
        <v>533</v>
      </c>
      <c r="E2073" s="18" t="s">
        <v>5128</v>
      </c>
      <c r="F2073" s="2" t="s">
        <v>7987</v>
      </c>
      <c r="G2073" s="2" t="s">
        <v>861</v>
      </c>
      <c r="H2073" s="14">
        <v>0.38</v>
      </c>
      <c r="I2073" s="2" t="s">
        <v>267</v>
      </c>
      <c r="J2073" s="2" t="s">
        <v>5144</v>
      </c>
      <c r="K2073" s="2" t="s">
        <v>3390</v>
      </c>
      <c r="L2073" s="2" t="s">
        <v>5221</v>
      </c>
      <c r="M2073" s="2" t="s">
        <v>5221</v>
      </c>
      <c r="N2073" s="2" t="s">
        <v>2317</v>
      </c>
      <c r="O2073" s="14">
        <v>1800</v>
      </c>
      <c r="P2073" s="14">
        <v>93.39</v>
      </c>
      <c r="Q2073" s="14">
        <v>118.98</v>
      </c>
      <c r="R2073" s="14">
        <v>45.21</v>
      </c>
      <c r="S2073" s="2" t="s">
        <v>175</v>
      </c>
      <c r="T2073" s="2">
        <v>1</v>
      </c>
      <c r="U2073" s="2">
        <v>61.9</v>
      </c>
      <c r="V2073" s="2">
        <v>57</v>
      </c>
      <c r="W2073" s="2" t="s">
        <v>7862</v>
      </c>
      <c r="X2073" s="2" t="s">
        <v>5405</v>
      </c>
      <c r="Y2073" s="2">
        <v>684</v>
      </c>
      <c r="Z2073" s="19" t="str">
        <f>HYPERLINK("https://ssdweb.co/ssdweb/hd/Vision360.html?d=924110268&amp;zoomslide=1&amp;z=1924110268&amp;ISCONFIRM=0","VIDEO")</f>
        <v>VIDEO</v>
      </c>
      <c r="AA2073" s="19" t="str">
        <f>HYPERLINK("https://ssdweb.co/ssdweb/CERTH/577396910.pdf","CERTI")</f>
        <v>CERTI</v>
      </c>
    </row>
    <row r="2074" spans="1:27" ht="15" x14ac:dyDescent="0.25">
      <c r="A2074" s="2">
        <v>2069</v>
      </c>
      <c r="B2074" s="39">
        <v>831010391</v>
      </c>
      <c r="C2074" s="28" t="str">
        <f>HYPERLINK("https://pld.live/RapDetail.aspx?STONELIST=831010391","DNA")</f>
        <v>DNA</v>
      </c>
      <c r="D2074" s="18" t="s">
        <v>533</v>
      </c>
      <c r="E2074" s="18" t="s">
        <v>5128</v>
      </c>
      <c r="F2074" s="2" t="s">
        <v>7987</v>
      </c>
      <c r="G2074" s="2" t="s">
        <v>861</v>
      </c>
      <c r="H2074" s="14">
        <v>0.38</v>
      </c>
      <c r="I2074" s="2" t="s">
        <v>267</v>
      </c>
      <c r="J2074" s="2" t="s">
        <v>5144</v>
      </c>
      <c r="K2074" s="2" t="s">
        <v>3390</v>
      </c>
      <c r="L2074" s="2" t="s">
        <v>5221</v>
      </c>
      <c r="M2074" s="2" t="s">
        <v>5221</v>
      </c>
      <c r="N2074" s="2" t="s">
        <v>2317</v>
      </c>
      <c r="O2074" s="14">
        <v>1800</v>
      </c>
      <c r="P2074" s="14">
        <v>93.39</v>
      </c>
      <c r="Q2074" s="14">
        <v>118.98</v>
      </c>
      <c r="R2074" s="14">
        <v>45.21</v>
      </c>
      <c r="S2074" s="2" t="s">
        <v>1708</v>
      </c>
      <c r="T2074" s="2">
        <v>1.01</v>
      </c>
      <c r="U2074" s="2">
        <v>61.2</v>
      </c>
      <c r="V2074" s="2">
        <v>58</v>
      </c>
      <c r="W2074" s="2" t="s">
        <v>7862</v>
      </c>
      <c r="X2074" s="2" t="s">
        <v>5405</v>
      </c>
      <c r="Y2074" s="2">
        <v>684</v>
      </c>
      <c r="Z2074" s="19" t="str">
        <f>HYPERLINK("https://ssdweb.co/ssdweb/hd/Vision360.html?d=831010391&amp;zoomslide=1&amp;z=1831010391&amp;ISCONFIRM=0","VIDEO")</f>
        <v>VIDEO</v>
      </c>
      <c r="AA2074" s="19" t="str">
        <f>HYPERLINK("https://ssdweb.co/ssdweb/CERTH/593373216.pdf","CERTI")</f>
        <v>CERTI</v>
      </c>
    </row>
    <row r="2075" spans="1:27" ht="15" x14ac:dyDescent="0.25">
      <c r="A2075" s="2">
        <v>2070</v>
      </c>
      <c r="B2075" s="39">
        <v>924220318</v>
      </c>
      <c r="C2075" s="28" t="str">
        <f>HYPERLINK("https://pld.live/RapDetail.aspx?STONELIST=924220318","DNA")</f>
        <v>DNA</v>
      </c>
      <c r="D2075" s="18" t="s">
        <v>533</v>
      </c>
      <c r="E2075" s="18" t="s">
        <v>5128</v>
      </c>
      <c r="F2075" s="2" t="s">
        <v>7987</v>
      </c>
      <c r="G2075" s="2" t="s">
        <v>861</v>
      </c>
      <c r="H2075" s="14">
        <v>0.38</v>
      </c>
      <c r="I2075" s="2" t="s">
        <v>267</v>
      </c>
      <c r="J2075" s="2" t="s">
        <v>5144</v>
      </c>
      <c r="K2075" s="2" t="s">
        <v>5221</v>
      </c>
      <c r="L2075" s="2" t="s">
        <v>5221</v>
      </c>
      <c r="M2075" s="2" t="s">
        <v>5221</v>
      </c>
      <c r="N2075" s="2" t="s">
        <v>2317</v>
      </c>
      <c r="O2075" s="14">
        <v>1800</v>
      </c>
      <c r="P2075" s="14">
        <v>93.39</v>
      </c>
      <c r="Q2075" s="14">
        <v>118.98</v>
      </c>
      <c r="R2075" s="14">
        <v>45.21</v>
      </c>
      <c r="S2075" s="2" t="s">
        <v>7829</v>
      </c>
      <c r="T2075" s="2">
        <v>1.01</v>
      </c>
      <c r="U2075" s="2">
        <v>62.4</v>
      </c>
      <c r="V2075" s="2">
        <v>57</v>
      </c>
      <c r="W2075" s="2" t="s">
        <v>7862</v>
      </c>
      <c r="X2075" s="2" t="s">
        <v>5405</v>
      </c>
      <c r="Y2075" s="2">
        <v>684</v>
      </c>
      <c r="Z2075" s="19" t="str">
        <f>HYPERLINK("https://ssdweb.co/ssdweb/hd/Vision360.html?d=924220318&amp;zoomslide=1&amp;z=1924220318&amp;ISCONFIRM=0","VIDEO")</f>
        <v>VIDEO</v>
      </c>
      <c r="AA2075" s="19" t="str">
        <f>HYPERLINK("https://ssdweb.co/ssdweb/CERTH/577396853.pdf","CERTI")</f>
        <v>CERTI</v>
      </c>
    </row>
    <row r="2076" spans="1:27" ht="15" x14ac:dyDescent="0.25">
      <c r="A2076" s="2">
        <v>2071</v>
      </c>
      <c r="B2076" s="39">
        <v>924180145</v>
      </c>
      <c r="C2076" s="28" t="str">
        <f>HYPERLINK("https://pld.live/RapDetail.aspx?STONELIST=924180145","DNA")</f>
        <v>DNA</v>
      </c>
      <c r="D2076" s="18" t="s">
        <v>533</v>
      </c>
      <c r="E2076" s="18" t="s">
        <v>5128</v>
      </c>
      <c r="F2076" s="2" t="s">
        <v>7987</v>
      </c>
      <c r="G2076" s="2" t="s">
        <v>861</v>
      </c>
      <c r="H2076" s="14">
        <v>0.38</v>
      </c>
      <c r="I2076" s="2" t="s">
        <v>267</v>
      </c>
      <c r="J2076" s="2" t="s">
        <v>5144</v>
      </c>
      <c r="K2076" s="2" t="s">
        <v>5221</v>
      </c>
      <c r="L2076" s="2" t="s">
        <v>5221</v>
      </c>
      <c r="M2076" s="2" t="s">
        <v>5221</v>
      </c>
      <c r="N2076" s="2" t="s">
        <v>2317</v>
      </c>
      <c r="O2076" s="14">
        <v>1800</v>
      </c>
      <c r="P2076" s="14">
        <v>93.39</v>
      </c>
      <c r="Q2076" s="14">
        <v>118.98</v>
      </c>
      <c r="R2076" s="14">
        <v>45.21</v>
      </c>
      <c r="S2076" s="2" t="s">
        <v>5711</v>
      </c>
      <c r="T2076" s="2">
        <v>1.01</v>
      </c>
      <c r="U2076" s="2">
        <v>61.4</v>
      </c>
      <c r="V2076" s="2">
        <v>59</v>
      </c>
      <c r="W2076" s="2" t="s">
        <v>7862</v>
      </c>
      <c r="X2076" s="2" t="s">
        <v>5405</v>
      </c>
      <c r="Y2076" s="2">
        <v>684</v>
      </c>
      <c r="Z2076" s="19" t="str">
        <f>HYPERLINK("https://ssdweb.co/ssdweb/hd/Vision360.html?d=924180145&amp;zoomslide=1&amp;z=1924180145&amp;ISCONFIRM=0","VIDEO")</f>
        <v>VIDEO</v>
      </c>
      <c r="AA2076" s="19" t="str">
        <f>HYPERLINK("https://ssdweb.co/ssdweb/CERTH/577396897.pdf","CERTI")</f>
        <v>CERTI</v>
      </c>
    </row>
    <row r="2077" spans="1:27" ht="15" x14ac:dyDescent="0.25">
      <c r="A2077" s="2">
        <v>2072</v>
      </c>
      <c r="B2077" s="39">
        <v>924130061</v>
      </c>
      <c r="C2077" s="28" t="str">
        <f>HYPERLINK("https://pld.live/RapDetail.aspx?STONELIST=924130061","DNA")</f>
        <v>DNA</v>
      </c>
      <c r="D2077" s="18" t="s">
        <v>533</v>
      </c>
      <c r="E2077" s="18" t="s">
        <v>5128</v>
      </c>
      <c r="F2077" s="2" t="s">
        <v>7987</v>
      </c>
      <c r="G2077" s="2" t="s">
        <v>861</v>
      </c>
      <c r="H2077" s="14">
        <v>0.38</v>
      </c>
      <c r="I2077" s="2" t="s">
        <v>267</v>
      </c>
      <c r="J2077" s="2" t="s">
        <v>5144</v>
      </c>
      <c r="K2077" s="2" t="s">
        <v>5221</v>
      </c>
      <c r="L2077" s="2" t="s">
        <v>5221</v>
      </c>
      <c r="M2077" s="2" t="s">
        <v>5221</v>
      </c>
      <c r="N2077" s="2" t="s">
        <v>2317</v>
      </c>
      <c r="O2077" s="14">
        <v>1800</v>
      </c>
      <c r="P2077" s="14">
        <v>93.39</v>
      </c>
      <c r="Q2077" s="14">
        <v>118.98</v>
      </c>
      <c r="R2077" s="14">
        <v>45.21</v>
      </c>
      <c r="S2077" s="2" t="s">
        <v>6635</v>
      </c>
      <c r="T2077" s="2">
        <v>1</v>
      </c>
      <c r="U2077" s="2">
        <v>60.4</v>
      </c>
      <c r="V2077" s="2">
        <v>59.5</v>
      </c>
      <c r="W2077" s="2" t="s">
        <v>7862</v>
      </c>
      <c r="X2077" s="2" t="s">
        <v>5405</v>
      </c>
      <c r="Y2077" s="2">
        <v>684</v>
      </c>
      <c r="Z2077" s="19" t="str">
        <f>HYPERLINK("https://ssdweb.co/ssdweb/hd/Vision360.html?d=924130061&amp;zoomslide=1&amp;z=1924130061&amp;ISCONFIRM=0","VIDEO")</f>
        <v>VIDEO</v>
      </c>
      <c r="AA2077" s="19" t="str">
        <f>HYPERLINK("https://ssdweb.co/ssdweb/CERTH/575370164.pdf","CERTI")</f>
        <v>CERTI</v>
      </c>
    </row>
    <row r="2078" spans="1:27" ht="15" x14ac:dyDescent="0.25">
      <c r="A2078" s="2">
        <v>2073</v>
      </c>
      <c r="B2078" s="39">
        <v>924100274</v>
      </c>
      <c r="C2078" s="28" t="str">
        <f>HYPERLINK("https://pld.live/RapDetail.aspx?STONELIST=924100274","DNA")</f>
        <v>DNA</v>
      </c>
      <c r="D2078" s="18" t="s">
        <v>533</v>
      </c>
      <c r="E2078" s="18" t="s">
        <v>5128</v>
      </c>
      <c r="F2078" s="2" t="s">
        <v>7987</v>
      </c>
      <c r="G2078" s="2" t="s">
        <v>861</v>
      </c>
      <c r="H2078" s="14">
        <v>0.38</v>
      </c>
      <c r="I2078" s="2" t="s">
        <v>267</v>
      </c>
      <c r="J2078" s="2" t="s">
        <v>5144</v>
      </c>
      <c r="K2078" s="2" t="s">
        <v>5221</v>
      </c>
      <c r="L2078" s="2" t="s">
        <v>5221</v>
      </c>
      <c r="M2078" s="2" t="s">
        <v>5221</v>
      </c>
      <c r="N2078" s="2" t="s">
        <v>2317</v>
      </c>
      <c r="O2078" s="14">
        <v>1800</v>
      </c>
      <c r="P2078" s="14">
        <v>93.39</v>
      </c>
      <c r="Q2078" s="14">
        <v>118.98</v>
      </c>
      <c r="R2078" s="14">
        <v>45.21</v>
      </c>
      <c r="S2078" s="2" t="s">
        <v>592</v>
      </c>
      <c r="T2078" s="2">
        <v>1</v>
      </c>
      <c r="U2078" s="2">
        <v>59.1</v>
      </c>
      <c r="V2078" s="2">
        <v>60</v>
      </c>
      <c r="W2078" s="2" t="s">
        <v>7862</v>
      </c>
      <c r="X2078" s="2" t="s">
        <v>5405</v>
      </c>
      <c r="Y2078" s="2">
        <v>684</v>
      </c>
      <c r="Z2078" s="19" t="str">
        <f>HYPERLINK("https://ssdweb.co/ssdweb/hd/Vision360.html?d=924100274&amp;zoomslide=1&amp;z=1924100274&amp;ISCONFIRM=0","VIDEO")</f>
        <v>VIDEO</v>
      </c>
      <c r="AA2078" s="19" t="str">
        <f>HYPERLINK("https://ssdweb.co/ssdweb/CERTH/577397234.pdf","CERTI")</f>
        <v>CERTI</v>
      </c>
    </row>
    <row r="2079" spans="1:27" ht="15" x14ac:dyDescent="0.25">
      <c r="A2079" s="2">
        <v>2074</v>
      </c>
      <c r="B2079" s="39">
        <v>926091153</v>
      </c>
      <c r="C2079" s="28" t="str">
        <f>HYPERLINK("https://pld.live/RapDetail.aspx?STONELIST=926091153","DNA")</f>
        <v>DNA</v>
      </c>
      <c r="D2079" s="18" t="s">
        <v>533</v>
      </c>
      <c r="E2079" s="18" t="s">
        <v>5128</v>
      </c>
      <c r="F2079" s="2" t="s">
        <v>7987</v>
      </c>
      <c r="G2079" s="2" t="s">
        <v>861</v>
      </c>
      <c r="H2079" s="14">
        <v>0.38</v>
      </c>
      <c r="I2079" s="2" t="s">
        <v>4761</v>
      </c>
      <c r="J2079" s="2" t="s">
        <v>6555</v>
      </c>
      <c r="K2079" s="2" t="s">
        <v>3390</v>
      </c>
      <c r="L2079" s="2" t="s">
        <v>5721</v>
      </c>
      <c r="M2079" s="2" t="s">
        <v>5221</v>
      </c>
      <c r="N2079" s="2" t="s">
        <v>2317</v>
      </c>
      <c r="O2079" s="14">
        <v>2300</v>
      </c>
      <c r="P2079" s="14">
        <v>94.13</v>
      </c>
      <c r="Q2079" s="14">
        <v>135.01</v>
      </c>
      <c r="R2079" s="14">
        <v>51.3</v>
      </c>
      <c r="S2079" s="2" t="s">
        <v>5074</v>
      </c>
      <c r="T2079" s="2">
        <v>1.01</v>
      </c>
      <c r="U2079" s="2">
        <v>62.5</v>
      </c>
      <c r="V2079" s="2">
        <v>58</v>
      </c>
      <c r="W2079" s="2" t="s">
        <v>4336</v>
      </c>
      <c r="X2079" s="2" t="s">
        <v>5405</v>
      </c>
      <c r="Y2079" s="2">
        <v>874</v>
      </c>
      <c r="Z2079" s="19" t="str">
        <f>HYPERLINK("https://ssdweb.co/ssdweb/hd/Vision360.html?d=926091153&amp;zoomslide=1&amp;z=1926091153&amp;ISCONFIRM=0","VIDEO")</f>
        <v>VIDEO</v>
      </c>
      <c r="AA2079" s="19" t="str">
        <f>HYPERLINK("https://ssdweb.co/ssdweb/CERTH/632449455.pdf","CERTI")</f>
        <v>CERTI</v>
      </c>
    </row>
    <row r="2080" spans="1:27" ht="15" x14ac:dyDescent="0.25">
      <c r="A2080" s="2">
        <v>2075</v>
      </c>
      <c r="B2080" s="39">
        <v>821127901</v>
      </c>
      <c r="C2080" s="28" t="str">
        <f>HYPERLINK("https://pld.live/RapDetail.aspx?STONELIST=821127901","DNA")</f>
        <v>DNA</v>
      </c>
      <c r="D2080" s="18" t="s">
        <v>533</v>
      </c>
      <c r="E2080" s="18" t="s">
        <v>5128</v>
      </c>
      <c r="F2080" s="2" t="s">
        <v>7987</v>
      </c>
      <c r="G2080" s="2" t="s">
        <v>861</v>
      </c>
      <c r="H2080" s="14">
        <v>0.38</v>
      </c>
      <c r="I2080" s="2" t="s">
        <v>4761</v>
      </c>
      <c r="J2080" s="2" t="s">
        <v>13</v>
      </c>
      <c r="K2080" s="2" t="s">
        <v>3390</v>
      </c>
      <c r="L2080" s="2" t="s">
        <v>5721</v>
      </c>
      <c r="M2080" s="2" t="s">
        <v>5721</v>
      </c>
      <c r="N2080" s="2" t="s">
        <v>2317</v>
      </c>
      <c r="O2080" s="14">
        <v>1800</v>
      </c>
      <c r="P2080" s="14">
        <v>93.39</v>
      </c>
      <c r="Q2080" s="14">
        <v>118.98</v>
      </c>
      <c r="R2080" s="14">
        <v>45.21</v>
      </c>
      <c r="S2080" s="2" t="s">
        <v>3676</v>
      </c>
      <c r="T2080" s="2">
        <v>1.01</v>
      </c>
      <c r="U2080" s="2">
        <v>61.8</v>
      </c>
      <c r="V2080" s="2">
        <v>58</v>
      </c>
      <c r="W2080" s="2" t="s">
        <v>7862</v>
      </c>
      <c r="X2080" s="2" t="s">
        <v>5405</v>
      </c>
      <c r="Y2080" s="2">
        <v>684</v>
      </c>
      <c r="Z2080" s="19" t="str">
        <f>HYPERLINK("https://ssdweb.co/ssdweb/hd/Vision360.html?d=821127901&amp;zoomslide=1&amp;z=1821127901&amp;ISCONFIRM=0","VIDEO")</f>
        <v>VIDEO</v>
      </c>
      <c r="AA2080" s="19" t="str">
        <f>HYPERLINK("https://ssdweb.co/ssdweb/CERTH/634417088.pdf","CERTI")</f>
        <v>CERTI</v>
      </c>
    </row>
    <row r="2081" spans="1:27" ht="15" x14ac:dyDescent="0.25">
      <c r="A2081" s="2">
        <v>2076</v>
      </c>
      <c r="B2081" s="39">
        <v>821127920</v>
      </c>
      <c r="C2081" s="28" t="str">
        <f>HYPERLINK("https://pld.live/RapDetail.aspx?STONELIST=821127920","DNA")</f>
        <v>DNA</v>
      </c>
      <c r="D2081" s="18" t="s">
        <v>533</v>
      </c>
      <c r="E2081" s="18" t="s">
        <v>5128</v>
      </c>
      <c r="F2081" s="2" t="s">
        <v>7987</v>
      </c>
      <c r="G2081" s="2" t="s">
        <v>861</v>
      </c>
      <c r="H2081" s="14">
        <v>0.37</v>
      </c>
      <c r="I2081" s="2" t="s">
        <v>267</v>
      </c>
      <c r="J2081" s="2" t="s">
        <v>6555</v>
      </c>
      <c r="K2081" s="2" t="s">
        <v>5221</v>
      </c>
      <c r="L2081" s="2" t="s">
        <v>5721</v>
      </c>
      <c r="M2081" s="2" t="s">
        <v>5721</v>
      </c>
      <c r="N2081" s="2" t="s">
        <v>2317</v>
      </c>
      <c r="O2081" s="14">
        <v>2500</v>
      </c>
      <c r="P2081" s="14">
        <v>94.28</v>
      </c>
      <c r="Q2081" s="14">
        <v>143</v>
      </c>
      <c r="R2081" s="14">
        <v>52.91</v>
      </c>
      <c r="S2081" s="2" t="s">
        <v>2103</v>
      </c>
      <c r="T2081" s="2">
        <v>1.01</v>
      </c>
      <c r="U2081" s="2">
        <v>62.7</v>
      </c>
      <c r="V2081" s="2">
        <v>60</v>
      </c>
      <c r="W2081" s="2" t="s">
        <v>7862</v>
      </c>
      <c r="X2081" s="2" t="s">
        <v>5405</v>
      </c>
      <c r="Y2081" s="2">
        <v>925</v>
      </c>
      <c r="Z2081" s="19" t="str">
        <f>HYPERLINK("https://ssdweb.co/ssdweb/hd/Vision360.html?d=821127920&amp;zoomslide=1&amp;z=1821127920&amp;ISCONFIRM=0","VIDEO")</f>
        <v>VIDEO</v>
      </c>
      <c r="AA2081" s="19" t="str">
        <f>HYPERLINK("https://ssdweb.co/ssdweb/CERTH/634417077.pdf","CERTI")</f>
        <v>CERTI</v>
      </c>
    </row>
    <row r="2082" spans="1:27" ht="15" x14ac:dyDescent="0.25">
      <c r="A2082" s="2">
        <v>2077</v>
      </c>
      <c r="B2082" s="39">
        <v>821127837</v>
      </c>
      <c r="C2082" s="28" t="str">
        <f>HYPERLINK("https://pld.live/RapDetail.aspx?STONELIST=821127837","DNA")</f>
        <v>DNA</v>
      </c>
      <c r="D2082" s="18" t="s">
        <v>533</v>
      </c>
      <c r="E2082" s="18" t="s">
        <v>5128</v>
      </c>
      <c r="F2082" s="2" t="s">
        <v>7987</v>
      </c>
      <c r="G2082" s="2" t="s">
        <v>861</v>
      </c>
      <c r="H2082" s="14">
        <v>0.37</v>
      </c>
      <c r="I2082" s="2" t="s">
        <v>267</v>
      </c>
      <c r="J2082" s="2" t="s">
        <v>13</v>
      </c>
      <c r="K2082" s="2" t="s">
        <v>3390</v>
      </c>
      <c r="L2082" s="2" t="s">
        <v>5721</v>
      </c>
      <c r="M2082" s="2" t="s">
        <v>5221</v>
      </c>
      <c r="N2082" s="2" t="s">
        <v>2317</v>
      </c>
      <c r="O2082" s="14">
        <v>2000</v>
      </c>
      <c r="P2082" s="14">
        <v>93.9</v>
      </c>
      <c r="Q2082" s="14">
        <v>122</v>
      </c>
      <c r="R2082" s="14">
        <v>45.14</v>
      </c>
      <c r="S2082" s="2" t="s">
        <v>2720</v>
      </c>
      <c r="T2082" s="2">
        <v>1.01</v>
      </c>
      <c r="U2082" s="2">
        <v>61.1</v>
      </c>
      <c r="V2082" s="2">
        <v>58</v>
      </c>
      <c r="W2082" s="2" t="s">
        <v>7862</v>
      </c>
      <c r="X2082" s="2" t="s">
        <v>5405</v>
      </c>
      <c r="Y2082" s="2">
        <v>740</v>
      </c>
      <c r="Z2082" s="19" t="str">
        <f>HYPERLINK("https://ssdweb.co/ssdweb/hd/Vision360.html?d=821127837&amp;zoomslide=1&amp;z=1821127837&amp;ISCONFIRM=0","VIDEO")</f>
        <v>VIDEO</v>
      </c>
      <c r="AA2082" s="19" t="str">
        <f>HYPERLINK("https://ssdweb.co/ssdweb/CERTH/633499573.pdf","CERTI")</f>
        <v>CERTI</v>
      </c>
    </row>
    <row r="2083" spans="1:27" ht="15" x14ac:dyDescent="0.25">
      <c r="A2083" s="2">
        <v>2078</v>
      </c>
      <c r="B2083" s="39">
        <v>821127836</v>
      </c>
      <c r="C2083" s="28" t="str">
        <f>HYPERLINK("https://pld.live/RapDetail.aspx?STONELIST=821127836","DNA")</f>
        <v>DNA</v>
      </c>
      <c r="D2083" s="18" t="s">
        <v>533</v>
      </c>
      <c r="E2083" s="18" t="s">
        <v>5128</v>
      </c>
      <c r="F2083" s="2" t="s">
        <v>7987</v>
      </c>
      <c r="G2083" s="2" t="s">
        <v>861</v>
      </c>
      <c r="H2083" s="14">
        <v>0.37</v>
      </c>
      <c r="I2083" s="2" t="s">
        <v>267</v>
      </c>
      <c r="J2083" s="2" t="s">
        <v>13</v>
      </c>
      <c r="K2083" s="2" t="s">
        <v>3390</v>
      </c>
      <c r="L2083" s="2" t="s">
        <v>5721</v>
      </c>
      <c r="M2083" s="2" t="s">
        <v>5721</v>
      </c>
      <c r="N2083" s="2" t="s">
        <v>2317</v>
      </c>
      <c r="O2083" s="14">
        <v>2000</v>
      </c>
      <c r="P2083" s="14">
        <v>94</v>
      </c>
      <c r="Q2083" s="14">
        <v>120</v>
      </c>
      <c r="R2083" s="14">
        <v>44.4</v>
      </c>
      <c r="S2083" s="2" t="s">
        <v>7255</v>
      </c>
      <c r="T2083" s="2">
        <v>1.01</v>
      </c>
      <c r="U2083" s="2">
        <v>61.4</v>
      </c>
      <c r="V2083" s="2">
        <v>59</v>
      </c>
      <c r="W2083" s="2" t="s">
        <v>7862</v>
      </c>
      <c r="X2083" s="2" t="s">
        <v>5405</v>
      </c>
      <c r="Y2083" s="2">
        <v>740</v>
      </c>
      <c r="Z2083" s="19" t="str">
        <f>HYPERLINK("https://ssdweb.co/ssdweb/hd/Vision360.html?d=821127836&amp;zoomslide=1&amp;z=1821127836&amp;ISCONFIRM=0","VIDEO")</f>
        <v>VIDEO</v>
      </c>
      <c r="AA2083" s="19" t="str">
        <f>HYPERLINK("https://ssdweb.co/ssdweb/CERTH/633499572.pdf","CERTI")</f>
        <v>CERTI</v>
      </c>
    </row>
    <row r="2084" spans="1:27" ht="15" x14ac:dyDescent="0.25">
      <c r="A2084" s="2">
        <v>2079</v>
      </c>
      <c r="B2084" s="39">
        <v>941230150</v>
      </c>
      <c r="C2084" s="28" t="str">
        <f>HYPERLINK("https://pld.live/RapDetail.aspx?STONELIST=941230150","DNA")</f>
        <v>DNA</v>
      </c>
      <c r="D2084" s="18" t="s">
        <v>533</v>
      </c>
      <c r="E2084" s="18" t="s">
        <v>2186</v>
      </c>
      <c r="F2084" s="2" t="s">
        <v>7987</v>
      </c>
      <c r="G2084" s="2" t="s">
        <v>861</v>
      </c>
      <c r="H2084" s="14">
        <v>0.37</v>
      </c>
      <c r="I2084" s="2" t="s">
        <v>267</v>
      </c>
      <c r="J2084" s="2" t="s">
        <v>13</v>
      </c>
      <c r="K2084" s="2" t="s">
        <v>5221</v>
      </c>
      <c r="L2084" s="2" t="s">
        <v>5221</v>
      </c>
      <c r="M2084" s="2" t="s">
        <v>5721</v>
      </c>
      <c r="N2084" s="2" t="s">
        <v>2317</v>
      </c>
      <c r="O2084" s="14">
        <v>2000</v>
      </c>
      <c r="P2084" s="14">
        <v>93.9</v>
      </c>
      <c r="Q2084" s="14">
        <v>122</v>
      </c>
      <c r="R2084" s="14">
        <v>45.14</v>
      </c>
      <c r="S2084" s="2" t="s">
        <v>3737</v>
      </c>
      <c r="T2084" s="2">
        <v>1.01</v>
      </c>
      <c r="U2084" s="2">
        <v>59.7</v>
      </c>
      <c r="V2084" s="2">
        <v>59</v>
      </c>
      <c r="W2084" s="2" t="s">
        <v>7862</v>
      </c>
      <c r="X2084" s="2" t="s">
        <v>5405</v>
      </c>
      <c r="Y2084" s="2">
        <v>740</v>
      </c>
      <c r="Z2084" s="19" t="str">
        <f>HYPERLINK("https://ssdweb.co/ssdweb/hd/Vision360.html?d=941230150&amp;zoomslide=1&amp;z=1941230150&amp;ISCONFIRM=0","VIDEO")</f>
        <v>VIDEO</v>
      </c>
      <c r="AA2084" s="19" t="str">
        <f>HYPERLINK("https://ssdweb.co/ssdweb/CERTH/678550366.pdf","CERTI")</f>
        <v>CERTI</v>
      </c>
    </row>
    <row r="2085" spans="1:27" ht="15" x14ac:dyDescent="0.25">
      <c r="A2085" s="2">
        <v>2080</v>
      </c>
      <c r="B2085" s="39">
        <v>821127850</v>
      </c>
      <c r="C2085" s="28" t="str">
        <f>HYPERLINK("https://pld.live/RapDetail.aspx?STONELIST=821127850","DNA")</f>
        <v>DNA</v>
      </c>
      <c r="D2085" s="18" t="s">
        <v>533</v>
      </c>
      <c r="E2085" s="18" t="s">
        <v>5128</v>
      </c>
      <c r="F2085" s="2" t="s">
        <v>7987</v>
      </c>
      <c r="G2085" s="2" t="s">
        <v>861</v>
      </c>
      <c r="H2085" s="14">
        <v>0.37</v>
      </c>
      <c r="I2085" s="2" t="s">
        <v>267</v>
      </c>
      <c r="J2085" s="2" t="s">
        <v>13</v>
      </c>
      <c r="K2085" s="2" t="s">
        <v>5221</v>
      </c>
      <c r="L2085" s="2" t="s">
        <v>5721</v>
      </c>
      <c r="M2085" s="2" t="s">
        <v>5221</v>
      </c>
      <c r="N2085" s="2" t="s">
        <v>2317</v>
      </c>
      <c r="O2085" s="14">
        <v>2000</v>
      </c>
      <c r="P2085" s="14">
        <v>93.9</v>
      </c>
      <c r="Q2085" s="14">
        <v>122</v>
      </c>
      <c r="R2085" s="14">
        <v>45.14</v>
      </c>
      <c r="S2085" s="2" t="s">
        <v>3378</v>
      </c>
      <c r="T2085" s="2">
        <v>1.01</v>
      </c>
      <c r="U2085" s="2">
        <v>59</v>
      </c>
      <c r="V2085" s="2">
        <v>61</v>
      </c>
      <c r="W2085" s="2" t="s">
        <v>7862</v>
      </c>
      <c r="X2085" s="2" t="s">
        <v>5405</v>
      </c>
      <c r="Y2085" s="2">
        <v>740</v>
      </c>
      <c r="Z2085" s="19" t="str">
        <f>HYPERLINK("https://ssdweb.co/ssdweb/hd/Vision360.html?d=821127850&amp;zoomslide=1&amp;z=1821127850&amp;ISCONFIRM=0","VIDEO")</f>
        <v>VIDEO</v>
      </c>
      <c r="AA2085" s="19" t="str">
        <f>HYPERLINK("https://ssdweb.co/ssdweb/CERTH/633499566.pdf","CERTI")</f>
        <v>CERTI</v>
      </c>
    </row>
    <row r="2086" spans="1:27" ht="15" x14ac:dyDescent="0.25">
      <c r="A2086" s="2">
        <v>2081</v>
      </c>
      <c r="B2086" s="39">
        <v>924280236</v>
      </c>
      <c r="C2086" s="28" t="str">
        <f>HYPERLINK("https://pld.live/RapDetail.aspx?STONELIST=924280236","DNA")</f>
        <v>DNA</v>
      </c>
      <c r="D2086" s="18" t="s">
        <v>533</v>
      </c>
      <c r="E2086" s="18" t="s">
        <v>5128</v>
      </c>
      <c r="F2086" s="2" t="s">
        <v>7987</v>
      </c>
      <c r="G2086" s="2" t="s">
        <v>861</v>
      </c>
      <c r="H2086" s="14">
        <v>0.37</v>
      </c>
      <c r="I2086" s="2" t="s">
        <v>267</v>
      </c>
      <c r="J2086" s="2" t="s">
        <v>5144</v>
      </c>
      <c r="K2086" s="2" t="s">
        <v>3390</v>
      </c>
      <c r="L2086" s="2" t="s">
        <v>5221</v>
      </c>
      <c r="M2086" s="2" t="s">
        <v>5221</v>
      </c>
      <c r="N2086" s="2" t="s">
        <v>2317</v>
      </c>
      <c r="O2086" s="14">
        <v>1800</v>
      </c>
      <c r="P2086" s="14">
        <v>93.39</v>
      </c>
      <c r="Q2086" s="14">
        <v>118.98</v>
      </c>
      <c r="R2086" s="14">
        <v>44.02</v>
      </c>
      <c r="S2086" s="2" t="s">
        <v>6017</v>
      </c>
      <c r="T2086" s="2">
        <v>1.01</v>
      </c>
      <c r="U2086" s="2">
        <v>59.8</v>
      </c>
      <c r="V2086" s="2">
        <v>58</v>
      </c>
      <c r="W2086" s="2" t="s">
        <v>7862</v>
      </c>
      <c r="X2086" s="2" t="s">
        <v>5405</v>
      </c>
      <c r="Y2086" s="2">
        <v>666</v>
      </c>
      <c r="Z2086" s="19" t="str">
        <f>HYPERLINK("https://ssdweb.co/ssdweb/hd/Vision360.html?d=924280236&amp;zoomslide=1&amp;z=1924280236&amp;ISCONFIRM=0","VIDEO")</f>
        <v>VIDEO</v>
      </c>
      <c r="AA2086" s="19" t="str">
        <f>HYPERLINK("https://ssdweb.co/ssdweb/CERTH/582380069.pdf","CERTI")</f>
        <v>CERTI</v>
      </c>
    </row>
    <row r="2087" spans="1:27" ht="15" x14ac:dyDescent="0.25">
      <c r="A2087" s="2">
        <v>2082</v>
      </c>
      <c r="B2087" s="39">
        <v>924040108</v>
      </c>
      <c r="C2087" s="28" t="str">
        <f>HYPERLINK("https://pld.live/RapDetail.aspx?STONELIST=924040108","DNA")</f>
        <v>DNA</v>
      </c>
      <c r="D2087" s="18" t="s">
        <v>533</v>
      </c>
      <c r="E2087" s="18" t="s">
        <v>5128</v>
      </c>
      <c r="F2087" s="2" t="s">
        <v>7987</v>
      </c>
      <c r="G2087" s="2" t="s">
        <v>861</v>
      </c>
      <c r="H2087" s="14">
        <v>0.37</v>
      </c>
      <c r="I2087" s="2" t="s">
        <v>267</v>
      </c>
      <c r="J2087" s="2" t="s">
        <v>5144</v>
      </c>
      <c r="K2087" s="2" t="s">
        <v>3390</v>
      </c>
      <c r="L2087" s="2" t="s">
        <v>5221</v>
      </c>
      <c r="M2087" s="2" t="s">
        <v>5221</v>
      </c>
      <c r="N2087" s="2" t="s">
        <v>2317</v>
      </c>
      <c r="O2087" s="14">
        <v>1800</v>
      </c>
      <c r="P2087" s="14">
        <v>93.39</v>
      </c>
      <c r="Q2087" s="14">
        <v>118.98</v>
      </c>
      <c r="R2087" s="14">
        <v>44.02</v>
      </c>
      <c r="S2087" s="2" t="s">
        <v>4009</v>
      </c>
      <c r="T2087" s="2">
        <v>1.01</v>
      </c>
      <c r="U2087" s="2">
        <v>61.6</v>
      </c>
      <c r="V2087" s="2">
        <v>58.5</v>
      </c>
      <c r="W2087" s="2" t="s">
        <v>7862</v>
      </c>
      <c r="X2087" s="2" t="s">
        <v>5405</v>
      </c>
      <c r="Y2087" s="2">
        <v>666</v>
      </c>
      <c r="Z2087" s="19" t="str">
        <f>HYPERLINK("https://ssdweb.co/ssdweb/hd/Vision360.html?d=924040108&amp;zoomslide=1&amp;z=1924040108&amp;ISCONFIRM=0","VIDEO")</f>
        <v>VIDEO</v>
      </c>
      <c r="AA2087" s="19" t="str">
        <f>HYPERLINK("https://ssdweb.co/ssdweb/CERTH/572338394.pdf","CERTI")</f>
        <v>CERTI</v>
      </c>
    </row>
    <row r="2088" spans="1:27" ht="15" x14ac:dyDescent="0.25">
      <c r="A2088" s="2">
        <v>2083</v>
      </c>
      <c r="B2088" s="39">
        <v>924040190</v>
      </c>
      <c r="C2088" s="28" t="str">
        <f>HYPERLINK("https://pld.live/RapDetail.aspx?STONELIST=924040190","DNA")</f>
        <v>DNA</v>
      </c>
      <c r="D2088" s="18" t="s">
        <v>533</v>
      </c>
      <c r="E2088" s="18" t="s">
        <v>5128</v>
      </c>
      <c r="F2088" s="2" t="s">
        <v>7987</v>
      </c>
      <c r="G2088" s="2" t="s">
        <v>861</v>
      </c>
      <c r="H2088" s="14">
        <v>0.37</v>
      </c>
      <c r="I2088" s="2" t="s">
        <v>267</v>
      </c>
      <c r="J2088" s="2" t="s">
        <v>5144</v>
      </c>
      <c r="K2088" s="2" t="s">
        <v>3390</v>
      </c>
      <c r="L2088" s="2" t="s">
        <v>5221</v>
      </c>
      <c r="M2088" s="2" t="s">
        <v>5221</v>
      </c>
      <c r="N2088" s="2" t="s">
        <v>2317</v>
      </c>
      <c r="O2088" s="14">
        <v>1800</v>
      </c>
      <c r="P2088" s="14">
        <v>93.39</v>
      </c>
      <c r="Q2088" s="14">
        <v>118.98</v>
      </c>
      <c r="R2088" s="14">
        <v>44.02</v>
      </c>
      <c r="S2088" s="2" t="s">
        <v>6763</v>
      </c>
      <c r="T2088" s="2">
        <v>1.01</v>
      </c>
      <c r="U2088" s="2">
        <v>60.9</v>
      </c>
      <c r="V2088" s="2">
        <v>56.5</v>
      </c>
      <c r="W2088" s="2" t="s">
        <v>7862</v>
      </c>
      <c r="X2088" s="2" t="s">
        <v>5405</v>
      </c>
      <c r="Y2088" s="2">
        <v>666</v>
      </c>
      <c r="Z2088" s="19" t="str">
        <f>HYPERLINK("https://ssdweb.co/ssdweb/hd/Vision360.html?d=924040190&amp;zoomslide=1&amp;z=1924040190&amp;ISCONFIRM=0","VIDEO")</f>
        <v>VIDEO</v>
      </c>
      <c r="AA2088" s="19" t="str">
        <f>HYPERLINK("https://ssdweb.co/ssdweb/CERTH/572338388.pdf","CERTI")</f>
        <v>CERTI</v>
      </c>
    </row>
    <row r="2089" spans="1:27" ht="15" x14ac:dyDescent="0.25">
      <c r="A2089" s="2">
        <v>2084</v>
      </c>
      <c r="B2089" s="39">
        <v>924040532</v>
      </c>
      <c r="C2089" s="28" t="str">
        <f>HYPERLINK("https://pld.live/RapDetail.aspx?STONELIST=924040532","DNA")</f>
        <v>DNA</v>
      </c>
      <c r="D2089" s="18" t="s">
        <v>533</v>
      </c>
      <c r="E2089" s="18" t="s">
        <v>5128</v>
      </c>
      <c r="F2089" s="2" t="s">
        <v>7987</v>
      </c>
      <c r="G2089" s="2" t="s">
        <v>861</v>
      </c>
      <c r="H2089" s="14">
        <v>0.37</v>
      </c>
      <c r="I2089" s="2" t="s">
        <v>267</v>
      </c>
      <c r="J2089" s="2" t="s">
        <v>5144</v>
      </c>
      <c r="K2089" s="2" t="s">
        <v>3390</v>
      </c>
      <c r="L2089" s="2" t="s">
        <v>5221</v>
      </c>
      <c r="M2089" s="2" t="s">
        <v>5221</v>
      </c>
      <c r="N2089" s="2" t="s">
        <v>2317</v>
      </c>
      <c r="O2089" s="14">
        <v>1800</v>
      </c>
      <c r="P2089" s="14">
        <v>93.39</v>
      </c>
      <c r="Q2089" s="14">
        <v>118.98</v>
      </c>
      <c r="R2089" s="14">
        <v>44.02</v>
      </c>
      <c r="S2089" s="2" t="s">
        <v>2486</v>
      </c>
      <c r="T2089" s="2">
        <v>1.01</v>
      </c>
      <c r="U2089" s="2">
        <v>59.8</v>
      </c>
      <c r="V2089" s="2">
        <v>58.5</v>
      </c>
      <c r="W2089" s="2" t="s">
        <v>7862</v>
      </c>
      <c r="X2089" s="2" t="s">
        <v>5405</v>
      </c>
      <c r="Y2089" s="2">
        <v>666</v>
      </c>
      <c r="Z2089" s="19" t="str">
        <f>HYPERLINK("https://ssdweb.co/ssdweb/hd/Vision360.html?d=924040532&amp;zoomslide=1&amp;z=1924040532&amp;ISCONFIRM=0","VIDEO")</f>
        <v>VIDEO</v>
      </c>
      <c r="AA2089" s="19" t="str">
        <f>HYPERLINK("https://ssdweb.co/ssdweb/CERTH/572352881.pdf","CERTI")</f>
        <v>CERTI</v>
      </c>
    </row>
    <row r="2090" spans="1:27" ht="15" x14ac:dyDescent="0.25">
      <c r="A2090" s="2">
        <v>2085</v>
      </c>
      <c r="B2090" s="39">
        <v>924400245</v>
      </c>
      <c r="C2090" s="28" t="str">
        <f>HYPERLINK("https://pld.live/RapDetail.aspx?STONELIST=924400245","DNA")</f>
        <v>DNA</v>
      </c>
      <c r="D2090" s="18" t="s">
        <v>533</v>
      </c>
      <c r="E2090" s="18" t="s">
        <v>5128</v>
      </c>
      <c r="F2090" s="2" t="s">
        <v>7987</v>
      </c>
      <c r="G2090" s="2" t="s">
        <v>861</v>
      </c>
      <c r="H2090" s="14">
        <v>0.37</v>
      </c>
      <c r="I2090" s="2" t="s">
        <v>267</v>
      </c>
      <c r="J2090" s="2" t="s">
        <v>5144</v>
      </c>
      <c r="K2090" s="2" t="s">
        <v>3390</v>
      </c>
      <c r="L2090" s="2" t="s">
        <v>5221</v>
      </c>
      <c r="M2090" s="2" t="s">
        <v>5221</v>
      </c>
      <c r="N2090" s="2" t="s">
        <v>2317</v>
      </c>
      <c r="O2090" s="14">
        <v>1800</v>
      </c>
      <c r="P2090" s="14">
        <v>93.39</v>
      </c>
      <c r="Q2090" s="14">
        <v>118.98</v>
      </c>
      <c r="R2090" s="14">
        <v>44.02</v>
      </c>
      <c r="S2090" s="2" t="s">
        <v>6125</v>
      </c>
      <c r="T2090" s="2">
        <v>1.01</v>
      </c>
      <c r="U2090" s="2">
        <v>60.7</v>
      </c>
      <c r="V2090" s="2">
        <v>59</v>
      </c>
      <c r="W2090" s="2" t="s">
        <v>7862</v>
      </c>
      <c r="X2090" s="2" t="s">
        <v>5405</v>
      </c>
      <c r="Y2090" s="2">
        <v>666</v>
      </c>
      <c r="Z2090" s="19" t="str">
        <f>HYPERLINK("https://ssdweb.co/ssdweb/hd/Vision360.html?d=924400245&amp;zoomslide=1&amp;z=1924400245&amp;ISCONFIRM=0","VIDEO")</f>
        <v>VIDEO</v>
      </c>
      <c r="AA2090" s="19" t="str">
        <f>HYPERLINK("https://ssdweb.co/ssdweb/CERTH/589381285.pdf","CERTI")</f>
        <v>CERTI</v>
      </c>
    </row>
    <row r="2091" spans="1:27" ht="15" x14ac:dyDescent="0.25">
      <c r="A2091" s="2">
        <v>2086</v>
      </c>
      <c r="B2091" s="39">
        <v>925180144</v>
      </c>
      <c r="C2091" s="28" t="str">
        <f>HYPERLINK("https://pld.live/RapDetail.aspx?STONELIST=925180144","DNA")</f>
        <v>DNA</v>
      </c>
      <c r="D2091" s="18" t="s">
        <v>533</v>
      </c>
      <c r="E2091" s="18" t="s">
        <v>5128</v>
      </c>
      <c r="F2091" s="2" t="s">
        <v>7987</v>
      </c>
      <c r="G2091" s="2" t="s">
        <v>861</v>
      </c>
      <c r="H2091" s="14">
        <v>0.37</v>
      </c>
      <c r="I2091" s="2" t="s">
        <v>267</v>
      </c>
      <c r="J2091" s="2" t="s">
        <v>5144</v>
      </c>
      <c r="K2091" s="2" t="s">
        <v>5221</v>
      </c>
      <c r="L2091" s="2" t="s">
        <v>5221</v>
      </c>
      <c r="M2091" s="2" t="s">
        <v>5221</v>
      </c>
      <c r="N2091" s="2" t="s">
        <v>2317</v>
      </c>
      <c r="O2091" s="14">
        <v>1800</v>
      </c>
      <c r="P2091" s="14">
        <v>93.39</v>
      </c>
      <c r="Q2091" s="14">
        <v>118.98</v>
      </c>
      <c r="R2091" s="14">
        <v>44.02</v>
      </c>
      <c r="S2091" s="2" t="s">
        <v>5978</v>
      </c>
      <c r="T2091" s="2">
        <v>1.01</v>
      </c>
      <c r="U2091" s="2">
        <v>60.5</v>
      </c>
      <c r="V2091" s="2">
        <v>58</v>
      </c>
      <c r="W2091" s="2" t="s">
        <v>7862</v>
      </c>
      <c r="X2091" s="2" t="s">
        <v>5405</v>
      </c>
      <c r="Y2091" s="2">
        <v>666</v>
      </c>
      <c r="Z2091" s="19" t="str">
        <f>HYPERLINK("https://ssdweb.co/ssdweb/hd/Vision360.html?d=925180144&amp;zoomslide=1&amp;z=1925180144&amp;ISCONFIRM=0","VIDEO")</f>
        <v>VIDEO</v>
      </c>
      <c r="AA2091" s="19" t="str">
        <f>HYPERLINK("https://ssdweb.co/ssdweb/CERTH/613349618.pdf","CERTI")</f>
        <v>CERTI</v>
      </c>
    </row>
    <row r="2092" spans="1:27" ht="15" x14ac:dyDescent="0.25">
      <c r="A2092" s="2">
        <v>2087</v>
      </c>
      <c r="B2092" s="39">
        <v>941310052</v>
      </c>
      <c r="C2092" s="28" t="str">
        <f>HYPERLINK("https://pld.live/RapDetail.aspx?STONELIST=941310052","DNA")</f>
        <v>DNA</v>
      </c>
      <c r="D2092" s="18" t="s">
        <v>533</v>
      </c>
      <c r="E2092" s="18" t="s">
        <v>2186</v>
      </c>
      <c r="F2092" s="2" t="s">
        <v>7987</v>
      </c>
      <c r="G2092" s="2" t="s">
        <v>861</v>
      </c>
      <c r="H2092" s="14">
        <v>0.37</v>
      </c>
      <c r="I2092" s="2" t="s">
        <v>4761</v>
      </c>
      <c r="J2092" s="2" t="s">
        <v>6555</v>
      </c>
      <c r="K2092" s="2" t="s">
        <v>3390</v>
      </c>
      <c r="L2092" s="2" t="s">
        <v>5221</v>
      </c>
      <c r="M2092" s="2" t="s">
        <v>5221</v>
      </c>
      <c r="N2092" s="2" t="s">
        <v>2317</v>
      </c>
      <c r="O2092" s="14">
        <v>2300</v>
      </c>
      <c r="P2092" s="14">
        <v>93.7</v>
      </c>
      <c r="Q2092" s="14">
        <v>144.9</v>
      </c>
      <c r="R2092" s="14">
        <v>53.61</v>
      </c>
      <c r="S2092" s="2" t="s">
        <v>1789</v>
      </c>
      <c r="T2092" s="2">
        <v>1</v>
      </c>
      <c r="U2092" s="2">
        <v>60.5</v>
      </c>
      <c r="V2092" s="2">
        <v>59</v>
      </c>
      <c r="W2092" s="2" t="s">
        <v>7862</v>
      </c>
      <c r="X2092" s="2" t="s">
        <v>5405</v>
      </c>
      <c r="Y2092" s="2">
        <v>851</v>
      </c>
      <c r="Z2092" s="19" t="str">
        <f>HYPERLINK("https://ssdweb.co/ssdweb/hd/Vision360.html?d=941310052&amp;zoomslide=1&amp;z=1941310052&amp;ISCONFIRM=0","VIDEO")</f>
        <v>VIDEO</v>
      </c>
      <c r="AA2092" s="19" t="str">
        <f>HYPERLINK("https://ssdweb.co/ssdweb/CERTH/685590572.pdf","CERTI")</f>
        <v>CERTI</v>
      </c>
    </row>
    <row r="2093" spans="1:27" ht="15" x14ac:dyDescent="0.25">
      <c r="A2093" s="2">
        <v>2088</v>
      </c>
      <c r="B2093" s="39">
        <v>821127907</v>
      </c>
      <c r="C2093" s="28" t="str">
        <f>HYPERLINK("https://pld.live/RapDetail.aspx?STONELIST=821127907","DNA")</f>
        <v>DNA</v>
      </c>
      <c r="D2093" s="18" t="s">
        <v>533</v>
      </c>
      <c r="E2093" s="18" t="s">
        <v>5128</v>
      </c>
      <c r="F2093" s="2" t="s">
        <v>7987</v>
      </c>
      <c r="G2093" s="2" t="s">
        <v>861</v>
      </c>
      <c r="H2093" s="14">
        <v>0.37</v>
      </c>
      <c r="I2093" s="2" t="s">
        <v>4761</v>
      </c>
      <c r="J2093" s="2" t="s">
        <v>3942</v>
      </c>
      <c r="K2093" s="2" t="s">
        <v>5221</v>
      </c>
      <c r="L2093" s="2" t="s">
        <v>5721</v>
      </c>
      <c r="M2093" s="2" t="s">
        <v>5721</v>
      </c>
      <c r="N2093" s="2" t="s">
        <v>2317</v>
      </c>
      <c r="O2093" s="14">
        <v>2000</v>
      </c>
      <c r="P2093" s="14">
        <v>93.85</v>
      </c>
      <c r="Q2093" s="14">
        <v>123</v>
      </c>
      <c r="R2093" s="14">
        <v>45.51</v>
      </c>
      <c r="S2093" s="2" t="s">
        <v>3167</v>
      </c>
      <c r="T2093" s="2">
        <v>1.01</v>
      </c>
      <c r="U2093" s="2">
        <v>62.1</v>
      </c>
      <c r="V2093" s="2">
        <v>61</v>
      </c>
      <c r="W2093" s="2" t="s">
        <v>7862</v>
      </c>
      <c r="X2093" s="2" t="s">
        <v>5405</v>
      </c>
      <c r="Y2093" s="2">
        <v>740</v>
      </c>
      <c r="Z2093" s="19" t="str">
        <f>HYPERLINK("https://ssdweb.co/ssdweb/hd/Vision360.html?d=821127907&amp;zoomslide=1&amp;z=1821127907&amp;ISCONFIRM=0","VIDEO")</f>
        <v>VIDEO</v>
      </c>
      <c r="AA2093" s="19" t="str">
        <f>HYPERLINK("https://ssdweb.co/ssdweb/CERTH/634417114.pdf","CERTI")</f>
        <v>CERTI</v>
      </c>
    </row>
    <row r="2094" spans="1:27" ht="15" x14ac:dyDescent="0.25">
      <c r="A2094" s="2">
        <v>2089</v>
      </c>
      <c r="B2094" s="39">
        <v>941080563</v>
      </c>
      <c r="C2094" s="28" t="str">
        <f>HYPERLINK("https://pld.live/RapDetail.aspx?STONELIST=941080563","DNA")</f>
        <v>DNA</v>
      </c>
      <c r="D2094" s="18" t="s">
        <v>533</v>
      </c>
      <c r="E2094" s="18" t="s">
        <v>2186</v>
      </c>
      <c r="F2094" s="2" t="s">
        <v>7987</v>
      </c>
      <c r="G2094" s="2" t="s">
        <v>861</v>
      </c>
      <c r="H2094" s="14">
        <v>0.37</v>
      </c>
      <c r="I2094" s="2" t="s">
        <v>4761</v>
      </c>
      <c r="J2094" s="2" t="s">
        <v>13</v>
      </c>
      <c r="K2094" s="2" t="s">
        <v>5221</v>
      </c>
      <c r="L2094" s="2" t="s">
        <v>5221</v>
      </c>
      <c r="M2094" s="2" t="s">
        <v>5721</v>
      </c>
      <c r="N2094" s="2" t="s">
        <v>2317</v>
      </c>
      <c r="O2094" s="14">
        <v>1800</v>
      </c>
      <c r="P2094" s="14">
        <v>93.28</v>
      </c>
      <c r="Q2094" s="14">
        <v>120.96</v>
      </c>
      <c r="R2094" s="14">
        <v>44.76</v>
      </c>
      <c r="S2094" s="2" t="s">
        <v>49</v>
      </c>
      <c r="T2094" s="2">
        <v>1.01</v>
      </c>
      <c r="U2094" s="2">
        <v>62.6</v>
      </c>
      <c r="V2094" s="2">
        <v>58</v>
      </c>
      <c r="W2094" s="2" t="s">
        <v>7862</v>
      </c>
      <c r="X2094" s="2" t="s">
        <v>5405</v>
      </c>
      <c r="Y2094" s="2">
        <v>666</v>
      </c>
      <c r="Z2094" s="19" t="str">
        <f>HYPERLINK("https://ssdweb.co/ssdweb/hd/Vision360.html?d=941080563&amp;zoomslide=1&amp;z=1941080563&amp;ISCONFIRM=0","VIDEO")</f>
        <v>VIDEO</v>
      </c>
      <c r="AA2094" s="19" t="str">
        <f>HYPERLINK("https://ssdweb.co/ssdweb/CERTH/671427900.pdf","CERTI")</f>
        <v>CERTI</v>
      </c>
    </row>
    <row r="2095" spans="1:27" ht="15" x14ac:dyDescent="0.25">
      <c r="A2095" s="2">
        <v>2090</v>
      </c>
      <c r="B2095" s="39">
        <v>821127963</v>
      </c>
      <c r="C2095" s="28" t="str">
        <f>HYPERLINK("https://pld.live/RapDetail.aspx?STONELIST=821127963","DNA")</f>
        <v>DNA</v>
      </c>
      <c r="D2095" s="18" t="s">
        <v>533</v>
      </c>
      <c r="E2095" s="18" t="s">
        <v>5128</v>
      </c>
      <c r="F2095" s="2" t="s">
        <v>7987</v>
      </c>
      <c r="G2095" s="2" t="s">
        <v>861</v>
      </c>
      <c r="H2095" s="14">
        <v>0.37</v>
      </c>
      <c r="I2095" s="2" t="s">
        <v>4699</v>
      </c>
      <c r="J2095" s="2" t="s">
        <v>13</v>
      </c>
      <c r="K2095" s="2" t="s">
        <v>5221</v>
      </c>
      <c r="L2095" s="2" t="s">
        <v>5721</v>
      </c>
      <c r="M2095" s="2" t="s">
        <v>5221</v>
      </c>
      <c r="N2095" s="2" t="s">
        <v>2317</v>
      </c>
      <c r="O2095" s="14">
        <v>1700</v>
      </c>
      <c r="P2095" s="14">
        <v>92.94</v>
      </c>
      <c r="Q2095" s="14">
        <v>120.02</v>
      </c>
      <c r="R2095" s="14">
        <v>44.41</v>
      </c>
      <c r="S2095" s="2" t="s">
        <v>2679</v>
      </c>
      <c r="T2095" s="2">
        <v>1.01</v>
      </c>
      <c r="U2095" s="2">
        <v>62.8</v>
      </c>
      <c r="V2095" s="2">
        <v>60</v>
      </c>
      <c r="W2095" s="2" t="s">
        <v>7862</v>
      </c>
      <c r="X2095" s="2" t="s">
        <v>5405</v>
      </c>
      <c r="Y2095" s="2">
        <v>629</v>
      </c>
      <c r="Z2095" s="19" t="str">
        <f>HYPERLINK("https://ssdweb.co/ssdweb/hd/Vision360.html?d=821127963&amp;zoomslide=1&amp;z=1821127963&amp;ISCONFIRM=0","VIDEO")</f>
        <v>VIDEO</v>
      </c>
      <c r="AA2095" s="19" t="str">
        <f>HYPERLINK("https://ssdweb.co/ssdweb/CERTH/633431883.pdf","CERTI")</f>
        <v>CERTI</v>
      </c>
    </row>
    <row r="2096" spans="1:27" ht="15" x14ac:dyDescent="0.25">
      <c r="A2096" s="2">
        <v>2091</v>
      </c>
      <c r="B2096" s="39">
        <v>821127917</v>
      </c>
      <c r="C2096" s="28" t="str">
        <f>HYPERLINK("https://pld.live/RapDetail.aspx?STONELIST=821127917","DNA")</f>
        <v>DNA</v>
      </c>
      <c r="D2096" s="18" t="s">
        <v>533</v>
      </c>
      <c r="E2096" s="18" t="s">
        <v>5128</v>
      </c>
      <c r="F2096" s="2" t="s">
        <v>7987</v>
      </c>
      <c r="G2096" s="2" t="s">
        <v>861</v>
      </c>
      <c r="H2096" s="14">
        <v>0.36</v>
      </c>
      <c r="I2096" s="2" t="s">
        <v>267</v>
      </c>
      <c r="J2096" s="2" t="s">
        <v>6555</v>
      </c>
      <c r="K2096" s="2" t="s">
        <v>5221</v>
      </c>
      <c r="L2096" s="2" t="s">
        <v>5721</v>
      </c>
      <c r="M2096" s="2" t="s">
        <v>5721</v>
      </c>
      <c r="N2096" s="2" t="s">
        <v>2317</v>
      </c>
      <c r="O2096" s="14">
        <v>2500</v>
      </c>
      <c r="P2096" s="14">
        <v>94.28</v>
      </c>
      <c r="Q2096" s="14">
        <v>143</v>
      </c>
      <c r="R2096" s="14">
        <v>51.48</v>
      </c>
      <c r="S2096" s="2" t="s">
        <v>837</v>
      </c>
      <c r="T2096" s="2">
        <v>1.01</v>
      </c>
      <c r="U2096" s="2">
        <v>60.2</v>
      </c>
      <c r="V2096" s="2">
        <v>60</v>
      </c>
      <c r="W2096" s="2" t="s">
        <v>7862</v>
      </c>
      <c r="X2096" s="2" t="s">
        <v>5405</v>
      </c>
      <c r="Y2096" s="2">
        <v>900</v>
      </c>
      <c r="Z2096" s="19" t="str">
        <f>HYPERLINK("https://ssdweb.co/ssdweb/hd/Vision360.html?d=821127917&amp;zoomslide=1&amp;z=1821127917&amp;ISCONFIRM=0","VIDEO")</f>
        <v>VIDEO</v>
      </c>
      <c r="AA2096" s="19" t="str">
        <f>HYPERLINK("https://ssdweb.co/ssdweb/CERTH/634417074.pdf","CERTI")</f>
        <v>CERTI</v>
      </c>
    </row>
    <row r="2097" spans="1:27" ht="15" x14ac:dyDescent="0.25">
      <c r="A2097" s="2">
        <v>2092</v>
      </c>
      <c r="B2097" s="39">
        <v>926980596</v>
      </c>
      <c r="C2097" s="28" t="str">
        <f>HYPERLINK("https://pld.live/RapDetail.aspx?STONELIST=926980596","DNA")</f>
        <v>DNA</v>
      </c>
      <c r="D2097" s="18" t="s">
        <v>533</v>
      </c>
      <c r="E2097" s="18" t="s">
        <v>2186</v>
      </c>
      <c r="F2097" s="2" t="s">
        <v>7987</v>
      </c>
      <c r="G2097" s="2" t="s">
        <v>861</v>
      </c>
      <c r="H2097" s="14">
        <v>0.36</v>
      </c>
      <c r="I2097" s="2" t="s">
        <v>267</v>
      </c>
      <c r="J2097" s="2" t="s">
        <v>3942</v>
      </c>
      <c r="K2097" s="2" t="s">
        <v>5221</v>
      </c>
      <c r="L2097" s="2" t="s">
        <v>5221</v>
      </c>
      <c r="M2097" s="2" t="s">
        <v>5721</v>
      </c>
      <c r="N2097" s="2" t="s">
        <v>2317</v>
      </c>
      <c r="O2097" s="14">
        <v>2200</v>
      </c>
      <c r="P2097" s="14">
        <v>94.09</v>
      </c>
      <c r="Q2097" s="14">
        <v>130.02000000000001</v>
      </c>
      <c r="R2097" s="14">
        <v>46.81</v>
      </c>
      <c r="S2097" s="2" t="s">
        <v>3108</v>
      </c>
      <c r="T2097" s="2">
        <v>1</v>
      </c>
      <c r="U2097" s="2">
        <v>61</v>
      </c>
      <c r="V2097" s="2">
        <v>61</v>
      </c>
      <c r="W2097" s="2" t="s">
        <v>7862</v>
      </c>
      <c r="X2097" s="2" t="s">
        <v>5405</v>
      </c>
      <c r="Y2097" s="2">
        <v>792</v>
      </c>
      <c r="Z2097" s="19" t="str">
        <f>HYPERLINK("https://ssdweb.co/ssdweb/hd/Vision360.html?d=926980596&amp;zoomslide=1&amp;z=1926980596&amp;ISCONFIRM=0","VIDEO")</f>
        <v>VIDEO</v>
      </c>
      <c r="AA2097" s="19" t="str">
        <f>HYPERLINK("https://ssdweb.co/ssdweb/CERTH/666436083.pdf","CERTI")</f>
        <v>CERTI</v>
      </c>
    </row>
    <row r="2098" spans="1:27" ht="15" x14ac:dyDescent="0.25">
      <c r="A2098" s="2">
        <v>2093</v>
      </c>
      <c r="B2098" s="39">
        <v>925780259</v>
      </c>
      <c r="C2098" s="28" t="str">
        <f>HYPERLINK("https://pld.live/RapDetail.aspx?STONELIST=925780259","DNA")</f>
        <v>DNA</v>
      </c>
      <c r="D2098" s="18" t="s">
        <v>533</v>
      </c>
      <c r="E2098" s="18" t="s">
        <v>5128</v>
      </c>
      <c r="F2098" s="2" t="s">
        <v>7987</v>
      </c>
      <c r="G2098" s="2" t="s">
        <v>861</v>
      </c>
      <c r="H2098" s="14">
        <v>0.36</v>
      </c>
      <c r="I2098" s="2" t="s">
        <v>267</v>
      </c>
      <c r="J2098" s="2" t="s">
        <v>13</v>
      </c>
      <c r="K2098" s="2" t="s">
        <v>3390</v>
      </c>
      <c r="L2098" s="2" t="s">
        <v>5721</v>
      </c>
      <c r="M2098" s="2" t="s">
        <v>5721</v>
      </c>
      <c r="N2098" s="2" t="s">
        <v>2317</v>
      </c>
      <c r="O2098" s="14">
        <v>2000</v>
      </c>
      <c r="P2098" s="14">
        <v>94</v>
      </c>
      <c r="Q2098" s="14">
        <v>120</v>
      </c>
      <c r="R2098" s="14">
        <v>43.2</v>
      </c>
      <c r="S2098" s="2" t="s">
        <v>5433</v>
      </c>
      <c r="T2098" s="2">
        <v>1.01</v>
      </c>
      <c r="U2098" s="2">
        <v>60.5</v>
      </c>
      <c r="V2098" s="2">
        <v>59</v>
      </c>
      <c r="W2098" s="2" t="s">
        <v>7862</v>
      </c>
      <c r="X2098" s="2" t="s">
        <v>5405</v>
      </c>
      <c r="Y2098" s="2">
        <v>720</v>
      </c>
      <c r="Z2098" s="19" t="str">
        <f>HYPERLINK("https://ssdweb.co/ssdweb/hd/Vision360.html?d=925780259&amp;zoomslide=1&amp;z=1925780259&amp;ISCONFIRM=0","VIDEO")</f>
        <v>VIDEO</v>
      </c>
      <c r="AA2098" s="19" t="str">
        <f>HYPERLINK("https://ssdweb.co/ssdweb/CERTH/623492929.pdf","CERTI")</f>
        <v>CERTI</v>
      </c>
    </row>
    <row r="2099" spans="1:27" ht="15" x14ac:dyDescent="0.25">
      <c r="A2099" s="2">
        <v>2094</v>
      </c>
      <c r="B2099" s="39">
        <v>927132343</v>
      </c>
      <c r="C2099" s="28" t="str">
        <f>HYPERLINK("https://pld.live/RapDetail.aspx?STONELIST=927132343","DNA")</f>
        <v>DNA</v>
      </c>
      <c r="D2099" s="18" t="s">
        <v>533</v>
      </c>
      <c r="E2099" s="18" t="s">
        <v>5128</v>
      </c>
      <c r="F2099" s="2" t="s">
        <v>7987</v>
      </c>
      <c r="G2099" s="2" t="s">
        <v>861</v>
      </c>
      <c r="H2099" s="14">
        <v>0.36</v>
      </c>
      <c r="I2099" s="2" t="s">
        <v>267</v>
      </c>
      <c r="J2099" s="2" t="s">
        <v>13</v>
      </c>
      <c r="K2099" s="2" t="s">
        <v>5221</v>
      </c>
      <c r="L2099" s="2" t="s">
        <v>5221</v>
      </c>
      <c r="M2099" s="2" t="s">
        <v>5721</v>
      </c>
      <c r="N2099" s="2" t="s">
        <v>2317</v>
      </c>
      <c r="O2099" s="14">
        <v>2000</v>
      </c>
      <c r="P2099" s="14">
        <v>93.9</v>
      </c>
      <c r="Q2099" s="14">
        <v>122</v>
      </c>
      <c r="R2099" s="14">
        <v>43.92</v>
      </c>
      <c r="S2099" s="2" t="s">
        <v>3819</v>
      </c>
      <c r="T2099" s="2">
        <v>1</v>
      </c>
      <c r="U2099" s="2">
        <v>59.7</v>
      </c>
      <c r="V2099" s="2">
        <v>61</v>
      </c>
      <c r="W2099" s="2" t="s">
        <v>7862</v>
      </c>
      <c r="X2099" s="2" t="s">
        <v>5405</v>
      </c>
      <c r="Y2099" s="2">
        <v>720</v>
      </c>
      <c r="Z2099" s="19" t="str">
        <f>HYPERLINK("https://ssdweb.co/ssdweb/hd/Vision360.html?d=927132343&amp;zoomslide=1&amp;z=1927132343&amp;ISCONFIRM=0","VIDEO")</f>
        <v>VIDEO</v>
      </c>
      <c r="AA2099" s="19" t="str">
        <f>HYPERLINK("https://ssdweb.co/ssdweb/CERTH/670445178.pdf","CERTI")</f>
        <v>CERTI</v>
      </c>
    </row>
    <row r="2100" spans="1:27" ht="15" x14ac:dyDescent="0.25">
      <c r="A2100" s="2">
        <v>2095</v>
      </c>
      <c r="B2100" s="39">
        <v>821127887</v>
      </c>
      <c r="C2100" s="28" t="str">
        <f>HYPERLINK("https://pld.live/RapDetail.aspx?STONELIST=821127887","DNA")</f>
        <v>DNA</v>
      </c>
      <c r="D2100" s="18" t="s">
        <v>533</v>
      </c>
      <c r="E2100" s="18" t="s">
        <v>5128</v>
      </c>
      <c r="F2100" s="2" t="s">
        <v>7987</v>
      </c>
      <c r="G2100" s="2" t="s">
        <v>861</v>
      </c>
      <c r="H2100" s="14">
        <v>0.36</v>
      </c>
      <c r="I2100" s="2" t="s">
        <v>267</v>
      </c>
      <c r="J2100" s="2" t="s">
        <v>13</v>
      </c>
      <c r="K2100" s="2" t="s">
        <v>5221</v>
      </c>
      <c r="L2100" s="2" t="s">
        <v>5721</v>
      </c>
      <c r="M2100" s="2" t="s">
        <v>5221</v>
      </c>
      <c r="N2100" s="2" t="s">
        <v>2317</v>
      </c>
      <c r="O2100" s="14">
        <v>2000</v>
      </c>
      <c r="P2100" s="14">
        <v>93.9</v>
      </c>
      <c r="Q2100" s="14">
        <v>122</v>
      </c>
      <c r="R2100" s="14">
        <v>43.92</v>
      </c>
      <c r="S2100" s="2" t="s">
        <v>5077</v>
      </c>
      <c r="T2100" s="2">
        <v>1.01</v>
      </c>
      <c r="U2100" s="2">
        <v>60.3</v>
      </c>
      <c r="V2100" s="2">
        <v>61</v>
      </c>
      <c r="W2100" s="2" t="s">
        <v>7862</v>
      </c>
      <c r="X2100" s="2" t="s">
        <v>5405</v>
      </c>
      <c r="Y2100" s="2">
        <v>720</v>
      </c>
      <c r="Z2100" s="19" t="str">
        <f>HYPERLINK("https://ssdweb.co/ssdweb/hd/Vision360.html?d=821127887&amp;zoomslide=1&amp;z=1821127887&amp;ISCONFIRM=0","VIDEO")</f>
        <v>VIDEO</v>
      </c>
      <c r="AA2100" s="19" t="str">
        <f>HYPERLINK("https://ssdweb.co/ssdweb/CERTH/634417099.pdf","CERTI")</f>
        <v>CERTI</v>
      </c>
    </row>
    <row r="2101" spans="1:27" ht="15" x14ac:dyDescent="0.25">
      <c r="A2101" s="2">
        <v>2096</v>
      </c>
      <c r="B2101" s="39">
        <v>924560202</v>
      </c>
      <c r="C2101" s="28" t="str">
        <f>HYPERLINK("https://pld.live/RapDetail.aspx?STONELIST=924560202","DNA")</f>
        <v>DNA</v>
      </c>
      <c r="D2101" s="18" t="s">
        <v>533</v>
      </c>
      <c r="E2101" s="18" t="s">
        <v>5128</v>
      </c>
      <c r="F2101" s="2" t="s">
        <v>7987</v>
      </c>
      <c r="G2101" s="2" t="s">
        <v>861</v>
      </c>
      <c r="H2101" s="14">
        <v>0.36</v>
      </c>
      <c r="I2101" s="2" t="s">
        <v>267</v>
      </c>
      <c r="J2101" s="2" t="s">
        <v>5144</v>
      </c>
      <c r="K2101" s="2" t="s">
        <v>5221</v>
      </c>
      <c r="L2101" s="2" t="s">
        <v>5221</v>
      </c>
      <c r="M2101" s="2" t="s">
        <v>5221</v>
      </c>
      <c r="N2101" s="2" t="s">
        <v>2317</v>
      </c>
      <c r="O2101" s="14">
        <v>1800</v>
      </c>
      <c r="P2101" s="14">
        <v>93.39</v>
      </c>
      <c r="Q2101" s="14">
        <v>118.98</v>
      </c>
      <c r="R2101" s="14">
        <v>42.83</v>
      </c>
      <c r="S2101" s="2" t="s">
        <v>2556</v>
      </c>
      <c r="T2101" s="2">
        <v>1</v>
      </c>
      <c r="U2101" s="2">
        <v>59.5</v>
      </c>
      <c r="V2101" s="2">
        <v>59</v>
      </c>
      <c r="W2101" s="2" t="s">
        <v>7862</v>
      </c>
      <c r="X2101" s="2" t="s">
        <v>5405</v>
      </c>
      <c r="Y2101" s="2">
        <v>648</v>
      </c>
      <c r="Z2101" s="19" t="str">
        <f>HYPERLINK("https://ssdweb.co/ssdweb/hd/Vision360.html?d=924560202&amp;zoomslide=1&amp;z=1924560202&amp;ISCONFIRM=0","VIDEO")</f>
        <v>VIDEO</v>
      </c>
      <c r="AA2101" s="19" t="str">
        <f>HYPERLINK("https://ssdweb.co/ssdweb/CERTH/594320556.pdf","CERTI")</f>
        <v>CERTI</v>
      </c>
    </row>
    <row r="2102" spans="1:27" ht="15" x14ac:dyDescent="0.25">
      <c r="A2102" s="2">
        <v>2097</v>
      </c>
      <c r="B2102" s="39">
        <v>923970239</v>
      </c>
      <c r="C2102" s="28" t="str">
        <f>HYPERLINK("https://pld.live/RapDetail.aspx?STONELIST=923970239","DNA")</f>
        <v>DNA</v>
      </c>
      <c r="D2102" s="18" t="s">
        <v>533</v>
      </c>
      <c r="E2102" s="18" t="s">
        <v>5128</v>
      </c>
      <c r="F2102" s="2" t="s">
        <v>7987</v>
      </c>
      <c r="G2102" s="2" t="s">
        <v>861</v>
      </c>
      <c r="H2102" s="14">
        <v>0.36</v>
      </c>
      <c r="I2102" s="2" t="s">
        <v>267</v>
      </c>
      <c r="J2102" s="2" t="s">
        <v>5144</v>
      </c>
      <c r="K2102" s="2" t="s">
        <v>5221</v>
      </c>
      <c r="L2102" s="2" t="s">
        <v>5221</v>
      </c>
      <c r="M2102" s="2" t="s">
        <v>5221</v>
      </c>
      <c r="N2102" s="2" t="s">
        <v>2317</v>
      </c>
      <c r="O2102" s="14">
        <v>1800</v>
      </c>
      <c r="P2102" s="14">
        <v>93.39</v>
      </c>
      <c r="Q2102" s="14">
        <v>118.98</v>
      </c>
      <c r="R2102" s="14">
        <v>42.83</v>
      </c>
      <c r="S2102" s="2" t="s">
        <v>5507</v>
      </c>
      <c r="T2102" s="2">
        <v>1.01</v>
      </c>
      <c r="U2102" s="2">
        <v>62.8</v>
      </c>
      <c r="V2102" s="2">
        <v>57</v>
      </c>
      <c r="W2102" s="2" t="s">
        <v>7862</v>
      </c>
      <c r="X2102" s="2" t="s">
        <v>5405</v>
      </c>
      <c r="Y2102" s="2">
        <v>648</v>
      </c>
      <c r="Z2102" s="19" t="str">
        <f>HYPERLINK("https://ssdweb.co/ssdweb/hd/Vision360.html?d=923970239&amp;zoomslide=1&amp;z=1923970239&amp;ISCONFIRM=0","VIDEO")</f>
        <v>VIDEO</v>
      </c>
      <c r="AA2102" s="19" t="str">
        <f>HYPERLINK("https://ssdweb.co/ssdweb/CERTH/577396923.pdf","CERTI")</f>
        <v>CERTI</v>
      </c>
    </row>
    <row r="2103" spans="1:27" ht="15" x14ac:dyDescent="0.25">
      <c r="A2103" s="2">
        <v>2098</v>
      </c>
      <c r="B2103" s="39">
        <v>925740735</v>
      </c>
      <c r="C2103" s="28" t="str">
        <f>HYPERLINK("https://pld.live/RapDetail.aspx?STONELIST=925740735","DNA")</f>
        <v>DNA</v>
      </c>
      <c r="D2103" s="18" t="s">
        <v>533</v>
      </c>
      <c r="E2103" s="18" t="s">
        <v>5128</v>
      </c>
      <c r="F2103" s="2" t="s">
        <v>7987</v>
      </c>
      <c r="G2103" s="2" t="s">
        <v>861</v>
      </c>
      <c r="H2103" s="14">
        <v>0.36</v>
      </c>
      <c r="I2103" s="2" t="s">
        <v>267</v>
      </c>
      <c r="J2103" s="2" t="s">
        <v>5144</v>
      </c>
      <c r="K2103" s="2" t="s">
        <v>5221</v>
      </c>
      <c r="L2103" s="2" t="s">
        <v>5221</v>
      </c>
      <c r="M2103" s="2" t="s">
        <v>5221</v>
      </c>
      <c r="N2103" s="2" t="s">
        <v>2317</v>
      </c>
      <c r="O2103" s="14">
        <v>1800</v>
      </c>
      <c r="P2103" s="14">
        <v>93.33</v>
      </c>
      <c r="Q2103" s="14">
        <v>120.06</v>
      </c>
      <c r="R2103" s="14">
        <v>43.22</v>
      </c>
      <c r="S2103" s="2" t="s">
        <v>1197</v>
      </c>
      <c r="T2103" s="2">
        <v>1.01</v>
      </c>
      <c r="U2103" s="2">
        <v>59.8</v>
      </c>
      <c r="V2103" s="2">
        <v>59</v>
      </c>
      <c r="W2103" s="2" t="s">
        <v>7862</v>
      </c>
      <c r="X2103" s="2" t="s">
        <v>5405</v>
      </c>
      <c r="Y2103" s="2">
        <v>648</v>
      </c>
      <c r="Z2103" s="19" t="str">
        <f>HYPERLINK("https://ssdweb.co/ssdweb/hd/Vision360.html?d=925740735&amp;zoomslide=1&amp;z=1925740735&amp;ISCONFIRM=0","VIDEO")</f>
        <v>VIDEO</v>
      </c>
      <c r="AA2103" s="19" t="str">
        <f>HYPERLINK("https://ssdweb.co/ssdweb/CERTH/622499797.pdf","CERTI")</f>
        <v>CERTI</v>
      </c>
    </row>
    <row r="2104" spans="1:27" ht="15" x14ac:dyDescent="0.25">
      <c r="A2104" s="2">
        <v>2099</v>
      </c>
      <c r="B2104" s="39">
        <v>926261384</v>
      </c>
      <c r="C2104" s="28" t="str">
        <f>HYPERLINK("https://pld.live/RapDetail.aspx?STONELIST=926261384","DNA")</f>
        <v>DNA</v>
      </c>
      <c r="D2104" s="18" t="s">
        <v>533</v>
      </c>
      <c r="E2104" s="18" t="s">
        <v>5128</v>
      </c>
      <c r="F2104" s="2" t="s">
        <v>7987</v>
      </c>
      <c r="G2104" s="2" t="s">
        <v>861</v>
      </c>
      <c r="H2104" s="14">
        <v>0.36</v>
      </c>
      <c r="I2104" s="2" t="s">
        <v>4761</v>
      </c>
      <c r="J2104" s="2" t="s">
        <v>3942</v>
      </c>
      <c r="K2104" s="2" t="s">
        <v>5221</v>
      </c>
      <c r="L2104" s="2" t="s">
        <v>5221</v>
      </c>
      <c r="M2104" s="2" t="s">
        <v>5721</v>
      </c>
      <c r="N2104" s="2" t="s">
        <v>2317</v>
      </c>
      <c r="O2104" s="14">
        <v>2000</v>
      </c>
      <c r="P2104" s="14">
        <v>93.75</v>
      </c>
      <c r="Q2104" s="14">
        <v>125</v>
      </c>
      <c r="R2104" s="14">
        <v>45</v>
      </c>
      <c r="S2104" s="2" t="s">
        <v>7365</v>
      </c>
      <c r="T2104" s="2">
        <v>1.01</v>
      </c>
      <c r="U2104" s="2">
        <v>62.2</v>
      </c>
      <c r="V2104" s="2">
        <v>59</v>
      </c>
      <c r="W2104" s="2" t="s">
        <v>7862</v>
      </c>
      <c r="X2104" s="2" t="s">
        <v>5405</v>
      </c>
      <c r="Y2104" s="2">
        <v>720</v>
      </c>
      <c r="Z2104" s="19" t="str">
        <f>HYPERLINK("https://ssdweb.co/ssdweb/hd/Vision360.html?d=926261384&amp;zoomslide=1&amp;z=1926261384&amp;ISCONFIRM=0","VIDEO")</f>
        <v>VIDEO</v>
      </c>
      <c r="AA2104" s="19" t="str">
        <f>HYPERLINK("https://ssdweb.co/ssdweb/CERTH/644466768.pdf","CERTI")</f>
        <v>CERTI</v>
      </c>
    </row>
    <row r="2105" spans="1:27" ht="15" x14ac:dyDescent="0.25">
      <c r="A2105" s="2">
        <v>2100</v>
      </c>
      <c r="B2105" s="39">
        <v>941390355</v>
      </c>
      <c r="C2105" s="28" t="str">
        <f>HYPERLINK("https://pld.live/RapDetail.aspx?STONELIST=941390355","DNA")</f>
        <v>DNA</v>
      </c>
      <c r="D2105" s="18" t="s">
        <v>533</v>
      </c>
      <c r="E2105" s="18" t="s">
        <v>2186</v>
      </c>
      <c r="F2105" s="2" t="s">
        <v>7987</v>
      </c>
      <c r="G2105" s="2" t="s">
        <v>861</v>
      </c>
      <c r="H2105" s="14">
        <v>0.36</v>
      </c>
      <c r="I2105" s="2" t="s">
        <v>4761</v>
      </c>
      <c r="J2105" s="2" t="s">
        <v>13</v>
      </c>
      <c r="K2105" s="2" t="s">
        <v>5221</v>
      </c>
      <c r="L2105" s="2" t="s">
        <v>5221</v>
      </c>
      <c r="M2105" s="2" t="s">
        <v>5221</v>
      </c>
      <c r="N2105" s="2" t="s">
        <v>2317</v>
      </c>
      <c r="O2105" s="14">
        <v>1800</v>
      </c>
      <c r="P2105" s="14">
        <v>92.72</v>
      </c>
      <c r="Q2105" s="14">
        <v>131.04</v>
      </c>
      <c r="R2105" s="14">
        <v>47.17</v>
      </c>
      <c r="S2105" s="2" t="s">
        <v>517</v>
      </c>
      <c r="T2105" s="2">
        <v>1.01</v>
      </c>
      <c r="U2105" s="2">
        <v>63.1</v>
      </c>
      <c r="V2105" s="2">
        <v>57</v>
      </c>
      <c r="W2105" s="2" t="s">
        <v>7862</v>
      </c>
      <c r="X2105" s="2" t="s">
        <v>5405</v>
      </c>
      <c r="Y2105" s="2">
        <v>648</v>
      </c>
      <c r="Z2105" s="19" t="str">
        <f>HYPERLINK("https://ssdweb.co/ssdweb/hd/Vision360.html?d=941390355&amp;zoomslide=1&amp;z=1941390355&amp;ISCONFIRM=0","VIDEO")</f>
        <v>VIDEO</v>
      </c>
      <c r="AA2105" s="19" t="str">
        <f>HYPERLINK("https://ssdweb.co/ssdweb/CERTH/689587228.pdf","CERTI")</f>
        <v>CERTI</v>
      </c>
    </row>
    <row r="2106" spans="1:27" ht="15" x14ac:dyDescent="0.25">
      <c r="A2106" s="2">
        <v>2101</v>
      </c>
      <c r="B2106" s="39">
        <v>924130022</v>
      </c>
      <c r="C2106" s="28" t="str">
        <f>HYPERLINK("https://pld.live/RapDetail.aspx?STONELIST=924130022","DNA")</f>
        <v>DNA</v>
      </c>
      <c r="D2106" s="18" t="s">
        <v>533</v>
      </c>
      <c r="E2106" s="18" t="s">
        <v>5128</v>
      </c>
      <c r="F2106" s="2" t="s">
        <v>7987</v>
      </c>
      <c r="G2106" s="2" t="s">
        <v>861</v>
      </c>
      <c r="H2106" s="14">
        <v>0.36</v>
      </c>
      <c r="I2106" s="2" t="s">
        <v>4761</v>
      </c>
      <c r="J2106" s="2" t="s">
        <v>5144</v>
      </c>
      <c r="K2106" s="2" t="s">
        <v>5221</v>
      </c>
      <c r="L2106" s="2" t="s">
        <v>5221</v>
      </c>
      <c r="M2106" s="2" t="s">
        <v>5221</v>
      </c>
      <c r="N2106" s="2" t="s">
        <v>2317</v>
      </c>
      <c r="O2106" s="14">
        <v>1700</v>
      </c>
      <c r="P2106" s="14">
        <v>93.06</v>
      </c>
      <c r="Q2106" s="14">
        <v>117.98</v>
      </c>
      <c r="R2106" s="14">
        <v>42.47</v>
      </c>
      <c r="S2106" s="2" t="s">
        <v>5802</v>
      </c>
      <c r="T2106" s="2">
        <v>1.01</v>
      </c>
      <c r="U2106" s="2">
        <v>59.9</v>
      </c>
      <c r="V2106" s="2">
        <v>59</v>
      </c>
      <c r="W2106" s="2" t="s">
        <v>7862</v>
      </c>
      <c r="X2106" s="2" t="s">
        <v>5405</v>
      </c>
      <c r="Y2106" s="2">
        <v>612</v>
      </c>
      <c r="Z2106" s="19" t="str">
        <f>HYPERLINK("https://ssdweb.co/ssdweb/hd/Vision360.html?d=924130022&amp;zoomslide=1&amp;z=1924130022&amp;ISCONFIRM=0","VIDEO")</f>
        <v>VIDEO</v>
      </c>
      <c r="AA2106" s="19" t="str">
        <f>HYPERLINK("https://ssdweb.co/ssdweb/CERTH/575370297.pdf","CERTI")</f>
        <v>CERTI</v>
      </c>
    </row>
    <row r="2107" spans="1:27" ht="15" x14ac:dyDescent="0.25">
      <c r="A2107" s="2">
        <v>2102</v>
      </c>
      <c r="B2107" s="39">
        <v>821127956</v>
      </c>
      <c r="C2107" s="28" t="str">
        <f>HYPERLINK("https://pld.live/RapDetail.aspx?STONELIST=821127956","DNA")</f>
        <v>DNA</v>
      </c>
      <c r="D2107" s="18" t="s">
        <v>533</v>
      </c>
      <c r="E2107" s="18" t="s">
        <v>5128</v>
      </c>
      <c r="F2107" s="2" t="s">
        <v>7987</v>
      </c>
      <c r="G2107" s="2" t="s">
        <v>861</v>
      </c>
      <c r="H2107" s="14">
        <v>0.36</v>
      </c>
      <c r="I2107" s="2" t="s">
        <v>4699</v>
      </c>
      <c r="J2107" s="2" t="s">
        <v>3942</v>
      </c>
      <c r="K2107" s="2" t="s">
        <v>5221</v>
      </c>
      <c r="L2107" s="2" t="s">
        <v>5721</v>
      </c>
      <c r="M2107" s="2" t="s">
        <v>5221</v>
      </c>
      <c r="N2107" s="2" t="s">
        <v>2317</v>
      </c>
      <c r="O2107" s="14">
        <v>1900</v>
      </c>
      <c r="P2107" s="14">
        <v>93.53</v>
      </c>
      <c r="Q2107" s="14">
        <v>122.93</v>
      </c>
      <c r="R2107" s="14">
        <v>44.25</v>
      </c>
      <c r="S2107" s="2" t="s">
        <v>5883</v>
      </c>
      <c r="T2107" s="2">
        <v>1.01</v>
      </c>
      <c r="U2107" s="2">
        <v>62.7</v>
      </c>
      <c r="V2107" s="2">
        <v>58</v>
      </c>
      <c r="W2107" s="2" t="s">
        <v>7862</v>
      </c>
      <c r="X2107" s="2" t="s">
        <v>5405</v>
      </c>
      <c r="Y2107" s="2">
        <v>684</v>
      </c>
      <c r="Z2107" s="19" t="str">
        <f>HYPERLINK("https://ssdweb.co/ssdweb/hd/Vision360.html?d=821127956&amp;zoomslide=1&amp;z=1821127956&amp;ISCONFIRM=0","VIDEO")</f>
        <v>VIDEO</v>
      </c>
      <c r="AA2107" s="19" t="str">
        <f>HYPERLINK("https://ssdweb.co/ssdweb/CERTH/633431896.pdf","CERTI")</f>
        <v>CERTI</v>
      </c>
    </row>
    <row r="2108" spans="1:27" ht="15" x14ac:dyDescent="0.25">
      <c r="A2108" s="2">
        <v>2103</v>
      </c>
      <c r="B2108" s="39">
        <v>926231038</v>
      </c>
      <c r="C2108" s="28" t="str">
        <f>HYPERLINK("https://pld.live/RapDetail.aspx?STONELIST=926231038","DNA")</f>
        <v>DNA</v>
      </c>
      <c r="D2108" s="18" t="s">
        <v>533</v>
      </c>
      <c r="E2108" s="18" t="s">
        <v>5128</v>
      </c>
      <c r="F2108" s="2" t="s">
        <v>7987</v>
      </c>
      <c r="G2108" s="2" t="s">
        <v>861</v>
      </c>
      <c r="H2108" s="14">
        <v>0.35</v>
      </c>
      <c r="I2108" s="2" t="s">
        <v>267</v>
      </c>
      <c r="J2108" s="2" t="s">
        <v>6555</v>
      </c>
      <c r="K2108" s="2" t="s">
        <v>5221</v>
      </c>
      <c r="L2108" s="2" t="s">
        <v>5721</v>
      </c>
      <c r="M2108" s="2" t="s">
        <v>5221</v>
      </c>
      <c r="N2108" s="2" t="s">
        <v>2317</v>
      </c>
      <c r="O2108" s="14">
        <v>2500</v>
      </c>
      <c r="P2108" s="14">
        <v>94.2</v>
      </c>
      <c r="Q2108" s="14">
        <v>145</v>
      </c>
      <c r="R2108" s="14">
        <v>50.75</v>
      </c>
      <c r="S2108" s="2" t="s">
        <v>3823</v>
      </c>
      <c r="T2108" s="2">
        <v>1.01</v>
      </c>
      <c r="U2108" s="2">
        <v>63.2</v>
      </c>
      <c r="V2108" s="2">
        <v>57</v>
      </c>
      <c r="W2108" s="2" t="s">
        <v>7862</v>
      </c>
      <c r="X2108" s="2" t="s">
        <v>5405</v>
      </c>
      <c r="Y2108" s="2">
        <v>875</v>
      </c>
      <c r="Z2108" s="19" t="str">
        <f>HYPERLINK("https://ssdweb.co/ssdweb/hd/Vision360.html?d=926231038&amp;zoomslide=1&amp;z=1926231038&amp;ISCONFIRM=0","VIDEO")</f>
        <v>VIDEO</v>
      </c>
      <c r="AA2108" s="19" t="str">
        <f>HYPERLINK("https://ssdweb.co/ssdweb/CERTH/639413249.pdf","CERTI")</f>
        <v>CERTI</v>
      </c>
    </row>
    <row r="2109" spans="1:27" ht="15" x14ac:dyDescent="0.25">
      <c r="A2109" s="2">
        <v>2104</v>
      </c>
      <c r="B2109" s="39">
        <v>821127928</v>
      </c>
      <c r="C2109" s="28" t="str">
        <f>HYPERLINK("https://pld.live/RapDetail.aspx?STONELIST=821127928","DNA")</f>
        <v>DNA</v>
      </c>
      <c r="D2109" s="18" t="s">
        <v>533</v>
      </c>
      <c r="E2109" s="18" t="s">
        <v>5128</v>
      </c>
      <c r="F2109" s="2" t="s">
        <v>7987</v>
      </c>
      <c r="G2109" s="2" t="s">
        <v>861</v>
      </c>
      <c r="H2109" s="14">
        <v>0.35</v>
      </c>
      <c r="I2109" s="2" t="s">
        <v>267</v>
      </c>
      <c r="J2109" s="2" t="s">
        <v>6555</v>
      </c>
      <c r="K2109" s="2" t="s">
        <v>5221</v>
      </c>
      <c r="L2109" s="2" t="s">
        <v>5721</v>
      </c>
      <c r="M2109" s="2" t="s">
        <v>5721</v>
      </c>
      <c r="N2109" s="2" t="s">
        <v>2317</v>
      </c>
      <c r="O2109" s="14">
        <v>2500</v>
      </c>
      <c r="P2109" s="14">
        <v>94.28</v>
      </c>
      <c r="Q2109" s="14">
        <v>143</v>
      </c>
      <c r="R2109" s="14">
        <v>50.05</v>
      </c>
      <c r="S2109" s="2" t="s">
        <v>2025</v>
      </c>
      <c r="T2109" s="2">
        <v>1.01</v>
      </c>
      <c r="U2109" s="2">
        <v>63.3</v>
      </c>
      <c r="V2109" s="2">
        <v>57</v>
      </c>
      <c r="W2109" s="2" t="s">
        <v>7862</v>
      </c>
      <c r="X2109" s="2" t="s">
        <v>5405</v>
      </c>
      <c r="Y2109" s="2">
        <v>875</v>
      </c>
      <c r="Z2109" s="19" t="str">
        <f>HYPERLINK("https://ssdweb.co/ssdweb/hd/Vision360.html?d=821127928&amp;zoomslide=1&amp;z=1821127928&amp;ISCONFIRM=0","VIDEO")</f>
        <v>VIDEO</v>
      </c>
      <c r="AA2109" s="19" t="str">
        <f>HYPERLINK("https://ssdweb.co/ssdweb/CERTH/634417055.pdf","CERTI")</f>
        <v>CERTI</v>
      </c>
    </row>
    <row r="2110" spans="1:27" ht="15" x14ac:dyDescent="0.25">
      <c r="A2110" s="2">
        <v>2105</v>
      </c>
      <c r="B2110" s="39">
        <v>821127966</v>
      </c>
      <c r="C2110" s="28" t="str">
        <f>HYPERLINK("https://pld.live/RapDetail.aspx?STONELIST=821127966","DNA")</f>
        <v>DNA</v>
      </c>
      <c r="D2110" s="18" t="s">
        <v>533</v>
      </c>
      <c r="E2110" s="18" t="s">
        <v>5128</v>
      </c>
      <c r="F2110" s="2" t="s">
        <v>7987</v>
      </c>
      <c r="G2110" s="2" t="s">
        <v>861</v>
      </c>
      <c r="H2110" s="14">
        <v>0.35</v>
      </c>
      <c r="I2110" s="2" t="s">
        <v>267</v>
      </c>
      <c r="J2110" s="2" t="s">
        <v>3942</v>
      </c>
      <c r="K2110" s="2" t="s">
        <v>3390</v>
      </c>
      <c r="L2110" s="2" t="s">
        <v>5721</v>
      </c>
      <c r="M2110" s="2" t="s">
        <v>5221</v>
      </c>
      <c r="N2110" s="2" t="s">
        <v>2317</v>
      </c>
      <c r="O2110" s="14">
        <v>2200</v>
      </c>
      <c r="P2110" s="14">
        <v>94.09</v>
      </c>
      <c r="Q2110" s="14">
        <v>130.02000000000001</v>
      </c>
      <c r="R2110" s="14">
        <v>45.51</v>
      </c>
      <c r="S2110" s="2" t="s">
        <v>5952</v>
      </c>
      <c r="T2110" s="2">
        <v>1.01</v>
      </c>
      <c r="U2110" s="2">
        <v>61.6</v>
      </c>
      <c r="V2110" s="2">
        <v>59</v>
      </c>
      <c r="W2110" s="2" t="s">
        <v>7862</v>
      </c>
      <c r="X2110" s="2" t="s">
        <v>5405</v>
      </c>
      <c r="Y2110" s="2">
        <v>770</v>
      </c>
      <c r="Z2110" s="19" t="str">
        <f>HYPERLINK("https://ssdweb.co/ssdweb/hd/Vision360.html?d=821127966&amp;zoomslide=1&amp;z=1821127966&amp;ISCONFIRM=0","VIDEO")</f>
        <v>VIDEO</v>
      </c>
      <c r="AA2110" s="19" t="str">
        <f>HYPERLINK("https://ssdweb.co/ssdweb/CERTH/633431886.pdf","CERTI")</f>
        <v>CERTI</v>
      </c>
    </row>
    <row r="2111" spans="1:27" ht="15" x14ac:dyDescent="0.25">
      <c r="A2111" s="2">
        <v>2106</v>
      </c>
      <c r="B2111" s="39">
        <v>821127823</v>
      </c>
      <c r="C2111" s="28" t="str">
        <f>HYPERLINK("https://pld.live/RapDetail.aspx?STONELIST=821127823","DNA")</f>
        <v>DNA</v>
      </c>
      <c r="D2111" s="18" t="s">
        <v>533</v>
      </c>
      <c r="E2111" s="18" t="s">
        <v>5128</v>
      </c>
      <c r="F2111" s="2" t="s">
        <v>7987</v>
      </c>
      <c r="G2111" s="2" t="s">
        <v>861</v>
      </c>
      <c r="H2111" s="14">
        <v>0.35</v>
      </c>
      <c r="I2111" s="2" t="s">
        <v>267</v>
      </c>
      <c r="J2111" s="2" t="s">
        <v>3942</v>
      </c>
      <c r="K2111" s="2" t="s">
        <v>5221</v>
      </c>
      <c r="L2111" s="2" t="s">
        <v>5721</v>
      </c>
      <c r="M2111" s="2" t="s">
        <v>5221</v>
      </c>
      <c r="N2111" s="2" t="s">
        <v>2317</v>
      </c>
      <c r="O2111" s="14">
        <v>2200</v>
      </c>
      <c r="P2111" s="14">
        <v>94.09</v>
      </c>
      <c r="Q2111" s="14">
        <v>130.02000000000001</v>
      </c>
      <c r="R2111" s="14">
        <v>45.51</v>
      </c>
      <c r="S2111" s="2" t="s">
        <v>7470</v>
      </c>
      <c r="T2111" s="2">
        <v>1.01</v>
      </c>
      <c r="U2111" s="2">
        <v>61.6</v>
      </c>
      <c r="V2111" s="2">
        <v>62</v>
      </c>
      <c r="W2111" s="2" t="s">
        <v>7862</v>
      </c>
      <c r="X2111" s="2" t="s">
        <v>5405</v>
      </c>
      <c r="Y2111" s="2">
        <v>770</v>
      </c>
      <c r="Z2111" s="19" t="str">
        <f>HYPERLINK("https://ssdweb.co/ssdweb/hd/Vision360.html?d=821127823&amp;zoomslide=1&amp;z=1821127823&amp;ISCONFIRM=0","VIDEO")</f>
        <v>VIDEO</v>
      </c>
      <c r="AA2111" s="19" t="str">
        <f>HYPERLINK("https://ssdweb.co/ssdweb/CERTH/633499579.pdf","CERTI")</f>
        <v>CERTI</v>
      </c>
    </row>
    <row r="2112" spans="1:27" ht="15" x14ac:dyDescent="0.25">
      <c r="A2112" s="2">
        <v>2107</v>
      </c>
      <c r="B2112" s="39">
        <v>831010386</v>
      </c>
      <c r="C2112" s="28" t="str">
        <f>HYPERLINK("https://pld.live/RapDetail.aspx?STONELIST=831010386","DNA")</f>
        <v>DNA</v>
      </c>
      <c r="D2112" s="18" t="s">
        <v>533</v>
      </c>
      <c r="E2112" s="18" t="s">
        <v>5128</v>
      </c>
      <c r="F2112" s="2" t="s">
        <v>7987</v>
      </c>
      <c r="G2112" s="2" t="s">
        <v>861</v>
      </c>
      <c r="H2112" s="14">
        <v>0.35</v>
      </c>
      <c r="I2112" s="2" t="s">
        <v>267</v>
      </c>
      <c r="J2112" s="2" t="s">
        <v>444</v>
      </c>
      <c r="K2112" s="2" t="s">
        <v>5221</v>
      </c>
      <c r="L2112" s="2" t="s">
        <v>5221</v>
      </c>
      <c r="M2112" s="2" t="s">
        <v>5221</v>
      </c>
      <c r="N2112" s="2" t="s">
        <v>2317</v>
      </c>
      <c r="O2112" s="14">
        <v>1700</v>
      </c>
      <c r="P2112" s="14">
        <v>93.65</v>
      </c>
      <c r="Q2112" s="14">
        <v>107.95</v>
      </c>
      <c r="R2112" s="14">
        <v>37.78</v>
      </c>
      <c r="S2112" s="2" t="s">
        <v>7731</v>
      </c>
      <c r="T2112" s="2">
        <v>1</v>
      </c>
      <c r="U2112" s="2">
        <v>62.8</v>
      </c>
      <c r="V2112" s="2">
        <v>54</v>
      </c>
      <c r="W2112" s="2" t="s">
        <v>7862</v>
      </c>
      <c r="X2112" s="2" t="s">
        <v>5405</v>
      </c>
      <c r="Y2112" s="2">
        <v>595</v>
      </c>
      <c r="Z2112" s="19" t="str">
        <f>HYPERLINK("https://ssdweb.co/ssdweb/hd/Vision360.html?d=831010386&amp;zoomslide=1&amp;z=1831010386&amp;ISCONFIRM=0","VIDEO")</f>
        <v>VIDEO</v>
      </c>
      <c r="AA2112" s="19" t="str">
        <f>HYPERLINK("https://ssdweb.co/ssdweb/CERTH/592323673.pdf","CERTI")</f>
        <v>CERTI</v>
      </c>
    </row>
    <row r="2113" spans="1:27" ht="15" x14ac:dyDescent="0.25">
      <c r="A2113" s="2">
        <v>2108</v>
      </c>
      <c r="B2113" s="39">
        <v>926140419</v>
      </c>
      <c r="C2113" s="28" t="str">
        <f>HYPERLINK("https://pld.live/RapDetail.aspx?STONELIST=926140419","DNA")</f>
        <v>DNA</v>
      </c>
      <c r="D2113" s="18" t="s">
        <v>533</v>
      </c>
      <c r="E2113" s="18" t="s">
        <v>5128</v>
      </c>
      <c r="F2113" s="2" t="s">
        <v>7987</v>
      </c>
      <c r="G2113" s="2" t="s">
        <v>861</v>
      </c>
      <c r="H2113" s="14">
        <v>0.35</v>
      </c>
      <c r="I2113" s="2" t="s">
        <v>4761</v>
      </c>
      <c r="J2113" s="2" t="s">
        <v>13</v>
      </c>
      <c r="K2113" s="2" t="s">
        <v>5221</v>
      </c>
      <c r="L2113" s="2" t="s">
        <v>5721</v>
      </c>
      <c r="M2113" s="2" t="s">
        <v>5221</v>
      </c>
      <c r="N2113" s="2" t="s">
        <v>2317</v>
      </c>
      <c r="O2113" s="14">
        <v>1800</v>
      </c>
      <c r="P2113" s="14">
        <v>93.61</v>
      </c>
      <c r="Q2113" s="14">
        <v>115.02</v>
      </c>
      <c r="R2113" s="14">
        <v>40.26</v>
      </c>
      <c r="S2113" s="2" t="s">
        <v>3156</v>
      </c>
      <c r="T2113" s="2">
        <v>1</v>
      </c>
      <c r="U2113" s="2">
        <v>63</v>
      </c>
      <c r="V2113" s="2">
        <v>58</v>
      </c>
      <c r="W2113" s="2" t="s">
        <v>4336</v>
      </c>
      <c r="X2113" s="2" t="s">
        <v>5405</v>
      </c>
      <c r="Y2113" s="2">
        <v>630</v>
      </c>
      <c r="Z2113" s="19" t="str">
        <f>HYPERLINK("https://ssdweb.co/ssdweb/hd/Vision360.html?d=926140419&amp;zoomslide=1&amp;z=1926140419&amp;ISCONFIRM=0","VIDEO")</f>
        <v>VIDEO</v>
      </c>
      <c r="AA2113" s="19" t="str">
        <f>HYPERLINK("https://ssdweb.co/ssdweb/CERTH/632449413.pdf","CERTI")</f>
        <v>CERTI</v>
      </c>
    </row>
    <row r="2114" spans="1:27" ht="15" x14ac:dyDescent="0.25">
      <c r="A2114" s="2">
        <v>2109</v>
      </c>
      <c r="B2114" s="39">
        <v>926080979</v>
      </c>
      <c r="C2114" s="28" t="str">
        <f>HYPERLINK("https://pld.live/RapDetail.aspx?STONELIST=926080979","DNA")</f>
        <v>DNA</v>
      </c>
      <c r="D2114" s="18" t="s">
        <v>7954</v>
      </c>
      <c r="E2114" s="18" t="s">
        <v>5128</v>
      </c>
      <c r="F2114" s="2" t="s">
        <v>7987</v>
      </c>
      <c r="G2114" s="2" t="s">
        <v>861</v>
      </c>
      <c r="H2114" s="14">
        <v>0.34</v>
      </c>
      <c r="I2114" s="2" t="s">
        <v>267</v>
      </c>
      <c r="J2114" s="2" t="s">
        <v>6555</v>
      </c>
      <c r="K2114" s="2" t="s">
        <v>3390</v>
      </c>
      <c r="L2114" s="2" t="s">
        <v>5221</v>
      </c>
      <c r="M2114" s="2" t="s">
        <v>5721</v>
      </c>
      <c r="N2114" s="2" t="s">
        <v>2317</v>
      </c>
      <c r="O2114" s="14">
        <v>2500</v>
      </c>
      <c r="P2114" s="14">
        <v>94.2</v>
      </c>
      <c r="Q2114" s="14">
        <v>145</v>
      </c>
      <c r="R2114" s="14">
        <v>49.3</v>
      </c>
      <c r="S2114" s="2" t="s">
        <v>6267</v>
      </c>
      <c r="T2114" s="2">
        <v>1.01</v>
      </c>
      <c r="U2114" s="2">
        <v>62.5</v>
      </c>
      <c r="V2114" s="2">
        <v>58</v>
      </c>
      <c r="W2114" s="2" t="s">
        <v>7862</v>
      </c>
      <c r="X2114" s="2" t="s">
        <v>5405</v>
      </c>
      <c r="Y2114" s="2">
        <v>850</v>
      </c>
      <c r="Z2114" s="19" t="str">
        <f>HYPERLINK("https://ssdweb.co/ssdweb/hd/Vision360.html?d=926080979&amp;zoomslide=1&amp;z=1926080979&amp;ISCONFIRM=0","VIDEO")</f>
        <v>VIDEO</v>
      </c>
      <c r="AA2114" s="19" t="str">
        <f>HYPERLINK("https://ssdweb.co/ssdweb/CERTH/631404339.pdf","CERTI")</f>
        <v>CERTI</v>
      </c>
    </row>
    <row r="2115" spans="1:27" ht="15" x14ac:dyDescent="0.25">
      <c r="A2115" s="2">
        <v>2110</v>
      </c>
      <c r="B2115" s="39">
        <v>821127941</v>
      </c>
      <c r="C2115" s="28" t="str">
        <f>HYPERLINK("https://pld.live/RapDetail.aspx?STONELIST=821127941","DNA")</f>
        <v>DNA</v>
      </c>
      <c r="D2115" s="18" t="s">
        <v>7954</v>
      </c>
      <c r="E2115" s="18" t="s">
        <v>5128</v>
      </c>
      <c r="F2115" s="2" t="s">
        <v>7987</v>
      </c>
      <c r="G2115" s="2" t="s">
        <v>861</v>
      </c>
      <c r="H2115" s="14">
        <v>0.34</v>
      </c>
      <c r="I2115" s="2" t="s">
        <v>267</v>
      </c>
      <c r="J2115" s="2" t="s">
        <v>6555</v>
      </c>
      <c r="K2115" s="2" t="s">
        <v>3390</v>
      </c>
      <c r="L2115" s="2" t="s">
        <v>5721</v>
      </c>
      <c r="M2115" s="2" t="s">
        <v>5721</v>
      </c>
      <c r="N2115" s="2" t="s">
        <v>2317</v>
      </c>
      <c r="O2115" s="14">
        <v>2500</v>
      </c>
      <c r="P2115" s="14">
        <v>94.28</v>
      </c>
      <c r="Q2115" s="14">
        <v>143</v>
      </c>
      <c r="R2115" s="14">
        <v>48.62</v>
      </c>
      <c r="S2115" s="2" t="s">
        <v>8071</v>
      </c>
      <c r="T2115" s="2">
        <v>1.02</v>
      </c>
      <c r="U2115" s="2">
        <v>62.5</v>
      </c>
      <c r="V2115" s="2">
        <v>58</v>
      </c>
      <c r="W2115" s="2" t="s">
        <v>7862</v>
      </c>
      <c r="X2115" s="2" t="s">
        <v>5405</v>
      </c>
      <c r="Y2115" s="2">
        <v>850</v>
      </c>
      <c r="Z2115" s="19" t="str">
        <f>HYPERLINK("https://ssdweb.co/ssdweb/hd/Vision360.html?d=821127941&amp;zoomslide=1&amp;z=1821127941&amp;ISCONFIRM=0","VIDEO")</f>
        <v>VIDEO</v>
      </c>
      <c r="AA2115" s="19" t="str">
        <f>HYPERLINK("https://ssdweb.co/ssdweb/CERTH/634417063.pdf","CERTI")</f>
        <v>CERTI</v>
      </c>
    </row>
    <row r="2116" spans="1:27" ht="15" x14ac:dyDescent="0.25">
      <c r="A2116" s="2">
        <v>2111</v>
      </c>
      <c r="B2116" s="39">
        <v>821127873</v>
      </c>
      <c r="C2116" s="28" t="str">
        <f>HYPERLINK("https://pld.live/RapDetail.aspx?STONELIST=821127873","DNA")</f>
        <v>DNA</v>
      </c>
      <c r="D2116" s="18" t="s">
        <v>7954</v>
      </c>
      <c r="E2116" s="18" t="s">
        <v>5128</v>
      </c>
      <c r="F2116" s="2" t="s">
        <v>7987</v>
      </c>
      <c r="G2116" s="2" t="s">
        <v>861</v>
      </c>
      <c r="H2116" s="14">
        <v>0.34</v>
      </c>
      <c r="I2116" s="2" t="s">
        <v>267</v>
      </c>
      <c r="J2116" s="2" t="s">
        <v>6555</v>
      </c>
      <c r="K2116" s="2" t="s">
        <v>5221</v>
      </c>
      <c r="L2116" s="2" t="s">
        <v>5221</v>
      </c>
      <c r="M2116" s="2" t="s">
        <v>5721</v>
      </c>
      <c r="N2116" s="2" t="s">
        <v>2317</v>
      </c>
      <c r="O2116" s="14">
        <v>2500</v>
      </c>
      <c r="P2116" s="14">
        <v>94.2</v>
      </c>
      <c r="Q2116" s="14">
        <v>145</v>
      </c>
      <c r="R2116" s="14">
        <v>49.3</v>
      </c>
      <c r="S2116" s="2" t="s">
        <v>7198</v>
      </c>
      <c r="T2116" s="2">
        <v>1.01</v>
      </c>
      <c r="U2116" s="2">
        <v>63.1</v>
      </c>
      <c r="V2116" s="2">
        <v>59</v>
      </c>
      <c r="W2116" s="2" t="s">
        <v>7862</v>
      </c>
      <c r="X2116" s="2" t="s">
        <v>5405</v>
      </c>
      <c r="Y2116" s="2">
        <v>850</v>
      </c>
      <c r="Z2116" s="19" t="str">
        <f>HYPERLINK("https://ssdweb.co/ssdweb/hd/Vision360.html?d=821127873&amp;zoomslide=1&amp;z=1821127873&amp;ISCONFIRM=0","VIDEO")</f>
        <v>VIDEO</v>
      </c>
      <c r="AA2116" s="19" t="str">
        <f>HYPERLINK("https://ssdweb.co/ssdweb/CERTH/633499539.pdf","CERTI")</f>
        <v>CERTI</v>
      </c>
    </row>
    <row r="2117" spans="1:27" ht="15" x14ac:dyDescent="0.25">
      <c r="A2117" s="2">
        <v>2112</v>
      </c>
      <c r="B2117" s="39">
        <v>926231219</v>
      </c>
      <c r="C2117" s="28" t="str">
        <f>HYPERLINK("https://pld.live/RapDetail.aspx?STONELIST=926231219","DNA")</f>
        <v>DNA</v>
      </c>
      <c r="D2117" s="18" t="s">
        <v>7954</v>
      </c>
      <c r="E2117" s="18" t="s">
        <v>5128</v>
      </c>
      <c r="F2117" s="2" t="s">
        <v>7987</v>
      </c>
      <c r="G2117" s="2" t="s">
        <v>861</v>
      </c>
      <c r="H2117" s="14">
        <v>0.34</v>
      </c>
      <c r="I2117" s="2" t="s">
        <v>267</v>
      </c>
      <c r="J2117" s="2" t="s">
        <v>3942</v>
      </c>
      <c r="K2117" s="2" t="s">
        <v>3390</v>
      </c>
      <c r="L2117" s="2" t="s">
        <v>5221</v>
      </c>
      <c r="M2117" s="2" t="s">
        <v>5721</v>
      </c>
      <c r="N2117" s="2" t="s">
        <v>2317</v>
      </c>
      <c r="O2117" s="14">
        <v>2200</v>
      </c>
      <c r="P2117" s="14">
        <v>94.09</v>
      </c>
      <c r="Q2117" s="14">
        <v>130.02000000000001</v>
      </c>
      <c r="R2117" s="14">
        <v>44.21</v>
      </c>
      <c r="S2117" s="2" t="s">
        <v>5643</v>
      </c>
      <c r="T2117" s="2">
        <v>1.01</v>
      </c>
      <c r="U2117" s="2">
        <v>61.8</v>
      </c>
      <c r="V2117" s="2">
        <v>58</v>
      </c>
      <c r="W2117" s="2" t="s">
        <v>7862</v>
      </c>
      <c r="X2117" s="2" t="s">
        <v>5405</v>
      </c>
      <c r="Y2117" s="2">
        <v>748</v>
      </c>
      <c r="Z2117" s="19" t="str">
        <f>HYPERLINK("https://ssdweb.co/ssdweb/hd/Vision360.html?d=926231219&amp;zoomslide=1&amp;z=1926231219&amp;ISCONFIRM=0","VIDEO")</f>
        <v>VIDEO</v>
      </c>
      <c r="AA2117" s="19" t="str">
        <f>HYPERLINK("https://ssdweb.co/ssdweb/CERTH/644472359.pdf","CERTI")</f>
        <v>CERTI</v>
      </c>
    </row>
    <row r="2118" spans="1:27" ht="15" x14ac:dyDescent="0.25">
      <c r="A2118" s="2">
        <v>2113</v>
      </c>
      <c r="B2118" s="39">
        <v>925360061</v>
      </c>
      <c r="C2118" s="28" t="str">
        <f>HYPERLINK("https://pld.live/RapDetail.aspx?STONELIST=925360061","DNA")</f>
        <v>DNA</v>
      </c>
      <c r="D2118" s="18" t="s">
        <v>7954</v>
      </c>
      <c r="E2118" s="18" t="s">
        <v>5128</v>
      </c>
      <c r="F2118" s="2" t="s">
        <v>7987</v>
      </c>
      <c r="G2118" s="2" t="s">
        <v>861</v>
      </c>
      <c r="H2118" s="14">
        <v>0.34</v>
      </c>
      <c r="I2118" s="2" t="s">
        <v>267</v>
      </c>
      <c r="J2118" s="2" t="s">
        <v>3942</v>
      </c>
      <c r="K2118" s="2" t="s">
        <v>3390</v>
      </c>
      <c r="L2118" s="2" t="s">
        <v>5221</v>
      </c>
      <c r="M2118" s="2" t="s">
        <v>5721</v>
      </c>
      <c r="N2118" s="2" t="s">
        <v>2317</v>
      </c>
      <c r="O2118" s="14">
        <v>2200</v>
      </c>
      <c r="P2118" s="14">
        <v>94.09</v>
      </c>
      <c r="Q2118" s="14">
        <v>130.02000000000001</v>
      </c>
      <c r="R2118" s="14">
        <v>44.21</v>
      </c>
      <c r="S2118" s="2" t="s">
        <v>5132</v>
      </c>
      <c r="T2118" s="2">
        <v>1.01</v>
      </c>
      <c r="U2118" s="2">
        <v>60.3</v>
      </c>
      <c r="V2118" s="2">
        <v>60</v>
      </c>
      <c r="W2118" s="2" t="s">
        <v>7862</v>
      </c>
      <c r="X2118" s="2" t="s">
        <v>5405</v>
      </c>
      <c r="Y2118" s="2">
        <v>748</v>
      </c>
      <c r="Z2118" s="19" t="str">
        <f>HYPERLINK("https://ssdweb.co/ssdweb/hd/Vision360.html?d=925360061&amp;zoomslide=1&amp;z=1925360061&amp;ISCONFIRM=0","VIDEO")</f>
        <v>VIDEO</v>
      </c>
      <c r="AA2118" s="19" t="str">
        <f>HYPERLINK("https://ssdweb.co/ssdweb/CERTH/614319376.pdf","CERTI")</f>
        <v>CERTI</v>
      </c>
    </row>
    <row r="2119" spans="1:27" ht="15" x14ac:dyDescent="0.25">
      <c r="A2119" s="2">
        <v>2114</v>
      </c>
      <c r="B2119" s="39">
        <v>926091149</v>
      </c>
      <c r="C2119" s="28" t="str">
        <f>HYPERLINK("https://pld.live/RapDetail.aspx?STONELIST=926091149","DNA")</f>
        <v>DNA</v>
      </c>
      <c r="D2119" s="18" t="s">
        <v>7954</v>
      </c>
      <c r="E2119" s="18" t="s">
        <v>5128</v>
      </c>
      <c r="F2119" s="2" t="s">
        <v>7987</v>
      </c>
      <c r="G2119" s="2" t="s">
        <v>861</v>
      </c>
      <c r="H2119" s="14">
        <v>0.34</v>
      </c>
      <c r="I2119" s="2" t="s">
        <v>267</v>
      </c>
      <c r="J2119" s="2" t="s">
        <v>3942</v>
      </c>
      <c r="K2119" s="2" t="s">
        <v>3390</v>
      </c>
      <c r="L2119" s="2" t="s">
        <v>5221</v>
      </c>
      <c r="M2119" s="2" t="s">
        <v>5721</v>
      </c>
      <c r="N2119" s="2" t="s">
        <v>2317</v>
      </c>
      <c r="O2119" s="14">
        <v>2200</v>
      </c>
      <c r="P2119" s="14">
        <v>94.09</v>
      </c>
      <c r="Q2119" s="14">
        <v>130.02000000000001</v>
      </c>
      <c r="R2119" s="14">
        <v>44.21</v>
      </c>
      <c r="S2119" s="2" t="s">
        <v>8078</v>
      </c>
      <c r="T2119" s="2">
        <v>1.01</v>
      </c>
      <c r="U2119" s="2">
        <v>62.1</v>
      </c>
      <c r="V2119" s="2">
        <v>60</v>
      </c>
      <c r="W2119" s="2" t="s">
        <v>7862</v>
      </c>
      <c r="X2119" s="2" t="s">
        <v>5405</v>
      </c>
      <c r="Y2119" s="2">
        <v>748</v>
      </c>
      <c r="Z2119" s="19" t="str">
        <f>HYPERLINK("https://ssdweb.co/ssdweb/hd/Vision360.html?d=926091149&amp;zoomslide=1&amp;z=1926091149&amp;ISCONFIRM=0","VIDEO")</f>
        <v>VIDEO</v>
      </c>
      <c r="AA2119" s="19" t="str">
        <f>HYPERLINK("https://ssdweb.co/ssdweb/CERTH/632449453.pdf","CERTI")</f>
        <v>CERTI</v>
      </c>
    </row>
    <row r="2120" spans="1:27" ht="15" x14ac:dyDescent="0.25">
      <c r="A2120" s="2">
        <v>2115</v>
      </c>
      <c r="B2120" s="39">
        <v>926191129</v>
      </c>
      <c r="C2120" s="28" t="str">
        <f>HYPERLINK("https://pld.live/RapDetail.aspx?STONELIST=926191129","DNA")</f>
        <v>DNA</v>
      </c>
      <c r="D2120" s="18" t="s">
        <v>7954</v>
      </c>
      <c r="E2120" s="18" t="s">
        <v>5128</v>
      </c>
      <c r="F2120" s="2" t="s">
        <v>7987</v>
      </c>
      <c r="G2120" s="2" t="s">
        <v>861</v>
      </c>
      <c r="H2120" s="14">
        <v>0.34</v>
      </c>
      <c r="I2120" s="2" t="s">
        <v>267</v>
      </c>
      <c r="J2120" s="2" t="s">
        <v>3942</v>
      </c>
      <c r="K2120" s="2" t="s">
        <v>3390</v>
      </c>
      <c r="L2120" s="2" t="s">
        <v>5221</v>
      </c>
      <c r="M2120" s="2" t="s">
        <v>5721</v>
      </c>
      <c r="N2120" s="2" t="s">
        <v>2317</v>
      </c>
      <c r="O2120" s="14">
        <v>2200</v>
      </c>
      <c r="P2120" s="14">
        <v>94.09</v>
      </c>
      <c r="Q2120" s="14">
        <v>130.02000000000001</v>
      </c>
      <c r="R2120" s="14">
        <v>44.21</v>
      </c>
      <c r="S2120" s="2" t="s">
        <v>707</v>
      </c>
      <c r="T2120" s="2">
        <v>1.02</v>
      </c>
      <c r="U2120" s="2">
        <v>60.8</v>
      </c>
      <c r="V2120" s="2">
        <v>58</v>
      </c>
      <c r="W2120" s="2" t="s">
        <v>7862</v>
      </c>
      <c r="X2120" s="2" t="s">
        <v>5405</v>
      </c>
      <c r="Y2120" s="2">
        <v>748</v>
      </c>
      <c r="Z2120" s="19" t="str">
        <f>HYPERLINK("https://ssdweb.co/ssdweb/hd/Vision360.html?d=926191129&amp;zoomslide=1&amp;z=1926191129&amp;ISCONFIRM=0","VIDEO")</f>
        <v>VIDEO</v>
      </c>
      <c r="AA2120" s="19" t="str">
        <f>HYPERLINK("https://ssdweb.co/ssdweb/CERTH/637467180.pdf","CERTI")</f>
        <v>CERTI</v>
      </c>
    </row>
    <row r="2121" spans="1:27" ht="15" x14ac:dyDescent="0.25">
      <c r="A2121" s="2">
        <v>2116</v>
      </c>
      <c r="B2121" s="39">
        <v>926171300</v>
      </c>
      <c r="C2121" s="28" t="str">
        <f>HYPERLINK("https://pld.live/RapDetail.aspx?STONELIST=926171300","DNA")</f>
        <v>DNA</v>
      </c>
      <c r="D2121" s="18" t="s">
        <v>7954</v>
      </c>
      <c r="E2121" s="18" t="s">
        <v>5128</v>
      </c>
      <c r="F2121" s="2" t="s">
        <v>7987</v>
      </c>
      <c r="G2121" s="2" t="s">
        <v>861</v>
      </c>
      <c r="H2121" s="14">
        <v>0.34</v>
      </c>
      <c r="I2121" s="2" t="s">
        <v>267</v>
      </c>
      <c r="J2121" s="2" t="s">
        <v>3942</v>
      </c>
      <c r="K2121" s="2" t="s">
        <v>3390</v>
      </c>
      <c r="L2121" s="2" t="s">
        <v>5221</v>
      </c>
      <c r="M2121" s="2" t="s">
        <v>5721</v>
      </c>
      <c r="N2121" s="2" t="s">
        <v>2317</v>
      </c>
      <c r="O2121" s="14">
        <v>2200</v>
      </c>
      <c r="P2121" s="14">
        <v>94.09</v>
      </c>
      <c r="Q2121" s="14">
        <v>130.02000000000001</v>
      </c>
      <c r="R2121" s="14">
        <v>44.21</v>
      </c>
      <c r="S2121" s="2" t="s">
        <v>3146</v>
      </c>
      <c r="T2121" s="2">
        <v>1</v>
      </c>
      <c r="U2121" s="2">
        <v>61.9</v>
      </c>
      <c r="V2121" s="2">
        <v>59</v>
      </c>
      <c r="W2121" s="2" t="s">
        <v>7862</v>
      </c>
      <c r="X2121" s="2" t="s">
        <v>5405</v>
      </c>
      <c r="Y2121" s="2">
        <v>748</v>
      </c>
      <c r="Z2121" s="19" t="str">
        <f>HYPERLINK("https://ssdweb.co/ssdweb/hd/Vision360.html?d=926171300&amp;zoomslide=1&amp;z=1926171300&amp;ISCONFIRM=0","VIDEO")</f>
        <v>VIDEO</v>
      </c>
      <c r="AA2121" s="19" t="str">
        <f>HYPERLINK("https://ssdweb.co/ssdweb/CERTH/634431273.pdf","CERTI")</f>
        <v>CERTI</v>
      </c>
    </row>
    <row r="2122" spans="1:27" ht="15" x14ac:dyDescent="0.25">
      <c r="A2122" s="2">
        <v>2117</v>
      </c>
      <c r="B2122" s="39">
        <v>821127951</v>
      </c>
      <c r="C2122" s="28" t="str">
        <f>HYPERLINK("https://pld.live/RapDetail.aspx?STONELIST=821127951","DNA")</f>
        <v>DNA</v>
      </c>
      <c r="D2122" s="18" t="s">
        <v>7954</v>
      </c>
      <c r="E2122" s="18" t="s">
        <v>5128</v>
      </c>
      <c r="F2122" s="2" t="s">
        <v>7987</v>
      </c>
      <c r="G2122" s="2" t="s">
        <v>861</v>
      </c>
      <c r="H2122" s="14">
        <v>0.34</v>
      </c>
      <c r="I2122" s="2" t="s">
        <v>267</v>
      </c>
      <c r="J2122" s="2" t="s">
        <v>3942</v>
      </c>
      <c r="K2122" s="2" t="s">
        <v>3390</v>
      </c>
      <c r="L2122" s="2" t="s">
        <v>5721</v>
      </c>
      <c r="M2122" s="2" t="s">
        <v>5221</v>
      </c>
      <c r="N2122" s="2" t="s">
        <v>2317</v>
      </c>
      <c r="O2122" s="14">
        <v>2200</v>
      </c>
      <c r="P2122" s="14">
        <v>94.09</v>
      </c>
      <c r="Q2122" s="14">
        <v>130.02000000000001</v>
      </c>
      <c r="R2122" s="14">
        <v>44.21</v>
      </c>
      <c r="S2122" s="2" t="s">
        <v>3619</v>
      </c>
      <c r="T2122" s="2">
        <v>1</v>
      </c>
      <c r="U2122" s="2">
        <v>60.3</v>
      </c>
      <c r="V2122" s="2">
        <v>60</v>
      </c>
      <c r="W2122" s="2" t="s">
        <v>7862</v>
      </c>
      <c r="X2122" s="2" t="s">
        <v>5405</v>
      </c>
      <c r="Y2122" s="2">
        <v>748</v>
      </c>
      <c r="Z2122" s="19" t="str">
        <f>HYPERLINK("https://ssdweb.co/ssdweb/hd/Vision360.html?d=821127951&amp;zoomslide=1&amp;z=1821127951&amp;ISCONFIRM=0","VIDEO")</f>
        <v>VIDEO</v>
      </c>
      <c r="AA2122" s="19" t="str">
        <f>HYPERLINK("https://ssdweb.co/ssdweb/CERTH/633431891.pdf","CERTI")</f>
        <v>CERTI</v>
      </c>
    </row>
    <row r="2123" spans="1:27" ht="15" x14ac:dyDescent="0.25">
      <c r="A2123" s="2">
        <v>2118</v>
      </c>
      <c r="B2123" s="39">
        <v>926201186</v>
      </c>
      <c r="C2123" s="28" t="str">
        <f>HYPERLINK("https://pld.live/RapDetail.aspx?STONELIST=926201186","DNA")</f>
        <v>DNA</v>
      </c>
      <c r="D2123" s="18" t="s">
        <v>7954</v>
      </c>
      <c r="E2123" s="18" t="s">
        <v>5128</v>
      </c>
      <c r="F2123" s="2" t="s">
        <v>7987</v>
      </c>
      <c r="G2123" s="2" t="s">
        <v>861</v>
      </c>
      <c r="H2123" s="14">
        <v>0.34</v>
      </c>
      <c r="I2123" s="2" t="s">
        <v>267</v>
      </c>
      <c r="J2123" s="2" t="s">
        <v>3942</v>
      </c>
      <c r="K2123" s="2" t="s">
        <v>3390</v>
      </c>
      <c r="L2123" s="2" t="s">
        <v>5721</v>
      </c>
      <c r="M2123" s="2" t="s">
        <v>5221</v>
      </c>
      <c r="N2123" s="2" t="s">
        <v>2317</v>
      </c>
      <c r="O2123" s="14">
        <v>2200</v>
      </c>
      <c r="P2123" s="14">
        <v>94.09</v>
      </c>
      <c r="Q2123" s="14">
        <v>130.02000000000001</v>
      </c>
      <c r="R2123" s="14">
        <v>44.21</v>
      </c>
      <c r="S2123" s="2" t="s">
        <v>6508</v>
      </c>
      <c r="T2123" s="2">
        <v>1</v>
      </c>
      <c r="U2123" s="2">
        <v>62</v>
      </c>
      <c r="V2123" s="2">
        <v>57</v>
      </c>
      <c r="W2123" s="2" t="s">
        <v>7862</v>
      </c>
      <c r="X2123" s="2" t="s">
        <v>5405</v>
      </c>
      <c r="Y2123" s="2">
        <v>748</v>
      </c>
      <c r="Z2123" s="19" t="str">
        <f>HYPERLINK("https://ssdweb.co/ssdweb/hd/Vision360.html?d=926201186&amp;zoomslide=1&amp;z=1926201186&amp;ISCONFIRM=0","VIDEO")</f>
        <v>VIDEO</v>
      </c>
      <c r="AA2123" s="19" t="str">
        <f>HYPERLINK("https://ssdweb.co/ssdweb/CERTH/638463150.pdf","CERTI")</f>
        <v>CERTI</v>
      </c>
    </row>
    <row r="2124" spans="1:27" ht="15" x14ac:dyDescent="0.25">
      <c r="A2124" s="2">
        <v>2119</v>
      </c>
      <c r="B2124" s="39">
        <v>925650007</v>
      </c>
      <c r="C2124" s="28" t="str">
        <f>HYPERLINK("https://pld.live/RapDetail.aspx?STONELIST=925650007","DNA")</f>
        <v>DNA</v>
      </c>
      <c r="D2124" s="18" t="s">
        <v>7954</v>
      </c>
      <c r="E2124" s="18" t="s">
        <v>2186</v>
      </c>
      <c r="F2124" s="2" t="s">
        <v>7987</v>
      </c>
      <c r="G2124" s="2" t="s">
        <v>861</v>
      </c>
      <c r="H2124" s="14">
        <v>0.34</v>
      </c>
      <c r="I2124" s="2" t="s">
        <v>267</v>
      </c>
      <c r="J2124" s="2" t="s">
        <v>3942</v>
      </c>
      <c r="K2124" s="2" t="s">
        <v>3390</v>
      </c>
      <c r="L2124" s="2" t="s">
        <v>5721</v>
      </c>
      <c r="M2124" s="2" t="s">
        <v>5221</v>
      </c>
      <c r="N2124" s="2" t="s">
        <v>2317</v>
      </c>
      <c r="O2124" s="14">
        <v>2200</v>
      </c>
      <c r="P2124" s="14">
        <v>94.09</v>
      </c>
      <c r="Q2124" s="14">
        <v>130.02000000000001</v>
      </c>
      <c r="R2124" s="14">
        <v>44.21</v>
      </c>
      <c r="S2124" s="2" t="s">
        <v>3889</v>
      </c>
      <c r="T2124" s="2">
        <v>1.01</v>
      </c>
      <c r="U2124" s="2">
        <v>61</v>
      </c>
      <c r="V2124" s="2">
        <v>59</v>
      </c>
      <c r="W2124" s="2" t="s">
        <v>7862</v>
      </c>
      <c r="X2124" s="2" t="s">
        <v>5405</v>
      </c>
      <c r="Y2124" s="2">
        <v>748</v>
      </c>
      <c r="Z2124" s="19" t="str">
        <f>HYPERLINK("https://ssdweb.co/ssdweb/hd/Vision360.html?d=925650007&amp;zoomslide=1&amp;z=1925650007&amp;ISCONFIRM=0","VIDEO")</f>
        <v>VIDEO</v>
      </c>
      <c r="AA2124" s="19" t="str">
        <f>HYPERLINK("https://ssdweb.co/ssdweb/CERTH/621420274.pdf","CERTI")</f>
        <v>CERTI</v>
      </c>
    </row>
    <row r="2125" spans="1:27" ht="15" x14ac:dyDescent="0.25">
      <c r="A2125" s="2">
        <v>2120</v>
      </c>
      <c r="B2125" s="39">
        <v>926231306</v>
      </c>
      <c r="C2125" s="28" t="str">
        <f>HYPERLINK("https://pld.live/RapDetail.aspx?STONELIST=926231306","DNA")</f>
        <v>DNA</v>
      </c>
      <c r="D2125" s="18" t="s">
        <v>7954</v>
      </c>
      <c r="E2125" s="18" t="s">
        <v>5128</v>
      </c>
      <c r="F2125" s="2" t="s">
        <v>7987</v>
      </c>
      <c r="G2125" s="2" t="s">
        <v>861</v>
      </c>
      <c r="H2125" s="14">
        <v>0.34</v>
      </c>
      <c r="I2125" s="2" t="s">
        <v>267</v>
      </c>
      <c r="J2125" s="2" t="s">
        <v>3942</v>
      </c>
      <c r="K2125" s="2" t="s">
        <v>3390</v>
      </c>
      <c r="L2125" s="2" t="s">
        <v>5721</v>
      </c>
      <c r="M2125" s="2" t="s">
        <v>5721</v>
      </c>
      <c r="N2125" s="2" t="s">
        <v>2317</v>
      </c>
      <c r="O2125" s="14">
        <v>2200</v>
      </c>
      <c r="P2125" s="14">
        <v>94.18</v>
      </c>
      <c r="Q2125" s="14">
        <v>128.04</v>
      </c>
      <c r="R2125" s="14">
        <v>43.53</v>
      </c>
      <c r="S2125" s="2" t="s">
        <v>1426</v>
      </c>
      <c r="T2125" s="2">
        <v>1.01</v>
      </c>
      <c r="U2125" s="2">
        <v>62.3</v>
      </c>
      <c r="V2125" s="2">
        <v>58</v>
      </c>
      <c r="W2125" s="2" t="s">
        <v>7862</v>
      </c>
      <c r="X2125" s="2" t="s">
        <v>5405</v>
      </c>
      <c r="Y2125" s="2">
        <v>748</v>
      </c>
      <c r="Z2125" s="19" t="str">
        <f>HYPERLINK("https://ssdweb.co/ssdweb/hd/Vision360.html?d=926231306&amp;zoomslide=1&amp;z=1926231306&amp;ISCONFIRM=0","VIDEO")</f>
        <v>VIDEO</v>
      </c>
      <c r="AA2125" s="19" t="str">
        <f>HYPERLINK("https://ssdweb.co/ssdweb/CERTH/644466841.pdf","CERTI")</f>
        <v>CERTI</v>
      </c>
    </row>
    <row r="2126" spans="1:27" ht="15" x14ac:dyDescent="0.25">
      <c r="A2126" s="2">
        <v>2121</v>
      </c>
      <c r="B2126" s="39">
        <v>926180823</v>
      </c>
      <c r="C2126" s="28" t="str">
        <f>HYPERLINK("https://pld.live/RapDetail.aspx?STONELIST=926180823","DNA")</f>
        <v>DNA</v>
      </c>
      <c r="D2126" s="18" t="s">
        <v>7954</v>
      </c>
      <c r="E2126" s="18" t="s">
        <v>5128</v>
      </c>
      <c r="F2126" s="2" t="s">
        <v>7987</v>
      </c>
      <c r="G2126" s="2" t="s">
        <v>861</v>
      </c>
      <c r="H2126" s="14">
        <v>0.34</v>
      </c>
      <c r="I2126" s="2" t="s">
        <v>267</v>
      </c>
      <c r="J2126" s="2" t="s">
        <v>3942</v>
      </c>
      <c r="K2126" s="2" t="s">
        <v>3390</v>
      </c>
      <c r="L2126" s="2" t="s">
        <v>5721</v>
      </c>
      <c r="M2126" s="2" t="s">
        <v>5721</v>
      </c>
      <c r="N2126" s="2" t="s">
        <v>2317</v>
      </c>
      <c r="O2126" s="14">
        <v>2200</v>
      </c>
      <c r="P2126" s="14">
        <v>94.18</v>
      </c>
      <c r="Q2126" s="14">
        <v>128.04</v>
      </c>
      <c r="R2126" s="14">
        <v>43.53</v>
      </c>
      <c r="S2126" s="2" t="s">
        <v>2398</v>
      </c>
      <c r="T2126" s="2">
        <v>1</v>
      </c>
      <c r="U2126" s="2">
        <v>62.3</v>
      </c>
      <c r="V2126" s="2">
        <v>57</v>
      </c>
      <c r="W2126" s="2" t="s">
        <v>7862</v>
      </c>
      <c r="X2126" s="2" t="s">
        <v>5405</v>
      </c>
      <c r="Y2126" s="2">
        <v>748</v>
      </c>
      <c r="Z2126" s="19" t="str">
        <f>HYPERLINK("https://ssdweb.co/ssdweb/hd/Vision360.html?d=926180823&amp;zoomslide=1&amp;z=1926180823&amp;ISCONFIRM=0","VIDEO")</f>
        <v>VIDEO</v>
      </c>
      <c r="AA2126" s="19" t="str">
        <f>HYPERLINK("https://ssdweb.co/ssdweb/CERTH/634431356.pdf","CERTI")</f>
        <v>CERTI</v>
      </c>
    </row>
    <row r="2127" spans="1:27" ht="15" x14ac:dyDescent="0.25">
      <c r="A2127" s="2">
        <v>2122</v>
      </c>
      <c r="B2127" s="39">
        <v>926171548</v>
      </c>
      <c r="C2127" s="28" t="str">
        <f>HYPERLINK("https://pld.live/RapDetail.aspx?STONELIST=926171548","DNA")</f>
        <v>DNA</v>
      </c>
      <c r="D2127" s="18" t="s">
        <v>7954</v>
      </c>
      <c r="E2127" s="18" t="s">
        <v>5128</v>
      </c>
      <c r="F2127" s="2" t="s">
        <v>7987</v>
      </c>
      <c r="G2127" s="2" t="s">
        <v>861</v>
      </c>
      <c r="H2127" s="14">
        <v>0.34</v>
      </c>
      <c r="I2127" s="2" t="s">
        <v>267</v>
      </c>
      <c r="J2127" s="2" t="s">
        <v>3942</v>
      </c>
      <c r="K2127" s="2" t="s">
        <v>3390</v>
      </c>
      <c r="L2127" s="2" t="s">
        <v>5721</v>
      </c>
      <c r="M2127" s="2" t="s">
        <v>5721</v>
      </c>
      <c r="N2127" s="2" t="s">
        <v>2317</v>
      </c>
      <c r="O2127" s="14">
        <v>2200</v>
      </c>
      <c r="P2127" s="14">
        <v>94.18</v>
      </c>
      <c r="Q2127" s="14">
        <v>128.04</v>
      </c>
      <c r="R2127" s="14">
        <v>43.53</v>
      </c>
      <c r="S2127" s="2" t="s">
        <v>7002</v>
      </c>
      <c r="T2127" s="2">
        <v>1.01</v>
      </c>
      <c r="U2127" s="2">
        <v>60.2</v>
      </c>
      <c r="V2127" s="2">
        <v>59</v>
      </c>
      <c r="W2127" s="2" t="s">
        <v>7862</v>
      </c>
      <c r="X2127" s="2" t="s">
        <v>5405</v>
      </c>
      <c r="Y2127" s="2">
        <v>748</v>
      </c>
      <c r="Z2127" s="19" t="str">
        <f>HYPERLINK("https://ssdweb.co/ssdweb/hd/Vision360.html?d=926171548&amp;zoomslide=1&amp;z=1926171548&amp;ISCONFIRM=0","VIDEO")</f>
        <v>VIDEO</v>
      </c>
      <c r="AA2127" s="19" t="str">
        <f>HYPERLINK("https://ssdweb.co/ssdweb/CERTH/636429762.pdf","CERTI")</f>
        <v>CERTI</v>
      </c>
    </row>
    <row r="2128" spans="1:27" ht="15" x14ac:dyDescent="0.25">
      <c r="A2128" s="2">
        <v>2123</v>
      </c>
      <c r="B2128" s="39">
        <v>925910752</v>
      </c>
      <c r="C2128" s="28" t="str">
        <f>HYPERLINK("https://pld.live/RapDetail.aspx?STONELIST=925910752","DNA")</f>
        <v>DNA</v>
      </c>
      <c r="D2128" s="18" t="s">
        <v>7954</v>
      </c>
      <c r="E2128" s="18" t="s">
        <v>5128</v>
      </c>
      <c r="F2128" s="2" t="s">
        <v>7987</v>
      </c>
      <c r="G2128" s="2" t="s">
        <v>861</v>
      </c>
      <c r="H2128" s="14">
        <v>0.34</v>
      </c>
      <c r="I2128" s="2" t="s">
        <v>267</v>
      </c>
      <c r="J2128" s="2" t="s">
        <v>3942</v>
      </c>
      <c r="K2128" s="2" t="s">
        <v>5221</v>
      </c>
      <c r="L2128" s="2" t="s">
        <v>5221</v>
      </c>
      <c r="M2128" s="2" t="s">
        <v>5721</v>
      </c>
      <c r="N2128" s="2" t="s">
        <v>2317</v>
      </c>
      <c r="O2128" s="14">
        <v>2200</v>
      </c>
      <c r="P2128" s="14">
        <v>94.09</v>
      </c>
      <c r="Q2128" s="14">
        <v>130.02000000000001</v>
      </c>
      <c r="R2128" s="14">
        <v>44.21</v>
      </c>
      <c r="S2128" s="2" t="s">
        <v>7615</v>
      </c>
      <c r="T2128" s="2">
        <v>1.01</v>
      </c>
      <c r="U2128" s="2">
        <v>62.9</v>
      </c>
      <c r="V2128" s="2">
        <v>56</v>
      </c>
      <c r="W2128" s="2" t="s">
        <v>7862</v>
      </c>
      <c r="X2128" s="2" t="s">
        <v>5405</v>
      </c>
      <c r="Y2128" s="2">
        <v>748</v>
      </c>
      <c r="Z2128" s="19" t="str">
        <f>HYPERLINK("https://ssdweb.co/ssdweb/hd/Vision360.html?d=925910752&amp;zoomslide=1&amp;z=1925910752&amp;ISCONFIRM=0","VIDEO")</f>
        <v>VIDEO</v>
      </c>
      <c r="AA2128" s="19" t="str">
        <f>HYPERLINK("https://ssdweb.co/ssdweb/CERTH/628426238.pdf","CERTI")</f>
        <v>CERTI</v>
      </c>
    </row>
    <row r="2129" spans="1:27" ht="15" x14ac:dyDescent="0.25">
      <c r="A2129" s="2">
        <v>2124</v>
      </c>
      <c r="B2129" s="39">
        <v>920661311</v>
      </c>
      <c r="C2129" s="28" t="str">
        <f>HYPERLINK("https://pld.live/RapDetail.aspx?STONELIST=920661311","DNA")</f>
        <v>DNA</v>
      </c>
      <c r="D2129" s="18" t="s">
        <v>7954</v>
      </c>
      <c r="E2129" s="18" t="s">
        <v>5128</v>
      </c>
      <c r="F2129" s="2" t="s">
        <v>7987</v>
      </c>
      <c r="G2129" s="2" t="s">
        <v>861</v>
      </c>
      <c r="H2129" s="14">
        <v>0.34</v>
      </c>
      <c r="I2129" s="2" t="s">
        <v>267</v>
      </c>
      <c r="J2129" s="2" t="s">
        <v>3942</v>
      </c>
      <c r="K2129" s="2" t="s">
        <v>5221</v>
      </c>
      <c r="L2129" s="2" t="s">
        <v>5221</v>
      </c>
      <c r="M2129" s="2" t="s">
        <v>5721</v>
      </c>
      <c r="N2129" s="2" t="s">
        <v>2317</v>
      </c>
      <c r="O2129" s="14">
        <v>2200</v>
      </c>
      <c r="P2129" s="14">
        <v>94.09</v>
      </c>
      <c r="Q2129" s="14">
        <v>130.02000000000001</v>
      </c>
      <c r="R2129" s="14">
        <v>44.21</v>
      </c>
      <c r="S2129" s="2" t="s">
        <v>1657</v>
      </c>
      <c r="T2129" s="2">
        <v>1.01</v>
      </c>
      <c r="U2129" s="2">
        <v>62.9</v>
      </c>
      <c r="V2129" s="2">
        <v>58</v>
      </c>
      <c r="W2129" s="2" t="s">
        <v>7862</v>
      </c>
      <c r="X2129" s="2" t="s">
        <v>5405</v>
      </c>
      <c r="Y2129" s="2">
        <v>748</v>
      </c>
      <c r="Z2129" s="19" t="str">
        <f>HYPERLINK("https://ssdweb.co/ssdweb/hd/Vision360.html?d=920661311&amp;zoomslide=1&amp;z=1920661311&amp;ISCONFIRM=0","VIDEO")</f>
        <v>VIDEO</v>
      </c>
      <c r="AA2129" s="19" t="str">
        <f>HYPERLINK("https://ssdweb.co/ssdweb/CERTH/638462990.pdf","CERTI")</f>
        <v>CERTI</v>
      </c>
    </row>
    <row r="2130" spans="1:27" ht="15" x14ac:dyDescent="0.25">
      <c r="A2130" s="2">
        <v>2125</v>
      </c>
      <c r="B2130" s="39">
        <v>926191196</v>
      </c>
      <c r="C2130" s="28" t="str">
        <f>HYPERLINK("https://pld.live/RapDetail.aspx?STONELIST=926191196","DNA")</f>
        <v>DNA</v>
      </c>
      <c r="D2130" s="18" t="s">
        <v>7954</v>
      </c>
      <c r="E2130" s="18" t="s">
        <v>5128</v>
      </c>
      <c r="F2130" s="2" t="s">
        <v>7987</v>
      </c>
      <c r="G2130" s="2" t="s">
        <v>861</v>
      </c>
      <c r="H2130" s="14">
        <v>0.34</v>
      </c>
      <c r="I2130" s="2" t="s">
        <v>267</v>
      </c>
      <c r="J2130" s="2" t="s">
        <v>3942</v>
      </c>
      <c r="K2130" s="2" t="s">
        <v>5221</v>
      </c>
      <c r="L2130" s="2" t="s">
        <v>5221</v>
      </c>
      <c r="M2130" s="2" t="s">
        <v>5721</v>
      </c>
      <c r="N2130" s="2" t="s">
        <v>2317</v>
      </c>
      <c r="O2130" s="14">
        <v>2200</v>
      </c>
      <c r="P2130" s="14">
        <v>94.09</v>
      </c>
      <c r="Q2130" s="14">
        <v>130.02000000000001</v>
      </c>
      <c r="R2130" s="14">
        <v>44.21</v>
      </c>
      <c r="S2130" s="2" t="s">
        <v>7636</v>
      </c>
      <c r="T2130" s="2">
        <v>1.01</v>
      </c>
      <c r="U2130" s="2">
        <v>60.9</v>
      </c>
      <c r="V2130" s="2">
        <v>61</v>
      </c>
      <c r="W2130" s="2" t="s">
        <v>7862</v>
      </c>
      <c r="X2130" s="2" t="s">
        <v>5405</v>
      </c>
      <c r="Y2130" s="2">
        <v>748</v>
      </c>
      <c r="Z2130" s="19" t="str">
        <f>HYPERLINK("https://ssdweb.co/ssdweb/hd/Vision360.html?d=926191196&amp;zoomslide=1&amp;z=1926191196&amp;ISCONFIRM=0","VIDEO")</f>
        <v>VIDEO</v>
      </c>
      <c r="AA2130" s="19" t="str">
        <f>HYPERLINK("https://ssdweb.co/ssdweb/CERTH/637467352.pdf","CERTI")</f>
        <v>CERTI</v>
      </c>
    </row>
    <row r="2131" spans="1:27" ht="15" x14ac:dyDescent="0.25">
      <c r="A2131" s="2">
        <v>2126</v>
      </c>
      <c r="B2131" s="39">
        <v>926191076</v>
      </c>
      <c r="C2131" s="28" t="str">
        <f>HYPERLINK("https://pld.live/RapDetail.aspx?STONELIST=926191076","DNA")</f>
        <v>DNA</v>
      </c>
      <c r="D2131" s="18" t="s">
        <v>7954</v>
      </c>
      <c r="E2131" s="18" t="s">
        <v>5128</v>
      </c>
      <c r="F2131" s="2" t="s">
        <v>7987</v>
      </c>
      <c r="G2131" s="2" t="s">
        <v>861</v>
      </c>
      <c r="H2131" s="14">
        <v>0.34</v>
      </c>
      <c r="I2131" s="2" t="s">
        <v>267</v>
      </c>
      <c r="J2131" s="2" t="s">
        <v>3942</v>
      </c>
      <c r="K2131" s="2" t="s">
        <v>5221</v>
      </c>
      <c r="L2131" s="2" t="s">
        <v>5221</v>
      </c>
      <c r="M2131" s="2" t="s">
        <v>5721</v>
      </c>
      <c r="N2131" s="2" t="s">
        <v>2317</v>
      </c>
      <c r="O2131" s="14">
        <v>2200</v>
      </c>
      <c r="P2131" s="14">
        <v>94.09</v>
      </c>
      <c r="Q2131" s="14">
        <v>130.02000000000001</v>
      </c>
      <c r="R2131" s="14">
        <v>44.21</v>
      </c>
      <c r="S2131" s="2" t="s">
        <v>2715</v>
      </c>
      <c r="T2131" s="2">
        <v>1.01</v>
      </c>
      <c r="U2131" s="2">
        <v>62.6</v>
      </c>
      <c r="V2131" s="2">
        <v>60</v>
      </c>
      <c r="W2131" s="2" t="s">
        <v>7862</v>
      </c>
      <c r="X2131" s="2" t="s">
        <v>5405</v>
      </c>
      <c r="Y2131" s="2">
        <v>748</v>
      </c>
      <c r="Z2131" s="19" t="str">
        <f>HYPERLINK("https://ssdweb.co/ssdweb/hd/Vision360.html?d=926191076&amp;zoomslide=1&amp;z=1926191076&amp;ISCONFIRM=0","VIDEO")</f>
        <v>VIDEO</v>
      </c>
      <c r="AA2131" s="19" t="str">
        <f>HYPERLINK("https://ssdweb.co/ssdweb/CERTH/637467308.pdf","CERTI")</f>
        <v>CERTI</v>
      </c>
    </row>
    <row r="2132" spans="1:27" ht="15" x14ac:dyDescent="0.25">
      <c r="A2132" s="2">
        <v>2127</v>
      </c>
      <c r="B2132" s="39">
        <v>821127848</v>
      </c>
      <c r="C2132" s="28" t="str">
        <f>HYPERLINK("https://pld.live/RapDetail.aspx?STONELIST=821127848","DNA")</f>
        <v>DNA</v>
      </c>
      <c r="D2132" s="18" t="s">
        <v>7954</v>
      </c>
      <c r="E2132" s="18" t="s">
        <v>5128</v>
      </c>
      <c r="F2132" s="2" t="s">
        <v>7987</v>
      </c>
      <c r="G2132" s="2" t="s">
        <v>861</v>
      </c>
      <c r="H2132" s="14">
        <v>0.34</v>
      </c>
      <c r="I2132" s="2" t="s">
        <v>267</v>
      </c>
      <c r="J2132" s="2" t="s">
        <v>3942</v>
      </c>
      <c r="K2132" s="2" t="s">
        <v>5221</v>
      </c>
      <c r="L2132" s="2" t="s">
        <v>5721</v>
      </c>
      <c r="M2132" s="2" t="s">
        <v>5221</v>
      </c>
      <c r="N2132" s="2" t="s">
        <v>2317</v>
      </c>
      <c r="O2132" s="14">
        <v>2200</v>
      </c>
      <c r="P2132" s="14">
        <v>94.09</v>
      </c>
      <c r="Q2132" s="14">
        <v>130.02000000000001</v>
      </c>
      <c r="R2132" s="14">
        <v>44.21</v>
      </c>
      <c r="S2132" s="2" t="s">
        <v>5000</v>
      </c>
      <c r="T2132" s="2">
        <v>1</v>
      </c>
      <c r="U2132" s="2">
        <v>60.2</v>
      </c>
      <c r="V2132" s="2">
        <v>61</v>
      </c>
      <c r="W2132" s="2" t="s">
        <v>7862</v>
      </c>
      <c r="X2132" s="2" t="s">
        <v>5405</v>
      </c>
      <c r="Y2132" s="2">
        <v>748</v>
      </c>
      <c r="Z2132" s="19" t="str">
        <f>HYPERLINK("https://ssdweb.co/ssdweb/hd/Vision360.html?d=821127848&amp;zoomslide=1&amp;z=1821127848&amp;ISCONFIRM=0","VIDEO")</f>
        <v>VIDEO</v>
      </c>
      <c r="AA2132" s="19" t="str">
        <f>HYPERLINK("https://ssdweb.co/ssdweb/CERTH/633499564.pdf","CERTI")</f>
        <v>CERTI</v>
      </c>
    </row>
    <row r="2133" spans="1:27" ht="15" x14ac:dyDescent="0.25">
      <c r="A2133" s="2">
        <v>2128</v>
      </c>
      <c r="B2133" s="39">
        <v>920480409</v>
      </c>
      <c r="C2133" s="28" t="str">
        <f>HYPERLINK("https://pld.live/RapDetail.aspx?STONELIST=920480409","DNA")</f>
        <v>DNA</v>
      </c>
      <c r="D2133" s="18" t="s">
        <v>7954</v>
      </c>
      <c r="E2133" s="18" t="s">
        <v>5128</v>
      </c>
      <c r="F2133" s="2" t="s">
        <v>5597</v>
      </c>
      <c r="G2133" s="2" t="s">
        <v>861</v>
      </c>
      <c r="H2133" s="14">
        <v>0.34</v>
      </c>
      <c r="I2133" s="2" t="s">
        <v>267</v>
      </c>
      <c r="J2133" s="2" t="s">
        <v>3942</v>
      </c>
      <c r="K2133" s="2" t="s">
        <v>5721</v>
      </c>
      <c r="L2133" s="2" t="s">
        <v>5221</v>
      </c>
      <c r="M2133" s="2" t="s">
        <v>5221</v>
      </c>
      <c r="N2133" s="2" t="s">
        <v>2317</v>
      </c>
      <c r="O2133" s="14">
        <v>2200</v>
      </c>
      <c r="P2133" s="14">
        <v>86.5</v>
      </c>
      <c r="Q2133" s="14">
        <v>297</v>
      </c>
      <c r="R2133" s="14">
        <v>100.98</v>
      </c>
      <c r="S2133" s="2" t="s">
        <v>7615</v>
      </c>
      <c r="T2133" s="2">
        <v>1.01</v>
      </c>
      <c r="U2133" s="2">
        <v>63.1</v>
      </c>
      <c r="V2133" s="2">
        <v>56</v>
      </c>
      <c r="W2133" s="2" t="s">
        <v>7862</v>
      </c>
      <c r="X2133" s="2" t="s">
        <v>5405</v>
      </c>
      <c r="Y2133" s="2">
        <v>748</v>
      </c>
      <c r="Z2133" s="19" t="str">
        <f>HYPERLINK("https://ssdweb.co/ssdweb/hd/Vision360.html?d=920480409&amp;zoomslide=1&amp;z=1920480409&amp;ISCONFIRM=0","VIDEO")</f>
        <v>VIDEO</v>
      </c>
      <c r="AA2133" s="19" t="str">
        <f>HYPERLINK("https://ssdweb.co/ssdweb/CERTH/6482994269.pdf","CERTI")</f>
        <v>CERTI</v>
      </c>
    </row>
    <row r="2134" spans="1:27" ht="15" x14ac:dyDescent="0.25">
      <c r="A2134" s="2">
        <v>2129</v>
      </c>
      <c r="B2134" s="39">
        <v>926320962</v>
      </c>
      <c r="C2134" s="28" t="str">
        <f>HYPERLINK("https://pld.live/RapDetail.aspx?STONELIST=926320962","DNA")</f>
        <v>DNA</v>
      </c>
      <c r="D2134" s="18" t="s">
        <v>7954</v>
      </c>
      <c r="E2134" s="18" t="s">
        <v>5128</v>
      </c>
      <c r="F2134" s="2" t="s">
        <v>5597</v>
      </c>
      <c r="G2134" s="2" t="s">
        <v>861</v>
      </c>
      <c r="H2134" s="14">
        <v>0.34</v>
      </c>
      <c r="I2134" s="2" t="s">
        <v>267</v>
      </c>
      <c r="J2134" s="2" t="s">
        <v>3942</v>
      </c>
      <c r="K2134" s="2" t="s">
        <v>5721</v>
      </c>
      <c r="L2134" s="2" t="s">
        <v>5221</v>
      </c>
      <c r="M2134" s="2" t="s">
        <v>5221</v>
      </c>
      <c r="N2134" s="2" t="s">
        <v>2317</v>
      </c>
      <c r="O2134" s="14">
        <v>2200</v>
      </c>
      <c r="P2134" s="14">
        <v>86.45</v>
      </c>
      <c r="Q2134" s="14">
        <v>298.10000000000002</v>
      </c>
      <c r="R2134" s="14">
        <v>101.35</v>
      </c>
      <c r="S2134" s="2" t="s">
        <v>2131</v>
      </c>
      <c r="T2134" s="2">
        <v>1.01</v>
      </c>
      <c r="U2134" s="2">
        <v>62.3</v>
      </c>
      <c r="V2134" s="2">
        <v>56</v>
      </c>
      <c r="W2134" s="2" t="s">
        <v>7862</v>
      </c>
      <c r="X2134" s="2" t="s">
        <v>5405</v>
      </c>
      <c r="Y2134" s="2">
        <v>748</v>
      </c>
      <c r="Z2134" s="19" t="str">
        <f>HYPERLINK("https://ssdweb.co/ssdweb/hd/Vision360.html?d=926320962&amp;zoomslide=1&amp;z=1926320962&amp;ISCONFIRM=0","VIDEO")</f>
        <v>VIDEO</v>
      </c>
      <c r="AA2134" s="19" t="str">
        <f>HYPERLINK("https://ssdweb.co/ssdweb/CERTH/5493866969.pdf","CERTI")</f>
        <v>CERTI</v>
      </c>
    </row>
    <row r="2135" spans="1:27" ht="15" x14ac:dyDescent="0.25">
      <c r="A2135" s="2">
        <v>2130</v>
      </c>
      <c r="B2135" s="39">
        <v>926211250</v>
      </c>
      <c r="C2135" s="28" t="str">
        <f>HYPERLINK("https://pld.live/RapDetail.aspx?STONELIST=926211250","DNA")</f>
        <v>DNA</v>
      </c>
      <c r="D2135" s="18" t="s">
        <v>7954</v>
      </c>
      <c r="E2135" s="18" t="s">
        <v>5128</v>
      </c>
      <c r="F2135" s="2" t="s">
        <v>7987</v>
      </c>
      <c r="G2135" s="2" t="s">
        <v>861</v>
      </c>
      <c r="H2135" s="14">
        <v>0.34</v>
      </c>
      <c r="I2135" s="2" t="s">
        <v>267</v>
      </c>
      <c r="J2135" s="2" t="s">
        <v>13</v>
      </c>
      <c r="K2135" s="2" t="s">
        <v>3390</v>
      </c>
      <c r="L2135" s="2" t="s">
        <v>5221</v>
      </c>
      <c r="M2135" s="2" t="s">
        <v>5721</v>
      </c>
      <c r="N2135" s="2" t="s">
        <v>2317</v>
      </c>
      <c r="O2135" s="14">
        <v>2000</v>
      </c>
      <c r="P2135" s="14">
        <v>93.9</v>
      </c>
      <c r="Q2135" s="14">
        <v>122</v>
      </c>
      <c r="R2135" s="14">
        <v>41.48</v>
      </c>
      <c r="S2135" s="2" t="s">
        <v>1426</v>
      </c>
      <c r="T2135" s="2">
        <v>1.01</v>
      </c>
      <c r="U2135" s="2">
        <v>62.4</v>
      </c>
      <c r="V2135" s="2">
        <v>58</v>
      </c>
      <c r="W2135" s="2" t="s">
        <v>7862</v>
      </c>
      <c r="X2135" s="2" t="s">
        <v>5405</v>
      </c>
      <c r="Y2135" s="2">
        <v>680</v>
      </c>
      <c r="Z2135" s="19" t="str">
        <f>HYPERLINK("https://ssdweb.co/ssdweb/hd/Vision360.html?d=926211250&amp;zoomslide=1&amp;z=1926211250&amp;ISCONFIRM=0","VIDEO")</f>
        <v>VIDEO</v>
      </c>
      <c r="AA2135" s="19" t="str">
        <f>HYPERLINK("https://ssdweb.co/ssdweb/CERTH/639413127.pdf","CERTI")</f>
        <v>CERTI</v>
      </c>
    </row>
    <row r="2136" spans="1:27" ht="15" x14ac:dyDescent="0.25">
      <c r="A2136" s="2">
        <v>2131</v>
      </c>
      <c r="B2136" s="39">
        <v>926201199</v>
      </c>
      <c r="C2136" s="28" t="str">
        <f>HYPERLINK("https://pld.live/RapDetail.aspx?STONELIST=926201199","DNA")</f>
        <v>DNA</v>
      </c>
      <c r="D2136" s="18" t="s">
        <v>7954</v>
      </c>
      <c r="E2136" s="18" t="s">
        <v>5128</v>
      </c>
      <c r="F2136" s="2" t="s">
        <v>7987</v>
      </c>
      <c r="G2136" s="2" t="s">
        <v>861</v>
      </c>
      <c r="H2136" s="14">
        <v>0.34</v>
      </c>
      <c r="I2136" s="2" t="s">
        <v>267</v>
      </c>
      <c r="J2136" s="2" t="s">
        <v>13</v>
      </c>
      <c r="K2136" s="2" t="s">
        <v>3390</v>
      </c>
      <c r="L2136" s="2" t="s">
        <v>5221</v>
      </c>
      <c r="M2136" s="2" t="s">
        <v>5721</v>
      </c>
      <c r="N2136" s="2" t="s">
        <v>2317</v>
      </c>
      <c r="O2136" s="14">
        <v>2000</v>
      </c>
      <c r="P2136" s="14">
        <v>93.9</v>
      </c>
      <c r="Q2136" s="14">
        <v>122</v>
      </c>
      <c r="R2136" s="14">
        <v>41.48</v>
      </c>
      <c r="S2136" s="2" t="s">
        <v>7743</v>
      </c>
      <c r="T2136" s="2">
        <v>1</v>
      </c>
      <c r="U2136" s="2">
        <v>61.7</v>
      </c>
      <c r="V2136" s="2">
        <v>60</v>
      </c>
      <c r="W2136" s="2" t="s">
        <v>7862</v>
      </c>
      <c r="X2136" s="2" t="s">
        <v>5405</v>
      </c>
      <c r="Y2136" s="2">
        <v>680</v>
      </c>
      <c r="Z2136" s="19" t="str">
        <f>HYPERLINK("https://ssdweb.co/ssdweb/hd/Vision360.html?d=926201199&amp;zoomslide=1&amp;z=1926201199&amp;ISCONFIRM=0","VIDEO")</f>
        <v>VIDEO</v>
      </c>
      <c r="AA2136" s="19" t="str">
        <f>HYPERLINK("https://ssdweb.co/ssdweb/CERTH/639405990.pdf","CERTI")</f>
        <v>CERTI</v>
      </c>
    </row>
    <row r="2137" spans="1:27" ht="15" x14ac:dyDescent="0.25">
      <c r="A2137" s="2">
        <v>2132</v>
      </c>
      <c r="B2137" s="39">
        <v>925610109</v>
      </c>
      <c r="C2137" s="28" t="str">
        <f>HYPERLINK("https://pld.live/RapDetail.aspx?STONELIST=925610109","DNA")</f>
        <v>DNA</v>
      </c>
      <c r="D2137" s="18" t="s">
        <v>7954</v>
      </c>
      <c r="E2137" s="18" t="s">
        <v>2186</v>
      </c>
      <c r="F2137" s="2" t="s">
        <v>7987</v>
      </c>
      <c r="G2137" s="2" t="s">
        <v>861</v>
      </c>
      <c r="H2137" s="14">
        <v>0.34</v>
      </c>
      <c r="I2137" s="2" t="s">
        <v>267</v>
      </c>
      <c r="J2137" s="2" t="s">
        <v>13</v>
      </c>
      <c r="K2137" s="2" t="s">
        <v>3390</v>
      </c>
      <c r="L2137" s="2" t="s">
        <v>5221</v>
      </c>
      <c r="M2137" s="2" t="s">
        <v>5721</v>
      </c>
      <c r="N2137" s="2" t="s">
        <v>2317</v>
      </c>
      <c r="O2137" s="14">
        <v>2000</v>
      </c>
      <c r="P2137" s="14">
        <v>93.9</v>
      </c>
      <c r="Q2137" s="14">
        <v>122</v>
      </c>
      <c r="R2137" s="14">
        <v>41.48</v>
      </c>
      <c r="S2137" s="2" t="s">
        <v>4497</v>
      </c>
      <c r="T2137" s="2">
        <v>1.01</v>
      </c>
      <c r="U2137" s="2">
        <v>60.3</v>
      </c>
      <c r="V2137" s="2">
        <v>60</v>
      </c>
      <c r="W2137" s="2" t="s">
        <v>7862</v>
      </c>
      <c r="X2137" s="2" t="s">
        <v>5405</v>
      </c>
      <c r="Y2137" s="2">
        <v>680</v>
      </c>
      <c r="Z2137" s="19" t="str">
        <f>HYPERLINK("https://ssdweb.co/ssdweb/hd/Vision360.html?d=925610109&amp;zoomslide=1&amp;z=1925610109&amp;ISCONFIRM=0","VIDEO")</f>
        <v>VIDEO</v>
      </c>
      <c r="AA2137" s="19" t="str">
        <f>HYPERLINK("https://ssdweb.co/ssdweb/CERTH/621475677.pdf","CERTI")</f>
        <v>CERTI</v>
      </c>
    </row>
    <row r="2138" spans="1:27" ht="15" x14ac:dyDescent="0.25">
      <c r="A2138" s="2">
        <v>2133</v>
      </c>
      <c r="B2138" s="39">
        <v>926191181</v>
      </c>
      <c r="C2138" s="28" t="str">
        <f>HYPERLINK("https://pld.live/RapDetail.aspx?STONELIST=926191181","DNA")</f>
        <v>DNA</v>
      </c>
      <c r="D2138" s="18" t="s">
        <v>7954</v>
      </c>
      <c r="E2138" s="18" t="s">
        <v>5128</v>
      </c>
      <c r="F2138" s="2" t="s">
        <v>7987</v>
      </c>
      <c r="G2138" s="2" t="s">
        <v>861</v>
      </c>
      <c r="H2138" s="14">
        <v>0.34</v>
      </c>
      <c r="I2138" s="2" t="s">
        <v>267</v>
      </c>
      <c r="J2138" s="2" t="s">
        <v>13</v>
      </c>
      <c r="K2138" s="2" t="s">
        <v>3390</v>
      </c>
      <c r="L2138" s="2" t="s">
        <v>5221</v>
      </c>
      <c r="M2138" s="2" t="s">
        <v>5721</v>
      </c>
      <c r="N2138" s="2" t="s">
        <v>2317</v>
      </c>
      <c r="O2138" s="14">
        <v>2000</v>
      </c>
      <c r="P2138" s="14">
        <v>93.9</v>
      </c>
      <c r="Q2138" s="14">
        <v>122</v>
      </c>
      <c r="R2138" s="14">
        <v>41.48</v>
      </c>
      <c r="S2138" s="2" t="s">
        <v>4632</v>
      </c>
      <c r="T2138" s="2">
        <v>1.01</v>
      </c>
      <c r="U2138" s="2">
        <v>62.1</v>
      </c>
      <c r="V2138" s="2">
        <v>58</v>
      </c>
      <c r="W2138" s="2" t="s">
        <v>7862</v>
      </c>
      <c r="X2138" s="2" t="s">
        <v>5405</v>
      </c>
      <c r="Y2138" s="2">
        <v>680</v>
      </c>
      <c r="Z2138" s="19" t="str">
        <f>HYPERLINK("https://ssdweb.co/ssdweb/hd/Vision360.html?d=926191181&amp;zoomslide=1&amp;z=1926191181&amp;ISCONFIRM=0","VIDEO")</f>
        <v>VIDEO</v>
      </c>
      <c r="AA2138" s="19" t="str">
        <f>HYPERLINK("https://ssdweb.co/ssdweb/CERTH/637467345.pdf","CERTI")</f>
        <v>CERTI</v>
      </c>
    </row>
    <row r="2139" spans="1:27" ht="15" x14ac:dyDescent="0.25">
      <c r="A2139" s="2">
        <v>2134</v>
      </c>
      <c r="B2139" s="39">
        <v>926180984</v>
      </c>
      <c r="C2139" s="28" t="str">
        <f>HYPERLINK("https://pld.live/RapDetail.aspx?STONELIST=926180984","DNA")</f>
        <v>DNA</v>
      </c>
      <c r="D2139" s="18" t="s">
        <v>7954</v>
      </c>
      <c r="E2139" s="18" t="s">
        <v>5128</v>
      </c>
      <c r="F2139" s="2" t="s">
        <v>7987</v>
      </c>
      <c r="G2139" s="2" t="s">
        <v>861</v>
      </c>
      <c r="H2139" s="14">
        <v>0.34</v>
      </c>
      <c r="I2139" s="2" t="s">
        <v>267</v>
      </c>
      <c r="J2139" s="2" t="s">
        <v>13</v>
      </c>
      <c r="K2139" s="2" t="s">
        <v>3390</v>
      </c>
      <c r="L2139" s="2" t="s">
        <v>5721</v>
      </c>
      <c r="M2139" s="2" t="s">
        <v>5221</v>
      </c>
      <c r="N2139" s="2" t="s">
        <v>2317</v>
      </c>
      <c r="O2139" s="14">
        <v>2000</v>
      </c>
      <c r="P2139" s="14">
        <v>93.9</v>
      </c>
      <c r="Q2139" s="14">
        <v>122</v>
      </c>
      <c r="R2139" s="14">
        <v>41.48</v>
      </c>
      <c r="S2139" s="2" t="s">
        <v>7868</v>
      </c>
      <c r="T2139" s="2">
        <v>1.01</v>
      </c>
      <c r="U2139" s="2">
        <v>60.4</v>
      </c>
      <c r="V2139" s="2">
        <v>59</v>
      </c>
      <c r="W2139" s="2" t="s">
        <v>7862</v>
      </c>
      <c r="X2139" s="2" t="s">
        <v>5405</v>
      </c>
      <c r="Y2139" s="2">
        <v>680</v>
      </c>
      <c r="Z2139" s="19" t="str">
        <f>HYPERLINK("https://ssdweb.co/ssdweb/hd/Vision360.html?d=926180984&amp;zoomslide=1&amp;z=1926180984&amp;ISCONFIRM=0","VIDEO")</f>
        <v>VIDEO</v>
      </c>
      <c r="AA2139" s="19" t="str">
        <f>HYPERLINK("https://ssdweb.co/ssdweb/CERTH/635423791.pdf","CERTI")</f>
        <v>CERTI</v>
      </c>
    </row>
    <row r="2140" spans="1:27" ht="15" x14ac:dyDescent="0.25">
      <c r="A2140" s="2">
        <v>2135</v>
      </c>
      <c r="B2140" s="39">
        <v>821127921</v>
      </c>
      <c r="C2140" s="28" t="str">
        <f>HYPERLINK("https://pld.live/RapDetail.aspx?STONELIST=821127921","DNA")</f>
        <v>DNA</v>
      </c>
      <c r="D2140" s="18" t="s">
        <v>7954</v>
      </c>
      <c r="E2140" s="18" t="s">
        <v>5128</v>
      </c>
      <c r="F2140" s="2" t="s">
        <v>7987</v>
      </c>
      <c r="G2140" s="2" t="s">
        <v>861</v>
      </c>
      <c r="H2140" s="14">
        <v>0.34</v>
      </c>
      <c r="I2140" s="2" t="s">
        <v>267</v>
      </c>
      <c r="J2140" s="2" t="s">
        <v>13</v>
      </c>
      <c r="K2140" s="2" t="s">
        <v>3390</v>
      </c>
      <c r="L2140" s="2" t="s">
        <v>5721</v>
      </c>
      <c r="M2140" s="2" t="s">
        <v>5721</v>
      </c>
      <c r="N2140" s="2" t="s">
        <v>2317</v>
      </c>
      <c r="O2140" s="14">
        <v>2000</v>
      </c>
      <c r="P2140" s="14">
        <v>94</v>
      </c>
      <c r="Q2140" s="14">
        <v>120</v>
      </c>
      <c r="R2140" s="14">
        <v>40.799999999999997</v>
      </c>
      <c r="S2140" s="2" t="s">
        <v>7270</v>
      </c>
      <c r="T2140" s="2">
        <v>1</v>
      </c>
      <c r="U2140" s="2">
        <v>60</v>
      </c>
      <c r="V2140" s="2">
        <v>60</v>
      </c>
      <c r="W2140" s="2" t="s">
        <v>7862</v>
      </c>
      <c r="X2140" s="2" t="s">
        <v>5405</v>
      </c>
      <c r="Y2140" s="2">
        <v>680</v>
      </c>
      <c r="Z2140" s="19" t="str">
        <f>HYPERLINK("https://ssdweb.co/ssdweb/hd/Vision360.html?d=821127921&amp;zoomslide=1&amp;z=1821127921&amp;ISCONFIRM=0","VIDEO")</f>
        <v>VIDEO</v>
      </c>
      <c r="AA2140" s="19" t="str">
        <f>HYPERLINK("https://ssdweb.co/ssdweb/CERTH/634417078.pdf","CERTI")</f>
        <v>CERTI</v>
      </c>
    </row>
    <row r="2141" spans="1:27" ht="15" x14ac:dyDescent="0.25">
      <c r="A2141" s="2">
        <v>2136</v>
      </c>
      <c r="B2141" s="39">
        <v>821127970</v>
      </c>
      <c r="C2141" s="28" t="str">
        <f>HYPERLINK("https://pld.live/RapDetail.aspx?STONELIST=821127970","DNA")</f>
        <v>DNA</v>
      </c>
      <c r="D2141" s="18" t="s">
        <v>7954</v>
      </c>
      <c r="E2141" s="18" t="s">
        <v>5128</v>
      </c>
      <c r="F2141" s="2" t="s">
        <v>7987</v>
      </c>
      <c r="G2141" s="2" t="s">
        <v>861</v>
      </c>
      <c r="H2141" s="14">
        <v>0.34</v>
      </c>
      <c r="I2141" s="2" t="s">
        <v>267</v>
      </c>
      <c r="J2141" s="2" t="s">
        <v>13</v>
      </c>
      <c r="K2141" s="2" t="s">
        <v>3390</v>
      </c>
      <c r="L2141" s="2" t="s">
        <v>5721</v>
      </c>
      <c r="M2141" s="2" t="s">
        <v>5721</v>
      </c>
      <c r="N2141" s="2" t="s">
        <v>2317</v>
      </c>
      <c r="O2141" s="14">
        <v>2000</v>
      </c>
      <c r="P2141" s="14">
        <v>94</v>
      </c>
      <c r="Q2141" s="14">
        <v>120</v>
      </c>
      <c r="R2141" s="14">
        <v>40.799999999999997</v>
      </c>
      <c r="S2141" s="2" t="s">
        <v>4344</v>
      </c>
      <c r="T2141" s="2">
        <v>1</v>
      </c>
      <c r="U2141" s="2">
        <v>61.2</v>
      </c>
      <c r="V2141" s="2">
        <v>59</v>
      </c>
      <c r="W2141" s="2" t="s">
        <v>7862</v>
      </c>
      <c r="X2141" s="2" t="s">
        <v>5405</v>
      </c>
      <c r="Y2141" s="2">
        <v>680</v>
      </c>
      <c r="Z2141" s="19" t="str">
        <f>HYPERLINK("https://ssdweb.co/ssdweb/hd/Vision360.html?d=821127970&amp;zoomslide=1&amp;z=1821127970&amp;ISCONFIRM=0","VIDEO")</f>
        <v>VIDEO</v>
      </c>
      <c r="AA2141" s="19" t="str">
        <f>HYPERLINK("https://ssdweb.co/ssdweb/CERTH/634431228.pdf","CERTI")</f>
        <v>CERTI</v>
      </c>
    </row>
    <row r="2142" spans="1:27" ht="15" x14ac:dyDescent="0.25">
      <c r="A2142" s="2">
        <v>2137</v>
      </c>
      <c r="B2142" s="39">
        <v>926181057</v>
      </c>
      <c r="C2142" s="28" t="str">
        <f>HYPERLINK("https://pld.live/RapDetail.aspx?STONELIST=926181057","DNA")</f>
        <v>DNA</v>
      </c>
      <c r="D2142" s="18" t="s">
        <v>7954</v>
      </c>
      <c r="E2142" s="18" t="s">
        <v>5128</v>
      </c>
      <c r="F2142" s="2" t="s">
        <v>7987</v>
      </c>
      <c r="G2142" s="2" t="s">
        <v>861</v>
      </c>
      <c r="H2142" s="14">
        <v>0.34</v>
      </c>
      <c r="I2142" s="2" t="s">
        <v>267</v>
      </c>
      <c r="J2142" s="2" t="s">
        <v>13</v>
      </c>
      <c r="K2142" s="2" t="s">
        <v>3390</v>
      </c>
      <c r="L2142" s="2" t="s">
        <v>5721</v>
      </c>
      <c r="M2142" s="2" t="s">
        <v>5721</v>
      </c>
      <c r="N2142" s="2" t="s">
        <v>2317</v>
      </c>
      <c r="O2142" s="14">
        <v>2000</v>
      </c>
      <c r="P2142" s="14">
        <v>94</v>
      </c>
      <c r="Q2142" s="14">
        <v>120</v>
      </c>
      <c r="R2142" s="14">
        <v>40.799999999999997</v>
      </c>
      <c r="S2142" s="2" t="s">
        <v>4463</v>
      </c>
      <c r="T2142" s="2">
        <v>1.01</v>
      </c>
      <c r="U2142" s="2">
        <v>62.3</v>
      </c>
      <c r="V2142" s="2">
        <v>56</v>
      </c>
      <c r="W2142" s="2" t="s">
        <v>7862</v>
      </c>
      <c r="X2142" s="2" t="s">
        <v>5405</v>
      </c>
      <c r="Y2142" s="2">
        <v>680</v>
      </c>
      <c r="Z2142" s="19" t="str">
        <f>HYPERLINK("https://ssdweb.co/ssdweb/hd/Vision360.html?d=926181057&amp;zoomslide=1&amp;z=1926181057&amp;ISCONFIRM=0","VIDEO")</f>
        <v>VIDEO</v>
      </c>
      <c r="AA2142" s="19" t="str">
        <f>HYPERLINK("https://ssdweb.co/ssdweb/CERTH/636430025.pdf","CERTI")</f>
        <v>CERTI</v>
      </c>
    </row>
    <row r="2143" spans="1:27" ht="15" x14ac:dyDescent="0.25">
      <c r="A2143" s="2">
        <v>2138</v>
      </c>
      <c r="B2143" s="39">
        <v>925780747</v>
      </c>
      <c r="C2143" s="28" t="str">
        <f>HYPERLINK("https://pld.live/RapDetail.aspx?STONELIST=925780747","DNA")</f>
        <v>DNA</v>
      </c>
      <c r="D2143" s="18" t="s">
        <v>7954</v>
      </c>
      <c r="E2143" s="18" t="s">
        <v>5128</v>
      </c>
      <c r="F2143" s="2" t="s">
        <v>5597</v>
      </c>
      <c r="G2143" s="2" t="s">
        <v>861</v>
      </c>
      <c r="H2143" s="14">
        <v>0.34</v>
      </c>
      <c r="I2143" s="2" t="s">
        <v>267</v>
      </c>
      <c r="J2143" s="2" t="s">
        <v>13</v>
      </c>
      <c r="K2143" s="2" t="s">
        <v>5221</v>
      </c>
      <c r="L2143" s="2" t="s">
        <v>5221</v>
      </c>
      <c r="M2143" s="2" t="s">
        <v>5721</v>
      </c>
      <c r="N2143" s="2" t="s">
        <v>2317</v>
      </c>
      <c r="O2143" s="14">
        <v>2000</v>
      </c>
      <c r="P2143" s="14">
        <v>85.9</v>
      </c>
      <c r="Q2143" s="14">
        <v>282</v>
      </c>
      <c r="R2143" s="14">
        <v>95.88</v>
      </c>
      <c r="S2143" s="2" t="s">
        <v>1506</v>
      </c>
      <c r="T2143" s="2">
        <v>1.01</v>
      </c>
      <c r="U2143" s="2">
        <v>61.5</v>
      </c>
      <c r="V2143" s="2">
        <v>57</v>
      </c>
      <c r="W2143" s="2" t="s">
        <v>7862</v>
      </c>
      <c r="X2143" s="2" t="s">
        <v>5405</v>
      </c>
      <c r="Y2143" s="2">
        <v>680</v>
      </c>
      <c r="Z2143" s="19" t="str">
        <f>HYPERLINK("https://ssdweb.co/ssdweb/hd/Vision360.html?d=925780747&amp;zoomslide=1&amp;z=1925780747&amp;ISCONFIRM=0","VIDEO")</f>
        <v>VIDEO</v>
      </c>
      <c r="AA2143" s="19" t="str">
        <f>HYPERLINK("https://ssdweb.co/ssdweb/CERTH/6482807851.pdf","CERTI")</f>
        <v>CERTI</v>
      </c>
    </row>
    <row r="2144" spans="1:27" ht="15" x14ac:dyDescent="0.25">
      <c r="A2144" s="2">
        <v>2139</v>
      </c>
      <c r="B2144" s="39">
        <v>926321026</v>
      </c>
      <c r="C2144" s="28" t="str">
        <f>HYPERLINK("https://pld.live/RapDetail.aspx?STONELIST=926321026","DNA")</f>
        <v>DNA</v>
      </c>
      <c r="D2144" s="18" t="s">
        <v>7954</v>
      </c>
      <c r="E2144" s="18" t="s">
        <v>5128</v>
      </c>
      <c r="F2144" s="2" t="s">
        <v>5597</v>
      </c>
      <c r="G2144" s="2" t="s">
        <v>861</v>
      </c>
      <c r="H2144" s="14">
        <v>0.34</v>
      </c>
      <c r="I2144" s="2" t="s">
        <v>267</v>
      </c>
      <c r="J2144" s="2" t="s">
        <v>13</v>
      </c>
      <c r="K2144" s="2" t="s">
        <v>5221</v>
      </c>
      <c r="L2144" s="2" t="s">
        <v>5721</v>
      </c>
      <c r="M2144" s="2" t="s">
        <v>5221</v>
      </c>
      <c r="N2144" s="2" t="s">
        <v>2317</v>
      </c>
      <c r="O2144" s="14">
        <v>2000</v>
      </c>
      <c r="P2144" s="14">
        <v>85.85</v>
      </c>
      <c r="Q2144" s="14">
        <v>283</v>
      </c>
      <c r="R2144" s="14">
        <v>96.22</v>
      </c>
      <c r="S2144" s="2" t="s">
        <v>6508</v>
      </c>
      <c r="T2144" s="2">
        <v>1</v>
      </c>
      <c r="U2144" s="2">
        <v>62.2</v>
      </c>
      <c r="V2144" s="2">
        <v>57</v>
      </c>
      <c r="W2144" s="2" t="s">
        <v>7862</v>
      </c>
      <c r="X2144" s="2" t="s">
        <v>5405</v>
      </c>
      <c r="Y2144" s="2">
        <v>680</v>
      </c>
      <c r="Z2144" s="19" t="str">
        <f>HYPERLINK("https://ssdweb.co/ssdweb/hd/Vision360.html?d=926321026&amp;zoomslide=1&amp;z=1926321026&amp;ISCONFIRM=0","VIDEO")</f>
        <v>VIDEO</v>
      </c>
      <c r="AA2144" s="19" t="str">
        <f>HYPERLINK("https://ssdweb.co/ssdweb/CERTH/1497891426.pdf","CERTI")</f>
        <v>CERTI</v>
      </c>
    </row>
    <row r="2145" spans="1:27" ht="15" x14ac:dyDescent="0.25">
      <c r="A2145" s="2">
        <v>2140</v>
      </c>
      <c r="B2145" s="39">
        <v>926091411</v>
      </c>
      <c r="C2145" s="28" t="str">
        <f>HYPERLINK("https://pld.live/RapDetail.aspx?STONELIST=926091411","DNA")</f>
        <v>DNA</v>
      </c>
      <c r="D2145" s="18" t="s">
        <v>7954</v>
      </c>
      <c r="E2145" s="18" t="s">
        <v>5128</v>
      </c>
      <c r="F2145" s="2" t="s">
        <v>7987</v>
      </c>
      <c r="G2145" s="2" t="s">
        <v>861</v>
      </c>
      <c r="H2145" s="14">
        <v>0.34</v>
      </c>
      <c r="I2145" s="2" t="s">
        <v>267</v>
      </c>
      <c r="J2145" s="2" t="s">
        <v>13</v>
      </c>
      <c r="K2145" s="2" t="s">
        <v>5221</v>
      </c>
      <c r="L2145" s="2" t="s">
        <v>5721</v>
      </c>
      <c r="M2145" s="2" t="s">
        <v>5221</v>
      </c>
      <c r="N2145" s="2" t="s">
        <v>2317</v>
      </c>
      <c r="O2145" s="14">
        <v>2000</v>
      </c>
      <c r="P2145" s="14">
        <v>93.9</v>
      </c>
      <c r="Q2145" s="14">
        <v>122</v>
      </c>
      <c r="R2145" s="14">
        <v>41.48</v>
      </c>
      <c r="S2145" s="2" t="s">
        <v>3014</v>
      </c>
      <c r="T2145" s="2">
        <v>1.01</v>
      </c>
      <c r="U2145" s="2">
        <v>63.4</v>
      </c>
      <c r="V2145" s="2">
        <v>58</v>
      </c>
      <c r="W2145" s="2" t="s">
        <v>7862</v>
      </c>
      <c r="X2145" s="2" t="s">
        <v>5405</v>
      </c>
      <c r="Y2145" s="2">
        <v>680</v>
      </c>
      <c r="Z2145" s="19" t="str">
        <f>HYPERLINK("https://ssdweb.co/ssdweb/hd/Vision360.html?d=926091411&amp;zoomslide=1&amp;z=1926091411&amp;ISCONFIRM=0","VIDEO")</f>
        <v>VIDEO</v>
      </c>
      <c r="AA2145" s="19" t="str">
        <f>HYPERLINK("https://ssdweb.co/ssdweb/CERTH/633473897.pdf","CERTI")</f>
        <v>CERTI</v>
      </c>
    </row>
    <row r="2146" spans="1:27" ht="15" x14ac:dyDescent="0.25">
      <c r="A2146" s="2">
        <v>2141</v>
      </c>
      <c r="B2146" s="39">
        <v>821127923</v>
      </c>
      <c r="C2146" s="28" t="str">
        <f>HYPERLINK("https://pld.live/RapDetail.aspx?STONELIST=821127923","DNA")</f>
        <v>DNA</v>
      </c>
      <c r="D2146" s="18" t="s">
        <v>7954</v>
      </c>
      <c r="E2146" s="18" t="s">
        <v>5128</v>
      </c>
      <c r="F2146" s="2" t="s">
        <v>7987</v>
      </c>
      <c r="G2146" s="2" t="s">
        <v>861</v>
      </c>
      <c r="H2146" s="14">
        <v>0.34</v>
      </c>
      <c r="I2146" s="2" t="s">
        <v>267</v>
      </c>
      <c r="J2146" s="2" t="s">
        <v>13</v>
      </c>
      <c r="K2146" s="2" t="s">
        <v>5221</v>
      </c>
      <c r="L2146" s="2" t="s">
        <v>5721</v>
      </c>
      <c r="M2146" s="2" t="s">
        <v>5721</v>
      </c>
      <c r="N2146" s="2" t="s">
        <v>2317</v>
      </c>
      <c r="O2146" s="14">
        <v>2000</v>
      </c>
      <c r="P2146" s="14">
        <v>94</v>
      </c>
      <c r="Q2146" s="14">
        <v>120</v>
      </c>
      <c r="R2146" s="14">
        <v>40.799999999999997</v>
      </c>
      <c r="S2146" s="2" t="s">
        <v>5155</v>
      </c>
      <c r="T2146" s="2">
        <v>1.01</v>
      </c>
      <c r="U2146" s="2">
        <v>63.2</v>
      </c>
      <c r="V2146" s="2">
        <v>57</v>
      </c>
      <c r="W2146" s="2" t="s">
        <v>7862</v>
      </c>
      <c r="X2146" s="2" t="s">
        <v>5405</v>
      </c>
      <c r="Y2146" s="2">
        <v>680</v>
      </c>
      <c r="Z2146" s="19" t="str">
        <f>HYPERLINK("https://ssdweb.co/ssdweb/hd/Vision360.html?d=821127923&amp;zoomslide=1&amp;z=1821127923&amp;ISCONFIRM=0","VIDEO")</f>
        <v>VIDEO</v>
      </c>
      <c r="AA2146" s="19" t="str">
        <f>HYPERLINK("https://ssdweb.co/ssdweb/CERTH/634417050.pdf","CERTI")</f>
        <v>CERTI</v>
      </c>
    </row>
    <row r="2147" spans="1:27" ht="15" x14ac:dyDescent="0.25">
      <c r="A2147" s="2">
        <v>2142</v>
      </c>
      <c r="B2147" s="39">
        <v>925090392</v>
      </c>
      <c r="C2147" s="28" t="str">
        <f>HYPERLINK("https://pld.live/RapDetail.aspx?STONELIST=925090392","DNA")</f>
        <v>DNA</v>
      </c>
      <c r="D2147" s="18" t="s">
        <v>7954</v>
      </c>
      <c r="E2147" s="18" t="s">
        <v>5128</v>
      </c>
      <c r="F2147" s="2" t="s">
        <v>7987</v>
      </c>
      <c r="G2147" s="2" t="s">
        <v>861</v>
      </c>
      <c r="H2147" s="14">
        <v>0.34</v>
      </c>
      <c r="I2147" s="2" t="s">
        <v>267</v>
      </c>
      <c r="J2147" s="2" t="s">
        <v>13</v>
      </c>
      <c r="K2147" s="2" t="s">
        <v>5221</v>
      </c>
      <c r="L2147" s="2" t="s">
        <v>5721</v>
      </c>
      <c r="M2147" s="2" t="s">
        <v>5721</v>
      </c>
      <c r="N2147" s="2" t="s">
        <v>2317</v>
      </c>
      <c r="O2147" s="14">
        <v>2000</v>
      </c>
      <c r="P2147" s="14">
        <v>94</v>
      </c>
      <c r="Q2147" s="14">
        <v>120</v>
      </c>
      <c r="R2147" s="14">
        <v>40.799999999999997</v>
      </c>
      <c r="S2147" s="2" t="s">
        <v>7000</v>
      </c>
      <c r="T2147" s="2">
        <v>1.01</v>
      </c>
      <c r="U2147" s="2">
        <v>62.8</v>
      </c>
      <c r="V2147" s="2">
        <v>55</v>
      </c>
      <c r="W2147" s="2" t="s">
        <v>7862</v>
      </c>
      <c r="X2147" s="2" t="s">
        <v>5405</v>
      </c>
      <c r="Y2147" s="2">
        <v>680</v>
      </c>
      <c r="Z2147" s="19" t="str">
        <f>HYPERLINK("https://ssdweb.co/ssdweb/hd/Vision360.html?d=925090392&amp;zoomslide=1&amp;z=1925090392&amp;ISCONFIRM=0","VIDEO")</f>
        <v>VIDEO</v>
      </c>
      <c r="AA2147" s="19" t="str">
        <f>HYPERLINK("https://ssdweb.co/ssdweb/CERTH/607314632.pdf","CERTI")</f>
        <v>CERTI</v>
      </c>
    </row>
    <row r="2148" spans="1:27" ht="15" x14ac:dyDescent="0.25">
      <c r="A2148" s="2">
        <v>2143</v>
      </c>
      <c r="B2148" s="39">
        <v>926171232</v>
      </c>
      <c r="C2148" s="28" t="str">
        <f>HYPERLINK("https://pld.live/RapDetail.aspx?STONELIST=926171232","DNA")</f>
        <v>DNA</v>
      </c>
      <c r="D2148" s="18" t="s">
        <v>7954</v>
      </c>
      <c r="E2148" s="18" t="s">
        <v>5128</v>
      </c>
      <c r="F2148" s="2" t="s">
        <v>7987</v>
      </c>
      <c r="G2148" s="2" t="s">
        <v>861</v>
      </c>
      <c r="H2148" s="14">
        <v>0.34</v>
      </c>
      <c r="I2148" s="2" t="s">
        <v>267</v>
      </c>
      <c r="J2148" s="2" t="s">
        <v>5144</v>
      </c>
      <c r="K2148" s="2" t="s">
        <v>3390</v>
      </c>
      <c r="L2148" s="2" t="s">
        <v>5221</v>
      </c>
      <c r="M2148" s="2" t="s">
        <v>5221</v>
      </c>
      <c r="N2148" s="2" t="s">
        <v>2317</v>
      </c>
      <c r="O2148" s="14">
        <v>1800</v>
      </c>
      <c r="P2148" s="14">
        <v>93.33</v>
      </c>
      <c r="Q2148" s="14">
        <v>120.06</v>
      </c>
      <c r="R2148" s="14">
        <v>40.82</v>
      </c>
      <c r="S2148" s="2" t="s">
        <v>5263</v>
      </c>
      <c r="T2148" s="2">
        <v>1.01</v>
      </c>
      <c r="U2148" s="2">
        <v>61.4</v>
      </c>
      <c r="V2148" s="2">
        <v>58</v>
      </c>
      <c r="W2148" s="2" t="s">
        <v>7862</v>
      </c>
      <c r="X2148" s="2" t="s">
        <v>5405</v>
      </c>
      <c r="Y2148" s="2">
        <v>612</v>
      </c>
      <c r="Z2148" s="19" t="str">
        <f>HYPERLINK("https://ssdweb.co/ssdweb/hd/Vision360.html?d=926171232&amp;zoomslide=1&amp;z=1926171232&amp;ISCONFIRM=0","VIDEO")</f>
        <v>VIDEO</v>
      </c>
      <c r="AA2148" s="19" t="str">
        <f>HYPERLINK("https://ssdweb.co/ssdweb/CERTH/634431269.pdf","CERTI")</f>
        <v>CERTI</v>
      </c>
    </row>
    <row r="2149" spans="1:27" ht="15" x14ac:dyDescent="0.25">
      <c r="A2149" s="2">
        <v>2144</v>
      </c>
      <c r="B2149" s="39">
        <v>926091273</v>
      </c>
      <c r="C2149" s="28" t="str">
        <f>HYPERLINK("https://pld.live/RapDetail.aspx?STONELIST=926091273","DNA")</f>
        <v>DNA</v>
      </c>
      <c r="D2149" s="18" t="s">
        <v>7954</v>
      </c>
      <c r="E2149" s="18" t="s">
        <v>5128</v>
      </c>
      <c r="F2149" s="2" t="s">
        <v>7987</v>
      </c>
      <c r="G2149" s="2" t="s">
        <v>861</v>
      </c>
      <c r="H2149" s="14">
        <v>0.34</v>
      </c>
      <c r="I2149" s="2" t="s">
        <v>267</v>
      </c>
      <c r="J2149" s="2" t="s">
        <v>5144</v>
      </c>
      <c r="K2149" s="2" t="s">
        <v>3390</v>
      </c>
      <c r="L2149" s="2" t="s">
        <v>5221</v>
      </c>
      <c r="M2149" s="2" t="s">
        <v>5721</v>
      </c>
      <c r="N2149" s="2" t="s">
        <v>2317</v>
      </c>
      <c r="O2149" s="14">
        <v>1800</v>
      </c>
      <c r="P2149" s="14">
        <v>93.61</v>
      </c>
      <c r="Q2149" s="14">
        <v>115.02</v>
      </c>
      <c r="R2149" s="14">
        <v>39.11</v>
      </c>
      <c r="S2149" s="2" t="s">
        <v>7667</v>
      </c>
      <c r="T2149" s="2">
        <v>1.01</v>
      </c>
      <c r="U2149" s="2">
        <v>61.7</v>
      </c>
      <c r="V2149" s="2">
        <v>57</v>
      </c>
      <c r="W2149" s="2" t="s">
        <v>7862</v>
      </c>
      <c r="X2149" s="2" t="s">
        <v>5405</v>
      </c>
      <c r="Y2149" s="2">
        <v>612</v>
      </c>
      <c r="Z2149" s="19" t="str">
        <f>HYPERLINK("https://ssdweb.co/ssdweb/hd/Vision360.html?d=926091273&amp;zoomslide=1&amp;z=1926091273&amp;ISCONFIRM=0","VIDEO")</f>
        <v>VIDEO</v>
      </c>
      <c r="AA2149" s="19" t="str">
        <f>HYPERLINK("https://ssdweb.co/ssdweb/CERTH/632449445.pdf","CERTI")</f>
        <v>CERTI</v>
      </c>
    </row>
    <row r="2150" spans="1:27" ht="15" x14ac:dyDescent="0.25">
      <c r="A2150" s="2">
        <v>2145</v>
      </c>
      <c r="B2150" s="39">
        <v>926080794</v>
      </c>
      <c r="C2150" s="28" t="str">
        <f>HYPERLINK("https://pld.live/RapDetail.aspx?STONELIST=926080794","DNA")</f>
        <v>DNA</v>
      </c>
      <c r="D2150" s="18" t="s">
        <v>7954</v>
      </c>
      <c r="E2150" s="18" t="s">
        <v>5128</v>
      </c>
      <c r="F2150" s="2" t="s">
        <v>7987</v>
      </c>
      <c r="G2150" s="2" t="s">
        <v>861</v>
      </c>
      <c r="H2150" s="14">
        <v>0.34</v>
      </c>
      <c r="I2150" s="2" t="s">
        <v>267</v>
      </c>
      <c r="J2150" s="2" t="s">
        <v>5144</v>
      </c>
      <c r="K2150" s="2" t="s">
        <v>3390</v>
      </c>
      <c r="L2150" s="2" t="s">
        <v>5221</v>
      </c>
      <c r="M2150" s="2" t="s">
        <v>5721</v>
      </c>
      <c r="N2150" s="2" t="s">
        <v>2317</v>
      </c>
      <c r="O2150" s="14">
        <v>1800</v>
      </c>
      <c r="P2150" s="14">
        <v>93.61</v>
      </c>
      <c r="Q2150" s="14">
        <v>115.02</v>
      </c>
      <c r="R2150" s="14">
        <v>39.11</v>
      </c>
      <c r="S2150" s="2" t="s">
        <v>2255</v>
      </c>
      <c r="T2150" s="2">
        <v>1</v>
      </c>
      <c r="U2150" s="2">
        <v>60.8</v>
      </c>
      <c r="V2150" s="2">
        <v>59</v>
      </c>
      <c r="W2150" s="2" t="s">
        <v>7862</v>
      </c>
      <c r="X2150" s="2" t="s">
        <v>5405</v>
      </c>
      <c r="Y2150" s="2">
        <v>612</v>
      </c>
      <c r="Z2150" s="19" t="str">
        <f>HYPERLINK("https://ssdweb.co/ssdweb/hd/Vision360.html?d=926080794&amp;zoomslide=1&amp;z=1926080794&amp;ISCONFIRM=0","VIDEO")</f>
        <v>VIDEO</v>
      </c>
      <c r="AA2150" s="19" t="str">
        <f>HYPERLINK("https://ssdweb.co/ssdweb/CERTH/631404328.pdf","CERTI")</f>
        <v>CERTI</v>
      </c>
    </row>
    <row r="2151" spans="1:27" ht="15" x14ac:dyDescent="0.25">
      <c r="A2151" s="2">
        <v>2146</v>
      </c>
      <c r="B2151" s="39">
        <v>926181049</v>
      </c>
      <c r="C2151" s="28" t="str">
        <f>HYPERLINK("https://pld.live/RapDetail.aspx?STONELIST=926181049","DNA")</f>
        <v>DNA</v>
      </c>
      <c r="D2151" s="18" t="s">
        <v>7954</v>
      </c>
      <c r="E2151" s="18" t="s">
        <v>5128</v>
      </c>
      <c r="F2151" s="2" t="s">
        <v>7987</v>
      </c>
      <c r="G2151" s="2" t="s">
        <v>861</v>
      </c>
      <c r="H2151" s="14">
        <v>0.34</v>
      </c>
      <c r="I2151" s="2" t="s">
        <v>267</v>
      </c>
      <c r="J2151" s="2" t="s">
        <v>5144</v>
      </c>
      <c r="K2151" s="2" t="s">
        <v>3390</v>
      </c>
      <c r="L2151" s="2" t="s">
        <v>5721</v>
      </c>
      <c r="M2151" s="2" t="s">
        <v>5221</v>
      </c>
      <c r="N2151" s="2" t="s">
        <v>2317</v>
      </c>
      <c r="O2151" s="14">
        <v>1800</v>
      </c>
      <c r="P2151" s="14">
        <v>93.61</v>
      </c>
      <c r="Q2151" s="14">
        <v>115.02</v>
      </c>
      <c r="R2151" s="14">
        <v>39.11</v>
      </c>
      <c r="S2151" s="2" t="s">
        <v>5516</v>
      </c>
      <c r="T2151" s="2">
        <v>1.01</v>
      </c>
      <c r="U2151" s="2">
        <v>61.1</v>
      </c>
      <c r="V2151" s="2">
        <v>59</v>
      </c>
      <c r="W2151" s="2" t="s">
        <v>7862</v>
      </c>
      <c r="X2151" s="2" t="s">
        <v>5405</v>
      </c>
      <c r="Y2151" s="2">
        <v>612</v>
      </c>
      <c r="Z2151" s="19" t="str">
        <f>HYPERLINK("https://ssdweb.co/ssdweb/hd/Vision360.html?d=926181049&amp;zoomslide=1&amp;z=1926181049&amp;ISCONFIRM=0","VIDEO")</f>
        <v>VIDEO</v>
      </c>
      <c r="AA2151" s="19" t="str">
        <f>HYPERLINK("https://ssdweb.co/ssdweb/CERTH/636429751.pdf","CERTI")</f>
        <v>CERTI</v>
      </c>
    </row>
    <row r="2152" spans="1:27" ht="15" x14ac:dyDescent="0.25">
      <c r="A2152" s="2">
        <v>2147</v>
      </c>
      <c r="B2152" s="39">
        <v>920460453</v>
      </c>
      <c r="C2152" s="28" t="str">
        <f>HYPERLINK("https://pld.live/RapDetail.aspx?STONELIST=920460453","DNA")</f>
        <v>DNA</v>
      </c>
      <c r="D2152" s="18" t="s">
        <v>7954</v>
      </c>
      <c r="E2152" s="18" t="s">
        <v>5128</v>
      </c>
      <c r="F2152" s="2" t="s">
        <v>7987</v>
      </c>
      <c r="G2152" s="2" t="s">
        <v>861</v>
      </c>
      <c r="H2152" s="14">
        <v>0.34</v>
      </c>
      <c r="I2152" s="2" t="s">
        <v>267</v>
      </c>
      <c r="J2152" s="2" t="s">
        <v>5144</v>
      </c>
      <c r="K2152" s="2" t="s">
        <v>5221</v>
      </c>
      <c r="L2152" s="2" t="s">
        <v>5221</v>
      </c>
      <c r="M2152" s="2" t="s">
        <v>5221</v>
      </c>
      <c r="N2152" s="2" t="s">
        <v>2317</v>
      </c>
      <c r="O2152" s="14">
        <v>1800</v>
      </c>
      <c r="P2152" s="14">
        <v>93.33</v>
      </c>
      <c r="Q2152" s="14">
        <v>120.06</v>
      </c>
      <c r="R2152" s="14">
        <v>40.82</v>
      </c>
      <c r="S2152" s="2" t="s">
        <v>6107</v>
      </c>
      <c r="T2152" s="2">
        <v>1</v>
      </c>
      <c r="U2152" s="2">
        <v>62</v>
      </c>
      <c r="V2152" s="2">
        <v>58</v>
      </c>
      <c r="W2152" s="2" t="s">
        <v>7862</v>
      </c>
      <c r="X2152" s="2" t="s">
        <v>5405</v>
      </c>
      <c r="Y2152" s="2">
        <v>612</v>
      </c>
      <c r="Z2152" s="19" t="str">
        <f>HYPERLINK("https://ssdweb.co/ssdweb/hd/Vision360.html?d=920460453&amp;zoomslide=1&amp;z=1920460453&amp;ISCONFIRM=0","VIDEO")</f>
        <v>VIDEO</v>
      </c>
      <c r="AA2152" s="19" t="str">
        <f>HYPERLINK("https://ssdweb.co/ssdweb/CERTH/623445994.pdf","CERTI")</f>
        <v>CERTI</v>
      </c>
    </row>
    <row r="2153" spans="1:27" ht="15" x14ac:dyDescent="0.25">
      <c r="A2153" s="2">
        <v>2148</v>
      </c>
      <c r="B2153" s="39">
        <v>926081117</v>
      </c>
      <c r="C2153" s="28" t="str">
        <f>HYPERLINK("https://pld.live/RapDetail.aspx?STONELIST=926081117","DNA")</f>
        <v>DNA</v>
      </c>
      <c r="D2153" s="18" t="s">
        <v>7954</v>
      </c>
      <c r="E2153" s="18" t="s">
        <v>5128</v>
      </c>
      <c r="F2153" s="2" t="s">
        <v>7987</v>
      </c>
      <c r="G2153" s="2" t="s">
        <v>861</v>
      </c>
      <c r="H2153" s="14">
        <v>0.34</v>
      </c>
      <c r="I2153" s="2" t="s">
        <v>267</v>
      </c>
      <c r="J2153" s="2" t="s">
        <v>5144</v>
      </c>
      <c r="K2153" s="2" t="s">
        <v>5221</v>
      </c>
      <c r="L2153" s="2" t="s">
        <v>5221</v>
      </c>
      <c r="M2153" s="2" t="s">
        <v>5221</v>
      </c>
      <c r="N2153" s="2" t="s">
        <v>2317</v>
      </c>
      <c r="O2153" s="14">
        <v>1800</v>
      </c>
      <c r="P2153" s="14">
        <v>93.33</v>
      </c>
      <c r="Q2153" s="14">
        <v>120.06</v>
      </c>
      <c r="R2153" s="14">
        <v>40.82</v>
      </c>
      <c r="S2153" s="2" t="s">
        <v>3471</v>
      </c>
      <c r="T2153" s="2">
        <v>1.01</v>
      </c>
      <c r="U2153" s="2">
        <v>62.8</v>
      </c>
      <c r="V2153" s="2">
        <v>59</v>
      </c>
      <c r="W2153" s="2" t="s">
        <v>7862</v>
      </c>
      <c r="X2153" s="2" t="s">
        <v>5405</v>
      </c>
      <c r="Y2153" s="2">
        <v>612</v>
      </c>
      <c r="Z2153" s="19" t="str">
        <f>HYPERLINK("https://ssdweb.co/ssdweb/hd/Vision360.html?d=926081117&amp;zoomslide=1&amp;z=1926081117&amp;ISCONFIRM=0","VIDEO")</f>
        <v>VIDEO</v>
      </c>
      <c r="AA2153" s="19" t="str">
        <f>HYPERLINK("https://ssdweb.co/ssdweb/CERTH/631429949.pdf","CERTI")</f>
        <v>CERTI</v>
      </c>
    </row>
    <row r="2154" spans="1:27" ht="15" x14ac:dyDescent="0.25">
      <c r="A2154" s="2">
        <v>2149</v>
      </c>
      <c r="B2154" s="39">
        <v>926081034</v>
      </c>
      <c r="C2154" s="28" t="str">
        <f>HYPERLINK("https://pld.live/RapDetail.aspx?STONELIST=926081034","DNA")</f>
        <v>DNA</v>
      </c>
      <c r="D2154" s="18" t="s">
        <v>7954</v>
      </c>
      <c r="E2154" s="18" t="s">
        <v>5128</v>
      </c>
      <c r="F2154" s="2" t="s">
        <v>7987</v>
      </c>
      <c r="G2154" s="2" t="s">
        <v>861</v>
      </c>
      <c r="H2154" s="14">
        <v>0.34</v>
      </c>
      <c r="I2154" s="2" t="s">
        <v>267</v>
      </c>
      <c r="J2154" s="2" t="s">
        <v>5144</v>
      </c>
      <c r="K2154" s="2" t="s">
        <v>5221</v>
      </c>
      <c r="L2154" s="2" t="s">
        <v>5221</v>
      </c>
      <c r="M2154" s="2" t="s">
        <v>5221</v>
      </c>
      <c r="N2154" s="2" t="s">
        <v>2317</v>
      </c>
      <c r="O2154" s="14">
        <v>1800</v>
      </c>
      <c r="P2154" s="14">
        <v>93.33</v>
      </c>
      <c r="Q2154" s="14">
        <v>120.06</v>
      </c>
      <c r="R2154" s="14">
        <v>40.82</v>
      </c>
      <c r="S2154" s="2" t="s">
        <v>4512</v>
      </c>
      <c r="T2154" s="2">
        <v>1.01</v>
      </c>
      <c r="U2154" s="2">
        <v>63.3</v>
      </c>
      <c r="V2154" s="2">
        <v>57</v>
      </c>
      <c r="W2154" s="2" t="s">
        <v>7862</v>
      </c>
      <c r="X2154" s="2" t="s">
        <v>5405</v>
      </c>
      <c r="Y2154" s="2">
        <v>612</v>
      </c>
      <c r="Z2154" s="19" t="str">
        <f>HYPERLINK("https://ssdweb.co/ssdweb/hd/Vision360.html?d=926081034&amp;zoomslide=1&amp;z=1926081034&amp;ISCONFIRM=0","VIDEO")</f>
        <v>VIDEO</v>
      </c>
      <c r="AA2154" s="19" t="str">
        <f>HYPERLINK("https://ssdweb.co/ssdweb/CERTH/631429975.pdf","CERTI")</f>
        <v>CERTI</v>
      </c>
    </row>
    <row r="2155" spans="1:27" ht="15" x14ac:dyDescent="0.25">
      <c r="A2155" s="2">
        <v>2150</v>
      </c>
      <c r="B2155" s="39">
        <v>926230952</v>
      </c>
      <c r="C2155" s="28" t="str">
        <f>HYPERLINK("https://pld.live/RapDetail.aspx?STONELIST=926230952","DNA")</f>
        <v>DNA</v>
      </c>
      <c r="D2155" s="18" t="s">
        <v>7954</v>
      </c>
      <c r="E2155" s="18" t="s">
        <v>5128</v>
      </c>
      <c r="F2155" s="2" t="s">
        <v>7987</v>
      </c>
      <c r="G2155" s="2" t="s">
        <v>861</v>
      </c>
      <c r="H2155" s="14">
        <v>0.34</v>
      </c>
      <c r="I2155" s="2" t="s">
        <v>267</v>
      </c>
      <c r="J2155" s="2" t="s">
        <v>5144</v>
      </c>
      <c r="K2155" s="2" t="s">
        <v>5221</v>
      </c>
      <c r="L2155" s="2" t="s">
        <v>5221</v>
      </c>
      <c r="M2155" s="2" t="s">
        <v>5721</v>
      </c>
      <c r="N2155" s="2" t="s">
        <v>2317</v>
      </c>
      <c r="O2155" s="14">
        <v>1800</v>
      </c>
      <c r="P2155" s="14">
        <v>93.61</v>
      </c>
      <c r="Q2155" s="14">
        <v>115.02</v>
      </c>
      <c r="R2155" s="14">
        <v>39.11</v>
      </c>
      <c r="S2155" s="2" t="s">
        <v>6557</v>
      </c>
      <c r="T2155" s="2">
        <v>1.01</v>
      </c>
      <c r="U2155" s="2">
        <v>63.3</v>
      </c>
      <c r="V2155" s="2">
        <v>58</v>
      </c>
      <c r="W2155" s="2" t="s">
        <v>7862</v>
      </c>
      <c r="X2155" s="2" t="s">
        <v>5405</v>
      </c>
      <c r="Y2155" s="2">
        <v>612</v>
      </c>
      <c r="Z2155" s="19" t="str">
        <f>HYPERLINK("https://ssdweb.co/ssdweb/hd/Vision360.html?d=926230952&amp;zoomslide=1&amp;z=1926230952&amp;ISCONFIRM=0","VIDEO")</f>
        <v>VIDEO</v>
      </c>
      <c r="AA2155" s="19" t="str">
        <f>HYPERLINK("https://ssdweb.co/ssdweb/CERTH/639406093.pdf","CERTI")</f>
        <v>CERTI</v>
      </c>
    </row>
    <row r="2156" spans="1:27" ht="15" x14ac:dyDescent="0.25">
      <c r="A2156" s="2">
        <v>2151</v>
      </c>
      <c r="B2156" s="39">
        <v>925610020</v>
      </c>
      <c r="C2156" s="28" t="str">
        <f>HYPERLINK("https://pld.live/RapDetail.aspx?STONELIST=925610020","DNA")</f>
        <v>DNA</v>
      </c>
      <c r="D2156" s="18" t="s">
        <v>7954</v>
      </c>
      <c r="E2156" s="18" t="s">
        <v>2186</v>
      </c>
      <c r="F2156" s="2" t="s">
        <v>7987</v>
      </c>
      <c r="G2156" s="2" t="s">
        <v>861</v>
      </c>
      <c r="H2156" s="14">
        <v>0.34</v>
      </c>
      <c r="I2156" s="2" t="s">
        <v>267</v>
      </c>
      <c r="J2156" s="2" t="s">
        <v>5144</v>
      </c>
      <c r="K2156" s="2" t="s">
        <v>5221</v>
      </c>
      <c r="L2156" s="2" t="s">
        <v>5221</v>
      </c>
      <c r="M2156" s="2" t="s">
        <v>5721</v>
      </c>
      <c r="N2156" s="2" t="s">
        <v>2317</v>
      </c>
      <c r="O2156" s="14">
        <v>1800</v>
      </c>
      <c r="P2156" s="14">
        <v>93.61</v>
      </c>
      <c r="Q2156" s="14">
        <v>115.02</v>
      </c>
      <c r="R2156" s="14">
        <v>39.11</v>
      </c>
      <c r="S2156" s="2" t="s">
        <v>1469</v>
      </c>
      <c r="T2156" s="2">
        <v>1.01</v>
      </c>
      <c r="U2156" s="2">
        <v>61.3</v>
      </c>
      <c r="V2156" s="2">
        <v>60</v>
      </c>
      <c r="W2156" s="2" t="s">
        <v>7862</v>
      </c>
      <c r="X2156" s="2" t="s">
        <v>5405</v>
      </c>
      <c r="Y2156" s="2">
        <v>612</v>
      </c>
      <c r="Z2156" s="19" t="str">
        <f>HYPERLINK("https://ssdweb.co/ssdweb/hd/Vision360.html?d=925610020&amp;zoomslide=1&amp;z=1925610020&amp;ISCONFIRM=0","VIDEO")</f>
        <v>VIDEO</v>
      </c>
      <c r="AA2156" s="19" t="str">
        <f>HYPERLINK("https://ssdweb.co/ssdweb/CERTH/620448850.pdf","CERTI")</f>
        <v>CERTI</v>
      </c>
    </row>
    <row r="2157" spans="1:27" ht="15" x14ac:dyDescent="0.25">
      <c r="A2157" s="2">
        <v>2152</v>
      </c>
      <c r="B2157" s="39">
        <v>821127824</v>
      </c>
      <c r="C2157" s="28" t="str">
        <f>HYPERLINK("https://pld.live/RapDetail.aspx?STONELIST=821127824","DNA")</f>
        <v>DNA</v>
      </c>
      <c r="D2157" s="18" t="s">
        <v>7954</v>
      </c>
      <c r="E2157" s="18" t="s">
        <v>5128</v>
      </c>
      <c r="F2157" s="2" t="s">
        <v>7987</v>
      </c>
      <c r="G2157" s="2" t="s">
        <v>861</v>
      </c>
      <c r="H2157" s="14">
        <v>0.34</v>
      </c>
      <c r="I2157" s="2" t="s">
        <v>267</v>
      </c>
      <c r="J2157" s="2" t="s">
        <v>5144</v>
      </c>
      <c r="K2157" s="2" t="s">
        <v>5221</v>
      </c>
      <c r="L2157" s="2" t="s">
        <v>5721</v>
      </c>
      <c r="M2157" s="2" t="s">
        <v>5221</v>
      </c>
      <c r="N2157" s="2" t="s">
        <v>2317</v>
      </c>
      <c r="O2157" s="14">
        <v>1800</v>
      </c>
      <c r="P2157" s="14">
        <v>93.61</v>
      </c>
      <c r="Q2157" s="14">
        <v>115.02</v>
      </c>
      <c r="R2157" s="14">
        <v>39.11</v>
      </c>
      <c r="S2157" s="2" t="s">
        <v>5664</v>
      </c>
      <c r="T2157" s="2">
        <v>1.01</v>
      </c>
      <c r="U2157" s="2">
        <v>62.7</v>
      </c>
      <c r="V2157" s="2">
        <v>61</v>
      </c>
      <c r="W2157" s="2" t="s">
        <v>7862</v>
      </c>
      <c r="X2157" s="2" t="s">
        <v>5405</v>
      </c>
      <c r="Y2157" s="2">
        <v>612</v>
      </c>
      <c r="Z2157" s="19" t="str">
        <f>HYPERLINK("https://ssdweb.co/ssdweb/hd/Vision360.html?d=821127824&amp;zoomslide=1&amp;z=1821127824&amp;ISCONFIRM=0","VIDEO")</f>
        <v>VIDEO</v>
      </c>
      <c r="AA2157" s="19" t="str">
        <f>HYPERLINK("https://ssdweb.co/ssdweb/CERTH/633499580.pdf","CERTI")</f>
        <v>CERTI</v>
      </c>
    </row>
    <row r="2158" spans="1:27" ht="15" x14ac:dyDescent="0.25">
      <c r="A2158" s="2">
        <v>2153</v>
      </c>
      <c r="B2158" s="39">
        <v>924560160</v>
      </c>
      <c r="C2158" s="28" t="str">
        <f>HYPERLINK("https://pld.live/RapDetail.aspx?STONELIST=924560160","DNA")</f>
        <v>DNA</v>
      </c>
      <c r="D2158" s="18" t="s">
        <v>7954</v>
      </c>
      <c r="E2158" s="18" t="s">
        <v>5128</v>
      </c>
      <c r="F2158" s="2" t="s">
        <v>7987</v>
      </c>
      <c r="G2158" s="2" t="s">
        <v>861</v>
      </c>
      <c r="H2158" s="14">
        <v>0.34</v>
      </c>
      <c r="I2158" s="2" t="s">
        <v>267</v>
      </c>
      <c r="J2158" s="2" t="s">
        <v>444</v>
      </c>
      <c r="K2158" s="2" t="s">
        <v>3390</v>
      </c>
      <c r="L2158" s="2" t="s">
        <v>5221</v>
      </c>
      <c r="M2158" s="2" t="s">
        <v>5221</v>
      </c>
      <c r="N2158" s="2" t="s">
        <v>2317</v>
      </c>
      <c r="O2158" s="14">
        <v>1700</v>
      </c>
      <c r="P2158" s="14">
        <v>93.65</v>
      </c>
      <c r="Q2158" s="14">
        <v>107.95</v>
      </c>
      <c r="R2158" s="14">
        <v>36.700000000000003</v>
      </c>
      <c r="S2158" s="2" t="s">
        <v>7920</v>
      </c>
      <c r="T2158" s="2">
        <v>1.01</v>
      </c>
      <c r="U2158" s="2">
        <v>62.5</v>
      </c>
      <c r="V2158" s="2">
        <v>58</v>
      </c>
      <c r="W2158" s="2" t="s">
        <v>7862</v>
      </c>
      <c r="X2158" s="2" t="s">
        <v>5405</v>
      </c>
      <c r="Y2158" s="2">
        <v>578</v>
      </c>
      <c r="Z2158" s="19" t="str">
        <f>HYPERLINK("https://ssdweb.co/ssdweb/hd/Vision360.html?d=924560160&amp;zoomslide=1&amp;z=1924560160&amp;ISCONFIRM=0","VIDEO")</f>
        <v>VIDEO</v>
      </c>
      <c r="AA2158" s="19" t="str">
        <f>HYPERLINK("https://ssdweb.co/ssdweb/CERTH/593387555.pdf","CERTI")</f>
        <v>CERTI</v>
      </c>
    </row>
    <row r="2159" spans="1:27" ht="15" x14ac:dyDescent="0.25">
      <c r="A2159" s="2">
        <v>2154</v>
      </c>
      <c r="B2159" s="39">
        <v>924180391</v>
      </c>
      <c r="C2159" s="28" t="str">
        <f>HYPERLINK("https://pld.live/RapDetail.aspx?STONELIST=924180391","DNA")</f>
        <v>DNA</v>
      </c>
      <c r="D2159" s="18" t="s">
        <v>7954</v>
      </c>
      <c r="E2159" s="18" t="s">
        <v>5128</v>
      </c>
      <c r="F2159" s="2" t="s">
        <v>7987</v>
      </c>
      <c r="G2159" s="2" t="s">
        <v>861</v>
      </c>
      <c r="H2159" s="14">
        <v>0.34</v>
      </c>
      <c r="I2159" s="2" t="s">
        <v>267</v>
      </c>
      <c r="J2159" s="2" t="s">
        <v>444</v>
      </c>
      <c r="K2159" s="2" t="s">
        <v>5221</v>
      </c>
      <c r="L2159" s="2" t="s">
        <v>5221</v>
      </c>
      <c r="M2159" s="2" t="s">
        <v>5221</v>
      </c>
      <c r="N2159" s="2" t="s">
        <v>2317</v>
      </c>
      <c r="O2159" s="14">
        <v>1700</v>
      </c>
      <c r="P2159" s="14">
        <v>93.65</v>
      </c>
      <c r="Q2159" s="14">
        <v>107.95</v>
      </c>
      <c r="R2159" s="14">
        <v>36.700000000000003</v>
      </c>
      <c r="S2159" s="2" t="s">
        <v>5805</v>
      </c>
      <c r="T2159" s="2">
        <v>1.01</v>
      </c>
      <c r="U2159" s="2">
        <v>59.8</v>
      </c>
      <c r="V2159" s="2">
        <v>62</v>
      </c>
      <c r="W2159" s="2" t="s">
        <v>7862</v>
      </c>
      <c r="X2159" s="2" t="s">
        <v>5405</v>
      </c>
      <c r="Y2159" s="2">
        <v>578</v>
      </c>
      <c r="Z2159" s="19" t="str">
        <f>HYPERLINK("https://ssdweb.co/ssdweb/hd/Vision360.html?d=924180391&amp;zoomslide=1&amp;z=1924180391&amp;ISCONFIRM=0","VIDEO")</f>
        <v>VIDEO</v>
      </c>
      <c r="AA2159" s="19" t="str">
        <f>HYPERLINK("https://ssdweb.co/ssdweb/CERTH/578324747.pdf","CERTI")</f>
        <v>CERTI</v>
      </c>
    </row>
    <row r="2160" spans="1:27" ht="15" x14ac:dyDescent="0.25">
      <c r="A2160" s="2">
        <v>2155</v>
      </c>
      <c r="B2160" s="39">
        <v>924510118</v>
      </c>
      <c r="C2160" s="28" t="str">
        <f>HYPERLINK("https://pld.live/RapDetail.aspx?STONELIST=924510118","DNA")</f>
        <v>DNA</v>
      </c>
      <c r="D2160" s="18" t="s">
        <v>7954</v>
      </c>
      <c r="E2160" s="18" t="s">
        <v>2186</v>
      </c>
      <c r="F2160" s="2" t="s">
        <v>7987</v>
      </c>
      <c r="G2160" s="2" t="s">
        <v>861</v>
      </c>
      <c r="H2160" s="14">
        <v>0.34</v>
      </c>
      <c r="I2160" s="2" t="s">
        <v>267</v>
      </c>
      <c r="J2160" s="2" t="s">
        <v>444</v>
      </c>
      <c r="K2160" s="2" t="s">
        <v>5221</v>
      </c>
      <c r="L2160" s="2" t="s">
        <v>5221</v>
      </c>
      <c r="M2160" s="2" t="s">
        <v>5221</v>
      </c>
      <c r="N2160" s="2" t="s">
        <v>2317</v>
      </c>
      <c r="O2160" s="14">
        <v>1700</v>
      </c>
      <c r="P2160" s="14">
        <v>93.65</v>
      </c>
      <c r="Q2160" s="14">
        <v>107.95</v>
      </c>
      <c r="R2160" s="14">
        <v>36.700000000000003</v>
      </c>
      <c r="S2160" s="2" t="s">
        <v>3751</v>
      </c>
      <c r="T2160" s="2">
        <v>1.01</v>
      </c>
      <c r="U2160" s="2">
        <v>62.5</v>
      </c>
      <c r="V2160" s="2">
        <v>58</v>
      </c>
      <c r="W2160" s="2" t="s">
        <v>7862</v>
      </c>
      <c r="X2160" s="2" t="s">
        <v>5405</v>
      </c>
      <c r="Y2160" s="2">
        <v>578</v>
      </c>
      <c r="Z2160" s="19" t="str">
        <f>HYPERLINK("https://ssdweb.co/ssdweb/hd/Vision360.html?d=924510118&amp;zoomslide=1&amp;z=1924510118&amp;ISCONFIRM=0","VIDEO")</f>
        <v>VIDEO</v>
      </c>
      <c r="AA2160" s="19" t="str">
        <f>HYPERLINK("https://ssdweb.co/ssdweb/CERTH/595368536.pdf","CERTI")</f>
        <v>CERTI</v>
      </c>
    </row>
    <row r="2161" spans="1:27" ht="15" x14ac:dyDescent="0.25">
      <c r="A2161" s="2">
        <v>2156</v>
      </c>
      <c r="B2161" s="39">
        <v>925360010</v>
      </c>
      <c r="C2161" s="28" t="str">
        <f>HYPERLINK("https://pld.live/RapDetail.aspx?STONELIST=925360010","DNA")</f>
        <v>DNA</v>
      </c>
      <c r="D2161" s="18" t="s">
        <v>7954</v>
      </c>
      <c r="E2161" s="18" t="s">
        <v>5128</v>
      </c>
      <c r="F2161" s="2" t="s">
        <v>7987</v>
      </c>
      <c r="G2161" s="2" t="s">
        <v>861</v>
      </c>
      <c r="H2161" s="14">
        <v>0.34</v>
      </c>
      <c r="I2161" s="2" t="s">
        <v>267</v>
      </c>
      <c r="J2161" s="2" t="s">
        <v>444</v>
      </c>
      <c r="K2161" s="2" t="s">
        <v>5221</v>
      </c>
      <c r="L2161" s="2" t="s">
        <v>5221</v>
      </c>
      <c r="M2161" s="2" t="s">
        <v>5221</v>
      </c>
      <c r="N2161" s="2" t="s">
        <v>2317</v>
      </c>
      <c r="O2161" s="14">
        <v>1700</v>
      </c>
      <c r="P2161" s="14">
        <v>93.65</v>
      </c>
      <c r="Q2161" s="14">
        <v>107.95</v>
      </c>
      <c r="R2161" s="14">
        <v>36.700000000000003</v>
      </c>
      <c r="S2161" s="2" t="s">
        <v>2567</v>
      </c>
      <c r="T2161" s="2">
        <v>1.01</v>
      </c>
      <c r="U2161" s="2">
        <v>62.2</v>
      </c>
      <c r="V2161" s="2">
        <v>59</v>
      </c>
      <c r="W2161" s="2" t="s">
        <v>7862</v>
      </c>
      <c r="X2161" s="2" t="s">
        <v>5405</v>
      </c>
      <c r="Y2161" s="2">
        <v>578</v>
      </c>
      <c r="Z2161" s="19" t="str">
        <f>HYPERLINK("https://ssdweb.co/ssdweb/hd/Vision360.html?d=925360010&amp;zoomslide=1&amp;z=1925360010&amp;ISCONFIRM=0","VIDEO")</f>
        <v>VIDEO</v>
      </c>
      <c r="AA2161" s="19" t="str">
        <f>HYPERLINK("https://ssdweb.co/ssdweb/CERTH/614319357.pdf","CERTI")</f>
        <v>CERTI</v>
      </c>
    </row>
    <row r="2162" spans="1:27" ht="15" x14ac:dyDescent="0.25">
      <c r="A2162" s="2">
        <v>2157</v>
      </c>
      <c r="B2162" s="39">
        <v>926191061</v>
      </c>
      <c r="C2162" s="28" t="str">
        <f>HYPERLINK("https://pld.live/RapDetail.aspx?STONELIST=926191061","DNA")</f>
        <v>DNA</v>
      </c>
      <c r="D2162" s="18" t="s">
        <v>7954</v>
      </c>
      <c r="E2162" s="18" t="s">
        <v>5128</v>
      </c>
      <c r="F2162" s="2" t="s">
        <v>7987</v>
      </c>
      <c r="G2162" s="2" t="s">
        <v>861</v>
      </c>
      <c r="H2162" s="14">
        <v>0.34</v>
      </c>
      <c r="I2162" s="2" t="s">
        <v>4761</v>
      </c>
      <c r="J2162" s="2" t="s">
        <v>6555</v>
      </c>
      <c r="K2162" s="2" t="s">
        <v>3390</v>
      </c>
      <c r="L2162" s="2" t="s">
        <v>5221</v>
      </c>
      <c r="M2162" s="2" t="s">
        <v>5721</v>
      </c>
      <c r="N2162" s="2" t="s">
        <v>2317</v>
      </c>
      <c r="O2162" s="14">
        <v>2300</v>
      </c>
      <c r="P2162" s="14">
        <v>94.13</v>
      </c>
      <c r="Q2162" s="14">
        <v>135.01</v>
      </c>
      <c r="R2162" s="14">
        <v>45.9</v>
      </c>
      <c r="S2162" s="2" t="s">
        <v>3624</v>
      </c>
      <c r="T2162" s="2">
        <v>1.01</v>
      </c>
      <c r="U2162" s="2">
        <v>59.4</v>
      </c>
      <c r="V2162" s="2">
        <v>59</v>
      </c>
      <c r="W2162" s="2" t="s">
        <v>7862</v>
      </c>
      <c r="X2162" s="2" t="s">
        <v>5405</v>
      </c>
      <c r="Y2162" s="2">
        <v>782</v>
      </c>
      <c r="Z2162" s="19" t="str">
        <f>HYPERLINK("https://ssdweb.co/ssdweb/hd/Vision360.html?d=926191061&amp;zoomslide=1&amp;z=1926191061&amp;ISCONFIRM=0","VIDEO")</f>
        <v>VIDEO</v>
      </c>
      <c r="AA2162" s="19" t="str">
        <f>HYPERLINK("https://ssdweb.co/ssdweb/CERTH/637467366.pdf","CERTI")</f>
        <v>CERTI</v>
      </c>
    </row>
    <row r="2163" spans="1:27" ht="15" x14ac:dyDescent="0.25">
      <c r="A2163" s="2">
        <v>2158</v>
      </c>
      <c r="B2163" s="39">
        <v>926191059</v>
      </c>
      <c r="C2163" s="28" t="str">
        <f>HYPERLINK("https://pld.live/RapDetail.aspx?STONELIST=926191059","DNA")</f>
        <v>DNA</v>
      </c>
      <c r="D2163" s="18" t="s">
        <v>7954</v>
      </c>
      <c r="E2163" s="18" t="s">
        <v>5128</v>
      </c>
      <c r="F2163" s="2" t="s">
        <v>7987</v>
      </c>
      <c r="G2163" s="2" t="s">
        <v>861</v>
      </c>
      <c r="H2163" s="14">
        <v>0.34</v>
      </c>
      <c r="I2163" s="2" t="s">
        <v>4761</v>
      </c>
      <c r="J2163" s="2" t="s">
        <v>6555</v>
      </c>
      <c r="K2163" s="2" t="s">
        <v>5221</v>
      </c>
      <c r="L2163" s="2" t="s">
        <v>5221</v>
      </c>
      <c r="M2163" s="2" t="s">
        <v>5721</v>
      </c>
      <c r="N2163" s="2" t="s">
        <v>2317</v>
      </c>
      <c r="O2163" s="14">
        <v>2300</v>
      </c>
      <c r="P2163" s="14">
        <v>94.13</v>
      </c>
      <c r="Q2163" s="14">
        <v>135.01</v>
      </c>
      <c r="R2163" s="14">
        <v>45.9</v>
      </c>
      <c r="S2163" s="2" t="s">
        <v>3151</v>
      </c>
      <c r="T2163" s="2">
        <v>1.01</v>
      </c>
      <c r="U2163" s="2">
        <v>62.5</v>
      </c>
      <c r="V2163" s="2">
        <v>59</v>
      </c>
      <c r="W2163" s="2" t="s">
        <v>7862</v>
      </c>
      <c r="X2163" s="2" t="s">
        <v>5405</v>
      </c>
      <c r="Y2163" s="2">
        <v>782</v>
      </c>
      <c r="Z2163" s="19" t="str">
        <f>HYPERLINK("https://ssdweb.co/ssdweb/hd/Vision360.html?d=926191059&amp;zoomslide=1&amp;z=1926191059&amp;ISCONFIRM=0","VIDEO")</f>
        <v>VIDEO</v>
      </c>
      <c r="AA2163" s="19" t="str">
        <f>HYPERLINK("https://ssdweb.co/ssdweb/CERTH/637467205.pdf","CERTI")</f>
        <v>CERTI</v>
      </c>
    </row>
    <row r="2164" spans="1:27" ht="15" x14ac:dyDescent="0.25">
      <c r="A2164" s="2">
        <v>2159</v>
      </c>
      <c r="B2164" s="39">
        <v>925780896</v>
      </c>
      <c r="C2164" s="28" t="str">
        <f>HYPERLINK("https://pld.live/RapDetail.aspx?STONELIST=925780896","DNA")</f>
        <v>DNA</v>
      </c>
      <c r="D2164" s="18" t="s">
        <v>7954</v>
      </c>
      <c r="E2164" s="18" t="s">
        <v>5128</v>
      </c>
      <c r="F2164" s="2" t="s">
        <v>5597</v>
      </c>
      <c r="G2164" s="2" t="s">
        <v>861</v>
      </c>
      <c r="H2164" s="14">
        <v>0.34</v>
      </c>
      <c r="I2164" s="2" t="s">
        <v>4761</v>
      </c>
      <c r="J2164" s="2" t="s">
        <v>3942</v>
      </c>
      <c r="K2164" s="2" t="s">
        <v>5221</v>
      </c>
      <c r="L2164" s="2" t="s">
        <v>5221</v>
      </c>
      <c r="M2164" s="2" t="s">
        <v>5721</v>
      </c>
      <c r="N2164" s="2" t="s">
        <v>2317</v>
      </c>
      <c r="O2164" s="14">
        <v>2000</v>
      </c>
      <c r="P2164" s="14">
        <v>85.15</v>
      </c>
      <c r="Q2164" s="14">
        <v>297</v>
      </c>
      <c r="R2164" s="14">
        <v>100.98</v>
      </c>
      <c r="S2164" s="2" t="s">
        <v>132</v>
      </c>
      <c r="T2164" s="2">
        <v>1</v>
      </c>
      <c r="U2164" s="2">
        <v>62.6</v>
      </c>
      <c r="V2164" s="2">
        <v>56</v>
      </c>
      <c r="W2164" s="2" t="s">
        <v>7862</v>
      </c>
      <c r="X2164" s="2" t="s">
        <v>5405</v>
      </c>
      <c r="Y2164" s="2">
        <v>680</v>
      </c>
      <c r="Z2164" s="19" t="str">
        <f>HYPERLINK("https://ssdweb.co/ssdweb/hd/Vision360.html?d=925780896&amp;zoomslide=1&amp;z=1925780896&amp;ISCONFIRM=0","VIDEO")</f>
        <v>VIDEO</v>
      </c>
      <c r="AA2164" s="19" t="str">
        <f>HYPERLINK("https://ssdweb.co/ssdweb/CERTH/3485824260.pdf","CERTI")</f>
        <v>CERTI</v>
      </c>
    </row>
    <row r="2165" spans="1:27" ht="15" x14ac:dyDescent="0.25">
      <c r="A2165" s="2">
        <v>2160</v>
      </c>
      <c r="B2165" s="39">
        <v>821127908</v>
      </c>
      <c r="C2165" s="28" t="str">
        <f>HYPERLINK("https://pld.live/RapDetail.aspx?STONELIST=821127908","DNA")</f>
        <v>DNA</v>
      </c>
      <c r="D2165" s="18" t="s">
        <v>7954</v>
      </c>
      <c r="E2165" s="18" t="s">
        <v>5128</v>
      </c>
      <c r="F2165" s="2" t="s">
        <v>7987</v>
      </c>
      <c r="G2165" s="2" t="s">
        <v>861</v>
      </c>
      <c r="H2165" s="14">
        <v>0.34</v>
      </c>
      <c r="I2165" s="2" t="s">
        <v>4761</v>
      </c>
      <c r="J2165" s="2" t="s">
        <v>3942</v>
      </c>
      <c r="K2165" s="2" t="s">
        <v>5221</v>
      </c>
      <c r="L2165" s="2" t="s">
        <v>5721</v>
      </c>
      <c r="M2165" s="2" t="s">
        <v>5721</v>
      </c>
      <c r="N2165" s="2" t="s">
        <v>2317</v>
      </c>
      <c r="O2165" s="14">
        <v>2000</v>
      </c>
      <c r="P2165" s="14">
        <v>93.85</v>
      </c>
      <c r="Q2165" s="14">
        <v>123</v>
      </c>
      <c r="R2165" s="14">
        <v>41.82</v>
      </c>
      <c r="S2165" s="2" t="s">
        <v>7373</v>
      </c>
      <c r="T2165" s="2">
        <v>1.01</v>
      </c>
      <c r="U2165" s="2">
        <v>63.4</v>
      </c>
      <c r="V2165" s="2">
        <v>56</v>
      </c>
      <c r="W2165" s="2" t="s">
        <v>7862</v>
      </c>
      <c r="X2165" s="2" t="s">
        <v>5405</v>
      </c>
      <c r="Y2165" s="2">
        <v>680</v>
      </c>
      <c r="Z2165" s="19" t="str">
        <f>HYPERLINK("https://ssdweb.co/ssdweb/hd/Vision360.html?d=821127908&amp;zoomslide=1&amp;z=1821127908&amp;ISCONFIRM=0","VIDEO")</f>
        <v>VIDEO</v>
      </c>
      <c r="AA2165" s="19" t="str">
        <f>HYPERLINK("https://ssdweb.co/ssdweb/CERTH/634417090.pdf","CERTI")</f>
        <v>CERTI</v>
      </c>
    </row>
    <row r="2166" spans="1:27" ht="15" x14ac:dyDescent="0.25">
      <c r="A2166" s="2">
        <v>2161</v>
      </c>
      <c r="B2166" s="39">
        <v>926320991</v>
      </c>
      <c r="C2166" s="28" t="str">
        <f>HYPERLINK("https://pld.live/RapDetail.aspx?STONELIST=926320991","DNA")</f>
        <v>DNA</v>
      </c>
      <c r="D2166" s="18" t="s">
        <v>7954</v>
      </c>
      <c r="E2166" s="18" t="s">
        <v>5128</v>
      </c>
      <c r="F2166" s="2" t="s">
        <v>5597</v>
      </c>
      <c r="G2166" s="2" t="s">
        <v>861</v>
      </c>
      <c r="H2166" s="14">
        <v>0.34</v>
      </c>
      <c r="I2166" s="2" t="s">
        <v>4761</v>
      </c>
      <c r="J2166" s="2" t="s">
        <v>13</v>
      </c>
      <c r="K2166" s="2" t="s">
        <v>5221</v>
      </c>
      <c r="L2166" s="2" t="s">
        <v>5721</v>
      </c>
      <c r="M2166" s="2" t="s">
        <v>5221</v>
      </c>
      <c r="N2166" s="2" t="s">
        <v>2317</v>
      </c>
      <c r="O2166" s="14">
        <v>1800</v>
      </c>
      <c r="P2166" s="14">
        <v>84.56</v>
      </c>
      <c r="Q2166" s="14">
        <v>277.92</v>
      </c>
      <c r="R2166" s="14">
        <v>94.49</v>
      </c>
      <c r="S2166" s="2" t="s">
        <v>5161</v>
      </c>
      <c r="T2166" s="2">
        <v>1</v>
      </c>
      <c r="U2166" s="2">
        <v>60.7</v>
      </c>
      <c r="V2166" s="2">
        <v>56</v>
      </c>
      <c r="W2166" s="2" t="s">
        <v>7862</v>
      </c>
      <c r="X2166" s="2" t="s">
        <v>5405</v>
      </c>
      <c r="Y2166" s="2">
        <v>612</v>
      </c>
      <c r="Z2166" s="19" t="str">
        <f>HYPERLINK("https://ssdweb.co/ssdweb/hd/Vision360.html?d=926320991&amp;zoomslide=1&amp;z=1926320991&amp;ISCONFIRM=0","VIDEO")</f>
        <v>VIDEO</v>
      </c>
      <c r="AA2166" s="19" t="str">
        <f>HYPERLINK("https://ssdweb.co/ssdweb/CERTH/7493866790.pdf","CERTI")</f>
        <v>CERTI</v>
      </c>
    </row>
    <row r="2167" spans="1:27" ht="15" x14ac:dyDescent="0.25">
      <c r="A2167" s="2">
        <v>2162</v>
      </c>
      <c r="B2167" s="39">
        <v>920661486</v>
      </c>
      <c r="C2167" s="28" t="str">
        <f>HYPERLINK("https://pld.live/RapDetail.aspx?STONELIST=920661486","DNA")</f>
        <v>DNA</v>
      </c>
      <c r="D2167" s="18" t="s">
        <v>7954</v>
      </c>
      <c r="E2167" s="18" t="s">
        <v>5128</v>
      </c>
      <c r="F2167" s="2" t="s">
        <v>7987</v>
      </c>
      <c r="G2167" s="2" t="s">
        <v>861</v>
      </c>
      <c r="H2167" s="14">
        <v>0.34</v>
      </c>
      <c r="I2167" s="2" t="s">
        <v>4761</v>
      </c>
      <c r="J2167" s="2" t="s">
        <v>5144</v>
      </c>
      <c r="K2167" s="2" t="s">
        <v>3390</v>
      </c>
      <c r="L2167" s="2" t="s">
        <v>5221</v>
      </c>
      <c r="M2167" s="2" t="s">
        <v>5221</v>
      </c>
      <c r="N2167" s="2" t="s">
        <v>2317</v>
      </c>
      <c r="O2167" s="14">
        <v>1700</v>
      </c>
      <c r="P2167" s="14">
        <v>92.94</v>
      </c>
      <c r="Q2167" s="14">
        <v>120.02</v>
      </c>
      <c r="R2167" s="14">
        <v>40.81</v>
      </c>
      <c r="S2167" s="2" t="s">
        <v>1595</v>
      </c>
      <c r="T2167" s="2">
        <v>1.01</v>
      </c>
      <c r="U2167" s="2">
        <v>62.4</v>
      </c>
      <c r="V2167" s="2">
        <v>60</v>
      </c>
      <c r="W2167" s="2" t="s">
        <v>7862</v>
      </c>
      <c r="X2167" s="2" t="s">
        <v>5405</v>
      </c>
      <c r="Y2167" s="2">
        <v>578</v>
      </c>
      <c r="Z2167" s="19" t="str">
        <f>HYPERLINK("https://ssdweb.co/ssdweb/hd/Vision360.html?d=920661486&amp;zoomslide=1&amp;z=1920661486&amp;ISCONFIRM=0","VIDEO")</f>
        <v>VIDEO</v>
      </c>
      <c r="AA2167" s="19" t="str">
        <f>HYPERLINK("https://ssdweb.co/ssdweb/CERTH/639406080.pdf","CERTI")</f>
        <v>CERTI</v>
      </c>
    </row>
    <row r="2168" spans="1:27" ht="15" x14ac:dyDescent="0.25">
      <c r="A2168" s="2">
        <v>2163</v>
      </c>
      <c r="B2168" s="39">
        <v>926320981</v>
      </c>
      <c r="C2168" s="28" t="str">
        <f>HYPERLINK("https://pld.live/RapDetail.aspx?STONELIST=926320981","DNA")</f>
        <v>DNA</v>
      </c>
      <c r="D2168" s="18" t="s">
        <v>7954</v>
      </c>
      <c r="E2168" s="18" t="s">
        <v>5128</v>
      </c>
      <c r="F2168" s="2" t="s">
        <v>7987</v>
      </c>
      <c r="G2168" s="2" t="s">
        <v>861</v>
      </c>
      <c r="H2168" s="14">
        <v>0.34</v>
      </c>
      <c r="I2168" s="2" t="s">
        <v>4761</v>
      </c>
      <c r="J2168" s="2" t="s">
        <v>5144</v>
      </c>
      <c r="K2168" s="2" t="s">
        <v>3390</v>
      </c>
      <c r="L2168" s="2" t="s">
        <v>5221</v>
      </c>
      <c r="M2168" s="2" t="s">
        <v>5221</v>
      </c>
      <c r="N2168" s="2" t="s">
        <v>2317</v>
      </c>
      <c r="O2168" s="14">
        <v>1700</v>
      </c>
      <c r="P2168" s="14">
        <v>92.94</v>
      </c>
      <c r="Q2168" s="14">
        <v>120.02</v>
      </c>
      <c r="R2168" s="14">
        <v>40.81</v>
      </c>
      <c r="S2168" s="2" t="s">
        <v>108</v>
      </c>
      <c r="T2168" s="2">
        <v>1</v>
      </c>
      <c r="U2168" s="2">
        <v>62</v>
      </c>
      <c r="V2168" s="2">
        <v>56</v>
      </c>
      <c r="W2168" s="2" t="s">
        <v>7862</v>
      </c>
      <c r="X2168" s="2" t="s">
        <v>5405</v>
      </c>
      <c r="Y2168" s="2">
        <v>578</v>
      </c>
      <c r="Z2168" s="19" t="str">
        <f>HYPERLINK("https://ssdweb.co/ssdweb/hd/Vision360.html?d=926320981&amp;zoomslide=1&amp;z=1926320981&amp;ISCONFIRM=0","VIDEO")</f>
        <v>VIDEO</v>
      </c>
      <c r="AA2168" s="19" t="str">
        <f>HYPERLINK("https://ssdweb.co/ssdweb/CERTH/642447904.pdf","CERTI")</f>
        <v>CERTI</v>
      </c>
    </row>
    <row r="2169" spans="1:27" ht="15" x14ac:dyDescent="0.25">
      <c r="A2169" s="2">
        <v>2164</v>
      </c>
      <c r="B2169" s="39">
        <v>925380012</v>
      </c>
      <c r="C2169" s="28" t="str">
        <f>HYPERLINK("https://pld.live/RapDetail.aspx?STONELIST=925380012","DNA")</f>
        <v>DNA</v>
      </c>
      <c r="D2169" s="18" t="s">
        <v>7954</v>
      </c>
      <c r="E2169" s="18" t="s">
        <v>5128</v>
      </c>
      <c r="F2169" s="2" t="s">
        <v>7987</v>
      </c>
      <c r="G2169" s="2" t="s">
        <v>861</v>
      </c>
      <c r="H2169" s="14">
        <v>0.34</v>
      </c>
      <c r="I2169" s="2" t="s">
        <v>4761</v>
      </c>
      <c r="J2169" s="2" t="s">
        <v>5144</v>
      </c>
      <c r="K2169" s="2" t="s">
        <v>3390</v>
      </c>
      <c r="L2169" s="2" t="s">
        <v>5221</v>
      </c>
      <c r="M2169" s="2" t="s">
        <v>5221</v>
      </c>
      <c r="N2169" s="2" t="s">
        <v>2317</v>
      </c>
      <c r="O2169" s="14">
        <v>1700</v>
      </c>
      <c r="P2169" s="14">
        <v>93.06</v>
      </c>
      <c r="Q2169" s="14">
        <v>117.98</v>
      </c>
      <c r="R2169" s="14">
        <v>40.11</v>
      </c>
      <c r="S2169" s="2" t="s">
        <v>974</v>
      </c>
      <c r="T2169" s="2">
        <v>1.01</v>
      </c>
      <c r="U2169" s="2">
        <v>60.7</v>
      </c>
      <c r="V2169" s="2">
        <v>58</v>
      </c>
      <c r="W2169" s="2" t="s">
        <v>7862</v>
      </c>
      <c r="X2169" s="2" t="s">
        <v>5405</v>
      </c>
      <c r="Y2169" s="2">
        <v>578</v>
      </c>
      <c r="Z2169" s="19" t="str">
        <f>HYPERLINK("https://ssdweb.co/ssdweb/hd/Vision360.html?d=925380012&amp;zoomslide=1&amp;z=1925380012&amp;ISCONFIRM=0","VIDEO")</f>
        <v>VIDEO</v>
      </c>
      <c r="AA2169" s="19" t="str">
        <f>HYPERLINK("https://ssdweb.co/ssdweb/CERTH/615342853.pdf","CERTI")</f>
        <v>CERTI</v>
      </c>
    </row>
    <row r="2170" spans="1:27" ht="15" x14ac:dyDescent="0.25">
      <c r="A2170" s="2">
        <v>2165</v>
      </c>
      <c r="B2170" s="39">
        <v>926081282</v>
      </c>
      <c r="C2170" s="28" t="str">
        <f>HYPERLINK("https://pld.live/RapDetail.aspx?STONELIST=926081282","DNA")</f>
        <v>DNA</v>
      </c>
      <c r="D2170" s="18" t="s">
        <v>7954</v>
      </c>
      <c r="E2170" s="18" t="s">
        <v>5128</v>
      </c>
      <c r="F2170" s="2" t="s">
        <v>7987</v>
      </c>
      <c r="G2170" s="2" t="s">
        <v>861</v>
      </c>
      <c r="H2170" s="14">
        <v>0.34</v>
      </c>
      <c r="I2170" s="2" t="s">
        <v>4761</v>
      </c>
      <c r="J2170" s="2" t="s">
        <v>5144</v>
      </c>
      <c r="K2170" s="2" t="s">
        <v>3390</v>
      </c>
      <c r="L2170" s="2" t="s">
        <v>5221</v>
      </c>
      <c r="M2170" s="2" t="s">
        <v>5721</v>
      </c>
      <c r="N2170" s="2" t="s">
        <v>2317</v>
      </c>
      <c r="O2170" s="14">
        <v>1700</v>
      </c>
      <c r="P2170" s="14">
        <v>93.29</v>
      </c>
      <c r="Q2170" s="14">
        <v>114.07</v>
      </c>
      <c r="R2170" s="14">
        <v>38.78</v>
      </c>
      <c r="S2170" s="2" t="s">
        <v>1502</v>
      </c>
      <c r="T2170" s="2">
        <v>1.01</v>
      </c>
      <c r="U2170" s="2">
        <v>62.2</v>
      </c>
      <c r="V2170" s="2">
        <v>58</v>
      </c>
      <c r="W2170" s="2" t="s">
        <v>7862</v>
      </c>
      <c r="X2170" s="2" t="s">
        <v>5405</v>
      </c>
      <c r="Y2170" s="2">
        <v>578</v>
      </c>
      <c r="Z2170" s="19" t="str">
        <f>HYPERLINK("https://ssdweb.co/ssdweb/hd/Vision360.html?d=926081282&amp;zoomslide=1&amp;z=1926081282&amp;ISCONFIRM=0","VIDEO")</f>
        <v>VIDEO</v>
      </c>
      <c r="AA2170" s="19" t="str">
        <f>HYPERLINK("https://ssdweb.co/ssdweb/CERTH/631430024.pdf","CERTI")</f>
        <v>CERTI</v>
      </c>
    </row>
    <row r="2171" spans="1:27" ht="15" x14ac:dyDescent="0.25">
      <c r="A2171" s="2">
        <v>2166</v>
      </c>
      <c r="B2171" s="39">
        <v>926191097</v>
      </c>
      <c r="C2171" s="28" t="str">
        <f>HYPERLINK("https://pld.live/RapDetail.aspx?STONELIST=926191097","DNA")</f>
        <v>DNA</v>
      </c>
      <c r="D2171" s="18" t="s">
        <v>7954</v>
      </c>
      <c r="E2171" s="18" t="s">
        <v>5128</v>
      </c>
      <c r="F2171" s="2" t="s">
        <v>7987</v>
      </c>
      <c r="G2171" s="2" t="s">
        <v>861</v>
      </c>
      <c r="H2171" s="14">
        <v>0.34</v>
      </c>
      <c r="I2171" s="2" t="s">
        <v>4761</v>
      </c>
      <c r="J2171" s="2" t="s">
        <v>5144</v>
      </c>
      <c r="K2171" s="2" t="s">
        <v>3390</v>
      </c>
      <c r="L2171" s="2" t="s">
        <v>5221</v>
      </c>
      <c r="M2171" s="2" t="s">
        <v>5721</v>
      </c>
      <c r="N2171" s="2" t="s">
        <v>2317</v>
      </c>
      <c r="O2171" s="14">
        <v>1700</v>
      </c>
      <c r="P2171" s="14">
        <v>93.29</v>
      </c>
      <c r="Q2171" s="14">
        <v>114.07</v>
      </c>
      <c r="R2171" s="14">
        <v>38.78</v>
      </c>
      <c r="S2171" s="2" t="s">
        <v>5602</v>
      </c>
      <c r="T2171" s="2">
        <v>1.01</v>
      </c>
      <c r="U2171" s="2">
        <v>62</v>
      </c>
      <c r="V2171" s="2">
        <v>59</v>
      </c>
      <c r="W2171" s="2" t="s">
        <v>7862</v>
      </c>
      <c r="X2171" s="2" t="s">
        <v>5405</v>
      </c>
      <c r="Y2171" s="2">
        <v>578</v>
      </c>
      <c r="Z2171" s="19" t="str">
        <f>HYPERLINK("https://ssdweb.co/ssdweb/hd/Vision360.html?d=926191097&amp;zoomslide=1&amp;z=1926191097&amp;ISCONFIRM=0","VIDEO")</f>
        <v>VIDEO</v>
      </c>
      <c r="AA2171" s="19" t="str">
        <f>HYPERLINK("https://ssdweb.co/ssdweb/CERTH/637467218.pdf","CERTI")</f>
        <v>CERTI</v>
      </c>
    </row>
    <row r="2172" spans="1:27" ht="15" x14ac:dyDescent="0.25">
      <c r="A2172" s="2">
        <v>2167</v>
      </c>
      <c r="B2172" s="39">
        <v>920661574</v>
      </c>
      <c r="C2172" s="28" t="str">
        <f>HYPERLINK("https://pld.live/RapDetail.aspx?STONELIST=920661574","DNA")</f>
        <v>DNA</v>
      </c>
      <c r="D2172" s="18" t="s">
        <v>7954</v>
      </c>
      <c r="E2172" s="18" t="s">
        <v>5128</v>
      </c>
      <c r="F2172" s="2" t="s">
        <v>7987</v>
      </c>
      <c r="G2172" s="2" t="s">
        <v>861</v>
      </c>
      <c r="H2172" s="14">
        <v>0.34</v>
      </c>
      <c r="I2172" s="2" t="s">
        <v>4761</v>
      </c>
      <c r="J2172" s="2" t="s">
        <v>5144</v>
      </c>
      <c r="K2172" s="2" t="s">
        <v>5221</v>
      </c>
      <c r="L2172" s="2" t="s">
        <v>5221</v>
      </c>
      <c r="M2172" s="2" t="s">
        <v>5221</v>
      </c>
      <c r="N2172" s="2" t="s">
        <v>2317</v>
      </c>
      <c r="O2172" s="14">
        <v>1700</v>
      </c>
      <c r="P2172" s="14">
        <v>92.94</v>
      </c>
      <c r="Q2172" s="14">
        <v>120.02</v>
      </c>
      <c r="R2172" s="14">
        <v>40.81</v>
      </c>
      <c r="S2172" s="2" t="s">
        <v>1406</v>
      </c>
      <c r="T2172" s="2">
        <v>1.01</v>
      </c>
      <c r="U2172" s="2">
        <v>61.3</v>
      </c>
      <c r="V2172" s="2">
        <v>63</v>
      </c>
      <c r="W2172" s="2" t="s">
        <v>7862</v>
      </c>
      <c r="X2172" s="2" t="s">
        <v>5405</v>
      </c>
      <c r="Y2172" s="2">
        <v>578</v>
      </c>
      <c r="Z2172" s="19" t="str">
        <f>HYPERLINK("https://ssdweb.co/ssdweb/hd/Vision360.html?d=920661574&amp;zoomslide=1&amp;z=1920661574&amp;ISCONFIRM=0","VIDEO")</f>
        <v>VIDEO</v>
      </c>
      <c r="AA2172" s="19" t="str">
        <f>HYPERLINK("https://ssdweb.co/ssdweb/CERTH/640473953.pdf","CERTI")</f>
        <v>CERTI</v>
      </c>
    </row>
    <row r="2173" spans="1:27" ht="15" x14ac:dyDescent="0.25">
      <c r="A2173" s="2">
        <v>2168</v>
      </c>
      <c r="B2173" s="39">
        <v>831020595</v>
      </c>
      <c r="C2173" s="28" t="str">
        <f>HYPERLINK("https://pld.live/RapDetail.aspx?STONELIST=831020595","DNA")</f>
        <v>DNA</v>
      </c>
      <c r="D2173" s="18" t="s">
        <v>7954</v>
      </c>
      <c r="E2173" s="18" t="s">
        <v>2186</v>
      </c>
      <c r="F2173" s="2" t="s">
        <v>7987</v>
      </c>
      <c r="G2173" s="2" t="s">
        <v>861</v>
      </c>
      <c r="H2173" s="14">
        <v>0.34</v>
      </c>
      <c r="I2173" s="2" t="s">
        <v>4761</v>
      </c>
      <c r="J2173" s="2" t="s">
        <v>444</v>
      </c>
      <c r="K2173" s="2" t="s">
        <v>3390</v>
      </c>
      <c r="L2173" s="2" t="s">
        <v>5221</v>
      </c>
      <c r="M2173" s="2" t="s">
        <v>5221</v>
      </c>
      <c r="N2173" s="2" t="s">
        <v>2317</v>
      </c>
      <c r="O2173" s="14">
        <v>1600</v>
      </c>
      <c r="P2173" s="14">
        <v>93.38</v>
      </c>
      <c r="Q2173" s="14">
        <v>105.92</v>
      </c>
      <c r="R2173" s="14">
        <v>36.01</v>
      </c>
      <c r="S2173" s="2" t="s">
        <v>5263</v>
      </c>
      <c r="T2173" s="2">
        <v>1.01</v>
      </c>
      <c r="U2173" s="2">
        <v>61.4</v>
      </c>
      <c r="V2173" s="2">
        <v>58</v>
      </c>
      <c r="W2173" s="2" t="s">
        <v>7862</v>
      </c>
      <c r="X2173" s="2" t="s">
        <v>5405</v>
      </c>
      <c r="Y2173" s="2">
        <v>544</v>
      </c>
      <c r="Z2173" s="19" t="str">
        <f>HYPERLINK("https://ssdweb.co/ssdweb/hd/Vision360.html?d=831020595&amp;zoomslide=1&amp;z=1831020595&amp;ISCONFIRM=0","VIDEO")</f>
        <v>VIDEO</v>
      </c>
      <c r="AA2173" s="19" t="str">
        <f>HYPERLINK("https://ssdweb.co/ssdweb/CERTH/595368234.pdf","CERTI")</f>
        <v>CERTI</v>
      </c>
    </row>
    <row r="2174" spans="1:27" ht="15" x14ac:dyDescent="0.25">
      <c r="A2174" s="2">
        <v>2169</v>
      </c>
      <c r="B2174" s="39">
        <v>924090429</v>
      </c>
      <c r="C2174" s="28" t="str">
        <f>HYPERLINK("https://pld.live/RapDetail.aspx?STONELIST=924090429","DNA")</f>
        <v>DNA</v>
      </c>
      <c r="D2174" s="18" t="s">
        <v>7954</v>
      </c>
      <c r="E2174" s="18" t="s">
        <v>2186</v>
      </c>
      <c r="F2174" s="2" t="s">
        <v>7987</v>
      </c>
      <c r="G2174" s="2" t="s">
        <v>861</v>
      </c>
      <c r="H2174" s="14">
        <v>0.34</v>
      </c>
      <c r="I2174" s="2" t="s">
        <v>4761</v>
      </c>
      <c r="J2174" s="2" t="s">
        <v>444</v>
      </c>
      <c r="K2174" s="2" t="s">
        <v>5221</v>
      </c>
      <c r="L2174" s="2" t="s">
        <v>5221</v>
      </c>
      <c r="M2174" s="2" t="s">
        <v>5221</v>
      </c>
      <c r="N2174" s="2" t="s">
        <v>2317</v>
      </c>
      <c r="O2174" s="14">
        <v>1600</v>
      </c>
      <c r="P2174" s="14">
        <v>93.38</v>
      </c>
      <c r="Q2174" s="14">
        <v>105.92</v>
      </c>
      <c r="R2174" s="14">
        <v>36.01</v>
      </c>
      <c r="S2174" s="2" t="s">
        <v>3372</v>
      </c>
      <c r="T2174" s="2">
        <v>1.01</v>
      </c>
      <c r="U2174" s="2">
        <v>62.7</v>
      </c>
      <c r="V2174" s="2">
        <v>55.5</v>
      </c>
      <c r="W2174" s="2" t="s">
        <v>7862</v>
      </c>
      <c r="X2174" s="2" t="s">
        <v>5405</v>
      </c>
      <c r="Y2174" s="2">
        <v>544</v>
      </c>
      <c r="Z2174" s="19" t="str">
        <f>HYPERLINK("https://ssdweb.co/ssdweb/hd/Vision360.html?d=924090429&amp;zoomslide=1&amp;z=1924090429&amp;ISCONFIRM=0","VIDEO")</f>
        <v>VIDEO</v>
      </c>
      <c r="AA2174" s="19" t="str">
        <f>HYPERLINK("https://ssdweb.co/ssdweb/CERTH/575312486.pdf","CERTI")</f>
        <v>CERTI</v>
      </c>
    </row>
    <row r="2175" spans="1:27" ht="15" x14ac:dyDescent="0.25">
      <c r="A2175" s="2">
        <v>2170</v>
      </c>
      <c r="B2175" s="39">
        <v>925420023</v>
      </c>
      <c r="C2175" s="28" t="str">
        <f>HYPERLINK("https://pld.live/RapDetail.aspx?STONELIST=925420023","DNA")</f>
        <v>DNA</v>
      </c>
      <c r="D2175" s="18" t="s">
        <v>7954</v>
      </c>
      <c r="E2175" s="18" t="s">
        <v>5128</v>
      </c>
      <c r="F2175" s="2" t="s">
        <v>7987</v>
      </c>
      <c r="G2175" s="2" t="s">
        <v>861</v>
      </c>
      <c r="H2175" s="14">
        <v>0.34</v>
      </c>
      <c r="I2175" s="2" t="s">
        <v>4761</v>
      </c>
      <c r="J2175" s="2" t="s">
        <v>444</v>
      </c>
      <c r="K2175" s="2" t="s">
        <v>5221</v>
      </c>
      <c r="L2175" s="2" t="s">
        <v>5221</v>
      </c>
      <c r="M2175" s="2" t="s">
        <v>5221</v>
      </c>
      <c r="N2175" s="2" t="s">
        <v>2317</v>
      </c>
      <c r="O2175" s="14">
        <v>1600</v>
      </c>
      <c r="P2175" s="14">
        <v>93.38</v>
      </c>
      <c r="Q2175" s="14">
        <v>105.92</v>
      </c>
      <c r="R2175" s="14">
        <v>36.01</v>
      </c>
      <c r="S2175" s="2" t="s">
        <v>5263</v>
      </c>
      <c r="T2175" s="2">
        <v>1.01</v>
      </c>
      <c r="U2175" s="2">
        <v>61.4</v>
      </c>
      <c r="V2175" s="2">
        <v>58</v>
      </c>
      <c r="W2175" s="2" t="s">
        <v>7862</v>
      </c>
      <c r="X2175" s="2" t="s">
        <v>5405</v>
      </c>
      <c r="Y2175" s="2">
        <v>544</v>
      </c>
      <c r="Z2175" s="19" t="str">
        <f>HYPERLINK("https://ssdweb.co/ssdweb/hd/Vision360.html?d=925420023&amp;zoomslide=1&amp;z=1925420023&amp;ISCONFIRM=0","VIDEO")</f>
        <v>VIDEO</v>
      </c>
      <c r="AA2175" s="19" t="str">
        <f>HYPERLINK("https://ssdweb.co/ssdweb/CERTH/615342859.pdf","CERTI")</f>
        <v>CERTI</v>
      </c>
    </row>
    <row r="2176" spans="1:27" ht="15" x14ac:dyDescent="0.25">
      <c r="A2176" s="2">
        <v>2171</v>
      </c>
      <c r="B2176" s="39">
        <v>926191425</v>
      </c>
      <c r="C2176" s="28" t="str">
        <f>HYPERLINK("https://pld.live/RapDetail.aspx?STONELIST=926191425","DNA")</f>
        <v>DNA</v>
      </c>
      <c r="D2176" s="18" t="s">
        <v>7954</v>
      </c>
      <c r="E2176" s="18" t="s">
        <v>5128</v>
      </c>
      <c r="F2176" s="2" t="s">
        <v>7987</v>
      </c>
      <c r="G2176" s="2" t="s">
        <v>861</v>
      </c>
      <c r="H2176" s="14">
        <v>0.34</v>
      </c>
      <c r="I2176" s="2" t="s">
        <v>4699</v>
      </c>
      <c r="J2176" s="2" t="s">
        <v>3942</v>
      </c>
      <c r="K2176" s="2" t="s">
        <v>5221</v>
      </c>
      <c r="L2176" s="2" t="s">
        <v>5221</v>
      </c>
      <c r="M2176" s="2" t="s">
        <v>5721</v>
      </c>
      <c r="N2176" s="2" t="s">
        <v>2317</v>
      </c>
      <c r="O2176" s="14">
        <v>1900</v>
      </c>
      <c r="P2176" s="14">
        <v>93.53</v>
      </c>
      <c r="Q2176" s="14">
        <v>122.93</v>
      </c>
      <c r="R2176" s="14">
        <v>41.8</v>
      </c>
      <c r="S2176" s="2" t="s">
        <v>5155</v>
      </c>
      <c r="T2176" s="2">
        <v>1.01</v>
      </c>
      <c r="U2176" s="2">
        <v>63.4</v>
      </c>
      <c r="V2176" s="2">
        <v>57</v>
      </c>
      <c r="W2176" s="2" t="s">
        <v>7862</v>
      </c>
      <c r="X2176" s="2" t="s">
        <v>5405</v>
      </c>
      <c r="Y2176" s="2">
        <v>646</v>
      </c>
      <c r="Z2176" s="19" t="str">
        <f>HYPERLINK("https://ssdweb.co/ssdweb/hd/Vision360.html?d=926191425&amp;zoomslide=1&amp;z=1926191425&amp;ISCONFIRM=0","VIDEO")</f>
        <v>VIDEO</v>
      </c>
      <c r="AA2176" s="19" t="str">
        <f>HYPERLINK("https://ssdweb.co/ssdweb/CERTH/638462983.pdf","CERTI")</f>
        <v>CERTI</v>
      </c>
    </row>
    <row r="2177" spans="1:27" ht="15" x14ac:dyDescent="0.25">
      <c r="A2177" s="2">
        <v>2172</v>
      </c>
      <c r="B2177" s="39">
        <v>926240765</v>
      </c>
      <c r="C2177" s="28" t="str">
        <f>HYPERLINK("https://pld.live/RapDetail.aspx?STONELIST=926240765","DNA")</f>
        <v>DNA</v>
      </c>
      <c r="D2177" s="18" t="s">
        <v>7954</v>
      </c>
      <c r="E2177" s="18" t="s">
        <v>5128</v>
      </c>
      <c r="F2177" s="2" t="s">
        <v>7987</v>
      </c>
      <c r="G2177" s="2" t="s">
        <v>861</v>
      </c>
      <c r="H2177" s="14">
        <v>0.33</v>
      </c>
      <c r="I2177" s="2" t="s">
        <v>267</v>
      </c>
      <c r="J2177" s="2" t="s">
        <v>6555</v>
      </c>
      <c r="K2177" s="2" t="s">
        <v>3390</v>
      </c>
      <c r="L2177" s="2" t="s">
        <v>5221</v>
      </c>
      <c r="M2177" s="2" t="s">
        <v>5221</v>
      </c>
      <c r="N2177" s="2" t="s">
        <v>2317</v>
      </c>
      <c r="O2177" s="14">
        <v>2500</v>
      </c>
      <c r="P2177" s="14">
        <v>93.48</v>
      </c>
      <c r="Q2177" s="14">
        <v>163</v>
      </c>
      <c r="R2177" s="14">
        <v>53.79</v>
      </c>
      <c r="S2177" s="2" t="s">
        <v>5207</v>
      </c>
      <c r="T2177" s="2">
        <v>1.01</v>
      </c>
      <c r="U2177" s="2">
        <v>61.6</v>
      </c>
      <c r="V2177" s="2">
        <v>60</v>
      </c>
      <c r="W2177" s="2" t="s">
        <v>7862</v>
      </c>
      <c r="X2177" s="2" t="s">
        <v>5405</v>
      </c>
      <c r="Y2177" s="2">
        <v>825</v>
      </c>
      <c r="Z2177" s="19" t="str">
        <f>HYPERLINK("https://ssdweb.co/ssdweb/hd/Vision360.html?d=926240765&amp;zoomslide=1&amp;z=1926240765&amp;ISCONFIRM=0","VIDEO")</f>
        <v>VIDEO</v>
      </c>
      <c r="AA2177" s="19" t="str">
        <f>HYPERLINK("https://ssdweb.co/ssdweb/CERTH/692533966.pdf","CERTI")</f>
        <v>CERTI</v>
      </c>
    </row>
    <row r="2178" spans="1:27" ht="15" x14ac:dyDescent="0.25">
      <c r="A2178" s="2">
        <v>2173</v>
      </c>
      <c r="B2178" s="39">
        <v>941390452</v>
      </c>
      <c r="C2178" s="28" t="str">
        <f>HYPERLINK("https://pld.live/RapDetail.aspx?STONELIST=941390452","DNA")</f>
        <v>DNA</v>
      </c>
      <c r="D2178" s="18" t="s">
        <v>7954</v>
      </c>
      <c r="E2178" s="18" t="s">
        <v>2186</v>
      </c>
      <c r="F2178" s="2" t="s">
        <v>7987</v>
      </c>
      <c r="G2178" s="2" t="s">
        <v>861</v>
      </c>
      <c r="H2178" s="14">
        <v>0.33</v>
      </c>
      <c r="I2178" s="2" t="s">
        <v>267</v>
      </c>
      <c r="J2178" s="2" t="s">
        <v>3942</v>
      </c>
      <c r="K2178" s="2" t="s">
        <v>3390</v>
      </c>
      <c r="L2178" s="2" t="s">
        <v>5221</v>
      </c>
      <c r="M2178" s="2" t="s">
        <v>5221</v>
      </c>
      <c r="N2178" s="2" t="s">
        <v>2317</v>
      </c>
      <c r="O2178" s="14">
        <v>2200</v>
      </c>
      <c r="P2178" s="14">
        <v>93.27</v>
      </c>
      <c r="Q2178" s="14">
        <v>148.06</v>
      </c>
      <c r="R2178" s="14">
        <v>48.86</v>
      </c>
      <c r="S2178" s="2" t="s">
        <v>5238</v>
      </c>
      <c r="T2178" s="2">
        <v>1</v>
      </c>
      <c r="U2178" s="2">
        <v>60.9</v>
      </c>
      <c r="V2178" s="2">
        <v>59</v>
      </c>
      <c r="W2178" s="2" t="s">
        <v>7862</v>
      </c>
      <c r="X2178" s="2" t="s">
        <v>5405</v>
      </c>
      <c r="Y2178" s="2">
        <v>726</v>
      </c>
      <c r="Z2178" s="19" t="str">
        <f>HYPERLINK("https://ssdweb.co/ssdweb/hd/Vision360.html?d=941390452&amp;zoomslide=1&amp;z=1941390452&amp;ISCONFIRM=0","VIDEO")</f>
        <v>VIDEO</v>
      </c>
      <c r="AA2178" s="19" t="str">
        <f>HYPERLINK("https://ssdweb.co/ssdweb/CERTH/691533678.pdf","CERTI")</f>
        <v>CERTI</v>
      </c>
    </row>
    <row r="2179" spans="1:27" ht="15" x14ac:dyDescent="0.25">
      <c r="A2179" s="2">
        <v>2174</v>
      </c>
      <c r="B2179" s="39">
        <v>925910544</v>
      </c>
      <c r="C2179" s="28" t="str">
        <f>HYPERLINK("https://pld.live/RapDetail.aspx?STONELIST=925910544","DNA")</f>
        <v>DNA</v>
      </c>
      <c r="D2179" s="18" t="s">
        <v>7954</v>
      </c>
      <c r="E2179" s="18" t="s">
        <v>5128</v>
      </c>
      <c r="F2179" s="2" t="s">
        <v>7987</v>
      </c>
      <c r="G2179" s="2" t="s">
        <v>861</v>
      </c>
      <c r="H2179" s="14">
        <v>0.33</v>
      </c>
      <c r="I2179" s="2" t="s">
        <v>267</v>
      </c>
      <c r="J2179" s="2" t="s">
        <v>3942</v>
      </c>
      <c r="K2179" s="2" t="s">
        <v>3390</v>
      </c>
      <c r="L2179" s="2" t="s">
        <v>5221</v>
      </c>
      <c r="M2179" s="2" t="s">
        <v>5721</v>
      </c>
      <c r="N2179" s="2" t="s">
        <v>2317</v>
      </c>
      <c r="O2179" s="14">
        <v>2200</v>
      </c>
      <c r="P2179" s="14">
        <v>93.73</v>
      </c>
      <c r="Q2179" s="14">
        <v>137.94</v>
      </c>
      <c r="R2179" s="14">
        <v>45.52</v>
      </c>
      <c r="S2179" s="2" t="s">
        <v>1094</v>
      </c>
      <c r="T2179" s="2">
        <v>1.01</v>
      </c>
      <c r="U2179" s="2">
        <v>61.2</v>
      </c>
      <c r="V2179" s="2">
        <v>57</v>
      </c>
      <c r="W2179" s="2" t="s">
        <v>7862</v>
      </c>
      <c r="X2179" s="2" t="s">
        <v>5405</v>
      </c>
      <c r="Y2179" s="2">
        <v>726</v>
      </c>
      <c r="Z2179" s="19" t="str">
        <f>HYPERLINK("https://ssdweb.co/ssdweb/hd/Vision360.html?d=925910544&amp;zoomslide=1&amp;z=1925910544&amp;ISCONFIRM=0","VIDEO")</f>
        <v>VIDEO</v>
      </c>
      <c r="AA2179" s="19" t="str">
        <f>HYPERLINK("https://ssdweb.co/ssdweb/CERTH/627427332.pdf","CERTI")</f>
        <v>CERTI</v>
      </c>
    </row>
    <row r="2180" spans="1:27" ht="15" x14ac:dyDescent="0.25">
      <c r="A2180" s="2">
        <v>2175</v>
      </c>
      <c r="B2180" s="39">
        <v>926091236</v>
      </c>
      <c r="C2180" s="28" t="str">
        <f>HYPERLINK("https://pld.live/RapDetail.aspx?STONELIST=926091236","DNA")</f>
        <v>DNA</v>
      </c>
      <c r="D2180" s="18" t="s">
        <v>7954</v>
      </c>
      <c r="E2180" s="18" t="s">
        <v>5128</v>
      </c>
      <c r="F2180" s="2" t="s">
        <v>7987</v>
      </c>
      <c r="G2180" s="2" t="s">
        <v>861</v>
      </c>
      <c r="H2180" s="14">
        <v>0.33</v>
      </c>
      <c r="I2180" s="2" t="s">
        <v>267</v>
      </c>
      <c r="J2180" s="2" t="s">
        <v>3942</v>
      </c>
      <c r="K2180" s="2" t="s">
        <v>3390</v>
      </c>
      <c r="L2180" s="2" t="s">
        <v>5221</v>
      </c>
      <c r="M2180" s="2" t="s">
        <v>5721</v>
      </c>
      <c r="N2180" s="2" t="s">
        <v>2317</v>
      </c>
      <c r="O2180" s="14">
        <v>2200</v>
      </c>
      <c r="P2180" s="14">
        <v>93.73</v>
      </c>
      <c r="Q2180" s="14">
        <v>137.94</v>
      </c>
      <c r="R2180" s="14">
        <v>45.52</v>
      </c>
      <c r="S2180" s="2" t="s">
        <v>3610</v>
      </c>
      <c r="T2180" s="2">
        <v>1.01</v>
      </c>
      <c r="U2180" s="2">
        <v>61.6</v>
      </c>
      <c r="V2180" s="2">
        <v>60</v>
      </c>
      <c r="W2180" s="2" t="s">
        <v>7862</v>
      </c>
      <c r="X2180" s="2" t="s">
        <v>5405</v>
      </c>
      <c r="Y2180" s="2">
        <v>726</v>
      </c>
      <c r="Z2180" s="19" t="str">
        <f>HYPERLINK("https://ssdweb.co/ssdweb/hd/Vision360.html?d=926091236&amp;zoomslide=1&amp;z=1926091236&amp;ISCONFIRM=0","VIDEO")</f>
        <v>VIDEO</v>
      </c>
      <c r="AA2180" s="19" t="str">
        <f>HYPERLINK("https://ssdweb.co/ssdweb/CERTH/632449499.pdf","CERTI")</f>
        <v>CERTI</v>
      </c>
    </row>
    <row r="2181" spans="1:27" ht="15" x14ac:dyDescent="0.25">
      <c r="A2181" s="2">
        <v>2176</v>
      </c>
      <c r="B2181" s="39">
        <v>926191145</v>
      </c>
      <c r="C2181" s="28" t="str">
        <f>HYPERLINK("https://pld.live/RapDetail.aspx?STONELIST=926191145","DNA")</f>
        <v>DNA</v>
      </c>
      <c r="D2181" s="18" t="s">
        <v>7954</v>
      </c>
      <c r="E2181" s="18" t="s">
        <v>5128</v>
      </c>
      <c r="F2181" s="2" t="s">
        <v>7987</v>
      </c>
      <c r="G2181" s="2" t="s">
        <v>861</v>
      </c>
      <c r="H2181" s="14">
        <v>0.33</v>
      </c>
      <c r="I2181" s="2" t="s">
        <v>267</v>
      </c>
      <c r="J2181" s="2" t="s">
        <v>3942</v>
      </c>
      <c r="K2181" s="2" t="s">
        <v>3390</v>
      </c>
      <c r="L2181" s="2" t="s">
        <v>5221</v>
      </c>
      <c r="M2181" s="2" t="s">
        <v>5721</v>
      </c>
      <c r="N2181" s="2" t="s">
        <v>2317</v>
      </c>
      <c r="O2181" s="14">
        <v>2200</v>
      </c>
      <c r="P2181" s="14">
        <v>93.73</v>
      </c>
      <c r="Q2181" s="14">
        <v>137.94</v>
      </c>
      <c r="R2181" s="14">
        <v>45.52</v>
      </c>
      <c r="S2181" s="2" t="s">
        <v>7653</v>
      </c>
      <c r="T2181" s="2">
        <v>1.01</v>
      </c>
      <c r="U2181" s="2">
        <v>60.7</v>
      </c>
      <c r="V2181" s="2">
        <v>59</v>
      </c>
      <c r="W2181" s="2" t="s">
        <v>7862</v>
      </c>
      <c r="X2181" s="2" t="s">
        <v>5405</v>
      </c>
      <c r="Y2181" s="2">
        <v>726</v>
      </c>
      <c r="Z2181" s="19" t="str">
        <f>HYPERLINK("https://ssdweb.co/ssdweb/hd/Vision360.html?d=926191145&amp;zoomslide=1&amp;z=1926191145&amp;ISCONFIRM=0","VIDEO")</f>
        <v>VIDEO</v>
      </c>
      <c r="AA2181" s="19" t="str">
        <f>HYPERLINK("https://ssdweb.co/ssdweb/CERTH/637467438.pdf","CERTI")</f>
        <v>CERTI</v>
      </c>
    </row>
    <row r="2182" spans="1:27" ht="15" x14ac:dyDescent="0.25">
      <c r="A2182" s="2">
        <v>2177</v>
      </c>
      <c r="B2182" s="39">
        <v>926191115</v>
      </c>
      <c r="C2182" s="28" t="str">
        <f>HYPERLINK("https://pld.live/RapDetail.aspx?STONELIST=926191115","DNA")</f>
        <v>DNA</v>
      </c>
      <c r="D2182" s="18" t="s">
        <v>7954</v>
      </c>
      <c r="E2182" s="18" t="s">
        <v>5128</v>
      </c>
      <c r="F2182" s="2" t="s">
        <v>7987</v>
      </c>
      <c r="G2182" s="2" t="s">
        <v>861</v>
      </c>
      <c r="H2182" s="14">
        <v>0.33</v>
      </c>
      <c r="I2182" s="2" t="s">
        <v>267</v>
      </c>
      <c r="J2182" s="2" t="s">
        <v>3942</v>
      </c>
      <c r="K2182" s="2" t="s">
        <v>3390</v>
      </c>
      <c r="L2182" s="2" t="s">
        <v>5221</v>
      </c>
      <c r="M2182" s="2" t="s">
        <v>5721</v>
      </c>
      <c r="N2182" s="2" t="s">
        <v>2317</v>
      </c>
      <c r="O2182" s="14">
        <v>2200</v>
      </c>
      <c r="P2182" s="14">
        <v>93.73</v>
      </c>
      <c r="Q2182" s="14">
        <v>137.94</v>
      </c>
      <c r="R2182" s="14">
        <v>45.52</v>
      </c>
      <c r="S2182" s="2" t="s">
        <v>2567</v>
      </c>
      <c r="T2182" s="2">
        <v>1.01</v>
      </c>
      <c r="U2182" s="2">
        <v>62</v>
      </c>
      <c r="V2182" s="2">
        <v>57</v>
      </c>
      <c r="W2182" s="2" t="s">
        <v>7862</v>
      </c>
      <c r="X2182" s="2" t="s">
        <v>5405</v>
      </c>
      <c r="Y2182" s="2">
        <v>726</v>
      </c>
      <c r="Z2182" s="19" t="str">
        <f>HYPERLINK("https://ssdweb.co/ssdweb/hd/Vision360.html?d=926191115&amp;zoomslide=1&amp;z=1926191115&amp;ISCONFIRM=0","VIDEO")</f>
        <v>VIDEO</v>
      </c>
      <c r="AA2182" s="19" t="str">
        <f>HYPERLINK("https://ssdweb.co/ssdweb/CERTH/637467354.pdf","CERTI")</f>
        <v>CERTI</v>
      </c>
    </row>
    <row r="2183" spans="1:27" ht="15" x14ac:dyDescent="0.25">
      <c r="A2183" s="2">
        <v>2178</v>
      </c>
      <c r="B2183" s="39">
        <v>926080972</v>
      </c>
      <c r="C2183" s="28" t="str">
        <f>HYPERLINK("https://pld.live/RapDetail.aspx?STONELIST=926080972","DNA")</f>
        <v>DNA</v>
      </c>
      <c r="D2183" s="18" t="s">
        <v>7954</v>
      </c>
      <c r="E2183" s="18" t="s">
        <v>5128</v>
      </c>
      <c r="F2183" s="2" t="s">
        <v>7987</v>
      </c>
      <c r="G2183" s="2" t="s">
        <v>861</v>
      </c>
      <c r="H2183" s="14">
        <v>0.33</v>
      </c>
      <c r="I2183" s="2" t="s">
        <v>267</v>
      </c>
      <c r="J2183" s="2" t="s">
        <v>3942</v>
      </c>
      <c r="K2183" s="2" t="s">
        <v>3390</v>
      </c>
      <c r="L2183" s="2" t="s">
        <v>5221</v>
      </c>
      <c r="M2183" s="2" t="s">
        <v>5721</v>
      </c>
      <c r="N2183" s="2" t="s">
        <v>2317</v>
      </c>
      <c r="O2183" s="14">
        <v>2200</v>
      </c>
      <c r="P2183" s="14">
        <v>93.73</v>
      </c>
      <c r="Q2183" s="14">
        <v>137.94</v>
      </c>
      <c r="R2183" s="14">
        <v>45.52</v>
      </c>
      <c r="S2183" s="2" t="s">
        <v>2078</v>
      </c>
      <c r="T2183" s="2">
        <v>1.01</v>
      </c>
      <c r="U2183" s="2">
        <v>62.2</v>
      </c>
      <c r="V2183" s="2">
        <v>57</v>
      </c>
      <c r="W2183" s="2" t="s">
        <v>7862</v>
      </c>
      <c r="X2183" s="2" t="s">
        <v>5405</v>
      </c>
      <c r="Y2183" s="2">
        <v>726</v>
      </c>
      <c r="Z2183" s="19" t="str">
        <f>HYPERLINK("https://ssdweb.co/ssdweb/hd/Vision360.html?d=926080972&amp;zoomslide=1&amp;z=1926080972&amp;ISCONFIRM=0","VIDEO")</f>
        <v>VIDEO</v>
      </c>
      <c r="AA2183" s="19" t="str">
        <f>HYPERLINK("https://ssdweb.co/ssdweb/CERTH/631404323.pdf","CERTI")</f>
        <v>CERTI</v>
      </c>
    </row>
    <row r="2184" spans="1:27" ht="15" x14ac:dyDescent="0.25">
      <c r="A2184" s="2">
        <v>2179</v>
      </c>
      <c r="B2184" s="39">
        <v>821127869</v>
      </c>
      <c r="C2184" s="28" t="str">
        <f>HYPERLINK("https://pld.live/RapDetail.aspx?STONELIST=821127869","DNA")</f>
        <v>DNA</v>
      </c>
      <c r="D2184" s="18" t="s">
        <v>7954</v>
      </c>
      <c r="E2184" s="18" t="s">
        <v>5128</v>
      </c>
      <c r="F2184" s="2" t="s">
        <v>7987</v>
      </c>
      <c r="G2184" s="2" t="s">
        <v>861</v>
      </c>
      <c r="H2184" s="14">
        <v>0.33</v>
      </c>
      <c r="I2184" s="2" t="s">
        <v>267</v>
      </c>
      <c r="J2184" s="2" t="s">
        <v>3942</v>
      </c>
      <c r="K2184" s="2" t="s">
        <v>3390</v>
      </c>
      <c r="L2184" s="2" t="s">
        <v>5721</v>
      </c>
      <c r="M2184" s="2" t="s">
        <v>5221</v>
      </c>
      <c r="N2184" s="2" t="s">
        <v>2317</v>
      </c>
      <c r="O2184" s="14">
        <v>2200</v>
      </c>
      <c r="P2184" s="14">
        <v>93.73</v>
      </c>
      <c r="Q2184" s="14">
        <v>137.94</v>
      </c>
      <c r="R2184" s="14">
        <v>45.52</v>
      </c>
      <c r="S2184" s="2" t="s">
        <v>7380</v>
      </c>
      <c r="T2184" s="2">
        <v>1.01</v>
      </c>
      <c r="U2184" s="2">
        <v>60.2</v>
      </c>
      <c r="V2184" s="2">
        <v>60</v>
      </c>
      <c r="W2184" s="2" t="s">
        <v>7862</v>
      </c>
      <c r="X2184" s="2" t="s">
        <v>5405</v>
      </c>
      <c r="Y2184" s="2">
        <v>726</v>
      </c>
      <c r="Z2184" s="19" t="str">
        <f>HYPERLINK("https://ssdweb.co/ssdweb/hd/Vision360.html?d=821127869&amp;zoomslide=1&amp;z=1821127869&amp;ISCONFIRM=0","VIDEO")</f>
        <v>VIDEO</v>
      </c>
      <c r="AA2184" s="19" t="str">
        <f>HYPERLINK("https://ssdweb.co/ssdweb/CERTH/633499535.pdf","CERTI")</f>
        <v>CERTI</v>
      </c>
    </row>
    <row r="2185" spans="1:27" ht="15" x14ac:dyDescent="0.25">
      <c r="A2185" s="2">
        <v>2180</v>
      </c>
      <c r="B2185" s="39">
        <v>821127964</v>
      </c>
      <c r="C2185" s="28" t="str">
        <f>HYPERLINK("https://pld.live/RapDetail.aspx?STONELIST=821127964","DNA")</f>
        <v>DNA</v>
      </c>
      <c r="D2185" s="18" t="s">
        <v>7954</v>
      </c>
      <c r="E2185" s="18" t="s">
        <v>5128</v>
      </c>
      <c r="F2185" s="2" t="s">
        <v>7987</v>
      </c>
      <c r="G2185" s="2" t="s">
        <v>861</v>
      </c>
      <c r="H2185" s="14">
        <v>0.33</v>
      </c>
      <c r="I2185" s="2" t="s">
        <v>267</v>
      </c>
      <c r="J2185" s="2" t="s">
        <v>3942</v>
      </c>
      <c r="K2185" s="2" t="s">
        <v>3390</v>
      </c>
      <c r="L2185" s="2" t="s">
        <v>5721</v>
      </c>
      <c r="M2185" s="2" t="s">
        <v>5721</v>
      </c>
      <c r="N2185" s="2" t="s">
        <v>2317</v>
      </c>
      <c r="O2185" s="14">
        <v>2200</v>
      </c>
      <c r="P2185" s="14">
        <v>93.82</v>
      </c>
      <c r="Q2185" s="14">
        <v>135.96</v>
      </c>
      <c r="R2185" s="14">
        <v>44.87</v>
      </c>
      <c r="S2185" s="2" t="s">
        <v>3206</v>
      </c>
      <c r="T2185" s="2">
        <v>1.01</v>
      </c>
      <c r="U2185" s="2">
        <v>62.2</v>
      </c>
      <c r="V2185" s="2">
        <v>60</v>
      </c>
      <c r="W2185" s="2" t="s">
        <v>7862</v>
      </c>
      <c r="X2185" s="2" t="s">
        <v>5405</v>
      </c>
      <c r="Y2185" s="2">
        <v>726</v>
      </c>
      <c r="Z2185" s="19" t="str">
        <f>HYPERLINK("https://ssdweb.co/ssdweb/hd/Vision360.html?d=821127964&amp;zoomslide=1&amp;z=1821127964&amp;ISCONFIRM=0","VIDEO")</f>
        <v>VIDEO</v>
      </c>
      <c r="AA2185" s="19" t="str">
        <f>HYPERLINK("https://ssdweb.co/ssdweb/CERTH/633431884.pdf","CERTI")</f>
        <v>CERTI</v>
      </c>
    </row>
    <row r="2186" spans="1:27" ht="15" x14ac:dyDescent="0.25">
      <c r="A2186" s="2">
        <v>2181</v>
      </c>
      <c r="B2186" s="39">
        <v>926171554</v>
      </c>
      <c r="C2186" s="28" t="str">
        <f>HYPERLINK("https://pld.live/RapDetail.aspx?STONELIST=926171554","DNA")</f>
        <v>DNA</v>
      </c>
      <c r="D2186" s="18" t="s">
        <v>7954</v>
      </c>
      <c r="E2186" s="18" t="s">
        <v>5128</v>
      </c>
      <c r="F2186" s="2" t="s">
        <v>7987</v>
      </c>
      <c r="G2186" s="2" t="s">
        <v>861</v>
      </c>
      <c r="H2186" s="14">
        <v>0.33</v>
      </c>
      <c r="I2186" s="2" t="s">
        <v>267</v>
      </c>
      <c r="J2186" s="2" t="s">
        <v>3942</v>
      </c>
      <c r="K2186" s="2" t="s">
        <v>3390</v>
      </c>
      <c r="L2186" s="2" t="s">
        <v>5721</v>
      </c>
      <c r="M2186" s="2" t="s">
        <v>5721</v>
      </c>
      <c r="N2186" s="2" t="s">
        <v>2317</v>
      </c>
      <c r="O2186" s="14">
        <v>2200</v>
      </c>
      <c r="P2186" s="14">
        <v>93.82</v>
      </c>
      <c r="Q2186" s="14">
        <v>135.96</v>
      </c>
      <c r="R2186" s="14">
        <v>44.87</v>
      </c>
      <c r="S2186" s="2" t="s">
        <v>4239</v>
      </c>
      <c r="T2186" s="2">
        <v>1.01</v>
      </c>
      <c r="U2186" s="2">
        <v>61.9</v>
      </c>
      <c r="V2186" s="2">
        <v>57</v>
      </c>
      <c r="W2186" s="2" t="s">
        <v>7862</v>
      </c>
      <c r="X2186" s="2" t="s">
        <v>5405</v>
      </c>
      <c r="Y2186" s="2">
        <v>726</v>
      </c>
      <c r="Z2186" s="19" t="str">
        <f>HYPERLINK("https://ssdweb.co/ssdweb/hd/Vision360.html?d=926171554&amp;zoomslide=1&amp;z=1926171554&amp;ISCONFIRM=0","VIDEO")</f>
        <v>VIDEO</v>
      </c>
      <c r="AA2186" s="19" t="str">
        <f>HYPERLINK("https://ssdweb.co/ssdweb/CERTH/636429935.pdf","CERTI")</f>
        <v>CERTI</v>
      </c>
    </row>
    <row r="2187" spans="1:27" ht="15" x14ac:dyDescent="0.25">
      <c r="A2187" s="2">
        <v>2182</v>
      </c>
      <c r="B2187" s="39">
        <v>941230182</v>
      </c>
      <c r="C2187" s="28" t="str">
        <f>HYPERLINK("https://pld.live/RapDetail.aspx?STONELIST=941230182","DNA")</f>
        <v>DNA</v>
      </c>
      <c r="D2187" s="18" t="s">
        <v>7954</v>
      </c>
      <c r="E2187" s="18" t="s">
        <v>2186</v>
      </c>
      <c r="F2187" s="2" t="s">
        <v>7987</v>
      </c>
      <c r="G2187" s="2" t="s">
        <v>861</v>
      </c>
      <c r="H2187" s="14">
        <v>0.33</v>
      </c>
      <c r="I2187" s="2" t="s">
        <v>267</v>
      </c>
      <c r="J2187" s="2" t="s">
        <v>3942</v>
      </c>
      <c r="K2187" s="2" t="s">
        <v>5221</v>
      </c>
      <c r="L2187" s="2" t="s">
        <v>5221</v>
      </c>
      <c r="M2187" s="2" t="s">
        <v>5221</v>
      </c>
      <c r="N2187" s="2" t="s">
        <v>2317</v>
      </c>
      <c r="O2187" s="14">
        <v>2200</v>
      </c>
      <c r="P2187" s="14">
        <v>93.27</v>
      </c>
      <c r="Q2187" s="14">
        <v>148.06</v>
      </c>
      <c r="R2187" s="14">
        <v>48.86</v>
      </c>
      <c r="S2187" s="2" t="s">
        <v>6019</v>
      </c>
      <c r="T2187" s="2">
        <v>1.01</v>
      </c>
      <c r="U2187" s="2">
        <v>61.4</v>
      </c>
      <c r="V2187" s="2">
        <v>58</v>
      </c>
      <c r="W2187" s="2" t="s">
        <v>7862</v>
      </c>
      <c r="X2187" s="2" t="s">
        <v>5405</v>
      </c>
      <c r="Y2187" s="2">
        <v>726</v>
      </c>
      <c r="Z2187" s="19" t="str">
        <f>HYPERLINK("https://ssdweb.co/ssdweb/hd/Vision360.html?d=941230182&amp;zoomslide=1&amp;z=1941230182&amp;ISCONFIRM=0","VIDEO")</f>
        <v>VIDEO</v>
      </c>
      <c r="AA2187" s="19" t="str">
        <f>HYPERLINK("https://ssdweb.co/ssdweb/CERTH/692505624.pdf","CERTI")</f>
        <v>CERTI</v>
      </c>
    </row>
    <row r="2188" spans="1:27" ht="15" x14ac:dyDescent="0.25">
      <c r="A2188" s="2">
        <v>2183</v>
      </c>
      <c r="B2188" s="39">
        <v>920661257</v>
      </c>
      <c r="C2188" s="28" t="str">
        <f>HYPERLINK("https://pld.live/RapDetail.aspx?STONELIST=920661257","DNA")</f>
        <v>DNA</v>
      </c>
      <c r="D2188" s="18" t="s">
        <v>7954</v>
      </c>
      <c r="E2188" s="18" t="s">
        <v>5128</v>
      </c>
      <c r="F2188" s="2" t="s">
        <v>7987</v>
      </c>
      <c r="G2188" s="2" t="s">
        <v>861</v>
      </c>
      <c r="H2188" s="14">
        <v>0.33</v>
      </c>
      <c r="I2188" s="2" t="s">
        <v>267</v>
      </c>
      <c r="J2188" s="2" t="s">
        <v>3942</v>
      </c>
      <c r="K2188" s="2" t="s">
        <v>5221</v>
      </c>
      <c r="L2188" s="2" t="s">
        <v>5221</v>
      </c>
      <c r="M2188" s="2" t="s">
        <v>5721</v>
      </c>
      <c r="N2188" s="2" t="s">
        <v>2317</v>
      </c>
      <c r="O2188" s="14">
        <v>2200</v>
      </c>
      <c r="P2188" s="14">
        <v>93.73</v>
      </c>
      <c r="Q2188" s="14">
        <v>137.94</v>
      </c>
      <c r="R2188" s="14">
        <v>45.52</v>
      </c>
      <c r="S2188" s="2" t="s">
        <v>506</v>
      </c>
      <c r="T2188" s="2">
        <v>1.01</v>
      </c>
      <c r="U2188" s="2">
        <v>60.9</v>
      </c>
      <c r="V2188" s="2">
        <v>61</v>
      </c>
      <c r="W2188" s="2" t="s">
        <v>7862</v>
      </c>
      <c r="X2188" s="2" t="s">
        <v>5405</v>
      </c>
      <c r="Y2188" s="2">
        <v>726</v>
      </c>
      <c r="Z2188" s="19" t="str">
        <f>HYPERLINK("https://ssdweb.co/ssdweb/hd/Vision360.html?d=920661257&amp;zoomslide=1&amp;z=1920661257&amp;ISCONFIRM=0","VIDEO")</f>
        <v>VIDEO</v>
      </c>
      <c r="AA2188" s="19" t="str">
        <f>HYPERLINK("https://ssdweb.co/ssdweb/CERTH/637467383.pdf","CERTI")</f>
        <v>CERTI</v>
      </c>
    </row>
    <row r="2189" spans="1:27" ht="15" x14ac:dyDescent="0.25">
      <c r="A2189" s="2">
        <v>2184</v>
      </c>
      <c r="B2189" s="39">
        <v>920661256</v>
      </c>
      <c r="C2189" s="28" t="str">
        <f>HYPERLINK("https://pld.live/RapDetail.aspx?STONELIST=920661256","DNA")</f>
        <v>DNA</v>
      </c>
      <c r="D2189" s="18" t="s">
        <v>7954</v>
      </c>
      <c r="E2189" s="18" t="s">
        <v>5128</v>
      </c>
      <c r="F2189" s="2" t="s">
        <v>7987</v>
      </c>
      <c r="G2189" s="2" t="s">
        <v>861</v>
      </c>
      <c r="H2189" s="14">
        <v>0.33</v>
      </c>
      <c r="I2189" s="2" t="s">
        <v>267</v>
      </c>
      <c r="J2189" s="2" t="s">
        <v>3942</v>
      </c>
      <c r="K2189" s="2" t="s">
        <v>5221</v>
      </c>
      <c r="L2189" s="2" t="s">
        <v>5221</v>
      </c>
      <c r="M2189" s="2" t="s">
        <v>5721</v>
      </c>
      <c r="N2189" s="2" t="s">
        <v>2317</v>
      </c>
      <c r="O2189" s="14">
        <v>2200</v>
      </c>
      <c r="P2189" s="14">
        <v>93.73</v>
      </c>
      <c r="Q2189" s="14">
        <v>137.94</v>
      </c>
      <c r="R2189" s="14">
        <v>45.52</v>
      </c>
      <c r="S2189" s="2" t="s">
        <v>3129</v>
      </c>
      <c r="T2189" s="2">
        <v>1.01</v>
      </c>
      <c r="U2189" s="2">
        <v>62.8</v>
      </c>
      <c r="V2189" s="2">
        <v>57</v>
      </c>
      <c r="W2189" s="2" t="s">
        <v>7862</v>
      </c>
      <c r="X2189" s="2" t="s">
        <v>5405</v>
      </c>
      <c r="Y2189" s="2">
        <v>726</v>
      </c>
      <c r="Z2189" s="19" t="str">
        <f>HYPERLINK("https://ssdweb.co/ssdweb/hd/Vision360.html?d=920661256&amp;zoomslide=1&amp;z=1920661256&amp;ISCONFIRM=0","VIDEO")</f>
        <v>VIDEO</v>
      </c>
      <c r="AA2189" s="19" t="str">
        <f>HYPERLINK("https://ssdweb.co/ssdweb/CERTH/637467381.pdf","CERTI")</f>
        <v>CERTI</v>
      </c>
    </row>
    <row r="2190" spans="1:27" ht="15" x14ac:dyDescent="0.25">
      <c r="A2190" s="2">
        <v>2185</v>
      </c>
      <c r="B2190" s="39">
        <v>926231021</v>
      </c>
      <c r="C2190" s="28" t="str">
        <f>HYPERLINK("https://pld.live/RapDetail.aspx?STONELIST=926231021","DNA")</f>
        <v>DNA</v>
      </c>
      <c r="D2190" s="18" t="s">
        <v>7954</v>
      </c>
      <c r="E2190" s="18" t="s">
        <v>5128</v>
      </c>
      <c r="F2190" s="2" t="s">
        <v>7987</v>
      </c>
      <c r="G2190" s="2" t="s">
        <v>861</v>
      </c>
      <c r="H2190" s="14">
        <v>0.33</v>
      </c>
      <c r="I2190" s="2" t="s">
        <v>267</v>
      </c>
      <c r="J2190" s="2" t="s">
        <v>3942</v>
      </c>
      <c r="K2190" s="2" t="s">
        <v>5221</v>
      </c>
      <c r="L2190" s="2" t="s">
        <v>5721</v>
      </c>
      <c r="M2190" s="2" t="s">
        <v>5221</v>
      </c>
      <c r="N2190" s="2" t="s">
        <v>2317</v>
      </c>
      <c r="O2190" s="14">
        <v>2200</v>
      </c>
      <c r="P2190" s="14">
        <v>93.73</v>
      </c>
      <c r="Q2190" s="14">
        <v>137.94</v>
      </c>
      <c r="R2190" s="14">
        <v>45.52</v>
      </c>
      <c r="S2190" s="2" t="s">
        <v>6471</v>
      </c>
      <c r="T2190" s="2">
        <v>1.01</v>
      </c>
      <c r="U2190" s="2">
        <v>62.7</v>
      </c>
      <c r="V2190" s="2">
        <v>58</v>
      </c>
      <c r="W2190" s="2" t="s">
        <v>7862</v>
      </c>
      <c r="X2190" s="2" t="s">
        <v>5405</v>
      </c>
      <c r="Y2190" s="2">
        <v>726</v>
      </c>
      <c r="Z2190" s="19" t="str">
        <f>HYPERLINK("https://ssdweb.co/ssdweb/hd/Vision360.html?d=926231021&amp;zoomslide=1&amp;z=1926231021&amp;ISCONFIRM=0","VIDEO")</f>
        <v>VIDEO</v>
      </c>
      <c r="AA2190" s="19" t="str">
        <f>HYPERLINK("https://ssdweb.co/ssdweb/CERTH/639413164.pdf","CERTI")</f>
        <v>CERTI</v>
      </c>
    </row>
    <row r="2191" spans="1:27" ht="15" x14ac:dyDescent="0.25">
      <c r="A2191" s="2">
        <v>2186</v>
      </c>
      <c r="B2191" s="39">
        <v>821127926</v>
      </c>
      <c r="C2191" s="28" t="str">
        <f>HYPERLINK("https://pld.live/RapDetail.aspx?STONELIST=821127926","DNA")</f>
        <v>DNA</v>
      </c>
      <c r="D2191" s="18" t="s">
        <v>7954</v>
      </c>
      <c r="E2191" s="18" t="s">
        <v>5128</v>
      </c>
      <c r="F2191" s="2" t="s">
        <v>7987</v>
      </c>
      <c r="G2191" s="2" t="s">
        <v>861</v>
      </c>
      <c r="H2191" s="14">
        <v>0.33</v>
      </c>
      <c r="I2191" s="2" t="s">
        <v>267</v>
      </c>
      <c r="J2191" s="2" t="s">
        <v>3942</v>
      </c>
      <c r="K2191" s="2" t="s">
        <v>5221</v>
      </c>
      <c r="L2191" s="2" t="s">
        <v>5721</v>
      </c>
      <c r="M2191" s="2" t="s">
        <v>5721</v>
      </c>
      <c r="N2191" s="2" t="s">
        <v>2317</v>
      </c>
      <c r="O2191" s="14">
        <v>2200</v>
      </c>
      <c r="P2191" s="14">
        <v>93.82</v>
      </c>
      <c r="Q2191" s="14">
        <v>135.96</v>
      </c>
      <c r="R2191" s="14">
        <v>44.87</v>
      </c>
      <c r="S2191" s="2" t="s">
        <v>8102</v>
      </c>
      <c r="T2191" s="2">
        <v>1.01</v>
      </c>
      <c r="U2191" s="2">
        <v>60.2</v>
      </c>
      <c r="V2191" s="2">
        <v>61</v>
      </c>
      <c r="W2191" s="2" t="s">
        <v>7862</v>
      </c>
      <c r="X2191" s="2" t="s">
        <v>5405</v>
      </c>
      <c r="Y2191" s="2">
        <v>726</v>
      </c>
      <c r="Z2191" s="19" t="str">
        <f>HYPERLINK("https://ssdweb.co/ssdweb/hd/Vision360.html?d=821127926&amp;zoomslide=1&amp;z=1821127926&amp;ISCONFIRM=0","VIDEO")</f>
        <v>VIDEO</v>
      </c>
      <c r="AA2191" s="19" t="str">
        <f>HYPERLINK("https://ssdweb.co/ssdweb/CERTH/634417053.pdf","CERTI")</f>
        <v>CERTI</v>
      </c>
    </row>
    <row r="2192" spans="1:27" ht="15" x14ac:dyDescent="0.25">
      <c r="A2192" s="2">
        <v>2187</v>
      </c>
      <c r="B2192" s="39">
        <v>821127940</v>
      </c>
      <c r="C2192" s="28" t="str">
        <f>HYPERLINK("https://pld.live/RapDetail.aspx?STONELIST=821127940","DNA")</f>
        <v>DNA</v>
      </c>
      <c r="D2192" s="18" t="s">
        <v>7954</v>
      </c>
      <c r="E2192" s="18" t="s">
        <v>5128</v>
      </c>
      <c r="F2192" s="2" t="s">
        <v>7987</v>
      </c>
      <c r="G2192" s="2" t="s">
        <v>861</v>
      </c>
      <c r="H2192" s="14">
        <v>0.33</v>
      </c>
      <c r="I2192" s="2" t="s">
        <v>267</v>
      </c>
      <c r="J2192" s="2" t="s">
        <v>3942</v>
      </c>
      <c r="K2192" s="2" t="s">
        <v>5221</v>
      </c>
      <c r="L2192" s="2" t="s">
        <v>5721</v>
      </c>
      <c r="M2192" s="2" t="s">
        <v>5721</v>
      </c>
      <c r="N2192" s="2" t="s">
        <v>2317</v>
      </c>
      <c r="O2192" s="14">
        <v>2200</v>
      </c>
      <c r="P2192" s="14">
        <v>93.82</v>
      </c>
      <c r="Q2192" s="14">
        <v>135.96</v>
      </c>
      <c r="R2192" s="14">
        <v>44.87</v>
      </c>
      <c r="S2192" s="2" t="s">
        <v>4600</v>
      </c>
      <c r="T2192" s="2">
        <v>1.01</v>
      </c>
      <c r="U2192" s="2">
        <v>63.3</v>
      </c>
      <c r="V2192" s="2">
        <v>57</v>
      </c>
      <c r="W2192" s="2" t="s">
        <v>7862</v>
      </c>
      <c r="X2192" s="2" t="s">
        <v>5405</v>
      </c>
      <c r="Y2192" s="2">
        <v>726</v>
      </c>
      <c r="Z2192" s="19" t="str">
        <f>HYPERLINK("https://ssdweb.co/ssdweb/hd/Vision360.html?d=821127940&amp;zoomslide=1&amp;z=1821127940&amp;ISCONFIRM=0","VIDEO")</f>
        <v>VIDEO</v>
      </c>
      <c r="AA2192" s="19" t="str">
        <f>HYPERLINK("https://ssdweb.co/ssdweb/CERTH/634417062.pdf","CERTI")</f>
        <v>CERTI</v>
      </c>
    </row>
    <row r="2193" spans="1:27" ht="15" x14ac:dyDescent="0.25">
      <c r="A2193" s="2">
        <v>2188</v>
      </c>
      <c r="B2193" s="39">
        <v>926230973</v>
      </c>
      <c r="C2193" s="28" t="str">
        <f>HYPERLINK("https://pld.live/RapDetail.aspx?STONELIST=926230973","DNA")</f>
        <v>DNA</v>
      </c>
      <c r="D2193" s="18" t="s">
        <v>7954</v>
      </c>
      <c r="E2193" s="18" t="s">
        <v>5128</v>
      </c>
      <c r="F2193" s="2" t="s">
        <v>7987</v>
      </c>
      <c r="G2193" s="2" t="s">
        <v>861</v>
      </c>
      <c r="H2193" s="14">
        <v>0.33</v>
      </c>
      <c r="I2193" s="2" t="s">
        <v>267</v>
      </c>
      <c r="J2193" s="2" t="s">
        <v>3942</v>
      </c>
      <c r="K2193" s="2" t="s">
        <v>5221</v>
      </c>
      <c r="L2193" s="2" t="s">
        <v>5721</v>
      </c>
      <c r="M2193" s="2" t="s">
        <v>5721</v>
      </c>
      <c r="N2193" s="2" t="s">
        <v>2317</v>
      </c>
      <c r="O2193" s="14">
        <v>2200</v>
      </c>
      <c r="P2193" s="14">
        <v>93.82</v>
      </c>
      <c r="Q2193" s="14">
        <v>135.96</v>
      </c>
      <c r="R2193" s="14">
        <v>44.87</v>
      </c>
      <c r="S2193" s="2" t="s">
        <v>5839</v>
      </c>
      <c r="T2193" s="2">
        <v>1.01</v>
      </c>
      <c r="U2193" s="2">
        <v>62.1</v>
      </c>
      <c r="V2193" s="2">
        <v>61</v>
      </c>
      <c r="W2193" s="2" t="s">
        <v>7862</v>
      </c>
      <c r="X2193" s="2" t="s">
        <v>5405</v>
      </c>
      <c r="Y2193" s="2">
        <v>726</v>
      </c>
      <c r="Z2193" s="19" t="str">
        <f>HYPERLINK("https://ssdweb.co/ssdweb/hd/Vision360.html?d=926230973&amp;zoomslide=1&amp;z=1926230973&amp;ISCONFIRM=0","VIDEO")</f>
        <v>VIDEO</v>
      </c>
      <c r="AA2193" s="19" t="str">
        <f>HYPERLINK("https://ssdweb.co/ssdweb/CERTH/639413232.pdf","CERTI")</f>
        <v>CERTI</v>
      </c>
    </row>
    <row r="2194" spans="1:27" ht="15" x14ac:dyDescent="0.25">
      <c r="A2194" s="2">
        <v>2189</v>
      </c>
      <c r="B2194" s="39">
        <v>920661435</v>
      </c>
      <c r="C2194" s="28" t="str">
        <f>HYPERLINK("https://pld.live/RapDetail.aspx?STONELIST=920661435","DNA")</f>
        <v>DNA</v>
      </c>
      <c r="D2194" s="18" t="s">
        <v>7954</v>
      </c>
      <c r="E2194" s="18" t="s">
        <v>5128</v>
      </c>
      <c r="F2194" s="2" t="s">
        <v>7987</v>
      </c>
      <c r="G2194" s="2" t="s">
        <v>861</v>
      </c>
      <c r="H2194" s="14">
        <v>0.33</v>
      </c>
      <c r="I2194" s="2" t="s">
        <v>267</v>
      </c>
      <c r="J2194" s="2" t="s">
        <v>3942</v>
      </c>
      <c r="K2194" s="2" t="s">
        <v>5221</v>
      </c>
      <c r="L2194" s="2" t="s">
        <v>5721</v>
      </c>
      <c r="M2194" s="2" t="s">
        <v>5721</v>
      </c>
      <c r="N2194" s="2" t="s">
        <v>2317</v>
      </c>
      <c r="O2194" s="14">
        <v>2200</v>
      </c>
      <c r="P2194" s="14">
        <v>93.82</v>
      </c>
      <c r="Q2194" s="14">
        <v>135.96</v>
      </c>
      <c r="R2194" s="14">
        <v>44.87</v>
      </c>
      <c r="S2194" s="2" t="s">
        <v>2458</v>
      </c>
      <c r="T2194" s="2">
        <v>1.01</v>
      </c>
      <c r="U2194" s="2">
        <v>63.5</v>
      </c>
      <c r="V2194" s="2">
        <v>57</v>
      </c>
      <c r="W2194" s="2" t="s">
        <v>7862</v>
      </c>
      <c r="X2194" s="2" t="s">
        <v>5405</v>
      </c>
      <c r="Y2194" s="2">
        <v>726</v>
      </c>
      <c r="Z2194" s="19" t="str">
        <f>HYPERLINK("https://ssdweb.co/ssdweb/hd/Vision360.html?d=920661435&amp;zoomslide=1&amp;z=1920661435&amp;ISCONFIRM=0","VIDEO")</f>
        <v>VIDEO</v>
      </c>
      <c r="AA2194" s="19" t="str">
        <f>HYPERLINK("https://ssdweb.co/ssdweb/CERTH/638463122.pdf","CERTI")</f>
        <v>CERTI</v>
      </c>
    </row>
    <row r="2195" spans="1:27" ht="15" x14ac:dyDescent="0.25">
      <c r="A2195" s="2">
        <v>2190</v>
      </c>
      <c r="B2195" s="39">
        <v>926171168</v>
      </c>
      <c r="C2195" s="28" t="str">
        <f>HYPERLINK("https://pld.live/RapDetail.aspx?STONELIST=926171168","DNA")</f>
        <v>DNA</v>
      </c>
      <c r="D2195" s="18" t="s">
        <v>7954</v>
      </c>
      <c r="E2195" s="18" t="s">
        <v>5128</v>
      </c>
      <c r="F2195" s="2" t="s">
        <v>7987</v>
      </c>
      <c r="G2195" s="2" t="s">
        <v>861</v>
      </c>
      <c r="H2195" s="14">
        <v>0.33</v>
      </c>
      <c r="I2195" s="2" t="s">
        <v>267</v>
      </c>
      <c r="J2195" s="2" t="s">
        <v>3942</v>
      </c>
      <c r="K2195" s="2" t="s">
        <v>5221</v>
      </c>
      <c r="L2195" s="2" t="s">
        <v>5721</v>
      </c>
      <c r="M2195" s="2" t="s">
        <v>5721</v>
      </c>
      <c r="N2195" s="2" t="s">
        <v>2317</v>
      </c>
      <c r="O2195" s="14">
        <v>2200</v>
      </c>
      <c r="P2195" s="14">
        <v>93.82</v>
      </c>
      <c r="Q2195" s="14">
        <v>135.96</v>
      </c>
      <c r="R2195" s="14">
        <v>44.87</v>
      </c>
      <c r="S2195" s="2" t="s">
        <v>1159</v>
      </c>
      <c r="T2195" s="2">
        <v>1.01</v>
      </c>
      <c r="U2195" s="2">
        <v>62.6</v>
      </c>
      <c r="V2195" s="2">
        <v>58</v>
      </c>
      <c r="W2195" s="2" t="s">
        <v>7862</v>
      </c>
      <c r="X2195" s="2" t="s">
        <v>5405</v>
      </c>
      <c r="Y2195" s="2">
        <v>726</v>
      </c>
      <c r="Z2195" s="19" t="str">
        <f>HYPERLINK("https://ssdweb.co/ssdweb/hd/Vision360.html?d=926171168&amp;zoomslide=1&amp;z=1926171168&amp;ISCONFIRM=0","VIDEO")</f>
        <v>VIDEO</v>
      </c>
      <c r="AA2195" s="19" t="str">
        <f>HYPERLINK("https://ssdweb.co/ssdweb/CERTH/634472225.pdf","CERTI")</f>
        <v>CERTI</v>
      </c>
    </row>
    <row r="2196" spans="1:27" ht="15" x14ac:dyDescent="0.25">
      <c r="A2196" s="2">
        <v>2191</v>
      </c>
      <c r="B2196" s="39">
        <v>926191156</v>
      </c>
      <c r="C2196" s="28" t="str">
        <f>HYPERLINK("https://pld.live/RapDetail.aspx?STONELIST=926191156","DNA")</f>
        <v>DNA</v>
      </c>
      <c r="D2196" s="18" t="s">
        <v>7954</v>
      </c>
      <c r="E2196" s="18" t="s">
        <v>5128</v>
      </c>
      <c r="F2196" s="2" t="s">
        <v>7987</v>
      </c>
      <c r="G2196" s="2" t="s">
        <v>861</v>
      </c>
      <c r="H2196" s="14">
        <v>0.33</v>
      </c>
      <c r="I2196" s="2" t="s">
        <v>267</v>
      </c>
      <c r="J2196" s="2" t="s">
        <v>3942</v>
      </c>
      <c r="K2196" s="2" t="s">
        <v>5721</v>
      </c>
      <c r="L2196" s="2" t="s">
        <v>5221</v>
      </c>
      <c r="M2196" s="2" t="s">
        <v>5721</v>
      </c>
      <c r="N2196" s="2" t="s">
        <v>2317</v>
      </c>
      <c r="O2196" s="14">
        <v>2200</v>
      </c>
      <c r="P2196" s="14">
        <v>93.95</v>
      </c>
      <c r="Q2196" s="14">
        <v>133.1</v>
      </c>
      <c r="R2196" s="14">
        <v>43.92</v>
      </c>
      <c r="S2196" s="2" t="s">
        <v>7393</v>
      </c>
      <c r="T2196" s="2">
        <v>1</v>
      </c>
      <c r="U2196" s="2">
        <v>61.8</v>
      </c>
      <c r="V2196" s="2">
        <v>62</v>
      </c>
      <c r="W2196" s="2" t="s">
        <v>7862</v>
      </c>
      <c r="X2196" s="2" t="s">
        <v>5405</v>
      </c>
      <c r="Y2196" s="2">
        <v>726</v>
      </c>
      <c r="Z2196" s="19" t="str">
        <f>HYPERLINK("https://ssdweb.co/ssdweb/hd/Vision360.html?d=926191156&amp;zoomslide=1&amp;z=1926191156&amp;ISCONFIRM=0","VIDEO")</f>
        <v>VIDEO</v>
      </c>
      <c r="AA2196" s="19" t="str">
        <f>HYPERLINK("https://ssdweb.co/ssdweb/CERTH/637467190.pdf","CERTI")</f>
        <v>CERTI</v>
      </c>
    </row>
    <row r="2197" spans="1:27" ht="15" x14ac:dyDescent="0.25">
      <c r="A2197" s="2">
        <v>2192</v>
      </c>
      <c r="B2197" s="39">
        <v>920661214</v>
      </c>
      <c r="C2197" s="28" t="str">
        <f>HYPERLINK("https://pld.live/RapDetail.aspx?STONELIST=920661214","DNA")</f>
        <v>DNA</v>
      </c>
      <c r="D2197" s="18" t="s">
        <v>7954</v>
      </c>
      <c r="E2197" s="18" t="s">
        <v>5128</v>
      </c>
      <c r="F2197" s="2" t="s">
        <v>7987</v>
      </c>
      <c r="G2197" s="2" t="s">
        <v>861</v>
      </c>
      <c r="H2197" s="14">
        <v>0.33</v>
      </c>
      <c r="I2197" s="2" t="s">
        <v>267</v>
      </c>
      <c r="J2197" s="2" t="s">
        <v>3942</v>
      </c>
      <c r="K2197" s="2" t="s">
        <v>5721</v>
      </c>
      <c r="L2197" s="2" t="s">
        <v>5721</v>
      </c>
      <c r="M2197" s="2" t="s">
        <v>5721</v>
      </c>
      <c r="N2197" s="2" t="s">
        <v>2317</v>
      </c>
      <c r="O2197" s="14">
        <v>2200</v>
      </c>
      <c r="P2197" s="14">
        <v>93.95</v>
      </c>
      <c r="Q2197" s="14">
        <v>133.1</v>
      </c>
      <c r="R2197" s="14">
        <v>43.92</v>
      </c>
      <c r="S2197" s="2" t="s">
        <v>1801</v>
      </c>
      <c r="T2197" s="2">
        <v>1.02</v>
      </c>
      <c r="U2197" s="2">
        <v>62.5</v>
      </c>
      <c r="V2197" s="2">
        <v>60</v>
      </c>
      <c r="W2197" s="2" t="s">
        <v>7862</v>
      </c>
      <c r="X2197" s="2" t="s">
        <v>5405</v>
      </c>
      <c r="Y2197" s="2">
        <v>726</v>
      </c>
      <c r="Z2197" s="19" t="str">
        <f>HYPERLINK("https://ssdweb.co/ssdweb/hd/Vision360.html?d=920661214&amp;zoomslide=1&amp;z=1920661214&amp;ISCONFIRM=0","VIDEO")</f>
        <v>VIDEO</v>
      </c>
      <c r="AA2197" s="19" t="str">
        <f>HYPERLINK("https://ssdweb.co/ssdweb/CERTH/636429765.pdf","CERTI")</f>
        <v>CERTI</v>
      </c>
    </row>
    <row r="2198" spans="1:27" ht="15" x14ac:dyDescent="0.25">
      <c r="A2198" s="2">
        <v>2193</v>
      </c>
      <c r="B2198" s="39">
        <v>941190426</v>
      </c>
      <c r="C2198" s="28" t="str">
        <f>HYPERLINK("https://pld.live/RapDetail.aspx?STONELIST=941190426","DNA")</f>
        <v>DNA</v>
      </c>
      <c r="D2198" s="18" t="s">
        <v>7954</v>
      </c>
      <c r="E2198" s="18" t="s">
        <v>5128</v>
      </c>
      <c r="F2198" s="2" t="s">
        <v>7987</v>
      </c>
      <c r="G2198" s="2" t="s">
        <v>861</v>
      </c>
      <c r="H2198" s="14">
        <v>0.33</v>
      </c>
      <c r="I2198" s="2" t="s">
        <v>267</v>
      </c>
      <c r="J2198" s="2" t="s">
        <v>13</v>
      </c>
      <c r="K2198" s="2" t="s">
        <v>3390</v>
      </c>
      <c r="L2198" s="2" t="s">
        <v>5221</v>
      </c>
      <c r="M2198" s="2" t="s">
        <v>5221</v>
      </c>
      <c r="N2198" s="2" t="s">
        <v>2317</v>
      </c>
      <c r="O2198" s="14">
        <v>2000</v>
      </c>
      <c r="P2198" s="14">
        <v>93.1</v>
      </c>
      <c r="Q2198" s="14">
        <v>138</v>
      </c>
      <c r="R2198" s="14">
        <v>45.54</v>
      </c>
      <c r="S2198" s="2" t="s">
        <v>2167</v>
      </c>
      <c r="T2198" s="2">
        <v>1.01</v>
      </c>
      <c r="U2198" s="2">
        <v>61.5</v>
      </c>
      <c r="V2198" s="2">
        <v>58</v>
      </c>
      <c r="W2198" s="2" t="s">
        <v>7862</v>
      </c>
      <c r="X2198" s="2" t="s">
        <v>5405</v>
      </c>
      <c r="Y2198" s="2">
        <v>660</v>
      </c>
      <c r="Z2198" s="19" t="str">
        <f>HYPERLINK("https://ssdweb.co/ssdweb/hd/Vision360.html?d=941190426&amp;zoomslide=1&amp;z=1941190426&amp;ISCONFIRM=0","VIDEO")</f>
        <v>VIDEO</v>
      </c>
      <c r="AA2198" s="19" t="str">
        <f>HYPERLINK("https://ssdweb.co/ssdweb/CERTH/692505623.pdf","CERTI")</f>
        <v>CERTI</v>
      </c>
    </row>
    <row r="2199" spans="1:27" ht="15" x14ac:dyDescent="0.25">
      <c r="A2199" s="2">
        <v>2194</v>
      </c>
      <c r="B2199" s="39">
        <v>920661341</v>
      </c>
      <c r="C2199" s="28" t="str">
        <f>HYPERLINK("https://pld.live/RapDetail.aspx?STONELIST=920661341","DNA")</f>
        <v>DNA</v>
      </c>
      <c r="D2199" s="18" t="s">
        <v>7954</v>
      </c>
      <c r="E2199" s="18" t="s">
        <v>5128</v>
      </c>
      <c r="F2199" s="2" t="s">
        <v>7987</v>
      </c>
      <c r="G2199" s="2" t="s">
        <v>861</v>
      </c>
      <c r="H2199" s="14">
        <v>0.33</v>
      </c>
      <c r="I2199" s="2" t="s">
        <v>267</v>
      </c>
      <c r="J2199" s="2" t="s">
        <v>13</v>
      </c>
      <c r="K2199" s="2" t="s">
        <v>3390</v>
      </c>
      <c r="L2199" s="2" t="s">
        <v>5221</v>
      </c>
      <c r="M2199" s="2" t="s">
        <v>5721</v>
      </c>
      <c r="N2199" s="2" t="s">
        <v>2317</v>
      </c>
      <c r="O2199" s="14">
        <v>2000</v>
      </c>
      <c r="P2199" s="14">
        <v>93.6</v>
      </c>
      <c r="Q2199" s="14">
        <v>128</v>
      </c>
      <c r="R2199" s="14">
        <v>42.24</v>
      </c>
      <c r="S2199" s="2" t="s">
        <v>6535</v>
      </c>
      <c r="T2199" s="2">
        <v>1.01</v>
      </c>
      <c r="U2199" s="2">
        <v>62.1</v>
      </c>
      <c r="V2199" s="2">
        <v>59</v>
      </c>
      <c r="W2199" s="2" t="s">
        <v>7862</v>
      </c>
      <c r="X2199" s="2" t="s">
        <v>5405</v>
      </c>
      <c r="Y2199" s="2">
        <v>660</v>
      </c>
      <c r="Z2199" s="19" t="str">
        <f>HYPERLINK("https://ssdweb.co/ssdweb/hd/Vision360.html?d=920661341&amp;zoomslide=1&amp;z=1920661341&amp;ISCONFIRM=0","VIDEO")</f>
        <v>VIDEO</v>
      </c>
      <c r="AA2199" s="19" t="str">
        <f>HYPERLINK("https://ssdweb.co/ssdweb/CERTH/638462968.pdf","CERTI")</f>
        <v>CERTI</v>
      </c>
    </row>
    <row r="2200" spans="1:27" ht="15" x14ac:dyDescent="0.25">
      <c r="A2200" s="2">
        <v>2195</v>
      </c>
      <c r="B2200" s="39">
        <v>920661241</v>
      </c>
      <c r="C2200" s="28" t="str">
        <f>HYPERLINK("https://pld.live/RapDetail.aspx?STONELIST=920661241","DNA")</f>
        <v>DNA</v>
      </c>
      <c r="D2200" s="18" t="s">
        <v>7954</v>
      </c>
      <c r="E2200" s="18" t="s">
        <v>5128</v>
      </c>
      <c r="F2200" s="2" t="s">
        <v>7987</v>
      </c>
      <c r="G2200" s="2" t="s">
        <v>861</v>
      </c>
      <c r="H2200" s="14">
        <v>0.33</v>
      </c>
      <c r="I2200" s="2" t="s">
        <v>267</v>
      </c>
      <c r="J2200" s="2" t="s">
        <v>13</v>
      </c>
      <c r="K2200" s="2" t="s">
        <v>3390</v>
      </c>
      <c r="L2200" s="2" t="s">
        <v>5221</v>
      </c>
      <c r="M2200" s="2" t="s">
        <v>5721</v>
      </c>
      <c r="N2200" s="2" t="s">
        <v>2317</v>
      </c>
      <c r="O2200" s="14">
        <v>2000</v>
      </c>
      <c r="P2200" s="14">
        <v>93.6</v>
      </c>
      <c r="Q2200" s="14">
        <v>128</v>
      </c>
      <c r="R2200" s="14">
        <v>42.24</v>
      </c>
      <c r="S2200" s="2" t="s">
        <v>3317</v>
      </c>
      <c r="T2200" s="2">
        <v>1.01</v>
      </c>
      <c r="U2200" s="2">
        <v>62.3</v>
      </c>
      <c r="V2200" s="2">
        <v>57</v>
      </c>
      <c r="W2200" s="2" t="s">
        <v>7862</v>
      </c>
      <c r="X2200" s="2" t="s">
        <v>5405</v>
      </c>
      <c r="Y2200" s="2">
        <v>660</v>
      </c>
      <c r="Z2200" s="19" t="str">
        <f>HYPERLINK("https://ssdweb.co/ssdweb/hd/Vision360.html?d=920661241&amp;zoomslide=1&amp;z=1920661241&amp;ISCONFIRM=0","VIDEO")</f>
        <v>VIDEO</v>
      </c>
      <c r="AA2200" s="19" t="str">
        <f>HYPERLINK("https://ssdweb.co/ssdweb/CERTH/637467203.pdf","CERTI")</f>
        <v>CERTI</v>
      </c>
    </row>
    <row r="2201" spans="1:27" ht="15" x14ac:dyDescent="0.25">
      <c r="A2201" s="2">
        <v>2196</v>
      </c>
      <c r="B2201" s="39">
        <v>926091074</v>
      </c>
      <c r="C2201" s="28" t="str">
        <f>HYPERLINK("https://pld.live/RapDetail.aspx?STONELIST=926091074","DNA")</f>
        <v>DNA</v>
      </c>
      <c r="D2201" s="18" t="s">
        <v>7954</v>
      </c>
      <c r="E2201" s="18" t="s">
        <v>5128</v>
      </c>
      <c r="F2201" s="2" t="s">
        <v>7987</v>
      </c>
      <c r="G2201" s="2" t="s">
        <v>861</v>
      </c>
      <c r="H2201" s="14">
        <v>0.33</v>
      </c>
      <c r="I2201" s="2" t="s">
        <v>267</v>
      </c>
      <c r="J2201" s="2" t="s">
        <v>13</v>
      </c>
      <c r="K2201" s="2" t="s">
        <v>3390</v>
      </c>
      <c r="L2201" s="2" t="s">
        <v>5221</v>
      </c>
      <c r="M2201" s="2" t="s">
        <v>5721</v>
      </c>
      <c r="N2201" s="2" t="s">
        <v>2317</v>
      </c>
      <c r="O2201" s="14">
        <v>2000</v>
      </c>
      <c r="P2201" s="14">
        <v>93.6</v>
      </c>
      <c r="Q2201" s="14">
        <v>128</v>
      </c>
      <c r="R2201" s="14">
        <v>42.24</v>
      </c>
      <c r="S2201" s="2" t="s">
        <v>5319</v>
      </c>
      <c r="T2201" s="2">
        <v>1.01</v>
      </c>
      <c r="U2201" s="2">
        <v>62.3</v>
      </c>
      <c r="V2201" s="2">
        <v>57</v>
      </c>
      <c r="W2201" s="2" t="s">
        <v>7862</v>
      </c>
      <c r="X2201" s="2" t="s">
        <v>5405</v>
      </c>
      <c r="Y2201" s="2">
        <v>660</v>
      </c>
      <c r="Z2201" s="19" t="str">
        <f>HYPERLINK("https://ssdweb.co/ssdweb/hd/Vision360.html?d=926091074&amp;zoomslide=1&amp;z=1926091074&amp;ISCONFIRM=0","VIDEO")</f>
        <v>VIDEO</v>
      </c>
      <c r="AA2201" s="19" t="str">
        <f>HYPERLINK("https://ssdweb.co/ssdweb/CERTH/632404580.pdf","CERTI")</f>
        <v>CERTI</v>
      </c>
    </row>
    <row r="2202" spans="1:27" ht="15" x14ac:dyDescent="0.25">
      <c r="A2202" s="2">
        <v>2197</v>
      </c>
      <c r="B2202" s="39">
        <v>925910757</v>
      </c>
      <c r="C2202" s="28" t="str">
        <f>HYPERLINK("https://pld.live/RapDetail.aspx?STONELIST=925910757","DNA")</f>
        <v>DNA</v>
      </c>
      <c r="D2202" s="18" t="s">
        <v>7954</v>
      </c>
      <c r="E2202" s="18" t="s">
        <v>5128</v>
      </c>
      <c r="F2202" s="2" t="s">
        <v>7987</v>
      </c>
      <c r="G2202" s="2" t="s">
        <v>861</v>
      </c>
      <c r="H2202" s="14">
        <v>0.33</v>
      </c>
      <c r="I2202" s="2" t="s">
        <v>267</v>
      </c>
      <c r="J2202" s="2" t="s">
        <v>13</v>
      </c>
      <c r="K2202" s="2" t="s">
        <v>3390</v>
      </c>
      <c r="L2202" s="2" t="s">
        <v>5721</v>
      </c>
      <c r="M2202" s="2" t="s">
        <v>5221</v>
      </c>
      <c r="N2202" s="2" t="s">
        <v>2317</v>
      </c>
      <c r="O2202" s="14">
        <v>2000</v>
      </c>
      <c r="P2202" s="14">
        <v>93.6</v>
      </c>
      <c r="Q2202" s="14">
        <v>128</v>
      </c>
      <c r="R2202" s="14">
        <v>42.24</v>
      </c>
      <c r="S2202" s="2" t="s">
        <v>5121</v>
      </c>
      <c r="T2202" s="2">
        <v>1.01</v>
      </c>
      <c r="U2202" s="2">
        <v>60.1</v>
      </c>
      <c r="V2202" s="2">
        <v>58</v>
      </c>
      <c r="W2202" s="2" t="s">
        <v>7862</v>
      </c>
      <c r="X2202" s="2" t="s">
        <v>5405</v>
      </c>
      <c r="Y2202" s="2">
        <v>660</v>
      </c>
      <c r="Z2202" s="19" t="str">
        <f>HYPERLINK("https://ssdweb.co/ssdweb/hd/Vision360.html?d=925910757&amp;zoomslide=1&amp;z=1925910757&amp;ISCONFIRM=0","VIDEO")</f>
        <v>VIDEO</v>
      </c>
      <c r="AA2202" s="19" t="str">
        <f>HYPERLINK("https://ssdweb.co/ssdweb/CERTH/628426742.pdf","CERTI")</f>
        <v>CERTI</v>
      </c>
    </row>
    <row r="2203" spans="1:27" ht="15" x14ac:dyDescent="0.25">
      <c r="A2203" s="2">
        <v>2198</v>
      </c>
      <c r="B2203" s="39">
        <v>926171156</v>
      </c>
      <c r="C2203" s="28" t="str">
        <f>HYPERLINK("https://pld.live/RapDetail.aspx?STONELIST=926171156","DNA")</f>
        <v>DNA</v>
      </c>
      <c r="D2203" s="18" t="s">
        <v>7954</v>
      </c>
      <c r="E2203" s="18" t="s">
        <v>5128</v>
      </c>
      <c r="F2203" s="2" t="s">
        <v>7987</v>
      </c>
      <c r="G2203" s="2" t="s">
        <v>861</v>
      </c>
      <c r="H2203" s="14">
        <v>0.33</v>
      </c>
      <c r="I2203" s="2" t="s">
        <v>267</v>
      </c>
      <c r="J2203" s="2" t="s">
        <v>13</v>
      </c>
      <c r="K2203" s="2" t="s">
        <v>3390</v>
      </c>
      <c r="L2203" s="2" t="s">
        <v>5721</v>
      </c>
      <c r="M2203" s="2" t="s">
        <v>5221</v>
      </c>
      <c r="N2203" s="2" t="s">
        <v>2317</v>
      </c>
      <c r="O2203" s="14">
        <v>2000</v>
      </c>
      <c r="P2203" s="14">
        <v>93.6</v>
      </c>
      <c r="Q2203" s="14">
        <v>128</v>
      </c>
      <c r="R2203" s="14">
        <v>42.24</v>
      </c>
      <c r="S2203" s="2" t="s">
        <v>1907</v>
      </c>
      <c r="T2203" s="2">
        <v>1</v>
      </c>
      <c r="U2203" s="2">
        <v>61.4</v>
      </c>
      <c r="V2203" s="2">
        <v>59</v>
      </c>
      <c r="W2203" s="2" t="s">
        <v>7862</v>
      </c>
      <c r="X2203" s="2" t="s">
        <v>5405</v>
      </c>
      <c r="Y2203" s="2">
        <v>660</v>
      </c>
      <c r="Z2203" s="19" t="str">
        <f>HYPERLINK("https://ssdweb.co/ssdweb/hd/Vision360.html?d=926171156&amp;zoomslide=1&amp;z=1926171156&amp;ISCONFIRM=0","VIDEO")</f>
        <v>VIDEO</v>
      </c>
      <c r="AA2203" s="19" t="str">
        <f>HYPERLINK("https://ssdweb.co/ssdweb/CERTH/634472224.pdf","CERTI")</f>
        <v>CERTI</v>
      </c>
    </row>
    <row r="2204" spans="1:27" ht="15" x14ac:dyDescent="0.25">
      <c r="A2204" s="2">
        <v>2199</v>
      </c>
      <c r="B2204" s="39">
        <v>926201087</v>
      </c>
      <c r="C2204" s="28" t="str">
        <f>HYPERLINK("https://pld.live/RapDetail.aspx?STONELIST=926201087","DNA")</f>
        <v>DNA</v>
      </c>
      <c r="D2204" s="18" t="s">
        <v>7954</v>
      </c>
      <c r="E2204" s="18" t="s">
        <v>5128</v>
      </c>
      <c r="F2204" s="2" t="s">
        <v>7987</v>
      </c>
      <c r="G2204" s="2" t="s">
        <v>861</v>
      </c>
      <c r="H2204" s="14">
        <v>0.33</v>
      </c>
      <c r="I2204" s="2" t="s">
        <v>267</v>
      </c>
      <c r="J2204" s="2" t="s">
        <v>13</v>
      </c>
      <c r="K2204" s="2" t="s">
        <v>3390</v>
      </c>
      <c r="L2204" s="2" t="s">
        <v>5721</v>
      </c>
      <c r="M2204" s="2" t="s">
        <v>5721</v>
      </c>
      <c r="N2204" s="2" t="s">
        <v>2317</v>
      </c>
      <c r="O2204" s="14">
        <v>2000</v>
      </c>
      <c r="P2204" s="14">
        <v>93.7</v>
      </c>
      <c r="Q2204" s="14">
        <v>126</v>
      </c>
      <c r="R2204" s="14">
        <v>41.58</v>
      </c>
      <c r="S2204" s="2" t="s">
        <v>5122</v>
      </c>
      <c r="T2204" s="2">
        <v>1.01</v>
      </c>
      <c r="U2204" s="2">
        <v>61.1</v>
      </c>
      <c r="V2204" s="2">
        <v>60</v>
      </c>
      <c r="W2204" s="2" t="s">
        <v>7862</v>
      </c>
      <c r="X2204" s="2" t="s">
        <v>5405</v>
      </c>
      <c r="Y2204" s="2">
        <v>660</v>
      </c>
      <c r="Z2204" s="19" t="str">
        <f>HYPERLINK("https://ssdweb.co/ssdweb/hd/Vision360.html?d=926201087&amp;zoomslide=1&amp;z=1926201087&amp;ISCONFIRM=0","VIDEO")</f>
        <v>VIDEO</v>
      </c>
      <c r="AA2204" s="19" t="str">
        <f>HYPERLINK("https://ssdweb.co/ssdweb/CERTH/636430065.pdf","CERTI")</f>
        <v>CERTI</v>
      </c>
    </row>
    <row r="2205" spans="1:27" ht="15" x14ac:dyDescent="0.25">
      <c r="A2205" s="2">
        <v>2200</v>
      </c>
      <c r="B2205" s="39">
        <v>821127968</v>
      </c>
      <c r="C2205" s="28" t="str">
        <f>HYPERLINK("https://pld.live/RapDetail.aspx?STONELIST=821127968","DNA")</f>
        <v>DNA</v>
      </c>
      <c r="D2205" s="18" t="s">
        <v>7954</v>
      </c>
      <c r="E2205" s="18" t="s">
        <v>5128</v>
      </c>
      <c r="F2205" s="2" t="s">
        <v>7987</v>
      </c>
      <c r="G2205" s="2" t="s">
        <v>861</v>
      </c>
      <c r="H2205" s="14">
        <v>0.33</v>
      </c>
      <c r="I2205" s="2" t="s">
        <v>267</v>
      </c>
      <c r="J2205" s="2" t="s">
        <v>13</v>
      </c>
      <c r="K2205" s="2" t="s">
        <v>3390</v>
      </c>
      <c r="L2205" s="2" t="s">
        <v>5721</v>
      </c>
      <c r="M2205" s="2" t="s">
        <v>5721</v>
      </c>
      <c r="N2205" s="2" t="s">
        <v>2317</v>
      </c>
      <c r="O2205" s="14">
        <v>2000</v>
      </c>
      <c r="P2205" s="14">
        <v>93.7</v>
      </c>
      <c r="Q2205" s="14">
        <v>126</v>
      </c>
      <c r="R2205" s="14">
        <v>41.58</v>
      </c>
      <c r="S2205" s="2" t="s">
        <v>5102</v>
      </c>
      <c r="T2205" s="2">
        <v>1.01</v>
      </c>
      <c r="U2205" s="2">
        <v>61.2</v>
      </c>
      <c r="V2205" s="2">
        <v>58</v>
      </c>
      <c r="W2205" s="2" t="s">
        <v>7862</v>
      </c>
      <c r="X2205" s="2" t="s">
        <v>5405</v>
      </c>
      <c r="Y2205" s="2">
        <v>660</v>
      </c>
      <c r="Z2205" s="19" t="str">
        <f>HYPERLINK("https://ssdweb.co/ssdweb/hd/Vision360.html?d=821127968&amp;zoomslide=1&amp;z=1821127968&amp;ISCONFIRM=0","VIDEO")</f>
        <v>VIDEO</v>
      </c>
      <c r="AA2205" s="19" t="str">
        <f>HYPERLINK("https://ssdweb.co/ssdweb/CERTH/634431226.pdf","CERTI")</f>
        <v>CERTI</v>
      </c>
    </row>
    <row r="2206" spans="1:27" ht="15" x14ac:dyDescent="0.25">
      <c r="A2206" s="2">
        <v>2201</v>
      </c>
      <c r="B2206" s="39">
        <v>821127922</v>
      </c>
      <c r="C2206" s="28" t="str">
        <f>HYPERLINK("https://pld.live/RapDetail.aspx?STONELIST=821127922","DNA")</f>
        <v>DNA</v>
      </c>
      <c r="D2206" s="18" t="s">
        <v>7954</v>
      </c>
      <c r="E2206" s="18" t="s">
        <v>5128</v>
      </c>
      <c r="F2206" s="2" t="s">
        <v>7987</v>
      </c>
      <c r="G2206" s="2" t="s">
        <v>861</v>
      </c>
      <c r="H2206" s="14">
        <v>0.33</v>
      </c>
      <c r="I2206" s="2" t="s">
        <v>267</v>
      </c>
      <c r="J2206" s="2" t="s">
        <v>13</v>
      </c>
      <c r="K2206" s="2" t="s">
        <v>3390</v>
      </c>
      <c r="L2206" s="2" t="s">
        <v>5721</v>
      </c>
      <c r="M2206" s="2" t="s">
        <v>5721</v>
      </c>
      <c r="N2206" s="2" t="s">
        <v>2317</v>
      </c>
      <c r="O2206" s="14">
        <v>2000</v>
      </c>
      <c r="P2206" s="14">
        <v>93.7</v>
      </c>
      <c r="Q2206" s="14">
        <v>126</v>
      </c>
      <c r="R2206" s="14">
        <v>41.58</v>
      </c>
      <c r="S2206" s="2" t="s">
        <v>4576</v>
      </c>
      <c r="T2206" s="2">
        <v>1.01</v>
      </c>
      <c r="U2206" s="2">
        <v>61.7</v>
      </c>
      <c r="V2206" s="2">
        <v>59</v>
      </c>
      <c r="W2206" s="2" t="s">
        <v>7862</v>
      </c>
      <c r="X2206" s="2" t="s">
        <v>5405</v>
      </c>
      <c r="Y2206" s="2">
        <v>660</v>
      </c>
      <c r="Z2206" s="19" t="str">
        <f>HYPERLINK("https://ssdweb.co/ssdweb/hd/Vision360.html?d=821127922&amp;zoomslide=1&amp;z=1821127922&amp;ISCONFIRM=0","VIDEO")</f>
        <v>VIDEO</v>
      </c>
      <c r="AA2206" s="19" t="str">
        <f>HYPERLINK("https://ssdweb.co/ssdweb/CERTH/634417079.pdf","CERTI")</f>
        <v>CERTI</v>
      </c>
    </row>
    <row r="2207" spans="1:27" ht="15" x14ac:dyDescent="0.25">
      <c r="A2207" s="2">
        <v>2202</v>
      </c>
      <c r="B2207" s="39">
        <v>920661240</v>
      </c>
      <c r="C2207" s="28" t="str">
        <f>HYPERLINK("https://pld.live/RapDetail.aspx?STONELIST=920661240","DNA")</f>
        <v>DNA</v>
      </c>
      <c r="D2207" s="18" t="s">
        <v>7954</v>
      </c>
      <c r="E2207" s="18" t="s">
        <v>5128</v>
      </c>
      <c r="F2207" s="2" t="s">
        <v>7987</v>
      </c>
      <c r="G2207" s="2" t="s">
        <v>861</v>
      </c>
      <c r="H2207" s="14">
        <v>0.33</v>
      </c>
      <c r="I2207" s="2" t="s">
        <v>267</v>
      </c>
      <c r="J2207" s="2" t="s">
        <v>13</v>
      </c>
      <c r="K2207" s="2" t="s">
        <v>5221</v>
      </c>
      <c r="L2207" s="2" t="s">
        <v>5221</v>
      </c>
      <c r="M2207" s="2" t="s">
        <v>5721</v>
      </c>
      <c r="N2207" s="2" t="s">
        <v>2317</v>
      </c>
      <c r="O2207" s="14">
        <v>2000</v>
      </c>
      <c r="P2207" s="14">
        <v>93.6</v>
      </c>
      <c r="Q2207" s="14">
        <v>128</v>
      </c>
      <c r="R2207" s="14">
        <v>42.24</v>
      </c>
      <c r="S2207" s="2" t="s">
        <v>7609</v>
      </c>
      <c r="T2207" s="2">
        <v>1.01</v>
      </c>
      <c r="U2207" s="2">
        <v>62</v>
      </c>
      <c r="V2207" s="2">
        <v>61</v>
      </c>
      <c r="W2207" s="2" t="s">
        <v>7862</v>
      </c>
      <c r="X2207" s="2" t="s">
        <v>5405</v>
      </c>
      <c r="Y2207" s="2">
        <v>660</v>
      </c>
      <c r="Z2207" s="19" t="str">
        <f>HYPERLINK("https://ssdweb.co/ssdweb/hd/Vision360.html?d=920661240&amp;zoomslide=1&amp;z=1920661240&amp;ISCONFIRM=0","VIDEO")</f>
        <v>VIDEO</v>
      </c>
      <c r="AA2207" s="19" t="str">
        <f>HYPERLINK("https://ssdweb.co/ssdweb/CERTH/637467201.pdf","CERTI")</f>
        <v>CERTI</v>
      </c>
    </row>
    <row r="2208" spans="1:27" ht="15" x14ac:dyDescent="0.25">
      <c r="A2208" s="2">
        <v>2203</v>
      </c>
      <c r="B2208" s="39">
        <v>926320978</v>
      </c>
      <c r="C2208" s="28" t="str">
        <f>HYPERLINK("https://pld.live/RapDetail.aspx?STONELIST=926320978","DNA")</f>
        <v>DNA</v>
      </c>
      <c r="D2208" s="18" t="s">
        <v>7954</v>
      </c>
      <c r="E2208" s="18" t="s">
        <v>5128</v>
      </c>
      <c r="F2208" s="2" t="s">
        <v>5597</v>
      </c>
      <c r="G2208" s="2" t="s">
        <v>861</v>
      </c>
      <c r="H2208" s="14">
        <v>0.33</v>
      </c>
      <c r="I2208" s="2" t="s">
        <v>267</v>
      </c>
      <c r="J2208" s="2" t="s">
        <v>13</v>
      </c>
      <c r="K2208" s="2" t="s">
        <v>5221</v>
      </c>
      <c r="L2208" s="2" t="s">
        <v>5221</v>
      </c>
      <c r="M2208" s="2" t="s">
        <v>5721</v>
      </c>
      <c r="N2208" s="2" t="s">
        <v>2317</v>
      </c>
      <c r="O2208" s="14">
        <v>2000</v>
      </c>
      <c r="P2208" s="14">
        <v>85.85</v>
      </c>
      <c r="Q2208" s="14">
        <v>283</v>
      </c>
      <c r="R2208" s="14">
        <v>93.39</v>
      </c>
      <c r="S2208" s="2" t="s">
        <v>5890</v>
      </c>
      <c r="T2208" s="2">
        <v>1.01</v>
      </c>
      <c r="U2208" s="2">
        <v>61</v>
      </c>
      <c r="V2208" s="2">
        <v>57</v>
      </c>
      <c r="W2208" s="2" t="s">
        <v>7862</v>
      </c>
      <c r="X2208" s="2" t="s">
        <v>5405</v>
      </c>
      <c r="Y2208" s="2">
        <v>660</v>
      </c>
      <c r="Z2208" s="19" t="str">
        <f>HYPERLINK("https://ssdweb.co/ssdweb/hd/Vision360.html?d=926320978&amp;zoomslide=1&amp;z=1926320978&amp;ISCONFIRM=0","VIDEO")</f>
        <v>VIDEO</v>
      </c>
      <c r="AA2208" s="19" t="str">
        <f>HYPERLINK("https://ssdweb.co/ssdweb/CERTH/2494866378.pdf","CERTI")</f>
        <v>CERTI</v>
      </c>
    </row>
    <row r="2209" spans="1:27" ht="15" x14ac:dyDescent="0.25">
      <c r="A2209" s="2">
        <v>2204</v>
      </c>
      <c r="B2209" s="39">
        <v>926120500</v>
      </c>
      <c r="C2209" s="28" t="str">
        <f>HYPERLINK("https://pld.live/RapDetail.aspx?STONELIST=926120500","DNA")</f>
        <v>DNA</v>
      </c>
      <c r="D2209" s="18" t="s">
        <v>7954</v>
      </c>
      <c r="E2209" s="18" t="s">
        <v>5128</v>
      </c>
      <c r="F2209" s="2" t="s">
        <v>7987</v>
      </c>
      <c r="G2209" s="2" t="s">
        <v>861</v>
      </c>
      <c r="H2209" s="14">
        <v>0.33</v>
      </c>
      <c r="I2209" s="2" t="s">
        <v>267</v>
      </c>
      <c r="J2209" s="2" t="s">
        <v>13</v>
      </c>
      <c r="K2209" s="2" t="s">
        <v>5221</v>
      </c>
      <c r="L2209" s="2" t="s">
        <v>5221</v>
      </c>
      <c r="M2209" s="2" t="s">
        <v>5721</v>
      </c>
      <c r="N2209" s="2" t="s">
        <v>2317</v>
      </c>
      <c r="O2209" s="14">
        <v>2000</v>
      </c>
      <c r="P2209" s="14">
        <v>93.6</v>
      </c>
      <c r="Q2209" s="14">
        <v>128</v>
      </c>
      <c r="R2209" s="14">
        <v>42.24</v>
      </c>
      <c r="S2209" s="2" t="s">
        <v>859</v>
      </c>
      <c r="T2209" s="2">
        <v>1.01</v>
      </c>
      <c r="U2209" s="2">
        <v>62.4</v>
      </c>
      <c r="V2209" s="2">
        <v>57</v>
      </c>
      <c r="W2209" s="2" t="s">
        <v>7862</v>
      </c>
      <c r="X2209" s="2" t="s">
        <v>5405</v>
      </c>
      <c r="Y2209" s="2">
        <v>660</v>
      </c>
      <c r="Z2209" s="19" t="str">
        <f>HYPERLINK("https://ssdweb.co/ssdweb/hd/Vision360.html?d=926120500&amp;zoomslide=1&amp;z=1926120500&amp;ISCONFIRM=0","VIDEO")</f>
        <v>VIDEO</v>
      </c>
      <c r="AA2209" s="19" t="str">
        <f>HYPERLINK("https://ssdweb.co/ssdweb/CERTH/633473847.pdf","CERTI")</f>
        <v>CERTI</v>
      </c>
    </row>
    <row r="2210" spans="1:27" ht="15" x14ac:dyDescent="0.25">
      <c r="A2210" s="2">
        <v>2205</v>
      </c>
      <c r="B2210" s="39">
        <v>821127830</v>
      </c>
      <c r="C2210" s="28" t="str">
        <f>HYPERLINK("https://pld.live/RapDetail.aspx?STONELIST=821127830","DNA")</f>
        <v>DNA</v>
      </c>
      <c r="D2210" s="18" t="s">
        <v>7954</v>
      </c>
      <c r="E2210" s="18" t="s">
        <v>5128</v>
      </c>
      <c r="F2210" s="2" t="s">
        <v>7987</v>
      </c>
      <c r="G2210" s="2" t="s">
        <v>861</v>
      </c>
      <c r="H2210" s="14">
        <v>0.33</v>
      </c>
      <c r="I2210" s="2" t="s">
        <v>267</v>
      </c>
      <c r="J2210" s="2" t="s">
        <v>13</v>
      </c>
      <c r="K2210" s="2" t="s">
        <v>5221</v>
      </c>
      <c r="L2210" s="2" t="s">
        <v>5721</v>
      </c>
      <c r="M2210" s="2" t="s">
        <v>5221</v>
      </c>
      <c r="N2210" s="2" t="s">
        <v>2317</v>
      </c>
      <c r="O2210" s="14">
        <v>2000</v>
      </c>
      <c r="P2210" s="14">
        <v>93.6</v>
      </c>
      <c r="Q2210" s="14">
        <v>128</v>
      </c>
      <c r="R2210" s="14">
        <v>42.24</v>
      </c>
      <c r="S2210" s="2" t="s">
        <v>4678</v>
      </c>
      <c r="T2210" s="2">
        <v>1.01</v>
      </c>
      <c r="U2210" s="2">
        <v>62.9</v>
      </c>
      <c r="V2210" s="2">
        <v>58</v>
      </c>
      <c r="W2210" s="2" t="s">
        <v>7862</v>
      </c>
      <c r="X2210" s="2" t="s">
        <v>5405</v>
      </c>
      <c r="Y2210" s="2">
        <v>660</v>
      </c>
      <c r="Z2210" s="19" t="str">
        <f>HYPERLINK("https://ssdweb.co/ssdweb/hd/Vision360.html?d=821127830&amp;zoomslide=1&amp;z=1821127830&amp;ISCONFIRM=0","VIDEO")</f>
        <v>VIDEO</v>
      </c>
      <c r="AA2210" s="19" t="str">
        <f>HYPERLINK("https://ssdweb.co/ssdweb/CERTH/633499586.pdf","CERTI")</f>
        <v>CERTI</v>
      </c>
    </row>
    <row r="2211" spans="1:27" ht="15" x14ac:dyDescent="0.25">
      <c r="A2211" s="2">
        <v>2206</v>
      </c>
      <c r="B2211" s="39">
        <v>920661425</v>
      </c>
      <c r="C2211" s="28" t="str">
        <f>HYPERLINK("https://pld.live/RapDetail.aspx?STONELIST=920661425","DNA")</f>
        <v>DNA</v>
      </c>
      <c r="D2211" s="18" t="s">
        <v>7954</v>
      </c>
      <c r="E2211" s="18" t="s">
        <v>5128</v>
      </c>
      <c r="F2211" s="2" t="s">
        <v>7987</v>
      </c>
      <c r="G2211" s="2" t="s">
        <v>861</v>
      </c>
      <c r="H2211" s="14">
        <v>0.33</v>
      </c>
      <c r="I2211" s="2" t="s">
        <v>267</v>
      </c>
      <c r="J2211" s="2" t="s">
        <v>13</v>
      </c>
      <c r="K2211" s="2" t="s">
        <v>5221</v>
      </c>
      <c r="L2211" s="2" t="s">
        <v>5721</v>
      </c>
      <c r="M2211" s="2" t="s">
        <v>5221</v>
      </c>
      <c r="N2211" s="2" t="s">
        <v>2317</v>
      </c>
      <c r="O2211" s="14">
        <v>2000</v>
      </c>
      <c r="P2211" s="14">
        <v>93.6</v>
      </c>
      <c r="Q2211" s="14">
        <v>128</v>
      </c>
      <c r="R2211" s="14">
        <v>42.24</v>
      </c>
      <c r="S2211" s="2" t="s">
        <v>718</v>
      </c>
      <c r="T2211" s="2">
        <v>1</v>
      </c>
      <c r="U2211" s="2">
        <v>62.1</v>
      </c>
      <c r="V2211" s="2">
        <v>60</v>
      </c>
      <c r="W2211" s="2" t="s">
        <v>7862</v>
      </c>
      <c r="X2211" s="2" t="s">
        <v>5405</v>
      </c>
      <c r="Y2211" s="2">
        <v>660</v>
      </c>
      <c r="Z2211" s="19" t="str">
        <f>HYPERLINK("https://ssdweb.co/ssdweb/hd/Vision360.html?d=920661425&amp;zoomslide=1&amp;z=1920661425&amp;ISCONFIRM=0","VIDEO")</f>
        <v>VIDEO</v>
      </c>
      <c r="AA2211" s="19" t="str">
        <f>HYPERLINK("https://ssdweb.co/ssdweb/CERTH/638463117.pdf","CERTI")</f>
        <v>CERTI</v>
      </c>
    </row>
    <row r="2212" spans="1:27" ht="15" x14ac:dyDescent="0.25">
      <c r="A2212" s="2">
        <v>2207</v>
      </c>
      <c r="B2212" s="39">
        <v>926231148</v>
      </c>
      <c r="C2212" s="28" t="str">
        <f>HYPERLINK("https://pld.live/RapDetail.aspx?STONELIST=926231148","DNA")</f>
        <v>DNA</v>
      </c>
      <c r="D2212" s="18" t="s">
        <v>7954</v>
      </c>
      <c r="E2212" s="18" t="s">
        <v>5128</v>
      </c>
      <c r="F2212" s="2" t="s">
        <v>7987</v>
      </c>
      <c r="G2212" s="2" t="s">
        <v>861</v>
      </c>
      <c r="H2212" s="14">
        <v>0.33</v>
      </c>
      <c r="I2212" s="2" t="s">
        <v>267</v>
      </c>
      <c r="J2212" s="2" t="s">
        <v>13</v>
      </c>
      <c r="K2212" s="2" t="s">
        <v>5221</v>
      </c>
      <c r="L2212" s="2" t="s">
        <v>5721</v>
      </c>
      <c r="M2212" s="2" t="s">
        <v>5221</v>
      </c>
      <c r="N2212" s="2" t="s">
        <v>2317</v>
      </c>
      <c r="O2212" s="14">
        <v>2000</v>
      </c>
      <c r="P2212" s="14">
        <v>93.6</v>
      </c>
      <c r="Q2212" s="14">
        <v>128</v>
      </c>
      <c r="R2212" s="14">
        <v>42.24</v>
      </c>
      <c r="S2212" s="2" t="s">
        <v>6541</v>
      </c>
      <c r="T2212" s="2">
        <v>1.01</v>
      </c>
      <c r="U2212" s="2">
        <v>63</v>
      </c>
      <c r="V2212" s="2">
        <v>57</v>
      </c>
      <c r="W2212" s="2" t="s">
        <v>7862</v>
      </c>
      <c r="X2212" s="2" t="s">
        <v>5405</v>
      </c>
      <c r="Y2212" s="2">
        <v>660</v>
      </c>
      <c r="Z2212" s="19" t="str">
        <f>HYPERLINK("https://ssdweb.co/ssdweb/hd/Vision360.html?d=926231148&amp;zoomslide=1&amp;z=1926231148&amp;ISCONFIRM=0","VIDEO")</f>
        <v>VIDEO</v>
      </c>
      <c r="AA2212" s="19" t="str">
        <f>HYPERLINK("https://ssdweb.co/ssdweb/CERTH/640419071.pdf","CERTI")</f>
        <v>CERTI</v>
      </c>
    </row>
    <row r="2213" spans="1:27" ht="15" x14ac:dyDescent="0.25">
      <c r="A2213" s="2">
        <v>2208</v>
      </c>
      <c r="B2213" s="39">
        <v>926181011</v>
      </c>
      <c r="C2213" s="28" t="str">
        <f>HYPERLINK("https://pld.live/RapDetail.aspx?STONELIST=926181011","DNA")</f>
        <v>DNA</v>
      </c>
      <c r="D2213" s="18" t="s">
        <v>7954</v>
      </c>
      <c r="E2213" s="18" t="s">
        <v>5128</v>
      </c>
      <c r="F2213" s="2" t="s">
        <v>7987</v>
      </c>
      <c r="G2213" s="2" t="s">
        <v>861</v>
      </c>
      <c r="H2213" s="14">
        <v>0.33</v>
      </c>
      <c r="I2213" s="2" t="s">
        <v>267</v>
      </c>
      <c r="J2213" s="2" t="s">
        <v>13</v>
      </c>
      <c r="K2213" s="2" t="s">
        <v>5221</v>
      </c>
      <c r="L2213" s="2" t="s">
        <v>5721</v>
      </c>
      <c r="M2213" s="2" t="s">
        <v>5721</v>
      </c>
      <c r="N2213" s="2" t="s">
        <v>2317</v>
      </c>
      <c r="O2213" s="14">
        <v>2000</v>
      </c>
      <c r="P2213" s="14">
        <v>93.7</v>
      </c>
      <c r="Q2213" s="14">
        <v>126</v>
      </c>
      <c r="R2213" s="14">
        <v>41.58</v>
      </c>
      <c r="S2213" s="2" t="s">
        <v>6709</v>
      </c>
      <c r="T2213" s="2">
        <v>1.01</v>
      </c>
      <c r="U2213" s="2">
        <v>62.6</v>
      </c>
      <c r="V2213" s="2">
        <v>57</v>
      </c>
      <c r="W2213" s="2" t="s">
        <v>7862</v>
      </c>
      <c r="X2213" s="2" t="s">
        <v>5405</v>
      </c>
      <c r="Y2213" s="2">
        <v>660</v>
      </c>
      <c r="Z2213" s="19" t="str">
        <f>HYPERLINK("https://ssdweb.co/ssdweb/hd/Vision360.html?d=926181011&amp;zoomslide=1&amp;z=1926181011&amp;ISCONFIRM=0","VIDEO")</f>
        <v>VIDEO</v>
      </c>
      <c r="AA2213" s="19" t="str">
        <f>HYPERLINK("https://ssdweb.co/ssdweb/CERTH/636429679.pdf","CERTI")</f>
        <v>CERTI</v>
      </c>
    </row>
    <row r="2214" spans="1:27" ht="15" x14ac:dyDescent="0.25">
      <c r="A2214" s="2">
        <v>2209</v>
      </c>
      <c r="B2214" s="39">
        <v>926301155</v>
      </c>
      <c r="C2214" s="28" t="str">
        <f>HYPERLINK("https://pld.live/RapDetail.aspx?STONELIST=926301155","DNA")</f>
        <v>DNA</v>
      </c>
      <c r="D2214" s="18" t="s">
        <v>7954</v>
      </c>
      <c r="E2214" s="18" t="s">
        <v>5128</v>
      </c>
      <c r="F2214" s="2" t="s">
        <v>7987</v>
      </c>
      <c r="G2214" s="2" t="s">
        <v>861</v>
      </c>
      <c r="H2214" s="14">
        <v>0.33</v>
      </c>
      <c r="I2214" s="2" t="s">
        <v>267</v>
      </c>
      <c r="J2214" s="2" t="s">
        <v>5144</v>
      </c>
      <c r="K2214" s="2" t="s">
        <v>3390</v>
      </c>
      <c r="L2214" s="2" t="s">
        <v>5221</v>
      </c>
      <c r="M2214" s="2" t="s">
        <v>5221</v>
      </c>
      <c r="N2214" s="2" t="s">
        <v>2317</v>
      </c>
      <c r="O2214" s="14">
        <v>1800</v>
      </c>
      <c r="P2214" s="14">
        <v>92.89</v>
      </c>
      <c r="Q2214" s="14">
        <v>127.98</v>
      </c>
      <c r="R2214" s="14">
        <v>42.23</v>
      </c>
      <c r="S2214" s="2" t="s">
        <v>7371</v>
      </c>
      <c r="T2214" s="2">
        <v>1.01</v>
      </c>
      <c r="U2214" s="2">
        <v>61.1</v>
      </c>
      <c r="V2214" s="2">
        <v>59</v>
      </c>
      <c r="W2214" s="2" t="s">
        <v>7862</v>
      </c>
      <c r="X2214" s="2" t="s">
        <v>5405</v>
      </c>
      <c r="Y2214" s="2">
        <v>594</v>
      </c>
      <c r="Z2214" s="19" t="str">
        <f>HYPERLINK("https://ssdweb.co/ssdweb/hd/Vision360.html?d=926301155&amp;zoomslide=1&amp;z=1926301155&amp;ISCONFIRM=0","VIDEO")</f>
        <v>VIDEO</v>
      </c>
      <c r="AA2214" s="19" t="str">
        <f>HYPERLINK("https://ssdweb.co/ssdweb/CERTH/646472819.pdf","CERTI")</f>
        <v>CERTI</v>
      </c>
    </row>
    <row r="2215" spans="1:27" ht="15" x14ac:dyDescent="0.25">
      <c r="A2215" s="2">
        <v>2210</v>
      </c>
      <c r="B2215" s="39">
        <v>925290301</v>
      </c>
      <c r="C2215" s="28" t="str">
        <f>HYPERLINK("https://pld.live/RapDetail.aspx?STONELIST=925290301","DNA")</f>
        <v>DNA</v>
      </c>
      <c r="D2215" s="18" t="s">
        <v>7954</v>
      </c>
      <c r="E2215" s="18" t="s">
        <v>5128</v>
      </c>
      <c r="F2215" s="2" t="s">
        <v>7987</v>
      </c>
      <c r="G2215" s="2" t="s">
        <v>861</v>
      </c>
      <c r="H2215" s="14">
        <v>0.33</v>
      </c>
      <c r="I2215" s="2" t="s">
        <v>267</v>
      </c>
      <c r="J2215" s="2" t="s">
        <v>5144</v>
      </c>
      <c r="K2215" s="2" t="s">
        <v>3390</v>
      </c>
      <c r="L2215" s="2" t="s">
        <v>5221</v>
      </c>
      <c r="M2215" s="2" t="s">
        <v>5721</v>
      </c>
      <c r="N2215" s="2" t="s">
        <v>2317</v>
      </c>
      <c r="O2215" s="14">
        <v>1800</v>
      </c>
      <c r="P2215" s="14">
        <v>93.22</v>
      </c>
      <c r="Q2215" s="14">
        <v>122.04</v>
      </c>
      <c r="R2215" s="14">
        <v>40.270000000000003</v>
      </c>
      <c r="S2215" s="2" t="s">
        <v>6709</v>
      </c>
      <c r="T2215" s="2">
        <v>1.01</v>
      </c>
      <c r="U2215" s="2">
        <v>62.5</v>
      </c>
      <c r="V2215" s="2">
        <v>57</v>
      </c>
      <c r="W2215" s="2" t="s">
        <v>7862</v>
      </c>
      <c r="X2215" s="2" t="s">
        <v>5405</v>
      </c>
      <c r="Y2215" s="2">
        <v>594</v>
      </c>
      <c r="Z2215" s="19" t="str">
        <f>HYPERLINK("https://ssdweb.co/ssdweb/hd/Vision360.html?d=925290301&amp;zoomslide=1&amp;z=1925290301&amp;ISCONFIRM=0","VIDEO")</f>
        <v>VIDEO</v>
      </c>
      <c r="AA2215" s="19" t="str">
        <f>HYPERLINK("https://ssdweb.co/ssdweb/CERTH/614319334.pdf","CERTI")</f>
        <v>CERTI</v>
      </c>
    </row>
    <row r="2216" spans="1:27" ht="15" x14ac:dyDescent="0.25">
      <c r="A2216" s="2">
        <v>2211</v>
      </c>
      <c r="B2216" s="39">
        <v>926091028</v>
      </c>
      <c r="C2216" s="28" t="str">
        <f>HYPERLINK("https://pld.live/RapDetail.aspx?STONELIST=926091028","DNA")</f>
        <v>DNA</v>
      </c>
      <c r="D2216" s="18" t="s">
        <v>7954</v>
      </c>
      <c r="E2216" s="18" t="s">
        <v>5128</v>
      </c>
      <c r="F2216" s="2" t="s">
        <v>7987</v>
      </c>
      <c r="G2216" s="2" t="s">
        <v>861</v>
      </c>
      <c r="H2216" s="14">
        <v>0.33</v>
      </c>
      <c r="I2216" s="2" t="s">
        <v>267</v>
      </c>
      <c r="J2216" s="2" t="s">
        <v>5144</v>
      </c>
      <c r="K2216" s="2" t="s">
        <v>3390</v>
      </c>
      <c r="L2216" s="2" t="s">
        <v>5221</v>
      </c>
      <c r="M2216" s="2" t="s">
        <v>5721</v>
      </c>
      <c r="N2216" s="2" t="s">
        <v>2317</v>
      </c>
      <c r="O2216" s="14">
        <v>1800</v>
      </c>
      <c r="P2216" s="14">
        <v>93.22</v>
      </c>
      <c r="Q2216" s="14">
        <v>122.04</v>
      </c>
      <c r="R2216" s="14">
        <v>40.270000000000003</v>
      </c>
      <c r="S2216" s="2" t="s">
        <v>3206</v>
      </c>
      <c r="T2216" s="2">
        <v>1.01</v>
      </c>
      <c r="U2216" s="2">
        <v>62.2</v>
      </c>
      <c r="V2216" s="2">
        <v>56</v>
      </c>
      <c r="W2216" s="2" t="s">
        <v>7862</v>
      </c>
      <c r="X2216" s="2" t="s">
        <v>5405</v>
      </c>
      <c r="Y2216" s="2">
        <v>594</v>
      </c>
      <c r="Z2216" s="19" t="str">
        <f>HYPERLINK("https://ssdweb.co/ssdweb/hd/Vision360.html?d=926091028&amp;zoomslide=1&amp;z=1926091028&amp;ISCONFIRM=0","VIDEO")</f>
        <v>VIDEO</v>
      </c>
      <c r="AA2216" s="19" t="str">
        <f>HYPERLINK("https://ssdweb.co/ssdweb/CERTH/632421395.pdf","CERTI")</f>
        <v>CERTI</v>
      </c>
    </row>
    <row r="2217" spans="1:27" ht="15" x14ac:dyDescent="0.25">
      <c r="A2217" s="2">
        <v>2212</v>
      </c>
      <c r="B2217" s="39">
        <v>924540227</v>
      </c>
      <c r="C2217" s="28" t="str">
        <f>HYPERLINK("https://pld.live/RapDetail.aspx?STONELIST=924540227","DNA")</f>
        <v>DNA</v>
      </c>
      <c r="D2217" s="18" t="s">
        <v>7954</v>
      </c>
      <c r="E2217" s="18" t="s">
        <v>5128</v>
      </c>
      <c r="F2217" s="2" t="s">
        <v>7987</v>
      </c>
      <c r="G2217" s="2" t="s">
        <v>861</v>
      </c>
      <c r="H2217" s="14">
        <v>0.33</v>
      </c>
      <c r="I2217" s="2" t="s">
        <v>267</v>
      </c>
      <c r="J2217" s="2" t="s">
        <v>5144</v>
      </c>
      <c r="K2217" s="2" t="s">
        <v>5221</v>
      </c>
      <c r="L2217" s="2" t="s">
        <v>5221</v>
      </c>
      <c r="M2217" s="2" t="s">
        <v>5221</v>
      </c>
      <c r="N2217" s="2" t="s">
        <v>2317</v>
      </c>
      <c r="O2217" s="14">
        <v>1800</v>
      </c>
      <c r="P2217" s="14">
        <v>93</v>
      </c>
      <c r="Q2217" s="14">
        <v>126</v>
      </c>
      <c r="R2217" s="14">
        <v>41.58</v>
      </c>
      <c r="S2217" s="2" t="s">
        <v>6471</v>
      </c>
      <c r="T2217" s="2">
        <v>1.01</v>
      </c>
      <c r="U2217" s="2">
        <v>62.7</v>
      </c>
      <c r="V2217" s="2">
        <v>56</v>
      </c>
      <c r="W2217" s="2" t="s">
        <v>7862</v>
      </c>
      <c r="X2217" s="2" t="s">
        <v>5405</v>
      </c>
      <c r="Y2217" s="2">
        <v>594</v>
      </c>
      <c r="Z2217" s="19" t="str">
        <f>HYPERLINK("https://ssdweb.co/ssdweb/hd/Vision360.html?d=924540227&amp;zoomslide=1&amp;z=1924540227&amp;ISCONFIRM=0","VIDEO")</f>
        <v>VIDEO</v>
      </c>
      <c r="AA2217" s="19" t="str">
        <f>HYPERLINK("https://ssdweb.co/ssdweb/CERTH/593373188.pdf","CERTI")</f>
        <v>CERTI</v>
      </c>
    </row>
    <row r="2218" spans="1:27" ht="15" x14ac:dyDescent="0.25">
      <c r="A2218" s="2">
        <v>2213</v>
      </c>
      <c r="B2218" s="39">
        <v>821127950</v>
      </c>
      <c r="C2218" s="28" t="str">
        <f>HYPERLINK("https://pld.live/RapDetail.aspx?STONELIST=821127950","DNA")</f>
        <v>DNA</v>
      </c>
      <c r="D2218" s="18" t="s">
        <v>7954</v>
      </c>
      <c r="E2218" s="18" t="s">
        <v>5128</v>
      </c>
      <c r="F2218" s="2" t="s">
        <v>7987</v>
      </c>
      <c r="G2218" s="2" t="s">
        <v>861</v>
      </c>
      <c r="H2218" s="14">
        <v>0.33</v>
      </c>
      <c r="I2218" s="2" t="s">
        <v>267</v>
      </c>
      <c r="J2218" s="2" t="s">
        <v>5144</v>
      </c>
      <c r="K2218" s="2" t="s">
        <v>5221</v>
      </c>
      <c r="L2218" s="2" t="s">
        <v>5221</v>
      </c>
      <c r="M2218" s="2" t="s">
        <v>5721</v>
      </c>
      <c r="N2218" s="2" t="s">
        <v>2317</v>
      </c>
      <c r="O2218" s="14">
        <v>1800</v>
      </c>
      <c r="P2218" s="14">
        <v>93.22</v>
      </c>
      <c r="Q2218" s="14">
        <v>122.04</v>
      </c>
      <c r="R2218" s="14">
        <v>40.270000000000003</v>
      </c>
      <c r="S2218" s="2" t="s">
        <v>1790</v>
      </c>
      <c r="T2218" s="2">
        <v>1.01</v>
      </c>
      <c r="U2218" s="2">
        <v>63.1</v>
      </c>
      <c r="V2218" s="2">
        <v>57</v>
      </c>
      <c r="W2218" s="2" t="s">
        <v>7862</v>
      </c>
      <c r="X2218" s="2" t="s">
        <v>5405</v>
      </c>
      <c r="Y2218" s="2">
        <v>594</v>
      </c>
      <c r="Z2218" s="19" t="str">
        <f>HYPERLINK("https://ssdweb.co/ssdweb/hd/Vision360.html?d=821127950&amp;zoomslide=1&amp;z=1821127950&amp;ISCONFIRM=0","VIDEO")</f>
        <v>VIDEO</v>
      </c>
      <c r="AA2218" s="19" t="str">
        <f>HYPERLINK("https://ssdweb.co/ssdweb/CERTH/633431890.pdf","CERTI")</f>
        <v>CERTI</v>
      </c>
    </row>
    <row r="2219" spans="1:27" ht="15" x14ac:dyDescent="0.25">
      <c r="A2219" s="2">
        <v>2214</v>
      </c>
      <c r="B2219" s="39">
        <v>926321042</v>
      </c>
      <c r="C2219" s="28" t="str">
        <f>HYPERLINK("https://pld.live/RapDetail.aspx?STONELIST=926321042","DNA")</f>
        <v>DNA</v>
      </c>
      <c r="D2219" s="18" t="s">
        <v>7954</v>
      </c>
      <c r="E2219" s="18" t="s">
        <v>5128</v>
      </c>
      <c r="F2219" s="2" t="s">
        <v>5597</v>
      </c>
      <c r="G2219" s="2" t="s">
        <v>861</v>
      </c>
      <c r="H2219" s="14">
        <v>0.33</v>
      </c>
      <c r="I2219" s="2" t="s">
        <v>267</v>
      </c>
      <c r="J2219" s="2" t="s">
        <v>5144</v>
      </c>
      <c r="K2219" s="2" t="s">
        <v>5221</v>
      </c>
      <c r="L2219" s="2" t="s">
        <v>5221</v>
      </c>
      <c r="M2219" s="2" t="s">
        <v>5721</v>
      </c>
      <c r="N2219" s="2" t="s">
        <v>2317</v>
      </c>
      <c r="O2219" s="14">
        <v>1800</v>
      </c>
      <c r="P2219" s="14">
        <v>85.11</v>
      </c>
      <c r="Q2219" s="14">
        <v>268.02</v>
      </c>
      <c r="R2219" s="14">
        <v>88.45</v>
      </c>
      <c r="S2219" s="2" t="s">
        <v>6262</v>
      </c>
      <c r="T2219" s="2">
        <v>1</v>
      </c>
      <c r="U2219" s="2">
        <v>60.9</v>
      </c>
      <c r="V2219" s="2">
        <v>57</v>
      </c>
      <c r="W2219" s="2" t="s">
        <v>7862</v>
      </c>
      <c r="X2219" s="2" t="s">
        <v>5405</v>
      </c>
      <c r="Y2219" s="2">
        <v>594</v>
      </c>
      <c r="Z2219" s="19" t="str">
        <f>HYPERLINK("https://ssdweb.co/ssdweb/hd/Vision360.html?d=926321042&amp;zoomslide=1&amp;z=1926321042&amp;ISCONFIRM=0","VIDEO")</f>
        <v>VIDEO</v>
      </c>
      <c r="AA2219" s="19" t="str">
        <f>HYPERLINK("https://ssdweb.co/ssdweb/CERTH/5496924917.pdf","CERTI")</f>
        <v>CERTI</v>
      </c>
    </row>
    <row r="2220" spans="1:27" ht="15" x14ac:dyDescent="0.25">
      <c r="A2220" s="2">
        <v>2215</v>
      </c>
      <c r="B2220" s="39">
        <v>926080666</v>
      </c>
      <c r="C2220" s="28" t="str">
        <f>HYPERLINK("https://pld.live/RapDetail.aspx?STONELIST=926080666","DNA")</f>
        <v>DNA</v>
      </c>
      <c r="D2220" s="18" t="s">
        <v>7954</v>
      </c>
      <c r="E2220" s="18" t="s">
        <v>5128</v>
      </c>
      <c r="F2220" s="2" t="s">
        <v>7987</v>
      </c>
      <c r="G2220" s="2" t="s">
        <v>861</v>
      </c>
      <c r="H2220" s="14">
        <v>0.33</v>
      </c>
      <c r="I2220" s="2" t="s">
        <v>267</v>
      </c>
      <c r="J2220" s="2" t="s">
        <v>5144</v>
      </c>
      <c r="K2220" s="2" t="s">
        <v>5221</v>
      </c>
      <c r="L2220" s="2" t="s">
        <v>5721</v>
      </c>
      <c r="M2220" s="2" t="s">
        <v>5721</v>
      </c>
      <c r="N2220" s="2" t="s">
        <v>2317</v>
      </c>
      <c r="O2220" s="14">
        <v>1800</v>
      </c>
      <c r="P2220" s="14">
        <v>93.33</v>
      </c>
      <c r="Q2220" s="14">
        <v>120.06</v>
      </c>
      <c r="R2220" s="14">
        <v>39.619999999999997</v>
      </c>
      <c r="S2220" s="2" t="s">
        <v>1948</v>
      </c>
      <c r="T2220" s="2">
        <v>1</v>
      </c>
      <c r="U2220" s="2">
        <v>63</v>
      </c>
      <c r="V2220" s="2">
        <v>60</v>
      </c>
      <c r="W2220" s="2" t="s">
        <v>7862</v>
      </c>
      <c r="X2220" s="2" t="s">
        <v>5405</v>
      </c>
      <c r="Y2220" s="2">
        <v>594</v>
      </c>
      <c r="Z2220" s="19" t="str">
        <f>HYPERLINK("https://ssdweb.co/ssdweb/hd/Vision360.html?d=926080666&amp;zoomslide=1&amp;z=1926080666&amp;ISCONFIRM=0","VIDEO")</f>
        <v>VIDEO</v>
      </c>
      <c r="AA2220" s="19" t="str">
        <f>HYPERLINK("https://ssdweb.co/ssdweb/CERTH/631404326.pdf","CERTI")</f>
        <v>CERTI</v>
      </c>
    </row>
    <row r="2221" spans="1:27" ht="15" x14ac:dyDescent="0.25">
      <c r="A2221" s="2">
        <v>2216</v>
      </c>
      <c r="B2221" s="39">
        <v>925370218</v>
      </c>
      <c r="C2221" s="28" t="str">
        <f>HYPERLINK("https://pld.live/RapDetail.aspx?STONELIST=925370218","DNA")</f>
        <v>DNA</v>
      </c>
      <c r="D2221" s="18" t="s">
        <v>7954</v>
      </c>
      <c r="E2221" s="18" t="s">
        <v>5128</v>
      </c>
      <c r="F2221" s="2" t="s">
        <v>7987</v>
      </c>
      <c r="G2221" s="2" t="s">
        <v>861</v>
      </c>
      <c r="H2221" s="14">
        <v>0.33</v>
      </c>
      <c r="I2221" s="2" t="s">
        <v>267</v>
      </c>
      <c r="J2221" s="2" t="s">
        <v>444</v>
      </c>
      <c r="K2221" s="2" t="s">
        <v>5221</v>
      </c>
      <c r="L2221" s="2" t="s">
        <v>5221</v>
      </c>
      <c r="M2221" s="2" t="s">
        <v>5221</v>
      </c>
      <c r="N2221" s="2" t="s">
        <v>2317</v>
      </c>
      <c r="O2221" s="14">
        <v>1700</v>
      </c>
      <c r="P2221" s="14">
        <v>93.12</v>
      </c>
      <c r="Q2221" s="14">
        <v>116.96</v>
      </c>
      <c r="R2221" s="14">
        <v>38.6</v>
      </c>
      <c r="S2221" s="2" t="s">
        <v>2989</v>
      </c>
      <c r="T2221" s="2">
        <v>1.01</v>
      </c>
      <c r="U2221" s="2">
        <v>63</v>
      </c>
      <c r="V2221" s="2">
        <v>54</v>
      </c>
      <c r="W2221" s="2" t="s">
        <v>7862</v>
      </c>
      <c r="X2221" s="2" t="s">
        <v>5405</v>
      </c>
      <c r="Y2221" s="2">
        <v>561</v>
      </c>
      <c r="Z2221" s="19" t="str">
        <f>HYPERLINK("https://ssdweb.co/ssdweb/hd/Vision360.html?d=925370218&amp;zoomslide=1&amp;z=1925370218&amp;ISCONFIRM=0","VIDEO")</f>
        <v>VIDEO</v>
      </c>
      <c r="AA2221" s="19" t="str">
        <f>HYPERLINK("https://ssdweb.co/ssdweb/CERTH/615370375.pdf","CERTI")</f>
        <v>CERTI</v>
      </c>
    </row>
    <row r="2222" spans="1:27" ht="15" x14ac:dyDescent="0.25">
      <c r="A2222" s="2">
        <v>2217</v>
      </c>
      <c r="B2222" s="39">
        <v>925380030</v>
      </c>
      <c r="C2222" s="28" t="str">
        <f>HYPERLINK("https://pld.live/RapDetail.aspx?STONELIST=925380030","DNA")</f>
        <v>DNA</v>
      </c>
      <c r="D2222" s="18" t="s">
        <v>7954</v>
      </c>
      <c r="E2222" s="18" t="s">
        <v>5128</v>
      </c>
      <c r="F2222" s="2" t="s">
        <v>7987</v>
      </c>
      <c r="G2222" s="2" t="s">
        <v>861</v>
      </c>
      <c r="H2222" s="14">
        <v>0.33</v>
      </c>
      <c r="I2222" s="2" t="s">
        <v>267</v>
      </c>
      <c r="J2222" s="2" t="s">
        <v>444</v>
      </c>
      <c r="K2222" s="2" t="s">
        <v>5221</v>
      </c>
      <c r="L2222" s="2" t="s">
        <v>5221</v>
      </c>
      <c r="M2222" s="2" t="s">
        <v>5721</v>
      </c>
      <c r="N2222" s="2" t="s">
        <v>2317</v>
      </c>
      <c r="O2222" s="14">
        <v>1700</v>
      </c>
      <c r="P2222" s="14">
        <v>93.35</v>
      </c>
      <c r="Q2222" s="14">
        <v>113.05</v>
      </c>
      <c r="R2222" s="14">
        <v>37.31</v>
      </c>
      <c r="S2222" s="2" t="s">
        <v>6790</v>
      </c>
      <c r="T2222" s="2">
        <v>1.01</v>
      </c>
      <c r="U2222" s="2">
        <v>60.9</v>
      </c>
      <c r="V2222" s="2">
        <v>59</v>
      </c>
      <c r="W2222" s="2" t="s">
        <v>7862</v>
      </c>
      <c r="X2222" s="2" t="s">
        <v>5405</v>
      </c>
      <c r="Y2222" s="2">
        <v>561</v>
      </c>
      <c r="Z2222" s="19" t="str">
        <f>HYPERLINK("https://ssdweb.co/ssdweb/hd/Vision360.html?d=925380030&amp;zoomslide=1&amp;z=1925380030&amp;ISCONFIRM=0","VIDEO")</f>
        <v>VIDEO</v>
      </c>
      <c r="AA2222" s="19" t="str">
        <f>HYPERLINK("https://ssdweb.co/ssdweb/CERTH/615370359.pdf","CERTI")</f>
        <v>CERTI</v>
      </c>
    </row>
    <row r="2223" spans="1:27" ht="15" x14ac:dyDescent="0.25">
      <c r="A2223" s="2">
        <v>2218</v>
      </c>
      <c r="B2223" s="39">
        <v>926231118</v>
      </c>
      <c r="C2223" s="28" t="str">
        <f>HYPERLINK("https://pld.live/RapDetail.aspx?STONELIST=926231118","DNA")</f>
        <v>DNA</v>
      </c>
      <c r="D2223" s="18" t="s">
        <v>7954</v>
      </c>
      <c r="E2223" s="18" t="s">
        <v>5128</v>
      </c>
      <c r="F2223" s="2" t="s">
        <v>7987</v>
      </c>
      <c r="G2223" s="2" t="s">
        <v>861</v>
      </c>
      <c r="H2223" s="14">
        <v>0.33</v>
      </c>
      <c r="I2223" s="2" t="s">
        <v>4761</v>
      </c>
      <c r="J2223" s="2" t="s">
        <v>6555</v>
      </c>
      <c r="K2223" s="2" t="s">
        <v>3390</v>
      </c>
      <c r="L2223" s="2" t="s">
        <v>5221</v>
      </c>
      <c r="M2223" s="2" t="s">
        <v>5221</v>
      </c>
      <c r="N2223" s="2" t="s">
        <v>2317</v>
      </c>
      <c r="O2223" s="14">
        <v>2300</v>
      </c>
      <c r="P2223" s="14">
        <v>93.35</v>
      </c>
      <c r="Q2223" s="14">
        <v>152.94999999999999</v>
      </c>
      <c r="R2223" s="14">
        <v>50.47</v>
      </c>
      <c r="S2223" s="2" t="s">
        <v>1650</v>
      </c>
      <c r="T2223" s="2">
        <v>1</v>
      </c>
      <c r="U2223" s="2">
        <v>61.9</v>
      </c>
      <c r="V2223" s="2">
        <v>58</v>
      </c>
      <c r="W2223" s="2" t="s">
        <v>7862</v>
      </c>
      <c r="X2223" s="2" t="s">
        <v>5405</v>
      </c>
      <c r="Y2223" s="2">
        <v>759</v>
      </c>
      <c r="Z2223" s="19" t="str">
        <f>HYPERLINK("https://ssdweb.co/ssdweb/hd/Vision360.html?d=926231118&amp;zoomslide=1&amp;z=1926231118&amp;ISCONFIRM=0","VIDEO")</f>
        <v>VIDEO</v>
      </c>
      <c r="AA2223" s="19" t="str">
        <f>HYPERLINK("https://ssdweb.co/ssdweb/CERTH/692533964.pdf","CERTI")</f>
        <v>CERTI</v>
      </c>
    </row>
    <row r="2224" spans="1:27" ht="15" x14ac:dyDescent="0.25">
      <c r="A2224" s="2">
        <v>2219</v>
      </c>
      <c r="B2224" s="39">
        <v>821127871</v>
      </c>
      <c r="C2224" s="28" t="str">
        <f>HYPERLINK("https://pld.live/RapDetail.aspx?STONELIST=821127871","DNA")</f>
        <v>DNA</v>
      </c>
      <c r="D2224" s="18" t="s">
        <v>7954</v>
      </c>
      <c r="E2224" s="18" t="s">
        <v>5128</v>
      </c>
      <c r="F2224" s="2" t="s">
        <v>7987</v>
      </c>
      <c r="G2224" s="2" t="s">
        <v>861</v>
      </c>
      <c r="H2224" s="14">
        <v>0.33</v>
      </c>
      <c r="I2224" s="2" t="s">
        <v>4761</v>
      </c>
      <c r="J2224" s="2" t="s">
        <v>3942</v>
      </c>
      <c r="K2224" s="2" t="s">
        <v>3390</v>
      </c>
      <c r="L2224" s="2" t="s">
        <v>5721</v>
      </c>
      <c r="M2224" s="2" t="s">
        <v>5221</v>
      </c>
      <c r="N2224" s="2" t="s">
        <v>2317</v>
      </c>
      <c r="O2224" s="14">
        <v>2000</v>
      </c>
      <c r="P2224" s="14">
        <v>93.25</v>
      </c>
      <c r="Q2224" s="14">
        <v>135</v>
      </c>
      <c r="R2224" s="14">
        <v>44.55</v>
      </c>
      <c r="S2224" s="2" t="s">
        <v>7564</v>
      </c>
      <c r="T2224" s="2">
        <v>1</v>
      </c>
      <c r="U2224" s="2">
        <v>62.4</v>
      </c>
      <c r="V2224" s="2">
        <v>58</v>
      </c>
      <c r="W2224" s="2" t="s">
        <v>7862</v>
      </c>
      <c r="X2224" s="2" t="s">
        <v>5405</v>
      </c>
      <c r="Y2224" s="2">
        <v>660</v>
      </c>
      <c r="Z2224" s="19" t="str">
        <f>HYPERLINK("https://ssdweb.co/ssdweb/hd/Vision360.html?d=821127871&amp;zoomslide=1&amp;z=1821127871&amp;ISCONFIRM=0","VIDEO")</f>
        <v>VIDEO</v>
      </c>
      <c r="AA2224" s="19" t="str">
        <f>HYPERLINK("https://ssdweb.co/ssdweb/CERTH/633499537.pdf","CERTI")</f>
        <v>CERTI</v>
      </c>
    </row>
    <row r="2225" spans="1:27" ht="15" x14ac:dyDescent="0.25">
      <c r="A2225" s="2">
        <v>2220</v>
      </c>
      <c r="B2225" s="39">
        <v>920661272</v>
      </c>
      <c r="C2225" s="28" t="str">
        <f>HYPERLINK("https://pld.live/RapDetail.aspx?STONELIST=920661272","DNA")</f>
        <v>DNA</v>
      </c>
      <c r="D2225" s="18" t="s">
        <v>7954</v>
      </c>
      <c r="E2225" s="18" t="s">
        <v>5128</v>
      </c>
      <c r="F2225" s="2" t="s">
        <v>7987</v>
      </c>
      <c r="G2225" s="2" t="s">
        <v>861</v>
      </c>
      <c r="H2225" s="14">
        <v>0.33</v>
      </c>
      <c r="I2225" s="2" t="s">
        <v>4761</v>
      </c>
      <c r="J2225" s="2" t="s">
        <v>3942</v>
      </c>
      <c r="K2225" s="2" t="s">
        <v>3390</v>
      </c>
      <c r="L2225" s="2" t="s">
        <v>5721</v>
      </c>
      <c r="M2225" s="2" t="s">
        <v>5721</v>
      </c>
      <c r="N2225" s="2" t="s">
        <v>2317</v>
      </c>
      <c r="O2225" s="14">
        <v>2000</v>
      </c>
      <c r="P2225" s="14">
        <v>93.35</v>
      </c>
      <c r="Q2225" s="14">
        <v>133</v>
      </c>
      <c r="R2225" s="14">
        <v>43.89</v>
      </c>
      <c r="S2225" s="2" t="s">
        <v>5207</v>
      </c>
      <c r="T2225" s="2">
        <v>1.01</v>
      </c>
      <c r="U2225" s="2">
        <v>61.6</v>
      </c>
      <c r="V2225" s="2">
        <v>58</v>
      </c>
      <c r="W2225" s="2" t="s">
        <v>7862</v>
      </c>
      <c r="X2225" s="2" t="s">
        <v>5405</v>
      </c>
      <c r="Y2225" s="2">
        <v>660</v>
      </c>
      <c r="Z2225" s="19" t="str">
        <f>HYPERLINK("https://ssdweb.co/ssdweb/hd/Vision360.html?d=920661272&amp;zoomslide=1&amp;z=1920661272&amp;ISCONFIRM=0","VIDEO")</f>
        <v>VIDEO</v>
      </c>
      <c r="AA2225" s="19" t="str">
        <f>HYPERLINK("https://ssdweb.co/ssdweb/CERTH/637467172.pdf","CERTI")</f>
        <v>CERTI</v>
      </c>
    </row>
    <row r="2226" spans="1:27" ht="15" x14ac:dyDescent="0.25">
      <c r="A2226" s="2">
        <v>2221</v>
      </c>
      <c r="B2226" s="39">
        <v>926191183</v>
      </c>
      <c r="C2226" s="28" t="str">
        <f>HYPERLINK("https://pld.live/RapDetail.aspx?STONELIST=926191183","DNA")</f>
        <v>DNA</v>
      </c>
      <c r="D2226" s="18" t="s">
        <v>7954</v>
      </c>
      <c r="E2226" s="18" t="s">
        <v>5128</v>
      </c>
      <c r="F2226" s="2" t="s">
        <v>7987</v>
      </c>
      <c r="G2226" s="2" t="s">
        <v>861</v>
      </c>
      <c r="H2226" s="14">
        <v>0.33</v>
      </c>
      <c r="I2226" s="2" t="s">
        <v>4761</v>
      </c>
      <c r="J2226" s="2" t="s">
        <v>3942</v>
      </c>
      <c r="K2226" s="2" t="s">
        <v>5221</v>
      </c>
      <c r="L2226" s="2" t="s">
        <v>5221</v>
      </c>
      <c r="M2226" s="2" t="s">
        <v>5721</v>
      </c>
      <c r="N2226" s="2" t="s">
        <v>2317</v>
      </c>
      <c r="O2226" s="14">
        <v>2000</v>
      </c>
      <c r="P2226" s="14">
        <v>93.25</v>
      </c>
      <c r="Q2226" s="14">
        <v>135</v>
      </c>
      <c r="R2226" s="14">
        <v>44.55</v>
      </c>
      <c r="S2226" s="2" t="s">
        <v>4960</v>
      </c>
      <c r="T2226" s="2">
        <v>1.01</v>
      </c>
      <c r="U2226" s="2">
        <v>60.2</v>
      </c>
      <c r="V2226" s="2">
        <v>61</v>
      </c>
      <c r="W2226" s="2" t="s">
        <v>7862</v>
      </c>
      <c r="X2226" s="2" t="s">
        <v>5405</v>
      </c>
      <c r="Y2226" s="2">
        <v>660</v>
      </c>
      <c r="Z2226" s="19" t="str">
        <f>HYPERLINK("https://ssdweb.co/ssdweb/hd/Vision360.html?d=926191183&amp;zoomslide=1&amp;z=1926191183&amp;ISCONFIRM=0","VIDEO")</f>
        <v>VIDEO</v>
      </c>
      <c r="AA2226" s="19" t="str">
        <f>HYPERLINK("https://ssdweb.co/ssdweb/CERTH/637467347.pdf","CERTI")</f>
        <v>CERTI</v>
      </c>
    </row>
    <row r="2227" spans="1:27" ht="15" x14ac:dyDescent="0.25">
      <c r="A2227" s="2">
        <v>2222</v>
      </c>
      <c r="B2227" s="39">
        <v>920661259</v>
      </c>
      <c r="C2227" s="28" t="str">
        <f>HYPERLINK("https://pld.live/RapDetail.aspx?STONELIST=920661259","DNA")</f>
        <v>DNA</v>
      </c>
      <c r="D2227" s="18" t="s">
        <v>7954</v>
      </c>
      <c r="E2227" s="18" t="s">
        <v>5128</v>
      </c>
      <c r="F2227" s="2" t="s">
        <v>7987</v>
      </c>
      <c r="G2227" s="2" t="s">
        <v>861</v>
      </c>
      <c r="H2227" s="14">
        <v>0.33</v>
      </c>
      <c r="I2227" s="2" t="s">
        <v>4761</v>
      </c>
      <c r="J2227" s="2" t="s">
        <v>3942</v>
      </c>
      <c r="K2227" s="2" t="s">
        <v>5221</v>
      </c>
      <c r="L2227" s="2" t="s">
        <v>5221</v>
      </c>
      <c r="M2227" s="2" t="s">
        <v>5721</v>
      </c>
      <c r="N2227" s="2" t="s">
        <v>2317</v>
      </c>
      <c r="O2227" s="14">
        <v>2000</v>
      </c>
      <c r="P2227" s="14">
        <v>93.25</v>
      </c>
      <c r="Q2227" s="14">
        <v>135</v>
      </c>
      <c r="R2227" s="14">
        <v>44.55</v>
      </c>
      <c r="S2227" s="2" t="s">
        <v>3206</v>
      </c>
      <c r="T2227" s="2">
        <v>1.01</v>
      </c>
      <c r="U2227" s="2">
        <v>62.4</v>
      </c>
      <c r="V2227" s="2">
        <v>58</v>
      </c>
      <c r="W2227" s="2" t="s">
        <v>7862</v>
      </c>
      <c r="X2227" s="2" t="s">
        <v>5405</v>
      </c>
      <c r="Y2227" s="2">
        <v>660</v>
      </c>
      <c r="Z2227" s="19" t="str">
        <f>HYPERLINK("https://ssdweb.co/ssdweb/hd/Vision360.html?d=920661259&amp;zoomslide=1&amp;z=1920661259&amp;ISCONFIRM=0","VIDEO")</f>
        <v>VIDEO</v>
      </c>
      <c r="AA2227" s="19" t="str">
        <f>HYPERLINK("https://ssdweb.co/ssdweb/CERTH/637467164.pdf","CERTI")</f>
        <v>CERTI</v>
      </c>
    </row>
    <row r="2228" spans="1:27" ht="15" x14ac:dyDescent="0.25">
      <c r="A2228" s="2">
        <v>2223</v>
      </c>
      <c r="B2228" s="39">
        <v>926231032</v>
      </c>
      <c r="C2228" s="28" t="str">
        <f>HYPERLINK("https://pld.live/RapDetail.aspx?STONELIST=926231032","DNA")</f>
        <v>DNA</v>
      </c>
      <c r="D2228" s="18" t="s">
        <v>7954</v>
      </c>
      <c r="E2228" s="18" t="s">
        <v>5128</v>
      </c>
      <c r="F2228" s="2" t="s">
        <v>7987</v>
      </c>
      <c r="G2228" s="2" t="s">
        <v>861</v>
      </c>
      <c r="H2228" s="14">
        <v>0.33</v>
      </c>
      <c r="I2228" s="2" t="s">
        <v>4761</v>
      </c>
      <c r="J2228" s="2" t="s">
        <v>3942</v>
      </c>
      <c r="K2228" s="2" t="s">
        <v>5221</v>
      </c>
      <c r="L2228" s="2" t="s">
        <v>5721</v>
      </c>
      <c r="M2228" s="2" t="s">
        <v>5221</v>
      </c>
      <c r="N2228" s="2" t="s">
        <v>2317</v>
      </c>
      <c r="O2228" s="14">
        <v>2000</v>
      </c>
      <c r="P2228" s="14">
        <v>93.25</v>
      </c>
      <c r="Q2228" s="14">
        <v>135</v>
      </c>
      <c r="R2228" s="14">
        <v>44.55</v>
      </c>
      <c r="S2228" s="2" t="s">
        <v>3129</v>
      </c>
      <c r="T2228" s="2">
        <v>1.01</v>
      </c>
      <c r="U2228" s="2">
        <v>62.6</v>
      </c>
      <c r="V2228" s="2">
        <v>57</v>
      </c>
      <c r="W2228" s="2" t="s">
        <v>7862</v>
      </c>
      <c r="X2228" s="2" t="s">
        <v>5405</v>
      </c>
      <c r="Y2228" s="2">
        <v>660</v>
      </c>
      <c r="Z2228" s="19" t="str">
        <f>HYPERLINK("https://ssdweb.co/ssdweb/hd/Vision360.html?d=926231032&amp;zoomslide=1&amp;z=1926231032&amp;ISCONFIRM=0","VIDEO")</f>
        <v>VIDEO</v>
      </c>
      <c r="AA2228" s="19" t="str">
        <f>HYPERLINK("https://ssdweb.co/ssdweb/CERTH/639413244.pdf","CERTI")</f>
        <v>CERTI</v>
      </c>
    </row>
    <row r="2229" spans="1:27" ht="15" x14ac:dyDescent="0.25">
      <c r="A2229" s="2">
        <v>2224</v>
      </c>
      <c r="B2229" s="39">
        <v>925910569</v>
      </c>
      <c r="C2229" s="28" t="str">
        <f>HYPERLINK("https://pld.live/RapDetail.aspx?STONELIST=925910569","DNA")</f>
        <v>DNA</v>
      </c>
      <c r="D2229" s="18" t="s">
        <v>7954</v>
      </c>
      <c r="E2229" s="18" t="s">
        <v>5128</v>
      </c>
      <c r="F2229" s="2" t="s">
        <v>7987</v>
      </c>
      <c r="G2229" s="2" t="s">
        <v>861</v>
      </c>
      <c r="H2229" s="14">
        <v>0.33</v>
      </c>
      <c r="I2229" s="2" t="s">
        <v>4761</v>
      </c>
      <c r="J2229" s="2" t="s">
        <v>13</v>
      </c>
      <c r="K2229" s="2" t="s">
        <v>3390</v>
      </c>
      <c r="L2229" s="2" t="s">
        <v>5221</v>
      </c>
      <c r="M2229" s="2" t="s">
        <v>5721</v>
      </c>
      <c r="N2229" s="2" t="s">
        <v>2317</v>
      </c>
      <c r="O2229" s="14">
        <v>1800</v>
      </c>
      <c r="P2229" s="14">
        <v>93</v>
      </c>
      <c r="Q2229" s="14">
        <v>126</v>
      </c>
      <c r="R2229" s="14">
        <v>41.58</v>
      </c>
      <c r="S2229" s="2" t="s">
        <v>7564</v>
      </c>
      <c r="T2229" s="2">
        <v>1</v>
      </c>
      <c r="U2229" s="2">
        <v>62.5</v>
      </c>
      <c r="V2229" s="2">
        <v>56</v>
      </c>
      <c r="W2229" s="2" t="s">
        <v>7862</v>
      </c>
      <c r="X2229" s="2" t="s">
        <v>5405</v>
      </c>
      <c r="Y2229" s="2">
        <v>594</v>
      </c>
      <c r="Z2229" s="19" t="str">
        <f>HYPERLINK("https://ssdweb.co/ssdweb/hd/Vision360.html?d=925910569&amp;zoomslide=1&amp;z=1925910569&amp;ISCONFIRM=0","VIDEO")</f>
        <v>VIDEO</v>
      </c>
      <c r="AA2229" s="19" t="str">
        <f>HYPERLINK("https://ssdweb.co/ssdweb/CERTH/627427339.pdf","CERTI")</f>
        <v>CERTI</v>
      </c>
    </row>
    <row r="2230" spans="1:27" ht="15" x14ac:dyDescent="0.25">
      <c r="A2230" s="2">
        <v>2225</v>
      </c>
      <c r="B2230" s="39">
        <v>926080663</v>
      </c>
      <c r="C2230" s="28" t="str">
        <f>HYPERLINK("https://pld.live/RapDetail.aspx?STONELIST=926080663","DNA")</f>
        <v>DNA</v>
      </c>
      <c r="D2230" s="18" t="s">
        <v>7954</v>
      </c>
      <c r="E2230" s="18" t="s">
        <v>5128</v>
      </c>
      <c r="F2230" s="2" t="s">
        <v>7987</v>
      </c>
      <c r="G2230" s="2" t="s">
        <v>861</v>
      </c>
      <c r="H2230" s="14">
        <v>0.33</v>
      </c>
      <c r="I2230" s="2" t="s">
        <v>4761</v>
      </c>
      <c r="J2230" s="2" t="s">
        <v>13</v>
      </c>
      <c r="K2230" s="2" t="s">
        <v>3390</v>
      </c>
      <c r="L2230" s="2" t="s">
        <v>5221</v>
      </c>
      <c r="M2230" s="2" t="s">
        <v>5721</v>
      </c>
      <c r="N2230" s="2" t="s">
        <v>2317</v>
      </c>
      <c r="O2230" s="14">
        <v>1800</v>
      </c>
      <c r="P2230" s="14">
        <v>93</v>
      </c>
      <c r="Q2230" s="14">
        <v>126</v>
      </c>
      <c r="R2230" s="14">
        <v>41.58</v>
      </c>
      <c r="S2230" s="2" t="s">
        <v>7886</v>
      </c>
      <c r="T2230" s="2">
        <v>1.01</v>
      </c>
      <c r="U2230" s="2">
        <v>62</v>
      </c>
      <c r="V2230" s="2">
        <v>58</v>
      </c>
      <c r="W2230" s="2" t="s">
        <v>7862</v>
      </c>
      <c r="X2230" s="2" t="s">
        <v>5405</v>
      </c>
      <c r="Y2230" s="2">
        <v>594</v>
      </c>
      <c r="Z2230" s="19" t="str">
        <f>HYPERLINK("https://ssdweb.co/ssdweb/hd/Vision360.html?d=926080663&amp;zoomslide=1&amp;z=1926080663&amp;ISCONFIRM=0","VIDEO")</f>
        <v>VIDEO</v>
      </c>
      <c r="AA2230" s="19" t="str">
        <f>HYPERLINK("https://ssdweb.co/ssdweb/CERTH/631404324.pdf","CERTI")</f>
        <v>CERTI</v>
      </c>
    </row>
    <row r="2231" spans="1:27" ht="15" x14ac:dyDescent="0.25">
      <c r="A2231" s="2">
        <v>2226</v>
      </c>
      <c r="B2231" s="39">
        <v>920661217</v>
      </c>
      <c r="C2231" s="28" t="str">
        <f>HYPERLINK("https://pld.live/RapDetail.aspx?STONELIST=920661217","DNA")</f>
        <v>DNA</v>
      </c>
      <c r="D2231" s="18" t="s">
        <v>7954</v>
      </c>
      <c r="E2231" s="18" t="s">
        <v>5128</v>
      </c>
      <c r="F2231" s="2" t="s">
        <v>7987</v>
      </c>
      <c r="G2231" s="2" t="s">
        <v>861</v>
      </c>
      <c r="H2231" s="14">
        <v>0.33</v>
      </c>
      <c r="I2231" s="2" t="s">
        <v>4761</v>
      </c>
      <c r="J2231" s="2" t="s">
        <v>13</v>
      </c>
      <c r="K2231" s="2" t="s">
        <v>5221</v>
      </c>
      <c r="L2231" s="2" t="s">
        <v>5221</v>
      </c>
      <c r="M2231" s="2" t="s">
        <v>5721</v>
      </c>
      <c r="N2231" s="2" t="s">
        <v>2317</v>
      </c>
      <c r="O2231" s="14">
        <v>1800</v>
      </c>
      <c r="P2231" s="14">
        <v>93</v>
      </c>
      <c r="Q2231" s="14">
        <v>126</v>
      </c>
      <c r="R2231" s="14">
        <v>41.58</v>
      </c>
      <c r="S2231" s="2" t="s">
        <v>1625</v>
      </c>
      <c r="T2231" s="2">
        <v>1.01</v>
      </c>
      <c r="U2231" s="2">
        <v>62.3</v>
      </c>
      <c r="V2231" s="2">
        <v>59</v>
      </c>
      <c r="W2231" s="2" t="s">
        <v>7862</v>
      </c>
      <c r="X2231" s="2" t="s">
        <v>5405</v>
      </c>
      <c r="Y2231" s="2">
        <v>594</v>
      </c>
      <c r="Z2231" s="19" t="str">
        <f>HYPERLINK("https://ssdweb.co/ssdweb/hd/Vision360.html?d=920661217&amp;zoomslide=1&amp;z=1920661217&amp;ISCONFIRM=0","VIDEO")</f>
        <v>VIDEO</v>
      </c>
      <c r="AA2231" s="19" t="str">
        <f>HYPERLINK("https://ssdweb.co/ssdweb/CERTH/636429764.pdf","CERTI")</f>
        <v>CERTI</v>
      </c>
    </row>
    <row r="2232" spans="1:27" ht="15" x14ac:dyDescent="0.25">
      <c r="A2232" s="2">
        <v>2227</v>
      </c>
      <c r="B2232" s="39">
        <v>920661238</v>
      </c>
      <c r="C2232" s="28" t="str">
        <f>HYPERLINK("https://pld.live/RapDetail.aspx?STONELIST=920661238","DNA")</f>
        <v>DNA</v>
      </c>
      <c r="D2232" s="18" t="s">
        <v>7954</v>
      </c>
      <c r="E2232" s="18" t="s">
        <v>5128</v>
      </c>
      <c r="F2232" s="2" t="s">
        <v>7987</v>
      </c>
      <c r="G2232" s="2" t="s">
        <v>861</v>
      </c>
      <c r="H2232" s="14">
        <v>0.33</v>
      </c>
      <c r="I2232" s="2" t="s">
        <v>4761</v>
      </c>
      <c r="J2232" s="2" t="s">
        <v>13</v>
      </c>
      <c r="K2232" s="2" t="s">
        <v>5221</v>
      </c>
      <c r="L2232" s="2" t="s">
        <v>5221</v>
      </c>
      <c r="M2232" s="2" t="s">
        <v>5721</v>
      </c>
      <c r="N2232" s="2" t="s">
        <v>2317</v>
      </c>
      <c r="O2232" s="14">
        <v>1800</v>
      </c>
      <c r="P2232" s="14">
        <v>93</v>
      </c>
      <c r="Q2232" s="14">
        <v>126</v>
      </c>
      <c r="R2232" s="14">
        <v>41.58</v>
      </c>
      <c r="S2232" s="2" t="s">
        <v>3111</v>
      </c>
      <c r="T2232" s="2">
        <v>1.01</v>
      </c>
      <c r="U2232" s="2">
        <v>61.5</v>
      </c>
      <c r="V2232" s="2">
        <v>61</v>
      </c>
      <c r="W2232" s="2" t="s">
        <v>7862</v>
      </c>
      <c r="X2232" s="2" t="s">
        <v>5405</v>
      </c>
      <c r="Y2232" s="2">
        <v>594</v>
      </c>
      <c r="Z2232" s="19" t="str">
        <f>HYPERLINK("https://ssdweb.co/ssdweb/hd/Vision360.html?d=920661238&amp;zoomslide=1&amp;z=1920661238&amp;ISCONFIRM=0","VIDEO")</f>
        <v>VIDEO</v>
      </c>
      <c r="AA2232" s="19" t="str">
        <f>HYPERLINK("https://ssdweb.co/ssdweb/CERTH/637467199.pdf","CERTI")</f>
        <v>CERTI</v>
      </c>
    </row>
    <row r="2233" spans="1:27" ht="15" x14ac:dyDescent="0.25">
      <c r="A2233" s="2">
        <v>2228</v>
      </c>
      <c r="B2233" s="39">
        <v>924710017</v>
      </c>
      <c r="C2233" s="28" t="str">
        <f>HYPERLINK("https://pld.live/RapDetail.aspx?STONELIST=924710017","DNA")</f>
        <v>DNA</v>
      </c>
      <c r="D2233" s="18" t="s">
        <v>7954</v>
      </c>
      <c r="E2233" s="18" t="s">
        <v>5128</v>
      </c>
      <c r="F2233" s="2" t="s">
        <v>5597</v>
      </c>
      <c r="G2233" s="2" t="s">
        <v>861</v>
      </c>
      <c r="H2233" s="14">
        <v>0.33</v>
      </c>
      <c r="I2233" s="2" t="s">
        <v>4761</v>
      </c>
      <c r="J2233" s="2" t="s">
        <v>13</v>
      </c>
      <c r="K2233" s="2" t="s">
        <v>5221</v>
      </c>
      <c r="L2233" s="2" t="s">
        <v>5721</v>
      </c>
      <c r="M2233" s="2" t="s">
        <v>5221</v>
      </c>
      <c r="N2233" s="2" t="s">
        <v>2317</v>
      </c>
      <c r="O2233" s="14">
        <v>1800</v>
      </c>
      <c r="P2233" s="14">
        <v>84.67</v>
      </c>
      <c r="Q2233" s="14">
        <v>275.94</v>
      </c>
      <c r="R2233" s="14">
        <v>91.06</v>
      </c>
      <c r="S2233" s="2" t="s">
        <v>5500</v>
      </c>
      <c r="T2233" s="2">
        <v>1</v>
      </c>
      <c r="U2233" s="2">
        <v>59.9</v>
      </c>
      <c r="V2233" s="2">
        <v>60</v>
      </c>
      <c r="W2233" s="2" t="s">
        <v>7862</v>
      </c>
      <c r="X2233" s="2" t="s">
        <v>5405</v>
      </c>
      <c r="Y2233" s="2">
        <v>594</v>
      </c>
      <c r="Z2233" s="19" t="str">
        <f>HYPERLINK("https://ssdweb.co/ssdweb/hd/Vision360.html?d=924710017&amp;zoomslide=1&amp;z=1924710017&amp;ISCONFIRM=0","VIDEO")</f>
        <v>VIDEO</v>
      </c>
      <c r="AA2233" s="19" t="str">
        <f>HYPERLINK("https://ssdweb.co/ssdweb/CERTH/2477459824.pdf","CERTI")</f>
        <v>CERTI</v>
      </c>
    </row>
    <row r="2234" spans="1:27" ht="15" x14ac:dyDescent="0.25">
      <c r="A2234" s="2">
        <v>2229</v>
      </c>
      <c r="B2234" s="39">
        <v>926180992</v>
      </c>
      <c r="C2234" s="28" t="str">
        <f>HYPERLINK("https://pld.live/RapDetail.aspx?STONELIST=926180992","DNA")</f>
        <v>DNA</v>
      </c>
      <c r="D2234" s="18" t="s">
        <v>7954</v>
      </c>
      <c r="E2234" s="18" t="s">
        <v>5128</v>
      </c>
      <c r="F2234" s="2" t="s">
        <v>7987</v>
      </c>
      <c r="G2234" s="2" t="s">
        <v>861</v>
      </c>
      <c r="H2234" s="14">
        <v>0.33</v>
      </c>
      <c r="I2234" s="2" t="s">
        <v>4761</v>
      </c>
      <c r="J2234" s="2" t="s">
        <v>13</v>
      </c>
      <c r="K2234" s="2" t="s">
        <v>5221</v>
      </c>
      <c r="L2234" s="2" t="s">
        <v>5721</v>
      </c>
      <c r="M2234" s="2" t="s">
        <v>5221</v>
      </c>
      <c r="N2234" s="2" t="s">
        <v>2317</v>
      </c>
      <c r="O2234" s="14">
        <v>1800</v>
      </c>
      <c r="P2234" s="14">
        <v>93</v>
      </c>
      <c r="Q2234" s="14">
        <v>126</v>
      </c>
      <c r="R2234" s="14">
        <v>41.58</v>
      </c>
      <c r="S2234" s="2" t="s">
        <v>1714</v>
      </c>
      <c r="T2234" s="2">
        <v>1.01</v>
      </c>
      <c r="U2234" s="2">
        <v>62.8</v>
      </c>
      <c r="V2234" s="2">
        <v>55</v>
      </c>
      <c r="W2234" s="2" t="s">
        <v>7862</v>
      </c>
      <c r="X2234" s="2" t="s">
        <v>5405</v>
      </c>
      <c r="Y2234" s="2">
        <v>594</v>
      </c>
      <c r="Z2234" s="19" t="str">
        <f>HYPERLINK("https://ssdweb.co/ssdweb/hd/Vision360.html?d=926180992&amp;zoomslide=1&amp;z=1926180992&amp;ISCONFIRM=0","VIDEO")</f>
        <v>VIDEO</v>
      </c>
      <c r="AA2234" s="19" t="str">
        <f>HYPERLINK("https://ssdweb.co/ssdweb/CERTH/635427031.pdf","CERTI")</f>
        <v>CERTI</v>
      </c>
    </row>
    <row r="2235" spans="1:27" ht="15" x14ac:dyDescent="0.25">
      <c r="A2235" s="2">
        <v>2230</v>
      </c>
      <c r="B2235" s="39">
        <v>925360262</v>
      </c>
      <c r="C2235" s="28" t="str">
        <f>HYPERLINK("https://pld.live/RapDetail.aspx?STONELIST=925360262","DNA")</f>
        <v>DNA</v>
      </c>
      <c r="D2235" s="18" t="s">
        <v>7954</v>
      </c>
      <c r="E2235" s="18" t="s">
        <v>5128</v>
      </c>
      <c r="F2235" s="2" t="s">
        <v>7987</v>
      </c>
      <c r="G2235" s="2" t="s">
        <v>861</v>
      </c>
      <c r="H2235" s="14">
        <v>0.33</v>
      </c>
      <c r="I2235" s="2" t="s">
        <v>4761</v>
      </c>
      <c r="J2235" s="2" t="s">
        <v>5144</v>
      </c>
      <c r="K2235" s="2" t="s">
        <v>3390</v>
      </c>
      <c r="L2235" s="2" t="s">
        <v>5221</v>
      </c>
      <c r="M2235" s="2" t="s">
        <v>5221</v>
      </c>
      <c r="N2235" s="2" t="s">
        <v>2317</v>
      </c>
      <c r="O2235" s="14">
        <v>1700</v>
      </c>
      <c r="P2235" s="14">
        <v>92.71</v>
      </c>
      <c r="Q2235" s="14">
        <v>123.93</v>
      </c>
      <c r="R2235" s="14">
        <v>40.9</v>
      </c>
      <c r="S2235" s="2" t="s">
        <v>766</v>
      </c>
      <c r="T2235" s="2">
        <v>1.01</v>
      </c>
      <c r="U2235" s="2">
        <v>62.2</v>
      </c>
      <c r="V2235" s="2">
        <v>59</v>
      </c>
      <c r="W2235" s="2" t="s">
        <v>7862</v>
      </c>
      <c r="X2235" s="2" t="s">
        <v>5405</v>
      </c>
      <c r="Y2235" s="2">
        <v>561</v>
      </c>
      <c r="Z2235" s="19" t="str">
        <f>HYPERLINK("https://ssdweb.co/ssdweb/hd/Vision360.html?d=925360262&amp;zoomslide=1&amp;z=1925360262&amp;ISCONFIRM=0","VIDEO")</f>
        <v>VIDEO</v>
      </c>
      <c r="AA2235" s="19" t="str">
        <f>HYPERLINK("https://ssdweb.co/ssdweb/CERTH/616407642.pdf","CERTI")</f>
        <v>CERTI</v>
      </c>
    </row>
    <row r="2236" spans="1:27" ht="15" x14ac:dyDescent="0.25">
      <c r="A2236" s="2">
        <v>2231</v>
      </c>
      <c r="B2236" s="39">
        <v>926321056</v>
      </c>
      <c r="C2236" s="28" t="str">
        <f>HYPERLINK("https://pld.live/RapDetail.aspx?STONELIST=926321056","DNA")</f>
        <v>DNA</v>
      </c>
      <c r="D2236" s="18" t="s">
        <v>7954</v>
      </c>
      <c r="E2236" s="18" t="s">
        <v>5128</v>
      </c>
      <c r="F2236" s="2" t="s">
        <v>7987</v>
      </c>
      <c r="G2236" s="2" t="s">
        <v>861</v>
      </c>
      <c r="H2236" s="14">
        <v>0.33</v>
      </c>
      <c r="I2236" s="2" t="s">
        <v>4761</v>
      </c>
      <c r="J2236" s="2" t="s">
        <v>5144</v>
      </c>
      <c r="K2236" s="2" t="s">
        <v>3390</v>
      </c>
      <c r="L2236" s="2" t="s">
        <v>5221</v>
      </c>
      <c r="M2236" s="2" t="s">
        <v>5221</v>
      </c>
      <c r="N2236" s="2" t="s">
        <v>2317</v>
      </c>
      <c r="O2236" s="14">
        <v>1700</v>
      </c>
      <c r="P2236" s="14">
        <v>92.59</v>
      </c>
      <c r="Q2236" s="14">
        <v>125.97</v>
      </c>
      <c r="R2236" s="14">
        <v>41.57</v>
      </c>
      <c r="S2236" s="2" t="s">
        <v>3097</v>
      </c>
      <c r="T2236" s="2">
        <v>1</v>
      </c>
      <c r="U2236" s="2">
        <v>61.9</v>
      </c>
      <c r="V2236" s="2">
        <v>56</v>
      </c>
      <c r="W2236" s="2" t="s">
        <v>7862</v>
      </c>
      <c r="X2236" s="2" t="s">
        <v>5405</v>
      </c>
      <c r="Y2236" s="2">
        <v>561</v>
      </c>
      <c r="Z2236" s="19" t="str">
        <f>HYPERLINK("https://ssdweb.co/ssdweb/hd/Vision360.html?d=926321056&amp;zoomslide=1&amp;z=1926321056&amp;ISCONFIRM=0","VIDEO")</f>
        <v>VIDEO</v>
      </c>
      <c r="AA2236" s="19" t="str">
        <f>HYPERLINK("https://ssdweb.co/ssdweb/CERTH/643428064.pdf","CERTI")</f>
        <v>CERTI</v>
      </c>
    </row>
    <row r="2237" spans="1:27" ht="15" x14ac:dyDescent="0.25">
      <c r="A2237" s="2">
        <v>2232</v>
      </c>
      <c r="B2237" s="39">
        <v>925630021</v>
      </c>
      <c r="C2237" s="28" t="str">
        <f>HYPERLINK("https://pld.live/RapDetail.aspx?STONELIST=925630021","DNA")</f>
        <v>DNA</v>
      </c>
      <c r="D2237" s="18" t="s">
        <v>7954</v>
      </c>
      <c r="E2237" s="18" t="s">
        <v>2186</v>
      </c>
      <c r="F2237" s="2" t="s">
        <v>7987</v>
      </c>
      <c r="G2237" s="2" t="s">
        <v>861</v>
      </c>
      <c r="H2237" s="14">
        <v>0.33</v>
      </c>
      <c r="I2237" s="2" t="s">
        <v>4761</v>
      </c>
      <c r="J2237" s="2" t="s">
        <v>5144</v>
      </c>
      <c r="K2237" s="2" t="s">
        <v>3390</v>
      </c>
      <c r="L2237" s="2" t="s">
        <v>5221</v>
      </c>
      <c r="M2237" s="2" t="s">
        <v>5221</v>
      </c>
      <c r="N2237" s="2" t="s">
        <v>2317</v>
      </c>
      <c r="O2237" s="14">
        <v>1700</v>
      </c>
      <c r="P2237" s="14">
        <v>92.71</v>
      </c>
      <c r="Q2237" s="14">
        <v>123.93</v>
      </c>
      <c r="R2237" s="14">
        <v>40.9</v>
      </c>
      <c r="S2237" s="2" t="s">
        <v>1456</v>
      </c>
      <c r="T2237" s="2">
        <v>1</v>
      </c>
      <c r="U2237" s="2">
        <v>62.3</v>
      </c>
      <c r="V2237" s="2">
        <v>57</v>
      </c>
      <c r="W2237" s="2" t="s">
        <v>7862</v>
      </c>
      <c r="X2237" s="2" t="s">
        <v>5405</v>
      </c>
      <c r="Y2237" s="2">
        <v>561</v>
      </c>
      <c r="Z2237" s="19" t="str">
        <f>HYPERLINK("https://ssdweb.co/ssdweb/hd/Vision360.html?d=925630021&amp;zoomslide=1&amp;z=1925630021&amp;ISCONFIRM=0","VIDEO")</f>
        <v>VIDEO</v>
      </c>
      <c r="AA2237" s="19" t="str">
        <f>HYPERLINK("https://ssdweb.co/ssdweb/CERTH/620448805.pdf","CERTI")</f>
        <v>CERTI</v>
      </c>
    </row>
    <row r="2238" spans="1:27" ht="15" x14ac:dyDescent="0.25">
      <c r="A2238" s="2">
        <v>2233</v>
      </c>
      <c r="B2238" s="39">
        <v>926091164</v>
      </c>
      <c r="C2238" s="28" t="str">
        <f>HYPERLINK("https://pld.live/RapDetail.aspx?STONELIST=926091164","DNA")</f>
        <v>DNA</v>
      </c>
      <c r="D2238" s="18" t="s">
        <v>7954</v>
      </c>
      <c r="E2238" s="18" t="s">
        <v>5128</v>
      </c>
      <c r="F2238" s="2" t="s">
        <v>7987</v>
      </c>
      <c r="G2238" s="2" t="s">
        <v>861</v>
      </c>
      <c r="H2238" s="14">
        <v>0.33</v>
      </c>
      <c r="I2238" s="2" t="s">
        <v>4761</v>
      </c>
      <c r="J2238" s="2" t="s">
        <v>5144</v>
      </c>
      <c r="K2238" s="2" t="s">
        <v>3390</v>
      </c>
      <c r="L2238" s="2" t="s">
        <v>5221</v>
      </c>
      <c r="M2238" s="2" t="s">
        <v>5221</v>
      </c>
      <c r="N2238" s="2" t="s">
        <v>2317</v>
      </c>
      <c r="O2238" s="14">
        <v>1700</v>
      </c>
      <c r="P2238" s="14">
        <v>92.65</v>
      </c>
      <c r="Q2238" s="14">
        <v>124.95</v>
      </c>
      <c r="R2238" s="14">
        <v>41.23</v>
      </c>
      <c r="S2238" s="2" t="s">
        <v>7463</v>
      </c>
      <c r="T2238" s="2">
        <v>1.01</v>
      </c>
      <c r="U2238" s="2">
        <v>61.9</v>
      </c>
      <c r="V2238" s="2">
        <v>57</v>
      </c>
      <c r="W2238" s="2" t="s">
        <v>7862</v>
      </c>
      <c r="X2238" s="2" t="s">
        <v>5405</v>
      </c>
      <c r="Y2238" s="2">
        <v>561</v>
      </c>
      <c r="Z2238" s="19" t="str">
        <f>HYPERLINK("https://ssdweb.co/ssdweb/hd/Vision360.html?d=926091164&amp;zoomslide=1&amp;z=1926091164&amp;ISCONFIRM=0","VIDEO")</f>
        <v>VIDEO</v>
      </c>
      <c r="AA2238" s="19" t="str">
        <f>HYPERLINK("https://ssdweb.co/ssdweb/CERTH/632449461.pdf","CERTI")</f>
        <v>CERTI</v>
      </c>
    </row>
    <row r="2239" spans="1:27" ht="15" x14ac:dyDescent="0.25">
      <c r="A2239" s="2">
        <v>2234</v>
      </c>
      <c r="B2239" s="39">
        <v>925910548</v>
      </c>
      <c r="C2239" s="28" t="str">
        <f>HYPERLINK("https://pld.live/RapDetail.aspx?STONELIST=925910548","DNA")</f>
        <v>DNA</v>
      </c>
      <c r="D2239" s="18" t="s">
        <v>7954</v>
      </c>
      <c r="E2239" s="18" t="s">
        <v>5128</v>
      </c>
      <c r="F2239" s="2" t="s">
        <v>7987</v>
      </c>
      <c r="G2239" s="2" t="s">
        <v>861</v>
      </c>
      <c r="H2239" s="14">
        <v>0.33</v>
      </c>
      <c r="I2239" s="2" t="s">
        <v>4761</v>
      </c>
      <c r="J2239" s="2" t="s">
        <v>5144</v>
      </c>
      <c r="K2239" s="2" t="s">
        <v>5221</v>
      </c>
      <c r="L2239" s="2" t="s">
        <v>5221</v>
      </c>
      <c r="M2239" s="2" t="s">
        <v>5221</v>
      </c>
      <c r="N2239" s="2" t="s">
        <v>2317</v>
      </c>
      <c r="O2239" s="14">
        <v>1700</v>
      </c>
      <c r="P2239" s="14">
        <v>92.65</v>
      </c>
      <c r="Q2239" s="14">
        <v>124.95</v>
      </c>
      <c r="R2239" s="14">
        <v>41.23</v>
      </c>
      <c r="S2239" s="2" t="s">
        <v>5207</v>
      </c>
      <c r="T2239" s="2">
        <v>1.01</v>
      </c>
      <c r="U2239" s="2">
        <v>61.5</v>
      </c>
      <c r="V2239" s="2">
        <v>60</v>
      </c>
      <c r="W2239" s="2" t="s">
        <v>7862</v>
      </c>
      <c r="X2239" s="2" t="s">
        <v>5405</v>
      </c>
      <c r="Y2239" s="2">
        <v>561</v>
      </c>
      <c r="Z2239" s="19" t="str">
        <f>HYPERLINK("https://ssdweb.co/ssdweb/hd/Vision360.html?d=925910548&amp;zoomslide=1&amp;z=1925910548&amp;ISCONFIRM=0","VIDEO")</f>
        <v>VIDEO</v>
      </c>
      <c r="AA2239" s="19" t="str">
        <f>HYPERLINK("https://ssdweb.co/ssdweb/CERTH/627427334.pdf","CERTI")</f>
        <v>CERTI</v>
      </c>
    </row>
    <row r="2240" spans="1:27" ht="15" x14ac:dyDescent="0.25">
      <c r="A2240" s="2">
        <v>2235</v>
      </c>
      <c r="B2240" s="39">
        <v>821127277</v>
      </c>
      <c r="C2240" s="28" t="str">
        <f>HYPERLINK("https://pld.live/RapDetail.aspx?STONELIST=821127277","DNA")</f>
        <v>DNA</v>
      </c>
      <c r="D2240" s="18" t="s">
        <v>7954</v>
      </c>
      <c r="E2240" s="18" t="s">
        <v>5128</v>
      </c>
      <c r="F2240" s="2" t="s">
        <v>7987</v>
      </c>
      <c r="G2240" s="2" t="s">
        <v>861</v>
      </c>
      <c r="H2240" s="14">
        <v>0.33</v>
      </c>
      <c r="I2240" s="2" t="s">
        <v>4761</v>
      </c>
      <c r="J2240" s="2" t="s">
        <v>5144</v>
      </c>
      <c r="K2240" s="2" t="s">
        <v>5221</v>
      </c>
      <c r="L2240" s="2" t="s">
        <v>5221</v>
      </c>
      <c r="M2240" s="2" t="s">
        <v>5221</v>
      </c>
      <c r="N2240" s="2" t="s">
        <v>2317</v>
      </c>
      <c r="O2240" s="14">
        <v>1700</v>
      </c>
      <c r="P2240" s="14">
        <v>92.65</v>
      </c>
      <c r="Q2240" s="14">
        <v>124.95</v>
      </c>
      <c r="R2240" s="14">
        <v>41.23</v>
      </c>
      <c r="S2240" s="2" t="s">
        <v>4889</v>
      </c>
      <c r="T2240" s="2">
        <v>1</v>
      </c>
      <c r="U2240" s="2">
        <v>60.4</v>
      </c>
      <c r="V2240" s="2">
        <v>62</v>
      </c>
      <c r="W2240" s="2" t="s">
        <v>7862</v>
      </c>
      <c r="X2240" s="2" t="s">
        <v>5405</v>
      </c>
      <c r="Y2240" s="2">
        <v>561</v>
      </c>
      <c r="Z2240" s="19" t="str">
        <f>HYPERLINK("https://ssdweb.co/ssdweb/hd/Vision360.html?d=821127277&amp;zoomslide=1&amp;z=1821127277&amp;ISCONFIRM=0","VIDEO")</f>
        <v>VIDEO</v>
      </c>
      <c r="AA2240" s="19" t="str">
        <f>HYPERLINK("https://ssdweb.co/ssdweb/CERTH/625468477.pdf","CERTI")</f>
        <v>CERTI</v>
      </c>
    </row>
    <row r="2241" spans="1:27" ht="15" x14ac:dyDescent="0.25">
      <c r="A2241" s="2">
        <v>2236</v>
      </c>
      <c r="B2241" s="39">
        <v>925610057</v>
      </c>
      <c r="C2241" s="28" t="str">
        <f>HYPERLINK("https://pld.live/RapDetail.aspx?STONELIST=925610057","DNA")</f>
        <v>DNA</v>
      </c>
      <c r="D2241" s="18" t="s">
        <v>7954</v>
      </c>
      <c r="E2241" s="18" t="s">
        <v>2186</v>
      </c>
      <c r="F2241" s="2" t="s">
        <v>7987</v>
      </c>
      <c r="G2241" s="2" t="s">
        <v>861</v>
      </c>
      <c r="H2241" s="14">
        <v>0.33</v>
      </c>
      <c r="I2241" s="2" t="s">
        <v>4761</v>
      </c>
      <c r="J2241" s="2" t="s">
        <v>5144</v>
      </c>
      <c r="K2241" s="2" t="s">
        <v>5221</v>
      </c>
      <c r="L2241" s="2" t="s">
        <v>5221</v>
      </c>
      <c r="M2241" s="2" t="s">
        <v>5221</v>
      </c>
      <c r="N2241" s="2" t="s">
        <v>2317</v>
      </c>
      <c r="O2241" s="14">
        <v>1700</v>
      </c>
      <c r="P2241" s="14">
        <v>92.71</v>
      </c>
      <c r="Q2241" s="14">
        <v>123.93</v>
      </c>
      <c r="R2241" s="14">
        <v>40.9</v>
      </c>
      <c r="S2241" s="2" t="s">
        <v>4554</v>
      </c>
      <c r="T2241" s="2">
        <v>1.01</v>
      </c>
      <c r="U2241" s="2">
        <v>61.4</v>
      </c>
      <c r="V2241" s="2">
        <v>59</v>
      </c>
      <c r="W2241" s="2" t="s">
        <v>7862</v>
      </c>
      <c r="X2241" s="2" t="s">
        <v>5405</v>
      </c>
      <c r="Y2241" s="2">
        <v>561</v>
      </c>
      <c r="Z2241" s="19" t="str">
        <f>HYPERLINK("https://ssdweb.co/ssdweb/hd/Vision360.html?d=925610057&amp;zoomslide=1&amp;z=1925610057&amp;ISCONFIRM=0","VIDEO")</f>
        <v>VIDEO</v>
      </c>
      <c r="AA2241" s="19" t="str">
        <f>HYPERLINK("https://ssdweb.co/ssdweb/CERTH/620448816.pdf","CERTI")</f>
        <v>CERTI</v>
      </c>
    </row>
    <row r="2242" spans="1:27" ht="15" x14ac:dyDescent="0.25">
      <c r="A2242" s="2">
        <v>2237</v>
      </c>
      <c r="B2242" s="39">
        <v>925630185</v>
      </c>
      <c r="C2242" s="28" t="str">
        <f>HYPERLINK("https://pld.live/RapDetail.aspx?STONELIST=925630185","DNA")</f>
        <v>DNA</v>
      </c>
      <c r="D2242" s="18" t="s">
        <v>7954</v>
      </c>
      <c r="E2242" s="18" t="s">
        <v>2186</v>
      </c>
      <c r="F2242" s="2" t="s">
        <v>7987</v>
      </c>
      <c r="G2242" s="2" t="s">
        <v>861</v>
      </c>
      <c r="H2242" s="14">
        <v>0.33</v>
      </c>
      <c r="I2242" s="2" t="s">
        <v>4761</v>
      </c>
      <c r="J2242" s="2" t="s">
        <v>5144</v>
      </c>
      <c r="K2242" s="2" t="s">
        <v>5221</v>
      </c>
      <c r="L2242" s="2" t="s">
        <v>5221</v>
      </c>
      <c r="M2242" s="2" t="s">
        <v>5221</v>
      </c>
      <c r="N2242" s="2" t="s">
        <v>2317</v>
      </c>
      <c r="O2242" s="14">
        <v>1700</v>
      </c>
      <c r="P2242" s="14">
        <v>92.65</v>
      </c>
      <c r="Q2242" s="14">
        <v>124.95</v>
      </c>
      <c r="R2242" s="14">
        <v>41.23</v>
      </c>
      <c r="S2242" s="2" t="s">
        <v>1886</v>
      </c>
      <c r="T2242" s="2">
        <v>1.01</v>
      </c>
      <c r="U2242" s="2">
        <v>61.7</v>
      </c>
      <c r="V2242" s="2">
        <v>61</v>
      </c>
      <c r="W2242" s="2" t="s">
        <v>7862</v>
      </c>
      <c r="X2242" s="2" t="s">
        <v>5405</v>
      </c>
      <c r="Y2242" s="2">
        <v>561</v>
      </c>
      <c r="Z2242" s="19" t="str">
        <f>HYPERLINK("https://ssdweb.co/ssdweb/hd/Vision360.html?d=925630185&amp;zoomslide=1&amp;z=1925630185&amp;ISCONFIRM=0","VIDEO")</f>
        <v>VIDEO</v>
      </c>
      <c r="AA2242" s="19" t="str">
        <f>HYPERLINK("https://ssdweb.co/ssdweb/CERTH/627497016.pdf","CERTI")</f>
        <v>CERTI</v>
      </c>
    </row>
    <row r="2243" spans="1:27" ht="15" x14ac:dyDescent="0.25">
      <c r="A2243" s="2">
        <v>2238</v>
      </c>
      <c r="B2243" s="39">
        <v>926091373</v>
      </c>
      <c r="C2243" s="28" t="str">
        <f>HYPERLINK("https://pld.live/RapDetail.aspx?STONELIST=926091373","DNA")</f>
        <v>DNA</v>
      </c>
      <c r="D2243" s="18" t="s">
        <v>7954</v>
      </c>
      <c r="E2243" s="18" t="s">
        <v>5128</v>
      </c>
      <c r="F2243" s="2" t="s">
        <v>7987</v>
      </c>
      <c r="G2243" s="2" t="s">
        <v>861</v>
      </c>
      <c r="H2243" s="14">
        <v>0.33</v>
      </c>
      <c r="I2243" s="2" t="s">
        <v>4761</v>
      </c>
      <c r="J2243" s="2" t="s">
        <v>5144</v>
      </c>
      <c r="K2243" s="2" t="s">
        <v>5221</v>
      </c>
      <c r="L2243" s="2" t="s">
        <v>5221</v>
      </c>
      <c r="M2243" s="2" t="s">
        <v>5221</v>
      </c>
      <c r="N2243" s="2" t="s">
        <v>2317</v>
      </c>
      <c r="O2243" s="14">
        <v>1700</v>
      </c>
      <c r="P2243" s="14">
        <v>92.65</v>
      </c>
      <c r="Q2243" s="14">
        <v>124.95</v>
      </c>
      <c r="R2243" s="14">
        <v>41.23</v>
      </c>
      <c r="S2243" s="2" t="s">
        <v>3129</v>
      </c>
      <c r="T2243" s="2">
        <v>1.01</v>
      </c>
      <c r="U2243" s="2">
        <v>62.7</v>
      </c>
      <c r="V2243" s="2">
        <v>56</v>
      </c>
      <c r="W2243" s="2" t="s">
        <v>7862</v>
      </c>
      <c r="X2243" s="2" t="s">
        <v>5405</v>
      </c>
      <c r="Y2243" s="2">
        <v>561</v>
      </c>
      <c r="Z2243" s="19" t="str">
        <f>HYPERLINK("https://ssdweb.co/ssdweb/hd/Vision360.html?d=926091373&amp;zoomslide=1&amp;z=1926091373&amp;ISCONFIRM=0","VIDEO")</f>
        <v>VIDEO</v>
      </c>
      <c r="AA2243" s="19" t="str">
        <f>HYPERLINK("https://ssdweb.co/ssdweb/CERTH/633473913.pdf","CERTI")</f>
        <v>CERTI</v>
      </c>
    </row>
    <row r="2244" spans="1:27" ht="15" x14ac:dyDescent="0.25">
      <c r="A2244" s="2">
        <v>2239</v>
      </c>
      <c r="B2244" s="39">
        <v>920661249</v>
      </c>
      <c r="C2244" s="28" t="str">
        <f>HYPERLINK("https://pld.live/RapDetail.aspx?STONELIST=920661249","DNA")</f>
        <v>DNA</v>
      </c>
      <c r="D2244" s="18" t="s">
        <v>7954</v>
      </c>
      <c r="E2244" s="18" t="s">
        <v>5128</v>
      </c>
      <c r="F2244" s="2" t="s">
        <v>7987</v>
      </c>
      <c r="G2244" s="2" t="s">
        <v>861</v>
      </c>
      <c r="H2244" s="14">
        <v>0.33</v>
      </c>
      <c r="I2244" s="2" t="s">
        <v>4761</v>
      </c>
      <c r="J2244" s="2" t="s">
        <v>5144</v>
      </c>
      <c r="K2244" s="2" t="s">
        <v>5221</v>
      </c>
      <c r="L2244" s="2" t="s">
        <v>5221</v>
      </c>
      <c r="M2244" s="2" t="s">
        <v>5721</v>
      </c>
      <c r="N2244" s="2" t="s">
        <v>2317</v>
      </c>
      <c r="O2244" s="14">
        <v>1700</v>
      </c>
      <c r="P2244" s="14">
        <v>92.94</v>
      </c>
      <c r="Q2244" s="14">
        <v>120.02</v>
      </c>
      <c r="R2244" s="14">
        <v>39.61</v>
      </c>
      <c r="S2244" s="2" t="s">
        <v>3861</v>
      </c>
      <c r="T2244" s="2">
        <v>1.01</v>
      </c>
      <c r="U2244" s="2">
        <v>62.7</v>
      </c>
      <c r="V2244" s="2">
        <v>58</v>
      </c>
      <c r="W2244" s="2" t="s">
        <v>7862</v>
      </c>
      <c r="X2244" s="2" t="s">
        <v>5405</v>
      </c>
      <c r="Y2244" s="2">
        <v>561</v>
      </c>
      <c r="Z2244" s="19" t="str">
        <f>HYPERLINK("https://ssdweb.co/ssdweb/hd/Vision360.html?d=920661249&amp;zoomslide=1&amp;z=1920661249&amp;ISCONFIRM=0","VIDEO")</f>
        <v>VIDEO</v>
      </c>
      <c r="AA2244" s="19" t="str">
        <f>HYPERLINK("https://ssdweb.co/ssdweb/CERTH/637467377.pdf","CERTI")</f>
        <v>CERTI</v>
      </c>
    </row>
    <row r="2245" spans="1:27" ht="15" x14ac:dyDescent="0.25">
      <c r="A2245" s="2">
        <v>2240</v>
      </c>
      <c r="B2245" s="39">
        <v>926231022</v>
      </c>
      <c r="C2245" s="28" t="str">
        <f>HYPERLINK("https://pld.live/RapDetail.aspx?STONELIST=926231022","DNA")</f>
        <v>DNA</v>
      </c>
      <c r="D2245" s="18" t="s">
        <v>7954</v>
      </c>
      <c r="E2245" s="18" t="s">
        <v>5128</v>
      </c>
      <c r="F2245" s="2" t="s">
        <v>7987</v>
      </c>
      <c r="G2245" s="2" t="s">
        <v>861</v>
      </c>
      <c r="H2245" s="14">
        <v>0.33</v>
      </c>
      <c r="I2245" s="2" t="s">
        <v>4699</v>
      </c>
      <c r="J2245" s="2" t="s">
        <v>6555</v>
      </c>
      <c r="K2245" s="2" t="s">
        <v>3390</v>
      </c>
      <c r="L2245" s="2" t="s">
        <v>5221</v>
      </c>
      <c r="M2245" s="2" t="s">
        <v>5221</v>
      </c>
      <c r="N2245" s="2" t="s">
        <v>2317</v>
      </c>
      <c r="O2245" s="14">
        <v>2100</v>
      </c>
      <c r="P2245" s="14">
        <v>93.05</v>
      </c>
      <c r="Q2245" s="14">
        <v>145.94999999999999</v>
      </c>
      <c r="R2245" s="14">
        <v>48.16</v>
      </c>
      <c r="S2245" s="2" t="s">
        <v>6627</v>
      </c>
      <c r="T2245" s="2">
        <v>1.01</v>
      </c>
      <c r="U2245" s="2">
        <v>62.2</v>
      </c>
      <c r="V2245" s="2">
        <v>58</v>
      </c>
      <c r="W2245" s="2" t="s">
        <v>7862</v>
      </c>
      <c r="X2245" s="2" t="s">
        <v>5405</v>
      </c>
      <c r="Y2245" s="2">
        <v>693</v>
      </c>
      <c r="Z2245" s="19" t="str">
        <f>HYPERLINK("https://ssdweb.co/ssdweb/hd/Vision360.html?d=926231022&amp;zoomslide=1&amp;z=1926231022&amp;ISCONFIRM=0","VIDEO")</f>
        <v>VIDEO</v>
      </c>
      <c r="AA2245" s="19" t="str">
        <f>HYPERLINK("https://ssdweb.co/ssdweb/CERTH/639413165.pdf","CERTI")</f>
        <v>CERTI</v>
      </c>
    </row>
    <row r="2246" spans="1:27" ht="15" x14ac:dyDescent="0.25">
      <c r="A2246" s="2">
        <v>2241</v>
      </c>
      <c r="B2246" s="39">
        <v>926391234</v>
      </c>
      <c r="C2246" s="28" t="str">
        <f>HYPERLINK("https://pld.live/RapDetail.aspx?STONELIST=926391234","DNA")</f>
        <v>DNA</v>
      </c>
      <c r="D2246" s="18" t="s">
        <v>7954</v>
      </c>
      <c r="E2246" s="18" t="s">
        <v>5128</v>
      </c>
      <c r="F2246" s="2" t="s">
        <v>7987</v>
      </c>
      <c r="G2246" s="2" t="s">
        <v>861</v>
      </c>
      <c r="H2246" s="14">
        <v>0.32</v>
      </c>
      <c r="I2246" s="2" t="s">
        <v>267</v>
      </c>
      <c r="J2246" s="2" t="s">
        <v>6555</v>
      </c>
      <c r="K2246" s="2" t="s">
        <v>3390</v>
      </c>
      <c r="L2246" s="2" t="s">
        <v>5221</v>
      </c>
      <c r="M2246" s="2" t="s">
        <v>5221</v>
      </c>
      <c r="N2246" s="2" t="s">
        <v>2317</v>
      </c>
      <c r="O2246" s="14">
        <v>2500</v>
      </c>
      <c r="P2246" s="14">
        <v>93.48</v>
      </c>
      <c r="Q2246" s="14">
        <v>163</v>
      </c>
      <c r="R2246" s="14">
        <v>52.16</v>
      </c>
      <c r="S2246" s="2" t="s">
        <v>5287</v>
      </c>
      <c r="T2246" s="2">
        <v>1</v>
      </c>
      <c r="U2246" s="2">
        <v>60.5</v>
      </c>
      <c r="V2246" s="2">
        <v>59</v>
      </c>
      <c r="W2246" s="2" t="s">
        <v>7862</v>
      </c>
      <c r="X2246" s="2" t="s">
        <v>5405</v>
      </c>
      <c r="Y2246" s="2">
        <v>800</v>
      </c>
      <c r="Z2246" s="19" t="str">
        <f>HYPERLINK("https://ssdweb.co/ssdweb/hd/Vision360.html?d=926391234&amp;zoomslide=1&amp;z=1926391234&amp;ISCONFIRM=0","VIDEO")</f>
        <v>VIDEO</v>
      </c>
      <c r="AA2246" s="19" t="str">
        <f>HYPERLINK("https://ssdweb.co/ssdweb/CERTH/692533983.pdf","CERTI")</f>
        <v>CERTI</v>
      </c>
    </row>
    <row r="2247" spans="1:27" ht="15" x14ac:dyDescent="0.25">
      <c r="A2247" s="2">
        <v>2242</v>
      </c>
      <c r="B2247" s="39">
        <v>926391168</v>
      </c>
      <c r="C2247" s="28" t="str">
        <f>HYPERLINK("https://pld.live/RapDetail.aspx?STONELIST=926391168","DNA")</f>
        <v>DNA</v>
      </c>
      <c r="D2247" s="18" t="s">
        <v>7954</v>
      </c>
      <c r="E2247" s="18" t="s">
        <v>5128</v>
      </c>
      <c r="F2247" s="2" t="s">
        <v>7987</v>
      </c>
      <c r="G2247" s="2" t="s">
        <v>861</v>
      </c>
      <c r="H2247" s="14">
        <v>0.32</v>
      </c>
      <c r="I2247" s="2" t="s">
        <v>267</v>
      </c>
      <c r="J2247" s="2" t="s">
        <v>6555</v>
      </c>
      <c r="K2247" s="2" t="s">
        <v>3390</v>
      </c>
      <c r="L2247" s="2" t="s">
        <v>5221</v>
      </c>
      <c r="M2247" s="2" t="s">
        <v>5221</v>
      </c>
      <c r="N2247" s="2" t="s">
        <v>2317</v>
      </c>
      <c r="O2247" s="14">
        <v>2500</v>
      </c>
      <c r="P2247" s="14">
        <v>93.48</v>
      </c>
      <c r="Q2247" s="14">
        <v>163</v>
      </c>
      <c r="R2247" s="14">
        <v>52.16</v>
      </c>
      <c r="S2247" s="2" t="s">
        <v>6603</v>
      </c>
      <c r="T2247" s="2">
        <v>1.01</v>
      </c>
      <c r="U2247" s="2">
        <v>61.9</v>
      </c>
      <c r="V2247" s="2">
        <v>57</v>
      </c>
      <c r="W2247" s="2" t="s">
        <v>7862</v>
      </c>
      <c r="X2247" s="2" t="s">
        <v>5405</v>
      </c>
      <c r="Y2247" s="2">
        <v>800</v>
      </c>
      <c r="Z2247" s="19" t="str">
        <f>HYPERLINK("https://ssdweb.co/ssdweb/hd/Vision360.html?d=926391168&amp;zoomslide=1&amp;z=1926391168&amp;ISCONFIRM=0","VIDEO")</f>
        <v>VIDEO</v>
      </c>
      <c r="AA2247" s="19" t="str">
        <f>HYPERLINK("https://ssdweb.co/ssdweb/CERTH/692533976.pdf","CERTI")</f>
        <v>CERTI</v>
      </c>
    </row>
    <row r="2248" spans="1:27" ht="15" x14ac:dyDescent="0.25">
      <c r="A2248" s="2">
        <v>2243</v>
      </c>
      <c r="B2248" s="39">
        <v>926391186</v>
      </c>
      <c r="C2248" s="28" t="str">
        <f>HYPERLINK("https://pld.live/RapDetail.aspx?STONELIST=926391186","DNA")</f>
        <v>DNA</v>
      </c>
      <c r="D2248" s="18" t="s">
        <v>7954</v>
      </c>
      <c r="E2248" s="18" t="s">
        <v>5128</v>
      </c>
      <c r="F2248" s="2" t="s">
        <v>7987</v>
      </c>
      <c r="G2248" s="2" t="s">
        <v>861</v>
      </c>
      <c r="H2248" s="14">
        <v>0.32</v>
      </c>
      <c r="I2248" s="2" t="s">
        <v>267</v>
      </c>
      <c r="J2248" s="2" t="s">
        <v>6555</v>
      </c>
      <c r="K2248" s="2" t="s">
        <v>3390</v>
      </c>
      <c r="L2248" s="2" t="s">
        <v>5221</v>
      </c>
      <c r="M2248" s="2" t="s">
        <v>5221</v>
      </c>
      <c r="N2248" s="2" t="s">
        <v>2317</v>
      </c>
      <c r="O2248" s="14">
        <v>2500</v>
      </c>
      <c r="P2248" s="14">
        <v>93.48</v>
      </c>
      <c r="Q2248" s="14">
        <v>163</v>
      </c>
      <c r="R2248" s="14">
        <v>52.16</v>
      </c>
      <c r="S2248" s="2" t="s">
        <v>4341</v>
      </c>
      <c r="T2248" s="2">
        <v>1</v>
      </c>
      <c r="U2248" s="2">
        <v>61.5</v>
      </c>
      <c r="V2248" s="2">
        <v>60</v>
      </c>
      <c r="W2248" s="2" t="s">
        <v>7862</v>
      </c>
      <c r="X2248" s="2" t="s">
        <v>5405</v>
      </c>
      <c r="Y2248" s="2">
        <v>800</v>
      </c>
      <c r="Z2248" s="19" t="str">
        <f>HYPERLINK("https://ssdweb.co/ssdweb/hd/Vision360.html?d=926391186&amp;zoomslide=1&amp;z=1926391186&amp;ISCONFIRM=0","VIDEO")</f>
        <v>VIDEO</v>
      </c>
      <c r="AA2248" s="19" t="str">
        <f>HYPERLINK("https://ssdweb.co/ssdweb/CERTH/692533977.pdf","CERTI")</f>
        <v>CERTI</v>
      </c>
    </row>
    <row r="2249" spans="1:27" ht="15" x14ac:dyDescent="0.25">
      <c r="A2249" s="2">
        <v>2244</v>
      </c>
      <c r="B2249" s="39">
        <v>926240524</v>
      </c>
      <c r="C2249" s="28" t="str">
        <f>HYPERLINK("https://pld.live/RapDetail.aspx?STONELIST=926240524","DNA")</f>
        <v>DNA</v>
      </c>
      <c r="D2249" s="18" t="s">
        <v>7954</v>
      </c>
      <c r="E2249" s="18" t="s">
        <v>5128</v>
      </c>
      <c r="F2249" s="2" t="s">
        <v>7987</v>
      </c>
      <c r="G2249" s="2" t="s">
        <v>861</v>
      </c>
      <c r="H2249" s="14">
        <v>0.32</v>
      </c>
      <c r="I2249" s="2" t="s">
        <v>267</v>
      </c>
      <c r="J2249" s="2" t="s">
        <v>6555</v>
      </c>
      <c r="K2249" s="2" t="s">
        <v>3390</v>
      </c>
      <c r="L2249" s="2" t="s">
        <v>5221</v>
      </c>
      <c r="M2249" s="2" t="s">
        <v>5721</v>
      </c>
      <c r="N2249" s="2" t="s">
        <v>2317</v>
      </c>
      <c r="O2249" s="14">
        <v>2500</v>
      </c>
      <c r="P2249" s="14">
        <v>93.88</v>
      </c>
      <c r="Q2249" s="14">
        <v>153</v>
      </c>
      <c r="R2249" s="14">
        <v>48.96</v>
      </c>
      <c r="S2249" s="2" t="s">
        <v>8018</v>
      </c>
      <c r="T2249" s="2">
        <v>1.01</v>
      </c>
      <c r="U2249" s="2">
        <v>62.1</v>
      </c>
      <c r="V2249" s="2">
        <v>56</v>
      </c>
      <c r="W2249" s="2" t="s">
        <v>7862</v>
      </c>
      <c r="X2249" s="2" t="s">
        <v>5405</v>
      </c>
      <c r="Y2249" s="2">
        <v>800</v>
      </c>
      <c r="Z2249" s="19" t="str">
        <f>HYPERLINK("https://ssdweb.co/ssdweb/hd/Vision360.html?d=926240524&amp;zoomslide=1&amp;z=1926240524&amp;ISCONFIRM=0","VIDEO")</f>
        <v>VIDEO</v>
      </c>
      <c r="AA2249" s="19" t="str">
        <f>HYPERLINK("https://ssdweb.co/ssdweb/CERTH/636429771.pdf","CERTI")</f>
        <v>CERTI</v>
      </c>
    </row>
    <row r="2250" spans="1:27" ht="15" x14ac:dyDescent="0.25">
      <c r="A2250" s="2">
        <v>2245</v>
      </c>
      <c r="B2250" s="39">
        <v>926261188</v>
      </c>
      <c r="C2250" s="28" t="str">
        <f>HYPERLINK("https://pld.live/RapDetail.aspx?STONELIST=926261188","DNA")</f>
        <v>DNA</v>
      </c>
      <c r="D2250" s="18" t="s">
        <v>7954</v>
      </c>
      <c r="E2250" s="18" t="s">
        <v>5128</v>
      </c>
      <c r="F2250" s="2" t="s">
        <v>7987</v>
      </c>
      <c r="G2250" s="2" t="s">
        <v>861</v>
      </c>
      <c r="H2250" s="14">
        <v>0.32</v>
      </c>
      <c r="I2250" s="2" t="s">
        <v>267</v>
      </c>
      <c r="J2250" s="2" t="s">
        <v>6555</v>
      </c>
      <c r="K2250" s="2" t="s">
        <v>3390</v>
      </c>
      <c r="L2250" s="2" t="s">
        <v>5221</v>
      </c>
      <c r="M2250" s="2" t="s">
        <v>5721</v>
      </c>
      <c r="N2250" s="2" t="s">
        <v>2317</v>
      </c>
      <c r="O2250" s="14">
        <v>2500</v>
      </c>
      <c r="P2250" s="14">
        <v>93.88</v>
      </c>
      <c r="Q2250" s="14">
        <v>153</v>
      </c>
      <c r="R2250" s="14">
        <v>48.96</v>
      </c>
      <c r="S2250" s="2" t="s">
        <v>4586</v>
      </c>
      <c r="T2250" s="2">
        <v>1.01</v>
      </c>
      <c r="U2250" s="2">
        <v>61.8</v>
      </c>
      <c r="V2250" s="2">
        <v>57</v>
      </c>
      <c r="W2250" s="2" t="s">
        <v>7862</v>
      </c>
      <c r="X2250" s="2" t="s">
        <v>5405</v>
      </c>
      <c r="Y2250" s="2">
        <v>800</v>
      </c>
      <c r="Z2250" s="19" t="str">
        <f>HYPERLINK("https://ssdweb.co/ssdweb/hd/Vision360.html?d=926261188&amp;zoomslide=1&amp;z=1926261188&amp;ISCONFIRM=0","VIDEO")</f>
        <v>VIDEO</v>
      </c>
      <c r="AA2250" s="19" t="str">
        <f>HYPERLINK("https://ssdweb.co/ssdweb/CERTH/646472907.pdf","CERTI")</f>
        <v>CERTI</v>
      </c>
    </row>
    <row r="2251" spans="1:27" ht="15" x14ac:dyDescent="0.25">
      <c r="A2251" s="2">
        <v>2246</v>
      </c>
      <c r="B2251" s="39">
        <v>926261254</v>
      </c>
      <c r="C2251" s="28" t="str">
        <f>HYPERLINK("https://pld.live/RapDetail.aspx?STONELIST=926261254","DNA")</f>
        <v>DNA</v>
      </c>
      <c r="D2251" s="18" t="s">
        <v>7954</v>
      </c>
      <c r="E2251" s="18" t="s">
        <v>5128</v>
      </c>
      <c r="F2251" s="2" t="s">
        <v>7987</v>
      </c>
      <c r="G2251" s="2" t="s">
        <v>861</v>
      </c>
      <c r="H2251" s="14">
        <v>0.32</v>
      </c>
      <c r="I2251" s="2" t="s">
        <v>267</v>
      </c>
      <c r="J2251" s="2" t="s">
        <v>6555</v>
      </c>
      <c r="K2251" s="2" t="s">
        <v>3390</v>
      </c>
      <c r="L2251" s="2" t="s">
        <v>5221</v>
      </c>
      <c r="M2251" s="2" t="s">
        <v>5721</v>
      </c>
      <c r="N2251" s="2" t="s">
        <v>2317</v>
      </c>
      <c r="O2251" s="14">
        <v>2500</v>
      </c>
      <c r="P2251" s="14">
        <v>93.88</v>
      </c>
      <c r="Q2251" s="14">
        <v>153</v>
      </c>
      <c r="R2251" s="14">
        <v>48.96</v>
      </c>
      <c r="S2251" s="2" t="s">
        <v>4516</v>
      </c>
      <c r="T2251" s="2">
        <v>1.01</v>
      </c>
      <c r="U2251" s="2">
        <v>60.1</v>
      </c>
      <c r="V2251" s="2">
        <v>59</v>
      </c>
      <c r="W2251" s="2" t="s">
        <v>7862</v>
      </c>
      <c r="X2251" s="2" t="s">
        <v>5405</v>
      </c>
      <c r="Y2251" s="2">
        <v>800</v>
      </c>
      <c r="Z2251" s="19" t="str">
        <f>HYPERLINK("https://ssdweb.co/ssdweb/hd/Vision360.html?d=926261254&amp;zoomslide=1&amp;z=1926261254&amp;ISCONFIRM=0","VIDEO")</f>
        <v>VIDEO</v>
      </c>
      <c r="AA2251" s="19" t="str">
        <f>HYPERLINK("https://ssdweb.co/ssdweb/CERTH/644472254.pdf","CERTI")</f>
        <v>CERTI</v>
      </c>
    </row>
    <row r="2252" spans="1:27" ht="15" x14ac:dyDescent="0.25">
      <c r="A2252" s="2">
        <v>2247</v>
      </c>
      <c r="B2252" s="39">
        <v>926191012</v>
      </c>
      <c r="C2252" s="28" t="str">
        <f>HYPERLINK("https://pld.live/RapDetail.aspx?STONELIST=926191012","DNA")</f>
        <v>DNA</v>
      </c>
      <c r="D2252" s="18" t="s">
        <v>7954</v>
      </c>
      <c r="E2252" s="18" t="s">
        <v>5128</v>
      </c>
      <c r="F2252" s="2" t="s">
        <v>7987</v>
      </c>
      <c r="G2252" s="2" t="s">
        <v>861</v>
      </c>
      <c r="H2252" s="14">
        <v>0.32</v>
      </c>
      <c r="I2252" s="2" t="s">
        <v>267</v>
      </c>
      <c r="J2252" s="2" t="s">
        <v>6555</v>
      </c>
      <c r="K2252" s="2" t="s">
        <v>3390</v>
      </c>
      <c r="L2252" s="2" t="s">
        <v>5221</v>
      </c>
      <c r="M2252" s="2" t="s">
        <v>5721</v>
      </c>
      <c r="N2252" s="2" t="s">
        <v>2317</v>
      </c>
      <c r="O2252" s="14">
        <v>2500</v>
      </c>
      <c r="P2252" s="14">
        <v>93.88</v>
      </c>
      <c r="Q2252" s="14">
        <v>153</v>
      </c>
      <c r="R2252" s="14">
        <v>48.96</v>
      </c>
      <c r="S2252" s="2" t="s">
        <v>3177</v>
      </c>
      <c r="T2252" s="2">
        <v>1.01</v>
      </c>
      <c r="U2252" s="2">
        <v>62</v>
      </c>
      <c r="V2252" s="2">
        <v>59</v>
      </c>
      <c r="W2252" s="2" t="s">
        <v>7862</v>
      </c>
      <c r="X2252" s="2" t="s">
        <v>5405</v>
      </c>
      <c r="Y2252" s="2">
        <v>800</v>
      </c>
      <c r="Z2252" s="19" t="str">
        <f>HYPERLINK("https://ssdweb.co/ssdweb/hd/Vision360.html?d=926191012&amp;zoomslide=1&amp;z=1926191012&amp;ISCONFIRM=0","VIDEO")</f>
        <v>VIDEO</v>
      </c>
      <c r="AA2252" s="19" t="str">
        <f>HYPERLINK("https://ssdweb.co/ssdweb/CERTH/636429925.pdf","CERTI")</f>
        <v>CERTI</v>
      </c>
    </row>
    <row r="2253" spans="1:27" ht="15" x14ac:dyDescent="0.25">
      <c r="A2253" s="2">
        <v>2248</v>
      </c>
      <c r="B2253" s="39">
        <v>821127960</v>
      </c>
      <c r="C2253" s="28" t="str">
        <f>HYPERLINK("https://pld.live/RapDetail.aspx?STONELIST=821127960","DNA")</f>
        <v>DNA</v>
      </c>
      <c r="D2253" s="18" t="s">
        <v>7954</v>
      </c>
      <c r="E2253" s="18" t="s">
        <v>5128</v>
      </c>
      <c r="F2253" s="2" t="s">
        <v>7987</v>
      </c>
      <c r="G2253" s="2" t="s">
        <v>861</v>
      </c>
      <c r="H2253" s="14">
        <v>0.32</v>
      </c>
      <c r="I2253" s="2" t="s">
        <v>267</v>
      </c>
      <c r="J2253" s="2" t="s">
        <v>6555</v>
      </c>
      <c r="K2253" s="2" t="s">
        <v>3390</v>
      </c>
      <c r="L2253" s="2" t="s">
        <v>5721</v>
      </c>
      <c r="M2253" s="2" t="s">
        <v>5721</v>
      </c>
      <c r="N2253" s="2" t="s">
        <v>2317</v>
      </c>
      <c r="O2253" s="14">
        <v>2500</v>
      </c>
      <c r="P2253" s="14">
        <v>93.96</v>
      </c>
      <c r="Q2253" s="14">
        <v>151</v>
      </c>
      <c r="R2253" s="14">
        <v>48.32</v>
      </c>
      <c r="S2253" s="2" t="s">
        <v>5043</v>
      </c>
      <c r="T2253" s="2">
        <v>1.01</v>
      </c>
      <c r="U2253" s="2">
        <v>60.4</v>
      </c>
      <c r="V2253" s="2">
        <v>59</v>
      </c>
      <c r="W2253" s="2" t="s">
        <v>7862</v>
      </c>
      <c r="X2253" s="2" t="s">
        <v>5405</v>
      </c>
      <c r="Y2253" s="2">
        <v>800</v>
      </c>
      <c r="Z2253" s="19" t="str">
        <f>HYPERLINK("https://ssdweb.co/ssdweb/hd/Vision360.html?d=821127960&amp;zoomslide=1&amp;z=1821127960&amp;ISCONFIRM=0","VIDEO")</f>
        <v>VIDEO</v>
      </c>
      <c r="AA2253" s="19" t="str">
        <f>HYPERLINK("https://ssdweb.co/ssdweb/CERTH/633431880.pdf","CERTI")</f>
        <v>CERTI</v>
      </c>
    </row>
    <row r="2254" spans="1:27" ht="15" x14ac:dyDescent="0.25">
      <c r="A2254" s="2">
        <v>2249</v>
      </c>
      <c r="B2254" s="39">
        <v>941230069</v>
      </c>
      <c r="C2254" s="28" t="str">
        <f>HYPERLINK("https://pld.live/RapDetail.aspx?STONELIST=941230069","DNA")</f>
        <v>DNA</v>
      </c>
      <c r="D2254" s="18" t="s">
        <v>7954</v>
      </c>
      <c r="E2254" s="18" t="s">
        <v>2186</v>
      </c>
      <c r="F2254" s="2" t="s">
        <v>7987</v>
      </c>
      <c r="G2254" s="2" t="s">
        <v>861</v>
      </c>
      <c r="H2254" s="14">
        <v>0.32</v>
      </c>
      <c r="I2254" s="2" t="s">
        <v>267</v>
      </c>
      <c r="J2254" s="2" t="s">
        <v>6555</v>
      </c>
      <c r="K2254" s="2" t="s">
        <v>5221</v>
      </c>
      <c r="L2254" s="2" t="s">
        <v>5221</v>
      </c>
      <c r="M2254" s="2" t="s">
        <v>5221</v>
      </c>
      <c r="N2254" s="2" t="s">
        <v>2317</v>
      </c>
      <c r="O2254" s="14">
        <v>2500</v>
      </c>
      <c r="P2254" s="14">
        <v>93.48</v>
      </c>
      <c r="Q2254" s="14">
        <v>163</v>
      </c>
      <c r="R2254" s="14">
        <v>52.16</v>
      </c>
      <c r="S2254" s="2" t="s">
        <v>5592</v>
      </c>
      <c r="T2254" s="2">
        <v>1</v>
      </c>
      <c r="U2254" s="2">
        <v>59.8</v>
      </c>
      <c r="V2254" s="2">
        <v>59</v>
      </c>
      <c r="W2254" s="2" t="s">
        <v>7862</v>
      </c>
      <c r="X2254" s="2" t="s">
        <v>5405</v>
      </c>
      <c r="Y2254" s="2">
        <v>800</v>
      </c>
      <c r="Z2254" s="19" t="str">
        <f>HYPERLINK("https://ssdweb.co/ssdweb/hd/Vision360.html?d=941230069&amp;zoomslide=1&amp;z=1941230069&amp;ISCONFIRM=0","VIDEO")</f>
        <v>VIDEO</v>
      </c>
      <c r="AA2254" s="19" t="str">
        <f>HYPERLINK("https://ssdweb.co/ssdweb/CERTH/689587240.pdf","CERTI")</f>
        <v>CERTI</v>
      </c>
    </row>
    <row r="2255" spans="1:27" ht="15" x14ac:dyDescent="0.25">
      <c r="A2255" s="2">
        <v>2250</v>
      </c>
      <c r="B2255" s="39">
        <v>941290166</v>
      </c>
      <c r="C2255" s="28" t="str">
        <f>HYPERLINK("https://pld.live/RapDetail.aspx?STONELIST=941290166","DNA")</f>
        <v>DNA</v>
      </c>
      <c r="D2255" s="18" t="s">
        <v>7954</v>
      </c>
      <c r="E2255" s="18" t="s">
        <v>2186</v>
      </c>
      <c r="F2255" s="2" t="s">
        <v>7987</v>
      </c>
      <c r="G2255" s="2" t="s">
        <v>861</v>
      </c>
      <c r="H2255" s="14">
        <v>0.32</v>
      </c>
      <c r="I2255" s="2" t="s">
        <v>267</v>
      </c>
      <c r="J2255" s="2" t="s">
        <v>6555</v>
      </c>
      <c r="K2255" s="2" t="s">
        <v>5221</v>
      </c>
      <c r="L2255" s="2" t="s">
        <v>5221</v>
      </c>
      <c r="M2255" s="2" t="s">
        <v>5221</v>
      </c>
      <c r="N2255" s="2" t="s">
        <v>2317</v>
      </c>
      <c r="O2255" s="14">
        <v>2500</v>
      </c>
      <c r="P2255" s="14">
        <v>93.48</v>
      </c>
      <c r="Q2255" s="14">
        <v>163</v>
      </c>
      <c r="R2255" s="14">
        <v>52.16</v>
      </c>
      <c r="S2255" s="2" t="s">
        <v>5742</v>
      </c>
      <c r="T2255" s="2">
        <v>1.01</v>
      </c>
      <c r="U2255" s="2">
        <v>61.9</v>
      </c>
      <c r="V2255" s="2">
        <v>60</v>
      </c>
      <c r="W2255" s="2" t="s">
        <v>7862</v>
      </c>
      <c r="X2255" s="2" t="s">
        <v>5405</v>
      </c>
      <c r="Y2255" s="2">
        <v>800</v>
      </c>
      <c r="Z2255" s="19" t="str">
        <f>HYPERLINK("https://ssdweb.co/ssdweb/hd/Vision360.html?d=941290166&amp;zoomslide=1&amp;z=1941290166&amp;ISCONFIRM=0","VIDEO")</f>
        <v>VIDEO</v>
      </c>
      <c r="AA2255" s="19" t="str">
        <f>HYPERLINK("https://ssdweb.co/ssdweb/CERTH/689587261.pdf","CERTI")</f>
        <v>CERTI</v>
      </c>
    </row>
    <row r="2256" spans="1:27" ht="15" x14ac:dyDescent="0.25">
      <c r="A2256" s="2">
        <v>2251</v>
      </c>
      <c r="B2256" s="39">
        <v>926391204</v>
      </c>
      <c r="C2256" s="28" t="str">
        <f>HYPERLINK("https://pld.live/RapDetail.aspx?STONELIST=926391204","DNA")</f>
        <v>DNA</v>
      </c>
      <c r="D2256" s="18" t="s">
        <v>7954</v>
      </c>
      <c r="E2256" s="18" t="s">
        <v>5128</v>
      </c>
      <c r="F2256" s="2" t="s">
        <v>7987</v>
      </c>
      <c r="G2256" s="2" t="s">
        <v>861</v>
      </c>
      <c r="H2256" s="14">
        <v>0.32</v>
      </c>
      <c r="I2256" s="2" t="s">
        <v>267</v>
      </c>
      <c r="J2256" s="2" t="s">
        <v>6555</v>
      </c>
      <c r="K2256" s="2" t="s">
        <v>5221</v>
      </c>
      <c r="L2256" s="2" t="s">
        <v>5221</v>
      </c>
      <c r="M2256" s="2" t="s">
        <v>5221</v>
      </c>
      <c r="N2256" s="2" t="s">
        <v>2317</v>
      </c>
      <c r="O2256" s="14">
        <v>2500</v>
      </c>
      <c r="P2256" s="14">
        <v>93.48</v>
      </c>
      <c r="Q2256" s="14">
        <v>163</v>
      </c>
      <c r="R2256" s="14">
        <v>52.16</v>
      </c>
      <c r="S2256" s="2" t="s">
        <v>2107</v>
      </c>
      <c r="T2256" s="2">
        <v>1.01</v>
      </c>
      <c r="U2256" s="2">
        <v>61.2</v>
      </c>
      <c r="V2256" s="2">
        <v>60</v>
      </c>
      <c r="W2256" s="2" t="s">
        <v>7862</v>
      </c>
      <c r="X2256" s="2" t="s">
        <v>5405</v>
      </c>
      <c r="Y2256" s="2">
        <v>800</v>
      </c>
      <c r="Z2256" s="19" t="str">
        <f>HYPERLINK("https://ssdweb.co/ssdweb/hd/Vision360.html?d=926391204&amp;zoomslide=1&amp;z=1926391204&amp;ISCONFIRM=0","VIDEO")</f>
        <v>VIDEO</v>
      </c>
      <c r="AA2256" s="19" t="str">
        <f>HYPERLINK("https://ssdweb.co/ssdweb/CERTH/692533978.pdf","CERTI")</f>
        <v>CERTI</v>
      </c>
    </row>
    <row r="2257" spans="1:27" ht="15" x14ac:dyDescent="0.25">
      <c r="A2257" s="2">
        <v>2252</v>
      </c>
      <c r="B2257" s="39">
        <v>927110001</v>
      </c>
      <c r="C2257" s="28" t="str">
        <f>HYPERLINK("https://pld.live/RapDetail.aspx?STONELIST=927110001","DNA")</f>
        <v>DNA</v>
      </c>
      <c r="D2257" s="18" t="s">
        <v>7954</v>
      </c>
      <c r="E2257" s="18" t="s">
        <v>2186</v>
      </c>
      <c r="F2257" s="2" t="s">
        <v>7987</v>
      </c>
      <c r="G2257" s="2" t="s">
        <v>861</v>
      </c>
      <c r="H2257" s="14">
        <v>0.32</v>
      </c>
      <c r="I2257" s="2" t="s">
        <v>267</v>
      </c>
      <c r="J2257" s="2" t="s">
        <v>6555</v>
      </c>
      <c r="K2257" s="2" t="s">
        <v>5221</v>
      </c>
      <c r="L2257" s="2" t="s">
        <v>5221</v>
      </c>
      <c r="M2257" s="2" t="s">
        <v>5221</v>
      </c>
      <c r="N2257" s="2" t="s">
        <v>2317</v>
      </c>
      <c r="O2257" s="14">
        <v>2500</v>
      </c>
      <c r="P2257" s="14">
        <v>93.56</v>
      </c>
      <c r="Q2257" s="14">
        <v>161</v>
      </c>
      <c r="R2257" s="14">
        <v>51.52</v>
      </c>
      <c r="S2257" s="2" t="s">
        <v>3705</v>
      </c>
      <c r="T2257" s="2">
        <v>1.01</v>
      </c>
      <c r="U2257" s="2">
        <v>61.3</v>
      </c>
      <c r="V2257" s="2">
        <v>62</v>
      </c>
      <c r="W2257" s="2" t="s">
        <v>7862</v>
      </c>
      <c r="X2257" s="2" t="s">
        <v>5405</v>
      </c>
      <c r="Y2257" s="2">
        <v>800</v>
      </c>
      <c r="Z2257" s="19" t="str">
        <f>HYPERLINK("https://ssdweb.co/ssdweb/hd/Vision360.html?d=927110001&amp;zoomslide=1&amp;z=1927110001&amp;ISCONFIRM=0","VIDEO")</f>
        <v>VIDEO</v>
      </c>
      <c r="AA2257" s="19" t="str">
        <f>HYPERLINK("https://ssdweb.co/ssdweb/CERTH/667408526.pdf","CERTI")</f>
        <v>CERTI</v>
      </c>
    </row>
    <row r="2258" spans="1:27" ht="15" x14ac:dyDescent="0.25">
      <c r="A2258" s="2">
        <v>2253</v>
      </c>
      <c r="B2258" s="39">
        <v>920661222</v>
      </c>
      <c r="C2258" s="28" t="str">
        <f>HYPERLINK("https://pld.live/RapDetail.aspx?STONELIST=920661222","DNA")</f>
        <v>DNA</v>
      </c>
      <c r="D2258" s="18" t="s">
        <v>7954</v>
      </c>
      <c r="E2258" s="18" t="s">
        <v>5128</v>
      </c>
      <c r="F2258" s="2" t="s">
        <v>7987</v>
      </c>
      <c r="G2258" s="2" t="s">
        <v>861</v>
      </c>
      <c r="H2258" s="14">
        <v>0.32</v>
      </c>
      <c r="I2258" s="2" t="s">
        <v>267</v>
      </c>
      <c r="J2258" s="2" t="s">
        <v>6555</v>
      </c>
      <c r="K2258" s="2" t="s">
        <v>5221</v>
      </c>
      <c r="L2258" s="2" t="s">
        <v>5221</v>
      </c>
      <c r="M2258" s="2" t="s">
        <v>5721</v>
      </c>
      <c r="N2258" s="2" t="s">
        <v>2317</v>
      </c>
      <c r="O2258" s="14">
        <v>2500</v>
      </c>
      <c r="P2258" s="14">
        <v>93.88</v>
      </c>
      <c r="Q2258" s="14">
        <v>153</v>
      </c>
      <c r="R2258" s="14">
        <v>48.96</v>
      </c>
      <c r="S2258" s="2" t="s">
        <v>7958</v>
      </c>
      <c r="T2258" s="2">
        <v>1.01</v>
      </c>
      <c r="U2258" s="2">
        <v>61.4</v>
      </c>
      <c r="V2258" s="2">
        <v>62</v>
      </c>
      <c r="W2258" s="2" t="s">
        <v>7862</v>
      </c>
      <c r="X2258" s="2" t="s">
        <v>5405</v>
      </c>
      <c r="Y2258" s="2">
        <v>800</v>
      </c>
      <c r="Z2258" s="19" t="str">
        <f>HYPERLINK("https://ssdweb.co/ssdweb/hd/Vision360.html?d=920661222&amp;zoomslide=1&amp;z=1920661222&amp;ISCONFIRM=0","VIDEO")</f>
        <v>VIDEO</v>
      </c>
      <c r="AA2258" s="19" t="str">
        <f>HYPERLINK("https://ssdweb.co/ssdweb/CERTH/636429792.pdf","CERTI")</f>
        <v>CERTI</v>
      </c>
    </row>
    <row r="2259" spans="1:27" ht="15" x14ac:dyDescent="0.25">
      <c r="A2259" s="2">
        <v>2254</v>
      </c>
      <c r="B2259" s="39">
        <v>926801338</v>
      </c>
      <c r="C2259" s="28" t="str">
        <f>HYPERLINK("https://pld.live/RapDetail.aspx?STONELIST=926801338","DNA")</f>
        <v>DNA</v>
      </c>
      <c r="D2259" s="18" t="s">
        <v>7954</v>
      </c>
      <c r="E2259" s="18" t="s">
        <v>5128</v>
      </c>
      <c r="F2259" s="2" t="s">
        <v>7987</v>
      </c>
      <c r="G2259" s="2" t="s">
        <v>861</v>
      </c>
      <c r="H2259" s="14">
        <v>0.32</v>
      </c>
      <c r="I2259" s="2" t="s">
        <v>267</v>
      </c>
      <c r="J2259" s="2" t="s">
        <v>6555</v>
      </c>
      <c r="K2259" s="2" t="s">
        <v>5221</v>
      </c>
      <c r="L2259" s="2" t="s">
        <v>5221</v>
      </c>
      <c r="M2259" s="2" t="s">
        <v>5721</v>
      </c>
      <c r="N2259" s="2" t="s">
        <v>2317</v>
      </c>
      <c r="O2259" s="14">
        <v>2500</v>
      </c>
      <c r="P2259" s="14">
        <v>93.88</v>
      </c>
      <c r="Q2259" s="14">
        <v>153</v>
      </c>
      <c r="R2259" s="14">
        <v>48.96</v>
      </c>
      <c r="S2259" s="2" t="s">
        <v>4673</v>
      </c>
      <c r="T2259" s="2">
        <v>1.01</v>
      </c>
      <c r="U2259" s="2">
        <v>62.7</v>
      </c>
      <c r="V2259" s="2">
        <v>57</v>
      </c>
      <c r="W2259" s="2" t="s">
        <v>7862</v>
      </c>
      <c r="X2259" s="2" t="s">
        <v>5405</v>
      </c>
      <c r="Y2259" s="2">
        <v>800</v>
      </c>
      <c r="Z2259" s="19" t="str">
        <f>HYPERLINK("https://ssdweb.co/ssdweb/hd/Vision360.html?d=926801338&amp;zoomslide=1&amp;z=1926801338&amp;ISCONFIRM=0","VIDEO")</f>
        <v>VIDEO</v>
      </c>
      <c r="AA2259" s="19" t="str">
        <f>HYPERLINK("https://ssdweb.co/ssdweb/CERTH/670484279.pdf","CERTI")</f>
        <v>CERTI</v>
      </c>
    </row>
    <row r="2260" spans="1:27" ht="15" x14ac:dyDescent="0.25">
      <c r="A2260" s="2">
        <v>2255</v>
      </c>
      <c r="B2260" s="39">
        <v>926190990</v>
      </c>
      <c r="C2260" s="28" t="str">
        <f>HYPERLINK("https://pld.live/RapDetail.aspx?STONELIST=926190990","DNA")</f>
        <v>DNA</v>
      </c>
      <c r="D2260" s="18" t="s">
        <v>7954</v>
      </c>
      <c r="E2260" s="18" t="s">
        <v>5128</v>
      </c>
      <c r="F2260" s="2" t="s">
        <v>7987</v>
      </c>
      <c r="G2260" s="2" t="s">
        <v>861</v>
      </c>
      <c r="H2260" s="14">
        <v>0.32</v>
      </c>
      <c r="I2260" s="2" t="s">
        <v>267</v>
      </c>
      <c r="J2260" s="2" t="s">
        <v>6555</v>
      </c>
      <c r="K2260" s="2" t="s">
        <v>5221</v>
      </c>
      <c r="L2260" s="2" t="s">
        <v>5221</v>
      </c>
      <c r="M2260" s="2" t="s">
        <v>5721</v>
      </c>
      <c r="N2260" s="2" t="s">
        <v>2317</v>
      </c>
      <c r="O2260" s="14">
        <v>2500</v>
      </c>
      <c r="P2260" s="14">
        <v>93.88</v>
      </c>
      <c r="Q2260" s="14">
        <v>153</v>
      </c>
      <c r="R2260" s="14">
        <v>48.96</v>
      </c>
      <c r="S2260" s="2" t="s">
        <v>7923</v>
      </c>
      <c r="T2260" s="2">
        <v>1.02</v>
      </c>
      <c r="U2260" s="2">
        <v>62.6</v>
      </c>
      <c r="V2260" s="2">
        <v>57</v>
      </c>
      <c r="W2260" s="2" t="s">
        <v>7862</v>
      </c>
      <c r="X2260" s="2" t="s">
        <v>5405</v>
      </c>
      <c r="Y2260" s="2">
        <v>800</v>
      </c>
      <c r="Z2260" s="19" t="str">
        <f>HYPERLINK("https://ssdweb.co/ssdweb/hd/Vision360.html?d=926190990&amp;zoomslide=1&amp;z=1926190990&amp;ISCONFIRM=0","VIDEO")</f>
        <v>VIDEO</v>
      </c>
      <c r="AA2260" s="19" t="str">
        <f>HYPERLINK("https://ssdweb.co/ssdweb/CERTH/636429921.pdf","CERTI")</f>
        <v>CERTI</v>
      </c>
    </row>
    <row r="2261" spans="1:27" ht="15" x14ac:dyDescent="0.25">
      <c r="A2261" s="2">
        <v>2256</v>
      </c>
      <c r="B2261" s="39">
        <v>821127914</v>
      </c>
      <c r="C2261" s="28" t="str">
        <f>HYPERLINK("https://pld.live/RapDetail.aspx?STONELIST=821127914","DNA")</f>
        <v>DNA</v>
      </c>
      <c r="D2261" s="18" t="s">
        <v>7954</v>
      </c>
      <c r="E2261" s="18" t="s">
        <v>5128</v>
      </c>
      <c r="F2261" s="2" t="s">
        <v>7987</v>
      </c>
      <c r="G2261" s="2" t="s">
        <v>861</v>
      </c>
      <c r="H2261" s="14">
        <v>0.32</v>
      </c>
      <c r="I2261" s="2" t="s">
        <v>267</v>
      </c>
      <c r="J2261" s="2" t="s">
        <v>6555</v>
      </c>
      <c r="K2261" s="2" t="s">
        <v>5721</v>
      </c>
      <c r="L2261" s="2" t="s">
        <v>5721</v>
      </c>
      <c r="M2261" s="2" t="s">
        <v>5721</v>
      </c>
      <c r="N2261" s="2" t="s">
        <v>2317</v>
      </c>
      <c r="O2261" s="14">
        <v>2500</v>
      </c>
      <c r="P2261" s="14">
        <v>94.08</v>
      </c>
      <c r="Q2261" s="14">
        <v>148</v>
      </c>
      <c r="R2261" s="14">
        <v>47.36</v>
      </c>
      <c r="S2261" s="2" t="s">
        <v>7092</v>
      </c>
      <c r="T2261" s="2">
        <v>1.01</v>
      </c>
      <c r="U2261" s="2">
        <v>63.8</v>
      </c>
      <c r="V2261" s="2">
        <v>56</v>
      </c>
      <c r="W2261" s="2" t="s">
        <v>7862</v>
      </c>
      <c r="X2261" s="2" t="s">
        <v>5405</v>
      </c>
      <c r="Y2261" s="2">
        <v>800</v>
      </c>
      <c r="Z2261" s="19" t="str">
        <f>HYPERLINK("https://ssdweb.co/ssdweb/hd/Vision360.html?d=821127914&amp;zoomslide=1&amp;z=1821127914&amp;ISCONFIRM=0","VIDEO")</f>
        <v>VIDEO</v>
      </c>
      <c r="AA2261" s="19" t="str">
        <f>HYPERLINK("https://ssdweb.co/ssdweb/CERTH/634417071.pdf","CERTI")</f>
        <v>CERTI</v>
      </c>
    </row>
    <row r="2262" spans="1:27" ht="15" x14ac:dyDescent="0.25">
      <c r="A2262" s="2">
        <v>2257</v>
      </c>
      <c r="B2262" s="39">
        <v>941390337</v>
      </c>
      <c r="C2262" s="28" t="str">
        <f>HYPERLINK("https://pld.live/RapDetail.aspx?STONELIST=941390337","DNA")</f>
        <v>DNA</v>
      </c>
      <c r="D2262" s="18" t="s">
        <v>7954</v>
      </c>
      <c r="E2262" s="18" t="s">
        <v>2186</v>
      </c>
      <c r="F2262" s="2" t="s">
        <v>7987</v>
      </c>
      <c r="G2262" s="2" t="s">
        <v>861</v>
      </c>
      <c r="H2262" s="14">
        <v>0.32</v>
      </c>
      <c r="I2262" s="2" t="s">
        <v>267</v>
      </c>
      <c r="J2262" s="2" t="s">
        <v>3942</v>
      </c>
      <c r="K2262" s="2" t="s">
        <v>3390</v>
      </c>
      <c r="L2262" s="2" t="s">
        <v>5221</v>
      </c>
      <c r="M2262" s="2" t="s">
        <v>5221</v>
      </c>
      <c r="N2262" s="2" t="s">
        <v>2317</v>
      </c>
      <c r="O2262" s="14">
        <v>2200</v>
      </c>
      <c r="P2262" s="14">
        <v>93.27</v>
      </c>
      <c r="Q2262" s="14">
        <v>148.06</v>
      </c>
      <c r="R2262" s="14">
        <v>47.38</v>
      </c>
      <c r="S2262" s="2" t="s">
        <v>2907</v>
      </c>
      <c r="T2262" s="2">
        <v>1.01</v>
      </c>
      <c r="U2262" s="2">
        <v>62.2</v>
      </c>
      <c r="V2262" s="2">
        <v>57</v>
      </c>
      <c r="W2262" s="2" t="s">
        <v>7862</v>
      </c>
      <c r="X2262" s="2" t="s">
        <v>5405</v>
      </c>
      <c r="Y2262" s="2">
        <v>704</v>
      </c>
      <c r="Z2262" s="19" t="str">
        <f>HYPERLINK("https://ssdweb.co/ssdweb/hd/Vision360.html?d=941390337&amp;zoomslide=1&amp;z=1941390337&amp;ISCONFIRM=0","VIDEO")</f>
        <v>VIDEO</v>
      </c>
      <c r="AA2262" s="19" t="str">
        <f>HYPERLINK("https://ssdweb.co/ssdweb/CERTH/689587227.pdf","CERTI")</f>
        <v>CERTI</v>
      </c>
    </row>
    <row r="2263" spans="1:27" ht="15" x14ac:dyDescent="0.25">
      <c r="A2263" s="2">
        <v>2258</v>
      </c>
      <c r="B2263" s="39">
        <v>941380231</v>
      </c>
      <c r="C2263" s="28" t="str">
        <f>HYPERLINK("https://pld.live/RapDetail.aspx?STONELIST=941380231","DNA")</f>
        <v>DNA</v>
      </c>
      <c r="D2263" s="18" t="s">
        <v>7954</v>
      </c>
      <c r="E2263" s="18" t="s">
        <v>2186</v>
      </c>
      <c r="F2263" s="2" t="s">
        <v>7987</v>
      </c>
      <c r="G2263" s="2" t="s">
        <v>861</v>
      </c>
      <c r="H2263" s="14">
        <v>0.32</v>
      </c>
      <c r="I2263" s="2" t="s">
        <v>267</v>
      </c>
      <c r="J2263" s="2" t="s">
        <v>3942</v>
      </c>
      <c r="K2263" s="2" t="s">
        <v>3390</v>
      </c>
      <c r="L2263" s="2" t="s">
        <v>5221</v>
      </c>
      <c r="M2263" s="2" t="s">
        <v>5221</v>
      </c>
      <c r="N2263" s="2" t="s">
        <v>2317</v>
      </c>
      <c r="O2263" s="14">
        <v>2200</v>
      </c>
      <c r="P2263" s="14">
        <v>93.27</v>
      </c>
      <c r="Q2263" s="14">
        <v>148.06</v>
      </c>
      <c r="R2263" s="14">
        <v>47.38</v>
      </c>
      <c r="S2263" s="2" t="s">
        <v>4969</v>
      </c>
      <c r="T2263" s="2">
        <v>1.01</v>
      </c>
      <c r="U2263" s="2">
        <v>61.7</v>
      </c>
      <c r="V2263" s="2">
        <v>58</v>
      </c>
      <c r="W2263" s="2" t="s">
        <v>7862</v>
      </c>
      <c r="X2263" s="2" t="s">
        <v>5405</v>
      </c>
      <c r="Y2263" s="2">
        <v>704</v>
      </c>
      <c r="Z2263" s="19" t="str">
        <f>HYPERLINK("https://ssdweb.co/ssdweb/hd/Vision360.html?d=941380231&amp;zoomslide=1&amp;z=1941380231&amp;ISCONFIRM=0","VIDEO")</f>
        <v>VIDEO</v>
      </c>
      <c r="AA2263" s="19" t="str">
        <f>HYPERLINK("https://ssdweb.co/ssdweb/CERTH/691577876.pdf","CERTI")</f>
        <v>CERTI</v>
      </c>
    </row>
    <row r="2264" spans="1:27" ht="15" x14ac:dyDescent="0.25">
      <c r="A2264" s="2">
        <v>2259</v>
      </c>
      <c r="B2264" s="39">
        <v>926391140</v>
      </c>
      <c r="C2264" s="28" t="str">
        <f>HYPERLINK("https://pld.live/RapDetail.aspx?STONELIST=926391140","DNA")</f>
        <v>DNA</v>
      </c>
      <c r="D2264" s="18" t="s">
        <v>7954</v>
      </c>
      <c r="E2264" s="18" t="s">
        <v>5128</v>
      </c>
      <c r="F2264" s="2" t="s">
        <v>7987</v>
      </c>
      <c r="G2264" s="2" t="s">
        <v>861</v>
      </c>
      <c r="H2264" s="14">
        <v>0.32</v>
      </c>
      <c r="I2264" s="2" t="s">
        <v>267</v>
      </c>
      <c r="J2264" s="2" t="s">
        <v>3942</v>
      </c>
      <c r="K2264" s="2" t="s">
        <v>3390</v>
      </c>
      <c r="L2264" s="2" t="s">
        <v>5221</v>
      </c>
      <c r="M2264" s="2" t="s">
        <v>5221</v>
      </c>
      <c r="N2264" s="2" t="s">
        <v>2317</v>
      </c>
      <c r="O2264" s="14">
        <v>2200</v>
      </c>
      <c r="P2264" s="14">
        <v>93.27</v>
      </c>
      <c r="Q2264" s="14">
        <v>148.06</v>
      </c>
      <c r="R2264" s="14">
        <v>47.38</v>
      </c>
      <c r="S2264" s="2" t="s">
        <v>4804</v>
      </c>
      <c r="T2264" s="2">
        <v>1</v>
      </c>
      <c r="U2264" s="2">
        <v>60.6</v>
      </c>
      <c r="V2264" s="2">
        <v>60</v>
      </c>
      <c r="W2264" s="2" t="s">
        <v>7862</v>
      </c>
      <c r="X2264" s="2" t="s">
        <v>5405</v>
      </c>
      <c r="Y2264" s="2">
        <v>704</v>
      </c>
      <c r="Z2264" s="19" t="str">
        <f>HYPERLINK("https://ssdweb.co/ssdweb/hd/Vision360.html?d=926391140&amp;zoomslide=1&amp;z=1926391140&amp;ISCONFIRM=0","VIDEO")</f>
        <v>VIDEO</v>
      </c>
      <c r="AA2264" s="19" t="str">
        <f>HYPERLINK("https://ssdweb.co/ssdweb/CERTH/692533974.pdf","CERTI")</f>
        <v>CERTI</v>
      </c>
    </row>
    <row r="2265" spans="1:27" ht="15" x14ac:dyDescent="0.25">
      <c r="A2265" s="2">
        <v>2260</v>
      </c>
      <c r="B2265" s="39">
        <v>926391225</v>
      </c>
      <c r="C2265" s="28" t="str">
        <f>HYPERLINK("https://pld.live/RapDetail.aspx?STONELIST=926391225","DNA")</f>
        <v>DNA</v>
      </c>
      <c r="D2265" s="18" t="s">
        <v>7954</v>
      </c>
      <c r="E2265" s="18" t="s">
        <v>5128</v>
      </c>
      <c r="F2265" s="2" t="s">
        <v>7987</v>
      </c>
      <c r="G2265" s="2" t="s">
        <v>861</v>
      </c>
      <c r="H2265" s="14">
        <v>0.32</v>
      </c>
      <c r="I2265" s="2" t="s">
        <v>267</v>
      </c>
      <c r="J2265" s="2" t="s">
        <v>3942</v>
      </c>
      <c r="K2265" s="2" t="s">
        <v>3390</v>
      </c>
      <c r="L2265" s="2" t="s">
        <v>5221</v>
      </c>
      <c r="M2265" s="2" t="s">
        <v>5221</v>
      </c>
      <c r="N2265" s="2" t="s">
        <v>2317</v>
      </c>
      <c r="O2265" s="14">
        <v>2200</v>
      </c>
      <c r="P2265" s="14">
        <v>93.27</v>
      </c>
      <c r="Q2265" s="14">
        <v>148.06</v>
      </c>
      <c r="R2265" s="14">
        <v>47.38</v>
      </c>
      <c r="S2265" s="2" t="s">
        <v>7417</v>
      </c>
      <c r="T2265" s="2">
        <v>1.01</v>
      </c>
      <c r="U2265" s="2">
        <v>61.3</v>
      </c>
      <c r="V2265" s="2">
        <v>56</v>
      </c>
      <c r="W2265" s="2" t="s">
        <v>7862</v>
      </c>
      <c r="X2265" s="2" t="s">
        <v>5405</v>
      </c>
      <c r="Y2265" s="2">
        <v>704</v>
      </c>
      <c r="Z2265" s="19" t="str">
        <f>HYPERLINK("https://ssdweb.co/ssdweb/hd/Vision360.html?d=926391225&amp;zoomslide=1&amp;z=1926391225&amp;ISCONFIRM=0","VIDEO")</f>
        <v>VIDEO</v>
      </c>
      <c r="AA2265" s="19" t="str">
        <f>HYPERLINK("https://ssdweb.co/ssdweb/CERTH/692533982.pdf","CERTI")</f>
        <v>CERTI</v>
      </c>
    </row>
    <row r="2266" spans="1:27" ht="15" x14ac:dyDescent="0.25">
      <c r="A2266" s="2">
        <v>2261</v>
      </c>
      <c r="B2266" s="39">
        <v>941390514</v>
      </c>
      <c r="C2266" s="28" t="str">
        <f>HYPERLINK("https://pld.live/RapDetail.aspx?STONELIST=941390514","DNA")</f>
        <v>DNA</v>
      </c>
      <c r="D2266" s="18" t="s">
        <v>7954</v>
      </c>
      <c r="E2266" s="18" t="s">
        <v>2186</v>
      </c>
      <c r="F2266" s="2" t="s">
        <v>7987</v>
      </c>
      <c r="G2266" s="2" t="s">
        <v>861</v>
      </c>
      <c r="H2266" s="14">
        <v>0.32</v>
      </c>
      <c r="I2266" s="2" t="s">
        <v>267</v>
      </c>
      <c r="J2266" s="2" t="s">
        <v>3942</v>
      </c>
      <c r="K2266" s="2" t="s">
        <v>3390</v>
      </c>
      <c r="L2266" s="2" t="s">
        <v>5221</v>
      </c>
      <c r="M2266" s="2" t="s">
        <v>5221</v>
      </c>
      <c r="N2266" s="2" t="s">
        <v>2317</v>
      </c>
      <c r="O2266" s="14">
        <v>2200</v>
      </c>
      <c r="P2266" s="14">
        <v>93.27</v>
      </c>
      <c r="Q2266" s="14">
        <v>148.06</v>
      </c>
      <c r="R2266" s="14">
        <v>47.38</v>
      </c>
      <c r="S2266" s="2" t="s">
        <v>129</v>
      </c>
      <c r="T2266" s="2">
        <v>1</v>
      </c>
      <c r="U2266" s="2">
        <v>62.1</v>
      </c>
      <c r="V2266" s="2">
        <v>56</v>
      </c>
      <c r="W2266" s="2" t="s">
        <v>7862</v>
      </c>
      <c r="X2266" s="2" t="s">
        <v>5405</v>
      </c>
      <c r="Y2266" s="2">
        <v>704</v>
      </c>
      <c r="Z2266" s="19" t="str">
        <f>HYPERLINK("https://ssdweb.co/ssdweb/hd/Vision360.html?d=941390514&amp;zoomslide=1&amp;z=1941390514&amp;ISCONFIRM=0","VIDEO")</f>
        <v>VIDEO</v>
      </c>
      <c r="AA2266" s="19" t="str">
        <f>HYPERLINK("https://ssdweb.co/ssdweb/CERTH/691533679.pdf","CERTI")</f>
        <v>CERTI</v>
      </c>
    </row>
    <row r="2267" spans="1:27" ht="15" x14ac:dyDescent="0.25">
      <c r="A2267" s="2">
        <v>2262</v>
      </c>
      <c r="B2267" s="39">
        <v>926391207</v>
      </c>
      <c r="C2267" s="28" t="str">
        <f>HYPERLINK("https://pld.live/RapDetail.aspx?STONELIST=926391207","DNA")</f>
        <v>DNA</v>
      </c>
      <c r="D2267" s="18" t="s">
        <v>7954</v>
      </c>
      <c r="E2267" s="18" t="s">
        <v>5128</v>
      </c>
      <c r="F2267" s="2" t="s">
        <v>7987</v>
      </c>
      <c r="G2267" s="2" t="s">
        <v>861</v>
      </c>
      <c r="H2267" s="14">
        <v>0.32</v>
      </c>
      <c r="I2267" s="2" t="s">
        <v>267</v>
      </c>
      <c r="J2267" s="2" t="s">
        <v>3942</v>
      </c>
      <c r="K2267" s="2" t="s">
        <v>3390</v>
      </c>
      <c r="L2267" s="2" t="s">
        <v>5221</v>
      </c>
      <c r="M2267" s="2" t="s">
        <v>5221</v>
      </c>
      <c r="N2267" s="2" t="s">
        <v>2317</v>
      </c>
      <c r="O2267" s="14">
        <v>2200</v>
      </c>
      <c r="P2267" s="14">
        <v>93.27</v>
      </c>
      <c r="Q2267" s="14">
        <v>148.06</v>
      </c>
      <c r="R2267" s="14">
        <v>47.38</v>
      </c>
      <c r="S2267" s="2" t="s">
        <v>488</v>
      </c>
      <c r="T2267" s="2">
        <v>1.01</v>
      </c>
      <c r="U2267" s="2">
        <v>60.8</v>
      </c>
      <c r="V2267" s="2">
        <v>60</v>
      </c>
      <c r="W2267" s="2" t="s">
        <v>7862</v>
      </c>
      <c r="X2267" s="2" t="s">
        <v>5405</v>
      </c>
      <c r="Y2267" s="2">
        <v>704</v>
      </c>
      <c r="Z2267" s="19" t="str">
        <f>HYPERLINK("https://ssdweb.co/ssdweb/hd/Vision360.html?d=926391207&amp;zoomslide=1&amp;z=1926391207&amp;ISCONFIRM=0","VIDEO")</f>
        <v>VIDEO</v>
      </c>
      <c r="AA2267" s="19" t="str">
        <f>HYPERLINK("https://ssdweb.co/ssdweb/CERTH/692533979.pdf","CERTI")</f>
        <v>CERTI</v>
      </c>
    </row>
    <row r="2268" spans="1:27" ht="15" x14ac:dyDescent="0.25">
      <c r="A2268" s="2">
        <v>2263</v>
      </c>
      <c r="B2268" s="39">
        <v>926231368</v>
      </c>
      <c r="C2268" s="28" t="str">
        <f>HYPERLINK("https://pld.live/RapDetail.aspx?STONELIST=926231368","DNA")</f>
        <v>DNA</v>
      </c>
      <c r="D2268" s="18" t="s">
        <v>7954</v>
      </c>
      <c r="E2268" s="18" t="s">
        <v>5128</v>
      </c>
      <c r="F2268" s="2" t="s">
        <v>7987</v>
      </c>
      <c r="G2268" s="2" t="s">
        <v>861</v>
      </c>
      <c r="H2268" s="14">
        <v>0.32</v>
      </c>
      <c r="I2268" s="2" t="s">
        <v>267</v>
      </c>
      <c r="J2268" s="2" t="s">
        <v>3942</v>
      </c>
      <c r="K2268" s="2" t="s">
        <v>3390</v>
      </c>
      <c r="L2268" s="2" t="s">
        <v>5221</v>
      </c>
      <c r="M2268" s="2" t="s">
        <v>5721</v>
      </c>
      <c r="N2268" s="2" t="s">
        <v>2317</v>
      </c>
      <c r="O2268" s="14">
        <v>2200</v>
      </c>
      <c r="P2268" s="14">
        <v>93.73</v>
      </c>
      <c r="Q2268" s="14">
        <v>137.94</v>
      </c>
      <c r="R2268" s="14">
        <v>44.14</v>
      </c>
      <c r="S2268" s="2" t="s">
        <v>4912</v>
      </c>
      <c r="T2268" s="2">
        <v>1</v>
      </c>
      <c r="U2268" s="2">
        <v>62.1</v>
      </c>
      <c r="V2268" s="2">
        <v>56</v>
      </c>
      <c r="W2268" s="2" t="s">
        <v>7862</v>
      </c>
      <c r="X2268" s="2" t="s">
        <v>5405</v>
      </c>
      <c r="Y2268" s="2">
        <v>704</v>
      </c>
      <c r="Z2268" s="19" t="str">
        <f>HYPERLINK("https://ssdweb.co/ssdweb/hd/Vision360.html?d=926231368&amp;zoomslide=1&amp;z=1926231368&amp;ISCONFIRM=0","VIDEO")</f>
        <v>VIDEO</v>
      </c>
      <c r="AA2268" s="19" t="str">
        <f>HYPERLINK("https://ssdweb.co/ssdweb/CERTH/642447691.pdf","CERTI")</f>
        <v>CERTI</v>
      </c>
    </row>
    <row r="2269" spans="1:27" ht="15" x14ac:dyDescent="0.25">
      <c r="A2269" s="2">
        <v>2264</v>
      </c>
      <c r="B2269" s="39">
        <v>926270912</v>
      </c>
      <c r="C2269" s="28" t="str">
        <f>HYPERLINK("https://pld.live/RapDetail.aspx?STONELIST=926270912","DNA")</f>
        <v>DNA</v>
      </c>
      <c r="D2269" s="18" t="s">
        <v>7954</v>
      </c>
      <c r="E2269" s="18" t="s">
        <v>5128</v>
      </c>
      <c r="F2269" s="2" t="s">
        <v>7987</v>
      </c>
      <c r="G2269" s="2" t="s">
        <v>861</v>
      </c>
      <c r="H2269" s="14">
        <v>0.32</v>
      </c>
      <c r="I2269" s="2" t="s">
        <v>267</v>
      </c>
      <c r="J2269" s="2" t="s">
        <v>3942</v>
      </c>
      <c r="K2269" s="2" t="s">
        <v>3390</v>
      </c>
      <c r="L2269" s="2" t="s">
        <v>5221</v>
      </c>
      <c r="M2269" s="2" t="s">
        <v>5721</v>
      </c>
      <c r="N2269" s="2" t="s">
        <v>2317</v>
      </c>
      <c r="O2269" s="14">
        <v>2200</v>
      </c>
      <c r="P2269" s="14">
        <v>93.73</v>
      </c>
      <c r="Q2269" s="14">
        <v>137.94</v>
      </c>
      <c r="R2269" s="14">
        <v>44.14</v>
      </c>
      <c r="S2269" s="2" t="s">
        <v>4912</v>
      </c>
      <c r="T2269" s="2">
        <v>1</v>
      </c>
      <c r="U2269" s="2">
        <v>61.9</v>
      </c>
      <c r="V2269" s="2">
        <v>57</v>
      </c>
      <c r="W2269" s="2" t="s">
        <v>7862</v>
      </c>
      <c r="X2269" s="2" t="s">
        <v>5405</v>
      </c>
      <c r="Y2269" s="2">
        <v>704</v>
      </c>
      <c r="Z2269" s="19" t="str">
        <f>HYPERLINK("https://ssdweb.co/ssdweb/hd/Vision360.html?d=926270912&amp;zoomslide=1&amp;z=1926270912&amp;ISCONFIRM=0","VIDEO")</f>
        <v>VIDEO</v>
      </c>
      <c r="AA2269" s="19" t="str">
        <f>HYPERLINK("https://ssdweb.co/ssdweb/CERTH/642442923.pdf","CERTI")</f>
        <v>CERTI</v>
      </c>
    </row>
    <row r="2270" spans="1:27" ht="15" x14ac:dyDescent="0.25">
      <c r="A2270" s="2">
        <v>2265</v>
      </c>
      <c r="B2270" s="39">
        <v>926240788</v>
      </c>
      <c r="C2270" s="28" t="str">
        <f>HYPERLINK("https://pld.live/RapDetail.aspx?STONELIST=926240788","DNA")</f>
        <v>DNA</v>
      </c>
      <c r="D2270" s="18" t="s">
        <v>7954</v>
      </c>
      <c r="E2270" s="18" t="s">
        <v>5128</v>
      </c>
      <c r="F2270" s="2" t="s">
        <v>7987</v>
      </c>
      <c r="G2270" s="2" t="s">
        <v>861</v>
      </c>
      <c r="H2270" s="14">
        <v>0.32</v>
      </c>
      <c r="I2270" s="2" t="s">
        <v>267</v>
      </c>
      <c r="J2270" s="2" t="s">
        <v>3942</v>
      </c>
      <c r="K2270" s="2" t="s">
        <v>3390</v>
      </c>
      <c r="L2270" s="2" t="s">
        <v>5221</v>
      </c>
      <c r="M2270" s="2" t="s">
        <v>5721</v>
      </c>
      <c r="N2270" s="2" t="s">
        <v>2317</v>
      </c>
      <c r="O2270" s="14">
        <v>2200</v>
      </c>
      <c r="P2270" s="14">
        <v>93.73</v>
      </c>
      <c r="Q2270" s="14">
        <v>137.94</v>
      </c>
      <c r="R2270" s="14">
        <v>44.14</v>
      </c>
      <c r="S2270" s="2" t="s">
        <v>86</v>
      </c>
      <c r="T2270" s="2">
        <v>1</v>
      </c>
      <c r="U2270" s="2">
        <v>60.6</v>
      </c>
      <c r="V2270" s="2">
        <v>58</v>
      </c>
      <c r="W2270" s="2" t="s">
        <v>7862</v>
      </c>
      <c r="X2270" s="2" t="s">
        <v>5405</v>
      </c>
      <c r="Y2270" s="2">
        <v>704</v>
      </c>
      <c r="Z2270" s="19" t="str">
        <f>HYPERLINK("https://ssdweb.co/ssdweb/hd/Vision360.html?d=926240788&amp;zoomslide=1&amp;z=1926240788&amp;ISCONFIRM=0","VIDEO")</f>
        <v>VIDEO</v>
      </c>
      <c r="AA2270" s="19" t="str">
        <f>HYPERLINK("https://ssdweb.co/ssdweb/CERTH/642447674.pdf","CERTI")</f>
        <v>CERTI</v>
      </c>
    </row>
    <row r="2271" spans="1:27" ht="15" x14ac:dyDescent="0.25">
      <c r="A2271" s="2">
        <v>2266</v>
      </c>
      <c r="B2271" s="39">
        <v>926801264</v>
      </c>
      <c r="C2271" s="28" t="str">
        <f>HYPERLINK("https://pld.live/RapDetail.aspx?STONELIST=926801264","DNA")</f>
        <v>DNA</v>
      </c>
      <c r="D2271" s="18" t="s">
        <v>7954</v>
      </c>
      <c r="E2271" s="18" t="s">
        <v>5128</v>
      </c>
      <c r="F2271" s="2" t="s">
        <v>7987</v>
      </c>
      <c r="G2271" s="2" t="s">
        <v>861</v>
      </c>
      <c r="H2271" s="14">
        <v>0.32</v>
      </c>
      <c r="I2271" s="2" t="s">
        <v>267</v>
      </c>
      <c r="J2271" s="2" t="s">
        <v>3942</v>
      </c>
      <c r="K2271" s="2" t="s">
        <v>3390</v>
      </c>
      <c r="L2271" s="2" t="s">
        <v>5221</v>
      </c>
      <c r="M2271" s="2" t="s">
        <v>5721</v>
      </c>
      <c r="N2271" s="2" t="s">
        <v>2317</v>
      </c>
      <c r="O2271" s="14">
        <v>2200</v>
      </c>
      <c r="P2271" s="14">
        <v>93.73</v>
      </c>
      <c r="Q2271" s="14">
        <v>137.94</v>
      </c>
      <c r="R2271" s="14">
        <v>44.14</v>
      </c>
      <c r="S2271" s="2" t="s">
        <v>3034</v>
      </c>
      <c r="T2271" s="2">
        <v>1.01</v>
      </c>
      <c r="U2271" s="2">
        <v>59.7</v>
      </c>
      <c r="V2271" s="2">
        <v>59</v>
      </c>
      <c r="W2271" s="2" t="s">
        <v>7862</v>
      </c>
      <c r="X2271" s="2" t="s">
        <v>5405</v>
      </c>
      <c r="Y2271" s="2">
        <v>704</v>
      </c>
      <c r="Z2271" s="19" t="str">
        <f>HYPERLINK("https://ssdweb.co/ssdweb/hd/Vision360.html?d=926801264&amp;zoomslide=1&amp;z=1926801264&amp;ISCONFIRM=0","VIDEO")</f>
        <v>VIDEO</v>
      </c>
      <c r="AA2271" s="19" t="str">
        <f>HYPERLINK("https://ssdweb.co/ssdweb/CERTH/670484272.pdf","CERTI")</f>
        <v>CERTI</v>
      </c>
    </row>
    <row r="2272" spans="1:27" ht="15" x14ac:dyDescent="0.25">
      <c r="A2272" s="2">
        <v>2267</v>
      </c>
      <c r="B2272" s="39">
        <v>926240741</v>
      </c>
      <c r="C2272" s="28" t="str">
        <f>HYPERLINK("https://pld.live/RapDetail.aspx?STONELIST=926240741","DNA")</f>
        <v>DNA</v>
      </c>
      <c r="D2272" s="18" t="s">
        <v>7954</v>
      </c>
      <c r="E2272" s="18" t="s">
        <v>5128</v>
      </c>
      <c r="F2272" s="2" t="s">
        <v>7987</v>
      </c>
      <c r="G2272" s="2" t="s">
        <v>861</v>
      </c>
      <c r="H2272" s="14">
        <v>0.32</v>
      </c>
      <c r="I2272" s="2" t="s">
        <v>267</v>
      </c>
      <c r="J2272" s="2" t="s">
        <v>3942</v>
      </c>
      <c r="K2272" s="2" t="s">
        <v>3390</v>
      </c>
      <c r="L2272" s="2" t="s">
        <v>5221</v>
      </c>
      <c r="M2272" s="2" t="s">
        <v>5721</v>
      </c>
      <c r="N2272" s="2" t="s">
        <v>2317</v>
      </c>
      <c r="O2272" s="14">
        <v>2200</v>
      </c>
      <c r="P2272" s="14">
        <v>93.73</v>
      </c>
      <c r="Q2272" s="14">
        <v>137.94</v>
      </c>
      <c r="R2272" s="14">
        <v>44.14</v>
      </c>
      <c r="S2272" s="2" t="s">
        <v>6950</v>
      </c>
      <c r="T2272" s="2">
        <v>1</v>
      </c>
      <c r="U2272" s="2">
        <v>60.2</v>
      </c>
      <c r="V2272" s="2">
        <v>59</v>
      </c>
      <c r="W2272" s="2" t="s">
        <v>7862</v>
      </c>
      <c r="X2272" s="2" t="s">
        <v>5405</v>
      </c>
      <c r="Y2272" s="2">
        <v>704</v>
      </c>
      <c r="Z2272" s="19" t="str">
        <f>HYPERLINK("https://ssdweb.co/ssdweb/hd/Vision360.html?d=926240741&amp;zoomslide=1&amp;z=1926240741&amp;ISCONFIRM=0","VIDEO")</f>
        <v>VIDEO</v>
      </c>
      <c r="AA2272" s="19" t="str">
        <f>HYPERLINK("https://ssdweb.co/ssdweb/CERTH/642447734.pdf","CERTI")</f>
        <v>CERTI</v>
      </c>
    </row>
    <row r="2273" spans="1:27" ht="15" x14ac:dyDescent="0.25">
      <c r="A2273" s="2">
        <v>2268</v>
      </c>
      <c r="B2273" s="39">
        <v>926801234</v>
      </c>
      <c r="C2273" s="28" t="str">
        <f>HYPERLINK("https://pld.live/RapDetail.aspx?STONELIST=926801234","DNA")</f>
        <v>DNA</v>
      </c>
      <c r="D2273" s="18" t="s">
        <v>7954</v>
      </c>
      <c r="E2273" s="18" t="s">
        <v>5128</v>
      </c>
      <c r="F2273" s="2" t="s">
        <v>7987</v>
      </c>
      <c r="G2273" s="2" t="s">
        <v>861</v>
      </c>
      <c r="H2273" s="14">
        <v>0.32</v>
      </c>
      <c r="I2273" s="2" t="s">
        <v>267</v>
      </c>
      <c r="J2273" s="2" t="s">
        <v>3942</v>
      </c>
      <c r="K2273" s="2" t="s">
        <v>3390</v>
      </c>
      <c r="L2273" s="2" t="s">
        <v>5221</v>
      </c>
      <c r="M2273" s="2" t="s">
        <v>5721</v>
      </c>
      <c r="N2273" s="2" t="s">
        <v>2317</v>
      </c>
      <c r="O2273" s="14">
        <v>2200</v>
      </c>
      <c r="P2273" s="14">
        <v>93.73</v>
      </c>
      <c r="Q2273" s="14">
        <v>137.94</v>
      </c>
      <c r="R2273" s="14">
        <v>44.14</v>
      </c>
      <c r="S2273" s="2" t="s">
        <v>2948</v>
      </c>
      <c r="T2273" s="2">
        <v>1</v>
      </c>
      <c r="U2273" s="2">
        <v>61.3</v>
      </c>
      <c r="V2273" s="2">
        <v>58</v>
      </c>
      <c r="W2273" s="2" t="s">
        <v>7862</v>
      </c>
      <c r="X2273" s="2" t="s">
        <v>5405</v>
      </c>
      <c r="Y2273" s="2">
        <v>704</v>
      </c>
      <c r="Z2273" s="19" t="str">
        <f>HYPERLINK("https://ssdweb.co/ssdweb/hd/Vision360.html?d=926801234&amp;zoomslide=1&amp;z=1926801234&amp;ISCONFIRM=0","VIDEO")</f>
        <v>VIDEO</v>
      </c>
      <c r="AA2273" s="19" t="str">
        <f>HYPERLINK("https://ssdweb.co/ssdweb/CERTH/670484269.pdf","CERTI")</f>
        <v>CERTI</v>
      </c>
    </row>
    <row r="2274" spans="1:27" ht="15" x14ac:dyDescent="0.25">
      <c r="A2274" s="2">
        <v>2269</v>
      </c>
      <c r="B2274" s="39">
        <v>926230958</v>
      </c>
      <c r="C2274" s="28" t="str">
        <f>HYPERLINK("https://pld.live/RapDetail.aspx?STONELIST=926230958","DNA")</f>
        <v>DNA</v>
      </c>
      <c r="D2274" s="18" t="s">
        <v>7954</v>
      </c>
      <c r="E2274" s="18" t="s">
        <v>5128</v>
      </c>
      <c r="F2274" s="2" t="s">
        <v>7987</v>
      </c>
      <c r="G2274" s="2" t="s">
        <v>861</v>
      </c>
      <c r="H2274" s="14">
        <v>0.32</v>
      </c>
      <c r="I2274" s="2" t="s">
        <v>267</v>
      </c>
      <c r="J2274" s="2" t="s">
        <v>3942</v>
      </c>
      <c r="K2274" s="2" t="s">
        <v>3390</v>
      </c>
      <c r="L2274" s="2" t="s">
        <v>5221</v>
      </c>
      <c r="M2274" s="2" t="s">
        <v>5721</v>
      </c>
      <c r="N2274" s="2" t="s">
        <v>2317</v>
      </c>
      <c r="O2274" s="14">
        <v>2200</v>
      </c>
      <c r="P2274" s="14">
        <v>93.73</v>
      </c>
      <c r="Q2274" s="14">
        <v>137.94</v>
      </c>
      <c r="R2274" s="14">
        <v>44.14</v>
      </c>
      <c r="S2274" s="2" t="s">
        <v>2545</v>
      </c>
      <c r="T2274" s="2">
        <v>1.01</v>
      </c>
      <c r="U2274" s="2">
        <v>62.1</v>
      </c>
      <c r="V2274" s="2">
        <v>57</v>
      </c>
      <c r="W2274" s="2" t="s">
        <v>7862</v>
      </c>
      <c r="X2274" s="2" t="s">
        <v>5405</v>
      </c>
      <c r="Y2274" s="2">
        <v>704</v>
      </c>
      <c r="Z2274" s="19" t="str">
        <f>HYPERLINK("https://ssdweb.co/ssdweb/hd/Vision360.html?d=926230958&amp;zoomslide=1&amp;z=1926230958&amp;ISCONFIRM=0","VIDEO")</f>
        <v>VIDEO</v>
      </c>
      <c r="AA2274" s="19" t="str">
        <f>HYPERLINK("https://ssdweb.co/ssdweb/CERTH/639406095.pdf","CERTI")</f>
        <v>CERTI</v>
      </c>
    </row>
    <row r="2275" spans="1:27" ht="15" x14ac:dyDescent="0.25">
      <c r="A2275" s="2">
        <v>2270</v>
      </c>
      <c r="B2275" s="39">
        <v>926391190</v>
      </c>
      <c r="C2275" s="28" t="str">
        <f>HYPERLINK("https://pld.live/RapDetail.aspx?STONELIST=926391190","DNA")</f>
        <v>DNA</v>
      </c>
      <c r="D2275" s="18" t="s">
        <v>7954</v>
      </c>
      <c r="E2275" s="18" t="s">
        <v>5128</v>
      </c>
      <c r="F2275" s="2" t="s">
        <v>7987</v>
      </c>
      <c r="G2275" s="2" t="s">
        <v>861</v>
      </c>
      <c r="H2275" s="14">
        <v>0.32</v>
      </c>
      <c r="I2275" s="2" t="s">
        <v>267</v>
      </c>
      <c r="J2275" s="2" t="s">
        <v>3942</v>
      </c>
      <c r="K2275" s="2" t="s">
        <v>3390</v>
      </c>
      <c r="L2275" s="2" t="s">
        <v>5221</v>
      </c>
      <c r="M2275" s="2" t="s">
        <v>5721</v>
      </c>
      <c r="N2275" s="2" t="s">
        <v>2317</v>
      </c>
      <c r="O2275" s="14">
        <v>2200</v>
      </c>
      <c r="P2275" s="14">
        <v>93.73</v>
      </c>
      <c r="Q2275" s="14">
        <v>137.94</v>
      </c>
      <c r="R2275" s="14">
        <v>44.14</v>
      </c>
      <c r="S2275" s="2" t="s">
        <v>1305</v>
      </c>
      <c r="T2275" s="2">
        <v>1.02</v>
      </c>
      <c r="U2275" s="2">
        <v>60.1</v>
      </c>
      <c r="V2275" s="2">
        <v>60</v>
      </c>
      <c r="W2275" s="2" t="s">
        <v>7862</v>
      </c>
      <c r="X2275" s="2" t="s">
        <v>5405</v>
      </c>
      <c r="Y2275" s="2">
        <v>704</v>
      </c>
      <c r="Z2275" s="19" t="str">
        <f>HYPERLINK("https://ssdweb.co/ssdweb/hd/Vision360.html?d=926391190&amp;zoomslide=1&amp;z=1926391190&amp;ISCONFIRM=0","VIDEO")</f>
        <v>VIDEO</v>
      </c>
      <c r="AA2275" s="19" t="str">
        <f>HYPERLINK("https://ssdweb.co/ssdweb/CERTH/646472850.pdf","CERTI")</f>
        <v>CERTI</v>
      </c>
    </row>
    <row r="2276" spans="1:27" ht="15" x14ac:dyDescent="0.25">
      <c r="A2276" s="2">
        <v>2271</v>
      </c>
      <c r="B2276" s="39">
        <v>941100184</v>
      </c>
      <c r="C2276" s="28" t="str">
        <f>HYPERLINK("https://pld.live/RapDetail.aspx?STONELIST=941100184","DNA")</f>
        <v>DNA</v>
      </c>
      <c r="D2276" s="18" t="s">
        <v>7954</v>
      </c>
      <c r="E2276" s="18" t="s">
        <v>2186</v>
      </c>
      <c r="F2276" s="2" t="s">
        <v>7987</v>
      </c>
      <c r="G2276" s="2" t="s">
        <v>861</v>
      </c>
      <c r="H2276" s="14">
        <v>0.32</v>
      </c>
      <c r="I2276" s="2" t="s">
        <v>267</v>
      </c>
      <c r="J2276" s="2" t="s">
        <v>3942</v>
      </c>
      <c r="K2276" s="2" t="s">
        <v>3390</v>
      </c>
      <c r="L2276" s="2" t="s">
        <v>5221</v>
      </c>
      <c r="M2276" s="2" t="s">
        <v>5721</v>
      </c>
      <c r="N2276" s="2" t="s">
        <v>2317</v>
      </c>
      <c r="O2276" s="14">
        <v>2200</v>
      </c>
      <c r="P2276" s="14">
        <v>93.73</v>
      </c>
      <c r="Q2276" s="14">
        <v>137.94</v>
      </c>
      <c r="R2276" s="14">
        <v>44.14</v>
      </c>
      <c r="S2276" s="2" t="s">
        <v>1157</v>
      </c>
      <c r="T2276" s="2">
        <v>1</v>
      </c>
      <c r="U2276" s="2">
        <v>59.9</v>
      </c>
      <c r="V2276" s="2">
        <v>59</v>
      </c>
      <c r="W2276" s="2" t="s">
        <v>7862</v>
      </c>
      <c r="X2276" s="2" t="s">
        <v>5405</v>
      </c>
      <c r="Y2276" s="2">
        <v>704</v>
      </c>
      <c r="Z2276" s="19" t="str">
        <f>HYPERLINK("https://ssdweb.co/ssdweb/hd/Vision360.html?d=941100184&amp;zoomslide=1&amp;z=1941100184&amp;ISCONFIRM=0","VIDEO")</f>
        <v>VIDEO</v>
      </c>
      <c r="AA2276" s="19" t="str">
        <f>HYPERLINK("https://ssdweb.co/ssdweb/CERTH/671427933.pdf","CERTI")</f>
        <v>CERTI</v>
      </c>
    </row>
    <row r="2277" spans="1:27" ht="15" x14ac:dyDescent="0.25">
      <c r="A2277" s="2">
        <v>2272</v>
      </c>
      <c r="B2277" s="39">
        <v>926301225</v>
      </c>
      <c r="C2277" s="28" t="str">
        <f>HYPERLINK("https://pld.live/RapDetail.aspx?STONELIST=926301225","DNA")</f>
        <v>DNA</v>
      </c>
      <c r="D2277" s="18" t="s">
        <v>7954</v>
      </c>
      <c r="E2277" s="18" t="s">
        <v>5128</v>
      </c>
      <c r="F2277" s="2" t="s">
        <v>7987</v>
      </c>
      <c r="G2277" s="2" t="s">
        <v>861</v>
      </c>
      <c r="H2277" s="14">
        <v>0.32</v>
      </c>
      <c r="I2277" s="2" t="s">
        <v>267</v>
      </c>
      <c r="J2277" s="2" t="s">
        <v>3942</v>
      </c>
      <c r="K2277" s="2" t="s">
        <v>3390</v>
      </c>
      <c r="L2277" s="2" t="s">
        <v>5221</v>
      </c>
      <c r="M2277" s="2" t="s">
        <v>5721</v>
      </c>
      <c r="N2277" s="2" t="s">
        <v>2317</v>
      </c>
      <c r="O2277" s="14">
        <v>2200</v>
      </c>
      <c r="P2277" s="14">
        <v>93.73</v>
      </c>
      <c r="Q2277" s="14">
        <v>137.94</v>
      </c>
      <c r="R2277" s="14">
        <v>44.14</v>
      </c>
      <c r="S2277" s="2" t="s">
        <v>2904</v>
      </c>
      <c r="T2277" s="2">
        <v>1</v>
      </c>
      <c r="U2277" s="2">
        <v>60.8</v>
      </c>
      <c r="V2277" s="2">
        <v>59</v>
      </c>
      <c r="W2277" s="2" t="s">
        <v>7862</v>
      </c>
      <c r="X2277" s="2" t="s">
        <v>5405</v>
      </c>
      <c r="Y2277" s="2">
        <v>704</v>
      </c>
      <c r="Z2277" s="19" t="str">
        <f>HYPERLINK("https://ssdweb.co/ssdweb/hd/Vision360.html?d=926301225&amp;zoomslide=1&amp;z=1926301225&amp;ISCONFIRM=0","VIDEO")</f>
        <v>VIDEO</v>
      </c>
      <c r="AA2277" s="19" t="str">
        <f>HYPERLINK("https://ssdweb.co/ssdweb/CERTH/644472351.pdf","CERTI")</f>
        <v>CERTI</v>
      </c>
    </row>
    <row r="2278" spans="1:27" ht="15" x14ac:dyDescent="0.25">
      <c r="A2278" s="2">
        <v>2273</v>
      </c>
      <c r="B2278" s="39">
        <v>926391099</v>
      </c>
      <c r="C2278" s="28" t="str">
        <f>HYPERLINK("https://pld.live/RapDetail.aspx?STONELIST=926391099","DNA")</f>
        <v>DNA</v>
      </c>
      <c r="D2278" s="18" t="s">
        <v>7954</v>
      </c>
      <c r="E2278" s="18" t="s">
        <v>5128</v>
      </c>
      <c r="F2278" s="2" t="s">
        <v>7987</v>
      </c>
      <c r="G2278" s="2" t="s">
        <v>861</v>
      </c>
      <c r="H2278" s="14">
        <v>0.32</v>
      </c>
      <c r="I2278" s="2" t="s">
        <v>267</v>
      </c>
      <c r="J2278" s="2" t="s">
        <v>3942</v>
      </c>
      <c r="K2278" s="2" t="s">
        <v>3390</v>
      </c>
      <c r="L2278" s="2" t="s">
        <v>5221</v>
      </c>
      <c r="M2278" s="2" t="s">
        <v>5721</v>
      </c>
      <c r="N2278" s="2" t="s">
        <v>2317</v>
      </c>
      <c r="O2278" s="14">
        <v>2200</v>
      </c>
      <c r="P2278" s="14">
        <v>93.73</v>
      </c>
      <c r="Q2278" s="14">
        <v>137.94</v>
      </c>
      <c r="R2278" s="14">
        <v>44.14</v>
      </c>
      <c r="S2278" s="2" t="s">
        <v>7914</v>
      </c>
      <c r="T2278" s="2">
        <v>1</v>
      </c>
      <c r="U2278" s="2">
        <v>60.1</v>
      </c>
      <c r="V2278" s="2">
        <v>60</v>
      </c>
      <c r="W2278" s="2" t="s">
        <v>7862</v>
      </c>
      <c r="X2278" s="2" t="s">
        <v>5405</v>
      </c>
      <c r="Y2278" s="2">
        <v>704</v>
      </c>
      <c r="Z2278" s="19" t="str">
        <f>HYPERLINK("https://ssdweb.co/ssdweb/hd/Vision360.html?d=926391099&amp;zoomslide=1&amp;z=1926391099&amp;ISCONFIRM=0","VIDEO")</f>
        <v>VIDEO</v>
      </c>
      <c r="AA2278" s="19" t="str">
        <f>HYPERLINK("https://ssdweb.co/ssdweb/CERTH/692533972.pdf","CERTI")</f>
        <v>CERTI</v>
      </c>
    </row>
    <row r="2279" spans="1:27" ht="15" x14ac:dyDescent="0.25">
      <c r="A2279" s="2">
        <v>2274</v>
      </c>
      <c r="B2279" s="39">
        <v>926180434</v>
      </c>
      <c r="C2279" s="28" t="str">
        <f>HYPERLINK("https://pld.live/RapDetail.aspx?STONELIST=926180434","DNA")</f>
        <v>DNA</v>
      </c>
      <c r="D2279" s="18" t="s">
        <v>7954</v>
      </c>
      <c r="E2279" s="18" t="s">
        <v>5128</v>
      </c>
      <c r="F2279" s="2" t="s">
        <v>7987</v>
      </c>
      <c r="G2279" s="2" t="s">
        <v>861</v>
      </c>
      <c r="H2279" s="14">
        <v>0.32</v>
      </c>
      <c r="I2279" s="2" t="s">
        <v>267</v>
      </c>
      <c r="J2279" s="2" t="s">
        <v>3942</v>
      </c>
      <c r="K2279" s="2" t="s">
        <v>3390</v>
      </c>
      <c r="L2279" s="2" t="s">
        <v>5221</v>
      </c>
      <c r="M2279" s="2" t="s">
        <v>5721</v>
      </c>
      <c r="N2279" s="2" t="s">
        <v>2317</v>
      </c>
      <c r="O2279" s="14">
        <v>2200</v>
      </c>
      <c r="P2279" s="14">
        <v>93.73</v>
      </c>
      <c r="Q2279" s="14">
        <v>137.94</v>
      </c>
      <c r="R2279" s="14">
        <v>44.14</v>
      </c>
      <c r="S2279" s="2" t="s">
        <v>6733</v>
      </c>
      <c r="T2279" s="2">
        <v>1.01</v>
      </c>
      <c r="U2279" s="2">
        <v>60.4</v>
      </c>
      <c r="V2279" s="2">
        <v>59</v>
      </c>
      <c r="W2279" s="2" t="s">
        <v>7862</v>
      </c>
      <c r="X2279" s="2" t="s">
        <v>5405</v>
      </c>
      <c r="Y2279" s="2">
        <v>704</v>
      </c>
      <c r="Z2279" s="19" t="str">
        <f>HYPERLINK("https://ssdweb.co/ssdweb/hd/Vision360.html?d=926180434&amp;zoomslide=1&amp;z=1926180434&amp;ISCONFIRM=0","VIDEO")</f>
        <v>VIDEO</v>
      </c>
      <c r="AA2279" s="19" t="str">
        <f>HYPERLINK("https://ssdweb.co/ssdweb/CERTH/634431271.pdf","CERTI")</f>
        <v>CERTI</v>
      </c>
    </row>
    <row r="2280" spans="1:27" ht="15" x14ac:dyDescent="0.25">
      <c r="A2280" s="2">
        <v>2275</v>
      </c>
      <c r="B2280" s="39">
        <v>926171546</v>
      </c>
      <c r="C2280" s="28" t="str">
        <f>HYPERLINK("https://pld.live/RapDetail.aspx?STONELIST=926171546","DNA")</f>
        <v>DNA</v>
      </c>
      <c r="D2280" s="18" t="s">
        <v>7954</v>
      </c>
      <c r="E2280" s="18" t="s">
        <v>5128</v>
      </c>
      <c r="F2280" s="2" t="s">
        <v>7987</v>
      </c>
      <c r="G2280" s="2" t="s">
        <v>861</v>
      </c>
      <c r="H2280" s="14">
        <v>0.32</v>
      </c>
      <c r="I2280" s="2" t="s">
        <v>267</v>
      </c>
      <c r="J2280" s="2" t="s">
        <v>3942</v>
      </c>
      <c r="K2280" s="2" t="s">
        <v>3390</v>
      </c>
      <c r="L2280" s="2" t="s">
        <v>5221</v>
      </c>
      <c r="M2280" s="2" t="s">
        <v>5721</v>
      </c>
      <c r="N2280" s="2" t="s">
        <v>2317</v>
      </c>
      <c r="O2280" s="14">
        <v>2200</v>
      </c>
      <c r="P2280" s="14">
        <v>93.73</v>
      </c>
      <c r="Q2280" s="14">
        <v>137.94</v>
      </c>
      <c r="R2280" s="14">
        <v>44.14</v>
      </c>
      <c r="S2280" s="2" t="s">
        <v>6177</v>
      </c>
      <c r="T2280" s="2">
        <v>1.01</v>
      </c>
      <c r="U2280" s="2">
        <v>61.8</v>
      </c>
      <c r="V2280" s="2">
        <v>60</v>
      </c>
      <c r="W2280" s="2" t="s">
        <v>7862</v>
      </c>
      <c r="X2280" s="2" t="s">
        <v>5405</v>
      </c>
      <c r="Y2280" s="2">
        <v>704</v>
      </c>
      <c r="Z2280" s="19" t="str">
        <f>HYPERLINK("https://ssdweb.co/ssdweb/hd/Vision360.html?d=926171546&amp;zoomslide=1&amp;z=1926171546&amp;ISCONFIRM=0","VIDEO")</f>
        <v>VIDEO</v>
      </c>
      <c r="AA2280" s="19" t="str">
        <f>HYPERLINK("https://ssdweb.co/ssdweb/CERTH/636429933.pdf","CERTI")</f>
        <v>CERTI</v>
      </c>
    </row>
    <row r="2281" spans="1:27" ht="15" x14ac:dyDescent="0.25">
      <c r="A2281" s="2">
        <v>2276</v>
      </c>
      <c r="B2281" s="39">
        <v>926181060</v>
      </c>
      <c r="C2281" s="28" t="str">
        <f>HYPERLINK("https://pld.live/RapDetail.aspx?STONELIST=926181060","DNA")</f>
        <v>DNA</v>
      </c>
      <c r="D2281" s="18" t="s">
        <v>7954</v>
      </c>
      <c r="E2281" s="18" t="s">
        <v>5128</v>
      </c>
      <c r="F2281" s="2" t="s">
        <v>7987</v>
      </c>
      <c r="G2281" s="2" t="s">
        <v>861</v>
      </c>
      <c r="H2281" s="14">
        <v>0.32</v>
      </c>
      <c r="I2281" s="2" t="s">
        <v>267</v>
      </c>
      <c r="J2281" s="2" t="s">
        <v>3942</v>
      </c>
      <c r="K2281" s="2" t="s">
        <v>3390</v>
      </c>
      <c r="L2281" s="2" t="s">
        <v>5221</v>
      </c>
      <c r="M2281" s="2" t="s">
        <v>5721</v>
      </c>
      <c r="N2281" s="2" t="s">
        <v>2317</v>
      </c>
      <c r="O2281" s="14">
        <v>2200</v>
      </c>
      <c r="P2281" s="14">
        <v>93.73</v>
      </c>
      <c r="Q2281" s="14">
        <v>137.94</v>
      </c>
      <c r="R2281" s="14">
        <v>44.14</v>
      </c>
      <c r="S2281" s="2" t="s">
        <v>7689</v>
      </c>
      <c r="T2281" s="2">
        <v>1.01</v>
      </c>
      <c r="U2281" s="2">
        <v>60.8</v>
      </c>
      <c r="V2281" s="2">
        <v>60</v>
      </c>
      <c r="W2281" s="2" t="s">
        <v>7862</v>
      </c>
      <c r="X2281" s="2" t="s">
        <v>5405</v>
      </c>
      <c r="Y2281" s="2">
        <v>704</v>
      </c>
      <c r="Z2281" s="19" t="str">
        <f>HYPERLINK("https://ssdweb.co/ssdweb/hd/Vision360.html?d=926181060&amp;zoomslide=1&amp;z=1926181060&amp;ISCONFIRM=0","VIDEO")</f>
        <v>VIDEO</v>
      </c>
      <c r="AA2281" s="19" t="str">
        <f>HYPERLINK("https://ssdweb.co/ssdweb/CERTH/636430026.pdf","CERTI")</f>
        <v>CERTI</v>
      </c>
    </row>
    <row r="2282" spans="1:27" ht="15" x14ac:dyDescent="0.25">
      <c r="A2282" s="2">
        <v>2277</v>
      </c>
      <c r="B2282" s="39">
        <v>926190974</v>
      </c>
      <c r="C2282" s="28" t="str">
        <f>HYPERLINK("https://pld.live/RapDetail.aspx?STONELIST=926190974","DNA")</f>
        <v>DNA</v>
      </c>
      <c r="D2282" s="18" t="s">
        <v>7954</v>
      </c>
      <c r="E2282" s="18" t="s">
        <v>5128</v>
      </c>
      <c r="F2282" s="2" t="s">
        <v>7987</v>
      </c>
      <c r="G2282" s="2" t="s">
        <v>861</v>
      </c>
      <c r="H2282" s="14">
        <v>0.32</v>
      </c>
      <c r="I2282" s="2" t="s">
        <v>267</v>
      </c>
      <c r="J2282" s="2" t="s">
        <v>3942</v>
      </c>
      <c r="K2282" s="2" t="s">
        <v>3390</v>
      </c>
      <c r="L2282" s="2" t="s">
        <v>5221</v>
      </c>
      <c r="M2282" s="2" t="s">
        <v>5721</v>
      </c>
      <c r="N2282" s="2" t="s">
        <v>2317</v>
      </c>
      <c r="O2282" s="14">
        <v>2200</v>
      </c>
      <c r="P2282" s="14">
        <v>93.73</v>
      </c>
      <c r="Q2282" s="14">
        <v>137.94</v>
      </c>
      <c r="R2282" s="14">
        <v>44.14</v>
      </c>
      <c r="S2282" s="2" t="s">
        <v>1856</v>
      </c>
      <c r="T2282" s="2">
        <v>1.01</v>
      </c>
      <c r="U2282" s="2">
        <v>61.6</v>
      </c>
      <c r="V2282" s="2">
        <v>59</v>
      </c>
      <c r="W2282" s="2" t="s">
        <v>7862</v>
      </c>
      <c r="X2282" s="2" t="s">
        <v>5405</v>
      </c>
      <c r="Y2282" s="2">
        <v>704</v>
      </c>
      <c r="Z2282" s="19" t="str">
        <f>HYPERLINK("https://ssdweb.co/ssdweb/hd/Vision360.html?d=926190974&amp;zoomslide=1&amp;z=1926190974&amp;ISCONFIRM=0","VIDEO")</f>
        <v>VIDEO</v>
      </c>
      <c r="AA2282" s="19" t="str">
        <f>HYPERLINK("https://ssdweb.co/ssdweb/CERTH/636429691.pdf","CERTI")</f>
        <v>CERTI</v>
      </c>
    </row>
    <row r="2283" spans="1:27" ht="15" x14ac:dyDescent="0.25">
      <c r="A2283" s="2">
        <v>2278</v>
      </c>
      <c r="B2283" s="39">
        <v>926190976</v>
      </c>
      <c r="C2283" s="28" t="str">
        <f>HYPERLINK("https://pld.live/RapDetail.aspx?STONELIST=926190976","DNA")</f>
        <v>DNA</v>
      </c>
      <c r="D2283" s="18" t="s">
        <v>7954</v>
      </c>
      <c r="E2283" s="18" t="s">
        <v>5128</v>
      </c>
      <c r="F2283" s="2" t="s">
        <v>7987</v>
      </c>
      <c r="G2283" s="2" t="s">
        <v>861</v>
      </c>
      <c r="H2283" s="14">
        <v>0.32</v>
      </c>
      <c r="I2283" s="2" t="s">
        <v>267</v>
      </c>
      <c r="J2283" s="2" t="s">
        <v>3942</v>
      </c>
      <c r="K2283" s="2" t="s">
        <v>3390</v>
      </c>
      <c r="L2283" s="2" t="s">
        <v>5221</v>
      </c>
      <c r="M2283" s="2" t="s">
        <v>5721</v>
      </c>
      <c r="N2283" s="2" t="s">
        <v>2317</v>
      </c>
      <c r="O2283" s="14">
        <v>2200</v>
      </c>
      <c r="P2283" s="14">
        <v>93.73</v>
      </c>
      <c r="Q2283" s="14">
        <v>137.94</v>
      </c>
      <c r="R2283" s="14">
        <v>44.14</v>
      </c>
      <c r="S2283" s="2" t="s">
        <v>5850</v>
      </c>
      <c r="T2283" s="2">
        <v>1.01</v>
      </c>
      <c r="U2283" s="2">
        <v>61.9</v>
      </c>
      <c r="V2283" s="2">
        <v>58</v>
      </c>
      <c r="W2283" s="2" t="s">
        <v>7862</v>
      </c>
      <c r="X2283" s="2" t="s">
        <v>5405</v>
      </c>
      <c r="Y2283" s="2">
        <v>704</v>
      </c>
      <c r="Z2283" s="19" t="str">
        <f>HYPERLINK("https://ssdweb.co/ssdweb/hd/Vision360.html?d=926190976&amp;zoomslide=1&amp;z=1926190976&amp;ISCONFIRM=0","VIDEO")</f>
        <v>VIDEO</v>
      </c>
      <c r="AA2283" s="19" t="str">
        <f>HYPERLINK("https://ssdweb.co/ssdweb/CERTH/636429692.pdf","CERTI")</f>
        <v>CERTI</v>
      </c>
    </row>
    <row r="2284" spans="1:27" ht="15" x14ac:dyDescent="0.25">
      <c r="A2284" s="2">
        <v>2279</v>
      </c>
      <c r="B2284" s="39">
        <v>926240815</v>
      </c>
      <c r="C2284" s="28" t="str">
        <f>HYPERLINK("https://pld.live/RapDetail.aspx?STONELIST=926240815","DNA")</f>
        <v>DNA</v>
      </c>
      <c r="D2284" s="18" t="s">
        <v>7954</v>
      </c>
      <c r="E2284" s="18" t="s">
        <v>5128</v>
      </c>
      <c r="F2284" s="2" t="s">
        <v>7987</v>
      </c>
      <c r="G2284" s="2" t="s">
        <v>861</v>
      </c>
      <c r="H2284" s="14">
        <v>0.32</v>
      </c>
      <c r="I2284" s="2" t="s">
        <v>267</v>
      </c>
      <c r="J2284" s="2" t="s">
        <v>3942</v>
      </c>
      <c r="K2284" s="2" t="s">
        <v>3390</v>
      </c>
      <c r="L2284" s="2" t="s">
        <v>5721</v>
      </c>
      <c r="M2284" s="2" t="s">
        <v>5221</v>
      </c>
      <c r="N2284" s="2" t="s">
        <v>2317</v>
      </c>
      <c r="O2284" s="14">
        <v>2200</v>
      </c>
      <c r="P2284" s="14">
        <v>93.73</v>
      </c>
      <c r="Q2284" s="14">
        <v>137.94</v>
      </c>
      <c r="R2284" s="14">
        <v>44.14</v>
      </c>
      <c r="S2284" s="2" t="s">
        <v>1272</v>
      </c>
      <c r="T2284" s="2">
        <v>1.01</v>
      </c>
      <c r="U2284" s="2">
        <v>60</v>
      </c>
      <c r="V2284" s="2">
        <v>58</v>
      </c>
      <c r="W2284" s="2" t="s">
        <v>7862</v>
      </c>
      <c r="X2284" s="2" t="s">
        <v>5405</v>
      </c>
      <c r="Y2284" s="2">
        <v>704</v>
      </c>
      <c r="Z2284" s="19" t="str">
        <f>HYPERLINK("https://ssdweb.co/ssdweb/hd/Vision360.html?d=926240815&amp;zoomslide=1&amp;z=1926240815&amp;ISCONFIRM=0","VIDEO")</f>
        <v>VIDEO</v>
      </c>
      <c r="AA2284" s="19" t="str">
        <f>HYPERLINK("https://ssdweb.co/ssdweb/CERTH/640419120.pdf","CERTI")</f>
        <v>CERTI</v>
      </c>
    </row>
    <row r="2285" spans="1:27" ht="15" x14ac:dyDescent="0.25">
      <c r="A2285" s="2">
        <v>2280</v>
      </c>
      <c r="B2285" s="39">
        <v>926191008</v>
      </c>
      <c r="C2285" s="28" t="str">
        <f>HYPERLINK("https://pld.live/RapDetail.aspx?STONELIST=926191008","DNA")</f>
        <v>DNA</v>
      </c>
      <c r="D2285" s="18" t="s">
        <v>7954</v>
      </c>
      <c r="E2285" s="18" t="s">
        <v>5128</v>
      </c>
      <c r="F2285" s="2" t="s">
        <v>7987</v>
      </c>
      <c r="G2285" s="2" t="s">
        <v>861</v>
      </c>
      <c r="H2285" s="14">
        <v>0.32</v>
      </c>
      <c r="I2285" s="2" t="s">
        <v>267</v>
      </c>
      <c r="J2285" s="2" t="s">
        <v>3942</v>
      </c>
      <c r="K2285" s="2" t="s">
        <v>3390</v>
      </c>
      <c r="L2285" s="2" t="s">
        <v>5721</v>
      </c>
      <c r="M2285" s="2" t="s">
        <v>5221</v>
      </c>
      <c r="N2285" s="2" t="s">
        <v>2317</v>
      </c>
      <c r="O2285" s="14">
        <v>2200</v>
      </c>
      <c r="P2285" s="14">
        <v>93.73</v>
      </c>
      <c r="Q2285" s="14">
        <v>137.94</v>
      </c>
      <c r="R2285" s="14">
        <v>44.14</v>
      </c>
      <c r="S2285" s="2" t="s">
        <v>5277</v>
      </c>
      <c r="T2285" s="2">
        <v>1.01</v>
      </c>
      <c r="U2285" s="2">
        <v>59.7</v>
      </c>
      <c r="V2285" s="2">
        <v>59</v>
      </c>
      <c r="W2285" s="2" t="s">
        <v>7862</v>
      </c>
      <c r="X2285" s="2" t="s">
        <v>5405</v>
      </c>
      <c r="Y2285" s="2">
        <v>704</v>
      </c>
      <c r="Z2285" s="19" t="str">
        <f>HYPERLINK("https://ssdweb.co/ssdweb/hd/Vision360.html?d=926191008&amp;zoomslide=1&amp;z=1926191008&amp;ISCONFIRM=0","VIDEO")</f>
        <v>VIDEO</v>
      </c>
      <c r="AA2285" s="19" t="str">
        <f>HYPERLINK("https://ssdweb.co/ssdweb/CERTH/636429924.pdf","CERTI")</f>
        <v>CERTI</v>
      </c>
    </row>
    <row r="2286" spans="1:27" ht="15" x14ac:dyDescent="0.25">
      <c r="A2286" s="2">
        <v>2281</v>
      </c>
      <c r="B2286" s="39">
        <v>926141508</v>
      </c>
      <c r="C2286" s="28" t="str">
        <f>HYPERLINK("https://pld.live/RapDetail.aspx?STONELIST=926141508","DNA")</f>
        <v>DNA</v>
      </c>
      <c r="D2286" s="18" t="s">
        <v>7954</v>
      </c>
      <c r="E2286" s="18" t="s">
        <v>5128</v>
      </c>
      <c r="F2286" s="2" t="s">
        <v>7987</v>
      </c>
      <c r="G2286" s="2" t="s">
        <v>861</v>
      </c>
      <c r="H2286" s="14">
        <v>0.32</v>
      </c>
      <c r="I2286" s="2" t="s">
        <v>267</v>
      </c>
      <c r="J2286" s="2" t="s">
        <v>3942</v>
      </c>
      <c r="K2286" s="2" t="s">
        <v>3390</v>
      </c>
      <c r="L2286" s="2" t="s">
        <v>5721</v>
      </c>
      <c r="M2286" s="2" t="s">
        <v>5221</v>
      </c>
      <c r="N2286" s="2" t="s">
        <v>2317</v>
      </c>
      <c r="O2286" s="14">
        <v>2200</v>
      </c>
      <c r="P2286" s="14">
        <v>93.73</v>
      </c>
      <c r="Q2286" s="14">
        <v>137.94</v>
      </c>
      <c r="R2286" s="14">
        <v>44.14</v>
      </c>
      <c r="S2286" s="2" t="s">
        <v>7324</v>
      </c>
      <c r="T2286" s="2">
        <v>1.01</v>
      </c>
      <c r="U2286" s="2">
        <v>62.3</v>
      </c>
      <c r="V2286" s="2">
        <v>58</v>
      </c>
      <c r="W2286" s="2" t="s">
        <v>7862</v>
      </c>
      <c r="X2286" s="2" t="s">
        <v>5405</v>
      </c>
      <c r="Y2286" s="2">
        <v>704</v>
      </c>
      <c r="Z2286" s="19" t="str">
        <f>HYPERLINK("https://ssdweb.co/ssdweb/hd/Vision360.html?d=926141508&amp;zoomslide=1&amp;z=1926141508&amp;ISCONFIRM=0","VIDEO")</f>
        <v>VIDEO</v>
      </c>
      <c r="AA2286" s="19" t="str">
        <f>HYPERLINK("https://ssdweb.co/ssdweb/CERTH/636429756.pdf","CERTI")</f>
        <v>CERTI</v>
      </c>
    </row>
    <row r="2287" spans="1:27" ht="15" x14ac:dyDescent="0.25">
      <c r="A2287" s="2">
        <v>2282</v>
      </c>
      <c r="B2287" s="39">
        <v>926191034</v>
      </c>
      <c r="C2287" s="28" t="str">
        <f>HYPERLINK("https://pld.live/RapDetail.aspx?STONELIST=926191034","DNA")</f>
        <v>DNA</v>
      </c>
      <c r="D2287" s="18" t="s">
        <v>7954</v>
      </c>
      <c r="E2287" s="18" t="s">
        <v>5128</v>
      </c>
      <c r="F2287" s="2" t="s">
        <v>7987</v>
      </c>
      <c r="G2287" s="2" t="s">
        <v>861</v>
      </c>
      <c r="H2287" s="14">
        <v>0.32</v>
      </c>
      <c r="I2287" s="2" t="s">
        <v>267</v>
      </c>
      <c r="J2287" s="2" t="s">
        <v>3942</v>
      </c>
      <c r="K2287" s="2" t="s">
        <v>3390</v>
      </c>
      <c r="L2287" s="2" t="s">
        <v>5721</v>
      </c>
      <c r="M2287" s="2" t="s">
        <v>5221</v>
      </c>
      <c r="N2287" s="2" t="s">
        <v>2317</v>
      </c>
      <c r="O2287" s="14">
        <v>2200</v>
      </c>
      <c r="P2287" s="14">
        <v>93.73</v>
      </c>
      <c r="Q2287" s="14">
        <v>137.94</v>
      </c>
      <c r="R2287" s="14">
        <v>44.14</v>
      </c>
      <c r="S2287" s="2" t="s">
        <v>5675</v>
      </c>
      <c r="T2287" s="2">
        <v>1.01</v>
      </c>
      <c r="U2287" s="2">
        <v>62.5</v>
      </c>
      <c r="V2287" s="2">
        <v>57</v>
      </c>
      <c r="W2287" s="2" t="s">
        <v>7862</v>
      </c>
      <c r="X2287" s="2" t="s">
        <v>5405</v>
      </c>
      <c r="Y2287" s="2">
        <v>704</v>
      </c>
      <c r="Z2287" s="19" t="str">
        <f>HYPERLINK("https://ssdweb.co/ssdweb/hd/Vision360.html?d=926191034&amp;zoomslide=1&amp;z=1926191034&amp;ISCONFIRM=0","VIDEO")</f>
        <v>VIDEO</v>
      </c>
      <c r="AA2287" s="19" t="str">
        <f>HYPERLINK("https://ssdweb.co/ssdweb/CERTH/636429664.pdf","CERTI")</f>
        <v>CERTI</v>
      </c>
    </row>
    <row r="2288" spans="1:27" ht="15" x14ac:dyDescent="0.25">
      <c r="A2288" s="2">
        <v>2283</v>
      </c>
      <c r="B2288" s="39">
        <v>926181028</v>
      </c>
      <c r="C2288" s="28" t="str">
        <f>HYPERLINK("https://pld.live/RapDetail.aspx?STONELIST=926181028","DNA")</f>
        <v>DNA</v>
      </c>
      <c r="D2288" s="18" t="s">
        <v>7954</v>
      </c>
      <c r="E2288" s="18" t="s">
        <v>5128</v>
      </c>
      <c r="F2288" s="2" t="s">
        <v>7987</v>
      </c>
      <c r="G2288" s="2" t="s">
        <v>861</v>
      </c>
      <c r="H2288" s="14">
        <v>0.32</v>
      </c>
      <c r="I2288" s="2" t="s">
        <v>267</v>
      </c>
      <c r="J2288" s="2" t="s">
        <v>3942</v>
      </c>
      <c r="K2288" s="2" t="s">
        <v>3390</v>
      </c>
      <c r="L2288" s="2" t="s">
        <v>5721</v>
      </c>
      <c r="M2288" s="2" t="s">
        <v>5221</v>
      </c>
      <c r="N2288" s="2" t="s">
        <v>2317</v>
      </c>
      <c r="O2288" s="14">
        <v>2200</v>
      </c>
      <c r="P2288" s="14">
        <v>93.73</v>
      </c>
      <c r="Q2288" s="14">
        <v>137.94</v>
      </c>
      <c r="R2288" s="14">
        <v>44.14</v>
      </c>
      <c r="S2288" s="2" t="s">
        <v>2878</v>
      </c>
      <c r="T2288" s="2">
        <v>1.01</v>
      </c>
      <c r="U2288" s="2">
        <v>62.5</v>
      </c>
      <c r="V2288" s="2">
        <v>57</v>
      </c>
      <c r="W2288" s="2" t="s">
        <v>7862</v>
      </c>
      <c r="X2288" s="2" t="s">
        <v>5405</v>
      </c>
      <c r="Y2288" s="2">
        <v>704</v>
      </c>
      <c r="Z2288" s="19" t="str">
        <f>HYPERLINK("https://ssdweb.co/ssdweb/hd/Vision360.html?d=926181028&amp;zoomslide=1&amp;z=1926181028&amp;ISCONFIRM=0","VIDEO")</f>
        <v>VIDEO</v>
      </c>
      <c r="AA2288" s="19" t="str">
        <f>HYPERLINK("https://ssdweb.co/ssdweb/CERTH/636430015.pdf","CERTI")</f>
        <v>CERTI</v>
      </c>
    </row>
    <row r="2289" spans="1:27" ht="15" x14ac:dyDescent="0.25">
      <c r="A2289" s="2">
        <v>2284</v>
      </c>
      <c r="B2289" s="39">
        <v>821127846</v>
      </c>
      <c r="C2289" s="28" t="str">
        <f>HYPERLINK("https://pld.live/RapDetail.aspx?STONELIST=821127846","DNA")</f>
        <v>DNA</v>
      </c>
      <c r="D2289" s="18" t="s">
        <v>7954</v>
      </c>
      <c r="E2289" s="18" t="s">
        <v>5128</v>
      </c>
      <c r="F2289" s="2" t="s">
        <v>7987</v>
      </c>
      <c r="G2289" s="2" t="s">
        <v>861</v>
      </c>
      <c r="H2289" s="14">
        <v>0.32</v>
      </c>
      <c r="I2289" s="2" t="s">
        <v>267</v>
      </c>
      <c r="J2289" s="2" t="s">
        <v>3942</v>
      </c>
      <c r="K2289" s="2" t="s">
        <v>3390</v>
      </c>
      <c r="L2289" s="2" t="s">
        <v>5721</v>
      </c>
      <c r="M2289" s="2" t="s">
        <v>5721</v>
      </c>
      <c r="N2289" s="2" t="s">
        <v>2317</v>
      </c>
      <c r="O2289" s="14">
        <v>2200</v>
      </c>
      <c r="P2289" s="14">
        <v>93.82</v>
      </c>
      <c r="Q2289" s="14">
        <v>135.96</v>
      </c>
      <c r="R2289" s="14">
        <v>43.51</v>
      </c>
      <c r="S2289" s="2" t="s">
        <v>237</v>
      </c>
      <c r="T2289" s="2">
        <v>1</v>
      </c>
      <c r="U2289" s="2">
        <v>61.2</v>
      </c>
      <c r="V2289" s="2">
        <v>58</v>
      </c>
      <c r="W2289" s="2" t="s">
        <v>7862</v>
      </c>
      <c r="X2289" s="2" t="s">
        <v>5405</v>
      </c>
      <c r="Y2289" s="2">
        <v>704</v>
      </c>
      <c r="Z2289" s="19" t="str">
        <f>HYPERLINK("https://ssdweb.co/ssdweb/hd/Vision360.html?d=821127846&amp;zoomslide=1&amp;z=1821127846&amp;ISCONFIRM=0","VIDEO")</f>
        <v>VIDEO</v>
      </c>
      <c r="AA2289" s="19" t="str">
        <f>HYPERLINK("https://ssdweb.co/ssdweb/CERTH/633499562.pdf","CERTI")</f>
        <v>CERTI</v>
      </c>
    </row>
    <row r="2290" spans="1:27" ht="15" x14ac:dyDescent="0.25">
      <c r="A2290" s="2">
        <v>2285</v>
      </c>
      <c r="B2290" s="39">
        <v>926261473</v>
      </c>
      <c r="C2290" s="28" t="str">
        <f>HYPERLINK("https://pld.live/RapDetail.aspx?STONELIST=926261473","DNA")</f>
        <v>DNA</v>
      </c>
      <c r="D2290" s="18" t="s">
        <v>7954</v>
      </c>
      <c r="E2290" s="18" t="s">
        <v>5128</v>
      </c>
      <c r="F2290" s="2" t="s">
        <v>7987</v>
      </c>
      <c r="G2290" s="2" t="s">
        <v>861</v>
      </c>
      <c r="H2290" s="14">
        <v>0.32</v>
      </c>
      <c r="I2290" s="2" t="s">
        <v>267</v>
      </c>
      <c r="J2290" s="2" t="s">
        <v>3942</v>
      </c>
      <c r="K2290" s="2" t="s">
        <v>3390</v>
      </c>
      <c r="L2290" s="2" t="s">
        <v>5721</v>
      </c>
      <c r="M2290" s="2" t="s">
        <v>5721</v>
      </c>
      <c r="N2290" s="2" t="s">
        <v>2317</v>
      </c>
      <c r="O2290" s="14">
        <v>2200</v>
      </c>
      <c r="P2290" s="14">
        <v>93.82</v>
      </c>
      <c r="Q2290" s="14">
        <v>135.96</v>
      </c>
      <c r="R2290" s="14">
        <v>43.51</v>
      </c>
      <c r="S2290" s="2" t="s">
        <v>8018</v>
      </c>
      <c r="T2290" s="2">
        <v>1.01</v>
      </c>
      <c r="U2290" s="2">
        <v>62.2</v>
      </c>
      <c r="V2290" s="2">
        <v>57</v>
      </c>
      <c r="W2290" s="2" t="s">
        <v>7862</v>
      </c>
      <c r="X2290" s="2" t="s">
        <v>5405</v>
      </c>
      <c r="Y2290" s="2">
        <v>704</v>
      </c>
      <c r="Z2290" s="19" t="str">
        <f>HYPERLINK("https://ssdweb.co/ssdweb/hd/Vision360.html?d=926261473&amp;zoomslide=1&amp;z=1926261473&amp;ISCONFIRM=0","VIDEO")</f>
        <v>VIDEO</v>
      </c>
      <c r="AA2290" s="19" t="str">
        <f>HYPERLINK("https://ssdweb.co/ssdweb/CERTH/644472259.pdf","CERTI")</f>
        <v>CERTI</v>
      </c>
    </row>
    <row r="2291" spans="1:27" ht="15" x14ac:dyDescent="0.25">
      <c r="A2291" s="2">
        <v>2286</v>
      </c>
      <c r="B2291" s="39">
        <v>926240747</v>
      </c>
      <c r="C2291" s="28" t="str">
        <f>HYPERLINK("https://pld.live/RapDetail.aspx?STONELIST=926240747","DNA")</f>
        <v>DNA</v>
      </c>
      <c r="D2291" s="18" t="s">
        <v>7954</v>
      </c>
      <c r="E2291" s="18" t="s">
        <v>5128</v>
      </c>
      <c r="F2291" s="2" t="s">
        <v>7987</v>
      </c>
      <c r="G2291" s="2" t="s">
        <v>861</v>
      </c>
      <c r="H2291" s="14">
        <v>0.32</v>
      </c>
      <c r="I2291" s="2" t="s">
        <v>267</v>
      </c>
      <c r="J2291" s="2" t="s">
        <v>3942</v>
      </c>
      <c r="K2291" s="2" t="s">
        <v>3390</v>
      </c>
      <c r="L2291" s="2" t="s">
        <v>5721</v>
      </c>
      <c r="M2291" s="2" t="s">
        <v>5721</v>
      </c>
      <c r="N2291" s="2" t="s">
        <v>2317</v>
      </c>
      <c r="O2291" s="14">
        <v>2200</v>
      </c>
      <c r="P2291" s="14">
        <v>93.82</v>
      </c>
      <c r="Q2291" s="14">
        <v>135.96</v>
      </c>
      <c r="R2291" s="14">
        <v>43.51</v>
      </c>
      <c r="S2291" s="2" t="s">
        <v>7850</v>
      </c>
      <c r="T2291" s="2">
        <v>1.01</v>
      </c>
      <c r="U2291" s="2">
        <v>60.3</v>
      </c>
      <c r="V2291" s="2">
        <v>60</v>
      </c>
      <c r="W2291" s="2" t="s">
        <v>7862</v>
      </c>
      <c r="X2291" s="2" t="s">
        <v>5405</v>
      </c>
      <c r="Y2291" s="2">
        <v>704</v>
      </c>
      <c r="Z2291" s="19" t="str">
        <f>HYPERLINK("https://ssdweb.co/ssdweb/hd/Vision360.html?d=926240747&amp;zoomslide=1&amp;z=1926240747&amp;ISCONFIRM=0","VIDEO")</f>
        <v>VIDEO</v>
      </c>
      <c r="AA2291" s="19" t="str">
        <f>HYPERLINK("https://ssdweb.co/ssdweb/CERTH/642447732.pdf","CERTI")</f>
        <v>CERTI</v>
      </c>
    </row>
    <row r="2292" spans="1:27" ht="15" x14ac:dyDescent="0.25">
      <c r="A2292" s="2">
        <v>2287</v>
      </c>
      <c r="B2292" s="39">
        <v>926240685</v>
      </c>
      <c r="C2292" s="28" t="str">
        <f>HYPERLINK("https://pld.live/RapDetail.aspx?STONELIST=926240685","DNA")</f>
        <v>DNA</v>
      </c>
      <c r="D2292" s="18" t="s">
        <v>7954</v>
      </c>
      <c r="E2292" s="18" t="s">
        <v>5128</v>
      </c>
      <c r="F2292" s="2" t="s">
        <v>7987</v>
      </c>
      <c r="G2292" s="2" t="s">
        <v>861</v>
      </c>
      <c r="H2292" s="14">
        <v>0.32</v>
      </c>
      <c r="I2292" s="2" t="s">
        <v>267</v>
      </c>
      <c r="J2292" s="2" t="s">
        <v>3942</v>
      </c>
      <c r="K2292" s="2" t="s">
        <v>3390</v>
      </c>
      <c r="L2292" s="2" t="s">
        <v>5721</v>
      </c>
      <c r="M2292" s="2" t="s">
        <v>5721</v>
      </c>
      <c r="N2292" s="2" t="s">
        <v>2317</v>
      </c>
      <c r="O2292" s="14">
        <v>2200</v>
      </c>
      <c r="P2292" s="14">
        <v>93.82</v>
      </c>
      <c r="Q2292" s="14">
        <v>135.96</v>
      </c>
      <c r="R2292" s="14">
        <v>43.51</v>
      </c>
      <c r="S2292" s="2" t="s">
        <v>2904</v>
      </c>
      <c r="T2292" s="2">
        <v>1</v>
      </c>
      <c r="U2292" s="2">
        <v>60.8</v>
      </c>
      <c r="V2292" s="2">
        <v>59</v>
      </c>
      <c r="W2292" s="2" t="s">
        <v>7862</v>
      </c>
      <c r="X2292" s="2" t="s">
        <v>5405</v>
      </c>
      <c r="Y2292" s="2">
        <v>704</v>
      </c>
      <c r="Z2292" s="19" t="str">
        <f>HYPERLINK("https://ssdweb.co/ssdweb/hd/Vision360.html?d=926240685&amp;zoomslide=1&amp;z=1926240685&amp;ISCONFIRM=0","VIDEO")</f>
        <v>VIDEO</v>
      </c>
      <c r="AA2292" s="19" t="str">
        <f>HYPERLINK("https://ssdweb.co/ssdweb/CERTH/642447915.pdf","CERTI")</f>
        <v>CERTI</v>
      </c>
    </row>
    <row r="2293" spans="1:27" ht="15" x14ac:dyDescent="0.25">
      <c r="A2293" s="2">
        <v>2288</v>
      </c>
      <c r="B2293" s="39">
        <v>926240733</v>
      </c>
      <c r="C2293" s="28" t="str">
        <f>HYPERLINK("https://pld.live/RapDetail.aspx?STONELIST=926240733","DNA")</f>
        <v>DNA</v>
      </c>
      <c r="D2293" s="18" t="s">
        <v>7954</v>
      </c>
      <c r="E2293" s="18" t="s">
        <v>5128</v>
      </c>
      <c r="F2293" s="2" t="s">
        <v>7987</v>
      </c>
      <c r="G2293" s="2" t="s">
        <v>861</v>
      </c>
      <c r="H2293" s="14">
        <v>0.32</v>
      </c>
      <c r="I2293" s="2" t="s">
        <v>267</v>
      </c>
      <c r="J2293" s="2" t="s">
        <v>3942</v>
      </c>
      <c r="K2293" s="2" t="s">
        <v>3390</v>
      </c>
      <c r="L2293" s="2" t="s">
        <v>5721</v>
      </c>
      <c r="M2293" s="2" t="s">
        <v>5721</v>
      </c>
      <c r="N2293" s="2" t="s">
        <v>2317</v>
      </c>
      <c r="O2293" s="14">
        <v>2200</v>
      </c>
      <c r="P2293" s="14">
        <v>93.82</v>
      </c>
      <c r="Q2293" s="14">
        <v>135.96</v>
      </c>
      <c r="R2293" s="14">
        <v>43.51</v>
      </c>
      <c r="S2293" s="2" t="s">
        <v>6634</v>
      </c>
      <c r="T2293" s="2">
        <v>1.01</v>
      </c>
      <c r="U2293" s="2">
        <v>61.8</v>
      </c>
      <c r="V2293" s="2">
        <v>58</v>
      </c>
      <c r="W2293" s="2" t="s">
        <v>7862</v>
      </c>
      <c r="X2293" s="2" t="s">
        <v>5405</v>
      </c>
      <c r="Y2293" s="2">
        <v>704</v>
      </c>
      <c r="Z2293" s="19" t="str">
        <f>HYPERLINK("https://ssdweb.co/ssdweb/hd/Vision360.html?d=926240733&amp;zoomslide=1&amp;z=1926240733&amp;ISCONFIRM=0","VIDEO")</f>
        <v>VIDEO</v>
      </c>
      <c r="AA2293" s="19" t="str">
        <f>HYPERLINK("https://ssdweb.co/ssdweb/CERTH/642447736.pdf","CERTI")</f>
        <v>CERTI</v>
      </c>
    </row>
    <row r="2294" spans="1:27" ht="15" x14ac:dyDescent="0.25">
      <c r="A2294" s="2">
        <v>2289</v>
      </c>
      <c r="B2294" s="39">
        <v>926240888</v>
      </c>
      <c r="C2294" s="28" t="str">
        <f>HYPERLINK("https://pld.live/RapDetail.aspx?STONELIST=926240888","DNA")</f>
        <v>DNA</v>
      </c>
      <c r="D2294" s="18" t="s">
        <v>7954</v>
      </c>
      <c r="E2294" s="18" t="s">
        <v>5128</v>
      </c>
      <c r="F2294" s="2" t="s">
        <v>7987</v>
      </c>
      <c r="G2294" s="2" t="s">
        <v>861</v>
      </c>
      <c r="H2294" s="14">
        <v>0.32</v>
      </c>
      <c r="I2294" s="2" t="s">
        <v>267</v>
      </c>
      <c r="J2294" s="2" t="s">
        <v>3942</v>
      </c>
      <c r="K2294" s="2" t="s">
        <v>3390</v>
      </c>
      <c r="L2294" s="2" t="s">
        <v>5721</v>
      </c>
      <c r="M2294" s="2" t="s">
        <v>5721</v>
      </c>
      <c r="N2294" s="2" t="s">
        <v>2317</v>
      </c>
      <c r="O2294" s="14">
        <v>2200</v>
      </c>
      <c r="P2294" s="14">
        <v>93.82</v>
      </c>
      <c r="Q2294" s="14">
        <v>135.96</v>
      </c>
      <c r="R2294" s="14">
        <v>43.51</v>
      </c>
      <c r="S2294" s="2" t="s">
        <v>2</v>
      </c>
      <c r="T2294" s="2">
        <v>1.01</v>
      </c>
      <c r="U2294" s="2">
        <v>60.7</v>
      </c>
      <c r="V2294" s="2">
        <v>58</v>
      </c>
      <c r="W2294" s="2" t="s">
        <v>7862</v>
      </c>
      <c r="X2294" s="2" t="s">
        <v>5405</v>
      </c>
      <c r="Y2294" s="2">
        <v>704</v>
      </c>
      <c r="Z2294" s="19" t="str">
        <f>HYPERLINK("https://ssdweb.co/ssdweb/hd/Vision360.html?d=926240888&amp;zoomslide=1&amp;z=1926240888&amp;ISCONFIRM=0","VIDEO")</f>
        <v>VIDEO</v>
      </c>
      <c r="AA2294" s="19" t="str">
        <f>HYPERLINK("https://ssdweb.co/ssdweb/CERTH/640419085.pdf","CERTI")</f>
        <v>CERTI</v>
      </c>
    </row>
    <row r="2295" spans="1:27" ht="15" x14ac:dyDescent="0.25">
      <c r="A2295" s="2">
        <v>2290</v>
      </c>
      <c r="B2295" s="39">
        <v>926231365</v>
      </c>
      <c r="C2295" s="28" t="str">
        <f>HYPERLINK("https://pld.live/RapDetail.aspx?STONELIST=926231365","DNA")</f>
        <v>DNA</v>
      </c>
      <c r="D2295" s="18" t="s">
        <v>7954</v>
      </c>
      <c r="E2295" s="18" t="s">
        <v>5128</v>
      </c>
      <c r="F2295" s="2" t="s">
        <v>7987</v>
      </c>
      <c r="G2295" s="2" t="s">
        <v>861</v>
      </c>
      <c r="H2295" s="14">
        <v>0.32</v>
      </c>
      <c r="I2295" s="2" t="s">
        <v>267</v>
      </c>
      <c r="J2295" s="2" t="s">
        <v>3942</v>
      </c>
      <c r="K2295" s="2" t="s">
        <v>3390</v>
      </c>
      <c r="L2295" s="2" t="s">
        <v>5721</v>
      </c>
      <c r="M2295" s="2" t="s">
        <v>5721</v>
      </c>
      <c r="N2295" s="2" t="s">
        <v>2317</v>
      </c>
      <c r="O2295" s="14">
        <v>2200</v>
      </c>
      <c r="P2295" s="14">
        <v>93.82</v>
      </c>
      <c r="Q2295" s="14">
        <v>135.96</v>
      </c>
      <c r="R2295" s="14">
        <v>43.51</v>
      </c>
      <c r="S2295" s="2" t="s">
        <v>5242</v>
      </c>
      <c r="T2295" s="2">
        <v>1.01</v>
      </c>
      <c r="U2295" s="2">
        <v>62</v>
      </c>
      <c r="V2295" s="2">
        <v>58</v>
      </c>
      <c r="W2295" s="2" t="s">
        <v>7862</v>
      </c>
      <c r="X2295" s="2" t="s">
        <v>5405</v>
      </c>
      <c r="Y2295" s="2">
        <v>704</v>
      </c>
      <c r="Z2295" s="19" t="str">
        <f>HYPERLINK("https://ssdweb.co/ssdweb/hd/Vision360.html?d=926231365&amp;zoomslide=1&amp;z=1926231365&amp;ISCONFIRM=0","VIDEO")</f>
        <v>VIDEO</v>
      </c>
      <c r="AA2295" s="19" t="str">
        <f>HYPERLINK("https://ssdweb.co/ssdweb/CERTH/642447710.pdf","CERTI")</f>
        <v>CERTI</v>
      </c>
    </row>
    <row r="2296" spans="1:27" ht="15" x14ac:dyDescent="0.25">
      <c r="A2296" s="2">
        <v>2291</v>
      </c>
      <c r="B2296" s="39">
        <v>941080759</v>
      </c>
      <c r="C2296" s="28" t="str">
        <f>HYPERLINK("https://pld.live/RapDetail.aspx?STONELIST=941080759","DNA")</f>
        <v>DNA</v>
      </c>
      <c r="D2296" s="18" t="s">
        <v>7954</v>
      </c>
      <c r="E2296" s="18" t="s">
        <v>2186</v>
      </c>
      <c r="F2296" s="2" t="s">
        <v>7987</v>
      </c>
      <c r="G2296" s="2" t="s">
        <v>861</v>
      </c>
      <c r="H2296" s="14">
        <v>0.32</v>
      </c>
      <c r="I2296" s="2" t="s">
        <v>267</v>
      </c>
      <c r="J2296" s="2" t="s">
        <v>3942</v>
      </c>
      <c r="K2296" s="2" t="s">
        <v>3390</v>
      </c>
      <c r="L2296" s="2" t="s">
        <v>5721</v>
      </c>
      <c r="M2296" s="2" t="s">
        <v>5721</v>
      </c>
      <c r="N2296" s="2" t="s">
        <v>2317</v>
      </c>
      <c r="O2296" s="14">
        <v>2200</v>
      </c>
      <c r="P2296" s="14">
        <v>93.82</v>
      </c>
      <c r="Q2296" s="14">
        <v>135.96</v>
      </c>
      <c r="R2296" s="14">
        <v>43.51</v>
      </c>
      <c r="S2296" s="2" t="s">
        <v>3257</v>
      </c>
      <c r="T2296" s="2">
        <v>1.01</v>
      </c>
      <c r="U2296" s="2">
        <v>60.6</v>
      </c>
      <c r="V2296" s="2">
        <v>57</v>
      </c>
      <c r="W2296" s="2" t="s">
        <v>7862</v>
      </c>
      <c r="X2296" s="2" t="s">
        <v>5405</v>
      </c>
      <c r="Y2296" s="2">
        <v>704</v>
      </c>
      <c r="Z2296" s="19" t="str">
        <f>HYPERLINK("https://ssdweb.co/ssdweb/hd/Vision360.html?d=941080759&amp;zoomslide=1&amp;z=1941080759&amp;ISCONFIRM=0","VIDEO")</f>
        <v>VIDEO</v>
      </c>
      <c r="AA2296" s="19" t="str">
        <f>HYPERLINK("https://ssdweb.co/ssdweb/CERTH/674504063.pdf","CERTI")</f>
        <v>CERTI</v>
      </c>
    </row>
    <row r="2297" spans="1:27" ht="15" x14ac:dyDescent="0.25">
      <c r="A2297" s="2">
        <v>2292</v>
      </c>
      <c r="B2297" s="39">
        <v>920661526</v>
      </c>
      <c r="C2297" s="28" t="str">
        <f>HYPERLINK("https://pld.live/RapDetail.aspx?STONELIST=920661526","DNA")</f>
        <v>DNA</v>
      </c>
      <c r="D2297" s="18" t="s">
        <v>7954</v>
      </c>
      <c r="E2297" s="18" t="s">
        <v>5128</v>
      </c>
      <c r="F2297" s="2" t="s">
        <v>7987</v>
      </c>
      <c r="G2297" s="2" t="s">
        <v>861</v>
      </c>
      <c r="H2297" s="14">
        <v>0.32</v>
      </c>
      <c r="I2297" s="2" t="s">
        <v>267</v>
      </c>
      <c r="J2297" s="2" t="s">
        <v>3942</v>
      </c>
      <c r="K2297" s="2" t="s">
        <v>5221</v>
      </c>
      <c r="L2297" s="2" t="s">
        <v>5221</v>
      </c>
      <c r="M2297" s="2" t="s">
        <v>5721</v>
      </c>
      <c r="N2297" s="2" t="s">
        <v>2317</v>
      </c>
      <c r="O2297" s="14">
        <v>2200</v>
      </c>
      <c r="P2297" s="14">
        <v>93.73</v>
      </c>
      <c r="Q2297" s="14">
        <v>137.94</v>
      </c>
      <c r="R2297" s="14">
        <v>44.14</v>
      </c>
      <c r="S2297" s="2" t="s">
        <v>4128</v>
      </c>
      <c r="T2297" s="2">
        <v>1.01</v>
      </c>
      <c r="U2297" s="2">
        <v>61</v>
      </c>
      <c r="V2297" s="2">
        <v>60</v>
      </c>
      <c r="W2297" s="2" t="s">
        <v>7862</v>
      </c>
      <c r="X2297" s="2" t="s">
        <v>5405</v>
      </c>
      <c r="Y2297" s="2">
        <v>704</v>
      </c>
      <c r="Z2297" s="19" t="str">
        <f>HYPERLINK("https://ssdweb.co/ssdweb/hd/Vision360.html?d=920661526&amp;zoomslide=1&amp;z=1920661526&amp;ISCONFIRM=0","VIDEO")</f>
        <v>VIDEO</v>
      </c>
      <c r="AA2297" s="19" t="str">
        <f>HYPERLINK("https://ssdweb.co/ssdweb/CERTH/639406044.pdf","CERTI")</f>
        <v>CERTI</v>
      </c>
    </row>
    <row r="2298" spans="1:27" ht="15" x14ac:dyDescent="0.25">
      <c r="A2298" s="2">
        <v>2293</v>
      </c>
      <c r="B2298" s="39">
        <v>821127937</v>
      </c>
      <c r="C2298" s="28" t="str">
        <f>HYPERLINK("https://pld.live/RapDetail.aspx?STONELIST=821127937","DNA")</f>
        <v>DNA</v>
      </c>
      <c r="D2298" s="18" t="s">
        <v>7954</v>
      </c>
      <c r="E2298" s="18" t="s">
        <v>5128</v>
      </c>
      <c r="F2298" s="2" t="s">
        <v>7987</v>
      </c>
      <c r="G2298" s="2" t="s">
        <v>861</v>
      </c>
      <c r="H2298" s="14">
        <v>0.32</v>
      </c>
      <c r="I2298" s="2" t="s">
        <v>267</v>
      </c>
      <c r="J2298" s="2" t="s">
        <v>3942</v>
      </c>
      <c r="K2298" s="2" t="s">
        <v>5221</v>
      </c>
      <c r="L2298" s="2" t="s">
        <v>5221</v>
      </c>
      <c r="M2298" s="2" t="s">
        <v>5721</v>
      </c>
      <c r="N2298" s="2" t="s">
        <v>2317</v>
      </c>
      <c r="O2298" s="14">
        <v>2200</v>
      </c>
      <c r="P2298" s="14">
        <v>93.73</v>
      </c>
      <c r="Q2298" s="14">
        <v>137.94</v>
      </c>
      <c r="R2298" s="14">
        <v>44.14</v>
      </c>
      <c r="S2298" s="2" t="s">
        <v>29</v>
      </c>
      <c r="T2298" s="2">
        <v>1.01</v>
      </c>
      <c r="U2298" s="2">
        <v>61.2</v>
      </c>
      <c r="V2298" s="2">
        <v>61</v>
      </c>
      <c r="W2298" s="2" t="s">
        <v>7862</v>
      </c>
      <c r="X2298" s="2" t="s">
        <v>5405</v>
      </c>
      <c r="Y2298" s="2">
        <v>704</v>
      </c>
      <c r="Z2298" s="19" t="str">
        <f>HYPERLINK("https://ssdweb.co/ssdweb/hd/Vision360.html?d=821127937&amp;zoomslide=1&amp;z=1821127937&amp;ISCONFIRM=0","VIDEO")</f>
        <v>VIDEO</v>
      </c>
      <c r="AA2298" s="19" t="str">
        <f>HYPERLINK("https://ssdweb.co/ssdweb/CERTH/634417104.pdf","CERTI")</f>
        <v>CERTI</v>
      </c>
    </row>
    <row r="2299" spans="1:27" ht="15" x14ac:dyDescent="0.25">
      <c r="A2299" s="2">
        <v>2294</v>
      </c>
      <c r="B2299" s="39">
        <v>926261447</v>
      </c>
      <c r="C2299" s="28" t="str">
        <f>HYPERLINK("https://pld.live/RapDetail.aspx?STONELIST=926261447","DNA")</f>
        <v>DNA</v>
      </c>
      <c r="D2299" s="18" t="s">
        <v>7954</v>
      </c>
      <c r="E2299" s="18" t="s">
        <v>5128</v>
      </c>
      <c r="F2299" s="2" t="s">
        <v>7987</v>
      </c>
      <c r="G2299" s="2" t="s">
        <v>861</v>
      </c>
      <c r="H2299" s="14">
        <v>0.32</v>
      </c>
      <c r="I2299" s="2" t="s">
        <v>267</v>
      </c>
      <c r="J2299" s="2" t="s">
        <v>3942</v>
      </c>
      <c r="K2299" s="2" t="s">
        <v>5221</v>
      </c>
      <c r="L2299" s="2" t="s">
        <v>5221</v>
      </c>
      <c r="M2299" s="2" t="s">
        <v>5721</v>
      </c>
      <c r="N2299" s="2" t="s">
        <v>2317</v>
      </c>
      <c r="O2299" s="14">
        <v>2200</v>
      </c>
      <c r="P2299" s="14">
        <v>93.73</v>
      </c>
      <c r="Q2299" s="14">
        <v>137.94</v>
      </c>
      <c r="R2299" s="14">
        <v>44.14</v>
      </c>
      <c r="S2299" s="2" t="s">
        <v>5760</v>
      </c>
      <c r="T2299" s="2">
        <v>1.01</v>
      </c>
      <c r="U2299" s="2">
        <v>63.6</v>
      </c>
      <c r="V2299" s="2">
        <v>57</v>
      </c>
      <c r="W2299" s="2" t="s">
        <v>7862</v>
      </c>
      <c r="X2299" s="2" t="s">
        <v>5405</v>
      </c>
      <c r="Y2299" s="2">
        <v>704</v>
      </c>
      <c r="Z2299" s="19" t="str">
        <f>HYPERLINK("https://ssdweb.co/ssdweb/hd/Vision360.html?d=926261447&amp;zoomslide=1&amp;z=1926261447&amp;ISCONFIRM=0","VIDEO")</f>
        <v>VIDEO</v>
      </c>
      <c r="AA2299" s="19" t="str">
        <f>HYPERLINK("https://ssdweb.co/ssdweb/CERTH/644466800.pdf","CERTI")</f>
        <v>CERTI</v>
      </c>
    </row>
    <row r="2300" spans="1:27" ht="15" x14ac:dyDescent="0.25">
      <c r="A2300" s="2">
        <v>2295</v>
      </c>
      <c r="B2300" s="39">
        <v>926240899</v>
      </c>
      <c r="C2300" s="28" t="str">
        <f>HYPERLINK("https://pld.live/RapDetail.aspx?STONELIST=926240899","DNA")</f>
        <v>DNA</v>
      </c>
      <c r="D2300" s="18" t="s">
        <v>7954</v>
      </c>
      <c r="E2300" s="18" t="s">
        <v>5128</v>
      </c>
      <c r="F2300" s="2" t="s">
        <v>7987</v>
      </c>
      <c r="G2300" s="2" t="s">
        <v>861</v>
      </c>
      <c r="H2300" s="14">
        <v>0.32</v>
      </c>
      <c r="I2300" s="2" t="s">
        <v>267</v>
      </c>
      <c r="J2300" s="2" t="s">
        <v>3942</v>
      </c>
      <c r="K2300" s="2" t="s">
        <v>5221</v>
      </c>
      <c r="L2300" s="2" t="s">
        <v>5221</v>
      </c>
      <c r="M2300" s="2" t="s">
        <v>5721</v>
      </c>
      <c r="N2300" s="2" t="s">
        <v>2317</v>
      </c>
      <c r="O2300" s="14">
        <v>2200</v>
      </c>
      <c r="P2300" s="14">
        <v>93.73</v>
      </c>
      <c r="Q2300" s="14">
        <v>137.94</v>
      </c>
      <c r="R2300" s="14">
        <v>44.14</v>
      </c>
      <c r="S2300" s="2" t="s">
        <v>4128</v>
      </c>
      <c r="T2300" s="2">
        <v>1.01</v>
      </c>
      <c r="U2300" s="2">
        <v>61</v>
      </c>
      <c r="V2300" s="2">
        <v>61</v>
      </c>
      <c r="W2300" s="2" t="s">
        <v>7862</v>
      </c>
      <c r="X2300" s="2" t="s">
        <v>5405</v>
      </c>
      <c r="Y2300" s="2">
        <v>704</v>
      </c>
      <c r="Z2300" s="19" t="str">
        <f>HYPERLINK("https://ssdweb.co/ssdweb/hd/Vision360.html?d=926240899&amp;zoomslide=1&amp;z=1926240899&amp;ISCONFIRM=0","VIDEO")</f>
        <v>VIDEO</v>
      </c>
      <c r="AA2300" s="19" t="str">
        <f>HYPERLINK("https://ssdweb.co/ssdweb/CERTH/640419092.pdf","CERTI")</f>
        <v>CERTI</v>
      </c>
    </row>
    <row r="2301" spans="1:27" ht="15" x14ac:dyDescent="0.25">
      <c r="A2301" s="2">
        <v>2296</v>
      </c>
      <c r="B2301" s="39">
        <v>926240810</v>
      </c>
      <c r="C2301" s="28" t="str">
        <f>HYPERLINK("https://pld.live/RapDetail.aspx?STONELIST=926240810","DNA")</f>
        <v>DNA</v>
      </c>
      <c r="D2301" s="18" t="s">
        <v>7954</v>
      </c>
      <c r="E2301" s="18" t="s">
        <v>5128</v>
      </c>
      <c r="F2301" s="2" t="s">
        <v>7987</v>
      </c>
      <c r="G2301" s="2" t="s">
        <v>861</v>
      </c>
      <c r="H2301" s="14">
        <v>0.32</v>
      </c>
      <c r="I2301" s="2" t="s">
        <v>267</v>
      </c>
      <c r="J2301" s="2" t="s">
        <v>3942</v>
      </c>
      <c r="K2301" s="2" t="s">
        <v>5221</v>
      </c>
      <c r="L2301" s="2" t="s">
        <v>5221</v>
      </c>
      <c r="M2301" s="2" t="s">
        <v>5721</v>
      </c>
      <c r="N2301" s="2" t="s">
        <v>2317</v>
      </c>
      <c r="O2301" s="14">
        <v>2200</v>
      </c>
      <c r="P2301" s="14">
        <v>93.73</v>
      </c>
      <c r="Q2301" s="14">
        <v>137.94</v>
      </c>
      <c r="R2301" s="14">
        <v>44.14</v>
      </c>
      <c r="S2301" s="2" t="s">
        <v>100</v>
      </c>
      <c r="T2301" s="2">
        <v>1</v>
      </c>
      <c r="U2301" s="2">
        <v>61.5</v>
      </c>
      <c r="V2301" s="2">
        <v>55</v>
      </c>
      <c r="W2301" s="2" t="s">
        <v>7862</v>
      </c>
      <c r="X2301" s="2" t="s">
        <v>5405</v>
      </c>
      <c r="Y2301" s="2">
        <v>704</v>
      </c>
      <c r="Z2301" s="19" t="str">
        <f>HYPERLINK("https://ssdweb.co/ssdweb/hd/Vision360.html?d=926240810&amp;zoomslide=1&amp;z=1926240810&amp;ISCONFIRM=0","VIDEO")</f>
        <v>VIDEO</v>
      </c>
      <c r="AA2301" s="19" t="str">
        <f>HYPERLINK("https://ssdweb.co/ssdweb/CERTH/640419117.pdf","CERTI")</f>
        <v>CERTI</v>
      </c>
    </row>
    <row r="2302" spans="1:27" ht="15" x14ac:dyDescent="0.25">
      <c r="A2302" s="2">
        <v>2297</v>
      </c>
      <c r="B2302" s="39">
        <v>926240703</v>
      </c>
      <c r="C2302" s="28" t="str">
        <f>HYPERLINK("https://pld.live/RapDetail.aspx?STONELIST=926240703","DNA")</f>
        <v>DNA</v>
      </c>
      <c r="D2302" s="18" t="s">
        <v>7954</v>
      </c>
      <c r="E2302" s="18" t="s">
        <v>5128</v>
      </c>
      <c r="F2302" s="2" t="s">
        <v>7987</v>
      </c>
      <c r="G2302" s="2" t="s">
        <v>861</v>
      </c>
      <c r="H2302" s="14">
        <v>0.32</v>
      </c>
      <c r="I2302" s="2" t="s">
        <v>267</v>
      </c>
      <c r="J2302" s="2" t="s">
        <v>3942</v>
      </c>
      <c r="K2302" s="2" t="s">
        <v>5221</v>
      </c>
      <c r="L2302" s="2" t="s">
        <v>5221</v>
      </c>
      <c r="M2302" s="2" t="s">
        <v>5721</v>
      </c>
      <c r="N2302" s="2" t="s">
        <v>2317</v>
      </c>
      <c r="O2302" s="14">
        <v>2200</v>
      </c>
      <c r="P2302" s="14">
        <v>93.73</v>
      </c>
      <c r="Q2302" s="14">
        <v>137.94</v>
      </c>
      <c r="R2302" s="14">
        <v>44.14</v>
      </c>
      <c r="S2302" s="2" t="s">
        <v>1350</v>
      </c>
      <c r="T2302" s="2">
        <v>1</v>
      </c>
      <c r="U2302" s="2">
        <v>59.1</v>
      </c>
      <c r="V2302" s="2">
        <v>61</v>
      </c>
      <c r="W2302" s="2" t="s">
        <v>7862</v>
      </c>
      <c r="X2302" s="2" t="s">
        <v>5405</v>
      </c>
      <c r="Y2302" s="2">
        <v>704</v>
      </c>
      <c r="Z2302" s="19" t="str">
        <f>HYPERLINK("https://ssdweb.co/ssdweb/hd/Vision360.html?d=926240703&amp;zoomslide=1&amp;z=1926240703&amp;ISCONFIRM=0","VIDEO")</f>
        <v>VIDEO</v>
      </c>
      <c r="AA2302" s="19" t="str">
        <f>HYPERLINK("https://ssdweb.co/ssdweb/CERTH/670484129.pdf","CERTI")</f>
        <v>CERTI</v>
      </c>
    </row>
    <row r="2303" spans="1:27" ht="15" x14ac:dyDescent="0.25">
      <c r="A2303" s="2">
        <v>2298</v>
      </c>
      <c r="B2303" s="39">
        <v>926240695</v>
      </c>
      <c r="C2303" s="28" t="str">
        <f>HYPERLINK("https://pld.live/RapDetail.aspx?STONELIST=926240695","DNA")</f>
        <v>DNA</v>
      </c>
      <c r="D2303" s="18" t="s">
        <v>7954</v>
      </c>
      <c r="E2303" s="18" t="s">
        <v>5128</v>
      </c>
      <c r="F2303" s="2" t="s">
        <v>7987</v>
      </c>
      <c r="G2303" s="2" t="s">
        <v>861</v>
      </c>
      <c r="H2303" s="14">
        <v>0.32</v>
      </c>
      <c r="I2303" s="2" t="s">
        <v>267</v>
      </c>
      <c r="J2303" s="2" t="s">
        <v>3942</v>
      </c>
      <c r="K2303" s="2" t="s">
        <v>5221</v>
      </c>
      <c r="L2303" s="2" t="s">
        <v>5221</v>
      </c>
      <c r="M2303" s="2" t="s">
        <v>5721</v>
      </c>
      <c r="N2303" s="2" t="s">
        <v>2317</v>
      </c>
      <c r="O2303" s="14">
        <v>2200</v>
      </c>
      <c r="P2303" s="14">
        <v>93.73</v>
      </c>
      <c r="Q2303" s="14">
        <v>137.94</v>
      </c>
      <c r="R2303" s="14">
        <v>44.14</v>
      </c>
      <c r="S2303" s="2" t="s">
        <v>5760</v>
      </c>
      <c r="T2303" s="2">
        <v>1.01</v>
      </c>
      <c r="U2303" s="2">
        <v>63.3</v>
      </c>
      <c r="V2303" s="2">
        <v>56</v>
      </c>
      <c r="W2303" s="2" t="s">
        <v>7862</v>
      </c>
      <c r="X2303" s="2" t="s">
        <v>5405</v>
      </c>
      <c r="Y2303" s="2">
        <v>704</v>
      </c>
      <c r="Z2303" s="19" t="str">
        <f>HYPERLINK("https://ssdweb.co/ssdweb/hd/Vision360.html?d=926240695&amp;zoomslide=1&amp;z=1926240695&amp;ISCONFIRM=0","VIDEO")</f>
        <v>VIDEO</v>
      </c>
      <c r="AA2303" s="19" t="str">
        <f>HYPERLINK("https://ssdweb.co/ssdweb/CERTH/642447912.pdf","CERTI")</f>
        <v>CERTI</v>
      </c>
    </row>
    <row r="2304" spans="1:27" ht="15" x14ac:dyDescent="0.25">
      <c r="A2304" s="2">
        <v>2299</v>
      </c>
      <c r="B2304" s="39">
        <v>926321001</v>
      </c>
      <c r="C2304" s="28" t="str">
        <f>HYPERLINK("https://pld.live/RapDetail.aspx?STONELIST=926321001","DNA")</f>
        <v>DNA</v>
      </c>
      <c r="D2304" s="18" t="s">
        <v>7954</v>
      </c>
      <c r="E2304" s="18" t="s">
        <v>5128</v>
      </c>
      <c r="F2304" s="2" t="s">
        <v>5597</v>
      </c>
      <c r="G2304" s="2" t="s">
        <v>861</v>
      </c>
      <c r="H2304" s="14">
        <v>0.32</v>
      </c>
      <c r="I2304" s="2" t="s">
        <v>267</v>
      </c>
      <c r="J2304" s="2" t="s">
        <v>3942</v>
      </c>
      <c r="K2304" s="2" t="s">
        <v>5221</v>
      </c>
      <c r="L2304" s="2" t="s">
        <v>5221</v>
      </c>
      <c r="M2304" s="2" t="s">
        <v>5721</v>
      </c>
      <c r="N2304" s="2" t="s">
        <v>2317</v>
      </c>
      <c r="O2304" s="14">
        <v>2200</v>
      </c>
      <c r="P2304" s="14">
        <v>86.23</v>
      </c>
      <c r="Q2304" s="14">
        <v>302.94</v>
      </c>
      <c r="R2304" s="14">
        <v>96.94</v>
      </c>
      <c r="S2304" s="2" t="s">
        <v>4554</v>
      </c>
      <c r="T2304" s="2">
        <v>1.01</v>
      </c>
      <c r="U2304" s="2">
        <v>61.4</v>
      </c>
      <c r="V2304" s="2">
        <v>57</v>
      </c>
      <c r="W2304" s="2" t="s">
        <v>7862</v>
      </c>
      <c r="X2304" s="2" t="s">
        <v>5405</v>
      </c>
      <c r="Y2304" s="2">
        <v>704</v>
      </c>
      <c r="Z2304" s="19" t="str">
        <f>HYPERLINK("https://ssdweb.co/ssdweb/hd/Vision360.html?d=926321001&amp;zoomslide=1&amp;z=1926321001&amp;ISCONFIRM=0","VIDEO")</f>
        <v>VIDEO</v>
      </c>
      <c r="AA2304" s="19" t="str">
        <f>HYPERLINK("https://ssdweb.co/ssdweb/CERTH/6491866501.pdf","CERTI")</f>
        <v>CERTI</v>
      </c>
    </row>
    <row r="2305" spans="1:27" ht="15" x14ac:dyDescent="0.25">
      <c r="A2305" s="2">
        <v>2300</v>
      </c>
      <c r="B2305" s="39">
        <v>926081149</v>
      </c>
      <c r="C2305" s="28" t="str">
        <f>HYPERLINK("https://pld.live/RapDetail.aspx?STONELIST=926081149","DNA")</f>
        <v>DNA</v>
      </c>
      <c r="D2305" s="18" t="s">
        <v>7954</v>
      </c>
      <c r="E2305" s="18" t="s">
        <v>5128</v>
      </c>
      <c r="F2305" s="2" t="s">
        <v>7987</v>
      </c>
      <c r="G2305" s="2" t="s">
        <v>861</v>
      </c>
      <c r="H2305" s="14">
        <v>0.32</v>
      </c>
      <c r="I2305" s="2" t="s">
        <v>267</v>
      </c>
      <c r="J2305" s="2" t="s">
        <v>3942</v>
      </c>
      <c r="K2305" s="2" t="s">
        <v>5221</v>
      </c>
      <c r="L2305" s="2" t="s">
        <v>5221</v>
      </c>
      <c r="M2305" s="2" t="s">
        <v>5721</v>
      </c>
      <c r="N2305" s="2" t="s">
        <v>2317</v>
      </c>
      <c r="O2305" s="14">
        <v>2200</v>
      </c>
      <c r="P2305" s="14">
        <v>93.73</v>
      </c>
      <c r="Q2305" s="14">
        <v>137.94</v>
      </c>
      <c r="R2305" s="14">
        <v>44.14</v>
      </c>
      <c r="S2305" s="2" t="s">
        <v>4286</v>
      </c>
      <c r="T2305" s="2">
        <v>1.01</v>
      </c>
      <c r="U2305" s="2">
        <v>62.6</v>
      </c>
      <c r="V2305" s="2">
        <v>60</v>
      </c>
      <c r="W2305" s="2" t="s">
        <v>7862</v>
      </c>
      <c r="X2305" s="2" t="s">
        <v>5405</v>
      </c>
      <c r="Y2305" s="2">
        <v>704</v>
      </c>
      <c r="Z2305" s="19" t="str">
        <f>HYPERLINK("https://ssdweb.co/ssdweb/hd/Vision360.html?d=926081149&amp;zoomslide=1&amp;z=1926081149&amp;ISCONFIRM=0","VIDEO")</f>
        <v>VIDEO</v>
      </c>
      <c r="AA2305" s="19" t="str">
        <f>HYPERLINK("https://ssdweb.co/ssdweb/CERTH/631429952.pdf","CERTI")</f>
        <v>CERTI</v>
      </c>
    </row>
    <row r="2306" spans="1:27" ht="15" x14ac:dyDescent="0.25">
      <c r="A2306" s="2">
        <v>2301</v>
      </c>
      <c r="B2306" s="39">
        <v>926191009</v>
      </c>
      <c r="C2306" s="28" t="str">
        <f>HYPERLINK("https://pld.live/RapDetail.aspx?STONELIST=926191009","DNA")</f>
        <v>DNA</v>
      </c>
      <c r="D2306" s="18" t="s">
        <v>7954</v>
      </c>
      <c r="E2306" s="18" t="s">
        <v>5128</v>
      </c>
      <c r="F2306" s="2" t="s">
        <v>7987</v>
      </c>
      <c r="G2306" s="2" t="s">
        <v>861</v>
      </c>
      <c r="H2306" s="14">
        <v>0.32</v>
      </c>
      <c r="I2306" s="2" t="s">
        <v>267</v>
      </c>
      <c r="J2306" s="2" t="s">
        <v>3942</v>
      </c>
      <c r="K2306" s="2" t="s">
        <v>5221</v>
      </c>
      <c r="L2306" s="2" t="s">
        <v>5221</v>
      </c>
      <c r="M2306" s="2" t="s">
        <v>5721</v>
      </c>
      <c r="N2306" s="2" t="s">
        <v>2317</v>
      </c>
      <c r="O2306" s="14">
        <v>2200</v>
      </c>
      <c r="P2306" s="14">
        <v>93.73</v>
      </c>
      <c r="Q2306" s="14">
        <v>137.94</v>
      </c>
      <c r="R2306" s="14">
        <v>44.14</v>
      </c>
      <c r="S2306" s="2" t="s">
        <v>1489</v>
      </c>
      <c r="T2306" s="2">
        <v>1.01</v>
      </c>
      <c r="U2306" s="2">
        <v>59.9</v>
      </c>
      <c r="V2306" s="2">
        <v>60</v>
      </c>
      <c r="W2306" s="2" t="s">
        <v>7862</v>
      </c>
      <c r="X2306" s="2" t="s">
        <v>5405</v>
      </c>
      <c r="Y2306" s="2">
        <v>704</v>
      </c>
      <c r="Z2306" s="19" t="str">
        <f>HYPERLINK("https://ssdweb.co/ssdweb/hd/Vision360.html?d=926191009&amp;zoomslide=1&amp;z=1926191009&amp;ISCONFIRM=0","VIDEO")</f>
        <v>VIDEO</v>
      </c>
      <c r="AA2306" s="19" t="str">
        <f>HYPERLINK("https://ssdweb.co/ssdweb/CERTH/636429669.pdf","CERTI")</f>
        <v>CERTI</v>
      </c>
    </row>
    <row r="2307" spans="1:27" ht="15" x14ac:dyDescent="0.25">
      <c r="A2307" s="2">
        <v>2302</v>
      </c>
      <c r="B2307" s="39">
        <v>927151128</v>
      </c>
      <c r="C2307" s="28" t="str">
        <f>HYPERLINK("https://pld.live/RapDetail.aspx?STONELIST=927151128","DNA")</f>
        <v>DNA</v>
      </c>
      <c r="D2307" s="18" t="s">
        <v>7954</v>
      </c>
      <c r="E2307" s="18" t="s">
        <v>5128</v>
      </c>
      <c r="F2307" s="2" t="s">
        <v>7987</v>
      </c>
      <c r="G2307" s="2" t="s">
        <v>861</v>
      </c>
      <c r="H2307" s="14">
        <v>0.32</v>
      </c>
      <c r="I2307" s="2" t="s">
        <v>267</v>
      </c>
      <c r="J2307" s="2" t="s">
        <v>3942</v>
      </c>
      <c r="K2307" s="2" t="s">
        <v>5221</v>
      </c>
      <c r="L2307" s="2" t="s">
        <v>5221</v>
      </c>
      <c r="M2307" s="2" t="s">
        <v>5721</v>
      </c>
      <c r="N2307" s="2" t="s">
        <v>2317</v>
      </c>
      <c r="O2307" s="14">
        <v>2200</v>
      </c>
      <c r="P2307" s="14">
        <v>93.73</v>
      </c>
      <c r="Q2307" s="14">
        <v>137.94</v>
      </c>
      <c r="R2307" s="14">
        <v>44.14</v>
      </c>
      <c r="S2307" s="2" t="s">
        <v>1226</v>
      </c>
      <c r="T2307" s="2">
        <v>1.01</v>
      </c>
      <c r="U2307" s="2">
        <v>60.6</v>
      </c>
      <c r="V2307" s="2">
        <v>55</v>
      </c>
      <c r="W2307" s="2" t="s">
        <v>7862</v>
      </c>
      <c r="X2307" s="2" t="s">
        <v>5405</v>
      </c>
      <c r="Y2307" s="2">
        <v>704</v>
      </c>
      <c r="Z2307" s="19" t="str">
        <f>HYPERLINK("https://ssdweb.co/ssdweb/hd/Vision360.html?d=927151128&amp;zoomslide=1&amp;z=1927151128&amp;ISCONFIRM=0","VIDEO")</f>
        <v>VIDEO</v>
      </c>
      <c r="AA2307" s="19" t="str">
        <f>HYPERLINK("https://ssdweb.co/ssdweb/CERTH/668446507.pdf","CERTI")</f>
        <v>CERTI</v>
      </c>
    </row>
    <row r="2308" spans="1:27" ht="15" x14ac:dyDescent="0.25">
      <c r="A2308" s="2">
        <v>2303</v>
      </c>
      <c r="B2308" s="39">
        <v>926661626</v>
      </c>
      <c r="C2308" s="28" t="str">
        <f>HYPERLINK("https://pld.live/RapDetail.aspx?STONELIST=926661626","DNA")</f>
        <v>DNA</v>
      </c>
      <c r="D2308" s="18" t="s">
        <v>7954</v>
      </c>
      <c r="E2308" s="18" t="s">
        <v>5128</v>
      </c>
      <c r="F2308" s="2" t="s">
        <v>7987</v>
      </c>
      <c r="G2308" s="2" t="s">
        <v>861</v>
      </c>
      <c r="H2308" s="14">
        <v>0.32</v>
      </c>
      <c r="I2308" s="2" t="s">
        <v>267</v>
      </c>
      <c r="J2308" s="2" t="s">
        <v>3942</v>
      </c>
      <c r="K2308" s="2" t="s">
        <v>5221</v>
      </c>
      <c r="L2308" s="2" t="s">
        <v>5721</v>
      </c>
      <c r="M2308" s="2" t="s">
        <v>5221</v>
      </c>
      <c r="N2308" s="2" t="s">
        <v>2317</v>
      </c>
      <c r="O2308" s="14">
        <v>2200</v>
      </c>
      <c r="P2308" s="14">
        <v>93.73</v>
      </c>
      <c r="Q2308" s="14">
        <v>137.94</v>
      </c>
      <c r="R2308" s="14">
        <v>44.14</v>
      </c>
      <c r="S2308" s="2" t="s">
        <v>4828</v>
      </c>
      <c r="T2308" s="2">
        <v>1.01</v>
      </c>
      <c r="U2308" s="2">
        <v>60.2</v>
      </c>
      <c r="V2308" s="2">
        <v>58</v>
      </c>
      <c r="W2308" s="2" t="s">
        <v>7862</v>
      </c>
      <c r="X2308" s="2" t="s">
        <v>5405</v>
      </c>
      <c r="Y2308" s="2">
        <v>704</v>
      </c>
      <c r="Z2308" s="19" t="str">
        <f>HYPERLINK("https://ssdweb.co/ssdweb/hd/Vision360.html?d=926661626&amp;zoomslide=1&amp;z=1926661626&amp;ISCONFIRM=0","VIDEO")</f>
        <v>VIDEO</v>
      </c>
      <c r="AA2308" s="19" t="str">
        <f>HYPERLINK("https://ssdweb.co/ssdweb/CERTH/652467388.pdf","CERTI")</f>
        <v>CERTI</v>
      </c>
    </row>
    <row r="2309" spans="1:27" ht="15" x14ac:dyDescent="0.25">
      <c r="A2309" s="2">
        <v>2304</v>
      </c>
      <c r="B2309" s="39">
        <v>926231041</v>
      </c>
      <c r="C2309" s="28" t="str">
        <f>HYPERLINK("https://pld.live/RapDetail.aspx?STONELIST=926231041","DNA")</f>
        <v>DNA</v>
      </c>
      <c r="D2309" s="18" t="s">
        <v>7954</v>
      </c>
      <c r="E2309" s="18" t="s">
        <v>5128</v>
      </c>
      <c r="F2309" s="2" t="s">
        <v>7987</v>
      </c>
      <c r="G2309" s="2" t="s">
        <v>861</v>
      </c>
      <c r="H2309" s="14">
        <v>0.32</v>
      </c>
      <c r="I2309" s="2" t="s">
        <v>267</v>
      </c>
      <c r="J2309" s="2" t="s">
        <v>3942</v>
      </c>
      <c r="K2309" s="2" t="s">
        <v>5221</v>
      </c>
      <c r="L2309" s="2" t="s">
        <v>5721</v>
      </c>
      <c r="M2309" s="2" t="s">
        <v>5221</v>
      </c>
      <c r="N2309" s="2" t="s">
        <v>2317</v>
      </c>
      <c r="O2309" s="14">
        <v>2200</v>
      </c>
      <c r="P2309" s="14">
        <v>93.73</v>
      </c>
      <c r="Q2309" s="14">
        <v>137.94</v>
      </c>
      <c r="R2309" s="14">
        <v>44.14</v>
      </c>
      <c r="S2309" s="2" t="s">
        <v>3335</v>
      </c>
      <c r="T2309" s="2">
        <v>1.01</v>
      </c>
      <c r="U2309" s="2">
        <v>62.7</v>
      </c>
      <c r="V2309" s="2">
        <v>57</v>
      </c>
      <c r="W2309" s="2" t="s">
        <v>7862</v>
      </c>
      <c r="X2309" s="2" t="s">
        <v>5405</v>
      </c>
      <c r="Y2309" s="2">
        <v>704</v>
      </c>
      <c r="Z2309" s="19" t="str">
        <f>HYPERLINK("https://ssdweb.co/ssdweb/hd/Vision360.html?d=926231041&amp;zoomslide=1&amp;z=1926231041&amp;ISCONFIRM=0","VIDEO")</f>
        <v>VIDEO</v>
      </c>
      <c r="AA2309" s="19" t="str">
        <f>HYPERLINK("https://ssdweb.co/ssdweb/CERTH/639413052.pdf","CERTI")</f>
        <v>CERTI</v>
      </c>
    </row>
    <row r="2310" spans="1:27" ht="15" x14ac:dyDescent="0.25">
      <c r="A2310" s="2">
        <v>2305</v>
      </c>
      <c r="B2310" s="39">
        <v>926320957</v>
      </c>
      <c r="C2310" s="28" t="str">
        <f>HYPERLINK("https://pld.live/RapDetail.aspx?STONELIST=926320957","DNA")</f>
        <v>DNA</v>
      </c>
      <c r="D2310" s="18" t="s">
        <v>7954</v>
      </c>
      <c r="E2310" s="18" t="s">
        <v>5128</v>
      </c>
      <c r="F2310" s="2" t="s">
        <v>5597</v>
      </c>
      <c r="G2310" s="2" t="s">
        <v>861</v>
      </c>
      <c r="H2310" s="14">
        <v>0.32</v>
      </c>
      <c r="I2310" s="2" t="s">
        <v>267</v>
      </c>
      <c r="J2310" s="2" t="s">
        <v>3942</v>
      </c>
      <c r="K2310" s="2" t="s">
        <v>5221</v>
      </c>
      <c r="L2310" s="2" t="s">
        <v>5721</v>
      </c>
      <c r="M2310" s="2" t="s">
        <v>5221</v>
      </c>
      <c r="N2310" s="2" t="s">
        <v>2317</v>
      </c>
      <c r="O2310" s="14">
        <v>2200</v>
      </c>
      <c r="P2310" s="14">
        <v>86.23</v>
      </c>
      <c r="Q2310" s="14">
        <v>302.94</v>
      </c>
      <c r="R2310" s="14">
        <v>96.94</v>
      </c>
      <c r="S2310" s="2" t="s">
        <v>4969</v>
      </c>
      <c r="T2310" s="2">
        <v>1.01</v>
      </c>
      <c r="U2310" s="2">
        <v>61.5</v>
      </c>
      <c r="V2310" s="2">
        <v>58</v>
      </c>
      <c r="W2310" s="2" t="s">
        <v>7862</v>
      </c>
      <c r="X2310" s="2" t="s">
        <v>5405</v>
      </c>
      <c r="Y2310" s="2">
        <v>704</v>
      </c>
      <c r="Z2310" s="19" t="str">
        <f>HYPERLINK("https://ssdweb.co/ssdweb/hd/Vision360.html?d=926320957&amp;zoomslide=1&amp;z=1926320957&amp;ISCONFIRM=0","VIDEO")</f>
        <v>VIDEO</v>
      </c>
      <c r="AA2310" s="19" t="str">
        <f>HYPERLINK("https://ssdweb.co/ssdweb/CERTH/6491866427.pdf","CERTI")</f>
        <v>CERTI</v>
      </c>
    </row>
    <row r="2311" spans="1:27" ht="15" x14ac:dyDescent="0.25">
      <c r="A2311" s="2">
        <v>2306</v>
      </c>
      <c r="B2311" s="39">
        <v>926320996</v>
      </c>
      <c r="C2311" s="28" t="str">
        <f>HYPERLINK("https://pld.live/RapDetail.aspx?STONELIST=926320996","DNA")</f>
        <v>DNA</v>
      </c>
      <c r="D2311" s="18" t="s">
        <v>7954</v>
      </c>
      <c r="E2311" s="18" t="s">
        <v>5128</v>
      </c>
      <c r="F2311" s="2" t="s">
        <v>5597</v>
      </c>
      <c r="G2311" s="2" t="s">
        <v>861</v>
      </c>
      <c r="H2311" s="14">
        <v>0.32</v>
      </c>
      <c r="I2311" s="2" t="s">
        <v>267</v>
      </c>
      <c r="J2311" s="2" t="s">
        <v>3942</v>
      </c>
      <c r="K2311" s="2" t="s">
        <v>5221</v>
      </c>
      <c r="L2311" s="2" t="s">
        <v>5721</v>
      </c>
      <c r="M2311" s="2" t="s">
        <v>5221</v>
      </c>
      <c r="N2311" s="2" t="s">
        <v>2317</v>
      </c>
      <c r="O2311" s="14">
        <v>2200</v>
      </c>
      <c r="P2311" s="14">
        <v>86.23</v>
      </c>
      <c r="Q2311" s="14">
        <v>302.94</v>
      </c>
      <c r="R2311" s="14">
        <v>96.94</v>
      </c>
      <c r="S2311" s="2" t="s">
        <v>4969</v>
      </c>
      <c r="T2311" s="2">
        <v>1.01</v>
      </c>
      <c r="U2311" s="2">
        <v>61.5</v>
      </c>
      <c r="V2311" s="2">
        <v>57</v>
      </c>
      <c r="W2311" s="2" t="s">
        <v>7862</v>
      </c>
      <c r="X2311" s="2" t="s">
        <v>5405</v>
      </c>
      <c r="Y2311" s="2">
        <v>704</v>
      </c>
      <c r="Z2311" s="19" t="str">
        <f>HYPERLINK("https://ssdweb.co/ssdweb/hd/Vision360.html?d=926320996&amp;zoomslide=1&amp;z=1926320996&amp;ISCONFIRM=0","VIDEO")</f>
        <v>VIDEO</v>
      </c>
      <c r="AA2311" s="19" t="str">
        <f>HYPERLINK("https://ssdweb.co/ssdweb/CERTH/1498866908.pdf","CERTI")</f>
        <v>CERTI</v>
      </c>
    </row>
    <row r="2312" spans="1:27" ht="15" x14ac:dyDescent="0.25">
      <c r="A2312" s="2">
        <v>2307</v>
      </c>
      <c r="B2312" s="39">
        <v>926141013</v>
      </c>
      <c r="C2312" s="28" t="str">
        <f>HYPERLINK("https://pld.live/RapDetail.aspx?STONELIST=926141013","DNA")</f>
        <v>DNA</v>
      </c>
      <c r="D2312" s="18" t="s">
        <v>7954</v>
      </c>
      <c r="E2312" s="18" t="s">
        <v>5128</v>
      </c>
      <c r="F2312" s="2" t="s">
        <v>7987</v>
      </c>
      <c r="G2312" s="2" t="s">
        <v>861</v>
      </c>
      <c r="H2312" s="14">
        <v>0.32</v>
      </c>
      <c r="I2312" s="2" t="s">
        <v>267</v>
      </c>
      <c r="J2312" s="2" t="s">
        <v>3942</v>
      </c>
      <c r="K2312" s="2" t="s">
        <v>5221</v>
      </c>
      <c r="L2312" s="2" t="s">
        <v>5721</v>
      </c>
      <c r="M2312" s="2" t="s">
        <v>5221</v>
      </c>
      <c r="N2312" s="2" t="s">
        <v>2317</v>
      </c>
      <c r="O2312" s="14">
        <v>2200</v>
      </c>
      <c r="P2312" s="14">
        <v>93.73</v>
      </c>
      <c r="Q2312" s="14">
        <v>137.94</v>
      </c>
      <c r="R2312" s="14">
        <v>44.14</v>
      </c>
      <c r="S2312" s="2" t="s">
        <v>3357</v>
      </c>
      <c r="T2312" s="2">
        <v>1.01</v>
      </c>
      <c r="U2312" s="2">
        <v>61.3</v>
      </c>
      <c r="V2312" s="2">
        <v>58</v>
      </c>
      <c r="W2312" s="2" t="s">
        <v>7862</v>
      </c>
      <c r="X2312" s="2" t="s">
        <v>5405</v>
      </c>
      <c r="Y2312" s="2">
        <v>704</v>
      </c>
      <c r="Z2312" s="19" t="str">
        <f>HYPERLINK("https://ssdweb.co/ssdweb/hd/Vision360.html?d=926141013&amp;zoomslide=1&amp;z=1926141013&amp;ISCONFIRM=0","VIDEO")</f>
        <v>VIDEO</v>
      </c>
      <c r="AA2312" s="19" t="str">
        <f>HYPERLINK("https://ssdweb.co/ssdweb/CERTH/633490450.pdf","CERTI")</f>
        <v>CERTI</v>
      </c>
    </row>
    <row r="2313" spans="1:27" ht="15" x14ac:dyDescent="0.25">
      <c r="A2313" s="2">
        <v>2308</v>
      </c>
      <c r="B2313" s="39">
        <v>926261425</v>
      </c>
      <c r="C2313" s="28" t="str">
        <f>HYPERLINK("https://pld.live/RapDetail.aspx?STONELIST=926261425","DNA")</f>
        <v>DNA</v>
      </c>
      <c r="D2313" s="18" t="s">
        <v>7954</v>
      </c>
      <c r="E2313" s="18" t="s">
        <v>5128</v>
      </c>
      <c r="F2313" s="2" t="s">
        <v>7987</v>
      </c>
      <c r="G2313" s="2" t="s">
        <v>861</v>
      </c>
      <c r="H2313" s="14">
        <v>0.32</v>
      </c>
      <c r="I2313" s="2" t="s">
        <v>267</v>
      </c>
      <c r="J2313" s="2" t="s">
        <v>3942</v>
      </c>
      <c r="K2313" s="2" t="s">
        <v>5221</v>
      </c>
      <c r="L2313" s="2" t="s">
        <v>5721</v>
      </c>
      <c r="M2313" s="2" t="s">
        <v>5721</v>
      </c>
      <c r="N2313" s="2" t="s">
        <v>2317</v>
      </c>
      <c r="O2313" s="14">
        <v>2200</v>
      </c>
      <c r="P2313" s="14">
        <v>93.82</v>
      </c>
      <c r="Q2313" s="14">
        <v>135.96</v>
      </c>
      <c r="R2313" s="14">
        <v>43.51</v>
      </c>
      <c r="S2313" s="2" t="s">
        <v>7845</v>
      </c>
      <c r="T2313" s="2">
        <v>1.01</v>
      </c>
      <c r="U2313" s="2">
        <v>61.7</v>
      </c>
      <c r="V2313" s="2">
        <v>61</v>
      </c>
      <c r="W2313" s="2" t="s">
        <v>7862</v>
      </c>
      <c r="X2313" s="2" t="s">
        <v>5405</v>
      </c>
      <c r="Y2313" s="2">
        <v>704</v>
      </c>
      <c r="Z2313" s="19" t="str">
        <f>HYPERLINK("https://ssdweb.co/ssdweb/hd/Vision360.html?d=926261425&amp;zoomslide=1&amp;z=1926261425&amp;ISCONFIRM=0","VIDEO")</f>
        <v>VIDEO</v>
      </c>
      <c r="AA2313" s="19" t="str">
        <f>HYPERLINK("https://ssdweb.co/ssdweb/CERTH/644472257.pdf","CERTI")</f>
        <v>CERTI</v>
      </c>
    </row>
    <row r="2314" spans="1:27" ht="15" x14ac:dyDescent="0.25">
      <c r="A2314" s="2">
        <v>2309</v>
      </c>
      <c r="B2314" s="39">
        <v>926430894</v>
      </c>
      <c r="C2314" s="28" t="str">
        <f>HYPERLINK("https://pld.live/RapDetail.aspx?STONELIST=926430894","DNA")</f>
        <v>DNA</v>
      </c>
      <c r="D2314" s="18" t="s">
        <v>7954</v>
      </c>
      <c r="E2314" s="18" t="s">
        <v>5128</v>
      </c>
      <c r="F2314" s="2" t="s">
        <v>7987</v>
      </c>
      <c r="G2314" s="2" t="s">
        <v>861</v>
      </c>
      <c r="H2314" s="14">
        <v>0.32</v>
      </c>
      <c r="I2314" s="2" t="s">
        <v>267</v>
      </c>
      <c r="J2314" s="2" t="s">
        <v>3942</v>
      </c>
      <c r="K2314" s="2" t="s">
        <v>5221</v>
      </c>
      <c r="L2314" s="2" t="s">
        <v>5721</v>
      </c>
      <c r="M2314" s="2" t="s">
        <v>5721</v>
      </c>
      <c r="N2314" s="2" t="s">
        <v>2317</v>
      </c>
      <c r="O2314" s="14">
        <v>2200</v>
      </c>
      <c r="P2314" s="14">
        <v>93.82</v>
      </c>
      <c r="Q2314" s="14">
        <v>135.96</v>
      </c>
      <c r="R2314" s="14">
        <v>43.51</v>
      </c>
      <c r="S2314" s="2" t="s">
        <v>7453</v>
      </c>
      <c r="T2314" s="2">
        <v>1.01</v>
      </c>
      <c r="U2314" s="2">
        <v>62.1</v>
      </c>
      <c r="V2314" s="2">
        <v>60</v>
      </c>
      <c r="W2314" s="2" t="s">
        <v>7862</v>
      </c>
      <c r="X2314" s="2" t="s">
        <v>5405</v>
      </c>
      <c r="Y2314" s="2">
        <v>704</v>
      </c>
      <c r="Z2314" s="19" t="str">
        <f>HYPERLINK("https://ssdweb.co/ssdweb/hd/Vision360.html?d=926430894&amp;zoomslide=1&amp;z=1926430894&amp;ISCONFIRM=0","VIDEO")</f>
        <v>VIDEO</v>
      </c>
      <c r="AA2314" s="19" t="str">
        <f>HYPERLINK("https://ssdweb.co/ssdweb/CERTH/692533945.pdf","CERTI")</f>
        <v>CERTI</v>
      </c>
    </row>
    <row r="2315" spans="1:27" ht="15" x14ac:dyDescent="0.25">
      <c r="A2315" s="2">
        <v>2310</v>
      </c>
      <c r="B2315" s="39">
        <v>926181045</v>
      </c>
      <c r="C2315" s="28" t="str">
        <f>HYPERLINK("https://pld.live/RapDetail.aspx?STONELIST=926181045","DNA")</f>
        <v>DNA</v>
      </c>
      <c r="D2315" s="18" t="s">
        <v>7954</v>
      </c>
      <c r="E2315" s="18" t="s">
        <v>5128</v>
      </c>
      <c r="F2315" s="2" t="s">
        <v>7987</v>
      </c>
      <c r="G2315" s="2" t="s">
        <v>861</v>
      </c>
      <c r="H2315" s="14">
        <v>0.32</v>
      </c>
      <c r="I2315" s="2" t="s">
        <v>267</v>
      </c>
      <c r="J2315" s="2" t="s">
        <v>3942</v>
      </c>
      <c r="K2315" s="2" t="s">
        <v>5221</v>
      </c>
      <c r="L2315" s="2" t="s">
        <v>5721</v>
      </c>
      <c r="M2315" s="2" t="s">
        <v>5721</v>
      </c>
      <c r="N2315" s="2" t="s">
        <v>2317</v>
      </c>
      <c r="O2315" s="14">
        <v>2200</v>
      </c>
      <c r="P2315" s="14">
        <v>93.82</v>
      </c>
      <c r="Q2315" s="14">
        <v>135.96</v>
      </c>
      <c r="R2315" s="14">
        <v>43.51</v>
      </c>
      <c r="S2315" s="2" t="s">
        <v>3483</v>
      </c>
      <c r="T2315" s="2">
        <v>1.01</v>
      </c>
      <c r="U2315" s="2">
        <v>62.6</v>
      </c>
      <c r="V2315" s="2">
        <v>57</v>
      </c>
      <c r="W2315" s="2" t="s">
        <v>7862</v>
      </c>
      <c r="X2315" s="2" t="s">
        <v>5405</v>
      </c>
      <c r="Y2315" s="2">
        <v>704</v>
      </c>
      <c r="Z2315" s="19" t="str">
        <f>HYPERLINK("https://ssdweb.co/ssdweb/hd/Vision360.html?d=926181045&amp;zoomslide=1&amp;z=1926181045&amp;ISCONFIRM=0","VIDEO")</f>
        <v>VIDEO</v>
      </c>
      <c r="AA2315" s="19" t="str">
        <f>HYPERLINK("https://ssdweb.co/ssdweb/CERTH/636430021.pdf","CERTI")</f>
        <v>CERTI</v>
      </c>
    </row>
    <row r="2316" spans="1:27" ht="15" x14ac:dyDescent="0.25">
      <c r="A2316" s="2">
        <v>2311</v>
      </c>
      <c r="B2316" s="39">
        <v>926190940</v>
      </c>
      <c r="C2316" s="28" t="str">
        <f>HYPERLINK("https://pld.live/RapDetail.aspx?STONELIST=926190940","DNA")</f>
        <v>DNA</v>
      </c>
      <c r="D2316" s="18" t="s">
        <v>7954</v>
      </c>
      <c r="E2316" s="18" t="s">
        <v>5128</v>
      </c>
      <c r="F2316" s="2" t="s">
        <v>7987</v>
      </c>
      <c r="G2316" s="2" t="s">
        <v>861</v>
      </c>
      <c r="H2316" s="14">
        <v>0.32</v>
      </c>
      <c r="I2316" s="2" t="s">
        <v>267</v>
      </c>
      <c r="J2316" s="2" t="s">
        <v>3942</v>
      </c>
      <c r="K2316" s="2" t="s">
        <v>5721</v>
      </c>
      <c r="L2316" s="2" t="s">
        <v>5221</v>
      </c>
      <c r="M2316" s="2" t="s">
        <v>5221</v>
      </c>
      <c r="N2316" s="2" t="s">
        <v>2317</v>
      </c>
      <c r="O2316" s="14">
        <v>2200</v>
      </c>
      <c r="P2316" s="14">
        <v>93.95</v>
      </c>
      <c r="Q2316" s="14">
        <v>133.1</v>
      </c>
      <c r="R2316" s="14">
        <v>42.59</v>
      </c>
      <c r="S2316" s="2" t="s">
        <v>3038</v>
      </c>
      <c r="T2316" s="2">
        <v>1.01</v>
      </c>
      <c r="U2316" s="2">
        <v>62.3</v>
      </c>
      <c r="V2316" s="2">
        <v>59</v>
      </c>
      <c r="W2316" s="2" t="s">
        <v>7862</v>
      </c>
      <c r="X2316" s="2" t="s">
        <v>5405</v>
      </c>
      <c r="Y2316" s="2">
        <v>704</v>
      </c>
      <c r="Z2316" s="19" t="str">
        <f>HYPERLINK("https://ssdweb.co/ssdweb/hd/Vision360.html?d=926190940&amp;zoomslide=1&amp;z=1926190940&amp;ISCONFIRM=0","VIDEO")</f>
        <v>VIDEO</v>
      </c>
      <c r="AA2316" s="19" t="str">
        <f>HYPERLINK("https://ssdweb.co/ssdweb/CERTH/636429719.pdf","CERTI")</f>
        <v>CERTI</v>
      </c>
    </row>
    <row r="2317" spans="1:27" ht="15" x14ac:dyDescent="0.25">
      <c r="A2317" s="2">
        <v>2312</v>
      </c>
      <c r="B2317" s="39">
        <v>941300086</v>
      </c>
      <c r="C2317" s="28" t="str">
        <f>HYPERLINK("https://pld.live/RapDetail.aspx?STONELIST=941300086","DNA")</f>
        <v>DNA</v>
      </c>
      <c r="D2317" s="18" t="s">
        <v>7954</v>
      </c>
      <c r="E2317" s="18" t="s">
        <v>2186</v>
      </c>
      <c r="F2317" s="2" t="s">
        <v>7987</v>
      </c>
      <c r="G2317" s="2" t="s">
        <v>861</v>
      </c>
      <c r="H2317" s="14">
        <v>0.32</v>
      </c>
      <c r="I2317" s="2" t="s">
        <v>267</v>
      </c>
      <c r="J2317" s="2" t="s">
        <v>13</v>
      </c>
      <c r="K2317" s="2" t="s">
        <v>3390</v>
      </c>
      <c r="L2317" s="2" t="s">
        <v>5221</v>
      </c>
      <c r="M2317" s="2" t="s">
        <v>5221</v>
      </c>
      <c r="N2317" s="2" t="s">
        <v>2317</v>
      </c>
      <c r="O2317" s="14">
        <v>2000</v>
      </c>
      <c r="P2317" s="14">
        <v>93.1</v>
      </c>
      <c r="Q2317" s="14">
        <v>138</v>
      </c>
      <c r="R2317" s="14">
        <v>44.16</v>
      </c>
      <c r="S2317" s="2" t="s">
        <v>4969</v>
      </c>
      <c r="T2317" s="2">
        <v>1.01</v>
      </c>
      <c r="U2317" s="2">
        <v>61.5</v>
      </c>
      <c r="V2317" s="2">
        <v>59</v>
      </c>
      <c r="W2317" s="2" t="s">
        <v>7862</v>
      </c>
      <c r="X2317" s="2" t="s">
        <v>5405</v>
      </c>
      <c r="Y2317" s="2">
        <v>640</v>
      </c>
      <c r="Z2317" s="19" t="str">
        <f>HYPERLINK("https://ssdweb.co/ssdweb/hd/Vision360.html?d=941300086&amp;zoomslide=1&amp;z=1941300086&amp;ISCONFIRM=0","VIDEO")</f>
        <v>VIDEO</v>
      </c>
      <c r="AA2317" s="19" t="str">
        <f>HYPERLINK("https://ssdweb.co/ssdweb/CERTH/689587243.pdf","CERTI")</f>
        <v>CERTI</v>
      </c>
    </row>
    <row r="2318" spans="1:27" ht="15" x14ac:dyDescent="0.25">
      <c r="A2318" s="2">
        <v>2313</v>
      </c>
      <c r="B2318" s="39">
        <v>926391219</v>
      </c>
      <c r="C2318" s="28" t="str">
        <f>HYPERLINK("https://pld.live/RapDetail.aspx?STONELIST=926391219","DNA")</f>
        <v>DNA</v>
      </c>
      <c r="D2318" s="18" t="s">
        <v>7954</v>
      </c>
      <c r="E2318" s="18" t="s">
        <v>5128</v>
      </c>
      <c r="F2318" s="2" t="s">
        <v>7987</v>
      </c>
      <c r="G2318" s="2" t="s">
        <v>861</v>
      </c>
      <c r="H2318" s="14">
        <v>0.32</v>
      </c>
      <c r="I2318" s="2" t="s">
        <v>267</v>
      </c>
      <c r="J2318" s="2" t="s">
        <v>13</v>
      </c>
      <c r="K2318" s="2" t="s">
        <v>3390</v>
      </c>
      <c r="L2318" s="2" t="s">
        <v>5221</v>
      </c>
      <c r="M2318" s="2" t="s">
        <v>5221</v>
      </c>
      <c r="N2318" s="2" t="s">
        <v>2317</v>
      </c>
      <c r="O2318" s="14">
        <v>2000</v>
      </c>
      <c r="P2318" s="14">
        <v>93.1</v>
      </c>
      <c r="Q2318" s="14">
        <v>138</v>
      </c>
      <c r="R2318" s="14">
        <v>44.16</v>
      </c>
      <c r="S2318" s="2" t="s">
        <v>7393</v>
      </c>
      <c r="T2318" s="2">
        <v>1</v>
      </c>
      <c r="U2318" s="2">
        <v>61.8</v>
      </c>
      <c r="V2318" s="2">
        <v>56</v>
      </c>
      <c r="W2318" s="2" t="s">
        <v>7862</v>
      </c>
      <c r="X2318" s="2" t="s">
        <v>5405</v>
      </c>
      <c r="Y2318" s="2">
        <v>640</v>
      </c>
      <c r="Z2318" s="19" t="str">
        <f>HYPERLINK("https://ssdweb.co/ssdweb/hd/Vision360.html?d=926391219&amp;zoomslide=1&amp;z=1926391219&amp;ISCONFIRM=0","VIDEO")</f>
        <v>VIDEO</v>
      </c>
      <c r="AA2318" s="19" t="str">
        <f>HYPERLINK("https://ssdweb.co/ssdweb/CERTH/692533981.pdf","CERTI")</f>
        <v>CERTI</v>
      </c>
    </row>
    <row r="2319" spans="1:27" ht="15" x14ac:dyDescent="0.25">
      <c r="A2319" s="2">
        <v>2314</v>
      </c>
      <c r="B2319" s="39">
        <v>926391216</v>
      </c>
      <c r="C2319" s="28" t="str">
        <f>HYPERLINK("https://pld.live/RapDetail.aspx?STONELIST=926391216","DNA")</f>
        <v>DNA</v>
      </c>
      <c r="D2319" s="18" t="s">
        <v>7954</v>
      </c>
      <c r="E2319" s="18" t="s">
        <v>5128</v>
      </c>
      <c r="F2319" s="2" t="s">
        <v>7987</v>
      </c>
      <c r="G2319" s="2" t="s">
        <v>861</v>
      </c>
      <c r="H2319" s="14">
        <v>0.32</v>
      </c>
      <c r="I2319" s="2" t="s">
        <v>267</v>
      </c>
      <c r="J2319" s="2" t="s">
        <v>13</v>
      </c>
      <c r="K2319" s="2" t="s">
        <v>3390</v>
      </c>
      <c r="L2319" s="2" t="s">
        <v>5221</v>
      </c>
      <c r="M2319" s="2" t="s">
        <v>5221</v>
      </c>
      <c r="N2319" s="2" t="s">
        <v>2317</v>
      </c>
      <c r="O2319" s="14">
        <v>2000</v>
      </c>
      <c r="P2319" s="14">
        <v>93.1</v>
      </c>
      <c r="Q2319" s="14">
        <v>138</v>
      </c>
      <c r="R2319" s="14">
        <v>44.16</v>
      </c>
      <c r="S2319" s="2" t="s">
        <v>129</v>
      </c>
      <c r="T2319" s="2">
        <v>1</v>
      </c>
      <c r="U2319" s="2">
        <v>62.1</v>
      </c>
      <c r="V2319" s="2">
        <v>57</v>
      </c>
      <c r="W2319" s="2" t="s">
        <v>7862</v>
      </c>
      <c r="X2319" s="2" t="s">
        <v>5405</v>
      </c>
      <c r="Y2319" s="2">
        <v>640</v>
      </c>
      <c r="Z2319" s="19" t="str">
        <f>HYPERLINK("https://ssdweb.co/ssdweb/hd/Vision360.html?d=926391216&amp;zoomslide=1&amp;z=1926391216&amp;ISCONFIRM=0","VIDEO")</f>
        <v>VIDEO</v>
      </c>
      <c r="AA2319" s="19" t="str">
        <f>HYPERLINK("https://ssdweb.co/ssdweb/CERTH/692533980.pdf","CERTI")</f>
        <v>CERTI</v>
      </c>
    </row>
    <row r="2320" spans="1:27" ht="15" x14ac:dyDescent="0.25">
      <c r="A2320" s="2">
        <v>2315</v>
      </c>
      <c r="B2320" s="39">
        <v>941360341</v>
      </c>
      <c r="C2320" s="28" t="str">
        <f>HYPERLINK("https://pld.live/RapDetail.aspx?STONELIST=941360341","DNA")</f>
        <v>DNA</v>
      </c>
      <c r="D2320" s="18" t="s">
        <v>7954</v>
      </c>
      <c r="E2320" s="18" t="s">
        <v>2186</v>
      </c>
      <c r="F2320" s="2" t="s">
        <v>7987</v>
      </c>
      <c r="G2320" s="2" t="s">
        <v>861</v>
      </c>
      <c r="H2320" s="14">
        <v>0.32</v>
      </c>
      <c r="I2320" s="2" t="s">
        <v>267</v>
      </c>
      <c r="J2320" s="2" t="s">
        <v>13</v>
      </c>
      <c r="K2320" s="2" t="s">
        <v>3390</v>
      </c>
      <c r="L2320" s="2" t="s">
        <v>5221</v>
      </c>
      <c r="M2320" s="2" t="s">
        <v>5221</v>
      </c>
      <c r="N2320" s="2" t="s">
        <v>2317</v>
      </c>
      <c r="O2320" s="14">
        <v>2000</v>
      </c>
      <c r="P2320" s="14">
        <v>93.1</v>
      </c>
      <c r="Q2320" s="14">
        <v>138</v>
      </c>
      <c r="R2320" s="14">
        <v>44.16</v>
      </c>
      <c r="S2320" s="2" t="s">
        <v>5583</v>
      </c>
      <c r="T2320" s="2">
        <v>1</v>
      </c>
      <c r="U2320" s="2">
        <v>61.9</v>
      </c>
      <c r="V2320" s="2">
        <v>59</v>
      </c>
      <c r="W2320" s="2" t="s">
        <v>7862</v>
      </c>
      <c r="X2320" s="2" t="s">
        <v>5405</v>
      </c>
      <c r="Y2320" s="2">
        <v>640</v>
      </c>
      <c r="Z2320" s="19" t="str">
        <f>HYPERLINK("https://ssdweb.co/ssdweb/hd/Vision360.html?d=941360341&amp;zoomslide=1&amp;z=1941360341&amp;ISCONFIRM=0","VIDEO")</f>
        <v>VIDEO</v>
      </c>
      <c r="AA2320" s="19" t="str">
        <f>HYPERLINK("https://ssdweb.co/ssdweb/CERTH/689587187.pdf","CERTI")</f>
        <v>CERTI</v>
      </c>
    </row>
    <row r="2321" spans="1:27" ht="15" x14ac:dyDescent="0.25">
      <c r="A2321" s="2">
        <v>2316</v>
      </c>
      <c r="B2321" s="39">
        <v>941330314</v>
      </c>
      <c r="C2321" s="28" t="str">
        <f>HYPERLINK("https://pld.live/RapDetail.aspx?STONELIST=941330314","DNA")</f>
        <v>DNA</v>
      </c>
      <c r="D2321" s="18" t="s">
        <v>7954</v>
      </c>
      <c r="E2321" s="18" t="s">
        <v>2186</v>
      </c>
      <c r="F2321" s="2" t="s">
        <v>7987</v>
      </c>
      <c r="G2321" s="2" t="s">
        <v>861</v>
      </c>
      <c r="H2321" s="14">
        <v>0.32</v>
      </c>
      <c r="I2321" s="2" t="s">
        <v>267</v>
      </c>
      <c r="J2321" s="2" t="s">
        <v>13</v>
      </c>
      <c r="K2321" s="2" t="s">
        <v>3390</v>
      </c>
      <c r="L2321" s="2" t="s">
        <v>5221</v>
      </c>
      <c r="M2321" s="2" t="s">
        <v>5221</v>
      </c>
      <c r="N2321" s="2" t="s">
        <v>2317</v>
      </c>
      <c r="O2321" s="14">
        <v>2000</v>
      </c>
      <c r="P2321" s="14">
        <v>93.1</v>
      </c>
      <c r="Q2321" s="14">
        <v>138</v>
      </c>
      <c r="R2321" s="14">
        <v>44.16</v>
      </c>
      <c r="S2321" s="2" t="s">
        <v>4657</v>
      </c>
      <c r="T2321" s="2">
        <v>1</v>
      </c>
      <c r="U2321" s="2">
        <v>60.5</v>
      </c>
      <c r="V2321" s="2">
        <v>59</v>
      </c>
      <c r="W2321" s="2" t="s">
        <v>7862</v>
      </c>
      <c r="X2321" s="2" t="s">
        <v>5405</v>
      </c>
      <c r="Y2321" s="2">
        <v>640</v>
      </c>
      <c r="Z2321" s="19" t="str">
        <f>HYPERLINK("https://ssdweb.co/ssdweb/hd/Vision360.html?d=941330314&amp;zoomslide=1&amp;z=1941330314&amp;ISCONFIRM=0","VIDEO")</f>
        <v>VIDEO</v>
      </c>
      <c r="AA2321" s="19" t="str">
        <f>HYPERLINK("https://ssdweb.co/ssdweb/CERTH/689587194.pdf","CERTI")</f>
        <v>CERTI</v>
      </c>
    </row>
    <row r="2322" spans="1:27" ht="15" x14ac:dyDescent="0.25">
      <c r="A2322" s="2">
        <v>2317</v>
      </c>
      <c r="B2322" s="39">
        <v>941380357</v>
      </c>
      <c r="C2322" s="28" t="str">
        <f>HYPERLINK("https://pld.live/RapDetail.aspx?STONELIST=941380357","DNA")</f>
        <v>DNA</v>
      </c>
      <c r="D2322" s="18" t="s">
        <v>7954</v>
      </c>
      <c r="E2322" s="18" t="s">
        <v>2186</v>
      </c>
      <c r="F2322" s="2" t="s">
        <v>7987</v>
      </c>
      <c r="G2322" s="2" t="s">
        <v>861</v>
      </c>
      <c r="H2322" s="14">
        <v>0.32</v>
      </c>
      <c r="I2322" s="2" t="s">
        <v>267</v>
      </c>
      <c r="J2322" s="2" t="s">
        <v>13</v>
      </c>
      <c r="K2322" s="2" t="s">
        <v>3390</v>
      </c>
      <c r="L2322" s="2" t="s">
        <v>5221</v>
      </c>
      <c r="M2322" s="2" t="s">
        <v>5221</v>
      </c>
      <c r="N2322" s="2" t="s">
        <v>2317</v>
      </c>
      <c r="O2322" s="14">
        <v>2000</v>
      </c>
      <c r="P2322" s="14">
        <v>93.1</v>
      </c>
      <c r="Q2322" s="14">
        <v>138</v>
      </c>
      <c r="R2322" s="14">
        <v>44.16</v>
      </c>
      <c r="S2322" s="2" t="s">
        <v>6305</v>
      </c>
      <c r="T2322" s="2">
        <v>1.01</v>
      </c>
      <c r="U2322" s="2">
        <v>61.5</v>
      </c>
      <c r="V2322" s="2">
        <v>58</v>
      </c>
      <c r="W2322" s="2" t="s">
        <v>7862</v>
      </c>
      <c r="X2322" s="2" t="s">
        <v>5405</v>
      </c>
      <c r="Y2322" s="2">
        <v>640</v>
      </c>
      <c r="Z2322" s="19" t="str">
        <f>HYPERLINK("https://ssdweb.co/ssdweb/hd/Vision360.html?d=941380357&amp;zoomslide=1&amp;z=1941380357&amp;ISCONFIRM=0","VIDEO")</f>
        <v>VIDEO</v>
      </c>
      <c r="AA2322" s="19" t="str">
        <f>HYPERLINK("https://ssdweb.co/ssdweb/CERTH/692533949.pdf","CERTI")</f>
        <v>CERTI</v>
      </c>
    </row>
    <row r="2323" spans="1:27" ht="15" x14ac:dyDescent="0.25">
      <c r="A2323" s="2">
        <v>2318</v>
      </c>
      <c r="B2323" s="39">
        <v>941330242</v>
      </c>
      <c r="C2323" s="28" t="str">
        <f>HYPERLINK("https://pld.live/RapDetail.aspx?STONELIST=941330242","DNA")</f>
        <v>DNA</v>
      </c>
      <c r="D2323" s="18" t="s">
        <v>7954</v>
      </c>
      <c r="E2323" s="18" t="s">
        <v>2186</v>
      </c>
      <c r="F2323" s="2" t="s">
        <v>7987</v>
      </c>
      <c r="G2323" s="2" t="s">
        <v>861</v>
      </c>
      <c r="H2323" s="14">
        <v>0.32</v>
      </c>
      <c r="I2323" s="2" t="s">
        <v>267</v>
      </c>
      <c r="J2323" s="2" t="s">
        <v>13</v>
      </c>
      <c r="K2323" s="2" t="s">
        <v>3390</v>
      </c>
      <c r="L2323" s="2" t="s">
        <v>5221</v>
      </c>
      <c r="M2323" s="2" t="s">
        <v>5221</v>
      </c>
      <c r="N2323" s="2" t="s">
        <v>2317</v>
      </c>
      <c r="O2323" s="14">
        <v>2000</v>
      </c>
      <c r="P2323" s="14">
        <v>93.1</v>
      </c>
      <c r="Q2323" s="14">
        <v>138</v>
      </c>
      <c r="R2323" s="14">
        <v>44.16</v>
      </c>
      <c r="S2323" s="2" t="s">
        <v>2626</v>
      </c>
      <c r="T2323" s="2">
        <v>1.01</v>
      </c>
      <c r="U2323" s="2">
        <v>60.7</v>
      </c>
      <c r="V2323" s="2">
        <v>57</v>
      </c>
      <c r="W2323" s="2" t="s">
        <v>7862</v>
      </c>
      <c r="X2323" s="2" t="s">
        <v>5405</v>
      </c>
      <c r="Y2323" s="2">
        <v>640</v>
      </c>
      <c r="Z2323" s="19" t="str">
        <f>HYPERLINK("https://ssdweb.co/ssdweb/hd/Vision360.html?d=941330242&amp;zoomslide=1&amp;z=1941330242&amp;ISCONFIRM=0","VIDEO")</f>
        <v>VIDEO</v>
      </c>
      <c r="AA2323" s="19" t="str">
        <f>HYPERLINK("https://ssdweb.co/ssdweb/CERTH/689587249.pdf","CERTI")</f>
        <v>CERTI</v>
      </c>
    </row>
    <row r="2324" spans="1:27" ht="15" x14ac:dyDescent="0.25">
      <c r="A2324" s="2">
        <v>2319</v>
      </c>
      <c r="B2324" s="39">
        <v>920661541</v>
      </c>
      <c r="C2324" s="28" t="str">
        <f>HYPERLINK("https://pld.live/RapDetail.aspx?STONELIST=920661541","DNA")</f>
        <v>DNA</v>
      </c>
      <c r="D2324" s="18" t="s">
        <v>7954</v>
      </c>
      <c r="E2324" s="18" t="s">
        <v>5128</v>
      </c>
      <c r="F2324" s="2" t="s">
        <v>7987</v>
      </c>
      <c r="G2324" s="2" t="s">
        <v>861</v>
      </c>
      <c r="H2324" s="14">
        <v>0.32</v>
      </c>
      <c r="I2324" s="2" t="s">
        <v>267</v>
      </c>
      <c r="J2324" s="2" t="s">
        <v>13</v>
      </c>
      <c r="K2324" s="2" t="s">
        <v>3390</v>
      </c>
      <c r="L2324" s="2" t="s">
        <v>5221</v>
      </c>
      <c r="M2324" s="2" t="s">
        <v>5721</v>
      </c>
      <c r="N2324" s="2" t="s">
        <v>2317</v>
      </c>
      <c r="O2324" s="14">
        <v>2000</v>
      </c>
      <c r="P2324" s="14">
        <v>93.6</v>
      </c>
      <c r="Q2324" s="14">
        <v>128</v>
      </c>
      <c r="R2324" s="14">
        <v>40.96</v>
      </c>
      <c r="S2324" s="2" t="s">
        <v>3976</v>
      </c>
      <c r="T2324" s="2">
        <v>1.01</v>
      </c>
      <c r="U2324" s="2">
        <v>60.8</v>
      </c>
      <c r="V2324" s="2">
        <v>59</v>
      </c>
      <c r="W2324" s="2" t="s">
        <v>7862</v>
      </c>
      <c r="X2324" s="2" t="s">
        <v>5405</v>
      </c>
      <c r="Y2324" s="2">
        <v>640</v>
      </c>
      <c r="Z2324" s="19" t="str">
        <f>HYPERLINK("https://ssdweb.co/ssdweb/hd/Vision360.html?d=920661541&amp;zoomslide=1&amp;z=1920661541&amp;ISCONFIRM=0","VIDEO")</f>
        <v>VIDEO</v>
      </c>
      <c r="AA2324" s="19" t="str">
        <f>HYPERLINK("https://ssdweb.co/ssdweb/CERTH/639406013.pdf","CERTI")</f>
        <v>CERTI</v>
      </c>
    </row>
    <row r="2325" spans="1:27" ht="15" x14ac:dyDescent="0.25">
      <c r="A2325" s="2">
        <v>2320</v>
      </c>
      <c r="B2325" s="39">
        <v>926240746</v>
      </c>
      <c r="C2325" s="28" t="str">
        <f>HYPERLINK("https://pld.live/RapDetail.aspx?STONELIST=926240746","DNA")</f>
        <v>DNA</v>
      </c>
      <c r="D2325" s="18" t="s">
        <v>7954</v>
      </c>
      <c r="E2325" s="18" t="s">
        <v>5128</v>
      </c>
      <c r="F2325" s="2" t="s">
        <v>7987</v>
      </c>
      <c r="G2325" s="2" t="s">
        <v>861</v>
      </c>
      <c r="H2325" s="14">
        <v>0.32</v>
      </c>
      <c r="I2325" s="2" t="s">
        <v>267</v>
      </c>
      <c r="J2325" s="2" t="s">
        <v>13</v>
      </c>
      <c r="K2325" s="2" t="s">
        <v>3390</v>
      </c>
      <c r="L2325" s="2" t="s">
        <v>5221</v>
      </c>
      <c r="M2325" s="2" t="s">
        <v>5721</v>
      </c>
      <c r="N2325" s="2" t="s">
        <v>2317</v>
      </c>
      <c r="O2325" s="14">
        <v>2000</v>
      </c>
      <c r="P2325" s="14">
        <v>93.6</v>
      </c>
      <c r="Q2325" s="14">
        <v>128</v>
      </c>
      <c r="R2325" s="14">
        <v>40.96</v>
      </c>
      <c r="S2325" s="2" t="s">
        <v>3705</v>
      </c>
      <c r="T2325" s="2">
        <v>1.01</v>
      </c>
      <c r="U2325" s="2">
        <v>61.2</v>
      </c>
      <c r="V2325" s="2">
        <v>59</v>
      </c>
      <c r="W2325" s="2" t="s">
        <v>7862</v>
      </c>
      <c r="X2325" s="2" t="s">
        <v>5405</v>
      </c>
      <c r="Y2325" s="2">
        <v>640</v>
      </c>
      <c r="Z2325" s="19" t="str">
        <f>HYPERLINK("https://ssdweb.co/ssdweb/hd/Vision360.html?d=926240746&amp;zoomslide=1&amp;z=1926240746&amp;ISCONFIRM=0","VIDEO")</f>
        <v>VIDEO</v>
      </c>
      <c r="AA2325" s="19" t="str">
        <f>HYPERLINK("https://ssdweb.co/ssdweb/CERTH/644472246.pdf","CERTI")</f>
        <v>CERTI</v>
      </c>
    </row>
    <row r="2326" spans="1:27" ht="15" x14ac:dyDescent="0.25">
      <c r="A2326" s="2">
        <v>2321</v>
      </c>
      <c r="B2326" s="39">
        <v>926261428</v>
      </c>
      <c r="C2326" s="28" t="str">
        <f>HYPERLINK("https://pld.live/RapDetail.aspx?STONELIST=926261428","DNA")</f>
        <v>DNA</v>
      </c>
      <c r="D2326" s="18" t="s">
        <v>7954</v>
      </c>
      <c r="E2326" s="18" t="s">
        <v>5128</v>
      </c>
      <c r="F2326" s="2" t="s">
        <v>7987</v>
      </c>
      <c r="G2326" s="2" t="s">
        <v>861</v>
      </c>
      <c r="H2326" s="14">
        <v>0.32</v>
      </c>
      <c r="I2326" s="2" t="s">
        <v>267</v>
      </c>
      <c r="J2326" s="2" t="s">
        <v>13</v>
      </c>
      <c r="K2326" s="2" t="s">
        <v>3390</v>
      </c>
      <c r="L2326" s="2" t="s">
        <v>5221</v>
      </c>
      <c r="M2326" s="2" t="s">
        <v>5721</v>
      </c>
      <c r="N2326" s="2" t="s">
        <v>2317</v>
      </c>
      <c r="O2326" s="14">
        <v>2000</v>
      </c>
      <c r="P2326" s="14">
        <v>93.6</v>
      </c>
      <c r="Q2326" s="14">
        <v>128</v>
      </c>
      <c r="R2326" s="14">
        <v>40.96</v>
      </c>
      <c r="S2326" s="2" t="s">
        <v>7578</v>
      </c>
      <c r="T2326" s="2">
        <v>1</v>
      </c>
      <c r="U2326" s="2">
        <v>61.2</v>
      </c>
      <c r="V2326" s="2">
        <v>59</v>
      </c>
      <c r="W2326" s="2" t="s">
        <v>7862</v>
      </c>
      <c r="X2326" s="2" t="s">
        <v>5405</v>
      </c>
      <c r="Y2326" s="2">
        <v>640</v>
      </c>
      <c r="Z2326" s="19" t="str">
        <f>HYPERLINK("https://ssdweb.co/ssdweb/hd/Vision360.html?d=926261428&amp;zoomslide=1&amp;z=1926261428&amp;ISCONFIRM=0","VIDEO")</f>
        <v>VIDEO</v>
      </c>
      <c r="AA2326" s="19" t="str">
        <f>HYPERLINK("https://ssdweb.co/ssdweb/CERTH/642442867.pdf","CERTI")</f>
        <v>CERTI</v>
      </c>
    </row>
    <row r="2327" spans="1:27" ht="15" x14ac:dyDescent="0.25">
      <c r="A2327" s="2">
        <v>2322</v>
      </c>
      <c r="B2327" s="39">
        <v>926240762</v>
      </c>
      <c r="C2327" s="28" t="str">
        <f>HYPERLINK("https://pld.live/RapDetail.aspx?STONELIST=926240762","DNA")</f>
        <v>DNA</v>
      </c>
      <c r="D2327" s="18" t="s">
        <v>7954</v>
      </c>
      <c r="E2327" s="18" t="s">
        <v>5128</v>
      </c>
      <c r="F2327" s="2" t="s">
        <v>7987</v>
      </c>
      <c r="G2327" s="2" t="s">
        <v>861</v>
      </c>
      <c r="H2327" s="14">
        <v>0.32</v>
      </c>
      <c r="I2327" s="2" t="s">
        <v>267</v>
      </c>
      <c r="J2327" s="2" t="s">
        <v>13</v>
      </c>
      <c r="K2327" s="2" t="s">
        <v>3390</v>
      </c>
      <c r="L2327" s="2" t="s">
        <v>5221</v>
      </c>
      <c r="M2327" s="2" t="s">
        <v>5721</v>
      </c>
      <c r="N2327" s="2" t="s">
        <v>2317</v>
      </c>
      <c r="O2327" s="14">
        <v>2000</v>
      </c>
      <c r="P2327" s="14">
        <v>93.6</v>
      </c>
      <c r="Q2327" s="14">
        <v>128</v>
      </c>
      <c r="R2327" s="14">
        <v>40.96</v>
      </c>
      <c r="S2327" s="2" t="s">
        <v>1091</v>
      </c>
      <c r="T2327" s="2">
        <v>1.01</v>
      </c>
      <c r="U2327" s="2">
        <v>60.4</v>
      </c>
      <c r="V2327" s="2">
        <v>59</v>
      </c>
      <c r="W2327" s="2" t="s">
        <v>7862</v>
      </c>
      <c r="X2327" s="2" t="s">
        <v>5405</v>
      </c>
      <c r="Y2327" s="2">
        <v>640</v>
      </c>
      <c r="Z2327" s="19" t="str">
        <f>HYPERLINK("https://ssdweb.co/ssdweb/hd/Vision360.html?d=926240762&amp;zoomslide=1&amp;z=1926240762&amp;ISCONFIRM=0","VIDEO")</f>
        <v>VIDEO</v>
      </c>
      <c r="AA2327" s="19" t="str">
        <f>HYPERLINK("https://ssdweb.co/ssdweb/CERTH/644472248.pdf","CERTI")</f>
        <v>CERTI</v>
      </c>
    </row>
    <row r="2328" spans="1:27" ht="15" x14ac:dyDescent="0.25">
      <c r="A2328" s="2">
        <v>2323</v>
      </c>
      <c r="B2328" s="39">
        <v>926261499</v>
      </c>
      <c r="C2328" s="28" t="str">
        <f>HYPERLINK("https://pld.live/RapDetail.aspx?STONELIST=926261499","DNA")</f>
        <v>DNA</v>
      </c>
      <c r="D2328" s="18" t="s">
        <v>7954</v>
      </c>
      <c r="E2328" s="18" t="s">
        <v>5128</v>
      </c>
      <c r="F2328" s="2" t="s">
        <v>7987</v>
      </c>
      <c r="G2328" s="2" t="s">
        <v>861</v>
      </c>
      <c r="H2328" s="14">
        <v>0.32</v>
      </c>
      <c r="I2328" s="2" t="s">
        <v>267</v>
      </c>
      <c r="J2328" s="2" t="s">
        <v>13</v>
      </c>
      <c r="K2328" s="2" t="s">
        <v>3390</v>
      </c>
      <c r="L2328" s="2" t="s">
        <v>5221</v>
      </c>
      <c r="M2328" s="2" t="s">
        <v>5721</v>
      </c>
      <c r="N2328" s="2" t="s">
        <v>2317</v>
      </c>
      <c r="O2328" s="14">
        <v>2000</v>
      </c>
      <c r="P2328" s="14">
        <v>93.6</v>
      </c>
      <c r="Q2328" s="14">
        <v>128</v>
      </c>
      <c r="R2328" s="14">
        <v>40.96</v>
      </c>
      <c r="S2328" s="2" t="s">
        <v>2420</v>
      </c>
      <c r="T2328" s="2">
        <v>1</v>
      </c>
      <c r="U2328" s="2">
        <v>61.4</v>
      </c>
      <c r="V2328" s="2">
        <v>60</v>
      </c>
      <c r="W2328" s="2" t="s">
        <v>7862</v>
      </c>
      <c r="X2328" s="2" t="s">
        <v>5405</v>
      </c>
      <c r="Y2328" s="2">
        <v>640</v>
      </c>
      <c r="Z2328" s="19" t="str">
        <f>HYPERLINK("https://ssdweb.co/ssdweb/hd/Vision360.html?d=926261499&amp;zoomslide=1&amp;z=1926261499&amp;ISCONFIRM=0","VIDEO")</f>
        <v>VIDEO</v>
      </c>
      <c r="AA2328" s="19" t="str">
        <f>HYPERLINK("https://ssdweb.co/ssdweb/CERTH/642442860.pdf","CERTI")</f>
        <v>CERTI</v>
      </c>
    </row>
    <row r="2329" spans="1:27" ht="15" x14ac:dyDescent="0.25">
      <c r="A2329" s="2">
        <v>2324</v>
      </c>
      <c r="B2329" s="39">
        <v>926261511</v>
      </c>
      <c r="C2329" s="28" t="str">
        <f>HYPERLINK("https://pld.live/RapDetail.aspx?STONELIST=926261511","DNA")</f>
        <v>DNA</v>
      </c>
      <c r="D2329" s="18" t="s">
        <v>7954</v>
      </c>
      <c r="E2329" s="18" t="s">
        <v>5128</v>
      </c>
      <c r="F2329" s="2" t="s">
        <v>7987</v>
      </c>
      <c r="G2329" s="2" t="s">
        <v>861</v>
      </c>
      <c r="H2329" s="14">
        <v>0.32</v>
      </c>
      <c r="I2329" s="2" t="s">
        <v>267</v>
      </c>
      <c r="J2329" s="2" t="s">
        <v>13</v>
      </c>
      <c r="K2329" s="2" t="s">
        <v>3390</v>
      </c>
      <c r="L2329" s="2" t="s">
        <v>5221</v>
      </c>
      <c r="M2329" s="2" t="s">
        <v>5721</v>
      </c>
      <c r="N2329" s="2" t="s">
        <v>2317</v>
      </c>
      <c r="O2329" s="14">
        <v>2000</v>
      </c>
      <c r="P2329" s="14">
        <v>93.6</v>
      </c>
      <c r="Q2329" s="14">
        <v>128</v>
      </c>
      <c r="R2329" s="14">
        <v>40.96</v>
      </c>
      <c r="S2329" s="2" t="s">
        <v>6199</v>
      </c>
      <c r="T2329" s="2">
        <v>1.01</v>
      </c>
      <c r="U2329" s="2">
        <v>61.1</v>
      </c>
      <c r="V2329" s="2">
        <v>59</v>
      </c>
      <c r="W2329" s="2" t="s">
        <v>7862</v>
      </c>
      <c r="X2329" s="2" t="s">
        <v>5405</v>
      </c>
      <c r="Y2329" s="2">
        <v>640</v>
      </c>
      <c r="Z2329" s="19" t="str">
        <f>HYPERLINK("https://ssdweb.co/ssdweb/hd/Vision360.html?d=926261511&amp;zoomslide=1&amp;z=1926261511&amp;ISCONFIRM=0","VIDEO")</f>
        <v>VIDEO</v>
      </c>
      <c r="AA2329" s="19" t="str">
        <f>HYPERLINK("https://ssdweb.co/ssdweb/CERTH/642442905.pdf","CERTI")</f>
        <v>CERTI</v>
      </c>
    </row>
    <row r="2330" spans="1:27" ht="15" x14ac:dyDescent="0.25">
      <c r="A2330" s="2">
        <v>2325</v>
      </c>
      <c r="B2330" s="39">
        <v>920661245</v>
      </c>
      <c r="C2330" s="28" t="str">
        <f>HYPERLINK("https://pld.live/RapDetail.aspx?STONELIST=920661245","DNA")</f>
        <v>DNA</v>
      </c>
      <c r="D2330" s="18" t="s">
        <v>7954</v>
      </c>
      <c r="E2330" s="18" t="s">
        <v>5128</v>
      </c>
      <c r="F2330" s="2" t="s">
        <v>7987</v>
      </c>
      <c r="G2330" s="2" t="s">
        <v>861</v>
      </c>
      <c r="H2330" s="14">
        <v>0.32</v>
      </c>
      <c r="I2330" s="2" t="s">
        <v>267</v>
      </c>
      <c r="J2330" s="2" t="s">
        <v>13</v>
      </c>
      <c r="K2330" s="2" t="s">
        <v>3390</v>
      </c>
      <c r="L2330" s="2" t="s">
        <v>5221</v>
      </c>
      <c r="M2330" s="2" t="s">
        <v>5721</v>
      </c>
      <c r="N2330" s="2" t="s">
        <v>2317</v>
      </c>
      <c r="O2330" s="14">
        <v>2000</v>
      </c>
      <c r="P2330" s="14">
        <v>93.6</v>
      </c>
      <c r="Q2330" s="14">
        <v>128</v>
      </c>
      <c r="R2330" s="14">
        <v>40.96</v>
      </c>
      <c r="S2330" s="2" t="s">
        <v>2420</v>
      </c>
      <c r="T2330" s="2">
        <v>1</v>
      </c>
      <c r="U2330" s="2">
        <v>61.4</v>
      </c>
      <c r="V2330" s="2">
        <v>60</v>
      </c>
      <c r="W2330" s="2" t="s">
        <v>7862</v>
      </c>
      <c r="X2330" s="2" t="s">
        <v>5405</v>
      </c>
      <c r="Y2330" s="2">
        <v>640</v>
      </c>
      <c r="Z2330" s="19" t="str">
        <f>HYPERLINK("https://ssdweb.co/ssdweb/hd/Vision360.html?d=920661245&amp;zoomslide=1&amp;z=1920661245&amp;ISCONFIRM=0","VIDEO")</f>
        <v>VIDEO</v>
      </c>
      <c r="AA2330" s="19" t="str">
        <f>HYPERLINK("https://ssdweb.co/ssdweb/CERTH/637467204.pdf","CERTI")</f>
        <v>CERTI</v>
      </c>
    </row>
    <row r="2331" spans="1:27" ht="15" x14ac:dyDescent="0.25">
      <c r="A2331" s="2">
        <v>2326</v>
      </c>
      <c r="B2331" s="39">
        <v>926240706</v>
      </c>
      <c r="C2331" s="28" t="str">
        <f>HYPERLINK("https://pld.live/RapDetail.aspx?STONELIST=926240706","DNA")</f>
        <v>DNA</v>
      </c>
      <c r="D2331" s="18" t="s">
        <v>7954</v>
      </c>
      <c r="E2331" s="18" t="s">
        <v>5128</v>
      </c>
      <c r="F2331" s="2" t="s">
        <v>7987</v>
      </c>
      <c r="G2331" s="2" t="s">
        <v>861</v>
      </c>
      <c r="H2331" s="14">
        <v>0.32</v>
      </c>
      <c r="I2331" s="2" t="s">
        <v>267</v>
      </c>
      <c r="J2331" s="2" t="s">
        <v>13</v>
      </c>
      <c r="K2331" s="2" t="s">
        <v>3390</v>
      </c>
      <c r="L2331" s="2" t="s">
        <v>5221</v>
      </c>
      <c r="M2331" s="2" t="s">
        <v>5721</v>
      </c>
      <c r="N2331" s="2" t="s">
        <v>2317</v>
      </c>
      <c r="O2331" s="14">
        <v>2000</v>
      </c>
      <c r="P2331" s="14">
        <v>93.6</v>
      </c>
      <c r="Q2331" s="14">
        <v>128</v>
      </c>
      <c r="R2331" s="14">
        <v>40.96</v>
      </c>
      <c r="S2331" s="2" t="s">
        <v>1936</v>
      </c>
      <c r="T2331" s="2">
        <v>1.01</v>
      </c>
      <c r="U2331" s="2">
        <v>62.5</v>
      </c>
      <c r="V2331" s="2">
        <v>59</v>
      </c>
      <c r="W2331" s="2" t="s">
        <v>7862</v>
      </c>
      <c r="X2331" s="2" t="s">
        <v>5405</v>
      </c>
      <c r="Y2331" s="2">
        <v>640</v>
      </c>
      <c r="Z2331" s="19" t="str">
        <f>HYPERLINK("https://ssdweb.co/ssdweb/hd/Vision360.html?d=926240706&amp;zoomslide=1&amp;z=1926240706&amp;ISCONFIRM=0","VIDEO")</f>
        <v>VIDEO</v>
      </c>
      <c r="AA2331" s="19" t="str">
        <f>HYPERLINK("https://ssdweb.co/ssdweb/CERTH/642447907.pdf","CERTI")</f>
        <v>CERTI</v>
      </c>
    </row>
    <row r="2332" spans="1:27" ht="15" x14ac:dyDescent="0.25">
      <c r="A2332" s="2">
        <v>2327</v>
      </c>
      <c r="B2332" s="39">
        <v>926240500</v>
      </c>
      <c r="C2332" s="28" t="str">
        <f>HYPERLINK("https://pld.live/RapDetail.aspx?STONELIST=926240500","DNA")</f>
        <v>DNA</v>
      </c>
      <c r="D2332" s="18" t="s">
        <v>7954</v>
      </c>
      <c r="E2332" s="18" t="s">
        <v>5128</v>
      </c>
      <c r="F2332" s="2" t="s">
        <v>7987</v>
      </c>
      <c r="G2332" s="2" t="s">
        <v>861</v>
      </c>
      <c r="H2332" s="14">
        <v>0.32</v>
      </c>
      <c r="I2332" s="2" t="s">
        <v>267</v>
      </c>
      <c r="J2332" s="2" t="s">
        <v>13</v>
      </c>
      <c r="K2332" s="2" t="s">
        <v>3390</v>
      </c>
      <c r="L2332" s="2" t="s">
        <v>5221</v>
      </c>
      <c r="M2332" s="2" t="s">
        <v>5721</v>
      </c>
      <c r="N2332" s="2" t="s">
        <v>2317</v>
      </c>
      <c r="O2332" s="14">
        <v>2000</v>
      </c>
      <c r="P2332" s="14">
        <v>93.6</v>
      </c>
      <c r="Q2332" s="14">
        <v>128</v>
      </c>
      <c r="R2332" s="14">
        <v>40.96</v>
      </c>
      <c r="S2332" s="2" t="s">
        <v>3604</v>
      </c>
      <c r="T2332" s="2">
        <v>1.01</v>
      </c>
      <c r="U2332" s="2">
        <v>60.8</v>
      </c>
      <c r="V2332" s="2">
        <v>60</v>
      </c>
      <c r="W2332" s="2" t="s">
        <v>7862</v>
      </c>
      <c r="X2332" s="2" t="s">
        <v>5405</v>
      </c>
      <c r="Y2332" s="2">
        <v>640</v>
      </c>
      <c r="Z2332" s="19" t="str">
        <f>HYPERLINK("https://ssdweb.co/ssdweb/hd/Vision360.html?d=926240500&amp;zoomslide=1&amp;z=1926240500&amp;ISCONFIRM=0","VIDEO")</f>
        <v>VIDEO</v>
      </c>
      <c r="AA2332" s="19" t="str">
        <f>HYPERLINK("https://ssdweb.co/ssdweb/CERTH/636429772.pdf","CERTI")</f>
        <v>CERTI</v>
      </c>
    </row>
    <row r="2333" spans="1:27" ht="15" x14ac:dyDescent="0.25">
      <c r="A2333" s="2">
        <v>2328</v>
      </c>
      <c r="B2333" s="39">
        <v>926301249</v>
      </c>
      <c r="C2333" s="28" t="str">
        <f>HYPERLINK("https://pld.live/RapDetail.aspx?STONELIST=926301249","DNA")</f>
        <v>DNA</v>
      </c>
      <c r="D2333" s="18" t="s">
        <v>7954</v>
      </c>
      <c r="E2333" s="18" t="s">
        <v>5128</v>
      </c>
      <c r="F2333" s="2" t="s">
        <v>7987</v>
      </c>
      <c r="G2333" s="2" t="s">
        <v>861</v>
      </c>
      <c r="H2333" s="14">
        <v>0.32</v>
      </c>
      <c r="I2333" s="2" t="s">
        <v>267</v>
      </c>
      <c r="J2333" s="2" t="s">
        <v>13</v>
      </c>
      <c r="K2333" s="2" t="s">
        <v>3390</v>
      </c>
      <c r="L2333" s="2" t="s">
        <v>5221</v>
      </c>
      <c r="M2333" s="2" t="s">
        <v>5721</v>
      </c>
      <c r="N2333" s="2" t="s">
        <v>2317</v>
      </c>
      <c r="O2333" s="14">
        <v>2000</v>
      </c>
      <c r="P2333" s="14">
        <v>93.6</v>
      </c>
      <c r="Q2333" s="14">
        <v>128</v>
      </c>
      <c r="R2333" s="14">
        <v>40.96</v>
      </c>
      <c r="S2333" s="2" t="s">
        <v>4586</v>
      </c>
      <c r="T2333" s="2">
        <v>1.01</v>
      </c>
      <c r="U2333" s="2">
        <v>61.8</v>
      </c>
      <c r="V2333" s="2">
        <v>56</v>
      </c>
      <c r="W2333" s="2" t="s">
        <v>7862</v>
      </c>
      <c r="X2333" s="2" t="s">
        <v>5405</v>
      </c>
      <c r="Y2333" s="2">
        <v>640</v>
      </c>
      <c r="Z2333" s="19" t="str">
        <f>HYPERLINK("https://ssdweb.co/ssdweb/hd/Vision360.html?d=926301249&amp;zoomslide=1&amp;z=1926301249&amp;ISCONFIRM=0","VIDEO")</f>
        <v>VIDEO</v>
      </c>
      <c r="AA2333" s="19" t="str">
        <f>HYPERLINK("https://ssdweb.co/ssdweb/CERTH/644472348.pdf","CERTI")</f>
        <v>CERTI</v>
      </c>
    </row>
    <row r="2334" spans="1:27" ht="15" x14ac:dyDescent="0.25">
      <c r="A2334" s="2">
        <v>2329</v>
      </c>
      <c r="B2334" s="39">
        <v>926321118</v>
      </c>
      <c r="C2334" s="28" t="str">
        <f>HYPERLINK("https://pld.live/RapDetail.aspx?STONELIST=926321118","DNA")</f>
        <v>DNA</v>
      </c>
      <c r="D2334" s="18" t="s">
        <v>7954</v>
      </c>
      <c r="E2334" s="18" t="s">
        <v>5128</v>
      </c>
      <c r="F2334" s="2" t="s">
        <v>7987</v>
      </c>
      <c r="G2334" s="2" t="s">
        <v>861</v>
      </c>
      <c r="H2334" s="14">
        <v>0.32</v>
      </c>
      <c r="I2334" s="2" t="s">
        <v>267</v>
      </c>
      <c r="J2334" s="2" t="s">
        <v>13</v>
      </c>
      <c r="K2334" s="2" t="s">
        <v>3390</v>
      </c>
      <c r="L2334" s="2" t="s">
        <v>5221</v>
      </c>
      <c r="M2334" s="2" t="s">
        <v>5721</v>
      </c>
      <c r="N2334" s="2" t="s">
        <v>2317</v>
      </c>
      <c r="O2334" s="14">
        <v>2000</v>
      </c>
      <c r="P2334" s="14">
        <v>93.6</v>
      </c>
      <c r="Q2334" s="14">
        <v>128</v>
      </c>
      <c r="R2334" s="14">
        <v>40.96</v>
      </c>
      <c r="S2334" s="2" t="s">
        <v>6199</v>
      </c>
      <c r="T2334" s="2">
        <v>1.01</v>
      </c>
      <c r="U2334" s="2">
        <v>61</v>
      </c>
      <c r="V2334" s="2">
        <v>60</v>
      </c>
      <c r="W2334" s="2" t="s">
        <v>7862</v>
      </c>
      <c r="X2334" s="2" t="s">
        <v>5405</v>
      </c>
      <c r="Y2334" s="2">
        <v>640</v>
      </c>
      <c r="Z2334" s="19" t="str">
        <f>HYPERLINK("https://ssdweb.co/ssdweb/hd/Vision360.html?d=926321118&amp;zoomslide=1&amp;z=1926321118&amp;ISCONFIRM=0","VIDEO")</f>
        <v>VIDEO</v>
      </c>
      <c r="AA2334" s="19" t="str">
        <f>HYPERLINK("https://ssdweb.co/ssdweb/CERTH/648487109.pdf","CERTI")</f>
        <v>CERTI</v>
      </c>
    </row>
    <row r="2335" spans="1:27" ht="15" x14ac:dyDescent="0.25">
      <c r="A2335" s="2">
        <v>2330</v>
      </c>
      <c r="B2335" s="39">
        <v>926391107</v>
      </c>
      <c r="C2335" s="28" t="str">
        <f>HYPERLINK("https://pld.live/RapDetail.aspx?STONELIST=926391107","DNA")</f>
        <v>DNA</v>
      </c>
      <c r="D2335" s="18" t="s">
        <v>7954</v>
      </c>
      <c r="E2335" s="18" t="s">
        <v>5128</v>
      </c>
      <c r="F2335" s="2" t="s">
        <v>7987</v>
      </c>
      <c r="G2335" s="2" t="s">
        <v>861</v>
      </c>
      <c r="H2335" s="14">
        <v>0.32</v>
      </c>
      <c r="I2335" s="2" t="s">
        <v>267</v>
      </c>
      <c r="J2335" s="2" t="s">
        <v>13</v>
      </c>
      <c r="K2335" s="2" t="s">
        <v>3390</v>
      </c>
      <c r="L2335" s="2" t="s">
        <v>5221</v>
      </c>
      <c r="M2335" s="2" t="s">
        <v>5721</v>
      </c>
      <c r="N2335" s="2" t="s">
        <v>2317</v>
      </c>
      <c r="O2335" s="14">
        <v>2000</v>
      </c>
      <c r="P2335" s="14">
        <v>93.6</v>
      </c>
      <c r="Q2335" s="14">
        <v>128</v>
      </c>
      <c r="R2335" s="14">
        <v>40.96</v>
      </c>
      <c r="S2335" s="2" t="s">
        <v>3199</v>
      </c>
      <c r="T2335" s="2">
        <v>1</v>
      </c>
      <c r="U2335" s="2">
        <v>62.1</v>
      </c>
      <c r="V2335" s="2">
        <v>58</v>
      </c>
      <c r="W2335" s="2" t="s">
        <v>7862</v>
      </c>
      <c r="X2335" s="2" t="s">
        <v>5405</v>
      </c>
      <c r="Y2335" s="2">
        <v>640</v>
      </c>
      <c r="Z2335" s="19" t="str">
        <f>HYPERLINK("https://ssdweb.co/ssdweb/hd/Vision360.html?d=926391107&amp;zoomslide=1&amp;z=1926391107&amp;ISCONFIRM=0","VIDEO")</f>
        <v>VIDEO</v>
      </c>
      <c r="AA2335" s="19" t="str">
        <f>HYPERLINK("https://ssdweb.co/ssdweb/CERTH/648487071.pdf","CERTI")</f>
        <v>CERTI</v>
      </c>
    </row>
    <row r="2336" spans="1:27" ht="15" x14ac:dyDescent="0.25">
      <c r="A2336" s="2">
        <v>2331</v>
      </c>
      <c r="B2336" s="39">
        <v>926081404</v>
      </c>
      <c r="C2336" s="28" t="str">
        <f>HYPERLINK("https://pld.live/RapDetail.aspx?STONELIST=926081404","DNA")</f>
        <v>DNA</v>
      </c>
      <c r="D2336" s="18" t="s">
        <v>7954</v>
      </c>
      <c r="E2336" s="18" t="s">
        <v>5128</v>
      </c>
      <c r="F2336" s="2" t="s">
        <v>7987</v>
      </c>
      <c r="G2336" s="2" t="s">
        <v>861</v>
      </c>
      <c r="H2336" s="14">
        <v>0.32</v>
      </c>
      <c r="I2336" s="2" t="s">
        <v>267</v>
      </c>
      <c r="J2336" s="2" t="s">
        <v>13</v>
      </c>
      <c r="K2336" s="2" t="s">
        <v>3390</v>
      </c>
      <c r="L2336" s="2" t="s">
        <v>5221</v>
      </c>
      <c r="M2336" s="2" t="s">
        <v>5721</v>
      </c>
      <c r="N2336" s="2" t="s">
        <v>2317</v>
      </c>
      <c r="O2336" s="14">
        <v>2000</v>
      </c>
      <c r="P2336" s="14">
        <v>93.6</v>
      </c>
      <c r="Q2336" s="14">
        <v>128</v>
      </c>
      <c r="R2336" s="14">
        <v>40.96</v>
      </c>
      <c r="S2336" s="2" t="s">
        <v>3924</v>
      </c>
      <c r="T2336" s="2">
        <v>1.01</v>
      </c>
      <c r="U2336" s="2">
        <v>62.3</v>
      </c>
      <c r="V2336" s="2">
        <v>58</v>
      </c>
      <c r="W2336" s="2" t="s">
        <v>7862</v>
      </c>
      <c r="X2336" s="2" t="s">
        <v>5405</v>
      </c>
      <c r="Y2336" s="2">
        <v>640</v>
      </c>
      <c r="Z2336" s="19" t="str">
        <f>HYPERLINK("https://ssdweb.co/ssdweb/hd/Vision360.html?d=926081404&amp;zoomslide=1&amp;z=1926081404&amp;ISCONFIRM=0","VIDEO")</f>
        <v>VIDEO</v>
      </c>
      <c r="AA2336" s="19" t="str">
        <f>HYPERLINK("https://ssdweb.co/ssdweb/CERTH/631463960.pdf","CERTI")</f>
        <v>CERTI</v>
      </c>
    </row>
    <row r="2337" spans="1:27" ht="15" x14ac:dyDescent="0.25">
      <c r="A2337" s="2">
        <v>2332</v>
      </c>
      <c r="B2337" s="39">
        <v>926181024</v>
      </c>
      <c r="C2337" s="28" t="str">
        <f>HYPERLINK("https://pld.live/RapDetail.aspx?STONELIST=926181024","DNA")</f>
        <v>DNA</v>
      </c>
      <c r="D2337" s="18" t="s">
        <v>7954</v>
      </c>
      <c r="E2337" s="18" t="s">
        <v>5128</v>
      </c>
      <c r="F2337" s="2" t="s">
        <v>7987</v>
      </c>
      <c r="G2337" s="2" t="s">
        <v>861</v>
      </c>
      <c r="H2337" s="14">
        <v>0.32</v>
      </c>
      <c r="I2337" s="2" t="s">
        <v>267</v>
      </c>
      <c r="J2337" s="2" t="s">
        <v>13</v>
      </c>
      <c r="K2337" s="2" t="s">
        <v>3390</v>
      </c>
      <c r="L2337" s="2" t="s">
        <v>5221</v>
      </c>
      <c r="M2337" s="2" t="s">
        <v>5721</v>
      </c>
      <c r="N2337" s="2" t="s">
        <v>2317</v>
      </c>
      <c r="O2337" s="14">
        <v>2000</v>
      </c>
      <c r="P2337" s="14">
        <v>93.6</v>
      </c>
      <c r="Q2337" s="14">
        <v>128</v>
      </c>
      <c r="R2337" s="14">
        <v>40.96</v>
      </c>
      <c r="S2337" s="2" t="s">
        <v>5287</v>
      </c>
      <c r="T2337" s="2">
        <v>1</v>
      </c>
      <c r="U2337" s="2">
        <v>60.4</v>
      </c>
      <c r="V2337" s="2">
        <v>60</v>
      </c>
      <c r="W2337" s="2" t="s">
        <v>7862</v>
      </c>
      <c r="X2337" s="2" t="s">
        <v>5405</v>
      </c>
      <c r="Y2337" s="2">
        <v>640</v>
      </c>
      <c r="Z2337" s="19" t="str">
        <f>HYPERLINK("https://ssdweb.co/ssdweb/hd/Vision360.html?d=926181024&amp;zoomslide=1&amp;z=1926181024&amp;ISCONFIRM=0","VIDEO")</f>
        <v>VIDEO</v>
      </c>
      <c r="AA2337" s="19" t="str">
        <f>HYPERLINK("https://ssdweb.co/ssdweb/CERTH/636429705.pdf","CERTI")</f>
        <v>CERTI</v>
      </c>
    </row>
    <row r="2338" spans="1:27" ht="15" x14ac:dyDescent="0.25">
      <c r="A2338" s="2">
        <v>2333</v>
      </c>
      <c r="B2338" s="39">
        <v>926240792</v>
      </c>
      <c r="C2338" s="28" t="str">
        <f>HYPERLINK("https://pld.live/RapDetail.aspx?STONELIST=926240792","DNA")</f>
        <v>DNA</v>
      </c>
      <c r="D2338" s="18" t="s">
        <v>7954</v>
      </c>
      <c r="E2338" s="18" t="s">
        <v>5128</v>
      </c>
      <c r="F2338" s="2" t="s">
        <v>7987</v>
      </c>
      <c r="G2338" s="2" t="s">
        <v>861</v>
      </c>
      <c r="H2338" s="14">
        <v>0.32</v>
      </c>
      <c r="I2338" s="2" t="s">
        <v>267</v>
      </c>
      <c r="J2338" s="2" t="s">
        <v>13</v>
      </c>
      <c r="K2338" s="2" t="s">
        <v>3390</v>
      </c>
      <c r="L2338" s="2" t="s">
        <v>5721</v>
      </c>
      <c r="M2338" s="2" t="s">
        <v>5221</v>
      </c>
      <c r="N2338" s="2" t="s">
        <v>2317</v>
      </c>
      <c r="O2338" s="14">
        <v>2000</v>
      </c>
      <c r="P2338" s="14">
        <v>93.6</v>
      </c>
      <c r="Q2338" s="14">
        <v>128</v>
      </c>
      <c r="R2338" s="14">
        <v>40.96</v>
      </c>
      <c r="S2338" s="2" t="s">
        <v>1081</v>
      </c>
      <c r="T2338" s="2">
        <v>1</v>
      </c>
      <c r="U2338" s="2">
        <v>61</v>
      </c>
      <c r="V2338" s="2">
        <v>60</v>
      </c>
      <c r="W2338" s="2" t="s">
        <v>7862</v>
      </c>
      <c r="X2338" s="2" t="s">
        <v>5405</v>
      </c>
      <c r="Y2338" s="2">
        <v>640</v>
      </c>
      <c r="Z2338" s="19" t="str">
        <f>HYPERLINK("https://ssdweb.co/ssdweb/hd/Vision360.html?d=926240792&amp;zoomslide=1&amp;z=1926240792&amp;ISCONFIRM=0","VIDEO")</f>
        <v>VIDEO</v>
      </c>
      <c r="AA2338" s="19" t="str">
        <f>HYPERLINK("https://ssdweb.co/ssdweb/CERTH/644472250.pdf","CERTI")</f>
        <v>CERTI</v>
      </c>
    </row>
    <row r="2339" spans="1:27" ht="15" x14ac:dyDescent="0.25">
      <c r="A2339" s="2">
        <v>2334</v>
      </c>
      <c r="B2339" s="39">
        <v>941300106</v>
      </c>
      <c r="C2339" s="28" t="str">
        <f>HYPERLINK("https://pld.live/RapDetail.aspx?STONELIST=941300106","DNA")</f>
        <v>DNA</v>
      </c>
      <c r="D2339" s="18" t="s">
        <v>7954</v>
      </c>
      <c r="E2339" s="18" t="s">
        <v>2186</v>
      </c>
      <c r="F2339" s="2" t="s">
        <v>7987</v>
      </c>
      <c r="G2339" s="2" t="s">
        <v>861</v>
      </c>
      <c r="H2339" s="14">
        <v>0.32</v>
      </c>
      <c r="I2339" s="2" t="s">
        <v>267</v>
      </c>
      <c r="J2339" s="2" t="s">
        <v>13</v>
      </c>
      <c r="K2339" s="2" t="s">
        <v>3390</v>
      </c>
      <c r="L2339" s="2" t="s">
        <v>5721</v>
      </c>
      <c r="M2339" s="2" t="s">
        <v>5221</v>
      </c>
      <c r="N2339" s="2" t="s">
        <v>2317</v>
      </c>
      <c r="O2339" s="14">
        <v>2000</v>
      </c>
      <c r="P2339" s="14">
        <v>93.6</v>
      </c>
      <c r="Q2339" s="14">
        <v>128</v>
      </c>
      <c r="R2339" s="14">
        <v>40.96</v>
      </c>
      <c r="S2339" s="2" t="s">
        <v>5445</v>
      </c>
      <c r="T2339" s="2">
        <v>1</v>
      </c>
      <c r="U2339" s="2">
        <v>60.9</v>
      </c>
      <c r="V2339" s="2">
        <v>58</v>
      </c>
      <c r="W2339" s="2" t="s">
        <v>7862</v>
      </c>
      <c r="X2339" s="2" t="s">
        <v>5405</v>
      </c>
      <c r="Y2339" s="2">
        <v>640</v>
      </c>
      <c r="Z2339" s="19" t="str">
        <f>HYPERLINK("https://ssdweb.co/ssdweb/hd/Vision360.html?d=941300106&amp;zoomslide=1&amp;z=1941300106&amp;ISCONFIRM=0","VIDEO")</f>
        <v>VIDEO</v>
      </c>
      <c r="AA2339" s="19" t="str">
        <f>HYPERLINK("https://ssdweb.co/ssdweb/CERTH/689587244.pdf","CERTI")</f>
        <v>CERTI</v>
      </c>
    </row>
    <row r="2340" spans="1:27" ht="15" x14ac:dyDescent="0.25">
      <c r="A2340" s="2">
        <v>2335</v>
      </c>
      <c r="B2340" s="39">
        <v>926301267</v>
      </c>
      <c r="C2340" s="28" t="str">
        <f>HYPERLINK("https://pld.live/RapDetail.aspx?STONELIST=926301267","DNA")</f>
        <v>DNA</v>
      </c>
      <c r="D2340" s="18" t="s">
        <v>7954</v>
      </c>
      <c r="E2340" s="18" t="s">
        <v>5128</v>
      </c>
      <c r="F2340" s="2" t="s">
        <v>7987</v>
      </c>
      <c r="G2340" s="2" t="s">
        <v>861</v>
      </c>
      <c r="H2340" s="14">
        <v>0.32</v>
      </c>
      <c r="I2340" s="2" t="s">
        <v>267</v>
      </c>
      <c r="J2340" s="2" t="s">
        <v>13</v>
      </c>
      <c r="K2340" s="2" t="s">
        <v>3390</v>
      </c>
      <c r="L2340" s="2" t="s">
        <v>5721</v>
      </c>
      <c r="M2340" s="2" t="s">
        <v>5221</v>
      </c>
      <c r="N2340" s="2" t="s">
        <v>2317</v>
      </c>
      <c r="O2340" s="14">
        <v>2000</v>
      </c>
      <c r="P2340" s="14">
        <v>93.6</v>
      </c>
      <c r="Q2340" s="14">
        <v>128</v>
      </c>
      <c r="R2340" s="14">
        <v>40.96</v>
      </c>
      <c r="S2340" s="2" t="s">
        <v>2545</v>
      </c>
      <c r="T2340" s="2">
        <v>1.01</v>
      </c>
      <c r="U2340" s="2">
        <v>62.3</v>
      </c>
      <c r="V2340" s="2">
        <v>58</v>
      </c>
      <c r="W2340" s="2" t="s">
        <v>7862</v>
      </c>
      <c r="X2340" s="2" t="s">
        <v>5405</v>
      </c>
      <c r="Y2340" s="2">
        <v>640</v>
      </c>
      <c r="Z2340" s="19" t="str">
        <f>HYPERLINK("https://ssdweb.co/ssdweb/hd/Vision360.html?d=926301267&amp;zoomslide=1&amp;z=1926301267&amp;ISCONFIRM=0","VIDEO")</f>
        <v>VIDEO</v>
      </c>
      <c r="AA2340" s="19" t="str">
        <f>HYPERLINK("https://ssdweb.co/ssdweb/CERTH/670484142.pdf","CERTI")</f>
        <v>CERTI</v>
      </c>
    </row>
    <row r="2341" spans="1:27" ht="15" x14ac:dyDescent="0.25">
      <c r="A2341" s="2">
        <v>2336</v>
      </c>
      <c r="B2341" s="39">
        <v>926301081</v>
      </c>
      <c r="C2341" s="28" t="str">
        <f>HYPERLINK("https://pld.live/RapDetail.aspx?STONELIST=926301081","DNA")</f>
        <v>DNA</v>
      </c>
      <c r="D2341" s="18" t="s">
        <v>7954</v>
      </c>
      <c r="E2341" s="18" t="s">
        <v>5128</v>
      </c>
      <c r="F2341" s="2" t="s">
        <v>7987</v>
      </c>
      <c r="G2341" s="2" t="s">
        <v>861</v>
      </c>
      <c r="H2341" s="14">
        <v>0.32</v>
      </c>
      <c r="I2341" s="2" t="s">
        <v>267</v>
      </c>
      <c r="J2341" s="2" t="s">
        <v>13</v>
      </c>
      <c r="K2341" s="2" t="s">
        <v>3390</v>
      </c>
      <c r="L2341" s="2" t="s">
        <v>5721</v>
      </c>
      <c r="M2341" s="2" t="s">
        <v>5221</v>
      </c>
      <c r="N2341" s="2" t="s">
        <v>2317</v>
      </c>
      <c r="O2341" s="14">
        <v>2000</v>
      </c>
      <c r="P2341" s="14">
        <v>93.6</v>
      </c>
      <c r="Q2341" s="14">
        <v>128</v>
      </c>
      <c r="R2341" s="14">
        <v>40.96</v>
      </c>
      <c r="S2341" s="2" t="s">
        <v>4190</v>
      </c>
      <c r="T2341" s="2">
        <v>1</v>
      </c>
      <c r="U2341" s="2">
        <v>61.7</v>
      </c>
      <c r="V2341" s="2">
        <v>59</v>
      </c>
      <c r="W2341" s="2" t="s">
        <v>7862</v>
      </c>
      <c r="X2341" s="2" t="s">
        <v>5405</v>
      </c>
      <c r="Y2341" s="2">
        <v>640</v>
      </c>
      <c r="Z2341" s="19" t="str">
        <f>HYPERLINK("https://ssdweb.co/ssdweb/hd/Vision360.html?d=926301081&amp;zoomslide=1&amp;z=1926301081&amp;ISCONFIRM=0","VIDEO")</f>
        <v>VIDEO</v>
      </c>
      <c r="AA2341" s="19" t="str">
        <f>HYPERLINK("https://ssdweb.co/ssdweb/CERTH/644458736.pdf","CERTI")</f>
        <v>CERTI</v>
      </c>
    </row>
    <row r="2342" spans="1:27" ht="15" x14ac:dyDescent="0.25">
      <c r="A2342" s="2">
        <v>2337</v>
      </c>
      <c r="B2342" s="39">
        <v>926181039</v>
      </c>
      <c r="C2342" s="28" t="str">
        <f>HYPERLINK("https://pld.live/RapDetail.aspx?STONELIST=926181039","DNA")</f>
        <v>DNA</v>
      </c>
      <c r="D2342" s="18" t="s">
        <v>7954</v>
      </c>
      <c r="E2342" s="18" t="s">
        <v>5128</v>
      </c>
      <c r="F2342" s="2" t="s">
        <v>7987</v>
      </c>
      <c r="G2342" s="2" t="s">
        <v>861</v>
      </c>
      <c r="H2342" s="14">
        <v>0.32</v>
      </c>
      <c r="I2342" s="2" t="s">
        <v>267</v>
      </c>
      <c r="J2342" s="2" t="s">
        <v>13</v>
      </c>
      <c r="K2342" s="2" t="s">
        <v>3390</v>
      </c>
      <c r="L2342" s="2" t="s">
        <v>5721</v>
      </c>
      <c r="M2342" s="2" t="s">
        <v>5221</v>
      </c>
      <c r="N2342" s="2" t="s">
        <v>2317</v>
      </c>
      <c r="O2342" s="14">
        <v>2000</v>
      </c>
      <c r="P2342" s="14">
        <v>93.6</v>
      </c>
      <c r="Q2342" s="14">
        <v>128</v>
      </c>
      <c r="R2342" s="14">
        <v>40.96</v>
      </c>
      <c r="S2342" s="2" t="s">
        <v>2892</v>
      </c>
      <c r="T2342" s="2">
        <v>1</v>
      </c>
      <c r="U2342" s="2">
        <v>61.2</v>
      </c>
      <c r="V2342" s="2">
        <v>59</v>
      </c>
      <c r="W2342" s="2" t="s">
        <v>7862</v>
      </c>
      <c r="X2342" s="2" t="s">
        <v>5405</v>
      </c>
      <c r="Y2342" s="2">
        <v>640</v>
      </c>
      <c r="Z2342" s="19" t="str">
        <f>HYPERLINK("https://ssdweb.co/ssdweb/hd/Vision360.html?d=926181039&amp;zoomslide=1&amp;z=1926181039&amp;ISCONFIRM=0","VIDEO")</f>
        <v>VIDEO</v>
      </c>
      <c r="AA2342" s="19" t="str">
        <f>HYPERLINK("https://ssdweb.co/ssdweb/CERTH/636429700.pdf","CERTI")</f>
        <v>CERTI</v>
      </c>
    </row>
    <row r="2343" spans="1:27" ht="15" x14ac:dyDescent="0.25">
      <c r="A2343" s="2">
        <v>2338</v>
      </c>
      <c r="B2343" s="39">
        <v>926091307</v>
      </c>
      <c r="C2343" s="28" t="str">
        <f>HYPERLINK("https://pld.live/RapDetail.aspx?STONELIST=926091307","DNA")</f>
        <v>DNA</v>
      </c>
      <c r="D2343" s="18" t="s">
        <v>7954</v>
      </c>
      <c r="E2343" s="18" t="s">
        <v>5128</v>
      </c>
      <c r="F2343" s="2" t="s">
        <v>7987</v>
      </c>
      <c r="G2343" s="2" t="s">
        <v>861</v>
      </c>
      <c r="H2343" s="14">
        <v>0.32</v>
      </c>
      <c r="I2343" s="2" t="s">
        <v>267</v>
      </c>
      <c r="J2343" s="2" t="s">
        <v>13</v>
      </c>
      <c r="K2343" s="2" t="s">
        <v>3390</v>
      </c>
      <c r="L2343" s="2" t="s">
        <v>5721</v>
      </c>
      <c r="M2343" s="2" t="s">
        <v>5221</v>
      </c>
      <c r="N2343" s="2" t="s">
        <v>2317</v>
      </c>
      <c r="O2343" s="14">
        <v>2000</v>
      </c>
      <c r="P2343" s="14">
        <v>93.6</v>
      </c>
      <c r="Q2343" s="14">
        <v>128</v>
      </c>
      <c r="R2343" s="14">
        <v>40.96</v>
      </c>
      <c r="S2343" s="2" t="s">
        <v>1570</v>
      </c>
      <c r="T2343" s="2">
        <v>1.01</v>
      </c>
      <c r="U2343" s="2">
        <v>62.1</v>
      </c>
      <c r="V2343" s="2">
        <v>57</v>
      </c>
      <c r="W2343" s="2" t="s">
        <v>7862</v>
      </c>
      <c r="X2343" s="2" t="s">
        <v>5405</v>
      </c>
      <c r="Y2343" s="2">
        <v>640</v>
      </c>
      <c r="Z2343" s="19" t="str">
        <f>HYPERLINK("https://ssdweb.co/ssdweb/hd/Vision360.html?d=926091307&amp;zoomslide=1&amp;z=1926091307&amp;ISCONFIRM=0","VIDEO")</f>
        <v>VIDEO</v>
      </c>
      <c r="AA2343" s="19" t="str">
        <f>HYPERLINK("https://ssdweb.co/ssdweb/CERTH/633490411.pdf","CERTI")</f>
        <v>CERTI</v>
      </c>
    </row>
    <row r="2344" spans="1:27" ht="15" x14ac:dyDescent="0.25">
      <c r="A2344" s="2">
        <v>2339</v>
      </c>
      <c r="B2344" s="39">
        <v>821127924</v>
      </c>
      <c r="C2344" s="28" t="str">
        <f>HYPERLINK("https://pld.live/RapDetail.aspx?STONELIST=821127924","DNA")</f>
        <v>DNA</v>
      </c>
      <c r="D2344" s="18" t="s">
        <v>7954</v>
      </c>
      <c r="E2344" s="18" t="s">
        <v>5128</v>
      </c>
      <c r="F2344" s="2" t="s">
        <v>7987</v>
      </c>
      <c r="G2344" s="2" t="s">
        <v>861</v>
      </c>
      <c r="H2344" s="14">
        <v>0.32</v>
      </c>
      <c r="I2344" s="2" t="s">
        <v>267</v>
      </c>
      <c r="J2344" s="2" t="s">
        <v>13</v>
      </c>
      <c r="K2344" s="2" t="s">
        <v>3390</v>
      </c>
      <c r="L2344" s="2" t="s">
        <v>5721</v>
      </c>
      <c r="M2344" s="2" t="s">
        <v>5721</v>
      </c>
      <c r="N2344" s="2" t="s">
        <v>2317</v>
      </c>
      <c r="O2344" s="14">
        <v>2000</v>
      </c>
      <c r="P2344" s="14">
        <v>93.7</v>
      </c>
      <c r="Q2344" s="14">
        <v>126</v>
      </c>
      <c r="R2344" s="14">
        <v>40.32</v>
      </c>
      <c r="S2344" s="2" t="s">
        <v>3727</v>
      </c>
      <c r="T2344" s="2">
        <v>1.01</v>
      </c>
      <c r="U2344" s="2">
        <v>61.6</v>
      </c>
      <c r="V2344" s="2">
        <v>57</v>
      </c>
      <c r="W2344" s="2" t="s">
        <v>7862</v>
      </c>
      <c r="X2344" s="2" t="s">
        <v>5405</v>
      </c>
      <c r="Y2344" s="2">
        <v>640</v>
      </c>
      <c r="Z2344" s="19" t="str">
        <f>HYPERLINK("https://ssdweb.co/ssdweb/hd/Vision360.html?d=821127924&amp;zoomslide=1&amp;z=1821127924&amp;ISCONFIRM=0","VIDEO")</f>
        <v>VIDEO</v>
      </c>
      <c r="AA2344" s="19" t="str">
        <f>HYPERLINK("https://ssdweb.co/ssdweb/CERTH/634417051.pdf","CERTI")</f>
        <v>CERTI</v>
      </c>
    </row>
    <row r="2345" spans="1:27" ht="15" x14ac:dyDescent="0.25">
      <c r="A2345" s="2">
        <v>2340</v>
      </c>
      <c r="B2345" s="39">
        <v>926240887</v>
      </c>
      <c r="C2345" s="28" t="str">
        <f>HYPERLINK("https://pld.live/RapDetail.aspx?STONELIST=926240887","DNA")</f>
        <v>DNA</v>
      </c>
      <c r="D2345" s="18" t="s">
        <v>7954</v>
      </c>
      <c r="E2345" s="18" t="s">
        <v>5128</v>
      </c>
      <c r="F2345" s="2" t="s">
        <v>7987</v>
      </c>
      <c r="G2345" s="2" t="s">
        <v>861</v>
      </c>
      <c r="H2345" s="14">
        <v>0.32</v>
      </c>
      <c r="I2345" s="2" t="s">
        <v>267</v>
      </c>
      <c r="J2345" s="2" t="s">
        <v>13</v>
      </c>
      <c r="K2345" s="2" t="s">
        <v>3390</v>
      </c>
      <c r="L2345" s="2" t="s">
        <v>5721</v>
      </c>
      <c r="M2345" s="2" t="s">
        <v>5721</v>
      </c>
      <c r="N2345" s="2" t="s">
        <v>2317</v>
      </c>
      <c r="O2345" s="14">
        <v>2000</v>
      </c>
      <c r="P2345" s="14">
        <v>93.7</v>
      </c>
      <c r="Q2345" s="14">
        <v>126</v>
      </c>
      <c r="R2345" s="14">
        <v>40.32</v>
      </c>
      <c r="S2345" s="2" t="s">
        <v>2892</v>
      </c>
      <c r="T2345" s="2">
        <v>1</v>
      </c>
      <c r="U2345" s="2">
        <v>61.1</v>
      </c>
      <c r="V2345" s="2">
        <v>58</v>
      </c>
      <c r="W2345" s="2" t="s">
        <v>7862</v>
      </c>
      <c r="X2345" s="2" t="s">
        <v>5405</v>
      </c>
      <c r="Y2345" s="2">
        <v>640</v>
      </c>
      <c r="Z2345" s="19" t="str">
        <f>HYPERLINK("https://ssdweb.co/ssdweb/hd/Vision360.html?d=926240887&amp;zoomslide=1&amp;z=1926240887&amp;ISCONFIRM=0","VIDEO")</f>
        <v>VIDEO</v>
      </c>
      <c r="AA2345" s="19" t="str">
        <f>HYPERLINK("https://ssdweb.co/ssdweb/CERTH/640419084.pdf","CERTI")</f>
        <v>CERTI</v>
      </c>
    </row>
    <row r="2346" spans="1:27" ht="15" x14ac:dyDescent="0.25">
      <c r="A2346" s="2">
        <v>2341</v>
      </c>
      <c r="B2346" s="39">
        <v>926240782</v>
      </c>
      <c r="C2346" s="28" t="str">
        <f>HYPERLINK("https://pld.live/RapDetail.aspx?STONELIST=926240782","DNA")</f>
        <v>DNA</v>
      </c>
      <c r="D2346" s="18" t="s">
        <v>7954</v>
      </c>
      <c r="E2346" s="18" t="s">
        <v>5128</v>
      </c>
      <c r="F2346" s="2" t="s">
        <v>7987</v>
      </c>
      <c r="G2346" s="2" t="s">
        <v>861</v>
      </c>
      <c r="H2346" s="14">
        <v>0.32</v>
      </c>
      <c r="I2346" s="2" t="s">
        <v>267</v>
      </c>
      <c r="J2346" s="2" t="s">
        <v>13</v>
      </c>
      <c r="K2346" s="2" t="s">
        <v>3390</v>
      </c>
      <c r="L2346" s="2" t="s">
        <v>5721</v>
      </c>
      <c r="M2346" s="2" t="s">
        <v>5721</v>
      </c>
      <c r="N2346" s="2" t="s">
        <v>2317</v>
      </c>
      <c r="O2346" s="14">
        <v>2000</v>
      </c>
      <c r="P2346" s="14">
        <v>93.7</v>
      </c>
      <c r="Q2346" s="14">
        <v>126</v>
      </c>
      <c r="R2346" s="14">
        <v>40.32</v>
      </c>
      <c r="S2346" s="2" t="s">
        <v>1680</v>
      </c>
      <c r="T2346" s="2">
        <v>1</v>
      </c>
      <c r="U2346" s="2">
        <v>61</v>
      </c>
      <c r="V2346" s="2">
        <v>59</v>
      </c>
      <c r="W2346" s="2" t="s">
        <v>7862</v>
      </c>
      <c r="X2346" s="2" t="s">
        <v>5405</v>
      </c>
      <c r="Y2346" s="2">
        <v>640</v>
      </c>
      <c r="Z2346" s="19" t="str">
        <f>HYPERLINK("https://ssdweb.co/ssdweb/hd/Vision360.html?d=926240782&amp;zoomslide=1&amp;z=1926240782&amp;ISCONFIRM=0","VIDEO")</f>
        <v>VIDEO</v>
      </c>
      <c r="AA2346" s="19" t="str">
        <f>HYPERLINK("https://ssdweb.co/ssdweb/CERTH/644472249.pdf","CERTI")</f>
        <v>CERTI</v>
      </c>
    </row>
    <row r="2347" spans="1:27" ht="15" x14ac:dyDescent="0.25">
      <c r="A2347" s="2">
        <v>2342</v>
      </c>
      <c r="B2347" s="39">
        <v>821127905</v>
      </c>
      <c r="C2347" s="28" t="str">
        <f>HYPERLINK("https://pld.live/RapDetail.aspx?STONELIST=821127905","DNA")</f>
        <v>DNA</v>
      </c>
      <c r="D2347" s="18" t="s">
        <v>7954</v>
      </c>
      <c r="E2347" s="18" t="s">
        <v>5128</v>
      </c>
      <c r="F2347" s="2" t="s">
        <v>7987</v>
      </c>
      <c r="G2347" s="2" t="s">
        <v>861</v>
      </c>
      <c r="H2347" s="14">
        <v>0.32</v>
      </c>
      <c r="I2347" s="2" t="s">
        <v>267</v>
      </c>
      <c r="J2347" s="2" t="s">
        <v>13</v>
      </c>
      <c r="K2347" s="2" t="s">
        <v>3390</v>
      </c>
      <c r="L2347" s="2" t="s">
        <v>5721</v>
      </c>
      <c r="M2347" s="2" t="s">
        <v>5721</v>
      </c>
      <c r="N2347" s="2" t="s">
        <v>2317</v>
      </c>
      <c r="O2347" s="14">
        <v>2000</v>
      </c>
      <c r="P2347" s="14">
        <v>93.7</v>
      </c>
      <c r="Q2347" s="14">
        <v>126</v>
      </c>
      <c r="R2347" s="14">
        <v>40.32</v>
      </c>
      <c r="S2347" s="2" t="s">
        <v>2107</v>
      </c>
      <c r="T2347" s="2">
        <v>1.01</v>
      </c>
      <c r="U2347" s="2">
        <v>61.3</v>
      </c>
      <c r="V2347" s="2">
        <v>59</v>
      </c>
      <c r="W2347" s="2" t="s">
        <v>7862</v>
      </c>
      <c r="X2347" s="2" t="s">
        <v>5405</v>
      </c>
      <c r="Y2347" s="2">
        <v>640</v>
      </c>
      <c r="Z2347" s="19" t="str">
        <f>HYPERLINK("https://ssdweb.co/ssdweb/hd/Vision360.html?d=821127905&amp;zoomslide=1&amp;z=1821127905&amp;ISCONFIRM=0","VIDEO")</f>
        <v>VIDEO</v>
      </c>
      <c r="AA2347" s="19" t="str">
        <f>HYPERLINK("https://ssdweb.co/ssdweb/CERTH/634417112.pdf","CERTI")</f>
        <v>CERTI</v>
      </c>
    </row>
    <row r="2348" spans="1:27" ht="15" x14ac:dyDescent="0.25">
      <c r="A2348" s="2">
        <v>2343</v>
      </c>
      <c r="B2348" s="39">
        <v>926301217</v>
      </c>
      <c r="C2348" s="28" t="str">
        <f>HYPERLINK("https://pld.live/RapDetail.aspx?STONELIST=926301217","DNA")</f>
        <v>DNA</v>
      </c>
      <c r="D2348" s="18" t="s">
        <v>7954</v>
      </c>
      <c r="E2348" s="18" t="s">
        <v>5128</v>
      </c>
      <c r="F2348" s="2" t="s">
        <v>7987</v>
      </c>
      <c r="G2348" s="2" t="s">
        <v>861</v>
      </c>
      <c r="H2348" s="14">
        <v>0.32</v>
      </c>
      <c r="I2348" s="2" t="s">
        <v>267</v>
      </c>
      <c r="J2348" s="2" t="s">
        <v>13</v>
      </c>
      <c r="K2348" s="2" t="s">
        <v>3390</v>
      </c>
      <c r="L2348" s="2" t="s">
        <v>5721</v>
      </c>
      <c r="M2348" s="2" t="s">
        <v>5721</v>
      </c>
      <c r="N2348" s="2" t="s">
        <v>2317</v>
      </c>
      <c r="O2348" s="14">
        <v>2000</v>
      </c>
      <c r="P2348" s="14">
        <v>93.7</v>
      </c>
      <c r="Q2348" s="14">
        <v>126</v>
      </c>
      <c r="R2348" s="14">
        <v>40.32</v>
      </c>
      <c r="S2348" s="2" t="s">
        <v>4305</v>
      </c>
      <c r="T2348" s="2">
        <v>1</v>
      </c>
      <c r="U2348" s="2">
        <v>60.3</v>
      </c>
      <c r="V2348" s="2">
        <v>60</v>
      </c>
      <c r="W2348" s="2" t="s">
        <v>7862</v>
      </c>
      <c r="X2348" s="2" t="s">
        <v>5405</v>
      </c>
      <c r="Y2348" s="2">
        <v>640</v>
      </c>
      <c r="Z2348" s="19" t="str">
        <f>HYPERLINK("https://ssdweb.co/ssdweb/hd/Vision360.html?d=926301217&amp;zoomslide=1&amp;z=1926301217&amp;ISCONFIRM=0","VIDEO")</f>
        <v>VIDEO</v>
      </c>
      <c r="AA2348" s="19" t="str">
        <f>HYPERLINK("https://ssdweb.co/ssdweb/CERTH/644472350.pdf","CERTI")</f>
        <v>CERTI</v>
      </c>
    </row>
    <row r="2349" spans="1:27" ht="15" x14ac:dyDescent="0.25">
      <c r="A2349" s="2">
        <v>2344</v>
      </c>
      <c r="B2349" s="39">
        <v>926430931</v>
      </c>
      <c r="C2349" s="28" t="str">
        <f>HYPERLINK("https://pld.live/RapDetail.aspx?STONELIST=926430931","DNA")</f>
        <v>DNA</v>
      </c>
      <c r="D2349" s="18" t="s">
        <v>7954</v>
      </c>
      <c r="E2349" s="18" t="s">
        <v>5128</v>
      </c>
      <c r="F2349" s="2" t="s">
        <v>7987</v>
      </c>
      <c r="G2349" s="2" t="s">
        <v>861</v>
      </c>
      <c r="H2349" s="14">
        <v>0.32</v>
      </c>
      <c r="I2349" s="2" t="s">
        <v>267</v>
      </c>
      <c r="J2349" s="2" t="s">
        <v>13</v>
      </c>
      <c r="K2349" s="2" t="s">
        <v>5221</v>
      </c>
      <c r="L2349" s="2" t="s">
        <v>5221</v>
      </c>
      <c r="M2349" s="2" t="s">
        <v>5221</v>
      </c>
      <c r="N2349" s="2" t="s">
        <v>2317</v>
      </c>
      <c r="O2349" s="14">
        <v>2000</v>
      </c>
      <c r="P2349" s="14">
        <v>93.1</v>
      </c>
      <c r="Q2349" s="14">
        <v>138</v>
      </c>
      <c r="R2349" s="14">
        <v>44.16</v>
      </c>
      <c r="S2349" s="2" t="s">
        <v>1187</v>
      </c>
      <c r="T2349" s="2">
        <v>1.01</v>
      </c>
      <c r="U2349" s="2">
        <v>61.9</v>
      </c>
      <c r="V2349" s="2">
        <v>61</v>
      </c>
      <c r="W2349" s="2" t="s">
        <v>7862</v>
      </c>
      <c r="X2349" s="2" t="s">
        <v>5405</v>
      </c>
      <c r="Y2349" s="2">
        <v>640</v>
      </c>
      <c r="Z2349" s="19" t="str">
        <f>HYPERLINK("https://ssdweb.co/ssdweb/hd/Vision360.html?d=926430931&amp;zoomslide=1&amp;z=1926430931&amp;ISCONFIRM=0","VIDEO")</f>
        <v>VIDEO</v>
      </c>
      <c r="AA2349" s="19" t="str">
        <f>HYPERLINK("https://ssdweb.co/ssdweb/CERTH/692533948.pdf","CERTI")</f>
        <v>CERTI</v>
      </c>
    </row>
    <row r="2350" spans="1:27" ht="15" x14ac:dyDescent="0.25">
      <c r="A2350" s="2">
        <v>2345</v>
      </c>
      <c r="B2350" s="39">
        <v>941330315</v>
      </c>
      <c r="C2350" s="28" t="str">
        <f>HYPERLINK("https://pld.live/RapDetail.aspx?STONELIST=941330315","DNA")</f>
        <v>DNA</v>
      </c>
      <c r="D2350" s="18" t="s">
        <v>7954</v>
      </c>
      <c r="E2350" s="18" t="s">
        <v>2186</v>
      </c>
      <c r="F2350" s="2" t="s">
        <v>7987</v>
      </c>
      <c r="G2350" s="2" t="s">
        <v>861</v>
      </c>
      <c r="H2350" s="14">
        <v>0.32</v>
      </c>
      <c r="I2350" s="2" t="s">
        <v>267</v>
      </c>
      <c r="J2350" s="2" t="s">
        <v>13</v>
      </c>
      <c r="K2350" s="2" t="s">
        <v>5221</v>
      </c>
      <c r="L2350" s="2" t="s">
        <v>5221</v>
      </c>
      <c r="M2350" s="2" t="s">
        <v>5221</v>
      </c>
      <c r="N2350" s="2" t="s">
        <v>2317</v>
      </c>
      <c r="O2350" s="14">
        <v>2000</v>
      </c>
      <c r="P2350" s="14">
        <v>93.1</v>
      </c>
      <c r="Q2350" s="14">
        <v>138</v>
      </c>
      <c r="R2350" s="14">
        <v>44.16</v>
      </c>
      <c r="S2350" s="2" t="s">
        <v>729</v>
      </c>
      <c r="T2350" s="2">
        <v>1.01</v>
      </c>
      <c r="U2350" s="2">
        <v>59.5</v>
      </c>
      <c r="V2350" s="2">
        <v>59</v>
      </c>
      <c r="W2350" s="2" t="s">
        <v>7862</v>
      </c>
      <c r="X2350" s="2" t="s">
        <v>5405</v>
      </c>
      <c r="Y2350" s="2">
        <v>640</v>
      </c>
      <c r="Z2350" s="19" t="str">
        <f>HYPERLINK("https://ssdweb.co/ssdweb/hd/Vision360.html?d=941330315&amp;zoomslide=1&amp;z=1941330315&amp;ISCONFIRM=0","VIDEO")</f>
        <v>VIDEO</v>
      </c>
      <c r="AA2350" s="19" t="str">
        <f>HYPERLINK("https://ssdweb.co/ssdweb/CERTH/689587195.pdf","CERTI")</f>
        <v>CERTI</v>
      </c>
    </row>
    <row r="2351" spans="1:27" ht="15" x14ac:dyDescent="0.25">
      <c r="A2351" s="2">
        <v>2346</v>
      </c>
      <c r="B2351" s="39">
        <v>926301288</v>
      </c>
      <c r="C2351" s="28" t="str">
        <f>HYPERLINK("https://pld.live/RapDetail.aspx?STONELIST=926301288","DNA")</f>
        <v>DNA</v>
      </c>
      <c r="D2351" s="18" t="s">
        <v>7954</v>
      </c>
      <c r="E2351" s="18" t="s">
        <v>5128</v>
      </c>
      <c r="F2351" s="2" t="s">
        <v>7987</v>
      </c>
      <c r="G2351" s="2" t="s">
        <v>861</v>
      </c>
      <c r="H2351" s="14">
        <v>0.32</v>
      </c>
      <c r="I2351" s="2" t="s">
        <v>267</v>
      </c>
      <c r="J2351" s="2" t="s">
        <v>13</v>
      </c>
      <c r="K2351" s="2" t="s">
        <v>5221</v>
      </c>
      <c r="L2351" s="2" t="s">
        <v>5221</v>
      </c>
      <c r="M2351" s="2" t="s">
        <v>5721</v>
      </c>
      <c r="N2351" s="2" t="s">
        <v>2317</v>
      </c>
      <c r="O2351" s="14">
        <v>2000</v>
      </c>
      <c r="P2351" s="14">
        <v>93.6</v>
      </c>
      <c r="Q2351" s="14">
        <v>128</v>
      </c>
      <c r="R2351" s="14">
        <v>40.96</v>
      </c>
      <c r="S2351" s="2" t="s">
        <v>7231</v>
      </c>
      <c r="T2351" s="2">
        <v>1</v>
      </c>
      <c r="U2351" s="2">
        <v>59.7</v>
      </c>
      <c r="V2351" s="2">
        <v>61</v>
      </c>
      <c r="W2351" s="2" t="s">
        <v>7862</v>
      </c>
      <c r="X2351" s="2" t="s">
        <v>5405</v>
      </c>
      <c r="Y2351" s="2">
        <v>640</v>
      </c>
      <c r="Z2351" s="19" t="str">
        <f>HYPERLINK("https://ssdweb.co/ssdweb/hd/Vision360.html?d=926301288&amp;zoomslide=1&amp;z=1926301288&amp;ISCONFIRM=0","VIDEO")</f>
        <v>VIDEO</v>
      </c>
      <c r="AA2351" s="19" t="str">
        <f>HYPERLINK("https://ssdweb.co/ssdweb/CERTH/644472295.pdf","CERTI")</f>
        <v>CERTI</v>
      </c>
    </row>
    <row r="2352" spans="1:27" ht="15" x14ac:dyDescent="0.25">
      <c r="A2352" s="2">
        <v>2347</v>
      </c>
      <c r="B2352" s="39">
        <v>926190963</v>
      </c>
      <c r="C2352" s="28" t="str">
        <f>HYPERLINK("https://pld.live/RapDetail.aspx?STONELIST=926190963","DNA")</f>
        <v>DNA</v>
      </c>
      <c r="D2352" s="18" t="s">
        <v>7954</v>
      </c>
      <c r="E2352" s="18" t="s">
        <v>5128</v>
      </c>
      <c r="F2352" s="2" t="s">
        <v>7987</v>
      </c>
      <c r="G2352" s="2" t="s">
        <v>861</v>
      </c>
      <c r="H2352" s="14">
        <v>0.32</v>
      </c>
      <c r="I2352" s="2" t="s">
        <v>267</v>
      </c>
      <c r="J2352" s="2" t="s">
        <v>13</v>
      </c>
      <c r="K2352" s="2" t="s">
        <v>5221</v>
      </c>
      <c r="L2352" s="2" t="s">
        <v>5221</v>
      </c>
      <c r="M2352" s="2" t="s">
        <v>5721</v>
      </c>
      <c r="N2352" s="2" t="s">
        <v>2317</v>
      </c>
      <c r="O2352" s="14">
        <v>2000</v>
      </c>
      <c r="P2352" s="14">
        <v>93.6</v>
      </c>
      <c r="Q2352" s="14">
        <v>128</v>
      </c>
      <c r="R2352" s="14">
        <v>40.96</v>
      </c>
      <c r="S2352" s="2" t="s">
        <v>6788</v>
      </c>
      <c r="T2352" s="2">
        <v>1.01</v>
      </c>
      <c r="U2352" s="2">
        <v>61.2</v>
      </c>
      <c r="V2352" s="2">
        <v>61</v>
      </c>
      <c r="W2352" s="2" t="s">
        <v>7862</v>
      </c>
      <c r="X2352" s="2" t="s">
        <v>5405</v>
      </c>
      <c r="Y2352" s="2">
        <v>640</v>
      </c>
      <c r="Z2352" s="19" t="str">
        <f>HYPERLINK("https://ssdweb.co/ssdweb/hd/Vision360.html?d=926190963&amp;zoomslide=1&amp;z=1926190963&amp;ISCONFIRM=0","VIDEO")</f>
        <v>VIDEO</v>
      </c>
      <c r="AA2352" s="19" t="str">
        <f>HYPERLINK("https://ssdweb.co/ssdweb/CERTH/636429689.pdf","CERTI")</f>
        <v>CERTI</v>
      </c>
    </row>
    <row r="2353" spans="1:27" ht="15" x14ac:dyDescent="0.25">
      <c r="A2353" s="2">
        <v>2348</v>
      </c>
      <c r="B2353" s="39">
        <v>926190983</v>
      </c>
      <c r="C2353" s="28" t="str">
        <f>HYPERLINK("https://pld.live/RapDetail.aspx?STONELIST=926190983","DNA")</f>
        <v>DNA</v>
      </c>
      <c r="D2353" s="18" t="s">
        <v>7954</v>
      </c>
      <c r="E2353" s="18" t="s">
        <v>5128</v>
      </c>
      <c r="F2353" s="2" t="s">
        <v>7987</v>
      </c>
      <c r="G2353" s="2" t="s">
        <v>861</v>
      </c>
      <c r="H2353" s="14">
        <v>0.32</v>
      </c>
      <c r="I2353" s="2" t="s">
        <v>267</v>
      </c>
      <c r="J2353" s="2" t="s">
        <v>13</v>
      </c>
      <c r="K2353" s="2" t="s">
        <v>5221</v>
      </c>
      <c r="L2353" s="2" t="s">
        <v>5221</v>
      </c>
      <c r="M2353" s="2" t="s">
        <v>5721</v>
      </c>
      <c r="N2353" s="2" t="s">
        <v>2317</v>
      </c>
      <c r="O2353" s="14">
        <v>2000</v>
      </c>
      <c r="P2353" s="14">
        <v>93.6</v>
      </c>
      <c r="Q2353" s="14">
        <v>128</v>
      </c>
      <c r="R2353" s="14">
        <v>40.96</v>
      </c>
      <c r="S2353" s="2" t="s">
        <v>4159</v>
      </c>
      <c r="T2353" s="2">
        <v>1</v>
      </c>
      <c r="U2353" s="2">
        <v>62.9</v>
      </c>
      <c r="V2353" s="2">
        <v>58</v>
      </c>
      <c r="W2353" s="2" t="s">
        <v>7862</v>
      </c>
      <c r="X2353" s="2" t="s">
        <v>5405</v>
      </c>
      <c r="Y2353" s="2">
        <v>640</v>
      </c>
      <c r="Z2353" s="19" t="str">
        <f>HYPERLINK("https://ssdweb.co/ssdweb/hd/Vision360.html?d=926190983&amp;zoomslide=1&amp;z=1926190983&amp;ISCONFIRM=0","VIDEO")</f>
        <v>VIDEO</v>
      </c>
      <c r="AA2353" s="19" t="str">
        <f>HYPERLINK("https://ssdweb.co/ssdweb/CERTH/636429690.pdf","CERTI")</f>
        <v>CERTI</v>
      </c>
    </row>
    <row r="2354" spans="1:27" ht="15" x14ac:dyDescent="0.25">
      <c r="A2354" s="2">
        <v>2349</v>
      </c>
      <c r="B2354" s="39">
        <v>926190989</v>
      </c>
      <c r="C2354" s="28" t="str">
        <f>HYPERLINK("https://pld.live/RapDetail.aspx?STONELIST=926190989","DNA")</f>
        <v>DNA</v>
      </c>
      <c r="D2354" s="18" t="s">
        <v>7954</v>
      </c>
      <c r="E2354" s="18" t="s">
        <v>5128</v>
      </c>
      <c r="F2354" s="2" t="s">
        <v>7987</v>
      </c>
      <c r="G2354" s="2" t="s">
        <v>861</v>
      </c>
      <c r="H2354" s="14">
        <v>0.32</v>
      </c>
      <c r="I2354" s="2" t="s">
        <v>267</v>
      </c>
      <c r="J2354" s="2" t="s">
        <v>13</v>
      </c>
      <c r="K2354" s="2" t="s">
        <v>5221</v>
      </c>
      <c r="L2354" s="2" t="s">
        <v>5221</v>
      </c>
      <c r="M2354" s="2" t="s">
        <v>5721</v>
      </c>
      <c r="N2354" s="2" t="s">
        <v>2317</v>
      </c>
      <c r="O2354" s="14">
        <v>2000</v>
      </c>
      <c r="P2354" s="14">
        <v>93.6</v>
      </c>
      <c r="Q2354" s="14">
        <v>128</v>
      </c>
      <c r="R2354" s="14">
        <v>40.96</v>
      </c>
      <c r="S2354" s="2" t="s">
        <v>7786</v>
      </c>
      <c r="T2354" s="2">
        <v>1.01</v>
      </c>
      <c r="U2354" s="2">
        <v>62.7</v>
      </c>
      <c r="V2354" s="2">
        <v>54</v>
      </c>
      <c r="W2354" s="2" t="s">
        <v>7862</v>
      </c>
      <c r="X2354" s="2" t="s">
        <v>5405</v>
      </c>
      <c r="Y2354" s="2">
        <v>640</v>
      </c>
      <c r="Z2354" s="19" t="str">
        <f>HYPERLINK("https://ssdweb.co/ssdweb/hd/Vision360.html?d=926190989&amp;zoomslide=1&amp;z=1926190989&amp;ISCONFIRM=0","VIDEO")</f>
        <v>VIDEO</v>
      </c>
      <c r="AA2354" s="19" t="str">
        <f>HYPERLINK("https://ssdweb.co/ssdweb/CERTH/636429672.pdf","CERTI")</f>
        <v>CERTI</v>
      </c>
    </row>
    <row r="2355" spans="1:27" ht="15" x14ac:dyDescent="0.25">
      <c r="A2355" s="2">
        <v>2350</v>
      </c>
      <c r="B2355" s="39">
        <v>926181042</v>
      </c>
      <c r="C2355" s="28" t="str">
        <f>HYPERLINK("https://pld.live/RapDetail.aspx?STONELIST=926181042","DNA")</f>
        <v>DNA</v>
      </c>
      <c r="D2355" s="18" t="s">
        <v>7954</v>
      </c>
      <c r="E2355" s="18" t="s">
        <v>5128</v>
      </c>
      <c r="F2355" s="2" t="s">
        <v>7987</v>
      </c>
      <c r="G2355" s="2" t="s">
        <v>861</v>
      </c>
      <c r="H2355" s="14">
        <v>0.32</v>
      </c>
      <c r="I2355" s="2" t="s">
        <v>267</v>
      </c>
      <c r="J2355" s="2" t="s">
        <v>13</v>
      </c>
      <c r="K2355" s="2" t="s">
        <v>5221</v>
      </c>
      <c r="L2355" s="2" t="s">
        <v>5221</v>
      </c>
      <c r="M2355" s="2" t="s">
        <v>5721</v>
      </c>
      <c r="N2355" s="2" t="s">
        <v>2317</v>
      </c>
      <c r="O2355" s="14">
        <v>2000</v>
      </c>
      <c r="P2355" s="14">
        <v>93.6</v>
      </c>
      <c r="Q2355" s="14">
        <v>128</v>
      </c>
      <c r="R2355" s="14">
        <v>40.96</v>
      </c>
      <c r="S2355" s="2" t="s">
        <v>2969</v>
      </c>
      <c r="T2355" s="2">
        <v>1.01</v>
      </c>
      <c r="U2355" s="2">
        <v>62.2</v>
      </c>
      <c r="V2355" s="2">
        <v>58</v>
      </c>
      <c r="W2355" s="2" t="s">
        <v>7862</v>
      </c>
      <c r="X2355" s="2" t="s">
        <v>5405</v>
      </c>
      <c r="Y2355" s="2">
        <v>640</v>
      </c>
      <c r="Z2355" s="19" t="str">
        <f>HYPERLINK("https://ssdweb.co/ssdweb/hd/Vision360.html?d=926181042&amp;zoomslide=1&amp;z=1926181042&amp;ISCONFIRM=0","VIDEO")</f>
        <v>VIDEO</v>
      </c>
      <c r="AA2355" s="19" t="str">
        <f>HYPERLINK("https://ssdweb.co/ssdweb/CERTH/636429794.pdf","CERTI")</f>
        <v>CERTI</v>
      </c>
    </row>
    <row r="2356" spans="1:27" ht="15" x14ac:dyDescent="0.25">
      <c r="A2356" s="2">
        <v>2351</v>
      </c>
      <c r="B2356" s="39">
        <v>926181009</v>
      </c>
      <c r="C2356" s="28" t="str">
        <f>HYPERLINK("https://pld.live/RapDetail.aspx?STONELIST=926181009","DNA")</f>
        <v>DNA</v>
      </c>
      <c r="D2356" s="18" t="s">
        <v>7954</v>
      </c>
      <c r="E2356" s="18" t="s">
        <v>5128</v>
      </c>
      <c r="F2356" s="2" t="s">
        <v>7987</v>
      </c>
      <c r="G2356" s="2" t="s">
        <v>861</v>
      </c>
      <c r="H2356" s="14">
        <v>0.32</v>
      </c>
      <c r="I2356" s="2" t="s">
        <v>267</v>
      </c>
      <c r="J2356" s="2" t="s">
        <v>13</v>
      </c>
      <c r="K2356" s="2" t="s">
        <v>5221</v>
      </c>
      <c r="L2356" s="2" t="s">
        <v>5221</v>
      </c>
      <c r="M2356" s="2" t="s">
        <v>5721</v>
      </c>
      <c r="N2356" s="2" t="s">
        <v>2317</v>
      </c>
      <c r="O2356" s="14">
        <v>2000</v>
      </c>
      <c r="P2356" s="14">
        <v>93.6</v>
      </c>
      <c r="Q2356" s="14">
        <v>128</v>
      </c>
      <c r="R2356" s="14">
        <v>40.96</v>
      </c>
      <c r="S2356" s="2" t="s">
        <v>1369</v>
      </c>
      <c r="T2356" s="2">
        <v>1.01</v>
      </c>
      <c r="U2356" s="2">
        <v>63.2</v>
      </c>
      <c r="V2356" s="2">
        <v>55</v>
      </c>
      <c r="W2356" s="2" t="s">
        <v>7862</v>
      </c>
      <c r="X2356" s="2" t="s">
        <v>5405</v>
      </c>
      <c r="Y2356" s="2">
        <v>640</v>
      </c>
      <c r="Z2356" s="19" t="str">
        <f>HYPERLINK("https://ssdweb.co/ssdweb/hd/Vision360.html?d=926181009&amp;zoomslide=1&amp;z=1926181009&amp;ISCONFIRM=0","VIDEO")</f>
        <v>VIDEO</v>
      </c>
      <c r="AA2356" s="19" t="str">
        <f>HYPERLINK("https://ssdweb.co/ssdweb/CERTH/636429940.pdf","CERTI")</f>
        <v>CERTI</v>
      </c>
    </row>
    <row r="2357" spans="1:27" ht="15" x14ac:dyDescent="0.25">
      <c r="A2357" s="2">
        <v>2352</v>
      </c>
      <c r="B2357" s="39">
        <v>926240895</v>
      </c>
      <c r="C2357" s="28" t="str">
        <f>HYPERLINK("https://pld.live/RapDetail.aspx?STONELIST=926240895","DNA")</f>
        <v>DNA</v>
      </c>
      <c r="D2357" s="18" t="s">
        <v>7954</v>
      </c>
      <c r="E2357" s="18" t="s">
        <v>5128</v>
      </c>
      <c r="F2357" s="2" t="s">
        <v>7987</v>
      </c>
      <c r="G2357" s="2" t="s">
        <v>861</v>
      </c>
      <c r="H2357" s="14">
        <v>0.32</v>
      </c>
      <c r="I2357" s="2" t="s">
        <v>267</v>
      </c>
      <c r="J2357" s="2" t="s">
        <v>13</v>
      </c>
      <c r="K2357" s="2" t="s">
        <v>5221</v>
      </c>
      <c r="L2357" s="2" t="s">
        <v>5721</v>
      </c>
      <c r="M2357" s="2" t="s">
        <v>5221</v>
      </c>
      <c r="N2357" s="2" t="s">
        <v>2317</v>
      </c>
      <c r="O2357" s="14">
        <v>2000</v>
      </c>
      <c r="P2357" s="14">
        <v>93.6</v>
      </c>
      <c r="Q2357" s="14">
        <v>128</v>
      </c>
      <c r="R2357" s="14">
        <v>40.96</v>
      </c>
      <c r="S2357" s="2" t="s">
        <v>6829</v>
      </c>
      <c r="T2357" s="2">
        <v>1.01</v>
      </c>
      <c r="U2357" s="2">
        <v>60.3</v>
      </c>
      <c r="V2357" s="2">
        <v>59</v>
      </c>
      <c r="W2357" s="2" t="s">
        <v>7862</v>
      </c>
      <c r="X2357" s="2" t="s">
        <v>5405</v>
      </c>
      <c r="Y2357" s="2">
        <v>640</v>
      </c>
      <c r="Z2357" s="19" t="str">
        <f>HYPERLINK("https://ssdweb.co/ssdweb/hd/Vision360.html?d=926240895&amp;zoomslide=1&amp;z=1926240895&amp;ISCONFIRM=0","VIDEO")</f>
        <v>VIDEO</v>
      </c>
      <c r="AA2357" s="19" t="str">
        <f>HYPERLINK("https://ssdweb.co/ssdweb/CERTH/640419090.pdf","CERTI")</f>
        <v>CERTI</v>
      </c>
    </row>
    <row r="2358" spans="1:27" ht="15" x14ac:dyDescent="0.25">
      <c r="A2358" s="2">
        <v>2353</v>
      </c>
      <c r="B2358" s="39">
        <v>831010750</v>
      </c>
      <c r="C2358" s="28" t="str">
        <f>HYPERLINK("https://pld.live/RapDetail.aspx?STONELIST=831010750","DNA")</f>
        <v>DNA</v>
      </c>
      <c r="D2358" s="18" t="s">
        <v>7954</v>
      </c>
      <c r="E2358" s="18" t="s">
        <v>5128</v>
      </c>
      <c r="F2358" s="2" t="s">
        <v>7987</v>
      </c>
      <c r="G2358" s="2" t="s">
        <v>861</v>
      </c>
      <c r="H2358" s="14">
        <v>0.32</v>
      </c>
      <c r="I2358" s="2" t="s">
        <v>267</v>
      </c>
      <c r="J2358" s="2" t="s">
        <v>13</v>
      </c>
      <c r="K2358" s="2" t="s">
        <v>5221</v>
      </c>
      <c r="L2358" s="2" t="s">
        <v>5721</v>
      </c>
      <c r="M2358" s="2" t="s">
        <v>5721</v>
      </c>
      <c r="N2358" s="2" t="s">
        <v>2317</v>
      </c>
      <c r="O2358" s="14">
        <v>2000</v>
      </c>
      <c r="P2358" s="14">
        <v>93.7</v>
      </c>
      <c r="Q2358" s="14">
        <v>126</v>
      </c>
      <c r="R2358" s="14">
        <v>40.32</v>
      </c>
      <c r="S2358" s="2" t="s">
        <v>4096</v>
      </c>
      <c r="T2358" s="2">
        <v>1.01</v>
      </c>
      <c r="U2358" s="2">
        <v>62.7</v>
      </c>
      <c r="V2358" s="2">
        <v>59</v>
      </c>
      <c r="W2358" s="2" t="s">
        <v>7862</v>
      </c>
      <c r="X2358" s="2" t="s">
        <v>5405</v>
      </c>
      <c r="Y2358" s="2">
        <v>640</v>
      </c>
      <c r="Z2358" s="19" t="str">
        <f>HYPERLINK("https://ssdweb.co/ssdweb/hd/Vision360.html?d=831010750&amp;zoomslide=1&amp;z=1831010750&amp;ISCONFIRM=0","VIDEO")</f>
        <v>VIDEO</v>
      </c>
      <c r="AA2358" s="19" t="str">
        <f>HYPERLINK("https://ssdweb.co/ssdweb/CERTH/644472262.pdf","CERTI")</f>
        <v>CERTI</v>
      </c>
    </row>
    <row r="2359" spans="1:27" ht="15" x14ac:dyDescent="0.25">
      <c r="A2359" s="2">
        <v>2354</v>
      </c>
      <c r="B2359" s="39">
        <v>927152200</v>
      </c>
      <c r="C2359" s="28" t="str">
        <f>HYPERLINK("https://pld.live/RapDetail.aspx?STONELIST=927152200","DNA")</f>
        <v>DNA</v>
      </c>
      <c r="D2359" s="18" t="s">
        <v>7954</v>
      </c>
      <c r="E2359" s="18" t="s">
        <v>5128</v>
      </c>
      <c r="F2359" s="2" t="s">
        <v>7987</v>
      </c>
      <c r="G2359" s="2" t="s">
        <v>861</v>
      </c>
      <c r="H2359" s="14">
        <v>0.32</v>
      </c>
      <c r="I2359" s="2" t="s">
        <v>267</v>
      </c>
      <c r="J2359" s="2" t="s">
        <v>13</v>
      </c>
      <c r="K2359" s="2" t="s">
        <v>5221</v>
      </c>
      <c r="L2359" s="2" t="s">
        <v>5721</v>
      </c>
      <c r="M2359" s="2" t="s">
        <v>5721</v>
      </c>
      <c r="N2359" s="2" t="s">
        <v>2317</v>
      </c>
      <c r="O2359" s="14">
        <v>2000</v>
      </c>
      <c r="P2359" s="14">
        <v>93.7</v>
      </c>
      <c r="Q2359" s="14">
        <v>126</v>
      </c>
      <c r="R2359" s="14">
        <v>40.32</v>
      </c>
      <c r="S2359" s="2" t="s">
        <v>8118</v>
      </c>
      <c r="T2359" s="2">
        <v>1</v>
      </c>
      <c r="U2359" s="2">
        <v>59.8</v>
      </c>
      <c r="V2359" s="2">
        <v>60</v>
      </c>
      <c r="W2359" s="2" t="s">
        <v>7862</v>
      </c>
      <c r="X2359" s="2" t="s">
        <v>5405</v>
      </c>
      <c r="Y2359" s="2">
        <v>640</v>
      </c>
      <c r="Z2359" s="19" t="str">
        <f>HYPERLINK("https://ssdweb.co/ssdweb/hd/Vision360.html?d=927152200&amp;zoomslide=1&amp;z=1927152200&amp;ISCONFIRM=0","VIDEO")</f>
        <v>VIDEO</v>
      </c>
      <c r="AA2359" s="19" t="str">
        <f>HYPERLINK("https://ssdweb.co/ssdweb/CERTH/669458154.pdf","CERTI")</f>
        <v>CERTI</v>
      </c>
    </row>
    <row r="2360" spans="1:27" ht="15" x14ac:dyDescent="0.25">
      <c r="A2360" s="2">
        <v>2355</v>
      </c>
      <c r="B2360" s="39">
        <v>926181032</v>
      </c>
      <c r="C2360" s="28" t="str">
        <f>HYPERLINK("https://pld.live/RapDetail.aspx?STONELIST=926181032","DNA")</f>
        <v>DNA</v>
      </c>
      <c r="D2360" s="18" t="s">
        <v>7954</v>
      </c>
      <c r="E2360" s="18" t="s">
        <v>5128</v>
      </c>
      <c r="F2360" s="2" t="s">
        <v>7987</v>
      </c>
      <c r="G2360" s="2" t="s">
        <v>861</v>
      </c>
      <c r="H2360" s="14">
        <v>0.32</v>
      </c>
      <c r="I2360" s="2" t="s">
        <v>267</v>
      </c>
      <c r="J2360" s="2" t="s">
        <v>13</v>
      </c>
      <c r="K2360" s="2" t="s">
        <v>5221</v>
      </c>
      <c r="L2360" s="2" t="s">
        <v>5721</v>
      </c>
      <c r="M2360" s="2" t="s">
        <v>5721</v>
      </c>
      <c r="N2360" s="2" t="s">
        <v>2317</v>
      </c>
      <c r="O2360" s="14">
        <v>2000</v>
      </c>
      <c r="P2360" s="14">
        <v>93.7</v>
      </c>
      <c r="Q2360" s="14">
        <v>126</v>
      </c>
      <c r="R2360" s="14">
        <v>40.32</v>
      </c>
      <c r="S2360" s="2" t="s">
        <v>4607</v>
      </c>
      <c r="T2360" s="2">
        <v>1.01</v>
      </c>
      <c r="U2360" s="2">
        <v>59.9</v>
      </c>
      <c r="V2360" s="2">
        <v>61</v>
      </c>
      <c r="W2360" s="2" t="s">
        <v>7862</v>
      </c>
      <c r="X2360" s="2" t="s">
        <v>5405</v>
      </c>
      <c r="Y2360" s="2">
        <v>640</v>
      </c>
      <c r="Z2360" s="19" t="str">
        <f>HYPERLINK("https://ssdweb.co/ssdweb/hd/Vision360.html?d=926181032&amp;zoomslide=1&amp;z=1926181032&amp;ISCONFIRM=0","VIDEO")</f>
        <v>VIDEO</v>
      </c>
      <c r="AA2360" s="19" t="str">
        <f>HYPERLINK("https://ssdweb.co/ssdweb/CERTH/636430016.pdf","CERTI")</f>
        <v>CERTI</v>
      </c>
    </row>
    <row r="2361" spans="1:27" ht="15" x14ac:dyDescent="0.25">
      <c r="A2361" s="2">
        <v>2356</v>
      </c>
      <c r="B2361" s="39">
        <v>926460878</v>
      </c>
      <c r="C2361" s="28" t="str">
        <f>HYPERLINK("https://pld.live/RapDetail.aspx?STONELIST=926460878","DNA")</f>
        <v>DNA</v>
      </c>
      <c r="D2361" s="18" t="s">
        <v>7954</v>
      </c>
      <c r="E2361" s="18" t="s">
        <v>5128</v>
      </c>
      <c r="F2361" s="2" t="s">
        <v>7987</v>
      </c>
      <c r="G2361" s="2" t="s">
        <v>861</v>
      </c>
      <c r="H2361" s="14">
        <v>0.32</v>
      </c>
      <c r="I2361" s="2" t="s">
        <v>267</v>
      </c>
      <c r="J2361" s="2" t="s">
        <v>5144</v>
      </c>
      <c r="K2361" s="2" t="s">
        <v>3390</v>
      </c>
      <c r="L2361" s="2" t="s">
        <v>5221</v>
      </c>
      <c r="M2361" s="2" t="s">
        <v>5221</v>
      </c>
      <c r="N2361" s="2" t="s">
        <v>2317</v>
      </c>
      <c r="O2361" s="14">
        <v>1800</v>
      </c>
      <c r="P2361" s="14">
        <v>92.89</v>
      </c>
      <c r="Q2361" s="14">
        <v>127.98</v>
      </c>
      <c r="R2361" s="14">
        <v>40.950000000000003</v>
      </c>
      <c r="S2361" s="2" t="s">
        <v>8113</v>
      </c>
      <c r="T2361" s="2">
        <v>1.01</v>
      </c>
      <c r="U2361" s="2">
        <v>61.1</v>
      </c>
      <c r="V2361" s="2">
        <v>57</v>
      </c>
      <c r="W2361" s="2" t="s">
        <v>7862</v>
      </c>
      <c r="X2361" s="2" t="s">
        <v>5405</v>
      </c>
      <c r="Y2361" s="2">
        <v>576</v>
      </c>
      <c r="Z2361" s="19" t="str">
        <f>HYPERLINK("https://ssdweb.co/ssdweb/hd/Vision360.html?d=926460878&amp;zoomslide=1&amp;z=1926460878&amp;ISCONFIRM=0","VIDEO")</f>
        <v>VIDEO</v>
      </c>
      <c r="AA2361" s="19" t="str">
        <f>HYPERLINK("https://ssdweb.co/ssdweb/CERTH/646472883.pdf","CERTI")</f>
        <v>CERTI</v>
      </c>
    </row>
    <row r="2362" spans="1:27" ht="15" x14ac:dyDescent="0.25">
      <c r="A2362" s="2">
        <v>2357</v>
      </c>
      <c r="B2362" s="39">
        <v>926571119</v>
      </c>
      <c r="C2362" s="28" t="str">
        <f>HYPERLINK("https://pld.live/RapDetail.aspx?STONELIST=926571119","DNA")</f>
        <v>DNA</v>
      </c>
      <c r="D2362" s="18" t="s">
        <v>7954</v>
      </c>
      <c r="E2362" s="18" t="s">
        <v>5128</v>
      </c>
      <c r="F2362" s="2" t="s">
        <v>7987</v>
      </c>
      <c r="G2362" s="2" t="s">
        <v>861</v>
      </c>
      <c r="H2362" s="14">
        <v>0.32</v>
      </c>
      <c r="I2362" s="2" t="s">
        <v>267</v>
      </c>
      <c r="J2362" s="2" t="s">
        <v>5144</v>
      </c>
      <c r="K2362" s="2" t="s">
        <v>3390</v>
      </c>
      <c r="L2362" s="2" t="s">
        <v>5221</v>
      </c>
      <c r="M2362" s="2" t="s">
        <v>5221</v>
      </c>
      <c r="N2362" s="2" t="s">
        <v>2317</v>
      </c>
      <c r="O2362" s="14">
        <v>1800</v>
      </c>
      <c r="P2362" s="14">
        <v>92.89</v>
      </c>
      <c r="Q2362" s="14">
        <v>127.98</v>
      </c>
      <c r="R2362" s="14">
        <v>40.950000000000003</v>
      </c>
      <c r="S2362" s="2" t="s">
        <v>2948</v>
      </c>
      <c r="T2362" s="2">
        <v>1</v>
      </c>
      <c r="U2362" s="2">
        <v>61.1</v>
      </c>
      <c r="V2362" s="2">
        <v>56</v>
      </c>
      <c r="W2362" s="2" t="s">
        <v>7862</v>
      </c>
      <c r="X2362" s="2" t="s">
        <v>5405</v>
      </c>
      <c r="Y2362" s="2">
        <v>576</v>
      </c>
      <c r="Z2362" s="19" t="str">
        <f>HYPERLINK("https://ssdweb.co/ssdweb/hd/Vision360.html?d=926571119&amp;zoomslide=1&amp;z=1926571119&amp;ISCONFIRM=0","VIDEO")</f>
        <v>VIDEO</v>
      </c>
      <c r="AA2362" s="19" t="str">
        <f>HYPERLINK("https://ssdweb.co/ssdweb/CERTH/646472899.pdf","CERTI")</f>
        <v>CERTI</v>
      </c>
    </row>
    <row r="2363" spans="1:27" ht="15" x14ac:dyDescent="0.25">
      <c r="A2363" s="2">
        <v>2358</v>
      </c>
      <c r="B2363" s="39">
        <v>926761015</v>
      </c>
      <c r="C2363" s="28" t="str">
        <f>HYPERLINK("https://pld.live/RapDetail.aspx?STONELIST=926761015","DNA")</f>
        <v>DNA</v>
      </c>
      <c r="D2363" s="18" t="s">
        <v>7954</v>
      </c>
      <c r="E2363" s="18" t="s">
        <v>5128</v>
      </c>
      <c r="F2363" s="2" t="s">
        <v>7987</v>
      </c>
      <c r="G2363" s="2" t="s">
        <v>861</v>
      </c>
      <c r="H2363" s="14">
        <v>0.32</v>
      </c>
      <c r="I2363" s="2" t="s">
        <v>267</v>
      </c>
      <c r="J2363" s="2" t="s">
        <v>5144</v>
      </c>
      <c r="K2363" s="2" t="s">
        <v>3390</v>
      </c>
      <c r="L2363" s="2" t="s">
        <v>5221</v>
      </c>
      <c r="M2363" s="2" t="s">
        <v>5221</v>
      </c>
      <c r="N2363" s="2" t="s">
        <v>2317</v>
      </c>
      <c r="O2363" s="14">
        <v>1800</v>
      </c>
      <c r="P2363" s="14">
        <v>92.78</v>
      </c>
      <c r="Q2363" s="14">
        <v>129.96</v>
      </c>
      <c r="R2363" s="14">
        <v>41.59</v>
      </c>
      <c r="S2363" s="2" t="s">
        <v>3807</v>
      </c>
      <c r="T2363" s="2">
        <v>1.01</v>
      </c>
      <c r="U2363" s="2">
        <v>60.6</v>
      </c>
      <c r="V2363" s="2">
        <v>59</v>
      </c>
      <c r="W2363" s="2" t="s">
        <v>7862</v>
      </c>
      <c r="X2363" s="2" t="s">
        <v>5405</v>
      </c>
      <c r="Y2363" s="2">
        <v>576</v>
      </c>
      <c r="Z2363" s="19" t="str">
        <f>HYPERLINK("https://ssdweb.co/ssdweb/hd/Vision360.html?d=926761015&amp;zoomslide=1&amp;z=1926761015&amp;ISCONFIRM=0","VIDEO")</f>
        <v>VIDEO</v>
      </c>
      <c r="AA2363" s="19" t="str">
        <f>HYPERLINK("https://ssdweb.co/ssdweb/CERTH/652467466.pdf","CERTI")</f>
        <v>CERTI</v>
      </c>
    </row>
    <row r="2364" spans="1:27" ht="15" x14ac:dyDescent="0.25">
      <c r="A2364" s="2">
        <v>2359</v>
      </c>
      <c r="B2364" s="39">
        <v>926261503</v>
      </c>
      <c r="C2364" s="28" t="str">
        <f>HYPERLINK("https://pld.live/RapDetail.aspx?STONELIST=926261503","DNA")</f>
        <v>DNA</v>
      </c>
      <c r="D2364" s="18" t="s">
        <v>7954</v>
      </c>
      <c r="E2364" s="18" t="s">
        <v>5128</v>
      </c>
      <c r="F2364" s="2" t="s">
        <v>7987</v>
      </c>
      <c r="G2364" s="2" t="s">
        <v>861</v>
      </c>
      <c r="H2364" s="14">
        <v>0.32</v>
      </c>
      <c r="I2364" s="2" t="s">
        <v>267</v>
      </c>
      <c r="J2364" s="2" t="s">
        <v>5144</v>
      </c>
      <c r="K2364" s="2" t="s">
        <v>3390</v>
      </c>
      <c r="L2364" s="2" t="s">
        <v>5221</v>
      </c>
      <c r="M2364" s="2" t="s">
        <v>5221</v>
      </c>
      <c r="N2364" s="2" t="s">
        <v>2317</v>
      </c>
      <c r="O2364" s="14">
        <v>1800</v>
      </c>
      <c r="P2364" s="14">
        <v>92.89</v>
      </c>
      <c r="Q2364" s="14">
        <v>127.98</v>
      </c>
      <c r="R2364" s="14">
        <v>40.950000000000003</v>
      </c>
      <c r="S2364" s="2" t="s">
        <v>7824</v>
      </c>
      <c r="T2364" s="2">
        <v>1.01</v>
      </c>
      <c r="U2364" s="2">
        <v>61.4</v>
      </c>
      <c r="V2364" s="2">
        <v>58</v>
      </c>
      <c r="W2364" s="2" t="s">
        <v>7862</v>
      </c>
      <c r="X2364" s="2" t="s">
        <v>5405</v>
      </c>
      <c r="Y2364" s="2">
        <v>576</v>
      </c>
      <c r="Z2364" s="19" t="str">
        <f>HYPERLINK("https://ssdweb.co/ssdweb/hd/Vision360.html?d=926261503&amp;zoomslide=1&amp;z=1926261503&amp;ISCONFIRM=0","VIDEO")</f>
        <v>VIDEO</v>
      </c>
      <c r="AA2364" s="19" t="str">
        <f>HYPERLINK("https://ssdweb.co/ssdweb/CERTH/642442857.pdf","CERTI")</f>
        <v>CERTI</v>
      </c>
    </row>
    <row r="2365" spans="1:27" ht="15" x14ac:dyDescent="0.25">
      <c r="A2365" s="2">
        <v>2360</v>
      </c>
      <c r="B2365" s="39">
        <v>926761218</v>
      </c>
      <c r="C2365" s="28" t="str">
        <f>HYPERLINK("https://pld.live/RapDetail.aspx?STONELIST=926761218","DNA")</f>
        <v>DNA</v>
      </c>
      <c r="D2365" s="18" t="s">
        <v>7954</v>
      </c>
      <c r="E2365" s="18" t="s">
        <v>5128</v>
      </c>
      <c r="F2365" s="2" t="s">
        <v>7987</v>
      </c>
      <c r="G2365" s="2" t="s">
        <v>861</v>
      </c>
      <c r="H2365" s="14">
        <v>0.32</v>
      </c>
      <c r="I2365" s="2" t="s">
        <v>267</v>
      </c>
      <c r="J2365" s="2" t="s">
        <v>5144</v>
      </c>
      <c r="K2365" s="2" t="s">
        <v>3390</v>
      </c>
      <c r="L2365" s="2" t="s">
        <v>5221</v>
      </c>
      <c r="M2365" s="2" t="s">
        <v>5221</v>
      </c>
      <c r="N2365" s="2" t="s">
        <v>2317</v>
      </c>
      <c r="O2365" s="14">
        <v>1800</v>
      </c>
      <c r="P2365" s="14">
        <v>92.78</v>
      </c>
      <c r="Q2365" s="14">
        <v>129.96</v>
      </c>
      <c r="R2365" s="14">
        <v>41.59</v>
      </c>
      <c r="S2365" s="2" t="s">
        <v>5207</v>
      </c>
      <c r="T2365" s="2">
        <v>1.01</v>
      </c>
      <c r="U2365" s="2">
        <v>61.6</v>
      </c>
      <c r="V2365" s="2">
        <v>59</v>
      </c>
      <c r="W2365" s="2" t="s">
        <v>7862</v>
      </c>
      <c r="X2365" s="2" t="s">
        <v>5405</v>
      </c>
      <c r="Y2365" s="2">
        <v>576</v>
      </c>
      <c r="Z2365" s="19" t="str">
        <f>HYPERLINK("https://ssdweb.co/ssdweb/hd/Vision360.html?d=926761218&amp;zoomslide=1&amp;z=1926761218&amp;ISCONFIRM=0","VIDEO")</f>
        <v>VIDEO</v>
      </c>
      <c r="AA2365" s="19" t="str">
        <f>HYPERLINK("https://ssdweb.co/ssdweb/CERTH/652467371.pdf","CERTI")</f>
        <v>CERTI</v>
      </c>
    </row>
    <row r="2366" spans="1:27" ht="15" x14ac:dyDescent="0.25">
      <c r="A2366" s="2">
        <v>2361</v>
      </c>
      <c r="B2366" s="39">
        <v>926341426</v>
      </c>
      <c r="C2366" s="28" t="str">
        <f>HYPERLINK("https://pld.live/RapDetail.aspx?STONELIST=926341426","DNA")</f>
        <v>DNA</v>
      </c>
      <c r="D2366" s="18" t="s">
        <v>7954</v>
      </c>
      <c r="E2366" s="18" t="s">
        <v>5128</v>
      </c>
      <c r="F2366" s="2" t="s">
        <v>7987</v>
      </c>
      <c r="G2366" s="2" t="s">
        <v>861</v>
      </c>
      <c r="H2366" s="14">
        <v>0.32</v>
      </c>
      <c r="I2366" s="2" t="s">
        <v>267</v>
      </c>
      <c r="J2366" s="2" t="s">
        <v>5144</v>
      </c>
      <c r="K2366" s="2" t="s">
        <v>3390</v>
      </c>
      <c r="L2366" s="2" t="s">
        <v>5221</v>
      </c>
      <c r="M2366" s="2" t="s">
        <v>5221</v>
      </c>
      <c r="N2366" s="2" t="s">
        <v>2317</v>
      </c>
      <c r="O2366" s="14">
        <v>1800</v>
      </c>
      <c r="P2366" s="14">
        <v>92.89</v>
      </c>
      <c r="Q2366" s="14">
        <v>127.98</v>
      </c>
      <c r="R2366" s="14">
        <v>40.950000000000003</v>
      </c>
      <c r="S2366" s="2" t="s">
        <v>2969</v>
      </c>
      <c r="T2366" s="2">
        <v>1.01</v>
      </c>
      <c r="U2366" s="2">
        <v>62.1</v>
      </c>
      <c r="V2366" s="2">
        <v>58</v>
      </c>
      <c r="W2366" s="2" t="s">
        <v>7862</v>
      </c>
      <c r="X2366" s="2" t="s">
        <v>5405</v>
      </c>
      <c r="Y2366" s="2">
        <v>576</v>
      </c>
      <c r="Z2366" s="19" t="str">
        <f>HYPERLINK("https://ssdweb.co/ssdweb/hd/Vision360.html?d=926341426&amp;zoomslide=1&amp;z=1926341426&amp;ISCONFIRM=0","VIDEO")</f>
        <v>VIDEO</v>
      </c>
      <c r="AA2366" s="19" t="str">
        <f>HYPERLINK("https://ssdweb.co/ssdweb/CERTH/646472919.pdf","CERTI")</f>
        <v>CERTI</v>
      </c>
    </row>
    <row r="2367" spans="1:27" ht="15" x14ac:dyDescent="0.25">
      <c r="A2367" s="2">
        <v>2362</v>
      </c>
      <c r="B2367" s="39">
        <v>926341224</v>
      </c>
      <c r="C2367" s="28" t="str">
        <f>HYPERLINK("https://pld.live/RapDetail.aspx?STONELIST=926341224","DNA")</f>
        <v>DNA</v>
      </c>
      <c r="D2367" s="18" t="s">
        <v>7954</v>
      </c>
      <c r="E2367" s="18" t="s">
        <v>5128</v>
      </c>
      <c r="F2367" s="2" t="s">
        <v>7987</v>
      </c>
      <c r="G2367" s="2" t="s">
        <v>861</v>
      </c>
      <c r="H2367" s="14">
        <v>0.32</v>
      </c>
      <c r="I2367" s="2" t="s">
        <v>267</v>
      </c>
      <c r="J2367" s="2" t="s">
        <v>5144</v>
      </c>
      <c r="K2367" s="2" t="s">
        <v>3390</v>
      </c>
      <c r="L2367" s="2" t="s">
        <v>5221</v>
      </c>
      <c r="M2367" s="2" t="s">
        <v>5221</v>
      </c>
      <c r="N2367" s="2" t="s">
        <v>2317</v>
      </c>
      <c r="O2367" s="14">
        <v>1800</v>
      </c>
      <c r="P2367" s="14">
        <v>92.89</v>
      </c>
      <c r="Q2367" s="14">
        <v>127.98</v>
      </c>
      <c r="R2367" s="14">
        <v>40.950000000000003</v>
      </c>
      <c r="S2367" s="2" t="s">
        <v>4912</v>
      </c>
      <c r="T2367" s="2">
        <v>1</v>
      </c>
      <c r="U2367" s="2">
        <v>61.9</v>
      </c>
      <c r="V2367" s="2">
        <v>58</v>
      </c>
      <c r="W2367" s="2" t="s">
        <v>7862</v>
      </c>
      <c r="X2367" s="2" t="s">
        <v>5405</v>
      </c>
      <c r="Y2367" s="2">
        <v>576</v>
      </c>
      <c r="Z2367" s="19" t="str">
        <f>HYPERLINK("https://ssdweb.co/ssdweb/hd/Vision360.html?d=926341224&amp;zoomslide=1&amp;z=1926341224&amp;ISCONFIRM=0","VIDEO")</f>
        <v>VIDEO</v>
      </c>
      <c r="AA2367" s="19" t="str">
        <f>HYPERLINK("https://ssdweb.co/ssdweb/CERTH/644472383.pdf","CERTI")</f>
        <v>CERTI</v>
      </c>
    </row>
    <row r="2368" spans="1:27" ht="15" x14ac:dyDescent="0.25">
      <c r="A2368" s="2">
        <v>2363</v>
      </c>
      <c r="B2368" s="39">
        <v>926320948</v>
      </c>
      <c r="C2368" s="28" t="str">
        <f>HYPERLINK("https://pld.live/RapDetail.aspx?STONELIST=926320948","DNA")</f>
        <v>DNA</v>
      </c>
      <c r="D2368" s="18" t="s">
        <v>7954</v>
      </c>
      <c r="E2368" s="18" t="s">
        <v>5128</v>
      </c>
      <c r="F2368" s="2" t="s">
        <v>7987</v>
      </c>
      <c r="G2368" s="2" t="s">
        <v>861</v>
      </c>
      <c r="H2368" s="14">
        <v>0.32</v>
      </c>
      <c r="I2368" s="2" t="s">
        <v>267</v>
      </c>
      <c r="J2368" s="2" t="s">
        <v>5144</v>
      </c>
      <c r="K2368" s="2" t="s">
        <v>3390</v>
      </c>
      <c r="L2368" s="2" t="s">
        <v>5221</v>
      </c>
      <c r="M2368" s="2" t="s">
        <v>5221</v>
      </c>
      <c r="N2368" s="2" t="s">
        <v>2317</v>
      </c>
      <c r="O2368" s="14">
        <v>1800</v>
      </c>
      <c r="P2368" s="14">
        <v>92.89</v>
      </c>
      <c r="Q2368" s="14">
        <v>127.98</v>
      </c>
      <c r="R2368" s="14">
        <v>40.950000000000003</v>
      </c>
      <c r="S2368" s="2" t="s">
        <v>7652</v>
      </c>
      <c r="T2368" s="2">
        <v>1.01</v>
      </c>
      <c r="U2368" s="2">
        <v>61.5</v>
      </c>
      <c r="V2368" s="2">
        <v>58</v>
      </c>
      <c r="W2368" s="2" t="s">
        <v>7862</v>
      </c>
      <c r="X2368" s="2" t="s">
        <v>5405</v>
      </c>
      <c r="Y2368" s="2">
        <v>576</v>
      </c>
      <c r="Z2368" s="19" t="str">
        <f>HYPERLINK("https://ssdweb.co/ssdweb/hd/Vision360.html?d=926320948&amp;zoomslide=1&amp;z=1926320948&amp;ISCONFIRM=0","VIDEO")</f>
        <v>VIDEO</v>
      </c>
      <c r="AA2368" s="19" t="str">
        <f>HYPERLINK("https://ssdweb.co/ssdweb/CERTH/646472873.pdf","CERTI")</f>
        <v>CERTI</v>
      </c>
    </row>
    <row r="2369" spans="1:27" ht="15" x14ac:dyDescent="0.25">
      <c r="A2369" s="2">
        <v>2364</v>
      </c>
      <c r="B2369" s="39">
        <v>926301256</v>
      </c>
      <c r="C2369" s="28" t="str">
        <f>HYPERLINK("https://pld.live/RapDetail.aspx?STONELIST=926301256","DNA")</f>
        <v>DNA</v>
      </c>
      <c r="D2369" s="18" t="s">
        <v>7954</v>
      </c>
      <c r="E2369" s="18" t="s">
        <v>5128</v>
      </c>
      <c r="F2369" s="2" t="s">
        <v>7987</v>
      </c>
      <c r="G2369" s="2" t="s">
        <v>861</v>
      </c>
      <c r="H2369" s="14">
        <v>0.32</v>
      </c>
      <c r="I2369" s="2" t="s">
        <v>267</v>
      </c>
      <c r="J2369" s="2" t="s">
        <v>5144</v>
      </c>
      <c r="K2369" s="2" t="s">
        <v>3390</v>
      </c>
      <c r="L2369" s="2" t="s">
        <v>5221</v>
      </c>
      <c r="M2369" s="2" t="s">
        <v>5221</v>
      </c>
      <c r="N2369" s="2" t="s">
        <v>2317</v>
      </c>
      <c r="O2369" s="14">
        <v>1800</v>
      </c>
      <c r="P2369" s="14">
        <v>92.89</v>
      </c>
      <c r="Q2369" s="14">
        <v>127.98</v>
      </c>
      <c r="R2369" s="14">
        <v>40.950000000000003</v>
      </c>
      <c r="S2369" s="2" t="s">
        <v>1671</v>
      </c>
      <c r="T2369" s="2">
        <v>1.01</v>
      </c>
      <c r="U2369" s="2">
        <v>61</v>
      </c>
      <c r="V2369" s="2">
        <v>59</v>
      </c>
      <c r="W2369" s="2" t="s">
        <v>7862</v>
      </c>
      <c r="X2369" s="2" t="s">
        <v>5405</v>
      </c>
      <c r="Y2369" s="2">
        <v>576</v>
      </c>
      <c r="Z2369" s="19" t="str">
        <f>HYPERLINK("https://ssdweb.co/ssdweb/hd/Vision360.html?d=926301256&amp;zoomslide=1&amp;z=1926301256&amp;ISCONFIRM=0","VIDEO")</f>
        <v>VIDEO</v>
      </c>
      <c r="AA2369" s="19" t="str">
        <f>HYPERLINK("https://ssdweb.co/ssdweb/CERTH/644466775.pdf","CERTI")</f>
        <v>CERTI</v>
      </c>
    </row>
    <row r="2370" spans="1:27" ht="15" x14ac:dyDescent="0.25">
      <c r="A2370" s="2">
        <v>2365</v>
      </c>
      <c r="B2370" s="39">
        <v>926301197</v>
      </c>
      <c r="C2370" s="28" t="str">
        <f>HYPERLINK("https://pld.live/RapDetail.aspx?STONELIST=926301197","DNA")</f>
        <v>DNA</v>
      </c>
      <c r="D2370" s="18" t="s">
        <v>7954</v>
      </c>
      <c r="E2370" s="18" t="s">
        <v>5128</v>
      </c>
      <c r="F2370" s="2" t="s">
        <v>7987</v>
      </c>
      <c r="G2370" s="2" t="s">
        <v>861</v>
      </c>
      <c r="H2370" s="14">
        <v>0.32</v>
      </c>
      <c r="I2370" s="2" t="s">
        <v>267</v>
      </c>
      <c r="J2370" s="2" t="s">
        <v>5144</v>
      </c>
      <c r="K2370" s="2" t="s">
        <v>3390</v>
      </c>
      <c r="L2370" s="2" t="s">
        <v>5221</v>
      </c>
      <c r="M2370" s="2" t="s">
        <v>5221</v>
      </c>
      <c r="N2370" s="2" t="s">
        <v>2317</v>
      </c>
      <c r="O2370" s="14">
        <v>1800</v>
      </c>
      <c r="P2370" s="14">
        <v>92.89</v>
      </c>
      <c r="Q2370" s="14">
        <v>127.98</v>
      </c>
      <c r="R2370" s="14">
        <v>40.950000000000003</v>
      </c>
      <c r="S2370" s="2" t="s">
        <v>5839</v>
      </c>
      <c r="T2370" s="2">
        <v>1.01</v>
      </c>
      <c r="U2370" s="2">
        <v>62</v>
      </c>
      <c r="V2370" s="2">
        <v>54</v>
      </c>
      <c r="W2370" s="2" t="s">
        <v>7862</v>
      </c>
      <c r="X2370" s="2" t="s">
        <v>5405</v>
      </c>
      <c r="Y2370" s="2">
        <v>576</v>
      </c>
      <c r="Z2370" s="19" t="str">
        <f>HYPERLINK("https://ssdweb.co/ssdweb/hd/Vision360.html?d=926301197&amp;zoomslide=1&amp;z=1926301197&amp;ISCONFIRM=0","VIDEO")</f>
        <v>VIDEO</v>
      </c>
      <c r="AA2370" s="19" t="str">
        <f>HYPERLINK("https://ssdweb.co/ssdweb/CERTH/644466771.pdf","CERTI")</f>
        <v>CERTI</v>
      </c>
    </row>
    <row r="2371" spans="1:27" ht="15" x14ac:dyDescent="0.25">
      <c r="A2371" s="2">
        <v>2366</v>
      </c>
      <c r="B2371" s="39">
        <v>926301050</v>
      </c>
      <c r="C2371" s="28" t="str">
        <f>HYPERLINK("https://pld.live/RapDetail.aspx?STONELIST=926301050","DNA")</f>
        <v>DNA</v>
      </c>
      <c r="D2371" s="18" t="s">
        <v>7954</v>
      </c>
      <c r="E2371" s="18" t="s">
        <v>5128</v>
      </c>
      <c r="F2371" s="2" t="s">
        <v>7987</v>
      </c>
      <c r="G2371" s="2" t="s">
        <v>861</v>
      </c>
      <c r="H2371" s="14">
        <v>0.32</v>
      </c>
      <c r="I2371" s="2" t="s">
        <v>267</v>
      </c>
      <c r="J2371" s="2" t="s">
        <v>5144</v>
      </c>
      <c r="K2371" s="2" t="s">
        <v>3390</v>
      </c>
      <c r="L2371" s="2" t="s">
        <v>5221</v>
      </c>
      <c r="M2371" s="2" t="s">
        <v>5221</v>
      </c>
      <c r="N2371" s="2" t="s">
        <v>2317</v>
      </c>
      <c r="O2371" s="14">
        <v>1800</v>
      </c>
      <c r="P2371" s="14">
        <v>92.89</v>
      </c>
      <c r="Q2371" s="14">
        <v>127.98</v>
      </c>
      <c r="R2371" s="14">
        <v>40.950000000000003</v>
      </c>
      <c r="S2371" s="2" t="s">
        <v>1704</v>
      </c>
      <c r="T2371" s="2">
        <v>1.01</v>
      </c>
      <c r="U2371" s="2">
        <v>61.4</v>
      </c>
      <c r="V2371" s="2">
        <v>56</v>
      </c>
      <c r="W2371" s="2" t="s">
        <v>7862</v>
      </c>
      <c r="X2371" s="2" t="s">
        <v>5405</v>
      </c>
      <c r="Y2371" s="2">
        <v>576</v>
      </c>
      <c r="Z2371" s="19" t="str">
        <f>HYPERLINK("https://ssdweb.co/ssdweb/hd/Vision360.html?d=926301050&amp;zoomslide=1&amp;z=1926301050&amp;ISCONFIRM=0","VIDEO")</f>
        <v>VIDEO</v>
      </c>
      <c r="AA2371" s="19" t="str">
        <f>HYPERLINK("https://ssdweb.co/ssdweb/CERTH/642442885.pdf","CERTI")</f>
        <v>CERTI</v>
      </c>
    </row>
    <row r="2372" spans="1:27" ht="15" x14ac:dyDescent="0.25">
      <c r="A2372" s="2">
        <v>2367</v>
      </c>
      <c r="B2372" s="39">
        <v>941090552</v>
      </c>
      <c r="C2372" s="28" t="str">
        <f>HYPERLINK("https://pld.live/RapDetail.aspx?STONELIST=941090552","DNA")</f>
        <v>DNA</v>
      </c>
      <c r="D2372" s="18" t="s">
        <v>7954</v>
      </c>
      <c r="E2372" s="18" t="s">
        <v>2186</v>
      </c>
      <c r="F2372" s="2" t="s">
        <v>7987</v>
      </c>
      <c r="G2372" s="2" t="s">
        <v>861</v>
      </c>
      <c r="H2372" s="14">
        <v>0.32</v>
      </c>
      <c r="I2372" s="2" t="s">
        <v>267</v>
      </c>
      <c r="J2372" s="2" t="s">
        <v>5144</v>
      </c>
      <c r="K2372" s="2" t="s">
        <v>3390</v>
      </c>
      <c r="L2372" s="2" t="s">
        <v>5221</v>
      </c>
      <c r="M2372" s="2" t="s">
        <v>5221</v>
      </c>
      <c r="N2372" s="2" t="s">
        <v>2317</v>
      </c>
      <c r="O2372" s="14">
        <v>1800</v>
      </c>
      <c r="P2372" s="14">
        <v>92.67</v>
      </c>
      <c r="Q2372" s="14">
        <v>131.94</v>
      </c>
      <c r="R2372" s="14">
        <v>42.22</v>
      </c>
      <c r="S2372" s="2" t="s">
        <v>4828</v>
      </c>
      <c r="T2372" s="2">
        <v>1.01</v>
      </c>
      <c r="U2372" s="2">
        <v>60.1</v>
      </c>
      <c r="V2372" s="2">
        <v>59</v>
      </c>
      <c r="W2372" s="2" t="s">
        <v>7862</v>
      </c>
      <c r="X2372" s="2" t="s">
        <v>5405</v>
      </c>
      <c r="Y2372" s="2">
        <v>576</v>
      </c>
      <c r="Z2372" s="19" t="str">
        <f>HYPERLINK("https://ssdweb.co/ssdweb/hd/Vision360.html?d=941090552&amp;zoomslide=1&amp;z=1941090552&amp;ISCONFIRM=0","VIDEO")</f>
        <v>VIDEO</v>
      </c>
      <c r="AA2372" s="19" t="str">
        <f>HYPERLINK("https://ssdweb.co/ssdweb/CERTH/671477201.pdf","CERTI")</f>
        <v>CERTI</v>
      </c>
    </row>
    <row r="2373" spans="1:27" ht="15" x14ac:dyDescent="0.25">
      <c r="A2373" s="2">
        <v>2368</v>
      </c>
      <c r="B2373" s="39">
        <v>926301154</v>
      </c>
      <c r="C2373" s="28" t="str">
        <f>HYPERLINK("https://pld.live/RapDetail.aspx?STONELIST=926301154","DNA")</f>
        <v>DNA</v>
      </c>
      <c r="D2373" s="18" t="s">
        <v>7954</v>
      </c>
      <c r="E2373" s="18" t="s">
        <v>5128</v>
      </c>
      <c r="F2373" s="2" t="s">
        <v>7987</v>
      </c>
      <c r="G2373" s="2" t="s">
        <v>861</v>
      </c>
      <c r="H2373" s="14">
        <v>0.32</v>
      </c>
      <c r="I2373" s="2" t="s">
        <v>267</v>
      </c>
      <c r="J2373" s="2" t="s">
        <v>5144</v>
      </c>
      <c r="K2373" s="2" t="s">
        <v>3390</v>
      </c>
      <c r="L2373" s="2" t="s">
        <v>5221</v>
      </c>
      <c r="M2373" s="2" t="s">
        <v>5721</v>
      </c>
      <c r="N2373" s="2" t="s">
        <v>2317</v>
      </c>
      <c r="O2373" s="14">
        <v>1800</v>
      </c>
      <c r="P2373" s="14">
        <v>93.22</v>
      </c>
      <c r="Q2373" s="14">
        <v>122.04</v>
      </c>
      <c r="R2373" s="14">
        <v>39.049999999999997</v>
      </c>
      <c r="S2373" s="2" t="s">
        <v>2844</v>
      </c>
      <c r="T2373" s="2">
        <v>1.01</v>
      </c>
      <c r="U2373" s="2">
        <v>61.8</v>
      </c>
      <c r="V2373" s="2">
        <v>56</v>
      </c>
      <c r="W2373" s="2" t="s">
        <v>7862</v>
      </c>
      <c r="X2373" s="2" t="s">
        <v>5405</v>
      </c>
      <c r="Y2373" s="2">
        <v>576</v>
      </c>
      <c r="Z2373" s="19" t="str">
        <f>HYPERLINK("https://ssdweb.co/ssdweb/hd/Vision360.html?d=926301154&amp;zoomslide=1&amp;z=1926301154&amp;ISCONFIRM=0","VIDEO")</f>
        <v>VIDEO</v>
      </c>
      <c r="AA2373" s="19" t="str">
        <f>HYPERLINK("https://ssdweb.co/ssdweb/CERTH/646472815.pdf","CERTI")</f>
        <v>CERTI</v>
      </c>
    </row>
    <row r="2374" spans="1:27" ht="15" x14ac:dyDescent="0.25">
      <c r="A2374" s="2">
        <v>2369</v>
      </c>
      <c r="B2374" s="39">
        <v>926710929</v>
      </c>
      <c r="C2374" s="28" t="str">
        <f>HYPERLINK("https://pld.live/RapDetail.aspx?STONELIST=926710929","DNA")</f>
        <v>DNA</v>
      </c>
      <c r="D2374" s="18" t="s">
        <v>7954</v>
      </c>
      <c r="E2374" s="18" t="s">
        <v>5128</v>
      </c>
      <c r="F2374" s="2" t="s">
        <v>7987</v>
      </c>
      <c r="G2374" s="2" t="s">
        <v>861</v>
      </c>
      <c r="H2374" s="14">
        <v>0.32</v>
      </c>
      <c r="I2374" s="2" t="s">
        <v>267</v>
      </c>
      <c r="J2374" s="2" t="s">
        <v>5144</v>
      </c>
      <c r="K2374" s="2" t="s">
        <v>3390</v>
      </c>
      <c r="L2374" s="2" t="s">
        <v>5721</v>
      </c>
      <c r="M2374" s="2" t="s">
        <v>5221</v>
      </c>
      <c r="N2374" s="2" t="s">
        <v>2317</v>
      </c>
      <c r="O2374" s="14">
        <v>1800</v>
      </c>
      <c r="P2374" s="14">
        <v>93.22</v>
      </c>
      <c r="Q2374" s="14">
        <v>122.04</v>
      </c>
      <c r="R2374" s="14">
        <v>39.049999999999997</v>
      </c>
      <c r="S2374" s="2" t="s">
        <v>1315</v>
      </c>
      <c r="T2374" s="2">
        <v>1.01</v>
      </c>
      <c r="U2374" s="2">
        <v>61.7</v>
      </c>
      <c r="V2374" s="2">
        <v>59</v>
      </c>
      <c r="W2374" s="2" t="s">
        <v>7862</v>
      </c>
      <c r="X2374" s="2" t="s">
        <v>5405</v>
      </c>
      <c r="Y2374" s="2">
        <v>576</v>
      </c>
      <c r="Z2374" s="19" t="str">
        <f>HYPERLINK("https://ssdweb.co/ssdweb/hd/Vision360.html?d=926710929&amp;zoomslide=1&amp;z=1926710929&amp;ISCONFIRM=0","VIDEO")</f>
        <v>VIDEO</v>
      </c>
      <c r="AA2374" s="19" t="str">
        <f>HYPERLINK("https://ssdweb.co/ssdweb/CERTH/652467392.pdf","CERTI")</f>
        <v>CERTI</v>
      </c>
    </row>
    <row r="2375" spans="1:27" ht="15" x14ac:dyDescent="0.25">
      <c r="A2375" s="2">
        <v>2370</v>
      </c>
      <c r="B2375" s="39">
        <v>920661533</v>
      </c>
      <c r="C2375" s="28" t="str">
        <f>HYPERLINK("https://pld.live/RapDetail.aspx?STONELIST=920661533","DNA")</f>
        <v>DNA</v>
      </c>
      <c r="D2375" s="18" t="s">
        <v>7954</v>
      </c>
      <c r="E2375" s="18" t="s">
        <v>5128</v>
      </c>
      <c r="F2375" s="2" t="s">
        <v>7987</v>
      </c>
      <c r="G2375" s="2" t="s">
        <v>861</v>
      </c>
      <c r="H2375" s="14">
        <v>0.32</v>
      </c>
      <c r="I2375" s="2" t="s">
        <v>267</v>
      </c>
      <c r="J2375" s="2" t="s">
        <v>5144</v>
      </c>
      <c r="K2375" s="2" t="s">
        <v>3390</v>
      </c>
      <c r="L2375" s="2" t="s">
        <v>5721</v>
      </c>
      <c r="M2375" s="2" t="s">
        <v>5721</v>
      </c>
      <c r="N2375" s="2" t="s">
        <v>2317</v>
      </c>
      <c r="O2375" s="14">
        <v>1800</v>
      </c>
      <c r="P2375" s="14">
        <v>93.33</v>
      </c>
      <c r="Q2375" s="14">
        <v>120.06</v>
      </c>
      <c r="R2375" s="14">
        <v>38.42</v>
      </c>
      <c r="S2375" s="2" t="s">
        <v>2062</v>
      </c>
      <c r="T2375" s="2">
        <v>1.01</v>
      </c>
      <c r="U2375" s="2">
        <v>62.4</v>
      </c>
      <c r="V2375" s="2">
        <v>58</v>
      </c>
      <c r="W2375" s="2" t="s">
        <v>7862</v>
      </c>
      <c r="X2375" s="2" t="s">
        <v>5405</v>
      </c>
      <c r="Y2375" s="2">
        <v>576</v>
      </c>
      <c r="Z2375" s="19" t="str">
        <f>HYPERLINK("https://ssdweb.co/ssdweb/hd/Vision360.html?d=920661533&amp;zoomslide=1&amp;z=1920661533&amp;ISCONFIRM=0","VIDEO")</f>
        <v>VIDEO</v>
      </c>
      <c r="AA2375" s="19" t="str">
        <f>HYPERLINK("https://ssdweb.co/ssdweb/CERTH/639406037.pdf","CERTI")</f>
        <v>CERTI</v>
      </c>
    </row>
    <row r="2376" spans="1:27" ht="15" x14ac:dyDescent="0.25">
      <c r="A2376" s="2">
        <v>2371</v>
      </c>
      <c r="B2376" s="39">
        <v>926261198</v>
      </c>
      <c r="C2376" s="28" t="str">
        <f>HYPERLINK("https://pld.live/RapDetail.aspx?STONELIST=926261198","DNA")</f>
        <v>DNA</v>
      </c>
      <c r="D2376" s="18" t="s">
        <v>7954</v>
      </c>
      <c r="E2376" s="18" t="s">
        <v>5128</v>
      </c>
      <c r="F2376" s="2" t="s">
        <v>7987</v>
      </c>
      <c r="G2376" s="2" t="s">
        <v>861</v>
      </c>
      <c r="H2376" s="14">
        <v>0.32</v>
      </c>
      <c r="I2376" s="2" t="s">
        <v>267</v>
      </c>
      <c r="J2376" s="2" t="s">
        <v>5144</v>
      </c>
      <c r="K2376" s="2" t="s">
        <v>3390</v>
      </c>
      <c r="L2376" s="2" t="s">
        <v>5721</v>
      </c>
      <c r="M2376" s="2" t="s">
        <v>5721</v>
      </c>
      <c r="N2376" s="2" t="s">
        <v>2317</v>
      </c>
      <c r="O2376" s="14">
        <v>1800</v>
      </c>
      <c r="P2376" s="14">
        <v>93.33</v>
      </c>
      <c r="Q2376" s="14">
        <v>120.06</v>
      </c>
      <c r="R2376" s="14">
        <v>38.42</v>
      </c>
      <c r="S2376" s="2" t="s">
        <v>1570</v>
      </c>
      <c r="T2376" s="2">
        <v>1.01</v>
      </c>
      <c r="U2376" s="2">
        <v>61.9</v>
      </c>
      <c r="V2376" s="2">
        <v>57</v>
      </c>
      <c r="W2376" s="2" t="s">
        <v>7862</v>
      </c>
      <c r="X2376" s="2" t="s">
        <v>5405</v>
      </c>
      <c r="Y2376" s="2">
        <v>576</v>
      </c>
      <c r="Z2376" s="19" t="str">
        <f>HYPERLINK("https://ssdweb.co/ssdweb/hd/Vision360.html?d=926261198&amp;zoomslide=1&amp;z=1926261198&amp;ISCONFIRM=0","VIDEO")</f>
        <v>VIDEO</v>
      </c>
      <c r="AA2376" s="19" t="str">
        <f>HYPERLINK("https://ssdweb.co/ssdweb/CERTH/642447765.pdf","CERTI")</f>
        <v>CERTI</v>
      </c>
    </row>
    <row r="2377" spans="1:27" ht="15" x14ac:dyDescent="0.25">
      <c r="A2377" s="2">
        <v>2372</v>
      </c>
      <c r="B2377" s="39">
        <v>926571217</v>
      </c>
      <c r="C2377" s="28" t="str">
        <f>HYPERLINK("https://pld.live/RapDetail.aspx?STONELIST=926571217","DNA")</f>
        <v>DNA</v>
      </c>
      <c r="D2377" s="18" t="s">
        <v>7954</v>
      </c>
      <c r="E2377" s="18" t="s">
        <v>5128</v>
      </c>
      <c r="F2377" s="2" t="s">
        <v>7987</v>
      </c>
      <c r="G2377" s="2" t="s">
        <v>861</v>
      </c>
      <c r="H2377" s="14">
        <v>0.32</v>
      </c>
      <c r="I2377" s="2" t="s">
        <v>267</v>
      </c>
      <c r="J2377" s="2" t="s">
        <v>5144</v>
      </c>
      <c r="K2377" s="2" t="s">
        <v>5221</v>
      </c>
      <c r="L2377" s="2" t="s">
        <v>5221</v>
      </c>
      <c r="M2377" s="2" t="s">
        <v>5221</v>
      </c>
      <c r="N2377" s="2" t="s">
        <v>2317</v>
      </c>
      <c r="O2377" s="14">
        <v>1800</v>
      </c>
      <c r="P2377" s="14">
        <v>92.78</v>
      </c>
      <c r="Q2377" s="14">
        <v>129.96</v>
      </c>
      <c r="R2377" s="14">
        <v>41.59</v>
      </c>
      <c r="S2377" s="2" t="s">
        <v>4937</v>
      </c>
      <c r="T2377" s="2">
        <v>1</v>
      </c>
      <c r="U2377" s="2">
        <v>62.6</v>
      </c>
      <c r="V2377" s="2">
        <v>57</v>
      </c>
      <c r="W2377" s="2" t="s">
        <v>7862</v>
      </c>
      <c r="X2377" s="2" t="s">
        <v>5405</v>
      </c>
      <c r="Y2377" s="2">
        <v>576</v>
      </c>
      <c r="Z2377" s="19" t="str">
        <f>HYPERLINK("https://ssdweb.co/ssdweb/hd/Vision360.html?d=926571217&amp;zoomslide=1&amp;z=1926571217&amp;ISCONFIRM=0","VIDEO")</f>
        <v>VIDEO</v>
      </c>
      <c r="AA2377" s="19" t="str">
        <f>HYPERLINK("https://ssdweb.co/ssdweb/CERTH/656412853.pdf","CERTI")</f>
        <v>CERTI</v>
      </c>
    </row>
    <row r="2378" spans="1:27" ht="15" x14ac:dyDescent="0.25">
      <c r="A2378" s="2">
        <v>2373</v>
      </c>
      <c r="B2378" s="39">
        <v>926231050</v>
      </c>
      <c r="C2378" s="28" t="str">
        <f>HYPERLINK("https://pld.live/RapDetail.aspx?STONELIST=926231050","DNA")</f>
        <v>DNA</v>
      </c>
      <c r="D2378" s="18" t="s">
        <v>7954</v>
      </c>
      <c r="E2378" s="18" t="s">
        <v>5128</v>
      </c>
      <c r="F2378" s="2" t="s">
        <v>7987</v>
      </c>
      <c r="G2378" s="2" t="s">
        <v>861</v>
      </c>
      <c r="H2378" s="14">
        <v>0.32</v>
      </c>
      <c r="I2378" s="2" t="s">
        <v>267</v>
      </c>
      <c r="J2378" s="2" t="s">
        <v>5144</v>
      </c>
      <c r="K2378" s="2" t="s">
        <v>5221</v>
      </c>
      <c r="L2378" s="2" t="s">
        <v>5221</v>
      </c>
      <c r="M2378" s="2" t="s">
        <v>5221</v>
      </c>
      <c r="N2378" s="2" t="s">
        <v>2317</v>
      </c>
      <c r="O2378" s="14">
        <v>1800</v>
      </c>
      <c r="P2378" s="14">
        <v>92.89</v>
      </c>
      <c r="Q2378" s="14">
        <v>127.98</v>
      </c>
      <c r="R2378" s="14">
        <v>40.950000000000003</v>
      </c>
      <c r="S2378" s="2" t="s">
        <v>6232</v>
      </c>
      <c r="T2378" s="2">
        <v>1.01</v>
      </c>
      <c r="U2378" s="2">
        <v>63.7</v>
      </c>
      <c r="V2378" s="2">
        <v>58</v>
      </c>
      <c r="W2378" s="2" t="s">
        <v>7862</v>
      </c>
      <c r="X2378" s="2" t="s">
        <v>5405</v>
      </c>
      <c r="Y2378" s="2">
        <v>576</v>
      </c>
      <c r="Z2378" s="19" t="str">
        <f>HYPERLINK("https://ssdweb.co/ssdweb/hd/Vision360.html?d=926231050&amp;zoomslide=1&amp;z=1926231050&amp;ISCONFIRM=0","VIDEO")</f>
        <v>VIDEO</v>
      </c>
      <c r="AA2378" s="19" t="str">
        <f>HYPERLINK("https://ssdweb.co/ssdweb/CERTH/640419133.pdf","CERTI")</f>
        <v>CERTI</v>
      </c>
    </row>
    <row r="2379" spans="1:27" ht="15" x14ac:dyDescent="0.25">
      <c r="A2379" s="2">
        <v>2374</v>
      </c>
      <c r="B2379" s="39">
        <v>926240853</v>
      </c>
      <c r="C2379" s="28" t="str">
        <f>HYPERLINK("https://pld.live/RapDetail.aspx?STONELIST=926240853","DNA")</f>
        <v>DNA</v>
      </c>
      <c r="D2379" s="18" t="s">
        <v>7954</v>
      </c>
      <c r="E2379" s="18" t="s">
        <v>5128</v>
      </c>
      <c r="F2379" s="2" t="s">
        <v>7987</v>
      </c>
      <c r="G2379" s="2" t="s">
        <v>861</v>
      </c>
      <c r="H2379" s="14">
        <v>0.32</v>
      </c>
      <c r="I2379" s="2" t="s">
        <v>267</v>
      </c>
      <c r="J2379" s="2" t="s">
        <v>5144</v>
      </c>
      <c r="K2379" s="2" t="s">
        <v>5221</v>
      </c>
      <c r="L2379" s="2" t="s">
        <v>5221</v>
      </c>
      <c r="M2379" s="2" t="s">
        <v>5221</v>
      </c>
      <c r="N2379" s="2" t="s">
        <v>2317</v>
      </c>
      <c r="O2379" s="14">
        <v>1800</v>
      </c>
      <c r="P2379" s="14">
        <v>92.89</v>
      </c>
      <c r="Q2379" s="14">
        <v>127.98</v>
      </c>
      <c r="R2379" s="14">
        <v>40.950000000000003</v>
      </c>
      <c r="S2379" s="2" t="s">
        <v>259</v>
      </c>
      <c r="T2379" s="2">
        <v>1.01</v>
      </c>
      <c r="U2379" s="2">
        <v>59.2</v>
      </c>
      <c r="V2379" s="2">
        <v>62</v>
      </c>
      <c r="W2379" s="2" t="s">
        <v>7862</v>
      </c>
      <c r="X2379" s="2" t="s">
        <v>5405</v>
      </c>
      <c r="Y2379" s="2">
        <v>576</v>
      </c>
      <c r="Z2379" s="19" t="str">
        <f>HYPERLINK("https://ssdweb.co/ssdweb/hd/Vision360.html?d=926240853&amp;zoomslide=1&amp;z=1926240853&amp;ISCONFIRM=0","VIDEO")</f>
        <v>VIDEO</v>
      </c>
      <c r="AA2379" s="19" t="str">
        <f>HYPERLINK("https://ssdweb.co/ssdweb/CERTH/640419035.pdf","CERTI")</f>
        <v>CERTI</v>
      </c>
    </row>
    <row r="2380" spans="1:27" ht="15" x14ac:dyDescent="0.25">
      <c r="A2380" s="2">
        <v>2375</v>
      </c>
      <c r="B2380" s="39">
        <v>926321072</v>
      </c>
      <c r="C2380" s="28" t="str">
        <f>HYPERLINK("https://pld.live/RapDetail.aspx?STONELIST=926321072","DNA")</f>
        <v>DNA</v>
      </c>
      <c r="D2380" s="18" t="s">
        <v>7954</v>
      </c>
      <c r="E2380" s="18" t="s">
        <v>5128</v>
      </c>
      <c r="F2380" s="2" t="s">
        <v>7987</v>
      </c>
      <c r="G2380" s="2" t="s">
        <v>861</v>
      </c>
      <c r="H2380" s="14">
        <v>0.32</v>
      </c>
      <c r="I2380" s="2" t="s">
        <v>267</v>
      </c>
      <c r="J2380" s="2" t="s">
        <v>5144</v>
      </c>
      <c r="K2380" s="2" t="s">
        <v>5221</v>
      </c>
      <c r="L2380" s="2" t="s">
        <v>5221</v>
      </c>
      <c r="M2380" s="2" t="s">
        <v>5221</v>
      </c>
      <c r="N2380" s="2" t="s">
        <v>2317</v>
      </c>
      <c r="O2380" s="14">
        <v>1800</v>
      </c>
      <c r="P2380" s="14">
        <v>92.89</v>
      </c>
      <c r="Q2380" s="14">
        <v>127.98</v>
      </c>
      <c r="R2380" s="14">
        <v>40.950000000000003</v>
      </c>
      <c r="S2380" s="2" t="s">
        <v>1965</v>
      </c>
      <c r="T2380" s="2">
        <v>1</v>
      </c>
      <c r="U2380" s="2">
        <v>59.6</v>
      </c>
      <c r="V2380" s="2">
        <v>58</v>
      </c>
      <c r="W2380" s="2" t="s">
        <v>7862</v>
      </c>
      <c r="X2380" s="2" t="s">
        <v>5405</v>
      </c>
      <c r="Y2380" s="2">
        <v>576</v>
      </c>
      <c r="Z2380" s="19" t="str">
        <f>HYPERLINK("https://ssdweb.co/ssdweb/hd/Vision360.html?d=926321072&amp;zoomslide=1&amp;z=1926321072&amp;ISCONFIRM=0","VIDEO")</f>
        <v>VIDEO</v>
      </c>
      <c r="AA2380" s="19" t="str">
        <f>HYPERLINK("https://ssdweb.co/ssdweb/CERTH/643428049.pdf","CERTI")</f>
        <v>CERTI</v>
      </c>
    </row>
    <row r="2381" spans="1:27" ht="15" x14ac:dyDescent="0.25">
      <c r="A2381" s="2">
        <v>2376</v>
      </c>
      <c r="B2381" s="39">
        <v>926380290</v>
      </c>
      <c r="C2381" s="28" t="str">
        <f>HYPERLINK("https://pld.live/RapDetail.aspx?STONELIST=926380290","DNA")</f>
        <v>DNA</v>
      </c>
      <c r="D2381" s="18" t="s">
        <v>7954</v>
      </c>
      <c r="E2381" s="18" t="s">
        <v>2186</v>
      </c>
      <c r="F2381" s="2" t="s">
        <v>7987</v>
      </c>
      <c r="G2381" s="2" t="s">
        <v>861</v>
      </c>
      <c r="H2381" s="14">
        <v>0.32</v>
      </c>
      <c r="I2381" s="2" t="s">
        <v>267</v>
      </c>
      <c r="J2381" s="2" t="s">
        <v>5144</v>
      </c>
      <c r="K2381" s="2" t="s">
        <v>5221</v>
      </c>
      <c r="L2381" s="2" t="s">
        <v>5221</v>
      </c>
      <c r="M2381" s="2" t="s">
        <v>5221</v>
      </c>
      <c r="N2381" s="2" t="s">
        <v>2317</v>
      </c>
      <c r="O2381" s="14">
        <v>1800</v>
      </c>
      <c r="P2381" s="14">
        <v>92.67</v>
      </c>
      <c r="Q2381" s="14">
        <v>131.94</v>
      </c>
      <c r="R2381" s="14">
        <v>42.22</v>
      </c>
      <c r="S2381" s="2" t="s">
        <v>72</v>
      </c>
      <c r="T2381" s="2">
        <v>1.01</v>
      </c>
      <c r="U2381" s="2">
        <v>61.4</v>
      </c>
      <c r="V2381" s="2">
        <v>58</v>
      </c>
      <c r="W2381" s="2" t="s">
        <v>7862</v>
      </c>
      <c r="X2381" s="2" t="s">
        <v>5405</v>
      </c>
      <c r="Y2381" s="2">
        <v>576</v>
      </c>
      <c r="Z2381" s="19" t="str">
        <f>HYPERLINK("https://ssdweb.co/ssdweb/hd/Vision360.html?d=926380290&amp;zoomslide=1&amp;z=1926380290&amp;ISCONFIRM=0","VIDEO")</f>
        <v>VIDEO</v>
      </c>
      <c r="AA2381" s="19" t="str">
        <f>HYPERLINK("https://ssdweb.co/ssdweb/CERTH/692533969.pdf","CERTI")</f>
        <v>CERTI</v>
      </c>
    </row>
    <row r="2382" spans="1:27" ht="15" x14ac:dyDescent="0.25">
      <c r="A2382" s="2">
        <v>2377</v>
      </c>
      <c r="B2382" s="39">
        <v>926191162</v>
      </c>
      <c r="C2382" s="28" t="str">
        <f>HYPERLINK("https://pld.live/RapDetail.aspx?STONELIST=926191162","DNA")</f>
        <v>DNA</v>
      </c>
      <c r="D2382" s="18" t="s">
        <v>7954</v>
      </c>
      <c r="E2382" s="18" t="s">
        <v>5128</v>
      </c>
      <c r="F2382" s="2" t="s">
        <v>7987</v>
      </c>
      <c r="G2382" s="2" t="s">
        <v>861</v>
      </c>
      <c r="H2382" s="14">
        <v>0.32</v>
      </c>
      <c r="I2382" s="2" t="s">
        <v>267</v>
      </c>
      <c r="J2382" s="2" t="s">
        <v>5144</v>
      </c>
      <c r="K2382" s="2" t="s">
        <v>5221</v>
      </c>
      <c r="L2382" s="2" t="s">
        <v>5221</v>
      </c>
      <c r="M2382" s="2" t="s">
        <v>5221</v>
      </c>
      <c r="N2382" s="2" t="s">
        <v>2317</v>
      </c>
      <c r="O2382" s="14">
        <v>1800</v>
      </c>
      <c r="P2382" s="14">
        <v>92.89</v>
      </c>
      <c r="Q2382" s="14">
        <v>127.98</v>
      </c>
      <c r="R2382" s="14">
        <v>40.950000000000003</v>
      </c>
      <c r="S2382" s="2" t="s">
        <v>4688</v>
      </c>
      <c r="T2382" s="2">
        <v>1</v>
      </c>
      <c r="U2382" s="2">
        <v>63</v>
      </c>
      <c r="V2382" s="2">
        <v>57</v>
      </c>
      <c r="W2382" s="2" t="s">
        <v>7862</v>
      </c>
      <c r="X2382" s="2" t="s">
        <v>5405</v>
      </c>
      <c r="Y2382" s="2">
        <v>576</v>
      </c>
      <c r="Z2382" s="19" t="str">
        <f>HYPERLINK("https://ssdweb.co/ssdweb/hd/Vision360.html?d=926191162&amp;zoomslide=1&amp;z=1926191162&amp;ISCONFIRM=0","VIDEO")</f>
        <v>VIDEO</v>
      </c>
      <c r="AA2382" s="19" t="str">
        <f>HYPERLINK("https://ssdweb.co/ssdweb/CERTH/637467191.pdf","CERTI")</f>
        <v>CERTI</v>
      </c>
    </row>
    <row r="2383" spans="1:27" ht="15" x14ac:dyDescent="0.25">
      <c r="A2383" s="2">
        <v>2378</v>
      </c>
      <c r="B2383" s="39">
        <v>926081492</v>
      </c>
      <c r="C2383" s="28" t="str">
        <f>HYPERLINK("https://pld.live/RapDetail.aspx?STONELIST=926081492","DNA")</f>
        <v>DNA</v>
      </c>
      <c r="D2383" s="18" t="s">
        <v>7954</v>
      </c>
      <c r="E2383" s="18" t="s">
        <v>5128</v>
      </c>
      <c r="F2383" s="2" t="s">
        <v>7987</v>
      </c>
      <c r="G2383" s="2" t="s">
        <v>861</v>
      </c>
      <c r="H2383" s="14">
        <v>0.32</v>
      </c>
      <c r="I2383" s="2" t="s">
        <v>267</v>
      </c>
      <c r="J2383" s="2" t="s">
        <v>5144</v>
      </c>
      <c r="K2383" s="2" t="s">
        <v>5221</v>
      </c>
      <c r="L2383" s="2" t="s">
        <v>5221</v>
      </c>
      <c r="M2383" s="2" t="s">
        <v>5221</v>
      </c>
      <c r="N2383" s="2" t="s">
        <v>2317</v>
      </c>
      <c r="O2383" s="14">
        <v>1800</v>
      </c>
      <c r="P2383" s="14">
        <v>92.94</v>
      </c>
      <c r="Q2383" s="14">
        <v>127.08</v>
      </c>
      <c r="R2383" s="14">
        <v>40.67</v>
      </c>
      <c r="S2383" s="2" t="s">
        <v>2545</v>
      </c>
      <c r="T2383" s="2">
        <v>1.01</v>
      </c>
      <c r="U2383" s="2">
        <v>62.2</v>
      </c>
      <c r="V2383" s="2">
        <v>58</v>
      </c>
      <c r="W2383" s="2" t="s">
        <v>7862</v>
      </c>
      <c r="X2383" s="2" t="s">
        <v>5405</v>
      </c>
      <c r="Y2383" s="2">
        <v>576</v>
      </c>
      <c r="Z2383" s="19" t="str">
        <f>HYPERLINK("https://ssdweb.co/ssdweb/hd/Vision360.html?d=926081492&amp;zoomslide=1&amp;z=1926081492&amp;ISCONFIRM=0","VIDEO")</f>
        <v>VIDEO</v>
      </c>
      <c r="AA2383" s="19" t="str">
        <f>HYPERLINK("https://ssdweb.co/ssdweb/CERTH/631463934.pdf","CERTI")</f>
        <v>CERTI</v>
      </c>
    </row>
    <row r="2384" spans="1:27" ht="15" x14ac:dyDescent="0.25">
      <c r="A2384" s="2">
        <v>2379</v>
      </c>
      <c r="B2384" s="39">
        <v>920661456</v>
      </c>
      <c r="C2384" s="28" t="str">
        <f>HYPERLINK("https://pld.live/RapDetail.aspx?STONELIST=920661456","DNA")</f>
        <v>DNA</v>
      </c>
      <c r="D2384" s="18" t="s">
        <v>7954</v>
      </c>
      <c r="E2384" s="18" t="s">
        <v>5128</v>
      </c>
      <c r="F2384" s="2" t="s">
        <v>7987</v>
      </c>
      <c r="G2384" s="2" t="s">
        <v>861</v>
      </c>
      <c r="H2384" s="14">
        <v>0.32</v>
      </c>
      <c r="I2384" s="2" t="s">
        <v>267</v>
      </c>
      <c r="J2384" s="2" t="s">
        <v>5144</v>
      </c>
      <c r="K2384" s="2" t="s">
        <v>5221</v>
      </c>
      <c r="L2384" s="2" t="s">
        <v>5221</v>
      </c>
      <c r="M2384" s="2" t="s">
        <v>5721</v>
      </c>
      <c r="N2384" s="2" t="s">
        <v>2317</v>
      </c>
      <c r="O2384" s="14">
        <v>1800</v>
      </c>
      <c r="P2384" s="14">
        <v>93.22</v>
      </c>
      <c r="Q2384" s="14">
        <v>122.04</v>
      </c>
      <c r="R2384" s="14">
        <v>39.049999999999997</v>
      </c>
      <c r="S2384" s="2" t="s">
        <v>129</v>
      </c>
      <c r="T2384" s="2">
        <v>1</v>
      </c>
      <c r="U2384" s="2">
        <v>62.2</v>
      </c>
      <c r="V2384" s="2">
        <v>59</v>
      </c>
      <c r="W2384" s="2" t="s">
        <v>7862</v>
      </c>
      <c r="X2384" s="2" t="s">
        <v>5405</v>
      </c>
      <c r="Y2384" s="2">
        <v>576</v>
      </c>
      <c r="Z2384" s="19" t="str">
        <f>HYPERLINK("https://ssdweb.co/ssdweb/hd/Vision360.html?d=920661456&amp;zoomslide=1&amp;z=1920661456&amp;ISCONFIRM=0","VIDEO")</f>
        <v>VIDEO</v>
      </c>
      <c r="AA2384" s="19" t="str">
        <f>HYPERLINK("https://ssdweb.co/ssdweb/CERTH/639405985.pdf","CERTI")</f>
        <v>CERTI</v>
      </c>
    </row>
    <row r="2385" spans="1:27" ht="15" x14ac:dyDescent="0.25">
      <c r="A2385" s="2">
        <v>2380</v>
      </c>
      <c r="B2385" s="39">
        <v>925610053</v>
      </c>
      <c r="C2385" s="28" t="str">
        <f>HYPERLINK("https://pld.live/RapDetail.aspx?STONELIST=925610053","DNA")</f>
        <v>DNA</v>
      </c>
      <c r="D2385" s="18" t="s">
        <v>7954</v>
      </c>
      <c r="E2385" s="18" t="s">
        <v>2186</v>
      </c>
      <c r="F2385" s="2" t="s">
        <v>7987</v>
      </c>
      <c r="G2385" s="2" t="s">
        <v>861</v>
      </c>
      <c r="H2385" s="14">
        <v>0.32</v>
      </c>
      <c r="I2385" s="2" t="s">
        <v>267</v>
      </c>
      <c r="J2385" s="2" t="s">
        <v>5144</v>
      </c>
      <c r="K2385" s="2" t="s">
        <v>5221</v>
      </c>
      <c r="L2385" s="2" t="s">
        <v>5221</v>
      </c>
      <c r="M2385" s="2" t="s">
        <v>5721</v>
      </c>
      <c r="N2385" s="2" t="s">
        <v>2317</v>
      </c>
      <c r="O2385" s="14">
        <v>1800</v>
      </c>
      <c r="P2385" s="14">
        <v>93.22</v>
      </c>
      <c r="Q2385" s="14">
        <v>122.04</v>
      </c>
      <c r="R2385" s="14">
        <v>39.049999999999997</v>
      </c>
      <c r="S2385" s="2" t="s">
        <v>259</v>
      </c>
      <c r="T2385" s="2">
        <v>1.01</v>
      </c>
      <c r="U2385" s="2">
        <v>59.3</v>
      </c>
      <c r="V2385" s="2">
        <v>61</v>
      </c>
      <c r="W2385" s="2" t="s">
        <v>7862</v>
      </c>
      <c r="X2385" s="2" t="s">
        <v>5405</v>
      </c>
      <c r="Y2385" s="2">
        <v>576</v>
      </c>
      <c r="Z2385" s="19" t="str">
        <f>HYPERLINK("https://ssdweb.co/ssdweb/hd/Vision360.html?d=925610053&amp;zoomslide=1&amp;z=1925610053&amp;ISCONFIRM=0","VIDEO")</f>
        <v>VIDEO</v>
      </c>
      <c r="AA2385" s="19" t="str">
        <f>HYPERLINK("https://ssdweb.co/ssdweb/CERTH/620448853.pdf","CERTI")</f>
        <v>CERTI</v>
      </c>
    </row>
    <row r="2386" spans="1:27" ht="15" x14ac:dyDescent="0.25">
      <c r="A2386" s="2">
        <v>2381</v>
      </c>
      <c r="B2386" s="39">
        <v>926190929</v>
      </c>
      <c r="C2386" s="28" t="str">
        <f>HYPERLINK("https://pld.live/RapDetail.aspx?STONELIST=926190929","DNA")</f>
        <v>DNA</v>
      </c>
      <c r="D2386" s="18" t="s">
        <v>7954</v>
      </c>
      <c r="E2386" s="18" t="s">
        <v>5128</v>
      </c>
      <c r="F2386" s="2" t="s">
        <v>7987</v>
      </c>
      <c r="G2386" s="2" t="s">
        <v>861</v>
      </c>
      <c r="H2386" s="14">
        <v>0.32</v>
      </c>
      <c r="I2386" s="2" t="s">
        <v>267</v>
      </c>
      <c r="J2386" s="2" t="s">
        <v>5144</v>
      </c>
      <c r="K2386" s="2" t="s">
        <v>5221</v>
      </c>
      <c r="L2386" s="2" t="s">
        <v>5221</v>
      </c>
      <c r="M2386" s="2" t="s">
        <v>5721</v>
      </c>
      <c r="N2386" s="2" t="s">
        <v>2317</v>
      </c>
      <c r="O2386" s="14">
        <v>1800</v>
      </c>
      <c r="P2386" s="14">
        <v>93.22</v>
      </c>
      <c r="Q2386" s="14">
        <v>122.04</v>
      </c>
      <c r="R2386" s="14">
        <v>39.049999999999997</v>
      </c>
      <c r="S2386" s="2" t="s">
        <v>66</v>
      </c>
      <c r="T2386" s="2">
        <v>1.01</v>
      </c>
      <c r="U2386" s="2">
        <v>62.9</v>
      </c>
      <c r="V2386" s="2">
        <v>58</v>
      </c>
      <c r="W2386" s="2" t="s">
        <v>7862</v>
      </c>
      <c r="X2386" s="2" t="s">
        <v>5405</v>
      </c>
      <c r="Y2386" s="2">
        <v>576</v>
      </c>
      <c r="Z2386" s="19" t="str">
        <f>HYPERLINK("https://ssdweb.co/ssdweb/hd/Vision360.html?d=926190929&amp;zoomslide=1&amp;z=1926190929&amp;ISCONFIRM=0","VIDEO")</f>
        <v>VIDEO</v>
      </c>
      <c r="AA2386" s="19" t="str">
        <f>HYPERLINK("https://ssdweb.co/ssdweb/CERTH/636429685.pdf","CERTI")</f>
        <v>CERTI</v>
      </c>
    </row>
    <row r="2387" spans="1:27" ht="15" x14ac:dyDescent="0.25">
      <c r="A2387" s="2">
        <v>2382</v>
      </c>
      <c r="B2387" s="39">
        <v>926321005</v>
      </c>
      <c r="C2387" s="28" t="str">
        <f>HYPERLINK("https://pld.live/RapDetail.aspx?STONELIST=926321005","DNA")</f>
        <v>DNA</v>
      </c>
      <c r="D2387" s="18" t="s">
        <v>7954</v>
      </c>
      <c r="E2387" s="18" t="s">
        <v>5128</v>
      </c>
      <c r="F2387" s="2" t="s">
        <v>5597</v>
      </c>
      <c r="G2387" s="2" t="s">
        <v>861</v>
      </c>
      <c r="H2387" s="14">
        <v>0.32</v>
      </c>
      <c r="I2387" s="2" t="s">
        <v>267</v>
      </c>
      <c r="J2387" s="2" t="s">
        <v>5144</v>
      </c>
      <c r="K2387" s="2" t="s">
        <v>5221</v>
      </c>
      <c r="L2387" s="2" t="s">
        <v>5721</v>
      </c>
      <c r="M2387" s="2" t="s">
        <v>5221</v>
      </c>
      <c r="N2387" s="2" t="s">
        <v>2317</v>
      </c>
      <c r="O2387" s="14">
        <v>1800</v>
      </c>
      <c r="P2387" s="14">
        <v>85.11</v>
      </c>
      <c r="Q2387" s="14">
        <v>268.02</v>
      </c>
      <c r="R2387" s="14">
        <v>85.77</v>
      </c>
      <c r="S2387" s="2" t="s">
        <v>6132</v>
      </c>
      <c r="T2387" s="2">
        <v>1.01</v>
      </c>
      <c r="U2387" s="2">
        <v>60.1</v>
      </c>
      <c r="V2387" s="2">
        <v>59</v>
      </c>
      <c r="W2387" s="2" t="s">
        <v>7862</v>
      </c>
      <c r="X2387" s="2" t="s">
        <v>5405</v>
      </c>
      <c r="Y2387" s="2">
        <v>576</v>
      </c>
      <c r="Z2387" s="19" t="str">
        <f>HYPERLINK("https://ssdweb.co/ssdweb/hd/Vision360.html?d=926321005&amp;zoomslide=1&amp;z=1926321005&amp;ISCONFIRM=0","VIDEO")</f>
        <v>VIDEO</v>
      </c>
      <c r="AA2387" s="19" t="str">
        <f>HYPERLINK("https://ssdweb.co/ssdweb/CERTH/7498866472.pdf","CERTI")</f>
        <v>CERTI</v>
      </c>
    </row>
    <row r="2388" spans="1:27" ht="15" x14ac:dyDescent="0.25">
      <c r="A2388" s="2">
        <v>2383</v>
      </c>
      <c r="B2388" s="39">
        <v>924400190</v>
      </c>
      <c r="C2388" s="28" t="str">
        <f>HYPERLINK("https://pld.live/RapDetail.aspx?STONELIST=924400190","DNA")</f>
        <v>DNA</v>
      </c>
      <c r="D2388" s="18" t="s">
        <v>7954</v>
      </c>
      <c r="E2388" s="18" t="s">
        <v>5128</v>
      </c>
      <c r="F2388" s="2" t="s">
        <v>7987</v>
      </c>
      <c r="G2388" s="2" t="s">
        <v>861</v>
      </c>
      <c r="H2388" s="14">
        <v>0.32</v>
      </c>
      <c r="I2388" s="2" t="s">
        <v>267</v>
      </c>
      <c r="J2388" s="2" t="s">
        <v>444</v>
      </c>
      <c r="K2388" s="2" t="s">
        <v>5221</v>
      </c>
      <c r="L2388" s="2" t="s">
        <v>5221</v>
      </c>
      <c r="M2388" s="2" t="s">
        <v>5221</v>
      </c>
      <c r="N2388" s="2" t="s">
        <v>2317</v>
      </c>
      <c r="O2388" s="14">
        <v>1700</v>
      </c>
      <c r="P2388" s="14">
        <v>93.12</v>
      </c>
      <c r="Q2388" s="14">
        <v>116.96</v>
      </c>
      <c r="R2388" s="14">
        <v>37.43</v>
      </c>
      <c r="S2388" s="2" t="s">
        <v>7705</v>
      </c>
      <c r="T2388" s="2">
        <v>1.01</v>
      </c>
      <c r="U2388" s="2">
        <v>62.9</v>
      </c>
      <c r="V2388" s="2">
        <v>55</v>
      </c>
      <c r="W2388" s="2" t="s">
        <v>7862</v>
      </c>
      <c r="X2388" s="2" t="s">
        <v>5405</v>
      </c>
      <c r="Y2388" s="2">
        <v>544</v>
      </c>
      <c r="Z2388" s="19" t="str">
        <f>HYPERLINK("https://ssdweb.co/ssdweb/hd/Vision360.html?d=924400190&amp;zoomslide=1&amp;z=1924400190&amp;ISCONFIRM=0","VIDEO")</f>
        <v>VIDEO</v>
      </c>
      <c r="AA2388" s="19" t="str">
        <f>HYPERLINK("https://ssdweb.co/ssdweb/CERTH/589382138.pdf","CERTI")</f>
        <v>CERTI</v>
      </c>
    </row>
    <row r="2389" spans="1:27" ht="15" x14ac:dyDescent="0.25">
      <c r="A2389" s="2">
        <v>2384</v>
      </c>
      <c r="B2389" s="39">
        <v>924540171</v>
      </c>
      <c r="C2389" s="28" t="str">
        <f>HYPERLINK("https://pld.live/RapDetail.aspx?STONELIST=924540171","DNA")</f>
        <v>DNA</v>
      </c>
      <c r="D2389" s="18" t="s">
        <v>7954</v>
      </c>
      <c r="E2389" s="18" t="s">
        <v>5128</v>
      </c>
      <c r="F2389" s="2" t="s">
        <v>7987</v>
      </c>
      <c r="G2389" s="2" t="s">
        <v>861</v>
      </c>
      <c r="H2389" s="14">
        <v>0.32</v>
      </c>
      <c r="I2389" s="2" t="s">
        <v>267</v>
      </c>
      <c r="J2389" s="2" t="s">
        <v>444</v>
      </c>
      <c r="K2389" s="2" t="s">
        <v>5221</v>
      </c>
      <c r="L2389" s="2" t="s">
        <v>5221</v>
      </c>
      <c r="M2389" s="2" t="s">
        <v>5221</v>
      </c>
      <c r="N2389" s="2" t="s">
        <v>2317</v>
      </c>
      <c r="O2389" s="14">
        <v>1700</v>
      </c>
      <c r="P2389" s="14">
        <v>93.12</v>
      </c>
      <c r="Q2389" s="14">
        <v>116.96</v>
      </c>
      <c r="R2389" s="14">
        <v>37.43</v>
      </c>
      <c r="S2389" s="2" t="s">
        <v>5822</v>
      </c>
      <c r="T2389" s="2">
        <v>1</v>
      </c>
      <c r="U2389" s="2">
        <v>63.1</v>
      </c>
      <c r="V2389" s="2">
        <v>55</v>
      </c>
      <c r="W2389" s="2" t="s">
        <v>7862</v>
      </c>
      <c r="X2389" s="2" t="s">
        <v>5405</v>
      </c>
      <c r="Y2389" s="2">
        <v>544</v>
      </c>
      <c r="Z2389" s="19" t="str">
        <f>HYPERLINK("https://ssdweb.co/ssdweb/hd/Vision360.html?d=924540171&amp;zoomslide=1&amp;z=1924540171&amp;ISCONFIRM=0","VIDEO")</f>
        <v>VIDEO</v>
      </c>
      <c r="AA2389" s="19" t="str">
        <f>HYPERLINK("https://ssdweb.co/ssdweb/CERTH/592323678.pdf","CERTI")</f>
        <v>CERTI</v>
      </c>
    </row>
    <row r="2390" spans="1:27" ht="15" x14ac:dyDescent="0.25">
      <c r="A2390" s="2">
        <v>2385</v>
      </c>
      <c r="B2390" s="39">
        <v>926391138</v>
      </c>
      <c r="C2390" s="28" t="str">
        <f>HYPERLINK("https://pld.live/RapDetail.aspx?STONELIST=926391138","DNA")</f>
        <v>DNA</v>
      </c>
      <c r="D2390" s="18" t="s">
        <v>7954</v>
      </c>
      <c r="E2390" s="18" t="s">
        <v>5128</v>
      </c>
      <c r="F2390" s="2" t="s">
        <v>7987</v>
      </c>
      <c r="G2390" s="2" t="s">
        <v>861</v>
      </c>
      <c r="H2390" s="14">
        <v>0.32</v>
      </c>
      <c r="I2390" s="2" t="s">
        <v>4761</v>
      </c>
      <c r="J2390" s="2" t="s">
        <v>6555</v>
      </c>
      <c r="K2390" s="2" t="s">
        <v>3390</v>
      </c>
      <c r="L2390" s="2" t="s">
        <v>5221</v>
      </c>
      <c r="M2390" s="2" t="s">
        <v>5221</v>
      </c>
      <c r="N2390" s="2" t="s">
        <v>2317</v>
      </c>
      <c r="O2390" s="14">
        <v>2300</v>
      </c>
      <c r="P2390" s="14">
        <v>93.35</v>
      </c>
      <c r="Q2390" s="14">
        <v>152.94999999999999</v>
      </c>
      <c r="R2390" s="14">
        <v>48.94</v>
      </c>
      <c r="S2390" s="2" t="s">
        <v>4341</v>
      </c>
      <c r="T2390" s="2">
        <v>1</v>
      </c>
      <c r="U2390" s="2">
        <v>61.4</v>
      </c>
      <c r="V2390" s="2">
        <v>59</v>
      </c>
      <c r="W2390" s="2" t="s">
        <v>7862</v>
      </c>
      <c r="X2390" s="2" t="s">
        <v>5405</v>
      </c>
      <c r="Y2390" s="2">
        <v>736</v>
      </c>
      <c r="Z2390" s="19" t="str">
        <f>HYPERLINK("https://ssdweb.co/ssdweb/hd/Vision360.html?d=926391138&amp;zoomslide=1&amp;z=1926391138&amp;ISCONFIRM=0","VIDEO")</f>
        <v>VIDEO</v>
      </c>
      <c r="AA2390" s="19" t="str">
        <f>HYPERLINK("https://ssdweb.co/ssdweb/CERTH/692533973.pdf","CERTI")</f>
        <v>CERTI</v>
      </c>
    </row>
    <row r="2391" spans="1:27" ht="15" x14ac:dyDescent="0.25">
      <c r="A2391" s="2">
        <v>2386</v>
      </c>
      <c r="B2391" s="39">
        <v>831010728</v>
      </c>
      <c r="C2391" s="28" t="str">
        <f>HYPERLINK("https://pld.live/RapDetail.aspx?STONELIST=831010728","DNA")</f>
        <v>DNA</v>
      </c>
      <c r="D2391" s="18" t="s">
        <v>7954</v>
      </c>
      <c r="E2391" s="18" t="s">
        <v>5128</v>
      </c>
      <c r="F2391" s="2" t="s">
        <v>7987</v>
      </c>
      <c r="G2391" s="2" t="s">
        <v>861</v>
      </c>
      <c r="H2391" s="14">
        <v>0.32</v>
      </c>
      <c r="I2391" s="2" t="s">
        <v>4761</v>
      </c>
      <c r="J2391" s="2" t="s">
        <v>6555</v>
      </c>
      <c r="K2391" s="2" t="s">
        <v>3390</v>
      </c>
      <c r="L2391" s="2" t="s">
        <v>5221</v>
      </c>
      <c r="M2391" s="2" t="s">
        <v>5721</v>
      </c>
      <c r="N2391" s="2" t="s">
        <v>2317</v>
      </c>
      <c r="O2391" s="14">
        <v>2300</v>
      </c>
      <c r="P2391" s="14">
        <v>93.78</v>
      </c>
      <c r="Q2391" s="14">
        <v>143.06</v>
      </c>
      <c r="R2391" s="14">
        <v>45.78</v>
      </c>
      <c r="S2391" s="2" t="s">
        <v>5204</v>
      </c>
      <c r="T2391" s="2">
        <v>1.01</v>
      </c>
      <c r="U2391" s="2">
        <v>62.4</v>
      </c>
      <c r="V2391" s="2">
        <v>58</v>
      </c>
      <c r="W2391" s="2" t="s">
        <v>7862</v>
      </c>
      <c r="X2391" s="2" t="s">
        <v>5405</v>
      </c>
      <c r="Y2391" s="2">
        <v>736</v>
      </c>
      <c r="Z2391" s="19" t="str">
        <f>HYPERLINK("https://ssdweb.co/ssdweb/hd/Vision360.html?d=831010728&amp;zoomslide=1&amp;z=1831010728&amp;ISCONFIRM=0","VIDEO")</f>
        <v>VIDEO</v>
      </c>
      <c r="AA2391" s="19" t="str">
        <f>HYPERLINK("https://ssdweb.co/ssdweb/CERTH/639413169.pdf","CERTI")</f>
        <v>CERTI</v>
      </c>
    </row>
    <row r="2392" spans="1:27" ht="15" x14ac:dyDescent="0.25">
      <c r="A2392" s="2">
        <v>2387</v>
      </c>
      <c r="B2392" s="39">
        <v>926091214</v>
      </c>
      <c r="C2392" s="28" t="str">
        <f>HYPERLINK("https://pld.live/RapDetail.aspx?STONELIST=926091214","DNA")</f>
        <v>DNA</v>
      </c>
      <c r="D2392" s="18" t="s">
        <v>7954</v>
      </c>
      <c r="E2392" s="18" t="s">
        <v>5128</v>
      </c>
      <c r="F2392" s="2" t="s">
        <v>7987</v>
      </c>
      <c r="G2392" s="2" t="s">
        <v>861</v>
      </c>
      <c r="H2392" s="14">
        <v>0.32</v>
      </c>
      <c r="I2392" s="2" t="s">
        <v>4761</v>
      </c>
      <c r="J2392" s="2" t="s">
        <v>6555</v>
      </c>
      <c r="K2392" s="2" t="s">
        <v>3390</v>
      </c>
      <c r="L2392" s="2" t="s">
        <v>5221</v>
      </c>
      <c r="M2392" s="2" t="s">
        <v>5721</v>
      </c>
      <c r="N2392" s="2" t="s">
        <v>2317</v>
      </c>
      <c r="O2392" s="14">
        <v>2300</v>
      </c>
      <c r="P2392" s="14">
        <v>93.78</v>
      </c>
      <c r="Q2392" s="14">
        <v>143.06</v>
      </c>
      <c r="R2392" s="14">
        <v>45.78</v>
      </c>
      <c r="S2392" s="2" t="s">
        <v>5454</v>
      </c>
      <c r="T2392" s="2">
        <v>1.01</v>
      </c>
      <c r="U2392" s="2">
        <v>60.4</v>
      </c>
      <c r="V2392" s="2">
        <v>60</v>
      </c>
      <c r="W2392" s="2" t="s">
        <v>7862</v>
      </c>
      <c r="X2392" s="2" t="s">
        <v>5405</v>
      </c>
      <c r="Y2392" s="2">
        <v>736</v>
      </c>
      <c r="Z2392" s="19" t="str">
        <f>HYPERLINK("https://ssdweb.co/ssdweb/hd/Vision360.html?d=926091214&amp;zoomslide=1&amp;z=1926091214&amp;ISCONFIRM=0","VIDEO")</f>
        <v>VIDEO</v>
      </c>
      <c r="AA2392" s="19" t="str">
        <f>HYPERLINK("https://ssdweb.co/ssdweb/CERTH/633490363.pdf","CERTI")</f>
        <v>CERTI</v>
      </c>
    </row>
    <row r="2393" spans="1:27" ht="15" x14ac:dyDescent="0.25">
      <c r="A2393" s="2">
        <v>2388</v>
      </c>
      <c r="B2393" s="39">
        <v>927152063</v>
      </c>
      <c r="C2393" s="28" t="str">
        <f>HYPERLINK("https://pld.live/RapDetail.aspx?STONELIST=927152063","DNA")</f>
        <v>DNA</v>
      </c>
      <c r="D2393" s="18" t="s">
        <v>7954</v>
      </c>
      <c r="E2393" s="18" t="s">
        <v>5128</v>
      </c>
      <c r="F2393" s="2" t="s">
        <v>7987</v>
      </c>
      <c r="G2393" s="2" t="s">
        <v>861</v>
      </c>
      <c r="H2393" s="14">
        <v>0.32</v>
      </c>
      <c r="I2393" s="2" t="s">
        <v>4761</v>
      </c>
      <c r="J2393" s="2" t="s">
        <v>6555</v>
      </c>
      <c r="K2393" s="2" t="s">
        <v>3390</v>
      </c>
      <c r="L2393" s="2" t="s">
        <v>5221</v>
      </c>
      <c r="M2393" s="2" t="s">
        <v>5721</v>
      </c>
      <c r="N2393" s="2" t="s">
        <v>2317</v>
      </c>
      <c r="O2393" s="14">
        <v>2300</v>
      </c>
      <c r="P2393" s="14">
        <v>93.78</v>
      </c>
      <c r="Q2393" s="14">
        <v>143.06</v>
      </c>
      <c r="R2393" s="14">
        <v>45.78</v>
      </c>
      <c r="S2393" s="2" t="s">
        <v>772</v>
      </c>
      <c r="T2393" s="2">
        <v>1.01</v>
      </c>
      <c r="U2393" s="2">
        <v>61.4</v>
      </c>
      <c r="V2393" s="2">
        <v>58</v>
      </c>
      <c r="W2393" s="2" t="s">
        <v>7862</v>
      </c>
      <c r="X2393" s="2" t="s">
        <v>5405</v>
      </c>
      <c r="Y2393" s="2">
        <v>736</v>
      </c>
      <c r="Z2393" s="19" t="str">
        <f>HYPERLINK("https://ssdweb.co/ssdweb/hd/Vision360.html?d=927152063&amp;zoomslide=1&amp;z=1927152063&amp;ISCONFIRM=0","VIDEO")</f>
        <v>VIDEO</v>
      </c>
      <c r="AA2393" s="19" t="str">
        <f>HYPERLINK("https://ssdweb.co/ssdweb/CERTH/668477301.pdf","CERTI")</f>
        <v>CERTI</v>
      </c>
    </row>
    <row r="2394" spans="1:27" ht="15" x14ac:dyDescent="0.25">
      <c r="A2394" s="2">
        <v>2389</v>
      </c>
      <c r="B2394" s="39">
        <v>920661349</v>
      </c>
      <c r="C2394" s="28" t="str">
        <f>HYPERLINK("https://pld.live/RapDetail.aspx?STONELIST=920661349","DNA")</f>
        <v>DNA</v>
      </c>
      <c r="D2394" s="18" t="s">
        <v>7954</v>
      </c>
      <c r="E2394" s="18" t="s">
        <v>5128</v>
      </c>
      <c r="F2394" s="2" t="s">
        <v>7987</v>
      </c>
      <c r="G2394" s="2" t="s">
        <v>861</v>
      </c>
      <c r="H2394" s="14">
        <v>0.32</v>
      </c>
      <c r="I2394" s="2" t="s">
        <v>4761</v>
      </c>
      <c r="J2394" s="2" t="s">
        <v>6555</v>
      </c>
      <c r="K2394" s="2" t="s">
        <v>3390</v>
      </c>
      <c r="L2394" s="2" t="s">
        <v>5721</v>
      </c>
      <c r="M2394" s="2" t="s">
        <v>5221</v>
      </c>
      <c r="N2394" s="2" t="s">
        <v>2317</v>
      </c>
      <c r="O2394" s="14">
        <v>2300</v>
      </c>
      <c r="P2394" s="14">
        <v>93.78</v>
      </c>
      <c r="Q2394" s="14">
        <v>143.06</v>
      </c>
      <c r="R2394" s="14">
        <v>45.78</v>
      </c>
      <c r="S2394" s="2" t="s">
        <v>1570</v>
      </c>
      <c r="T2394" s="2">
        <v>1.01</v>
      </c>
      <c r="U2394" s="2">
        <v>62.1</v>
      </c>
      <c r="V2394" s="2">
        <v>57</v>
      </c>
      <c r="W2394" s="2" t="s">
        <v>7862</v>
      </c>
      <c r="X2394" s="2" t="s">
        <v>5405</v>
      </c>
      <c r="Y2394" s="2">
        <v>736</v>
      </c>
      <c r="Z2394" s="19" t="str">
        <f>HYPERLINK("https://ssdweb.co/ssdweb/hd/Vision360.html?d=920661349&amp;zoomslide=1&amp;z=1920661349&amp;ISCONFIRM=0","VIDEO")</f>
        <v>VIDEO</v>
      </c>
      <c r="AA2394" s="19" t="str">
        <f>HYPERLINK("https://ssdweb.co/ssdweb/CERTH/638462972.pdf","CERTI")</f>
        <v>CERTI</v>
      </c>
    </row>
    <row r="2395" spans="1:27" ht="15" x14ac:dyDescent="0.25">
      <c r="A2395" s="2">
        <v>2390</v>
      </c>
      <c r="B2395" s="39">
        <v>831010729</v>
      </c>
      <c r="C2395" s="28" t="str">
        <f>HYPERLINK("https://pld.live/RapDetail.aspx?STONELIST=831010729","DNA")</f>
        <v>DNA</v>
      </c>
      <c r="D2395" s="18" t="s">
        <v>7954</v>
      </c>
      <c r="E2395" s="18" t="s">
        <v>5128</v>
      </c>
      <c r="F2395" s="2" t="s">
        <v>7987</v>
      </c>
      <c r="G2395" s="2" t="s">
        <v>861</v>
      </c>
      <c r="H2395" s="14">
        <v>0.32</v>
      </c>
      <c r="I2395" s="2" t="s">
        <v>4761</v>
      </c>
      <c r="J2395" s="2" t="s">
        <v>6555</v>
      </c>
      <c r="K2395" s="2" t="s">
        <v>3390</v>
      </c>
      <c r="L2395" s="2" t="s">
        <v>5721</v>
      </c>
      <c r="M2395" s="2" t="s">
        <v>5721</v>
      </c>
      <c r="N2395" s="2" t="s">
        <v>2317</v>
      </c>
      <c r="O2395" s="14">
        <v>2300</v>
      </c>
      <c r="P2395" s="14">
        <v>93.87</v>
      </c>
      <c r="Q2395" s="14">
        <v>140.99</v>
      </c>
      <c r="R2395" s="14">
        <v>45.12</v>
      </c>
      <c r="S2395" s="2" t="s">
        <v>129</v>
      </c>
      <c r="T2395" s="2">
        <v>1</v>
      </c>
      <c r="U2395" s="2">
        <v>62.2</v>
      </c>
      <c r="V2395" s="2">
        <v>59</v>
      </c>
      <c r="W2395" s="2" t="s">
        <v>7862</v>
      </c>
      <c r="X2395" s="2" t="s">
        <v>5405</v>
      </c>
      <c r="Y2395" s="2">
        <v>736</v>
      </c>
      <c r="Z2395" s="19" t="str">
        <f>HYPERLINK("https://ssdweb.co/ssdweb/hd/Vision360.html?d=831010729&amp;zoomslide=1&amp;z=1831010729&amp;ISCONFIRM=0","VIDEO")</f>
        <v>VIDEO</v>
      </c>
      <c r="AA2395" s="19" t="str">
        <f>HYPERLINK("https://ssdweb.co/ssdweb/CERTH/634417067.pdf","CERTI")</f>
        <v>CERTI</v>
      </c>
    </row>
    <row r="2396" spans="1:27" ht="15" x14ac:dyDescent="0.25">
      <c r="A2396" s="2">
        <v>2391</v>
      </c>
      <c r="B2396" s="39">
        <v>926980603</v>
      </c>
      <c r="C2396" s="28" t="str">
        <f>HYPERLINK("https://pld.live/RapDetail.aspx?STONELIST=926980603","DNA")</f>
        <v>DNA</v>
      </c>
      <c r="D2396" s="18" t="s">
        <v>7954</v>
      </c>
      <c r="E2396" s="18" t="s">
        <v>2186</v>
      </c>
      <c r="F2396" s="2" t="s">
        <v>7987</v>
      </c>
      <c r="G2396" s="2" t="s">
        <v>861</v>
      </c>
      <c r="H2396" s="14">
        <v>0.32</v>
      </c>
      <c r="I2396" s="2" t="s">
        <v>4761</v>
      </c>
      <c r="J2396" s="2" t="s">
        <v>6555</v>
      </c>
      <c r="K2396" s="2" t="s">
        <v>5221</v>
      </c>
      <c r="L2396" s="2" t="s">
        <v>5221</v>
      </c>
      <c r="M2396" s="2" t="s">
        <v>5221</v>
      </c>
      <c r="N2396" s="2" t="s">
        <v>2317</v>
      </c>
      <c r="O2396" s="14">
        <v>2300</v>
      </c>
      <c r="P2396" s="14">
        <v>93.35</v>
      </c>
      <c r="Q2396" s="14">
        <v>152.94999999999999</v>
      </c>
      <c r="R2396" s="14">
        <v>48.94</v>
      </c>
      <c r="S2396" s="2" t="s">
        <v>7199</v>
      </c>
      <c r="T2396" s="2">
        <v>1.01</v>
      </c>
      <c r="U2396" s="2">
        <v>60.8</v>
      </c>
      <c r="V2396" s="2">
        <v>57</v>
      </c>
      <c r="W2396" s="2" t="s">
        <v>7862</v>
      </c>
      <c r="X2396" s="2" t="s">
        <v>5405</v>
      </c>
      <c r="Y2396" s="2">
        <v>736</v>
      </c>
      <c r="Z2396" s="19" t="str">
        <f>HYPERLINK("https://ssdweb.co/ssdweb/hd/Vision360.html?d=926980603&amp;zoomslide=1&amp;z=1926980603&amp;ISCONFIRM=0","VIDEO")</f>
        <v>VIDEO</v>
      </c>
      <c r="AA2396" s="19" t="str">
        <f>HYPERLINK("https://ssdweb.co/ssdweb/CERTH/670484247.pdf","CERTI")</f>
        <v>CERTI</v>
      </c>
    </row>
    <row r="2397" spans="1:27" ht="15" x14ac:dyDescent="0.25">
      <c r="A2397" s="2">
        <v>2392</v>
      </c>
      <c r="B2397" s="39">
        <v>926391121</v>
      </c>
      <c r="C2397" s="28" t="str">
        <f>HYPERLINK("https://pld.live/RapDetail.aspx?STONELIST=926391121","DNA")</f>
        <v>DNA</v>
      </c>
      <c r="D2397" s="18" t="s">
        <v>7954</v>
      </c>
      <c r="E2397" s="18" t="s">
        <v>5128</v>
      </c>
      <c r="F2397" s="2" t="s">
        <v>7987</v>
      </c>
      <c r="G2397" s="2" t="s">
        <v>861</v>
      </c>
      <c r="H2397" s="14">
        <v>0.32</v>
      </c>
      <c r="I2397" s="2" t="s">
        <v>4761</v>
      </c>
      <c r="J2397" s="2" t="s">
        <v>3942</v>
      </c>
      <c r="K2397" s="2" t="s">
        <v>3390</v>
      </c>
      <c r="L2397" s="2" t="s">
        <v>5221</v>
      </c>
      <c r="M2397" s="2" t="s">
        <v>5221</v>
      </c>
      <c r="N2397" s="2" t="s">
        <v>2317</v>
      </c>
      <c r="O2397" s="14">
        <v>2000</v>
      </c>
      <c r="P2397" s="14">
        <v>92.75</v>
      </c>
      <c r="Q2397" s="14">
        <v>145</v>
      </c>
      <c r="R2397" s="14">
        <v>46.4</v>
      </c>
      <c r="S2397" s="2" t="s">
        <v>5106</v>
      </c>
      <c r="T2397" s="2">
        <v>1</v>
      </c>
      <c r="U2397" s="2">
        <v>61.4</v>
      </c>
      <c r="V2397" s="2">
        <v>59</v>
      </c>
      <c r="W2397" s="2" t="s">
        <v>7862</v>
      </c>
      <c r="X2397" s="2" t="s">
        <v>5405</v>
      </c>
      <c r="Y2397" s="2">
        <v>640</v>
      </c>
      <c r="Z2397" s="19" t="str">
        <f>HYPERLINK("https://ssdweb.co/ssdweb/hd/Vision360.html?d=926391121&amp;zoomslide=1&amp;z=1926391121&amp;ISCONFIRM=0","VIDEO")</f>
        <v>VIDEO</v>
      </c>
      <c r="AA2397" s="19" t="str">
        <f>HYPERLINK("https://ssdweb.co/ssdweb/CERTH/692533970.pdf","CERTI")</f>
        <v>CERTI</v>
      </c>
    </row>
    <row r="2398" spans="1:27" ht="15" x14ac:dyDescent="0.25">
      <c r="A2398" s="2">
        <v>2393</v>
      </c>
      <c r="B2398" s="39">
        <v>926341190</v>
      </c>
      <c r="C2398" s="28" t="str">
        <f>HYPERLINK("https://pld.live/RapDetail.aspx?STONELIST=926341190","DNA")</f>
        <v>DNA</v>
      </c>
      <c r="D2398" s="18" t="s">
        <v>7954</v>
      </c>
      <c r="E2398" s="18" t="s">
        <v>5128</v>
      </c>
      <c r="F2398" s="2" t="s">
        <v>7987</v>
      </c>
      <c r="G2398" s="2" t="s">
        <v>861</v>
      </c>
      <c r="H2398" s="14">
        <v>0.32</v>
      </c>
      <c r="I2398" s="2" t="s">
        <v>4761</v>
      </c>
      <c r="J2398" s="2" t="s">
        <v>3942</v>
      </c>
      <c r="K2398" s="2" t="s">
        <v>3390</v>
      </c>
      <c r="L2398" s="2" t="s">
        <v>5221</v>
      </c>
      <c r="M2398" s="2" t="s">
        <v>5221</v>
      </c>
      <c r="N2398" s="2" t="s">
        <v>2317</v>
      </c>
      <c r="O2398" s="14">
        <v>2000</v>
      </c>
      <c r="P2398" s="14">
        <v>92.75</v>
      </c>
      <c r="Q2398" s="14">
        <v>145</v>
      </c>
      <c r="R2398" s="14">
        <v>46.4</v>
      </c>
      <c r="S2398" s="2" t="s">
        <v>4586</v>
      </c>
      <c r="T2398" s="2">
        <v>1.01</v>
      </c>
      <c r="U2398" s="2">
        <v>61.7</v>
      </c>
      <c r="V2398" s="2">
        <v>58</v>
      </c>
      <c r="W2398" s="2" t="s">
        <v>7862</v>
      </c>
      <c r="X2398" s="2" t="s">
        <v>5405</v>
      </c>
      <c r="Y2398" s="2">
        <v>640</v>
      </c>
      <c r="Z2398" s="19" t="str">
        <f>HYPERLINK("https://ssdweb.co/ssdweb/hd/Vision360.html?d=926341190&amp;zoomslide=1&amp;z=1926341190&amp;ISCONFIRM=0","VIDEO")</f>
        <v>VIDEO</v>
      </c>
      <c r="AA2398" s="19" t="str">
        <f>HYPERLINK("https://ssdweb.co/ssdweb/CERTH/692533968.pdf","CERTI")</f>
        <v>CERTI</v>
      </c>
    </row>
    <row r="2399" spans="1:27" ht="15" x14ac:dyDescent="0.25">
      <c r="A2399" s="2">
        <v>2394</v>
      </c>
      <c r="B2399" s="39">
        <v>926430866</v>
      </c>
      <c r="C2399" s="28" t="str">
        <f>HYPERLINK("https://pld.live/RapDetail.aspx?STONELIST=926430866","DNA")</f>
        <v>DNA</v>
      </c>
      <c r="D2399" s="18" t="s">
        <v>7954</v>
      </c>
      <c r="E2399" s="18" t="s">
        <v>5128</v>
      </c>
      <c r="F2399" s="2" t="s">
        <v>7987</v>
      </c>
      <c r="G2399" s="2" t="s">
        <v>861</v>
      </c>
      <c r="H2399" s="14">
        <v>0.32</v>
      </c>
      <c r="I2399" s="2" t="s">
        <v>4761</v>
      </c>
      <c r="J2399" s="2" t="s">
        <v>3942</v>
      </c>
      <c r="K2399" s="2" t="s">
        <v>3390</v>
      </c>
      <c r="L2399" s="2" t="s">
        <v>5221</v>
      </c>
      <c r="M2399" s="2" t="s">
        <v>5221</v>
      </c>
      <c r="N2399" s="2" t="s">
        <v>2317</v>
      </c>
      <c r="O2399" s="14">
        <v>2000</v>
      </c>
      <c r="P2399" s="14">
        <v>92.75</v>
      </c>
      <c r="Q2399" s="14">
        <v>145</v>
      </c>
      <c r="R2399" s="14">
        <v>46.4</v>
      </c>
      <c r="S2399" s="2" t="s">
        <v>5850</v>
      </c>
      <c r="T2399" s="2">
        <v>1.01</v>
      </c>
      <c r="U2399" s="2">
        <v>61.9</v>
      </c>
      <c r="V2399" s="2">
        <v>57</v>
      </c>
      <c r="W2399" s="2" t="s">
        <v>7862</v>
      </c>
      <c r="X2399" s="2" t="s">
        <v>5405</v>
      </c>
      <c r="Y2399" s="2">
        <v>640</v>
      </c>
      <c r="Z2399" s="19" t="str">
        <f>HYPERLINK("https://ssdweb.co/ssdweb/hd/Vision360.html?d=926430866&amp;zoomslide=1&amp;z=1926430866&amp;ISCONFIRM=0","VIDEO")</f>
        <v>VIDEO</v>
      </c>
      <c r="AA2399" s="19" t="str">
        <f>HYPERLINK("https://ssdweb.co/ssdweb/CERTH/692533944.pdf","CERTI")</f>
        <v>CERTI</v>
      </c>
    </row>
    <row r="2400" spans="1:27" ht="15" x14ac:dyDescent="0.25">
      <c r="A2400" s="2">
        <v>2395</v>
      </c>
      <c r="B2400" s="39">
        <v>926391151</v>
      </c>
      <c r="C2400" s="28" t="str">
        <f>HYPERLINK("https://pld.live/RapDetail.aspx?STONELIST=926391151","DNA")</f>
        <v>DNA</v>
      </c>
      <c r="D2400" s="18" t="s">
        <v>7954</v>
      </c>
      <c r="E2400" s="18" t="s">
        <v>5128</v>
      </c>
      <c r="F2400" s="2" t="s">
        <v>7987</v>
      </c>
      <c r="G2400" s="2" t="s">
        <v>861</v>
      </c>
      <c r="H2400" s="14">
        <v>0.32</v>
      </c>
      <c r="I2400" s="2" t="s">
        <v>4761</v>
      </c>
      <c r="J2400" s="2" t="s">
        <v>3942</v>
      </c>
      <c r="K2400" s="2" t="s">
        <v>3390</v>
      </c>
      <c r="L2400" s="2" t="s">
        <v>5221</v>
      </c>
      <c r="M2400" s="2" t="s">
        <v>5221</v>
      </c>
      <c r="N2400" s="2" t="s">
        <v>2317</v>
      </c>
      <c r="O2400" s="14">
        <v>2000</v>
      </c>
      <c r="P2400" s="14">
        <v>92.75</v>
      </c>
      <c r="Q2400" s="14">
        <v>145</v>
      </c>
      <c r="R2400" s="14">
        <v>46.4</v>
      </c>
      <c r="S2400" s="2" t="s">
        <v>2904</v>
      </c>
      <c r="T2400" s="2">
        <v>1</v>
      </c>
      <c r="U2400" s="2">
        <v>60.8</v>
      </c>
      <c r="V2400" s="2">
        <v>58</v>
      </c>
      <c r="W2400" s="2" t="s">
        <v>7862</v>
      </c>
      <c r="X2400" s="2" t="s">
        <v>5405</v>
      </c>
      <c r="Y2400" s="2">
        <v>640</v>
      </c>
      <c r="Z2400" s="19" t="str">
        <f>HYPERLINK("https://ssdweb.co/ssdweb/hd/Vision360.html?d=926391151&amp;zoomslide=1&amp;z=1926391151&amp;ISCONFIRM=0","VIDEO")</f>
        <v>VIDEO</v>
      </c>
      <c r="AA2400" s="19" t="str">
        <f>HYPERLINK("https://ssdweb.co/ssdweb/CERTH/692533975.pdf","CERTI")</f>
        <v>CERTI</v>
      </c>
    </row>
    <row r="2401" spans="1:27" ht="15" x14ac:dyDescent="0.25">
      <c r="A2401" s="2">
        <v>2396</v>
      </c>
      <c r="B2401" s="39">
        <v>926261270</v>
      </c>
      <c r="C2401" s="28" t="str">
        <f>HYPERLINK("https://pld.live/RapDetail.aspx?STONELIST=926261270","DNA")</f>
        <v>DNA</v>
      </c>
      <c r="D2401" s="18" t="s">
        <v>7954</v>
      </c>
      <c r="E2401" s="18" t="s">
        <v>5128</v>
      </c>
      <c r="F2401" s="2" t="s">
        <v>7987</v>
      </c>
      <c r="G2401" s="2" t="s">
        <v>861</v>
      </c>
      <c r="H2401" s="14">
        <v>0.32</v>
      </c>
      <c r="I2401" s="2" t="s">
        <v>4761</v>
      </c>
      <c r="J2401" s="2" t="s">
        <v>3942</v>
      </c>
      <c r="K2401" s="2" t="s">
        <v>3390</v>
      </c>
      <c r="L2401" s="2" t="s">
        <v>5221</v>
      </c>
      <c r="M2401" s="2" t="s">
        <v>5721</v>
      </c>
      <c r="N2401" s="2" t="s">
        <v>2317</v>
      </c>
      <c r="O2401" s="14">
        <v>2000</v>
      </c>
      <c r="P2401" s="14">
        <v>93.25</v>
      </c>
      <c r="Q2401" s="14">
        <v>135</v>
      </c>
      <c r="R2401" s="14">
        <v>43.2</v>
      </c>
      <c r="S2401" s="2" t="s">
        <v>1986</v>
      </c>
      <c r="T2401" s="2">
        <v>1.01</v>
      </c>
      <c r="U2401" s="2">
        <v>61.4</v>
      </c>
      <c r="V2401" s="2">
        <v>59</v>
      </c>
      <c r="W2401" s="2" t="s">
        <v>7862</v>
      </c>
      <c r="X2401" s="2" t="s">
        <v>5405</v>
      </c>
      <c r="Y2401" s="2">
        <v>640</v>
      </c>
      <c r="Z2401" s="19" t="str">
        <f>HYPERLINK("https://ssdweb.co/ssdweb/hd/Vision360.html?d=926261270&amp;zoomslide=1&amp;z=1926261270&amp;ISCONFIRM=0","VIDEO")</f>
        <v>VIDEO</v>
      </c>
      <c r="AA2401" s="19" t="str">
        <f>HYPERLINK("https://ssdweb.co/ssdweb/CERTH/642447764.pdf","CERTI")</f>
        <v>CERTI</v>
      </c>
    </row>
    <row r="2402" spans="1:27" ht="15" x14ac:dyDescent="0.25">
      <c r="A2402" s="2">
        <v>2397</v>
      </c>
      <c r="B2402" s="39">
        <v>926391097</v>
      </c>
      <c r="C2402" s="28" t="str">
        <f>HYPERLINK("https://pld.live/RapDetail.aspx?STONELIST=926391097","DNA")</f>
        <v>DNA</v>
      </c>
      <c r="D2402" s="18" t="s">
        <v>7954</v>
      </c>
      <c r="E2402" s="18" t="s">
        <v>5128</v>
      </c>
      <c r="F2402" s="2" t="s">
        <v>7987</v>
      </c>
      <c r="G2402" s="2" t="s">
        <v>861</v>
      </c>
      <c r="H2402" s="14">
        <v>0.32</v>
      </c>
      <c r="I2402" s="2" t="s">
        <v>4761</v>
      </c>
      <c r="J2402" s="2" t="s">
        <v>3942</v>
      </c>
      <c r="K2402" s="2" t="s">
        <v>3390</v>
      </c>
      <c r="L2402" s="2" t="s">
        <v>5221</v>
      </c>
      <c r="M2402" s="2" t="s">
        <v>5721</v>
      </c>
      <c r="N2402" s="2" t="s">
        <v>2317</v>
      </c>
      <c r="O2402" s="14">
        <v>2000</v>
      </c>
      <c r="P2402" s="14">
        <v>93.25</v>
      </c>
      <c r="Q2402" s="14">
        <v>135</v>
      </c>
      <c r="R2402" s="14">
        <v>43.2</v>
      </c>
      <c r="S2402" s="2" t="s">
        <v>3567</v>
      </c>
      <c r="T2402" s="2">
        <v>1.01</v>
      </c>
      <c r="U2402" s="2">
        <v>62.3</v>
      </c>
      <c r="V2402" s="2">
        <v>56</v>
      </c>
      <c r="W2402" s="2" t="s">
        <v>7862</v>
      </c>
      <c r="X2402" s="2" t="s">
        <v>5405</v>
      </c>
      <c r="Y2402" s="2">
        <v>640</v>
      </c>
      <c r="Z2402" s="19" t="str">
        <f>HYPERLINK("https://ssdweb.co/ssdweb/hd/Vision360.html?d=926391097&amp;zoomslide=1&amp;z=1926391097&amp;ISCONFIRM=0","VIDEO")</f>
        <v>VIDEO</v>
      </c>
      <c r="AA2402" s="19" t="str">
        <f>HYPERLINK("https://ssdweb.co/ssdweb/CERTH/692533971.pdf","CERTI")</f>
        <v>CERTI</v>
      </c>
    </row>
    <row r="2403" spans="1:27" ht="15" x14ac:dyDescent="0.25">
      <c r="A2403" s="2">
        <v>2398</v>
      </c>
      <c r="B2403" s="39">
        <v>926430904</v>
      </c>
      <c r="C2403" s="28" t="str">
        <f>HYPERLINK("https://pld.live/RapDetail.aspx?STONELIST=926430904","DNA")</f>
        <v>DNA</v>
      </c>
      <c r="D2403" s="18" t="s">
        <v>7954</v>
      </c>
      <c r="E2403" s="18" t="s">
        <v>5128</v>
      </c>
      <c r="F2403" s="2" t="s">
        <v>7987</v>
      </c>
      <c r="G2403" s="2" t="s">
        <v>861</v>
      </c>
      <c r="H2403" s="14">
        <v>0.32</v>
      </c>
      <c r="I2403" s="2" t="s">
        <v>4761</v>
      </c>
      <c r="J2403" s="2" t="s">
        <v>3942</v>
      </c>
      <c r="K2403" s="2" t="s">
        <v>5221</v>
      </c>
      <c r="L2403" s="2" t="s">
        <v>5221</v>
      </c>
      <c r="M2403" s="2" t="s">
        <v>5221</v>
      </c>
      <c r="N2403" s="2" t="s">
        <v>2317</v>
      </c>
      <c r="O2403" s="14">
        <v>2000</v>
      </c>
      <c r="P2403" s="14">
        <v>92.75</v>
      </c>
      <c r="Q2403" s="14">
        <v>145</v>
      </c>
      <c r="R2403" s="14">
        <v>46.4</v>
      </c>
      <c r="S2403" s="2" t="s">
        <v>8123</v>
      </c>
      <c r="T2403" s="2">
        <v>1.01</v>
      </c>
      <c r="U2403" s="2">
        <v>62.8</v>
      </c>
      <c r="V2403" s="2">
        <v>57</v>
      </c>
      <c r="W2403" s="2" t="s">
        <v>7862</v>
      </c>
      <c r="X2403" s="2" t="s">
        <v>5405</v>
      </c>
      <c r="Y2403" s="2">
        <v>640</v>
      </c>
      <c r="Z2403" s="19" t="str">
        <f>HYPERLINK("https://ssdweb.co/ssdweb/hd/Vision360.html?d=926430904&amp;zoomslide=1&amp;z=1926430904&amp;ISCONFIRM=0","VIDEO")</f>
        <v>VIDEO</v>
      </c>
      <c r="AA2403" s="19" t="str">
        <f>HYPERLINK("https://ssdweb.co/ssdweb/CERTH/692533947.pdf","CERTI")</f>
        <v>CERTI</v>
      </c>
    </row>
    <row r="2404" spans="1:27" ht="15" x14ac:dyDescent="0.25">
      <c r="A2404" s="2">
        <v>2399</v>
      </c>
      <c r="B2404" s="39">
        <v>926261392</v>
      </c>
      <c r="C2404" s="28" t="str">
        <f>HYPERLINK("https://pld.live/RapDetail.aspx?STONELIST=926261392","DNA")</f>
        <v>DNA</v>
      </c>
      <c r="D2404" s="18" t="s">
        <v>7954</v>
      </c>
      <c r="E2404" s="18" t="s">
        <v>5128</v>
      </c>
      <c r="F2404" s="2" t="s">
        <v>7987</v>
      </c>
      <c r="G2404" s="2" t="s">
        <v>861</v>
      </c>
      <c r="H2404" s="14">
        <v>0.32</v>
      </c>
      <c r="I2404" s="2" t="s">
        <v>4761</v>
      </c>
      <c r="J2404" s="2" t="s">
        <v>3942</v>
      </c>
      <c r="K2404" s="2" t="s">
        <v>5221</v>
      </c>
      <c r="L2404" s="2" t="s">
        <v>5221</v>
      </c>
      <c r="M2404" s="2" t="s">
        <v>5721</v>
      </c>
      <c r="N2404" s="2" t="s">
        <v>2317</v>
      </c>
      <c r="O2404" s="14">
        <v>2000</v>
      </c>
      <c r="P2404" s="14">
        <v>93.25</v>
      </c>
      <c r="Q2404" s="14">
        <v>135</v>
      </c>
      <c r="R2404" s="14">
        <v>43.2</v>
      </c>
      <c r="S2404" s="2" t="s">
        <v>430</v>
      </c>
      <c r="T2404" s="2">
        <v>1.01</v>
      </c>
      <c r="U2404" s="2">
        <v>61</v>
      </c>
      <c r="V2404" s="2">
        <v>61</v>
      </c>
      <c r="W2404" s="2" t="s">
        <v>7862</v>
      </c>
      <c r="X2404" s="2" t="s">
        <v>5405</v>
      </c>
      <c r="Y2404" s="2">
        <v>640</v>
      </c>
      <c r="Z2404" s="19" t="str">
        <f>HYPERLINK("https://ssdweb.co/ssdweb/hd/Vision360.html?d=926261392&amp;zoomslide=1&amp;z=1926261392&amp;ISCONFIRM=0","VIDEO")</f>
        <v>VIDEO</v>
      </c>
      <c r="AA2404" s="19" t="str">
        <f>HYPERLINK("https://ssdweb.co/ssdweb/CERTH/642447804.pdf","CERTI")</f>
        <v>CERTI</v>
      </c>
    </row>
    <row r="2405" spans="1:27" ht="15" x14ac:dyDescent="0.25">
      <c r="A2405" s="2">
        <v>2400</v>
      </c>
      <c r="B2405" s="39">
        <v>941230233</v>
      </c>
      <c r="C2405" s="28" t="str">
        <f>HYPERLINK("https://pld.live/RapDetail.aspx?STONELIST=941230233","DNA")</f>
        <v>DNA</v>
      </c>
      <c r="D2405" s="18" t="s">
        <v>7954</v>
      </c>
      <c r="E2405" s="18" t="s">
        <v>2186</v>
      </c>
      <c r="F2405" s="2" t="s">
        <v>7987</v>
      </c>
      <c r="G2405" s="2" t="s">
        <v>861</v>
      </c>
      <c r="H2405" s="14">
        <v>0.32</v>
      </c>
      <c r="I2405" s="2" t="s">
        <v>4761</v>
      </c>
      <c r="J2405" s="2" t="s">
        <v>3942</v>
      </c>
      <c r="K2405" s="2" t="s">
        <v>5221</v>
      </c>
      <c r="L2405" s="2" t="s">
        <v>5721</v>
      </c>
      <c r="M2405" s="2" t="s">
        <v>5721</v>
      </c>
      <c r="N2405" s="2" t="s">
        <v>2317</v>
      </c>
      <c r="O2405" s="14">
        <v>2000</v>
      </c>
      <c r="P2405" s="14">
        <v>93.35</v>
      </c>
      <c r="Q2405" s="14">
        <v>133</v>
      </c>
      <c r="R2405" s="14">
        <v>42.56</v>
      </c>
      <c r="S2405" s="2" t="s">
        <v>2438</v>
      </c>
      <c r="T2405" s="2">
        <v>1</v>
      </c>
      <c r="U2405" s="2">
        <v>61.8</v>
      </c>
      <c r="V2405" s="2">
        <v>59</v>
      </c>
      <c r="W2405" s="2" t="s">
        <v>7862</v>
      </c>
      <c r="X2405" s="2" t="s">
        <v>5405</v>
      </c>
      <c r="Y2405" s="2">
        <v>640</v>
      </c>
      <c r="Z2405" s="19" t="str">
        <f>HYPERLINK("https://ssdweb.co/ssdweb/hd/Vision360.html?d=941230233&amp;zoomslide=1&amp;z=1941230233&amp;ISCONFIRM=0","VIDEO")</f>
        <v>VIDEO</v>
      </c>
      <c r="AA2405" s="19" t="str">
        <f>HYPERLINK("https://ssdweb.co/ssdweb/CERTH/680505029.pdf","CERTI")</f>
        <v>CERTI</v>
      </c>
    </row>
    <row r="2406" spans="1:27" ht="15" x14ac:dyDescent="0.25">
      <c r="A2406" s="2">
        <v>2401</v>
      </c>
      <c r="B2406" s="39">
        <v>926661091</v>
      </c>
      <c r="C2406" s="28" t="str">
        <f>HYPERLINK("https://pld.live/RapDetail.aspx?STONELIST=926661091","DNA")</f>
        <v>DNA</v>
      </c>
      <c r="D2406" s="18" t="s">
        <v>7954</v>
      </c>
      <c r="E2406" s="18" t="s">
        <v>5128</v>
      </c>
      <c r="F2406" s="2" t="s">
        <v>7987</v>
      </c>
      <c r="G2406" s="2" t="s">
        <v>861</v>
      </c>
      <c r="H2406" s="14">
        <v>0.32</v>
      </c>
      <c r="I2406" s="2" t="s">
        <v>4761</v>
      </c>
      <c r="J2406" s="2" t="s">
        <v>13</v>
      </c>
      <c r="K2406" s="2" t="s">
        <v>3390</v>
      </c>
      <c r="L2406" s="2" t="s">
        <v>5221</v>
      </c>
      <c r="M2406" s="2" t="s">
        <v>5721</v>
      </c>
      <c r="N2406" s="2" t="s">
        <v>2317</v>
      </c>
      <c r="O2406" s="14">
        <v>1800</v>
      </c>
      <c r="P2406" s="14">
        <v>93</v>
      </c>
      <c r="Q2406" s="14">
        <v>126</v>
      </c>
      <c r="R2406" s="14">
        <v>40.32</v>
      </c>
      <c r="S2406" s="2" t="s">
        <v>3561</v>
      </c>
      <c r="T2406" s="2">
        <v>1.01</v>
      </c>
      <c r="U2406" s="2">
        <v>60.8</v>
      </c>
      <c r="V2406" s="2">
        <v>58</v>
      </c>
      <c r="W2406" s="2" t="s">
        <v>7862</v>
      </c>
      <c r="X2406" s="2" t="s">
        <v>5405</v>
      </c>
      <c r="Y2406" s="2">
        <v>576</v>
      </c>
      <c r="Z2406" s="19" t="str">
        <f>HYPERLINK("https://ssdweb.co/ssdweb/hd/Vision360.html?d=926661091&amp;zoomslide=1&amp;z=1926661091&amp;ISCONFIRM=0","VIDEO")</f>
        <v>VIDEO</v>
      </c>
      <c r="AA2406" s="19" t="str">
        <f>HYPERLINK("https://ssdweb.co/ssdweb/CERTH/648487023.pdf","CERTI")</f>
        <v>CERTI</v>
      </c>
    </row>
    <row r="2407" spans="1:27" ht="15" x14ac:dyDescent="0.25">
      <c r="A2407" s="2">
        <v>2402</v>
      </c>
      <c r="B2407" s="39">
        <v>926231341</v>
      </c>
      <c r="C2407" s="28" t="str">
        <f>HYPERLINK("https://pld.live/RapDetail.aspx?STONELIST=926231341","DNA")</f>
        <v>DNA</v>
      </c>
      <c r="D2407" s="18" t="s">
        <v>7954</v>
      </c>
      <c r="E2407" s="18" t="s">
        <v>5128</v>
      </c>
      <c r="F2407" s="2" t="s">
        <v>7987</v>
      </c>
      <c r="G2407" s="2" t="s">
        <v>861</v>
      </c>
      <c r="H2407" s="14">
        <v>0.32</v>
      </c>
      <c r="I2407" s="2" t="s">
        <v>4761</v>
      </c>
      <c r="J2407" s="2" t="s">
        <v>13</v>
      </c>
      <c r="K2407" s="2" t="s">
        <v>3390</v>
      </c>
      <c r="L2407" s="2" t="s">
        <v>5221</v>
      </c>
      <c r="M2407" s="2" t="s">
        <v>5721</v>
      </c>
      <c r="N2407" s="2" t="s">
        <v>2317</v>
      </c>
      <c r="O2407" s="14">
        <v>1800</v>
      </c>
      <c r="P2407" s="14">
        <v>93</v>
      </c>
      <c r="Q2407" s="14">
        <v>126</v>
      </c>
      <c r="R2407" s="14">
        <v>40.32</v>
      </c>
      <c r="S2407" s="2" t="s">
        <v>5929</v>
      </c>
      <c r="T2407" s="2">
        <v>1.01</v>
      </c>
      <c r="U2407" s="2">
        <v>62.3</v>
      </c>
      <c r="V2407" s="2">
        <v>58</v>
      </c>
      <c r="W2407" s="2" t="s">
        <v>7862</v>
      </c>
      <c r="X2407" s="2" t="s">
        <v>5405</v>
      </c>
      <c r="Y2407" s="2">
        <v>576</v>
      </c>
      <c r="Z2407" s="19" t="str">
        <f>HYPERLINK("https://ssdweb.co/ssdweb/hd/Vision360.html?d=926231341&amp;zoomslide=1&amp;z=1926231341&amp;ISCONFIRM=0","VIDEO")</f>
        <v>VIDEO</v>
      </c>
      <c r="AA2407" s="19" t="str">
        <f>HYPERLINK("https://ssdweb.co/ssdweb/CERTH/642447788.pdf","CERTI")</f>
        <v>CERTI</v>
      </c>
    </row>
    <row r="2408" spans="1:27" ht="15" x14ac:dyDescent="0.25">
      <c r="A2408" s="2">
        <v>2403</v>
      </c>
      <c r="B2408" s="39">
        <v>926231314</v>
      </c>
      <c r="C2408" s="28" t="str">
        <f>HYPERLINK("https://pld.live/RapDetail.aspx?STONELIST=926231314","DNA")</f>
        <v>DNA</v>
      </c>
      <c r="D2408" s="18" t="s">
        <v>7954</v>
      </c>
      <c r="E2408" s="18" t="s">
        <v>5128</v>
      </c>
      <c r="F2408" s="2" t="s">
        <v>7987</v>
      </c>
      <c r="G2408" s="2" t="s">
        <v>861</v>
      </c>
      <c r="H2408" s="14">
        <v>0.32</v>
      </c>
      <c r="I2408" s="2" t="s">
        <v>4761</v>
      </c>
      <c r="J2408" s="2" t="s">
        <v>13</v>
      </c>
      <c r="K2408" s="2" t="s">
        <v>3390</v>
      </c>
      <c r="L2408" s="2" t="s">
        <v>5221</v>
      </c>
      <c r="M2408" s="2" t="s">
        <v>5721</v>
      </c>
      <c r="N2408" s="2" t="s">
        <v>2317</v>
      </c>
      <c r="O2408" s="14">
        <v>1800</v>
      </c>
      <c r="P2408" s="14">
        <v>93</v>
      </c>
      <c r="Q2408" s="14">
        <v>126</v>
      </c>
      <c r="R2408" s="14">
        <v>40.32</v>
      </c>
      <c r="S2408" s="2" t="s">
        <v>5850</v>
      </c>
      <c r="T2408" s="2">
        <v>1.01</v>
      </c>
      <c r="U2408" s="2">
        <v>62</v>
      </c>
      <c r="V2408" s="2">
        <v>57</v>
      </c>
      <c r="W2408" s="2" t="s">
        <v>7862</v>
      </c>
      <c r="X2408" s="2" t="s">
        <v>5405</v>
      </c>
      <c r="Y2408" s="2">
        <v>576</v>
      </c>
      <c r="Z2408" s="19" t="str">
        <f>HYPERLINK("https://ssdweb.co/ssdweb/hd/Vision360.html?d=926231314&amp;zoomslide=1&amp;z=1926231314&amp;ISCONFIRM=0","VIDEO")</f>
        <v>VIDEO</v>
      </c>
      <c r="AA2408" s="19" t="str">
        <f>HYPERLINK("https://ssdweb.co/ssdweb/CERTH/644466842.pdf","CERTI")</f>
        <v>CERTI</v>
      </c>
    </row>
    <row r="2409" spans="1:27" ht="15" x14ac:dyDescent="0.25">
      <c r="A2409" s="2">
        <v>2404</v>
      </c>
      <c r="B2409" s="39">
        <v>926261194</v>
      </c>
      <c r="C2409" s="28" t="str">
        <f>HYPERLINK("https://pld.live/RapDetail.aspx?STONELIST=926261194","DNA")</f>
        <v>DNA</v>
      </c>
      <c r="D2409" s="18" t="s">
        <v>7954</v>
      </c>
      <c r="E2409" s="18" t="s">
        <v>5128</v>
      </c>
      <c r="F2409" s="2" t="s">
        <v>7987</v>
      </c>
      <c r="G2409" s="2" t="s">
        <v>861</v>
      </c>
      <c r="H2409" s="14">
        <v>0.32</v>
      </c>
      <c r="I2409" s="2" t="s">
        <v>4761</v>
      </c>
      <c r="J2409" s="2" t="s">
        <v>13</v>
      </c>
      <c r="K2409" s="2" t="s">
        <v>3390</v>
      </c>
      <c r="L2409" s="2" t="s">
        <v>5221</v>
      </c>
      <c r="M2409" s="2" t="s">
        <v>5721</v>
      </c>
      <c r="N2409" s="2" t="s">
        <v>2317</v>
      </c>
      <c r="O2409" s="14">
        <v>1800</v>
      </c>
      <c r="P2409" s="14">
        <v>93</v>
      </c>
      <c r="Q2409" s="14">
        <v>126</v>
      </c>
      <c r="R2409" s="14">
        <v>40.32</v>
      </c>
      <c r="S2409" s="2" t="s">
        <v>2878</v>
      </c>
      <c r="T2409" s="2">
        <v>1.01</v>
      </c>
      <c r="U2409" s="2">
        <v>62.3</v>
      </c>
      <c r="V2409" s="2">
        <v>57</v>
      </c>
      <c r="W2409" s="2" t="s">
        <v>7862</v>
      </c>
      <c r="X2409" s="2" t="s">
        <v>5405</v>
      </c>
      <c r="Y2409" s="2">
        <v>576</v>
      </c>
      <c r="Z2409" s="19" t="str">
        <f>HYPERLINK("https://ssdweb.co/ssdweb/hd/Vision360.html?d=926261194&amp;zoomslide=1&amp;z=1926261194&amp;ISCONFIRM=0","VIDEO")</f>
        <v>VIDEO</v>
      </c>
      <c r="AA2409" s="19" t="str">
        <f>HYPERLINK("https://ssdweb.co/ssdweb/CERTH/640454145.pdf","CERTI")</f>
        <v>CERTI</v>
      </c>
    </row>
    <row r="2410" spans="1:27" ht="15" x14ac:dyDescent="0.25">
      <c r="A2410" s="2">
        <v>2405</v>
      </c>
      <c r="B2410" s="39">
        <v>926301282</v>
      </c>
      <c r="C2410" s="28" t="str">
        <f>HYPERLINK("https://pld.live/RapDetail.aspx?STONELIST=926301282","DNA")</f>
        <v>DNA</v>
      </c>
      <c r="D2410" s="18" t="s">
        <v>7954</v>
      </c>
      <c r="E2410" s="18" t="s">
        <v>5128</v>
      </c>
      <c r="F2410" s="2" t="s">
        <v>7987</v>
      </c>
      <c r="G2410" s="2" t="s">
        <v>861</v>
      </c>
      <c r="H2410" s="14">
        <v>0.32</v>
      </c>
      <c r="I2410" s="2" t="s">
        <v>4761</v>
      </c>
      <c r="J2410" s="2" t="s">
        <v>13</v>
      </c>
      <c r="K2410" s="2" t="s">
        <v>3390</v>
      </c>
      <c r="L2410" s="2" t="s">
        <v>5221</v>
      </c>
      <c r="M2410" s="2" t="s">
        <v>5721</v>
      </c>
      <c r="N2410" s="2" t="s">
        <v>2317</v>
      </c>
      <c r="O2410" s="14">
        <v>1800</v>
      </c>
      <c r="P2410" s="14">
        <v>93</v>
      </c>
      <c r="Q2410" s="14">
        <v>126</v>
      </c>
      <c r="R2410" s="14">
        <v>40.32</v>
      </c>
      <c r="S2410" s="2" t="s">
        <v>1906</v>
      </c>
      <c r="T2410" s="2">
        <v>1</v>
      </c>
      <c r="U2410" s="2">
        <v>60.4</v>
      </c>
      <c r="V2410" s="2">
        <v>60</v>
      </c>
      <c r="W2410" s="2" t="s">
        <v>7862</v>
      </c>
      <c r="X2410" s="2" t="s">
        <v>5405</v>
      </c>
      <c r="Y2410" s="2">
        <v>576</v>
      </c>
      <c r="Z2410" s="19" t="str">
        <f>HYPERLINK("https://ssdweb.co/ssdweb/hd/Vision360.html?d=926301282&amp;zoomslide=1&amp;z=1926301282&amp;ISCONFIRM=0","VIDEO")</f>
        <v>VIDEO</v>
      </c>
      <c r="AA2410" s="19" t="str">
        <f>HYPERLINK("https://ssdweb.co/ssdweb/CERTH/644472297.pdf","CERTI")</f>
        <v>CERTI</v>
      </c>
    </row>
    <row r="2411" spans="1:27" ht="15" x14ac:dyDescent="0.25">
      <c r="A2411" s="2">
        <v>2406</v>
      </c>
      <c r="B2411" s="39">
        <v>941080561</v>
      </c>
      <c r="C2411" s="28" t="str">
        <f>HYPERLINK("https://pld.live/RapDetail.aspx?STONELIST=941080561","DNA")</f>
        <v>DNA</v>
      </c>
      <c r="D2411" s="18" t="s">
        <v>7954</v>
      </c>
      <c r="E2411" s="18" t="s">
        <v>2186</v>
      </c>
      <c r="F2411" s="2" t="s">
        <v>7987</v>
      </c>
      <c r="G2411" s="2" t="s">
        <v>861</v>
      </c>
      <c r="H2411" s="14">
        <v>0.32</v>
      </c>
      <c r="I2411" s="2" t="s">
        <v>4761</v>
      </c>
      <c r="J2411" s="2" t="s">
        <v>13</v>
      </c>
      <c r="K2411" s="2" t="s">
        <v>3390</v>
      </c>
      <c r="L2411" s="2" t="s">
        <v>5221</v>
      </c>
      <c r="M2411" s="2" t="s">
        <v>5721</v>
      </c>
      <c r="N2411" s="2" t="s">
        <v>2317</v>
      </c>
      <c r="O2411" s="14">
        <v>1800</v>
      </c>
      <c r="P2411" s="14">
        <v>93</v>
      </c>
      <c r="Q2411" s="14">
        <v>126</v>
      </c>
      <c r="R2411" s="14">
        <v>40.32</v>
      </c>
      <c r="S2411" s="2" t="s">
        <v>999</v>
      </c>
      <c r="T2411" s="2">
        <v>1</v>
      </c>
      <c r="U2411" s="2">
        <v>60.9</v>
      </c>
      <c r="V2411" s="2">
        <v>57</v>
      </c>
      <c r="W2411" s="2" t="s">
        <v>7862</v>
      </c>
      <c r="X2411" s="2" t="s">
        <v>5405</v>
      </c>
      <c r="Y2411" s="2">
        <v>576</v>
      </c>
      <c r="Z2411" s="19" t="str">
        <f>HYPERLINK("https://ssdweb.co/ssdweb/hd/Vision360.html?d=941080561&amp;zoomslide=1&amp;z=1941080561&amp;ISCONFIRM=0","VIDEO")</f>
        <v>VIDEO</v>
      </c>
      <c r="AA2411" s="19" t="str">
        <f>HYPERLINK("https://ssdweb.co/ssdweb/CERTH/671427893.pdf","CERTI")</f>
        <v>CERTI</v>
      </c>
    </row>
    <row r="2412" spans="1:27" ht="15" x14ac:dyDescent="0.25">
      <c r="A2412" s="2">
        <v>2407</v>
      </c>
      <c r="B2412" s="39">
        <v>926280836</v>
      </c>
      <c r="C2412" s="28" t="str">
        <f>HYPERLINK("https://pld.live/RapDetail.aspx?STONELIST=926280836","DNA")</f>
        <v>DNA</v>
      </c>
      <c r="D2412" s="18" t="s">
        <v>7954</v>
      </c>
      <c r="E2412" s="18" t="s">
        <v>5128</v>
      </c>
      <c r="F2412" s="2" t="s">
        <v>7987</v>
      </c>
      <c r="G2412" s="2" t="s">
        <v>861</v>
      </c>
      <c r="H2412" s="14">
        <v>0.32</v>
      </c>
      <c r="I2412" s="2" t="s">
        <v>4761</v>
      </c>
      <c r="J2412" s="2" t="s">
        <v>13</v>
      </c>
      <c r="K2412" s="2" t="s">
        <v>3390</v>
      </c>
      <c r="L2412" s="2" t="s">
        <v>5721</v>
      </c>
      <c r="M2412" s="2" t="s">
        <v>5721</v>
      </c>
      <c r="N2412" s="2" t="s">
        <v>2317</v>
      </c>
      <c r="O2412" s="14">
        <v>1800</v>
      </c>
      <c r="P2412" s="14">
        <v>93.11</v>
      </c>
      <c r="Q2412" s="14">
        <v>124.02</v>
      </c>
      <c r="R2412" s="14">
        <v>39.69</v>
      </c>
      <c r="S2412" s="2" t="s">
        <v>7453</v>
      </c>
      <c r="T2412" s="2">
        <v>1.01</v>
      </c>
      <c r="U2412" s="2">
        <v>61.9</v>
      </c>
      <c r="V2412" s="2">
        <v>59</v>
      </c>
      <c r="W2412" s="2" t="s">
        <v>7862</v>
      </c>
      <c r="X2412" s="2" t="s">
        <v>5405</v>
      </c>
      <c r="Y2412" s="2">
        <v>576</v>
      </c>
      <c r="Z2412" s="19" t="str">
        <f>HYPERLINK("https://ssdweb.co/ssdweb/hd/Vision360.html?d=926280836&amp;zoomslide=1&amp;z=1926280836&amp;ISCONFIRM=0","VIDEO")</f>
        <v>VIDEO</v>
      </c>
      <c r="AA2412" s="19" t="str">
        <f>HYPERLINK("https://ssdweb.co/ssdweb/CERTH/642442920.pdf","CERTI")</f>
        <v>CERTI</v>
      </c>
    </row>
    <row r="2413" spans="1:27" ht="15" x14ac:dyDescent="0.25">
      <c r="A2413" s="2">
        <v>2408</v>
      </c>
      <c r="B2413" s="39">
        <v>821127861</v>
      </c>
      <c r="C2413" s="28" t="str">
        <f>HYPERLINK("https://pld.live/RapDetail.aspx?STONELIST=821127861","DNA")</f>
        <v>DNA</v>
      </c>
      <c r="D2413" s="18" t="s">
        <v>7954</v>
      </c>
      <c r="E2413" s="18" t="s">
        <v>5128</v>
      </c>
      <c r="F2413" s="2" t="s">
        <v>7987</v>
      </c>
      <c r="G2413" s="2" t="s">
        <v>861</v>
      </c>
      <c r="H2413" s="14">
        <v>0.32</v>
      </c>
      <c r="I2413" s="2" t="s">
        <v>4761</v>
      </c>
      <c r="J2413" s="2" t="s">
        <v>13</v>
      </c>
      <c r="K2413" s="2" t="s">
        <v>3390</v>
      </c>
      <c r="L2413" s="2" t="s">
        <v>5721</v>
      </c>
      <c r="M2413" s="2" t="s">
        <v>5721</v>
      </c>
      <c r="N2413" s="2" t="s">
        <v>2317</v>
      </c>
      <c r="O2413" s="14">
        <v>1800</v>
      </c>
      <c r="P2413" s="14">
        <v>93.11</v>
      </c>
      <c r="Q2413" s="14">
        <v>124.02</v>
      </c>
      <c r="R2413" s="14">
        <v>39.69</v>
      </c>
      <c r="S2413" s="2" t="s">
        <v>5742</v>
      </c>
      <c r="T2413" s="2">
        <v>1.01</v>
      </c>
      <c r="U2413" s="2">
        <v>61.7</v>
      </c>
      <c r="V2413" s="2">
        <v>59</v>
      </c>
      <c r="W2413" s="2" t="s">
        <v>7862</v>
      </c>
      <c r="X2413" s="2" t="s">
        <v>5405</v>
      </c>
      <c r="Y2413" s="2">
        <v>576</v>
      </c>
      <c r="Z2413" s="19" t="str">
        <f>HYPERLINK("https://ssdweb.co/ssdweb/hd/Vision360.html?d=821127861&amp;zoomslide=1&amp;z=1821127861&amp;ISCONFIRM=0","VIDEO")</f>
        <v>VIDEO</v>
      </c>
      <c r="AA2413" s="19" t="str">
        <f>HYPERLINK("https://ssdweb.co/ssdweb/CERTH/633499527.pdf","CERTI")</f>
        <v>CERTI</v>
      </c>
    </row>
    <row r="2414" spans="1:27" ht="15" x14ac:dyDescent="0.25">
      <c r="A2414" s="2">
        <v>2409</v>
      </c>
      <c r="B2414" s="39">
        <v>920830910</v>
      </c>
      <c r="C2414" s="28" t="str">
        <f>HYPERLINK("https://pld.live/RapDetail.aspx?STONELIST=920830910","DNA")</f>
        <v>DNA</v>
      </c>
      <c r="D2414" s="18" t="s">
        <v>7954</v>
      </c>
      <c r="E2414" s="18" t="s">
        <v>2186</v>
      </c>
      <c r="F2414" s="2" t="s">
        <v>7987</v>
      </c>
      <c r="G2414" s="2" t="s">
        <v>861</v>
      </c>
      <c r="H2414" s="14">
        <v>0.32</v>
      </c>
      <c r="I2414" s="2" t="s">
        <v>4761</v>
      </c>
      <c r="J2414" s="2" t="s">
        <v>13</v>
      </c>
      <c r="K2414" s="2" t="s">
        <v>5221</v>
      </c>
      <c r="L2414" s="2" t="s">
        <v>5221</v>
      </c>
      <c r="M2414" s="2" t="s">
        <v>5221</v>
      </c>
      <c r="N2414" s="2" t="s">
        <v>2317</v>
      </c>
      <c r="O2414" s="14">
        <v>1800</v>
      </c>
      <c r="P2414" s="14">
        <v>92.44</v>
      </c>
      <c r="Q2414" s="14">
        <v>136.08000000000001</v>
      </c>
      <c r="R2414" s="14">
        <v>43.55</v>
      </c>
      <c r="S2414" s="2" t="s">
        <v>6471</v>
      </c>
      <c r="T2414" s="2">
        <v>1.01</v>
      </c>
      <c r="U2414" s="2">
        <v>62.8</v>
      </c>
      <c r="V2414" s="2">
        <v>57</v>
      </c>
      <c r="W2414" s="2" t="s">
        <v>7862</v>
      </c>
      <c r="X2414" s="2" t="s">
        <v>5405</v>
      </c>
      <c r="Y2414" s="2">
        <v>576</v>
      </c>
      <c r="Z2414" s="19" t="str">
        <f>HYPERLINK("https://ssdweb.co/ssdweb/hd/Vision360.html?d=920830910&amp;zoomslide=1&amp;z=1920830910&amp;ISCONFIRM=0","VIDEO")</f>
        <v>VIDEO</v>
      </c>
      <c r="AA2414" s="19" t="str">
        <f>HYPERLINK("https://ssdweb.co/ssdweb/CERTH/689587212.pdf","CERTI")</f>
        <v>CERTI</v>
      </c>
    </row>
    <row r="2415" spans="1:27" ht="15" x14ac:dyDescent="0.25">
      <c r="A2415" s="2">
        <v>2410</v>
      </c>
      <c r="B2415" s="39">
        <v>920661291</v>
      </c>
      <c r="C2415" s="28" t="str">
        <f>HYPERLINK("https://pld.live/RapDetail.aspx?STONELIST=920661291","DNA")</f>
        <v>DNA</v>
      </c>
      <c r="D2415" s="18" t="s">
        <v>7954</v>
      </c>
      <c r="E2415" s="18" t="s">
        <v>5128</v>
      </c>
      <c r="F2415" s="2" t="s">
        <v>7987</v>
      </c>
      <c r="G2415" s="2" t="s">
        <v>861</v>
      </c>
      <c r="H2415" s="14">
        <v>0.32</v>
      </c>
      <c r="I2415" s="2" t="s">
        <v>4761</v>
      </c>
      <c r="J2415" s="2" t="s">
        <v>13</v>
      </c>
      <c r="K2415" s="2" t="s">
        <v>5221</v>
      </c>
      <c r="L2415" s="2" t="s">
        <v>5221</v>
      </c>
      <c r="M2415" s="2" t="s">
        <v>5721</v>
      </c>
      <c r="N2415" s="2" t="s">
        <v>2317</v>
      </c>
      <c r="O2415" s="14">
        <v>1800</v>
      </c>
      <c r="P2415" s="14">
        <v>93</v>
      </c>
      <c r="Q2415" s="14">
        <v>126</v>
      </c>
      <c r="R2415" s="14">
        <v>40.32</v>
      </c>
      <c r="S2415" s="2" t="s">
        <v>3689</v>
      </c>
      <c r="T2415" s="2">
        <v>1.01</v>
      </c>
      <c r="U2415" s="2">
        <v>62</v>
      </c>
      <c r="V2415" s="2">
        <v>58</v>
      </c>
      <c r="W2415" s="2" t="s">
        <v>7862</v>
      </c>
      <c r="X2415" s="2" t="s">
        <v>5405</v>
      </c>
      <c r="Y2415" s="2">
        <v>576</v>
      </c>
      <c r="Z2415" s="19" t="str">
        <f>HYPERLINK("https://ssdweb.co/ssdweb/hd/Vision360.html?d=920661291&amp;zoomslide=1&amp;z=1920661291&amp;ISCONFIRM=0","VIDEO")</f>
        <v>VIDEO</v>
      </c>
      <c r="AA2415" s="19" t="str">
        <f>HYPERLINK("https://ssdweb.co/ssdweb/CERTH/637467231.pdf","CERTI")</f>
        <v>CERTI</v>
      </c>
    </row>
    <row r="2416" spans="1:27" ht="15" x14ac:dyDescent="0.25">
      <c r="A2416" s="2">
        <v>2411</v>
      </c>
      <c r="B2416" s="39">
        <v>941250108</v>
      </c>
      <c r="C2416" s="28" t="str">
        <f>HYPERLINK("https://pld.live/RapDetail.aspx?STONELIST=941250108","DNA")</f>
        <v>DNA</v>
      </c>
      <c r="D2416" s="18" t="s">
        <v>7954</v>
      </c>
      <c r="E2416" s="18" t="s">
        <v>2186</v>
      </c>
      <c r="F2416" s="2" t="s">
        <v>7987</v>
      </c>
      <c r="G2416" s="2" t="s">
        <v>861</v>
      </c>
      <c r="H2416" s="14">
        <v>0.32</v>
      </c>
      <c r="I2416" s="2" t="s">
        <v>4761</v>
      </c>
      <c r="J2416" s="2" t="s">
        <v>13</v>
      </c>
      <c r="K2416" s="2" t="s">
        <v>5221</v>
      </c>
      <c r="L2416" s="2" t="s">
        <v>5221</v>
      </c>
      <c r="M2416" s="2" t="s">
        <v>5721</v>
      </c>
      <c r="N2416" s="2" t="s">
        <v>2317</v>
      </c>
      <c r="O2416" s="14">
        <v>1800</v>
      </c>
      <c r="P2416" s="14">
        <v>93</v>
      </c>
      <c r="Q2416" s="14">
        <v>126</v>
      </c>
      <c r="R2416" s="14">
        <v>40.32</v>
      </c>
      <c r="S2416" s="2" t="s">
        <v>5628</v>
      </c>
      <c r="T2416" s="2">
        <v>1.01</v>
      </c>
      <c r="U2416" s="2">
        <v>59.1</v>
      </c>
      <c r="V2416" s="2">
        <v>58</v>
      </c>
      <c r="W2416" s="2" t="s">
        <v>7862</v>
      </c>
      <c r="X2416" s="2" t="s">
        <v>5405</v>
      </c>
      <c r="Y2416" s="2">
        <v>576</v>
      </c>
      <c r="Z2416" s="19" t="str">
        <f>HYPERLINK("https://ssdweb.co/ssdweb/hd/Vision360.html?d=941250108&amp;zoomslide=1&amp;z=1941250108&amp;ISCONFIRM=0","VIDEO")</f>
        <v>VIDEO</v>
      </c>
      <c r="AA2416" s="19" t="str">
        <f>HYPERLINK("https://ssdweb.co/ssdweb/CERTH/680505030.pdf","CERTI")</f>
        <v>CERTI</v>
      </c>
    </row>
    <row r="2417" spans="1:27" ht="15" x14ac:dyDescent="0.25">
      <c r="A2417" s="2">
        <v>2412</v>
      </c>
      <c r="B2417" s="39">
        <v>926231137</v>
      </c>
      <c r="C2417" s="28" t="str">
        <f>HYPERLINK("https://pld.live/RapDetail.aspx?STONELIST=926231137","DNA")</f>
        <v>DNA</v>
      </c>
      <c r="D2417" s="18" t="s">
        <v>7954</v>
      </c>
      <c r="E2417" s="18" t="s">
        <v>5128</v>
      </c>
      <c r="F2417" s="2" t="s">
        <v>7987</v>
      </c>
      <c r="G2417" s="2" t="s">
        <v>861</v>
      </c>
      <c r="H2417" s="14">
        <v>0.32</v>
      </c>
      <c r="I2417" s="2" t="s">
        <v>4761</v>
      </c>
      <c r="J2417" s="2" t="s">
        <v>13</v>
      </c>
      <c r="K2417" s="2" t="s">
        <v>5221</v>
      </c>
      <c r="L2417" s="2" t="s">
        <v>5721</v>
      </c>
      <c r="M2417" s="2" t="s">
        <v>5221</v>
      </c>
      <c r="N2417" s="2" t="s">
        <v>2317</v>
      </c>
      <c r="O2417" s="14">
        <v>1800</v>
      </c>
      <c r="P2417" s="14">
        <v>93</v>
      </c>
      <c r="Q2417" s="14">
        <v>126</v>
      </c>
      <c r="R2417" s="14">
        <v>40.32</v>
      </c>
      <c r="S2417" s="2" t="s">
        <v>6196</v>
      </c>
      <c r="T2417" s="2">
        <v>1.01</v>
      </c>
      <c r="U2417" s="2">
        <v>62.4</v>
      </c>
      <c r="V2417" s="2">
        <v>60</v>
      </c>
      <c r="W2417" s="2" t="s">
        <v>7862</v>
      </c>
      <c r="X2417" s="2" t="s">
        <v>5405</v>
      </c>
      <c r="Y2417" s="2">
        <v>576</v>
      </c>
      <c r="Z2417" s="19" t="str">
        <f>HYPERLINK("https://ssdweb.co/ssdweb/hd/Vision360.html?d=926231137&amp;zoomslide=1&amp;z=1926231137&amp;ISCONFIRM=0","VIDEO")</f>
        <v>VIDEO</v>
      </c>
      <c r="AA2417" s="19" t="str">
        <f>HYPERLINK("https://ssdweb.co/ssdweb/CERTH/640473960.pdf","CERTI")</f>
        <v>CERTI</v>
      </c>
    </row>
    <row r="2418" spans="1:27" ht="15" x14ac:dyDescent="0.25">
      <c r="A2418" s="2">
        <v>2413</v>
      </c>
      <c r="B2418" s="39">
        <v>926190923</v>
      </c>
      <c r="C2418" s="28" t="str">
        <f>HYPERLINK("https://pld.live/RapDetail.aspx?STONELIST=926190923","DNA")</f>
        <v>DNA</v>
      </c>
      <c r="D2418" s="18" t="s">
        <v>7954</v>
      </c>
      <c r="E2418" s="18" t="s">
        <v>5128</v>
      </c>
      <c r="F2418" s="2" t="s">
        <v>7987</v>
      </c>
      <c r="G2418" s="2" t="s">
        <v>861</v>
      </c>
      <c r="H2418" s="14">
        <v>0.32</v>
      </c>
      <c r="I2418" s="2" t="s">
        <v>4761</v>
      </c>
      <c r="J2418" s="2" t="s">
        <v>13</v>
      </c>
      <c r="K2418" s="2" t="s">
        <v>5221</v>
      </c>
      <c r="L2418" s="2" t="s">
        <v>5721</v>
      </c>
      <c r="M2418" s="2" t="s">
        <v>5721</v>
      </c>
      <c r="N2418" s="2" t="s">
        <v>2317</v>
      </c>
      <c r="O2418" s="14">
        <v>1800</v>
      </c>
      <c r="P2418" s="14">
        <v>93.11</v>
      </c>
      <c r="Q2418" s="14">
        <v>124.02</v>
      </c>
      <c r="R2418" s="14">
        <v>39.69</v>
      </c>
      <c r="S2418" s="2" t="s">
        <v>5319</v>
      </c>
      <c r="T2418" s="2">
        <v>1.01</v>
      </c>
      <c r="U2418" s="2">
        <v>62.1</v>
      </c>
      <c r="V2418" s="2">
        <v>58</v>
      </c>
      <c r="W2418" s="2" t="s">
        <v>7862</v>
      </c>
      <c r="X2418" s="2" t="s">
        <v>5405</v>
      </c>
      <c r="Y2418" s="2">
        <v>576</v>
      </c>
      <c r="Z2418" s="19" t="str">
        <f>HYPERLINK("https://ssdweb.co/ssdweb/hd/Vision360.html?d=926190923&amp;zoomslide=1&amp;z=1926190923&amp;ISCONFIRM=0","VIDEO")</f>
        <v>VIDEO</v>
      </c>
      <c r="AA2418" s="19" t="str">
        <f>HYPERLINK("https://ssdweb.co/ssdweb/CERTH/636429686.pdf","CERTI")</f>
        <v>CERTI</v>
      </c>
    </row>
    <row r="2419" spans="1:27" ht="15" x14ac:dyDescent="0.25">
      <c r="A2419" s="2">
        <v>2414</v>
      </c>
      <c r="B2419" s="39">
        <v>926190933</v>
      </c>
      <c r="C2419" s="28" t="str">
        <f>HYPERLINK("https://pld.live/RapDetail.aspx?STONELIST=926190933","DNA")</f>
        <v>DNA</v>
      </c>
      <c r="D2419" s="18" t="s">
        <v>7954</v>
      </c>
      <c r="E2419" s="18" t="s">
        <v>5128</v>
      </c>
      <c r="F2419" s="2" t="s">
        <v>7987</v>
      </c>
      <c r="G2419" s="2" t="s">
        <v>861</v>
      </c>
      <c r="H2419" s="14">
        <v>0.32</v>
      </c>
      <c r="I2419" s="2" t="s">
        <v>4761</v>
      </c>
      <c r="J2419" s="2" t="s">
        <v>13</v>
      </c>
      <c r="K2419" s="2" t="s">
        <v>5221</v>
      </c>
      <c r="L2419" s="2" t="s">
        <v>5721</v>
      </c>
      <c r="M2419" s="2" t="s">
        <v>5721</v>
      </c>
      <c r="N2419" s="2" t="s">
        <v>2317</v>
      </c>
      <c r="O2419" s="14">
        <v>1800</v>
      </c>
      <c r="P2419" s="14">
        <v>93.11</v>
      </c>
      <c r="Q2419" s="14">
        <v>124.02</v>
      </c>
      <c r="R2419" s="14">
        <v>39.69</v>
      </c>
      <c r="S2419" s="2" t="s">
        <v>3919</v>
      </c>
      <c r="T2419" s="2">
        <v>1.01</v>
      </c>
      <c r="U2419" s="2">
        <v>62.9</v>
      </c>
      <c r="V2419" s="2">
        <v>56</v>
      </c>
      <c r="W2419" s="2" t="s">
        <v>7862</v>
      </c>
      <c r="X2419" s="2" t="s">
        <v>5405</v>
      </c>
      <c r="Y2419" s="2">
        <v>576</v>
      </c>
      <c r="Z2419" s="19" t="str">
        <f>HYPERLINK("https://ssdweb.co/ssdweb/hd/Vision360.html?d=926190933&amp;zoomslide=1&amp;z=1926190933&amp;ISCONFIRM=0","VIDEO")</f>
        <v>VIDEO</v>
      </c>
      <c r="AA2419" s="19" t="str">
        <f>HYPERLINK("https://ssdweb.co/ssdweb/CERTH/636429684.pdf","CERTI")</f>
        <v>CERTI</v>
      </c>
    </row>
    <row r="2420" spans="1:27" ht="15" x14ac:dyDescent="0.25">
      <c r="A2420" s="2">
        <v>2415</v>
      </c>
      <c r="B2420" s="39">
        <v>926261601</v>
      </c>
      <c r="C2420" s="28" t="str">
        <f>HYPERLINK("https://pld.live/RapDetail.aspx?STONELIST=926261601","DNA")</f>
        <v>DNA</v>
      </c>
      <c r="D2420" s="18" t="s">
        <v>7954</v>
      </c>
      <c r="E2420" s="18" t="s">
        <v>5128</v>
      </c>
      <c r="F2420" s="2" t="s">
        <v>7987</v>
      </c>
      <c r="G2420" s="2" t="s">
        <v>861</v>
      </c>
      <c r="H2420" s="14">
        <v>0.32</v>
      </c>
      <c r="I2420" s="2" t="s">
        <v>4761</v>
      </c>
      <c r="J2420" s="2" t="s">
        <v>5144</v>
      </c>
      <c r="K2420" s="2" t="s">
        <v>3390</v>
      </c>
      <c r="L2420" s="2" t="s">
        <v>5221</v>
      </c>
      <c r="M2420" s="2" t="s">
        <v>5221</v>
      </c>
      <c r="N2420" s="2" t="s">
        <v>2317</v>
      </c>
      <c r="O2420" s="14">
        <v>1700</v>
      </c>
      <c r="P2420" s="14">
        <v>92.59</v>
      </c>
      <c r="Q2420" s="14">
        <v>125.97</v>
      </c>
      <c r="R2420" s="14">
        <v>40.31</v>
      </c>
      <c r="S2420" s="2" t="s">
        <v>1229</v>
      </c>
      <c r="T2420" s="2">
        <v>1.01</v>
      </c>
      <c r="U2420" s="2">
        <v>60.7</v>
      </c>
      <c r="V2420" s="2">
        <v>58</v>
      </c>
      <c r="W2420" s="2" t="s">
        <v>7862</v>
      </c>
      <c r="X2420" s="2" t="s">
        <v>5405</v>
      </c>
      <c r="Y2420" s="2">
        <v>544</v>
      </c>
      <c r="Z2420" s="19" t="str">
        <f>HYPERLINK("https://ssdweb.co/ssdweb/hd/Vision360.html?d=926261601&amp;zoomslide=1&amp;z=1926261601&amp;ISCONFIRM=0","VIDEO")</f>
        <v>VIDEO</v>
      </c>
      <c r="AA2420" s="19" t="str">
        <f>HYPERLINK("https://ssdweb.co/ssdweb/CERTH/644466803.pdf","CERTI")</f>
        <v>CERTI</v>
      </c>
    </row>
    <row r="2421" spans="1:27" ht="15" x14ac:dyDescent="0.25">
      <c r="A2421" s="2">
        <v>2416</v>
      </c>
      <c r="B2421" s="39">
        <v>926231340</v>
      </c>
      <c r="C2421" s="28" t="str">
        <f>HYPERLINK("https://pld.live/RapDetail.aspx?STONELIST=926231340","DNA")</f>
        <v>DNA</v>
      </c>
      <c r="D2421" s="18" t="s">
        <v>7954</v>
      </c>
      <c r="E2421" s="18" t="s">
        <v>5128</v>
      </c>
      <c r="F2421" s="2" t="s">
        <v>7987</v>
      </c>
      <c r="G2421" s="2" t="s">
        <v>861</v>
      </c>
      <c r="H2421" s="14">
        <v>0.32</v>
      </c>
      <c r="I2421" s="2" t="s">
        <v>4761</v>
      </c>
      <c r="J2421" s="2" t="s">
        <v>5144</v>
      </c>
      <c r="K2421" s="2" t="s">
        <v>3390</v>
      </c>
      <c r="L2421" s="2" t="s">
        <v>5221</v>
      </c>
      <c r="M2421" s="2" t="s">
        <v>5221</v>
      </c>
      <c r="N2421" s="2" t="s">
        <v>2317</v>
      </c>
      <c r="O2421" s="14">
        <v>1700</v>
      </c>
      <c r="P2421" s="14">
        <v>92.59</v>
      </c>
      <c r="Q2421" s="14">
        <v>125.97</v>
      </c>
      <c r="R2421" s="14">
        <v>40.31</v>
      </c>
      <c r="S2421" s="2" t="s">
        <v>784</v>
      </c>
      <c r="T2421" s="2">
        <v>1</v>
      </c>
      <c r="U2421" s="2">
        <v>61.7</v>
      </c>
      <c r="V2421" s="2">
        <v>57</v>
      </c>
      <c r="W2421" s="2" t="s">
        <v>7862</v>
      </c>
      <c r="X2421" s="2" t="s">
        <v>5405</v>
      </c>
      <c r="Y2421" s="2">
        <v>544</v>
      </c>
      <c r="Z2421" s="19" t="str">
        <f>HYPERLINK("https://ssdweb.co/ssdweb/hd/Vision360.html?d=926231340&amp;zoomslide=1&amp;z=1926231340&amp;ISCONFIRM=0","VIDEO")</f>
        <v>VIDEO</v>
      </c>
      <c r="AA2421" s="19" t="str">
        <f>HYPERLINK("https://ssdweb.co/ssdweb/CERTH/642447789.pdf","CERTI")</f>
        <v>CERTI</v>
      </c>
    </row>
    <row r="2422" spans="1:27" ht="15" x14ac:dyDescent="0.25">
      <c r="A2422" s="2">
        <v>2417</v>
      </c>
      <c r="B2422" s="39">
        <v>926771066</v>
      </c>
      <c r="C2422" s="28" t="str">
        <f>HYPERLINK("https://pld.live/RapDetail.aspx?STONELIST=926771066","DNA")</f>
        <v>DNA</v>
      </c>
      <c r="D2422" s="18" t="s">
        <v>7954</v>
      </c>
      <c r="E2422" s="18" t="s">
        <v>5128</v>
      </c>
      <c r="F2422" s="2" t="s">
        <v>7987</v>
      </c>
      <c r="G2422" s="2" t="s">
        <v>861</v>
      </c>
      <c r="H2422" s="14">
        <v>0.32</v>
      </c>
      <c r="I2422" s="2" t="s">
        <v>4761</v>
      </c>
      <c r="J2422" s="2" t="s">
        <v>5144</v>
      </c>
      <c r="K2422" s="2" t="s">
        <v>3390</v>
      </c>
      <c r="L2422" s="2" t="s">
        <v>5221</v>
      </c>
      <c r="M2422" s="2" t="s">
        <v>5221</v>
      </c>
      <c r="N2422" s="2" t="s">
        <v>2317</v>
      </c>
      <c r="O2422" s="14">
        <v>1700</v>
      </c>
      <c r="P2422" s="14">
        <v>92.47</v>
      </c>
      <c r="Q2422" s="14">
        <v>128.01</v>
      </c>
      <c r="R2422" s="14">
        <v>40.96</v>
      </c>
      <c r="S2422" s="2" t="s">
        <v>4341</v>
      </c>
      <c r="T2422" s="2">
        <v>1</v>
      </c>
      <c r="U2422" s="2">
        <v>61.6</v>
      </c>
      <c r="V2422" s="2">
        <v>59</v>
      </c>
      <c r="W2422" s="2" t="s">
        <v>7862</v>
      </c>
      <c r="X2422" s="2" t="s">
        <v>5405</v>
      </c>
      <c r="Y2422" s="2">
        <v>544</v>
      </c>
      <c r="Z2422" s="19" t="str">
        <f>HYPERLINK("https://ssdweb.co/ssdweb/hd/Vision360.html?d=926771066&amp;zoomslide=1&amp;z=1926771066&amp;ISCONFIRM=0","VIDEO")</f>
        <v>VIDEO</v>
      </c>
      <c r="AA2422" s="19" t="str">
        <f>HYPERLINK("https://ssdweb.co/ssdweb/CERTH/652467460.pdf","CERTI")</f>
        <v>CERTI</v>
      </c>
    </row>
    <row r="2423" spans="1:27" ht="15" x14ac:dyDescent="0.25">
      <c r="A2423" s="2">
        <v>2418</v>
      </c>
      <c r="B2423" s="39">
        <v>926341353</v>
      </c>
      <c r="C2423" s="28" t="str">
        <f>HYPERLINK("https://pld.live/RapDetail.aspx?STONELIST=926341353","DNA")</f>
        <v>DNA</v>
      </c>
      <c r="D2423" s="18" t="s">
        <v>7954</v>
      </c>
      <c r="E2423" s="18" t="s">
        <v>5128</v>
      </c>
      <c r="F2423" s="2" t="s">
        <v>7987</v>
      </c>
      <c r="G2423" s="2" t="s">
        <v>861</v>
      </c>
      <c r="H2423" s="14">
        <v>0.32</v>
      </c>
      <c r="I2423" s="2" t="s">
        <v>4761</v>
      </c>
      <c r="J2423" s="2" t="s">
        <v>5144</v>
      </c>
      <c r="K2423" s="2" t="s">
        <v>3390</v>
      </c>
      <c r="L2423" s="2" t="s">
        <v>5221</v>
      </c>
      <c r="M2423" s="2" t="s">
        <v>5221</v>
      </c>
      <c r="N2423" s="2" t="s">
        <v>2317</v>
      </c>
      <c r="O2423" s="14">
        <v>1700</v>
      </c>
      <c r="P2423" s="14">
        <v>92.59</v>
      </c>
      <c r="Q2423" s="14">
        <v>125.97</v>
      </c>
      <c r="R2423" s="14">
        <v>40.31</v>
      </c>
      <c r="S2423" s="2" t="s">
        <v>4341</v>
      </c>
      <c r="T2423" s="2">
        <v>1</v>
      </c>
      <c r="U2423" s="2">
        <v>61.4</v>
      </c>
      <c r="V2423" s="2">
        <v>58</v>
      </c>
      <c r="W2423" s="2" t="s">
        <v>7862</v>
      </c>
      <c r="X2423" s="2" t="s">
        <v>5405</v>
      </c>
      <c r="Y2423" s="2">
        <v>544</v>
      </c>
      <c r="Z2423" s="19" t="str">
        <f>HYPERLINK("https://ssdweb.co/ssdweb/hd/Vision360.html?d=926341353&amp;zoomslide=1&amp;z=1926341353&amp;ISCONFIRM=0","VIDEO")</f>
        <v>VIDEO</v>
      </c>
      <c r="AA2423" s="19" t="str">
        <f>HYPERLINK("https://ssdweb.co/ssdweb/CERTH/646472852.pdf","CERTI")</f>
        <v>CERTI</v>
      </c>
    </row>
    <row r="2424" spans="1:27" ht="15" x14ac:dyDescent="0.25">
      <c r="A2424" s="2">
        <v>2419</v>
      </c>
      <c r="B2424" s="39">
        <v>941110198</v>
      </c>
      <c r="C2424" s="28" t="str">
        <f>HYPERLINK("https://pld.live/RapDetail.aspx?STONELIST=941110198","DNA")</f>
        <v>DNA</v>
      </c>
      <c r="D2424" s="18" t="s">
        <v>7954</v>
      </c>
      <c r="E2424" s="18" t="s">
        <v>2186</v>
      </c>
      <c r="F2424" s="2" t="s">
        <v>7987</v>
      </c>
      <c r="G2424" s="2" t="s">
        <v>861</v>
      </c>
      <c r="H2424" s="14">
        <v>0.32</v>
      </c>
      <c r="I2424" s="2" t="s">
        <v>4761</v>
      </c>
      <c r="J2424" s="2" t="s">
        <v>5144</v>
      </c>
      <c r="K2424" s="2" t="s">
        <v>3390</v>
      </c>
      <c r="L2424" s="2" t="s">
        <v>5221</v>
      </c>
      <c r="M2424" s="2" t="s">
        <v>5221</v>
      </c>
      <c r="N2424" s="2" t="s">
        <v>2317</v>
      </c>
      <c r="O2424" s="14">
        <v>1700</v>
      </c>
      <c r="P2424" s="14">
        <v>92.35</v>
      </c>
      <c r="Q2424" s="14">
        <v>130.05000000000001</v>
      </c>
      <c r="R2424" s="14">
        <v>41.62</v>
      </c>
      <c r="S2424" s="2" t="s">
        <v>4620</v>
      </c>
      <c r="T2424" s="2">
        <v>1</v>
      </c>
      <c r="U2424" s="2">
        <v>61.4</v>
      </c>
      <c r="V2424" s="2">
        <v>58</v>
      </c>
      <c r="W2424" s="2" t="s">
        <v>7862</v>
      </c>
      <c r="X2424" s="2" t="s">
        <v>5405</v>
      </c>
      <c r="Y2424" s="2">
        <v>544</v>
      </c>
      <c r="Z2424" s="19" t="str">
        <f>HYPERLINK("https://ssdweb.co/ssdweb/hd/Vision360.html?d=941110198&amp;zoomslide=1&amp;z=1941110198&amp;ISCONFIRM=0","VIDEO")</f>
        <v>VIDEO</v>
      </c>
      <c r="AA2424" s="19" t="str">
        <f>HYPERLINK("https://ssdweb.co/ssdweb/CERTH/671477205.pdf","CERTI")</f>
        <v>CERTI</v>
      </c>
    </row>
    <row r="2425" spans="1:27" ht="15" x14ac:dyDescent="0.25">
      <c r="A2425" s="2">
        <v>2420</v>
      </c>
      <c r="B2425" s="39">
        <v>941080739</v>
      </c>
      <c r="C2425" s="28" t="str">
        <f>HYPERLINK("https://pld.live/RapDetail.aspx?STONELIST=941080739","DNA")</f>
        <v>DNA</v>
      </c>
      <c r="D2425" s="18" t="s">
        <v>7954</v>
      </c>
      <c r="E2425" s="18" t="s">
        <v>2186</v>
      </c>
      <c r="F2425" s="2" t="s">
        <v>7987</v>
      </c>
      <c r="G2425" s="2" t="s">
        <v>861</v>
      </c>
      <c r="H2425" s="14">
        <v>0.32</v>
      </c>
      <c r="I2425" s="2" t="s">
        <v>4761</v>
      </c>
      <c r="J2425" s="2" t="s">
        <v>5144</v>
      </c>
      <c r="K2425" s="2" t="s">
        <v>3390</v>
      </c>
      <c r="L2425" s="2" t="s">
        <v>5221</v>
      </c>
      <c r="M2425" s="2" t="s">
        <v>5221</v>
      </c>
      <c r="N2425" s="2" t="s">
        <v>2317</v>
      </c>
      <c r="O2425" s="14">
        <v>1700</v>
      </c>
      <c r="P2425" s="14">
        <v>92.35</v>
      </c>
      <c r="Q2425" s="14">
        <v>130.05000000000001</v>
      </c>
      <c r="R2425" s="14">
        <v>41.62</v>
      </c>
      <c r="S2425" s="2" t="s">
        <v>7417</v>
      </c>
      <c r="T2425" s="2">
        <v>1.01</v>
      </c>
      <c r="U2425" s="2">
        <v>61.1</v>
      </c>
      <c r="V2425" s="2">
        <v>58</v>
      </c>
      <c r="W2425" s="2" t="s">
        <v>7862</v>
      </c>
      <c r="X2425" s="2" t="s">
        <v>5405</v>
      </c>
      <c r="Y2425" s="2">
        <v>544</v>
      </c>
      <c r="Z2425" s="19" t="str">
        <f>HYPERLINK("https://ssdweb.co/ssdweb/hd/Vision360.html?d=941080739&amp;zoomslide=1&amp;z=1941080739&amp;ISCONFIRM=0","VIDEO")</f>
        <v>VIDEO</v>
      </c>
      <c r="AA2425" s="19" t="str">
        <f>HYPERLINK("https://ssdweb.co/ssdweb/CERTH/671477199.pdf","CERTI")</f>
        <v>CERTI</v>
      </c>
    </row>
    <row r="2426" spans="1:27" ht="15" x14ac:dyDescent="0.25">
      <c r="A2426" s="2">
        <v>2421</v>
      </c>
      <c r="B2426" s="39">
        <v>926181040</v>
      </c>
      <c r="C2426" s="28" t="str">
        <f>HYPERLINK("https://pld.live/RapDetail.aspx?STONELIST=926181040","DNA")</f>
        <v>DNA</v>
      </c>
      <c r="D2426" s="18" t="s">
        <v>7954</v>
      </c>
      <c r="E2426" s="18" t="s">
        <v>5128</v>
      </c>
      <c r="F2426" s="2" t="s">
        <v>7987</v>
      </c>
      <c r="G2426" s="2" t="s">
        <v>861</v>
      </c>
      <c r="H2426" s="14">
        <v>0.32</v>
      </c>
      <c r="I2426" s="2" t="s">
        <v>4761</v>
      </c>
      <c r="J2426" s="2" t="s">
        <v>5144</v>
      </c>
      <c r="K2426" s="2" t="s">
        <v>3390</v>
      </c>
      <c r="L2426" s="2" t="s">
        <v>5221</v>
      </c>
      <c r="M2426" s="2" t="s">
        <v>5221</v>
      </c>
      <c r="N2426" s="2" t="s">
        <v>2317</v>
      </c>
      <c r="O2426" s="14">
        <v>1700</v>
      </c>
      <c r="P2426" s="14">
        <v>92.59</v>
      </c>
      <c r="Q2426" s="14">
        <v>125.97</v>
      </c>
      <c r="R2426" s="14">
        <v>40.31</v>
      </c>
      <c r="S2426" s="2" t="s">
        <v>2396</v>
      </c>
      <c r="T2426" s="2">
        <v>1.01</v>
      </c>
      <c r="U2426" s="2">
        <v>62.2</v>
      </c>
      <c r="V2426" s="2">
        <v>56</v>
      </c>
      <c r="W2426" s="2" t="s">
        <v>7862</v>
      </c>
      <c r="X2426" s="2" t="s">
        <v>5405</v>
      </c>
      <c r="Y2426" s="2">
        <v>544</v>
      </c>
      <c r="Z2426" s="19" t="str">
        <f>HYPERLINK("https://ssdweb.co/ssdweb/hd/Vision360.html?d=926181040&amp;zoomslide=1&amp;z=1926181040&amp;ISCONFIRM=0","VIDEO")</f>
        <v>VIDEO</v>
      </c>
      <c r="AA2426" s="19" t="str">
        <f>HYPERLINK("https://ssdweb.co/ssdweb/CERTH/636430018.pdf","CERTI")</f>
        <v>CERTI</v>
      </c>
    </row>
    <row r="2427" spans="1:27" ht="15" x14ac:dyDescent="0.25">
      <c r="A2427" s="2">
        <v>2422</v>
      </c>
      <c r="B2427" s="39">
        <v>920661247</v>
      </c>
      <c r="C2427" s="28" t="str">
        <f>HYPERLINK("https://pld.live/RapDetail.aspx?STONELIST=920661247","DNA")</f>
        <v>DNA</v>
      </c>
      <c r="D2427" s="18" t="s">
        <v>7954</v>
      </c>
      <c r="E2427" s="18" t="s">
        <v>5128</v>
      </c>
      <c r="F2427" s="2" t="s">
        <v>7987</v>
      </c>
      <c r="G2427" s="2" t="s">
        <v>861</v>
      </c>
      <c r="H2427" s="14">
        <v>0.32</v>
      </c>
      <c r="I2427" s="2" t="s">
        <v>4761</v>
      </c>
      <c r="J2427" s="2" t="s">
        <v>5144</v>
      </c>
      <c r="K2427" s="2" t="s">
        <v>3390</v>
      </c>
      <c r="L2427" s="2" t="s">
        <v>5221</v>
      </c>
      <c r="M2427" s="2" t="s">
        <v>5721</v>
      </c>
      <c r="N2427" s="2" t="s">
        <v>2317</v>
      </c>
      <c r="O2427" s="14">
        <v>1700</v>
      </c>
      <c r="P2427" s="14">
        <v>92.94</v>
      </c>
      <c r="Q2427" s="14">
        <v>120.02</v>
      </c>
      <c r="R2427" s="14">
        <v>38.409999999999997</v>
      </c>
      <c r="S2427" s="2" t="s">
        <v>3604</v>
      </c>
      <c r="T2427" s="2">
        <v>1.01</v>
      </c>
      <c r="U2427" s="2">
        <v>60.5</v>
      </c>
      <c r="V2427" s="2">
        <v>60</v>
      </c>
      <c r="W2427" s="2" t="s">
        <v>7862</v>
      </c>
      <c r="X2427" s="2" t="s">
        <v>5405</v>
      </c>
      <c r="Y2427" s="2">
        <v>544</v>
      </c>
      <c r="Z2427" s="19" t="str">
        <f>HYPERLINK("https://ssdweb.co/ssdweb/hd/Vision360.html?d=920661247&amp;zoomslide=1&amp;z=1920661247&amp;ISCONFIRM=0","VIDEO")</f>
        <v>VIDEO</v>
      </c>
      <c r="AA2427" s="19" t="str">
        <f>HYPERLINK("https://ssdweb.co/ssdweb/CERTH/637467380.pdf","CERTI")</f>
        <v>CERTI</v>
      </c>
    </row>
    <row r="2428" spans="1:27" ht="15" x14ac:dyDescent="0.25">
      <c r="A2428" s="2">
        <v>2423</v>
      </c>
      <c r="B2428" s="39">
        <v>926430903</v>
      </c>
      <c r="C2428" s="28" t="str">
        <f>HYPERLINK("https://pld.live/RapDetail.aspx?STONELIST=926430903","DNA")</f>
        <v>DNA</v>
      </c>
      <c r="D2428" s="18" t="s">
        <v>7954</v>
      </c>
      <c r="E2428" s="18" t="s">
        <v>5128</v>
      </c>
      <c r="F2428" s="2" t="s">
        <v>7987</v>
      </c>
      <c r="G2428" s="2" t="s">
        <v>861</v>
      </c>
      <c r="H2428" s="14">
        <v>0.32</v>
      </c>
      <c r="I2428" s="2" t="s">
        <v>4761</v>
      </c>
      <c r="J2428" s="2" t="s">
        <v>5144</v>
      </c>
      <c r="K2428" s="2" t="s">
        <v>3390</v>
      </c>
      <c r="L2428" s="2" t="s">
        <v>5221</v>
      </c>
      <c r="M2428" s="2" t="s">
        <v>5721</v>
      </c>
      <c r="N2428" s="2" t="s">
        <v>2317</v>
      </c>
      <c r="O2428" s="14">
        <v>1700</v>
      </c>
      <c r="P2428" s="14">
        <v>92.94</v>
      </c>
      <c r="Q2428" s="14">
        <v>120.02</v>
      </c>
      <c r="R2428" s="14">
        <v>38.409999999999997</v>
      </c>
      <c r="S2428" s="2" t="s">
        <v>5207</v>
      </c>
      <c r="T2428" s="2">
        <v>1.01</v>
      </c>
      <c r="U2428" s="2">
        <v>61.5</v>
      </c>
      <c r="V2428" s="2">
        <v>56</v>
      </c>
      <c r="W2428" s="2" t="s">
        <v>7862</v>
      </c>
      <c r="X2428" s="2" t="s">
        <v>5405</v>
      </c>
      <c r="Y2428" s="2">
        <v>544</v>
      </c>
      <c r="Z2428" s="19" t="str">
        <f>HYPERLINK("https://ssdweb.co/ssdweb/hd/Vision360.html?d=926430903&amp;zoomslide=1&amp;z=1926430903&amp;ISCONFIRM=0","VIDEO")</f>
        <v>VIDEO</v>
      </c>
      <c r="AA2428" s="19" t="str">
        <f>HYPERLINK("https://ssdweb.co/ssdweb/CERTH/692533946.pdf","CERTI")</f>
        <v>CERTI</v>
      </c>
    </row>
    <row r="2429" spans="1:27" ht="15" x14ac:dyDescent="0.25">
      <c r="A2429" s="2">
        <v>2424</v>
      </c>
      <c r="B2429" s="39">
        <v>926181030</v>
      </c>
      <c r="C2429" s="28" t="str">
        <f>HYPERLINK("https://pld.live/RapDetail.aspx?STONELIST=926181030","DNA")</f>
        <v>DNA</v>
      </c>
      <c r="D2429" s="18" t="s">
        <v>7954</v>
      </c>
      <c r="E2429" s="18" t="s">
        <v>5128</v>
      </c>
      <c r="F2429" s="2" t="s">
        <v>7987</v>
      </c>
      <c r="G2429" s="2" t="s">
        <v>861</v>
      </c>
      <c r="H2429" s="14">
        <v>0.32</v>
      </c>
      <c r="I2429" s="2" t="s">
        <v>4761</v>
      </c>
      <c r="J2429" s="2" t="s">
        <v>5144</v>
      </c>
      <c r="K2429" s="2" t="s">
        <v>3390</v>
      </c>
      <c r="L2429" s="2" t="s">
        <v>5221</v>
      </c>
      <c r="M2429" s="2" t="s">
        <v>5721</v>
      </c>
      <c r="N2429" s="2" t="s">
        <v>2317</v>
      </c>
      <c r="O2429" s="14">
        <v>1700</v>
      </c>
      <c r="P2429" s="14">
        <v>92.94</v>
      </c>
      <c r="Q2429" s="14">
        <v>120.02</v>
      </c>
      <c r="R2429" s="14">
        <v>38.409999999999997</v>
      </c>
      <c r="S2429" s="2" t="s">
        <v>7533</v>
      </c>
      <c r="T2429" s="2">
        <v>1</v>
      </c>
      <c r="U2429" s="2">
        <v>60.5</v>
      </c>
      <c r="V2429" s="2">
        <v>59</v>
      </c>
      <c r="W2429" s="2" t="s">
        <v>7862</v>
      </c>
      <c r="X2429" s="2" t="s">
        <v>5405</v>
      </c>
      <c r="Y2429" s="2">
        <v>544</v>
      </c>
      <c r="Z2429" s="19" t="str">
        <f>HYPERLINK("https://ssdweb.co/ssdweb/hd/Vision360.html?d=926181030&amp;zoomslide=1&amp;z=1926181030&amp;ISCONFIRM=0","VIDEO")</f>
        <v>VIDEO</v>
      </c>
      <c r="AA2429" s="19" t="str">
        <f>HYPERLINK("https://ssdweb.co/ssdweb/CERTH/636429704.pdf","CERTI")</f>
        <v>CERTI</v>
      </c>
    </row>
    <row r="2430" spans="1:27" ht="15" x14ac:dyDescent="0.25">
      <c r="A2430" s="2">
        <v>2425</v>
      </c>
      <c r="B2430" s="39">
        <v>926761099</v>
      </c>
      <c r="C2430" s="28" t="str">
        <f>HYPERLINK("https://pld.live/RapDetail.aspx?STONELIST=926761099","DNA")</f>
        <v>DNA</v>
      </c>
      <c r="D2430" s="18" t="s">
        <v>7954</v>
      </c>
      <c r="E2430" s="18" t="s">
        <v>5128</v>
      </c>
      <c r="F2430" s="2" t="s">
        <v>7987</v>
      </c>
      <c r="G2430" s="2" t="s">
        <v>861</v>
      </c>
      <c r="H2430" s="14">
        <v>0.32</v>
      </c>
      <c r="I2430" s="2" t="s">
        <v>4761</v>
      </c>
      <c r="J2430" s="2" t="s">
        <v>5144</v>
      </c>
      <c r="K2430" s="2" t="s">
        <v>5221</v>
      </c>
      <c r="L2430" s="2" t="s">
        <v>5221</v>
      </c>
      <c r="M2430" s="2" t="s">
        <v>5221</v>
      </c>
      <c r="N2430" s="2" t="s">
        <v>2317</v>
      </c>
      <c r="O2430" s="14">
        <v>1700</v>
      </c>
      <c r="P2430" s="14">
        <v>92.47</v>
      </c>
      <c r="Q2430" s="14">
        <v>128.01</v>
      </c>
      <c r="R2430" s="14">
        <v>40.96</v>
      </c>
      <c r="S2430" s="2" t="s">
        <v>2468</v>
      </c>
      <c r="T2430" s="2">
        <v>1</v>
      </c>
      <c r="U2430" s="2">
        <v>62.8</v>
      </c>
      <c r="V2430" s="2">
        <v>57</v>
      </c>
      <c r="W2430" s="2" t="s">
        <v>7862</v>
      </c>
      <c r="X2430" s="2" t="s">
        <v>5405</v>
      </c>
      <c r="Y2430" s="2">
        <v>544</v>
      </c>
      <c r="Z2430" s="19" t="str">
        <f>HYPERLINK("https://ssdweb.co/ssdweb/hd/Vision360.html?d=926761099&amp;zoomslide=1&amp;z=1926761099&amp;ISCONFIRM=0","VIDEO")</f>
        <v>VIDEO</v>
      </c>
      <c r="AA2430" s="19" t="str">
        <f>HYPERLINK("https://ssdweb.co/ssdweb/CERTH/652467469.pdf","CERTI")</f>
        <v>CERTI</v>
      </c>
    </row>
    <row r="2431" spans="1:27" ht="15" x14ac:dyDescent="0.25">
      <c r="A2431" s="2">
        <v>2426</v>
      </c>
      <c r="B2431" s="39">
        <v>926240698</v>
      </c>
      <c r="C2431" s="28" t="str">
        <f>HYPERLINK("https://pld.live/RapDetail.aspx?STONELIST=926240698","DNA")</f>
        <v>DNA</v>
      </c>
      <c r="D2431" s="18" t="s">
        <v>7954</v>
      </c>
      <c r="E2431" s="18" t="s">
        <v>5128</v>
      </c>
      <c r="F2431" s="2" t="s">
        <v>7987</v>
      </c>
      <c r="G2431" s="2" t="s">
        <v>861</v>
      </c>
      <c r="H2431" s="14">
        <v>0.32</v>
      </c>
      <c r="I2431" s="2" t="s">
        <v>4761</v>
      </c>
      <c r="J2431" s="2" t="s">
        <v>5144</v>
      </c>
      <c r="K2431" s="2" t="s">
        <v>5221</v>
      </c>
      <c r="L2431" s="2" t="s">
        <v>5221</v>
      </c>
      <c r="M2431" s="2" t="s">
        <v>5221</v>
      </c>
      <c r="N2431" s="2" t="s">
        <v>2317</v>
      </c>
      <c r="O2431" s="14">
        <v>1700</v>
      </c>
      <c r="P2431" s="14">
        <v>92.59</v>
      </c>
      <c r="Q2431" s="14">
        <v>125.97</v>
      </c>
      <c r="R2431" s="14">
        <v>40.31</v>
      </c>
      <c r="S2431" s="2" t="s">
        <v>1271</v>
      </c>
      <c r="T2431" s="2">
        <v>1</v>
      </c>
      <c r="U2431" s="2">
        <v>59.6</v>
      </c>
      <c r="V2431" s="2">
        <v>60</v>
      </c>
      <c r="W2431" s="2" t="s">
        <v>7862</v>
      </c>
      <c r="X2431" s="2" t="s">
        <v>5405</v>
      </c>
      <c r="Y2431" s="2">
        <v>544</v>
      </c>
      <c r="Z2431" s="19" t="str">
        <f>HYPERLINK("https://ssdweb.co/ssdweb/hd/Vision360.html?d=926240698&amp;zoomslide=1&amp;z=1926240698&amp;ISCONFIRM=0","VIDEO")</f>
        <v>VIDEO</v>
      </c>
      <c r="AA2431" s="19" t="str">
        <f>HYPERLINK("https://ssdweb.co/ssdweb/CERTH/644472356.pdf","CERTI")</f>
        <v>CERTI</v>
      </c>
    </row>
    <row r="2432" spans="1:27" ht="15" x14ac:dyDescent="0.25">
      <c r="A2432" s="2">
        <v>2427</v>
      </c>
      <c r="B2432" s="39">
        <v>831010537</v>
      </c>
      <c r="C2432" s="28" t="str">
        <f>HYPERLINK("https://pld.live/RapDetail.aspx?STONELIST=831010537","DNA")</f>
        <v>DNA</v>
      </c>
      <c r="D2432" s="18" t="s">
        <v>7954</v>
      </c>
      <c r="E2432" s="18" t="s">
        <v>5128</v>
      </c>
      <c r="F2432" s="2" t="s">
        <v>7987</v>
      </c>
      <c r="G2432" s="2" t="s">
        <v>861</v>
      </c>
      <c r="H2432" s="14">
        <v>0.32</v>
      </c>
      <c r="I2432" s="2" t="s">
        <v>4761</v>
      </c>
      <c r="J2432" s="2" t="s">
        <v>5144</v>
      </c>
      <c r="K2432" s="2" t="s">
        <v>5221</v>
      </c>
      <c r="L2432" s="2" t="s">
        <v>5221</v>
      </c>
      <c r="M2432" s="2" t="s">
        <v>5221</v>
      </c>
      <c r="N2432" s="2" t="s">
        <v>2317</v>
      </c>
      <c r="O2432" s="14">
        <v>1700</v>
      </c>
      <c r="P2432" s="14">
        <v>92.65</v>
      </c>
      <c r="Q2432" s="14">
        <v>124.95</v>
      </c>
      <c r="R2432" s="14">
        <v>39.979999999999997</v>
      </c>
      <c r="S2432" s="2" t="s">
        <v>1315</v>
      </c>
      <c r="T2432" s="2">
        <v>1.01</v>
      </c>
      <c r="U2432" s="2">
        <v>61.8</v>
      </c>
      <c r="V2432" s="2">
        <v>58</v>
      </c>
      <c r="W2432" s="2" t="s">
        <v>7862</v>
      </c>
      <c r="X2432" s="2" t="s">
        <v>5405</v>
      </c>
      <c r="Y2432" s="2">
        <v>544</v>
      </c>
      <c r="Z2432" s="19" t="str">
        <f>HYPERLINK("https://ssdweb.co/ssdweb/hd/Vision360.html?d=831010537&amp;zoomslide=1&amp;z=1831010537&amp;ISCONFIRM=0","VIDEO")</f>
        <v>VIDEO</v>
      </c>
      <c r="AA2432" s="19" t="str">
        <f>HYPERLINK("https://ssdweb.co/ssdweb/CERTH/634472235.pdf","CERTI")</f>
        <v>CERTI</v>
      </c>
    </row>
    <row r="2433" spans="1:27" ht="15" x14ac:dyDescent="0.25">
      <c r="A2433" s="2">
        <v>2428</v>
      </c>
      <c r="B2433" s="39">
        <v>926231073</v>
      </c>
      <c r="C2433" s="28" t="str">
        <f>HYPERLINK("https://pld.live/RapDetail.aspx?STONELIST=926231073","DNA")</f>
        <v>DNA</v>
      </c>
      <c r="D2433" s="18" t="s">
        <v>7954</v>
      </c>
      <c r="E2433" s="18" t="s">
        <v>5128</v>
      </c>
      <c r="F2433" s="2" t="s">
        <v>7987</v>
      </c>
      <c r="G2433" s="2" t="s">
        <v>861</v>
      </c>
      <c r="H2433" s="14">
        <v>0.32</v>
      </c>
      <c r="I2433" s="2" t="s">
        <v>4761</v>
      </c>
      <c r="J2433" s="2" t="s">
        <v>5144</v>
      </c>
      <c r="K2433" s="2" t="s">
        <v>5221</v>
      </c>
      <c r="L2433" s="2" t="s">
        <v>5221</v>
      </c>
      <c r="M2433" s="2" t="s">
        <v>5221</v>
      </c>
      <c r="N2433" s="2" t="s">
        <v>2317</v>
      </c>
      <c r="O2433" s="14">
        <v>1700</v>
      </c>
      <c r="P2433" s="14">
        <v>92.59</v>
      </c>
      <c r="Q2433" s="14">
        <v>125.97</v>
      </c>
      <c r="R2433" s="14">
        <v>40.31</v>
      </c>
      <c r="S2433" s="2" t="s">
        <v>4659</v>
      </c>
      <c r="T2433" s="2">
        <v>1.01</v>
      </c>
      <c r="U2433" s="2">
        <v>62.6</v>
      </c>
      <c r="V2433" s="2">
        <v>57</v>
      </c>
      <c r="W2433" s="2" t="s">
        <v>7862</v>
      </c>
      <c r="X2433" s="2" t="s">
        <v>5405</v>
      </c>
      <c r="Y2433" s="2">
        <v>544</v>
      </c>
      <c r="Z2433" s="19" t="str">
        <f>HYPERLINK("https://ssdweb.co/ssdweb/hd/Vision360.html?d=926231073&amp;zoomslide=1&amp;z=1926231073&amp;ISCONFIRM=0","VIDEO")</f>
        <v>VIDEO</v>
      </c>
      <c r="AA2433" s="19" t="str">
        <f>HYPERLINK("https://ssdweb.co/ssdweb/CERTH/640419066.pdf","CERTI")</f>
        <v>CERTI</v>
      </c>
    </row>
    <row r="2434" spans="1:27" ht="15" x14ac:dyDescent="0.25">
      <c r="A2434" s="2">
        <v>2429</v>
      </c>
      <c r="B2434" s="39">
        <v>941090558</v>
      </c>
      <c r="C2434" s="28" t="str">
        <f>HYPERLINK("https://pld.live/RapDetail.aspx?STONELIST=941090558","DNA")</f>
        <v>DNA</v>
      </c>
      <c r="D2434" s="18" t="s">
        <v>7954</v>
      </c>
      <c r="E2434" s="18" t="s">
        <v>2186</v>
      </c>
      <c r="F2434" s="2" t="s">
        <v>7987</v>
      </c>
      <c r="G2434" s="2" t="s">
        <v>861</v>
      </c>
      <c r="H2434" s="14">
        <v>0.32</v>
      </c>
      <c r="I2434" s="2" t="s">
        <v>4761</v>
      </c>
      <c r="J2434" s="2" t="s">
        <v>5144</v>
      </c>
      <c r="K2434" s="2" t="s">
        <v>5221</v>
      </c>
      <c r="L2434" s="2" t="s">
        <v>5221</v>
      </c>
      <c r="M2434" s="2" t="s">
        <v>5221</v>
      </c>
      <c r="N2434" s="2" t="s">
        <v>2317</v>
      </c>
      <c r="O2434" s="14">
        <v>1700</v>
      </c>
      <c r="P2434" s="14">
        <v>92.35</v>
      </c>
      <c r="Q2434" s="14">
        <v>130.05000000000001</v>
      </c>
      <c r="R2434" s="14">
        <v>41.62</v>
      </c>
      <c r="S2434" s="2" t="s">
        <v>5515</v>
      </c>
      <c r="T2434" s="2">
        <v>1.01</v>
      </c>
      <c r="U2434" s="2">
        <v>58.6</v>
      </c>
      <c r="V2434" s="2">
        <v>62</v>
      </c>
      <c r="W2434" s="2" t="s">
        <v>7862</v>
      </c>
      <c r="X2434" s="2" t="s">
        <v>5405</v>
      </c>
      <c r="Y2434" s="2">
        <v>544</v>
      </c>
      <c r="Z2434" s="19" t="str">
        <f>HYPERLINK("https://ssdweb.co/ssdweb/hd/Vision360.html?d=941090558&amp;zoomslide=1&amp;z=1941090558&amp;ISCONFIRM=0","VIDEO")</f>
        <v>VIDEO</v>
      </c>
      <c r="AA2434" s="19" t="str">
        <f>HYPERLINK("https://ssdweb.co/ssdweb/CERTH/671477202.pdf","CERTI")</f>
        <v>CERTI</v>
      </c>
    </row>
    <row r="2435" spans="1:27" ht="15" x14ac:dyDescent="0.25">
      <c r="A2435" s="2">
        <v>2430</v>
      </c>
      <c r="B2435" s="39">
        <v>926080482</v>
      </c>
      <c r="C2435" s="28" t="str">
        <f>HYPERLINK("https://pld.live/RapDetail.aspx?STONELIST=926080482","DNA")</f>
        <v>DNA</v>
      </c>
      <c r="D2435" s="18" t="s">
        <v>7954</v>
      </c>
      <c r="E2435" s="18" t="s">
        <v>5128</v>
      </c>
      <c r="F2435" s="2" t="s">
        <v>7987</v>
      </c>
      <c r="G2435" s="2" t="s">
        <v>861</v>
      </c>
      <c r="H2435" s="14">
        <v>0.32</v>
      </c>
      <c r="I2435" s="2" t="s">
        <v>4761</v>
      </c>
      <c r="J2435" s="2" t="s">
        <v>5144</v>
      </c>
      <c r="K2435" s="2" t="s">
        <v>5221</v>
      </c>
      <c r="L2435" s="2" t="s">
        <v>5221</v>
      </c>
      <c r="M2435" s="2" t="s">
        <v>5221</v>
      </c>
      <c r="N2435" s="2" t="s">
        <v>2317</v>
      </c>
      <c r="O2435" s="14">
        <v>1700</v>
      </c>
      <c r="P2435" s="14">
        <v>92.65</v>
      </c>
      <c r="Q2435" s="14">
        <v>124.95</v>
      </c>
      <c r="R2435" s="14">
        <v>39.979999999999997</v>
      </c>
      <c r="S2435" s="2" t="s">
        <v>7085</v>
      </c>
      <c r="T2435" s="2">
        <v>1.01</v>
      </c>
      <c r="U2435" s="2">
        <v>63</v>
      </c>
      <c r="V2435" s="2">
        <v>60</v>
      </c>
      <c r="W2435" s="2" t="s">
        <v>7862</v>
      </c>
      <c r="X2435" s="2" t="s">
        <v>5405</v>
      </c>
      <c r="Y2435" s="2">
        <v>544</v>
      </c>
      <c r="Z2435" s="19" t="str">
        <f>HYPERLINK("https://ssdweb.co/ssdweb/hd/Vision360.html?d=926080482&amp;zoomslide=1&amp;z=1926080482&amp;ISCONFIRM=0","VIDEO")</f>
        <v>VIDEO</v>
      </c>
      <c r="AA2435" s="19" t="str">
        <f>HYPERLINK("https://ssdweb.co/ssdweb/CERTH/630447619.pdf","CERTI")</f>
        <v>CERTI</v>
      </c>
    </row>
    <row r="2436" spans="1:27" ht="15" x14ac:dyDescent="0.25">
      <c r="A2436" s="2">
        <v>2431</v>
      </c>
      <c r="B2436" s="39">
        <v>926261526</v>
      </c>
      <c r="C2436" s="28" t="str">
        <f>HYPERLINK("https://pld.live/RapDetail.aspx?STONELIST=926261526","DNA")</f>
        <v>DNA</v>
      </c>
      <c r="D2436" s="18" t="s">
        <v>7954</v>
      </c>
      <c r="E2436" s="18" t="s">
        <v>5128</v>
      </c>
      <c r="F2436" s="2" t="s">
        <v>7987</v>
      </c>
      <c r="G2436" s="2" t="s">
        <v>861</v>
      </c>
      <c r="H2436" s="14">
        <v>0.32</v>
      </c>
      <c r="I2436" s="2" t="s">
        <v>4761</v>
      </c>
      <c r="J2436" s="2" t="s">
        <v>5144</v>
      </c>
      <c r="K2436" s="2" t="s">
        <v>5221</v>
      </c>
      <c r="L2436" s="2" t="s">
        <v>5221</v>
      </c>
      <c r="M2436" s="2" t="s">
        <v>5721</v>
      </c>
      <c r="N2436" s="2" t="s">
        <v>2317</v>
      </c>
      <c r="O2436" s="14">
        <v>1700</v>
      </c>
      <c r="P2436" s="14">
        <v>92.94</v>
      </c>
      <c r="Q2436" s="14">
        <v>120.02</v>
      </c>
      <c r="R2436" s="14">
        <v>38.409999999999997</v>
      </c>
      <c r="S2436" s="2" t="s">
        <v>7753</v>
      </c>
      <c r="T2436" s="2">
        <v>1.01</v>
      </c>
      <c r="U2436" s="2">
        <v>62.9</v>
      </c>
      <c r="V2436" s="2">
        <v>58</v>
      </c>
      <c r="W2436" s="2" t="s">
        <v>7862</v>
      </c>
      <c r="X2436" s="2" t="s">
        <v>5405</v>
      </c>
      <c r="Y2436" s="2">
        <v>544</v>
      </c>
      <c r="Z2436" s="19" t="str">
        <f>HYPERLINK("https://ssdweb.co/ssdweb/hd/Vision360.html?d=926261526&amp;zoomslide=1&amp;z=1926261526&amp;ISCONFIRM=0","VIDEO")</f>
        <v>VIDEO</v>
      </c>
      <c r="AA2436" s="19" t="str">
        <f>HYPERLINK("https://ssdweb.co/ssdweb/CERTH/642442909.pdf","CERTI")</f>
        <v>CERTI</v>
      </c>
    </row>
    <row r="2437" spans="1:27" ht="15" x14ac:dyDescent="0.25">
      <c r="A2437" s="2">
        <v>2432</v>
      </c>
      <c r="B2437" s="39">
        <v>926300257</v>
      </c>
      <c r="C2437" s="28" t="str">
        <f>HYPERLINK("https://pld.live/RapDetail.aspx?STONELIST=926300257","DNA")</f>
        <v>DNA</v>
      </c>
      <c r="D2437" s="18" t="s">
        <v>7954</v>
      </c>
      <c r="E2437" s="18" t="s">
        <v>5128</v>
      </c>
      <c r="F2437" s="2" t="s">
        <v>7987</v>
      </c>
      <c r="G2437" s="2" t="s">
        <v>861</v>
      </c>
      <c r="H2437" s="14">
        <v>0.32</v>
      </c>
      <c r="I2437" s="2" t="s">
        <v>4761</v>
      </c>
      <c r="J2437" s="2" t="s">
        <v>5144</v>
      </c>
      <c r="K2437" s="2" t="s">
        <v>5221</v>
      </c>
      <c r="L2437" s="2" t="s">
        <v>5221</v>
      </c>
      <c r="M2437" s="2" t="s">
        <v>5721</v>
      </c>
      <c r="N2437" s="2" t="s">
        <v>2317</v>
      </c>
      <c r="O2437" s="14">
        <v>1700</v>
      </c>
      <c r="P2437" s="14">
        <v>92.94</v>
      </c>
      <c r="Q2437" s="14">
        <v>120.02</v>
      </c>
      <c r="R2437" s="14">
        <v>38.409999999999997</v>
      </c>
      <c r="S2437" s="2" t="s">
        <v>1745</v>
      </c>
      <c r="T2437" s="2">
        <v>1.01</v>
      </c>
      <c r="U2437" s="2">
        <v>63.3</v>
      </c>
      <c r="V2437" s="2">
        <v>56</v>
      </c>
      <c r="W2437" s="2" t="s">
        <v>7862</v>
      </c>
      <c r="X2437" s="2" t="s">
        <v>5405</v>
      </c>
      <c r="Y2437" s="2">
        <v>544</v>
      </c>
      <c r="Z2437" s="19" t="str">
        <f>HYPERLINK("https://ssdweb.co/ssdweb/hd/Vision360.html?d=926300257&amp;zoomslide=1&amp;z=1926300257&amp;ISCONFIRM=0","VIDEO")</f>
        <v>VIDEO</v>
      </c>
      <c r="AA2437" s="19" t="str">
        <f>HYPERLINK("https://ssdweb.co/ssdweb/CERTH/637467327.pdf","CERTI")</f>
        <v>CERTI</v>
      </c>
    </row>
    <row r="2438" spans="1:27" ht="15" x14ac:dyDescent="0.25">
      <c r="A2438" s="2">
        <v>2433</v>
      </c>
      <c r="B2438" s="39">
        <v>926231269</v>
      </c>
      <c r="C2438" s="28" t="str">
        <f>HYPERLINK("https://pld.live/RapDetail.aspx?STONELIST=926231269","DNA")</f>
        <v>DNA</v>
      </c>
      <c r="D2438" s="18" t="s">
        <v>7954</v>
      </c>
      <c r="E2438" s="18" t="s">
        <v>5128</v>
      </c>
      <c r="F2438" s="2" t="s">
        <v>7987</v>
      </c>
      <c r="G2438" s="2" t="s">
        <v>861</v>
      </c>
      <c r="H2438" s="14">
        <v>0.32</v>
      </c>
      <c r="I2438" s="2" t="s">
        <v>4699</v>
      </c>
      <c r="J2438" s="2" t="s">
        <v>6555</v>
      </c>
      <c r="K2438" s="2" t="s">
        <v>3390</v>
      </c>
      <c r="L2438" s="2" t="s">
        <v>5221</v>
      </c>
      <c r="M2438" s="2" t="s">
        <v>5221</v>
      </c>
      <c r="N2438" s="2" t="s">
        <v>2317</v>
      </c>
      <c r="O2438" s="14">
        <v>2100</v>
      </c>
      <c r="P2438" s="14">
        <v>92.86</v>
      </c>
      <c r="Q2438" s="14">
        <v>149.94</v>
      </c>
      <c r="R2438" s="14">
        <v>47.98</v>
      </c>
      <c r="S2438" s="2" t="s">
        <v>5954</v>
      </c>
      <c r="T2438" s="2">
        <v>1</v>
      </c>
      <c r="U2438" s="2">
        <v>61.7</v>
      </c>
      <c r="V2438" s="2">
        <v>58</v>
      </c>
      <c r="W2438" s="2" t="s">
        <v>7862</v>
      </c>
      <c r="X2438" s="2" t="s">
        <v>5405</v>
      </c>
      <c r="Y2438" s="2">
        <v>672</v>
      </c>
      <c r="Z2438" s="19" t="str">
        <f>HYPERLINK("https://ssdweb.co/ssdweb/hd/Vision360.html?d=926231269&amp;zoomslide=1&amp;z=1926231269&amp;ISCONFIRM=0","VIDEO")</f>
        <v>VIDEO</v>
      </c>
      <c r="AA2438" s="19" t="str">
        <f>HYPERLINK("https://ssdweb.co/ssdweb/CERTH/670484127.pdf","CERTI")</f>
        <v>CERTI</v>
      </c>
    </row>
    <row r="2439" spans="1:27" ht="15" x14ac:dyDescent="0.25">
      <c r="A2439" s="2">
        <v>2434</v>
      </c>
      <c r="B2439" s="39">
        <v>926191045</v>
      </c>
      <c r="C2439" s="28" t="str">
        <f>HYPERLINK("https://pld.live/RapDetail.aspx?STONELIST=926191045","DNA")</f>
        <v>DNA</v>
      </c>
      <c r="D2439" s="18" t="s">
        <v>7954</v>
      </c>
      <c r="E2439" s="18" t="s">
        <v>5128</v>
      </c>
      <c r="F2439" s="2" t="s">
        <v>7987</v>
      </c>
      <c r="G2439" s="2" t="s">
        <v>861</v>
      </c>
      <c r="H2439" s="14">
        <v>0.32</v>
      </c>
      <c r="I2439" s="2" t="s">
        <v>4699</v>
      </c>
      <c r="J2439" s="2" t="s">
        <v>6555</v>
      </c>
      <c r="K2439" s="2" t="s">
        <v>3390</v>
      </c>
      <c r="L2439" s="2" t="s">
        <v>5221</v>
      </c>
      <c r="M2439" s="2" t="s">
        <v>5721</v>
      </c>
      <c r="N2439" s="2" t="s">
        <v>2317</v>
      </c>
      <c r="O2439" s="14">
        <v>2100</v>
      </c>
      <c r="P2439" s="14">
        <v>93.33</v>
      </c>
      <c r="Q2439" s="14">
        <v>140.07</v>
      </c>
      <c r="R2439" s="14">
        <v>44.82</v>
      </c>
      <c r="S2439" s="2" t="s">
        <v>1563</v>
      </c>
      <c r="T2439" s="2">
        <v>1.01</v>
      </c>
      <c r="U2439" s="2">
        <v>61.9</v>
      </c>
      <c r="V2439" s="2">
        <v>59</v>
      </c>
      <c r="W2439" s="2" t="s">
        <v>7862</v>
      </c>
      <c r="X2439" s="2" t="s">
        <v>5405</v>
      </c>
      <c r="Y2439" s="2">
        <v>672</v>
      </c>
      <c r="Z2439" s="19" t="str">
        <f>HYPERLINK("https://ssdweb.co/ssdweb/hd/Vision360.html?d=926191045&amp;zoomslide=1&amp;z=1926191045&amp;ISCONFIRM=0","VIDEO")</f>
        <v>VIDEO</v>
      </c>
      <c r="AA2439" s="19" t="str">
        <f>HYPERLINK("https://ssdweb.co/ssdweb/CERTH/637467209.pdf","CERTI")</f>
        <v>CERTI</v>
      </c>
    </row>
    <row r="2440" spans="1:27" ht="15" x14ac:dyDescent="0.25">
      <c r="A2440" s="2">
        <v>2435</v>
      </c>
      <c r="B2440" s="39">
        <v>926341624</v>
      </c>
      <c r="C2440" s="28" t="str">
        <f>HYPERLINK("https://pld.live/RapDetail.aspx?STONELIST=926341624","DNA")</f>
        <v>DNA</v>
      </c>
      <c r="D2440" s="18" t="s">
        <v>7954</v>
      </c>
      <c r="E2440" s="18" t="s">
        <v>5128</v>
      </c>
      <c r="F2440" s="2" t="s">
        <v>5597</v>
      </c>
      <c r="G2440" s="2" t="s">
        <v>861</v>
      </c>
      <c r="H2440" s="14">
        <v>0.32</v>
      </c>
      <c r="I2440" s="2" t="s">
        <v>4699</v>
      </c>
      <c r="J2440" s="2" t="s">
        <v>6555</v>
      </c>
      <c r="K2440" s="2" t="s">
        <v>5221</v>
      </c>
      <c r="L2440" s="2" t="s">
        <v>5221</v>
      </c>
      <c r="M2440" s="2" t="s">
        <v>5221</v>
      </c>
      <c r="N2440" s="2" t="s">
        <v>2317</v>
      </c>
      <c r="O2440" s="14">
        <v>2100</v>
      </c>
      <c r="P2440" s="14">
        <v>85.67</v>
      </c>
      <c r="Q2440" s="14">
        <v>300.93</v>
      </c>
      <c r="R2440" s="14">
        <v>96.3</v>
      </c>
      <c r="S2440" s="2" t="s">
        <v>358</v>
      </c>
      <c r="T2440" s="2">
        <v>1.01</v>
      </c>
      <c r="U2440" s="2">
        <v>60.4</v>
      </c>
      <c r="V2440" s="2">
        <v>59</v>
      </c>
      <c r="W2440" s="2" t="s">
        <v>7862</v>
      </c>
      <c r="X2440" s="2" t="s">
        <v>5405</v>
      </c>
      <c r="Y2440" s="2">
        <v>672</v>
      </c>
      <c r="Z2440" s="19" t="str">
        <f>HYPERLINK("https://ssdweb.co/ssdweb/hd/Vision360.html?d=926341624&amp;zoomslide=1&amp;z=1926341624&amp;ISCONFIRM=0","VIDEO")</f>
        <v>VIDEO</v>
      </c>
      <c r="AA2440" s="19" t="str">
        <f>HYPERLINK("https://ssdweb.co/ssdweb/CERTH/2507174183.pdf","CERTI")</f>
        <v>CERTI</v>
      </c>
    </row>
    <row r="2441" spans="1:27" ht="15" x14ac:dyDescent="0.25">
      <c r="A2441" s="2">
        <v>2436</v>
      </c>
      <c r="B2441" s="39">
        <v>926341563</v>
      </c>
      <c r="C2441" s="28" t="str">
        <f>HYPERLINK("https://pld.live/RapDetail.aspx?STONELIST=926341563","DNA")</f>
        <v>DNA</v>
      </c>
      <c r="D2441" s="18" t="s">
        <v>7954</v>
      </c>
      <c r="E2441" s="18" t="s">
        <v>5128</v>
      </c>
      <c r="F2441" s="2" t="s">
        <v>5597</v>
      </c>
      <c r="G2441" s="2" t="s">
        <v>861</v>
      </c>
      <c r="H2441" s="14">
        <v>0.32</v>
      </c>
      <c r="I2441" s="2" t="s">
        <v>4699</v>
      </c>
      <c r="J2441" s="2" t="s">
        <v>6555</v>
      </c>
      <c r="K2441" s="2" t="s">
        <v>5221</v>
      </c>
      <c r="L2441" s="2" t="s">
        <v>5221</v>
      </c>
      <c r="M2441" s="2" t="s">
        <v>5221</v>
      </c>
      <c r="N2441" s="2" t="s">
        <v>2317</v>
      </c>
      <c r="O2441" s="14">
        <v>2100</v>
      </c>
      <c r="P2441" s="14">
        <v>85.67</v>
      </c>
      <c r="Q2441" s="14">
        <v>300.93</v>
      </c>
      <c r="R2441" s="14">
        <v>96.3</v>
      </c>
      <c r="S2441" s="2" t="s">
        <v>100</v>
      </c>
      <c r="T2441" s="2">
        <v>1</v>
      </c>
      <c r="U2441" s="2">
        <v>61.3</v>
      </c>
      <c r="V2441" s="2">
        <v>58</v>
      </c>
      <c r="W2441" s="2" t="s">
        <v>7862</v>
      </c>
      <c r="X2441" s="2" t="s">
        <v>5405</v>
      </c>
      <c r="Y2441" s="2">
        <v>672</v>
      </c>
      <c r="Z2441" s="19" t="str">
        <f>HYPERLINK("https://ssdweb.co/ssdweb/hd/Vision360.html?d=926341563&amp;zoomslide=1&amp;z=1926341563&amp;ISCONFIRM=0","VIDEO")</f>
        <v>VIDEO</v>
      </c>
      <c r="AA2441" s="19" t="str">
        <f>HYPERLINK("https://ssdweb.co/ssdweb/CERTH/6502173795.pdf","CERTI")</f>
        <v>CERTI</v>
      </c>
    </row>
    <row r="2442" spans="1:27" ht="15" x14ac:dyDescent="0.25">
      <c r="A2442" s="2">
        <v>2437</v>
      </c>
      <c r="B2442" s="39">
        <v>926261191</v>
      </c>
      <c r="C2442" s="28" t="str">
        <f>HYPERLINK("https://pld.live/RapDetail.aspx?STONELIST=926261191","DNA")</f>
        <v>DNA</v>
      </c>
      <c r="D2442" s="18" t="s">
        <v>7954</v>
      </c>
      <c r="E2442" s="18" t="s">
        <v>5128</v>
      </c>
      <c r="F2442" s="2" t="s">
        <v>7987</v>
      </c>
      <c r="G2442" s="2" t="s">
        <v>861</v>
      </c>
      <c r="H2442" s="14">
        <v>0.32</v>
      </c>
      <c r="I2442" s="2" t="s">
        <v>4699</v>
      </c>
      <c r="J2442" s="2" t="s">
        <v>13</v>
      </c>
      <c r="K2442" s="2" t="s">
        <v>3390</v>
      </c>
      <c r="L2442" s="2" t="s">
        <v>5221</v>
      </c>
      <c r="M2442" s="2" t="s">
        <v>5721</v>
      </c>
      <c r="N2442" s="2" t="s">
        <v>2317</v>
      </c>
      <c r="O2442" s="14">
        <v>1700</v>
      </c>
      <c r="P2442" s="14">
        <v>92.76</v>
      </c>
      <c r="Q2442" s="14">
        <v>123.08</v>
      </c>
      <c r="R2442" s="14">
        <v>39.39</v>
      </c>
      <c r="S2442" s="2" t="s">
        <v>1496</v>
      </c>
      <c r="T2442" s="2">
        <v>1</v>
      </c>
      <c r="U2442" s="2">
        <v>62.3</v>
      </c>
      <c r="V2442" s="2">
        <v>57</v>
      </c>
      <c r="W2442" s="2" t="s">
        <v>7862</v>
      </c>
      <c r="X2442" s="2" t="s">
        <v>5405</v>
      </c>
      <c r="Y2442" s="2">
        <v>544</v>
      </c>
      <c r="Z2442" s="19" t="str">
        <f>HYPERLINK("https://ssdweb.co/ssdweb/hd/Vision360.html?d=926261191&amp;zoomslide=1&amp;z=1926261191&amp;ISCONFIRM=0","VIDEO")</f>
        <v>VIDEO</v>
      </c>
      <c r="AA2442" s="19" t="str">
        <f>HYPERLINK("https://ssdweb.co/ssdweb/CERTH/640454144.pdf","CERTI")</f>
        <v>CERTI</v>
      </c>
    </row>
    <row r="2443" spans="1:27" ht="15" x14ac:dyDescent="0.25">
      <c r="A2443" s="2">
        <v>2438</v>
      </c>
      <c r="B2443" s="39">
        <v>926320987</v>
      </c>
      <c r="C2443" s="28" t="str">
        <f>HYPERLINK("https://pld.live/RapDetail.aspx?STONELIST=926320987","DNA")</f>
        <v>DNA</v>
      </c>
      <c r="D2443" s="18" t="s">
        <v>7954</v>
      </c>
      <c r="E2443" s="18" t="s">
        <v>5128</v>
      </c>
      <c r="F2443" s="2" t="s">
        <v>5597</v>
      </c>
      <c r="G2443" s="2" t="s">
        <v>861</v>
      </c>
      <c r="H2443" s="14">
        <v>0.32</v>
      </c>
      <c r="I2443" s="2" t="s">
        <v>4699</v>
      </c>
      <c r="J2443" s="2" t="s">
        <v>5144</v>
      </c>
      <c r="K2443" s="2" t="s">
        <v>5221</v>
      </c>
      <c r="L2443" s="2" t="s">
        <v>5221</v>
      </c>
      <c r="M2443" s="2" t="s">
        <v>5221</v>
      </c>
      <c r="N2443" s="2" t="s">
        <v>2317</v>
      </c>
      <c r="O2443" s="14">
        <v>1600</v>
      </c>
      <c r="P2443" s="14">
        <v>83.69</v>
      </c>
      <c r="Q2443" s="14">
        <v>260.95999999999998</v>
      </c>
      <c r="R2443" s="14">
        <v>83.51</v>
      </c>
      <c r="S2443" s="2" t="s">
        <v>1150</v>
      </c>
      <c r="T2443" s="2">
        <v>1</v>
      </c>
      <c r="U2443" s="2">
        <v>61.6</v>
      </c>
      <c r="V2443" s="2">
        <v>57</v>
      </c>
      <c r="W2443" s="2" t="s">
        <v>7862</v>
      </c>
      <c r="X2443" s="2" t="s">
        <v>5405</v>
      </c>
      <c r="Y2443" s="2">
        <v>512</v>
      </c>
      <c r="Z2443" s="19" t="str">
        <f>HYPERLINK("https://ssdweb.co/ssdweb/hd/Vision360.html?d=926320987&amp;zoomslide=1&amp;z=1926320987&amp;ISCONFIRM=0","VIDEO")</f>
        <v>VIDEO</v>
      </c>
      <c r="AA2443" s="19" t="str">
        <f>HYPERLINK("https://ssdweb.co/ssdweb/CERTH/1493866509.pdf","CERTI")</f>
        <v>CERTI</v>
      </c>
    </row>
    <row r="2444" spans="1:27" ht="15" x14ac:dyDescent="0.25">
      <c r="A2444" s="2">
        <v>2439</v>
      </c>
      <c r="B2444" s="39">
        <v>941250170</v>
      </c>
      <c r="C2444" s="28" t="str">
        <f>HYPERLINK("https://pld.live/RapDetail.aspx?STONELIST=941250170","DNA")</f>
        <v>DNA</v>
      </c>
      <c r="D2444" s="18" t="s">
        <v>7954</v>
      </c>
      <c r="E2444" s="18" t="s">
        <v>2186</v>
      </c>
      <c r="F2444" s="2" t="s">
        <v>7987</v>
      </c>
      <c r="G2444" s="2" t="s">
        <v>861</v>
      </c>
      <c r="H2444" s="14">
        <v>0.31</v>
      </c>
      <c r="I2444" s="2" t="s">
        <v>267</v>
      </c>
      <c r="J2444" s="2" t="s">
        <v>6555</v>
      </c>
      <c r="K2444" s="2" t="s">
        <v>3390</v>
      </c>
      <c r="L2444" s="2" t="s">
        <v>5221</v>
      </c>
      <c r="M2444" s="2" t="s">
        <v>5221</v>
      </c>
      <c r="N2444" s="2" t="s">
        <v>2317</v>
      </c>
      <c r="O2444" s="14">
        <v>2500</v>
      </c>
      <c r="P2444" s="14">
        <v>93.48</v>
      </c>
      <c r="Q2444" s="14">
        <v>163</v>
      </c>
      <c r="R2444" s="14">
        <v>50.53</v>
      </c>
      <c r="S2444" s="2" t="s">
        <v>5944</v>
      </c>
      <c r="T2444" s="2">
        <v>1</v>
      </c>
      <c r="U2444" s="2">
        <v>60.4</v>
      </c>
      <c r="V2444" s="2">
        <v>58</v>
      </c>
      <c r="W2444" s="2" t="s">
        <v>7862</v>
      </c>
      <c r="X2444" s="2" t="s">
        <v>5405</v>
      </c>
      <c r="Y2444" s="2">
        <v>775</v>
      </c>
      <c r="Z2444" s="19" t="str">
        <f>HYPERLINK("https://ssdweb.co/ssdweb/hd/Vision360.html?d=941250170&amp;zoomslide=1&amp;z=1941250170&amp;ISCONFIRM=0","VIDEO")</f>
        <v>VIDEO</v>
      </c>
      <c r="AA2444" s="19" t="str">
        <f>HYPERLINK("https://ssdweb.co/ssdweb/CERTH/687560860.pdf","CERTI")</f>
        <v>CERTI</v>
      </c>
    </row>
    <row r="2445" spans="1:27" ht="15" x14ac:dyDescent="0.25">
      <c r="A2445" s="2">
        <v>2440</v>
      </c>
      <c r="B2445" s="39">
        <v>941280412</v>
      </c>
      <c r="C2445" s="28" t="str">
        <f>HYPERLINK("https://pld.live/RapDetail.aspx?STONELIST=941280412","DNA")</f>
        <v>DNA</v>
      </c>
      <c r="D2445" s="18" t="s">
        <v>7954</v>
      </c>
      <c r="E2445" s="18" t="s">
        <v>2186</v>
      </c>
      <c r="F2445" s="2" t="s">
        <v>7987</v>
      </c>
      <c r="G2445" s="2" t="s">
        <v>861</v>
      </c>
      <c r="H2445" s="14">
        <v>0.31</v>
      </c>
      <c r="I2445" s="2" t="s">
        <v>267</v>
      </c>
      <c r="J2445" s="2" t="s">
        <v>6555</v>
      </c>
      <c r="K2445" s="2" t="s">
        <v>3390</v>
      </c>
      <c r="L2445" s="2" t="s">
        <v>5221</v>
      </c>
      <c r="M2445" s="2" t="s">
        <v>5221</v>
      </c>
      <c r="N2445" s="2" t="s">
        <v>2317</v>
      </c>
      <c r="O2445" s="14">
        <v>2500</v>
      </c>
      <c r="P2445" s="14">
        <v>93.48</v>
      </c>
      <c r="Q2445" s="14">
        <v>163</v>
      </c>
      <c r="R2445" s="14">
        <v>50.53</v>
      </c>
      <c r="S2445" s="2" t="s">
        <v>1190</v>
      </c>
      <c r="T2445" s="2">
        <v>1.01</v>
      </c>
      <c r="U2445" s="2">
        <v>60.6</v>
      </c>
      <c r="V2445" s="2">
        <v>58</v>
      </c>
      <c r="W2445" s="2" t="s">
        <v>7862</v>
      </c>
      <c r="X2445" s="2" t="s">
        <v>5405</v>
      </c>
      <c r="Y2445" s="2">
        <v>775</v>
      </c>
      <c r="Z2445" s="19" t="str">
        <f>HYPERLINK("https://ssdweb.co/ssdweb/hd/Vision360.html?d=941280412&amp;zoomslide=1&amp;z=1941280412&amp;ISCONFIRM=0","VIDEO")</f>
        <v>VIDEO</v>
      </c>
      <c r="AA2445" s="19" t="str">
        <f>HYPERLINK("https://ssdweb.co/ssdweb/CERTH/689587259.pdf","CERTI")</f>
        <v>CERTI</v>
      </c>
    </row>
    <row r="2446" spans="1:27" ht="15" x14ac:dyDescent="0.25">
      <c r="A2446" s="2">
        <v>2441</v>
      </c>
      <c r="B2446" s="39">
        <v>926261201</v>
      </c>
      <c r="C2446" s="28" t="str">
        <f>HYPERLINK("https://pld.live/RapDetail.aspx?STONELIST=926261201","DNA")</f>
        <v>DNA</v>
      </c>
      <c r="D2446" s="18" t="s">
        <v>7954</v>
      </c>
      <c r="E2446" s="18" t="s">
        <v>5128</v>
      </c>
      <c r="F2446" s="2" t="s">
        <v>7987</v>
      </c>
      <c r="G2446" s="2" t="s">
        <v>861</v>
      </c>
      <c r="H2446" s="14">
        <v>0.31</v>
      </c>
      <c r="I2446" s="2" t="s">
        <v>267</v>
      </c>
      <c r="J2446" s="2" t="s">
        <v>6555</v>
      </c>
      <c r="K2446" s="2" t="s">
        <v>3390</v>
      </c>
      <c r="L2446" s="2" t="s">
        <v>5221</v>
      </c>
      <c r="M2446" s="2" t="s">
        <v>5721</v>
      </c>
      <c r="N2446" s="2" t="s">
        <v>2317</v>
      </c>
      <c r="O2446" s="14">
        <v>2500</v>
      </c>
      <c r="P2446" s="14">
        <v>93.88</v>
      </c>
      <c r="Q2446" s="14">
        <v>153</v>
      </c>
      <c r="R2446" s="14">
        <v>47.43</v>
      </c>
      <c r="S2446" s="2" t="s">
        <v>4357</v>
      </c>
      <c r="T2446" s="2">
        <v>1.01</v>
      </c>
      <c r="U2446" s="2">
        <v>61.2</v>
      </c>
      <c r="V2446" s="2">
        <v>56</v>
      </c>
      <c r="W2446" s="2" t="s">
        <v>7862</v>
      </c>
      <c r="X2446" s="2" t="s">
        <v>5405</v>
      </c>
      <c r="Y2446" s="2">
        <v>775</v>
      </c>
      <c r="Z2446" s="19" t="str">
        <f>HYPERLINK("https://ssdweb.co/ssdweb/hd/Vision360.html?d=926261201&amp;zoomslide=1&amp;z=1926261201&amp;ISCONFIRM=0","VIDEO")</f>
        <v>VIDEO</v>
      </c>
      <c r="AA2446" s="19" t="str">
        <f>HYPERLINK("https://ssdweb.co/ssdweb/CERTH/644466765.pdf","CERTI")</f>
        <v>CERTI</v>
      </c>
    </row>
    <row r="2447" spans="1:27" ht="15" x14ac:dyDescent="0.25">
      <c r="A2447" s="2">
        <v>2442</v>
      </c>
      <c r="B2447" s="39">
        <v>941190214</v>
      </c>
      <c r="C2447" s="28" t="str">
        <f>HYPERLINK("https://pld.live/RapDetail.aspx?STONELIST=941190214","DNA")</f>
        <v>DNA</v>
      </c>
      <c r="D2447" s="18" t="s">
        <v>7954</v>
      </c>
      <c r="E2447" s="18" t="s">
        <v>5128</v>
      </c>
      <c r="F2447" s="2" t="s">
        <v>7987</v>
      </c>
      <c r="G2447" s="2" t="s">
        <v>861</v>
      </c>
      <c r="H2447" s="14">
        <v>0.31</v>
      </c>
      <c r="I2447" s="2" t="s">
        <v>267</v>
      </c>
      <c r="J2447" s="2" t="s">
        <v>6555</v>
      </c>
      <c r="K2447" s="2" t="s">
        <v>3390</v>
      </c>
      <c r="L2447" s="2" t="s">
        <v>5221</v>
      </c>
      <c r="M2447" s="2" t="s">
        <v>5721</v>
      </c>
      <c r="N2447" s="2" t="s">
        <v>2317</v>
      </c>
      <c r="O2447" s="14">
        <v>2500</v>
      </c>
      <c r="P2447" s="14">
        <v>93.88</v>
      </c>
      <c r="Q2447" s="14">
        <v>153</v>
      </c>
      <c r="R2447" s="14">
        <v>47.43</v>
      </c>
      <c r="S2447" s="2" t="s">
        <v>877</v>
      </c>
      <c r="T2447" s="2">
        <v>1.01</v>
      </c>
      <c r="U2447" s="2">
        <v>61.8</v>
      </c>
      <c r="V2447" s="2">
        <v>58</v>
      </c>
      <c r="W2447" s="2" t="s">
        <v>7862</v>
      </c>
      <c r="X2447" s="2" t="s">
        <v>5405</v>
      </c>
      <c r="Y2447" s="2">
        <v>775</v>
      </c>
      <c r="Z2447" s="19" t="str">
        <f>HYPERLINK("https://ssdweb.co/ssdweb/hd/Vision360.html?d=941190214&amp;zoomslide=1&amp;z=1941190214&amp;ISCONFIRM=0","VIDEO")</f>
        <v>VIDEO</v>
      </c>
      <c r="AA2447" s="19" t="str">
        <f>HYPERLINK("https://ssdweb.co/ssdweb/CERTH/675596542.pdf","CERTI")</f>
        <v>CERTI</v>
      </c>
    </row>
    <row r="2448" spans="1:27" ht="15" x14ac:dyDescent="0.25">
      <c r="A2448" s="2">
        <v>2443</v>
      </c>
      <c r="B2448" s="39">
        <v>926191219</v>
      </c>
      <c r="C2448" s="28" t="str">
        <f>HYPERLINK("https://pld.live/RapDetail.aspx?STONELIST=926191219","DNA")</f>
        <v>DNA</v>
      </c>
      <c r="D2448" s="18" t="s">
        <v>7954</v>
      </c>
      <c r="E2448" s="18" t="s">
        <v>5128</v>
      </c>
      <c r="F2448" s="2" t="s">
        <v>7987</v>
      </c>
      <c r="G2448" s="2" t="s">
        <v>861</v>
      </c>
      <c r="H2448" s="14">
        <v>0.31</v>
      </c>
      <c r="I2448" s="2" t="s">
        <v>267</v>
      </c>
      <c r="J2448" s="2" t="s">
        <v>6555</v>
      </c>
      <c r="K2448" s="2" t="s">
        <v>3390</v>
      </c>
      <c r="L2448" s="2" t="s">
        <v>5721</v>
      </c>
      <c r="M2448" s="2" t="s">
        <v>5221</v>
      </c>
      <c r="N2448" s="2" t="s">
        <v>2317</v>
      </c>
      <c r="O2448" s="14">
        <v>2500</v>
      </c>
      <c r="P2448" s="14">
        <v>93.88</v>
      </c>
      <c r="Q2448" s="14">
        <v>153</v>
      </c>
      <c r="R2448" s="14">
        <v>47.43</v>
      </c>
      <c r="S2448" s="2" t="s">
        <v>561</v>
      </c>
      <c r="T2448" s="2">
        <v>1</v>
      </c>
      <c r="U2448" s="2">
        <v>61.8</v>
      </c>
      <c r="V2448" s="2">
        <v>60</v>
      </c>
      <c r="W2448" s="2" t="s">
        <v>7862</v>
      </c>
      <c r="X2448" s="2" t="s">
        <v>5405</v>
      </c>
      <c r="Y2448" s="2">
        <v>775</v>
      </c>
      <c r="Z2448" s="19" t="str">
        <f>HYPERLINK("https://ssdweb.co/ssdweb/hd/Vision360.html?d=926191219&amp;zoomslide=1&amp;z=1926191219&amp;ISCONFIRM=0","VIDEO")</f>
        <v>VIDEO</v>
      </c>
      <c r="AA2448" s="19" t="str">
        <f>HYPERLINK("https://ssdweb.co/ssdweb/CERTH/638493024.pdf","CERTI")</f>
        <v>CERTI</v>
      </c>
    </row>
    <row r="2449" spans="1:27" ht="15" x14ac:dyDescent="0.25">
      <c r="A2449" s="2">
        <v>2444</v>
      </c>
      <c r="B2449" s="39">
        <v>926231305</v>
      </c>
      <c r="C2449" s="28" t="str">
        <f>HYPERLINK("https://pld.live/RapDetail.aspx?STONELIST=926231305","DNA")</f>
        <v>DNA</v>
      </c>
      <c r="D2449" s="18" t="s">
        <v>7954</v>
      </c>
      <c r="E2449" s="18" t="s">
        <v>5128</v>
      </c>
      <c r="F2449" s="2" t="s">
        <v>7987</v>
      </c>
      <c r="G2449" s="2" t="s">
        <v>861</v>
      </c>
      <c r="H2449" s="14">
        <v>0.31</v>
      </c>
      <c r="I2449" s="2" t="s">
        <v>267</v>
      </c>
      <c r="J2449" s="2" t="s">
        <v>6555</v>
      </c>
      <c r="K2449" s="2" t="s">
        <v>3390</v>
      </c>
      <c r="L2449" s="2" t="s">
        <v>5721</v>
      </c>
      <c r="M2449" s="2" t="s">
        <v>5721</v>
      </c>
      <c r="N2449" s="2" t="s">
        <v>2317</v>
      </c>
      <c r="O2449" s="14">
        <v>2500</v>
      </c>
      <c r="P2449" s="14">
        <v>93.96</v>
      </c>
      <c r="Q2449" s="14">
        <v>151</v>
      </c>
      <c r="R2449" s="14">
        <v>46.81</v>
      </c>
      <c r="S2449" s="2" t="s">
        <v>5944</v>
      </c>
      <c r="T2449" s="2">
        <v>1</v>
      </c>
      <c r="U2449" s="2">
        <v>60.5</v>
      </c>
      <c r="V2449" s="2">
        <v>58</v>
      </c>
      <c r="W2449" s="2" t="s">
        <v>7862</v>
      </c>
      <c r="X2449" s="2" t="s">
        <v>5405</v>
      </c>
      <c r="Y2449" s="2">
        <v>775</v>
      </c>
      <c r="Z2449" s="19" t="str">
        <f>HYPERLINK("https://ssdweb.co/ssdweb/hd/Vision360.html?d=926231305&amp;zoomslide=1&amp;z=1926231305&amp;ISCONFIRM=0","VIDEO")</f>
        <v>VIDEO</v>
      </c>
      <c r="AA2449" s="19" t="str">
        <f>HYPERLINK("https://ssdweb.co/ssdweb/CERTH/642447708.pdf","CERTI")</f>
        <v>CERTI</v>
      </c>
    </row>
    <row r="2450" spans="1:27" ht="15" x14ac:dyDescent="0.25">
      <c r="A2450" s="2">
        <v>2445</v>
      </c>
      <c r="B2450" s="39">
        <v>926930439</v>
      </c>
      <c r="C2450" s="28" t="str">
        <f>HYPERLINK("https://pld.live/RapDetail.aspx?STONELIST=926930439","DNA")</f>
        <v>DNA</v>
      </c>
      <c r="D2450" s="18" t="s">
        <v>7954</v>
      </c>
      <c r="E2450" s="18" t="s">
        <v>2186</v>
      </c>
      <c r="F2450" s="2" t="s">
        <v>7987</v>
      </c>
      <c r="G2450" s="2" t="s">
        <v>861</v>
      </c>
      <c r="H2450" s="14">
        <v>0.31</v>
      </c>
      <c r="I2450" s="2" t="s">
        <v>267</v>
      </c>
      <c r="J2450" s="2" t="s">
        <v>6555</v>
      </c>
      <c r="K2450" s="2" t="s">
        <v>5221</v>
      </c>
      <c r="L2450" s="2" t="s">
        <v>5221</v>
      </c>
      <c r="M2450" s="2" t="s">
        <v>5221</v>
      </c>
      <c r="N2450" s="2" t="s">
        <v>2317</v>
      </c>
      <c r="O2450" s="14">
        <v>2500</v>
      </c>
      <c r="P2450" s="14">
        <v>93.48</v>
      </c>
      <c r="Q2450" s="14">
        <v>163</v>
      </c>
      <c r="R2450" s="14">
        <v>50.53</v>
      </c>
      <c r="S2450" s="2" t="s">
        <v>6602</v>
      </c>
      <c r="T2450" s="2">
        <v>1.01</v>
      </c>
      <c r="U2450" s="2">
        <v>60.2</v>
      </c>
      <c r="V2450" s="2">
        <v>59</v>
      </c>
      <c r="W2450" s="2" t="s">
        <v>7862</v>
      </c>
      <c r="X2450" s="2" t="s">
        <v>5405</v>
      </c>
      <c r="Y2450" s="2">
        <v>775</v>
      </c>
      <c r="Z2450" s="19" t="str">
        <f>HYPERLINK("https://ssdweb.co/ssdweb/hd/Vision360.html?d=926930439&amp;zoomslide=1&amp;z=1926930439&amp;ISCONFIRM=0","VIDEO")</f>
        <v>VIDEO</v>
      </c>
      <c r="AA2450" s="19" t="str">
        <f>HYPERLINK("https://ssdweb.co/ssdweb/CERTH/674543053.pdf","CERTI")</f>
        <v>CERTI</v>
      </c>
    </row>
    <row r="2451" spans="1:27" ht="15" x14ac:dyDescent="0.25">
      <c r="A2451" s="2">
        <v>2446</v>
      </c>
      <c r="B2451" s="39">
        <v>941220642</v>
      </c>
      <c r="C2451" s="28" t="str">
        <f>HYPERLINK("https://pld.live/RapDetail.aspx?STONELIST=941220642","DNA")</f>
        <v>DNA</v>
      </c>
      <c r="D2451" s="18" t="s">
        <v>7954</v>
      </c>
      <c r="E2451" s="18" t="s">
        <v>2186</v>
      </c>
      <c r="F2451" s="2" t="s">
        <v>7987</v>
      </c>
      <c r="G2451" s="2" t="s">
        <v>861</v>
      </c>
      <c r="H2451" s="14">
        <v>0.31</v>
      </c>
      <c r="I2451" s="2" t="s">
        <v>267</v>
      </c>
      <c r="J2451" s="2" t="s">
        <v>6555</v>
      </c>
      <c r="K2451" s="2" t="s">
        <v>5221</v>
      </c>
      <c r="L2451" s="2" t="s">
        <v>5221</v>
      </c>
      <c r="M2451" s="2" t="s">
        <v>5221</v>
      </c>
      <c r="N2451" s="2" t="s">
        <v>2317</v>
      </c>
      <c r="O2451" s="14">
        <v>2500</v>
      </c>
      <c r="P2451" s="14">
        <v>93.48</v>
      </c>
      <c r="Q2451" s="14">
        <v>163</v>
      </c>
      <c r="R2451" s="14">
        <v>50.53</v>
      </c>
      <c r="S2451" s="2" t="s">
        <v>1493</v>
      </c>
      <c r="T2451" s="2">
        <v>1.01</v>
      </c>
      <c r="U2451" s="2">
        <v>60.3</v>
      </c>
      <c r="V2451" s="2">
        <v>60</v>
      </c>
      <c r="W2451" s="2" t="s">
        <v>7862</v>
      </c>
      <c r="X2451" s="2" t="s">
        <v>5405</v>
      </c>
      <c r="Y2451" s="2">
        <v>775</v>
      </c>
      <c r="Z2451" s="19" t="str">
        <f>HYPERLINK("https://ssdweb.co/ssdweb/hd/Vision360.html?d=941220642&amp;zoomslide=1&amp;z=1941220642&amp;ISCONFIRM=0","VIDEO")</f>
        <v>VIDEO</v>
      </c>
      <c r="AA2451" s="19" t="str">
        <f>HYPERLINK("https://ssdweb.co/ssdweb/CERTH/689587232.pdf","CERTI")</f>
        <v>CERTI</v>
      </c>
    </row>
    <row r="2452" spans="1:27" ht="15" x14ac:dyDescent="0.25">
      <c r="A2452" s="2">
        <v>2447</v>
      </c>
      <c r="B2452" s="39">
        <v>926801388</v>
      </c>
      <c r="C2452" s="28" t="str">
        <f>HYPERLINK("https://pld.live/RapDetail.aspx?STONELIST=926801388","DNA")</f>
        <v>DNA</v>
      </c>
      <c r="D2452" s="18" t="s">
        <v>7954</v>
      </c>
      <c r="E2452" s="18" t="s">
        <v>5128</v>
      </c>
      <c r="F2452" s="2" t="s">
        <v>5597</v>
      </c>
      <c r="G2452" s="2" t="s">
        <v>861</v>
      </c>
      <c r="H2452" s="14">
        <v>0.31</v>
      </c>
      <c r="I2452" s="2" t="s">
        <v>267</v>
      </c>
      <c r="J2452" s="2" t="s">
        <v>6555</v>
      </c>
      <c r="K2452" s="2" t="s">
        <v>5221</v>
      </c>
      <c r="L2452" s="2" t="s">
        <v>5221</v>
      </c>
      <c r="M2452" s="2" t="s">
        <v>5721</v>
      </c>
      <c r="N2452" s="2" t="s">
        <v>2317</v>
      </c>
      <c r="O2452" s="14">
        <v>2500</v>
      </c>
      <c r="P2452" s="14">
        <v>87.2</v>
      </c>
      <c r="Q2452" s="14">
        <v>320</v>
      </c>
      <c r="R2452" s="14">
        <v>99.2</v>
      </c>
      <c r="S2452" s="2" t="s">
        <v>7831</v>
      </c>
      <c r="T2452" s="2">
        <v>1</v>
      </c>
      <c r="U2452" s="2">
        <v>61.1</v>
      </c>
      <c r="V2452" s="2">
        <v>59</v>
      </c>
      <c r="W2452" s="2" t="s">
        <v>7862</v>
      </c>
      <c r="X2452" s="2" t="s">
        <v>5405</v>
      </c>
      <c r="Y2452" s="2">
        <v>775</v>
      </c>
      <c r="Z2452" s="19" t="str">
        <f>HYPERLINK("https://ssdweb.co/ssdweb/hd/Vision360.html?d=926801388&amp;zoomslide=1&amp;z=1926801388&amp;ISCONFIRM=0","VIDEO")</f>
        <v>VIDEO</v>
      </c>
      <c r="AA2452" s="19" t="str">
        <f>HYPERLINK("https://ssdweb.co/ssdweb/CERTH/2506525182.pdf","CERTI")</f>
        <v>CERTI</v>
      </c>
    </row>
    <row r="2453" spans="1:27" ht="15" x14ac:dyDescent="0.25">
      <c r="A2453" s="2">
        <v>2448</v>
      </c>
      <c r="B2453" s="39">
        <v>926360354</v>
      </c>
      <c r="C2453" s="28" t="str">
        <f>HYPERLINK("https://pld.live/RapDetail.aspx?STONELIST=926360354","DNA")</f>
        <v>DNA</v>
      </c>
      <c r="D2453" s="18" t="s">
        <v>7954</v>
      </c>
      <c r="E2453" s="18" t="s">
        <v>2186</v>
      </c>
      <c r="F2453" s="2" t="s">
        <v>7987</v>
      </c>
      <c r="G2453" s="2" t="s">
        <v>861</v>
      </c>
      <c r="H2453" s="14">
        <v>0.31</v>
      </c>
      <c r="I2453" s="2" t="s">
        <v>267</v>
      </c>
      <c r="J2453" s="2" t="s">
        <v>6555</v>
      </c>
      <c r="K2453" s="2" t="s">
        <v>5221</v>
      </c>
      <c r="L2453" s="2" t="s">
        <v>5221</v>
      </c>
      <c r="M2453" s="2" t="s">
        <v>5721</v>
      </c>
      <c r="N2453" s="2" t="s">
        <v>2317</v>
      </c>
      <c r="O2453" s="14">
        <v>2500</v>
      </c>
      <c r="P2453" s="14">
        <v>93.88</v>
      </c>
      <c r="Q2453" s="14">
        <v>153</v>
      </c>
      <c r="R2453" s="14">
        <v>47.43</v>
      </c>
      <c r="S2453" s="2" t="s">
        <v>912</v>
      </c>
      <c r="T2453" s="2">
        <v>1.01</v>
      </c>
      <c r="U2453" s="2">
        <v>61.6</v>
      </c>
      <c r="V2453" s="2">
        <v>61</v>
      </c>
      <c r="W2453" s="2" t="s">
        <v>7862</v>
      </c>
      <c r="X2453" s="2" t="s">
        <v>5405</v>
      </c>
      <c r="Y2453" s="2">
        <v>775</v>
      </c>
      <c r="Z2453" s="19" t="str">
        <f>HYPERLINK("https://ssdweb.co/ssdweb/hd/Vision360.html?d=926360354&amp;zoomslide=1&amp;z=1926360354&amp;ISCONFIRM=0","VIDEO")</f>
        <v>VIDEO</v>
      </c>
      <c r="AA2453" s="19" t="str">
        <f>HYPERLINK("https://ssdweb.co/ssdweb/CERTH/674542984.pdf","CERTI")</f>
        <v>CERTI</v>
      </c>
    </row>
    <row r="2454" spans="1:27" ht="15" x14ac:dyDescent="0.25">
      <c r="A2454" s="2">
        <v>2449</v>
      </c>
      <c r="B2454" s="39">
        <v>926391283</v>
      </c>
      <c r="C2454" s="28" t="str">
        <f>HYPERLINK("https://pld.live/RapDetail.aspx?STONELIST=926391283","DNA")</f>
        <v>DNA</v>
      </c>
      <c r="D2454" s="18" t="s">
        <v>7954</v>
      </c>
      <c r="E2454" s="18" t="s">
        <v>5128</v>
      </c>
      <c r="F2454" s="2" t="s">
        <v>7987</v>
      </c>
      <c r="G2454" s="2" t="s">
        <v>861</v>
      </c>
      <c r="H2454" s="14">
        <v>0.31</v>
      </c>
      <c r="I2454" s="2" t="s">
        <v>267</v>
      </c>
      <c r="J2454" s="2" t="s">
        <v>6555</v>
      </c>
      <c r="K2454" s="2" t="s">
        <v>5221</v>
      </c>
      <c r="L2454" s="2" t="s">
        <v>5221</v>
      </c>
      <c r="M2454" s="2" t="s">
        <v>5721</v>
      </c>
      <c r="N2454" s="2" t="s">
        <v>2317</v>
      </c>
      <c r="O2454" s="14">
        <v>2500</v>
      </c>
      <c r="P2454" s="14">
        <v>93.88</v>
      </c>
      <c r="Q2454" s="14">
        <v>153</v>
      </c>
      <c r="R2454" s="14">
        <v>47.43</v>
      </c>
      <c r="S2454" s="2" t="s">
        <v>7284</v>
      </c>
      <c r="T2454" s="2">
        <v>1.01</v>
      </c>
      <c r="U2454" s="2">
        <v>62.1</v>
      </c>
      <c r="V2454" s="2">
        <v>58</v>
      </c>
      <c r="W2454" s="2" t="s">
        <v>7862</v>
      </c>
      <c r="X2454" s="2" t="s">
        <v>5405</v>
      </c>
      <c r="Y2454" s="2">
        <v>775</v>
      </c>
      <c r="Z2454" s="19" t="str">
        <f>HYPERLINK("https://ssdweb.co/ssdweb/hd/Vision360.html?d=926391283&amp;zoomslide=1&amp;z=1926391283&amp;ISCONFIRM=0","VIDEO")</f>
        <v>VIDEO</v>
      </c>
      <c r="AA2454" s="19" t="str">
        <f>HYPERLINK("https://ssdweb.co/ssdweb/CERTH/667408545.pdf","CERTI")</f>
        <v>CERTI</v>
      </c>
    </row>
    <row r="2455" spans="1:27" ht="15" x14ac:dyDescent="0.25">
      <c r="A2455" s="2">
        <v>2450</v>
      </c>
      <c r="B2455" s="39">
        <v>941071245</v>
      </c>
      <c r="C2455" s="28" t="str">
        <f>HYPERLINK("https://pld.live/RapDetail.aspx?STONELIST=941071245","DNA")</f>
        <v>DNA</v>
      </c>
      <c r="D2455" s="18" t="s">
        <v>7954</v>
      </c>
      <c r="E2455" s="18" t="s">
        <v>5128</v>
      </c>
      <c r="F2455" s="2" t="s">
        <v>7987</v>
      </c>
      <c r="G2455" s="2" t="s">
        <v>861</v>
      </c>
      <c r="H2455" s="14">
        <v>0.31</v>
      </c>
      <c r="I2455" s="2" t="s">
        <v>267</v>
      </c>
      <c r="J2455" s="2" t="s">
        <v>6555</v>
      </c>
      <c r="K2455" s="2" t="s">
        <v>5221</v>
      </c>
      <c r="L2455" s="2" t="s">
        <v>5221</v>
      </c>
      <c r="M2455" s="2" t="s">
        <v>5721</v>
      </c>
      <c r="N2455" s="2" t="s">
        <v>2317</v>
      </c>
      <c r="O2455" s="14">
        <v>2500</v>
      </c>
      <c r="P2455" s="14">
        <v>93.88</v>
      </c>
      <c r="Q2455" s="14">
        <v>153</v>
      </c>
      <c r="R2455" s="14">
        <v>47.43</v>
      </c>
      <c r="S2455" s="2" t="s">
        <v>3613</v>
      </c>
      <c r="T2455" s="2">
        <v>1.01</v>
      </c>
      <c r="U2455" s="2">
        <v>61.7</v>
      </c>
      <c r="V2455" s="2">
        <v>60</v>
      </c>
      <c r="W2455" s="2" t="s">
        <v>7862</v>
      </c>
      <c r="X2455" s="2" t="s">
        <v>5405</v>
      </c>
      <c r="Y2455" s="2">
        <v>775</v>
      </c>
      <c r="Z2455" s="19" t="str">
        <f>HYPERLINK("https://ssdweb.co/ssdweb/hd/Vision360.html?d=941071245&amp;zoomslide=1&amp;z=1941071245&amp;ISCONFIRM=0","VIDEO")</f>
        <v>VIDEO</v>
      </c>
      <c r="AA2455" s="19" t="str">
        <f>HYPERLINK("https://ssdweb.co/ssdweb/CERTH/671477197.pdf","CERTI")</f>
        <v>CERTI</v>
      </c>
    </row>
    <row r="2456" spans="1:27" ht="15" x14ac:dyDescent="0.25">
      <c r="A2456" s="2">
        <v>2451</v>
      </c>
      <c r="B2456" s="39">
        <v>821127929</v>
      </c>
      <c r="C2456" s="28" t="str">
        <f>HYPERLINK("https://pld.live/RapDetail.aspx?STONELIST=821127929","DNA")</f>
        <v>DNA</v>
      </c>
      <c r="D2456" s="18" t="s">
        <v>7954</v>
      </c>
      <c r="E2456" s="18" t="s">
        <v>5128</v>
      </c>
      <c r="F2456" s="2" t="s">
        <v>7987</v>
      </c>
      <c r="G2456" s="2" t="s">
        <v>861</v>
      </c>
      <c r="H2456" s="14">
        <v>0.31</v>
      </c>
      <c r="I2456" s="2" t="s">
        <v>267</v>
      </c>
      <c r="J2456" s="2" t="s">
        <v>6555</v>
      </c>
      <c r="K2456" s="2" t="s">
        <v>5221</v>
      </c>
      <c r="L2456" s="2" t="s">
        <v>5721</v>
      </c>
      <c r="M2456" s="2" t="s">
        <v>5721</v>
      </c>
      <c r="N2456" s="2" t="s">
        <v>2317</v>
      </c>
      <c r="O2456" s="14">
        <v>2500</v>
      </c>
      <c r="P2456" s="14">
        <v>93.96</v>
      </c>
      <c r="Q2456" s="14">
        <v>151</v>
      </c>
      <c r="R2456" s="14">
        <v>46.81</v>
      </c>
      <c r="S2456" s="2" t="s">
        <v>5436</v>
      </c>
      <c r="T2456" s="2">
        <v>1.01</v>
      </c>
      <c r="U2456" s="2">
        <v>61.7</v>
      </c>
      <c r="V2456" s="2">
        <v>60</v>
      </c>
      <c r="W2456" s="2" t="s">
        <v>7862</v>
      </c>
      <c r="X2456" s="2" t="s">
        <v>5405</v>
      </c>
      <c r="Y2456" s="2">
        <v>775</v>
      </c>
      <c r="Z2456" s="19" t="str">
        <f>HYPERLINK("https://ssdweb.co/ssdweb/hd/Vision360.html?d=821127929&amp;zoomslide=1&amp;z=1821127929&amp;ISCONFIRM=0","VIDEO")</f>
        <v>VIDEO</v>
      </c>
      <c r="AA2456" s="19" t="str">
        <f>HYPERLINK("https://ssdweb.co/ssdweb/CERTH/634417056.pdf","CERTI")</f>
        <v>CERTI</v>
      </c>
    </row>
    <row r="2457" spans="1:27" ht="15" x14ac:dyDescent="0.25">
      <c r="A2457" s="2">
        <v>2452</v>
      </c>
      <c r="B2457" s="39">
        <v>941390187</v>
      </c>
      <c r="C2457" s="28" t="str">
        <f>HYPERLINK("https://pld.live/RapDetail.aspx?STONELIST=941390187","DNA")</f>
        <v>DNA</v>
      </c>
      <c r="D2457" s="18" t="s">
        <v>7954</v>
      </c>
      <c r="E2457" s="18" t="s">
        <v>2186</v>
      </c>
      <c r="F2457" s="2" t="s">
        <v>7987</v>
      </c>
      <c r="G2457" s="2" t="s">
        <v>861</v>
      </c>
      <c r="H2457" s="14">
        <v>0.31</v>
      </c>
      <c r="I2457" s="2" t="s">
        <v>267</v>
      </c>
      <c r="J2457" s="2" t="s">
        <v>3942</v>
      </c>
      <c r="K2457" s="2" t="s">
        <v>3390</v>
      </c>
      <c r="L2457" s="2" t="s">
        <v>5221</v>
      </c>
      <c r="M2457" s="2" t="s">
        <v>5221</v>
      </c>
      <c r="N2457" s="2" t="s">
        <v>2317</v>
      </c>
      <c r="O2457" s="14">
        <v>2200</v>
      </c>
      <c r="P2457" s="14">
        <v>93.27</v>
      </c>
      <c r="Q2457" s="14">
        <v>148.06</v>
      </c>
      <c r="R2457" s="14">
        <v>45.9</v>
      </c>
      <c r="S2457" s="2" t="s">
        <v>4213</v>
      </c>
      <c r="T2457" s="2">
        <v>1.01</v>
      </c>
      <c r="U2457" s="2">
        <v>61.4</v>
      </c>
      <c r="V2457" s="2">
        <v>56</v>
      </c>
      <c r="W2457" s="2" t="s">
        <v>7862</v>
      </c>
      <c r="X2457" s="2" t="s">
        <v>5405</v>
      </c>
      <c r="Y2457" s="2">
        <v>682</v>
      </c>
      <c r="Z2457" s="19" t="str">
        <f>HYPERLINK("https://ssdweb.co/ssdweb/hd/Vision360.html?d=941390187&amp;zoomslide=1&amp;z=1941390187&amp;ISCONFIRM=0","VIDEO")</f>
        <v>VIDEO</v>
      </c>
      <c r="AA2457" s="19" t="str">
        <f>HYPERLINK("https://ssdweb.co/ssdweb/CERTH/687591616.pdf","CERTI")</f>
        <v>CERTI</v>
      </c>
    </row>
    <row r="2458" spans="1:27" ht="15" x14ac:dyDescent="0.25">
      <c r="A2458" s="2">
        <v>2453</v>
      </c>
      <c r="B2458" s="39">
        <v>941330095</v>
      </c>
      <c r="C2458" s="28" t="str">
        <f>HYPERLINK("https://pld.live/RapDetail.aspx?STONELIST=941330095","DNA")</f>
        <v>DNA</v>
      </c>
      <c r="D2458" s="18" t="s">
        <v>7954</v>
      </c>
      <c r="E2458" s="18" t="s">
        <v>2186</v>
      </c>
      <c r="F2458" s="2" t="s">
        <v>7987</v>
      </c>
      <c r="G2458" s="2" t="s">
        <v>861</v>
      </c>
      <c r="H2458" s="14">
        <v>0.31</v>
      </c>
      <c r="I2458" s="2" t="s">
        <v>267</v>
      </c>
      <c r="J2458" s="2" t="s">
        <v>3942</v>
      </c>
      <c r="K2458" s="2" t="s">
        <v>3390</v>
      </c>
      <c r="L2458" s="2" t="s">
        <v>5221</v>
      </c>
      <c r="M2458" s="2" t="s">
        <v>5221</v>
      </c>
      <c r="N2458" s="2" t="s">
        <v>2317</v>
      </c>
      <c r="O2458" s="14">
        <v>2200</v>
      </c>
      <c r="P2458" s="14">
        <v>93.27</v>
      </c>
      <c r="Q2458" s="14">
        <v>148.06</v>
      </c>
      <c r="R2458" s="14">
        <v>45.9</v>
      </c>
      <c r="S2458" s="2" t="s">
        <v>5443</v>
      </c>
      <c r="T2458" s="2">
        <v>1.01</v>
      </c>
      <c r="U2458" s="2">
        <v>61.5</v>
      </c>
      <c r="V2458" s="2">
        <v>57</v>
      </c>
      <c r="W2458" s="2" t="s">
        <v>7862</v>
      </c>
      <c r="X2458" s="2" t="s">
        <v>5405</v>
      </c>
      <c r="Y2458" s="2">
        <v>682</v>
      </c>
      <c r="Z2458" s="19" t="str">
        <f>HYPERLINK("https://ssdweb.co/ssdweb/hd/Vision360.html?d=941330095&amp;zoomslide=1&amp;z=1941330095&amp;ISCONFIRM=0","VIDEO")</f>
        <v>VIDEO</v>
      </c>
      <c r="AA2458" s="19" t="str">
        <f>HYPERLINK("https://ssdweb.co/ssdweb/CERTH/689587247.pdf","CERTI")</f>
        <v>CERTI</v>
      </c>
    </row>
    <row r="2459" spans="1:27" ht="15" x14ac:dyDescent="0.25">
      <c r="A2459" s="2">
        <v>2454</v>
      </c>
      <c r="B2459" s="39">
        <v>941340615</v>
      </c>
      <c r="C2459" s="28" t="str">
        <f>HYPERLINK("https://pld.live/RapDetail.aspx?STONELIST=941340615","DNA")</f>
        <v>DNA</v>
      </c>
      <c r="D2459" s="18" t="s">
        <v>7954</v>
      </c>
      <c r="E2459" s="18" t="s">
        <v>2186</v>
      </c>
      <c r="F2459" s="2" t="s">
        <v>7987</v>
      </c>
      <c r="G2459" s="2" t="s">
        <v>861</v>
      </c>
      <c r="H2459" s="14">
        <v>0.31</v>
      </c>
      <c r="I2459" s="2" t="s">
        <v>267</v>
      </c>
      <c r="J2459" s="2" t="s">
        <v>3942</v>
      </c>
      <c r="K2459" s="2" t="s">
        <v>3390</v>
      </c>
      <c r="L2459" s="2" t="s">
        <v>5221</v>
      </c>
      <c r="M2459" s="2" t="s">
        <v>5221</v>
      </c>
      <c r="N2459" s="2" t="s">
        <v>2317</v>
      </c>
      <c r="O2459" s="14">
        <v>2200</v>
      </c>
      <c r="P2459" s="14">
        <v>93.27</v>
      </c>
      <c r="Q2459" s="14">
        <v>148.06</v>
      </c>
      <c r="R2459" s="14">
        <v>45.9</v>
      </c>
      <c r="S2459" s="2" t="s">
        <v>5871</v>
      </c>
      <c r="T2459" s="2">
        <v>1.01</v>
      </c>
      <c r="U2459" s="2">
        <v>60.5</v>
      </c>
      <c r="V2459" s="2">
        <v>59</v>
      </c>
      <c r="W2459" s="2" t="s">
        <v>7862</v>
      </c>
      <c r="X2459" s="2" t="s">
        <v>5405</v>
      </c>
      <c r="Y2459" s="2">
        <v>682</v>
      </c>
      <c r="Z2459" s="19" t="str">
        <f>HYPERLINK("https://ssdweb.co/ssdweb/hd/Vision360.html?d=941340615&amp;zoomslide=1&amp;z=1941340615&amp;ISCONFIRM=0","VIDEO")</f>
        <v>VIDEO</v>
      </c>
      <c r="AA2459" s="19" t="str">
        <f>HYPERLINK("https://ssdweb.co/ssdweb/CERTH/689587200.pdf","CERTI")</f>
        <v>CERTI</v>
      </c>
    </row>
    <row r="2460" spans="1:27" ht="15" x14ac:dyDescent="0.25">
      <c r="A2460" s="2">
        <v>2455</v>
      </c>
      <c r="B2460" s="39">
        <v>925910699</v>
      </c>
      <c r="C2460" s="28" t="str">
        <f>HYPERLINK("https://pld.live/RapDetail.aspx?STONELIST=925910699","DNA")</f>
        <v>DNA</v>
      </c>
      <c r="D2460" s="18" t="s">
        <v>7954</v>
      </c>
      <c r="E2460" s="18" t="s">
        <v>5128</v>
      </c>
      <c r="F2460" s="2" t="s">
        <v>7987</v>
      </c>
      <c r="G2460" s="2" t="s">
        <v>861</v>
      </c>
      <c r="H2460" s="14">
        <v>0.31</v>
      </c>
      <c r="I2460" s="2" t="s">
        <v>267</v>
      </c>
      <c r="J2460" s="2" t="s">
        <v>3942</v>
      </c>
      <c r="K2460" s="2" t="s">
        <v>3390</v>
      </c>
      <c r="L2460" s="2" t="s">
        <v>5221</v>
      </c>
      <c r="M2460" s="2" t="s">
        <v>5721</v>
      </c>
      <c r="N2460" s="2" t="s">
        <v>2317</v>
      </c>
      <c r="O2460" s="14">
        <v>2200</v>
      </c>
      <c r="P2460" s="14">
        <v>93.73</v>
      </c>
      <c r="Q2460" s="14">
        <v>137.94</v>
      </c>
      <c r="R2460" s="14">
        <v>42.76</v>
      </c>
      <c r="S2460" s="2" t="s">
        <v>1002</v>
      </c>
      <c r="T2460" s="2">
        <v>1.01</v>
      </c>
      <c r="U2460" s="2">
        <v>62</v>
      </c>
      <c r="V2460" s="2">
        <v>55</v>
      </c>
      <c r="W2460" s="2" t="s">
        <v>7862</v>
      </c>
      <c r="X2460" s="2" t="s">
        <v>5405</v>
      </c>
      <c r="Y2460" s="2">
        <v>682</v>
      </c>
      <c r="Z2460" s="19" t="str">
        <f>HYPERLINK("https://ssdweb.co/ssdweb/hd/Vision360.html?d=925910699&amp;zoomslide=1&amp;z=1925910699&amp;ISCONFIRM=0","VIDEO")</f>
        <v>VIDEO</v>
      </c>
      <c r="AA2460" s="19" t="str">
        <f>HYPERLINK("https://ssdweb.co/ssdweb/CERTH/627431652.pdf","CERTI")</f>
        <v>CERTI</v>
      </c>
    </row>
    <row r="2461" spans="1:27" ht="15" x14ac:dyDescent="0.25">
      <c r="A2461" s="2">
        <v>2456</v>
      </c>
      <c r="B2461" s="39">
        <v>926980681</v>
      </c>
      <c r="C2461" s="28" t="str">
        <f>HYPERLINK("https://pld.live/RapDetail.aspx?STONELIST=926980681","DNA")</f>
        <v>DNA</v>
      </c>
      <c r="D2461" s="18" t="s">
        <v>7954</v>
      </c>
      <c r="E2461" s="18" t="s">
        <v>2186</v>
      </c>
      <c r="F2461" s="2" t="s">
        <v>7987</v>
      </c>
      <c r="G2461" s="2" t="s">
        <v>861</v>
      </c>
      <c r="H2461" s="14">
        <v>0.31</v>
      </c>
      <c r="I2461" s="2" t="s">
        <v>267</v>
      </c>
      <c r="J2461" s="2" t="s">
        <v>3942</v>
      </c>
      <c r="K2461" s="2" t="s">
        <v>3390</v>
      </c>
      <c r="L2461" s="2" t="s">
        <v>5221</v>
      </c>
      <c r="M2461" s="2" t="s">
        <v>5721</v>
      </c>
      <c r="N2461" s="2" t="s">
        <v>2317</v>
      </c>
      <c r="O2461" s="14">
        <v>2200</v>
      </c>
      <c r="P2461" s="14">
        <v>93.73</v>
      </c>
      <c r="Q2461" s="14">
        <v>137.94</v>
      </c>
      <c r="R2461" s="14">
        <v>42.76</v>
      </c>
      <c r="S2461" s="2" t="s">
        <v>3044</v>
      </c>
      <c r="T2461" s="2">
        <v>1</v>
      </c>
      <c r="U2461" s="2">
        <v>62.4</v>
      </c>
      <c r="V2461" s="2">
        <v>57</v>
      </c>
      <c r="W2461" s="2" t="s">
        <v>7862</v>
      </c>
      <c r="X2461" s="2" t="s">
        <v>5405</v>
      </c>
      <c r="Y2461" s="2">
        <v>682</v>
      </c>
      <c r="Z2461" s="19" t="str">
        <f>HYPERLINK("https://ssdweb.co/ssdweb/hd/Vision360.html?d=926980681&amp;zoomslide=1&amp;z=1926980681&amp;ISCONFIRM=0","VIDEO")</f>
        <v>VIDEO</v>
      </c>
      <c r="AA2461" s="19" t="str">
        <f>HYPERLINK("https://ssdweb.co/ssdweb/CERTH/674542997.pdf","CERTI")</f>
        <v>CERTI</v>
      </c>
    </row>
    <row r="2462" spans="1:27" ht="15" x14ac:dyDescent="0.25">
      <c r="A2462" s="2">
        <v>2457</v>
      </c>
      <c r="B2462" s="39">
        <v>926261314</v>
      </c>
      <c r="C2462" s="28" t="str">
        <f>HYPERLINK("https://pld.live/RapDetail.aspx?STONELIST=926261314","DNA")</f>
        <v>DNA</v>
      </c>
      <c r="D2462" s="18" t="s">
        <v>7954</v>
      </c>
      <c r="E2462" s="18" t="s">
        <v>5128</v>
      </c>
      <c r="F2462" s="2" t="s">
        <v>7987</v>
      </c>
      <c r="G2462" s="2" t="s">
        <v>861</v>
      </c>
      <c r="H2462" s="14">
        <v>0.31</v>
      </c>
      <c r="I2462" s="2" t="s">
        <v>267</v>
      </c>
      <c r="J2462" s="2" t="s">
        <v>3942</v>
      </c>
      <c r="K2462" s="2" t="s">
        <v>3390</v>
      </c>
      <c r="L2462" s="2" t="s">
        <v>5221</v>
      </c>
      <c r="M2462" s="2" t="s">
        <v>5721</v>
      </c>
      <c r="N2462" s="2" t="s">
        <v>2317</v>
      </c>
      <c r="O2462" s="14">
        <v>2200</v>
      </c>
      <c r="P2462" s="14">
        <v>93.73</v>
      </c>
      <c r="Q2462" s="14">
        <v>137.94</v>
      </c>
      <c r="R2462" s="14">
        <v>42.76</v>
      </c>
      <c r="S2462" s="2" t="s">
        <v>4274</v>
      </c>
      <c r="T2462" s="2">
        <v>1.01</v>
      </c>
      <c r="U2462" s="2">
        <v>61.7</v>
      </c>
      <c r="V2462" s="2">
        <v>57</v>
      </c>
      <c r="W2462" s="2" t="s">
        <v>7862</v>
      </c>
      <c r="X2462" s="2" t="s">
        <v>5405</v>
      </c>
      <c r="Y2462" s="2">
        <v>682</v>
      </c>
      <c r="Z2462" s="19" t="str">
        <f>HYPERLINK("https://ssdweb.co/ssdweb/hd/Vision360.html?d=926261314&amp;zoomslide=1&amp;z=1926261314&amp;ISCONFIRM=0","VIDEO")</f>
        <v>VIDEO</v>
      </c>
      <c r="AA2462" s="19" t="str">
        <f>HYPERLINK("https://ssdweb.co/ssdweb/CERTH/642447823.pdf","CERTI")</f>
        <v>CERTI</v>
      </c>
    </row>
    <row r="2463" spans="1:27" ht="15" x14ac:dyDescent="0.25">
      <c r="A2463" s="2">
        <v>2458</v>
      </c>
      <c r="B2463" s="39">
        <v>926231339</v>
      </c>
      <c r="C2463" s="28" t="str">
        <f>HYPERLINK("https://pld.live/RapDetail.aspx?STONELIST=926231339","DNA")</f>
        <v>DNA</v>
      </c>
      <c r="D2463" s="18" t="s">
        <v>7954</v>
      </c>
      <c r="E2463" s="18" t="s">
        <v>5128</v>
      </c>
      <c r="F2463" s="2" t="s">
        <v>7987</v>
      </c>
      <c r="G2463" s="2" t="s">
        <v>861</v>
      </c>
      <c r="H2463" s="14">
        <v>0.31</v>
      </c>
      <c r="I2463" s="2" t="s">
        <v>267</v>
      </c>
      <c r="J2463" s="2" t="s">
        <v>3942</v>
      </c>
      <c r="K2463" s="2" t="s">
        <v>3390</v>
      </c>
      <c r="L2463" s="2" t="s">
        <v>5221</v>
      </c>
      <c r="M2463" s="2" t="s">
        <v>5721</v>
      </c>
      <c r="N2463" s="2" t="s">
        <v>2317</v>
      </c>
      <c r="O2463" s="14">
        <v>2200</v>
      </c>
      <c r="P2463" s="14">
        <v>93.73</v>
      </c>
      <c r="Q2463" s="14">
        <v>137.94</v>
      </c>
      <c r="R2463" s="14">
        <v>42.76</v>
      </c>
      <c r="S2463" s="2" t="s">
        <v>4167</v>
      </c>
      <c r="T2463" s="2">
        <v>1.01</v>
      </c>
      <c r="U2463" s="2">
        <v>59.9</v>
      </c>
      <c r="V2463" s="2">
        <v>60</v>
      </c>
      <c r="W2463" s="2" t="s">
        <v>7862</v>
      </c>
      <c r="X2463" s="2" t="s">
        <v>5405</v>
      </c>
      <c r="Y2463" s="2">
        <v>682</v>
      </c>
      <c r="Z2463" s="19" t="str">
        <f>HYPERLINK("https://ssdweb.co/ssdweb/hd/Vision360.html?d=926231339&amp;zoomslide=1&amp;z=1926231339&amp;ISCONFIRM=0","VIDEO")</f>
        <v>VIDEO</v>
      </c>
      <c r="AA2463" s="19" t="str">
        <f>HYPERLINK("https://ssdweb.co/ssdweb/CERTH/642447713.pdf","CERTI")</f>
        <v>CERTI</v>
      </c>
    </row>
    <row r="2464" spans="1:27" ht="15" x14ac:dyDescent="0.25">
      <c r="A2464" s="2">
        <v>2459</v>
      </c>
      <c r="B2464" s="39">
        <v>926801357</v>
      </c>
      <c r="C2464" s="28" t="str">
        <f>HYPERLINK("https://pld.live/RapDetail.aspx?STONELIST=926801357","DNA")</f>
        <v>DNA</v>
      </c>
      <c r="D2464" s="18" t="s">
        <v>7954</v>
      </c>
      <c r="E2464" s="18" t="s">
        <v>5128</v>
      </c>
      <c r="F2464" s="2" t="s">
        <v>7987</v>
      </c>
      <c r="G2464" s="2" t="s">
        <v>861</v>
      </c>
      <c r="H2464" s="14">
        <v>0.31</v>
      </c>
      <c r="I2464" s="2" t="s">
        <v>267</v>
      </c>
      <c r="J2464" s="2" t="s">
        <v>3942</v>
      </c>
      <c r="K2464" s="2" t="s">
        <v>3390</v>
      </c>
      <c r="L2464" s="2" t="s">
        <v>5221</v>
      </c>
      <c r="M2464" s="2" t="s">
        <v>5721</v>
      </c>
      <c r="N2464" s="2" t="s">
        <v>2317</v>
      </c>
      <c r="O2464" s="14">
        <v>2200</v>
      </c>
      <c r="P2464" s="14">
        <v>93.73</v>
      </c>
      <c r="Q2464" s="14">
        <v>137.94</v>
      </c>
      <c r="R2464" s="14">
        <v>42.76</v>
      </c>
      <c r="S2464" s="2" t="s">
        <v>7847</v>
      </c>
      <c r="T2464" s="2">
        <v>1</v>
      </c>
      <c r="U2464" s="2">
        <v>61.5</v>
      </c>
      <c r="V2464" s="2">
        <v>57</v>
      </c>
      <c r="W2464" s="2" t="s">
        <v>7862</v>
      </c>
      <c r="X2464" s="2" t="s">
        <v>5405</v>
      </c>
      <c r="Y2464" s="2">
        <v>682</v>
      </c>
      <c r="Z2464" s="19" t="str">
        <f>HYPERLINK("https://ssdweb.co/ssdweb/hd/Vision360.html?d=926801357&amp;zoomslide=1&amp;z=1926801357&amp;ISCONFIRM=0","VIDEO")</f>
        <v>VIDEO</v>
      </c>
      <c r="AA2464" s="19" t="str">
        <f>HYPERLINK("https://ssdweb.co/ssdweb/CERTH/674543047.pdf","CERTI")</f>
        <v>CERTI</v>
      </c>
    </row>
    <row r="2465" spans="1:27" ht="15" x14ac:dyDescent="0.25">
      <c r="A2465" s="2">
        <v>2460</v>
      </c>
      <c r="B2465" s="39">
        <v>926341171</v>
      </c>
      <c r="C2465" s="28" t="str">
        <f>HYPERLINK("https://pld.live/RapDetail.aspx?STONELIST=926341171","DNA")</f>
        <v>DNA</v>
      </c>
      <c r="D2465" s="18" t="s">
        <v>7954</v>
      </c>
      <c r="E2465" s="18" t="s">
        <v>5128</v>
      </c>
      <c r="F2465" s="2" t="s">
        <v>7987</v>
      </c>
      <c r="G2465" s="2" t="s">
        <v>861</v>
      </c>
      <c r="H2465" s="14">
        <v>0.31</v>
      </c>
      <c r="I2465" s="2" t="s">
        <v>267</v>
      </c>
      <c r="J2465" s="2" t="s">
        <v>3942</v>
      </c>
      <c r="K2465" s="2" t="s">
        <v>3390</v>
      </c>
      <c r="L2465" s="2" t="s">
        <v>5221</v>
      </c>
      <c r="M2465" s="2" t="s">
        <v>5721</v>
      </c>
      <c r="N2465" s="2" t="s">
        <v>2317</v>
      </c>
      <c r="O2465" s="14">
        <v>2200</v>
      </c>
      <c r="P2465" s="14">
        <v>93.73</v>
      </c>
      <c r="Q2465" s="14">
        <v>137.94</v>
      </c>
      <c r="R2465" s="14">
        <v>42.76</v>
      </c>
      <c r="S2465" s="2" t="s">
        <v>5105</v>
      </c>
      <c r="T2465" s="2">
        <v>1.01</v>
      </c>
      <c r="U2465" s="2">
        <v>62</v>
      </c>
      <c r="V2465" s="2">
        <v>59</v>
      </c>
      <c r="W2465" s="2" t="s">
        <v>7862</v>
      </c>
      <c r="X2465" s="2" t="s">
        <v>5405</v>
      </c>
      <c r="Y2465" s="2">
        <v>682</v>
      </c>
      <c r="Z2465" s="19" t="str">
        <f>HYPERLINK("https://ssdweb.co/ssdweb/hd/Vision360.html?d=926341171&amp;zoomslide=1&amp;z=1926341171&amp;ISCONFIRM=0","VIDEO")</f>
        <v>VIDEO</v>
      </c>
      <c r="AA2465" s="19" t="str">
        <f>HYPERLINK("https://ssdweb.co/ssdweb/CERTH/667408511.pdf","CERTI")</f>
        <v>CERTI</v>
      </c>
    </row>
    <row r="2466" spans="1:27" ht="15" x14ac:dyDescent="0.25">
      <c r="A2466" s="2">
        <v>2461</v>
      </c>
      <c r="B2466" s="39">
        <v>926430972</v>
      </c>
      <c r="C2466" s="28" t="str">
        <f>HYPERLINK("https://pld.live/RapDetail.aspx?STONELIST=926430972","DNA")</f>
        <v>DNA</v>
      </c>
      <c r="D2466" s="18" t="s">
        <v>7954</v>
      </c>
      <c r="E2466" s="18" t="s">
        <v>5128</v>
      </c>
      <c r="F2466" s="2" t="s">
        <v>7987</v>
      </c>
      <c r="G2466" s="2" t="s">
        <v>861</v>
      </c>
      <c r="H2466" s="14">
        <v>0.31</v>
      </c>
      <c r="I2466" s="2" t="s">
        <v>267</v>
      </c>
      <c r="J2466" s="2" t="s">
        <v>3942</v>
      </c>
      <c r="K2466" s="2" t="s">
        <v>3390</v>
      </c>
      <c r="L2466" s="2" t="s">
        <v>5221</v>
      </c>
      <c r="M2466" s="2" t="s">
        <v>5721</v>
      </c>
      <c r="N2466" s="2" t="s">
        <v>2317</v>
      </c>
      <c r="O2466" s="14">
        <v>2200</v>
      </c>
      <c r="P2466" s="14">
        <v>93.73</v>
      </c>
      <c r="Q2466" s="14">
        <v>137.94</v>
      </c>
      <c r="R2466" s="14">
        <v>42.76</v>
      </c>
      <c r="S2466" s="2" t="s">
        <v>5106</v>
      </c>
      <c r="T2466" s="2">
        <v>1</v>
      </c>
      <c r="U2466" s="2">
        <v>61.3</v>
      </c>
      <c r="V2466" s="2">
        <v>55</v>
      </c>
      <c r="W2466" s="2" t="s">
        <v>7862</v>
      </c>
      <c r="X2466" s="2" t="s">
        <v>5405</v>
      </c>
      <c r="Y2466" s="2">
        <v>682</v>
      </c>
      <c r="Z2466" s="19" t="str">
        <f>HYPERLINK("https://ssdweb.co/ssdweb/hd/Vision360.html?d=926430972&amp;zoomslide=1&amp;z=1926430972&amp;ISCONFIRM=0","VIDEO")</f>
        <v>VIDEO</v>
      </c>
      <c r="AA2466" s="19" t="str">
        <f>HYPERLINK("https://ssdweb.co/ssdweb/CERTH/667408563.pdf","CERTI")</f>
        <v>CERTI</v>
      </c>
    </row>
    <row r="2467" spans="1:27" ht="15" x14ac:dyDescent="0.25">
      <c r="A2467" s="2">
        <v>2462</v>
      </c>
      <c r="B2467" s="39">
        <v>926430819</v>
      </c>
      <c r="C2467" s="28" t="str">
        <f>HYPERLINK("https://pld.live/RapDetail.aspx?STONELIST=926430819","DNA")</f>
        <v>DNA</v>
      </c>
      <c r="D2467" s="18" t="s">
        <v>7954</v>
      </c>
      <c r="E2467" s="18" t="s">
        <v>5128</v>
      </c>
      <c r="F2467" s="2" t="s">
        <v>7987</v>
      </c>
      <c r="G2467" s="2" t="s">
        <v>861</v>
      </c>
      <c r="H2467" s="14">
        <v>0.31</v>
      </c>
      <c r="I2467" s="2" t="s">
        <v>267</v>
      </c>
      <c r="J2467" s="2" t="s">
        <v>3942</v>
      </c>
      <c r="K2467" s="2" t="s">
        <v>3390</v>
      </c>
      <c r="L2467" s="2" t="s">
        <v>5221</v>
      </c>
      <c r="M2467" s="2" t="s">
        <v>5721</v>
      </c>
      <c r="N2467" s="2" t="s">
        <v>2317</v>
      </c>
      <c r="O2467" s="14">
        <v>2200</v>
      </c>
      <c r="P2467" s="14">
        <v>93.73</v>
      </c>
      <c r="Q2467" s="14">
        <v>137.94</v>
      </c>
      <c r="R2467" s="14">
        <v>42.76</v>
      </c>
      <c r="S2467" s="2" t="s">
        <v>3963</v>
      </c>
      <c r="T2467" s="2">
        <v>1.01</v>
      </c>
      <c r="U2467" s="2">
        <v>61.7</v>
      </c>
      <c r="V2467" s="2">
        <v>54</v>
      </c>
      <c r="W2467" s="2" t="s">
        <v>7862</v>
      </c>
      <c r="X2467" s="2" t="s">
        <v>5405</v>
      </c>
      <c r="Y2467" s="2">
        <v>682</v>
      </c>
      <c r="Z2467" s="19" t="str">
        <f>HYPERLINK("https://ssdweb.co/ssdweb/hd/Vision360.html?d=926430819&amp;zoomslide=1&amp;z=1926430819&amp;ISCONFIRM=0","VIDEO")</f>
        <v>VIDEO</v>
      </c>
      <c r="AA2467" s="19" t="str">
        <f>HYPERLINK("https://ssdweb.co/ssdweb/CERTH/674543104.pdf","CERTI")</f>
        <v>CERTI</v>
      </c>
    </row>
    <row r="2468" spans="1:27" ht="15" x14ac:dyDescent="0.25">
      <c r="A2468" s="2">
        <v>2463</v>
      </c>
      <c r="B2468" s="39">
        <v>926191041</v>
      </c>
      <c r="C2468" s="28" t="str">
        <f>HYPERLINK("https://pld.live/RapDetail.aspx?STONELIST=926191041","DNA")</f>
        <v>DNA</v>
      </c>
      <c r="D2468" s="18" t="s">
        <v>7954</v>
      </c>
      <c r="E2468" s="18" t="s">
        <v>5128</v>
      </c>
      <c r="F2468" s="2" t="s">
        <v>7987</v>
      </c>
      <c r="G2468" s="2" t="s">
        <v>861</v>
      </c>
      <c r="H2468" s="14">
        <v>0.31</v>
      </c>
      <c r="I2468" s="2" t="s">
        <v>267</v>
      </c>
      <c r="J2468" s="2" t="s">
        <v>3942</v>
      </c>
      <c r="K2468" s="2" t="s">
        <v>3390</v>
      </c>
      <c r="L2468" s="2" t="s">
        <v>5221</v>
      </c>
      <c r="M2468" s="2" t="s">
        <v>5721</v>
      </c>
      <c r="N2468" s="2" t="s">
        <v>2317</v>
      </c>
      <c r="O2468" s="14">
        <v>2200</v>
      </c>
      <c r="P2468" s="14">
        <v>93.73</v>
      </c>
      <c r="Q2468" s="14">
        <v>137.94</v>
      </c>
      <c r="R2468" s="14">
        <v>42.76</v>
      </c>
      <c r="S2468" s="2" t="s">
        <v>3192</v>
      </c>
      <c r="T2468" s="2">
        <v>1.01</v>
      </c>
      <c r="U2468" s="2">
        <v>62.3</v>
      </c>
      <c r="V2468" s="2">
        <v>56</v>
      </c>
      <c r="W2468" s="2" t="s">
        <v>7862</v>
      </c>
      <c r="X2468" s="2" t="s">
        <v>5405</v>
      </c>
      <c r="Y2468" s="2">
        <v>682</v>
      </c>
      <c r="Z2468" s="19" t="str">
        <f>HYPERLINK("https://ssdweb.co/ssdweb/hd/Vision360.html?d=926191041&amp;zoomslide=1&amp;z=1926191041&amp;ISCONFIRM=0","VIDEO")</f>
        <v>VIDEO</v>
      </c>
      <c r="AA2468" s="19" t="str">
        <f>HYPERLINK("https://ssdweb.co/ssdweb/CERTH/637467228.pdf","CERTI")</f>
        <v>CERTI</v>
      </c>
    </row>
    <row r="2469" spans="1:27" ht="15" x14ac:dyDescent="0.25">
      <c r="A2469" s="2">
        <v>2464</v>
      </c>
      <c r="B2469" s="39">
        <v>926171574</v>
      </c>
      <c r="C2469" s="28" t="str">
        <f>HYPERLINK("https://pld.live/RapDetail.aspx?STONELIST=926171574","DNA")</f>
        <v>DNA</v>
      </c>
      <c r="D2469" s="18" t="s">
        <v>7954</v>
      </c>
      <c r="E2469" s="18" t="s">
        <v>5128</v>
      </c>
      <c r="F2469" s="2" t="s">
        <v>7987</v>
      </c>
      <c r="G2469" s="2" t="s">
        <v>861</v>
      </c>
      <c r="H2469" s="14">
        <v>0.31</v>
      </c>
      <c r="I2469" s="2" t="s">
        <v>267</v>
      </c>
      <c r="J2469" s="2" t="s">
        <v>3942</v>
      </c>
      <c r="K2469" s="2" t="s">
        <v>3390</v>
      </c>
      <c r="L2469" s="2" t="s">
        <v>5221</v>
      </c>
      <c r="M2469" s="2" t="s">
        <v>5721</v>
      </c>
      <c r="N2469" s="2" t="s">
        <v>2317</v>
      </c>
      <c r="O2469" s="14">
        <v>2200</v>
      </c>
      <c r="P2469" s="14">
        <v>93.73</v>
      </c>
      <c r="Q2469" s="14">
        <v>137.94</v>
      </c>
      <c r="R2469" s="14">
        <v>42.76</v>
      </c>
      <c r="S2469" s="2" t="s">
        <v>5436</v>
      </c>
      <c r="T2469" s="2">
        <v>1.01</v>
      </c>
      <c r="U2469" s="2">
        <v>61.6</v>
      </c>
      <c r="V2469" s="2">
        <v>59</v>
      </c>
      <c r="W2469" s="2" t="s">
        <v>7862</v>
      </c>
      <c r="X2469" s="2" t="s">
        <v>5405</v>
      </c>
      <c r="Y2469" s="2">
        <v>682</v>
      </c>
      <c r="Z2469" s="19" t="str">
        <f>HYPERLINK("https://ssdweb.co/ssdweb/hd/Vision360.html?d=926171574&amp;zoomslide=1&amp;z=1926171574&amp;ISCONFIRM=0","VIDEO")</f>
        <v>VIDEO</v>
      </c>
      <c r="AA2469" s="19" t="str">
        <f>HYPERLINK("https://ssdweb.co/ssdweb/CERTH/636429936.pdf","CERTI")</f>
        <v>CERTI</v>
      </c>
    </row>
    <row r="2470" spans="1:27" ht="15" x14ac:dyDescent="0.25">
      <c r="A2470" s="2">
        <v>2465</v>
      </c>
      <c r="B2470" s="39">
        <v>926191089</v>
      </c>
      <c r="C2470" s="28" t="str">
        <f>HYPERLINK("https://pld.live/RapDetail.aspx?STONELIST=926191089","DNA")</f>
        <v>DNA</v>
      </c>
      <c r="D2470" s="18" t="s">
        <v>7954</v>
      </c>
      <c r="E2470" s="18" t="s">
        <v>5128</v>
      </c>
      <c r="F2470" s="2" t="s">
        <v>7987</v>
      </c>
      <c r="G2470" s="2" t="s">
        <v>861</v>
      </c>
      <c r="H2470" s="14">
        <v>0.31</v>
      </c>
      <c r="I2470" s="2" t="s">
        <v>267</v>
      </c>
      <c r="J2470" s="2" t="s">
        <v>3942</v>
      </c>
      <c r="K2470" s="2" t="s">
        <v>3390</v>
      </c>
      <c r="L2470" s="2" t="s">
        <v>5221</v>
      </c>
      <c r="M2470" s="2" t="s">
        <v>5721</v>
      </c>
      <c r="N2470" s="2" t="s">
        <v>2317</v>
      </c>
      <c r="O2470" s="14">
        <v>2200</v>
      </c>
      <c r="P2470" s="14">
        <v>93.73</v>
      </c>
      <c r="Q2470" s="14">
        <v>137.94</v>
      </c>
      <c r="R2470" s="14">
        <v>42.76</v>
      </c>
      <c r="S2470" s="2" t="s">
        <v>7709</v>
      </c>
      <c r="T2470" s="2">
        <v>1</v>
      </c>
      <c r="U2470" s="2">
        <v>61.8</v>
      </c>
      <c r="V2470" s="2">
        <v>57</v>
      </c>
      <c r="W2470" s="2" t="s">
        <v>7862</v>
      </c>
      <c r="X2470" s="2" t="s">
        <v>5405</v>
      </c>
      <c r="Y2470" s="2">
        <v>682</v>
      </c>
      <c r="Z2470" s="19" t="str">
        <f>HYPERLINK("https://ssdweb.co/ssdweb/hd/Vision360.html?d=926191089&amp;zoomslide=1&amp;z=1926191089&amp;ISCONFIRM=0","VIDEO")</f>
        <v>VIDEO</v>
      </c>
      <c r="AA2470" s="19" t="str">
        <f>HYPERLINK("https://ssdweb.co/ssdweb/CERTH/637467314.pdf","CERTI")</f>
        <v>CERTI</v>
      </c>
    </row>
    <row r="2471" spans="1:27" ht="15" x14ac:dyDescent="0.25">
      <c r="A2471" s="2">
        <v>2466</v>
      </c>
      <c r="B2471" s="39">
        <v>926440921</v>
      </c>
      <c r="C2471" s="28" t="str">
        <f>HYPERLINK("https://pld.live/RapDetail.aspx?STONELIST=926440921","DNA")</f>
        <v>DNA</v>
      </c>
      <c r="D2471" s="18" t="s">
        <v>7954</v>
      </c>
      <c r="E2471" s="18" t="s">
        <v>5128</v>
      </c>
      <c r="F2471" s="2" t="s">
        <v>7987</v>
      </c>
      <c r="G2471" s="2" t="s">
        <v>861</v>
      </c>
      <c r="H2471" s="14">
        <v>0.31</v>
      </c>
      <c r="I2471" s="2" t="s">
        <v>267</v>
      </c>
      <c r="J2471" s="2" t="s">
        <v>3942</v>
      </c>
      <c r="K2471" s="2" t="s">
        <v>3390</v>
      </c>
      <c r="L2471" s="2" t="s">
        <v>5721</v>
      </c>
      <c r="M2471" s="2" t="s">
        <v>5221</v>
      </c>
      <c r="N2471" s="2" t="s">
        <v>2317</v>
      </c>
      <c r="O2471" s="14">
        <v>2200</v>
      </c>
      <c r="P2471" s="14">
        <v>93.73</v>
      </c>
      <c r="Q2471" s="14">
        <v>137.94</v>
      </c>
      <c r="R2471" s="14">
        <v>42.76</v>
      </c>
      <c r="S2471" s="2" t="s">
        <v>1240</v>
      </c>
      <c r="T2471" s="2">
        <v>1.01</v>
      </c>
      <c r="U2471" s="2">
        <v>60.1</v>
      </c>
      <c r="V2471" s="2">
        <v>58</v>
      </c>
      <c r="W2471" s="2" t="s">
        <v>7862</v>
      </c>
      <c r="X2471" s="2" t="s">
        <v>5405</v>
      </c>
      <c r="Y2471" s="2">
        <v>682</v>
      </c>
      <c r="Z2471" s="19" t="str">
        <f>HYPERLINK("https://ssdweb.co/ssdweb/hd/Vision360.html?d=926440921&amp;zoomslide=1&amp;z=1926440921&amp;ISCONFIRM=0","VIDEO")</f>
        <v>VIDEO</v>
      </c>
      <c r="AA2471" s="19" t="str">
        <f>HYPERLINK("https://ssdweb.co/ssdweb/CERTH/667408536.pdf","CERTI")</f>
        <v>CERTI</v>
      </c>
    </row>
    <row r="2472" spans="1:27" ht="15" x14ac:dyDescent="0.25">
      <c r="A2472" s="2">
        <v>2467</v>
      </c>
      <c r="B2472" s="39">
        <v>926240589</v>
      </c>
      <c r="C2472" s="28" t="str">
        <f>HYPERLINK("https://pld.live/RapDetail.aspx?STONELIST=926240589","DNA")</f>
        <v>DNA</v>
      </c>
      <c r="D2472" s="18" t="s">
        <v>7954</v>
      </c>
      <c r="E2472" s="18" t="s">
        <v>5128</v>
      </c>
      <c r="F2472" s="2" t="s">
        <v>7987</v>
      </c>
      <c r="G2472" s="2" t="s">
        <v>861</v>
      </c>
      <c r="H2472" s="14">
        <v>0.31</v>
      </c>
      <c r="I2472" s="2" t="s">
        <v>267</v>
      </c>
      <c r="J2472" s="2" t="s">
        <v>3942</v>
      </c>
      <c r="K2472" s="2" t="s">
        <v>3390</v>
      </c>
      <c r="L2472" s="2" t="s">
        <v>5721</v>
      </c>
      <c r="M2472" s="2" t="s">
        <v>5221</v>
      </c>
      <c r="N2472" s="2" t="s">
        <v>2317</v>
      </c>
      <c r="O2472" s="14">
        <v>2200</v>
      </c>
      <c r="P2472" s="14">
        <v>93.73</v>
      </c>
      <c r="Q2472" s="14">
        <v>137.94</v>
      </c>
      <c r="R2472" s="14">
        <v>42.76</v>
      </c>
      <c r="S2472" s="2" t="s">
        <v>1492</v>
      </c>
      <c r="T2472" s="2">
        <v>1.01</v>
      </c>
      <c r="U2472" s="2">
        <v>62.4</v>
      </c>
      <c r="V2472" s="2">
        <v>57</v>
      </c>
      <c r="W2472" s="2" t="s">
        <v>7862</v>
      </c>
      <c r="X2472" s="2" t="s">
        <v>5405</v>
      </c>
      <c r="Y2472" s="2">
        <v>682</v>
      </c>
      <c r="Z2472" s="19" t="str">
        <f>HYPERLINK("https://ssdweb.co/ssdweb/hd/Vision360.html?d=926240589&amp;zoomslide=1&amp;z=1926240589&amp;ISCONFIRM=0","VIDEO")</f>
        <v>VIDEO</v>
      </c>
      <c r="AA2472" s="19" t="str">
        <f>HYPERLINK("https://ssdweb.co/ssdweb/CERTH/636429769.pdf","CERTI")</f>
        <v>CERTI</v>
      </c>
    </row>
    <row r="2473" spans="1:27" ht="15" x14ac:dyDescent="0.25">
      <c r="A2473" s="2">
        <v>2468</v>
      </c>
      <c r="B2473" s="39">
        <v>926301173</v>
      </c>
      <c r="C2473" s="28" t="str">
        <f>HYPERLINK("https://pld.live/RapDetail.aspx?STONELIST=926301173","DNA")</f>
        <v>DNA</v>
      </c>
      <c r="D2473" s="18" t="s">
        <v>7954</v>
      </c>
      <c r="E2473" s="18" t="s">
        <v>5128</v>
      </c>
      <c r="F2473" s="2" t="s">
        <v>7987</v>
      </c>
      <c r="G2473" s="2" t="s">
        <v>861</v>
      </c>
      <c r="H2473" s="14">
        <v>0.31</v>
      </c>
      <c r="I2473" s="2" t="s">
        <v>267</v>
      </c>
      <c r="J2473" s="2" t="s">
        <v>3942</v>
      </c>
      <c r="K2473" s="2" t="s">
        <v>3390</v>
      </c>
      <c r="L2473" s="2" t="s">
        <v>5721</v>
      </c>
      <c r="M2473" s="2" t="s">
        <v>5221</v>
      </c>
      <c r="N2473" s="2" t="s">
        <v>2317</v>
      </c>
      <c r="O2473" s="14">
        <v>2200</v>
      </c>
      <c r="P2473" s="14">
        <v>93.73</v>
      </c>
      <c r="Q2473" s="14">
        <v>137.94</v>
      </c>
      <c r="R2473" s="14">
        <v>42.76</v>
      </c>
      <c r="S2473" s="2" t="s">
        <v>5749</v>
      </c>
      <c r="T2473" s="2">
        <v>1.01</v>
      </c>
      <c r="U2473" s="2">
        <v>59.8</v>
      </c>
      <c r="V2473" s="2">
        <v>59</v>
      </c>
      <c r="W2473" s="2" t="s">
        <v>7862</v>
      </c>
      <c r="X2473" s="2" t="s">
        <v>5405</v>
      </c>
      <c r="Y2473" s="2">
        <v>682</v>
      </c>
      <c r="Z2473" s="19" t="str">
        <f>HYPERLINK("https://ssdweb.co/ssdweb/hd/Vision360.html?d=926301173&amp;zoomslide=1&amp;z=1926301173&amp;ISCONFIRM=0","VIDEO")</f>
        <v>VIDEO</v>
      </c>
      <c r="AA2473" s="19" t="str">
        <f>HYPERLINK("https://ssdweb.co/ssdweb/CERTH/667408555.pdf","CERTI")</f>
        <v>CERTI</v>
      </c>
    </row>
    <row r="2474" spans="1:27" ht="15" x14ac:dyDescent="0.25">
      <c r="A2474" s="2">
        <v>2469</v>
      </c>
      <c r="B2474" s="39">
        <v>926091264</v>
      </c>
      <c r="C2474" s="28" t="str">
        <f>HYPERLINK("https://pld.live/RapDetail.aspx?STONELIST=926091264","DNA")</f>
        <v>DNA</v>
      </c>
      <c r="D2474" s="18" t="s">
        <v>7954</v>
      </c>
      <c r="E2474" s="18" t="s">
        <v>5128</v>
      </c>
      <c r="F2474" s="2" t="s">
        <v>7987</v>
      </c>
      <c r="G2474" s="2" t="s">
        <v>861</v>
      </c>
      <c r="H2474" s="14">
        <v>0.31</v>
      </c>
      <c r="I2474" s="2" t="s">
        <v>267</v>
      </c>
      <c r="J2474" s="2" t="s">
        <v>3942</v>
      </c>
      <c r="K2474" s="2" t="s">
        <v>3390</v>
      </c>
      <c r="L2474" s="2" t="s">
        <v>5721</v>
      </c>
      <c r="M2474" s="2" t="s">
        <v>5721</v>
      </c>
      <c r="N2474" s="2" t="s">
        <v>2317</v>
      </c>
      <c r="O2474" s="14">
        <v>2200</v>
      </c>
      <c r="P2474" s="14">
        <v>93.82</v>
      </c>
      <c r="Q2474" s="14">
        <v>135.96</v>
      </c>
      <c r="R2474" s="14">
        <v>42.15</v>
      </c>
      <c r="S2474" s="2" t="s">
        <v>4990</v>
      </c>
      <c r="T2474" s="2">
        <v>1.01</v>
      </c>
      <c r="U2474" s="2">
        <v>61.8</v>
      </c>
      <c r="V2474" s="2">
        <v>56</v>
      </c>
      <c r="W2474" s="2" t="s">
        <v>7862</v>
      </c>
      <c r="X2474" s="2" t="s">
        <v>5405</v>
      </c>
      <c r="Y2474" s="2">
        <v>682</v>
      </c>
      <c r="Z2474" s="19" t="str">
        <f>HYPERLINK("https://ssdweb.co/ssdweb/hd/Vision360.html?d=926091264&amp;zoomslide=1&amp;z=1926091264&amp;ISCONFIRM=0","VIDEO")</f>
        <v>VIDEO</v>
      </c>
      <c r="AA2474" s="19" t="str">
        <f>HYPERLINK("https://ssdweb.co/ssdweb/CERTH/632449442.pdf","CERTI")</f>
        <v>CERTI</v>
      </c>
    </row>
    <row r="2475" spans="1:27" ht="15" x14ac:dyDescent="0.25">
      <c r="A2475" s="2">
        <v>2470</v>
      </c>
      <c r="B2475" s="39">
        <v>941360465</v>
      </c>
      <c r="C2475" s="28" t="str">
        <f>HYPERLINK("https://pld.live/RapDetail.aspx?STONELIST=941360465","DNA")</f>
        <v>DNA</v>
      </c>
      <c r="D2475" s="18" t="s">
        <v>7954</v>
      </c>
      <c r="E2475" s="18" t="s">
        <v>2186</v>
      </c>
      <c r="F2475" s="2" t="s">
        <v>7987</v>
      </c>
      <c r="G2475" s="2" t="s">
        <v>861</v>
      </c>
      <c r="H2475" s="14">
        <v>0.31</v>
      </c>
      <c r="I2475" s="2" t="s">
        <v>267</v>
      </c>
      <c r="J2475" s="2" t="s">
        <v>3942</v>
      </c>
      <c r="K2475" s="2" t="s">
        <v>5221</v>
      </c>
      <c r="L2475" s="2" t="s">
        <v>5221</v>
      </c>
      <c r="M2475" s="2" t="s">
        <v>5221</v>
      </c>
      <c r="N2475" s="2" t="s">
        <v>2317</v>
      </c>
      <c r="O2475" s="14">
        <v>2200</v>
      </c>
      <c r="P2475" s="14">
        <v>93.27</v>
      </c>
      <c r="Q2475" s="14">
        <v>148.06</v>
      </c>
      <c r="R2475" s="14">
        <v>45.9</v>
      </c>
      <c r="S2475" s="2" t="s">
        <v>2073</v>
      </c>
      <c r="T2475" s="2">
        <v>1</v>
      </c>
      <c r="U2475" s="2">
        <v>61.3</v>
      </c>
      <c r="V2475" s="2">
        <v>59</v>
      </c>
      <c r="W2475" s="2" t="s">
        <v>7862</v>
      </c>
      <c r="X2475" s="2" t="s">
        <v>5405</v>
      </c>
      <c r="Y2475" s="2">
        <v>682</v>
      </c>
      <c r="Z2475" s="19" t="str">
        <f>HYPERLINK("https://ssdweb.co/ssdweb/hd/Vision360.html?d=941360465&amp;zoomslide=1&amp;z=1941360465&amp;ISCONFIRM=0","VIDEO")</f>
        <v>VIDEO</v>
      </c>
      <c r="AA2475" s="19" t="str">
        <f>HYPERLINK("https://ssdweb.co/ssdweb/CERTH/689587223.pdf","CERTI")</f>
        <v>CERTI</v>
      </c>
    </row>
    <row r="2476" spans="1:27" ht="15" x14ac:dyDescent="0.25">
      <c r="A2476" s="2">
        <v>2471</v>
      </c>
      <c r="B2476" s="39">
        <v>941360538</v>
      </c>
      <c r="C2476" s="28" t="str">
        <f>HYPERLINK("https://pld.live/RapDetail.aspx?STONELIST=941360538","DNA")</f>
        <v>DNA</v>
      </c>
      <c r="D2476" s="18" t="s">
        <v>7954</v>
      </c>
      <c r="E2476" s="18" t="s">
        <v>2186</v>
      </c>
      <c r="F2476" s="2" t="s">
        <v>7987</v>
      </c>
      <c r="G2476" s="2" t="s">
        <v>861</v>
      </c>
      <c r="H2476" s="14">
        <v>0.31</v>
      </c>
      <c r="I2476" s="2" t="s">
        <v>267</v>
      </c>
      <c r="J2476" s="2" t="s">
        <v>3942</v>
      </c>
      <c r="K2476" s="2" t="s">
        <v>5221</v>
      </c>
      <c r="L2476" s="2" t="s">
        <v>5221</v>
      </c>
      <c r="M2476" s="2" t="s">
        <v>5221</v>
      </c>
      <c r="N2476" s="2" t="s">
        <v>2317</v>
      </c>
      <c r="O2476" s="14">
        <v>2200</v>
      </c>
      <c r="P2476" s="14">
        <v>93.27</v>
      </c>
      <c r="Q2476" s="14">
        <v>148.06</v>
      </c>
      <c r="R2476" s="14">
        <v>45.9</v>
      </c>
      <c r="S2476" s="2" t="s">
        <v>948</v>
      </c>
      <c r="T2476" s="2">
        <v>1.01</v>
      </c>
      <c r="U2476" s="2">
        <v>62.6</v>
      </c>
      <c r="V2476" s="2">
        <v>57</v>
      </c>
      <c r="W2476" s="2" t="s">
        <v>7862</v>
      </c>
      <c r="X2476" s="2" t="s">
        <v>5405</v>
      </c>
      <c r="Y2476" s="2">
        <v>682</v>
      </c>
      <c r="Z2476" s="19" t="str">
        <f>HYPERLINK("https://ssdweb.co/ssdweb/hd/Vision360.html?d=941360538&amp;zoomslide=1&amp;z=1941360538&amp;ISCONFIRM=0","VIDEO")</f>
        <v>VIDEO</v>
      </c>
      <c r="AA2476" s="19" t="str">
        <f>HYPERLINK("https://ssdweb.co/ssdweb/CERTH/687591614.pdf","CERTI")</f>
        <v>CERTI</v>
      </c>
    </row>
    <row r="2477" spans="1:27" ht="15" x14ac:dyDescent="0.25">
      <c r="A2477" s="2">
        <v>2472</v>
      </c>
      <c r="B2477" s="39">
        <v>920661255</v>
      </c>
      <c r="C2477" s="28" t="str">
        <f>HYPERLINK("https://pld.live/RapDetail.aspx?STONELIST=920661255","DNA")</f>
        <v>DNA</v>
      </c>
      <c r="D2477" s="18" t="s">
        <v>7954</v>
      </c>
      <c r="E2477" s="18" t="s">
        <v>5128</v>
      </c>
      <c r="F2477" s="2" t="s">
        <v>7987</v>
      </c>
      <c r="G2477" s="2" t="s">
        <v>861</v>
      </c>
      <c r="H2477" s="14">
        <v>0.31</v>
      </c>
      <c r="I2477" s="2" t="s">
        <v>267</v>
      </c>
      <c r="J2477" s="2" t="s">
        <v>3942</v>
      </c>
      <c r="K2477" s="2" t="s">
        <v>5221</v>
      </c>
      <c r="L2477" s="2" t="s">
        <v>5221</v>
      </c>
      <c r="M2477" s="2" t="s">
        <v>5721</v>
      </c>
      <c r="N2477" s="2" t="s">
        <v>2317</v>
      </c>
      <c r="O2477" s="14">
        <v>2200</v>
      </c>
      <c r="P2477" s="14">
        <v>93.73</v>
      </c>
      <c r="Q2477" s="14">
        <v>137.94</v>
      </c>
      <c r="R2477" s="14">
        <v>42.76</v>
      </c>
      <c r="S2477" s="2" t="s">
        <v>298</v>
      </c>
      <c r="T2477" s="2">
        <v>1.01</v>
      </c>
      <c r="U2477" s="2">
        <v>60.2</v>
      </c>
      <c r="V2477" s="2">
        <v>60</v>
      </c>
      <c r="W2477" s="2" t="s">
        <v>7862</v>
      </c>
      <c r="X2477" s="2" t="s">
        <v>5405</v>
      </c>
      <c r="Y2477" s="2">
        <v>682</v>
      </c>
      <c r="Z2477" s="19" t="str">
        <f>HYPERLINK("https://ssdweb.co/ssdweb/hd/Vision360.html?d=920661255&amp;zoomslide=1&amp;z=1920661255&amp;ISCONFIRM=0","VIDEO")</f>
        <v>VIDEO</v>
      </c>
      <c r="AA2477" s="19" t="str">
        <f>HYPERLINK("https://ssdweb.co/ssdweb/CERTH/637467382.pdf","CERTI")</f>
        <v>CERTI</v>
      </c>
    </row>
    <row r="2478" spans="1:27" ht="15" x14ac:dyDescent="0.25">
      <c r="A2478" s="2">
        <v>2473</v>
      </c>
      <c r="B2478" s="39">
        <v>926230988</v>
      </c>
      <c r="C2478" s="28" t="str">
        <f>HYPERLINK("https://pld.live/RapDetail.aspx?STONELIST=926230988","DNA")</f>
        <v>DNA</v>
      </c>
      <c r="D2478" s="18" t="s">
        <v>7954</v>
      </c>
      <c r="E2478" s="18" t="s">
        <v>5128</v>
      </c>
      <c r="F2478" s="2" t="s">
        <v>7987</v>
      </c>
      <c r="G2478" s="2" t="s">
        <v>861</v>
      </c>
      <c r="H2478" s="14">
        <v>0.31</v>
      </c>
      <c r="I2478" s="2" t="s">
        <v>267</v>
      </c>
      <c r="J2478" s="2" t="s">
        <v>3942</v>
      </c>
      <c r="K2478" s="2" t="s">
        <v>5221</v>
      </c>
      <c r="L2478" s="2" t="s">
        <v>5221</v>
      </c>
      <c r="M2478" s="2" t="s">
        <v>5721</v>
      </c>
      <c r="N2478" s="2" t="s">
        <v>2317</v>
      </c>
      <c r="O2478" s="14">
        <v>2200</v>
      </c>
      <c r="P2478" s="14">
        <v>93.73</v>
      </c>
      <c r="Q2478" s="14">
        <v>137.94</v>
      </c>
      <c r="R2478" s="14">
        <v>42.76</v>
      </c>
      <c r="S2478" s="2" t="s">
        <v>4431</v>
      </c>
      <c r="T2478" s="2">
        <v>1</v>
      </c>
      <c r="U2478" s="2">
        <v>59.8</v>
      </c>
      <c r="V2478" s="2">
        <v>62</v>
      </c>
      <c r="W2478" s="2" t="s">
        <v>7862</v>
      </c>
      <c r="X2478" s="2" t="s">
        <v>5405</v>
      </c>
      <c r="Y2478" s="2">
        <v>682</v>
      </c>
      <c r="Z2478" s="19" t="str">
        <f>HYPERLINK("https://ssdweb.co/ssdweb/hd/Vision360.html?d=926230988&amp;zoomslide=1&amp;z=1926230988&amp;ISCONFIRM=0","VIDEO")</f>
        <v>VIDEO</v>
      </c>
      <c r="AA2478" s="19" t="str">
        <f>HYPERLINK("https://ssdweb.co/ssdweb/CERTH/639413236.pdf","CERTI")</f>
        <v>CERTI</v>
      </c>
    </row>
    <row r="2479" spans="1:27" ht="15" x14ac:dyDescent="0.25">
      <c r="A2479" s="2">
        <v>2474</v>
      </c>
      <c r="B2479" s="39">
        <v>926240712</v>
      </c>
      <c r="C2479" s="28" t="str">
        <f>HYPERLINK("https://pld.live/RapDetail.aspx?STONELIST=926240712","DNA")</f>
        <v>DNA</v>
      </c>
      <c r="D2479" s="18" t="s">
        <v>7954</v>
      </c>
      <c r="E2479" s="18" t="s">
        <v>5128</v>
      </c>
      <c r="F2479" s="2" t="s">
        <v>7987</v>
      </c>
      <c r="G2479" s="2" t="s">
        <v>861</v>
      </c>
      <c r="H2479" s="14">
        <v>0.31</v>
      </c>
      <c r="I2479" s="2" t="s">
        <v>267</v>
      </c>
      <c r="J2479" s="2" t="s">
        <v>3942</v>
      </c>
      <c r="K2479" s="2" t="s">
        <v>5221</v>
      </c>
      <c r="L2479" s="2" t="s">
        <v>5221</v>
      </c>
      <c r="M2479" s="2" t="s">
        <v>5721</v>
      </c>
      <c r="N2479" s="2" t="s">
        <v>2317</v>
      </c>
      <c r="O2479" s="14">
        <v>2200</v>
      </c>
      <c r="P2479" s="14">
        <v>93.73</v>
      </c>
      <c r="Q2479" s="14">
        <v>137.94</v>
      </c>
      <c r="R2479" s="14">
        <v>42.76</v>
      </c>
      <c r="S2479" s="2" t="s">
        <v>2996</v>
      </c>
      <c r="T2479" s="2">
        <v>1.01</v>
      </c>
      <c r="U2479" s="2">
        <v>62</v>
      </c>
      <c r="V2479" s="2">
        <v>60</v>
      </c>
      <c r="W2479" s="2" t="s">
        <v>7862</v>
      </c>
      <c r="X2479" s="2" t="s">
        <v>5405</v>
      </c>
      <c r="Y2479" s="2">
        <v>682</v>
      </c>
      <c r="Z2479" s="19" t="str">
        <f>HYPERLINK("https://ssdweb.co/ssdweb/hd/Vision360.html?d=926240712&amp;zoomslide=1&amp;z=1926240712&amp;ISCONFIRM=0","VIDEO")</f>
        <v>VIDEO</v>
      </c>
      <c r="AA2479" s="19" t="str">
        <f>HYPERLINK("https://ssdweb.co/ssdweb/CERTH/642447842.pdf","CERTI")</f>
        <v>CERTI</v>
      </c>
    </row>
    <row r="2480" spans="1:27" ht="15" x14ac:dyDescent="0.25">
      <c r="A2480" s="2">
        <v>2475</v>
      </c>
      <c r="B2480" s="39">
        <v>926231246</v>
      </c>
      <c r="C2480" s="28" t="str">
        <f>HYPERLINK("https://pld.live/RapDetail.aspx?STONELIST=926231246","DNA")</f>
        <v>DNA</v>
      </c>
      <c r="D2480" s="18" t="s">
        <v>7954</v>
      </c>
      <c r="E2480" s="18" t="s">
        <v>5128</v>
      </c>
      <c r="F2480" s="2" t="s">
        <v>7987</v>
      </c>
      <c r="G2480" s="2" t="s">
        <v>861</v>
      </c>
      <c r="H2480" s="14">
        <v>0.31</v>
      </c>
      <c r="I2480" s="2" t="s">
        <v>267</v>
      </c>
      <c r="J2480" s="2" t="s">
        <v>3942</v>
      </c>
      <c r="K2480" s="2" t="s">
        <v>5221</v>
      </c>
      <c r="L2480" s="2" t="s">
        <v>5221</v>
      </c>
      <c r="M2480" s="2" t="s">
        <v>5721</v>
      </c>
      <c r="N2480" s="2" t="s">
        <v>2317</v>
      </c>
      <c r="O2480" s="14">
        <v>2200</v>
      </c>
      <c r="P2480" s="14">
        <v>93.73</v>
      </c>
      <c r="Q2480" s="14">
        <v>137.94</v>
      </c>
      <c r="R2480" s="14">
        <v>42.76</v>
      </c>
      <c r="S2480" s="2" t="s">
        <v>2929</v>
      </c>
      <c r="T2480" s="2">
        <v>1.01</v>
      </c>
      <c r="U2480" s="2">
        <v>63.4</v>
      </c>
      <c r="V2480" s="2">
        <v>59</v>
      </c>
      <c r="W2480" s="2" t="s">
        <v>7862</v>
      </c>
      <c r="X2480" s="2" t="s">
        <v>5405</v>
      </c>
      <c r="Y2480" s="2">
        <v>682</v>
      </c>
      <c r="Z2480" s="19" t="str">
        <f>HYPERLINK("https://ssdweb.co/ssdweb/hd/Vision360.html?d=926231246&amp;zoomslide=1&amp;z=1926231246&amp;ISCONFIRM=0","VIDEO")</f>
        <v>VIDEO</v>
      </c>
      <c r="AA2480" s="19" t="str">
        <f>HYPERLINK("https://ssdweb.co/ssdweb/CERTH/642447798.pdf","CERTI")</f>
        <v>CERTI</v>
      </c>
    </row>
    <row r="2481" spans="1:27" ht="15" x14ac:dyDescent="0.25">
      <c r="A2481" s="2">
        <v>2476</v>
      </c>
      <c r="B2481" s="39">
        <v>926261175</v>
      </c>
      <c r="C2481" s="28" t="str">
        <f>HYPERLINK("https://pld.live/RapDetail.aspx?STONELIST=926261175","DNA")</f>
        <v>DNA</v>
      </c>
      <c r="D2481" s="18" t="s">
        <v>7954</v>
      </c>
      <c r="E2481" s="18" t="s">
        <v>5128</v>
      </c>
      <c r="F2481" s="2" t="s">
        <v>7987</v>
      </c>
      <c r="G2481" s="2" t="s">
        <v>861</v>
      </c>
      <c r="H2481" s="14">
        <v>0.31</v>
      </c>
      <c r="I2481" s="2" t="s">
        <v>267</v>
      </c>
      <c r="J2481" s="2" t="s">
        <v>3942</v>
      </c>
      <c r="K2481" s="2" t="s">
        <v>5221</v>
      </c>
      <c r="L2481" s="2" t="s">
        <v>5221</v>
      </c>
      <c r="M2481" s="2" t="s">
        <v>5721</v>
      </c>
      <c r="N2481" s="2" t="s">
        <v>2317</v>
      </c>
      <c r="O2481" s="14">
        <v>2200</v>
      </c>
      <c r="P2481" s="14">
        <v>93.73</v>
      </c>
      <c r="Q2481" s="14">
        <v>137.94</v>
      </c>
      <c r="R2481" s="14">
        <v>42.76</v>
      </c>
      <c r="S2481" s="2" t="s">
        <v>37</v>
      </c>
      <c r="T2481" s="2">
        <v>1.01</v>
      </c>
      <c r="U2481" s="2">
        <v>62.9</v>
      </c>
      <c r="V2481" s="2">
        <v>58</v>
      </c>
      <c r="W2481" s="2" t="s">
        <v>7862</v>
      </c>
      <c r="X2481" s="2" t="s">
        <v>5405</v>
      </c>
      <c r="Y2481" s="2">
        <v>682</v>
      </c>
      <c r="Z2481" s="19" t="str">
        <f>HYPERLINK("https://ssdweb.co/ssdweb/hd/Vision360.html?d=926261175&amp;zoomslide=1&amp;z=1926261175&amp;ISCONFIRM=0","VIDEO")</f>
        <v>VIDEO</v>
      </c>
      <c r="AA2481" s="19" t="str">
        <f>HYPERLINK("https://ssdweb.co/ssdweb/CERTH/640419079.pdf","CERTI")</f>
        <v>CERTI</v>
      </c>
    </row>
    <row r="2482" spans="1:27" ht="15" x14ac:dyDescent="0.25">
      <c r="A2482" s="2">
        <v>2477</v>
      </c>
      <c r="B2482" s="39">
        <v>926301252</v>
      </c>
      <c r="C2482" s="28" t="str">
        <f>HYPERLINK("https://pld.live/RapDetail.aspx?STONELIST=926301252","DNA")</f>
        <v>DNA</v>
      </c>
      <c r="D2482" s="18" t="s">
        <v>7954</v>
      </c>
      <c r="E2482" s="18" t="s">
        <v>5128</v>
      </c>
      <c r="F2482" s="2" t="s">
        <v>7987</v>
      </c>
      <c r="G2482" s="2" t="s">
        <v>861</v>
      </c>
      <c r="H2482" s="14">
        <v>0.31</v>
      </c>
      <c r="I2482" s="2" t="s">
        <v>267</v>
      </c>
      <c r="J2482" s="2" t="s">
        <v>3942</v>
      </c>
      <c r="K2482" s="2" t="s">
        <v>5221</v>
      </c>
      <c r="L2482" s="2" t="s">
        <v>5221</v>
      </c>
      <c r="M2482" s="2" t="s">
        <v>5721</v>
      </c>
      <c r="N2482" s="2" t="s">
        <v>2317</v>
      </c>
      <c r="O2482" s="14">
        <v>2200</v>
      </c>
      <c r="P2482" s="14">
        <v>93.73</v>
      </c>
      <c r="Q2482" s="14">
        <v>137.94</v>
      </c>
      <c r="R2482" s="14">
        <v>42.76</v>
      </c>
      <c r="S2482" s="2" t="s">
        <v>5454</v>
      </c>
      <c r="T2482" s="2">
        <v>1.01</v>
      </c>
      <c r="U2482" s="2">
        <v>60.4</v>
      </c>
      <c r="V2482" s="2">
        <v>61</v>
      </c>
      <c r="W2482" s="2" t="s">
        <v>7862</v>
      </c>
      <c r="X2482" s="2" t="s">
        <v>5405</v>
      </c>
      <c r="Y2482" s="2">
        <v>682</v>
      </c>
      <c r="Z2482" s="19" t="str">
        <f>HYPERLINK("https://ssdweb.co/ssdweb/hd/Vision360.html?d=926301252&amp;zoomslide=1&amp;z=1926301252&amp;ISCONFIRM=0","VIDEO")</f>
        <v>VIDEO</v>
      </c>
      <c r="AA2482" s="19" t="str">
        <f>HYPERLINK("https://ssdweb.co/ssdweb/CERTH/667408517.pdf","CERTI")</f>
        <v>CERTI</v>
      </c>
    </row>
    <row r="2483" spans="1:27" ht="15" x14ac:dyDescent="0.25">
      <c r="A2483" s="2">
        <v>2478</v>
      </c>
      <c r="B2483" s="39">
        <v>926391338</v>
      </c>
      <c r="C2483" s="28" t="str">
        <f>HYPERLINK("https://pld.live/RapDetail.aspx?STONELIST=926391338","DNA")</f>
        <v>DNA</v>
      </c>
      <c r="D2483" s="18" t="s">
        <v>7954</v>
      </c>
      <c r="E2483" s="18" t="s">
        <v>5128</v>
      </c>
      <c r="F2483" s="2" t="s">
        <v>7987</v>
      </c>
      <c r="G2483" s="2" t="s">
        <v>861</v>
      </c>
      <c r="H2483" s="14">
        <v>0.31</v>
      </c>
      <c r="I2483" s="2" t="s">
        <v>267</v>
      </c>
      <c r="J2483" s="2" t="s">
        <v>3942</v>
      </c>
      <c r="K2483" s="2" t="s">
        <v>5221</v>
      </c>
      <c r="L2483" s="2" t="s">
        <v>5221</v>
      </c>
      <c r="M2483" s="2" t="s">
        <v>5721</v>
      </c>
      <c r="N2483" s="2" t="s">
        <v>2317</v>
      </c>
      <c r="O2483" s="14">
        <v>2200</v>
      </c>
      <c r="P2483" s="14">
        <v>93.73</v>
      </c>
      <c r="Q2483" s="14">
        <v>137.94</v>
      </c>
      <c r="R2483" s="14">
        <v>42.76</v>
      </c>
      <c r="S2483" s="2" t="s">
        <v>5368</v>
      </c>
      <c r="T2483" s="2">
        <v>1</v>
      </c>
      <c r="U2483" s="2">
        <v>63</v>
      </c>
      <c r="V2483" s="2">
        <v>58</v>
      </c>
      <c r="W2483" s="2" t="s">
        <v>7862</v>
      </c>
      <c r="X2483" s="2" t="s">
        <v>5405</v>
      </c>
      <c r="Y2483" s="2">
        <v>682</v>
      </c>
      <c r="Z2483" s="19" t="str">
        <f>HYPERLINK("https://ssdweb.co/ssdweb/hd/Vision360.html?d=926391338&amp;zoomslide=1&amp;z=1926391338&amp;ISCONFIRM=0","VIDEO")</f>
        <v>VIDEO</v>
      </c>
      <c r="AA2483" s="19" t="str">
        <f>HYPERLINK("https://ssdweb.co/ssdweb/CERTH/667408535.pdf","CERTI")</f>
        <v>CERTI</v>
      </c>
    </row>
    <row r="2484" spans="1:27" ht="15" x14ac:dyDescent="0.25">
      <c r="A2484" s="2">
        <v>2479</v>
      </c>
      <c r="B2484" s="39">
        <v>926430947</v>
      </c>
      <c r="C2484" s="28" t="str">
        <f>HYPERLINK("https://pld.live/RapDetail.aspx?STONELIST=926430947","DNA")</f>
        <v>DNA</v>
      </c>
      <c r="D2484" s="18" t="s">
        <v>7954</v>
      </c>
      <c r="E2484" s="18" t="s">
        <v>5128</v>
      </c>
      <c r="F2484" s="2" t="s">
        <v>7987</v>
      </c>
      <c r="G2484" s="2" t="s">
        <v>861</v>
      </c>
      <c r="H2484" s="14">
        <v>0.31</v>
      </c>
      <c r="I2484" s="2" t="s">
        <v>267</v>
      </c>
      <c r="J2484" s="2" t="s">
        <v>3942</v>
      </c>
      <c r="K2484" s="2" t="s">
        <v>5221</v>
      </c>
      <c r="L2484" s="2" t="s">
        <v>5221</v>
      </c>
      <c r="M2484" s="2" t="s">
        <v>5721</v>
      </c>
      <c r="N2484" s="2" t="s">
        <v>2317</v>
      </c>
      <c r="O2484" s="14">
        <v>2200</v>
      </c>
      <c r="P2484" s="14">
        <v>93.73</v>
      </c>
      <c r="Q2484" s="14">
        <v>137.94</v>
      </c>
      <c r="R2484" s="14">
        <v>42.76</v>
      </c>
      <c r="S2484" s="2" t="s">
        <v>3729</v>
      </c>
      <c r="T2484" s="2">
        <v>1.01</v>
      </c>
      <c r="U2484" s="2">
        <v>62.7</v>
      </c>
      <c r="V2484" s="2">
        <v>55</v>
      </c>
      <c r="W2484" s="2" t="s">
        <v>7862</v>
      </c>
      <c r="X2484" s="2" t="s">
        <v>5405</v>
      </c>
      <c r="Y2484" s="2">
        <v>682</v>
      </c>
      <c r="Z2484" s="19" t="str">
        <f>HYPERLINK("https://ssdweb.co/ssdweb/hd/Vision360.html?d=926430947&amp;zoomslide=1&amp;z=1926430947&amp;ISCONFIRM=0","VIDEO")</f>
        <v>VIDEO</v>
      </c>
      <c r="AA2484" s="19" t="str">
        <f>HYPERLINK("https://ssdweb.co/ssdweb/CERTH/667408565.pdf","CERTI")</f>
        <v>CERTI</v>
      </c>
    </row>
    <row r="2485" spans="1:27" ht="15" x14ac:dyDescent="0.25">
      <c r="A2485" s="2">
        <v>2480</v>
      </c>
      <c r="B2485" s="39">
        <v>926191128</v>
      </c>
      <c r="C2485" s="28" t="str">
        <f>HYPERLINK("https://pld.live/RapDetail.aspx?STONELIST=926191128","DNA")</f>
        <v>DNA</v>
      </c>
      <c r="D2485" s="18" t="s">
        <v>7954</v>
      </c>
      <c r="E2485" s="18" t="s">
        <v>5128</v>
      </c>
      <c r="F2485" s="2" t="s">
        <v>7987</v>
      </c>
      <c r="G2485" s="2" t="s">
        <v>861</v>
      </c>
      <c r="H2485" s="14">
        <v>0.31</v>
      </c>
      <c r="I2485" s="2" t="s">
        <v>267</v>
      </c>
      <c r="J2485" s="2" t="s">
        <v>3942</v>
      </c>
      <c r="K2485" s="2" t="s">
        <v>5221</v>
      </c>
      <c r="L2485" s="2" t="s">
        <v>5221</v>
      </c>
      <c r="M2485" s="2" t="s">
        <v>5721</v>
      </c>
      <c r="N2485" s="2" t="s">
        <v>2317</v>
      </c>
      <c r="O2485" s="14">
        <v>2200</v>
      </c>
      <c r="P2485" s="14">
        <v>93.73</v>
      </c>
      <c r="Q2485" s="14">
        <v>137.94</v>
      </c>
      <c r="R2485" s="14">
        <v>42.76</v>
      </c>
      <c r="S2485" s="2" t="s">
        <v>7511</v>
      </c>
      <c r="T2485" s="2">
        <v>1.01</v>
      </c>
      <c r="U2485" s="2">
        <v>63.6</v>
      </c>
      <c r="V2485" s="2">
        <v>56</v>
      </c>
      <c r="W2485" s="2" t="s">
        <v>7862</v>
      </c>
      <c r="X2485" s="2" t="s">
        <v>5405</v>
      </c>
      <c r="Y2485" s="2">
        <v>682</v>
      </c>
      <c r="Z2485" s="19" t="str">
        <f>HYPERLINK("https://ssdweb.co/ssdweb/hd/Vision360.html?d=926191128&amp;zoomslide=1&amp;z=1926191128&amp;ISCONFIRM=0","VIDEO")</f>
        <v>VIDEO</v>
      </c>
      <c r="AA2485" s="19" t="str">
        <f>HYPERLINK("https://ssdweb.co/ssdweb/CERTH/637467179.pdf","CERTI")</f>
        <v>CERTI</v>
      </c>
    </row>
    <row r="2486" spans="1:27" ht="15" x14ac:dyDescent="0.25">
      <c r="A2486" s="2">
        <v>2481</v>
      </c>
      <c r="B2486" s="39">
        <v>920661436</v>
      </c>
      <c r="C2486" s="28" t="str">
        <f>HYPERLINK("https://pld.live/RapDetail.aspx?STONELIST=920661436","DNA")</f>
        <v>DNA</v>
      </c>
      <c r="D2486" s="18" t="s">
        <v>7954</v>
      </c>
      <c r="E2486" s="18" t="s">
        <v>5128</v>
      </c>
      <c r="F2486" s="2" t="s">
        <v>7987</v>
      </c>
      <c r="G2486" s="2" t="s">
        <v>861</v>
      </c>
      <c r="H2486" s="14">
        <v>0.31</v>
      </c>
      <c r="I2486" s="2" t="s">
        <v>267</v>
      </c>
      <c r="J2486" s="2" t="s">
        <v>3942</v>
      </c>
      <c r="K2486" s="2" t="s">
        <v>5221</v>
      </c>
      <c r="L2486" s="2" t="s">
        <v>5721</v>
      </c>
      <c r="M2486" s="2" t="s">
        <v>5221</v>
      </c>
      <c r="N2486" s="2" t="s">
        <v>2317</v>
      </c>
      <c r="O2486" s="14">
        <v>2200</v>
      </c>
      <c r="P2486" s="14">
        <v>93.73</v>
      </c>
      <c r="Q2486" s="14">
        <v>137.94</v>
      </c>
      <c r="R2486" s="14">
        <v>42.76</v>
      </c>
      <c r="S2486" s="2" t="s">
        <v>6232</v>
      </c>
      <c r="T2486" s="2">
        <v>1.01</v>
      </c>
      <c r="U2486" s="2">
        <v>63.5</v>
      </c>
      <c r="V2486" s="2">
        <v>54</v>
      </c>
      <c r="W2486" s="2" t="s">
        <v>7862</v>
      </c>
      <c r="X2486" s="2" t="s">
        <v>5405</v>
      </c>
      <c r="Y2486" s="2">
        <v>682</v>
      </c>
      <c r="Z2486" s="19" t="str">
        <f>HYPERLINK("https://ssdweb.co/ssdweb/hd/Vision360.html?d=920661436&amp;zoomslide=1&amp;z=1920661436&amp;ISCONFIRM=0","VIDEO")</f>
        <v>VIDEO</v>
      </c>
      <c r="AA2486" s="19" t="str">
        <f>HYPERLINK("https://ssdweb.co/ssdweb/CERTH/638463123.pdf","CERTI")</f>
        <v>CERTI</v>
      </c>
    </row>
    <row r="2487" spans="1:27" ht="15" x14ac:dyDescent="0.25">
      <c r="A2487" s="2">
        <v>2482</v>
      </c>
      <c r="B2487" s="39">
        <v>926141042</v>
      </c>
      <c r="C2487" s="28" t="str">
        <f>HYPERLINK("https://pld.live/RapDetail.aspx?STONELIST=926141042","DNA")</f>
        <v>DNA</v>
      </c>
      <c r="D2487" s="18" t="s">
        <v>7954</v>
      </c>
      <c r="E2487" s="18" t="s">
        <v>5128</v>
      </c>
      <c r="F2487" s="2" t="s">
        <v>7987</v>
      </c>
      <c r="G2487" s="2" t="s">
        <v>861</v>
      </c>
      <c r="H2487" s="14">
        <v>0.31</v>
      </c>
      <c r="I2487" s="2" t="s">
        <v>267</v>
      </c>
      <c r="J2487" s="2" t="s">
        <v>3942</v>
      </c>
      <c r="K2487" s="2" t="s">
        <v>5221</v>
      </c>
      <c r="L2487" s="2" t="s">
        <v>5721</v>
      </c>
      <c r="M2487" s="2" t="s">
        <v>5221</v>
      </c>
      <c r="N2487" s="2" t="s">
        <v>2317</v>
      </c>
      <c r="O2487" s="14">
        <v>2200</v>
      </c>
      <c r="P2487" s="14">
        <v>93.73</v>
      </c>
      <c r="Q2487" s="14">
        <v>137.94</v>
      </c>
      <c r="R2487" s="14">
        <v>42.76</v>
      </c>
      <c r="S2487" s="2" t="s">
        <v>3549</v>
      </c>
      <c r="T2487" s="2">
        <v>1.01</v>
      </c>
      <c r="U2487" s="2">
        <v>63</v>
      </c>
      <c r="V2487" s="2">
        <v>57</v>
      </c>
      <c r="W2487" s="2" t="s">
        <v>7862</v>
      </c>
      <c r="X2487" s="2" t="s">
        <v>5405</v>
      </c>
      <c r="Y2487" s="2">
        <v>682</v>
      </c>
      <c r="Z2487" s="19" t="str">
        <f>HYPERLINK("https://ssdweb.co/ssdweb/hd/Vision360.html?d=926141042&amp;zoomslide=1&amp;z=1926141042&amp;ISCONFIRM=0","VIDEO")</f>
        <v>VIDEO</v>
      </c>
      <c r="AA2487" s="19" t="str">
        <f>HYPERLINK("https://ssdweb.co/ssdweb/CERTH/633490402.pdf","CERTI")</f>
        <v>CERTI</v>
      </c>
    </row>
    <row r="2488" spans="1:27" ht="15" x14ac:dyDescent="0.25">
      <c r="A2488" s="2">
        <v>2483</v>
      </c>
      <c r="B2488" s="39">
        <v>926171571</v>
      </c>
      <c r="C2488" s="28" t="str">
        <f>HYPERLINK("https://pld.live/RapDetail.aspx?STONELIST=926171571","DNA")</f>
        <v>DNA</v>
      </c>
      <c r="D2488" s="18" t="s">
        <v>7954</v>
      </c>
      <c r="E2488" s="18" t="s">
        <v>5128</v>
      </c>
      <c r="F2488" s="2" t="s">
        <v>7987</v>
      </c>
      <c r="G2488" s="2" t="s">
        <v>861</v>
      </c>
      <c r="H2488" s="14">
        <v>0.31</v>
      </c>
      <c r="I2488" s="2" t="s">
        <v>267</v>
      </c>
      <c r="J2488" s="2" t="s">
        <v>3942</v>
      </c>
      <c r="K2488" s="2" t="s">
        <v>5221</v>
      </c>
      <c r="L2488" s="2" t="s">
        <v>5721</v>
      </c>
      <c r="M2488" s="2" t="s">
        <v>5221</v>
      </c>
      <c r="N2488" s="2" t="s">
        <v>2317</v>
      </c>
      <c r="O2488" s="14">
        <v>2200</v>
      </c>
      <c r="P2488" s="14">
        <v>93.73</v>
      </c>
      <c r="Q2488" s="14">
        <v>137.94</v>
      </c>
      <c r="R2488" s="14">
        <v>42.76</v>
      </c>
      <c r="S2488" s="2" t="s">
        <v>7314</v>
      </c>
      <c r="T2488" s="2">
        <v>1.01</v>
      </c>
      <c r="U2488" s="2">
        <v>61</v>
      </c>
      <c r="V2488" s="2">
        <v>60</v>
      </c>
      <c r="W2488" s="2" t="s">
        <v>7862</v>
      </c>
      <c r="X2488" s="2" t="s">
        <v>5405</v>
      </c>
      <c r="Y2488" s="2">
        <v>682</v>
      </c>
      <c r="Z2488" s="19" t="str">
        <f>HYPERLINK("https://ssdweb.co/ssdweb/hd/Vision360.html?d=926171571&amp;zoomslide=1&amp;z=1926171571&amp;ISCONFIRM=0","VIDEO")</f>
        <v>VIDEO</v>
      </c>
      <c r="AA2488" s="19" t="str">
        <f>HYPERLINK("https://ssdweb.co/ssdweb/CERTH/636429656.pdf","CERTI")</f>
        <v>CERTI</v>
      </c>
    </row>
    <row r="2489" spans="1:27" ht="15" x14ac:dyDescent="0.25">
      <c r="A2489" s="2">
        <v>2484</v>
      </c>
      <c r="B2489" s="39">
        <v>925910753</v>
      </c>
      <c r="C2489" s="28" t="str">
        <f>HYPERLINK("https://pld.live/RapDetail.aspx?STONELIST=925910753","DNA")</f>
        <v>DNA</v>
      </c>
      <c r="D2489" s="18" t="s">
        <v>7954</v>
      </c>
      <c r="E2489" s="18" t="s">
        <v>5128</v>
      </c>
      <c r="F2489" s="2" t="s">
        <v>7987</v>
      </c>
      <c r="G2489" s="2" t="s">
        <v>861</v>
      </c>
      <c r="H2489" s="14">
        <v>0.31</v>
      </c>
      <c r="I2489" s="2" t="s">
        <v>267</v>
      </c>
      <c r="J2489" s="2" t="s">
        <v>3942</v>
      </c>
      <c r="K2489" s="2" t="s">
        <v>5221</v>
      </c>
      <c r="L2489" s="2" t="s">
        <v>5721</v>
      </c>
      <c r="M2489" s="2" t="s">
        <v>5721</v>
      </c>
      <c r="N2489" s="2" t="s">
        <v>2317</v>
      </c>
      <c r="O2489" s="14">
        <v>2200</v>
      </c>
      <c r="P2489" s="14">
        <v>93.82</v>
      </c>
      <c r="Q2489" s="14">
        <v>135.96</v>
      </c>
      <c r="R2489" s="14">
        <v>42.15</v>
      </c>
      <c r="S2489" s="2" t="s">
        <v>7483</v>
      </c>
      <c r="T2489" s="2">
        <v>1</v>
      </c>
      <c r="U2489" s="2">
        <v>63</v>
      </c>
      <c r="V2489" s="2">
        <v>57</v>
      </c>
      <c r="W2489" s="2" t="s">
        <v>7862</v>
      </c>
      <c r="X2489" s="2" t="s">
        <v>5405</v>
      </c>
      <c r="Y2489" s="2">
        <v>682</v>
      </c>
      <c r="Z2489" s="19" t="str">
        <f>HYPERLINK("https://ssdweb.co/ssdweb/hd/Vision360.html?d=925910753&amp;zoomslide=1&amp;z=1925910753&amp;ISCONFIRM=0","VIDEO")</f>
        <v>VIDEO</v>
      </c>
      <c r="AA2489" s="19" t="str">
        <f>HYPERLINK("https://ssdweb.co/ssdweb/CERTH/628426239.pdf","CERTI")</f>
        <v>CERTI</v>
      </c>
    </row>
    <row r="2490" spans="1:27" ht="15" x14ac:dyDescent="0.25">
      <c r="A2490" s="2">
        <v>2485</v>
      </c>
      <c r="B2490" s="39">
        <v>926231345</v>
      </c>
      <c r="C2490" s="28" t="str">
        <f>HYPERLINK("https://pld.live/RapDetail.aspx?STONELIST=926231345","DNA")</f>
        <v>DNA</v>
      </c>
      <c r="D2490" s="18" t="s">
        <v>7954</v>
      </c>
      <c r="E2490" s="18" t="s">
        <v>5128</v>
      </c>
      <c r="F2490" s="2" t="s">
        <v>7987</v>
      </c>
      <c r="G2490" s="2" t="s">
        <v>861</v>
      </c>
      <c r="H2490" s="14">
        <v>0.31</v>
      </c>
      <c r="I2490" s="2" t="s">
        <v>267</v>
      </c>
      <c r="J2490" s="2" t="s">
        <v>3942</v>
      </c>
      <c r="K2490" s="2" t="s">
        <v>5221</v>
      </c>
      <c r="L2490" s="2" t="s">
        <v>5721</v>
      </c>
      <c r="M2490" s="2" t="s">
        <v>5721</v>
      </c>
      <c r="N2490" s="2" t="s">
        <v>2317</v>
      </c>
      <c r="O2490" s="14">
        <v>2200</v>
      </c>
      <c r="P2490" s="14">
        <v>93.82</v>
      </c>
      <c r="Q2490" s="14">
        <v>135.96</v>
      </c>
      <c r="R2490" s="14">
        <v>42.15</v>
      </c>
      <c r="S2490" s="2" t="s">
        <v>7258</v>
      </c>
      <c r="T2490" s="2">
        <v>1.01</v>
      </c>
      <c r="U2490" s="2">
        <v>62.8</v>
      </c>
      <c r="V2490" s="2">
        <v>55</v>
      </c>
      <c r="W2490" s="2" t="s">
        <v>7862</v>
      </c>
      <c r="X2490" s="2" t="s">
        <v>5405</v>
      </c>
      <c r="Y2490" s="2">
        <v>682</v>
      </c>
      <c r="Z2490" s="19" t="str">
        <f>HYPERLINK("https://ssdweb.co/ssdweb/hd/Vision360.html?d=926231345&amp;zoomslide=1&amp;z=1926231345&amp;ISCONFIRM=0","VIDEO")</f>
        <v>VIDEO</v>
      </c>
      <c r="AA2490" s="19" t="str">
        <f>HYPERLINK("https://ssdweb.co/ssdweb/CERTH/642447776.pdf","CERTI")</f>
        <v>CERTI</v>
      </c>
    </row>
    <row r="2491" spans="1:27" ht="15" x14ac:dyDescent="0.25">
      <c r="A2491" s="2">
        <v>2486</v>
      </c>
      <c r="B2491" s="39">
        <v>926261536</v>
      </c>
      <c r="C2491" s="28" t="str">
        <f>HYPERLINK("https://pld.live/RapDetail.aspx?STONELIST=926261536","DNA")</f>
        <v>DNA</v>
      </c>
      <c r="D2491" s="18" t="s">
        <v>7954</v>
      </c>
      <c r="E2491" s="18" t="s">
        <v>5128</v>
      </c>
      <c r="F2491" s="2" t="s">
        <v>7987</v>
      </c>
      <c r="G2491" s="2" t="s">
        <v>861</v>
      </c>
      <c r="H2491" s="14">
        <v>0.31</v>
      </c>
      <c r="I2491" s="2" t="s">
        <v>267</v>
      </c>
      <c r="J2491" s="2" t="s">
        <v>3942</v>
      </c>
      <c r="K2491" s="2" t="s">
        <v>5221</v>
      </c>
      <c r="L2491" s="2" t="s">
        <v>5721</v>
      </c>
      <c r="M2491" s="2" t="s">
        <v>5721</v>
      </c>
      <c r="N2491" s="2" t="s">
        <v>2317</v>
      </c>
      <c r="O2491" s="14">
        <v>2200</v>
      </c>
      <c r="P2491" s="14">
        <v>93.82</v>
      </c>
      <c r="Q2491" s="14">
        <v>135.96</v>
      </c>
      <c r="R2491" s="14">
        <v>42.15</v>
      </c>
      <c r="S2491" s="2" t="s">
        <v>6624</v>
      </c>
      <c r="T2491" s="2">
        <v>1.01</v>
      </c>
      <c r="U2491" s="2">
        <v>62</v>
      </c>
      <c r="V2491" s="2">
        <v>58</v>
      </c>
      <c r="W2491" s="2" t="s">
        <v>7862</v>
      </c>
      <c r="X2491" s="2" t="s">
        <v>5405</v>
      </c>
      <c r="Y2491" s="2">
        <v>682</v>
      </c>
      <c r="Z2491" s="19" t="str">
        <f>HYPERLINK("https://ssdweb.co/ssdweb/hd/Vision360.html?d=926261536&amp;zoomslide=1&amp;z=1926261536&amp;ISCONFIRM=0","VIDEO")</f>
        <v>VIDEO</v>
      </c>
      <c r="AA2491" s="19" t="str">
        <f>HYPERLINK("https://ssdweb.co/ssdweb/CERTH/642442910.pdf","CERTI")</f>
        <v>CERTI</v>
      </c>
    </row>
    <row r="2492" spans="1:27" ht="15" x14ac:dyDescent="0.25">
      <c r="A2492" s="2">
        <v>2487</v>
      </c>
      <c r="B2492" s="39">
        <v>926321084</v>
      </c>
      <c r="C2492" s="28" t="str">
        <f>HYPERLINK("https://pld.live/RapDetail.aspx?STONELIST=926321084","DNA")</f>
        <v>DNA</v>
      </c>
      <c r="D2492" s="18" t="s">
        <v>7954</v>
      </c>
      <c r="E2492" s="18" t="s">
        <v>5128</v>
      </c>
      <c r="F2492" s="2" t="s">
        <v>7987</v>
      </c>
      <c r="G2492" s="2" t="s">
        <v>861</v>
      </c>
      <c r="H2492" s="14">
        <v>0.31</v>
      </c>
      <c r="I2492" s="2" t="s">
        <v>267</v>
      </c>
      <c r="J2492" s="2" t="s">
        <v>3942</v>
      </c>
      <c r="K2492" s="2" t="s">
        <v>5221</v>
      </c>
      <c r="L2492" s="2" t="s">
        <v>5721</v>
      </c>
      <c r="M2492" s="2" t="s">
        <v>5721</v>
      </c>
      <c r="N2492" s="2" t="s">
        <v>2317</v>
      </c>
      <c r="O2492" s="14">
        <v>2200</v>
      </c>
      <c r="P2492" s="14">
        <v>93.82</v>
      </c>
      <c r="Q2492" s="14">
        <v>135.96</v>
      </c>
      <c r="R2492" s="14">
        <v>42.15</v>
      </c>
      <c r="S2492" s="2" t="s">
        <v>35</v>
      </c>
      <c r="T2492" s="2">
        <v>1</v>
      </c>
      <c r="U2492" s="2">
        <v>60.6</v>
      </c>
      <c r="V2492" s="2">
        <v>61</v>
      </c>
      <c r="W2492" s="2" t="s">
        <v>7862</v>
      </c>
      <c r="X2492" s="2" t="s">
        <v>5405</v>
      </c>
      <c r="Y2492" s="2">
        <v>682</v>
      </c>
      <c r="Z2492" s="19" t="str">
        <f>HYPERLINK("https://ssdweb.co/ssdweb/hd/Vision360.html?d=926321084&amp;zoomslide=1&amp;z=1926321084&amp;ISCONFIRM=0","VIDEO")</f>
        <v>VIDEO</v>
      </c>
      <c r="AA2492" s="19" t="str">
        <f>HYPERLINK("https://ssdweb.co/ssdweb/CERTH/648487106.pdf","CERTI")</f>
        <v>CERTI</v>
      </c>
    </row>
    <row r="2493" spans="1:27" ht="15" x14ac:dyDescent="0.25">
      <c r="A2493" s="2">
        <v>2488</v>
      </c>
      <c r="B2493" s="39">
        <v>926341247</v>
      </c>
      <c r="C2493" s="28" t="str">
        <f>HYPERLINK("https://pld.live/RapDetail.aspx?STONELIST=926341247","DNA")</f>
        <v>DNA</v>
      </c>
      <c r="D2493" s="18" t="s">
        <v>7954</v>
      </c>
      <c r="E2493" s="18" t="s">
        <v>5128</v>
      </c>
      <c r="F2493" s="2" t="s">
        <v>7987</v>
      </c>
      <c r="G2493" s="2" t="s">
        <v>861</v>
      </c>
      <c r="H2493" s="14">
        <v>0.31</v>
      </c>
      <c r="I2493" s="2" t="s">
        <v>267</v>
      </c>
      <c r="J2493" s="2" t="s">
        <v>3942</v>
      </c>
      <c r="K2493" s="2" t="s">
        <v>5221</v>
      </c>
      <c r="L2493" s="2" t="s">
        <v>5721</v>
      </c>
      <c r="M2493" s="2" t="s">
        <v>5721</v>
      </c>
      <c r="N2493" s="2" t="s">
        <v>2317</v>
      </c>
      <c r="O2493" s="14">
        <v>2200</v>
      </c>
      <c r="P2493" s="14">
        <v>93.82</v>
      </c>
      <c r="Q2493" s="14">
        <v>135.96</v>
      </c>
      <c r="R2493" s="14">
        <v>42.15</v>
      </c>
      <c r="S2493" s="2" t="s">
        <v>4719</v>
      </c>
      <c r="T2493" s="2">
        <v>1.01</v>
      </c>
      <c r="U2493" s="2">
        <v>63.2</v>
      </c>
      <c r="V2493" s="2">
        <v>57</v>
      </c>
      <c r="W2493" s="2" t="s">
        <v>7862</v>
      </c>
      <c r="X2493" s="2" t="s">
        <v>5405</v>
      </c>
      <c r="Y2493" s="2">
        <v>682</v>
      </c>
      <c r="Z2493" s="19" t="str">
        <f>HYPERLINK("https://ssdweb.co/ssdweb/hd/Vision360.html?d=926341247&amp;zoomslide=1&amp;z=1926341247&amp;ISCONFIRM=0","VIDEO")</f>
        <v>VIDEO</v>
      </c>
      <c r="AA2493" s="19" t="str">
        <f>HYPERLINK("https://ssdweb.co/ssdweb/CERTH/648487101.pdf","CERTI")</f>
        <v>CERTI</v>
      </c>
    </row>
    <row r="2494" spans="1:27" ht="15" x14ac:dyDescent="0.25">
      <c r="A2494" s="2">
        <v>2489</v>
      </c>
      <c r="B2494" s="39">
        <v>941260466</v>
      </c>
      <c r="C2494" s="28" t="str">
        <f>HYPERLINK("https://pld.live/RapDetail.aspx?STONELIST=941260466","DNA")</f>
        <v>DNA</v>
      </c>
      <c r="D2494" s="18" t="s">
        <v>7954</v>
      </c>
      <c r="E2494" s="18" t="s">
        <v>5128</v>
      </c>
      <c r="F2494" s="2" t="s">
        <v>7987</v>
      </c>
      <c r="G2494" s="2" t="s">
        <v>861</v>
      </c>
      <c r="H2494" s="14">
        <v>0.31</v>
      </c>
      <c r="I2494" s="2" t="s">
        <v>267</v>
      </c>
      <c r="J2494" s="2" t="s">
        <v>3942</v>
      </c>
      <c r="K2494" s="2" t="s">
        <v>5221</v>
      </c>
      <c r="L2494" s="2" t="s">
        <v>5721</v>
      </c>
      <c r="M2494" s="2" t="s">
        <v>5721</v>
      </c>
      <c r="N2494" s="2" t="s">
        <v>2317</v>
      </c>
      <c r="O2494" s="14">
        <v>2200</v>
      </c>
      <c r="P2494" s="14">
        <v>93.82</v>
      </c>
      <c r="Q2494" s="14">
        <v>135.96</v>
      </c>
      <c r="R2494" s="14">
        <v>42.15</v>
      </c>
      <c r="S2494" s="2" t="s">
        <v>2688</v>
      </c>
      <c r="T2494" s="2">
        <v>1.01</v>
      </c>
      <c r="U2494" s="2">
        <v>63.1</v>
      </c>
      <c r="V2494" s="2">
        <v>59</v>
      </c>
      <c r="W2494" s="2" t="s">
        <v>7862</v>
      </c>
      <c r="X2494" s="2" t="s">
        <v>5405</v>
      </c>
      <c r="Y2494" s="2">
        <v>682</v>
      </c>
      <c r="Z2494" s="19" t="str">
        <f>HYPERLINK("https://ssdweb.co/ssdweb/hd/Vision360.html?d=941260466&amp;zoomslide=1&amp;z=1941260466&amp;ISCONFIRM=0","VIDEO")</f>
        <v>VIDEO</v>
      </c>
      <c r="AA2494" s="19" t="str">
        <f>HYPERLINK("https://ssdweb.co/ssdweb/CERTH/680505028.pdf","CERTI")</f>
        <v>CERTI</v>
      </c>
    </row>
    <row r="2495" spans="1:27" ht="15" x14ac:dyDescent="0.25">
      <c r="A2495" s="2">
        <v>2490</v>
      </c>
      <c r="B2495" s="39">
        <v>926190941</v>
      </c>
      <c r="C2495" s="28" t="str">
        <f>HYPERLINK("https://pld.live/RapDetail.aspx?STONELIST=926190941","DNA")</f>
        <v>DNA</v>
      </c>
      <c r="D2495" s="18" t="s">
        <v>7954</v>
      </c>
      <c r="E2495" s="18" t="s">
        <v>5128</v>
      </c>
      <c r="F2495" s="2" t="s">
        <v>7987</v>
      </c>
      <c r="G2495" s="2" t="s">
        <v>861</v>
      </c>
      <c r="H2495" s="14">
        <v>0.31</v>
      </c>
      <c r="I2495" s="2" t="s">
        <v>267</v>
      </c>
      <c r="J2495" s="2" t="s">
        <v>3942</v>
      </c>
      <c r="K2495" s="2" t="s">
        <v>5221</v>
      </c>
      <c r="L2495" s="2" t="s">
        <v>5721</v>
      </c>
      <c r="M2495" s="2" t="s">
        <v>5721</v>
      </c>
      <c r="N2495" s="2" t="s">
        <v>2317</v>
      </c>
      <c r="O2495" s="14">
        <v>2200</v>
      </c>
      <c r="P2495" s="14">
        <v>93.82</v>
      </c>
      <c r="Q2495" s="14">
        <v>135.96</v>
      </c>
      <c r="R2495" s="14">
        <v>42.15</v>
      </c>
      <c r="S2495" s="2" t="s">
        <v>1779</v>
      </c>
      <c r="T2495" s="2">
        <v>1.01</v>
      </c>
      <c r="U2495" s="2">
        <v>62.5</v>
      </c>
      <c r="V2495" s="2">
        <v>56</v>
      </c>
      <c r="W2495" s="2" t="s">
        <v>7862</v>
      </c>
      <c r="X2495" s="2" t="s">
        <v>5405</v>
      </c>
      <c r="Y2495" s="2">
        <v>682</v>
      </c>
      <c r="Z2495" s="19" t="str">
        <f>HYPERLINK("https://ssdweb.co/ssdweb/hd/Vision360.html?d=926190941&amp;zoomslide=1&amp;z=1926190941&amp;ISCONFIRM=0","VIDEO")</f>
        <v>VIDEO</v>
      </c>
      <c r="AA2495" s="19" t="str">
        <f>HYPERLINK("https://ssdweb.co/ssdweb/CERTH/636429716.pdf","CERTI")</f>
        <v>CERTI</v>
      </c>
    </row>
    <row r="2496" spans="1:27" ht="15" x14ac:dyDescent="0.25">
      <c r="A2496" s="2">
        <v>2491</v>
      </c>
      <c r="B2496" s="39">
        <v>926191033</v>
      </c>
      <c r="C2496" s="28" t="str">
        <f>HYPERLINK("https://pld.live/RapDetail.aspx?STONELIST=926191033","DNA")</f>
        <v>DNA</v>
      </c>
      <c r="D2496" s="18" t="s">
        <v>7954</v>
      </c>
      <c r="E2496" s="18" t="s">
        <v>5128</v>
      </c>
      <c r="F2496" s="2" t="s">
        <v>7987</v>
      </c>
      <c r="G2496" s="2" t="s">
        <v>861</v>
      </c>
      <c r="H2496" s="14">
        <v>0.31</v>
      </c>
      <c r="I2496" s="2" t="s">
        <v>267</v>
      </c>
      <c r="J2496" s="2" t="s">
        <v>3942</v>
      </c>
      <c r="K2496" s="2" t="s">
        <v>5721</v>
      </c>
      <c r="L2496" s="2" t="s">
        <v>5221</v>
      </c>
      <c r="M2496" s="2" t="s">
        <v>5721</v>
      </c>
      <c r="N2496" s="2" t="s">
        <v>2317</v>
      </c>
      <c r="O2496" s="14">
        <v>2200</v>
      </c>
      <c r="P2496" s="14">
        <v>93.95</v>
      </c>
      <c r="Q2496" s="14">
        <v>133.1</v>
      </c>
      <c r="R2496" s="14">
        <v>41.26</v>
      </c>
      <c r="S2496" s="2" t="s">
        <v>4475</v>
      </c>
      <c r="T2496" s="2">
        <v>1.01</v>
      </c>
      <c r="U2496" s="2">
        <v>63.7</v>
      </c>
      <c r="V2496" s="2">
        <v>54</v>
      </c>
      <c r="W2496" s="2" t="s">
        <v>7862</v>
      </c>
      <c r="X2496" s="2" t="s">
        <v>5405</v>
      </c>
      <c r="Y2496" s="2">
        <v>682</v>
      </c>
      <c r="Z2496" s="19" t="str">
        <f>HYPERLINK("https://ssdweb.co/ssdweb/hd/Vision360.html?d=926191033&amp;zoomslide=1&amp;z=1926191033&amp;ISCONFIRM=0","VIDEO")</f>
        <v>VIDEO</v>
      </c>
      <c r="AA2496" s="19" t="str">
        <f>HYPERLINK("https://ssdweb.co/ssdweb/CERTH/636430063.pdf","CERTI")</f>
        <v>CERTI</v>
      </c>
    </row>
    <row r="2497" spans="1:27" ht="15" x14ac:dyDescent="0.25">
      <c r="A2497" s="2">
        <v>2492</v>
      </c>
      <c r="B2497" s="39">
        <v>941390519</v>
      </c>
      <c r="C2497" s="28" t="str">
        <f>HYPERLINK("https://pld.live/RapDetail.aspx?STONELIST=941390519","DNA")</f>
        <v>DNA</v>
      </c>
      <c r="D2497" s="18" t="s">
        <v>7954</v>
      </c>
      <c r="E2497" s="18" t="s">
        <v>2186</v>
      </c>
      <c r="F2497" s="2" t="s">
        <v>7987</v>
      </c>
      <c r="G2497" s="2" t="s">
        <v>861</v>
      </c>
      <c r="H2497" s="14">
        <v>0.31</v>
      </c>
      <c r="I2497" s="2" t="s">
        <v>267</v>
      </c>
      <c r="J2497" s="2" t="s">
        <v>13</v>
      </c>
      <c r="K2497" s="2" t="s">
        <v>3390</v>
      </c>
      <c r="L2497" s="2" t="s">
        <v>5221</v>
      </c>
      <c r="M2497" s="2" t="s">
        <v>5221</v>
      </c>
      <c r="N2497" s="2" t="s">
        <v>2317</v>
      </c>
      <c r="O2497" s="14">
        <v>2000</v>
      </c>
      <c r="P2497" s="14">
        <v>93.1</v>
      </c>
      <c r="Q2497" s="14">
        <v>138</v>
      </c>
      <c r="R2497" s="14">
        <v>42.78</v>
      </c>
      <c r="S2497" s="2" t="s">
        <v>632</v>
      </c>
      <c r="T2497" s="2">
        <v>1</v>
      </c>
      <c r="U2497" s="2">
        <v>61</v>
      </c>
      <c r="V2497" s="2">
        <v>59</v>
      </c>
      <c r="W2497" s="2" t="s">
        <v>7862</v>
      </c>
      <c r="X2497" s="2" t="s">
        <v>5405</v>
      </c>
      <c r="Y2497" s="2">
        <v>620</v>
      </c>
      <c r="Z2497" s="19" t="str">
        <f>HYPERLINK("https://ssdweb.co/ssdweb/hd/Vision360.html?d=941390519&amp;zoomslide=1&amp;z=1941390519&amp;ISCONFIRM=0","VIDEO")</f>
        <v>VIDEO</v>
      </c>
      <c r="AA2497" s="19" t="str">
        <f>HYPERLINK("https://ssdweb.co/ssdweb/CERTH/691577879.pdf","CERTI")</f>
        <v>CERTI</v>
      </c>
    </row>
    <row r="2498" spans="1:27" ht="15" x14ac:dyDescent="0.25">
      <c r="A2498" s="2">
        <v>2493</v>
      </c>
      <c r="B2498" s="39">
        <v>941390206</v>
      </c>
      <c r="C2498" s="28" t="str">
        <f>HYPERLINK("https://pld.live/RapDetail.aspx?STONELIST=941390206","DNA")</f>
        <v>DNA</v>
      </c>
      <c r="D2498" s="18" t="s">
        <v>7954</v>
      </c>
      <c r="E2498" s="18" t="s">
        <v>2186</v>
      </c>
      <c r="F2498" s="2" t="s">
        <v>7987</v>
      </c>
      <c r="G2498" s="2" t="s">
        <v>861</v>
      </c>
      <c r="H2498" s="14">
        <v>0.31</v>
      </c>
      <c r="I2498" s="2" t="s">
        <v>267</v>
      </c>
      <c r="J2498" s="2" t="s">
        <v>13</v>
      </c>
      <c r="K2498" s="2" t="s">
        <v>3390</v>
      </c>
      <c r="L2498" s="2" t="s">
        <v>5221</v>
      </c>
      <c r="M2498" s="2" t="s">
        <v>5221</v>
      </c>
      <c r="N2498" s="2" t="s">
        <v>2317</v>
      </c>
      <c r="O2498" s="14">
        <v>2000</v>
      </c>
      <c r="P2498" s="14">
        <v>93.1</v>
      </c>
      <c r="Q2498" s="14">
        <v>138</v>
      </c>
      <c r="R2498" s="14">
        <v>42.78</v>
      </c>
      <c r="S2498" s="2" t="s">
        <v>7847</v>
      </c>
      <c r="T2498" s="2">
        <v>1</v>
      </c>
      <c r="U2498" s="2">
        <v>61.4</v>
      </c>
      <c r="V2498" s="2">
        <v>56</v>
      </c>
      <c r="W2498" s="2" t="s">
        <v>7862</v>
      </c>
      <c r="X2498" s="2" t="s">
        <v>5405</v>
      </c>
      <c r="Y2498" s="2">
        <v>620</v>
      </c>
      <c r="Z2498" s="19" t="str">
        <f>HYPERLINK("https://ssdweb.co/ssdweb/hd/Vision360.html?d=941390206&amp;zoomslide=1&amp;z=1941390206&amp;ISCONFIRM=0","VIDEO")</f>
        <v>VIDEO</v>
      </c>
      <c r="AA2498" s="19" t="str">
        <f>HYPERLINK("https://ssdweb.co/ssdweb/CERTH/687591618.pdf","CERTI")</f>
        <v>CERTI</v>
      </c>
    </row>
    <row r="2499" spans="1:27" ht="15" x14ac:dyDescent="0.25">
      <c r="A2499" s="2">
        <v>2494</v>
      </c>
      <c r="B2499" s="39">
        <v>941330307</v>
      </c>
      <c r="C2499" s="28" t="str">
        <f>HYPERLINK("https://pld.live/RapDetail.aspx?STONELIST=941330307","DNA")</f>
        <v>DNA</v>
      </c>
      <c r="D2499" s="18" t="s">
        <v>7954</v>
      </c>
      <c r="E2499" s="18" t="s">
        <v>2186</v>
      </c>
      <c r="F2499" s="2" t="s">
        <v>7987</v>
      </c>
      <c r="G2499" s="2" t="s">
        <v>861</v>
      </c>
      <c r="H2499" s="14">
        <v>0.31</v>
      </c>
      <c r="I2499" s="2" t="s">
        <v>267</v>
      </c>
      <c r="J2499" s="2" t="s">
        <v>13</v>
      </c>
      <c r="K2499" s="2" t="s">
        <v>3390</v>
      </c>
      <c r="L2499" s="2" t="s">
        <v>5221</v>
      </c>
      <c r="M2499" s="2" t="s">
        <v>5221</v>
      </c>
      <c r="N2499" s="2" t="s">
        <v>2317</v>
      </c>
      <c r="O2499" s="14">
        <v>2000</v>
      </c>
      <c r="P2499" s="14">
        <v>93.1</v>
      </c>
      <c r="Q2499" s="14">
        <v>138</v>
      </c>
      <c r="R2499" s="14">
        <v>42.78</v>
      </c>
      <c r="S2499" s="2" t="s">
        <v>5071</v>
      </c>
      <c r="T2499" s="2">
        <v>1.01</v>
      </c>
      <c r="U2499" s="2">
        <v>61.2</v>
      </c>
      <c r="V2499" s="2">
        <v>60</v>
      </c>
      <c r="W2499" s="2" t="s">
        <v>7862</v>
      </c>
      <c r="X2499" s="2" t="s">
        <v>5405</v>
      </c>
      <c r="Y2499" s="2">
        <v>620</v>
      </c>
      <c r="Z2499" s="19" t="str">
        <f>HYPERLINK("https://ssdweb.co/ssdweb/hd/Vision360.html?d=941330307&amp;zoomslide=1&amp;z=1941330307&amp;ISCONFIRM=0","VIDEO")</f>
        <v>VIDEO</v>
      </c>
      <c r="AA2499" s="19" t="str">
        <f>HYPERLINK("https://ssdweb.co/ssdweb/CERTH/689587192.pdf","CERTI")</f>
        <v>CERTI</v>
      </c>
    </row>
    <row r="2500" spans="1:27" ht="15" x14ac:dyDescent="0.25">
      <c r="A2500" s="2">
        <v>2495</v>
      </c>
      <c r="B2500" s="39">
        <v>941300117</v>
      </c>
      <c r="C2500" s="28" t="str">
        <f>HYPERLINK("https://pld.live/RapDetail.aspx?STONELIST=941300117","DNA")</f>
        <v>DNA</v>
      </c>
      <c r="D2500" s="18" t="s">
        <v>7954</v>
      </c>
      <c r="E2500" s="18" t="s">
        <v>2186</v>
      </c>
      <c r="F2500" s="2" t="s">
        <v>7987</v>
      </c>
      <c r="G2500" s="2" t="s">
        <v>861</v>
      </c>
      <c r="H2500" s="14">
        <v>0.31</v>
      </c>
      <c r="I2500" s="2" t="s">
        <v>267</v>
      </c>
      <c r="J2500" s="2" t="s">
        <v>13</v>
      </c>
      <c r="K2500" s="2" t="s">
        <v>3390</v>
      </c>
      <c r="L2500" s="2" t="s">
        <v>5221</v>
      </c>
      <c r="M2500" s="2" t="s">
        <v>5221</v>
      </c>
      <c r="N2500" s="2" t="s">
        <v>2317</v>
      </c>
      <c r="O2500" s="14">
        <v>2000</v>
      </c>
      <c r="P2500" s="14">
        <v>93.1</v>
      </c>
      <c r="Q2500" s="14">
        <v>138</v>
      </c>
      <c r="R2500" s="14">
        <v>42.78</v>
      </c>
      <c r="S2500" s="2" t="s">
        <v>172</v>
      </c>
      <c r="T2500" s="2">
        <v>1.01</v>
      </c>
      <c r="U2500" s="2">
        <v>60.4</v>
      </c>
      <c r="V2500" s="2">
        <v>58</v>
      </c>
      <c r="W2500" s="2" t="s">
        <v>7862</v>
      </c>
      <c r="X2500" s="2" t="s">
        <v>5405</v>
      </c>
      <c r="Y2500" s="2">
        <v>620</v>
      </c>
      <c r="Z2500" s="19" t="str">
        <f>HYPERLINK("https://ssdweb.co/ssdweb/hd/Vision360.html?d=941300117&amp;zoomslide=1&amp;z=1941300117&amp;ISCONFIRM=0","VIDEO")</f>
        <v>VIDEO</v>
      </c>
      <c r="AA2500" s="19" t="str">
        <f>HYPERLINK("https://ssdweb.co/ssdweb/CERTH/684505086.pdf","CERTI")</f>
        <v>CERTI</v>
      </c>
    </row>
    <row r="2501" spans="1:27" ht="15" x14ac:dyDescent="0.25">
      <c r="A2501" s="2">
        <v>2496</v>
      </c>
      <c r="B2501" s="39">
        <v>941290158</v>
      </c>
      <c r="C2501" s="28" t="str">
        <f>HYPERLINK("https://pld.live/RapDetail.aspx?STONELIST=941290158","DNA")</f>
        <v>DNA</v>
      </c>
      <c r="D2501" s="18" t="s">
        <v>7954</v>
      </c>
      <c r="E2501" s="18" t="s">
        <v>2186</v>
      </c>
      <c r="F2501" s="2" t="s">
        <v>7987</v>
      </c>
      <c r="G2501" s="2" t="s">
        <v>861</v>
      </c>
      <c r="H2501" s="14">
        <v>0.31</v>
      </c>
      <c r="I2501" s="2" t="s">
        <v>267</v>
      </c>
      <c r="J2501" s="2" t="s">
        <v>13</v>
      </c>
      <c r="K2501" s="2" t="s">
        <v>3390</v>
      </c>
      <c r="L2501" s="2" t="s">
        <v>5221</v>
      </c>
      <c r="M2501" s="2" t="s">
        <v>5221</v>
      </c>
      <c r="N2501" s="2" t="s">
        <v>2317</v>
      </c>
      <c r="O2501" s="14">
        <v>2000</v>
      </c>
      <c r="P2501" s="14">
        <v>93.1</v>
      </c>
      <c r="Q2501" s="14">
        <v>138</v>
      </c>
      <c r="R2501" s="14">
        <v>42.78</v>
      </c>
      <c r="S2501" s="2" t="s">
        <v>7243</v>
      </c>
      <c r="T2501" s="2">
        <v>1.01</v>
      </c>
      <c r="U2501" s="2">
        <v>61</v>
      </c>
      <c r="V2501" s="2">
        <v>59</v>
      </c>
      <c r="W2501" s="2" t="s">
        <v>7862</v>
      </c>
      <c r="X2501" s="2" t="s">
        <v>5405</v>
      </c>
      <c r="Y2501" s="2">
        <v>620</v>
      </c>
      <c r="Z2501" s="19" t="str">
        <f>HYPERLINK("https://ssdweb.co/ssdweb/hd/Vision360.html?d=941290158&amp;zoomslide=1&amp;z=1941290158&amp;ISCONFIRM=0","VIDEO")</f>
        <v>VIDEO</v>
      </c>
      <c r="AA2501" s="19" t="str">
        <f>HYPERLINK("https://ssdweb.co/ssdweb/CERTH/685590569.pdf","CERTI")</f>
        <v>CERTI</v>
      </c>
    </row>
    <row r="2502" spans="1:27" ht="15" x14ac:dyDescent="0.25">
      <c r="A2502" s="2">
        <v>2497</v>
      </c>
      <c r="B2502" s="39">
        <v>925910594</v>
      </c>
      <c r="C2502" s="28" t="str">
        <f>HYPERLINK("https://pld.live/RapDetail.aspx?STONELIST=925910594","DNA")</f>
        <v>DNA</v>
      </c>
      <c r="D2502" s="18" t="s">
        <v>7954</v>
      </c>
      <c r="E2502" s="18" t="s">
        <v>5128</v>
      </c>
      <c r="F2502" s="2" t="s">
        <v>7987</v>
      </c>
      <c r="G2502" s="2" t="s">
        <v>861</v>
      </c>
      <c r="H2502" s="14">
        <v>0.31</v>
      </c>
      <c r="I2502" s="2" t="s">
        <v>267</v>
      </c>
      <c r="J2502" s="2" t="s">
        <v>13</v>
      </c>
      <c r="K2502" s="2" t="s">
        <v>3390</v>
      </c>
      <c r="L2502" s="2" t="s">
        <v>5221</v>
      </c>
      <c r="M2502" s="2" t="s">
        <v>5721</v>
      </c>
      <c r="N2502" s="2" t="s">
        <v>2317</v>
      </c>
      <c r="O2502" s="14">
        <v>2000</v>
      </c>
      <c r="P2502" s="14">
        <v>93.6</v>
      </c>
      <c r="Q2502" s="14">
        <v>128</v>
      </c>
      <c r="R2502" s="14">
        <v>39.68</v>
      </c>
      <c r="S2502" s="2" t="s">
        <v>408</v>
      </c>
      <c r="T2502" s="2">
        <v>1.01</v>
      </c>
      <c r="U2502" s="2">
        <v>62.1</v>
      </c>
      <c r="V2502" s="2">
        <v>59</v>
      </c>
      <c r="W2502" s="2" t="s">
        <v>7862</v>
      </c>
      <c r="X2502" s="2" t="s">
        <v>5405</v>
      </c>
      <c r="Y2502" s="2">
        <v>620</v>
      </c>
      <c r="Z2502" s="19" t="str">
        <f>HYPERLINK("https://ssdweb.co/ssdweb/hd/Vision360.html?d=925910594&amp;zoomslide=1&amp;z=1925910594&amp;ISCONFIRM=0","VIDEO")</f>
        <v>VIDEO</v>
      </c>
      <c r="AA2502" s="19" t="str">
        <f>HYPERLINK("https://ssdweb.co/ssdweb/CERTH/627427321.pdf","CERTI")</f>
        <v>CERTI</v>
      </c>
    </row>
    <row r="2503" spans="1:27" ht="15" x14ac:dyDescent="0.25">
      <c r="A2503" s="2">
        <v>2498</v>
      </c>
      <c r="B2503" s="39">
        <v>920661335</v>
      </c>
      <c r="C2503" s="28" t="str">
        <f>HYPERLINK("https://pld.live/RapDetail.aspx?STONELIST=920661335","DNA")</f>
        <v>DNA</v>
      </c>
      <c r="D2503" s="18" t="s">
        <v>7954</v>
      </c>
      <c r="E2503" s="18" t="s">
        <v>5128</v>
      </c>
      <c r="F2503" s="2" t="s">
        <v>7987</v>
      </c>
      <c r="G2503" s="2" t="s">
        <v>861</v>
      </c>
      <c r="H2503" s="14">
        <v>0.31</v>
      </c>
      <c r="I2503" s="2" t="s">
        <v>267</v>
      </c>
      <c r="J2503" s="2" t="s">
        <v>13</v>
      </c>
      <c r="K2503" s="2" t="s">
        <v>3390</v>
      </c>
      <c r="L2503" s="2" t="s">
        <v>5221</v>
      </c>
      <c r="M2503" s="2" t="s">
        <v>5721</v>
      </c>
      <c r="N2503" s="2" t="s">
        <v>2317</v>
      </c>
      <c r="O2503" s="14">
        <v>2000</v>
      </c>
      <c r="P2503" s="14">
        <v>93.6</v>
      </c>
      <c r="Q2503" s="14">
        <v>128</v>
      </c>
      <c r="R2503" s="14">
        <v>39.68</v>
      </c>
      <c r="S2503" s="2" t="s">
        <v>5459</v>
      </c>
      <c r="T2503" s="2">
        <v>1.01</v>
      </c>
      <c r="U2503" s="2">
        <v>61.7</v>
      </c>
      <c r="V2503" s="2">
        <v>60</v>
      </c>
      <c r="W2503" s="2" t="s">
        <v>7862</v>
      </c>
      <c r="X2503" s="2" t="s">
        <v>5405</v>
      </c>
      <c r="Y2503" s="2">
        <v>620</v>
      </c>
      <c r="Z2503" s="19" t="str">
        <f>HYPERLINK("https://ssdweb.co/ssdweb/hd/Vision360.html?d=920661335&amp;zoomslide=1&amp;z=1920661335&amp;ISCONFIRM=0","VIDEO")</f>
        <v>VIDEO</v>
      </c>
      <c r="AA2503" s="19" t="str">
        <f>HYPERLINK("https://ssdweb.co/ssdweb/CERTH/638462944.pdf","CERTI")</f>
        <v>CERTI</v>
      </c>
    </row>
    <row r="2504" spans="1:27" ht="15" x14ac:dyDescent="0.25">
      <c r="A2504" s="2">
        <v>2499</v>
      </c>
      <c r="B2504" s="39">
        <v>920661212</v>
      </c>
      <c r="C2504" s="28" t="str">
        <f>HYPERLINK("https://pld.live/RapDetail.aspx?STONELIST=920661212","DNA")</f>
        <v>DNA</v>
      </c>
      <c r="D2504" s="18" t="s">
        <v>7954</v>
      </c>
      <c r="E2504" s="18" t="s">
        <v>5128</v>
      </c>
      <c r="F2504" s="2" t="s">
        <v>7987</v>
      </c>
      <c r="G2504" s="2" t="s">
        <v>861</v>
      </c>
      <c r="H2504" s="14">
        <v>0.31</v>
      </c>
      <c r="I2504" s="2" t="s">
        <v>267</v>
      </c>
      <c r="J2504" s="2" t="s">
        <v>13</v>
      </c>
      <c r="K2504" s="2" t="s">
        <v>3390</v>
      </c>
      <c r="L2504" s="2" t="s">
        <v>5221</v>
      </c>
      <c r="M2504" s="2" t="s">
        <v>5721</v>
      </c>
      <c r="N2504" s="2" t="s">
        <v>2317</v>
      </c>
      <c r="O2504" s="14">
        <v>2000</v>
      </c>
      <c r="P2504" s="14">
        <v>93.6</v>
      </c>
      <c r="Q2504" s="14">
        <v>128</v>
      </c>
      <c r="R2504" s="14">
        <v>39.68</v>
      </c>
      <c r="S2504" s="2" t="s">
        <v>6092</v>
      </c>
      <c r="T2504" s="2">
        <v>1</v>
      </c>
      <c r="U2504" s="2">
        <v>62</v>
      </c>
      <c r="V2504" s="2">
        <v>59</v>
      </c>
      <c r="W2504" s="2" t="s">
        <v>7862</v>
      </c>
      <c r="X2504" s="2" t="s">
        <v>5405</v>
      </c>
      <c r="Y2504" s="2">
        <v>620</v>
      </c>
      <c r="Z2504" s="19" t="str">
        <f>HYPERLINK("https://ssdweb.co/ssdweb/hd/Vision360.html?d=920661212&amp;zoomslide=1&amp;z=1920661212&amp;ISCONFIRM=0","VIDEO")</f>
        <v>VIDEO</v>
      </c>
      <c r="AA2504" s="19" t="str">
        <f>HYPERLINK("https://ssdweb.co/ssdweb/CERTH/636429766.pdf","CERTI")</f>
        <v>CERTI</v>
      </c>
    </row>
    <row r="2505" spans="1:27" ht="15" x14ac:dyDescent="0.25">
      <c r="A2505" s="2">
        <v>2500</v>
      </c>
      <c r="B2505" s="39">
        <v>941360539</v>
      </c>
      <c r="C2505" s="28" t="str">
        <f>HYPERLINK("https://pld.live/RapDetail.aspx?STONELIST=941360539","DNA")</f>
        <v>DNA</v>
      </c>
      <c r="D2505" s="18" t="s">
        <v>7954</v>
      </c>
      <c r="E2505" s="18" t="s">
        <v>2186</v>
      </c>
      <c r="F2505" s="2" t="s">
        <v>7987</v>
      </c>
      <c r="G2505" s="2" t="s">
        <v>861</v>
      </c>
      <c r="H2505" s="14">
        <v>0.31</v>
      </c>
      <c r="I2505" s="2" t="s">
        <v>267</v>
      </c>
      <c r="J2505" s="2" t="s">
        <v>13</v>
      </c>
      <c r="K2505" s="2" t="s">
        <v>3390</v>
      </c>
      <c r="L2505" s="2" t="s">
        <v>5221</v>
      </c>
      <c r="M2505" s="2" t="s">
        <v>5721</v>
      </c>
      <c r="N2505" s="2" t="s">
        <v>2317</v>
      </c>
      <c r="O2505" s="14">
        <v>2000</v>
      </c>
      <c r="P2505" s="14">
        <v>93.6</v>
      </c>
      <c r="Q2505" s="14">
        <v>128</v>
      </c>
      <c r="R2505" s="14">
        <v>39.68</v>
      </c>
      <c r="S2505" s="2" t="s">
        <v>4908</v>
      </c>
      <c r="T2505" s="2">
        <v>1.01</v>
      </c>
      <c r="U2505" s="2">
        <v>62.1</v>
      </c>
      <c r="V2505" s="2">
        <v>56</v>
      </c>
      <c r="W2505" s="2" t="s">
        <v>7862</v>
      </c>
      <c r="X2505" s="2" t="s">
        <v>5405</v>
      </c>
      <c r="Y2505" s="2">
        <v>620</v>
      </c>
      <c r="Z2505" s="19" t="str">
        <f>HYPERLINK("https://ssdweb.co/ssdweb/hd/Vision360.html?d=941360539&amp;zoomslide=1&amp;z=1941360539&amp;ISCONFIRM=0","VIDEO")</f>
        <v>VIDEO</v>
      </c>
      <c r="AA2505" s="19" t="str">
        <f>HYPERLINK("https://ssdweb.co/ssdweb/CERTH/687591615.pdf","CERTI")</f>
        <v>CERTI</v>
      </c>
    </row>
    <row r="2506" spans="1:27" ht="15" x14ac:dyDescent="0.25">
      <c r="A2506" s="2">
        <v>2501</v>
      </c>
      <c r="B2506" s="39">
        <v>926430940</v>
      </c>
      <c r="C2506" s="28" t="str">
        <f>HYPERLINK("https://pld.live/RapDetail.aspx?STONELIST=926430940","DNA")</f>
        <v>DNA</v>
      </c>
      <c r="D2506" s="18" t="s">
        <v>7954</v>
      </c>
      <c r="E2506" s="18" t="s">
        <v>5128</v>
      </c>
      <c r="F2506" s="2" t="s">
        <v>7987</v>
      </c>
      <c r="G2506" s="2" t="s">
        <v>861</v>
      </c>
      <c r="H2506" s="14">
        <v>0.31</v>
      </c>
      <c r="I2506" s="2" t="s">
        <v>267</v>
      </c>
      <c r="J2506" s="2" t="s">
        <v>13</v>
      </c>
      <c r="K2506" s="2" t="s">
        <v>3390</v>
      </c>
      <c r="L2506" s="2" t="s">
        <v>5221</v>
      </c>
      <c r="M2506" s="2" t="s">
        <v>5721</v>
      </c>
      <c r="N2506" s="2" t="s">
        <v>2317</v>
      </c>
      <c r="O2506" s="14">
        <v>2000</v>
      </c>
      <c r="P2506" s="14">
        <v>93.6</v>
      </c>
      <c r="Q2506" s="14">
        <v>128</v>
      </c>
      <c r="R2506" s="14">
        <v>39.68</v>
      </c>
      <c r="S2506" s="2" t="s">
        <v>7574</v>
      </c>
      <c r="T2506" s="2">
        <v>1.01</v>
      </c>
      <c r="U2506" s="2">
        <v>59.4</v>
      </c>
      <c r="V2506" s="2">
        <v>60</v>
      </c>
      <c r="W2506" s="2" t="s">
        <v>7862</v>
      </c>
      <c r="X2506" s="2" t="s">
        <v>5405</v>
      </c>
      <c r="Y2506" s="2">
        <v>620</v>
      </c>
      <c r="Z2506" s="19" t="str">
        <f>HYPERLINK("https://ssdweb.co/ssdweb/hd/Vision360.html?d=926430940&amp;zoomslide=1&amp;z=1926430940&amp;ISCONFIRM=0","VIDEO")</f>
        <v>VIDEO</v>
      </c>
      <c r="AA2506" s="19" t="str">
        <f>HYPERLINK("https://ssdweb.co/ssdweb/CERTH/674543112.pdf","CERTI")</f>
        <v>CERTI</v>
      </c>
    </row>
    <row r="2507" spans="1:27" ht="15" x14ac:dyDescent="0.25">
      <c r="A2507" s="2">
        <v>2502</v>
      </c>
      <c r="B2507" s="39">
        <v>926091168</v>
      </c>
      <c r="C2507" s="28" t="str">
        <f>HYPERLINK("https://pld.live/RapDetail.aspx?STONELIST=926091168","DNA")</f>
        <v>DNA</v>
      </c>
      <c r="D2507" s="18" t="s">
        <v>7954</v>
      </c>
      <c r="E2507" s="18" t="s">
        <v>5128</v>
      </c>
      <c r="F2507" s="2" t="s">
        <v>7987</v>
      </c>
      <c r="G2507" s="2" t="s">
        <v>861</v>
      </c>
      <c r="H2507" s="14">
        <v>0.31</v>
      </c>
      <c r="I2507" s="2" t="s">
        <v>267</v>
      </c>
      <c r="J2507" s="2" t="s">
        <v>13</v>
      </c>
      <c r="K2507" s="2" t="s">
        <v>3390</v>
      </c>
      <c r="L2507" s="2" t="s">
        <v>5221</v>
      </c>
      <c r="M2507" s="2" t="s">
        <v>5721</v>
      </c>
      <c r="N2507" s="2" t="s">
        <v>2317</v>
      </c>
      <c r="O2507" s="14">
        <v>2000</v>
      </c>
      <c r="P2507" s="14">
        <v>93.6</v>
      </c>
      <c r="Q2507" s="14">
        <v>128</v>
      </c>
      <c r="R2507" s="14">
        <v>39.68</v>
      </c>
      <c r="S2507" s="2" t="s">
        <v>1103</v>
      </c>
      <c r="T2507" s="2">
        <v>1.01</v>
      </c>
      <c r="U2507" s="2">
        <v>60.4</v>
      </c>
      <c r="V2507" s="2">
        <v>59</v>
      </c>
      <c r="W2507" s="2" t="s">
        <v>7862</v>
      </c>
      <c r="X2507" s="2" t="s">
        <v>5405</v>
      </c>
      <c r="Y2507" s="2">
        <v>620</v>
      </c>
      <c r="Z2507" s="19" t="str">
        <f>HYPERLINK("https://ssdweb.co/ssdweb/hd/Vision360.html?d=926091168&amp;zoomslide=1&amp;z=1926091168&amp;ISCONFIRM=0","VIDEO")</f>
        <v>VIDEO</v>
      </c>
      <c r="AA2507" s="19" t="str">
        <f>HYPERLINK("https://ssdweb.co/ssdweb/CERTH/633490358.pdf","CERTI")</f>
        <v>CERTI</v>
      </c>
    </row>
    <row r="2508" spans="1:27" ht="15" x14ac:dyDescent="0.25">
      <c r="A2508" s="2">
        <v>2503</v>
      </c>
      <c r="B2508" s="39">
        <v>821127957</v>
      </c>
      <c r="C2508" s="28" t="str">
        <f>HYPERLINK("https://pld.live/RapDetail.aspx?STONELIST=821127957","DNA")</f>
        <v>DNA</v>
      </c>
      <c r="D2508" s="18" t="s">
        <v>7954</v>
      </c>
      <c r="E2508" s="18" t="s">
        <v>5128</v>
      </c>
      <c r="F2508" s="2" t="s">
        <v>7987</v>
      </c>
      <c r="G2508" s="2" t="s">
        <v>861</v>
      </c>
      <c r="H2508" s="14">
        <v>0.31</v>
      </c>
      <c r="I2508" s="2" t="s">
        <v>267</v>
      </c>
      <c r="J2508" s="2" t="s">
        <v>13</v>
      </c>
      <c r="K2508" s="2" t="s">
        <v>3390</v>
      </c>
      <c r="L2508" s="2" t="s">
        <v>5721</v>
      </c>
      <c r="M2508" s="2" t="s">
        <v>5221</v>
      </c>
      <c r="N2508" s="2" t="s">
        <v>2317</v>
      </c>
      <c r="O2508" s="14">
        <v>2000</v>
      </c>
      <c r="P2508" s="14">
        <v>93.6</v>
      </c>
      <c r="Q2508" s="14">
        <v>128</v>
      </c>
      <c r="R2508" s="14">
        <v>39.68</v>
      </c>
      <c r="S2508" s="2" t="s">
        <v>6381</v>
      </c>
      <c r="T2508" s="2">
        <v>1.01</v>
      </c>
      <c r="U2508" s="2">
        <v>60.4</v>
      </c>
      <c r="V2508" s="2">
        <v>60</v>
      </c>
      <c r="W2508" s="2" t="s">
        <v>7862</v>
      </c>
      <c r="X2508" s="2" t="s">
        <v>5405</v>
      </c>
      <c r="Y2508" s="2">
        <v>620</v>
      </c>
      <c r="Z2508" s="19" t="str">
        <f>HYPERLINK("https://ssdweb.co/ssdweb/hd/Vision360.html?d=821127957&amp;zoomslide=1&amp;z=1821127957&amp;ISCONFIRM=0","VIDEO")</f>
        <v>VIDEO</v>
      </c>
      <c r="AA2508" s="19" t="str">
        <f>HYPERLINK("https://ssdweb.co/ssdweb/CERTH/633431897.pdf","CERTI")</f>
        <v>CERTI</v>
      </c>
    </row>
    <row r="2509" spans="1:27" ht="15" x14ac:dyDescent="0.25">
      <c r="A2509" s="2">
        <v>2504</v>
      </c>
      <c r="B2509" s="39">
        <v>926230961</v>
      </c>
      <c r="C2509" s="28" t="str">
        <f>HYPERLINK("https://pld.live/RapDetail.aspx?STONELIST=926230961","DNA")</f>
        <v>DNA</v>
      </c>
      <c r="D2509" s="18" t="s">
        <v>7954</v>
      </c>
      <c r="E2509" s="18" t="s">
        <v>5128</v>
      </c>
      <c r="F2509" s="2" t="s">
        <v>7987</v>
      </c>
      <c r="G2509" s="2" t="s">
        <v>861</v>
      </c>
      <c r="H2509" s="14">
        <v>0.31</v>
      </c>
      <c r="I2509" s="2" t="s">
        <v>267</v>
      </c>
      <c r="J2509" s="2" t="s">
        <v>13</v>
      </c>
      <c r="K2509" s="2" t="s">
        <v>3390</v>
      </c>
      <c r="L2509" s="2" t="s">
        <v>5721</v>
      </c>
      <c r="M2509" s="2" t="s">
        <v>5221</v>
      </c>
      <c r="N2509" s="2" t="s">
        <v>2317</v>
      </c>
      <c r="O2509" s="14">
        <v>2000</v>
      </c>
      <c r="P2509" s="14">
        <v>93.6</v>
      </c>
      <c r="Q2509" s="14">
        <v>128</v>
      </c>
      <c r="R2509" s="14">
        <v>39.68</v>
      </c>
      <c r="S2509" s="2" t="s">
        <v>1070</v>
      </c>
      <c r="T2509" s="2">
        <v>1.01</v>
      </c>
      <c r="U2509" s="2">
        <v>62.2</v>
      </c>
      <c r="V2509" s="2">
        <v>57</v>
      </c>
      <c r="W2509" s="2" t="s">
        <v>7862</v>
      </c>
      <c r="X2509" s="2" t="s">
        <v>5405</v>
      </c>
      <c r="Y2509" s="2">
        <v>620</v>
      </c>
      <c r="Z2509" s="19" t="str">
        <f>HYPERLINK("https://ssdweb.co/ssdweb/hd/Vision360.html?d=926230961&amp;zoomslide=1&amp;z=1926230961&amp;ISCONFIRM=0","VIDEO")</f>
        <v>VIDEO</v>
      </c>
      <c r="AA2509" s="19" t="str">
        <f>HYPERLINK("https://ssdweb.co/ssdweb/CERTH/639406094.pdf","CERTI")</f>
        <v>CERTI</v>
      </c>
    </row>
    <row r="2510" spans="1:27" ht="15" x14ac:dyDescent="0.25">
      <c r="A2510" s="2">
        <v>2505</v>
      </c>
      <c r="B2510" s="39">
        <v>926191352</v>
      </c>
      <c r="C2510" s="28" t="str">
        <f>HYPERLINK("https://pld.live/RapDetail.aspx?STONELIST=926191352","DNA")</f>
        <v>DNA</v>
      </c>
      <c r="D2510" s="18" t="s">
        <v>7954</v>
      </c>
      <c r="E2510" s="18" t="s">
        <v>5128</v>
      </c>
      <c r="F2510" s="2" t="s">
        <v>7987</v>
      </c>
      <c r="G2510" s="2" t="s">
        <v>861</v>
      </c>
      <c r="H2510" s="14">
        <v>0.31</v>
      </c>
      <c r="I2510" s="2" t="s">
        <v>267</v>
      </c>
      <c r="J2510" s="2" t="s">
        <v>13</v>
      </c>
      <c r="K2510" s="2" t="s">
        <v>3390</v>
      </c>
      <c r="L2510" s="2" t="s">
        <v>5721</v>
      </c>
      <c r="M2510" s="2" t="s">
        <v>5221</v>
      </c>
      <c r="N2510" s="2" t="s">
        <v>2317</v>
      </c>
      <c r="O2510" s="14">
        <v>2000</v>
      </c>
      <c r="P2510" s="14">
        <v>93.6</v>
      </c>
      <c r="Q2510" s="14">
        <v>128</v>
      </c>
      <c r="R2510" s="14">
        <v>39.68</v>
      </c>
      <c r="S2510" s="2" t="s">
        <v>561</v>
      </c>
      <c r="T2510" s="2">
        <v>1</v>
      </c>
      <c r="U2510" s="2">
        <v>61.9</v>
      </c>
      <c r="V2510" s="2">
        <v>59</v>
      </c>
      <c r="W2510" s="2" t="s">
        <v>7862</v>
      </c>
      <c r="X2510" s="2" t="s">
        <v>5405</v>
      </c>
      <c r="Y2510" s="2">
        <v>620</v>
      </c>
      <c r="Z2510" s="19" t="str">
        <f>HYPERLINK("https://ssdweb.co/ssdweb/hd/Vision360.html?d=926191352&amp;zoomslide=1&amp;z=1926191352&amp;ISCONFIRM=0","VIDEO")</f>
        <v>VIDEO</v>
      </c>
      <c r="AA2510" s="19" t="str">
        <f>HYPERLINK("https://ssdweb.co/ssdweb/CERTH/638463095.pdf","CERTI")</f>
        <v>CERTI</v>
      </c>
    </row>
    <row r="2511" spans="1:27" ht="15" x14ac:dyDescent="0.25">
      <c r="A2511" s="2">
        <v>2506</v>
      </c>
      <c r="B2511" s="39">
        <v>941330222</v>
      </c>
      <c r="C2511" s="28" t="str">
        <f>HYPERLINK("https://pld.live/RapDetail.aspx?STONELIST=941330222","DNA")</f>
        <v>DNA</v>
      </c>
      <c r="D2511" s="18" t="s">
        <v>7954</v>
      </c>
      <c r="E2511" s="18" t="s">
        <v>2186</v>
      </c>
      <c r="F2511" s="2" t="s">
        <v>7987</v>
      </c>
      <c r="G2511" s="2" t="s">
        <v>861</v>
      </c>
      <c r="H2511" s="14">
        <v>0.31</v>
      </c>
      <c r="I2511" s="2" t="s">
        <v>267</v>
      </c>
      <c r="J2511" s="2" t="s">
        <v>13</v>
      </c>
      <c r="K2511" s="2" t="s">
        <v>5221</v>
      </c>
      <c r="L2511" s="2" t="s">
        <v>5221</v>
      </c>
      <c r="M2511" s="2" t="s">
        <v>5221</v>
      </c>
      <c r="N2511" s="2" t="s">
        <v>2317</v>
      </c>
      <c r="O2511" s="14">
        <v>2000</v>
      </c>
      <c r="P2511" s="14">
        <v>93.1</v>
      </c>
      <c r="Q2511" s="14">
        <v>138</v>
      </c>
      <c r="R2511" s="14">
        <v>42.78</v>
      </c>
      <c r="S2511" s="2" t="s">
        <v>141</v>
      </c>
      <c r="T2511" s="2">
        <v>1.01</v>
      </c>
      <c r="U2511" s="2">
        <v>62.6</v>
      </c>
      <c r="V2511" s="2">
        <v>58</v>
      </c>
      <c r="W2511" s="2" t="s">
        <v>7862</v>
      </c>
      <c r="X2511" s="2" t="s">
        <v>5405</v>
      </c>
      <c r="Y2511" s="2">
        <v>620</v>
      </c>
      <c r="Z2511" s="19" t="str">
        <f>HYPERLINK("https://ssdweb.co/ssdweb/hd/Vision360.html?d=941330222&amp;zoomslide=1&amp;z=1941330222&amp;ISCONFIRM=0","VIDEO")</f>
        <v>VIDEO</v>
      </c>
      <c r="AA2511" s="19" t="str">
        <f>HYPERLINK("https://ssdweb.co/ssdweb/CERTH/689587248.pdf","CERTI")</f>
        <v>CERTI</v>
      </c>
    </row>
    <row r="2512" spans="1:27" ht="15" x14ac:dyDescent="0.25">
      <c r="A2512" s="2">
        <v>2507</v>
      </c>
      <c r="B2512" s="39">
        <v>941280086</v>
      </c>
      <c r="C2512" s="28" t="str">
        <f>HYPERLINK("https://pld.live/RapDetail.aspx?STONELIST=941280086","DNA")</f>
        <v>DNA</v>
      </c>
      <c r="D2512" s="18" t="s">
        <v>7954</v>
      </c>
      <c r="E2512" s="18" t="s">
        <v>2186</v>
      </c>
      <c r="F2512" s="2" t="s">
        <v>7987</v>
      </c>
      <c r="G2512" s="2" t="s">
        <v>861</v>
      </c>
      <c r="H2512" s="14">
        <v>0.31</v>
      </c>
      <c r="I2512" s="2" t="s">
        <v>267</v>
      </c>
      <c r="J2512" s="2" t="s">
        <v>13</v>
      </c>
      <c r="K2512" s="2" t="s">
        <v>5221</v>
      </c>
      <c r="L2512" s="2" t="s">
        <v>5221</v>
      </c>
      <c r="M2512" s="2" t="s">
        <v>5221</v>
      </c>
      <c r="N2512" s="2" t="s">
        <v>2317</v>
      </c>
      <c r="O2512" s="14">
        <v>2000</v>
      </c>
      <c r="P2512" s="14">
        <v>93.1</v>
      </c>
      <c r="Q2512" s="14">
        <v>138</v>
      </c>
      <c r="R2512" s="14">
        <v>42.78</v>
      </c>
      <c r="S2512" s="2" t="s">
        <v>6214</v>
      </c>
      <c r="T2512" s="2">
        <v>1.01</v>
      </c>
      <c r="U2512" s="2">
        <v>61.1</v>
      </c>
      <c r="V2512" s="2">
        <v>60</v>
      </c>
      <c r="W2512" s="2" t="s">
        <v>7862</v>
      </c>
      <c r="X2512" s="2" t="s">
        <v>5405</v>
      </c>
      <c r="Y2512" s="2">
        <v>620</v>
      </c>
      <c r="Z2512" s="19" t="str">
        <f>HYPERLINK("https://ssdweb.co/ssdweb/hd/Vision360.html?d=941280086&amp;zoomslide=1&amp;z=1941280086&amp;ISCONFIRM=0","VIDEO")</f>
        <v>VIDEO</v>
      </c>
      <c r="AA2512" s="19" t="str">
        <f>HYPERLINK("https://ssdweb.co/ssdweb/CERTH/689587257.pdf","CERTI")</f>
        <v>CERTI</v>
      </c>
    </row>
    <row r="2513" spans="1:27" ht="15" x14ac:dyDescent="0.25">
      <c r="A2513" s="2">
        <v>2508</v>
      </c>
      <c r="B2513" s="39">
        <v>941280320</v>
      </c>
      <c r="C2513" s="28" t="str">
        <f>HYPERLINK("https://pld.live/RapDetail.aspx?STONELIST=941280320","DNA")</f>
        <v>DNA</v>
      </c>
      <c r="D2513" s="18" t="s">
        <v>7954</v>
      </c>
      <c r="E2513" s="18" t="s">
        <v>2186</v>
      </c>
      <c r="F2513" s="2" t="s">
        <v>7987</v>
      </c>
      <c r="G2513" s="2" t="s">
        <v>861</v>
      </c>
      <c r="H2513" s="14">
        <v>0.31</v>
      </c>
      <c r="I2513" s="2" t="s">
        <v>267</v>
      </c>
      <c r="J2513" s="2" t="s">
        <v>13</v>
      </c>
      <c r="K2513" s="2" t="s">
        <v>5221</v>
      </c>
      <c r="L2513" s="2" t="s">
        <v>5221</v>
      </c>
      <c r="M2513" s="2" t="s">
        <v>5221</v>
      </c>
      <c r="N2513" s="2" t="s">
        <v>2317</v>
      </c>
      <c r="O2513" s="14">
        <v>2000</v>
      </c>
      <c r="P2513" s="14">
        <v>93.1</v>
      </c>
      <c r="Q2513" s="14">
        <v>138</v>
      </c>
      <c r="R2513" s="14">
        <v>42.78</v>
      </c>
      <c r="S2513" s="2" t="s">
        <v>1969</v>
      </c>
      <c r="T2513" s="2">
        <v>1</v>
      </c>
      <c r="U2513" s="2">
        <v>61.1</v>
      </c>
      <c r="V2513" s="2">
        <v>59</v>
      </c>
      <c r="W2513" s="2" t="s">
        <v>7862</v>
      </c>
      <c r="X2513" s="2" t="s">
        <v>5405</v>
      </c>
      <c r="Y2513" s="2">
        <v>620</v>
      </c>
      <c r="Z2513" s="19" t="str">
        <f>HYPERLINK("https://ssdweb.co/ssdweb/hd/Vision360.html?d=941280320&amp;zoomslide=1&amp;z=1941280320&amp;ISCONFIRM=0","VIDEO")</f>
        <v>VIDEO</v>
      </c>
      <c r="AA2513" s="19" t="str">
        <f>HYPERLINK("https://ssdweb.co/ssdweb/CERTH/689587258.pdf","CERTI")</f>
        <v>CERTI</v>
      </c>
    </row>
    <row r="2514" spans="1:27" ht="15" x14ac:dyDescent="0.25">
      <c r="A2514" s="2">
        <v>2509</v>
      </c>
      <c r="B2514" s="39">
        <v>941230613</v>
      </c>
      <c r="C2514" s="28" t="str">
        <f>HYPERLINK("https://pld.live/RapDetail.aspx?STONELIST=941230613","DNA")</f>
        <v>DNA</v>
      </c>
      <c r="D2514" s="18" t="s">
        <v>7954</v>
      </c>
      <c r="E2514" s="18" t="s">
        <v>2186</v>
      </c>
      <c r="F2514" s="2" t="s">
        <v>7987</v>
      </c>
      <c r="G2514" s="2" t="s">
        <v>861</v>
      </c>
      <c r="H2514" s="14">
        <v>0.31</v>
      </c>
      <c r="I2514" s="2" t="s">
        <v>267</v>
      </c>
      <c r="J2514" s="2" t="s">
        <v>13</v>
      </c>
      <c r="K2514" s="2" t="s">
        <v>5221</v>
      </c>
      <c r="L2514" s="2" t="s">
        <v>5221</v>
      </c>
      <c r="M2514" s="2" t="s">
        <v>5221</v>
      </c>
      <c r="N2514" s="2" t="s">
        <v>2317</v>
      </c>
      <c r="O2514" s="14">
        <v>2000</v>
      </c>
      <c r="P2514" s="14">
        <v>93.1</v>
      </c>
      <c r="Q2514" s="14">
        <v>138</v>
      </c>
      <c r="R2514" s="14">
        <v>42.78</v>
      </c>
      <c r="S2514" s="2" t="s">
        <v>7871</v>
      </c>
      <c r="T2514" s="2">
        <v>1.01</v>
      </c>
      <c r="U2514" s="2">
        <v>60.5</v>
      </c>
      <c r="V2514" s="2">
        <v>58</v>
      </c>
      <c r="W2514" s="2" t="s">
        <v>7862</v>
      </c>
      <c r="X2514" s="2" t="s">
        <v>5405</v>
      </c>
      <c r="Y2514" s="2">
        <v>620</v>
      </c>
      <c r="Z2514" s="19" t="str">
        <f>HYPERLINK("https://ssdweb.co/ssdweb/hd/Vision360.html?d=941230613&amp;zoomslide=1&amp;z=1941230613&amp;ISCONFIRM=0","VIDEO")</f>
        <v>VIDEO</v>
      </c>
      <c r="AA2514" s="19" t="str">
        <f>HYPERLINK("https://ssdweb.co/ssdweb/CERTH/681569573.pdf","CERTI")</f>
        <v>CERTI</v>
      </c>
    </row>
    <row r="2515" spans="1:27" ht="15" x14ac:dyDescent="0.25">
      <c r="A2515" s="2">
        <v>2510</v>
      </c>
      <c r="B2515" s="39">
        <v>941290165</v>
      </c>
      <c r="C2515" s="28" t="str">
        <f>HYPERLINK("https://pld.live/RapDetail.aspx?STONELIST=941290165","DNA")</f>
        <v>DNA</v>
      </c>
      <c r="D2515" s="18" t="s">
        <v>7954</v>
      </c>
      <c r="E2515" s="18" t="s">
        <v>2186</v>
      </c>
      <c r="F2515" s="2" t="s">
        <v>7987</v>
      </c>
      <c r="G2515" s="2" t="s">
        <v>861</v>
      </c>
      <c r="H2515" s="14">
        <v>0.31</v>
      </c>
      <c r="I2515" s="2" t="s">
        <v>267</v>
      </c>
      <c r="J2515" s="2" t="s">
        <v>13</v>
      </c>
      <c r="K2515" s="2" t="s">
        <v>5221</v>
      </c>
      <c r="L2515" s="2" t="s">
        <v>5221</v>
      </c>
      <c r="M2515" s="2" t="s">
        <v>5221</v>
      </c>
      <c r="N2515" s="2" t="s">
        <v>2317</v>
      </c>
      <c r="O2515" s="14">
        <v>2000</v>
      </c>
      <c r="P2515" s="14">
        <v>93.1</v>
      </c>
      <c r="Q2515" s="14">
        <v>138</v>
      </c>
      <c r="R2515" s="14">
        <v>42.78</v>
      </c>
      <c r="S2515" s="2" t="s">
        <v>1330</v>
      </c>
      <c r="T2515" s="2">
        <v>1.01</v>
      </c>
      <c r="U2515" s="2">
        <v>61.3</v>
      </c>
      <c r="V2515" s="2">
        <v>61</v>
      </c>
      <c r="W2515" s="2" t="s">
        <v>7862</v>
      </c>
      <c r="X2515" s="2" t="s">
        <v>5405</v>
      </c>
      <c r="Y2515" s="2">
        <v>620</v>
      </c>
      <c r="Z2515" s="19" t="str">
        <f>HYPERLINK("https://ssdweb.co/ssdweb/hd/Vision360.html?d=941290165&amp;zoomslide=1&amp;z=1941290165&amp;ISCONFIRM=0","VIDEO")</f>
        <v>VIDEO</v>
      </c>
      <c r="AA2515" s="19" t="str">
        <f>HYPERLINK("https://ssdweb.co/ssdweb/CERTH/689587260.pdf","CERTI")</f>
        <v>CERTI</v>
      </c>
    </row>
    <row r="2516" spans="1:27" ht="15" x14ac:dyDescent="0.25">
      <c r="A2516" s="2">
        <v>2511</v>
      </c>
      <c r="B2516" s="39">
        <v>920661480</v>
      </c>
      <c r="C2516" s="28" t="str">
        <f>HYPERLINK("https://pld.live/RapDetail.aspx?STONELIST=920661480","DNA")</f>
        <v>DNA</v>
      </c>
      <c r="D2516" s="18" t="s">
        <v>7954</v>
      </c>
      <c r="E2516" s="18" t="s">
        <v>5128</v>
      </c>
      <c r="F2516" s="2" t="s">
        <v>7987</v>
      </c>
      <c r="G2516" s="2" t="s">
        <v>861</v>
      </c>
      <c r="H2516" s="14">
        <v>0.31</v>
      </c>
      <c r="I2516" s="2" t="s">
        <v>267</v>
      </c>
      <c r="J2516" s="2" t="s">
        <v>13</v>
      </c>
      <c r="K2516" s="2" t="s">
        <v>5221</v>
      </c>
      <c r="L2516" s="2" t="s">
        <v>5221</v>
      </c>
      <c r="M2516" s="2" t="s">
        <v>5721</v>
      </c>
      <c r="N2516" s="2" t="s">
        <v>2317</v>
      </c>
      <c r="O2516" s="14">
        <v>2000</v>
      </c>
      <c r="P2516" s="14">
        <v>93.6</v>
      </c>
      <c r="Q2516" s="14">
        <v>128</v>
      </c>
      <c r="R2516" s="14">
        <v>39.68</v>
      </c>
      <c r="S2516" s="2" t="s">
        <v>7730</v>
      </c>
      <c r="T2516" s="2">
        <v>1.01</v>
      </c>
      <c r="U2516" s="2">
        <v>62.9</v>
      </c>
      <c r="V2516" s="2">
        <v>58</v>
      </c>
      <c r="W2516" s="2" t="s">
        <v>7862</v>
      </c>
      <c r="X2516" s="2" t="s">
        <v>5405</v>
      </c>
      <c r="Y2516" s="2">
        <v>620</v>
      </c>
      <c r="Z2516" s="19" t="str">
        <f>HYPERLINK("https://ssdweb.co/ssdweb/hd/Vision360.html?d=920661480&amp;zoomslide=1&amp;z=1920661480&amp;ISCONFIRM=0","VIDEO")</f>
        <v>VIDEO</v>
      </c>
      <c r="AA2516" s="19" t="str">
        <f>HYPERLINK("https://ssdweb.co/ssdweb/CERTH/639405975.pdf","CERTI")</f>
        <v>CERTI</v>
      </c>
    </row>
    <row r="2517" spans="1:27" ht="15" x14ac:dyDescent="0.25">
      <c r="A2517" s="2">
        <v>2512</v>
      </c>
      <c r="B2517" s="39">
        <v>821127955</v>
      </c>
      <c r="C2517" s="28" t="str">
        <f>HYPERLINK("https://pld.live/RapDetail.aspx?STONELIST=821127955","DNA")</f>
        <v>DNA</v>
      </c>
      <c r="D2517" s="18" t="s">
        <v>7954</v>
      </c>
      <c r="E2517" s="18" t="s">
        <v>5128</v>
      </c>
      <c r="F2517" s="2" t="s">
        <v>7987</v>
      </c>
      <c r="G2517" s="2" t="s">
        <v>861</v>
      </c>
      <c r="H2517" s="14">
        <v>0.31</v>
      </c>
      <c r="I2517" s="2" t="s">
        <v>267</v>
      </c>
      <c r="J2517" s="2" t="s">
        <v>13</v>
      </c>
      <c r="K2517" s="2" t="s">
        <v>5221</v>
      </c>
      <c r="L2517" s="2" t="s">
        <v>5221</v>
      </c>
      <c r="M2517" s="2" t="s">
        <v>5721</v>
      </c>
      <c r="N2517" s="2" t="s">
        <v>2317</v>
      </c>
      <c r="O2517" s="14">
        <v>2000</v>
      </c>
      <c r="P2517" s="14">
        <v>93.6</v>
      </c>
      <c r="Q2517" s="14">
        <v>128</v>
      </c>
      <c r="R2517" s="14">
        <v>39.68</v>
      </c>
      <c r="S2517" s="2" t="s">
        <v>2856</v>
      </c>
      <c r="T2517" s="2">
        <v>1.01</v>
      </c>
      <c r="U2517" s="2">
        <v>62.6</v>
      </c>
      <c r="V2517" s="2">
        <v>59</v>
      </c>
      <c r="W2517" s="2" t="s">
        <v>7862</v>
      </c>
      <c r="X2517" s="2" t="s">
        <v>5405</v>
      </c>
      <c r="Y2517" s="2">
        <v>620</v>
      </c>
      <c r="Z2517" s="19" t="str">
        <f>HYPERLINK("https://ssdweb.co/ssdweb/hd/Vision360.html?d=821127955&amp;zoomslide=1&amp;z=1821127955&amp;ISCONFIRM=0","VIDEO")</f>
        <v>VIDEO</v>
      </c>
      <c r="AA2517" s="19" t="str">
        <f>HYPERLINK("https://ssdweb.co/ssdweb/CERTH/633431895.pdf","CERTI")</f>
        <v>CERTI</v>
      </c>
    </row>
    <row r="2518" spans="1:27" ht="15" x14ac:dyDescent="0.25">
      <c r="A2518" s="2">
        <v>2513</v>
      </c>
      <c r="B2518" s="39">
        <v>926231369</v>
      </c>
      <c r="C2518" s="28" t="str">
        <f>HYPERLINK("https://pld.live/RapDetail.aspx?STONELIST=926231369","DNA")</f>
        <v>DNA</v>
      </c>
      <c r="D2518" s="18" t="s">
        <v>7954</v>
      </c>
      <c r="E2518" s="18" t="s">
        <v>5128</v>
      </c>
      <c r="F2518" s="2" t="s">
        <v>7987</v>
      </c>
      <c r="G2518" s="2" t="s">
        <v>861</v>
      </c>
      <c r="H2518" s="14">
        <v>0.31</v>
      </c>
      <c r="I2518" s="2" t="s">
        <v>267</v>
      </c>
      <c r="J2518" s="2" t="s">
        <v>13</v>
      </c>
      <c r="K2518" s="2" t="s">
        <v>5221</v>
      </c>
      <c r="L2518" s="2" t="s">
        <v>5221</v>
      </c>
      <c r="M2518" s="2" t="s">
        <v>5721</v>
      </c>
      <c r="N2518" s="2" t="s">
        <v>2317</v>
      </c>
      <c r="O2518" s="14">
        <v>2000</v>
      </c>
      <c r="P2518" s="14">
        <v>93.6</v>
      </c>
      <c r="Q2518" s="14">
        <v>128</v>
      </c>
      <c r="R2518" s="14">
        <v>39.68</v>
      </c>
      <c r="S2518" s="2" t="s">
        <v>6088</v>
      </c>
      <c r="T2518" s="2">
        <v>1.01</v>
      </c>
      <c r="U2518" s="2">
        <v>62.4</v>
      </c>
      <c r="V2518" s="2">
        <v>59</v>
      </c>
      <c r="W2518" s="2" t="s">
        <v>7862</v>
      </c>
      <c r="X2518" s="2" t="s">
        <v>5405</v>
      </c>
      <c r="Y2518" s="2">
        <v>620</v>
      </c>
      <c r="Z2518" s="19" t="str">
        <f>HYPERLINK("https://ssdweb.co/ssdweb/hd/Vision360.html?d=926231369&amp;zoomslide=1&amp;z=1926231369&amp;ISCONFIRM=0","VIDEO")</f>
        <v>VIDEO</v>
      </c>
      <c r="AA2518" s="19" t="str">
        <f>HYPERLINK("https://ssdweb.co/ssdweb/CERTH/642447696.pdf","CERTI")</f>
        <v>CERTI</v>
      </c>
    </row>
    <row r="2519" spans="1:27" ht="15" x14ac:dyDescent="0.25">
      <c r="A2519" s="2">
        <v>2514</v>
      </c>
      <c r="B2519" s="39">
        <v>926231270</v>
      </c>
      <c r="C2519" s="28" t="str">
        <f>HYPERLINK("https://pld.live/RapDetail.aspx?STONELIST=926231270","DNA")</f>
        <v>DNA</v>
      </c>
      <c r="D2519" s="18" t="s">
        <v>7954</v>
      </c>
      <c r="E2519" s="18" t="s">
        <v>5128</v>
      </c>
      <c r="F2519" s="2" t="s">
        <v>7987</v>
      </c>
      <c r="G2519" s="2" t="s">
        <v>861</v>
      </c>
      <c r="H2519" s="14">
        <v>0.31</v>
      </c>
      <c r="I2519" s="2" t="s">
        <v>267</v>
      </c>
      <c r="J2519" s="2" t="s">
        <v>13</v>
      </c>
      <c r="K2519" s="2" t="s">
        <v>5221</v>
      </c>
      <c r="L2519" s="2" t="s">
        <v>5221</v>
      </c>
      <c r="M2519" s="2" t="s">
        <v>5721</v>
      </c>
      <c r="N2519" s="2" t="s">
        <v>2317</v>
      </c>
      <c r="O2519" s="14">
        <v>2000</v>
      </c>
      <c r="P2519" s="14">
        <v>93.6</v>
      </c>
      <c r="Q2519" s="14">
        <v>128</v>
      </c>
      <c r="R2519" s="14">
        <v>39.68</v>
      </c>
      <c r="S2519" s="2" t="s">
        <v>4659</v>
      </c>
      <c r="T2519" s="2">
        <v>1.01</v>
      </c>
      <c r="U2519" s="2">
        <v>62.6</v>
      </c>
      <c r="V2519" s="2">
        <v>56</v>
      </c>
      <c r="W2519" s="2" t="s">
        <v>7862</v>
      </c>
      <c r="X2519" s="2" t="s">
        <v>5405</v>
      </c>
      <c r="Y2519" s="2">
        <v>620</v>
      </c>
      <c r="Z2519" s="19" t="str">
        <f>HYPERLINK("https://ssdweb.co/ssdweb/hd/Vision360.html?d=926231270&amp;zoomslide=1&amp;z=1926231270&amp;ISCONFIRM=0","VIDEO")</f>
        <v>VIDEO</v>
      </c>
      <c r="AA2519" s="19" t="str">
        <f>HYPERLINK("https://ssdweb.co/ssdweb/CERTH/642447724.pdf","CERTI")</f>
        <v>CERTI</v>
      </c>
    </row>
    <row r="2520" spans="1:27" ht="15" x14ac:dyDescent="0.25">
      <c r="A2520" s="2">
        <v>2515</v>
      </c>
      <c r="B2520" s="39">
        <v>926231242</v>
      </c>
      <c r="C2520" s="28" t="str">
        <f>HYPERLINK("https://pld.live/RapDetail.aspx?STONELIST=926231242","DNA")</f>
        <v>DNA</v>
      </c>
      <c r="D2520" s="18" t="s">
        <v>7954</v>
      </c>
      <c r="E2520" s="18" t="s">
        <v>5128</v>
      </c>
      <c r="F2520" s="2" t="s">
        <v>7987</v>
      </c>
      <c r="G2520" s="2" t="s">
        <v>861</v>
      </c>
      <c r="H2520" s="14">
        <v>0.31</v>
      </c>
      <c r="I2520" s="2" t="s">
        <v>267</v>
      </c>
      <c r="J2520" s="2" t="s">
        <v>13</v>
      </c>
      <c r="K2520" s="2" t="s">
        <v>5221</v>
      </c>
      <c r="L2520" s="2" t="s">
        <v>5221</v>
      </c>
      <c r="M2520" s="2" t="s">
        <v>5721</v>
      </c>
      <c r="N2520" s="2" t="s">
        <v>2317</v>
      </c>
      <c r="O2520" s="14">
        <v>2000</v>
      </c>
      <c r="P2520" s="14">
        <v>93.6</v>
      </c>
      <c r="Q2520" s="14">
        <v>128</v>
      </c>
      <c r="R2520" s="14">
        <v>39.68</v>
      </c>
      <c r="S2520" s="2" t="s">
        <v>5383</v>
      </c>
      <c r="T2520" s="2">
        <v>1.01</v>
      </c>
      <c r="U2520" s="2">
        <v>59.9</v>
      </c>
      <c r="V2520" s="2">
        <v>61</v>
      </c>
      <c r="W2520" s="2" t="s">
        <v>7862</v>
      </c>
      <c r="X2520" s="2" t="s">
        <v>5405</v>
      </c>
      <c r="Y2520" s="2">
        <v>620</v>
      </c>
      <c r="Z2520" s="19" t="str">
        <f>HYPERLINK("https://ssdweb.co/ssdweb/hd/Vision360.html?d=926231242&amp;zoomslide=1&amp;z=1926231242&amp;ISCONFIRM=0","VIDEO")</f>
        <v>VIDEO</v>
      </c>
      <c r="AA2520" s="19" t="str">
        <f>HYPERLINK("https://ssdweb.co/ssdweb/CERTH/642447719.pdf","CERTI")</f>
        <v>CERTI</v>
      </c>
    </row>
    <row r="2521" spans="1:27" ht="15" x14ac:dyDescent="0.25">
      <c r="A2521" s="2">
        <v>2516</v>
      </c>
      <c r="B2521" s="39">
        <v>926261315</v>
      </c>
      <c r="C2521" s="28" t="str">
        <f>HYPERLINK("https://pld.live/RapDetail.aspx?STONELIST=926261315","DNA")</f>
        <v>DNA</v>
      </c>
      <c r="D2521" s="18" t="s">
        <v>7954</v>
      </c>
      <c r="E2521" s="18" t="s">
        <v>5128</v>
      </c>
      <c r="F2521" s="2" t="s">
        <v>7987</v>
      </c>
      <c r="G2521" s="2" t="s">
        <v>861</v>
      </c>
      <c r="H2521" s="14">
        <v>0.31</v>
      </c>
      <c r="I2521" s="2" t="s">
        <v>267</v>
      </c>
      <c r="J2521" s="2" t="s">
        <v>13</v>
      </c>
      <c r="K2521" s="2" t="s">
        <v>5221</v>
      </c>
      <c r="L2521" s="2" t="s">
        <v>5221</v>
      </c>
      <c r="M2521" s="2" t="s">
        <v>5721</v>
      </c>
      <c r="N2521" s="2" t="s">
        <v>2317</v>
      </c>
      <c r="O2521" s="14">
        <v>2000</v>
      </c>
      <c r="P2521" s="14">
        <v>93.6</v>
      </c>
      <c r="Q2521" s="14">
        <v>128</v>
      </c>
      <c r="R2521" s="14">
        <v>39.68</v>
      </c>
      <c r="S2521" s="2" t="s">
        <v>5232</v>
      </c>
      <c r="T2521" s="2">
        <v>1.01</v>
      </c>
      <c r="U2521" s="2">
        <v>63.2</v>
      </c>
      <c r="V2521" s="2">
        <v>57</v>
      </c>
      <c r="W2521" s="2" t="s">
        <v>7862</v>
      </c>
      <c r="X2521" s="2" t="s">
        <v>5405</v>
      </c>
      <c r="Y2521" s="2">
        <v>620</v>
      </c>
      <c r="Z2521" s="19" t="str">
        <f>HYPERLINK("https://ssdweb.co/ssdweb/hd/Vision360.html?d=926261315&amp;zoomslide=1&amp;z=1926261315&amp;ISCONFIRM=0","VIDEO")</f>
        <v>VIDEO</v>
      </c>
      <c r="AA2521" s="19" t="str">
        <f>HYPERLINK("https://ssdweb.co/ssdweb/CERTH/642447824.pdf","CERTI")</f>
        <v>CERTI</v>
      </c>
    </row>
    <row r="2522" spans="1:27" ht="15" x14ac:dyDescent="0.25">
      <c r="A2522" s="2">
        <v>2517</v>
      </c>
      <c r="B2522" s="39">
        <v>926391150</v>
      </c>
      <c r="C2522" s="28" t="str">
        <f>HYPERLINK("https://pld.live/RapDetail.aspx?STONELIST=926391150","DNA")</f>
        <v>DNA</v>
      </c>
      <c r="D2522" s="18" t="s">
        <v>7954</v>
      </c>
      <c r="E2522" s="18" t="s">
        <v>5128</v>
      </c>
      <c r="F2522" s="2" t="s">
        <v>7987</v>
      </c>
      <c r="G2522" s="2" t="s">
        <v>861</v>
      </c>
      <c r="H2522" s="14">
        <v>0.31</v>
      </c>
      <c r="I2522" s="2" t="s">
        <v>267</v>
      </c>
      <c r="J2522" s="2" t="s">
        <v>13</v>
      </c>
      <c r="K2522" s="2" t="s">
        <v>5221</v>
      </c>
      <c r="L2522" s="2" t="s">
        <v>5221</v>
      </c>
      <c r="M2522" s="2" t="s">
        <v>5721</v>
      </c>
      <c r="N2522" s="2" t="s">
        <v>2317</v>
      </c>
      <c r="O2522" s="14">
        <v>2000</v>
      </c>
      <c r="P2522" s="14">
        <v>93.6</v>
      </c>
      <c r="Q2522" s="14">
        <v>128</v>
      </c>
      <c r="R2522" s="14">
        <v>39.68</v>
      </c>
      <c r="S2522" s="2" t="s">
        <v>7484</v>
      </c>
      <c r="T2522" s="2">
        <v>1.01</v>
      </c>
      <c r="U2522" s="2">
        <v>62.8</v>
      </c>
      <c r="V2522" s="2">
        <v>57</v>
      </c>
      <c r="W2522" s="2" t="s">
        <v>7862</v>
      </c>
      <c r="X2522" s="2" t="s">
        <v>5405</v>
      </c>
      <c r="Y2522" s="2">
        <v>620</v>
      </c>
      <c r="Z2522" s="19" t="str">
        <f>HYPERLINK("https://ssdweb.co/ssdweb/hd/Vision360.html?d=926391150&amp;zoomslide=1&amp;z=1926391150&amp;ISCONFIRM=0","VIDEO")</f>
        <v>VIDEO</v>
      </c>
      <c r="AA2522" s="19" t="str">
        <f>HYPERLINK("https://ssdweb.co/ssdweb/CERTH/646472915.pdf","CERTI")</f>
        <v>CERTI</v>
      </c>
    </row>
    <row r="2523" spans="1:27" ht="15" x14ac:dyDescent="0.25">
      <c r="A2523" s="2">
        <v>2518</v>
      </c>
      <c r="B2523" s="39">
        <v>926191044</v>
      </c>
      <c r="C2523" s="28" t="str">
        <f>HYPERLINK("https://pld.live/RapDetail.aspx?STONELIST=926191044","DNA")</f>
        <v>DNA</v>
      </c>
      <c r="D2523" s="18" t="s">
        <v>7954</v>
      </c>
      <c r="E2523" s="18" t="s">
        <v>5128</v>
      </c>
      <c r="F2523" s="2" t="s">
        <v>7987</v>
      </c>
      <c r="G2523" s="2" t="s">
        <v>861</v>
      </c>
      <c r="H2523" s="14">
        <v>0.31</v>
      </c>
      <c r="I2523" s="2" t="s">
        <v>267</v>
      </c>
      <c r="J2523" s="2" t="s">
        <v>13</v>
      </c>
      <c r="K2523" s="2" t="s">
        <v>5221</v>
      </c>
      <c r="L2523" s="2" t="s">
        <v>5221</v>
      </c>
      <c r="M2523" s="2" t="s">
        <v>5721</v>
      </c>
      <c r="N2523" s="2" t="s">
        <v>2317</v>
      </c>
      <c r="O2523" s="14">
        <v>2000</v>
      </c>
      <c r="P2523" s="14">
        <v>93.6</v>
      </c>
      <c r="Q2523" s="14">
        <v>128</v>
      </c>
      <c r="R2523" s="14">
        <v>39.68</v>
      </c>
      <c r="S2523" s="2" t="s">
        <v>1831</v>
      </c>
      <c r="T2523" s="2">
        <v>1.01</v>
      </c>
      <c r="U2523" s="2">
        <v>62.8</v>
      </c>
      <c r="V2523" s="2">
        <v>54</v>
      </c>
      <c r="W2523" s="2" t="s">
        <v>7862</v>
      </c>
      <c r="X2523" s="2" t="s">
        <v>5405</v>
      </c>
      <c r="Y2523" s="2">
        <v>620</v>
      </c>
      <c r="Z2523" s="19" t="str">
        <f>HYPERLINK("https://ssdweb.co/ssdweb/hd/Vision360.html?d=926191044&amp;zoomslide=1&amp;z=1926191044&amp;ISCONFIRM=0","VIDEO")</f>
        <v>VIDEO</v>
      </c>
      <c r="AA2523" s="19" t="str">
        <f>HYPERLINK("https://ssdweb.co/ssdweb/CERTH/637467206.pdf","CERTI")</f>
        <v>CERTI</v>
      </c>
    </row>
    <row r="2524" spans="1:27" ht="15" x14ac:dyDescent="0.25">
      <c r="A2524" s="2">
        <v>2519</v>
      </c>
      <c r="B2524" s="39">
        <v>926190936</v>
      </c>
      <c r="C2524" s="28" t="str">
        <f>HYPERLINK("https://pld.live/RapDetail.aspx?STONELIST=926190936","DNA")</f>
        <v>DNA</v>
      </c>
      <c r="D2524" s="18" t="s">
        <v>7954</v>
      </c>
      <c r="E2524" s="18" t="s">
        <v>5128</v>
      </c>
      <c r="F2524" s="2" t="s">
        <v>7987</v>
      </c>
      <c r="G2524" s="2" t="s">
        <v>861</v>
      </c>
      <c r="H2524" s="14">
        <v>0.31</v>
      </c>
      <c r="I2524" s="2" t="s">
        <v>267</v>
      </c>
      <c r="J2524" s="2" t="s">
        <v>13</v>
      </c>
      <c r="K2524" s="2" t="s">
        <v>5221</v>
      </c>
      <c r="L2524" s="2" t="s">
        <v>5221</v>
      </c>
      <c r="M2524" s="2" t="s">
        <v>5721</v>
      </c>
      <c r="N2524" s="2" t="s">
        <v>2317</v>
      </c>
      <c r="O2524" s="14">
        <v>2000</v>
      </c>
      <c r="P2524" s="14">
        <v>93.6</v>
      </c>
      <c r="Q2524" s="14">
        <v>128</v>
      </c>
      <c r="R2524" s="14">
        <v>39.68</v>
      </c>
      <c r="S2524" s="2" t="s">
        <v>4719</v>
      </c>
      <c r="T2524" s="2">
        <v>1.01</v>
      </c>
      <c r="U2524" s="2">
        <v>63.2</v>
      </c>
      <c r="V2524" s="2">
        <v>57</v>
      </c>
      <c r="W2524" s="2" t="s">
        <v>7862</v>
      </c>
      <c r="X2524" s="2" t="s">
        <v>5405</v>
      </c>
      <c r="Y2524" s="2">
        <v>620</v>
      </c>
      <c r="Z2524" s="19" t="str">
        <f>HYPERLINK("https://ssdweb.co/ssdweb/hd/Vision360.html?d=926190936&amp;zoomslide=1&amp;z=1926190936&amp;ISCONFIRM=0","VIDEO")</f>
        <v>VIDEO</v>
      </c>
      <c r="AA2524" s="19" t="str">
        <f>HYPERLINK("https://ssdweb.co/ssdweb/CERTH/636429683.pdf","CERTI")</f>
        <v>CERTI</v>
      </c>
    </row>
    <row r="2525" spans="1:27" ht="15" x14ac:dyDescent="0.25">
      <c r="A2525" s="2">
        <v>2520</v>
      </c>
      <c r="B2525" s="39">
        <v>941050002</v>
      </c>
      <c r="C2525" s="28" t="str">
        <f>HYPERLINK("https://pld.live/RapDetail.aspx?STONELIST=941050002","DNA")</f>
        <v>DNA</v>
      </c>
      <c r="D2525" s="18" t="s">
        <v>7954</v>
      </c>
      <c r="E2525" s="18" t="s">
        <v>2186</v>
      </c>
      <c r="F2525" s="2" t="s">
        <v>7987</v>
      </c>
      <c r="G2525" s="2" t="s">
        <v>861</v>
      </c>
      <c r="H2525" s="14">
        <v>0.31</v>
      </c>
      <c r="I2525" s="2" t="s">
        <v>267</v>
      </c>
      <c r="J2525" s="2" t="s">
        <v>13</v>
      </c>
      <c r="K2525" s="2" t="s">
        <v>5221</v>
      </c>
      <c r="L2525" s="2" t="s">
        <v>5221</v>
      </c>
      <c r="M2525" s="2" t="s">
        <v>5721</v>
      </c>
      <c r="N2525" s="2" t="s">
        <v>2317</v>
      </c>
      <c r="O2525" s="14">
        <v>2000</v>
      </c>
      <c r="P2525" s="14">
        <v>93.6</v>
      </c>
      <c r="Q2525" s="14">
        <v>128</v>
      </c>
      <c r="R2525" s="14">
        <v>39.68</v>
      </c>
      <c r="S2525" s="2" t="s">
        <v>0</v>
      </c>
      <c r="T2525" s="2">
        <v>1</v>
      </c>
      <c r="U2525" s="2">
        <v>61.4</v>
      </c>
      <c r="V2525" s="2">
        <v>60</v>
      </c>
      <c r="W2525" s="2" t="s">
        <v>7862</v>
      </c>
      <c r="X2525" s="2" t="s">
        <v>5405</v>
      </c>
      <c r="Y2525" s="2">
        <v>620</v>
      </c>
      <c r="Z2525" s="19" t="str">
        <f>HYPERLINK("https://ssdweb.co/ssdweb/hd/Vision360.html?d=941050002&amp;zoomslide=1&amp;z=1941050002&amp;ISCONFIRM=0","VIDEO")</f>
        <v>VIDEO</v>
      </c>
      <c r="AA2525" s="19" t="str">
        <f>HYPERLINK("https://ssdweb.co/ssdweb/CERTH/668477302.pdf","CERTI")</f>
        <v>CERTI</v>
      </c>
    </row>
    <row r="2526" spans="1:27" ht="15" x14ac:dyDescent="0.25">
      <c r="A2526" s="2">
        <v>2521</v>
      </c>
      <c r="B2526" s="39">
        <v>926830973</v>
      </c>
      <c r="C2526" s="28" t="str">
        <f>HYPERLINK("https://pld.live/RapDetail.aspx?STONELIST=926830973","DNA")</f>
        <v>DNA</v>
      </c>
      <c r="D2526" s="18" t="s">
        <v>7954</v>
      </c>
      <c r="E2526" s="18" t="s">
        <v>5128</v>
      </c>
      <c r="F2526" s="2" t="s">
        <v>7987</v>
      </c>
      <c r="G2526" s="2" t="s">
        <v>861</v>
      </c>
      <c r="H2526" s="14">
        <v>0.31</v>
      </c>
      <c r="I2526" s="2" t="s">
        <v>267</v>
      </c>
      <c r="J2526" s="2" t="s">
        <v>13</v>
      </c>
      <c r="K2526" s="2" t="s">
        <v>5221</v>
      </c>
      <c r="L2526" s="2" t="s">
        <v>5721</v>
      </c>
      <c r="M2526" s="2" t="s">
        <v>5721</v>
      </c>
      <c r="N2526" s="2" t="s">
        <v>2317</v>
      </c>
      <c r="O2526" s="14">
        <v>2000</v>
      </c>
      <c r="P2526" s="14">
        <v>93.7</v>
      </c>
      <c r="Q2526" s="14">
        <v>126</v>
      </c>
      <c r="R2526" s="14">
        <v>39.06</v>
      </c>
      <c r="S2526" s="2" t="s">
        <v>7605</v>
      </c>
      <c r="T2526" s="2">
        <v>1.01</v>
      </c>
      <c r="U2526" s="2">
        <v>58.8</v>
      </c>
      <c r="V2526" s="2">
        <v>59</v>
      </c>
      <c r="W2526" s="2" t="s">
        <v>7862</v>
      </c>
      <c r="X2526" s="2" t="s">
        <v>5405</v>
      </c>
      <c r="Y2526" s="2">
        <v>620</v>
      </c>
      <c r="Z2526" s="19" t="str">
        <f>HYPERLINK("https://ssdweb.co/ssdweb/hd/Vision360.html?d=926830973&amp;zoomslide=1&amp;z=1926830973&amp;ISCONFIRM=0","VIDEO")</f>
        <v>VIDEO</v>
      </c>
      <c r="AA2526" s="19" t="str">
        <f>HYPERLINK("https://ssdweb.co/ssdweb/CERTH/674543044.pdf","CERTI")</f>
        <v>CERTI</v>
      </c>
    </row>
    <row r="2527" spans="1:27" ht="15" x14ac:dyDescent="0.25">
      <c r="A2527" s="2">
        <v>2522</v>
      </c>
      <c r="B2527" s="39">
        <v>926491244</v>
      </c>
      <c r="C2527" s="28" t="str">
        <f>HYPERLINK("https://pld.live/RapDetail.aspx?STONELIST=926491244","DNA")</f>
        <v>DNA</v>
      </c>
      <c r="D2527" s="18" t="s">
        <v>7954</v>
      </c>
      <c r="E2527" s="18" t="s">
        <v>5128</v>
      </c>
      <c r="F2527" s="2" t="s">
        <v>7987</v>
      </c>
      <c r="G2527" s="2" t="s">
        <v>861</v>
      </c>
      <c r="H2527" s="14">
        <v>0.31</v>
      </c>
      <c r="I2527" s="2" t="s">
        <v>267</v>
      </c>
      <c r="J2527" s="2" t="s">
        <v>5144</v>
      </c>
      <c r="K2527" s="2" t="s">
        <v>3390</v>
      </c>
      <c r="L2527" s="2" t="s">
        <v>5221</v>
      </c>
      <c r="M2527" s="2" t="s">
        <v>5221</v>
      </c>
      <c r="N2527" s="2" t="s">
        <v>2317</v>
      </c>
      <c r="O2527" s="14">
        <v>1800</v>
      </c>
      <c r="P2527" s="14">
        <v>92.78</v>
      </c>
      <c r="Q2527" s="14">
        <v>129.96</v>
      </c>
      <c r="R2527" s="14">
        <v>40.29</v>
      </c>
      <c r="S2527" s="2" t="s">
        <v>902</v>
      </c>
      <c r="T2527" s="2">
        <v>1.01</v>
      </c>
      <c r="U2527" s="2">
        <v>62</v>
      </c>
      <c r="V2527" s="2">
        <v>59</v>
      </c>
      <c r="W2527" s="2" t="s">
        <v>7862</v>
      </c>
      <c r="X2527" s="2" t="s">
        <v>5405</v>
      </c>
      <c r="Y2527" s="2">
        <v>558</v>
      </c>
      <c r="Z2527" s="19" t="str">
        <f>HYPERLINK("https://ssdweb.co/ssdweb/hd/Vision360.html?d=926491244&amp;zoomslide=1&amp;z=1926491244&amp;ISCONFIRM=0","VIDEO")</f>
        <v>VIDEO</v>
      </c>
      <c r="AA2527" s="19" t="str">
        <f>HYPERLINK("https://ssdweb.co/ssdweb/CERTH/667408582.pdf","CERTI")</f>
        <v>CERTI</v>
      </c>
    </row>
    <row r="2528" spans="1:27" ht="15" x14ac:dyDescent="0.25">
      <c r="A2528" s="2">
        <v>2523</v>
      </c>
      <c r="B2528" s="39">
        <v>926391246</v>
      </c>
      <c r="C2528" s="28" t="str">
        <f>HYPERLINK("https://pld.live/RapDetail.aspx?STONELIST=926391246","DNA")</f>
        <v>DNA</v>
      </c>
      <c r="D2528" s="18" t="s">
        <v>7954</v>
      </c>
      <c r="E2528" s="18" t="s">
        <v>5128</v>
      </c>
      <c r="F2528" s="2" t="s">
        <v>7987</v>
      </c>
      <c r="G2528" s="2" t="s">
        <v>861</v>
      </c>
      <c r="H2528" s="14">
        <v>0.31</v>
      </c>
      <c r="I2528" s="2" t="s">
        <v>267</v>
      </c>
      <c r="J2528" s="2" t="s">
        <v>5144</v>
      </c>
      <c r="K2528" s="2" t="s">
        <v>3390</v>
      </c>
      <c r="L2528" s="2" t="s">
        <v>5221</v>
      </c>
      <c r="M2528" s="2" t="s">
        <v>5221</v>
      </c>
      <c r="N2528" s="2" t="s">
        <v>2317</v>
      </c>
      <c r="O2528" s="14">
        <v>1800</v>
      </c>
      <c r="P2528" s="14">
        <v>92.78</v>
      </c>
      <c r="Q2528" s="14">
        <v>129.96</v>
      </c>
      <c r="R2528" s="14">
        <v>40.29</v>
      </c>
      <c r="S2528" s="2" t="s">
        <v>152</v>
      </c>
      <c r="T2528" s="2">
        <v>1.01</v>
      </c>
      <c r="U2528" s="2">
        <v>61.4</v>
      </c>
      <c r="V2528" s="2">
        <v>59</v>
      </c>
      <c r="W2528" s="2" t="s">
        <v>7862</v>
      </c>
      <c r="X2528" s="2" t="s">
        <v>5405</v>
      </c>
      <c r="Y2528" s="2">
        <v>558</v>
      </c>
      <c r="Z2528" s="19" t="str">
        <f>HYPERLINK("https://ssdweb.co/ssdweb/hd/Vision360.html?d=926391246&amp;zoomslide=1&amp;z=1926391246&amp;ISCONFIRM=0","VIDEO")</f>
        <v>VIDEO</v>
      </c>
      <c r="AA2528" s="19" t="str">
        <f>HYPERLINK("https://ssdweb.co/ssdweb/CERTH/667408576.pdf","CERTI")</f>
        <v>CERTI</v>
      </c>
    </row>
    <row r="2529" spans="1:27" ht="15" x14ac:dyDescent="0.25">
      <c r="A2529" s="2">
        <v>2524</v>
      </c>
      <c r="B2529" s="39">
        <v>920661348</v>
      </c>
      <c r="C2529" s="28" t="str">
        <f>HYPERLINK("https://pld.live/RapDetail.aspx?STONELIST=920661348","DNA")</f>
        <v>DNA</v>
      </c>
      <c r="D2529" s="18" t="s">
        <v>7954</v>
      </c>
      <c r="E2529" s="18" t="s">
        <v>5128</v>
      </c>
      <c r="F2529" s="2" t="s">
        <v>7987</v>
      </c>
      <c r="G2529" s="2" t="s">
        <v>861</v>
      </c>
      <c r="H2529" s="14">
        <v>0.31</v>
      </c>
      <c r="I2529" s="2" t="s">
        <v>267</v>
      </c>
      <c r="J2529" s="2" t="s">
        <v>5144</v>
      </c>
      <c r="K2529" s="2" t="s">
        <v>3390</v>
      </c>
      <c r="L2529" s="2" t="s">
        <v>5221</v>
      </c>
      <c r="M2529" s="2" t="s">
        <v>5721</v>
      </c>
      <c r="N2529" s="2" t="s">
        <v>2317</v>
      </c>
      <c r="O2529" s="14">
        <v>1800</v>
      </c>
      <c r="P2529" s="14">
        <v>93.22</v>
      </c>
      <c r="Q2529" s="14">
        <v>122.04</v>
      </c>
      <c r="R2529" s="14">
        <v>37.83</v>
      </c>
      <c r="S2529" s="2" t="s">
        <v>4561</v>
      </c>
      <c r="T2529" s="2">
        <v>1.01</v>
      </c>
      <c r="U2529" s="2">
        <v>62.5</v>
      </c>
      <c r="V2529" s="2">
        <v>58</v>
      </c>
      <c r="W2529" s="2" t="s">
        <v>7862</v>
      </c>
      <c r="X2529" s="2" t="s">
        <v>5405</v>
      </c>
      <c r="Y2529" s="2">
        <v>558</v>
      </c>
      <c r="Z2529" s="19" t="str">
        <f>HYPERLINK("https://ssdweb.co/ssdweb/hd/Vision360.html?d=920661348&amp;zoomslide=1&amp;z=1920661348&amp;ISCONFIRM=0","VIDEO")</f>
        <v>VIDEO</v>
      </c>
      <c r="AA2529" s="19" t="str">
        <f>HYPERLINK("https://ssdweb.co/ssdweb/CERTH/638462971.pdf","CERTI")</f>
        <v>CERTI</v>
      </c>
    </row>
    <row r="2530" spans="1:27" ht="15" x14ac:dyDescent="0.25">
      <c r="A2530" s="2">
        <v>2525</v>
      </c>
      <c r="B2530" s="39">
        <v>926430797</v>
      </c>
      <c r="C2530" s="28" t="str">
        <f>HYPERLINK("https://pld.live/RapDetail.aspx?STONELIST=926430797","DNA")</f>
        <v>DNA</v>
      </c>
      <c r="D2530" s="18" t="s">
        <v>7954</v>
      </c>
      <c r="E2530" s="18" t="s">
        <v>5128</v>
      </c>
      <c r="F2530" s="2" t="s">
        <v>7987</v>
      </c>
      <c r="G2530" s="2" t="s">
        <v>861</v>
      </c>
      <c r="H2530" s="14">
        <v>0.31</v>
      </c>
      <c r="I2530" s="2" t="s">
        <v>267</v>
      </c>
      <c r="J2530" s="2" t="s">
        <v>5144</v>
      </c>
      <c r="K2530" s="2" t="s">
        <v>3390</v>
      </c>
      <c r="L2530" s="2" t="s">
        <v>5221</v>
      </c>
      <c r="M2530" s="2" t="s">
        <v>5721</v>
      </c>
      <c r="N2530" s="2" t="s">
        <v>2317</v>
      </c>
      <c r="O2530" s="14">
        <v>1800</v>
      </c>
      <c r="P2530" s="14">
        <v>93.22</v>
      </c>
      <c r="Q2530" s="14">
        <v>122.04</v>
      </c>
      <c r="R2530" s="14">
        <v>37.83</v>
      </c>
      <c r="S2530" s="2" t="s">
        <v>2900</v>
      </c>
      <c r="T2530" s="2">
        <v>1</v>
      </c>
      <c r="U2530" s="2">
        <v>60.9</v>
      </c>
      <c r="V2530" s="2">
        <v>59</v>
      </c>
      <c r="W2530" s="2" t="s">
        <v>7862</v>
      </c>
      <c r="X2530" s="2" t="s">
        <v>5405</v>
      </c>
      <c r="Y2530" s="2">
        <v>558</v>
      </c>
      <c r="Z2530" s="19" t="str">
        <f>HYPERLINK("https://ssdweb.co/ssdweb/hd/Vision360.html?d=926430797&amp;zoomslide=1&amp;z=1926430797&amp;ISCONFIRM=0","VIDEO")</f>
        <v>VIDEO</v>
      </c>
      <c r="AA2530" s="19" t="str">
        <f>HYPERLINK("https://ssdweb.co/ssdweb/CERTH/674542985.pdf","CERTI")</f>
        <v>CERTI</v>
      </c>
    </row>
    <row r="2531" spans="1:27" ht="15" x14ac:dyDescent="0.25">
      <c r="A2531" s="2">
        <v>2526</v>
      </c>
      <c r="B2531" s="39">
        <v>925721007</v>
      </c>
      <c r="C2531" s="28" t="str">
        <f>HYPERLINK("https://pld.live/RapDetail.aspx?STONELIST=925721007","DNA")</f>
        <v>DNA</v>
      </c>
      <c r="D2531" s="18" t="s">
        <v>7954</v>
      </c>
      <c r="E2531" s="18" t="s">
        <v>5128</v>
      </c>
      <c r="F2531" s="2" t="s">
        <v>7987</v>
      </c>
      <c r="G2531" s="2" t="s">
        <v>861</v>
      </c>
      <c r="H2531" s="14">
        <v>0.31</v>
      </c>
      <c r="I2531" s="2" t="s">
        <v>267</v>
      </c>
      <c r="J2531" s="2" t="s">
        <v>5144</v>
      </c>
      <c r="K2531" s="2" t="s">
        <v>3390</v>
      </c>
      <c r="L2531" s="2" t="s">
        <v>5721</v>
      </c>
      <c r="M2531" s="2" t="s">
        <v>5221</v>
      </c>
      <c r="N2531" s="2" t="s">
        <v>2317</v>
      </c>
      <c r="O2531" s="14">
        <v>1800</v>
      </c>
      <c r="P2531" s="14">
        <v>93.22</v>
      </c>
      <c r="Q2531" s="14">
        <v>122.04</v>
      </c>
      <c r="R2531" s="14">
        <v>37.83</v>
      </c>
      <c r="S2531" s="2" t="s">
        <v>3330</v>
      </c>
      <c r="T2531" s="2">
        <v>1.01</v>
      </c>
      <c r="U2531" s="2">
        <v>62.3</v>
      </c>
      <c r="V2531" s="2">
        <v>58</v>
      </c>
      <c r="W2531" s="2" t="s">
        <v>7862</v>
      </c>
      <c r="X2531" s="2" t="s">
        <v>5405</v>
      </c>
      <c r="Y2531" s="2">
        <v>558</v>
      </c>
      <c r="Z2531" s="19" t="str">
        <f>HYPERLINK("https://ssdweb.co/ssdweb/hd/Vision360.html?d=925721007&amp;zoomslide=1&amp;z=1925721007&amp;ISCONFIRM=0","VIDEO")</f>
        <v>VIDEO</v>
      </c>
      <c r="AA2531" s="19" t="str">
        <f>HYPERLINK("https://ssdweb.co/ssdweb/CERTH/622499852.pdf","CERTI")</f>
        <v>CERTI</v>
      </c>
    </row>
    <row r="2532" spans="1:27" ht="15" x14ac:dyDescent="0.25">
      <c r="A2532" s="2">
        <v>2527</v>
      </c>
      <c r="B2532" s="39">
        <v>920661258</v>
      </c>
      <c r="C2532" s="28" t="str">
        <f>HYPERLINK("https://pld.live/RapDetail.aspx?STONELIST=920661258","DNA")</f>
        <v>DNA</v>
      </c>
      <c r="D2532" s="18" t="s">
        <v>7954</v>
      </c>
      <c r="E2532" s="18" t="s">
        <v>5128</v>
      </c>
      <c r="F2532" s="2" t="s">
        <v>7987</v>
      </c>
      <c r="G2532" s="2" t="s">
        <v>861</v>
      </c>
      <c r="H2532" s="14">
        <v>0.31</v>
      </c>
      <c r="I2532" s="2" t="s">
        <v>267</v>
      </c>
      <c r="J2532" s="2" t="s">
        <v>5144</v>
      </c>
      <c r="K2532" s="2" t="s">
        <v>3390</v>
      </c>
      <c r="L2532" s="2" t="s">
        <v>5721</v>
      </c>
      <c r="M2532" s="2" t="s">
        <v>5721</v>
      </c>
      <c r="N2532" s="2" t="s">
        <v>2317</v>
      </c>
      <c r="O2532" s="14">
        <v>1800</v>
      </c>
      <c r="P2532" s="14">
        <v>93.33</v>
      </c>
      <c r="Q2532" s="14">
        <v>120.06</v>
      </c>
      <c r="R2532" s="14">
        <v>37.22</v>
      </c>
      <c r="S2532" s="2" t="s">
        <v>1662</v>
      </c>
      <c r="T2532" s="2">
        <v>1.01</v>
      </c>
      <c r="U2532" s="2">
        <v>60.9</v>
      </c>
      <c r="V2532" s="2">
        <v>60</v>
      </c>
      <c r="W2532" s="2" t="s">
        <v>7862</v>
      </c>
      <c r="X2532" s="2" t="s">
        <v>5405</v>
      </c>
      <c r="Y2532" s="2">
        <v>558</v>
      </c>
      <c r="Z2532" s="19" t="str">
        <f>HYPERLINK("https://ssdweb.co/ssdweb/hd/Vision360.html?d=920661258&amp;zoomslide=1&amp;z=1920661258&amp;ISCONFIRM=0","VIDEO")</f>
        <v>VIDEO</v>
      </c>
      <c r="AA2532" s="19" t="str">
        <f>HYPERLINK("https://ssdweb.co/ssdweb/CERTH/637467384.pdf","CERTI")</f>
        <v>CERTI</v>
      </c>
    </row>
    <row r="2533" spans="1:27" ht="15" x14ac:dyDescent="0.25">
      <c r="A2533" s="2">
        <v>2528</v>
      </c>
      <c r="B2533" s="39">
        <v>926180804</v>
      </c>
      <c r="C2533" s="28" t="str">
        <f>HYPERLINK("https://pld.live/RapDetail.aspx?STONELIST=926180804","DNA")</f>
        <v>DNA</v>
      </c>
      <c r="D2533" s="18" t="s">
        <v>7954</v>
      </c>
      <c r="E2533" s="18" t="s">
        <v>5128</v>
      </c>
      <c r="F2533" s="2" t="s">
        <v>7987</v>
      </c>
      <c r="G2533" s="2" t="s">
        <v>861</v>
      </c>
      <c r="H2533" s="14">
        <v>0.31</v>
      </c>
      <c r="I2533" s="2" t="s">
        <v>267</v>
      </c>
      <c r="J2533" s="2" t="s">
        <v>5144</v>
      </c>
      <c r="K2533" s="2" t="s">
        <v>3390</v>
      </c>
      <c r="L2533" s="2" t="s">
        <v>5721</v>
      </c>
      <c r="M2533" s="2" t="s">
        <v>5721</v>
      </c>
      <c r="N2533" s="2" t="s">
        <v>2317</v>
      </c>
      <c r="O2533" s="14">
        <v>1800</v>
      </c>
      <c r="P2533" s="14">
        <v>93.33</v>
      </c>
      <c r="Q2533" s="14">
        <v>120.06</v>
      </c>
      <c r="R2533" s="14">
        <v>37.22</v>
      </c>
      <c r="S2533" s="2" t="s">
        <v>3882</v>
      </c>
      <c r="T2533" s="2">
        <v>1</v>
      </c>
      <c r="U2533" s="2">
        <v>61.9</v>
      </c>
      <c r="V2533" s="2">
        <v>55</v>
      </c>
      <c r="W2533" s="2" t="s">
        <v>7862</v>
      </c>
      <c r="X2533" s="2" t="s">
        <v>5405</v>
      </c>
      <c r="Y2533" s="2">
        <v>558</v>
      </c>
      <c r="Z2533" s="19" t="str">
        <f>HYPERLINK("https://ssdweb.co/ssdweb/hd/Vision360.html?d=926180804&amp;zoomslide=1&amp;z=1926180804&amp;ISCONFIRM=0","VIDEO")</f>
        <v>VIDEO</v>
      </c>
      <c r="AA2533" s="19" t="str">
        <f>HYPERLINK("https://ssdweb.co/ssdweb/CERTH/634431355.pdf","CERTI")</f>
        <v>CERTI</v>
      </c>
    </row>
    <row r="2534" spans="1:27" ht="15" x14ac:dyDescent="0.25">
      <c r="A2534" s="2">
        <v>2529</v>
      </c>
      <c r="B2534" s="39">
        <v>926231125</v>
      </c>
      <c r="C2534" s="28" t="str">
        <f>HYPERLINK("https://pld.live/RapDetail.aspx?STONELIST=926231125","DNA")</f>
        <v>DNA</v>
      </c>
      <c r="D2534" s="18" t="s">
        <v>7954</v>
      </c>
      <c r="E2534" s="18" t="s">
        <v>5128</v>
      </c>
      <c r="F2534" s="2" t="s">
        <v>7987</v>
      </c>
      <c r="G2534" s="2" t="s">
        <v>861</v>
      </c>
      <c r="H2534" s="14">
        <v>0.31</v>
      </c>
      <c r="I2534" s="2" t="s">
        <v>267</v>
      </c>
      <c r="J2534" s="2" t="s">
        <v>5144</v>
      </c>
      <c r="K2534" s="2" t="s">
        <v>5221</v>
      </c>
      <c r="L2534" s="2" t="s">
        <v>5221</v>
      </c>
      <c r="M2534" s="2" t="s">
        <v>5221</v>
      </c>
      <c r="N2534" s="2" t="s">
        <v>2317</v>
      </c>
      <c r="O2534" s="14">
        <v>1800</v>
      </c>
      <c r="P2534" s="14">
        <v>92.89</v>
      </c>
      <c r="Q2534" s="14">
        <v>127.98</v>
      </c>
      <c r="R2534" s="14">
        <v>39.67</v>
      </c>
      <c r="S2534" s="2" t="s">
        <v>3190</v>
      </c>
      <c r="T2534" s="2">
        <v>1.01</v>
      </c>
      <c r="U2534" s="2">
        <v>62.9</v>
      </c>
      <c r="V2534" s="2">
        <v>57</v>
      </c>
      <c r="W2534" s="2" t="s">
        <v>7862</v>
      </c>
      <c r="X2534" s="2" t="s">
        <v>5405</v>
      </c>
      <c r="Y2534" s="2">
        <v>558</v>
      </c>
      <c r="Z2534" s="19" t="str">
        <f>HYPERLINK("https://ssdweb.co/ssdweb/hd/Vision360.html?d=926231125&amp;zoomslide=1&amp;z=1926231125&amp;ISCONFIRM=0","VIDEO")</f>
        <v>VIDEO</v>
      </c>
      <c r="AA2534" s="19" t="str">
        <f>HYPERLINK("https://ssdweb.co/ssdweb/CERTH/640419070.pdf","CERTI")</f>
        <v>CERTI</v>
      </c>
    </row>
    <row r="2535" spans="1:27" ht="15" x14ac:dyDescent="0.25">
      <c r="A2535" s="2">
        <v>2530</v>
      </c>
      <c r="B2535" s="39">
        <v>920661330</v>
      </c>
      <c r="C2535" s="28" t="str">
        <f>HYPERLINK("https://pld.live/RapDetail.aspx?STONELIST=920661330","DNA")</f>
        <v>DNA</v>
      </c>
      <c r="D2535" s="18" t="s">
        <v>7954</v>
      </c>
      <c r="E2535" s="18" t="s">
        <v>5128</v>
      </c>
      <c r="F2535" s="2" t="s">
        <v>7987</v>
      </c>
      <c r="G2535" s="2" t="s">
        <v>861</v>
      </c>
      <c r="H2535" s="14">
        <v>0.31</v>
      </c>
      <c r="I2535" s="2" t="s">
        <v>267</v>
      </c>
      <c r="J2535" s="2" t="s">
        <v>5144</v>
      </c>
      <c r="K2535" s="2" t="s">
        <v>5221</v>
      </c>
      <c r="L2535" s="2" t="s">
        <v>5221</v>
      </c>
      <c r="M2535" s="2" t="s">
        <v>5221</v>
      </c>
      <c r="N2535" s="2" t="s">
        <v>2317</v>
      </c>
      <c r="O2535" s="14">
        <v>1800</v>
      </c>
      <c r="P2535" s="14">
        <v>92.89</v>
      </c>
      <c r="Q2535" s="14">
        <v>127.98</v>
      </c>
      <c r="R2535" s="14">
        <v>39.67</v>
      </c>
      <c r="S2535" s="2" t="s">
        <v>4665</v>
      </c>
      <c r="T2535" s="2">
        <v>1.01</v>
      </c>
      <c r="U2535" s="2">
        <v>62.5</v>
      </c>
      <c r="V2535" s="2">
        <v>59</v>
      </c>
      <c r="W2535" s="2" t="s">
        <v>7862</v>
      </c>
      <c r="X2535" s="2" t="s">
        <v>5405</v>
      </c>
      <c r="Y2535" s="2">
        <v>558</v>
      </c>
      <c r="Z2535" s="19" t="str">
        <f>HYPERLINK("https://ssdweb.co/ssdweb/hd/Vision360.html?d=920661330&amp;zoomslide=1&amp;z=1920661330&amp;ISCONFIRM=0","VIDEO")</f>
        <v>VIDEO</v>
      </c>
      <c r="AA2535" s="19" t="str">
        <f>HYPERLINK("https://ssdweb.co/ssdweb/CERTH/638462942.pdf","CERTI")</f>
        <v>CERTI</v>
      </c>
    </row>
    <row r="2536" spans="1:27" ht="15" x14ac:dyDescent="0.25">
      <c r="A2536" s="2">
        <v>2531</v>
      </c>
      <c r="B2536" s="39">
        <v>926321030</v>
      </c>
      <c r="C2536" s="28" t="str">
        <f>HYPERLINK("https://pld.live/RapDetail.aspx?STONELIST=926321030","DNA")</f>
        <v>DNA</v>
      </c>
      <c r="D2536" s="18" t="s">
        <v>7954</v>
      </c>
      <c r="E2536" s="18" t="s">
        <v>5128</v>
      </c>
      <c r="F2536" s="2" t="s">
        <v>7987</v>
      </c>
      <c r="G2536" s="2" t="s">
        <v>861</v>
      </c>
      <c r="H2536" s="14">
        <v>0.31</v>
      </c>
      <c r="I2536" s="2" t="s">
        <v>267</v>
      </c>
      <c r="J2536" s="2" t="s">
        <v>5144</v>
      </c>
      <c r="K2536" s="2" t="s">
        <v>5221</v>
      </c>
      <c r="L2536" s="2" t="s">
        <v>5221</v>
      </c>
      <c r="M2536" s="2" t="s">
        <v>5221</v>
      </c>
      <c r="N2536" s="2" t="s">
        <v>2317</v>
      </c>
      <c r="O2536" s="14">
        <v>1800</v>
      </c>
      <c r="P2536" s="14">
        <v>92.89</v>
      </c>
      <c r="Q2536" s="14">
        <v>127.98</v>
      </c>
      <c r="R2536" s="14">
        <v>39.67</v>
      </c>
      <c r="S2536" s="2" t="s">
        <v>4012</v>
      </c>
      <c r="T2536" s="2">
        <v>1.01</v>
      </c>
      <c r="U2536" s="2">
        <v>59.9</v>
      </c>
      <c r="V2536" s="2">
        <v>60</v>
      </c>
      <c r="W2536" s="2" t="s">
        <v>7862</v>
      </c>
      <c r="X2536" s="2" t="s">
        <v>5405</v>
      </c>
      <c r="Y2536" s="2">
        <v>558</v>
      </c>
      <c r="Z2536" s="19" t="str">
        <f>HYPERLINK("https://ssdweb.co/ssdweb/hd/Vision360.html?d=926321030&amp;zoomslide=1&amp;z=1926321030&amp;ISCONFIRM=0","VIDEO")</f>
        <v>VIDEO</v>
      </c>
      <c r="AA2536" s="19" t="str">
        <f>HYPERLINK("https://ssdweb.co/ssdweb/CERTH/642460585.pdf","CERTI")</f>
        <v>CERTI</v>
      </c>
    </row>
    <row r="2537" spans="1:27" ht="15" x14ac:dyDescent="0.25">
      <c r="A2537" s="2">
        <v>2532</v>
      </c>
      <c r="B2537" s="39">
        <v>941140578</v>
      </c>
      <c r="C2537" s="28" t="str">
        <f>HYPERLINK("https://pld.live/RapDetail.aspx?STONELIST=941140578","DNA")</f>
        <v>DNA</v>
      </c>
      <c r="D2537" s="18" t="s">
        <v>7954</v>
      </c>
      <c r="E2537" s="18" t="s">
        <v>5128</v>
      </c>
      <c r="F2537" s="2" t="s">
        <v>7987</v>
      </c>
      <c r="G2537" s="2" t="s">
        <v>861</v>
      </c>
      <c r="H2537" s="14">
        <v>0.31</v>
      </c>
      <c r="I2537" s="2" t="s">
        <v>267</v>
      </c>
      <c r="J2537" s="2" t="s">
        <v>5144</v>
      </c>
      <c r="K2537" s="2" t="s">
        <v>5221</v>
      </c>
      <c r="L2537" s="2" t="s">
        <v>5221</v>
      </c>
      <c r="M2537" s="2" t="s">
        <v>5221</v>
      </c>
      <c r="N2537" s="2" t="s">
        <v>2317</v>
      </c>
      <c r="O2537" s="14">
        <v>1800</v>
      </c>
      <c r="P2537" s="14">
        <v>92.67</v>
      </c>
      <c r="Q2537" s="14">
        <v>131.94</v>
      </c>
      <c r="R2537" s="14">
        <v>40.9</v>
      </c>
      <c r="S2537" s="2" t="s">
        <v>5188</v>
      </c>
      <c r="T2537" s="2">
        <v>1</v>
      </c>
      <c r="U2537" s="2">
        <v>62.1</v>
      </c>
      <c r="V2537" s="2">
        <v>55</v>
      </c>
      <c r="W2537" s="2" t="s">
        <v>7862</v>
      </c>
      <c r="X2537" s="2" t="s">
        <v>5405</v>
      </c>
      <c r="Y2537" s="2">
        <v>558</v>
      </c>
      <c r="Z2537" s="19" t="str">
        <f>HYPERLINK("https://ssdweb.co/ssdweb/hd/Vision360.html?d=941140578&amp;zoomslide=1&amp;z=1941140578&amp;ISCONFIRM=0","VIDEO")</f>
        <v>VIDEO</v>
      </c>
      <c r="AA2537" s="19" t="str">
        <f>HYPERLINK("https://ssdweb.co/ssdweb/CERTH/674504055.pdf","CERTI")</f>
        <v>CERTI</v>
      </c>
    </row>
    <row r="2538" spans="1:27" ht="15" x14ac:dyDescent="0.25">
      <c r="A2538" s="2">
        <v>2533</v>
      </c>
      <c r="B2538" s="39">
        <v>926141200</v>
      </c>
      <c r="C2538" s="28" t="str">
        <f>HYPERLINK("https://pld.live/RapDetail.aspx?STONELIST=926141200","DNA")</f>
        <v>DNA</v>
      </c>
      <c r="D2538" s="18" t="s">
        <v>7954</v>
      </c>
      <c r="E2538" s="18" t="s">
        <v>5128</v>
      </c>
      <c r="F2538" s="2" t="s">
        <v>7987</v>
      </c>
      <c r="G2538" s="2" t="s">
        <v>861</v>
      </c>
      <c r="H2538" s="14">
        <v>0.31</v>
      </c>
      <c r="I2538" s="2" t="s">
        <v>267</v>
      </c>
      <c r="J2538" s="2" t="s">
        <v>5144</v>
      </c>
      <c r="K2538" s="2" t="s">
        <v>5221</v>
      </c>
      <c r="L2538" s="2" t="s">
        <v>5221</v>
      </c>
      <c r="M2538" s="2" t="s">
        <v>5221</v>
      </c>
      <c r="N2538" s="2" t="s">
        <v>2317</v>
      </c>
      <c r="O2538" s="14">
        <v>1800</v>
      </c>
      <c r="P2538" s="14">
        <v>92.94</v>
      </c>
      <c r="Q2538" s="14">
        <v>127.08</v>
      </c>
      <c r="R2538" s="14">
        <v>39.39</v>
      </c>
      <c r="S2538" s="2" t="s">
        <v>7847</v>
      </c>
      <c r="T2538" s="2">
        <v>1</v>
      </c>
      <c r="U2538" s="2">
        <v>61.5</v>
      </c>
      <c r="V2538" s="2">
        <v>61</v>
      </c>
      <c r="W2538" s="2" t="s">
        <v>7862</v>
      </c>
      <c r="X2538" s="2" t="s">
        <v>5405</v>
      </c>
      <c r="Y2538" s="2">
        <v>558</v>
      </c>
      <c r="Z2538" s="19" t="str">
        <f>HYPERLINK("https://ssdweb.co/ssdweb/hd/Vision360.html?d=926141200&amp;zoomslide=1&amp;z=1926141200&amp;ISCONFIRM=0","VIDEO")</f>
        <v>VIDEO</v>
      </c>
      <c r="AA2538" s="19" t="str">
        <f>HYPERLINK("https://ssdweb.co/ssdweb/CERTH/634431318.pdf","CERTI")</f>
        <v>CERTI</v>
      </c>
    </row>
    <row r="2539" spans="1:27" ht="15" x14ac:dyDescent="0.25">
      <c r="A2539" s="2">
        <v>2534</v>
      </c>
      <c r="B2539" s="39">
        <v>926081416</v>
      </c>
      <c r="C2539" s="28" t="str">
        <f>HYPERLINK("https://pld.live/RapDetail.aspx?STONELIST=926081416","DNA")</f>
        <v>DNA</v>
      </c>
      <c r="D2539" s="18" t="s">
        <v>7954</v>
      </c>
      <c r="E2539" s="18" t="s">
        <v>5128</v>
      </c>
      <c r="F2539" s="2" t="s">
        <v>7987</v>
      </c>
      <c r="G2539" s="2" t="s">
        <v>861</v>
      </c>
      <c r="H2539" s="14">
        <v>0.31</v>
      </c>
      <c r="I2539" s="2" t="s">
        <v>267</v>
      </c>
      <c r="J2539" s="2" t="s">
        <v>5144</v>
      </c>
      <c r="K2539" s="2" t="s">
        <v>5221</v>
      </c>
      <c r="L2539" s="2" t="s">
        <v>5221</v>
      </c>
      <c r="M2539" s="2" t="s">
        <v>5221</v>
      </c>
      <c r="N2539" s="2" t="s">
        <v>2317</v>
      </c>
      <c r="O2539" s="14">
        <v>1800</v>
      </c>
      <c r="P2539" s="14">
        <v>92.94</v>
      </c>
      <c r="Q2539" s="14">
        <v>127.08</v>
      </c>
      <c r="R2539" s="14">
        <v>39.39</v>
      </c>
      <c r="S2539" s="2" t="s">
        <v>7317</v>
      </c>
      <c r="T2539" s="2">
        <v>1.01</v>
      </c>
      <c r="U2539" s="2">
        <v>63.5</v>
      </c>
      <c r="V2539" s="2">
        <v>56</v>
      </c>
      <c r="W2539" s="2" t="s">
        <v>7862</v>
      </c>
      <c r="X2539" s="2" t="s">
        <v>5405</v>
      </c>
      <c r="Y2539" s="2">
        <v>558</v>
      </c>
      <c r="Z2539" s="19" t="str">
        <f>HYPERLINK("https://ssdweb.co/ssdweb/hd/Vision360.html?d=926081416&amp;zoomslide=1&amp;z=1926081416&amp;ISCONFIRM=0","VIDEO")</f>
        <v>VIDEO</v>
      </c>
      <c r="AA2539" s="19" t="str">
        <f>HYPERLINK("https://ssdweb.co/ssdweb/CERTH/631463948.pdf","CERTI")</f>
        <v>CERTI</v>
      </c>
    </row>
    <row r="2540" spans="1:27" ht="15" x14ac:dyDescent="0.25">
      <c r="A2540" s="2">
        <v>2535</v>
      </c>
      <c r="B2540" s="39">
        <v>926081560</v>
      </c>
      <c r="C2540" s="28" t="str">
        <f>HYPERLINK("https://pld.live/RapDetail.aspx?STONELIST=926081560","DNA")</f>
        <v>DNA</v>
      </c>
      <c r="D2540" s="18" t="s">
        <v>7954</v>
      </c>
      <c r="E2540" s="18" t="s">
        <v>5128</v>
      </c>
      <c r="F2540" s="2" t="s">
        <v>7987</v>
      </c>
      <c r="G2540" s="2" t="s">
        <v>861</v>
      </c>
      <c r="H2540" s="14">
        <v>0.31</v>
      </c>
      <c r="I2540" s="2" t="s">
        <v>267</v>
      </c>
      <c r="J2540" s="2" t="s">
        <v>5144</v>
      </c>
      <c r="K2540" s="2" t="s">
        <v>5221</v>
      </c>
      <c r="L2540" s="2" t="s">
        <v>5221</v>
      </c>
      <c r="M2540" s="2" t="s">
        <v>5221</v>
      </c>
      <c r="N2540" s="2" t="s">
        <v>2317</v>
      </c>
      <c r="O2540" s="14">
        <v>1800</v>
      </c>
      <c r="P2540" s="14">
        <v>92.94</v>
      </c>
      <c r="Q2540" s="14">
        <v>127.08</v>
      </c>
      <c r="R2540" s="14">
        <v>39.39</v>
      </c>
      <c r="S2540" s="2" t="s">
        <v>1453</v>
      </c>
      <c r="T2540" s="2">
        <v>1.01</v>
      </c>
      <c r="U2540" s="2">
        <v>62.1</v>
      </c>
      <c r="V2540" s="2">
        <v>61</v>
      </c>
      <c r="W2540" s="2" t="s">
        <v>7862</v>
      </c>
      <c r="X2540" s="2" t="s">
        <v>5405</v>
      </c>
      <c r="Y2540" s="2">
        <v>558</v>
      </c>
      <c r="Z2540" s="19" t="str">
        <f>HYPERLINK("https://ssdweb.co/ssdweb/hd/Vision360.html?d=926081560&amp;zoomslide=1&amp;z=1926081560&amp;ISCONFIRM=0","VIDEO")</f>
        <v>VIDEO</v>
      </c>
      <c r="AA2540" s="19" t="str">
        <f>HYPERLINK("https://ssdweb.co/ssdweb/CERTH/631463970.pdf","CERTI")</f>
        <v>CERTI</v>
      </c>
    </row>
    <row r="2541" spans="1:27" ht="15" x14ac:dyDescent="0.25">
      <c r="A2541" s="2">
        <v>2536</v>
      </c>
      <c r="B2541" s="39">
        <v>926081561</v>
      </c>
      <c r="C2541" s="28" t="str">
        <f>HYPERLINK("https://pld.live/RapDetail.aspx?STONELIST=926081561","DNA")</f>
        <v>DNA</v>
      </c>
      <c r="D2541" s="18" t="s">
        <v>7954</v>
      </c>
      <c r="E2541" s="18" t="s">
        <v>5128</v>
      </c>
      <c r="F2541" s="2" t="s">
        <v>7987</v>
      </c>
      <c r="G2541" s="2" t="s">
        <v>861</v>
      </c>
      <c r="H2541" s="14">
        <v>0.31</v>
      </c>
      <c r="I2541" s="2" t="s">
        <v>267</v>
      </c>
      <c r="J2541" s="2" t="s">
        <v>5144</v>
      </c>
      <c r="K2541" s="2" t="s">
        <v>5221</v>
      </c>
      <c r="L2541" s="2" t="s">
        <v>5221</v>
      </c>
      <c r="M2541" s="2" t="s">
        <v>5221</v>
      </c>
      <c r="N2541" s="2" t="s">
        <v>2317</v>
      </c>
      <c r="O2541" s="14">
        <v>1800</v>
      </c>
      <c r="P2541" s="14">
        <v>92.94</v>
      </c>
      <c r="Q2541" s="14">
        <v>127.08</v>
      </c>
      <c r="R2541" s="14">
        <v>39.39</v>
      </c>
      <c r="S2541" s="2" t="s">
        <v>2688</v>
      </c>
      <c r="T2541" s="2">
        <v>1.01</v>
      </c>
      <c r="U2541" s="2">
        <v>63.2</v>
      </c>
      <c r="V2541" s="2">
        <v>57</v>
      </c>
      <c r="W2541" s="2" t="s">
        <v>7862</v>
      </c>
      <c r="X2541" s="2" t="s">
        <v>5405</v>
      </c>
      <c r="Y2541" s="2">
        <v>558</v>
      </c>
      <c r="Z2541" s="19" t="str">
        <f>HYPERLINK("https://ssdweb.co/ssdweb/hd/Vision360.html?d=926081561&amp;zoomslide=1&amp;z=1926081561&amp;ISCONFIRM=0","VIDEO")</f>
        <v>VIDEO</v>
      </c>
      <c r="AA2541" s="19" t="str">
        <f>HYPERLINK("https://ssdweb.co/ssdweb/CERTH/631463971.pdf","CERTI")</f>
        <v>CERTI</v>
      </c>
    </row>
    <row r="2542" spans="1:27" ht="15" x14ac:dyDescent="0.25">
      <c r="A2542" s="2">
        <v>2537</v>
      </c>
      <c r="B2542" s="39">
        <v>926261440</v>
      </c>
      <c r="C2542" s="28" t="str">
        <f>HYPERLINK("https://pld.live/RapDetail.aspx?STONELIST=926261440","DNA")</f>
        <v>DNA</v>
      </c>
      <c r="D2542" s="18" t="s">
        <v>7954</v>
      </c>
      <c r="E2542" s="18" t="s">
        <v>5128</v>
      </c>
      <c r="F2542" s="2" t="s">
        <v>7987</v>
      </c>
      <c r="G2542" s="2" t="s">
        <v>861</v>
      </c>
      <c r="H2542" s="14">
        <v>0.31</v>
      </c>
      <c r="I2542" s="2" t="s">
        <v>267</v>
      </c>
      <c r="J2542" s="2" t="s">
        <v>5144</v>
      </c>
      <c r="K2542" s="2" t="s">
        <v>5221</v>
      </c>
      <c r="L2542" s="2" t="s">
        <v>5221</v>
      </c>
      <c r="M2542" s="2" t="s">
        <v>5721</v>
      </c>
      <c r="N2542" s="2" t="s">
        <v>2317</v>
      </c>
      <c r="O2542" s="14">
        <v>1800</v>
      </c>
      <c r="P2542" s="14">
        <v>93.22</v>
      </c>
      <c r="Q2542" s="14">
        <v>122.04</v>
      </c>
      <c r="R2542" s="14">
        <v>37.83</v>
      </c>
      <c r="S2542" s="2" t="s">
        <v>24</v>
      </c>
      <c r="T2542" s="2">
        <v>1.01</v>
      </c>
      <c r="U2542" s="2">
        <v>63.6</v>
      </c>
      <c r="V2542" s="2">
        <v>54</v>
      </c>
      <c r="W2542" s="2" t="s">
        <v>7862</v>
      </c>
      <c r="X2542" s="2" t="s">
        <v>5405</v>
      </c>
      <c r="Y2542" s="2">
        <v>558</v>
      </c>
      <c r="Z2542" s="19" t="str">
        <f>HYPERLINK("https://ssdweb.co/ssdweb/hd/Vision360.html?d=926261440&amp;zoomslide=1&amp;z=1926261440&amp;ISCONFIRM=0","VIDEO")</f>
        <v>VIDEO</v>
      </c>
      <c r="AA2542" s="19" t="str">
        <f>HYPERLINK("https://ssdweb.co/ssdweb/CERTH/642442866.pdf","CERTI")</f>
        <v>CERTI</v>
      </c>
    </row>
    <row r="2543" spans="1:27" ht="15" x14ac:dyDescent="0.25">
      <c r="A2543" s="2">
        <v>2538</v>
      </c>
      <c r="B2543" s="39">
        <v>926301260</v>
      </c>
      <c r="C2543" s="28" t="str">
        <f>HYPERLINK("https://pld.live/RapDetail.aspx?STONELIST=926301260","DNA")</f>
        <v>DNA</v>
      </c>
      <c r="D2543" s="18" t="s">
        <v>7954</v>
      </c>
      <c r="E2543" s="18" t="s">
        <v>5128</v>
      </c>
      <c r="F2543" s="2" t="s">
        <v>7987</v>
      </c>
      <c r="G2543" s="2" t="s">
        <v>861</v>
      </c>
      <c r="H2543" s="14">
        <v>0.31</v>
      </c>
      <c r="I2543" s="2" t="s">
        <v>267</v>
      </c>
      <c r="J2543" s="2" t="s">
        <v>5144</v>
      </c>
      <c r="K2543" s="2" t="s">
        <v>5221</v>
      </c>
      <c r="L2543" s="2" t="s">
        <v>5221</v>
      </c>
      <c r="M2543" s="2" t="s">
        <v>5721</v>
      </c>
      <c r="N2543" s="2" t="s">
        <v>2317</v>
      </c>
      <c r="O2543" s="14">
        <v>1800</v>
      </c>
      <c r="P2543" s="14">
        <v>93.22</v>
      </c>
      <c r="Q2543" s="14">
        <v>122.04</v>
      </c>
      <c r="R2543" s="14">
        <v>37.83</v>
      </c>
      <c r="S2543" s="2" t="s">
        <v>1010</v>
      </c>
      <c r="T2543" s="2">
        <v>1.01</v>
      </c>
      <c r="U2543" s="2">
        <v>61.3</v>
      </c>
      <c r="V2543" s="2">
        <v>61</v>
      </c>
      <c r="W2543" s="2" t="s">
        <v>7862</v>
      </c>
      <c r="X2543" s="2" t="s">
        <v>5405</v>
      </c>
      <c r="Y2543" s="2">
        <v>558</v>
      </c>
      <c r="Z2543" s="19" t="str">
        <f>HYPERLINK("https://ssdweb.co/ssdweb/hd/Vision360.html?d=926301260&amp;zoomslide=1&amp;z=1926301260&amp;ISCONFIRM=0","VIDEO")</f>
        <v>VIDEO</v>
      </c>
      <c r="AA2543" s="19" t="str">
        <f>HYPERLINK("https://ssdweb.co/ssdweb/CERTH/643428052.pdf","CERTI")</f>
        <v>CERTI</v>
      </c>
    </row>
    <row r="2544" spans="1:27" ht="15" x14ac:dyDescent="0.25">
      <c r="A2544" s="2">
        <v>2539</v>
      </c>
      <c r="B2544" s="39">
        <v>926171576</v>
      </c>
      <c r="C2544" s="28" t="str">
        <f>HYPERLINK("https://pld.live/RapDetail.aspx?STONELIST=926171576","DNA")</f>
        <v>DNA</v>
      </c>
      <c r="D2544" s="18" t="s">
        <v>7954</v>
      </c>
      <c r="E2544" s="18" t="s">
        <v>5128</v>
      </c>
      <c r="F2544" s="2" t="s">
        <v>7987</v>
      </c>
      <c r="G2544" s="2" t="s">
        <v>861</v>
      </c>
      <c r="H2544" s="14">
        <v>0.31</v>
      </c>
      <c r="I2544" s="2" t="s">
        <v>267</v>
      </c>
      <c r="J2544" s="2" t="s">
        <v>5144</v>
      </c>
      <c r="K2544" s="2" t="s">
        <v>5221</v>
      </c>
      <c r="L2544" s="2" t="s">
        <v>5221</v>
      </c>
      <c r="M2544" s="2" t="s">
        <v>5721</v>
      </c>
      <c r="N2544" s="2" t="s">
        <v>2317</v>
      </c>
      <c r="O2544" s="14">
        <v>1800</v>
      </c>
      <c r="P2544" s="14">
        <v>93.22</v>
      </c>
      <c r="Q2544" s="14">
        <v>122.04</v>
      </c>
      <c r="R2544" s="14">
        <v>37.83</v>
      </c>
      <c r="S2544" s="2" t="s">
        <v>2958</v>
      </c>
      <c r="T2544" s="2">
        <v>1</v>
      </c>
      <c r="U2544" s="2">
        <v>59.7</v>
      </c>
      <c r="V2544" s="2">
        <v>61</v>
      </c>
      <c r="W2544" s="2" t="s">
        <v>7862</v>
      </c>
      <c r="X2544" s="2" t="s">
        <v>5405</v>
      </c>
      <c r="Y2544" s="2">
        <v>558</v>
      </c>
      <c r="Z2544" s="19" t="str">
        <f>HYPERLINK("https://ssdweb.co/ssdweb/hd/Vision360.html?d=926171576&amp;zoomslide=1&amp;z=1926171576&amp;ISCONFIRM=0","VIDEO")</f>
        <v>VIDEO</v>
      </c>
      <c r="AA2544" s="19" t="str">
        <f>HYPERLINK("https://ssdweb.co/ssdweb/CERTH/636429655.pdf","CERTI")</f>
        <v>CERTI</v>
      </c>
    </row>
    <row r="2545" spans="1:27" ht="15" x14ac:dyDescent="0.25">
      <c r="A2545" s="2">
        <v>2540</v>
      </c>
      <c r="B2545" s="39">
        <v>926191038</v>
      </c>
      <c r="C2545" s="28" t="str">
        <f>HYPERLINK("https://pld.live/RapDetail.aspx?STONELIST=926191038","DNA")</f>
        <v>DNA</v>
      </c>
      <c r="D2545" s="18" t="s">
        <v>7954</v>
      </c>
      <c r="E2545" s="18" t="s">
        <v>5128</v>
      </c>
      <c r="F2545" s="2" t="s">
        <v>7987</v>
      </c>
      <c r="G2545" s="2" t="s">
        <v>861</v>
      </c>
      <c r="H2545" s="14">
        <v>0.31</v>
      </c>
      <c r="I2545" s="2" t="s">
        <v>267</v>
      </c>
      <c r="J2545" s="2" t="s">
        <v>5144</v>
      </c>
      <c r="K2545" s="2" t="s">
        <v>5221</v>
      </c>
      <c r="L2545" s="2" t="s">
        <v>5221</v>
      </c>
      <c r="M2545" s="2" t="s">
        <v>5721</v>
      </c>
      <c r="N2545" s="2" t="s">
        <v>2317</v>
      </c>
      <c r="O2545" s="14">
        <v>1800</v>
      </c>
      <c r="P2545" s="14">
        <v>93.22</v>
      </c>
      <c r="Q2545" s="14">
        <v>122.04</v>
      </c>
      <c r="R2545" s="14">
        <v>37.83</v>
      </c>
      <c r="S2545" s="2" t="s">
        <v>7483</v>
      </c>
      <c r="T2545" s="2">
        <v>1</v>
      </c>
      <c r="U2545" s="2">
        <v>63</v>
      </c>
      <c r="V2545" s="2">
        <v>57</v>
      </c>
      <c r="W2545" s="2" t="s">
        <v>7862</v>
      </c>
      <c r="X2545" s="2" t="s">
        <v>5405</v>
      </c>
      <c r="Y2545" s="2">
        <v>558</v>
      </c>
      <c r="Z2545" s="19" t="str">
        <f>HYPERLINK("https://ssdweb.co/ssdweb/hd/Vision360.html?d=926191038&amp;zoomslide=1&amp;z=1926191038&amp;ISCONFIRM=0","VIDEO")</f>
        <v>VIDEO</v>
      </c>
      <c r="AA2545" s="19" t="str">
        <f>HYPERLINK("https://ssdweb.co/ssdweb/CERTH/637467226.pdf","CERTI")</f>
        <v>CERTI</v>
      </c>
    </row>
    <row r="2546" spans="1:27" ht="15" x14ac:dyDescent="0.25">
      <c r="A2546" s="2">
        <v>2541</v>
      </c>
      <c r="B2546" s="39">
        <v>925910370</v>
      </c>
      <c r="C2546" s="28" t="str">
        <f>HYPERLINK("https://pld.live/RapDetail.aspx?STONELIST=925910370","DNA")</f>
        <v>DNA</v>
      </c>
      <c r="D2546" s="18" t="s">
        <v>7954</v>
      </c>
      <c r="E2546" s="18" t="s">
        <v>5128</v>
      </c>
      <c r="F2546" s="2" t="s">
        <v>7987</v>
      </c>
      <c r="G2546" s="2" t="s">
        <v>861</v>
      </c>
      <c r="H2546" s="14">
        <v>0.31</v>
      </c>
      <c r="I2546" s="2" t="s">
        <v>267</v>
      </c>
      <c r="J2546" s="2" t="s">
        <v>5144</v>
      </c>
      <c r="K2546" s="2" t="s">
        <v>5221</v>
      </c>
      <c r="L2546" s="2" t="s">
        <v>5721</v>
      </c>
      <c r="M2546" s="2" t="s">
        <v>5221</v>
      </c>
      <c r="N2546" s="2" t="s">
        <v>2317</v>
      </c>
      <c r="O2546" s="14">
        <v>1800</v>
      </c>
      <c r="P2546" s="14">
        <v>93.22</v>
      </c>
      <c r="Q2546" s="14">
        <v>122.04</v>
      </c>
      <c r="R2546" s="14">
        <v>37.83</v>
      </c>
      <c r="S2546" s="2" t="s">
        <v>3087</v>
      </c>
      <c r="T2546" s="2">
        <v>1.01</v>
      </c>
      <c r="U2546" s="2">
        <v>62.7</v>
      </c>
      <c r="V2546" s="2">
        <v>56</v>
      </c>
      <c r="W2546" s="2" t="s">
        <v>7862</v>
      </c>
      <c r="X2546" s="2" t="s">
        <v>5405</v>
      </c>
      <c r="Y2546" s="2">
        <v>558</v>
      </c>
      <c r="Z2546" s="19" t="str">
        <f>HYPERLINK("https://ssdweb.co/ssdweb/hd/Vision360.html?d=925910370&amp;zoomslide=1&amp;z=1925910370&amp;ISCONFIRM=0","VIDEO")</f>
        <v>VIDEO</v>
      </c>
      <c r="AA2546" s="19" t="str">
        <f>HYPERLINK("https://ssdweb.co/ssdweb/CERTH/627496946.pdf","CERTI")</f>
        <v>CERTI</v>
      </c>
    </row>
    <row r="2547" spans="1:27" ht="15" x14ac:dyDescent="0.25">
      <c r="A2547" s="2">
        <v>2542</v>
      </c>
      <c r="B2547" s="39">
        <v>926331728</v>
      </c>
      <c r="C2547" s="28" t="str">
        <f>HYPERLINK("https://pld.live/RapDetail.aspx?STONELIST=926331728","DNA")</f>
        <v>DNA</v>
      </c>
      <c r="D2547" s="18" t="s">
        <v>7954</v>
      </c>
      <c r="E2547" s="18" t="s">
        <v>5128</v>
      </c>
      <c r="F2547" s="2" t="s">
        <v>5597</v>
      </c>
      <c r="G2547" s="2" t="s">
        <v>861</v>
      </c>
      <c r="H2547" s="14">
        <v>0.31</v>
      </c>
      <c r="I2547" s="2" t="s">
        <v>267</v>
      </c>
      <c r="J2547" s="2" t="s">
        <v>5144</v>
      </c>
      <c r="K2547" s="2" t="s">
        <v>5221</v>
      </c>
      <c r="L2547" s="2" t="s">
        <v>5721</v>
      </c>
      <c r="M2547" s="2" t="s">
        <v>5221</v>
      </c>
      <c r="N2547" s="2" t="s">
        <v>2317</v>
      </c>
      <c r="O2547" s="14">
        <v>1800</v>
      </c>
      <c r="P2547" s="14">
        <v>85.11</v>
      </c>
      <c r="Q2547" s="14">
        <v>268.02</v>
      </c>
      <c r="R2547" s="14">
        <v>83.09</v>
      </c>
      <c r="S2547" s="2" t="s">
        <v>7187</v>
      </c>
      <c r="T2547" s="2">
        <v>1.01</v>
      </c>
      <c r="U2547" s="2">
        <v>61.2</v>
      </c>
      <c r="V2547" s="2">
        <v>59</v>
      </c>
      <c r="W2547" s="2" t="s">
        <v>7862</v>
      </c>
      <c r="X2547" s="2" t="s">
        <v>5405</v>
      </c>
      <c r="Y2547" s="2">
        <v>558</v>
      </c>
      <c r="Z2547" s="19" t="str">
        <f>HYPERLINK("https://ssdweb.co/ssdweb/hd/Vision360.html?d=926331728&amp;zoomslide=1&amp;z=1926331728&amp;ISCONFIRM=0","VIDEO")</f>
        <v>VIDEO</v>
      </c>
      <c r="AA2547" s="19" t="str">
        <f>HYPERLINK("https://ssdweb.co/ssdweb/CERTH/1495924852.pdf","CERTI")</f>
        <v>CERTI</v>
      </c>
    </row>
    <row r="2548" spans="1:27" ht="15" x14ac:dyDescent="0.25">
      <c r="A2548" s="2">
        <v>2543</v>
      </c>
      <c r="B2548" s="39">
        <v>926291578</v>
      </c>
      <c r="C2548" s="28" t="str">
        <f>HYPERLINK("https://pld.live/RapDetail.aspx?STONELIST=926291578","DNA")</f>
        <v>DNA</v>
      </c>
      <c r="D2548" s="18" t="s">
        <v>7954</v>
      </c>
      <c r="E2548" s="18" t="s">
        <v>5128</v>
      </c>
      <c r="F2548" s="2" t="s">
        <v>7987</v>
      </c>
      <c r="G2548" s="2" t="s">
        <v>861</v>
      </c>
      <c r="H2548" s="14">
        <v>0.31</v>
      </c>
      <c r="I2548" s="2" t="s">
        <v>267</v>
      </c>
      <c r="J2548" s="2" t="s">
        <v>5144</v>
      </c>
      <c r="K2548" s="2" t="s">
        <v>5221</v>
      </c>
      <c r="L2548" s="2" t="s">
        <v>5721</v>
      </c>
      <c r="M2548" s="2" t="s">
        <v>5721</v>
      </c>
      <c r="N2548" s="2" t="s">
        <v>2317</v>
      </c>
      <c r="O2548" s="14">
        <v>1800</v>
      </c>
      <c r="P2548" s="14">
        <v>93.33</v>
      </c>
      <c r="Q2548" s="14">
        <v>120.06</v>
      </c>
      <c r="R2548" s="14">
        <v>37.22</v>
      </c>
      <c r="S2548" s="2" t="s">
        <v>7408</v>
      </c>
      <c r="T2548" s="2">
        <v>1</v>
      </c>
      <c r="U2548" s="2">
        <v>63.2</v>
      </c>
      <c r="V2548" s="2">
        <v>55</v>
      </c>
      <c r="W2548" s="2" t="s">
        <v>7862</v>
      </c>
      <c r="X2548" s="2" t="s">
        <v>5405</v>
      </c>
      <c r="Y2548" s="2">
        <v>558</v>
      </c>
      <c r="Z2548" s="19" t="str">
        <f>HYPERLINK("https://ssdweb.co/ssdweb/hd/Vision360.html?d=926291578&amp;zoomslide=1&amp;z=1926291578&amp;ISCONFIRM=0","VIDEO")</f>
        <v>VIDEO</v>
      </c>
      <c r="AA2548" s="19" t="str">
        <f>HYPERLINK("https://ssdweb.co/ssdweb/CERTH/642442924.pdf","CERTI")</f>
        <v>CERTI</v>
      </c>
    </row>
    <row r="2549" spans="1:27" ht="15" x14ac:dyDescent="0.25">
      <c r="A2549" s="2">
        <v>2544</v>
      </c>
      <c r="B2549" s="39">
        <v>926890470</v>
      </c>
      <c r="C2549" s="28" t="str">
        <f>HYPERLINK("https://pld.live/RapDetail.aspx?STONELIST=926890470","DNA")</f>
        <v>DNA</v>
      </c>
      <c r="D2549" s="18" t="s">
        <v>7954</v>
      </c>
      <c r="E2549" s="18" t="s">
        <v>2186</v>
      </c>
      <c r="F2549" s="2" t="s">
        <v>7987</v>
      </c>
      <c r="G2549" s="2" t="s">
        <v>861</v>
      </c>
      <c r="H2549" s="14">
        <v>0.31</v>
      </c>
      <c r="I2549" s="2" t="s">
        <v>4761</v>
      </c>
      <c r="J2549" s="2" t="s">
        <v>6555</v>
      </c>
      <c r="K2549" s="2" t="s">
        <v>3390</v>
      </c>
      <c r="L2549" s="2" t="s">
        <v>5221</v>
      </c>
      <c r="M2549" s="2" t="s">
        <v>5721</v>
      </c>
      <c r="N2549" s="2" t="s">
        <v>2317</v>
      </c>
      <c r="O2549" s="14">
        <v>2300</v>
      </c>
      <c r="P2549" s="14">
        <v>93.78</v>
      </c>
      <c r="Q2549" s="14">
        <v>143.06</v>
      </c>
      <c r="R2549" s="14">
        <v>44.35</v>
      </c>
      <c r="S2549" s="2" t="s">
        <v>4090</v>
      </c>
      <c r="T2549" s="2">
        <v>1</v>
      </c>
      <c r="U2549" s="2">
        <v>60.2</v>
      </c>
      <c r="V2549" s="2">
        <v>60</v>
      </c>
      <c r="W2549" s="2" t="s">
        <v>7862</v>
      </c>
      <c r="X2549" s="2" t="s">
        <v>5405</v>
      </c>
      <c r="Y2549" s="2">
        <v>713</v>
      </c>
      <c r="Z2549" s="19" t="str">
        <f>HYPERLINK("https://ssdweb.co/ssdweb/hd/Vision360.html?d=926890470&amp;zoomslide=1&amp;z=1926890470&amp;ISCONFIRM=0","VIDEO")</f>
        <v>VIDEO</v>
      </c>
      <c r="AA2549" s="19" t="str">
        <f>HYPERLINK("https://ssdweb.co/ssdweb/CERTH/674543051.pdf","CERTI")</f>
        <v>CERTI</v>
      </c>
    </row>
    <row r="2550" spans="1:27" ht="15" x14ac:dyDescent="0.25">
      <c r="A2550" s="2">
        <v>2545</v>
      </c>
      <c r="B2550" s="39">
        <v>926391137</v>
      </c>
      <c r="C2550" s="28" t="str">
        <f>HYPERLINK("https://pld.live/RapDetail.aspx?STONELIST=926391137","DNA")</f>
        <v>DNA</v>
      </c>
      <c r="D2550" s="18" t="s">
        <v>7954</v>
      </c>
      <c r="E2550" s="18" t="s">
        <v>5128</v>
      </c>
      <c r="F2550" s="2" t="s">
        <v>7987</v>
      </c>
      <c r="G2550" s="2" t="s">
        <v>861</v>
      </c>
      <c r="H2550" s="14">
        <v>0.31</v>
      </c>
      <c r="I2550" s="2" t="s">
        <v>4761</v>
      </c>
      <c r="J2550" s="2" t="s">
        <v>6555</v>
      </c>
      <c r="K2550" s="2" t="s">
        <v>3390</v>
      </c>
      <c r="L2550" s="2" t="s">
        <v>5721</v>
      </c>
      <c r="M2550" s="2" t="s">
        <v>5721</v>
      </c>
      <c r="N2550" s="2" t="s">
        <v>2317</v>
      </c>
      <c r="O2550" s="14">
        <v>2300</v>
      </c>
      <c r="P2550" s="14">
        <v>93.87</v>
      </c>
      <c r="Q2550" s="14">
        <v>140.99</v>
      </c>
      <c r="R2550" s="14">
        <v>43.71</v>
      </c>
      <c r="S2550" s="2" t="s">
        <v>1453</v>
      </c>
      <c r="T2550" s="2">
        <v>1.01</v>
      </c>
      <c r="U2550" s="2">
        <v>62.1</v>
      </c>
      <c r="V2550" s="2">
        <v>56</v>
      </c>
      <c r="W2550" s="2" t="s">
        <v>7862</v>
      </c>
      <c r="X2550" s="2" t="s">
        <v>5405</v>
      </c>
      <c r="Y2550" s="2">
        <v>713</v>
      </c>
      <c r="Z2550" s="19" t="str">
        <f>HYPERLINK("https://ssdweb.co/ssdweb/hd/Vision360.html?d=926391137&amp;zoomslide=1&amp;z=1926391137&amp;ISCONFIRM=0","VIDEO")</f>
        <v>VIDEO</v>
      </c>
      <c r="AA2550" s="19" t="str">
        <f>HYPERLINK("https://ssdweb.co/ssdweb/CERTH/674542987.pdf","CERTI")</f>
        <v>CERTI</v>
      </c>
    </row>
    <row r="2551" spans="1:27" ht="15" x14ac:dyDescent="0.25">
      <c r="A2551" s="2">
        <v>2546</v>
      </c>
      <c r="B2551" s="39">
        <v>926231161</v>
      </c>
      <c r="C2551" s="28" t="str">
        <f>HYPERLINK("https://pld.live/RapDetail.aspx?STONELIST=926231161","DNA")</f>
        <v>DNA</v>
      </c>
      <c r="D2551" s="18" t="s">
        <v>7954</v>
      </c>
      <c r="E2551" s="18" t="s">
        <v>5128</v>
      </c>
      <c r="F2551" s="2" t="s">
        <v>7987</v>
      </c>
      <c r="G2551" s="2" t="s">
        <v>861</v>
      </c>
      <c r="H2551" s="14">
        <v>0.31</v>
      </c>
      <c r="I2551" s="2" t="s">
        <v>4761</v>
      </c>
      <c r="J2551" s="2" t="s">
        <v>6555</v>
      </c>
      <c r="K2551" s="2" t="s">
        <v>5221</v>
      </c>
      <c r="L2551" s="2" t="s">
        <v>5221</v>
      </c>
      <c r="M2551" s="2" t="s">
        <v>5721</v>
      </c>
      <c r="N2551" s="2" t="s">
        <v>2317</v>
      </c>
      <c r="O2551" s="14">
        <v>2300</v>
      </c>
      <c r="P2551" s="14">
        <v>93.78</v>
      </c>
      <c r="Q2551" s="14">
        <v>143.06</v>
      </c>
      <c r="R2551" s="14">
        <v>44.35</v>
      </c>
      <c r="S2551" s="2" t="s">
        <v>7792</v>
      </c>
      <c r="T2551" s="2">
        <v>1.01</v>
      </c>
      <c r="U2551" s="2">
        <v>62.6</v>
      </c>
      <c r="V2551" s="2">
        <v>58</v>
      </c>
      <c r="W2551" s="2" t="s">
        <v>7862</v>
      </c>
      <c r="X2551" s="2" t="s">
        <v>5405</v>
      </c>
      <c r="Y2551" s="2">
        <v>713</v>
      </c>
      <c r="Z2551" s="19" t="str">
        <f>HYPERLINK("https://ssdweb.co/ssdweb/hd/Vision360.html?d=926231161&amp;zoomslide=1&amp;z=1926231161&amp;ISCONFIRM=0","VIDEO")</f>
        <v>VIDEO</v>
      </c>
      <c r="AA2551" s="19" t="str">
        <f>HYPERLINK("https://ssdweb.co/ssdweb/CERTH/642447726.pdf","CERTI")</f>
        <v>CERTI</v>
      </c>
    </row>
    <row r="2552" spans="1:27" ht="15" x14ac:dyDescent="0.25">
      <c r="A2552" s="2">
        <v>2547</v>
      </c>
      <c r="B2552" s="39">
        <v>926341361</v>
      </c>
      <c r="C2552" s="28" t="str">
        <f>HYPERLINK("https://pld.live/RapDetail.aspx?STONELIST=926341361","DNA")</f>
        <v>DNA</v>
      </c>
      <c r="D2552" s="18" t="s">
        <v>7954</v>
      </c>
      <c r="E2552" s="18" t="s">
        <v>5128</v>
      </c>
      <c r="F2552" s="2" t="s">
        <v>5597</v>
      </c>
      <c r="G2552" s="2" t="s">
        <v>861</v>
      </c>
      <c r="H2552" s="14">
        <v>0.31</v>
      </c>
      <c r="I2552" s="2" t="s">
        <v>4761</v>
      </c>
      <c r="J2552" s="2" t="s">
        <v>6555</v>
      </c>
      <c r="K2552" s="2" t="s">
        <v>5221</v>
      </c>
      <c r="L2552" s="2" t="s">
        <v>5221</v>
      </c>
      <c r="M2552" s="2" t="s">
        <v>5721</v>
      </c>
      <c r="N2552" s="2" t="s">
        <v>2317</v>
      </c>
      <c r="O2552" s="14">
        <v>2300</v>
      </c>
      <c r="P2552" s="14">
        <v>86.83</v>
      </c>
      <c r="Q2552" s="14">
        <v>302.91000000000003</v>
      </c>
      <c r="R2552" s="14">
        <v>93.9</v>
      </c>
      <c r="S2552" s="2" t="s">
        <v>5616</v>
      </c>
      <c r="T2552" s="2">
        <v>1.01</v>
      </c>
      <c r="U2552" s="2">
        <v>62.6</v>
      </c>
      <c r="V2552" s="2">
        <v>56</v>
      </c>
      <c r="W2552" s="2" t="s">
        <v>7862</v>
      </c>
      <c r="X2552" s="2" t="s">
        <v>5405</v>
      </c>
      <c r="Y2552" s="2">
        <v>713</v>
      </c>
      <c r="Z2552" s="19" t="str">
        <f>HYPERLINK("https://ssdweb.co/ssdweb/hd/Vision360.html?d=926341361&amp;zoomslide=1&amp;z=1926341361&amp;ISCONFIRM=0","VIDEO")</f>
        <v>VIDEO</v>
      </c>
      <c r="AA2552" s="19" t="str">
        <f>HYPERLINK("https://ssdweb.co/ssdweb/CERTH/6502181638.pdf","CERTI")</f>
        <v>CERTI</v>
      </c>
    </row>
    <row r="2553" spans="1:27" ht="15" x14ac:dyDescent="0.25">
      <c r="A2553" s="2">
        <v>2548</v>
      </c>
      <c r="B2553" s="39">
        <v>926191037</v>
      </c>
      <c r="C2553" s="28" t="str">
        <f>HYPERLINK("https://pld.live/RapDetail.aspx?STONELIST=926191037","DNA")</f>
        <v>DNA</v>
      </c>
      <c r="D2553" s="18" t="s">
        <v>7954</v>
      </c>
      <c r="E2553" s="18" t="s">
        <v>5128</v>
      </c>
      <c r="F2553" s="2" t="s">
        <v>7987</v>
      </c>
      <c r="G2553" s="2" t="s">
        <v>861</v>
      </c>
      <c r="H2553" s="14">
        <v>0.31</v>
      </c>
      <c r="I2553" s="2" t="s">
        <v>4761</v>
      </c>
      <c r="J2553" s="2" t="s">
        <v>6555</v>
      </c>
      <c r="K2553" s="2" t="s">
        <v>5221</v>
      </c>
      <c r="L2553" s="2" t="s">
        <v>5721</v>
      </c>
      <c r="M2553" s="2" t="s">
        <v>5721</v>
      </c>
      <c r="N2553" s="2" t="s">
        <v>2317</v>
      </c>
      <c r="O2553" s="14">
        <v>2300</v>
      </c>
      <c r="P2553" s="14">
        <v>93.87</v>
      </c>
      <c r="Q2553" s="14">
        <v>140.99</v>
      </c>
      <c r="R2553" s="14">
        <v>43.71</v>
      </c>
      <c r="S2553" s="2" t="s">
        <v>4952</v>
      </c>
      <c r="T2553" s="2">
        <v>1.01</v>
      </c>
      <c r="U2553" s="2">
        <v>62.4</v>
      </c>
      <c r="V2553" s="2">
        <v>58</v>
      </c>
      <c r="W2553" s="2" t="s">
        <v>7862</v>
      </c>
      <c r="X2553" s="2" t="s">
        <v>5405</v>
      </c>
      <c r="Y2553" s="2">
        <v>713</v>
      </c>
      <c r="Z2553" s="19" t="str">
        <f>HYPERLINK("https://ssdweb.co/ssdweb/hd/Vision360.html?d=926191037&amp;zoomslide=1&amp;z=1926191037&amp;ISCONFIRM=0","VIDEO")</f>
        <v>VIDEO</v>
      </c>
      <c r="AA2553" s="19" t="str">
        <f>HYPERLINK("https://ssdweb.co/ssdweb/CERTH/637467225.pdf","CERTI")</f>
        <v>CERTI</v>
      </c>
    </row>
    <row r="2554" spans="1:27" ht="15" x14ac:dyDescent="0.25">
      <c r="A2554" s="2">
        <v>2549</v>
      </c>
      <c r="B2554" s="39">
        <v>941330506</v>
      </c>
      <c r="C2554" s="28" t="str">
        <f>HYPERLINK("https://pld.live/RapDetail.aspx?STONELIST=941330506","DNA")</f>
        <v>DNA</v>
      </c>
      <c r="D2554" s="18" t="s">
        <v>7954</v>
      </c>
      <c r="E2554" s="18" t="s">
        <v>2186</v>
      </c>
      <c r="F2554" s="2" t="s">
        <v>7987</v>
      </c>
      <c r="G2554" s="2" t="s">
        <v>861</v>
      </c>
      <c r="H2554" s="14">
        <v>0.31</v>
      </c>
      <c r="I2554" s="2" t="s">
        <v>4761</v>
      </c>
      <c r="J2554" s="2" t="s">
        <v>3942</v>
      </c>
      <c r="K2554" s="2" t="s">
        <v>3390</v>
      </c>
      <c r="L2554" s="2" t="s">
        <v>5721</v>
      </c>
      <c r="M2554" s="2" t="s">
        <v>5721</v>
      </c>
      <c r="N2554" s="2" t="s">
        <v>2317</v>
      </c>
      <c r="O2554" s="14">
        <v>2000</v>
      </c>
      <c r="P2554" s="14">
        <v>93.35</v>
      </c>
      <c r="Q2554" s="14">
        <v>133</v>
      </c>
      <c r="R2554" s="14">
        <v>41.23</v>
      </c>
      <c r="S2554" s="2" t="s">
        <v>4491</v>
      </c>
      <c r="T2554" s="2">
        <v>1.01</v>
      </c>
      <c r="U2554" s="2">
        <v>61.6</v>
      </c>
      <c r="V2554" s="2">
        <v>58</v>
      </c>
      <c r="W2554" s="2" t="s">
        <v>7862</v>
      </c>
      <c r="X2554" s="2" t="s">
        <v>5405</v>
      </c>
      <c r="Y2554" s="2">
        <v>620</v>
      </c>
      <c r="Z2554" s="19" t="str">
        <f>HYPERLINK("https://ssdweb.co/ssdweb/hd/Vision360.html?d=941330506&amp;zoomslide=1&amp;z=1941330506&amp;ISCONFIRM=0","VIDEO")</f>
        <v>VIDEO</v>
      </c>
      <c r="AA2554" s="19" t="str">
        <f>HYPERLINK("https://ssdweb.co/ssdweb/CERTH/687591610.pdf","CERTI")</f>
        <v>CERTI</v>
      </c>
    </row>
    <row r="2555" spans="1:27" ht="15" x14ac:dyDescent="0.25">
      <c r="A2555" s="2">
        <v>2550</v>
      </c>
      <c r="B2555" s="39">
        <v>941390347</v>
      </c>
      <c r="C2555" s="28" t="str">
        <f>HYPERLINK("https://pld.live/RapDetail.aspx?STONELIST=941390347","DNA")</f>
        <v>DNA</v>
      </c>
      <c r="D2555" s="18" t="s">
        <v>7954</v>
      </c>
      <c r="E2555" s="18" t="s">
        <v>2186</v>
      </c>
      <c r="F2555" s="2" t="s">
        <v>7987</v>
      </c>
      <c r="G2555" s="2" t="s">
        <v>861</v>
      </c>
      <c r="H2555" s="14">
        <v>0.31</v>
      </c>
      <c r="I2555" s="2" t="s">
        <v>4761</v>
      </c>
      <c r="J2555" s="2" t="s">
        <v>13</v>
      </c>
      <c r="K2555" s="2" t="s">
        <v>3390</v>
      </c>
      <c r="L2555" s="2" t="s">
        <v>5221</v>
      </c>
      <c r="M2555" s="2" t="s">
        <v>5221</v>
      </c>
      <c r="N2555" s="2" t="s">
        <v>2317</v>
      </c>
      <c r="O2555" s="14">
        <v>1800</v>
      </c>
      <c r="P2555" s="14">
        <v>92.44</v>
      </c>
      <c r="Q2555" s="14">
        <v>136.08000000000001</v>
      </c>
      <c r="R2555" s="14">
        <v>42.18</v>
      </c>
      <c r="S2555" s="2" t="s">
        <v>7847</v>
      </c>
      <c r="T2555" s="2">
        <v>1</v>
      </c>
      <c r="U2555" s="2">
        <v>61.5</v>
      </c>
      <c r="V2555" s="2">
        <v>58</v>
      </c>
      <c r="W2555" s="2" t="s">
        <v>7862</v>
      </c>
      <c r="X2555" s="2" t="s">
        <v>5405</v>
      </c>
      <c r="Y2555" s="2">
        <v>558</v>
      </c>
      <c r="Z2555" s="19" t="str">
        <f>HYPERLINK("https://ssdweb.co/ssdweb/hd/Vision360.html?d=941390347&amp;zoomslide=1&amp;z=1941390347&amp;ISCONFIRM=0","VIDEO")</f>
        <v>VIDEO</v>
      </c>
      <c r="AA2555" s="19" t="str">
        <f>HYPERLINK("https://ssdweb.co/ssdweb/CERTH/689543212.pdf","CERTI")</f>
        <v>CERTI</v>
      </c>
    </row>
    <row r="2556" spans="1:27" ht="15" x14ac:dyDescent="0.25">
      <c r="A2556" s="2">
        <v>2551</v>
      </c>
      <c r="B2556" s="39">
        <v>925270269</v>
      </c>
      <c r="C2556" s="28" t="str">
        <f>HYPERLINK("https://pld.live/RapDetail.aspx?STONELIST=925270269","DNA")</f>
        <v>DNA</v>
      </c>
      <c r="D2556" s="18" t="s">
        <v>7954</v>
      </c>
      <c r="E2556" s="18" t="s">
        <v>5128</v>
      </c>
      <c r="F2556" s="2" t="s">
        <v>5597</v>
      </c>
      <c r="G2556" s="2" t="s">
        <v>861</v>
      </c>
      <c r="H2556" s="14">
        <v>0.31</v>
      </c>
      <c r="I2556" s="2" t="s">
        <v>4761</v>
      </c>
      <c r="J2556" s="2" t="s">
        <v>13</v>
      </c>
      <c r="K2556" s="2" t="s">
        <v>5221</v>
      </c>
      <c r="L2556" s="2" t="s">
        <v>5221</v>
      </c>
      <c r="M2556" s="2" t="s">
        <v>5721</v>
      </c>
      <c r="N2556" s="2" t="s">
        <v>2317</v>
      </c>
      <c r="O2556" s="14">
        <v>1800</v>
      </c>
      <c r="P2556" s="14">
        <v>84.67</v>
      </c>
      <c r="Q2556" s="14">
        <v>275.94</v>
      </c>
      <c r="R2556" s="14">
        <v>85.54</v>
      </c>
      <c r="S2556" s="2" t="s">
        <v>4341</v>
      </c>
      <c r="T2556" s="2">
        <v>1</v>
      </c>
      <c r="U2556" s="2">
        <v>61.4</v>
      </c>
      <c r="V2556" s="2">
        <v>58</v>
      </c>
      <c r="W2556" s="2" t="s">
        <v>7862</v>
      </c>
      <c r="X2556" s="2" t="s">
        <v>5405</v>
      </c>
      <c r="Y2556" s="2">
        <v>558</v>
      </c>
      <c r="Z2556" s="19" t="str">
        <f>HYPERLINK("https://ssdweb.co/ssdweb/hd/Vision360.html?d=925270269&amp;zoomslide=1&amp;z=1925270269&amp;ISCONFIRM=0","VIDEO")</f>
        <v>VIDEO</v>
      </c>
      <c r="AA2556" s="19" t="str">
        <f>HYPERLINK("https://ssdweb.co/ssdweb/CERTH/7481225199.pdf","CERTI")</f>
        <v>CERTI</v>
      </c>
    </row>
    <row r="2557" spans="1:27" ht="15" x14ac:dyDescent="0.25">
      <c r="A2557" s="2">
        <v>2552</v>
      </c>
      <c r="B2557" s="39">
        <v>926341040</v>
      </c>
      <c r="C2557" s="28" t="str">
        <f>HYPERLINK("https://pld.live/RapDetail.aspx?STONELIST=926341040","DNA")</f>
        <v>DNA</v>
      </c>
      <c r="D2557" s="18" t="s">
        <v>7954</v>
      </c>
      <c r="E2557" s="18" t="s">
        <v>5128</v>
      </c>
      <c r="F2557" s="2" t="s">
        <v>5597</v>
      </c>
      <c r="G2557" s="2" t="s">
        <v>861</v>
      </c>
      <c r="H2557" s="14">
        <v>0.31</v>
      </c>
      <c r="I2557" s="2" t="s">
        <v>4761</v>
      </c>
      <c r="J2557" s="2" t="s">
        <v>13</v>
      </c>
      <c r="K2557" s="2" t="s">
        <v>5221</v>
      </c>
      <c r="L2557" s="2" t="s">
        <v>5721</v>
      </c>
      <c r="M2557" s="2" t="s">
        <v>5221</v>
      </c>
      <c r="N2557" s="2" t="s">
        <v>2317</v>
      </c>
      <c r="O2557" s="14">
        <v>1800</v>
      </c>
      <c r="P2557" s="14">
        <v>84.56</v>
      </c>
      <c r="Q2557" s="14">
        <v>277.92</v>
      </c>
      <c r="R2557" s="14">
        <v>86.16</v>
      </c>
      <c r="S2557" s="2" t="s">
        <v>4682</v>
      </c>
      <c r="T2557" s="2">
        <v>1</v>
      </c>
      <c r="U2557" s="2">
        <v>61</v>
      </c>
      <c r="V2557" s="2">
        <v>57</v>
      </c>
      <c r="W2557" s="2" t="s">
        <v>7862</v>
      </c>
      <c r="X2557" s="2" t="s">
        <v>5405</v>
      </c>
      <c r="Y2557" s="2">
        <v>558</v>
      </c>
      <c r="Z2557" s="19" t="str">
        <f>HYPERLINK("https://ssdweb.co/ssdweb/hd/Vision360.html?d=926341040&amp;zoomslide=1&amp;z=1926341040&amp;ISCONFIRM=0","VIDEO")</f>
        <v>VIDEO</v>
      </c>
      <c r="AA2557" s="19" t="str">
        <f>HYPERLINK("https://ssdweb.co/ssdweb/CERTH/7491866977.pdf","CERTI")</f>
        <v>CERTI</v>
      </c>
    </row>
    <row r="2558" spans="1:27" ht="15" x14ac:dyDescent="0.25">
      <c r="A2558" s="2">
        <v>2553</v>
      </c>
      <c r="B2558" s="39">
        <v>926661692</v>
      </c>
      <c r="C2558" s="28" t="str">
        <f>HYPERLINK("https://pld.live/RapDetail.aspx?STONELIST=926661692","DNA")</f>
        <v>DNA</v>
      </c>
      <c r="D2558" s="18" t="s">
        <v>7954</v>
      </c>
      <c r="E2558" s="18" t="s">
        <v>5128</v>
      </c>
      <c r="F2558" s="2" t="s">
        <v>7987</v>
      </c>
      <c r="G2558" s="2" t="s">
        <v>861</v>
      </c>
      <c r="H2558" s="14">
        <v>0.31</v>
      </c>
      <c r="I2558" s="2" t="s">
        <v>4761</v>
      </c>
      <c r="J2558" s="2" t="s">
        <v>5144</v>
      </c>
      <c r="K2558" s="2" t="s">
        <v>3390</v>
      </c>
      <c r="L2558" s="2" t="s">
        <v>5221</v>
      </c>
      <c r="M2558" s="2" t="s">
        <v>5221</v>
      </c>
      <c r="N2558" s="2" t="s">
        <v>2317</v>
      </c>
      <c r="O2558" s="14">
        <v>1700</v>
      </c>
      <c r="P2558" s="14">
        <v>92.47</v>
      </c>
      <c r="Q2558" s="14">
        <v>128.01</v>
      </c>
      <c r="R2558" s="14">
        <v>39.68</v>
      </c>
      <c r="S2558" s="2" t="s">
        <v>4213</v>
      </c>
      <c r="T2558" s="2">
        <v>1.01</v>
      </c>
      <c r="U2558" s="2">
        <v>61.4</v>
      </c>
      <c r="V2558" s="2">
        <v>59</v>
      </c>
      <c r="W2558" s="2" t="s">
        <v>7862</v>
      </c>
      <c r="X2558" s="2" t="s">
        <v>5405</v>
      </c>
      <c r="Y2558" s="2">
        <v>527</v>
      </c>
      <c r="Z2558" s="19" t="str">
        <f>HYPERLINK("https://ssdweb.co/ssdweb/hd/Vision360.html?d=926661692&amp;zoomslide=1&amp;z=1926661692&amp;ISCONFIRM=0","VIDEO")</f>
        <v>VIDEO</v>
      </c>
      <c r="AA2558" s="19" t="str">
        <f>HYPERLINK("https://ssdweb.co/ssdweb/CERTH/652467418.pdf","CERTI")</f>
        <v>CERTI</v>
      </c>
    </row>
    <row r="2559" spans="1:27" ht="15" x14ac:dyDescent="0.25">
      <c r="A2559" s="2">
        <v>2554</v>
      </c>
      <c r="B2559" s="39">
        <v>926261437</v>
      </c>
      <c r="C2559" s="28" t="str">
        <f>HYPERLINK("https://pld.live/RapDetail.aspx?STONELIST=926261437","DNA")</f>
        <v>DNA</v>
      </c>
      <c r="D2559" s="18" t="s">
        <v>7954</v>
      </c>
      <c r="E2559" s="18" t="s">
        <v>5128</v>
      </c>
      <c r="F2559" s="2" t="s">
        <v>7987</v>
      </c>
      <c r="G2559" s="2" t="s">
        <v>861</v>
      </c>
      <c r="H2559" s="14">
        <v>0.31</v>
      </c>
      <c r="I2559" s="2" t="s">
        <v>4761</v>
      </c>
      <c r="J2559" s="2" t="s">
        <v>5144</v>
      </c>
      <c r="K2559" s="2" t="s">
        <v>3390</v>
      </c>
      <c r="L2559" s="2" t="s">
        <v>5221</v>
      </c>
      <c r="M2559" s="2" t="s">
        <v>5721</v>
      </c>
      <c r="N2559" s="2" t="s">
        <v>2317</v>
      </c>
      <c r="O2559" s="14">
        <v>1700</v>
      </c>
      <c r="P2559" s="14">
        <v>92.94</v>
      </c>
      <c r="Q2559" s="14">
        <v>120.02</v>
      </c>
      <c r="R2559" s="14">
        <v>37.21</v>
      </c>
      <c r="S2559" s="2" t="s">
        <v>3271</v>
      </c>
      <c r="T2559" s="2">
        <v>1</v>
      </c>
      <c r="U2559" s="2">
        <v>62.2</v>
      </c>
      <c r="V2559" s="2">
        <v>57</v>
      </c>
      <c r="W2559" s="2" t="s">
        <v>7862</v>
      </c>
      <c r="X2559" s="2" t="s">
        <v>5405</v>
      </c>
      <c r="Y2559" s="2">
        <v>527</v>
      </c>
      <c r="Z2559" s="19" t="str">
        <f>HYPERLINK("https://ssdweb.co/ssdweb/hd/Vision360.html?d=926261437&amp;zoomslide=1&amp;z=1926261437&amp;ISCONFIRM=0","VIDEO")</f>
        <v>VIDEO</v>
      </c>
      <c r="AA2559" s="19" t="str">
        <f>HYPERLINK("https://ssdweb.co/ssdweb/CERTH/642442862.pdf","CERTI")</f>
        <v>CERTI</v>
      </c>
    </row>
    <row r="2560" spans="1:27" ht="15" x14ac:dyDescent="0.25">
      <c r="A2560" s="2">
        <v>2555</v>
      </c>
      <c r="B2560" s="39">
        <v>926231002</v>
      </c>
      <c r="C2560" s="28" t="str">
        <f>HYPERLINK("https://pld.live/RapDetail.aspx?STONELIST=926231002","DNA")</f>
        <v>DNA</v>
      </c>
      <c r="D2560" s="18" t="s">
        <v>7954</v>
      </c>
      <c r="E2560" s="18" t="s">
        <v>5128</v>
      </c>
      <c r="F2560" s="2" t="s">
        <v>7987</v>
      </c>
      <c r="G2560" s="2" t="s">
        <v>861</v>
      </c>
      <c r="H2560" s="14">
        <v>0.31</v>
      </c>
      <c r="I2560" s="2" t="s">
        <v>4761</v>
      </c>
      <c r="J2560" s="2" t="s">
        <v>5144</v>
      </c>
      <c r="K2560" s="2" t="s">
        <v>3390</v>
      </c>
      <c r="L2560" s="2" t="s">
        <v>5221</v>
      </c>
      <c r="M2560" s="2" t="s">
        <v>5721</v>
      </c>
      <c r="N2560" s="2" t="s">
        <v>2317</v>
      </c>
      <c r="O2560" s="14">
        <v>1700</v>
      </c>
      <c r="P2560" s="14">
        <v>92.94</v>
      </c>
      <c r="Q2560" s="14">
        <v>120.02</v>
      </c>
      <c r="R2560" s="14">
        <v>37.21</v>
      </c>
      <c r="S2560" s="2" t="s">
        <v>4242</v>
      </c>
      <c r="T2560" s="2">
        <v>1</v>
      </c>
      <c r="U2560" s="2">
        <v>62.5</v>
      </c>
      <c r="V2560" s="2">
        <v>57</v>
      </c>
      <c r="W2560" s="2" t="s">
        <v>7862</v>
      </c>
      <c r="X2560" s="2" t="s">
        <v>5405</v>
      </c>
      <c r="Y2560" s="2">
        <v>527</v>
      </c>
      <c r="Z2560" s="19" t="str">
        <f>HYPERLINK("https://ssdweb.co/ssdweb/hd/Vision360.html?d=926231002&amp;zoomslide=1&amp;z=1926231002&amp;ISCONFIRM=0","VIDEO")</f>
        <v>VIDEO</v>
      </c>
      <c r="AA2560" s="19" t="str">
        <f>HYPERLINK("https://ssdweb.co/ssdweb/CERTH/639438787.pdf","CERTI")</f>
        <v>CERTI</v>
      </c>
    </row>
    <row r="2561" spans="1:27" ht="15" x14ac:dyDescent="0.25">
      <c r="A2561" s="2">
        <v>2556</v>
      </c>
      <c r="B2561" s="39">
        <v>926391075</v>
      </c>
      <c r="C2561" s="28" t="str">
        <f>HYPERLINK("https://pld.live/RapDetail.aspx?STONELIST=926391075","DNA")</f>
        <v>DNA</v>
      </c>
      <c r="D2561" s="18" t="s">
        <v>7954</v>
      </c>
      <c r="E2561" s="18" t="s">
        <v>5128</v>
      </c>
      <c r="F2561" s="2" t="s">
        <v>7987</v>
      </c>
      <c r="G2561" s="2" t="s">
        <v>861</v>
      </c>
      <c r="H2561" s="14">
        <v>0.31</v>
      </c>
      <c r="I2561" s="2" t="s">
        <v>4761</v>
      </c>
      <c r="J2561" s="2" t="s">
        <v>5144</v>
      </c>
      <c r="K2561" s="2" t="s">
        <v>3390</v>
      </c>
      <c r="L2561" s="2" t="s">
        <v>5221</v>
      </c>
      <c r="M2561" s="2" t="s">
        <v>5721</v>
      </c>
      <c r="N2561" s="2" t="s">
        <v>2317</v>
      </c>
      <c r="O2561" s="14">
        <v>1700</v>
      </c>
      <c r="P2561" s="14">
        <v>92.94</v>
      </c>
      <c r="Q2561" s="14">
        <v>120.02</v>
      </c>
      <c r="R2561" s="14">
        <v>37.21</v>
      </c>
      <c r="S2561" s="2" t="s">
        <v>3192</v>
      </c>
      <c r="T2561" s="2">
        <v>1.01</v>
      </c>
      <c r="U2561" s="2">
        <v>61.9</v>
      </c>
      <c r="V2561" s="2">
        <v>58</v>
      </c>
      <c r="W2561" s="2" t="s">
        <v>7862</v>
      </c>
      <c r="X2561" s="2" t="s">
        <v>5405</v>
      </c>
      <c r="Y2561" s="2">
        <v>527</v>
      </c>
      <c r="Z2561" s="19" t="str">
        <f>HYPERLINK("https://ssdweb.co/ssdweb/hd/Vision360.html?d=926391075&amp;zoomslide=1&amp;z=1926391075&amp;ISCONFIRM=0","VIDEO")</f>
        <v>VIDEO</v>
      </c>
      <c r="AA2561" s="19" t="str">
        <f>HYPERLINK("https://ssdweb.co/ssdweb/CERTH/648487072.pdf","CERTI")</f>
        <v>CERTI</v>
      </c>
    </row>
    <row r="2562" spans="1:27" ht="15" x14ac:dyDescent="0.25">
      <c r="A2562" s="2">
        <v>2557</v>
      </c>
      <c r="B2562" s="39">
        <v>920661246</v>
      </c>
      <c r="C2562" s="28" t="str">
        <f>HYPERLINK("https://pld.live/RapDetail.aspx?STONELIST=920661246","DNA")</f>
        <v>DNA</v>
      </c>
      <c r="D2562" s="18" t="s">
        <v>7954</v>
      </c>
      <c r="E2562" s="18" t="s">
        <v>5128</v>
      </c>
      <c r="F2562" s="2" t="s">
        <v>7987</v>
      </c>
      <c r="G2562" s="2" t="s">
        <v>861</v>
      </c>
      <c r="H2562" s="14">
        <v>0.31</v>
      </c>
      <c r="I2562" s="2" t="s">
        <v>4761</v>
      </c>
      <c r="J2562" s="2" t="s">
        <v>5144</v>
      </c>
      <c r="K2562" s="2" t="s">
        <v>5221</v>
      </c>
      <c r="L2562" s="2" t="s">
        <v>5221</v>
      </c>
      <c r="M2562" s="2" t="s">
        <v>5721</v>
      </c>
      <c r="N2562" s="2" t="s">
        <v>2317</v>
      </c>
      <c r="O2562" s="14">
        <v>1700</v>
      </c>
      <c r="P2562" s="14">
        <v>92.94</v>
      </c>
      <c r="Q2562" s="14">
        <v>120.02</v>
      </c>
      <c r="R2562" s="14">
        <v>37.21</v>
      </c>
      <c r="S2562" s="2" t="s">
        <v>4286</v>
      </c>
      <c r="T2562" s="2">
        <v>1.01</v>
      </c>
      <c r="U2562" s="2">
        <v>62.8</v>
      </c>
      <c r="V2562" s="2">
        <v>56</v>
      </c>
      <c r="W2562" s="2" t="s">
        <v>7862</v>
      </c>
      <c r="X2562" s="2" t="s">
        <v>5405</v>
      </c>
      <c r="Y2562" s="2">
        <v>527</v>
      </c>
      <c r="Z2562" s="19" t="str">
        <f>HYPERLINK("https://ssdweb.co/ssdweb/hd/Vision360.html?d=920661246&amp;zoomslide=1&amp;z=1920661246&amp;ISCONFIRM=0","VIDEO")</f>
        <v>VIDEO</v>
      </c>
      <c r="AA2562" s="19" t="str">
        <f>HYPERLINK("https://ssdweb.co/ssdweb/CERTH/637467375.pdf","CERTI")</f>
        <v>CERTI</v>
      </c>
    </row>
    <row r="2563" spans="1:27" ht="15" x14ac:dyDescent="0.25">
      <c r="A2563" s="2">
        <v>2558</v>
      </c>
      <c r="B2563" s="39">
        <v>925721419</v>
      </c>
      <c r="C2563" s="28" t="str">
        <f>HYPERLINK("https://pld.live/RapDetail.aspx?STONELIST=925721419","DNA")</f>
        <v>DNA</v>
      </c>
      <c r="D2563" s="18" t="s">
        <v>7954</v>
      </c>
      <c r="E2563" s="18" t="s">
        <v>5128</v>
      </c>
      <c r="F2563" s="2" t="s">
        <v>5597</v>
      </c>
      <c r="G2563" s="2" t="s">
        <v>861</v>
      </c>
      <c r="H2563" s="14">
        <v>0.31</v>
      </c>
      <c r="I2563" s="2" t="s">
        <v>4761</v>
      </c>
      <c r="J2563" s="2" t="s">
        <v>444</v>
      </c>
      <c r="K2563" s="2" t="s">
        <v>5221</v>
      </c>
      <c r="L2563" s="2" t="s">
        <v>5721</v>
      </c>
      <c r="M2563" s="2" t="s">
        <v>5221</v>
      </c>
      <c r="N2563" s="2" t="s">
        <v>2317</v>
      </c>
      <c r="O2563" s="14">
        <v>1600</v>
      </c>
      <c r="P2563" s="14">
        <v>85.81</v>
      </c>
      <c r="Q2563" s="14">
        <v>227.04</v>
      </c>
      <c r="R2563" s="14">
        <v>70.38</v>
      </c>
      <c r="S2563" s="2" t="s">
        <v>6839</v>
      </c>
      <c r="T2563" s="2">
        <v>1.01</v>
      </c>
      <c r="U2563" s="2">
        <v>60.1</v>
      </c>
      <c r="V2563" s="2">
        <v>59</v>
      </c>
      <c r="W2563" s="2" t="s">
        <v>7862</v>
      </c>
      <c r="X2563" s="2" t="s">
        <v>5405</v>
      </c>
      <c r="Y2563" s="2">
        <v>496</v>
      </c>
      <c r="Z2563" s="19" t="str">
        <f>HYPERLINK("https://ssdweb.co/ssdweb/hd/Vision360.html?d=925721419&amp;zoomslide=1&amp;z=1925721419&amp;ISCONFIRM=0","VIDEO")</f>
        <v>VIDEO</v>
      </c>
      <c r="AA2563" s="19" t="str">
        <f>HYPERLINK("https://ssdweb.co/ssdweb/CERTH/7486652703.pdf","CERTI")</f>
        <v>CERTI</v>
      </c>
    </row>
    <row r="2564" spans="1:27" ht="15" x14ac:dyDescent="0.25">
      <c r="A2564" s="2">
        <v>2559</v>
      </c>
      <c r="B2564" s="39">
        <v>925660094</v>
      </c>
      <c r="C2564" s="28" t="str">
        <f>HYPERLINK("https://pld.live/RapDetail.aspx?STONELIST=925660094","DNA")</f>
        <v>DNA</v>
      </c>
      <c r="D2564" s="18" t="s">
        <v>7954</v>
      </c>
      <c r="E2564" s="18" t="s">
        <v>2186</v>
      </c>
      <c r="F2564" s="2" t="s">
        <v>5597</v>
      </c>
      <c r="G2564" s="2" t="s">
        <v>861</v>
      </c>
      <c r="H2564" s="14">
        <v>0.31</v>
      </c>
      <c r="I2564" s="2" t="s">
        <v>4699</v>
      </c>
      <c r="J2564" s="2" t="s">
        <v>13</v>
      </c>
      <c r="K2564" s="2" t="s">
        <v>5221</v>
      </c>
      <c r="L2564" s="2" t="s">
        <v>5221</v>
      </c>
      <c r="M2564" s="2" t="s">
        <v>5221</v>
      </c>
      <c r="N2564" s="2" t="s">
        <v>2317</v>
      </c>
      <c r="O2564" s="14">
        <v>1700</v>
      </c>
      <c r="P2564" s="14">
        <v>83.82</v>
      </c>
      <c r="Q2564" s="14">
        <v>275.06</v>
      </c>
      <c r="R2564" s="14">
        <v>85.27</v>
      </c>
      <c r="S2564" s="2" t="s">
        <v>6109</v>
      </c>
      <c r="T2564" s="2">
        <v>1</v>
      </c>
      <c r="U2564" s="2">
        <v>60.5</v>
      </c>
      <c r="V2564" s="2">
        <v>59</v>
      </c>
      <c r="W2564" s="2" t="s">
        <v>7862</v>
      </c>
      <c r="X2564" s="2" t="s">
        <v>5405</v>
      </c>
      <c r="Y2564" s="2">
        <v>527</v>
      </c>
      <c r="Z2564" s="19" t="str">
        <f>HYPERLINK("https://ssdweb.co/ssdweb/hd/Vision360.html?d=925660094&amp;zoomslide=1&amp;z=1925660094&amp;ISCONFIRM=0","VIDEO")</f>
        <v>VIDEO</v>
      </c>
      <c r="AA2564" s="19" t="str">
        <f>HYPERLINK("https://ssdweb.co/ssdweb/CERTH/6485692595.pdf","CERTI")</f>
        <v>CERTI</v>
      </c>
    </row>
    <row r="2565" spans="1:27" ht="15" x14ac:dyDescent="0.25">
      <c r="A2565" s="2">
        <v>2560</v>
      </c>
      <c r="B2565" s="39">
        <v>941390542</v>
      </c>
      <c r="C2565" s="28" t="str">
        <f>HYPERLINK("https://pld.live/RapDetail.aspx?STONELIST=941390542","DNA")</f>
        <v>DNA</v>
      </c>
      <c r="D2565" s="18" t="s">
        <v>7954</v>
      </c>
      <c r="E2565" s="18" t="s">
        <v>2186</v>
      </c>
      <c r="F2565" s="2" t="s">
        <v>7987</v>
      </c>
      <c r="G2565" s="2" t="s">
        <v>861</v>
      </c>
      <c r="H2565" s="14">
        <v>0.3</v>
      </c>
      <c r="I2565" s="2" t="s">
        <v>267</v>
      </c>
      <c r="J2565" s="2" t="s">
        <v>6555</v>
      </c>
      <c r="K2565" s="2" t="s">
        <v>3390</v>
      </c>
      <c r="L2565" s="2" t="s">
        <v>5221</v>
      </c>
      <c r="M2565" s="2" t="s">
        <v>5221</v>
      </c>
      <c r="N2565" s="2" t="s">
        <v>2317</v>
      </c>
      <c r="O2565" s="14">
        <v>2500</v>
      </c>
      <c r="P2565" s="14">
        <v>93.48</v>
      </c>
      <c r="Q2565" s="14">
        <v>163</v>
      </c>
      <c r="R2565" s="14">
        <v>48.9</v>
      </c>
      <c r="S2565" s="2" t="s">
        <v>569</v>
      </c>
      <c r="T2565" s="2">
        <v>1</v>
      </c>
      <c r="U2565" s="2">
        <v>61.4</v>
      </c>
      <c r="V2565" s="2">
        <v>59</v>
      </c>
      <c r="W2565" s="2" t="s">
        <v>7862</v>
      </c>
      <c r="X2565" s="2" t="s">
        <v>5405</v>
      </c>
      <c r="Y2565" s="2">
        <v>750</v>
      </c>
      <c r="Z2565" s="19" t="str">
        <f>HYPERLINK("https://ssdweb.co/ssdweb/hd/Vision360.html?d=941390542&amp;zoomslide=1&amp;z=1941390542&amp;ISCONFIRM=0","VIDEO")</f>
        <v>VIDEO</v>
      </c>
      <c r="AA2565" s="19" t="str">
        <f>HYPERLINK("https://ssdweb.co/ssdweb/CERTH/691577880.pdf","CERTI")</f>
        <v>CERTI</v>
      </c>
    </row>
    <row r="2566" spans="1:27" ht="15" x14ac:dyDescent="0.25">
      <c r="A2566" s="2">
        <v>2561</v>
      </c>
      <c r="B2566" s="39">
        <v>821127835</v>
      </c>
      <c r="C2566" s="28" t="str">
        <f>HYPERLINK("https://pld.live/RapDetail.aspx?STONELIST=821127835","DNA")</f>
        <v>DNA</v>
      </c>
      <c r="D2566" s="18" t="s">
        <v>7954</v>
      </c>
      <c r="E2566" s="18" t="s">
        <v>5128</v>
      </c>
      <c r="F2566" s="2" t="s">
        <v>7987</v>
      </c>
      <c r="G2566" s="2" t="s">
        <v>861</v>
      </c>
      <c r="H2566" s="14">
        <v>0.3</v>
      </c>
      <c r="I2566" s="2" t="s">
        <v>267</v>
      </c>
      <c r="J2566" s="2" t="s">
        <v>6555</v>
      </c>
      <c r="K2566" s="2" t="s">
        <v>3390</v>
      </c>
      <c r="L2566" s="2" t="s">
        <v>5721</v>
      </c>
      <c r="M2566" s="2" t="s">
        <v>5221</v>
      </c>
      <c r="N2566" s="2" t="s">
        <v>2317</v>
      </c>
      <c r="O2566" s="14">
        <v>2500</v>
      </c>
      <c r="P2566" s="14">
        <v>93.88</v>
      </c>
      <c r="Q2566" s="14">
        <v>153</v>
      </c>
      <c r="R2566" s="14">
        <v>45.9</v>
      </c>
      <c r="S2566" s="2" t="s">
        <v>522</v>
      </c>
      <c r="T2566" s="2">
        <v>1</v>
      </c>
      <c r="U2566" s="2">
        <v>62.4</v>
      </c>
      <c r="V2566" s="2">
        <v>59</v>
      </c>
      <c r="W2566" s="2" t="s">
        <v>7862</v>
      </c>
      <c r="X2566" s="2" t="s">
        <v>5405</v>
      </c>
      <c r="Y2566" s="2">
        <v>750</v>
      </c>
      <c r="Z2566" s="19" t="str">
        <f>HYPERLINK("https://ssdweb.co/ssdweb/hd/Vision360.html?d=821127835&amp;zoomslide=1&amp;z=1821127835&amp;ISCONFIRM=0","VIDEO")</f>
        <v>VIDEO</v>
      </c>
      <c r="AA2566" s="19" t="str">
        <f>HYPERLINK("https://ssdweb.co/ssdweb/CERTH/633499571.pdf","CERTI")</f>
        <v>CERTI</v>
      </c>
    </row>
    <row r="2567" spans="1:27" ht="15" x14ac:dyDescent="0.25">
      <c r="A2567" s="2">
        <v>2562</v>
      </c>
      <c r="B2567" s="39">
        <v>821127847</v>
      </c>
      <c r="C2567" s="28" t="str">
        <f>HYPERLINK("https://pld.live/RapDetail.aspx?STONELIST=821127847","DNA")</f>
        <v>DNA</v>
      </c>
      <c r="D2567" s="18" t="s">
        <v>7954</v>
      </c>
      <c r="E2567" s="18" t="s">
        <v>5128</v>
      </c>
      <c r="F2567" s="2" t="s">
        <v>7987</v>
      </c>
      <c r="G2567" s="2" t="s">
        <v>861</v>
      </c>
      <c r="H2567" s="14">
        <v>0.3</v>
      </c>
      <c r="I2567" s="2" t="s">
        <v>267</v>
      </c>
      <c r="J2567" s="2" t="s">
        <v>6555</v>
      </c>
      <c r="K2567" s="2" t="s">
        <v>3390</v>
      </c>
      <c r="L2567" s="2" t="s">
        <v>5721</v>
      </c>
      <c r="M2567" s="2" t="s">
        <v>5221</v>
      </c>
      <c r="N2567" s="2" t="s">
        <v>2317</v>
      </c>
      <c r="O2567" s="14">
        <v>2500</v>
      </c>
      <c r="P2567" s="14">
        <v>93.88</v>
      </c>
      <c r="Q2567" s="14">
        <v>153</v>
      </c>
      <c r="R2567" s="14">
        <v>45.9</v>
      </c>
      <c r="S2567" s="2" t="s">
        <v>1821</v>
      </c>
      <c r="T2567" s="2">
        <v>1</v>
      </c>
      <c r="U2567" s="2">
        <v>60.7</v>
      </c>
      <c r="V2567" s="2">
        <v>59</v>
      </c>
      <c r="W2567" s="2" t="s">
        <v>7862</v>
      </c>
      <c r="X2567" s="2" t="s">
        <v>5405</v>
      </c>
      <c r="Y2567" s="2">
        <v>750</v>
      </c>
      <c r="Z2567" s="19" t="str">
        <f>HYPERLINK("https://ssdweb.co/ssdweb/hd/Vision360.html?d=821127847&amp;zoomslide=1&amp;z=1821127847&amp;ISCONFIRM=0","VIDEO")</f>
        <v>VIDEO</v>
      </c>
      <c r="AA2567" s="19" t="str">
        <f>HYPERLINK("https://ssdweb.co/ssdweb/CERTH/633499563.pdf","CERTI")</f>
        <v>CERTI</v>
      </c>
    </row>
    <row r="2568" spans="1:27" ht="15" x14ac:dyDescent="0.25">
      <c r="A2568" s="2">
        <v>2563</v>
      </c>
      <c r="B2568" s="39">
        <v>926231090</v>
      </c>
      <c r="C2568" s="28" t="str">
        <f>HYPERLINK("https://pld.live/RapDetail.aspx?STONELIST=926231090","DNA")</f>
        <v>DNA</v>
      </c>
      <c r="D2568" s="18" t="s">
        <v>7954</v>
      </c>
      <c r="E2568" s="18" t="s">
        <v>5128</v>
      </c>
      <c r="F2568" s="2" t="s">
        <v>7987</v>
      </c>
      <c r="G2568" s="2" t="s">
        <v>861</v>
      </c>
      <c r="H2568" s="14">
        <v>0.3</v>
      </c>
      <c r="I2568" s="2" t="s">
        <v>267</v>
      </c>
      <c r="J2568" s="2" t="s">
        <v>6555</v>
      </c>
      <c r="K2568" s="2" t="s">
        <v>3390</v>
      </c>
      <c r="L2568" s="2" t="s">
        <v>5721</v>
      </c>
      <c r="M2568" s="2" t="s">
        <v>5721</v>
      </c>
      <c r="N2568" s="2" t="s">
        <v>2317</v>
      </c>
      <c r="O2568" s="14">
        <v>2500</v>
      </c>
      <c r="P2568" s="14">
        <v>93.96</v>
      </c>
      <c r="Q2568" s="14">
        <v>151</v>
      </c>
      <c r="R2568" s="14">
        <v>45.3</v>
      </c>
      <c r="S2568" s="2" t="s">
        <v>1372</v>
      </c>
      <c r="T2568" s="2">
        <v>1.01</v>
      </c>
      <c r="U2568" s="2">
        <v>61.9</v>
      </c>
      <c r="V2568" s="2">
        <v>58</v>
      </c>
      <c r="W2568" s="2" t="s">
        <v>7862</v>
      </c>
      <c r="X2568" s="2" t="s">
        <v>5405</v>
      </c>
      <c r="Y2568" s="2">
        <v>750</v>
      </c>
      <c r="Z2568" s="19" t="str">
        <f>HYPERLINK("https://ssdweb.co/ssdweb/hd/Vision360.html?d=926231090&amp;zoomslide=1&amp;z=1926231090&amp;ISCONFIRM=0","VIDEO")</f>
        <v>VIDEO</v>
      </c>
      <c r="AA2568" s="19" t="str">
        <f>HYPERLINK("https://ssdweb.co/ssdweb/CERTH/642447703.pdf","CERTI")</f>
        <v>CERTI</v>
      </c>
    </row>
    <row r="2569" spans="1:27" ht="15" x14ac:dyDescent="0.25">
      <c r="A2569" s="2">
        <v>2564</v>
      </c>
      <c r="B2569" s="39">
        <v>926261162</v>
      </c>
      <c r="C2569" s="28" t="str">
        <f>HYPERLINK("https://pld.live/RapDetail.aspx?STONELIST=926261162","DNA")</f>
        <v>DNA</v>
      </c>
      <c r="D2569" s="18" t="s">
        <v>7954</v>
      </c>
      <c r="E2569" s="18" t="s">
        <v>5128</v>
      </c>
      <c r="F2569" s="2" t="s">
        <v>7987</v>
      </c>
      <c r="G2569" s="2" t="s">
        <v>861</v>
      </c>
      <c r="H2569" s="14">
        <v>0.3</v>
      </c>
      <c r="I2569" s="2" t="s">
        <v>267</v>
      </c>
      <c r="J2569" s="2" t="s">
        <v>6555</v>
      </c>
      <c r="K2569" s="2" t="s">
        <v>5221</v>
      </c>
      <c r="L2569" s="2" t="s">
        <v>5221</v>
      </c>
      <c r="M2569" s="2" t="s">
        <v>5721</v>
      </c>
      <c r="N2569" s="2" t="s">
        <v>2317</v>
      </c>
      <c r="O2569" s="14">
        <v>2500</v>
      </c>
      <c r="P2569" s="14">
        <v>93.88</v>
      </c>
      <c r="Q2569" s="14">
        <v>153</v>
      </c>
      <c r="R2569" s="14">
        <v>45.9</v>
      </c>
      <c r="S2569" s="2" t="s">
        <v>7888</v>
      </c>
      <c r="T2569" s="2">
        <v>1.01</v>
      </c>
      <c r="U2569" s="2">
        <v>62.4</v>
      </c>
      <c r="V2569" s="2">
        <v>59</v>
      </c>
      <c r="W2569" s="2" t="s">
        <v>7862</v>
      </c>
      <c r="X2569" s="2" t="s">
        <v>5405</v>
      </c>
      <c r="Y2569" s="2">
        <v>750</v>
      </c>
      <c r="Z2569" s="19" t="str">
        <f>HYPERLINK("https://ssdweb.co/ssdweb/hd/Vision360.html?d=926261162&amp;zoomslide=1&amp;z=1926261162&amp;ISCONFIRM=0","VIDEO")</f>
        <v>VIDEO</v>
      </c>
      <c r="AA2569" s="19" t="str">
        <f>HYPERLINK("https://ssdweb.co/ssdweb/CERTH/640419151.pdf","CERTI")</f>
        <v>CERTI</v>
      </c>
    </row>
    <row r="2570" spans="1:27" ht="15" x14ac:dyDescent="0.25">
      <c r="A2570" s="2">
        <v>2565</v>
      </c>
      <c r="B2570" s="39">
        <v>926231044</v>
      </c>
      <c r="C2570" s="28" t="str">
        <f>HYPERLINK("https://pld.live/RapDetail.aspx?STONELIST=926231044","DNA")</f>
        <v>DNA</v>
      </c>
      <c r="D2570" s="18" t="s">
        <v>7954</v>
      </c>
      <c r="E2570" s="18" t="s">
        <v>5128</v>
      </c>
      <c r="F2570" s="2" t="s">
        <v>7987</v>
      </c>
      <c r="G2570" s="2" t="s">
        <v>861</v>
      </c>
      <c r="H2570" s="14">
        <v>0.3</v>
      </c>
      <c r="I2570" s="2" t="s">
        <v>267</v>
      </c>
      <c r="J2570" s="2" t="s">
        <v>6555</v>
      </c>
      <c r="K2570" s="2" t="s">
        <v>5221</v>
      </c>
      <c r="L2570" s="2" t="s">
        <v>5221</v>
      </c>
      <c r="M2570" s="2" t="s">
        <v>5721</v>
      </c>
      <c r="N2570" s="2" t="s">
        <v>2317</v>
      </c>
      <c r="O2570" s="14">
        <v>2500</v>
      </c>
      <c r="P2570" s="14">
        <v>93.88</v>
      </c>
      <c r="Q2570" s="14">
        <v>153</v>
      </c>
      <c r="R2570" s="14">
        <v>45.9</v>
      </c>
      <c r="S2570" s="2" t="s">
        <v>368</v>
      </c>
      <c r="T2570" s="2">
        <v>1.01</v>
      </c>
      <c r="U2570" s="2">
        <v>63.1</v>
      </c>
      <c r="V2570" s="2">
        <v>53</v>
      </c>
      <c r="W2570" s="2" t="s">
        <v>7862</v>
      </c>
      <c r="X2570" s="2" t="s">
        <v>5405</v>
      </c>
      <c r="Y2570" s="2">
        <v>750</v>
      </c>
      <c r="Z2570" s="19" t="str">
        <f>HYPERLINK("https://ssdweb.co/ssdweb/hd/Vision360.html?d=926231044&amp;zoomslide=1&amp;z=1926231044&amp;ISCONFIRM=0","VIDEO")</f>
        <v>VIDEO</v>
      </c>
      <c r="AA2570" s="19" t="str">
        <f>HYPERLINK("https://ssdweb.co/ssdweb/CERTH/639413055.pdf","CERTI")</f>
        <v>CERTI</v>
      </c>
    </row>
    <row r="2571" spans="1:27" ht="15" x14ac:dyDescent="0.25">
      <c r="A2571" s="2">
        <v>2566</v>
      </c>
      <c r="B2571" s="39">
        <v>926141428</v>
      </c>
      <c r="C2571" s="28" t="str">
        <f>HYPERLINK("https://pld.live/RapDetail.aspx?STONELIST=926141428","DNA")</f>
        <v>DNA</v>
      </c>
      <c r="D2571" s="18" t="s">
        <v>7954</v>
      </c>
      <c r="E2571" s="18" t="s">
        <v>5128</v>
      </c>
      <c r="F2571" s="2" t="s">
        <v>7987</v>
      </c>
      <c r="G2571" s="2" t="s">
        <v>861</v>
      </c>
      <c r="H2571" s="14">
        <v>0.3</v>
      </c>
      <c r="I2571" s="2" t="s">
        <v>267</v>
      </c>
      <c r="J2571" s="2" t="s">
        <v>6555</v>
      </c>
      <c r="K2571" s="2" t="s">
        <v>5221</v>
      </c>
      <c r="L2571" s="2" t="s">
        <v>5221</v>
      </c>
      <c r="M2571" s="2" t="s">
        <v>5721</v>
      </c>
      <c r="N2571" s="2" t="s">
        <v>2317</v>
      </c>
      <c r="O2571" s="14">
        <v>2500</v>
      </c>
      <c r="P2571" s="14">
        <v>93.88</v>
      </c>
      <c r="Q2571" s="14">
        <v>153</v>
      </c>
      <c r="R2571" s="14">
        <v>45.9</v>
      </c>
      <c r="S2571" s="2" t="s">
        <v>6564</v>
      </c>
      <c r="T2571" s="2">
        <v>1</v>
      </c>
      <c r="U2571" s="2">
        <v>62.8</v>
      </c>
      <c r="V2571" s="2">
        <v>59</v>
      </c>
      <c r="W2571" s="2" t="s">
        <v>7862</v>
      </c>
      <c r="X2571" s="2" t="s">
        <v>5405</v>
      </c>
      <c r="Y2571" s="2">
        <v>750</v>
      </c>
      <c r="Z2571" s="19" t="str">
        <f>HYPERLINK("https://ssdweb.co/ssdweb/hd/Vision360.html?d=926141428&amp;zoomslide=1&amp;z=1926141428&amp;ISCONFIRM=0","VIDEO")</f>
        <v>VIDEO</v>
      </c>
      <c r="AA2571" s="19" t="str">
        <f>HYPERLINK("https://ssdweb.co/ssdweb/CERTH/635427137.pdf","CERTI")</f>
        <v>CERTI</v>
      </c>
    </row>
    <row r="2572" spans="1:27" ht="15" x14ac:dyDescent="0.25">
      <c r="A2572" s="2">
        <v>2567</v>
      </c>
      <c r="B2572" s="39">
        <v>926191085</v>
      </c>
      <c r="C2572" s="28" t="str">
        <f>HYPERLINK("https://pld.live/RapDetail.aspx?STONELIST=926191085","DNA")</f>
        <v>DNA</v>
      </c>
      <c r="D2572" s="18" t="s">
        <v>7954</v>
      </c>
      <c r="E2572" s="18" t="s">
        <v>5128</v>
      </c>
      <c r="F2572" s="2" t="s">
        <v>7987</v>
      </c>
      <c r="G2572" s="2" t="s">
        <v>861</v>
      </c>
      <c r="H2572" s="14">
        <v>0.3</v>
      </c>
      <c r="I2572" s="2" t="s">
        <v>267</v>
      </c>
      <c r="J2572" s="2" t="s">
        <v>6555</v>
      </c>
      <c r="K2572" s="2" t="s">
        <v>5221</v>
      </c>
      <c r="L2572" s="2" t="s">
        <v>5221</v>
      </c>
      <c r="M2572" s="2" t="s">
        <v>5721</v>
      </c>
      <c r="N2572" s="2" t="s">
        <v>2317</v>
      </c>
      <c r="O2572" s="14">
        <v>2500</v>
      </c>
      <c r="P2572" s="14">
        <v>93.88</v>
      </c>
      <c r="Q2572" s="14">
        <v>153</v>
      </c>
      <c r="R2572" s="14">
        <v>45.9</v>
      </c>
      <c r="S2572" s="2" t="s">
        <v>2866</v>
      </c>
      <c r="T2572" s="2">
        <v>1.01</v>
      </c>
      <c r="U2572" s="2">
        <v>62.7</v>
      </c>
      <c r="V2572" s="2">
        <v>56</v>
      </c>
      <c r="W2572" s="2" t="s">
        <v>7862</v>
      </c>
      <c r="X2572" s="2" t="s">
        <v>5405</v>
      </c>
      <c r="Y2572" s="2">
        <v>750</v>
      </c>
      <c r="Z2572" s="19" t="str">
        <f>HYPERLINK("https://ssdweb.co/ssdweb/hd/Vision360.html?d=926191085&amp;zoomslide=1&amp;z=1926191085&amp;ISCONFIRM=0","VIDEO")</f>
        <v>VIDEO</v>
      </c>
      <c r="AA2572" s="19" t="str">
        <f>HYPERLINK("https://ssdweb.co/ssdweb/CERTH/637467311.pdf","CERTI")</f>
        <v>CERTI</v>
      </c>
    </row>
    <row r="2573" spans="1:27" ht="15" x14ac:dyDescent="0.25">
      <c r="A2573" s="2">
        <v>2568</v>
      </c>
      <c r="B2573" s="39">
        <v>926141238</v>
      </c>
      <c r="C2573" s="28" t="str">
        <f>HYPERLINK("https://pld.live/RapDetail.aspx?STONELIST=926141238","DNA")</f>
        <v>DNA</v>
      </c>
      <c r="D2573" s="18" t="s">
        <v>7954</v>
      </c>
      <c r="E2573" s="18" t="s">
        <v>5128</v>
      </c>
      <c r="F2573" s="2" t="s">
        <v>7987</v>
      </c>
      <c r="G2573" s="2" t="s">
        <v>861</v>
      </c>
      <c r="H2573" s="14">
        <v>0.3</v>
      </c>
      <c r="I2573" s="2" t="s">
        <v>267</v>
      </c>
      <c r="J2573" s="2" t="s">
        <v>6555</v>
      </c>
      <c r="K2573" s="2" t="s">
        <v>5221</v>
      </c>
      <c r="L2573" s="2" t="s">
        <v>5221</v>
      </c>
      <c r="M2573" s="2" t="s">
        <v>5721</v>
      </c>
      <c r="N2573" s="2" t="s">
        <v>2317</v>
      </c>
      <c r="O2573" s="14">
        <v>2500</v>
      </c>
      <c r="P2573" s="14">
        <v>93.88</v>
      </c>
      <c r="Q2573" s="14">
        <v>153</v>
      </c>
      <c r="R2573" s="14">
        <v>45.9</v>
      </c>
      <c r="S2573" s="2" t="s">
        <v>4665</v>
      </c>
      <c r="T2573" s="2">
        <v>1.01</v>
      </c>
      <c r="U2573" s="2">
        <v>62.6</v>
      </c>
      <c r="V2573" s="2">
        <v>57</v>
      </c>
      <c r="W2573" s="2" t="s">
        <v>7862</v>
      </c>
      <c r="X2573" s="2" t="s">
        <v>5405</v>
      </c>
      <c r="Y2573" s="2">
        <v>750</v>
      </c>
      <c r="Z2573" s="19" t="str">
        <f>HYPERLINK("https://ssdweb.co/ssdweb/hd/Vision360.html?d=926141238&amp;zoomslide=1&amp;z=1926141238&amp;ISCONFIRM=0","VIDEO")</f>
        <v>VIDEO</v>
      </c>
      <c r="AA2573" s="19" t="str">
        <f>HYPERLINK("https://ssdweb.co/ssdweb/CERTH/634431285.pdf","CERTI")</f>
        <v>CERTI</v>
      </c>
    </row>
    <row r="2574" spans="1:27" ht="15" x14ac:dyDescent="0.25">
      <c r="A2574" s="2">
        <v>2569</v>
      </c>
      <c r="B2574" s="39">
        <v>926391476</v>
      </c>
      <c r="C2574" s="28" t="str">
        <f>HYPERLINK("https://pld.live/RapDetail.aspx?STONELIST=926391476","DNA")</f>
        <v>DNA</v>
      </c>
      <c r="D2574" s="18" t="s">
        <v>7954</v>
      </c>
      <c r="E2574" s="18" t="s">
        <v>5128</v>
      </c>
      <c r="F2574" s="2" t="s">
        <v>7987</v>
      </c>
      <c r="G2574" s="2" t="s">
        <v>861</v>
      </c>
      <c r="H2574" s="14">
        <v>0.3</v>
      </c>
      <c r="I2574" s="2" t="s">
        <v>267</v>
      </c>
      <c r="J2574" s="2" t="s">
        <v>3942</v>
      </c>
      <c r="K2574" s="2" t="s">
        <v>3390</v>
      </c>
      <c r="L2574" s="2" t="s">
        <v>5221</v>
      </c>
      <c r="M2574" s="2" t="s">
        <v>5721</v>
      </c>
      <c r="N2574" s="2" t="s">
        <v>2317</v>
      </c>
      <c r="O2574" s="14">
        <v>2200</v>
      </c>
      <c r="P2574" s="14">
        <v>93.73</v>
      </c>
      <c r="Q2574" s="14">
        <v>137.94</v>
      </c>
      <c r="R2574" s="14">
        <v>41.38</v>
      </c>
      <c r="S2574" s="2" t="s">
        <v>3702</v>
      </c>
      <c r="T2574" s="2">
        <v>1</v>
      </c>
      <c r="U2574" s="2">
        <v>61.3</v>
      </c>
      <c r="V2574" s="2">
        <v>60</v>
      </c>
      <c r="W2574" s="2" t="s">
        <v>7862</v>
      </c>
      <c r="X2574" s="2" t="s">
        <v>5405</v>
      </c>
      <c r="Y2574" s="2">
        <v>660</v>
      </c>
      <c r="Z2574" s="19" t="str">
        <f>HYPERLINK("https://ssdweb.co/ssdweb/hd/Vision360.html?d=926391476&amp;zoomslide=1&amp;z=1926391476&amp;ISCONFIRM=0","VIDEO")</f>
        <v>VIDEO</v>
      </c>
      <c r="AA2574" s="19" t="str">
        <f>HYPERLINK("https://ssdweb.co/ssdweb/CERTH/667408522.pdf","CERTI")</f>
        <v>CERTI</v>
      </c>
    </row>
    <row r="2575" spans="1:27" ht="15" x14ac:dyDescent="0.25">
      <c r="A2575" s="2">
        <v>2570</v>
      </c>
      <c r="B2575" s="39">
        <v>926081447</v>
      </c>
      <c r="C2575" s="28" t="str">
        <f>HYPERLINK("https://pld.live/RapDetail.aspx?STONELIST=926081447","DNA")</f>
        <v>DNA</v>
      </c>
      <c r="D2575" s="18" t="s">
        <v>7954</v>
      </c>
      <c r="E2575" s="18" t="s">
        <v>5128</v>
      </c>
      <c r="F2575" s="2" t="s">
        <v>7987</v>
      </c>
      <c r="G2575" s="2" t="s">
        <v>861</v>
      </c>
      <c r="H2575" s="14">
        <v>0.3</v>
      </c>
      <c r="I2575" s="2" t="s">
        <v>267</v>
      </c>
      <c r="J2575" s="2" t="s">
        <v>3942</v>
      </c>
      <c r="K2575" s="2" t="s">
        <v>3390</v>
      </c>
      <c r="L2575" s="2" t="s">
        <v>5221</v>
      </c>
      <c r="M2575" s="2" t="s">
        <v>5721</v>
      </c>
      <c r="N2575" s="2" t="s">
        <v>2317</v>
      </c>
      <c r="O2575" s="14">
        <v>2200</v>
      </c>
      <c r="P2575" s="14">
        <v>93.73</v>
      </c>
      <c r="Q2575" s="14">
        <v>137.94</v>
      </c>
      <c r="R2575" s="14">
        <v>41.38</v>
      </c>
      <c r="S2575" s="2" t="s">
        <v>5567</v>
      </c>
      <c r="T2575" s="2">
        <v>1.01</v>
      </c>
      <c r="U2575" s="2">
        <v>60.6</v>
      </c>
      <c r="V2575" s="2">
        <v>60</v>
      </c>
      <c r="W2575" s="2" t="s">
        <v>7862</v>
      </c>
      <c r="X2575" s="2" t="s">
        <v>5405</v>
      </c>
      <c r="Y2575" s="2">
        <v>660</v>
      </c>
      <c r="Z2575" s="19" t="str">
        <f>HYPERLINK("https://ssdweb.co/ssdweb/hd/Vision360.html?d=926081447&amp;zoomslide=1&amp;z=1926081447&amp;ISCONFIRM=0","VIDEO")</f>
        <v>VIDEO</v>
      </c>
      <c r="AA2575" s="19" t="str">
        <f>HYPERLINK("https://ssdweb.co/ssdweb/CERTH/631463953.pdf","CERTI")</f>
        <v>CERTI</v>
      </c>
    </row>
    <row r="2576" spans="1:27" ht="15" x14ac:dyDescent="0.25">
      <c r="A2576" s="2">
        <v>2571</v>
      </c>
      <c r="B2576" s="39">
        <v>926191326</v>
      </c>
      <c r="C2576" s="28" t="str">
        <f>HYPERLINK("https://pld.live/RapDetail.aspx?STONELIST=926191326","DNA")</f>
        <v>DNA</v>
      </c>
      <c r="D2576" s="18" t="s">
        <v>7954</v>
      </c>
      <c r="E2576" s="18" t="s">
        <v>5128</v>
      </c>
      <c r="F2576" s="2" t="s">
        <v>7987</v>
      </c>
      <c r="G2576" s="2" t="s">
        <v>861</v>
      </c>
      <c r="H2576" s="14">
        <v>0.3</v>
      </c>
      <c r="I2576" s="2" t="s">
        <v>267</v>
      </c>
      <c r="J2576" s="2" t="s">
        <v>3942</v>
      </c>
      <c r="K2576" s="2" t="s">
        <v>3390</v>
      </c>
      <c r="L2576" s="2" t="s">
        <v>5721</v>
      </c>
      <c r="M2576" s="2" t="s">
        <v>5721</v>
      </c>
      <c r="N2576" s="2" t="s">
        <v>2317</v>
      </c>
      <c r="O2576" s="14">
        <v>2200</v>
      </c>
      <c r="P2576" s="14">
        <v>93.82</v>
      </c>
      <c r="Q2576" s="14">
        <v>135.96</v>
      </c>
      <c r="R2576" s="14">
        <v>40.79</v>
      </c>
      <c r="S2576" s="2" t="s">
        <v>834</v>
      </c>
      <c r="T2576" s="2">
        <v>1</v>
      </c>
      <c r="U2576" s="2">
        <v>61.3</v>
      </c>
      <c r="V2576" s="2">
        <v>59</v>
      </c>
      <c r="W2576" s="2" t="s">
        <v>7862</v>
      </c>
      <c r="X2576" s="2" t="s">
        <v>5405</v>
      </c>
      <c r="Y2576" s="2">
        <v>660</v>
      </c>
      <c r="Z2576" s="19" t="str">
        <f>HYPERLINK("https://ssdweb.co/ssdweb/hd/Vision360.html?d=926191326&amp;zoomslide=1&amp;z=1926191326&amp;ISCONFIRM=0","VIDEO")</f>
        <v>VIDEO</v>
      </c>
      <c r="AA2576" s="19" t="str">
        <f>HYPERLINK("https://ssdweb.co/ssdweb/CERTH/638492978.pdf","CERTI")</f>
        <v>CERTI</v>
      </c>
    </row>
    <row r="2577" spans="1:27" ht="15" x14ac:dyDescent="0.25">
      <c r="A2577" s="2">
        <v>2572</v>
      </c>
      <c r="B2577" s="39">
        <v>926710935</v>
      </c>
      <c r="C2577" s="28" t="str">
        <f>HYPERLINK("https://pld.live/RapDetail.aspx?STONELIST=926710935","DNA")</f>
        <v>DNA</v>
      </c>
      <c r="D2577" s="18" t="s">
        <v>7954</v>
      </c>
      <c r="E2577" s="18" t="s">
        <v>5128</v>
      </c>
      <c r="F2577" s="2" t="s">
        <v>7987</v>
      </c>
      <c r="G2577" s="2" t="s">
        <v>861</v>
      </c>
      <c r="H2577" s="14">
        <v>0.3</v>
      </c>
      <c r="I2577" s="2" t="s">
        <v>267</v>
      </c>
      <c r="J2577" s="2" t="s">
        <v>3942</v>
      </c>
      <c r="K2577" s="2" t="s">
        <v>3390</v>
      </c>
      <c r="L2577" s="2" t="s">
        <v>5721</v>
      </c>
      <c r="M2577" s="2" t="s">
        <v>5721</v>
      </c>
      <c r="N2577" s="2" t="s">
        <v>2317</v>
      </c>
      <c r="O2577" s="14">
        <v>2200</v>
      </c>
      <c r="P2577" s="14">
        <v>93.82</v>
      </c>
      <c r="Q2577" s="14">
        <v>135.96</v>
      </c>
      <c r="R2577" s="14">
        <v>40.79</v>
      </c>
      <c r="S2577" s="2" t="s">
        <v>4908</v>
      </c>
      <c r="T2577" s="2">
        <v>1.01</v>
      </c>
      <c r="U2577" s="2">
        <v>62</v>
      </c>
      <c r="V2577" s="2">
        <v>55</v>
      </c>
      <c r="W2577" s="2" t="s">
        <v>7862</v>
      </c>
      <c r="X2577" s="2" t="s">
        <v>5405</v>
      </c>
      <c r="Y2577" s="2">
        <v>660</v>
      </c>
      <c r="Z2577" s="19" t="str">
        <f>HYPERLINK("https://ssdweb.co/ssdweb/hd/Vision360.html?d=926710935&amp;zoomslide=1&amp;z=1926710935&amp;ISCONFIRM=0","VIDEO")</f>
        <v>VIDEO</v>
      </c>
      <c r="AA2577" s="19" t="str">
        <f>HYPERLINK("https://ssdweb.co/ssdweb/CERTH/681569588.pdf","CERTI")</f>
        <v>CERTI</v>
      </c>
    </row>
    <row r="2578" spans="1:27" ht="15" x14ac:dyDescent="0.25">
      <c r="A2578" s="2">
        <v>2573</v>
      </c>
      <c r="B2578" s="39">
        <v>821127932</v>
      </c>
      <c r="C2578" s="28" t="str">
        <f>HYPERLINK("https://pld.live/RapDetail.aspx?STONELIST=821127932","DNA")</f>
        <v>DNA</v>
      </c>
      <c r="D2578" s="18" t="s">
        <v>7954</v>
      </c>
      <c r="E2578" s="18" t="s">
        <v>5128</v>
      </c>
      <c r="F2578" s="2" t="s">
        <v>7987</v>
      </c>
      <c r="G2578" s="2" t="s">
        <v>861</v>
      </c>
      <c r="H2578" s="14">
        <v>0.3</v>
      </c>
      <c r="I2578" s="2" t="s">
        <v>267</v>
      </c>
      <c r="J2578" s="2" t="s">
        <v>3942</v>
      </c>
      <c r="K2578" s="2" t="s">
        <v>3390</v>
      </c>
      <c r="L2578" s="2" t="s">
        <v>5721</v>
      </c>
      <c r="M2578" s="2" t="s">
        <v>5721</v>
      </c>
      <c r="N2578" s="2" t="s">
        <v>2317</v>
      </c>
      <c r="O2578" s="14">
        <v>2200</v>
      </c>
      <c r="P2578" s="14">
        <v>93.82</v>
      </c>
      <c r="Q2578" s="14">
        <v>135.96</v>
      </c>
      <c r="R2578" s="14">
        <v>40.79</v>
      </c>
      <c r="S2578" s="2" t="s">
        <v>3900</v>
      </c>
      <c r="T2578" s="2">
        <v>1.01</v>
      </c>
      <c r="U2578" s="2">
        <v>61.6</v>
      </c>
      <c r="V2578" s="2">
        <v>60</v>
      </c>
      <c r="W2578" s="2" t="s">
        <v>7862</v>
      </c>
      <c r="X2578" s="2" t="s">
        <v>5405</v>
      </c>
      <c r="Y2578" s="2">
        <v>660</v>
      </c>
      <c r="Z2578" s="19" t="str">
        <f>HYPERLINK("https://ssdweb.co/ssdweb/hd/Vision360.html?d=821127932&amp;zoomslide=1&amp;z=1821127932&amp;ISCONFIRM=0","VIDEO")</f>
        <v>VIDEO</v>
      </c>
      <c r="AA2578" s="19" t="str">
        <f>HYPERLINK("https://ssdweb.co/ssdweb/CERTH/634417059.pdf","CERTI")</f>
        <v>CERTI</v>
      </c>
    </row>
    <row r="2579" spans="1:27" ht="15" x14ac:dyDescent="0.25">
      <c r="A2579" s="2">
        <v>2574</v>
      </c>
      <c r="B2579" s="39">
        <v>920661419</v>
      </c>
      <c r="C2579" s="28" t="str">
        <f>HYPERLINK("https://pld.live/RapDetail.aspx?STONELIST=920661419","DNA")</f>
        <v>DNA</v>
      </c>
      <c r="D2579" s="18" t="s">
        <v>7954</v>
      </c>
      <c r="E2579" s="18" t="s">
        <v>5128</v>
      </c>
      <c r="F2579" s="2" t="s">
        <v>7987</v>
      </c>
      <c r="G2579" s="2" t="s">
        <v>861</v>
      </c>
      <c r="H2579" s="14">
        <v>0.3</v>
      </c>
      <c r="I2579" s="2" t="s">
        <v>267</v>
      </c>
      <c r="J2579" s="2" t="s">
        <v>3942</v>
      </c>
      <c r="K2579" s="2" t="s">
        <v>3390</v>
      </c>
      <c r="L2579" s="2" t="s">
        <v>5721</v>
      </c>
      <c r="M2579" s="2" t="s">
        <v>5721</v>
      </c>
      <c r="N2579" s="2" t="s">
        <v>2317</v>
      </c>
      <c r="O2579" s="14">
        <v>2200</v>
      </c>
      <c r="P2579" s="14">
        <v>93.82</v>
      </c>
      <c r="Q2579" s="14">
        <v>135.96</v>
      </c>
      <c r="R2579" s="14">
        <v>40.79</v>
      </c>
      <c r="S2579" s="2" t="s">
        <v>3885</v>
      </c>
      <c r="T2579" s="2">
        <v>1.01</v>
      </c>
      <c r="U2579" s="2">
        <v>62.4</v>
      </c>
      <c r="V2579" s="2">
        <v>59</v>
      </c>
      <c r="W2579" s="2" t="s">
        <v>7862</v>
      </c>
      <c r="X2579" s="2" t="s">
        <v>5405</v>
      </c>
      <c r="Y2579" s="2">
        <v>660</v>
      </c>
      <c r="Z2579" s="19" t="str">
        <f>HYPERLINK("https://ssdweb.co/ssdweb/hd/Vision360.html?d=920661419&amp;zoomslide=1&amp;z=1920661419&amp;ISCONFIRM=0","VIDEO")</f>
        <v>VIDEO</v>
      </c>
      <c r="AA2579" s="19" t="str">
        <f>HYPERLINK("https://ssdweb.co/ssdweb/CERTH/638463032.pdf","CERTI")</f>
        <v>CERTI</v>
      </c>
    </row>
    <row r="2580" spans="1:27" ht="15" x14ac:dyDescent="0.25">
      <c r="A2580" s="2">
        <v>2575</v>
      </c>
      <c r="B2580" s="39">
        <v>941360402</v>
      </c>
      <c r="C2580" s="28" t="str">
        <f>HYPERLINK("https://pld.live/RapDetail.aspx?STONELIST=941360402","DNA")</f>
        <v>DNA</v>
      </c>
      <c r="D2580" s="18" t="s">
        <v>7954</v>
      </c>
      <c r="E2580" s="18" t="s">
        <v>2186</v>
      </c>
      <c r="F2580" s="2" t="s">
        <v>7987</v>
      </c>
      <c r="G2580" s="2" t="s">
        <v>861</v>
      </c>
      <c r="H2580" s="14">
        <v>0.3</v>
      </c>
      <c r="I2580" s="2" t="s">
        <v>267</v>
      </c>
      <c r="J2580" s="2" t="s">
        <v>3942</v>
      </c>
      <c r="K2580" s="2" t="s">
        <v>5221</v>
      </c>
      <c r="L2580" s="2" t="s">
        <v>5221</v>
      </c>
      <c r="M2580" s="2" t="s">
        <v>5221</v>
      </c>
      <c r="N2580" s="2" t="s">
        <v>2317</v>
      </c>
      <c r="O2580" s="14">
        <v>2200</v>
      </c>
      <c r="P2580" s="14">
        <v>93.27</v>
      </c>
      <c r="Q2580" s="14">
        <v>148.06</v>
      </c>
      <c r="R2580" s="14">
        <v>44.42</v>
      </c>
      <c r="S2580" s="2" t="s">
        <v>97</v>
      </c>
      <c r="T2580" s="2">
        <v>1.01</v>
      </c>
      <c r="U2580" s="2">
        <v>61.6</v>
      </c>
      <c r="V2580" s="2">
        <v>60</v>
      </c>
      <c r="W2580" s="2" t="s">
        <v>7862</v>
      </c>
      <c r="X2580" s="2" t="s">
        <v>5405</v>
      </c>
      <c r="Y2580" s="2">
        <v>660</v>
      </c>
      <c r="Z2580" s="19" t="str">
        <f>HYPERLINK("https://ssdweb.co/ssdweb/hd/Vision360.html?d=941360402&amp;zoomslide=1&amp;z=1941360402&amp;ISCONFIRM=0","VIDEO")</f>
        <v>VIDEO</v>
      </c>
      <c r="AA2580" s="19" t="str">
        <f>HYPERLINK("https://ssdweb.co/ssdweb/CERTH/687560874.pdf","CERTI")</f>
        <v>CERTI</v>
      </c>
    </row>
    <row r="2581" spans="1:27" ht="15" x14ac:dyDescent="0.25">
      <c r="A2581" s="2">
        <v>2576</v>
      </c>
      <c r="B2581" s="39">
        <v>926440883</v>
      </c>
      <c r="C2581" s="28" t="str">
        <f>HYPERLINK("https://pld.live/RapDetail.aspx?STONELIST=926440883","DNA")</f>
        <v>DNA</v>
      </c>
      <c r="D2581" s="18" t="s">
        <v>7954</v>
      </c>
      <c r="E2581" s="18" t="s">
        <v>5128</v>
      </c>
      <c r="F2581" s="2" t="s">
        <v>7987</v>
      </c>
      <c r="G2581" s="2" t="s">
        <v>861</v>
      </c>
      <c r="H2581" s="14">
        <v>0.3</v>
      </c>
      <c r="I2581" s="2" t="s">
        <v>267</v>
      </c>
      <c r="J2581" s="2" t="s">
        <v>3942</v>
      </c>
      <c r="K2581" s="2" t="s">
        <v>5221</v>
      </c>
      <c r="L2581" s="2" t="s">
        <v>5221</v>
      </c>
      <c r="M2581" s="2" t="s">
        <v>5721</v>
      </c>
      <c r="N2581" s="2" t="s">
        <v>2317</v>
      </c>
      <c r="O2581" s="14">
        <v>2200</v>
      </c>
      <c r="P2581" s="14">
        <v>93.73</v>
      </c>
      <c r="Q2581" s="14">
        <v>137.94</v>
      </c>
      <c r="R2581" s="14">
        <v>41.38</v>
      </c>
      <c r="S2581" s="2" t="s">
        <v>3027</v>
      </c>
      <c r="T2581" s="2">
        <v>1.01</v>
      </c>
      <c r="U2581" s="2">
        <v>61.4</v>
      </c>
      <c r="V2581" s="2">
        <v>59</v>
      </c>
      <c r="W2581" s="2" t="s">
        <v>7862</v>
      </c>
      <c r="X2581" s="2" t="s">
        <v>5405</v>
      </c>
      <c r="Y2581" s="2">
        <v>660</v>
      </c>
      <c r="Z2581" s="19" t="str">
        <f>HYPERLINK("https://ssdweb.co/ssdweb/hd/Vision360.html?d=926440883&amp;zoomslide=1&amp;z=1926440883&amp;ISCONFIRM=0","VIDEO")</f>
        <v>VIDEO</v>
      </c>
      <c r="AA2581" s="19" t="str">
        <f>HYPERLINK("https://ssdweb.co/ssdweb/CERTH/674543134.pdf","CERTI")</f>
        <v>CERTI</v>
      </c>
    </row>
    <row r="2582" spans="1:27" ht="15" x14ac:dyDescent="0.25">
      <c r="A2582" s="2">
        <v>2577</v>
      </c>
      <c r="B2582" s="39">
        <v>926261285</v>
      </c>
      <c r="C2582" s="28" t="str">
        <f>HYPERLINK("https://pld.live/RapDetail.aspx?STONELIST=926261285","DNA")</f>
        <v>DNA</v>
      </c>
      <c r="D2582" s="18" t="s">
        <v>7954</v>
      </c>
      <c r="E2582" s="18" t="s">
        <v>5128</v>
      </c>
      <c r="F2582" s="2" t="s">
        <v>7987</v>
      </c>
      <c r="G2582" s="2" t="s">
        <v>861</v>
      </c>
      <c r="H2582" s="14">
        <v>0.3</v>
      </c>
      <c r="I2582" s="2" t="s">
        <v>267</v>
      </c>
      <c r="J2582" s="2" t="s">
        <v>3942</v>
      </c>
      <c r="K2582" s="2" t="s">
        <v>5221</v>
      </c>
      <c r="L2582" s="2" t="s">
        <v>5221</v>
      </c>
      <c r="M2582" s="2" t="s">
        <v>5721</v>
      </c>
      <c r="N2582" s="2" t="s">
        <v>2317</v>
      </c>
      <c r="O2582" s="14">
        <v>2200</v>
      </c>
      <c r="P2582" s="14">
        <v>93.73</v>
      </c>
      <c r="Q2582" s="14">
        <v>137.94</v>
      </c>
      <c r="R2582" s="14">
        <v>41.38</v>
      </c>
      <c r="S2582" s="2" t="s">
        <v>8048</v>
      </c>
      <c r="T2582" s="2">
        <v>1.01</v>
      </c>
      <c r="U2582" s="2">
        <v>59.2</v>
      </c>
      <c r="V2582" s="2">
        <v>61</v>
      </c>
      <c r="W2582" s="2" t="s">
        <v>7862</v>
      </c>
      <c r="X2582" s="2" t="s">
        <v>5405</v>
      </c>
      <c r="Y2582" s="2">
        <v>660</v>
      </c>
      <c r="Z2582" s="19" t="str">
        <f>HYPERLINK("https://ssdweb.co/ssdweb/hd/Vision360.html?d=926261285&amp;zoomslide=1&amp;z=1926261285&amp;ISCONFIRM=0","VIDEO")</f>
        <v>VIDEO</v>
      </c>
      <c r="AA2582" s="19" t="str">
        <f>HYPERLINK("https://ssdweb.co/ssdweb/CERTH/642447757.pdf","CERTI")</f>
        <v>CERTI</v>
      </c>
    </row>
    <row r="2583" spans="1:27" ht="15" x14ac:dyDescent="0.25">
      <c r="A2583" s="2">
        <v>2578</v>
      </c>
      <c r="B2583" s="39">
        <v>920460381</v>
      </c>
      <c r="C2583" s="28" t="str">
        <f>HYPERLINK("https://pld.live/RapDetail.aspx?STONELIST=920460381","DNA")</f>
        <v>DNA</v>
      </c>
      <c r="D2583" s="18" t="s">
        <v>7954</v>
      </c>
      <c r="E2583" s="18" t="s">
        <v>5128</v>
      </c>
      <c r="F2583" s="2" t="s">
        <v>7987</v>
      </c>
      <c r="G2583" s="2" t="s">
        <v>861</v>
      </c>
      <c r="H2583" s="14">
        <v>0.3</v>
      </c>
      <c r="I2583" s="2" t="s">
        <v>267</v>
      </c>
      <c r="J2583" s="2" t="s">
        <v>3942</v>
      </c>
      <c r="K2583" s="2" t="s">
        <v>5221</v>
      </c>
      <c r="L2583" s="2" t="s">
        <v>5221</v>
      </c>
      <c r="M2583" s="2" t="s">
        <v>5721</v>
      </c>
      <c r="N2583" s="2" t="s">
        <v>2317</v>
      </c>
      <c r="O2583" s="14">
        <v>2200</v>
      </c>
      <c r="P2583" s="14">
        <v>93.73</v>
      </c>
      <c r="Q2583" s="14">
        <v>137.94</v>
      </c>
      <c r="R2583" s="14">
        <v>41.38</v>
      </c>
      <c r="S2583" s="2" t="s">
        <v>7888</v>
      </c>
      <c r="T2583" s="2">
        <v>1.01</v>
      </c>
      <c r="U2583" s="2">
        <v>62.2</v>
      </c>
      <c r="V2583" s="2">
        <v>54</v>
      </c>
      <c r="W2583" s="2" t="s">
        <v>7862</v>
      </c>
      <c r="X2583" s="2" t="s">
        <v>5405</v>
      </c>
      <c r="Y2583" s="2">
        <v>660</v>
      </c>
      <c r="Z2583" s="19" t="str">
        <f>HYPERLINK("https://ssdweb.co/ssdweb/hd/Vision360.html?d=920460381&amp;zoomslide=1&amp;z=1920460381&amp;ISCONFIRM=0","VIDEO")</f>
        <v>VIDEO</v>
      </c>
      <c r="AA2583" s="19" t="str">
        <f>HYPERLINK("https://ssdweb.co/ssdweb/CERTH/622499839.pdf","CERTI")</f>
        <v>CERTI</v>
      </c>
    </row>
    <row r="2584" spans="1:27" ht="15" x14ac:dyDescent="0.25">
      <c r="A2584" s="2">
        <v>2579</v>
      </c>
      <c r="B2584" s="39">
        <v>926231358</v>
      </c>
      <c r="C2584" s="28" t="str">
        <f>HYPERLINK("https://pld.live/RapDetail.aspx?STONELIST=926231358","DNA")</f>
        <v>DNA</v>
      </c>
      <c r="D2584" s="18" t="s">
        <v>7954</v>
      </c>
      <c r="E2584" s="18" t="s">
        <v>5128</v>
      </c>
      <c r="F2584" s="2" t="s">
        <v>7987</v>
      </c>
      <c r="G2584" s="2" t="s">
        <v>861</v>
      </c>
      <c r="H2584" s="14">
        <v>0.3</v>
      </c>
      <c r="I2584" s="2" t="s">
        <v>267</v>
      </c>
      <c r="J2584" s="2" t="s">
        <v>3942</v>
      </c>
      <c r="K2584" s="2" t="s">
        <v>5221</v>
      </c>
      <c r="L2584" s="2" t="s">
        <v>5221</v>
      </c>
      <c r="M2584" s="2" t="s">
        <v>5721</v>
      </c>
      <c r="N2584" s="2" t="s">
        <v>2317</v>
      </c>
      <c r="O2584" s="14">
        <v>2200</v>
      </c>
      <c r="P2584" s="14">
        <v>93.73</v>
      </c>
      <c r="Q2584" s="14">
        <v>137.94</v>
      </c>
      <c r="R2584" s="14">
        <v>41.38</v>
      </c>
      <c r="S2584" s="2" t="s">
        <v>2049</v>
      </c>
      <c r="T2584" s="2">
        <v>1.01</v>
      </c>
      <c r="U2584" s="2">
        <v>62.7</v>
      </c>
      <c r="V2584" s="2">
        <v>59</v>
      </c>
      <c r="W2584" s="2" t="s">
        <v>7862</v>
      </c>
      <c r="X2584" s="2" t="s">
        <v>5405</v>
      </c>
      <c r="Y2584" s="2">
        <v>660</v>
      </c>
      <c r="Z2584" s="19" t="str">
        <f>HYPERLINK("https://ssdweb.co/ssdweb/hd/Vision360.html?d=926231358&amp;zoomslide=1&amp;z=1926231358&amp;ISCONFIRM=0","VIDEO")</f>
        <v>VIDEO</v>
      </c>
      <c r="AA2584" s="19" t="str">
        <f>HYPERLINK("https://ssdweb.co/ssdweb/CERTH/642447769.pdf","CERTI")</f>
        <v>CERTI</v>
      </c>
    </row>
    <row r="2585" spans="1:27" ht="15" x14ac:dyDescent="0.25">
      <c r="A2585" s="2">
        <v>2580</v>
      </c>
      <c r="B2585" s="39">
        <v>926201074</v>
      </c>
      <c r="C2585" s="28" t="str">
        <f>HYPERLINK("https://pld.live/RapDetail.aspx?STONELIST=926201074","DNA")</f>
        <v>DNA</v>
      </c>
      <c r="D2585" s="18" t="s">
        <v>7954</v>
      </c>
      <c r="E2585" s="18" t="s">
        <v>5128</v>
      </c>
      <c r="F2585" s="2" t="s">
        <v>7987</v>
      </c>
      <c r="G2585" s="2" t="s">
        <v>861</v>
      </c>
      <c r="H2585" s="14">
        <v>0.3</v>
      </c>
      <c r="I2585" s="2" t="s">
        <v>267</v>
      </c>
      <c r="J2585" s="2" t="s">
        <v>3942</v>
      </c>
      <c r="K2585" s="2" t="s">
        <v>5221</v>
      </c>
      <c r="L2585" s="2" t="s">
        <v>5221</v>
      </c>
      <c r="M2585" s="2" t="s">
        <v>5721</v>
      </c>
      <c r="N2585" s="2" t="s">
        <v>2317</v>
      </c>
      <c r="O2585" s="14">
        <v>2200</v>
      </c>
      <c r="P2585" s="14">
        <v>93.73</v>
      </c>
      <c r="Q2585" s="14">
        <v>137.94</v>
      </c>
      <c r="R2585" s="14">
        <v>41.38</v>
      </c>
      <c r="S2585" s="2" t="s">
        <v>1128</v>
      </c>
      <c r="T2585" s="2">
        <v>1.01</v>
      </c>
      <c r="U2585" s="2">
        <v>61.3</v>
      </c>
      <c r="V2585" s="2">
        <v>61</v>
      </c>
      <c r="W2585" s="2" t="s">
        <v>7862</v>
      </c>
      <c r="X2585" s="2" t="s">
        <v>5405</v>
      </c>
      <c r="Y2585" s="2">
        <v>660</v>
      </c>
      <c r="Z2585" s="19" t="str">
        <f>HYPERLINK("https://ssdweb.co/ssdweb/hd/Vision360.html?d=926201074&amp;zoomslide=1&amp;z=1926201074&amp;ISCONFIRM=0","VIDEO")</f>
        <v>VIDEO</v>
      </c>
      <c r="AA2585" s="19" t="str">
        <f>HYPERLINK("https://ssdweb.co/ssdweb/CERTH/636429731.pdf","CERTI")</f>
        <v>CERTI</v>
      </c>
    </row>
    <row r="2586" spans="1:27" ht="15" x14ac:dyDescent="0.25">
      <c r="A2586" s="2">
        <v>2581</v>
      </c>
      <c r="B2586" s="39">
        <v>926231297</v>
      </c>
      <c r="C2586" s="28" t="str">
        <f>HYPERLINK("https://pld.live/RapDetail.aspx?STONELIST=926231297","DNA")</f>
        <v>DNA</v>
      </c>
      <c r="D2586" s="18" t="s">
        <v>7954</v>
      </c>
      <c r="E2586" s="18" t="s">
        <v>5128</v>
      </c>
      <c r="F2586" s="2" t="s">
        <v>7987</v>
      </c>
      <c r="G2586" s="2" t="s">
        <v>861</v>
      </c>
      <c r="H2586" s="14">
        <v>0.3</v>
      </c>
      <c r="I2586" s="2" t="s">
        <v>267</v>
      </c>
      <c r="J2586" s="2" t="s">
        <v>3942</v>
      </c>
      <c r="K2586" s="2" t="s">
        <v>5221</v>
      </c>
      <c r="L2586" s="2" t="s">
        <v>5221</v>
      </c>
      <c r="M2586" s="2" t="s">
        <v>5721</v>
      </c>
      <c r="N2586" s="2" t="s">
        <v>2317</v>
      </c>
      <c r="O2586" s="14">
        <v>2200</v>
      </c>
      <c r="P2586" s="14">
        <v>93.73</v>
      </c>
      <c r="Q2586" s="14">
        <v>137.94</v>
      </c>
      <c r="R2586" s="14">
        <v>41.38</v>
      </c>
      <c r="S2586" s="2" t="s">
        <v>3171</v>
      </c>
      <c r="T2586" s="2">
        <v>1.01</v>
      </c>
      <c r="U2586" s="2">
        <v>60.8</v>
      </c>
      <c r="V2586" s="2">
        <v>59</v>
      </c>
      <c r="W2586" s="2" t="s">
        <v>7862</v>
      </c>
      <c r="X2586" s="2" t="s">
        <v>5405</v>
      </c>
      <c r="Y2586" s="2">
        <v>660</v>
      </c>
      <c r="Z2586" s="19" t="str">
        <f>HYPERLINK("https://ssdweb.co/ssdweb/hd/Vision360.html?d=926231297&amp;zoomslide=1&amp;z=1926231297&amp;ISCONFIRM=0","VIDEO")</f>
        <v>VIDEO</v>
      </c>
      <c r="AA2586" s="19" t="str">
        <f>HYPERLINK("https://ssdweb.co/ssdweb/CERTH/642447686.pdf","CERTI")</f>
        <v>CERTI</v>
      </c>
    </row>
    <row r="2587" spans="1:27" ht="15" x14ac:dyDescent="0.25">
      <c r="A2587" s="2">
        <v>2582</v>
      </c>
      <c r="B2587" s="39">
        <v>926801348</v>
      </c>
      <c r="C2587" s="28" t="str">
        <f>HYPERLINK("https://pld.live/RapDetail.aspx?STONELIST=926801348","DNA")</f>
        <v>DNA</v>
      </c>
      <c r="D2587" s="18" t="s">
        <v>7954</v>
      </c>
      <c r="E2587" s="18" t="s">
        <v>5128</v>
      </c>
      <c r="F2587" s="2" t="s">
        <v>7987</v>
      </c>
      <c r="G2587" s="2" t="s">
        <v>861</v>
      </c>
      <c r="H2587" s="14">
        <v>0.3</v>
      </c>
      <c r="I2587" s="2" t="s">
        <v>267</v>
      </c>
      <c r="J2587" s="2" t="s">
        <v>3942</v>
      </c>
      <c r="K2587" s="2" t="s">
        <v>5221</v>
      </c>
      <c r="L2587" s="2" t="s">
        <v>5221</v>
      </c>
      <c r="M2587" s="2" t="s">
        <v>5721</v>
      </c>
      <c r="N2587" s="2" t="s">
        <v>2317</v>
      </c>
      <c r="O2587" s="14">
        <v>2200</v>
      </c>
      <c r="P2587" s="14">
        <v>93.73</v>
      </c>
      <c r="Q2587" s="14">
        <v>137.94</v>
      </c>
      <c r="R2587" s="14">
        <v>41.38</v>
      </c>
      <c r="S2587" s="2" t="s">
        <v>667</v>
      </c>
      <c r="T2587" s="2">
        <v>1.01</v>
      </c>
      <c r="U2587" s="2">
        <v>60.2</v>
      </c>
      <c r="V2587" s="2">
        <v>60</v>
      </c>
      <c r="W2587" s="2" t="s">
        <v>7862</v>
      </c>
      <c r="X2587" s="2" t="s">
        <v>5405</v>
      </c>
      <c r="Y2587" s="2">
        <v>660</v>
      </c>
      <c r="Z2587" s="19" t="str">
        <f>HYPERLINK("https://ssdweb.co/ssdweb/hd/Vision360.html?d=926801348&amp;zoomslide=1&amp;z=1926801348&amp;ISCONFIRM=0","VIDEO")</f>
        <v>VIDEO</v>
      </c>
      <c r="AA2587" s="19" t="str">
        <f>HYPERLINK("https://ssdweb.co/ssdweb/CERTH/674543106.pdf","CERTI")</f>
        <v>CERTI</v>
      </c>
    </row>
    <row r="2588" spans="1:27" ht="15" x14ac:dyDescent="0.25">
      <c r="A2588" s="2">
        <v>2583</v>
      </c>
      <c r="B2588" s="39">
        <v>926941075</v>
      </c>
      <c r="C2588" s="28" t="str">
        <f>HYPERLINK("https://pld.live/RapDetail.aspx?STONELIST=926941075","DNA")</f>
        <v>DNA</v>
      </c>
      <c r="D2588" s="18" t="s">
        <v>7954</v>
      </c>
      <c r="E2588" s="18" t="s">
        <v>5128</v>
      </c>
      <c r="F2588" s="2" t="s">
        <v>7987</v>
      </c>
      <c r="G2588" s="2" t="s">
        <v>861</v>
      </c>
      <c r="H2588" s="14">
        <v>0.3</v>
      </c>
      <c r="I2588" s="2" t="s">
        <v>267</v>
      </c>
      <c r="J2588" s="2" t="s">
        <v>3942</v>
      </c>
      <c r="K2588" s="2" t="s">
        <v>5221</v>
      </c>
      <c r="L2588" s="2" t="s">
        <v>5221</v>
      </c>
      <c r="M2588" s="2" t="s">
        <v>5721</v>
      </c>
      <c r="N2588" s="2" t="s">
        <v>2317</v>
      </c>
      <c r="O2588" s="14">
        <v>2200</v>
      </c>
      <c r="P2588" s="14">
        <v>93.73</v>
      </c>
      <c r="Q2588" s="14">
        <v>137.94</v>
      </c>
      <c r="R2588" s="14">
        <v>41.38</v>
      </c>
      <c r="S2588" s="2" t="s">
        <v>1008</v>
      </c>
      <c r="T2588" s="2">
        <v>1.01</v>
      </c>
      <c r="U2588" s="2">
        <v>62.5</v>
      </c>
      <c r="V2588" s="2">
        <v>60</v>
      </c>
      <c r="W2588" s="2" t="s">
        <v>7862</v>
      </c>
      <c r="X2588" s="2" t="s">
        <v>5405</v>
      </c>
      <c r="Y2588" s="2">
        <v>660</v>
      </c>
      <c r="Z2588" s="19" t="str">
        <f>HYPERLINK("https://ssdweb.co/ssdweb/hd/Vision360.html?d=926941075&amp;zoomslide=1&amp;z=1926941075&amp;ISCONFIRM=0","VIDEO")</f>
        <v>VIDEO</v>
      </c>
      <c r="AA2588" s="19" t="str">
        <f>HYPERLINK("https://ssdweb.co/ssdweb/CERTH/674543050.pdf","CERTI")</f>
        <v>CERTI</v>
      </c>
    </row>
    <row r="2589" spans="1:27" ht="15" x14ac:dyDescent="0.25">
      <c r="A2589" s="2">
        <v>2584</v>
      </c>
      <c r="B2589" s="39">
        <v>926231106</v>
      </c>
      <c r="C2589" s="28" t="str">
        <f>HYPERLINK("https://pld.live/RapDetail.aspx?STONELIST=926231106","DNA")</f>
        <v>DNA</v>
      </c>
      <c r="D2589" s="18" t="s">
        <v>7954</v>
      </c>
      <c r="E2589" s="18" t="s">
        <v>5128</v>
      </c>
      <c r="F2589" s="2" t="s">
        <v>7987</v>
      </c>
      <c r="G2589" s="2" t="s">
        <v>861</v>
      </c>
      <c r="H2589" s="14">
        <v>0.3</v>
      </c>
      <c r="I2589" s="2" t="s">
        <v>267</v>
      </c>
      <c r="J2589" s="2" t="s">
        <v>3942</v>
      </c>
      <c r="K2589" s="2" t="s">
        <v>5221</v>
      </c>
      <c r="L2589" s="2" t="s">
        <v>5221</v>
      </c>
      <c r="M2589" s="2" t="s">
        <v>5721</v>
      </c>
      <c r="N2589" s="2" t="s">
        <v>2317</v>
      </c>
      <c r="O2589" s="14">
        <v>2200</v>
      </c>
      <c r="P2589" s="14">
        <v>93.73</v>
      </c>
      <c r="Q2589" s="14">
        <v>137.94</v>
      </c>
      <c r="R2589" s="14">
        <v>41.38</v>
      </c>
      <c r="S2589" s="2" t="s">
        <v>6645</v>
      </c>
      <c r="T2589" s="2">
        <v>1</v>
      </c>
      <c r="U2589" s="2">
        <v>61.2</v>
      </c>
      <c r="V2589" s="2">
        <v>62</v>
      </c>
      <c r="W2589" s="2" t="s">
        <v>7862</v>
      </c>
      <c r="X2589" s="2" t="s">
        <v>5405</v>
      </c>
      <c r="Y2589" s="2">
        <v>660</v>
      </c>
      <c r="Z2589" s="19" t="str">
        <f>HYPERLINK("https://ssdweb.co/ssdweb/hd/Vision360.html?d=926231106&amp;zoomslide=1&amp;z=1926231106&amp;ISCONFIRM=0","VIDEO")</f>
        <v>VIDEO</v>
      </c>
      <c r="AA2589" s="19" t="str">
        <f>HYPERLINK("https://ssdweb.co/ssdweb/CERTH/642447701.pdf","CERTI")</f>
        <v>CERTI</v>
      </c>
    </row>
    <row r="2590" spans="1:27" ht="15" x14ac:dyDescent="0.25">
      <c r="A2590" s="2">
        <v>2585</v>
      </c>
      <c r="B2590" s="39">
        <v>926301059</v>
      </c>
      <c r="C2590" s="28" t="str">
        <f>HYPERLINK("https://pld.live/RapDetail.aspx?STONELIST=926301059","DNA")</f>
        <v>DNA</v>
      </c>
      <c r="D2590" s="18" t="s">
        <v>7954</v>
      </c>
      <c r="E2590" s="18" t="s">
        <v>5128</v>
      </c>
      <c r="F2590" s="2" t="s">
        <v>7987</v>
      </c>
      <c r="G2590" s="2" t="s">
        <v>861</v>
      </c>
      <c r="H2590" s="14">
        <v>0.3</v>
      </c>
      <c r="I2590" s="2" t="s">
        <v>267</v>
      </c>
      <c r="J2590" s="2" t="s">
        <v>3942</v>
      </c>
      <c r="K2590" s="2" t="s">
        <v>5221</v>
      </c>
      <c r="L2590" s="2" t="s">
        <v>5221</v>
      </c>
      <c r="M2590" s="2" t="s">
        <v>5721</v>
      </c>
      <c r="N2590" s="2" t="s">
        <v>2317</v>
      </c>
      <c r="O2590" s="14">
        <v>2200</v>
      </c>
      <c r="P2590" s="14">
        <v>93.73</v>
      </c>
      <c r="Q2590" s="14">
        <v>137.94</v>
      </c>
      <c r="R2590" s="14">
        <v>41.38</v>
      </c>
      <c r="S2590" s="2" t="s">
        <v>6818</v>
      </c>
      <c r="T2590" s="2">
        <v>1.01</v>
      </c>
      <c r="U2590" s="2">
        <v>63.1</v>
      </c>
      <c r="V2590" s="2">
        <v>55</v>
      </c>
      <c r="W2590" s="2" t="s">
        <v>7862</v>
      </c>
      <c r="X2590" s="2" t="s">
        <v>5405</v>
      </c>
      <c r="Y2590" s="2">
        <v>660</v>
      </c>
      <c r="Z2590" s="19" t="str">
        <f>HYPERLINK("https://ssdweb.co/ssdweb/hd/Vision360.html?d=926301059&amp;zoomslide=1&amp;z=1926301059&amp;ISCONFIRM=0","VIDEO")</f>
        <v>VIDEO</v>
      </c>
      <c r="AA2590" s="19" t="str">
        <f>HYPERLINK("https://ssdweb.co/ssdweb/CERTH/642447861.pdf","CERTI")</f>
        <v>CERTI</v>
      </c>
    </row>
    <row r="2591" spans="1:27" ht="15" x14ac:dyDescent="0.25">
      <c r="A2591" s="2">
        <v>2586</v>
      </c>
      <c r="B2591" s="39">
        <v>926320994</v>
      </c>
      <c r="C2591" s="28" t="str">
        <f>HYPERLINK("https://pld.live/RapDetail.aspx?STONELIST=926320994","DNA")</f>
        <v>DNA</v>
      </c>
      <c r="D2591" s="18" t="s">
        <v>7954</v>
      </c>
      <c r="E2591" s="18" t="s">
        <v>5128</v>
      </c>
      <c r="F2591" s="2" t="s">
        <v>5597</v>
      </c>
      <c r="G2591" s="2" t="s">
        <v>861</v>
      </c>
      <c r="H2591" s="14">
        <v>0.3</v>
      </c>
      <c r="I2591" s="2" t="s">
        <v>267</v>
      </c>
      <c r="J2591" s="2" t="s">
        <v>3942</v>
      </c>
      <c r="K2591" s="2" t="s">
        <v>5221</v>
      </c>
      <c r="L2591" s="2" t="s">
        <v>5221</v>
      </c>
      <c r="M2591" s="2" t="s">
        <v>5721</v>
      </c>
      <c r="N2591" s="2" t="s">
        <v>2317</v>
      </c>
      <c r="O2591" s="14">
        <v>2200</v>
      </c>
      <c r="P2591" s="14">
        <v>86.23</v>
      </c>
      <c r="Q2591" s="14">
        <v>302.94</v>
      </c>
      <c r="R2591" s="14">
        <v>90.88</v>
      </c>
      <c r="S2591" s="2" t="s">
        <v>2031</v>
      </c>
      <c r="T2591" s="2">
        <v>1.01</v>
      </c>
      <c r="U2591" s="2">
        <v>62</v>
      </c>
      <c r="V2591" s="2">
        <v>59</v>
      </c>
      <c r="W2591" s="2" t="s">
        <v>7862</v>
      </c>
      <c r="X2591" s="2" t="s">
        <v>5405</v>
      </c>
      <c r="Y2591" s="2">
        <v>660</v>
      </c>
      <c r="Z2591" s="19" t="str">
        <f>HYPERLINK("https://ssdweb.co/ssdweb/hd/Vision360.html?d=926320994&amp;zoomslide=1&amp;z=1926320994&amp;ISCONFIRM=0","VIDEO")</f>
        <v>VIDEO</v>
      </c>
      <c r="AA2591" s="19" t="str">
        <f>HYPERLINK("https://ssdweb.co/ssdweb/CERTH/2494866944.pdf","CERTI")</f>
        <v>CERTI</v>
      </c>
    </row>
    <row r="2592" spans="1:27" ht="15" x14ac:dyDescent="0.25">
      <c r="A2592" s="2">
        <v>2587</v>
      </c>
      <c r="B2592" s="39">
        <v>926430814</v>
      </c>
      <c r="C2592" s="28" t="str">
        <f>HYPERLINK("https://pld.live/RapDetail.aspx?STONELIST=926430814","DNA")</f>
        <v>DNA</v>
      </c>
      <c r="D2592" s="18" t="s">
        <v>7954</v>
      </c>
      <c r="E2592" s="18" t="s">
        <v>5128</v>
      </c>
      <c r="F2592" s="2" t="s">
        <v>7987</v>
      </c>
      <c r="G2592" s="2" t="s">
        <v>861</v>
      </c>
      <c r="H2592" s="14">
        <v>0.3</v>
      </c>
      <c r="I2592" s="2" t="s">
        <v>267</v>
      </c>
      <c r="J2592" s="2" t="s">
        <v>3942</v>
      </c>
      <c r="K2592" s="2" t="s">
        <v>5221</v>
      </c>
      <c r="L2592" s="2" t="s">
        <v>5221</v>
      </c>
      <c r="M2592" s="2" t="s">
        <v>5721</v>
      </c>
      <c r="N2592" s="2" t="s">
        <v>2317</v>
      </c>
      <c r="O2592" s="14">
        <v>2200</v>
      </c>
      <c r="P2592" s="14">
        <v>93.73</v>
      </c>
      <c r="Q2592" s="14">
        <v>137.94</v>
      </c>
      <c r="R2592" s="14">
        <v>41.38</v>
      </c>
      <c r="S2592" s="2" t="s">
        <v>4803</v>
      </c>
      <c r="T2592" s="2">
        <v>1.01</v>
      </c>
      <c r="U2592" s="2">
        <v>61.3</v>
      </c>
      <c r="V2592" s="2">
        <v>61</v>
      </c>
      <c r="W2592" s="2" t="s">
        <v>7862</v>
      </c>
      <c r="X2592" s="2" t="s">
        <v>5405</v>
      </c>
      <c r="Y2592" s="2">
        <v>660</v>
      </c>
      <c r="Z2592" s="19" t="str">
        <f>HYPERLINK("https://ssdweb.co/ssdweb/hd/Vision360.html?d=926430814&amp;zoomslide=1&amp;z=1926430814&amp;ISCONFIRM=0","VIDEO")</f>
        <v>VIDEO</v>
      </c>
      <c r="AA2592" s="19" t="str">
        <f>HYPERLINK("https://ssdweb.co/ssdweb/CERTH/674543101.pdf","CERTI")</f>
        <v>CERTI</v>
      </c>
    </row>
    <row r="2593" spans="1:27" ht="15" x14ac:dyDescent="0.25">
      <c r="A2593" s="2">
        <v>2588</v>
      </c>
      <c r="B2593" s="39">
        <v>926141426</v>
      </c>
      <c r="C2593" s="28" t="str">
        <f>HYPERLINK("https://pld.live/RapDetail.aspx?STONELIST=926141426","DNA")</f>
        <v>DNA</v>
      </c>
      <c r="D2593" s="18" t="s">
        <v>7954</v>
      </c>
      <c r="E2593" s="18" t="s">
        <v>5128</v>
      </c>
      <c r="F2593" s="2" t="s">
        <v>7987</v>
      </c>
      <c r="G2593" s="2" t="s">
        <v>861</v>
      </c>
      <c r="H2593" s="14">
        <v>0.3</v>
      </c>
      <c r="I2593" s="2" t="s">
        <v>267</v>
      </c>
      <c r="J2593" s="2" t="s">
        <v>3942</v>
      </c>
      <c r="K2593" s="2" t="s">
        <v>5221</v>
      </c>
      <c r="L2593" s="2" t="s">
        <v>5221</v>
      </c>
      <c r="M2593" s="2" t="s">
        <v>5721</v>
      </c>
      <c r="N2593" s="2" t="s">
        <v>2317</v>
      </c>
      <c r="O2593" s="14">
        <v>2200</v>
      </c>
      <c r="P2593" s="14">
        <v>93.73</v>
      </c>
      <c r="Q2593" s="14">
        <v>137.94</v>
      </c>
      <c r="R2593" s="14">
        <v>41.38</v>
      </c>
      <c r="S2593" s="2" t="s">
        <v>7548</v>
      </c>
      <c r="T2593" s="2">
        <v>1.01</v>
      </c>
      <c r="U2593" s="2">
        <v>62.6</v>
      </c>
      <c r="V2593" s="2">
        <v>60</v>
      </c>
      <c r="W2593" s="2" t="s">
        <v>7862</v>
      </c>
      <c r="X2593" s="2" t="s">
        <v>5405</v>
      </c>
      <c r="Y2593" s="2">
        <v>660</v>
      </c>
      <c r="Z2593" s="19" t="str">
        <f>HYPERLINK("https://ssdweb.co/ssdweb/hd/Vision360.html?d=926141426&amp;zoomslide=1&amp;z=1926141426&amp;ISCONFIRM=0","VIDEO")</f>
        <v>VIDEO</v>
      </c>
      <c r="AA2593" s="19" t="str">
        <f>HYPERLINK("https://ssdweb.co/ssdweb/CERTH/635427142.pdf","CERTI")</f>
        <v>CERTI</v>
      </c>
    </row>
    <row r="2594" spans="1:27" ht="15" x14ac:dyDescent="0.25">
      <c r="A2594" s="2">
        <v>2589</v>
      </c>
      <c r="B2594" s="39">
        <v>926141410</v>
      </c>
      <c r="C2594" s="28" t="str">
        <f>HYPERLINK("https://pld.live/RapDetail.aspx?STONELIST=926141410","DNA")</f>
        <v>DNA</v>
      </c>
      <c r="D2594" s="18" t="s">
        <v>7954</v>
      </c>
      <c r="E2594" s="18" t="s">
        <v>5128</v>
      </c>
      <c r="F2594" s="2" t="s">
        <v>7987</v>
      </c>
      <c r="G2594" s="2" t="s">
        <v>861</v>
      </c>
      <c r="H2594" s="14">
        <v>0.3</v>
      </c>
      <c r="I2594" s="2" t="s">
        <v>267</v>
      </c>
      <c r="J2594" s="2" t="s">
        <v>3942</v>
      </c>
      <c r="K2594" s="2" t="s">
        <v>5221</v>
      </c>
      <c r="L2594" s="2" t="s">
        <v>5221</v>
      </c>
      <c r="M2594" s="2" t="s">
        <v>5721</v>
      </c>
      <c r="N2594" s="2" t="s">
        <v>2317</v>
      </c>
      <c r="O2594" s="14">
        <v>2200</v>
      </c>
      <c r="P2594" s="14">
        <v>93.73</v>
      </c>
      <c r="Q2594" s="14">
        <v>137.94</v>
      </c>
      <c r="R2594" s="14">
        <v>41.38</v>
      </c>
      <c r="S2594" s="2" t="s">
        <v>1883</v>
      </c>
      <c r="T2594" s="2">
        <v>1.01</v>
      </c>
      <c r="U2594" s="2">
        <v>60</v>
      </c>
      <c r="V2594" s="2">
        <v>61</v>
      </c>
      <c r="W2594" s="2" t="s">
        <v>7862</v>
      </c>
      <c r="X2594" s="2" t="s">
        <v>5405</v>
      </c>
      <c r="Y2594" s="2">
        <v>660</v>
      </c>
      <c r="Z2594" s="19" t="str">
        <f>HYPERLINK("https://ssdweb.co/ssdweb/hd/Vision360.html?d=926141410&amp;zoomslide=1&amp;z=1926141410&amp;ISCONFIRM=0","VIDEO")</f>
        <v>VIDEO</v>
      </c>
      <c r="AA2594" s="19" t="str">
        <f>HYPERLINK("https://ssdweb.co/ssdweb/CERTH/635427094.pdf","CERTI")</f>
        <v>CERTI</v>
      </c>
    </row>
    <row r="2595" spans="1:27" ht="15" x14ac:dyDescent="0.25">
      <c r="A2595" s="2">
        <v>2590</v>
      </c>
      <c r="B2595" s="39">
        <v>926191083</v>
      </c>
      <c r="C2595" s="28" t="str">
        <f>HYPERLINK("https://pld.live/RapDetail.aspx?STONELIST=926191083","DNA")</f>
        <v>DNA</v>
      </c>
      <c r="D2595" s="18" t="s">
        <v>7954</v>
      </c>
      <c r="E2595" s="18" t="s">
        <v>5128</v>
      </c>
      <c r="F2595" s="2" t="s">
        <v>7987</v>
      </c>
      <c r="G2595" s="2" t="s">
        <v>861</v>
      </c>
      <c r="H2595" s="14">
        <v>0.3</v>
      </c>
      <c r="I2595" s="2" t="s">
        <v>267</v>
      </c>
      <c r="J2595" s="2" t="s">
        <v>3942</v>
      </c>
      <c r="K2595" s="2" t="s">
        <v>5221</v>
      </c>
      <c r="L2595" s="2" t="s">
        <v>5221</v>
      </c>
      <c r="M2595" s="2" t="s">
        <v>5721</v>
      </c>
      <c r="N2595" s="2" t="s">
        <v>2317</v>
      </c>
      <c r="O2595" s="14">
        <v>2200</v>
      </c>
      <c r="P2595" s="14">
        <v>93.73</v>
      </c>
      <c r="Q2595" s="14">
        <v>137.94</v>
      </c>
      <c r="R2595" s="14">
        <v>41.38</v>
      </c>
      <c r="S2595" s="2" t="s">
        <v>4018</v>
      </c>
      <c r="T2595" s="2">
        <v>1.01</v>
      </c>
      <c r="U2595" s="2">
        <v>62.6</v>
      </c>
      <c r="V2595" s="2">
        <v>60</v>
      </c>
      <c r="W2595" s="2" t="s">
        <v>7862</v>
      </c>
      <c r="X2595" s="2" t="s">
        <v>5405</v>
      </c>
      <c r="Y2595" s="2">
        <v>660</v>
      </c>
      <c r="Z2595" s="19" t="str">
        <f>HYPERLINK("https://ssdweb.co/ssdweb/hd/Vision360.html?d=926191083&amp;zoomslide=1&amp;z=1926191083&amp;ISCONFIRM=0","VIDEO")</f>
        <v>VIDEO</v>
      </c>
      <c r="AA2595" s="19" t="str">
        <f>HYPERLINK("https://ssdweb.co/ssdweb/CERTH/637467310.pdf","CERTI")</f>
        <v>CERTI</v>
      </c>
    </row>
    <row r="2596" spans="1:27" ht="15" x14ac:dyDescent="0.25">
      <c r="A2596" s="2">
        <v>2591</v>
      </c>
      <c r="B2596" s="39">
        <v>926191096</v>
      </c>
      <c r="C2596" s="28" t="str">
        <f>HYPERLINK("https://pld.live/RapDetail.aspx?STONELIST=926191096","DNA")</f>
        <v>DNA</v>
      </c>
      <c r="D2596" s="18" t="s">
        <v>7954</v>
      </c>
      <c r="E2596" s="18" t="s">
        <v>5128</v>
      </c>
      <c r="F2596" s="2" t="s">
        <v>7987</v>
      </c>
      <c r="G2596" s="2" t="s">
        <v>861</v>
      </c>
      <c r="H2596" s="14">
        <v>0.3</v>
      </c>
      <c r="I2596" s="2" t="s">
        <v>267</v>
      </c>
      <c r="J2596" s="2" t="s">
        <v>3942</v>
      </c>
      <c r="K2596" s="2" t="s">
        <v>5221</v>
      </c>
      <c r="L2596" s="2" t="s">
        <v>5221</v>
      </c>
      <c r="M2596" s="2" t="s">
        <v>5721</v>
      </c>
      <c r="N2596" s="2" t="s">
        <v>2317</v>
      </c>
      <c r="O2596" s="14">
        <v>2200</v>
      </c>
      <c r="P2596" s="14">
        <v>93.73</v>
      </c>
      <c r="Q2596" s="14">
        <v>137.94</v>
      </c>
      <c r="R2596" s="14">
        <v>41.38</v>
      </c>
      <c r="S2596" s="2" t="s">
        <v>2527</v>
      </c>
      <c r="T2596" s="2">
        <v>1.01</v>
      </c>
      <c r="U2596" s="2">
        <v>62.3</v>
      </c>
      <c r="V2596" s="2">
        <v>59</v>
      </c>
      <c r="W2596" s="2" t="s">
        <v>7862</v>
      </c>
      <c r="X2596" s="2" t="s">
        <v>5405</v>
      </c>
      <c r="Y2596" s="2">
        <v>660</v>
      </c>
      <c r="Z2596" s="19" t="str">
        <f>HYPERLINK("https://ssdweb.co/ssdweb/hd/Vision360.html?d=926191096&amp;zoomslide=1&amp;z=1926191096&amp;ISCONFIRM=0","VIDEO")</f>
        <v>VIDEO</v>
      </c>
      <c r="AA2596" s="19" t="str">
        <f>HYPERLINK("https://ssdweb.co/ssdweb/CERTH/637467217.pdf","CERTI")</f>
        <v>CERTI</v>
      </c>
    </row>
    <row r="2597" spans="1:27" ht="15" x14ac:dyDescent="0.25">
      <c r="A2597" s="2">
        <v>2592</v>
      </c>
      <c r="B2597" s="39">
        <v>926230975</v>
      </c>
      <c r="C2597" s="28" t="str">
        <f>HYPERLINK("https://pld.live/RapDetail.aspx?STONELIST=926230975","DNA")</f>
        <v>DNA</v>
      </c>
      <c r="D2597" s="18" t="s">
        <v>7954</v>
      </c>
      <c r="E2597" s="18" t="s">
        <v>5128</v>
      </c>
      <c r="F2597" s="2" t="s">
        <v>7987</v>
      </c>
      <c r="G2597" s="2" t="s">
        <v>861</v>
      </c>
      <c r="H2597" s="14">
        <v>0.3</v>
      </c>
      <c r="I2597" s="2" t="s">
        <v>267</v>
      </c>
      <c r="J2597" s="2" t="s">
        <v>3942</v>
      </c>
      <c r="K2597" s="2" t="s">
        <v>5221</v>
      </c>
      <c r="L2597" s="2" t="s">
        <v>5721</v>
      </c>
      <c r="M2597" s="2" t="s">
        <v>5221</v>
      </c>
      <c r="N2597" s="2" t="s">
        <v>2317</v>
      </c>
      <c r="O2597" s="14">
        <v>2200</v>
      </c>
      <c r="P2597" s="14">
        <v>93.73</v>
      </c>
      <c r="Q2597" s="14">
        <v>137.94</v>
      </c>
      <c r="R2597" s="14">
        <v>41.38</v>
      </c>
      <c r="S2597" s="2" t="s">
        <v>3608</v>
      </c>
      <c r="T2597" s="2">
        <v>1.01</v>
      </c>
      <c r="U2597" s="2">
        <v>60.5</v>
      </c>
      <c r="V2597" s="2">
        <v>60</v>
      </c>
      <c r="W2597" s="2" t="s">
        <v>7862</v>
      </c>
      <c r="X2597" s="2" t="s">
        <v>5405</v>
      </c>
      <c r="Y2597" s="2">
        <v>660</v>
      </c>
      <c r="Z2597" s="19" t="str">
        <f>HYPERLINK("https://ssdweb.co/ssdweb/hd/Vision360.html?d=926230975&amp;zoomslide=1&amp;z=1926230975&amp;ISCONFIRM=0","VIDEO")</f>
        <v>VIDEO</v>
      </c>
      <c r="AA2597" s="19" t="str">
        <f>HYPERLINK("https://ssdweb.co/ssdweb/CERTH/639413234.pdf","CERTI")</f>
        <v>CERTI</v>
      </c>
    </row>
    <row r="2598" spans="1:27" ht="15" x14ac:dyDescent="0.25">
      <c r="A2598" s="2">
        <v>2593</v>
      </c>
      <c r="B2598" s="39">
        <v>821127890</v>
      </c>
      <c r="C2598" s="28" t="str">
        <f>HYPERLINK("https://pld.live/RapDetail.aspx?STONELIST=821127890","DNA")</f>
        <v>DNA</v>
      </c>
      <c r="D2598" s="18" t="s">
        <v>7954</v>
      </c>
      <c r="E2598" s="18" t="s">
        <v>5128</v>
      </c>
      <c r="F2598" s="2" t="s">
        <v>7987</v>
      </c>
      <c r="G2598" s="2" t="s">
        <v>861</v>
      </c>
      <c r="H2598" s="14">
        <v>0.3</v>
      </c>
      <c r="I2598" s="2" t="s">
        <v>267</v>
      </c>
      <c r="J2598" s="2" t="s">
        <v>3942</v>
      </c>
      <c r="K2598" s="2" t="s">
        <v>5221</v>
      </c>
      <c r="L2598" s="2" t="s">
        <v>5721</v>
      </c>
      <c r="M2598" s="2" t="s">
        <v>5221</v>
      </c>
      <c r="N2598" s="2" t="s">
        <v>2317</v>
      </c>
      <c r="O2598" s="14">
        <v>2200</v>
      </c>
      <c r="P2598" s="14">
        <v>93.73</v>
      </c>
      <c r="Q2598" s="14">
        <v>137.94</v>
      </c>
      <c r="R2598" s="14">
        <v>41.38</v>
      </c>
      <c r="S2598" s="2" t="s">
        <v>4590</v>
      </c>
      <c r="T2598" s="2">
        <v>1.01</v>
      </c>
      <c r="U2598" s="2">
        <v>62.9</v>
      </c>
      <c r="V2598" s="2">
        <v>59</v>
      </c>
      <c r="W2598" s="2" t="s">
        <v>7862</v>
      </c>
      <c r="X2598" s="2" t="s">
        <v>5405</v>
      </c>
      <c r="Y2598" s="2">
        <v>660</v>
      </c>
      <c r="Z2598" s="19" t="str">
        <f>HYPERLINK("https://ssdweb.co/ssdweb/hd/Vision360.html?d=821127890&amp;zoomslide=1&amp;z=1821127890&amp;ISCONFIRM=0","VIDEO")</f>
        <v>VIDEO</v>
      </c>
      <c r="AA2598" s="19" t="str">
        <f>HYPERLINK("https://ssdweb.co/ssdweb/CERTH/634417107.pdf","CERTI")</f>
        <v>CERTI</v>
      </c>
    </row>
    <row r="2599" spans="1:27" ht="15" x14ac:dyDescent="0.25">
      <c r="A2599" s="2">
        <v>2594</v>
      </c>
      <c r="B2599" s="39">
        <v>926800921</v>
      </c>
      <c r="C2599" s="28" t="str">
        <f>HYPERLINK("https://pld.live/RapDetail.aspx?STONELIST=926800921","DNA")</f>
        <v>DNA</v>
      </c>
      <c r="D2599" s="18" t="s">
        <v>7954</v>
      </c>
      <c r="E2599" s="18" t="s">
        <v>5128</v>
      </c>
      <c r="F2599" s="2" t="s">
        <v>7987</v>
      </c>
      <c r="G2599" s="2" t="s">
        <v>861</v>
      </c>
      <c r="H2599" s="14">
        <v>0.3</v>
      </c>
      <c r="I2599" s="2" t="s">
        <v>267</v>
      </c>
      <c r="J2599" s="2" t="s">
        <v>3942</v>
      </c>
      <c r="K2599" s="2" t="s">
        <v>5221</v>
      </c>
      <c r="L2599" s="2" t="s">
        <v>5721</v>
      </c>
      <c r="M2599" s="2" t="s">
        <v>5221</v>
      </c>
      <c r="N2599" s="2" t="s">
        <v>2317</v>
      </c>
      <c r="O2599" s="14">
        <v>2200</v>
      </c>
      <c r="P2599" s="14">
        <v>93.73</v>
      </c>
      <c r="Q2599" s="14">
        <v>137.94</v>
      </c>
      <c r="R2599" s="14">
        <v>41.38</v>
      </c>
      <c r="S2599" s="2" t="s">
        <v>1405</v>
      </c>
      <c r="T2599" s="2">
        <v>1.01</v>
      </c>
      <c r="U2599" s="2">
        <v>63</v>
      </c>
      <c r="V2599" s="2">
        <v>55</v>
      </c>
      <c r="W2599" s="2" t="s">
        <v>7862</v>
      </c>
      <c r="X2599" s="2" t="s">
        <v>5405</v>
      </c>
      <c r="Y2599" s="2">
        <v>660</v>
      </c>
      <c r="Z2599" s="19" t="str">
        <f>HYPERLINK("https://ssdweb.co/ssdweb/hd/Vision360.html?d=926800921&amp;zoomslide=1&amp;z=1926800921&amp;ISCONFIRM=0","VIDEO")</f>
        <v>VIDEO</v>
      </c>
      <c r="AA2599" s="19" t="str">
        <f>HYPERLINK("https://ssdweb.co/ssdweb/CERTH/681569595.pdf","CERTI")</f>
        <v>CERTI</v>
      </c>
    </row>
    <row r="2600" spans="1:27" ht="15" x14ac:dyDescent="0.25">
      <c r="A2600" s="2">
        <v>2595</v>
      </c>
      <c r="B2600" s="39">
        <v>926800846</v>
      </c>
      <c r="C2600" s="28" t="str">
        <f>HYPERLINK("https://pld.live/RapDetail.aspx?STONELIST=926800846","DNA")</f>
        <v>DNA</v>
      </c>
      <c r="D2600" s="18" t="s">
        <v>7954</v>
      </c>
      <c r="E2600" s="18" t="s">
        <v>5128</v>
      </c>
      <c r="F2600" s="2" t="s">
        <v>7987</v>
      </c>
      <c r="G2600" s="2" t="s">
        <v>861</v>
      </c>
      <c r="H2600" s="14">
        <v>0.3</v>
      </c>
      <c r="I2600" s="2" t="s">
        <v>267</v>
      </c>
      <c r="J2600" s="2" t="s">
        <v>3942</v>
      </c>
      <c r="K2600" s="2" t="s">
        <v>5221</v>
      </c>
      <c r="L2600" s="2" t="s">
        <v>5721</v>
      </c>
      <c r="M2600" s="2" t="s">
        <v>5221</v>
      </c>
      <c r="N2600" s="2" t="s">
        <v>2317</v>
      </c>
      <c r="O2600" s="14">
        <v>2200</v>
      </c>
      <c r="P2600" s="14">
        <v>93.73</v>
      </c>
      <c r="Q2600" s="14">
        <v>137.94</v>
      </c>
      <c r="R2600" s="14">
        <v>41.38</v>
      </c>
      <c r="S2600" s="2" t="s">
        <v>2872</v>
      </c>
      <c r="T2600" s="2">
        <v>1.01</v>
      </c>
      <c r="U2600" s="2">
        <v>59.7</v>
      </c>
      <c r="V2600" s="2">
        <v>61</v>
      </c>
      <c r="W2600" s="2" t="s">
        <v>7862</v>
      </c>
      <c r="X2600" s="2" t="s">
        <v>5405</v>
      </c>
      <c r="Y2600" s="2">
        <v>660</v>
      </c>
      <c r="Z2600" s="19" t="str">
        <f>HYPERLINK("https://ssdweb.co/ssdweb/hd/Vision360.html?d=926800846&amp;zoomslide=1&amp;z=1926800846&amp;ISCONFIRM=0","VIDEO")</f>
        <v>VIDEO</v>
      </c>
      <c r="AA2600" s="19" t="str">
        <f>HYPERLINK("https://ssdweb.co/ssdweb/CERTH/681569592.pdf","CERTI")</f>
        <v>CERTI</v>
      </c>
    </row>
    <row r="2601" spans="1:27" ht="15" x14ac:dyDescent="0.25">
      <c r="A2601" s="2">
        <v>2596</v>
      </c>
      <c r="B2601" s="39">
        <v>926180990</v>
      </c>
      <c r="C2601" s="28" t="str">
        <f>HYPERLINK("https://pld.live/RapDetail.aspx?STONELIST=926180990","DNA")</f>
        <v>DNA</v>
      </c>
      <c r="D2601" s="18" t="s">
        <v>7954</v>
      </c>
      <c r="E2601" s="18" t="s">
        <v>5128</v>
      </c>
      <c r="F2601" s="2" t="s">
        <v>7987</v>
      </c>
      <c r="G2601" s="2" t="s">
        <v>861</v>
      </c>
      <c r="H2601" s="14">
        <v>0.3</v>
      </c>
      <c r="I2601" s="2" t="s">
        <v>267</v>
      </c>
      <c r="J2601" s="2" t="s">
        <v>3942</v>
      </c>
      <c r="K2601" s="2" t="s">
        <v>5221</v>
      </c>
      <c r="L2601" s="2" t="s">
        <v>5721</v>
      </c>
      <c r="M2601" s="2" t="s">
        <v>5221</v>
      </c>
      <c r="N2601" s="2" t="s">
        <v>2317</v>
      </c>
      <c r="O2601" s="14">
        <v>2200</v>
      </c>
      <c r="P2601" s="14">
        <v>93.73</v>
      </c>
      <c r="Q2601" s="14">
        <v>137.94</v>
      </c>
      <c r="R2601" s="14">
        <v>41.38</v>
      </c>
      <c r="S2601" s="2" t="s">
        <v>5872</v>
      </c>
      <c r="T2601" s="2">
        <v>1.01</v>
      </c>
      <c r="U2601" s="2">
        <v>59.5</v>
      </c>
      <c r="V2601" s="2">
        <v>61</v>
      </c>
      <c r="W2601" s="2" t="s">
        <v>7862</v>
      </c>
      <c r="X2601" s="2" t="s">
        <v>5405</v>
      </c>
      <c r="Y2601" s="2">
        <v>660</v>
      </c>
      <c r="Z2601" s="19" t="str">
        <f>HYPERLINK("https://ssdweb.co/ssdweb/hd/Vision360.html?d=926180990&amp;zoomslide=1&amp;z=1926180990&amp;ISCONFIRM=0","VIDEO")</f>
        <v>VIDEO</v>
      </c>
      <c r="AA2601" s="19" t="str">
        <f>HYPERLINK("https://ssdweb.co/ssdweb/CERTH/635427034.pdf","CERTI")</f>
        <v>CERTI</v>
      </c>
    </row>
    <row r="2602" spans="1:27" ht="15" x14ac:dyDescent="0.25">
      <c r="A2602" s="2">
        <v>2597</v>
      </c>
      <c r="B2602" s="39">
        <v>821127942</v>
      </c>
      <c r="C2602" s="28" t="str">
        <f>HYPERLINK("https://pld.live/RapDetail.aspx?STONELIST=821127942","DNA")</f>
        <v>DNA</v>
      </c>
      <c r="D2602" s="18" t="s">
        <v>7954</v>
      </c>
      <c r="E2602" s="18" t="s">
        <v>5128</v>
      </c>
      <c r="F2602" s="2" t="s">
        <v>7987</v>
      </c>
      <c r="G2602" s="2" t="s">
        <v>861</v>
      </c>
      <c r="H2602" s="14">
        <v>0.3</v>
      </c>
      <c r="I2602" s="2" t="s">
        <v>267</v>
      </c>
      <c r="J2602" s="2" t="s">
        <v>3942</v>
      </c>
      <c r="K2602" s="2" t="s">
        <v>5221</v>
      </c>
      <c r="L2602" s="2" t="s">
        <v>5721</v>
      </c>
      <c r="M2602" s="2" t="s">
        <v>5721</v>
      </c>
      <c r="N2602" s="2" t="s">
        <v>2317</v>
      </c>
      <c r="O2602" s="14">
        <v>2200</v>
      </c>
      <c r="P2602" s="14">
        <v>93.82</v>
      </c>
      <c r="Q2602" s="14">
        <v>135.96</v>
      </c>
      <c r="R2602" s="14">
        <v>40.79</v>
      </c>
      <c r="S2602" s="2" t="s">
        <v>1353</v>
      </c>
      <c r="T2602" s="2">
        <v>1.01</v>
      </c>
      <c r="U2602" s="2">
        <v>60.9</v>
      </c>
      <c r="V2602" s="2">
        <v>61</v>
      </c>
      <c r="W2602" s="2" t="s">
        <v>7862</v>
      </c>
      <c r="X2602" s="2" t="s">
        <v>5405</v>
      </c>
      <c r="Y2602" s="2">
        <v>660</v>
      </c>
      <c r="Z2602" s="19" t="str">
        <f>HYPERLINK("https://ssdweb.co/ssdweb/hd/Vision360.html?d=821127942&amp;zoomslide=1&amp;z=1821127942&amp;ISCONFIRM=0","VIDEO")</f>
        <v>VIDEO</v>
      </c>
      <c r="AA2602" s="19" t="str">
        <f>HYPERLINK("https://ssdweb.co/ssdweb/CERTH/634417064.pdf","CERTI")</f>
        <v>CERTI</v>
      </c>
    </row>
    <row r="2603" spans="1:27" ht="15" x14ac:dyDescent="0.25">
      <c r="A2603" s="2">
        <v>2598</v>
      </c>
      <c r="B2603" s="39">
        <v>821127933</v>
      </c>
      <c r="C2603" s="28" t="str">
        <f>HYPERLINK("https://pld.live/RapDetail.aspx?STONELIST=821127933","DNA")</f>
        <v>DNA</v>
      </c>
      <c r="D2603" s="18" t="s">
        <v>7954</v>
      </c>
      <c r="E2603" s="18" t="s">
        <v>5128</v>
      </c>
      <c r="F2603" s="2" t="s">
        <v>7987</v>
      </c>
      <c r="G2603" s="2" t="s">
        <v>861</v>
      </c>
      <c r="H2603" s="14">
        <v>0.3</v>
      </c>
      <c r="I2603" s="2" t="s">
        <v>267</v>
      </c>
      <c r="J2603" s="2" t="s">
        <v>3942</v>
      </c>
      <c r="K2603" s="2" t="s">
        <v>5221</v>
      </c>
      <c r="L2603" s="2" t="s">
        <v>5721</v>
      </c>
      <c r="M2603" s="2" t="s">
        <v>5721</v>
      </c>
      <c r="N2603" s="2" t="s">
        <v>2317</v>
      </c>
      <c r="O2603" s="14">
        <v>2200</v>
      </c>
      <c r="P2603" s="14">
        <v>93.82</v>
      </c>
      <c r="Q2603" s="14">
        <v>135.96</v>
      </c>
      <c r="R2603" s="14">
        <v>40.79</v>
      </c>
      <c r="S2603" s="2" t="s">
        <v>7047</v>
      </c>
      <c r="T2603" s="2">
        <v>1.01</v>
      </c>
      <c r="U2603" s="2">
        <v>59.7</v>
      </c>
      <c r="V2603" s="2">
        <v>61</v>
      </c>
      <c r="W2603" s="2" t="s">
        <v>7862</v>
      </c>
      <c r="X2603" s="2" t="s">
        <v>5405</v>
      </c>
      <c r="Y2603" s="2">
        <v>660</v>
      </c>
      <c r="Z2603" s="19" t="str">
        <f>HYPERLINK("https://ssdweb.co/ssdweb/hd/Vision360.html?d=821127933&amp;zoomslide=1&amp;z=1821127933&amp;ISCONFIRM=0","VIDEO")</f>
        <v>VIDEO</v>
      </c>
      <c r="AA2603" s="19" t="str">
        <f>HYPERLINK("https://ssdweb.co/ssdweb/CERTH/634417100.pdf","CERTI")</f>
        <v>CERTI</v>
      </c>
    </row>
    <row r="2604" spans="1:27" ht="15" x14ac:dyDescent="0.25">
      <c r="A2604" s="2">
        <v>2599</v>
      </c>
      <c r="B2604" s="39">
        <v>926800994</v>
      </c>
      <c r="C2604" s="28" t="str">
        <f>HYPERLINK("https://pld.live/RapDetail.aspx?STONELIST=926800994","DNA")</f>
        <v>DNA</v>
      </c>
      <c r="D2604" s="18" t="s">
        <v>7954</v>
      </c>
      <c r="E2604" s="18" t="s">
        <v>5128</v>
      </c>
      <c r="F2604" s="2" t="s">
        <v>7987</v>
      </c>
      <c r="G2604" s="2" t="s">
        <v>861</v>
      </c>
      <c r="H2604" s="14">
        <v>0.3</v>
      </c>
      <c r="I2604" s="2" t="s">
        <v>267</v>
      </c>
      <c r="J2604" s="2" t="s">
        <v>3942</v>
      </c>
      <c r="K2604" s="2" t="s">
        <v>5721</v>
      </c>
      <c r="L2604" s="2" t="s">
        <v>5221</v>
      </c>
      <c r="M2604" s="2" t="s">
        <v>5221</v>
      </c>
      <c r="N2604" s="2" t="s">
        <v>2317</v>
      </c>
      <c r="O2604" s="14">
        <v>2200</v>
      </c>
      <c r="P2604" s="14">
        <v>93.95</v>
      </c>
      <c r="Q2604" s="14">
        <v>133.1</v>
      </c>
      <c r="R2604" s="14">
        <v>39.93</v>
      </c>
      <c r="S2604" s="2" t="s">
        <v>1754</v>
      </c>
      <c r="T2604" s="2">
        <v>1.01</v>
      </c>
      <c r="U2604" s="2">
        <v>63.8</v>
      </c>
      <c r="V2604" s="2">
        <v>55</v>
      </c>
      <c r="W2604" s="2" t="s">
        <v>7862</v>
      </c>
      <c r="X2604" s="2" t="s">
        <v>5405</v>
      </c>
      <c r="Y2604" s="2">
        <v>660</v>
      </c>
      <c r="Z2604" s="19" t="str">
        <f>HYPERLINK("https://ssdweb.co/ssdweb/hd/Vision360.html?d=926800994&amp;zoomslide=1&amp;z=1926800994&amp;ISCONFIRM=0","VIDEO")</f>
        <v>VIDEO</v>
      </c>
      <c r="AA2604" s="19" t="str">
        <f>HYPERLINK("https://ssdweb.co/ssdweb/CERTH/681569556.pdf","CERTI")</f>
        <v>CERTI</v>
      </c>
    </row>
    <row r="2605" spans="1:27" ht="15" x14ac:dyDescent="0.25">
      <c r="A2605" s="2">
        <v>2600</v>
      </c>
      <c r="B2605" s="39">
        <v>926341363</v>
      </c>
      <c r="C2605" s="28" t="str">
        <f>HYPERLINK("https://pld.live/RapDetail.aspx?STONELIST=926341363","DNA")</f>
        <v>DNA</v>
      </c>
      <c r="D2605" s="18" t="s">
        <v>7954</v>
      </c>
      <c r="E2605" s="18" t="s">
        <v>5128</v>
      </c>
      <c r="F2605" s="2" t="s">
        <v>5597</v>
      </c>
      <c r="G2605" s="2" t="s">
        <v>861</v>
      </c>
      <c r="H2605" s="14">
        <v>0.3</v>
      </c>
      <c r="I2605" s="2" t="s">
        <v>267</v>
      </c>
      <c r="J2605" s="2" t="s">
        <v>3942</v>
      </c>
      <c r="K2605" s="2" t="s">
        <v>5721</v>
      </c>
      <c r="L2605" s="2" t="s">
        <v>5221</v>
      </c>
      <c r="M2605" s="2" t="s">
        <v>5221</v>
      </c>
      <c r="N2605" s="2" t="s">
        <v>2317</v>
      </c>
      <c r="O2605" s="14">
        <v>2200</v>
      </c>
      <c r="P2605" s="14">
        <v>86.45</v>
      </c>
      <c r="Q2605" s="14">
        <v>298.10000000000002</v>
      </c>
      <c r="R2605" s="14">
        <v>89.43</v>
      </c>
      <c r="S2605" s="2" t="s">
        <v>37</v>
      </c>
      <c r="T2605" s="2">
        <v>1.01</v>
      </c>
      <c r="U2605" s="2">
        <v>62.8</v>
      </c>
      <c r="V2605" s="2">
        <v>57</v>
      </c>
      <c r="W2605" s="2" t="s">
        <v>7862</v>
      </c>
      <c r="X2605" s="2" t="s">
        <v>5405</v>
      </c>
      <c r="Y2605" s="2">
        <v>660</v>
      </c>
      <c r="Z2605" s="19" t="str">
        <f>HYPERLINK("https://ssdweb.co/ssdweb/hd/Vision360.html?d=926341363&amp;zoomslide=1&amp;z=1926341363&amp;ISCONFIRM=0","VIDEO")</f>
        <v>VIDEO</v>
      </c>
      <c r="AA2605" s="19" t="str">
        <f>HYPERLINK("https://ssdweb.co/ssdweb/CERTH/6502181752.pdf","CERTI")</f>
        <v>CERTI</v>
      </c>
    </row>
    <row r="2606" spans="1:27" ht="15" x14ac:dyDescent="0.25">
      <c r="A2606" s="2">
        <v>2601</v>
      </c>
      <c r="B2606" s="39">
        <v>941190755</v>
      </c>
      <c r="C2606" s="28" t="str">
        <f>HYPERLINK("https://pld.live/RapDetail.aspx?STONELIST=941190755","DNA")</f>
        <v>DNA</v>
      </c>
      <c r="D2606" s="18" t="s">
        <v>7954</v>
      </c>
      <c r="E2606" s="18" t="s">
        <v>5128</v>
      </c>
      <c r="F2606" s="2" t="s">
        <v>7987</v>
      </c>
      <c r="G2606" s="2" t="s">
        <v>861</v>
      </c>
      <c r="H2606" s="14">
        <v>0.3</v>
      </c>
      <c r="I2606" s="2" t="s">
        <v>267</v>
      </c>
      <c r="J2606" s="2" t="s">
        <v>3942</v>
      </c>
      <c r="K2606" s="2" t="s">
        <v>5721</v>
      </c>
      <c r="L2606" s="2" t="s">
        <v>5221</v>
      </c>
      <c r="M2606" s="2" t="s">
        <v>5221</v>
      </c>
      <c r="N2606" s="2" t="s">
        <v>2317</v>
      </c>
      <c r="O2606" s="14">
        <v>2200</v>
      </c>
      <c r="P2606" s="14">
        <v>93.95</v>
      </c>
      <c r="Q2606" s="14">
        <v>133.1</v>
      </c>
      <c r="R2606" s="14">
        <v>39.93</v>
      </c>
      <c r="S2606" s="2" t="s">
        <v>1647</v>
      </c>
      <c r="T2606" s="2">
        <v>1</v>
      </c>
      <c r="U2606" s="2">
        <v>61.3</v>
      </c>
      <c r="V2606" s="2">
        <v>61</v>
      </c>
      <c r="W2606" s="2" t="s">
        <v>7862</v>
      </c>
      <c r="X2606" s="2" t="s">
        <v>5405</v>
      </c>
      <c r="Y2606" s="2">
        <v>660</v>
      </c>
      <c r="Z2606" s="19" t="str">
        <f>HYPERLINK("https://ssdweb.co/ssdweb/hd/Vision360.html?d=941190755&amp;zoomslide=1&amp;z=1941190755&amp;ISCONFIRM=0","VIDEO")</f>
        <v>VIDEO</v>
      </c>
      <c r="AA2606" s="19" t="str">
        <f>HYPERLINK("https://ssdweb.co/ssdweb/CERTH/678550351.pdf","CERTI")</f>
        <v>CERTI</v>
      </c>
    </row>
    <row r="2607" spans="1:27" ht="15" x14ac:dyDescent="0.25">
      <c r="A2607" s="2">
        <v>2602</v>
      </c>
      <c r="B2607" s="39">
        <v>941230135</v>
      </c>
      <c r="C2607" s="28" t="str">
        <f>HYPERLINK("https://pld.live/RapDetail.aspx?STONELIST=941230135","DNA")</f>
        <v>DNA</v>
      </c>
      <c r="D2607" s="18" t="s">
        <v>7954</v>
      </c>
      <c r="E2607" s="18" t="s">
        <v>2186</v>
      </c>
      <c r="F2607" s="2" t="s">
        <v>7987</v>
      </c>
      <c r="G2607" s="2" t="s">
        <v>861</v>
      </c>
      <c r="H2607" s="14">
        <v>0.3</v>
      </c>
      <c r="I2607" s="2" t="s">
        <v>267</v>
      </c>
      <c r="J2607" s="2" t="s">
        <v>3942</v>
      </c>
      <c r="K2607" s="2" t="s">
        <v>5721</v>
      </c>
      <c r="L2607" s="2" t="s">
        <v>5221</v>
      </c>
      <c r="M2607" s="2" t="s">
        <v>5721</v>
      </c>
      <c r="N2607" s="2" t="s">
        <v>2317</v>
      </c>
      <c r="O2607" s="14">
        <v>2200</v>
      </c>
      <c r="P2607" s="14">
        <v>93.95</v>
      </c>
      <c r="Q2607" s="14">
        <v>133.1</v>
      </c>
      <c r="R2607" s="14">
        <v>39.93</v>
      </c>
      <c r="S2607" s="2" t="s">
        <v>3550</v>
      </c>
      <c r="T2607" s="2">
        <v>1.01</v>
      </c>
      <c r="U2607" s="2">
        <v>62.1</v>
      </c>
      <c r="V2607" s="2">
        <v>61</v>
      </c>
      <c r="W2607" s="2" t="s">
        <v>7862</v>
      </c>
      <c r="X2607" s="2" t="s">
        <v>5405</v>
      </c>
      <c r="Y2607" s="2">
        <v>660</v>
      </c>
      <c r="Z2607" s="19" t="str">
        <f>HYPERLINK("https://ssdweb.co/ssdweb/hd/Vision360.html?d=941230135&amp;zoomslide=1&amp;z=1941230135&amp;ISCONFIRM=0","VIDEO")</f>
        <v>VIDEO</v>
      </c>
      <c r="AA2607" s="19" t="str">
        <f>HYPERLINK("https://ssdweb.co/ssdweb/CERTH/678550353.pdf","CERTI")</f>
        <v>CERTI</v>
      </c>
    </row>
    <row r="2608" spans="1:27" ht="15" x14ac:dyDescent="0.25">
      <c r="A2608" s="2">
        <v>2603</v>
      </c>
      <c r="B2608" s="39">
        <v>941250208</v>
      </c>
      <c r="C2608" s="28" t="str">
        <f>HYPERLINK("https://pld.live/RapDetail.aspx?STONELIST=941250208","DNA")</f>
        <v>DNA</v>
      </c>
      <c r="D2608" s="18" t="s">
        <v>7954</v>
      </c>
      <c r="E2608" s="18" t="s">
        <v>2186</v>
      </c>
      <c r="F2608" s="2" t="s">
        <v>7987</v>
      </c>
      <c r="G2608" s="2" t="s">
        <v>861</v>
      </c>
      <c r="H2608" s="14">
        <v>0.3</v>
      </c>
      <c r="I2608" s="2" t="s">
        <v>267</v>
      </c>
      <c r="J2608" s="2" t="s">
        <v>13</v>
      </c>
      <c r="K2608" s="2" t="s">
        <v>3390</v>
      </c>
      <c r="L2608" s="2" t="s">
        <v>5221</v>
      </c>
      <c r="M2608" s="2" t="s">
        <v>5221</v>
      </c>
      <c r="N2608" s="2" t="s">
        <v>2317</v>
      </c>
      <c r="O2608" s="14">
        <v>2000</v>
      </c>
      <c r="P2608" s="14">
        <v>93.1</v>
      </c>
      <c r="Q2608" s="14">
        <v>138</v>
      </c>
      <c r="R2608" s="14">
        <v>41.4</v>
      </c>
      <c r="S2608" s="2" t="s">
        <v>3863</v>
      </c>
      <c r="T2608" s="2">
        <v>1.01</v>
      </c>
      <c r="U2608" s="2">
        <v>60.2</v>
      </c>
      <c r="V2608" s="2">
        <v>59</v>
      </c>
      <c r="W2608" s="2" t="s">
        <v>7862</v>
      </c>
      <c r="X2608" s="2" t="s">
        <v>5405</v>
      </c>
      <c r="Y2608" s="2">
        <v>600</v>
      </c>
      <c r="Z2608" s="19" t="str">
        <f>HYPERLINK("https://ssdweb.co/ssdweb/hd/Vision360.html?d=941250208&amp;zoomslide=1&amp;z=1941250208&amp;ISCONFIRM=0","VIDEO")</f>
        <v>VIDEO</v>
      </c>
      <c r="AA2608" s="19" t="str">
        <f>HYPERLINK("https://ssdweb.co/ssdweb/CERTH/687560861.pdf","CERTI")</f>
        <v>CERTI</v>
      </c>
    </row>
    <row r="2609" spans="1:27" ht="15" x14ac:dyDescent="0.25">
      <c r="A2609" s="2">
        <v>2604</v>
      </c>
      <c r="B2609" s="39">
        <v>941230205</v>
      </c>
      <c r="C2609" s="28" t="str">
        <f>HYPERLINK("https://pld.live/RapDetail.aspx?STONELIST=941230205","DNA")</f>
        <v>DNA</v>
      </c>
      <c r="D2609" s="18" t="s">
        <v>7954</v>
      </c>
      <c r="E2609" s="18" t="s">
        <v>2186</v>
      </c>
      <c r="F2609" s="2" t="s">
        <v>7987</v>
      </c>
      <c r="G2609" s="2" t="s">
        <v>861</v>
      </c>
      <c r="H2609" s="14">
        <v>0.3</v>
      </c>
      <c r="I2609" s="2" t="s">
        <v>267</v>
      </c>
      <c r="J2609" s="2" t="s">
        <v>13</v>
      </c>
      <c r="K2609" s="2" t="s">
        <v>3390</v>
      </c>
      <c r="L2609" s="2" t="s">
        <v>5221</v>
      </c>
      <c r="M2609" s="2" t="s">
        <v>5221</v>
      </c>
      <c r="N2609" s="2" t="s">
        <v>2317</v>
      </c>
      <c r="O2609" s="14">
        <v>2000</v>
      </c>
      <c r="P2609" s="14">
        <v>93.1</v>
      </c>
      <c r="Q2609" s="14">
        <v>138</v>
      </c>
      <c r="R2609" s="14">
        <v>41.4</v>
      </c>
      <c r="S2609" s="2" t="s">
        <v>5073</v>
      </c>
      <c r="T2609" s="2">
        <v>1.01</v>
      </c>
      <c r="U2609" s="2">
        <v>62.1</v>
      </c>
      <c r="V2609" s="2">
        <v>58</v>
      </c>
      <c r="W2609" s="2" t="s">
        <v>7862</v>
      </c>
      <c r="X2609" s="2" t="s">
        <v>5405</v>
      </c>
      <c r="Y2609" s="2">
        <v>600</v>
      </c>
      <c r="Z2609" s="19" t="str">
        <f>HYPERLINK("https://ssdweb.co/ssdweb/hd/Vision360.html?d=941230205&amp;zoomslide=1&amp;z=1941230205&amp;ISCONFIRM=0","VIDEO")</f>
        <v>VIDEO</v>
      </c>
      <c r="AA2609" s="19" t="str">
        <f>HYPERLINK("https://ssdweb.co/ssdweb/CERTH/678550355.pdf","CERTI")</f>
        <v>CERTI</v>
      </c>
    </row>
    <row r="2610" spans="1:27" ht="15" x14ac:dyDescent="0.25">
      <c r="A2610" s="2">
        <v>2605</v>
      </c>
      <c r="B2610" s="39">
        <v>920840636</v>
      </c>
      <c r="C2610" s="28" t="str">
        <f>HYPERLINK("https://pld.live/RapDetail.aspx?STONELIST=920840636","DNA")</f>
        <v>DNA</v>
      </c>
      <c r="D2610" s="18" t="s">
        <v>7954</v>
      </c>
      <c r="E2610" s="18" t="s">
        <v>5128</v>
      </c>
      <c r="F2610" s="2" t="s">
        <v>7987</v>
      </c>
      <c r="G2610" s="2" t="s">
        <v>861</v>
      </c>
      <c r="H2610" s="14">
        <v>0.3</v>
      </c>
      <c r="I2610" s="2" t="s">
        <v>267</v>
      </c>
      <c r="J2610" s="2" t="s">
        <v>13</v>
      </c>
      <c r="K2610" s="2" t="s">
        <v>3390</v>
      </c>
      <c r="L2610" s="2" t="s">
        <v>5221</v>
      </c>
      <c r="M2610" s="2" t="s">
        <v>5721</v>
      </c>
      <c r="N2610" s="2" t="s">
        <v>2317</v>
      </c>
      <c r="O2610" s="14">
        <v>2000</v>
      </c>
      <c r="P2610" s="14">
        <v>93.6</v>
      </c>
      <c r="Q2610" s="14">
        <v>128</v>
      </c>
      <c r="R2610" s="14">
        <v>38.4</v>
      </c>
      <c r="S2610" s="2" t="s">
        <v>3274</v>
      </c>
      <c r="T2610" s="2">
        <v>1.01</v>
      </c>
      <c r="U2610" s="2">
        <v>60.5</v>
      </c>
      <c r="V2610" s="2">
        <v>59</v>
      </c>
      <c r="W2610" s="2" t="s">
        <v>7862</v>
      </c>
      <c r="X2610" s="2" t="s">
        <v>5405</v>
      </c>
      <c r="Y2610" s="2">
        <v>600</v>
      </c>
      <c r="Z2610" s="19" t="str">
        <f>HYPERLINK("https://ssdweb.co/ssdweb/hd/Vision360.html?d=920840636&amp;zoomslide=1&amp;z=1920840636&amp;ISCONFIRM=0","VIDEO")</f>
        <v>VIDEO</v>
      </c>
      <c r="AA2610" s="19" t="str">
        <f>HYPERLINK("https://ssdweb.co/ssdweb/CERTH/687591607.pdf","CERTI")</f>
        <v>CERTI</v>
      </c>
    </row>
    <row r="2611" spans="1:27" ht="15" x14ac:dyDescent="0.25">
      <c r="A2611" s="2">
        <v>2606</v>
      </c>
      <c r="B2611" s="39">
        <v>926261569</v>
      </c>
      <c r="C2611" s="28" t="str">
        <f>HYPERLINK("https://pld.live/RapDetail.aspx?STONELIST=926261569","DNA")</f>
        <v>DNA</v>
      </c>
      <c r="D2611" s="18" t="s">
        <v>7954</v>
      </c>
      <c r="E2611" s="18" t="s">
        <v>5128</v>
      </c>
      <c r="F2611" s="2" t="s">
        <v>7987</v>
      </c>
      <c r="G2611" s="2" t="s">
        <v>861</v>
      </c>
      <c r="H2611" s="14">
        <v>0.3</v>
      </c>
      <c r="I2611" s="2" t="s">
        <v>267</v>
      </c>
      <c r="J2611" s="2" t="s">
        <v>13</v>
      </c>
      <c r="K2611" s="2" t="s">
        <v>3390</v>
      </c>
      <c r="L2611" s="2" t="s">
        <v>5221</v>
      </c>
      <c r="M2611" s="2" t="s">
        <v>5721</v>
      </c>
      <c r="N2611" s="2" t="s">
        <v>2317</v>
      </c>
      <c r="O2611" s="14">
        <v>2000</v>
      </c>
      <c r="P2611" s="14">
        <v>93.6</v>
      </c>
      <c r="Q2611" s="14">
        <v>128</v>
      </c>
      <c r="R2611" s="14">
        <v>38.4</v>
      </c>
      <c r="S2611" s="2" t="s">
        <v>4949</v>
      </c>
      <c r="T2611" s="2">
        <v>1.01</v>
      </c>
      <c r="U2611" s="2">
        <v>62.3</v>
      </c>
      <c r="V2611" s="2">
        <v>58</v>
      </c>
      <c r="W2611" s="2" t="s">
        <v>7862</v>
      </c>
      <c r="X2611" s="2" t="s">
        <v>5405</v>
      </c>
      <c r="Y2611" s="2">
        <v>600</v>
      </c>
      <c r="Z2611" s="19" t="str">
        <f>HYPERLINK("https://ssdweb.co/ssdweb/hd/Vision360.html?d=926261569&amp;zoomslide=1&amp;z=1926261569&amp;ISCONFIRM=0","VIDEO")</f>
        <v>VIDEO</v>
      </c>
      <c r="AA2611" s="19" t="str">
        <f>HYPERLINK("https://ssdweb.co/ssdweb/CERTH/642447809.pdf","CERTI")</f>
        <v>CERTI</v>
      </c>
    </row>
    <row r="2612" spans="1:27" ht="15" x14ac:dyDescent="0.25">
      <c r="A2612" s="2">
        <v>2607</v>
      </c>
      <c r="B2612" s="39">
        <v>926261510</v>
      </c>
      <c r="C2612" s="28" t="str">
        <f>HYPERLINK("https://pld.live/RapDetail.aspx?STONELIST=926261510","DNA")</f>
        <v>DNA</v>
      </c>
      <c r="D2612" s="18" t="s">
        <v>7954</v>
      </c>
      <c r="E2612" s="18" t="s">
        <v>5128</v>
      </c>
      <c r="F2612" s="2" t="s">
        <v>7987</v>
      </c>
      <c r="G2612" s="2" t="s">
        <v>861</v>
      </c>
      <c r="H2612" s="14">
        <v>0.3</v>
      </c>
      <c r="I2612" s="2" t="s">
        <v>267</v>
      </c>
      <c r="J2612" s="2" t="s">
        <v>13</v>
      </c>
      <c r="K2612" s="2" t="s">
        <v>3390</v>
      </c>
      <c r="L2612" s="2" t="s">
        <v>5221</v>
      </c>
      <c r="M2612" s="2" t="s">
        <v>5721</v>
      </c>
      <c r="N2612" s="2" t="s">
        <v>2317</v>
      </c>
      <c r="O2612" s="14">
        <v>2000</v>
      </c>
      <c r="P2612" s="14">
        <v>93.6</v>
      </c>
      <c r="Q2612" s="14">
        <v>128</v>
      </c>
      <c r="R2612" s="14">
        <v>38.4</v>
      </c>
      <c r="S2612" s="2" t="s">
        <v>2707</v>
      </c>
      <c r="T2612" s="2">
        <v>1.01</v>
      </c>
      <c r="U2612" s="2">
        <v>61.9</v>
      </c>
      <c r="V2612" s="2">
        <v>57</v>
      </c>
      <c r="W2612" s="2" t="s">
        <v>7862</v>
      </c>
      <c r="X2612" s="2" t="s">
        <v>5405</v>
      </c>
      <c r="Y2612" s="2">
        <v>600</v>
      </c>
      <c r="Z2612" s="19" t="str">
        <f>HYPERLINK("https://ssdweb.co/ssdweb/hd/Vision360.html?d=926261510&amp;zoomslide=1&amp;z=1926261510&amp;ISCONFIRM=0","VIDEO")</f>
        <v>VIDEO</v>
      </c>
      <c r="AA2612" s="19" t="str">
        <f>HYPERLINK("https://ssdweb.co/ssdweb/CERTH/642442861.pdf","CERTI")</f>
        <v>CERTI</v>
      </c>
    </row>
    <row r="2613" spans="1:27" ht="15" x14ac:dyDescent="0.25">
      <c r="A2613" s="2">
        <v>2608</v>
      </c>
      <c r="B2613" s="39">
        <v>941190467</v>
      </c>
      <c r="C2613" s="28" t="str">
        <f>HYPERLINK("https://pld.live/RapDetail.aspx?STONELIST=941190467","DNA")</f>
        <v>DNA</v>
      </c>
      <c r="D2613" s="18" t="s">
        <v>7954</v>
      </c>
      <c r="E2613" s="18" t="s">
        <v>5128</v>
      </c>
      <c r="F2613" s="2" t="s">
        <v>7987</v>
      </c>
      <c r="G2613" s="2" t="s">
        <v>861</v>
      </c>
      <c r="H2613" s="14">
        <v>0.3</v>
      </c>
      <c r="I2613" s="2" t="s">
        <v>267</v>
      </c>
      <c r="J2613" s="2" t="s">
        <v>13</v>
      </c>
      <c r="K2613" s="2" t="s">
        <v>3390</v>
      </c>
      <c r="L2613" s="2" t="s">
        <v>5221</v>
      </c>
      <c r="M2613" s="2" t="s">
        <v>5721</v>
      </c>
      <c r="N2613" s="2" t="s">
        <v>2317</v>
      </c>
      <c r="O2613" s="14">
        <v>2000</v>
      </c>
      <c r="P2613" s="14">
        <v>93.6</v>
      </c>
      <c r="Q2613" s="14">
        <v>128</v>
      </c>
      <c r="R2613" s="14">
        <v>38.4</v>
      </c>
      <c r="S2613" s="2" t="s">
        <v>7260</v>
      </c>
      <c r="T2613" s="2">
        <v>1.01</v>
      </c>
      <c r="U2613" s="2">
        <v>59.8</v>
      </c>
      <c r="V2613" s="2">
        <v>60</v>
      </c>
      <c r="W2613" s="2" t="s">
        <v>7862</v>
      </c>
      <c r="X2613" s="2" t="s">
        <v>5405</v>
      </c>
      <c r="Y2613" s="2">
        <v>600</v>
      </c>
      <c r="Z2613" s="19" t="str">
        <f>HYPERLINK("https://ssdweb.co/ssdweb/hd/Vision360.html?d=941190467&amp;zoomslide=1&amp;z=1941190467&amp;ISCONFIRM=0","VIDEO")</f>
        <v>VIDEO</v>
      </c>
      <c r="AA2613" s="19" t="str">
        <f>HYPERLINK("https://ssdweb.co/ssdweb/CERTH/681569570.pdf","CERTI")</f>
        <v>CERTI</v>
      </c>
    </row>
    <row r="2614" spans="1:27" ht="15" x14ac:dyDescent="0.25">
      <c r="A2614" s="2">
        <v>2609</v>
      </c>
      <c r="B2614" s="39">
        <v>941190498</v>
      </c>
      <c r="C2614" s="28" t="str">
        <f>HYPERLINK("https://pld.live/RapDetail.aspx?STONELIST=941190498","DNA")</f>
        <v>DNA</v>
      </c>
      <c r="D2614" s="18" t="s">
        <v>7954</v>
      </c>
      <c r="E2614" s="18" t="s">
        <v>5128</v>
      </c>
      <c r="F2614" s="2" t="s">
        <v>7987</v>
      </c>
      <c r="G2614" s="2" t="s">
        <v>861</v>
      </c>
      <c r="H2614" s="14">
        <v>0.3</v>
      </c>
      <c r="I2614" s="2" t="s">
        <v>267</v>
      </c>
      <c r="J2614" s="2" t="s">
        <v>13</v>
      </c>
      <c r="K2614" s="2" t="s">
        <v>3390</v>
      </c>
      <c r="L2614" s="2" t="s">
        <v>5221</v>
      </c>
      <c r="M2614" s="2" t="s">
        <v>5721</v>
      </c>
      <c r="N2614" s="2" t="s">
        <v>2317</v>
      </c>
      <c r="O2614" s="14">
        <v>2000</v>
      </c>
      <c r="P2614" s="14">
        <v>93.6</v>
      </c>
      <c r="Q2614" s="14">
        <v>128</v>
      </c>
      <c r="R2614" s="14">
        <v>38.4</v>
      </c>
      <c r="S2614" s="2" t="s">
        <v>3274</v>
      </c>
      <c r="T2614" s="2">
        <v>1.01</v>
      </c>
      <c r="U2614" s="2">
        <v>60.7</v>
      </c>
      <c r="V2614" s="2">
        <v>59</v>
      </c>
      <c r="W2614" s="2" t="s">
        <v>7862</v>
      </c>
      <c r="X2614" s="2" t="s">
        <v>5405</v>
      </c>
      <c r="Y2614" s="2">
        <v>600</v>
      </c>
      <c r="Z2614" s="19" t="str">
        <f>HYPERLINK("https://ssdweb.co/ssdweb/hd/Vision360.html?d=941190498&amp;zoomslide=1&amp;z=1941190498&amp;ISCONFIRM=0","VIDEO")</f>
        <v>VIDEO</v>
      </c>
      <c r="AA2614" s="19" t="str">
        <f>HYPERLINK("https://ssdweb.co/ssdweb/CERTH/678550349.pdf","CERTI")</f>
        <v>CERTI</v>
      </c>
    </row>
    <row r="2615" spans="1:27" ht="15" x14ac:dyDescent="0.25">
      <c r="A2615" s="2">
        <v>2610</v>
      </c>
      <c r="B2615" s="39">
        <v>926301137</v>
      </c>
      <c r="C2615" s="28" t="str">
        <f>HYPERLINK("https://pld.live/RapDetail.aspx?STONELIST=926301137","DNA")</f>
        <v>DNA</v>
      </c>
      <c r="D2615" s="18" t="s">
        <v>7954</v>
      </c>
      <c r="E2615" s="18" t="s">
        <v>5128</v>
      </c>
      <c r="F2615" s="2" t="s">
        <v>7987</v>
      </c>
      <c r="G2615" s="2" t="s">
        <v>861</v>
      </c>
      <c r="H2615" s="14">
        <v>0.3</v>
      </c>
      <c r="I2615" s="2" t="s">
        <v>267</v>
      </c>
      <c r="J2615" s="2" t="s">
        <v>13</v>
      </c>
      <c r="K2615" s="2" t="s">
        <v>3390</v>
      </c>
      <c r="L2615" s="2" t="s">
        <v>5221</v>
      </c>
      <c r="M2615" s="2" t="s">
        <v>5721</v>
      </c>
      <c r="N2615" s="2" t="s">
        <v>2317</v>
      </c>
      <c r="O2615" s="14">
        <v>2000</v>
      </c>
      <c r="P2615" s="14">
        <v>93.6</v>
      </c>
      <c r="Q2615" s="14">
        <v>128</v>
      </c>
      <c r="R2615" s="14">
        <v>38.4</v>
      </c>
      <c r="S2615" s="2" t="s">
        <v>6661</v>
      </c>
      <c r="T2615" s="2">
        <v>1.01</v>
      </c>
      <c r="U2615" s="2">
        <v>62.2</v>
      </c>
      <c r="V2615" s="2">
        <v>56</v>
      </c>
      <c r="W2615" s="2" t="s">
        <v>7862</v>
      </c>
      <c r="X2615" s="2" t="s">
        <v>5405</v>
      </c>
      <c r="Y2615" s="2">
        <v>600</v>
      </c>
      <c r="Z2615" s="19" t="str">
        <f>HYPERLINK("https://ssdweb.co/ssdweb/hd/Vision360.html?d=926301137&amp;zoomslide=1&amp;z=1926301137&amp;ISCONFIRM=0","VIDEO")</f>
        <v>VIDEO</v>
      </c>
      <c r="AA2615" s="19" t="str">
        <f>HYPERLINK("https://ssdweb.co/ssdweb/CERTH/642460579.pdf","CERTI")</f>
        <v>CERTI</v>
      </c>
    </row>
    <row r="2616" spans="1:27" ht="15" x14ac:dyDescent="0.25">
      <c r="A2616" s="2">
        <v>2611</v>
      </c>
      <c r="B2616" s="39">
        <v>926430952</v>
      </c>
      <c r="C2616" s="28" t="str">
        <f>HYPERLINK("https://pld.live/RapDetail.aspx?STONELIST=926430952","DNA")</f>
        <v>DNA</v>
      </c>
      <c r="D2616" s="18" t="s">
        <v>7954</v>
      </c>
      <c r="E2616" s="18" t="s">
        <v>5128</v>
      </c>
      <c r="F2616" s="2" t="s">
        <v>7987</v>
      </c>
      <c r="G2616" s="2" t="s">
        <v>861</v>
      </c>
      <c r="H2616" s="14">
        <v>0.3</v>
      </c>
      <c r="I2616" s="2" t="s">
        <v>267</v>
      </c>
      <c r="J2616" s="2" t="s">
        <v>13</v>
      </c>
      <c r="K2616" s="2" t="s">
        <v>3390</v>
      </c>
      <c r="L2616" s="2" t="s">
        <v>5221</v>
      </c>
      <c r="M2616" s="2" t="s">
        <v>5721</v>
      </c>
      <c r="N2616" s="2" t="s">
        <v>2317</v>
      </c>
      <c r="O2616" s="14">
        <v>2000</v>
      </c>
      <c r="P2616" s="14">
        <v>93.6</v>
      </c>
      <c r="Q2616" s="14">
        <v>128</v>
      </c>
      <c r="R2616" s="14">
        <v>38.4</v>
      </c>
      <c r="S2616" s="2" t="s">
        <v>5538</v>
      </c>
      <c r="T2616" s="2">
        <v>1</v>
      </c>
      <c r="U2616" s="2">
        <v>62.4</v>
      </c>
      <c r="V2616" s="2">
        <v>58</v>
      </c>
      <c r="W2616" s="2" t="s">
        <v>7862</v>
      </c>
      <c r="X2616" s="2" t="s">
        <v>5405</v>
      </c>
      <c r="Y2616" s="2">
        <v>600</v>
      </c>
      <c r="Z2616" s="19" t="str">
        <f>HYPERLINK("https://ssdweb.co/ssdweb/hd/Vision360.html?d=926430952&amp;zoomslide=1&amp;z=1926430952&amp;ISCONFIRM=0","VIDEO")</f>
        <v>VIDEO</v>
      </c>
      <c r="AA2616" s="19" t="str">
        <f>HYPERLINK("https://ssdweb.co/ssdweb/CERTH/667408564.pdf","CERTI")</f>
        <v>CERTI</v>
      </c>
    </row>
    <row r="2617" spans="1:27" ht="15" x14ac:dyDescent="0.25">
      <c r="A2617" s="2">
        <v>2612</v>
      </c>
      <c r="B2617" s="39">
        <v>926430730</v>
      </c>
      <c r="C2617" s="28" t="str">
        <f>HYPERLINK("https://pld.live/RapDetail.aspx?STONELIST=926430730","DNA")</f>
        <v>DNA</v>
      </c>
      <c r="D2617" s="18" t="s">
        <v>7954</v>
      </c>
      <c r="E2617" s="18" t="s">
        <v>5128</v>
      </c>
      <c r="F2617" s="2" t="s">
        <v>7987</v>
      </c>
      <c r="G2617" s="2" t="s">
        <v>861</v>
      </c>
      <c r="H2617" s="14">
        <v>0.3</v>
      </c>
      <c r="I2617" s="2" t="s">
        <v>267</v>
      </c>
      <c r="J2617" s="2" t="s">
        <v>13</v>
      </c>
      <c r="K2617" s="2" t="s">
        <v>3390</v>
      </c>
      <c r="L2617" s="2" t="s">
        <v>5221</v>
      </c>
      <c r="M2617" s="2" t="s">
        <v>5721</v>
      </c>
      <c r="N2617" s="2" t="s">
        <v>2317</v>
      </c>
      <c r="O2617" s="14">
        <v>2000</v>
      </c>
      <c r="P2617" s="14">
        <v>93.6</v>
      </c>
      <c r="Q2617" s="14">
        <v>128</v>
      </c>
      <c r="R2617" s="14">
        <v>38.4</v>
      </c>
      <c r="S2617" s="2" t="s">
        <v>4303</v>
      </c>
      <c r="T2617" s="2">
        <v>1</v>
      </c>
      <c r="U2617" s="2">
        <v>62</v>
      </c>
      <c r="V2617" s="2">
        <v>58</v>
      </c>
      <c r="W2617" s="2" t="s">
        <v>7862</v>
      </c>
      <c r="X2617" s="2" t="s">
        <v>5405</v>
      </c>
      <c r="Y2617" s="2">
        <v>600</v>
      </c>
      <c r="Z2617" s="19" t="str">
        <f>HYPERLINK("https://ssdweb.co/ssdweb/hd/Vision360.html?d=926430730&amp;zoomslide=1&amp;z=1926430730&amp;ISCONFIRM=0","VIDEO")</f>
        <v>VIDEO</v>
      </c>
      <c r="AA2617" s="19" t="str">
        <f>HYPERLINK("https://ssdweb.co/ssdweb/CERTH/681569598.pdf","CERTI")</f>
        <v>CERTI</v>
      </c>
    </row>
    <row r="2618" spans="1:27" ht="15" x14ac:dyDescent="0.25">
      <c r="A2618" s="2">
        <v>2613</v>
      </c>
      <c r="B2618" s="39">
        <v>926430815</v>
      </c>
      <c r="C2618" s="28" t="str">
        <f>HYPERLINK("https://pld.live/RapDetail.aspx?STONELIST=926430815","DNA")</f>
        <v>DNA</v>
      </c>
      <c r="D2618" s="18" t="s">
        <v>7954</v>
      </c>
      <c r="E2618" s="18" t="s">
        <v>5128</v>
      </c>
      <c r="F2618" s="2" t="s">
        <v>7987</v>
      </c>
      <c r="G2618" s="2" t="s">
        <v>861</v>
      </c>
      <c r="H2618" s="14">
        <v>0.3</v>
      </c>
      <c r="I2618" s="2" t="s">
        <v>267</v>
      </c>
      <c r="J2618" s="2" t="s">
        <v>13</v>
      </c>
      <c r="K2618" s="2" t="s">
        <v>3390</v>
      </c>
      <c r="L2618" s="2" t="s">
        <v>5221</v>
      </c>
      <c r="M2618" s="2" t="s">
        <v>5721</v>
      </c>
      <c r="N2618" s="2" t="s">
        <v>2317</v>
      </c>
      <c r="O2618" s="14">
        <v>2000</v>
      </c>
      <c r="P2618" s="14">
        <v>93.6</v>
      </c>
      <c r="Q2618" s="14">
        <v>128</v>
      </c>
      <c r="R2618" s="14">
        <v>38.4</v>
      </c>
      <c r="S2618" s="2" t="s">
        <v>4665</v>
      </c>
      <c r="T2618" s="2">
        <v>1.01</v>
      </c>
      <c r="U2618" s="2">
        <v>62.5</v>
      </c>
      <c r="V2618" s="2">
        <v>53</v>
      </c>
      <c r="W2618" s="2" t="s">
        <v>7862</v>
      </c>
      <c r="X2618" s="2" t="s">
        <v>5405</v>
      </c>
      <c r="Y2618" s="2">
        <v>600</v>
      </c>
      <c r="Z2618" s="19" t="str">
        <f>HYPERLINK("https://ssdweb.co/ssdweb/hd/Vision360.html?d=926430815&amp;zoomslide=1&amp;z=1926430815&amp;ISCONFIRM=0","VIDEO")</f>
        <v>VIDEO</v>
      </c>
      <c r="AA2618" s="19" t="str">
        <f>HYPERLINK("https://ssdweb.co/ssdweb/CERTH/674543107.pdf","CERTI")</f>
        <v>CERTI</v>
      </c>
    </row>
    <row r="2619" spans="1:27" ht="15" x14ac:dyDescent="0.25">
      <c r="A2619" s="2">
        <v>2614</v>
      </c>
      <c r="B2619" s="39">
        <v>926171545</v>
      </c>
      <c r="C2619" s="28" t="str">
        <f>HYPERLINK("https://pld.live/RapDetail.aspx?STONELIST=926171545","DNA")</f>
        <v>DNA</v>
      </c>
      <c r="D2619" s="18" t="s">
        <v>7954</v>
      </c>
      <c r="E2619" s="18" t="s">
        <v>5128</v>
      </c>
      <c r="F2619" s="2" t="s">
        <v>7987</v>
      </c>
      <c r="G2619" s="2" t="s">
        <v>861</v>
      </c>
      <c r="H2619" s="14">
        <v>0.3</v>
      </c>
      <c r="I2619" s="2" t="s">
        <v>267</v>
      </c>
      <c r="J2619" s="2" t="s">
        <v>13</v>
      </c>
      <c r="K2619" s="2" t="s">
        <v>3390</v>
      </c>
      <c r="L2619" s="2" t="s">
        <v>5221</v>
      </c>
      <c r="M2619" s="2" t="s">
        <v>5721</v>
      </c>
      <c r="N2619" s="2" t="s">
        <v>2317</v>
      </c>
      <c r="O2619" s="14">
        <v>2000</v>
      </c>
      <c r="P2619" s="14">
        <v>93.6</v>
      </c>
      <c r="Q2619" s="14">
        <v>128</v>
      </c>
      <c r="R2619" s="14">
        <v>38.4</v>
      </c>
      <c r="S2619" s="2" t="s">
        <v>1834</v>
      </c>
      <c r="T2619" s="2">
        <v>1.01</v>
      </c>
      <c r="U2619" s="2">
        <v>61.3</v>
      </c>
      <c r="V2619" s="2">
        <v>60</v>
      </c>
      <c r="W2619" s="2" t="s">
        <v>7862</v>
      </c>
      <c r="X2619" s="2" t="s">
        <v>5405</v>
      </c>
      <c r="Y2619" s="2">
        <v>600</v>
      </c>
      <c r="Z2619" s="19" t="str">
        <f>HYPERLINK("https://ssdweb.co/ssdweb/hd/Vision360.html?d=926171545&amp;zoomslide=1&amp;z=1926171545&amp;ISCONFIRM=0","VIDEO")</f>
        <v>VIDEO</v>
      </c>
      <c r="AA2619" s="19" t="str">
        <f>HYPERLINK("https://ssdweb.co/ssdweb/CERTH/642447767.pdf","CERTI")</f>
        <v>CERTI</v>
      </c>
    </row>
    <row r="2620" spans="1:27" ht="15" x14ac:dyDescent="0.25">
      <c r="A2620" s="2">
        <v>2615</v>
      </c>
      <c r="B2620" s="39">
        <v>926800988</v>
      </c>
      <c r="C2620" s="28" t="str">
        <f>HYPERLINK("https://pld.live/RapDetail.aspx?STONELIST=926800988","DNA")</f>
        <v>DNA</v>
      </c>
      <c r="D2620" s="18" t="s">
        <v>7954</v>
      </c>
      <c r="E2620" s="18" t="s">
        <v>5128</v>
      </c>
      <c r="F2620" s="2" t="s">
        <v>7987</v>
      </c>
      <c r="G2620" s="2" t="s">
        <v>861</v>
      </c>
      <c r="H2620" s="14">
        <v>0.3</v>
      </c>
      <c r="I2620" s="2" t="s">
        <v>267</v>
      </c>
      <c r="J2620" s="2" t="s">
        <v>13</v>
      </c>
      <c r="K2620" s="2" t="s">
        <v>3390</v>
      </c>
      <c r="L2620" s="2" t="s">
        <v>5721</v>
      </c>
      <c r="M2620" s="2" t="s">
        <v>5221</v>
      </c>
      <c r="N2620" s="2" t="s">
        <v>2317</v>
      </c>
      <c r="O2620" s="14">
        <v>2000</v>
      </c>
      <c r="P2620" s="14">
        <v>93.6</v>
      </c>
      <c r="Q2620" s="14">
        <v>128</v>
      </c>
      <c r="R2620" s="14">
        <v>38.4</v>
      </c>
      <c r="S2620" s="2" t="s">
        <v>1008</v>
      </c>
      <c r="T2620" s="2">
        <v>1.01</v>
      </c>
      <c r="U2620" s="2">
        <v>62.4</v>
      </c>
      <c r="V2620" s="2">
        <v>58</v>
      </c>
      <c r="W2620" s="2" t="s">
        <v>7862</v>
      </c>
      <c r="X2620" s="2" t="s">
        <v>5405</v>
      </c>
      <c r="Y2620" s="2">
        <v>600</v>
      </c>
      <c r="Z2620" s="19" t="str">
        <f>HYPERLINK("https://ssdweb.co/ssdweb/hd/Vision360.html?d=926800988&amp;zoomslide=1&amp;z=1926800988&amp;ISCONFIRM=0","VIDEO")</f>
        <v>VIDEO</v>
      </c>
      <c r="AA2620" s="19" t="str">
        <f>HYPERLINK("https://ssdweb.co/ssdweb/CERTH/681569596.pdf","CERTI")</f>
        <v>CERTI</v>
      </c>
    </row>
    <row r="2621" spans="1:27" ht="15" x14ac:dyDescent="0.25">
      <c r="A2621" s="2">
        <v>2616</v>
      </c>
      <c r="B2621" s="39">
        <v>821127972</v>
      </c>
      <c r="C2621" s="28" t="str">
        <f>HYPERLINK("https://pld.live/RapDetail.aspx?STONELIST=821127972","DNA")</f>
        <v>DNA</v>
      </c>
      <c r="D2621" s="18" t="s">
        <v>7954</v>
      </c>
      <c r="E2621" s="18" t="s">
        <v>5128</v>
      </c>
      <c r="F2621" s="2" t="s">
        <v>7987</v>
      </c>
      <c r="G2621" s="2" t="s">
        <v>861</v>
      </c>
      <c r="H2621" s="14">
        <v>0.3</v>
      </c>
      <c r="I2621" s="2" t="s">
        <v>267</v>
      </c>
      <c r="J2621" s="2" t="s">
        <v>13</v>
      </c>
      <c r="K2621" s="2" t="s">
        <v>3390</v>
      </c>
      <c r="L2621" s="2" t="s">
        <v>5721</v>
      </c>
      <c r="M2621" s="2" t="s">
        <v>5721</v>
      </c>
      <c r="N2621" s="2" t="s">
        <v>2317</v>
      </c>
      <c r="O2621" s="14">
        <v>2000</v>
      </c>
      <c r="P2621" s="14">
        <v>93.7</v>
      </c>
      <c r="Q2621" s="14">
        <v>126</v>
      </c>
      <c r="R2621" s="14">
        <v>37.799999999999997</v>
      </c>
      <c r="S2621" s="2" t="s">
        <v>2675</v>
      </c>
      <c r="T2621" s="2">
        <v>1.01</v>
      </c>
      <c r="U2621" s="2">
        <v>60.6</v>
      </c>
      <c r="V2621" s="2">
        <v>60</v>
      </c>
      <c r="W2621" s="2" t="s">
        <v>7862</v>
      </c>
      <c r="X2621" s="2" t="s">
        <v>5405</v>
      </c>
      <c r="Y2621" s="2">
        <v>600</v>
      </c>
      <c r="Z2621" s="19" t="str">
        <f>HYPERLINK("https://ssdweb.co/ssdweb/hd/Vision360.html?d=821127972&amp;zoomslide=1&amp;z=1821127972&amp;ISCONFIRM=0","VIDEO")</f>
        <v>VIDEO</v>
      </c>
      <c r="AA2621" s="19" t="str">
        <f>HYPERLINK("https://ssdweb.co/ssdweb/CERTH/634431230.pdf","CERTI")</f>
        <v>CERTI</v>
      </c>
    </row>
    <row r="2622" spans="1:27" ht="15" x14ac:dyDescent="0.25">
      <c r="A2622" s="2">
        <v>2617</v>
      </c>
      <c r="B2622" s="39">
        <v>926240773</v>
      </c>
      <c r="C2622" s="28" t="str">
        <f>HYPERLINK("https://pld.live/RapDetail.aspx?STONELIST=926240773","DNA")</f>
        <v>DNA</v>
      </c>
      <c r="D2622" s="18" t="s">
        <v>7954</v>
      </c>
      <c r="E2622" s="18" t="s">
        <v>5128</v>
      </c>
      <c r="F2622" s="2" t="s">
        <v>7987</v>
      </c>
      <c r="G2622" s="2" t="s">
        <v>861</v>
      </c>
      <c r="H2622" s="14">
        <v>0.3</v>
      </c>
      <c r="I2622" s="2" t="s">
        <v>267</v>
      </c>
      <c r="J2622" s="2" t="s">
        <v>13</v>
      </c>
      <c r="K2622" s="2" t="s">
        <v>3390</v>
      </c>
      <c r="L2622" s="2" t="s">
        <v>5721</v>
      </c>
      <c r="M2622" s="2" t="s">
        <v>5721</v>
      </c>
      <c r="N2622" s="2" t="s">
        <v>2317</v>
      </c>
      <c r="O2622" s="14">
        <v>2000</v>
      </c>
      <c r="P2622" s="14">
        <v>93.7</v>
      </c>
      <c r="Q2622" s="14">
        <v>126</v>
      </c>
      <c r="R2622" s="14">
        <v>37.799999999999997</v>
      </c>
      <c r="S2622" s="2" t="s">
        <v>3096</v>
      </c>
      <c r="T2622" s="2">
        <v>1.01</v>
      </c>
      <c r="U2622" s="2">
        <v>62</v>
      </c>
      <c r="V2622" s="2">
        <v>58</v>
      </c>
      <c r="W2622" s="2" t="s">
        <v>7862</v>
      </c>
      <c r="X2622" s="2" t="s">
        <v>5405</v>
      </c>
      <c r="Y2622" s="2">
        <v>600</v>
      </c>
      <c r="Z2622" s="19" t="str">
        <f>HYPERLINK("https://ssdweb.co/ssdweb/hd/Vision360.html?d=926240773&amp;zoomslide=1&amp;z=1926240773&amp;ISCONFIRM=0","VIDEO")</f>
        <v>VIDEO</v>
      </c>
      <c r="AA2622" s="19" t="str">
        <f>HYPERLINK("https://ssdweb.co/ssdweb/CERTH/642447676.pdf","CERTI")</f>
        <v>CERTI</v>
      </c>
    </row>
    <row r="2623" spans="1:27" ht="15" x14ac:dyDescent="0.25">
      <c r="A2623" s="2">
        <v>2618</v>
      </c>
      <c r="B2623" s="39">
        <v>926280780</v>
      </c>
      <c r="C2623" s="28" t="str">
        <f>HYPERLINK("https://pld.live/RapDetail.aspx?STONELIST=926280780","DNA")</f>
        <v>DNA</v>
      </c>
      <c r="D2623" s="18" t="s">
        <v>7954</v>
      </c>
      <c r="E2623" s="18" t="s">
        <v>5128</v>
      </c>
      <c r="F2623" s="2" t="s">
        <v>7987</v>
      </c>
      <c r="G2623" s="2" t="s">
        <v>861</v>
      </c>
      <c r="H2623" s="14">
        <v>0.3</v>
      </c>
      <c r="I2623" s="2" t="s">
        <v>267</v>
      </c>
      <c r="J2623" s="2" t="s">
        <v>13</v>
      </c>
      <c r="K2623" s="2" t="s">
        <v>3390</v>
      </c>
      <c r="L2623" s="2" t="s">
        <v>5721</v>
      </c>
      <c r="M2623" s="2" t="s">
        <v>5721</v>
      </c>
      <c r="N2623" s="2" t="s">
        <v>2317</v>
      </c>
      <c r="O2623" s="14">
        <v>2000</v>
      </c>
      <c r="P2623" s="14">
        <v>93.7</v>
      </c>
      <c r="Q2623" s="14">
        <v>126</v>
      </c>
      <c r="R2623" s="14">
        <v>37.799999999999997</v>
      </c>
      <c r="S2623" s="2" t="s">
        <v>5695</v>
      </c>
      <c r="T2623" s="2">
        <v>1.01</v>
      </c>
      <c r="U2623" s="2">
        <v>60.2</v>
      </c>
      <c r="V2623" s="2">
        <v>59</v>
      </c>
      <c r="W2623" s="2" t="s">
        <v>7862</v>
      </c>
      <c r="X2623" s="2" t="s">
        <v>5405</v>
      </c>
      <c r="Y2623" s="2">
        <v>600</v>
      </c>
      <c r="Z2623" s="19" t="str">
        <f>HYPERLINK("https://ssdweb.co/ssdweb/hd/Vision360.html?d=926280780&amp;zoomslide=1&amp;z=1926280780&amp;ISCONFIRM=0","VIDEO")</f>
        <v>VIDEO</v>
      </c>
      <c r="AA2623" s="19" t="str">
        <f>HYPERLINK("https://ssdweb.co/ssdweb/CERTH/642447893.pdf","CERTI")</f>
        <v>CERTI</v>
      </c>
    </row>
    <row r="2624" spans="1:27" ht="15" x14ac:dyDescent="0.25">
      <c r="A2624" s="2">
        <v>2619</v>
      </c>
      <c r="B2624" s="39">
        <v>920661583</v>
      </c>
      <c r="C2624" s="28" t="str">
        <f>HYPERLINK("https://pld.live/RapDetail.aspx?STONELIST=920661583","DNA")</f>
        <v>DNA</v>
      </c>
      <c r="D2624" s="18" t="s">
        <v>7954</v>
      </c>
      <c r="E2624" s="18" t="s">
        <v>5128</v>
      </c>
      <c r="F2624" s="2" t="s">
        <v>7987</v>
      </c>
      <c r="G2624" s="2" t="s">
        <v>861</v>
      </c>
      <c r="H2624" s="14">
        <v>0.3</v>
      </c>
      <c r="I2624" s="2" t="s">
        <v>267</v>
      </c>
      <c r="J2624" s="2" t="s">
        <v>13</v>
      </c>
      <c r="K2624" s="2" t="s">
        <v>5221</v>
      </c>
      <c r="L2624" s="2" t="s">
        <v>5221</v>
      </c>
      <c r="M2624" s="2" t="s">
        <v>5721</v>
      </c>
      <c r="N2624" s="2" t="s">
        <v>2317</v>
      </c>
      <c r="O2624" s="14">
        <v>2000</v>
      </c>
      <c r="P2624" s="14">
        <v>93.6</v>
      </c>
      <c r="Q2624" s="14">
        <v>128</v>
      </c>
      <c r="R2624" s="14">
        <v>38.4</v>
      </c>
      <c r="S2624" s="2" t="s">
        <v>2421</v>
      </c>
      <c r="T2624" s="2">
        <v>1.01</v>
      </c>
      <c r="U2624" s="2">
        <v>62.7</v>
      </c>
      <c r="V2624" s="2">
        <v>60</v>
      </c>
      <c r="W2624" s="2" t="s">
        <v>7862</v>
      </c>
      <c r="X2624" s="2" t="s">
        <v>5405</v>
      </c>
      <c r="Y2624" s="2">
        <v>600</v>
      </c>
      <c r="Z2624" s="19" t="str">
        <f>HYPERLINK("https://ssdweb.co/ssdweb/hd/Vision360.html?d=920661583&amp;zoomslide=1&amp;z=1920661583&amp;ISCONFIRM=0","VIDEO")</f>
        <v>VIDEO</v>
      </c>
      <c r="AA2624" s="19" t="str">
        <f>HYPERLINK("https://ssdweb.co/ssdweb/CERTH/640473994.pdf","CERTI")</f>
        <v>CERTI</v>
      </c>
    </row>
    <row r="2625" spans="1:27" ht="15" x14ac:dyDescent="0.25">
      <c r="A2625" s="2">
        <v>2620</v>
      </c>
      <c r="B2625" s="39">
        <v>926480780</v>
      </c>
      <c r="C2625" s="28" t="str">
        <f>HYPERLINK("https://pld.live/RapDetail.aspx?STONELIST=926480780","DNA")</f>
        <v>DNA</v>
      </c>
      <c r="D2625" s="18" t="s">
        <v>7954</v>
      </c>
      <c r="E2625" s="18" t="s">
        <v>5128</v>
      </c>
      <c r="F2625" s="2" t="s">
        <v>7987</v>
      </c>
      <c r="G2625" s="2" t="s">
        <v>861</v>
      </c>
      <c r="H2625" s="14">
        <v>0.3</v>
      </c>
      <c r="I2625" s="2" t="s">
        <v>267</v>
      </c>
      <c r="J2625" s="2" t="s">
        <v>13</v>
      </c>
      <c r="K2625" s="2" t="s">
        <v>5221</v>
      </c>
      <c r="L2625" s="2" t="s">
        <v>5221</v>
      </c>
      <c r="M2625" s="2" t="s">
        <v>5721</v>
      </c>
      <c r="N2625" s="2" t="s">
        <v>2317</v>
      </c>
      <c r="O2625" s="14">
        <v>2000</v>
      </c>
      <c r="P2625" s="14">
        <v>93.6</v>
      </c>
      <c r="Q2625" s="14">
        <v>128</v>
      </c>
      <c r="R2625" s="14">
        <v>38.4</v>
      </c>
      <c r="S2625" s="2" t="s">
        <v>3786</v>
      </c>
      <c r="T2625" s="2">
        <v>1</v>
      </c>
      <c r="U2625" s="2">
        <v>63.5</v>
      </c>
      <c r="V2625" s="2">
        <v>56</v>
      </c>
      <c r="W2625" s="2" t="s">
        <v>7862</v>
      </c>
      <c r="X2625" s="2" t="s">
        <v>5405</v>
      </c>
      <c r="Y2625" s="2">
        <v>600</v>
      </c>
      <c r="Z2625" s="19" t="str">
        <f>HYPERLINK("https://ssdweb.co/ssdweb/hd/Vision360.html?d=926480780&amp;zoomslide=1&amp;z=1926480780&amp;ISCONFIRM=0","VIDEO")</f>
        <v>VIDEO</v>
      </c>
      <c r="AA2625" s="19" t="str">
        <f>HYPERLINK("https://ssdweb.co/ssdweb/CERTH/674543266.pdf","CERTI")</f>
        <v>CERTI</v>
      </c>
    </row>
    <row r="2626" spans="1:27" ht="15" x14ac:dyDescent="0.25">
      <c r="A2626" s="2">
        <v>2621</v>
      </c>
      <c r="B2626" s="39">
        <v>926491227</v>
      </c>
      <c r="C2626" s="28" t="str">
        <f>HYPERLINK("https://pld.live/RapDetail.aspx?STONELIST=926491227","DNA")</f>
        <v>DNA</v>
      </c>
      <c r="D2626" s="18" t="s">
        <v>7954</v>
      </c>
      <c r="E2626" s="18" t="s">
        <v>5128</v>
      </c>
      <c r="F2626" s="2" t="s">
        <v>7987</v>
      </c>
      <c r="G2626" s="2" t="s">
        <v>861</v>
      </c>
      <c r="H2626" s="14">
        <v>0.3</v>
      </c>
      <c r="I2626" s="2" t="s">
        <v>267</v>
      </c>
      <c r="J2626" s="2" t="s">
        <v>13</v>
      </c>
      <c r="K2626" s="2" t="s">
        <v>5221</v>
      </c>
      <c r="L2626" s="2" t="s">
        <v>5221</v>
      </c>
      <c r="M2626" s="2" t="s">
        <v>5721</v>
      </c>
      <c r="N2626" s="2" t="s">
        <v>2317</v>
      </c>
      <c r="O2626" s="14">
        <v>2000</v>
      </c>
      <c r="P2626" s="14">
        <v>93.6</v>
      </c>
      <c r="Q2626" s="14">
        <v>128</v>
      </c>
      <c r="R2626" s="14">
        <v>38.4</v>
      </c>
      <c r="S2626" s="2" t="s">
        <v>2345</v>
      </c>
      <c r="T2626" s="2">
        <v>1.01</v>
      </c>
      <c r="U2626" s="2">
        <v>62.2</v>
      </c>
      <c r="V2626" s="2">
        <v>59</v>
      </c>
      <c r="W2626" s="2" t="s">
        <v>7862</v>
      </c>
      <c r="X2626" s="2" t="s">
        <v>5405</v>
      </c>
      <c r="Y2626" s="2">
        <v>600</v>
      </c>
      <c r="Z2626" s="19" t="str">
        <f>HYPERLINK("https://ssdweb.co/ssdweb/hd/Vision360.html?d=926491227&amp;zoomslide=1&amp;z=1926491227&amp;ISCONFIRM=0","VIDEO")</f>
        <v>VIDEO</v>
      </c>
      <c r="AA2626" s="19" t="str">
        <f>HYPERLINK("https://ssdweb.co/ssdweb/CERTH/674543062.pdf","CERTI")</f>
        <v>CERTI</v>
      </c>
    </row>
    <row r="2627" spans="1:27" ht="15" x14ac:dyDescent="0.25">
      <c r="A2627" s="2">
        <v>2622</v>
      </c>
      <c r="B2627" s="39">
        <v>926491230</v>
      </c>
      <c r="C2627" s="28" t="str">
        <f>HYPERLINK("https://pld.live/RapDetail.aspx?STONELIST=926491230","DNA")</f>
        <v>DNA</v>
      </c>
      <c r="D2627" s="18" t="s">
        <v>7954</v>
      </c>
      <c r="E2627" s="18" t="s">
        <v>5128</v>
      </c>
      <c r="F2627" s="2" t="s">
        <v>7987</v>
      </c>
      <c r="G2627" s="2" t="s">
        <v>861</v>
      </c>
      <c r="H2627" s="14">
        <v>0.3</v>
      </c>
      <c r="I2627" s="2" t="s">
        <v>267</v>
      </c>
      <c r="J2627" s="2" t="s">
        <v>13</v>
      </c>
      <c r="K2627" s="2" t="s">
        <v>5221</v>
      </c>
      <c r="L2627" s="2" t="s">
        <v>5221</v>
      </c>
      <c r="M2627" s="2" t="s">
        <v>5721</v>
      </c>
      <c r="N2627" s="2" t="s">
        <v>2317</v>
      </c>
      <c r="O2627" s="14">
        <v>2000</v>
      </c>
      <c r="P2627" s="14">
        <v>93.6</v>
      </c>
      <c r="Q2627" s="14">
        <v>128</v>
      </c>
      <c r="R2627" s="14">
        <v>38.4</v>
      </c>
      <c r="S2627" s="2" t="s">
        <v>7545</v>
      </c>
      <c r="T2627" s="2">
        <v>1.01</v>
      </c>
      <c r="U2627" s="2">
        <v>63</v>
      </c>
      <c r="V2627" s="2">
        <v>57</v>
      </c>
      <c r="W2627" s="2" t="s">
        <v>7862</v>
      </c>
      <c r="X2627" s="2" t="s">
        <v>5405</v>
      </c>
      <c r="Y2627" s="2">
        <v>600</v>
      </c>
      <c r="Z2627" s="19" t="str">
        <f>HYPERLINK("https://ssdweb.co/ssdweb/hd/Vision360.html?d=926491230&amp;zoomslide=1&amp;z=1926491230&amp;ISCONFIRM=0","VIDEO")</f>
        <v>VIDEO</v>
      </c>
      <c r="AA2627" s="19" t="str">
        <f>HYPERLINK("https://ssdweb.co/ssdweb/CERTH/674543058.pdf","CERTI")</f>
        <v>CERTI</v>
      </c>
    </row>
    <row r="2628" spans="1:27" ht="15" x14ac:dyDescent="0.25">
      <c r="A2628" s="2">
        <v>2623</v>
      </c>
      <c r="B2628" s="39">
        <v>926661596</v>
      </c>
      <c r="C2628" s="28" t="str">
        <f>HYPERLINK("https://pld.live/RapDetail.aspx?STONELIST=926661596","DNA")</f>
        <v>DNA</v>
      </c>
      <c r="D2628" s="18" t="s">
        <v>7954</v>
      </c>
      <c r="E2628" s="18" t="s">
        <v>5128</v>
      </c>
      <c r="F2628" s="2" t="s">
        <v>7987</v>
      </c>
      <c r="G2628" s="2" t="s">
        <v>861</v>
      </c>
      <c r="H2628" s="14">
        <v>0.3</v>
      </c>
      <c r="I2628" s="2" t="s">
        <v>267</v>
      </c>
      <c r="J2628" s="2" t="s">
        <v>13</v>
      </c>
      <c r="K2628" s="2" t="s">
        <v>5221</v>
      </c>
      <c r="L2628" s="2" t="s">
        <v>5221</v>
      </c>
      <c r="M2628" s="2" t="s">
        <v>5721</v>
      </c>
      <c r="N2628" s="2" t="s">
        <v>2317</v>
      </c>
      <c r="O2628" s="14">
        <v>2000</v>
      </c>
      <c r="P2628" s="14">
        <v>93.6</v>
      </c>
      <c r="Q2628" s="14">
        <v>128</v>
      </c>
      <c r="R2628" s="14">
        <v>38.4</v>
      </c>
      <c r="S2628" s="2" t="s">
        <v>608</v>
      </c>
      <c r="T2628" s="2">
        <v>1.01</v>
      </c>
      <c r="U2628" s="2">
        <v>60.7</v>
      </c>
      <c r="V2628" s="2">
        <v>62</v>
      </c>
      <c r="W2628" s="2" t="s">
        <v>7862</v>
      </c>
      <c r="X2628" s="2" t="s">
        <v>5405</v>
      </c>
      <c r="Y2628" s="2">
        <v>600</v>
      </c>
      <c r="Z2628" s="19" t="str">
        <f>HYPERLINK("https://ssdweb.co/ssdweb/hd/Vision360.html?d=926661596&amp;zoomslide=1&amp;z=1926661596&amp;ISCONFIRM=0","VIDEO")</f>
        <v>VIDEO</v>
      </c>
      <c r="AA2628" s="19" t="str">
        <f>HYPERLINK("https://ssdweb.co/ssdweb/CERTH/681569606.pdf","CERTI")</f>
        <v>CERTI</v>
      </c>
    </row>
    <row r="2629" spans="1:27" ht="15" x14ac:dyDescent="0.25">
      <c r="A2629" s="2">
        <v>2624</v>
      </c>
      <c r="B2629" s="39">
        <v>926191419</v>
      </c>
      <c r="C2629" s="28" t="str">
        <f>HYPERLINK("https://pld.live/RapDetail.aspx?STONELIST=926191419","DNA")</f>
        <v>DNA</v>
      </c>
      <c r="D2629" s="18" t="s">
        <v>7954</v>
      </c>
      <c r="E2629" s="18" t="s">
        <v>5128</v>
      </c>
      <c r="F2629" s="2" t="s">
        <v>7987</v>
      </c>
      <c r="G2629" s="2" t="s">
        <v>861</v>
      </c>
      <c r="H2629" s="14">
        <v>0.3</v>
      </c>
      <c r="I2629" s="2" t="s">
        <v>267</v>
      </c>
      <c r="J2629" s="2" t="s">
        <v>13</v>
      </c>
      <c r="K2629" s="2" t="s">
        <v>5221</v>
      </c>
      <c r="L2629" s="2" t="s">
        <v>5221</v>
      </c>
      <c r="M2629" s="2" t="s">
        <v>5721</v>
      </c>
      <c r="N2629" s="2" t="s">
        <v>2317</v>
      </c>
      <c r="O2629" s="14">
        <v>2000</v>
      </c>
      <c r="P2629" s="14">
        <v>93.6</v>
      </c>
      <c r="Q2629" s="14">
        <v>128</v>
      </c>
      <c r="R2629" s="14">
        <v>38.4</v>
      </c>
      <c r="S2629" s="2" t="s">
        <v>2113</v>
      </c>
      <c r="T2629" s="2">
        <v>1.01</v>
      </c>
      <c r="U2629" s="2">
        <v>63</v>
      </c>
      <c r="V2629" s="2">
        <v>57</v>
      </c>
      <c r="W2629" s="2" t="s">
        <v>7862</v>
      </c>
      <c r="X2629" s="2" t="s">
        <v>5405</v>
      </c>
      <c r="Y2629" s="2">
        <v>600</v>
      </c>
      <c r="Z2629" s="19" t="str">
        <f>HYPERLINK("https://ssdweb.co/ssdweb/hd/Vision360.html?d=926191419&amp;zoomslide=1&amp;z=1926191419&amp;ISCONFIRM=0","VIDEO")</f>
        <v>VIDEO</v>
      </c>
      <c r="AA2629" s="19" t="str">
        <f>HYPERLINK("https://ssdweb.co/ssdweb/CERTH/638462981.pdf","CERTI")</f>
        <v>CERTI</v>
      </c>
    </row>
    <row r="2630" spans="1:27" ht="15" x14ac:dyDescent="0.25">
      <c r="A2630" s="2">
        <v>2625</v>
      </c>
      <c r="B2630" s="39">
        <v>920661318</v>
      </c>
      <c r="C2630" s="28" t="str">
        <f>HYPERLINK("https://pld.live/RapDetail.aspx?STONELIST=920661318","DNA")</f>
        <v>DNA</v>
      </c>
      <c r="D2630" s="18" t="s">
        <v>7954</v>
      </c>
      <c r="E2630" s="18" t="s">
        <v>5128</v>
      </c>
      <c r="F2630" s="2" t="s">
        <v>7987</v>
      </c>
      <c r="G2630" s="2" t="s">
        <v>861</v>
      </c>
      <c r="H2630" s="14">
        <v>0.3</v>
      </c>
      <c r="I2630" s="2" t="s">
        <v>267</v>
      </c>
      <c r="J2630" s="2" t="s">
        <v>13</v>
      </c>
      <c r="K2630" s="2" t="s">
        <v>5221</v>
      </c>
      <c r="L2630" s="2" t="s">
        <v>5221</v>
      </c>
      <c r="M2630" s="2" t="s">
        <v>5721</v>
      </c>
      <c r="N2630" s="2" t="s">
        <v>2317</v>
      </c>
      <c r="O2630" s="14">
        <v>2000</v>
      </c>
      <c r="P2630" s="14">
        <v>93.6</v>
      </c>
      <c r="Q2630" s="14">
        <v>128</v>
      </c>
      <c r="R2630" s="14">
        <v>38.4</v>
      </c>
      <c r="S2630" s="2" t="s">
        <v>3688</v>
      </c>
      <c r="T2630" s="2">
        <v>1.01</v>
      </c>
      <c r="U2630" s="2">
        <v>62.7</v>
      </c>
      <c r="V2630" s="2">
        <v>57</v>
      </c>
      <c r="W2630" s="2" t="s">
        <v>7862</v>
      </c>
      <c r="X2630" s="2" t="s">
        <v>5405</v>
      </c>
      <c r="Y2630" s="2">
        <v>600</v>
      </c>
      <c r="Z2630" s="19" t="str">
        <f>HYPERLINK("https://ssdweb.co/ssdweb/hd/Vision360.html?d=920661318&amp;zoomslide=1&amp;z=1920661318&amp;ISCONFIRM=0","VIDEO")</f>
        <v>VIDEO</v>
      </c>
      <c r="AA2630" s="19" t="str">
        <f>HYPERLINK("https://ssdweb.co/ssdweb/CERTH/638462993.pdf","CERTI")</f>
        <v>CERTI</v>
      </c>
    </row>
    <row r="2631" spans="1:27" ht="15" x14ac:dyDescent="0.25">
      <c r="A2631" s="2">
        <v>2626</v>
      </c>
      <c r="B2631" s="39">
        <v>926261549</v>
      </c>
      <c r="C2631" s="28" t="str">
        <f>HYPERLINK("https://pld.live/RapDetail.aspx?STONELIST=926261549","DNA")</f>
        <v>DNA</v>
      </c>
      <c r="D2631" s="18" t="s">
        <v>7954</v>
      </c>
      <c r="E2631" s="18" t="s">
        <v>5128</v>
      </c>
      <c r="F2631" s="2" t="s">
        <v>7987</v>
      </c>
      <c r="G2631" s="2" t="s">
        <v>861</v>
      </c>
      <c r="H2631" s="14">
        <v>0.3</v>
      </c>
      <c r="I2631" s="2" t="s">
        <v>267</v>
      </c>
      <c r="J2631" s="2" t="s">
        <v>13</v>
      </c>
      <c r="K2631" s="2" t="s">
        <v>5221</v>
      </c>
      <c r="L2631" s="2" t="s">
        <v>5221</v>
      </c>
      <c r="M2631" s="2" t="s">
        <v>5721</v>
      </c>
      <c r="N2631" s="2" t="s">
        <v>2317</v>
      </c>
      <c r="O2631" s="14">
        <v>2000</v>
      </c>
      <c r="P2631" s="14">
        <v>93.6</v>
      </c>
      <c r="Q2631" s="14">
        <v>128</v>
      </c>
      <c r="R2631" s="14">
        <v>38.4</v>
      </c>
      <c r="S2631" s="2" t="s">
        <v>3329</v>
      </c>
      <c r="T2631" s="2">
        <v>1.01</v>
      </c>
      <c r="U2631" s="2">
        <v>61.7</v>
      </c>
      <c r="V2631" s="2">
        <v>60</v>
      </c>
      <c r="W2631" s="2" t="s">
        <v>7862</v>
      </c>
      <c r="X2631" s="2" t="s">
        <v>5405</v>
      </c>
      <c r="Y2631" s="2">
        <v>600</v>
      </c>
      <c r="Z2631" s="19" t="str">
        <f>HYPERLINK("https://ssdweb.co/ssdweb/hd/Vision360.html?d=926261549&amp;zoomslide=1&amp;z=1926261549&amp;ISCONFIRM=0","VIDEO")</f>
        <v>VIDEO</v>
      </c>
      <c r="AA2631" s="19" t="str">
        <f>HYPERLINK("https://ssdweb.co/ssdweb/CERTH/642442911.pdf","CERTI")</f>
        <v>CERTI</v>
      </c>
    </row>
    <row r="2632" spans="1:27" ht="15" x14ac:dyDescent="0.25">
      <c r="A2632" s="2">
        <v>2627</v>
      </c>
      <c r="B2632" s="39">
        <v>926240736</v>
      </c>
      <c r="C2632" s="28" t="str">
        <f>HYPERLINK("https://pld.live/RapDetail.aspx?STONELIST=926240736","DNA")</f>
        <v>DNA</v>
      </c>
      <c r="D2632" s="18" t="s">
        <v>7954</v>
      </c>
      <c r="E2632" s="18" t="s">
        <v>5128</v>
      </c>
      <c r="F2632" s="2" t="s">
        <v>7987</v>
      </c>
      <c r="G2632" s="2" t="s">
        <v>861</v>
      </c>
      <c r="H2632" s="14">
        <v>0.3</v>
      </c>
      <c r="I2632" s="2" t="s">
        <v>267</v>
      </c>
      <c r="J2632" s="2" t="s">
        <v>13</v>
      </c>
      <c r="K2632" s="2" t="s">
        <v>5221</v>
      </c>
      <c r="L2632" s="2" t="s">
        <v>5221</v>
      </c>
      <c r="M2632" s="2" t="s">
        <v>5721</v>
      </c>
      <c r="N2632" s="2" t="s">
        <v>2317</v>
      </c>
      <c r="O2632" s="14">
        <v>2000</v>
      </c>
      <c r="P2632" s="14">
        <v>93.6</v>
      </c>
      <c r="Q2632" s="14">
        <v>128</v>
      </c>
      <c r="R2632" s="14">
        <v>38.4</v>
      </c>
      <c r="S2632" s="2" t="s">
        <v>286</v>
      </c>
      <c r="T2632" s="2">
        <v>1.01</v>
      </c>
      <c r="U2632" s="2">
        <v>61.7</v>
      </c>
      <c r="V2632" s="2">
        <v>60</v>
      </c>
      <c r="W2632" s="2" t="s">
        <v>7862</v>
      </c>
      <c r="X2632" s="2" t="s">
        <v>5405</v>
      </c>
      <c r="Y2632" s="2">
        <v>600</v>
      </c>
      <c r="Z2632" s="19" t="str">
        <f>HYPERLINK("https://ssdweb.co/ssdweb/hd/Vision360.html?d=926240736&amp;zoomslide=1&amp;z=1926240736&amp;ISCONFIRM=0","VIDEO")</f>
        <v>VIDEO</v>
      </c>
      <c r="AA2632" s="19" t="str">
        <f>HYPERLINK("https://ssdweb.co/ssdweb/CERTH/642447735.pdf","CERTI")</f>
        <v>CERTI</v>
      </c>
    </row>
    <row r="2633" spans="1:27" ht="15" x14ac:dyDescent="0.25">
      <c r="A2633" s="2">
        <v>2628</v>
      </c>
      <c r="B2633" s="39">
        <v>926240912</v>
      </c>
      <c r="C2633" s="28" t="str">
        <f>HYPERLINK("https://pld.live/RapDetail.aspx?STONELIST=926240912","DNA")</f>
        <v>DNA</v>
      </c>
      <c r="D2633" s="18" t="s">
        <v>7954</v>
      </c>
      <c r="E2633" s="18" t="s">
        <v>5128</v>
      </c>
      <c r="F2633" s="2" t="s">
        <v>7987</v>
      </c>
      <c r="G2633" s="2" t="s">
        <v>861</v>
      </c>
      <c r="H2633" s="14">
        <v>0.3</v>
      </c>
      <c r="I2633" s="2" t="s">
        <v>267</v>
      </c>
      <c r="J2633" s="2" t="s">
        <v>13</v>
      </c>
      <c r="K2633" s="2" t="s">
        <v>5221</v>
      </c>
      <c r="L2633" s="2" t="s">
        <v>5221</v>
      </c>
      <c r="M2633" s="2" t="s">
        <v>5721</v>
      </c>
      <c r="N2633" s="2" t="s">
        <v>2317</v>
      </c>
      <c r="O2633" s="14">
        <v>2000</v>
      </c>
      <c r="P2633" s="14">
        <v>93.6</v>
      </c>
      <c r="Q2633" s="14">
        <v>128</v>
      </c>
      <c r="R2633" s="14">
        <v>38.4</v>
      </c>
      <c r="S2633" s="2" t="s">
        <v>1782</v>
      </c>
      <c r="T2633" s="2">
        <v>1</v>
      </c>
      <c r="U2633" s="2">
        <v>59.4</v>
      </c>
      <c r="V2633" s="2">
        <v>62</v>
      </c>
      <c r="W2633" s="2" t="s">
        <v>7862</v>
      </c>
      <c r="X2633" s="2" t="s">
        <v>5405</v>
      </c>
      <c r="Y2633" s="2">
        <v>600</v>
      </c>
      <c r="Z2633" s="19" t="str">
        <f>HYPERLINK("https://ssdweb.co/ssdweb/hd/Vision360.html?d=926240912&amp;zoomslide=1&amp;z=1926240912&amp;ISCONFIRM=0","VIDEO")</f>
        <v>VIDEO</v>
      </c>
      <c r="AA2633" s="19" t="str">
        <f>HYPERLINK("https://ssdweb.co/ssdweb/CERTH/640454184.pdf","CERTI")</f>
        <v>CERTI</v>
      </c>
    </row>
    <row r="2634" spans="1:27" ht="15" x14ac:dyDescent="0.25">
      <c r="A2634" s="2">
        <v>2629</v>
      </c>
      <c r="B2634" s="39">
        <v>926710965</v>
      </c>
      <c r="C2634" s="28" t="str">
        <f>HYPERLINK("https://pld.live/RapDetail.aspx?STONELIST=926710965","DNA")</f>
        <v>DNA</v>
      </c>
      <c r="D2634" s="18" t="s">
        <v>7954</v>
      </c>
      <c r="E2634" s="18" t="s">
        <v>5128</v>
      </c>
      <c r="F2634" s="2" t="s">
        <v>7987</v>
      </c>
      <c r="G2634" s="2" t="s">
        <v>861</v>
      </c>
      <c r="H2634" s="14">
        <v>0.3</v>
      </c>
      <c r="I2634" s="2" t="s">
        <v>267</v>
      </c>
      <c r="J2634" s="2" t="s">
        <v>13</v>
      </c>
      <c r="K2634" s="2" t="s">
        <v>5221</v>
      </c>
      <c r="L2634" s="2" t="s">
        <v>5221</v>
      </c>
      <c r="M2634" s="2" t="s">
        <v>5721</v>
      </c>
      <c r="N2634" s="2" t="s">
        <v>2317</v>
      </c>
      <c r="O2634" s="14">
        <v>2000</v>
      </c>
      <c r="P2634" s="14">
        <v>93.6</v>
      </c>
      <c r="Q2634" s="14">
        <v>128</v>
      </c>
      <c r="R2634" s="14">
        <v>38.4</v>
      </c>
      <c r="S2634" s="2" t="s">
        <v>1853</v>
      </c>
      <c r="T2634" s="2">
        <v>1.01</v>
      </c>
      <c r="U2634" s="2">
        <v>63</v>
      </c>
      <c r="V2634" s="2">
        <v>55</v>
      </c>
      <c r="W2634" s="2" t="s">
        <v>7862</v>
      </c>
      <c r="X2634" s="2" t="s">
        <v>5405</v>
      </c>
      <c r="Y2634" s="2">
        <v>600</v>
      </c>
      <c r="Z2634" s="19" t="str">
        <f>HYPERLINK("https://ssdweb.co/ssdweb/hd/Vision360.html?d=926710965&amp;zoomslide=1&amp;z=1926710965&amp;ISCONFIRM=0","VIDEO")</f>
        <v>VIDEO</v>
      </c>
      <c r="AA2634" s="19" t="str">
        <f>HYPERLINK("https://ssdweb.co/ssdweb/CERTH/674543065.pdf","CERTI")</f>
        <v>CERTI</v>
      </c>
    </row>
    <row r="2635" spans="1:27" ht="15" x14ac:dyDescent="0.25">
      <c r="A2635" s="2">
        <v>2630</v>
      </c>
      <c r="B2635" s="39">
        <v>926721332</v>
      </c>
      <c r="C2635" s="28" t="str">
        <f>HYPERLINK("https://pld.live/RapDetail.aspx?STONELIST=926721332","DNA")</f>
        <v>DNA</v>
      </c>
      <c r="D2635" s="18" t="s">
        <v>7954</v>
      </c>
      <c r="E2635" s="18" t="s">
        <v>5128</v>
      </c>
      <c r="F2635" s="2" t="s">
        <v>7987</v>
      </c>
      <c r="G2635" s="2" t="s">
        <v>861</v>
      </c>
      <c r="H2635" s="14">
        <v>0.3</v>
      </c>
      <c r="I2635" s="2" t="s">
        <v>267</v>
      </c>
      <c r="J2635" s="2" t="s">
        <v>13</v>
      </c>
      <c r="K2635" s="2" t="s">
        <v>5221</v>
      </c>
      <c r="L2635" s="2" t="s">
        <v>5221</v>
      </c>
      <c r="M2635" s="2" t="s">
        <v>5721</v>
      </c>
      <c r="N2635" s="2" t="s">
        <v>2317</v>
      </c>
      <c r="O2635" s="14">
        <v>2000</v>
      </c>
      <c r="P2635" s="14">
        <v>93.6</v>
      </c>
      <c r="Q2635" s="14">
        <v>128</v>
      </c>
      <c r="R2635" s="14">
        <v>38.4</v>
      </c>
      <c r="S2635" s="2" t="s">
        <v>957</v>
      </c>
      <c r="T2635" s="2">
        <v>1</v>
      </c>
      <c r="U2635" s="2">
        <v>60.4</v>
      </c>
      <c r="V2635" s="2">
        <v>58</v>
      </c>
      <c r="W2635" s="2" t="s">
        <v>7862</v>
      </c>
      <c r="X2635" s="2" t="s">
        <v>5405</v>
      </c>
      <c r="Y2635" s="2">
        <v>600</v>
      </c>
      <c r="Z2635" s="19" t="str">
        <f>HYPERLINK("https://ssdweb.co/ssdweb/hd/Vision360.html?d=926721332&amp;zoomslide=1&amp;z=1926721332&amp;ISCONFIRM=0","VIDEO")</f>
        <v>VIDEO</v>
      </c>
      <c r="AA2635" s="19" t="str">
        <f>HYPERLINK("https://ssdweb.co/ssdweb/CERTH/674543003.pdf","CERTI")</f>
        <v>CERTI</v>
      </c>
    </row>
    <row r="2636" spans="1:27" ht="15" x14ac:dyDescent="0.25">
      <c r="A2636" s="2">
        <v>2631</v>
      </c>
      <c r="B2636" s="39">
        <v>926721347</v>
      </c>
      <c r="C2636" s="28" t="str">
        <f>HYPERLINK("https://pld.live/RapDetail.aspx?STONELIST=926721347","DNA")</f>
        <v>DNA</v>
      </c>
      <c r="D2636" s="18" t="s">
        <v>7954</v>
      </c>
      <c r="E2636" s="18" t="s">
        <v>5128</v>
      </c>
      <c r="F2636" s="2" t="s">
        <v>7987</v>
      </c>
      <c r="G2636" s="2" t="s">
        <v>861</v>
      </c>
      <c r="H2636" s="14">
        <v>0.3</v>
      </c>
      <c r="I2636" s="2" t="s">
        <v>267</v>
      </c>
      <c r="J2636" s="2" t="s">
        <v>13</v>
      </c>
      <c r="K2636" s="2" t="s">
        <v>5221</v>
      </c>
      <c r="L2636" s="2" t="s">
        <v>5221</v>
      </c>
      <c r="M2636" s="2" t="s">
        <v>5721</v>
      </c>
      <c r="N2636" s="2" t="s">
        <v>2317</v>
      </c>
      <c r="O2636" s="14">
        <v>2000</v>
      </c>
      <c r="P2636" s="14">
        <v>93.6</v>
      </c>
      <c r="Q2636" s="14">
        <v>128</v>
      </c>
      <c r="R2636" s="14">
        <v>38.4</v>
      </c>
      <c r="S2636" s="2" t="s">
        <v>5406</v>
      </c>
      <c r="T2636" s="2">
        <v>1</v>
      </c>
      <c r="U2636" s="2">
        <v>61.4</v>
      </c>
      <c r="V2636" s="2">
        <v>61</v>
      </c>
      <c r="W2636" s="2" t="s">
        <v>7862</v>
      </c>
      <c r="X2636" s="2" t="s">
        <v>5405</v>
      </c>
      <c r="Y2636" s="2">
        <v>600</v>
      </c>
      <c r="Z2636" s="19" t="str">
        <f>HYPERLINK("https://ssdweb.co/ssdweb/hd/Vision360.html?d=926721347&amp;zoomslide=1&amp;z=1926721347&amp;ISCONFIRM=0","VIDEO")</f>
        <v>VIDEO</v>
      </c>
      <c r="AA2636" s="19" t="str">
        <f>HYPERLINK("https://ssdweb.co/ssdweb/CERTH/681569589.pdf","CERTI")</f>
        <v>CERTI</v>
      </c>
    </row>
    <row r="2637" spans="1:27" ht="15" x14ac:dyDescent="0.25">
      <c r="A2637" s="2">
        <v>2632</v>
      </c>
      <c r="B2637" s="39">
        <v>926261524</v>
      </c>
      <c r="C2637" s="28" t="str">
        <f>HYPERLINK("https://pld.live/RapDetail.aspx?STONELIST=926261524","DNA")</f>
        <v>DNA</v>
      </c>
      <c r="D2637" s="18" t="s">
        <v>7954</v>
      </c>
      <c r="E2637" s="18" t="s">
        <v>5128</v>
      </c>
      <c r="F2637" s="2" t="s">
        <v>7987</v>
      </c>
      <c r="G2637" s="2" t="s">
        <v>861</v>
      </c>
      <c r="H2637" s="14">
        <v>0.3</v>
      </c>
      <c r="I2637" s="2" t="s">
        <v>267</v>
      </c>
      <c r="J2637" s="2" t="s">
        <v>13</v>
      </c>
      <c r="K2637" s="2" t="s">
        <v>5221</v>
      </c>
      <c r="L2637" s="2" t="s">
        <v>5221</v>
      </c>
      <c r="M2637" s="2" t="s">
        <v>5721</v>
      </c>
      <c r="N2637" s="2" t="s">
        <v>2317</v>
      </c>
      <c r="O2637" s="14">
        <v>2000</v>
      </c>
      <c r="P2637" s="14">
        <v>93.6</v>
      </c>
      <c r="Q2637" s="14">
        <v>128</v>
      </c>
      <c r="R2637" s="14">
        <v>38.4</v>
      </c>
      <c r="S2637" s="2" t="s">
        <v>6240</v>
      </c>
      <c r="T2637" s="2">
        <v>1.01</v>
      </c>
      <c r="U2637" s="2">
        <v>61.1</v>
      </c>
      <c r="V2637" s="2">
        <v>61</v>
      </c>
      <c r="W2637" s="2" t="s">
        <v>7862</v>
      </c>
      <c r="X2637" s="2" t="s">
        <v>5405</v>
      </c>
      <c r="Y2637" s="2">
        <v>600</v>
      </c>
      <c r="Z2637" s="19" t="str">
        <f>HYPERLINK("https://ssdweb.co/ssdweb/hd/Vision360.html?d=926261524&amp;zoomslide=1&amp;z=1926261524&amp;ISCONFIRM=0","VIDEO")</f>
        <v>VIDEO</v>
      </c>
      <c r="AA2637" s="19" t="str">
        <f>HYPERLINK("https://ssdweb.co/ssdweb/CERTH/642442908.pdf","CERTI")</f>
        <v>CERTI</v>
      </c>
    </row>
    <row r="2638" spans="1:27" ht="15" x14ac:dyDescent="0.25">
      <c r="A2638" s="2">
        <v>2633</v>
      </c>
      <c r="B2638" s="39">
        <v>926240687</v>
      </c>
      <c r="C2638" s="28" t="str">
        <f>HYPERLINK("https://pld.live/RapDetail.aspx?STONELIST=926240687","DNA")</f>
        <v>DNA</v>
      </c>
      <c r="D2638" s="18" t="s">
        <v>7954</v>
      </c>
      <c r="E2638" s="18" t="s">
        <v>5128</v>
      </c>
      <c r="F2638" s="2" t="s">
        <v>7987</v>
      </c>
      <c r="G2638" s="2" t="s">
        <v>861</v>
      </c>
      <c r="H2638" s="14">
        <v>0.3</v>
      </c>
      <c r="I2638" s="2" t="s">
        <v>267</v>
      </c>
      <c r="J2638" s="2" t="s">
        <v>13</v>
      </c>
      <c r="K2638" s="2" t="s">
        <v>5221</v>
      </c>
      <c r="L2638" s="2" t="s">
        <v>5221</v>
      </c>
      <c r="M2638" s="2" t="s">
        <v>5721</v>
      </c>
      <c r="N2638" s="2" t="s">
        <v>2317</v>
      </c>
      <c r="O2638" s="14">
        <v>2000</v>
      </c>
      <c r="P2638" s="14">
        <v>93.6</v>
      </c>
      <c r="Q2638" s="14">
        <v>128</v>
      </c>
      <c r="R2638" s="14">
        <v>38.4</v>
      </c>
      <c r="S2638" s="2" t="s">
        <v>6517</v>
      </c>
      <c r="T2638" s="2">
        <v>1</v>
      </c>
      <c r="U2638" s="2">
        <v>62.9</v>
      </c>
      <c r="V2638" s="2">
        <v>57</v>
      </c>
      <c r="W2638" s="2" t="s">
        <v>7862</v>
      </c>
      <c r="X2638" s="2" t="s">
        <v>5405</v>
      </c>
      <c r="Y2638" s="2">
        <v>600</v>
      </c>
      <c r="Z2638" s="19" t="str">
        <f>HYPERLINK("https://ssdweb.co/ssdweb/hd/Vision360.html?d=926240687&amp;zoomslide=1&amp;z=1926240687&amp;ISCONFIRM=0","VIDEO")</f>
        <v>VIDEO</v>
      </c>
      <c r="AA2638" s="19" t="str">
        <f>HYPERLINK("https://ssdweb.co/ssdweb/CERTH/642447913.pdf","CERTI")</f>
        <v>CERTI</v>
      </c>
    </row>
    <row r="2639" spans="1:27" ht="15" x14ac:dyDescent="0.25">
      <c r="A2639" s="2">
        <v>2634</v>
      </c>
      <c r="B2639" s="39">
        <v>926731241</v>
      </c>
      <c r="C2639" s="28" t="str">
        <f>HYPERLINK("https://pld.live/RapDetail.aspx?STONELIST=926731241","DNA")</f>
        <v>DNA</v>
      </c>
      <c r="D2639" s="18" t="s">
        <v>7954</v>
      </c>
      <c r="E2639" s="18" t="s">
        <v>5128</v>
      </c>
      <c r="F2639" s="2" t="s">
        <v>7987</v>
      </c>
      <c r="G2639" s="2" t="s">
        <v>861</v>
      </c>
      <c r="H2639" s="14">
        <v>0.3</v>
      </c>
      <c r="I2639" s="2" t="s">
        <v>267</v>
      </c>
      <c r="J2639" s="2" t="s">
        <v>13</v>
      </c>
      <c r="K2639" s="2" t="s">
        <v>5221</v>
      </c>
      <c r="L2639" s="2" t="s">
        <v>5221</v>
      </c>
      <c r="M2639" s="2" t="s">
        <v>5721</v>
      </c>
      <c r="N2639" s="2" t="s">
        <v>2317</v>
      </c>
      <c r="O2639" s="14">
        <v>2000</v>
      </c>
      <c r="P2639" s="14">
        <v>93.6</v>
      </c>
      <c r="Q2639" s="14">
        <v>128</v>
      </c>
      <c r="R2639" s="14">
        <v>38.4</v>
      </c>
      <c r="S2639" s="2" t="s">
        <v>7449</v>
      </c>
      <c r="T2639" s="2">
        <v>1.01</v>
      </c>
      <c r="U2639" s="2">
        <v>63.3</v>
      </c>
      <c r="V2639" s="2">
        <v>59</v>
      </c>
      <c r="W2639" s="2" t="s">
        <v>7862</v>
      </c>
      <c r="X2639" s="2" t="s">
        <v>5405</v>
      </c>
      <c r="Y2639" s="2">
        <v>600</v>
      </c>
      <c r="Z2639" s="19" t="str">
        <f>HYPERLINK("https://ssdweb.co/ssdweb/hd/Vision360.html?d=926731241&amp;zoomslide=1&amp;z=1926731241&amp;ISCONFIRM=0","VIDEO")</f>
        <v>VIDEO</v>
      </c>
      <c r="AA2639" s="19" t="str">
        <f>HYPERLINK("https://ssdweb.co/ssdweb/CERTH/674543068.pdf","CERTI")</f>
        <v>CERTI</v>
      </c>
    </row>
    <row r="2640" spans="1:27" ht="15" x14ac:dyDescent="0.25">
      <c r="A2640" s="2">
        <v>2635</v>
      </c>
      <c r="B2640" s="39">
        <v>926261475</v>
      </c>
      <c r="C2640" s="28" t="str">
        <f>HYPERLINK("https://pld.live/RapDetail.aspx?STONELIST=926261475","DNA")</f>
        <v>DNA</v>
      </c>
      <c r="D2640" s="18" t="s">
        <v>7954</v>
      </c>
      <c r="E2640" s="18" t="s">
        <v>5128</v>
      </c>
      <c r="F2640" s="2" t="s">
        <v>7987</v>
      </c>
      <c r="G2640" s="2" t="s">
        <v>861</v>
      </c>
      <c r="H2640" s="14">
        <v>0.3</v>
      </c>
      <c r="I2640" s="2" t="s">
        <v>267</v>
      </c>
      <c r="J2640" s="2" t="s">
        <v>13</v>
      </c>
      <c r="K2640" s="2" t="s">
        <v>5221</v>
      </c>
      <c r="L2640" s="2" t="s">
        <v>5221</v>
      </c>
      <c r="M2640" s="2" t="s">
        <v>5721</v>
      </c>
      <c r="N2640" s="2" t="s">
        <v>2317</v>
      </c>
      <c r="O2640" s="14">
        <v>2000</v>
      </c>
      <c r="P2640" s="14">
        <v>93.6</v>
      </c>
      <c r="Q2640" s="14">
        <v>128</v>
      </c>
      <c r="R2640" s="14">
        <v>38.4</v>
      </c>
      <c r="S2640" s="2" t="s">
        <v>2328</v>
      </c>
      <c r="T2640" s="2">
        <v>1.01</v>
      </c>
      <c r="U2640" s="2">
        <v>63.1</v>
      </c>
      <c r="V2640" s="2">
        <v>56</v>
      </c>
      <c r="W2640" s="2" t="s">
        <v>7862</v>
      </c>
      <c r="X2640" s="2" t="s">
        <v>5405</v>
      </c>
      <c r="Y2640" s="2">
        <v>600</v>
      </c>
      <c r="Z2640" s="19" t="str">
        <f>HYPERLINK("https://ssdweb.co/ssdweb/hd/Vision360.html?d=926261475&amp;zoomslide=1&amp;z=1926261475&amp;ISCONFIRM=0","VIDEO")</f>
        <v>VIDEO</v>
      </c>
      <c r="AA2640" s="19" t="str">
        <f>HYPERLINK("https://ssdweb.co/ssdweb/CERTH/642447811.pdf","CERTI")</f>
        <v>CERTI</v>
      </c>
    </row>
    <row r="2641" spans="1:27" ht="15" x14ac:dyDescent="0.25">
      <c r="A2641" s="2">
        <v>2636</v>
      </c>
      <c r="B2641" s="39">
        <v>926261448</v>
      </c>
      <c r="C2641" s="28" t="str">
        <f>HYPERLINK("https://pld.live/RapDetail.aspx?STONELIST=926261448","DNA")</f>
        <v>DNA</v>
      </c>
      <c r="D2641" s="18" t="s">
        <v>7954</v>
      </c>
      <c r="E2641" s="18" t="s">
        <v>5128</v>
      </c>
      <c r="F2641" s="2" t="s">
        <v>7987</v>
      </c>
      <c r="G2641" s="2" t="s">
        <v>861</v>
      </c>
      <c r="H2641" s="14">
        <v>0.3</v>
      </c>
      <c r="I2641" s="2" t="s">
        <v>267</v>
      </c>
      <c r="J2641" s="2" t="s">
        <v>13</v>
      </c>
      <c r="K2641" s="2" t="s">
        <v>5221</v>
      </c>
      <c r="L2641" s="2" t="s">
        <v>5221</v>
      </c>
      <c r="M2641" s="2" t="s">
        <v>5721</v>
      </c>
      <c r="N2641" s="2" t="s">
        <v>2317</v>
      </c>
      <c r="O2641" s="14">
        <v>2000</v>
      </c>
      <c r="P2641" s="14">
        <v>93.6</v>
      </c>
      <c r="Q2641" s="14">
        <v>128</v>
      </c>
      <c r="R2641" s="14">
        <v>38.4</v>
      </c>
      <c r="S2641" s="2" t="s">
        <v>6981</v>
      </c>
      <c r="T2641" s="2">
        <v>1.01</v>
      </c>
      <c r="U2641" s="2">
        <v>62.3</v>
      </c>
      <c r="V2641" s="2">
        <v>58</v>
      </c>
      <c r="W2641" s="2" t="s">
        <v>7862</v>
      </c>
      <c r="X2641" s="2" t="s">
        <v>5405</v>
      </c>
      <c r="Y2641" s="2">
        <v>600</v>
      </c>
      <c r="Z2641" s="19" t="str">
        <f>HYPERLINK("https://ssdweb.co/ssdweb/hd/Vision360.html?d=926261448&amp;zoomslide=1&amp;z=1926261448&amp;ISCONFIRM=0","VIDEO")</f>
        <v>VIDEO</v>
      </c>
      <c r="AA2641" s="19" t="str">
        <f>HYPERLINK("https://ssdweb.co/ssdweb/CERTH/642442878.pdf","CERTI")</f>
        <v>CERTI</v>
      </c>
    </row>
    <row r="2642" spans="1:27" ht="15" x14ac:dyDescent="0.25">
      <c r="A2642" s="2">
        <v>2637</v>
      </c>
      <c r="B2642" s="39">
        <v>926261439</v>
      </c>
      <c r="C2642" s="28" t="str">
        <f>HYPERLINK("https://pld.live/RapDetail.aspx?STONELIST=926261439","DNA")</f>
        <v>DNA</v>
      </c>
      <c r="D2642" s="18" t="s">
        <v>7954</v>
      </c>
      <c r="E2642" s="18" t="s">
        <v>5128</v>
      </c>
      <c r="F2642" s="2" t="s">
        <v>7987</v>
      </c>
      <c r="G2642" s="2" t="s">
        <v>861</v>
      </c>
      <c r="H2642" s="14">
        <v>0.3</v>
      </c>
      <c r="I2642" s="2" t="s">
        <v>267</v>
      </c>
      <c r="J2642" s="2" t="s">
        <v>13</v>
      </c>
      <c r="K2642" s="2" t="s">
        <v>5221</v>
      </c>
      <c r="L2642" s="2" t="s">
        <v>5221</v>
      </c>
      <c r="M2642" s="2" t="s">
        <v>5721</v>
      </c>
      <c r="N2642" s="2" t="s">
        <v>2317</v>
      </c>
      <c r="O2642" s="14">
        <v>2000</v>
      </c>
      <c r="P2642" s="14">
        <v>93.6</v>
      </c>
      <c r="Q2642" s="14">
        <v>128</v>
      </c>
      <c r="R2642" s="14">
        <v>38.4</v>
      </c>
      <c r="S2642" s="2" t="s">
        <v>7789</v>
      </c>
      <c r="T2642" s="2">
        <v>1.01</v>
      </c>
      <c r="U2642" s="2">
        <v>58.6</v>
      </c>
      <c r="V2642" s="2">
        <v>62</v>
      </c>
      <c r="W2642" s="2" t="s">
        <v>7862</v>
      </c>
      <c r="X2642" s="2" t="s">
        <v>5405</v>
      </c>
      <c r="Y2642" s="2">
        <v>600</v>
      </c>
      <c r="Z2642" s="19" t="str">
        <f>HYPERLINK("https://ssdweb.co/ssdweb/hd/Vision360.html?d=926261439&amp;zoomslide=1&amp;z=1926261439&amp;ISCONFIRM=0","VIDEO")</f>
        <v>VIDEO</v>
      </c>
      <c r="AA2642" s="19" t="str">
        <f>HYPERLINK("https://ssdweb.co/ssdweb/CERTH/642442871.pdf","CERTI")</f>
        <v>CERTI</v>
      </c>
    </row>
    <row r="2643" spans="1:27" ht="15" x14ac:dyDescent="0.25">
      <c r="A2643" s="2">
        <v>2638</v>
      </c>
      <c r="B2643" s="39">
        <v>926240683</v>
      </c>
      <c r="C2643" s="28" t="str">
        <f>HYPERLINK("https://pld.live/RapDetail.aspx?STONELIST=926240683","DNA")</f>
        <v>DNA</v>
      </c>
      <c r="D2643" s="18" t="s">
        <v>7954</v>
      </c>
      <c r="E2643" s="18" t="s">
        <v>5128</v>
      </c>
      <c r="F2643" s="2" t="s">
        <v>7987</v>
      </c>
      <c r="G2643" s="2" t="s">
        <v>861</v>
      </c>
      <c r="H2643" s="14">
        <v>0.3</v>
      </c>
      <c r="I2643" s="2" t="s">
        <v>267</v>
      </c>
      <c r="J2643" s="2" t="s">
        <v>13</v>
      </c>
      <c r="K2643" s="2" t="s">
        <v>5221</v>
      </c>
      <c r="L2643" s="2" t="s">
        <v>5221</v>
      </c>
      <c r="M2643" s="2" t="s">
        <v>5721</v>
      </c>
      <c r="N2643" s="2" t="s">
        <v>2317</v>
      </c>
      <c r="O2643" s="14">
        <v>2000</v>
      </c>
      <c r="P2643" s="14">
        <v>93.6</v>
      </c>
      <c r="Q2643" s="14">
        <v>128</v>
      </c>
      <c r="R2643" s="14">
        <v>38.4</v>
      </c>
      <c r="S2643" s="2" t="s">
        <v>3863</v>
      </c>
      <c r="T2643" s="2">
        <v>1.01</v>
      </c>
      <c r="U2643" s="2">
        <v>59.9</v>
      </c>
      <c r="V2643" s="2">
        <v>61</v>
      </c>
      <c r="W2643" s="2" t="s">
        <v>7862</v>
      </c>
      <c r="X2643" s="2" t="s">
        <v>5405</v>
      </c>
      <c r="Y2643" s="2">
        <v>600</v>
      </c>
      <c r="Z2643" s="19" t="str">
        <f>HYPERLINK("https://ssdweb.co/ssdweb/hd/Vision360.html?d=926240683&amp;zoomslide=1&amp;z=1926240683&amp;ISCONFIRM=0","VIDEO")</f>
        <v>VIDEO</v>
      </c>
      <c r="AA2643" s="19" t="str">
        <f>HYPERLINK("https://ssdweb.co/ssdweb/CERTH/642447916.pdf","CERTI")</f>
        <v>CERTI</v>
      </c>
    </row>
    <row r="2644" spans="1:27" ht="15" x14ac:dyDescent="0.25">
      <c r="A2644" s="2">
        <v>2639</v>
      </c>
      <c r="B2644" s="39">
        <v>821127877</v>
      </c>
      <c r="C2644" s="28" t="str">
        <f>HYPERLINK("https://pld.live/RapDetail.aspx?STONELIST=821127877","DNA")</f>
        <v>DNA</v>
      </c>
      <c r="D2644" s="18" t="s">
        <v>7954</v>
      </c>
      <c r="E2644" s="18" t="s">
        <v>5128</v>
      </c>
      <c r="F2644" s="2" t="s">
        <v>7987</v>
      </c>
      <c r="G2644" s="2" t="s">
        <v>861</v>
      </c>
      <c r="H2644" s="14">
        <v>0.3</v>
      </c>
      <c r="I2644" s="2" t="s">
        <v>267</v>
      </c>
      <c r="J2644" s="2" t="s">
        <v>13</v>
      </c>
      <c r="K2644" s="2" t="s">
        <v>5221</v>
      </c>
      <c r="L2644" s="2" t="s">
        <v>5221</v>
      </c>
      <c r="M2644" s="2" t="s">
        <v>5721</v>
      </c>
      <c r="N2644" s="2" t="s">
        <v>2317</v>
      </c>
      <c r="O2644" s="14">
        <v>2000</v>
      </c>
      <c r="P2644" s="14">
        <v>93.6</v>
      </c>
      <c r="Q2644" s="14">
        <v>128</v>
      </c>
      <c r="R2644" s="14">
        <v>38.4</v>
      </c>
      <c r="S2644" s="2" t="s">
        <v>4746</v>
      </c>
      <c r="T2644" s="2">
        <v>1.01</v>
      </c>
      <c r="U2644" s="2">
        <v>60.3</v>
      </c>
      <c r="V2644" s="2">
        <v>61</v>
      </c>
      <c r="W2644" s="2" t="s">
        <v>7862</v>
      </c>
      <c r="X2644" s="2" t="s">
        <v>5405</v>
      </c>
      <c r="Y2644" s="2">
        <v>600</v>
      </c>
      <c r="Z2644" s="19" t="str">
        <f>HYPERLINK("https://ssdweb.co/ssdweb/hd/Vision360.html?d=821127877&amp;zoomslide=1&amp;z=1821127877&amp;ISCONFIRM=0","VIDEO")</f>
        <v>VIDEO</v>
      </c>
      <c r="AA2644" s="19" t="str">
        <f>HYPERLINK("https://ssdweb.co/ssdweb/CERTH/633499543.pdf","CERTI")</f>
        <v>CERTI</v>
      </c>
    </row>
    <row r="2645" spans="1:27" ht="15" x14ac:dyDescent="0.25">
      <c r="A2645" s="2">
        <v>2640</v>
      </c>
      <c r="B2645" s="39">
        <v>926231351</v>
      </c>
      <c r="C2645" s="28" t="str">
        <f>HYPERLINK("https://pld.live/RapDetail.aspx?STONELIST=926231351","DNA")</f>
        <v>DNA</v>
      </c>
      <c r="D2645" s="18" t="s">
        <v>7954</v>
      </c>
      <c r="E2645" s="18" t="s">
        <v>5128</v>
      </c>
      <c r="F2645" s="2" t="s">
        <v>7987</v>
      </c>
      <c r="G2645" s="2" t="s">
        <v>861</v>
      </c>
      <c r="H2645" s="14">
        <v>0.3</v>
      </c>
      <c r="I2645" s="2" t="s">
        <v>267</v>
      </c>
      <c r="J2645" s="2" t="s">
        <v>13</v>
      </c>
      <c r="K2645" s="2" t="s">
        <v>5221</v>
      </c>
      <c r="L2645" s="2" t="s">
        <v>5221</v>
      </c>
      <c r="M2645" s="2" t="s">
        <v>5721</v>
      </c>
      <c r="N2645" s="2" t="s">
        <v>2317</v>
      </c>
      <c r="O2645" s="14">
        <v>2000</v>
      </c>
      <c r="P2645" s="14">
        <v>93.6</v>
      </c>
      <c r="Q2645" s="14">
        <v>128</v>
      </c>
      <c r="R2645" s="14">
        <v>38.4</v>
      </c>
      <c r="S2645" s="2" t="s">
        <v>428</v>
      </c>
      <c r="T2645" s="2">
        <v>1</v>
      </c>
      <c r="U2645" s="2">
        <v>62.3</v>
      </c>
      <c r="V2645" s="2">
        <v>58</v>
      </c>
      <c r="W2645" s="2" t="s">
        <v>7862</v>
      </c>
      <c r="X2645" s="2" t="s">
        <v>5405</v>
      </c>
      <c r="Y2645" s="2">
        <v>600</v>
      </c>
      <c r="Z2645" s="19" t="str">
        <f>HYPERLINK("https://ssdweb.co/ssdweb/hd/Vision360.html?d=926231351&amp;zoomslide=1&amp;z=1926231351&amp;ISCONFIRM=0","VIDEO")</f>
        <v>VIDEO</v>
      </c>
      <c r="AA2645" s="19" t="str">
        <f>HYPERLINK("https://ssdweb.co/ssdweb/CERTH/642447774.pdf","CERTI")</f>
        <v>CERTI</v>
      </c>
    </row>
    <row r="2646" spans="1:27" ht="15" x14ac:dyDescent="0.25">
      <c r="A2646" s="2">
        <v>2641</v>
      </c>
      <c r="B2646" s="39">
        <v>941190424</v>
      </c>
      <c r="C2646" s="28" t="str">
        <f>HYPERLINK("https://pld.live/RapDetail.aspx?STONELIST=941190424","DNA")</f>
        <v>DNA</v>
      </c>
      <c r="D2646" s="18" t="s">
        <v>7954</v>
      </c>
      <c r="E2646" s="18" t="s">
        <v>5128</v>
      </c>
      <c r="F2646" s="2" t="s">
        <v>7987</v>
      </c>
      <c r="G2646" s="2" t="s">
        <v>861</v>
      </c>
      <c r="H2646" s="14">
        <v>0.3</v>
      </c>
      <c r="I2646" s="2" t="s">
        <v>267</v>
      </c>
      <c r="J2646" s="2" t="s">
        <v>13</v>
      </c>
      <c r="K2646" s="2" t="s">
        <v>5221</v>
      </c>
      <c r="L2646" s="2" t="s">
        <v>5221</v>
      </c>
      <c r="M2646" s="2" t="s">
        <v>5721</v>
      </c>
      <c r="N2646" s="2" t="s">
        <v>2317</v>
      </c>
      <c r="O2646" s="14">
        <v>2000</v>
      </c>
      <c r="P2646" s="14">
        <v>93.6</v>
      </c>
      <c r="Q2646" s="14">
        <v>128</v>
      </c>
      <c r="R2646" s="14">
        <v>38.4</v>
      </c>
      <c r="S2646" s="2" t="s">
        <v>8005</v>
      </c>
      <c r="T2646" s="2">
        <v>1.01</v>
      </c>
      <c r="U2646" s="2">
        <v>60.1</v>
      </c>
      <c r="V2646" s="2">
        <v>56</v>
      </c>
      <c r="W2646" s="2" t="s">
        <v>7862</v>
      </c>
      <c r="X2646" s="2" t="s">
        <v>5405</v>
      </c>
      <c r="Y2646" s="2">
        <v>600</v>
      </c>
      <c r="Z2646" s="19" t="str">
        <f>HYPERLINK("https://ssdweb.co/ssdweb/hd/Vision360.html?d=941190424&amp;zoomslide=1&amp;z=1941190424&amp;ISCONFIRM=0","VIDEO")</f>
        <v>VIDEO</v>
      </c>
      <c r="AA2646" s="19" t="str">
        <f>HYPERLINK("https://ssdweb.co/ssdweb/CERTH/681569569.pdf","CERTI")</f>
        <v>CERTI</v>
      </c>
    </row>
    <row r="2647" spans="1:27" ht="15" x14ac:dyDescent="0.25">
      <c r="A2647" s="2">
        <v>2642</v>
      </c>
      <c r="B2647" s="39">
        <v>926391257</v>
      </c>
      <c r="C2647" s="28" t="str">
        <f>HYPERLINK("https://pld.live/RapDetail.aspx?STONELIST=926391257","DNA")</f>
        <v>DNA</v>
      </c>
      <c r="D2647" s="18" t="s">
        <v>7954</v>
      </c>
      <c r="E2647" s="18" t="s">
        <v>5128</v>
      </c>
      <c r="F2647" s="2" t="s">
        <v>7987</v>
      </c>
      <c r="G2647" s="2" t="s">
        <v>861</v>
      </c>
      <c r="H2647" s="14">
        <v>0.3</v>
      </c>
      <c r="I2647" s="2" t="s">
        <v>267</v>
      </c>
      <c r="J2647" s="2" t="s">
        <v>13</v>
      </c>
      <c r="K2647" s="2" t="s">
        <v>5221</v>
      </c>
      <c r="L2647" s="2" t="s">
        <v>5221</v>
      </c>
      <c r="M2647" s="2" t="s">
        <v>5721</v>
      </c>
      <c r="N2647" s="2" t="s">
        <v>2317</v>
      </c>
      <c r="O2647" s="14">
        <v>2000</v>
      </c>
      <c r="P2647" s="14">
        <v>93.6</v>
      </c>
      <c r="Q2647" s="14">
        <v>128</v>
      </c>
      <c r="R2647" s="14">
        <v>38.4</v>
      </c>
      <c r="S2647" s="2" t="s">
        <v>1171</v>
      </c>
      <c r="T2647" s="2">
        <v>1.01</v>
      </c>
      <c r="U2647" s="2">
        <v>63.1</v>
      </c>
      <c r="V2647" s="2">
        <v>59</v>
      </c>
      <c r="W2647" s="2" t="s">
        <v>7862</v>
      </c>
      <c r="X2647" s="2" t="s">
        <v>5405</v>
      </c>
      <c r="Y2647" s="2">
        <v>600</v>
      </c>
      <c r="Z2647" s="19" t="str">
        <f>HYPERLINK("https://ssdweb.co/ssdweb/hd/Vision360.html?d=926391257&amp;zoomslide=1&amp;z=1926391257&amp;ISCONFIRM=0","VIDEO")</f>
        <v>VIDEO</v>
      </c>
      <c r="AA2647" s="19" t="str">
        <f>HYPERLINK("https://ssdweb.co/ssdweb/CERTH/667408549.pdf","CERTI")</f>
        <v>CERTI</v>
      </c>
    </row>
    <row r="2648" spans="1:27" ht="15" x14ac:dyDescent="0.25">
      <c r="A2648" s="2">
        <v>2643</v>
      </c>
      <c r="B2648" s="39">
        <v>926391285</v>
      </c>
      <c r="C2648" s="28" t="str">
        <f>HYPERLINK("https://pld.live/RapDetail.aspx?STONELIST=926391285","DNA")</f>
        <v>DNA</v>
      </c>
      <c r="D2648" s="18" t="s">
        <v>7954</v>
      </c>
      <c r="E2648" s="18" t="s">
        <v>5128</v>
      </c>
      <c r="F2648" s="2" t="s">
        <v>7987</v>
      </c>
      <c r="G2648" s="2" t="s">
        <v>861</v>
      </c>
      <c r="H2648" s="14">
        <v>0.3</v>
      </c>
      <c r="I2648" s="2" t="s">
        <v>267</v>
      </c>
      <c r="J2648" s="2" t="s">
        <v>13</v>
      </c>
      <c r="K2648" s="2" t="s">
        <v>5221</v>
      </c>
      <c r="L2648" s="2" t="s">
        <v>5221</v>
      </c>
      <c r="M2648" s="2" t="s">
        <v>5721</v>
      </c>
      <c r="N2648" s="2" t="s">
        <v>2317</v>
      </c>
      <c r="O2648" s="14">
        <v>2000</v>
      </c>
      <c r="P2648" s="14">
        <v>93.6</v>
      </c>
      <c r="Q2648" s="14">
        <v>128</v>
      </c>
      <c r="R2648" s="14">
        <v>38.4</v>
      </c>
      <c r="S2648" s="2" t="s">
        <v>6457</v>
      </c>
      <c r="T2648" s="2">
        <v>1.01</v>
      </c>
      <c r="U2648" s="2">
        <v>62.6</v>
      </c>
      <c r="V2648" s="2">
        <v>55</v>
      </c>
      <c r="W2648" s="2" t="s">
        <v>7862</v>
      </c>
      <c r="X2648" s="2" t="s">
        <v>5405</v>
      </c>
      <c r="Y2648" s="2">
        <v>600</v>
      </c>
      <c r="Z2648" s="19" t="str">
        <f>HYPERLINK("https://ssdweb.co/ssdweb/hd/Vision360.html?d=926391285&amp;zoomslide=1&amp;z=1926391285&amp;ISCONFIRM=0","VIDEO")</f>
        <v>VIDEO</v>
      </c>
      <c r="AA2648" s="19" t="str">
        <f>HYPERLINK("https://ssdweb.co/ssdweb/CERTH/667408533.pdf","CERTI")</f>
        <v>CERTI</v>
      </c>
    </row>
    <row r="2649" spans="1:27" ht="15" x14ac:dyDescent="0.25">
      <c r="A2649" s="2">
        <v>2644</v>
      </c>
      <c r="B2649" s="39">
        <v>926391287</v>
      </c>
      <c r="C2649" s="28" t="str">
        <f>HYPERLINK("https://pld.live/RapDetail.aspx?STONELIST=926391287","DNA")</f>
        <v>DNA</v>
      </c>
      <c r="D2649" s="18" t="s">
        <v>7954</v>
      </c>
      <c r="E2649" s="18" t="s">
        <v>5128</v>
      </c>
      <c r="F2649" s="2" t="s">
        <v>7987</v>
      </c>
      <c r="G2649" s="2" t="s">
        <v>861</v>
      </c>
      <c r="H2649" s="14">
        <v>0.3</v>
      </c>
      <c r="I2649" s="2" t="s">
        <v>267</v>
      </c>
      <c r="J2649" s="2" t="s">
        <v>13</v>
      </c>
      <c r="K2649" s="2" t="s">
        <v>5221</v>
      </c>
      <c r="L2649" s="2" t="s">
        <v>5221</v>
      </c>
      <c r="M2649" s="2" t="s">
        <v>5721</v>
      </c>
      <c r="N2649" s="2" t="s">
        <v>2317</v>
      </c>
      <c r="O2649" s="14">
        <v>2000</v>
      </c>
      <c r="P2649" s="14">
        <v>93.6</v>
      </c>
      <c r="Q2649" s="14">
        <v>128</v>
      </c>
      <c r="R2649" s="14">
        <v>38.4</v>
      </c>
      <c r="S2649" s="2" t="s">
        <v>2861</v>
      </c>
      <c r="T2649" s="2">
        <v>1</v>
      </c>
      <c r="U2649" s="2">
        <v>59.8</v>
      </c>
      <c r="V2649" s="2">
        <v>61</v>
      </c>
      <c r="W2649" s="2" t="s">
        <v>7862</v>
      </c>
      <c r="X2649" s="2" t="s">
        <v>5405</v>
      </c>
      <c r="Y2649" s="2">
        <v>600</v>
      </c>
      <c r="Z2649" s="19" t="str">
        <f>HYPERLINK("https://ssdweb.co/ssdweb/hd/Vision360.html?d=926391287&amp;zoomslide=1&amp;z=1926391287&amp;ISCONFIRM=0","VIDEO")</f>
        <v>VIDEO</v>
      </c>
      <c r="AA2649" s="19" t="str">
        <f>HYPERLINK("https://ssdweb.co/ssdweb/CERTH/667408541.pdf","CERTI")</f>
        <v>CERTI</v>
      </c>
    </row>
    <row r="2650" spans="1:27" ht="15" x14ac:dyDescent="0.25">
      <c r="A2650" s="2">
        <v>2645</v>
      </c>
      <c r="B2650" s="39">
        <v>926391326</v>
      </c>
      <c r="C2650" s="28" t="str">
        <f>HYPERLINK("https://pld.live/RapDetail.aspx?STONELIST=926391326","DNA")</f>
        <v>DNA</v>
      </c>
      <c r="D2650" s="18" t="s">
        <v>7954</v>
      </c>
      <c r="E2650" s="18" t="s">
        <v>5128</v>
      </c>
      <c r="F2650" s="2" t="s">
        <v>7987</v>
      </c>
      <c r="G2650" s="2" t="s">
        <v>861</v>
      </c>
      <c r="H2650" s="14">
        <v>0.3</v>
      </c>
      <c r="I2650" s="2" t="s">
        <v>267</v>
      </c>
      <c r="J2650" s="2" t="s">
        <v>13</v>
      </c>
      <c r="K2650" s="2" t="s">
        <v>5221</v>
      </c>
      <c r="L2650" s="2" t="s">
        <v>5221</v>
      </c>
      <c r="M2650" s="2" t="s">
        <v>5721</v>
      </c>
      <c r="N2650" s="2" t="s">
        <v>2317</v>
      </c>
      <c r="O2650" s="14">
        <v>2000</v>
      </c>
      <c r="P2650" s="14">
        <v>93.6</v>
      </c>
      <c r="Q2650" s="14">
        <v>128</v>
      </c>
      <c r="R2650" s="14">
        <v>38.4</v>
      </c>
      <c r="S2650" s="2" t="s">
        <v>2483</v>
      </c>
      <c r="T2650" s="2">
        <v>1.01</v>
      </c>
      <c r="U2650" s="2">
        <v>62.9</v>
      </c>
      <c r="V2650" s="2">
        <v>57</v>
      </c>
      <c r="W2650" s="2" t="s">
        <v>7862</v>
      </c>
      <c r="X2650" s="2" t="s">
        <v>5405</v>
      </c>
      <c r="Y2650" s="2">
        <v>600</v>
      </c>
      <c r="Z2650" s="19" t="str">
        <f>HYPERLINK("https://ssdweb.co/ssdweb/hd/Vision360.html?d=926391326&amp;zoomslide=1&amp;z=1926391326&amp;ISCONFIRM=0","VIDEO")</f>
        <v>VIDEO</v>
      </c>
      <c r="AA2650" s="19" t="str">
        <f>HYPERLINK("https://ssdweb.co/ssdweb/CERTH/667408540.pdf","CERTI")</f>
        <v>CERTI</v>
      </c>
    </row>
    <row r="2651" spans="1:27" ht="15" x14ac:dyDescent="0.25">
      <c r="A2651" s="2">
        <v>2646</v>
      </c>
      <c r="B2651" s="39">
        <v>925210038</v>
      </c>
      <c r="C2651" s="28" t="str">
        <f>HYPERLINK("https://pld.live/RapDetail.aspx?STONELIST=925210038","DNA")</f>
        <v>DNA</v>
      </c>
      <c r="D2651" s="18" t="s">
        <v>7954</v>
      </c>
      <c r="E2651" s="18" t="s">
        <v>5128</v>
      </c>
      <c r="F2651" s="2" t="s">
        <v>5597</v>
      </c>
      <c r="G2651" s="2" t="s">
        <v>861</v>
      </c>
      <c r="H2651" s="14">
        <v>0.3</v>
      </c>
      <c r="I2651" s="2" t="s">
        <v>267</v>
      </c>
      <c r="J2651" s="2" t="s">
        <v>13</v>
      </c>
      <c r="K2651" s="2" t="s">
        <v>5221</v>
      </c>
      <c r="L2651" s="2" t="s">
        <v>5221</v>
      </c>
      <c r="M2651" s="2" t="s">
        <v>5721</v>
      </c>
      <c r="N2651" s="2" t="s">
        <v>2317</v>
      </c>
      <c r="O2651" s="14">
        <v>2000</v>
      </c>
      <c r="P2651" s="14">
        <v>85.95</v>
      </c>
      <c r="Q2651" s="14">
        <v>281</v>
      </c>
      <c r="R2651" s="14">
        <v>84.3</v>
      </c>
      <c r="S2651" s="2" t="s">
        <v>4378</v>
      </c>
      <c r="T2651" s="2">
        <v>1.01</v>
      </c>
      <c r="U2651" s="2">
        <v>62</v>
      </c>
      <c r="V2651" s="2">
        <v>58</v>
      </c>
      <c r="W2651" s="2" t="s">
        <v>7862</v>
      </c>
      <c r="X2651" s="2" t="s">
        <v>5405</v>
      </c>
      <c r="Y2651" s="2">
        <v>600</v>
      </c>
      <c r="Z2651" s="19" t="str">
        <f>HYPERLINK("https://ssdweb.co/ssdweb/hd/Vision360.html?d=925210038&amp;zoomslide=1&amp;z=1925210038&amp;ISCONFIRM=0","VIDEO")</f>
        <v>VIDEO</v>
      </c>
      <c r="AA2651" s="19" t="str">
        <f>HYPERLINK("https://ssdweb.co/ssdweb/CERTH/6481188139.pdf","CERTI")</f>
        <v>CERTI</v>
      </c>
    </row>
    <row r="2652" spans="1:27" ht="15" x14ac:dyDescent="0.25">
      <c r="A2652" s="2">
        <v>2647</v>
      </c>
      <c r="B2652" s="39">
        <v>926391384</v>
      </c>
      <c r="C2652" s="28" t="str">
        <f>HYPERLINK("https://pld.live/RapDetail.aspx?STONELIST=926391384","DNA")</f>
        <v>DNA</v>
      </c>
      <c r="D2652" s="18" t="s">
        <v>7954</v>
      </c>
      <c r="E2652" s="18" t="s">
        <v>5128</v>
      </c>
      <c r="F2652" s="2" t="s">
        <v>7987</v>
      </c>
      <c r="G2652" s="2" t="s">
        <v>861</v>
      </c>
      <c r="H2652" s="14">
        <v>0.3</v>
      </c>
      <c r="I2652" s="2" t="s">
        <v>267</v>
      </c>
      <c r="J2652" s="2" t="s">
        <v>13</v>
      </c>
      <c r="K2652" s="2" t="s">
        <v>5221</v>
      </c>
      <c r="L2652" s="2" t="s">
        <v>5221</v>
      </c>
      <c r="M2652" s="2" t="s">
        <v>5721</v>
      </c>
      <c r="N2652" s="2" t="s">
        <v>2317</v>
      </c>
      <c r="O2652" s="14">
        <v>2000</v>
      </c>
      <c r="P2652" s="14">
        <v>93.6</v>
      </c>
      <c r="Q2652" s="14">
        <v>128</v>
      </c>
      <c r="R2652" s="14">
        <v>38.4</v>
      </c>
      <c r="S2652" s="2" t="s">
        <v>4113</v>
      </c>
      <c r="T2652" s="2">
        <v>1.01</v>
      </c>
      <c r="U2652" s="2">
        <v>61.5</v>
      </c>
      <c r="V2652" s="2">
        <v>59</v>
      </c>
      <c r="W2652" s="2" t="s">
        <v>7862</v>
      </c>
      <c r="X2652" s="2" t="s">
        <v>5405</v>
      </c>
      <c r="Y2652" s="2">
        <v>600</v>
      </c>
      <c r="Z2652" s="19" t="str">
        <f>HYPERLINK("https://ssdweb.co/ssdweb/hd/Vision360.html?d=926391384&amp;zoomslide=1&amp;z=1926391384&amp;ISCONFIRM=0","VIDEO")</f>
        <v>VIDEO</v>
      </c>
      <c r="AA2652" s="19" t="str">
        <f>HYPERLINK("https://ssdweb.co/ssdweb/CERTH/667408528.pdf","CERTI")</f>
        <v>CERTI</v>
      </c>
    </row>
    <row r="2653" spans="1:27" ht="15" x14ac:dyDescent="0.25">
      <c r="A2653" s="2">
        <v>2648</v>
      </c>
      <c r="B2653" s="39">
        <v>926391479</v>
      </c>
      <c r="C2653" s="28" t="str">
        <f>HYPERLINK("https://pld.live/RapDetail.aspx?STONELIST=926391479","DNA")</f>
        <v>DNA</v>
      </c>
      <c r="D2653" s="18" t="s">
        <v>7954</v>
      </c>
      <c r="E2653" s="18" t="s">
        <v>5128</v>
      </c>
      <c r="F2653" s="2" t="s">
        <v>7987</v>
      </c>
      <c r="G2653" s="2" t="s">
        <v>861</v>
      </c>
      <c r="H2653" s="14">
        <v>0.3</v>
      </c>
      <c r="I2653" s="2" t="s">
        <v>267</v>
      </c>
      <c r="J2653" s="2" t="s">
        <v>13</v>
      </c>
      <c r="K2653" s="2" t="s">
        <v>5221</v>
      </c>
      <c r="L2653" s="2" t="s">
        <v>5221</v>
      </c>
      <c r="M2653" s="2" t="s">
        <v>5721</v>
      </c>
      <c r="N2653" s="2" t="s">
        <v>2317</v>
      </c>
      <c r="O2653" s="14">
        <v>2000</v>
      </c>
      <c r="P2653" s="14">
        <v>93.6</v>
      </c>
      <c r="Q2653" s="14">
        <v>128</v>
      </c>
      <c r="R2653" s="14">
        <v>38.4</v>
      </c>
      <c r="S2653" s="2" t="s">
        <v>7726</v>
      </c>
      <c r="T2653" s="2">
        <v>1.01</v>
      </c>
      <c r="U2653" s="2">
        <v>62.6</v>
      </c>
      <c r="V2653" s="2">
        <v>57</v>
      </c>
      <c r="W2653" s="2" t="s">
        <v>7862</v>
      </c>
      <c r="X2653" s="2" t="s">
        <v>5405</v>
      </c>
      <c r="Y2653" s="2">
        <v>600</v>
      </c>
      <c r="Z2653" s="19" t="str">
        <f>HYPERLINK("https://ssdweb.co/ssdweb/hd/Vision360.html?d=926391479&amp;zoomslide=1&amp;z=1926391479&amp;ISCONFIRM=0","VIDEO")</f>
        <v>VIDEO</v>
      </c>
      <c r="AA2653" s="19" t="str">
        <f>HYPERLINK("https://ssdweb.co/ssdweb/CERTH/667408491.pdf","CERTI")</f>
        <v>CERTI</v>
      </c>
    </row>
    <row r="2654" spans="1:27" ht="15" x14ac:dyDescent="0.25">
      <c r="A2654" s="2">
        <v>2649</v>
      </c>
      <c r="B2654" s="39">
        <v>926400598</v>
      </c>
      <c r="C2654" s="28" t="str">
        <f>HYPERLINK("https://pld.live/RapDetail.aspx?STONELIST=926400598","DNA")</f>
        <v>DNA</v>
      </c>
      <c r="D2654" s="18" t="s">
        <v>7954</v>
      </c>
      <c r="E2654" s="18" t="s">
        <v>5128</v>
      </c>
      <c r="F2654" s="2" t="s">
        <v>7987</v>
      </c>
      <c r="G2654" s="2" t="s">
        <v>861</v>
      </c>
      <c r="H2654" s="14">
        <v>0.3</v>
      </c>
      <c r="I2654" s="2" t="s">
        <v>267</v>
      </c>
      <c r="J2654" s="2" t="s">
        <v>13</v>
      </c>
      <c r="K2654" s="2" t="s">
        <v>5221</v>
      </c>
      <c r="L2654" s="2" t="s">
        <v>5221</v>
      </c>
      <c r="M2654" s="2" t="s">
        <v>5721</v>
      </c>
      <c r="N2654" s="2" t="s">
        <v>2317</v>
      </c>
      <c r="O2654" s="14">
        <v>2000</v>
      </c>
      <c r="P2654" s="14">
        <v>93.6</v>
      </c>
      <c r="Q2654" s="14">
        <v>128</v>
      </c>
      <c r="R2654" s="14">
        <v>38.4</v>
      </c>
      <c r="S2654" s="2" t="s">
        <v>685</v>
      </c>
      <c r="T2654" s="2">
        <v>1.01</v>
      </c>
      <c r="U2654" s="2">
        <v>61.4</v>
      </c>
      <c r="V2654" s="2">
        <v>62</v>
      </c>
      <c r="W2654" s="2" t="s">
        <v>7862</v>
      </c>
      <c r="X2654" s="2" t="s">
        <v>5405</v>
      </c>
      <c r="Y2654" s="2">
        <v>600</v>
      </c>
      <c r="Z2654" s="19" t="str">
        <f>HYPERLINK("https://ssdweb.co/ssdweb/hd/Vision360.html?d=926400598&amp;zoomslide=1&amp;z=1926400598&amp;ISCONFIRM=0","VIDEO")</f>
        <v>VIDEO</v>
      </c>
      <c r="AA2654" s="19" t="str">
        <f>HYPERLINK("https://ssdweb.co/ssdweb/CERTH/667408569.pdf","CERTI")</f>
        <v>CERTI</v>
      </c>
    </row>
    <row r="2655" spans="1:27" ht="15" x14ac:dyDescent="0.25">
      <c r="A2655" s="2">
        <v>2650</v>
      </c>
      <c r="B2655" s="39">
        <v>926141555</v>
      </c>
      <c r="C2655" s="28" t="str">
        <f>HYPERLINK("https://pld.live/RapDetail.aspx?STONELIST=926141555","DNA")</f>
        <v>DNA</v>
      </c>
      <c r="D2655" s="18" t="s">
        <v>7954</v>
      </c>
      <c r="E2655" s="18" t="s">
        <v>5128</v>
      </c>
      <c r="F2655" s="2" t="s">
        <v>7987</v>
      </c>
      <c r="G2655" s="2" t="s">
        <v>861</v>
      </c>
      <c r="H2655" s="14">
        <v>0.3</v>
      </c>
      <c r="I2655" s="2" t="s">
        <v>267</v>
      </c>
      <c r="J2655" s="2" t="s">
        <v>13</v>
      </c>
      <c r="K2655" s="2" t="s">
        <v>5221</v>
      </c>
      <c r="L2655" s="2" t="s">
        <v>5221</v>
      </c>
      <c r="M2655" s="2" t="s">
        <v>5721</v>
      </c>
      <c r="N2655" s="2" t="s">
        <v>2317</v>
      </c>
      <c r="O2655" s="14">
        <v>2000</v>
      </c>
      <c r="P2655" s="14">
        <v>93.6</v>
      </c>
      <c r="Q2655" s="14">
        <v>128</v>
      </c>
      <c r="R2655" s="14">
        <v>38.4</v>
      </c>
      <c r="S2655" s="2" t="s">
        <v>4363</v>
      </c>
      <c r="T2655" s="2">
        <v>1</v>
      </c>
      <c r="U2655" s="2">
        <v>62.5</v>
      </c>
      <c r="V2655" s="2">
        <v>57</v>
      </c>
      <c r="W2655" s="2" t="s">
        <v>7862</v>
      </c>
      <c r="X2655" s="2" t="s">
        <v>5405</v>
      </c>
      <c r="Y2655" s="2">
        <v>600</v>
      </c>
      <c r="Z2655" s="19" t="str">
        <f>HYPERLINK("https://ssdweb.co/ssdweb/hd/Vision360.html?d=926141555&amp;zoomslide=1&amp;z=1926141555&amp;ISCONFIRM=0","VIDEO")</f>
        <v>VIDEO</v>
      </c>
      <c r="AA2655" s="19" t="str">
        <f>HYPERLINK("https://ssdweb.co/ssdweb/CERTH/638462933.pdf","CERTI")</f>
        <v>CERTI</v>
      </c>
    </row>
    <row r="2656" spans="1:27" ht="15" x14ac:dyDescent="0.25">
      <c r="A2656" s="2">
        <v>2651</v>
      </c>
      <c r="B2656" s="39">
        <v>926171579</v>
      </c>
      <c r="C2656" s="28" t="str">
        <f>HYPERLINK("https://pld.live/RapDetail.aspx?STONELIST=926171579","DNA")</f>
        <v>DNA</v>
      </c>
      <c r="D2656" s="18" t="s">
        <v>7954</v>
      </c>
      <c r="E2656" s="18" t="s">
        <v>5128</v>
      </c>
      <c r="F2656" s="2" t="s">
        <v>7987</v>
      </c>
      <c r="G2656" s="2" t="s">
        <v>861</v>
      </c>
      <c r="H2656" s="14">
        <v>0.3</v>
      </c>
      <c r="I2656" s="2" t="s">
        <v>267</v>
      </c>
      <c r="J2656" s="2" t="s">
        <v>13</v>
      </c>
      <c r="K2656" s="2" t="s">
        <v>5221</v>
      </c>
      <c r="L2656" s="2" t="s">
        <v>5221</v>
      </c>
      <c r="M2656" s="2" t="s">
        <v>5721</v>
      </c>
      <c r="N2656" s="2" t="s">
        <v>2317</v>
      </c>
      <c r="O2656" s="14">
        <v>2000</v>
      </c>
      <c r="P2656" s="14">
        <v>93.6</v>
      </c>
      <c r="Q2656" s="14">
        <v>128</v>
      </c>
      <c r="R2656" s="14">
        <v>38.4</v>
      </c>
      <c r="S2656" s="2" t="s">
        <v>3043</v>
      </c>
      <c r="T2656" s="2">
        <v>1</v>
      </c>
      <c r="U2656" s="2">
        <v>63.1</v>
      </c>
      <c r="V2656" s="2">
        <v>56</v>
      </c>
      <c r="W2656" s="2" t="s">
        <v>7862</v>
      </c>
      <c r="X2656" s="2" t="s">
        <v>5405</v>
      </c>
      <c r="Y2656" s="2">
        <v>600</v>
      </c>
      <c r="Z2656" s="19" t="str">
        <f>HYPERLINK("https://ssdweb.co/ssdweb/hd/Vision360.html?d=926171579&amp;zoomslide=1&amp;z=1926171579&amp;ISCONFIRM=0","VIDEO")</f>
        <v>VIDEO</v>
      </c>
      <c r="AA2656" s="19" t="str">
        <f>HYPERLINK("https://ssdweb.co/ssdweb/CERTH/636429654.pdf","CERTI")</f>
        <v>CERTI</v>
      </c>
    </row>
    <row r="2657" spans="1:27" ht="15" x14ac:dyDescent="0.25">
      <c r="A2657" s="2">
        <v>2652</v>
      </c>
      <c r="B2657" s="39">
        <v>926171558</v>
      </c>
      <c r="C2657" s="28" t="str">
        <f>HYPERLINK("https://pld.live/RapDetail.aspx?STONELIST=926171558","DNA")</f>
        <v>DNA</v>
      </c>
      <c r="D2657" s="18" t="s">
        <v>7954</v>
      </c>
      <c r="E2657" s="18" t="s">
        <v>5128</v>
      </c>
      <c r="F2657" s="2" t="s">
        <v>7987</v>
      </c>
      <c r="G2657" s="2" t="s">
        <v>861</v>
      </c>
      <c r="H2657" s="14">
        <v>0.3</v>
      </c>
      <c r="I2657" s="2" t="s">
        <v>267</v>
      </c>
      <c r="J2657" s="2" t="s">
        <v>13</v>
      </c>
      <c r="K2657" s="2" t="s">
        <v>5221</v>
      </c>
      <c r="L2657" s="2" t="s">
        <v>5221</v>
      </c>
      <c r="M2657" s="2" t="s">
        <v>5721</v>
      </c>
      <c r="N2657" s="2" t="s">
        <v>2317</v>
      </c>
      <c r="O2657" s="14">
        <v>2000</v>
      </c>
      <c r="P2657" s="14">
        <v>93.6</v>
      </c>
      <c r="Q2657" s="14">
        <v>128</v>
      </c>
      <c r="R2657" s="14">
        <v>38.4</v>
      </c>
      <c r="S2657" s="2" t="s">
        <v>994</v>
      </c>
      <c r="T2657" s="2">
        <v>1.01</v>
      </c>
      <c r="U2657" s="2">
        <v>60.5</v>
      </c>
      <c r="V2657" s="2">
        <v>56</v>
      </c>
      <c r="W2657" s="2" t="s">
        <v>7862</v>
      </c>
      <c r="X2657" s="2" t="s">
        <v>5405</v>
      </c>
      <c r="Y2657" s="2">
        <v>600</v>
      </c>
      <c r="Z2657" s="19" t="str">
        <f>HYPERLINK("https://ssdweb.co/ssdweb/hd/Vision360.html?d=926171558&amp;zoomslide=1&amp;z=1926171558&amp;ISCONFIRM=0","VIDEO")</f>
        <v>VIDEO</v>
      </c>
      <c r="AA2657" s="19" t="str">
        <f>HYPERLINK("https://ssdweb.co/ssdweb/CERTH/642447659.pdf","CERTI")</f>
        <v>CERTI</v>
      </c>
    </row>
    <row r="2658" spans="1:27" ht="15" x14ac:dyDescent="0.25">
      <c r="A2658" s="2">
        <v>2653</v>
      </c>
      <c r="B2658" s="39">
        <v>925910493</v>
      </c>
      <c r="C2658" s="28" t="str">
        <f>HYPERLINK("https://pld.live/RapDetail.aspx?STONELIST=925910493","DNA")</f>
        <v>DNA</v>
      </c>
      <c r="D2658" s="18" t="s">
        <v>7954</v>
      </c>
      <c r="E2658" s="18" t="s">
        <v>5128</v>
      </c>
      <c r="F2658" s="2" t="s">
        <v>7987</v>
      </c>
      <c r="G2658" s="2" t="s">
        <v>861</v>
      </c>
      <c r="H2658" s="14">
        <v>0.3</v>
      </c>
      <c r="I2658" s="2" t="s">
        <v>267</v>
      </c>
      <c r="J2658" s="2" t="s">
        <v>13</v>
      </c>
      <c r="K2658" s="2" t="s">
        <v>5221</v>
      </c>
      <c r="L2658" s="2" t="s">
        <v>5721</v>
      </c>
      <c r="M2658" s="2" t="s">
        <v>5221</v>
      </c>
      <c r="N2658" s="2" t="s">
        <v>2317</v>
      </c>
      <c r="O2658" s="14">
        <v>2000</v>
      </c>
      <c r="P2658" s="14">
        <v>93.6</v>
      </c>
      <c r="Q2658" s="14">
        <v>128</v>
      </c>
      <c r="R2658" s="14">
        <v>38.4</v>
      </c>
      <c r="S2658" s="2" t="s">
        <v>930</v>
      </c>
      <c r="T2658" s="2">
        <v>1.01</v>
      </c>
      <c r="U2658" s="2">
        <v>63.4</v>
      </c>
      <c r="V2658" s="2">
        <v>57</v>
      </c>
      <c r="W2658" s="2" t="s">
        <v>7862</v>
      </c>
      <c r="X2658" s="2" t="s">
        <v>5405</v>
      </c>
      <c r="Y2658" s="2">
        <v>600</v>
      </c>
      <c r="Z2658" s="19" t="str">
        <f>HYPERLINK("https://ssdweb.co/ssdweb/hd/Vision360.html?d=925910493&amp;zoomslide=1&amp;z=1925910493&amp;ISCONFIRM=0","VIDEO")</f>
        <v>VIDEO</v>
      </c>
      <c r="AA2658" s="19" t="str">
        <f>HYPERLINK("https://ssdweb.co/ssdweb/CERTH/627427353.pdf","CERTI")</f>
        <v>CERTI</v>
      </c>
    </row>
    <row r="2659" spans="1:27" ht="15" x14ac:dyDescent="0.25">
      <c r="A2659" s="2">
        <v>2654</v>
      </c>
      <c r="B2659" s="39">
        <v>920661543</v>
      </c>
      <c r="C2659" s="28" t="str">
        <f>HYPERLINK("https://pld.live/RapDetail.aspx?STONELIST=920661543","DNA")</f>
        <v>DNA</v>
      </c>
      <c r="D2659" s="18" t="s">
        <v>7954</v>
      </c>
      <c r="E2659" s="18" t="s">
        <v>5128</v>
      </c>
      <c r="F2659" s="2" t="s">
        <v>7987</v>
      </c>
      <c r="G2659" s="2" t="s">
        <v>861</v>
      </c>
      <c r="H2659" s="14">
        <v>0.3</v>
      </c>
      <c r="I2659" s="2" t="s">
        <v>267</v>
      </c>
      <c r="J2659" s="2" t="s">
        <v>13</v>
      </c>
      <c r="K2659" s="2" t="s">
        <v>5221</v>
      </c>
      <c r="L2659" s="2" t="s">
        <v>5721</v>
      </c>
      <c r="M2659" s="2" t="s">
        <v>5221</v>
      </c>
      <c r="N2659" s="2" t="s">
        <v>2317</v>
      </c>
      <c r="O2659" s="14">
        <v>2000</v>
      </c>
      <c r="P2659" s="14">
        <v>93.6</v>
      </c>
      <c r="Q2659" s="14">
        <v>128</v>
      </c>
      <c r="R2659" s="14">
        <v>38.4</v>
      </c>
      <c r="S2659" s="2" t="s">
        <v>7744</v>
      </c>
      <c r="T2659" s="2">
        <v>1.01</v>
      </c>
      <c r="U2659" s="2">
        <v>62.9</v>
      </c>
      <c r="V2659" s="2">
        <v>61</v>
      </c>
      <c r="W2659" s="2" t="s">
        <v>7862</v>
      </c>
      <c r="X2659" s="2" t="s">
        <v>5405</v>
      </c>
      <c r="Y2659" s="2">
        <v>600</v>
      </c>
      <c r="Z2659" s="19" t="str">
        <f>HYPERLINK("https://ssdweb.co/ssdweb/hd/Vision360.html?d=920661543&amp;zoomslide=1&amp;z=1920661543&amp;ISCONFIRM=0","VIDEO")</f>
        <v>VIDEO</v>
      </c>
      <c r="AA2659" s="19" t="str">
        <f>HYPERLINK("https://ssdweb.co/ssdweb/CERTH/639406011.pdf","CERTI")</f>
        <v>CERTI</v>
      </c>
    </row>
    <row r="2660" spans="1:27" ht="15" x14ac:dyDescent="0.25">
      <c r="A2660" s="2">
        <v>2655</v>
      </c>
      <c r="B2660" s="39">
        <v>926230957</v>
      </c>
      <c r="C2660" s="28" t="str">
        <f>HYPERLINK("https://pld.live/RapDetail.aspx?STONELIST=926230957","DNA")</f>
        <v>DNA</v>
      </c>
      <c r="D2660" s="18" t="s">
        <v>7954</v>
      </c>
      <c r="E2660" s="18" t="s">
        <v>5128</v>
      </c>
      <c r="F2660" s="2" t="s">
        <v>7987</v>
      </c>
      <c r="G2660" s="2" t="s">
        <v>861</v>
      </c>
      <c r="H2660" s="14">
        <v>0.3</v>
      </c>
      <c r="I2660" s="2" t="s">
        <v>267</v>
      </c>
      <c r="J2660" s="2" t="s">
        <v>13</v>
      </c>
      <c r="K2660" s="2" t="s">
        <v>5221</v>
      </c>
      <c r="L2660" s="2" t="s">
        <v>5721</v>
      </c>
      <c r="M2660" s="2" t="s">
        <v>5221</v>
      </c>
      <c r="N2660" s="2" t="s">
        <v>2317</v>
      </c>
      <c r="O2660" s="14">
        <v>2000</v>
      </c>
      <c r="P2660" s="14">
        <v>93.6</v>
      </c>
      <c r="Q2660" s="14">
        <v>128</v>
      </c>
      <c r="R2660" s="14">
        <v>38.4</v>
      </c>
      <c r="S2660" s="2" t="s">
        <v>491</v>
      </c>
      <c r="T2660" s="2">
        <v>1.01</v>
      </c>
      <c r="U2660" s="2">
        <v>63</v>
      </c>
      <c r="V2660" s="2">
        <v>58</v>
      </c>
      <c r="W2660" s="2" t="s">
        <v>7862</v>
      </c>
      <c r="X2660" s="2" t="s">
        <v>5405</v>
      </c>
      <c r="Y2660" s="2">
        <v>600</v>
      </c>
      <c r="Z2660" s="19" t="str">
        <f>HYPERLINK("https://ssdweb.co/ssdweb/hd/Vision360.html?d=926230957&amp;zoomslide=1&amp;z=1926230957&amp;ISCONFIRM=0","VIDEO")</f>
        <v>VIDEO</v>
      </c>
      <c r="AA2660" s="19" t="str">
        <f>HYPERLINK("https://ssdweb.co/ssdweb/CERTH/639406089.pdf","CERTI")</f>
        <v>CERTI</v>
      </c>
    </row>
    <row r="2661" spans="1:27" ht="15" x14ac:dyDescent="0.25">
      <c r="A2661" s="2">
        <v>2656</v>
      </c>
      <c r="B2661" s="39">
        <v>926191357</v>
      </c>
      <c r="C2661" s="28" t="str">
        <f>HYPERLINK("https://pld.live/RapDetail.aspx?STONELIST=926191357","DNA")</f>
        <v>DNA</v>
      </c>
      <c r="D2661" s="18" t="s">
        <v>7954</v>
      </c>
      <c r="E2661" s="18" t="s">
        <v>5128</v>
      </c>
      <c r="F2661" s="2" t="s">
        <v>7987</v>
      </c>
      <c r="G2661" s="2" t="s">
        <v>861</v>
      </c>
      <c r="H2661" s="14">
        <v>0.3</v>
      </c>
      <c r="I2661" s="2" t="s">
        <v>267</v>
      </c>
      <c r="J2661" s="2" t="s">
        <v>13</v>
      </c>
      <c r="K2661" s="2" t="s">
        <v>5221</v>
      </c>
      <c r="L2661" s="2" t="s">
        <v>5721</v>
      </c>
      <c r="M2661" s="2" t="s">
        <v>5221</v>
      </c>
      <c r="N2661" s="2" t="s">
        <v>2317</v>
      </c>
      <c r="O2661" s="14">
        <v>2000</v>
      </c>
      <c r="P2661" s="14">
        <v>93.6</v>
      </c>
      <c r="Q2661" s="14">
        <v>128</v>
      </c>
      <c r="R2661" s="14">
        <v>38.4</v>
      </c>
      <c r="S2661" s="2" t="s">
        <v>3788</v>
      </c>
      <c r="T2661" s="2">
        <v>1</v>
      </c>
      <c r="U2661" s="2">
        <v>62.5</v>
      </c>
      <c r="V2661" s="2">
        <v>57</v>
      </c>
      <c r="W2661" s="2" t="s">
        <v>7862</v>
      </c>
      <c r="X2661" s="2" t="s">
        <v>5405</v>
      </c>
      <c r="Y2661" s="2">
        <v>600</v>
      </c>
      <c r="Z2661" s="19" t="str">
        <f>HYPERLINK("https://ssdweb.co/ssdweb/hd/Vision360.html?d=926191357&amp;zoomslide=1&amp;z=1926191357&amp;ISCONFIRM=0","VIDEO")</f>
        <v>VIDEO</v>
      </c>
      <c r="AA2661" s="19" t="str">
        <f>HYPERLINK("https://ssdweb.co/ssdweb/CERTH/638462997.pdf","CERTI")</f>
        <v>CERTI</v>
      </c>
    </row>
    <row r="2662" spans="1:27" ht="15" x14ac:dyDescent="0.25">
      <c r="A2662" s="2">
        <v>2657</v>
      </c>
      <c r="B2662" s="39">
        <v>926191430</v>
      </c>
      <c r="C2662" s="28" t="str">
        <f>HYPERLINK("https://pld.live/RapDetail.aspx?STONELIST=926191430","DNA")</f>
        <v>DNA</v>
      </c>
      <c r="D2662" s="18" t="s">
        <v>7954</v>
      </c>
      <c r="E2662" s="18" t="s">
        <v>5128</v>
      </c>
      <c r="F2662" s="2" t="s">
        <v>7987</v>
      </c>
      <c r="G2662" s="2" t="s">
        <v>861</v>
      </c>
      <c r="H2662" s="14">
        <v>0.3</v>
      </c>
      <c r="I2662" s="2" t="s">
        <v>267</v>
      </c>
      <c r="J2662" s="2" t="s">
        <v>13</v>
      </c>
      <c r="K2662" s="2" t="s">
        <v>5221</v>
      </c>
      <c r="L2662" s="2" t="s">
        <v>5721</v>
      </c>
      <c r="M2662" s="2" t="s">
        <v>5221</v>
      </c>
      <c r="N2662" s="2" t="s">
        <v>2317</v>
      </c>
      <c r="O2662" s="14">
        <v>2000</v>
      </c>
      <c r="P2662" s="14">
        <v>93.6</v>
      </c>
      <c r="Q2662" s="14">
        <v>128</v>
      </c>
      <c r="R2662" s="14">
        <v>38.4</v>
      </c>
      <c r="S2662" s="2" t="s">
        <v>5979</v>
      </c>
      <c r="T2662" s="2">
        <v>1.01</v>
      </c>
      <c r="U2662" s="2">
        <v>62.3</v>
      </c>
      <c r="V2662" s="2">
        <v>58</v>
      </c>
      <c r="W2662" s="2" t="s">
        <v>7862</v>
      </c>
      <c r="X2662" s="2" t="s">
        <v>5405</v>
      </c>
      <c r="Y2662" s="2">
        <v>600</v>
      </c>
      <c r="Z2662" s="19" t="str">
        <f>HYPERLINK("https://ssdweb.co/ssdweb/hd/Vision360.html?d=926191430&amp;zoomslide=1&amp;z=1926191430&amp;ISCONFIRM=0","VIDEO")</f>
        <v>VIDEO</v>
      </c>
      <c r="AA2662" s="19" t="str">
        <f>HYPERLINK("https://ssdweb.co/ssdweb/CERTH/638463125.pdf","CERTI")</f>
        <v>CERTI</v>
      </c>
    </row>
    <row r="2663" spans="1:27" ht="15" x14ac:dyDescent="0.25">
      <c r="A2663" s="2">
        <v>2658</v>
      </c>
      <c r="B2663" s="39">
        <v>926231054</v>
      </c>
      <c r="C2663" s="28" t="str">
        <f>HYPERLINK("https://pld.live/RapDetail.aspx?STONELIST=926231054","DNA")</f>
        <v>DNA</v>
      </c>
      <c r="D2663" s="18" t="s">
        <v>7954</v>
      </c>
      <c r="E2663" s="18" t="s">
        <v>5128</v>
      </c>
      <c r="F2663" s="2" t="s">
        <v>7987</v>
      </c>
      <c r="G2663" s="2" t="s">
        <v>861</v>
      </c>
      <c r="H2663" s="14">
        <v>0.3</v>
      </c>
      <c r="I2663" s="2" t="s">
        <v>267</v>
      </c>
      <c r="J2663" s="2" t="s">
        <v>13</v>
      </c>
      <c r="K2663" s="2" t="s">
        <v>5221</v>
      </c>
      <c r="L2663" s="2" t="s">
        <v>5721</v>
      </c>
      <c r="M2663" s="2" t="s">
        <v>5221</v>
      </c>
      <c r="N2663" s="2" t="s">
        <v>2317</v>
      </c>
      <c r="O2663" s="14">
        <v>2000</v>
      </c>
      <c r="P2663" s="14">
        <v>93.6</v>
      </c>
      <c r="Q2663" s="14">
        <v>128</v>
      </c>
      <c r="R2663" s="14">
        <v>38.4</v>
      </c>
      <c r="S2663" s="2" t="s">
        <v>6457</v>
      </c>
      <c r="T2663" s="2">
        <v>1.01</v>
      </c>
      <c r="U2663" s="2">
        <v>62.6</v>
      </c>
      <c r="V2663" s="2">
        <v>58</v>
      </c>
      <c r="W2663" s="2" t="s">
        <v>7862</v>
      </c>
      <c r="X2663" s="2" t="s">
        <v>5405</v>
      </c>
      <c r="Y2663" s="2">
        <v>600</v>
      </c>
      <c r="Z2663" s="19" t="str">
        <f>HYPERLINK("https://ssdweb.co/ssdweb/hd/Vision360.html?d=926231054&amp;zoomslide=1&amp;z=1926231054&amp;ISCONFIRM=0","VIDEO")</f>
        <v>VIDEO</v>
      </c>
      <c r="AA2663" s="19" t="str">
        <f>HYPERLINK("https://ssdweb.co/ssdweb/CERTH/642447699.pdf","CERTI")</f>
        <v>CERTI</v>
      </c>
    </row>
    <row r="2664" spans="1:27" ht="15" x14ac:dyDescent="0.25">
      <c r="A2664" s="2">
        <v>2659</v>
      </c>
      <c r="B2664" s="39">
        <v>926201085</v>
      </c>
      <c r="C2664" s="28" t="str">
        <f>HYPERLINK("https://pld.live/RapDetail.aspx?STONELIST=926201085","DNA")</f>
        <v>DNA</v>
      </c>
      <c r="D2664" s="18" t="s">
        <v>7954</v>
      </c>
      <c r="E2664" s="18" t="s">
        <v>5128</v>
      </c>
      <c r="F2664" s="2" t="s">
        <v>7987</v>
      </c>
      <c r="G2664" s="2" t="s">
        <v>861</v>
      </c>
      <c r="H2664" s="14">
        <v>0.3</v>
      </c>
      <c r="I2664" s="2" t="s">
        <v>267</v>
      </c>
      <c r="J2664" s="2" t="s">
        <v>13</v>
      </c>
      <c r="K2664" s="2" t="s">
        <v>5221</v>
      </c>
      <c r="L2664" s="2" t="s">
        <v>5721</v>
      </c>
      <c r="M2664" s="2" t="s">
        <v>5221</v>
      </c>
      <c r="N2664" s="2" t="s">
        <v>2317</v>
      </c>
      <c r="O2664" s="14">
        <v>2000</v>
      </c>
      <c r="P2664" s="14">
        <v>93.6</v>
      </c>
      <c r="Q2664" s="14">
        <v>128</v>
      </c>
      <c r="R2664" s="14">
        <v>38.4</v>
      </c>
      <c r="S2664" s="2" t="s">
        <v>127</v>
      </c>
      <c r="T2664" s="2">
        <v>1.01</v>
      </c>
      <c r="U2664" s="2">
        <v>60.8</v>
      </c>
      <c r="V2664" s="2">
        <v>61</v>
      </c>
      <c r="W2664" s="2" t="s">
        <v>7862</v>
      </c>
      <c r="X2664" s="2" t="s">
        <v>5405</v>
      </c>
      <c r="Y2664" s="2">
        <v>600</v>
      </c>
      <c r="Z2664" s="19" t="str">
        <f>HYPERLINK("https://ssdweb.co/ssdweb/hd/Vision360.html?d=926201085&amp;zoomslide=1&amp;z=1926201085&amp;ISCONFIRM=0","VIDEO")</f>
        <v>VIDEO</v>
      </c>
      <c r="AA2664" s="19" t="str">
        <f>HYPERLINK("https://ssdweb.co/ssdweb/CERTH/636429730.pdf","CERTI")</f>
        <v>CERTI</v>
      </c>
    </row>
    <row r="2665" spans="1:27" ht="15" x14ac:dyDescent="0.25">
      <c r="A2665" s="2">
        <v>2660</v>
      </c>
      <c r="B2665" s="39">
        <v>926301088</v>
      </c>
      <c r="C2665" s="28" t="str">
        <f>HYPERLINK("https://pld.live/RapDetail.aspx?STONELIST=926301088","DNA")</f>
        <v>DNA</v>
      </c>
      <c r="D2665" s="18" t="s">
        <v>7954</v>
      </c>
      <c r="E2665" s="18" t="s">
        <v>5128</v>
      </c>
      <c r="F2665" s="2" t="s">
        <v>7987</v>
      </c>
      <c r="G2665" s="2" t="s">
        <v>861</v>
      </c>
      <c r="H2665" s="14">
        <v>0.3</v>
      </c>
      <c r="I2665" s="2" t="s">
        <v>267</v>
      </c>
      <c r="J2665" s="2" t="s">
        <v>13</v>
      </c>
      <c r="K2665" s="2" t="s">
        <v>5221</v>
      </c>
      <c r="L2665" s="2" t="s">
        <v>5721</v>
      </c>
      <c r="M2665" s="2" t="s">
        <v>5221</v>
      </c>
      <c r="N2665" s="2" t="s">
        <v>2317</v>
      </c>
      <c r="O2665" s="14">
        <v>2000</v>
      </c>
      <c r="P2665" s="14">
        <v>93.6</v>
      </c>
      <c r="Q2665" s="14">
        <v>128</v>
      </c>
      <c r="R2665" s="14">
        <v>38.4</v>
      </c>
      <c r="S2665" s="2" t="s">
        <v>1292</v>
      </c>
      <c r="T2665" s="2">
        <v>1</v>
      </c>
      <c r="U2665" s="2">
        <v>62.6</v>
      </c>
      <c r="V2665" s="2">
        <v>58</v>
      </c>
      <c r="W2665" s="2" t="s">
        <v>7862</v>
      </c>
      <c r="X2665" s="2" t="s">
        <v>5405</v>
      </c>
      <c r="Y2665" s="2">
        <v>600</v>
      </c>
      <c r="Z2665" s="19" t="str">
        <f>HYPERLINK("https://ssdweb.co/ssdweb/hd/Vision360.html?d=926301088&amp;zoomslide=1&amp;z=1926301088&amp;ISCONFIRM=0","VIDEO")</f>
        <v>VIDEO</v>
      </c>
      <c r="AA2665" s="19" t="str">
        <f>HYPERLINK("https://ssdweb.co/ssdweb/CERTH/642460599.pdf","CERTI")</f>
        <v>CERTI</v>
      </c>
    </row>
    <row r="2666" spans="1:27" ht="15" x14ac:dyDescent="0.25">
      <c r="A2666" s="2">
        <v>2661</v>
      </c>
      <c r="B2666" s="39">
        <v>926341108</v>
      </c>
      <c r="C2666" s="28" t="str">
        <f>HYPERLINK("https://pld.live/RapDetail.aspx?STONELIST=926341108","DNA")</f>
        <v>DNA</v>
      </c>
      <c r="D2666" s="18" t="s">
        <v>7954</v>
      </c>
      <c r="E2666" s="18" t="s">
        <v>5128</v>
      </c>
      <c r="F2666" s="2" t="s">
        <v>5597</v>
      </c>
      <c r="G2666" s="2" t="s">
        <v>861</v>
      </c>
      <c r="H2666" s="14">
        <v>0.3</v>
      </c>
      <c r="I2666" s="2" t="s">
        <v>267</v>
      </c>
      <c r="J2666" s="2" t="s">
        <v>13</v>
      </c>
      <c r="K2666" s="2" t="s">
        <v>5221</v>
      </c>
      <c r="L2666" s="2" t="s">
        <v>5721</v>
      </c>
      <c r="M2666" s="2" t="s">
        <v>5221</v>
      </c>
      <c r="N2666" s="2" t="s">
        <v>2317</v>
      </c>
      <c r="O2666" s="14">
        <v>2000</v>
      </c>
      <c r="P2666" s="14">
        <v>85.85</v>
      </c>
      <c r="Q2666" s="14">
        <v>283</v>
      </c>
      <c r="R2666" s="14">
        <v>84.9</v>
      </c>
      <c r="S2666" s="2" t="s">
        <v>7658</v>
      </c>
      <c r="T2666" s="2">
        <v>1</v>
      </c>
      <c r="U2666" s="2">
        <v>62.3</v>
      </c>
      <c r="V2666" s="2">
        <v>56</v>
      </c>
      <c r="W2666" s="2" t="s">
        <v>7862</v>
      </c>
      <c r="X2666" s="2" t="s">
        <v>5405</v>
      </c>
      <c r="Y2666" s="2">
        <v>600</v>
      </c>
      <c r="Z2666" s="19" t="str">
        <f>HYPERLINK("https://ssdweb.co/ssdweb/hd/Vision360.html?d=926341108&amp;zoomslide=1&amp;z=1926341108&amp;ISCONFIRM=0","VIDEO")</f>
        <v>VIDEO</v>
      </c>
      <c r="AA2666" s="19" t="str">
        <f>HYPERLINK("https://ssdweb.co/ssdweb/CERTH/2497938237.pdf","CERTI")</f>
        <v>CERTI</v>
      </c>
    </row>
    <row r="2667" spans="1:27" ht="15" x14ac:dyDescent="0.25">
      <c r="A2667" s="2">
        <v>2662</v>
      </c>
      <c r="B2667" s="39">
        <v>926331721</v>
      </c>
      <c r="C2667" s="28" t="str">
        <f>HYPERLINK("https://pld.live/RapDetail.aspx?STONELIST=926331721","DNA")</f>
        <v>DNA</v>
      </c>
      <c r="D2667" s="18" t="s">
        <v>7954</v>
      </c>
      <c r="E2667" s="18" t="s">
        <v>5128</v>
      </c>
      <c r="F2667" s="2" t="s">
        <v>5597</v>
      </c>
      <c r="G2667" s="2" t="s">
        <v>861</v>
      </c>
      <c r="H2667" s="14">
        <v>0.3</v>
      </c>
      <c r="I2667" s="2" t="s">
        <v>267</v>
      </c>
      <c r="J2667" s="2" t="s">
        <v>13</v>
      </c>
      <c r="K2667" s="2" t="s">
        <v>5221</v>
      </c>
      <c r="L2667" s="2" t="s">
        <v>5721</v>
      </c>
      <c r="M2667" s="2" t="s">
        <v>5221</v>
      </c>
      <c r="N2667" s="2" t="s">
        <v>2317</v>
      </c>
      <c r="O2667" s="14">
        <v>2000</v>
      </c>
      <c r="P2667" s="14">
        <v>85.85</v>
      </c>
      <c r="Q2667" s="14">
        <v>283</v>
      </c>
      <c r="R2667" s="14">
        <v>84.9</v>
      </c>
      <c r="S2667" s="2" t="s">
        <v>6439</v>
      </c>
      <c r="T2667" s="2">
        <v>1</v>
      </c>
      <c r="U2667" s="2">
        <v>61.3</v>
      </c>
      <c r="V2667" s="2">
        <v>60</v>
      </c>
      <c r="W2667" s="2" t="s">
        <v>7862</v>
      </c>
      <c r="X2667" s="2" t="s">
        <v>5405</v>
      </c>
      <c r="Y2667" s="2">
        <v>600</v>
      </c>
      <c r="Z2667" s="19" t="str">
        <f>HYPERLINK("https://ssdweb.co/ssdweb/hd/Vision360.html?d=926331721&amp;zoomslide=1&amp;z=1926331721&amp;ISCONFIRM=0","VIDEO")</f>
        <v>VIDEO</v>
      </c>
      <c r="AA2667" s="19" t="str">
        <f>HYPERLINK("https://ssdweb.co/ssdweb/CERTH/5496924680.pdf","CERTI")</f>
        <v>CERTI</v>
      </c>
    </row>
    <row r="2668" spans="1:27" ht="15" x14ac:dyDescent="0.25">
      <c r="A2668" s="2">
        <v>2663</v>
      </c>
      <c r="B2668" s="39">
        <v>926141359</v>
      </c>
      <c r="C2668" s="28" t="str">
        <f>HYPERLINK("https://pld.live/RapDetail.aspx?STONELIST=926141359","DNA")</f>
        <v>DNA</v>
      </c>
      <c r="D2668" s="18" t="s">
        <v>7954</v>
      </c>
      <c r="E2668" s="18" t="s">
        <v>5128</v>
      </c>
      <c r="F2668" s="2" t="s">
        <v>7987</v>
      </c>
      <c r="G2668" s="2" t="s">
        <v>861</v>
      </c>
      <c r="H2668" s="14">
        <v>0.3</v>
      </c>
      <c r="I2668" s="2" t="s">
        <v>267</v>
      </c>
      <c r="J2668" s="2" t="s">
        <v>13</v>
      </c>
      <c r="K2668" s="2" t="s">
        <v>5221</v>
      </c>
      <c r="L2668" s="2" t="s">
        <v>5721</v>
      </c>
      <c r="M2668" s="2" t="s">
        <v>5221</v>
      </c>
      <c r="N2668" s="2" t="s">
        <v>2317</v>
      </c>
      <c r="O2668" s="14">
        <v>2000</v>
      </c>
      <c r="P2668" s="14">
        <v>93.6</v>
      </c>
      <c r="Q2668" s="14">
        <v>128</v>
      </c>
      <c r="R2668" s="14">
        <v>38.4</v>
      </c>
      <c r="S2668" s="2" t="s">
        <v>1509</v>
      </c>
      <c r="T2668" s="2">
        <v>1.02</v>
      </c>
      <c r="U2668" s="2">
        <v>63.1</v>
      </c>
      <c r="V2668" s="2">
        <v>59</v>
      </c>
      <c r="W2668" s="2" t="s">
        <v>7862</v>
      </c>
      <c r="X2668" s="2" t="s">
        <v>5405</v>
      </c>
      <c r="Y2668" s="2">
        <v>600</v>
      </c>
      <c r="Z2668" s="19" t="str">
        <f>HYPERLINK("https://ssdweb.co/ssdweb/hd/Vision360.html?d=926141359&amp;zoomslide=1&amp;z=1926141359&amp;ISCONFIRM=0","VIDEO")</f>
        <v>VIDEO</v>
      </c>
      <c r="AA2668" s="19" t="str">
        <f>HYPERLINK("https://ssdweb.co/ssdweb/CERTH/634431292.pdf","CERTI")</f>
        <v>CERTI</v>
      </c>
    </row>
    <row r="2669" spans="1:27" ht="15" x14ac:dyDescent="0.25">
      <c r="A2669" s="2">
        <v>2664</v>
      </c>
      <c r="B2669" s="39">
        <v>926120892</v>
      </c>
      <c r="C2669" s="28" t="str">
        <f>HYPERLINK("https://pld.live/RapDetail.aspx?STONELIST=926120892","DNA")</f>
        <v>DNA</v>
      </c>
      <c r="D2669" s="18" t="s">
        <v>7954</v>
      </c>
      <c r="E2669" s="18" t="s">
        <v>5128</v>
      </c>
      <c r="F2669" s="2" t="s">
        <v>7987</v>
      </c>
      <c r="G2669" s="2" t="s">
        <v>861</v>
      </c>
      <c r="H2669" s="14">
        <v>0.3</v>
      </c>
      <c r="I2669" s="2" t="s">
        <v>267</v>
      </c>
      <c r="J2669" s="2" t="s">
        <v>13</v>
      </c>
      <c r="K2669" s="2" t="s">
        <v>5221</v>
      </c>
      <c r="L2669" s="2" t="s">
        <v>5721</v>
      </c>
      <c r="M2669" s="2" t="s">
        <v>5221</v>
      </c>
      <c r="N2669" s="2" t="s">
        <v>2317</v>
      </c>
      <c r="O2669" s="14">
        <v>2000</v>
      </c>
      <c r="P2669" s="14">
        <v>93.6</v>
      </c>
      <c r="Q2669" s="14">
        <v>128</v>
      </c>
      <c r="R2669" s="14">
        <v>38.4</v>
      </c>
      <c r="S2669" s="2" t="s">
        <v>6564</v>
      </c>
      <c r="T2669" s="2">
        <v>1</v>
      </c>
      <c r="U2669" s="2">
        <v>62.8</v>
      </c>
      <c r="V2669" s="2">
        <v>57</v>
      </c>
      <c r="W2669" s="2" t="s">
        <v>7862</v>
      </c>
      <c r="X2669" s="2" t="s">
        <v>5405</v>
      </c>
      <c r="Y2669" s="2">
        <v>600</v>
      </c>
      <c r="Z2669" s="19" t="str">
        <f>HYPERLINK("https://ssdweb.co/ssdweb/hd/Vision360.html?d=926120892&amp;zoomslide=1&amp;z=1926120892&amp;ISCONFIRM=0","VIDEO")</f>
        <v>VIDEO</v>
      </c>
      <c r="AA2669" s="19" t="str">
        <f>HYPERLINK("https://ssdweb.co/ssdweb/CERTH/634472219.pdf","CERTI")</f>
        <v>CERTI</v>
      </c>
    </row>
    <row r="2670" spans="1:27" ht="15" x14ac:dyDescent="0.25">
      <c r="A2670" s="2">
        <v>2665</v>
      </c>
      <c r="B2670" s="39">
        <v>926091305</v>
      </c>
      <c r="C2670" s="28" t="str">
        <f>HYPERLINK("https://pld.live/RapDetail.aspx?STONELIST=926091305","DNA")</f>
        <v>DNA</v>
      </c>
      <c r="D2670" s="18" t="s">
        <v>7954</v>
      </c>
      <c r="E2670" s="18" t="s">
        <v>5128</v>
      </c>
      <c r="F2670" s="2" t="s">
        <v>7987</v>
      </c>
      <c r="G2670" s="2" t="s">
        <v>861</v>
      </c>
      <c r="H2670" s="14">
        <v>0.3</v>
      </c>
      <c r="I2670" s="2" t="s">
        <v>267</v>
      </c>
      <c r="J2670" s="2" t="s">
        <v>13</v>
      </c>
      <c r="K2670" s="2" t="s">
        <v>5221</v>
      </c>
      <c r="L2670" s="2" t="s">
        <v>5721</v>
      </c>
      <c r="M2670" s="2" t="s">
        <v>5221</v>
      </c>
      <c r="N2670" s="2" t="s">
        <v>2317</v>
      </c>
      <c r="O2670" s="14">
        <v>2000</v>
      </c>
      <c r="P2670" s="14">
        <v>93.6</v>
      </c>
      <c r="Q2670" s="14">
        <v>128</v>
      </c>
      <c r="R2670" s="14">
        <v>38.4</v>
      </c>
      <c r="S2670" s="2" t="s">
        <v>2115</v>
      </c>
      <c r="T2670" s="2">
        <v>1.02</v>
      </c>
      <c r="U2670" s="2">
        <v>62.9</v>
      </c>
      <c r="V2670" s="2">
        <v>57</v>
      </c>
      <c r="W2670" s="2" t="s">
        <v>7862</v>
      </c>
      <c r="X2670" s="2" t="s">
        <v>5405</v>
      </c>
      <c r="Y2670" s="2">
        <v>600</v>
      </c>
      <c r="Z2670" s="19" t="str">
        <f>HYPERLINK("https://ssdweb.co/ssdweb/hd/Vision360.html?d=926091305&amp;zoomslide=1&amp;z=1926091305&amp;ISCONFIRM=0","VIDEO")</f>
        <v>VIDEO</v>
      </c>
      <c r="AA2670" s="19" t="str">
        <f>HYPERLINK("https://ssdweb.co/ssdweb/CERTH/632449491.pdf","CERTI")</f>
        <v>CERTI</v>
      </c>
    </row>
    <row r="2671" spans="1:27" ht="15" x14ac:dyDescent="0.25">
      <c r="A2671" s="2">
        <v>2666</v>
      </c>
      <c r="B2671" s="39">
        <v>926191333</v>
      </c>
      <c r="C2671" s="28" t="str">
        <f>HYPERLINK("https://pld.live/RapDetail.aspx?STONELIST=926191333","DNA")</f>
        <v>DNA</v>
      </c>
      <c r="D2671" s="18" t="s">
        <v>7954</v>
      </c>
      <c r="E2671" s="18" t="s">
        <v>5128</v>
      </c>
      <c r="F2671" s="2" t="s">
        <v>7987</v>
      </c>
      <c r="G2671" s="2" t="s">
        <v>861</v>
      </c>
      <c r="H2671" s="14">
        <v>0.3</v>
      </c>
      <c r="I2671" s="2" t="s">
        <v>267</v>
      </c>
      <c r="J2671" s="2" t="s">
        <v>13</v>
      </c>
      <c r="K2671" s="2" t="s">
        <v>5221</v>
      </c>
      <c r="L2671" s="2" t="s">
        <v>5721</v>
      </c>
      <c r="M2671" s="2" t="s">
        <v>5721</v>
      </c>
      <c r="N2671" s="2" t="s">
        <v>2317</v>
      </c>
      <c r="O2671" s="14">
        <v>2000</v>
      </c>
      <c r="P2671" s="14">
        <v>93.55</v>
      </c>
      <c r="Q2671" s="14">
        <v>129</v>
      </c>
      <c r="R2671" s="14">
        <v>38.700000000000003</v>
      </c>
      <c r="S2671" s="2" t="s">
        <v>1218</v>
      </c>
      <c r="T2671" s="2">
        <v>1</v>
      </c>
      <c r="U2671" s="2">
        <v>62.8</v>
      </c>
      <c r="V2671" s="2">
        <v>59</v>
      </c>
      <c r="W2671" s="2" t="s">
        <v>7862</v>
      </c>
      <c r="X2671" s="2" t="s">
        <v>5405</v>
      </c>
      <c r="Y2671" s="2">
        <v>600</v>
      </c>
      <c r="Z2671" s="19" t="str">
        <f>HYPERLINK("https://ssdweb.co/ssdweb/hd/Vision360.html?d=926191333&amp;zoomslide=1&amp;z=1926191333&amp;ISCONFIRM=0","VIDEO")</f>
        <v>VIDEO</v>
      </c>
      <c r="AA2671" s="19" t="str">
        <f>HYPERLINK("https://ssdweb.co/ssdweb/CERTH/638492984.pdf","CERTI")</f>
        <v>CERTI</v>
      </c>
    </row>
    <row r="2672" spans="1:27" ht="15" x14ac:dyDescent="0.25">
      <c r="A2672" s="2">
        <v>2667</v>
      </c>
      <c r="B2672" s="39">
        <v>926191349</v>
      </c>
      <c r="C2672" s="28" t="str">
        <f>HYPERLINK("https://pld.live/RapDetail.aspx?STONELIST=926191349","DNA")</f>
        <v>DNA</v>
      </c>
      <c r="D2672" s="18" t="s">
        <v>7954</v>
      </c>
      <c r="E2672" s="18" t="s">
        <v>5128</v>
      </c>
      <c r="F2672" s="2" t="s">
        <v>7987</v>
      </c>
      <c r="G2672" s="2" t="s">
        <v>861</v>
      </c>
      <c r="H2672" s="14">
        <v>0.3</v>
      </c>
      <c r="I2672" s="2" t="s">
        <v>267</v>
      </c>
      <c r="J2672" s="2" t="s">
        <v>13</v>
      </c>
      <c r="K2672" s="2" t="s">
        <v>5221</v>
      </c>
      <c r="L2672" s="2" t="s">
        <v>5721</v>
      </c>
      <c r="M2672" s="2" t="s">
        <v>5721</v>
      </c>
      <c r="N2672" s="2" t="s">
        <v>2317</v>
      </c>
      <c r="O2672" s="14">
        <v>2000</v>
      </c>
      <c r="P2672" s="14">
        <v>93.7</v>
      </c>
      <c r="Q2672" s="14">
        <v>126</v>
      </c>
      <c r="R2672" s="14">
        <v>37.799999999999997</v>
      </c>
      <c r="S2672" s="2" t="s">
        <v>4018</v>
      </c>
      <c r="T2672" s="2">
        <v>1.01</v>
      </c>
      <c r="U2672" s="2">
        <v>62.6</v>
      </c>
      <c r="V2672" s="2">
        <v>57</v>
      </c>
      <c r="W2672" s="2" t="s">
        <v>7862</v>
      </c>
      <c r="X2672" s="2" t="s">
        <v>5405</v>
      </c>
      <c r="Y2672" s="2">
        <v>600</v>
      </c>
      <c r="Z2672" s="19" t="str">
        <f>HYPERLINK("https://ssdweb.co/ssdweb/hd/Vision360.html?d=926191349&amp;zoomslide=1&amp;z=1926191349&amp;ISCONFIRM=0","VIDEO")</f>
        <v>VIDEO</v>
      </c>
      <c r="AA2672" s="19" t="str">
        <f>HYPERLINK("https://ssdweb.co/ssdweb/CERTH/638463092.pdf","CERTI")</f>
        <v>CERTI</v>
      </c>
    </row>
    <row r="2673" spans="1:27" ht="15" x14ac:dyDescent="0.25">
      <c r="A2673" s="2">
        <v>2668</v>
      </c>
      <c r="B2673" s="39">
        <v>926191071</v>
      </c>
      <c r="C2673" s="28" t="str">
        <f>HYPERLINK("https://pld.live/RapDetail.aspx?STONELIST=926191071","DNA")</f>
        <v>DNA</v>
      </c>
      <c r="D2673" s="18" t="s">
        <v>7954</v>
      </c>
      <c r="E2673" s="18" t="s">
        <v>5128</v>
      </c>
      <c r="F2673" s="2" t="s">
        <v>7987</v>
      </c>
      <c r="G2673" s="2" t="s">
        <v>861</v>
      </c>
      <c r="H2673" s="14">
        <v>0.3</v>
      </c>
      <c r="I2673" s="2" t="s">
        <v>267</v>
      </c>
      <c r="J2673" s="2" t="s">
        <v>13</v>
      </c>
      <c r="K2673" s="2" t="s">
        <v>5221</v>
      </c>
      <c r="L2673" s="2" t="s">
        <v>5721</v>
      </c>
      <c r="M2673" s="2" t="s">
        <v>5721</v>
      </c>
      <c r="N2673" s="2" t="s">
        <v>2317</v>
      </c>
      <c r="O2673" s="14">
        <v>2000</v>
      </c>
      <c r="P2673" s="14">
        <v>93.7</v>
      </c>
      <c r="Q2673" s="14">
        <v>126</v>
      </c>
      <c r="R2673" s="14">
        <v>37.799999999999997</v>
      </c>
      <c r="S2673" s="2" t="s">
        <v>4363</v>
      </c>
      <c r="T2673" s="2">
        <v>1</v>
      </c>
      <c r="U2673" s="2">
        <v>62.7</v>
      </c>
      <c r="V2673" s="2">
        <v>58</v>
      </c>
      <c r="W2673" s="2" t="s">
        <v>7862</v>
      </c>
      <c r="X2673" s="2" t="s">
        <v>5405</v>
      </c>
      <c r="Y2673" s="2">
        <v>600</v>
      </c>
      <c r="Z2673" s="19" t="str">
        <f>HYPERLINK("https://ssdweb.co/ssdweb/hd/Vision360.html?d=926191071&amp;zoomslide=1&amp;z=1926191071&amp;ISCONFIRM=0","VIDEO")</f>
        <v>VIDEO</v>
      </c>
      <c r="AA2673" s="19" t="str">
        <f>HYPERLINK("https://ssdweb.co/ssdweb/CERTH/637467306.pdf","CERTI")</f>
        <v>CERTI</v>
      </c>
    </row>
    <row r="2674" spans="1:27" ht="15" x14ac:dyDescent="0.25">
      <c r="A2674" s="2">
        <v>2669</v>
      </c>
      <c r="B2674" s="39">
        <v>926341184</v>
      </c>
      <c r="C2674" s="28" t="str">
        <f>HYPERLINK("https://pld.live/RapDetail.aspx?STONELIST=926341184","DNA")</f>
        <v>DNA</v>
      </c>
      <c r="D2674" s="18" t="s">
        <v>7954</v>
      </c>
      <c r="E2674" s="18" t="s">
        <v>5128</v>
      </c>
      <c r="F2674" s="2" t="s">
        <v>7987</v>
      </c>
      <c r="G2674" s="2" t="s">
        <v>861</v>
      </c>
      <c r="H2674" s="14">
        <v>0.3</v>
      </c>
      <c r="I2674" s="2" t="s">
        <v>267</v>
      </c>
      <c r="J2674" s="2" t="s">
        <v>5144</v>
      </c>
      <c r="K2674" s="2" t="s">
        <v>3390</v>
      </c>
      <c r="L2674" s="2" t="s">
        <v>5221</v>
      </c>
      <c r="M2674" s="2" t="s">
        <v>5721</v>
      </c>
      <c r="N2674" s="2" t="s">
        <v>2317</v>
      </c>
      <c r="O2674" s="14">
        <v>1800</v>
      </c>
      <c r="P2674" s="14">
        <v>93.22</v>
      </c>
      <c r="Q2674" s="14">
        <v>122.04</v>
      </c>
      <c r="R2674" s="14">
        <v>36.61</v>
      </c>
      <c r="S2674" s="2" t="s">
        <v>2002</v>
      </c>
      <c r="T2674" s="2">
        <v>1</v>
      </c>
      <c r="U2674" s="2">
        <v>61.7</v>
      </c>
      <c r="V2674" s="2">
        <v>60</v>
      </c>
      <c r="W2674" s="2" t="s">
        <v>7862</v>
      </c>
      <c r="X2674" s="2" t="s">
        <v>5405</v>
      </c>
      <c r="Y2674" s="2">
        <v>540</v>
      </c>
      <c r="Z2674" s="19" t="str">
        <f>HYPERLINK("https://ssdweb.co/ssdweb/hd/Vision360.html?d=926341184&amp;zoomslide=1&amp;z=1926341184&amp;ISCONFIRM=0","VIDEO")</f>
        <v>VIDEO</v>
      </c>
      <c r="AA2674" s="19" t="str">
        <f>HYPERLINK("https://ssdweb.co/ssdweb/CERTH/667408515.pdf","CERTI")</f>
        <v>CERTI</v>
      </c>
    </row>
    <row r="2675" spans="1:27" ht="15" x14ac:dyDescent="0.25">
      <c r="A2675" s="2">
        <v>2670</v>
      </c>
      <c r="B2675" s="39">
        <v>926081451</v>
      </c>
      <c r="C2675" s="28" t="str">
        <f>HYPERLINK("https://pld.live/RapDetail.aspx?STONELIST=926081451","DNA")</f>
        <v>DNA</v>
      </c>
      <c r="D2675" s="18" t="s">
        <v>7954</v>
      </c>
      <c r="E2675" s="18" t="s">
        <v>5128</v>
      </c>
      <c r="F2675" s="2" t="s">
        <v>7987</v>
      </c>
      <c r="G2675" s="2" t="s">
        <v>861</v>
      </c>
      <c r="H2675" s="14">
        <v>0.3</v>
      </c>
      <c r="I2675" s="2" t="s">
        <v>267</v>
      </c>
      <c r="J2675" s="2" t="s">
        <v>5144</v>
      </c>
      <c r="K2675" s="2" t="s">
        <v>3390</v>
      </c>
      <c r="L2675" s="2" t="s">
        <v>5221</v>
      </c>
      <c r="M2675" s="2" t="s">
        <v>5721</v>
      </c>
      <c r="N2675" s="2" t="s">
        <v>2317</v>
      </c>
      <c r="O2675" s="14">
        <v>1800</v>
      </c>
      <c r="P2675" s="14">
        <v>93.22</v>
      </c>
      <c r="Q2675" s="14">
        <v>122.04</v>
      </c>
      <c r="R2675" s="14">
        <v>36.61</v>
      </c>
      <c r="S2675" s="2" t="s">
        <v>5898</v>
      </c>
      <c r="T2675" s="2">
        <v>1</v>
      </c>
      <c r="U2675" s="2">
        <v>62.2</v>
      </c>
      <c r="V2675" s="2">
        <v>56</v>
      </c>
      <c r="W2675" s="2" t="s">
        <v>7862</v>
      </c>
      <c r="X2675" s="2" t="s">
        <v>5405</v>
      </c>
      <c r="Y2675" s="2">
        <v>540</v>
      </c>
      <c r="Z2675" s="19" t="str">
        <f>HYPERLINK("https://ssdweb.co/ssdweb/hd/Vision360.html?d=926081451&amp;zoomslide=1&amp;z=1926081451&amp;ISCONFIRM=0","VIDEO")</f>
        <v>VIDEO</v>
      </c>
      <c r="AA2675" s="19" t="str">
        <f>HYPERLINK("https://ssdweb.co/ssdweb/CERTH/631463926.pdf","CERTI")</f>
        <v>CERTI</v>
      </c>
    </row>
    <row r="2676" spans="1:27" ht="15" x14ac:dyDescent="0.25">
      <c r="A2676" s="2">
        <v>2671</v>
      </c>
      <c r="B2676" s="39">
        <v>926191137</v>
      </c>
      <c r="C2676" s="28" t="str">
        <f>HYPERLINK("https://pld.live/RapDetail.aspx?STONELIST=926191137","DNA")</f>
        <v>DNA</v>
      </c>
      <c r="D2676" s="18" t="s">
        <v>7954</v>
      </c>
      <c r="E2676" s="18" t="s">
        <v>5128</v>
      </c>
      <c r="F2676" s="2" t="s">
        <v>7987</v>
      </c>
      <c r="G2676" s="2" t="s">
        <v>861</v>
      </c>
      <c r="H2676" s="14">
        <v>0.3</v>
      </c>
      <c r="I2676" s="2" t="s">
        <v>267</v>
      </c>
      <c r="J2676" s="2" t="s">
        <v>5144</v>
      </c>
      <c r="K2676" s="2" t="s">
        <v>3390</v>
      </c>
      <c r="L2676" s="2" t="s">
        <v>5221</v>
      </c>
      <c r="M2676" s="2" t="s">
        <v>5721</v>
      </c>
      <c r="N2676" s="2" t="s">
        <v>2317</v>
      </c>
      <c r="O2676" s="14">
        <v>1800</v>
      </c>
      <c r="P2676" s="14">
        <v>93.22</v>
      </c>
      <c r="Q2676" s="14">
        <v>122.04</v>
      </c>
      <c r="R2676" s="14">
        <v>36.61</v>
      </c>
      <c r="S2676" s="2" t="s">
        <v>3900</v>
      </c>
      <c r="T2676" s="2">
        <v>1.01</v>
      </c>
      <c r="U2676" s="2">
        <v>61.7</v>
      </c>
      <c r="V2676" s="2">
        <v>59</v>
      </c>
      <c r="W2676" s="2" t="s">
        <v>7862</v>
      </c>
      <c r="X2676" s="2" t="s">
        <v>5405</v>
      </c>
      <c r="Y2676" s="2">
        <v>540</v>
      </c>
      <c r="Z2676" s="19" t="str">
        <f>HYPERLINK("https://ssdweb.co/ssdweb/hd/Vision360.html?d=926191137&amp;zoomslide=1&amp;z=1926191137&amp;ISCONFIRM=0","VIDEO")</f>
        <v>VIDEO</v>
      </c>
      <c r="AA2676" s="19" t="str">
        <f>HYPERLINK("https://ssdweb.co/ssdweb/CERTH/637467437.pdf","CERTI")</f>
        <v>CERTI</v>
      </c>
    </row>
    <row r="2677" spans="1:27" ht="15" x14ac:dyDescent="0.25">
      <c r="A2677" s="2">
        <v>2672</v>
      </c>
      <c r="B2677" s="39">
        <v>920661495</v>
      </c>
      <c r="C2677" s="28" t="str">
        <f>HYPERLINK("https://pld.live/RapDetail.aspx?STONELIST=920661495","DNA")</f>
        <v>DNA</v>
      </c>
      <c r="D2677" s="18" t="s">
        <v>7954</v>
      </c>
      <c r="E2677" s="18" t="s">
        <v>5128</v>
      </c>
      <c r="F2677" s="2" t="s">
        <v>7987</v>
      </c>
      <c r="G2677" s="2" t="s">
        <v>861</v>
      </c>
      <c r="H2677" s="14">
        <v>0.3</v>
      </c>
      <c r="I2677" s="2" t="s">
        <v>267</v>
      </c>
      <c r="J2677" s="2" t="s">
        <v>5144</v>
      </c>
      <c r="K2677" s="2" t="s">
        <v>5221</v>
      </c>
      <c r="L2677" s="2" t="s">
        <v>5221</v>
      </c>
      <c r="M2677" s="2" t="s">
        <v>5221</v>
      </c>
      <c r="N2677" s="2" t="s">
        <v>2317</v>
      </c>
      <c r="O2677" s="14">
        <v>1800</v>
      </c>
      <c r="P2677" s="14">
        <v>92.89</v>
      </c>
      <c r="Q2677" s="14">
        <v>127.98</v>
      </c>
      <c r="R2677" s="14">
        <v>38.39</v>
      </c>
      <c r="S2677" s="2" t="s">
        <v>7658</v>
      </c>
      <c r="T2677" s="2">
        <v>1</v>
      </c>
      <c r="U2677" s="2">
        <v>62.4</v>
      </c>
      <c r="V2677" s="2">
        <v>61</v>
      </c>
      <c r="W2677" s="2" t="s">
        <v>7862</v>
      </c>
      <c r="X2677" s="2" t="s">
        <v>5405</v>
      </c>
      <c r="Y2677" s="2">
        <v>540</v>
      </c>
      <c r="Z2677" s="19" t="str">
        <f>HYPERLINK("https://ssdweb.co/ssdweb/hd/Vision360.html?d=920661495&amp;zoomslide=1&amp;z=1920661495&amp;ISCONFIRM=0","VIDEO")</f>
        <v>VIDEO</v>
      </c>
      <c r="AA2677" s="19" t="str">
        <f>HYPERLINK("https://ssdweb.co/ssdweb/CERTH/639406083.pdf","CERTI")</f>
        <v>CERTI</v>
      </c>
    </row>
    <row r="2678" spans="1:27" ht="15" x14ac:dyDescent="0.25">
      <c r="A2678" s="2">
        <v>2673</v>
      </c>
      <c r="B2678" s="39">
        <v>920661489</v>
      </c>
      <c r="C2678" s="28" t="str">
        <f>HYPERLINK("https://pld.live/RapDetail.aspx?STONELIST=920661489","DNA")</f>
        <v>DNA</v>
      </c>
      <c r="D2678" s="18" t="s">
        <v>7954</v>
      </c>
      <c r="E2678" s="18" t="s">
        <v>5128</v>
      </c>
      <c r="F2678" s="2" t="s">
        <v>7987</v>
      </c>
      <c r="G2678" s="2" t="s">
        <v>861</v>
      </c>
      <c r="H2678" s="14">
        <v>0.3</v>
      </c>
      <c r="I2678" s="2" t="s">
        <v>267</v>
      </c>
      <c r="J2678" s="2" t="s">
        <v>5144</v>
      </c>
      <c r="K2678" s="2" t="s">
        <v>5221</v>
      </c>
      <c r="L2678" s="2" t="s">
        <v>5221</v>
      </c>
      <c r="M2678" s="2" t="s">
        <v>5221</v>
      </c>
      <c r="N2678" s="2" t="s">
        <v>2317</v>
      </c>
      <c r="O2678" s="14">
        <v>1800</v>
      </c>
      <c r="P2678" s="14">
        <v>92.89</v>
      </c>
      <c r="Q2678" s="14">
        <v>127.98</v>
      </c>
      <c r="R2678" s="14">
        <v>38.39</v>
      </c>
      <c r="S2678" s="2" t="s">
        <v>218</v>
      </c>
      <c r="T2678" s="2">
        <v>1</v>
      </c>
      <c r="U2678" s="2">
        <v>63</v>
      </c>
      <c r="V2678" s="2">
        <v>54</v>
      </c>
      <c r="W2678" s="2" t="s">
        <v>7862</v>
      </c>
      <c r="X2678" s="2" t="s">
        <v>5405</v>
      </c>
      <c r="Y2678" s="2">
        <v>540</v>
      </c>
      <c r="Z2678" s="19" t="str">
        <f>HYPERLINK("https://ssdweb.co/ssdweb/hd/Vision360.html?d=920661489&amp;zoomslide=1&amp;z=1920661489&amp;ISCONFIRM=0","VIDEO")</f>
        <v>VIDEO</v>
      </c>
      <c r="AA2678" s="19" t="str">
        <f>HYPERLINK("https://ssdweb.co/ssdweb/CERTH/639406082.pdf","CERTI")</f>
        <v>CERTI</v>
      </c>
    </row>
    <row r="2679" spans="1:27" ht="15" x14ac:dyDescent="0.25">
      <c r="A2679" s="2">
        <v>2674</v>
      </c>
      <c r="B2679" s="39">
        <v>926221344</v>
      </c>
      <c r="C2679" s="28" t="str">
        <f>HYPERLINK("https://pld.live/RapDetail.aspx?STONELIST=926221344","DNA")</f>
        <v>DNA</v>
      </c>
      <c r="D2679" s="18" t="s">
        <v>7954</v>
      </c>
      <c r="E2679" s="18" t="s">
        <v>5128</v>
      </c>
      <c r="F2679" s="2" t="s">
        <v>7987</v>
      </c>
      <c r="G2679" s="2" t="s">
        <v>861</v>
      </c>
      <c r="H2679" s="14">
        <v>0.3</v>
      </c>
      <c r="I2679" s="2" t="s">
        <v>267</v>
      </c>
      <c r="J2679" s="2" t="s">
        <v>5144</v>
      </c>
      <c r="K2679" s="2" t="s">
        <v>5221</v>
      </c>
      <c r="L2679" s="2" t="s">
        <v>5221</v>
      </c>
      <c r="M2679" s="2" t="s">
        <v>5221</v>
      </c>
      <c r="N2679" s="2" t="s">
        <v>2317</v>
      </c>
      <c r="O2679" s="14">
        <v>1800</v>
      </c>
      <c r="P2679" s="14">
        <v>92.89</v>
      </c>
      <c r="Q2679" s="14">
        <v>127.98</v>
      </c>
      <c r="R2679" s="14">
        <v>38.39</v>
      </c>
      <c r="S2679" s="2" t="s">
        <v>7799</v>
      </c>
      <c r="T2679" s="2">
        <v>1.01</v>
      </c>
      <c r="U2679" s="2">
        <v>59.1</v>
      </c>
      <c r="V2679" s="2">
        <v>63</v>
      </c>
      <c r="W2679" s="2" t="s">
        <v>7862</v>
      </c>
      <c r="X2679" s="2" t="s">
        <v>5405</v>
      </c>
      <c r="Y2679" s="2">
        <v>540</v>
      </c>
      <c r="Z2679" s="19" t="str">
        <f>HYPERLINK("https://ssdweb.co/ssdweb/hd/Vision360.html?d=926221344&amp;zoomslide=1&amp;z=1926221344&amp;ISCONFIRM=0","VIDEO")</f>
        <v>VIDEO</v>
      </c>
      <c r="AA2679" s="19" t="str">
        <f>HYPERLINK("https://ssdweb.co/ssdweb/CERTH/640473916.pdf","CERTI")</f>
        <v>CERTI</v>
      </c>
    </row>
    <row r="2680" spans="1:27" ht="15" x14ac:dyDescent="0.25">
      <c r="A2680" s="2">
        <v>2675</v>
      </c>
      <c r="B2680" s="39">
        <v>926261622</v>
      </c>
      <c r="C2680" s="28" t="str">
        <f>HYPERLINK("https://pld.live/RapDetail.aspx?STONELIST=926261622","DNA")</f>
        <v>DNA</v>
      </c>
      <c r="D2680" s="18" t="s">
        <v>7954</v>
      </c>
      <c r="E2680" s="18" t="s">
        <v>5128</v>
      </c>
      <c r="F2680" s="2" t="s">
        <v>7987</v>
      </c>
      <c r="G2680" s="2" t="s">
        <v>861</v>
      </c>
      <c r="H2680" s="14">
        <v>0.3</v>
      </c>
      <c r="I2680" s="2" t="s">
        <v>267</v>
      </c>
      <c r="J2680" s="2" t="s">
        <v>5144</v>
      </c>
      <c r="K2680" s="2" t="s">
        <v>5221</v>
      </c>
      <c r="L2680" s="2" t="s">
        <v>5221</v>
      </c>
      <c r="M2680" s="2" t="s">
        <v>5221</v>
      </c>
      <c r="N2680" s="2" t="s">
        <v>2317</v>
      </c>
      <c r="O2680" s="14">
        <v>1800</v>
      </c>
      <c r="P2680" s="14">
        <v>92.89</v>
      </c>
      <c r="Q2680" s="14">
        <v>127.98</v>
      </c>
      <c r="R2680" s="14">
        <v>38.39</v>
      </c>
      <c r="S2680" s="2" t="s">
        <v>2492</v>
      </c>
      <c r="T2680" s="2">
        <v>1.01</v>
      </c>
      <c r="U2680" s="2">
        <v>63.1</v>
      </c>
      <c r="V2680" s="2">
        <v>57</v>
      </c>
      <c r="W2680" s="2" t="s">
        <v>7862</v>
      </c>
      <c r="X2680" s="2" t="s">
        <v>5405</v>
      </c>
      <c r="Y2680" s="2">
        <v>540</v>
      </c>
      <c r="Z2680" s="19" t="str">
        <f>HYPERLINK("https://ssdweb.co/ssdweb/hd/Vision360.html?d=926261622&amp;zoomslide=1&amp;z=1926261622&amp;ISCONFIRM=0","VIDEO")</f>
        <v>VIDEO</v>
      </c>
      <c r="AA2680" s="19" t="str">
        <f>HYPERLINK("https://ssdweb.co/ssdweb/CERTH/642460593.pdf","CERTI")</f>
        <v>CERTI</v>
      </c>
    </row>
    <row r="2681" spans="1:27" ht="15" x14ac:dyDescent="0.25">
      <c r="A2681" s="2">
        <v>2676</v>
      </c>
      <c r="B2681" s="39">
        <v>926261606</v>
      </c>
      <c r="C2681" s="28" t="str">
        <f>HYPERLINK("https://pld.live/RapDetail.aspx?STONELIST=926261606","DNA")</f>
        <v>DNA</v>
      </c>
      <c r="D2681" s="18" t="s">
        <v>7954</v>
      </c>
      <c r="E2681" s="18" t="s">
        <v>5128</v>
      </c>
      <c r="F2681" s="2" t="s">
        <v>7987</v>
      </c>
      <c r="G2681" s="2" t="s">
        <v>861</v>
      </c>
      <c r="H2681" s="14">
        <v>0.3</v>
      </c>
      <c r="I2681" s="2" t="s">
        <v>267</v>
      </c>
      <c r="J2681" s="2" t="s">
        <v>5144</v>
      </c>
      <c r="K2681" s="2" t="s">
        <v>5221</v>
      </c>
      <c r="L2681" s="2" t="s">
        <v>5221</v>
      </c>
      <c r="M2681" s="2" t="s">
        <v>5221</v>
      </c>
      <c r="N2681" s="2" t="s">
        <v>2317</v>
      </c>
      <c r="O2681" s="14">
        <v>1800</v>
      </c>
      <c r="P2681" s="14">
        <v>92.89</v>
      </c>
      <c r="Q2681" s="14">
        <v>127.98</v>
      </c>
      <c r="R2681" s="14">
        <v>38.39</v>
      </c>
      <c r="S2681" s="2" t="s">
        <v>6942</v>
      </c>
      <c r="T2681" s="2">
        <v>1.01</v>
      </c>
      <c r="U2681" s="2">
        <v>61.2</v>
      </c>
      <c r="V2681" s="2">
        <v>59</v>
      </c>
      <c r="W2681" s="2" t="s">
        <v>7862</v>
      </c>
      <c r="X2681" s="2" t="s">
        <v>5405</v>
      </c>
      <c r="Y2681" s="2">
        <v>540</v>
      </c>
      <c r="Z2681" s="19" t="str">
        <f>HYPERLINK("https://ssdweb.co/ssdweb/hd/Vision360.html?d=926261606&amp;zoomslide=1&amp;z=1926261606&amp;ISCONFIRM=0","VIDEO")</f>
        <v>VIDEO</v>
      </c>
      <c r="AA2681" s="19" t="str">
        <f>HYPERLINK("https://ssdweb.co/ssdweb/CERTH/642460591.pdf","CERTI")</f>
        <v>CERTI</v>
      </c>
    </row>
    <row r="2682" spans="1:27" ht="15" x14ac:dyDescent="0.25">
      <c r="A2682" s="2">
        <v>2677</v>
      </c>
      <c r="B2682" s="39">
        <v>926191240</v>
      </c>
      <c r="C2682" s="28" t="str">
        <f>HYPERLINK("https://pld.live/RapDetail.aspx?STONELIST=926191240","DNA")</f>
        <v>DNA</v>
      </c>
      <c r="D2682" s="18" t="s">
        <v>7954</v>
      </c>
      <c r="E2682" s="18" t="s">
        <v>5128</v>
      </c>
      <c r="F2682" s="2" t="s">
        <v>7987</v>
      </c>
      <c r="G2682" s="2" t="s">
        <v>861</v>
      </c>
      <c r="H2682" s="14">
        <v>0.3</v>
      </c>
      <c r="I2682" s="2" t="s">
        <v>267</v>
      </c>
      <c r="J2682" s="2" t="s">
        <v>5144</v>
      </c>
      <c r="K2682" s="2" t="s">
        <v>5221</v>
      </c>
      <c r="L2682" s="2" t="s">
        <v>5221</v>
      </c>
      <c r="M2682" s="2" t="s">
        <v>5221</v>
      </c>
      <c r="N2682" s="2" t="s">
        <v>2317</v>
      </c>
      <c r="O2682" s="14">
        <v>1800</v>
      </c>
      <c r="P2682" s="14">
        <v>92.89</v>
      </c>
      <c r="Q2682" s="14">
        <v>127.98</v>
      </c>
      <c r="R2682" s="14">
        <v>38.39</v>
      </c>
      <c r="S2682" s="2" t="s">
        <v>2769</v>
      </c>
      <c r="T2682" s="2">
        <v>1.01</v>
      </c>
      <c r="U2682" s="2">
        <v>60.6</v>
      </c>
      <c r="V2682" s="2">
        <v>63</v>
      </c>
      <c r="W2682" s="2" t="s">
        <v>7862</v>
      </c>
      <c r="X2682" s="2" t="s">
        <v>5405</v>
      </c>
      <c r="Y2682" s="2">
        <v>540</v>
      </c>
      <c r="Z2682" s="19" t="str">
        <f>HYPERLINK("https://ssdweb.co/ssdweb/hd/Vision360.html?d=926191240&amp;zoomslide=1&amp;z=1926191240&amp;ISCONFIRM=0","VIDEO")</f>
        <v>VIDEO</v>
      </c>
      <c r="AA2682" s="19" t="str">
        <f>HYPERLINK("https://ssdweb.co/ssdweb/CERTH/638493026.pdf","CERTI")</f>
        <v>CERTI</v>
      </c>
    </row>
    <row r="2683" spans="1:27" ht="15" x14ac:dyDescent="0.25">
      <c r="A2683" s="2">
        <v>2678</v>
      </c>
      <c r="B2683" s="39">
        <v>926341419</v>
      </c>
      <c r="C2683" s="28" t="str">
        <f>HYPERLINK("https://pld.live/RapDetail.aspx?STONELIST=926341419","DNA")</f>
        <v>DNA</v>
      </c>
      <c r="D2683" s="18" t="s">
        <v>7954</v>
      </c>
      <c r="E2683" s="18" t="s">
        <v>5128</v>
      </c>
      <c r="F2683" s="2" t="s">
        <v>7987</v>
      </c>
      <c r="G2683" s="2" t="s">
        <v>861</v>
      </c>
      <c r="H2683" s="14">
        <v>0.3</v>
      </c>
      <c r="I2683" s="2" t="s">
        <v>267</v>
      </c>
      <c r="J2683" s="2" t="s">
        <v>5144</v>
      </c>
      <c r="K2683" s="2" t="s">
        <v>5221</v>
      </c>
      <c r="L2683" s="2" t="s">
        <v>5221</v>
      </c>
      <c r="M2683" s="2" t="s">
        <v>5221</v>
      </c>
      <c r="N2683" s="2" t="s">
        <v>2317</v>
      </c>
      <c r="O2683" s="14">
        <v>1800</v>
      </c>
      <c r="P2683" s="14">
        <v>92.78</v>
      </c>
      <c r="Q2683" s="14">
        <v>129.96</v>
      </c>
      <c r="R2683" s="14">
        <v>38.99</v>
      </c>
      <c r="S2683" s="2" t="s">
        <v>7792</v>
      </c>
      <c r="T2683" s="2">
        <v>1.01</v>
      </c>
      <c r="U2683" s="2">
        <v>62.6</v>
      </c>
      <c r="V2683" s="2">
        <v>57</v>
      </c>
      <c r="W2683" s="2" t="s">
        <v>7862</v>
      </c>
      <c r="X2683" s="2" t="s">
        <v>5405</v>
      </c>
      <c r="Y2683" s="2">
        <v>540</v>
      </c>
      <c r="Z2683" s="19" t="str">
        <f>HYPERLINK("https://ssdweb.co/ssdweb/hd/Vision360.html?d=926341419&amp;zoomslide=1&amp;z=1926341419&amp;ISCONFIRM=0","VIDEO")</f>
        <v>VIDEO</v>
      </c>
      <c r="AA2683" s="19" t="str">
        <f>HYPERLINK("https://ssdweb.co/ssdweb/CERTH/652467333.pdf","CERTI")</f>
        <v>CERTI</v>
      </c>
    </row>
    <row r="2684" spans="1:27" ht="15" x14ac:dyDescent="0.25">
      <c r="A2684" s="2">
        <v>2679</v>
      </c>
      <c r="B2684" s="39">
        <v>926341225</v>
      </c>
      <c r="C2684" s="28" t="str">
        <f>HYPERLINK("https://pld.live/RapDetail.aspx?STONELIST=926341225","DNA")</f>
        <v>DNA</v>
      </c>
      <c r="D2684" s="18" t="s">
        <v>7954</v>
      </c>
      <c r="E2684" s="18" t="s">
        <v>5128</v>
      </c>
      <c r="F2684" s="2" t="s">
        <v>7987</v>
      </c>
      <c r="G2684" s="2" t="s">
        <v>861</v>
      </c>
      <c r="H2684" s="14">
        <v>0.3</v>
      </c>
      <c r="I2684" s="2" t="s">
        <v>267</v>
      </c>
      <c r="J2684" s="2" t="s">
        <v>5144</v>
      </c>
      <c r="K2684" s="2" t="s">
        <v>5221</v>
      </c>
      <c r="L2684" s="2" t="s">
        <v>5221</v>
      </c>
      <c r="M2684" s="2" t="s">
        <v>5221</v>
      </c>
      <c r="N2684" s="2" t="s">
        <v>2317</v>
      </c>
      <c r="O2684" s="14">
        <v>1800</v>
      </c>
      <c r="P2684" s="14">
        <v>92.89</v>
      </c>
      <c r="Q2684" s="14">
        <v>127.98</v>
      </c>
      <c r="R2684" s="14">
        <v>38.39</v>
      </c>
      <c r="S2684" s="2" t="s">
        <v>4297</v>
      </c>
      <c r="T2684" s="2">
        <v>1.01</v>
      </c>
      <c r="U2684" s="2">
        <v>62.8</v>
      </c>
      <c r="V2684" s="2">
        <v>57</v>
      </c>
      <c r="W2684" s="2" t="s">
        <v>7862</v>
      </c>
      <c r="X2684" s="2" t="s">
        <v>5405</v>
      </c>
      <c r="Y2684" s="2">
        <v>540</v>
      </c>
      <c r="Z2684" s="19" t="str">
        <f>HYPERLINK("https://ssdweb.co/ssdweb/hd/Vision360.html?d=926341225&amp;zoomslide=1&amp;z=1926341225&amp;ISCONFIRM=0","VIDEO")</f>
        <v>VIDEO</v>
      </c>
      <c r="AA2684" s="19" t="str">
        <f>HYPERLINK("https://ssdweb.co/ssdweb/CERTH/646472854.pdf","CERTI")</f>
        <v>CERTI</v>
      </c>
    </row>
    <row r="2685" spans="1:27" ht="15" x14ac:dyDescent="0.25">
      <c r="A2685" s="2">
        <v>2680</v>
      </c>
      <c r="B2685" s="39">
        <v>941351014</v>
      </c>
      <c r="C2685" s="28" t="str">
        <f>HYPERLINK("https://pld.live/RapDetail.aspx?STONELIST=941351014","DNA")</f>
        <v>DNA</v>
      </c>
      <c r="D2685" s="18" t="s">
        <v>7954</v>
      </c>
      <c r="E2685" s="18" t="s">
        <v>5128</v>
      </c>
      <c r="F2685" s="2" t="s">
        <v>7987</v>
      </c>
      <c r="G2685" s="2" t="s">
        <v>861</v>
      </c>
      <c r="H2685" s="14">
        <v>0.3</v>
      </c>
      <c r="I2685" s="2" t="s">
        <v>267</v>
      </c>
      <c r="J2685" s="2" t="s">
        <v>5144</v>
      </c>
      <c r="K2685" s="2" t="s">
        <v>5221</v>
      </c>
      <c r="L2685" s="2" t="s">
        <v>5221</v>
      </c>
      <c r="M2685" s="2" t="s">
        <v>5221</v>
      </c>
      <c r="N2685" s="2" t="s">
        <v>2317</v>
      </c>
      <c r="O2685" s="14">
        <v>1800</v>
      </c>
      <c r="P2685" s="14">
        <v>92.67</v>
      </c>
      <c r="Q2685" s="14">
        <v>131.94</v>
      </c>
      <c r="R2685" s="14">
        <v>39.58</v>
      </c>
      <c r="S2685" s="2" t="s">
        <v>1114</v>
      </c>
      <c r="T2685" s="2">
        <v>1</v>
      </c>
      <c r="U2685" s="2">
        <v>60.7</v>
      </c>
      <c r="V2685" s="2">
        <v>59</v>
      </c>
      <c r="W2685" s="2" t="s">
        <v>7862</v>
      </c>
      <c r="X2685" s="2" t="s">
        <v>5405</v>
      </c>
      <c r="Y2685" s="2">
        <v>540</v>
      </c>
      <c r="Z2685" s="19" t="str">
        <f>HYPERLINK("https://ssdweb.co/ssdweb/hd/Vision360.html?d=941351014&amp;zoomslide=1&amp;z=1941351014&amp;ISCONFIRM=0","VIDEO")</f>
        <v>VIDEO</v>
      </c>
      <c r="AA2685" s="19" t="str">
        <f>HYPERLINK("https://ssdweb.co/ssdweb/CERTH/687591612.pdf","CERTI")</f>
        <v>CERTI</v>
      </c>
    </row>
    <row r="2686" spans="1:27" ht="15" x14ac:dyDescent="0.25">
      <c r="A2686" s="2">
        <v>2681</v>
      </c>
      <c r="B2686" s="39">
        <v>926341172</v>
      </c>
      <c r="C2686" s="28" t="str">
        <f>HYPERLINK("https://pld.live/RapDetail.aspx?STONELIST=926341172","DNA")</f>
        <v>DNA</v>
      </c>
      <c r="D2686" s="18" t="s">
        <v>7954</v>
      </c>
      <c r="E2686" s="18" t="s">
        <v>5128</v>
      </c>
      <c r="F2686" s="2" t="s">
        <v>7987</v>
      </c>
      <c r="G2686" s="2" t="s">
        <v>861</v>
      </c>
      <c r="H2686" s="14">
        <v>0.3</v>
      </c>
      <c r="I2686" s="2" t="s">
        <v>267</v>
      </c>
      <c r="J2686" s="2" t="s">
        <v>5144</v>
      </c>
      <c r="K2686" s="2" t="s">
        <v>5221</v>
      </c>
      <c r="L2686" s="2" t="s">
        <v>5221</v>
      </c>
      <c r="M2686" s="2" t="s">
        <v>5221</v>
      </c>
      <c r="N2686" s="2" t="s">
        <v>2317</v>
      </c>
      <c r="O2686" s="14">
        <v>1800</v>
      </c>
      <c r="P2686" s="14">
        <v>92.89</v>
      </c>
      <c r="Q2686" s="14">
        <v>127.98</v>
      </c>
      <c r="R2686" s="14">
        <v>38.39</v>
      </c>
      <c r="S2686" s="2" t="s">
        <v>2940</v>
      </c>
      <c r="T2686" s="2">
        <v>1.01</v>
      </c>
      <c r="U2686" s="2">
        <v>63.3</v>
      </c>
      <c r="V2686" s="2">
        <v>59</v>
      </c>
      <c r="W2686" s="2" t="s">
        <v>7862</v>
      </c>
      <c r="X2686" s="2" t="s">
        <v>5405</v>
      </c>
      <c r="Y2686" s="2">
        <v>540</v>
      </c>
      <c r="Z2686" s="19" t="str">
        <f>HYPERLINK("https://ssdweb.co/ssdweb/hd/Vision360.html?d=926341172&amp;zoomslide=1&amp;z=1926341172&amp;ISCONFIRM=0","VIDEO")</f>
        <v>VIDEO</v>
      </c>
      <c r="AA2686" s="19" t="str">
        <f>HYPERLINK("https://ssdweb.co/ssdweb/CERTH/643428069.pdf","CERTI")</f>
        <v>CERTI</v>
      </c>
    </row>
    <row r="2687" spans="1:27" ht="15" x14ac:dyDescent="0.25">
      <c r="A2687" s="2">
        <v>2682</v>
      </c>
      <c r="B2687" s="39">
        <v>926081324</v>
      </c>
      <c r="C2687" s="28" t="str">
        <f>HYPERLINK("https://pld.live/RapDetail.aspx?STONELIST=926081324","DNA")</f>
        <v>DNA</v>
      </c>
      <c r="D2687" s="18" t="s">
        <v>7954</v>
      </c>
      <c r="E2687" s="18" t="s">
        <v>5128</v>
      </c>
      <c r="F2687" s="2" t="s">
        <v>7987</v>
      </c>
      <c r="G2687" s="2" t="s">
        <v>861</v>
      </c>
      <c r="H2687" s="14">
        <v>0.3</v>
      </c>
      <c r="I2687" s="2" t="s">
        <v>267</v>
      </c>
      <c r="J2687" s="2" t="s">
        <v>5144</v>
      </c>
      <c r="K2687" s="2" t="s">
        <v>5221</v>
      </c>
      <c r="L2687" s="2" t="s">
        <v>5221</v>
      </c>
      <c r="M2687" s="2" t="s">
        <v>5221</v>
      </c>
      <c r="N2687" s="2" t="s">
        <v>2317</v>
      </c>
      <c r="O2687" s="14">
        <v>1800</v>
      </c>
      <c r="P2687" s="14">
        <v>92.94</v>
      </c>
      <c r="Q2687" s="14">
        <v>127.08</v>
      </c>
      <c r="R2687" s="14">
        <v>38.119999999999997</v>
      </c>
      <c r="S2687" s="2" t="s">
        <v>1405</v>
      </c>
      <c r="T2687" s="2">
        <v>1.01</v>
      </c>
      <c r="U2687" s="2">
        <v>62.8</v>
      </c>
      <c r="V2687" s="2">
        <v>56</v>
      </c>
      <c r="W2687" s="2" t="s">
        <v>7862</v>
      </c>
      <c r="X2687" s="2" t="s">
        <v>5405</v>
      </c>
      <c r="Y2687" s="2">
        <v>540</v>
      </c>
      <c r="Z2687" s="19" t="str">
        <f>HYPERLINK("https://ssdweb.co/ssdweb/hd/Vision360.html?d=926081324&amp;zoomslide=1&amp;z=1926081324&amp;ISCONFIRM=0","VIDEO")</f>
        <v>VIDEO</v>
      </c>
      <c r="AA2687" s="19" t="str">
        <f>HYPERLINK("https://ssdweb.co/ssdweb/CERTH/631430073.pdf","CERTI")</f>
        <v>CERTI</v>
      </c>
    </row>
    <row r="2688" spans="1:27" ht="15" x14ac:dyDescent="0.25">
      <c r="A2688" s="2">
        <v>2683</v>
      </c>
      <c r="B2688" s="39">
        <v>926090460</v>
      </c>
      <c r="C2688" s="28" t="str">
        <f>HYPERLINK("https://pld.live/RapDetail.aspx?STONELIST=926090460","DNA")</f>
        <v>DNA</v>
      </c>
      <c r="D2688" s="18" t="s">
        <v>7954</v>
      </c>
      <c r="E2688" s="18" t="s">
        <v>5128</v>
      </c>
      <c r="F2688" s="2" t="s">
        <v>7987</v>
      </c>
      <c r="G2688" s="2" t="s">
        <v>861</v>
      </c>
      <c r="H2688" s="14">
        <v>0.3</v>
      </c>
      <c r="I2688" s="2" t="s">
        <v>267</v>
      </c>
      <c r="J2688" s="2" t="s">
        <v>5144</v>
      </c>
      <c r="K2688" s="2" t="s">
        <v>5221</v>
      </c>
      <c r="L2688" s="2" t="s">
        <v>5221</v>
      </c>
      <c r="M2688" s="2" t="s">
        <v>5221</v>
      </c>
      <c r="N2688" s="2" t="s">
        <v>2317</v>
      </c>
      <c r="O2688" s="14">
        <v>1800</v>
      </c>
      <c r="P2688" s="14">
        <v>92.94</v>
      </c>
      <c r="Q2688" s="14">
        <v>127.08</v>
      </c>
      <c r="R2688" s="14">
        <v>38.119999999999997</v>
      </c>
      <c r="S2688" s="2" t="s">
        <v>7548</v>
      </c>
      <c r="T2688" s="2">
        <v>1.01</v>
      </c>
      <c r="U2688" s="2">
        <v>62.5</v>
      </c>
      <c r="V2688" s="2">
        <v>60</v>
      </c>
      <c r="W2688" s="2" t="s">
        <v>7862</v>
      </c>
      <c r="X2688" s="2" t="s">
        <v>5405</v>
      </c>
      <c r="Y2688" s="2">
        <v>540</v>
      </c>
      <c r="Z2688" s="19" t="str">
        <f>HYPERLINK("https://ssdweb.co/ssdweb/hd/Vision360.html?d=926090460&amp;zoomslide=1&amp;z=1926090460&amp;ISCONFIRM=0","VIDEO")</f>
        <v>VIDEO</v>
      </c>
      <c r="AA2688" s="19" t="str">
        <f>HYPERLINK("https://ssdweb.co/ssdweb/CERTH/632480686.pdf","CERTI")</f>
        <v>CERTI</v>
      </c>
    </row>
    <row r="2689" spans="1:27" ht="15" x14ac:dyDescent="0.25">
      <c r="A2689" s="2">
        <v>2684</v>
      </c>
      <c r="B2689" s="39">
        <v>920661452</v>
      </c>
      <c r="C2689" s="28" t="str">
        <f>HYPERLINK("https://pld.live/RapDetail.aspx?STONELIST=920661452","DNA")</f>
        <v>DNA</v>
      </c>
      <c r="D2689" s="18" t="s">
        <v>7954</v>
      </c>
      <c r="E2689" s="18" t="s">
        <v>5128</v>
      </c>
      <c r="F2689" s="2" t="s">
        <v>7987</v>
      </c>
      <c r="G2689" s="2" t="s">
        <v>861</v>
      </c>
      <c r="H2689" s="14">
        <v>0.3</v>
      </c>
      <c r="I2689" s="2" t="s">
        <v>267</v>
      </c>
      <c r="J2689" s="2" t="s">
        <v>5144</v>
      </c>
      <c r="K2689" s="2" t="s">
        <v>5221</v>
      </c>
      <c r="L2689" s="2" t="s">
        <v>5221</v>
      </c>
      <c r="M2689" s="2" t="s">
        <v>5721</v>
      </c>
      <c r="N2689" s="2" t="s">
        <v>2317</v>
      </c>
      <c r="O2689" s="14">
        <v>1800</v>
      </c>
      <c r="P2689" s="14">
        <v>93.22</v>
      </c>
      <c r="Q2689" s="14">
        <v>122.04</v>
      </c>
      <c r="R2689" s="14">
        <v>36.61</v>
      </c>
      <c r="S2689" s="2" t="s">
        <v>7495</v>
      </c>
      <c r="T2689" s="2">
        <v>1.01</v>
      </c>
      <c r="U2689" s="2">
        <v>61.8</v>
      </c>
      <c r="V2689" s="2">
        <v>61</v>
      </c>
      <c r="W2689" s="2" t="s">
        <v>7862</v>
      </c>
      <c r="X2689" s="2" t="s">
        <v>5405</v>
      </c>
      <c r="Y2689" s="2">
        <v>540</v>
      </c>
      <c r="Z2689" s="19" t="str">
        <f>HYPERLINK("https://ssdweb.co/ssdweb/hd/Vision360.html?d=920661452&amp;zoomslide=1&amp;z=1920661452&amp;ISCONFIRM=0","VIDEO")</f>
        <v>VIDEO</v>
      </c>
      <c r="AA2689" s="19" t="str">
        <f>HYPERLINK("https://ssdweb.co/ssdweb/CERTH/639405983.pdf","CERTI")</f>
        <v>CERTI</v>
      </c>
    </row>
    <row r="2690" spans="1:27" ht="15" x14ac:dyDescent="0.25">
      <c r="A2690" s="2">
        <v>2685</v>
      </c>
      <c r="B2690" s="39">
        <v>926240813</v>
      </c>
      <c r="C2690" s="28" t="str">
        <f>HYPERLINK("https://pld.live/RapDetail.aspx?STONELIST=926240813","DNA")</f>
        <v>DNA</v>
      </c>
      <c r="D2690" s="18" t="s">
        <v>7954</v>
      </c>
      <c r="E2690" s="18" t="s">
        <v>5128</v>
      </c>
      <c r="F2690" s="2" t="s">
        <v>7987</v>
      </c>
      <c r="G2690" s="2" t="s">
        <v>861</v>
      </c>
      <c r="H2690" s="14">
        <v>0.3</v>
      </c>
      <c r="I2690" s="2" t="s">
        <v>267</v>
      </c>
      <c r="J2690" s="2" t="s">
        <v>5144</v>
      </c>
      <c r="K2690" s="2" t="s">
        <v>5221</v>
      </c>
      <c r="L2690" s="2" t="s">
        <v>5221</v>
      </c>
      <c r="M2690" s="2" t="s">
        <v>5721</v>
      </c>
      <c r="N2690" s="2" t="s">
        <v>2317</v>
      </c>
      <c r="O2690" s="14">
        <v>1800</v>
      </c>
      <c r="P2690" s="14">
        <v>93.22</v>
      </c>
      <c r="Q2690" s="14">
        <v>122.04</v>
      </c>
      <c r="R2690" s="14">
        <v>36.61</v>
      </c>
      <c r="S2690" s="2" t="s">
        <v>6602</v>
      </c>
      <c r="T2690" s="2">
        <v>1.01</v>
      </c>
      <c r="U2690" s="2">
        <v>60.2</v>
      </c>
      <c r="V2690" s="2">
        <v>57</v>
      </c>
      <c r="W2690" s="2" t="s">
        <v>7862</v>
      </c>
      <c r="X2690" s="2" t="s">
        <v>5405</v>
      </c>
      <c r="Y2690" s="2">
        <v>540</v>
      </c>
      <c r="Z2690" s="19" t="str">
        <f>HYPERLINK("https://ssdweb.co/ssdweb/hd/Vision360.html?d=926240813&amp;zoomslide=1&amp;z=1926240813&amp;ISCONFIRM=0","VIDEO")</f>
        <v>VIDEO</v>
      </c>
      <c r="AA2690" s="19" t="str">
        <f>HYPERLINK("https://ssdweb.co/ssdweb/CERTH/640419119.pdf","CERTI")</f>
        <v>CERTI</v>
      </c>
    </row>
    <row r="2691" spans="1:27" ht="15" x14ac:dyDescent="0.25">
      <c r="A2691" s="2">
        <v>2686</v>
      </c>
      <c r="B2691" s="39">
        <v>920661328</v>
      </c>
      <c r="C2691" s="28" t="str">
        <f>HYPERLINK("https://pld.live/RapDetail.aspx?STONELIST=920661328","DNA")</f>
        <v>DNA</v>
      </c>
      <c r="D2691" s="18" t="s">
        <v>7954</v>
      </c>
      <c r="E2691" s="18" t="s">
        <v>5128</v>
      </c>
      <c r="F2691" s="2" t="s">
        <v>7987</v>
      </c>
      <c r="G2691" s="2" t="s">
        <v>861</v>
      </c>
      <c r="H2691" s="14">
        <v>0.3</v>
      </c>
      <c r="I2691" s="2" t="s">
        <v>267</v>
      </c>
      <c r="J2691" s="2" t="s">
        <v>5144</v>
      </c>
      <c r="K2691" s="2" t="s">
        <v>5221</v>
      </c>
      <c r="L2691" s="2" t="s">
        <v>5221</v>
      </c>
      <c r="M2691" s="2" t="s">
        <v>5721</v>
      </c>
      <c r="N2691" s="2" t="s">
        <v>2317</v>
      </c>
      <c r="O2691" s="14">
        <v>1800</v>
      </c>
      <c r="P2691" s="14">
        <v>93.22</v>
      </c>
      <c r="Q2691" s="14">
        <v>122.04</v>
      </c>
      <c r="R2691" s="14">
        <v>36.61</v>
      </c>
      <c r="S2691" s="2" t="s">
        <v>7462</v>
      </c>
      <c r="T2691" s="2">
        <v>1</v>
      </c>
      <c r="U2691" s="2">
        <v>62.9</v>
      </c>
      <c r="V2691" s="2">
        <v>57</v>
      </c>
      <c r="W2691" s="2" t="s">
        <v>7862</v>
      </c>
      <c r="X2691" s="2" t="s">
        <v>5405</v>
      </c>
      <c r="Y2691" s="2">
        <v>540</v>
      </c>
      <c r="Z2691" s="19" t="str">
        <f>HYPERLINK("https://ssdweb.co/ssdweb/hd/Vision360.html?d=920661328&amp;zoomslide=1&amp;z=1920661328&amp;ISCONFIRM=0","VIDEO")</f>
        <v>VIDEO</v>
      </c>
      <c r="AA2691" s="19" t="str">
        <f>HYPERLINK("https://ssdweb.co/ssdweb/CERTH/638462941.pdf","CERTI")</f>
        <v>CERTI</v>
      </c>
    </row>
    <row r="2692" spans="1:27" ht="15" x14ac:dyDescent="0.25">
      <c r="A2692" s="2">
        <v>2687</v>
      </c>
      <c r="B2692" s="39">
        <v>925210037</v>
      </c>
      <c r="C2692" s="28" t="str">
        <f>HYPERLINK("https://pld.live/RapDetail.aspx?STONELIST=925210037","DNA")</f>
        <v>DNA</v>
      </c>
      <c r="D2692" s="18" t="s">
        <v>7954</v>
      </c>
      <c r="E2692" s="18" t="s">
        <v>5128</v>
      </c>
      <c r="F2692" s="2" t="s">
        <v>5597</v>
      </c>
      <c r="G2692" s="2" t="s">
        <v>861</v>
      </c>
      <c r="H2692" s="14">
        <v>0.3</v>
      </c>
      <c r="I2692" s="2" t="s">
        <v>267</v>
      </c>
      <c r="J2692" s="2" t="s">
        <v>5144</v>
      </c>
      <c r="K2692" s="2" t="s">
        <v>5221</v>
      </c>
      <c r="L2692" s="2" t="s">
        <v>5721</v>
      </c>
      <c r="M2692" s="2" t="s">
        <v>5221</v>
      </c>
      <c r="N2692" s="2" t="s">
        <v>2317</v>
      </c>
      <c r="O2692" s="14">
        <v>1800</v>
      </c>
      <c r="P2692" s="14">
        <v>85.22</v>
      </c>
      <c r="Q2692" s="14">
        <v>266.04000000000002</v>
      </c>
      <c r="R2692" s="14">
        <v>79.81</v>
      </c>
      <c r="S2692" s="2" t="s">
        <v>7888</v>
      </c>
      <c r="T2692" s="2">
        <v>1.01</v>
      </c>
      <c r="U2692" s="2">
        <v>62.3</v>
      </c>
      <c r="V2692" s="2">
        <v>59</v>
      </c>
      <c r="W2692" s="2" t="s">
        <v>7862</v>
      </c>
      <c r="X2692" s="2" t="s">
        <v>5405</v>
      </c>
      <c r="Y2692" s="2">
        <v>540</v>
      </c>
      <c r="Z2692" s="19" t="str">
        <f>HYPERLINK("https://ssdweb.co/ssdweb/hd/Vision360.html?d=925210037&amp;zoomslide=1&amp;z=1925210037&amp;ISCONFIRM=0","VIDEO")</f>
        <v>VIDEO</v>
      </c>
      <c r="AA2692" s="19" t="str">
        <f>HYPERLINK("https://ssdweb.co/ssdweb/CERTH/7486188268.pdf","CERTI")</f>
        <v>CERTI</v>
      </c>
    </row>
    <row r="2693" spans="1:27" ht="15" x14ac:dyDescent="0.25">
      <c r="A2693" s="2">
        <v>2688</v>
      </c>
      <c r="B2693" s="39">
        <v>926430880</v>
      </c>
      <c r="C2693" s="28" t="str">
        <f>HYPERLINK("https://pld.live/RapDetail.aspx?STONELIST=926430880","DNA")</f>
        <v>DNA</v>
      </c>
      <c r="D2693" s="18" t="s">
        <v>7954</v>
      </c>
      <c r="E2693" s="18" t="s">
        <v>5128</v>
      </c>
      <c r="F2693" s="2" t="s">
        <v>7987</v>
      </c>
      <c r="G2693" s="2" t="s">
        <v>861</v>
      </c>
      <c r="H2693" s="14">
        <v>0.3</v>
      </c>
      <c r="I2693" s="2" t="s">
        <v>267</v>
      </c>
      <c r="J2693" s="2" t="s">
        <v>5144</v>
      </c>
      <c r="K2693" s="2" t="s">
        <v>5221</v>
      </c>
      <c r="L2693" s="2" t="s">
        <v>5721</v>
      </c>
      <c r="M2693" s="2" t="s">
        <v>5721</v>
      </c>
      <c r="N2693" s="2" t="s">
        <v>2317</v>
      </c>
      <c r="O2693" s="14">
        <v>1800</v>
      </c>
      <c r="P2693" s="14">
        <v>93.33</v>
      </c>
      <c r="Q2693" s="14">
        <v>120.06</v>
      </c>
      <c r="R2693" s="14">
        <v>36.020000000000003</v>
      </c>
      <c r="S2693" s="2" t="s">
        <v>3787</v>
      </c>
      <c r="T2693" s="2">
        <v>1.01</v>
      </c>
      <c r="U2693" s="2">
        <v>61.2</v>
      </c>
      <c r="V2693" s="2">
        <v>59</v>
      </c>
      <c r="W2693" s="2" t="s">
        <v>7862</v>
      </c>
      <c r="X2693" s="2" t="s">
        <v>5405</v>
      </c>
      <c r="Y2693" s="2">
        <v>540</v>
      </c>
      <c r="Z2693" s="19" t="str">
        <f>HYPERLINK("https://ssdweb.co/ssdweb/hd/Vision360.html?d=926430880&amp;zoomslide=1&amp;z=1926430880&amp;ISCONFIRM=0","VIDEO")</f>
        <v>VIDEO</v>
      </c>
      <c r="AA2693" s="19" t="str">
        <f>HYPERLINK("https://ssdweb.co/ssdweb/CERTH/674543049.pdf","CERTI")</f>
        <v>CERTI</v>
      </c>
    </row>
    <row r="2694" spans="1:27" ht="15" x14ac:dyDescent="0.25">
      <c r="A2694" s="2">
        <v>2689</v>
      </c>
      <c r="B2694" s="39">
        <v>926321041</v>
      </c>
      <c r="C2694" s="28" t="str">
        <f>HYPERLINK("https://pld.live/RapDetail.aspx?STONELIST=926321041","DNA")</f>
        <v>DNA</v>
      </c>
      <c r="D2694" s="18" t="s">
        <v>7954</v>
      </c>
      <c r="E2694" s="18" t="s">
        <v>5128</v>
      </c>
      <c r="F2694" s="2" t="s">
        <v>5597</v>
      </c>
      <c r="G2694" s="2" t="s">
        <v>861</v>
      </c>
      <c r="H2694" s="14">
        <v>0.3</v>
      </c>
      <c r="I2694" s="2" t="s">
        <v>267</v>
      </c>
      <c r="J2694" s="2" t="s">
        <v>444</v>
      </c>
      <c r="K2694" s="2" t="s">
        <v>5221</v>
      </c>
      <c r="L2694" s="2" t="s">
        <v>5721</v>
      </c>
      <c r="M2694" s="2" t="s">
        <v>5721</v>
      </c>
      <c r="N2694" s="2" t="s">
        <v>2317</v>
      </c>
      <c r="O2694" s="14">
        <v>1700</v>
      </c>
      <c r="P2694" s="14">
        <v>86.47</v>
      </c>
      <c r="Q2694" s="14">
        <v>230.01</v>
      </c>
      <c r="R2694" s="14">
        <v>69</v>
      </c>
      <c r="S2694" s="2" t="s">
        <v>2826</v>
      </c>
      <c r="T2694" s="2">
        <v>1.01</v>
      </c>
      <c r="U2694" s="2">
        <v>62.5</v>
      </c>
      <c r="V2694" s="2">
        <v>57</v>
      </c>
      <c r="W2694" s="2" t="s">
        <v>7862</v>
      </c>
      <c r="X2694" s="2" t="s">
        <v>5405</v>
      </c>
      <c r="Y2694" s="2">
        <v>510</v>
      </c>
      <c r="Z2694" s="19" t="str">
        <f>HYPERLINK("https://ssdweb.co/ssdweb/hd/Vision360.html?d=926321041&amp;zoomslide=1&amp;z=1926321041&amp;ISCONFIRM=0","VIDEO")</f>
        <v>VIDEO</v>
      </c>
      <c r="AA2694" s="19" t="str">
        <f>HYPERLINK("https://ssdweb.co/ssdweb/CERTH/5493925127.pdf","CERTI")</f>
        <v>CERTI</v>
      </c>
    </row>
    <row r="2695" spans="1:27" ht="15" x14ac:dyDescent="0.25">
      <c r="A2695" s="2">
        <v>2690</v>
      </c>
      <c r="B2695" s="39">
        <v>926181033</v>
      </c>
      <c r="C2695" s="28" t="str">
        <f>HYPERLINK("https://pld.live/RapDetail.aspx?STONELIST=926181033","DNA")</f>
        <v>DNA</v>
      </c>
      <c r="D2695" s="18" t="s">
        <v>7954</v>
      </c>
      <c r="E2695" s="18" t="s">
        <v>5128</v>
      </c>
      <c r="F2695" s="2" t="s">
        <v>7987</v>
      </c>
      <c r="G2695" s="2" t="s">
        <v>861</v>
      </c>
      <c r="H2695" s="14">
        <v>0.3</v>
      </c>
      <c r="I2695" s="2" t="s">
        <v>4761</v>
      </c>
      <c r="J2695" s="2" t="s">
        <v>6555</v>
      </c>
      <c r="K2695" s="2" t="s">
        <v>5221</v>
      </c>
      <c r="L2695" s="2" t="s">
        <v>5221</v>
      </c>
      <c r="M2695" s="2" t="s">
        <v>5721</v>
      </c>
      <c r="N2695" s="2" t="s">
        <v>2317</v>
      </c>
      <c r="O2695" s="14">
        <v>2300</v>
      </c>
      <c r="P2695" s="14">
        <v>93.78</v>
      </c>
      <c r="Q2695" s="14">
        <v>143.06</v>
      </c>
      <c r="R2695" s="14">
        <v>42.92</v>
      </c>
      <c r="S2695" s="2" t="s">
        <v>1853</v>
      </c>
      <c r="T2695" s="2">
        <v>1.01</v>
      </c>
      <c r="U2695" s="2">
        <v>63.1</v>
      </c>
      <c r="V2695" s="2">
        <v>57</v>
      </c>
      <c r="W2695" s="2" t="s">
        <v>7862</v>
      </c>
      <c r="X2695" s="2" t="s">
        <v>5405</v>
      </c>
      <c r="Y2695" s="2">
        <v>690</v>
      </c>
      <c r="Z2695" s="19" t="str">
        <f>HYPERLINK("https://ssdweb.co/ssdweb/hd/Vision360.html?d=926181033&amp;zoomslide=1&amp;z=1926181033&amp;ISCONFIRM=0","VIDEO")</f>
        <v>VIDEO</v>
      </c>
      <c r="AA2695" s="19" t="str">
        <f>HYPERLINK("https://ssdweb.co/ssdweb/CERTH/636430017.pdf","CERTI")</f>
        <v>CERTI</v>
      </c>
    </row>
    <row r="2696" spans="1:27" ht="15" x14ac:dyDescent="0.25">
      <c r="A2696" s="2">
        <v>2691</v>
      </c>
      <c r="B2696" s="39">
        <v>926230953</v>
      </c>
      <c r="C2696" s="28" t="str">
        <f>HYPERLINK("https://pld.live/RapDetail.aspx?STONELIST=926230953","DNA")</f>
        <v>DNA</v>
      </c>
      <c r="D2696" s="18" t="s">
        <v>7954</v>
      </c>
      <c r="E2696" s="18" t="s">
        <v>5128</v>
      </c>
      <c r="F2696" s="2" t="s">
        <v>7987</v>
      </c>
      <c r="G2696" s="2" t="s">
        <v>861</v>
      </c>
      <c r="H2696" s="14">
        <v>0.3</v>
      </c>
      <c r="I2696" s="2" t="s">
        <v>4761</v>
      </c>
      <c r="J2696" s="2" t="s">
        <v>6555</v>
      </c>
      <c r="K2696" s="2" t="s">
        <v>5221</v>
      </c>
      <c r="L2696" s="2" t="s">
        <v>5721</v>
      </c>
      <c r="M2696" s="2" t="s">
        <v>5221</v>
      </c>
      <c r="N2696" s="2" t="s">
        <v>2317</v>
      </c>
      <c r="O2696" s="14">
        <v>2300</v>
      </c>
      <c r="P2696" s="14">
        <v>93.78</v>
      </c>
      <c r="Q2696" s="14">
        <v>143.06</v>
      </c>
      <c r="R2696" s="14">
        <v>42.92</v>
      </c>
      <c r="S2696" s="2" t="s">
        <v>3718</v>
      </c>
      <c r="T2696" s="2">
        <v>1</v>
      </c>
      <c r="U2696" s="2">
        <v>63.6</v>
      </c>
      <c r="V2696" s="2">
        <v>56</v>
      </c>
      <c r="W2696" s="2" t="s">
        <v>7862</v>
      </c>
      <c r="X2696" s="2" t="s">
        <v>5405</v>
      </c>
      <c r="Y2696" s="2">
        <v>690</v>
      </c>
      <c r="Z2696" s="19" t="str">
        <f>HYPERLINK("https://ssdweb.co/ssdweb/hd/Vision360.html?d=926230953&amp;zoomslide=1&amp;z=1926230953&amp;ISCONFIRM=0","VIDEO")</f>
        <v>VIDEO</v>
      </c>
      <c r="AA2696" s="19" t="str">
        <f>HYPERLINK("https://ssdweb.co/ssdweb/CERTH/639406092.pdf","CERTI")</f>
        <v>CERTI</v>
      </c>
    </row>
    <row r="2697" spans="1:27" ht="15" x14ac:dyDescent="0.25">
      <c r="A2697" s="2">
        <v>2692</v>
      </c>
      <c r="B2697" s="39">
        <v>926191374</v>
      </c>
      <c r="C2697" s="28" t="str">
        <f>HYPERLINK("https://pld.live/RapDetail.aspx?STONELIST=926191374","DNA")</f>
        <v>DNA</v>
      </c>
      <c r="D2697" s="18" t="s">
        <v>7954</v>
      </c>
      <c r="E2697" s="18" t="s">
        <v>5128</v>
      </c>
      <c r="F2697" s="2" t="s">
        <v>7987</v>
      </c>
      <c r="G2697" s="2" t="s">
        <v>861</v>
      </c>
      <c r="H2697" s="14">
        <v>0.3</v>
      </c>
      <c r="I2697" s="2" t="s">
        <v>4761</v>
      </c>
      <c r="J2697" s="2" t="s">
        <v>6555</v>
      </c>
      <c r="K2697" s="2" t="s">
        <v>5221</v>
      </c>
      <c r="L2697" s="2" t="s">
        <v>5721</v>
      </c>
      <c r="M2697" s="2" t="s">
        <v>5721</v>
      </c>
      <c r="N2697" s="2" t="s">
        <v>2317</v>
      </c>
      <c r="O2697" s="14">
        <v>2300</v>
      </c>
      <c r="P2697" s="14">
        <v>93.87</v>
      </c>
      <c r="Q2697" s="14">
        <v>140.99</v>
      </c>
      <c r="R2697" s="14">
        <v>42.3</v>
      </c>
      <c r="S2697" s="2" t="s">
        <v>3957</v>
      </c>
      <c r="T2697" s="2">
        <v>1.01</v>
      </c>
      <c r="U2697" s="2">
        <v>63.7</v>
      </c>
      <c r="V2697" s="2">
        <v>54</v>
      </c>
      <c r="W2697" s="2" t="s">
        <v>7862</v>
      </c>
      <c r="X2697" s="2" t="s">
        <v>5405</v>
      </c>
      <c r="Y2697" s="2">
        <v>690</v>
      </c>
      <c r="Z2697" s="19" t="str">
        <f>HYPERLINK("https://ssdweb.co/ssdweb/hd/Vision360.html?d=926191374&amp;zoomslide=1&amp;z=1926191374&amp;ISCONFIRM=0","VIDEO")</f>
        <v>VIDEO</v>
      </c>
      <c r="AA2697" s="19" t="str">
        <f>HYPERLINK("https://ssdweb.co/ssdweb/CERTH/638463002.pdf","CERTI")</f>
        <v>CERTI</v>
      </c>
    </row>
    <row r="2698" spans="1:27" ht="15" x14ac:dyDescent="0.25">
      <c r="A2698" s="2">
        <v>2693</v>
      </c>
      <c r="B2698" s="39">
        <v>920661415</v>
      </c>
      <c r="C2698" s="28" t="str">
        <f>HYPERLINK("https://pld.live/RapDetail.aspx?STONELIST=920661415","DNA")</f>
        <v>DNA</v>
      </c>
      <c r="D2698" s="18" t="s">
        <v>7954</v>
      </c>
      <c r="E2698" s="18" t="s">
        <v>5128</v>
      </c>
      <c r="F2698" s="2" t="s">
        <v>7987</v>
      </c>
      <c r="G2698" s="2" t="s">
        <v>861</v>
      </c>
      <c r="H2698" s="14">
        <v>0.3</v>
      </c>
      <c r="I2698" s="2" t="s">
        <v>4761</v>
      </c>
      <c r="J2698" s="2" t="s">
        <v>6555</v>
      </c>
      <c r="K2698" s="2" t="s">
        <v>5221</v>
      </c>
      <c r="L2698" s="2" t="s">
        <v>5721</v>
      </c>
      <c r="M2698" s="2" t="s">
        <v>5721</v>
      </c>
      <c r="N2698" s="2" t="s">
        <v>2317</v>
      </c>
      <c r="O2698" s="14">
        <v>2300</v>
      </c>
      <c r="P2698" s="14">
        <v>93.87</v>
      </c>
      <c r="Q2698" s="14">
        <v>140.99</v>
      </c>
      <c r="R2698" s="14">
        <v>42.3</v>
      </c>
      <c r="S2698" s="2" t="s">
        <v>3138</v>
      </c>
      <c r="T2698" s="2">
        <v>1.01</v>
      </c>
      <c r="U2698" s="2">
        <v>63.2</v>
      </c>
      <c r="V2698" s="2">
        <v>61</v>
      </c>
      <c r="W2698" s="2" t="s">
        <v>7862</v>
      </c>
      <c r="X2698" s="2" t="s">
        <v>5405</v>
      </c>
      <c r="Y2698" s="2">
        <v>690</v>
      </c>
      <c r="Z2698" s="19" t="str">
        <f>HYPERLINK("https://ssdweb.co/ssdweb/hd/Vision360.html?d=920661415&amp;zoomslide=1&amp;z=1920661415&amp;ISCONFIRM=0","VIDEO")</f>
        <v>VIDEO</v>
      </c>
      <c r="AA2698" s="19" t="str">
        <f>HYPERLINK("https://ssdweb.co/ssdweb/CERTH/638463029.pdf","CERTI")</f>
        <v>CERTI</v>
      </c>
    </row>
    <row r="2699" spans="1:27" ht="15" x14ac:dyDescent="0.25">
      <c r="A2699" s="2">
        <v>2694</v>
      </c>
      <c r="B2699" s="39">
        <v>926391588</v>
      </c>
      <c r="C2699" s="28" t="str">
        <f>HYPERLINK("https://pld.live/RapDetail.aspx?STONELIST=926391588","DNA")</f>
        <v>DNA</v>
      </c>
      <c r="D2699" s="18" t="s">
        <v>7954</v>
      </c>
      <c r="E2699" s="18" t="s">
        <v>5128</v>
      </c>
      <c r="F2699" s="2" t="s">
        <v>5597</v>
      </c>
      <c r="G2699" s="2" t="s">
        <v>861</v>
      </c>
      <c r="H2699" s="14">
        <v>0.3</v>
      </c>
      <c r="I2699" s="2" t="s">
        <v>4761</v>
      </c>
      <c r="J2699" s="2" t="s">
        <v>6555</v>
      </c>
      <c r="K2699" s="2" t="s">
        <v>5721</v>
      </c>
      <c r="L2699" s="2" t="s">
        <v>5221</v>
      </c>
      <c r="M2699" s="2" t="s">
        <v>5221</v>
      </c>
      <c r="N2699" s="2" t="s">
        <v>2317</v>
      </c>
      <c r="O2699" s="14">
        <v>2300</v>
      </c>
      <c r="P2699" s="14">
        <v>87.04</v>
      </c>
      <c r="Q2699" s="14">
        <v>298.08</v>
      </c>
      <c r="R2699" s="14">
        <v>89.42</v>
      </c>
      <c r="S2699" s="2" t="s">
        <v>4590</v>
      </c>
      <c r="T2699" s="2">
        <v>1.01</v>
      </c>
      <c r="U2699" s="2">
        <v>62.7</v>
      </c>
      <c r="V2699" s="2">
        <v>59</v>
      </c>
      <c r="W2699" s="2" t="s">
        <v>7862</v>
      </c>
      <c r="X2699" s="2" t="s">
        <v>5405</v>
      </c>
      <c r="Y2699" s="2">
        <v>690</v>
      </c>
      <c r="Z2699" s="19" t="str">
        <f>HYPERLINK("https://ssdweb.co/ssdweb/hd/Vision360.html?d=926391588&amp;zoomslide=1&amp;z=1926391588&amp;ISCONFIRM=0","VIDEO")</f>
        <v>VIDEO</v>
      </c>
      <c r="AA2699" s="19" t="str">
        <f>HYPERLINK("https://ssdweb.co/ssdweb/CERTH/1509174204.pdf","CERTI")</f>
        <v>CERTI</v>
      </c>
    </row>
    <row r="2700" spans="1:27" ht="15" x14ac:dyDescent="0.25">
      <c r="A2700" s="2">
        <v>2695</v>
      </c>
      <c r="B2700" s="39">
        <v>926391554</v>
      </c>
      <c r="C2700" s="28" t="str">
        <f>HYPERLINK("https://pld.live/RapDetail.aspx?STONELIST=926391554","DNA")</f>
        <v>DNA</v>
      </c>
      <c r="D2700" s="18" t="s">
        <v>7954</v>
      </c>
      <c r="E2700" s="18" t="s">
        <v>5128</v>
      </c>
      <c r="F2700" s="2" t="s">
        <v>5597</v>
      </c>
      <c r="G2700" s="2" t="s">
        <v>861</v>
      </c>
      <c r="H2700" s="14">
        <v>0.3</v>
      </c>
      <c r="I2700" s="2" t="s">
        <v>4761</v>
      </c>
      <c r="J2700" s="2" t="s">
        <v>6555</v>
      </c>
      <c r="K2700" s="2" t="s">
        <v>5721</v>
      </c>
      <c r="L2700" s="2" t="s">
        <v>5221</v>
      </c>
      <c r="M2700" s="2" t="s">
        <v>5221</v>
      </c>
      <c r="N2700" s="2" t="s">
        <v>2317</v>
      </c>
      <c r="O2700" s="14">
        <v>2300</v>
      </c>
      <c r="P2700" s="14">
        <v>87.04</v>
      </c>
      <c r="Q2700" s="14">
        <v>298.08</v>
      </c>
      <c r="R2700" s="14">
        <v>89.42</v>
      </c>
      <c r="S2700" s="2" t="s">
        <v>3769</v>
      </c>
      <c r="T2700" s="2">
        <v>1.01</v>
      </c>
      <c r="U2700" s="2">
        <v>62.3</v>
      </c>
      <c r="V2700" s="2">
        <v>57</v>
      </c>
      <c r="W2700" s="2" t="s">
        <v>7862</v>
      </c>
      <c r="X2700" s="2" t="s">
        <v>5405</v>
      </c>
      <c r="Y2700" s="2">
        <v>690</v>
      </c>
      <c r="Z2700" s="19" t="str">
        <f>HYPERLINK("https://ssdweb.co/ssdweb/hd/Vision360.html?d=926391554&amp;zoomslide=1&amp;z=1926391554&amp;ISCONFIRM=0","VIDEO")</f>
        <v>VIDEO</v>
      </c>
      <c r="AA2700" s="19" t="str">
        <f>HYPERLINK("https://ssdweb.co/ssdweb/CERTH/6505173896.pdf","CERTI")</f>
        <v>CERTI</v>
      </c>
    </row>
    <row r="2701" spans="1:27" ht="15" x14ac:dyDescent="0.25">
      <c r="A2701" s="2">
        <v>2696</v>
      </c>
      <c r="B2701" s="39">
        <v>941290179</v>
      </c>
      <c r="C2701" s="28" t="str">
        <f>HYPERLINK("https://pld.live/RapDetail.aspx?STONELIST=941290179","DNA")</f>
        <v>DNA</v>
      </c>
      <c r="D2701" s="18" t="s">
        <v>7954</v>
      </c>
      <c r="E2701" s="18" t="s">
        <v>2186</v>
      </c>
      <c r="F2701" s="2" t="s">
        <v>7987</v>
      </c>
      <c r="G2701" s="2" t="s">
        <v>861</v>
      </c>
      <c r="H2701" s="14">
        <v>0.3</v>
      </c>
      <c r="I2701" s="2" t="s">
        <v>4761</v>
      </c>
      <c r="J2701" s="2" t="s">
        <v>3942</v>
      </c>
      <c r="K2701" s="2" t="s">
        <v>3390</v>
      </c>
      <c r="L2701" s="2" t="s">
        <v>5221</v>
      </c>
      <c r="M2701" s="2" t="s">
        <v>5221</v>
      </c>
      <c r="N2701" s="2" t="s">
        <v>2317</v>
      </c>
      <c r="O2701" s="14">
        <v>2000</v>
      </c>
      <c r="P2701" s="14">
        <v>92.75</v>
      </c>
      <c r="Q2701" s="14">
        <v>145</v>
      </c>
      <c r="R2701" s="14">
        <v>43.5</v>
      </c>
      <c r="S2701" s="2" t="s">
        <v>4267</v>
      </c>
      <c r="T2701" s="2">
        <v>1</v>
      </c>
      <c r="U2701" s="2">
        <v>61.4</v>
      </c>
      <c r="V2701" s="2">
        <v>59</v>
      </c>
      <c r="W2701" s="2" t="s">
        <v>7862</v>
      </c>
      <c r="X2701" s="2" t="s">
        <v>5405</v>
      </c>
      <c r="Y2701" s="2">
        <v>600</v>
      </c>
      <c r="Z2701" s="19" t="str">
        <f>HYPERLINK("https://ssdweb.co/ssdweb/hd/Vision360.html?d=941290179&amp;zoomslide=1&amp;z=1941290179&amp;ISCONFIRM=0","VIDEO")</f>
        <v>VIDEO</v>
      </c>
      <c r="AA2701" s="19" t="str">
        <f>HYPERLINK("https://ssdweb.co/ssdweb/CERTH/687560867.pdf","CERTI")</f>
        <v>CERTI</v>
      </c>
    </row>
    <row r="2702" spans="1:27" ht="15" x14ac:dyDescent="0.25">
      <c r="A2702" s="2">
        <v>2697</v>
      </c>
      <c r="B2702" s="39">
        <v>926341451</v>
      </c>
      <c r="C2702" s="28" t="str">
        <f>HYPERLINK("https://pld.live/RapDetail.aspx?STONELIST=926341451","DNA")</f>
        <v>DNA</v>
      </c>
      <c r="D2702" s="18" t="s">
        <v>7954</v>
      </c>
      <c r="E2702" s="18" t="s">
        <v>5128</v>
      </c>
      <c r="F2702" s="2" t="s">
        <v>7987</v>
      </c>
      <c r="G2702" s="2" t="s">
        <v>861</v>
      </c>
      <c r="H2702" s="14">
        <v>0.3</v>
      </c>
      <c r="I2702" s="2" t="s">
        <v>4761</v>
      </c>
      <c r="J2702" s="2" t="s">
        <v>3942</v>
      </c>
      <c r="K2702" s="2" t="s">
        <v>3390</v>
      </c>
      <c r="L2702" s="2" t="s">
        <v>5221</v>
      </c>
      <c r="M2702" s="2" t="s">
        <v>5721</v>
      </c>
      <c r="N2702" s="2" t="s">
        <v>2317</v>
      </c>
      <c r="O2702" s="14">
        <v>2000</v>
      </c>
      <c r="P2702" s="14">
        <v>93.25</v>
      </c>
      <c r="Q2702" s="14">
        <v>135</v>
      </c>
      <c r="R2702" s="14">
        <v>40.5</v>
      </c>
      <c r="S2702" s="2" t="s">
        <v>927</v>
      </c>
      <c r="T2702" s="2">
        <v>1.01</v>
      </c>
      <c r="U2702" s="2">
        <v>60.4</v>
      </c>
      <c r="V2702" s="2">
        <v>61</v>
      </c>
      <c r="W2702" s="2" t="s">
        <v>7862</v>
      </c>
      <c r="X2702" s="2" t="s">
        <v>5405</v>
      </c>
      <c r="Y2702" s="2">
        <v>600</v>
      </c>
      <c r="Z2702" s="19" t="str">
        <f>HYPERLINK("https://ssdweb.co/ssdweb/hd/Vision360.html?d=926341451&amp;zoomslide=1&amp;z=1926341451&amp;ISCONFIRM=0","VIDEO")</f>
        <v>VIDEO</v>
      </c>
      <c r="AA2702" s="19" t="str">
        <f>HYPERLINK("https://ssdweb.co/ssdweb/CERTH/667408520.pdf","CERTI")</f>
        <v>CERTI</v>
      </c>
    </row>
    <row r="2703" spans="1:27" ht="15" x14ac:dyDescent="0.25">
      <c r="A2703" s="2">
        <v>2698</v>
      </c>
      <c r="B2703" s="39">
        <v>926341064</v>
      </c>
      <c r="C2703" s="28" t="str">
        <f>HYPERLINK("https://pld.live/RapDetail.aspx?STONELIST=926341064","DNA")</f>
        <v>DNA</v>
      </c>
      <c r="D2703" s="18" t="s">
        <v>7954</v>
      </c>
      <c r="E2703" s="18" t="s">
        <v>5128</v>
      </c>
      <c r="F2703" s="2" t="s">
        <v>5597</v>
      </c>
      <c r="G2703" s="2" t="s">
        <v>861</v>
      </c>
      <c r="H2703" s="14">
        <v>0.3</v>
      </c>
      <c r="I2703" s="2" t="s">
        <v>4761</v>
      </c>
      <c r="J2703" s="2" t="s">
        <v>3942</v>
      </c>
      <c r="K2703" s="2" t="s">
        <v>5221</v>
      </c>
      <c r="L2703" s="2" t="s">
        <v>5221</v>
      </c>
      <c r="M2703" s="2" t="s">
        <v>5721</v>
      </c>
      <c r="N2703" s="2" t="s">
        <v>2317</v>
      </c>
      <c r="O2703" s="14">
        <v>2000</v>
      </c>
      <c r="P2703" s="14">
        <v>85.1</v>
      </c>
      <c r="Q2703" s="14">
        <v>298</v>
      </c>
      <c r="R2703" s="14">
        <v>89.4</v>
      </c>
      <c r="S2703" s="2" t="s">
        <v>5656</v>
      </c>
      <c r="T2703" s="2">
        <v>1.01</v>
      </c>
      <c r="U2703" s="2">
        <v>62</v>
      </c>
      <c r="V2703" s="2">
        <v>57</v>
      </c>
      <c r="W2703" s="2" t="s">
        <v>7862</v>
      </c>
      <c r="X2703" s="2" t="s">
        <v>5405</v>
      </c>
      <c r="Y2703" s="2">
        <v>600</v>
      </c>
      <c r="Z2703" s="19" t="str">
        <f>HYPERLINK("https://ssdweb.co/ssdweb/hd/Vision360.html?d=926341064&amp;zoomslide=1&amp;z=1926341064&amp;ISCONFIRM=0","VIDEO")</f>
        <v>VIDEO</v>
      </c>
      <c r="AA2703" s="19" t="str">
        <f>HYPERLINK("https://ssdweb.co/ssdweb/CERTH/1495924705.pdf","CERTI")</f>
        <v>CERTI</v>
      </c>
    </row>
    <row r="2704" spans="1:27" ht="15" x14ac:dyDescent="0.25">
      <c r="A2704" s="2">
        <v>2699</v>
      </c>
      <c r="B2704" s="39">
        <v>926431011</v>
      </c>
      <c r="C2704" s="28" t="str">
        <f>HYPERLINK("https://pld.live/RapDetail.aspx?STONELIST=926431011","DNA")</f>
        <v>DNA</v>
      </c>
      <c r="D2704" s="18" t="s">
        <v>7954</v>
      </c>
      <c r="E2704" s="18" t="s">
        <v>5128</v>
      </c>
      <c r="F2704" s="2" t="s">
        <v>7987</v>
      </c>
      <c r="G2704" s="2" t="s">
        <v>861</v>
      </c>
      <c r="H2704" s="14">
        <v>0.3</v>
      </c>
      <c r="I2704" s="2" t="s">
        <v>4761</v>
      </c>
      <c r="J2704" s="2" t="s">
        <v>3942</v>
      </c>
      <c r="K2704" s="2" t="s">
        <v>5221</v>
      </c>
      <c r="L2704" s="2" t="s">
        <v>5221</v>
      </c>
      <c r="M2704" s="2" t="s">
        <v>5721</v>
      </c>
      <c r="N2704" s="2" t="s">
        <v>2317</v>
      </c>
      <c r="O2704" s="14">
        <v>2000</v>
      </c>
      <c r="P2704" s="14">
        <v>93.25</v>
      </c>
      <c r="Q2704" s="14">
        <v>135</v>
      </c>
      <c r="R2704" s="14">
        <v>40.5</v>
      </c>
      <c r="S2704" s="2" t="s">
        <v>3837</v>
      </c>
      <c r="T2704" s="2">
        <v>1</v>
      </c>
      <c r="U2704" s="2">
        <v>62.8</v>
      </c>
      <c r="V2704" s="2">
        <v>59</v>
      </c>
      <c r="W2704" s="2" t="s">
        <v>7862</v>
      </c>
      <c r="X2704" s="2" t="s">
        <v>5405</v>
      </c>
      <c r="Y2704" s="2">
        <v>600</v>
      </c>
      <c r="Z2704" s="19" t="str">
        <f>HYPERLINK("https://ssdweb.co/ssdweb/hd/Vision360.html?d=926431011&amp;zoomslide=1&amp;z=1926431011&amp;ISCONFIRM=0","VIDEO")</f>
        <v>VIDEO</v>
      </c>
      <c r="AA2704" s="19" t="str">
        <f>HYPERLINK("https://ssdweb.co/ssdweb/CERTH/674542990.pdf","CERTI")</f>
        <v>CERTI</v>
      </c>
    </row>
    <row r="2705" spans="1:27" ht="15" x14ac:dyDescent="0.25">
      <c r="A2705" s="2">
        <v>2700</v>
      </c>
      <c r="B2705" s="39">
        <v>926721279</v>
      </c>
      <c r="C2705" s="28" t="str">
        <f>HYPERLINK("https://pld.live/RapDetail.aspx?STONELIST=926721279","DNA")</f>
        <v>DNA</v>
      </c>
      <c r="D2705" s="18" t="s">
        <v>7954</v>
      </c>
      <c r="E2705" s="18" t="s">
        <v>5128</v>
      </c>
      <c r="F2705" s="2" t="s">
        <v>5597</v>
      </c>
      <c r="G2705" s="2" t="s">
        <v>861</v>
      </c>
      <c r="H2705" s="14">
        <v>0.3</v>
      </c>
      <c r="I2705" s="2" t="s">
        <v>4761</v>
      </c>
      <c r="J2705" s="2" t="s">
        <v>3942</v>
      </c>
      <c r="K2705" s="2" t="s">
        <v>5721</v>
      </c>
      <c r="L2705" s="2" t="s">
        <v>5221</v>
      </c>
      <c r="M2705" s="2" t="s">
        <v>5221</v>
      </c>
      <c r="N2705" s="2" t="s">
        <v>2317</v>
      </c>
      <c r="O2705" s="14">
        <v>2000</v>
      </c>
      <c r="P2705" s="14">
        <v>85.25</v>
      </c>
      <c r="Q2705" s="14">
        <v>295</v>
      </c>
      <c r="R2705" s="14">
        <v>88.5</v>
      </c>
      <c r="S2705" s="2" t="s">
        <v>7039</v>
      </c>
      <c r="T2705" s="2">
        <v>1.01</v>
      </c>
      <c r="U2705" s="2">
        <v>59.9</v>
      </c>
      <c r="V2705" s="2">
        <v>60</v>
      </c>
      <c r="W2705" s="2" t="s">
        <v>7862</v>
      </c>
      <c r="X2705" s="2" t="s">
        <v>5405</v>
      </c>
      <c r="Y2705" s="2">
        <v>600</v>
      </c>
      <c r="Z2705" s="19" t="str">
        <f>HYPERLINK("https://ssdweb.co/ssdweb/hd/Vision360.html?d=926721279&amp;zoomslide=1&amp;z=1926721279&amp;ISCONFIRM=0","VIDEO")</f>
        <v>VIDEO</v>
      </c>
      <c r="AA2705" s="19" t="str">
        <f>HYPERLINK("https://ssdweb.co/ssdweb/CERTH/6501394890.pdf","CERTI")</f>
        <v>CERTI</v>
      </c>
    </row>
    <row r="2706" spans="1:27" ht="15" x14ac:dyDescent="0.25">
      <c r="A2706" s="2">
        <v>2701</v>
      </c>
      <c r="B2706" s="39">
        <v>926341137</v>
      </c>
      <c r="C2706" s="28" t="str">
        <f>HYPERLINK("https://pld.live/RapDetail.aspx?STONELIST=926341137","DNA")</f>
        <v>DNA</v>
      </c>
      <c r="D2706" s="18" t="s">
        <v>7954</v>
      </c>
      <c r="E2706" s="18" t="s">
        <v>5128</v>
      </c>
      <c r="F2706" s="2" t="s">
        <v>5597</v>
      </c>
      <c r="G2706" s="2" t="s">
        <v>861</v>
      </c>
      <c r="H2706" s="14">
        <v>0.3</v>
      </c>
      <c r="I2706" s="2" t="s">
        <v>4761</v>
      </c>
      <c r="J2706" s="2" t="s">
        <v>3942</v>
      </c>
      <c r="K2706" s="2" t="s">
        <v>5721</v>
      </c>
      <c r="L2706" s="2" t="s">
        <v>5221</v>
      </c>
      <c r="M2706" s="2" t="s">
        <v>5221</v>
      </c>
      <c r="N2706" s="2" t="s">
        <v>2317</v>
      </c>
      <c r="O2706" s="14">
        <v>2000</v>
      </c>
      <c r="P2706" s="14">
        <v>85.35</v>
      </c>
      <c r="Q2706" s="14">
        <v>293</v>
      </c>
      <c r="R2706" s="14">
        <v>87.9</v>
      </c>
      <c r="S2706" s="2" t="s">
        <v>2866</v>
      </c>
      <c r="T2706" s="2">
        <v>1.01</v>
      </c>
      <c r="U2706" s="2">
        <v>62.7</v>
      </c>
      <c r="V2706" s="2">
        <v>56</v>
      </c>
      <c r="W2706" s="2" t="s">
        <v>7862</v>
      </c>
      <c r="X2706" s="2" t="s">
        <v>5405</v>
      </c>
      <c r="Y2706" s="2">
        <v>600</v>
      </c>
      <c r="Z2706" s="19" t="str">
        <f>HYPERLINK("https://ssdweb.co/ssdweb/hd/Vision360.html?d=926341137&amp;zoomslide=1&amp;z=1926341137&amp;ISCONFIRM=0","VIDEO")</f>
        <v>VIDEO</v>
      </c>
      <c r="AA2706" s="19" t="str">
        <f>HYPERLINK("https://ssdweb.co/ssdweb/CERTH/2506173951.pdf","CERTI")</f>
        <v>CERTI</v>
      </c>
    </row>
    <row r="2707" spans="1:27" ht="15" x14ac:dyDescent="0.25">
      <c r="A2707" s="2">
        <v>2702</v>
      </c>
      <c r="B2707" s="39">
        <v>926710897</v>
      </c>
      <c r="C2707" s="28" t="str">
        <f>HYPERLINK("https://pld.live/RapDetail.aspx?STONELIST=926710897","DNA")</f>
        <v>DNA</v>
      </c>
      <c r="D2707" s="18" t="s">
        <v>7954</v>
      </c>
      <c r="E2707" s="18" t="s">
        <v>5128</v>
      </c>
      <c r="F2707" s="2" t="s">
        <v>7987</v>
      </c>
      <c r="G2707" s="2" t="s">
        <v>861</v>
      </c>
      <c r="H2707" s="14">
        <v>0.3</v>
      </c>
      <c r="I2707" s="2" t="s">
        <v>4761</v>
      </c>
      <c r="J2707" s="2" t="s">
        <v>13</v>
      </c>
      <c r="K2707" s="2" t="s">
        <v>5221</v>
      </c>
      <c r="L2707" s="2" t="s">
        <v>5221</v>
      </c>
      <c r="M2707" s="2" t="s">
        <v>5721</v>
      </c>
      <c r="N2707" s="2" t="s">
        <v>2317</v>
      </c>
      <c r="O2707" s="14">
        <v>1800</v>
      </c>
      <c r="P2707" s="14">
        <v>93</v>
      </c>
      <c r="Q2707" s="14">
        <v>126</v>
      </c>
      <c r="R2707" s="14">
        <v>37.799999999999997</v>
      </c>
      <c r="S2707" s="2" t="s">
        <v>1853</v>
      </c>
      <c r="T2707" s="2">
        <v>1.01</v>
      </c>
      <c r="U2707" s="2">
        <v>62.9</v>
      </c>
      <c r="V2707" s="2">
        <v>58</v>
      </c>
      <c r="W2707" s="2" t="s">
        <v>7862</v>
      </c>
      <c r="X2707" s="2" t="s">
        <v>5405</v>
      </c>
      <c r="Y2707" s="2">
        <v>540</v>
      </c>
      <c r="Z2707" s="19" t="str">
        <f>HYPERLINK("https://ssdweb.co/ssdweb/hd/Vision360.html?d=926710897&amp;zoomslide=1&amp;z=1926710897&amp;ISCONFIRM=0","VIDEO")</f>
        <v>VIDEO</v>
      </c>
      <c r="AA2707" s="19" t="str">
        <f>HYPERLINK("https://ssdweb.co/ssdweb/CERTH/651466397.pdf","CERTI")</f>
        <v>CERTI</v>
      </c>
    </row>
    <row r="2708" spans="1:27" ht="15" x14ac:dyDescent="0.25">
      <c r="A2708" s="2">
        <v>2703</v>
      </c>
      <c r="B2708" s="39">
        <v>941330442</v>
      </c>
      <c r="C2708" s="28" t="str">
        <f>HYPERLINK("https://pld.live/RapDetail.aspx?STONELIST=941330442","DNA")</f>
        <v>DNA</v>
      </c>
      <c r="D2708" s="18" t="s">
        <v>7954</v>
      </c>
      <c r="E2708" s="18" t="s">
        <v>2186</v>
      </c>
      <c r="F2708" s="2" t="s">
        <v>7987</v>
      </c>
      <c r="G2708" s="2" t="s">
        <v>861</v>
      </c>
      <c r="H2708" s="14">
        <v>0.3</v>
      </c>
      <c r="I2708" s="2" t="s">
        <v>4761</v>
      </c>
      <c r="J2708" s="2" t="s">
        <v>13</v>
      </c>
      <c r="K2708" s="2" t="s">
        <v>5221</v>
      </c>
      <c r="L2708" s="2" t="s">
        <v>5721</v>
      </c>
      <c r="M2708" s="2" t="s">
        <v>5721</v>
      </c>
      <c r="N2708" s="2" t="s">
        <v>2317</v>
      </c>
      <c r="O2708" s="14">
        <v>1800</v>
      </c>
      <c r="P2708" s="14">
        <v>93.11</v>
      </c>
      <c r="Q2708" s="14">
        <v>124.02</v>
      </c>
      <c r="R2708" s="14">
        <v>37.21</v>
      </c>
      <c r="S2708" s="2" t="s">
        <v>7926</v>
      </c>
      <c r="T2708" s="2">
        <v>1.01</v>
      </c>
      <c r="U2708" s="2">
        <v>62.7</v>
      </c>
      <c r="V2708" s="2">
        <v>62</v>
      </c>
      <c r="W2708" s="2" t="s">
        <v>7862</v>
      </c>
      <c r="X2708" s="2" t="s">
        <v>5405</v>
      </c>
      <c r="Y2708" s="2">
        <v>540</v>
      </c>
      <c r="Z2708" s="19" t="str">
        <f>HYPERLINK("https://ssdweb.co/ssdweb/hd/Vision360.html?d=941330442&amp;zoomslide=1&amp;z=1941330442&amp;ISCONFIRM=0","VIDEO")</f>
        <v>VIDEO</v>
      </c>
      <c r="AA2708" s="19" t="str">
        <f>HYPERLINK("https://ssdweb.co/ssdweb/CERTH/687591609.pdf","CERTI")</f>
        <v>CERTI</v>
      </c>
    </row>
    <row r="2709" spans="1:27" ht="15" x14ac:dyDescent="0.25">
      <c r="A2709" s="2">
        <v>2704</v>
      </c>
      <c r="B2709" s="39">
        <v>926710963</v>
      </c>
      <c r="C2709" s="28" t="str">
        <f>HYPERLINK("https://pld.live/RapDetail.aspx?STONELIST=926710963","DNA")</f>
        <v>DNA</v>
      </c>
      <c r="D2709" s="18" t="s">
        <v>7954</v>
      </c>
      <c r="E2709" s="18" t="s">
        <v>5128</v>
      </c>
      <c r="F2709" s="2" t="s">
        <v>7987</v>
      </c>
      <c r="G2709" s="2" t="s">
        <v>861</v>
      </c>
      <c r="H2709" s="14">
        <v>0.3</v>
      </c>
      <c r="I2709" s="2" t="s">
        <v>4761</v>
      </c>
      <c r="J2709" s="2" t="s">
        <v>5144</v>
      </c>
      <c r="K2709" s="2" t="s">
        <v>5221</v>
      </c>
      <c r="L2709" s="2" t="s">
        <v>5221</v>
      </c>
      <c r="M2709" s="2" t="s">
        <v>5221</v>
      </c>
      <c r="N2709" s="2" t="s">
        <v>2317</v>
      </c>
      <c r="O2709" s="14">
        <v>1700</v>
      </c>
      <c r="P2709" s="14">
        <v>92.47</v>
      </c>
      <c r="Q2709" s="14">
        <v>128.01</v>
      </c>
      <c r="R2709" s="14">
        <v>38.4</v>
      </c>
      <c r="S2709" s="2" t="s">
        <v>5160</v>
      </c>
      <c r="T2709" s="2">
        <v>1.01</v>
      </c>
      <c r="U2709" s="2">
        <v>61.6</v>
      </c>
      <c r="V2709" s="2">
        <v>63</v>
      </c>
      <c r="W2709" s="2" t="s">
        <v>7862</v>
      </c>
      <c r="X2709" s="2" t="s">
        <v>5405</v>
      </c>
      <c r="Y2709" s="2">
        <v>510</v>
      </c>
      <c r="Z2709" s="19" t="str">
        <f>HYPERLINK("https://ssdweb.co/ssdweb/hd/Vision360.html?d=926710963&amp;zoomslide=1&amp;z=1926710963&amp;ISCONFIRM=0","VIDEO")</f>
        <v>VIDEO</v>
      </c>
      <c r="AA2709" s="19" t="str">
        <f>HYPERLINK("https://ssdweb.co/ssdweb/CERTH/652442370.pdf","CERTI")</f>
        <v>CERTI</v>
      </c>
    </row>
    <row r="2710" spans="1:27" ht="15" x14ac:dyDescent="0.25">
      <c r="A2710" s="2">
        <v>2705</v>
      </c>
      <c r="B2710" s="39">
        <v>926311344</v>
      </c>
      <c r="C2710" s="28" t="str">
        <f>HYPERLINK("https://pld.live/RapDetail.aspx?STONELIST=926311344","DNA")</f>
        <v>DNA</v>
      </c>
      <c r="D2710" s="18" t="s">
        <v>7954</v>
      </c>
      <c r="E2710" s="18" t="s">
        <v>5128</v>
      </c>
      <c r="F2710" s="2" t="s">
        <v>7987</v>
      </c>
      <c r="G2710" s="2" t="s">
        <v>861</v>
      </c>
      <c r="H2710" s="14">
        <v>0.3</v>
      </c>
      <c r="I2710" s="2" t="s">
        <v>4761</v>
      </c>
      <c r="J2710" s="2" t="s">
        <v>5144</v>
      </c>
      <c r="K2710" s="2" t="s">
        <v>5221</v>
      </c>
      <c r="L2710" s="2" t="s">
        <v>5221</v>
      </c>
      <c r="M2710" s="2" t="s">
        <v>5721</v>
      </c>
      <c r="N2710" s="2" t="s">
        <v>2317</v>
      </c>
      <c r="O2710" s="14">
        <v>1700</v>
      </c>
      <c r="P2710" s="14">
        <v>92.94</v>
      </c>
      <c r="Q2710" s="14">
        <v>120.02</v>
      </c>
      <c r="R2710" s="14">
        <v>36.01</v>
      </c>
      <c r="S2710" s="2" t="s">
        <v>6637</v>
      </c>
      <c r="T2710" s="2">
        <v>1.01</v>
      </c>
      <c r="U2710" s="2">
        <v>58.7</v>
      </c>
      <c r="V2710" s="2">
        <v>61</v>
      </c>
      <c r="W2710" s="2" t="s">
        <v>7862</v>
      </c>
      <c r="X2710" s="2" t="s">
        <v>5405</v>
      </c>
      <c r="Y2710" s="2">
        <v>510</v>
      </c>
      <c r="Z2710" s="19" t="str">
        <f>HYPERLINK("https://ssdweb.co/ssdweb/hd/Vision360.html?d=926311344&amp;zoomslide=1&amp;z=1926311344&amp;ISCONFIRM=0","VIDEO")</f>
        <v>VIDEO</v>
      </c>
      <c r="AA2710" s="19" t="str">
        <f>HYPERLINK("https://ssdweb.co/ssdweb/CERTH/642442882.pdf","CERTI")</f>
        <v>CERTI</v>
      </c>
    </row>
    <row r="2711" spans="1:27" ht="15" x14ac:dyDescent="0.25">
      <c r="A2711" s="2">
        <v>2706</v>
      </c>
      <c r="B2711" s="39">
        <v>926320979</v>
      </c>
      <c r="C2711" s="28" t="str">
        <f>HYPERLINK("https://pld.live/RapDetail.aspx?STONELIST=926320979","DNA")</f>
        <v>DNA</v>
      </c>
      <c r="D2711" s="18" t="s">
        <v>7954</v>
      </c>
      <c r="E2711" s="18" t="s">
        <v>5128</v>
      </c>
      <c r="F2711" s="2" t="s">
        <v>5597</v>
      </c>
      <c r="G2711" s="2" t="s">
        <v>861</v>
      </c>
      <c r="H2711" s="14">
        <v>0.3</v>
      </c>
      <c r="I2711" s="2" t="s">
        <v>4761</v>
      </c>
      <c r="J2711" s="2" t="s">
        <v>5144</v>
      </c>
      <c r="K2711" s="2" t="s">
        <v>5221</v>
      </c>
      <c r="L2711" s="2" t="s">
        <v>5721</v>
      </c>
      <c r="M2711" s="2" t="s">
        <v>5221</v>
      </c>
      <c r="N2711" s="2" t="s">
        <v>2317</v>
      </c>
      <c r="O2711" s="14">
        <v>1700</v>
      </c>
      <c r="P2711" s="14">
        <v>84.53</v>
      </c>
      <c r="Q2711" s="14">
        <v>262.99</v>
      </c>
      <c r="R2711" s="14">
        <v>78.900000000000006</v>
      </c>
      <c r="S2711" s="2" t="s">
        <v>7152</v>
      </c>
      <c r="T2711" s="2">
        <v>1</v>
      </c>
      <c r="U2711" s="2">
        <v>59.4</v>
      </c>
      <c r="V2711" s="2">
        <v>59</v>
      </c>
      <c r="W2711" s="2" t="s">
        <v>7862</v>
      </c>
      <c r="X2711" s="2" t="s">
        <v>5405</v>
      </c>
      <c r="Y2711" s="2">
        <v>510</v>
      </c>
      <c r="Z2711" s="19" t="str">
        <f>HYPERLINK("https://ssdweb.co/ssdweb/hd/Vision360.html?d=926320979&amp;zoomslide=1&amp;z=1926320979&amp;ISCONFIRM=0","VIDEO")</f>
        <v>VIDEO</v>
      </c>
      <c r="AA2711" s="19" t="str">
        <f>HYPERLINK("https://ssdweb.co/ssdweb/CERTH/6491866374.pdf","CERTI")</f>
        <v>CERTI</v>
      </c>
    </row>
    <row r="2712" spans="1:27" ht="15" x14ac:dyDescent="0.25">
      <c r="A2712" s="2">
        <v>2707</v>
      </c>
      <c r="B2712" s="39">
        <v>926820118</v>
      </c>
      <c r="C2712" s="28" t="str">
        <f>HYPERLINK("https://pld.live/RapDetail.aspx?STONELIST=926820118","DNA")</f>
        <v>DNA</v>
      </c>
      <c r="D2712" s="18" t="s">
        <v>38</v>
      </c>
      <c r="E2712" s="18" t="s">
        <v>2186</v>
      </c>
      <c r="F2712" s="2" t="s">
        <v>7987</v>
      </c>
      <c r="G2712" s="2" t="s">
        <v>3296</v>
      </c>
      <c r="H2712" s="14">
        <v>18.25</v>
      </c>
      <c r="I2712" s="2" t="s">
        <v>4761</v>
      </c>
      <c r="J2712" s="2" t="s">
        <v>3942</v>
      </c>
      <c r="K2712" s="2" t="s">
        <v>1452</v>
      </c>
      <c r="L2712" s="2" t="s">
        <v>5221</v>
      </c>
      <c r="M2712" s="2" t="s">
        <v>5221</v>
      </c>
      <c r="N2712" s="2" t="s">
        <v>2317</v>
      </c>
      <c r="O2712" s="14">
        <v>90500</v>
      </c>
      <c r="P2712" s="14">
        <v>99.01</v>
      </c>
      <c r="Q2712" s="14">
        <v>895.95</v>
      </c>
      <c r="R2712" s="14">
        <v>16351.09</v>
      </c>
      <c r="S2712" s="2" t="s">
        <v>2494</v>
      </c>
      <c r="T2712" s="2">
        <v>1.05</v>
      </c>
      <c r="U2712" s="2">
        <v>63.6</v>
      </c>
      <c r="V2712" s="2">
        <v>62</v>
      </c>
      <c r="W2712" s="2" t="s">
        <v>7862</v>
      </c>
      <c r="X2712" s="2" t="s">
        <v>7670</v>
      </c>
      <c r="Y2712" s="2">
        <v>1651625</v>
      </c>
      <c r="Z2712" s="19" t="str">
        <f>HYPERLINK("https://ssdweb.co/ssdweb/hd/Vision360.html?d=926820118&amp;zoomslide=1&amp;z=1926820118&amp;ISCONFIRM=0","VIDEO")</f>
        <v>VIDEO</v>
      </c>
      <c r="AA2712" s="19" t="str">
        <f>HYPERLINK("https://ssdweb.co/ssdweb/CERTH/660429279.pdf","CERTI")</f>
        <v>CERTI</v>
      </c>
    </row>
    <row r="2713" spans="1:27" ht="15" x14ac:dyDescent="0.25">
      <c r="A2713" s="2">
        <v>2708</v>
      </c>
      <c r="B2713" s="39">
        <v>926780100</v>
      </c>
      <c r="C2713" s="28" t="str">
        <f>HYPERLINK("https://pld.live/RapDetail.aspx?STONELIST=926780100","DNA")</f>
        <v>DNA</v>
      </c>
      <c r="D2713" s="18" t="s">
        <v>38</v>
      </c>
      <c r="E2713" s="18" t="s">
        <v>2186</v>
      </c>
      <c r="F2713" s="2" t="s">
        <v>7987</v>
      </c>
      <c r="G2713" s="2" t="s">
        <v>3296</v>
      </c>
      <c r="H2713" s="14">
        <v>16.239999999999998</v>
      </c>
      <c r="I2713" s="2" t="s">
        <v>4761</v>
      </c>
      <c r="J2713" s="2" t="s">
        <v>3942</v>
      </c>
      <c r="K2713" s="2" t="s">
        <v>1452</v>
      </c>
      <c r="L2713" s="2" t="s">
        <v>5221</v>
      </c>
      <c r="M2713" s="2" t="s">
        <v>5221</v>
      </c>
      <c r="N2713" s="2" t="s">
        <v>2317</v>
      </c>
      <c r="O2713" s="14">
        <v>90500</v>
      </c>
      <c r="P2713" s="14">
        <v>99.14</v>
      </c>
      <c r="Q2713" s="14">
        <v>778.3</v>
      </c>
      <c r="R2713" s="14">
        <v>12639.59</v>
      </c>
      <c r="S2713" s="2" t="s">
        <v>5956</v>
      </c>
      <c r="T2713" s="2">
        <v>1.05</v>
      </c>
      <c r="U2713" s="2">
        <v>62</v>
      </c>
      <c r="V2713" s="2">
        <v>62</v>
      </c>
      <c r="W2713" s="2" t="s">
        <v>7862</v>
      </c>
      <c r="X2713" s="2" t="s">
        <v>7670</v>
      </c>
      <c r="Y2713" s="2">
        <v>1469720</v>
      </c>
      <c r="Z2713" s="19" t="str">
        <f>HYPERLINK("https://ssdweb.co/ssdweb/hd/Vision360.html?d=926780100&amp;zoomslide=1&amp;z=1926780100&amp;ISCONFIRM=0","VIDEO")</f>
        <v>VIDEO</v>
      </c>
      <c r="AA2713" s="19" t="str">
        <f>HYPERLINK("https://ssdweb.co/ssdweb/CERTH/655441433.pdf","CERTI")</f>
        <v>CERTI</v>
      </c>
    </row>
    <row r="2714" spans="1:27" ht="15" x14ac:dyDescent="0.25">
      <c r="A2714" s="2">
        <v>2709</v>
      </c>
      <c r="B2714" s="39">
        <v>831020191</v>
      </c>
      <c r="C2714" s="28" t="str">
        <f>HYPERLINK("https://pld.live/RapDetail.aspx?STONELIST=831020191","DNA")</f>
        <v>DNA</v>
      </c>
      <c r="D2714" s="18" t="s">
        <v>1255</v>
      </c>
      <c r="E2714" s="18" t="s">
        <v>2186</v>
      </c>
      <c r="F2714" s="2" t="s">
        <v>5597</v>
      </c>
      <c r="G2714" s="2" t="s">
        <v>3296</v>
      </c>
      <c r="H2714" s="14">
        <v>10.1</v>
      </c>
      <c r="I2714" s="2" t="s">
        <v>4699</v>
      </c>
      <c r="J2714" s="2" t="s">
        <v>5144</v>
      </c>
      <c r="K2714" s="2" t="s">
        <v>1452</v>
      </c>
      <c r="L2714" s="2" t="s">
        <v>5221</v>
      </c>
      <c r="M2714" s="2" t="s">
        <v>5221</v>
      </c>
      <c r="N2714" s="2" t="s">
        <v>2317</v>
      </c>
      <c r="O2714" s="14">
        <v>66500</v>
      </c>
      <c r="P2714" s="14">
        <v>99.06</v>
      </c>
      <c r="Q2714" s="14">
        <v>625.1</v>
      </c>
      <c r="R2714" s="14">
        <v>6313.51</v>
      </c>
      <c r="S2714" s="2" t="s">
        <v>6359</v>
      </c>
      <c r="T2714" s="2">
        <v>1.04</v>
      </c>
      <c r="U2714" s="2">
        <v>66.599999999999994</v>
      </c>
      <c r="V2714" s="2">
        <v>67</v>
      </c>
      <c r="W2714" s="2" t="s">
        <v>7862</v>
      </c>
      <c r="X2714" s="2" t="s">
        <v>7053</v>
      </c>
      <c r="Y2714" s="2">
        <v>671650</v>
      </c>
      <c r="Z2714" s="19" t="str">
        <f>HYPERLINK("https://ssdweb.co/ssdweb/hd/Vision360.html?d=831020191&amp;zoomslide=1&amp;z=1831020191&amp;ISCONFIRM=0","VIDEO")</f>
        <v>VIDEO</v>
      </c>
      <c r="AA2714" s="19" t="str">
        <f>HYPERLINK("https://ssdweb.co/ssdweb/CERTH/5221630042.pdf","CERTI")</f>
        <v>CERTI</v>
      </c>
    </row>
    <row r="2715" spans="1:27" ht="15" x14ac:dyDescent="0.25">
      <c r="A2715" s="2">
        <v>2710</v>
      </c>
      <c r="B2715" s="39">
        <v>923130003</v>
      </c>
      <c r="C2715" s="28" t="str">
        <f>HYPERLINK("https://pld.live/RapDetail.aspx?STONELIST=923130003","DNA")</f>
        <v>DNA</v>
      </c>
      <c r="D2715" s="18" t="s">
        <v>1255</v>
      </c>
      <c r="E2715" s="18" t="s">
        <v>2186</v>
      </c>
      <c r="F2715" s="2" t="s">
        <v>7987</v>
      </c>
      <c r="G2715" s="2" t="s">
        <v>3296</v>
      </c>
      <c r="H2715" s="14">
        <v>10.029999999999999</v>
      </c>
      <c r="I2715" s="2" t="s">
        <v>6587</v>
      </c>
      <c r="J2715" s="2" t="s">
        <v>13</v>
      </c>
      <c r="K2715" s="2" t="s">
        <v>1452</v>
      </c>
      <c r="L2715" s="2" t="s">
        <v>5221</v>
      </c>
      <c r="M2715" s="2" t="s">
        <v>5221</v>
      </c>
      <c r="N2715" s="2" t="s">
        <v>2317</v>
      </c>
      <c r="O2715" s="14">
        <v>65000</v>
      </c>
      <c r="P2715" s="14">
        <v>99.48</v>
      </c>
      <c r="Q2715" s="14">
        <v>338</v>
      </c>
      <c r="R2715" s="14">
        <v>3390.14</v>
      </c>
      <c r="S2715" s="2" t="s">
        <v>3211</v>
      </c>
      <c r="T2715" s="2">
        <v>1.07</v>
      </c>
      <c r="U2715" s="2">
        <v>67.5</v>
      </c>
      <c r="V2715" s="2">
        <v>63</v>
      </c>
      <c r="W2715" s="2" t="s">
        <v>8016</v>
      </c>
      <c r="X2715" s="2" t="s">
        <v>7053</v>
      </c>
      <c r="Y2715" s="2">
        <v>651950</v>
      </c>
      <c r="Z2715" s="19" t="str">
        <f>HYPERLINK("https://ssdweb.co/ssdweb/hd/Vision360.html?d=923130003&amp;zoomslide=1&amp;z=1923130003&amp;ISCONFIRM=0","VIDEO")</f>
        <v>VIDEO</v>
      </c>
      <c r="AA2715" s="19" t="str">
        <f>HYPERLINK("https://ssdweb.co/ssdweb/CERTH/530290503.pdf","CERTI")</f>
        <v>CERTI</v>
      </c>
    </row>
    <row r="2716" spans="1:27" ht="15" x14ac:dyDescent="0.25">
      <c r="A2716" s="2">
        <v>2711</v>
      </c>
      <c r="B2716" s="39">
        <v>922930163</v>
      </c>
      <c r="C2716" s="28" t="str">
        <f>HYPERLINK("https://pld.live/RapDetail.aspx?STONELIST=922930163","DNA")</f>
        <v>DNA</v>
      </c>
      <c r="D2716" s="18" t="s">
        <v>3174</v>
      </c>
      <c r="E2716" s="18" t="s">
        <v>2186</v>
      </c>
      <c r="F2716" s="2" t="s">
        <v>7987</v>
      </c>
      <c r="G2716" s="2" t="s">
        <v>3296</v>
      </c>
      <c r="H2716" s="14">
        <v>5.44</v>
      </c>
      <c r="I2716" s="2" t="s">
        <v>1505</v>
      </c>
      <c r="J2716" s="2" t="s">
        <v>13</v>
      </c>
      <c r="K2716" s="2" t="s">
        <v>1452</v>
      </c>
      <c r="L2716" s="2" t="s">
        <v>5221</v>
      </c>
      <c r="M2716" s="2" t="s">
        <v>5221</v>
      </c>
      <c r="N2716" s="2" t="s">
        <v>2317</v>
      </c>
      <c r="O2716" s="14">
        <v>33500</v>
      </c>
      <c r="P2716" s="14">
        <v>99.58</v>
      </c>
      <c r="Q2716" s="14">
        <v>140.69999999999999</v>
      </c>
      <c r="R2716" s="14">
        <v>765.41</v>
      </c>
      <c r="S2716" s="2" t="s">
        <v>1115</v>
      </c>
      <c r="T2716" s="2">
        <v>1</v>
      </c>
      <c r="U2716" s="2">
        <v>66.5</v>
      </c>
      <c r="V2716" s="2">
        <v>61.5</v>
      </c>
      <c r="W2716" s="2" t="s">
        <v>7862</v>
      </c>
      <c r="X2716" s="2" t="s">
        <v>7670</v>
      </c>
      <c r="Y2716" s="2">
        <v>182240</v>
      </c>
      <c r="Z2716" s="19" t="str">
        <f>HYPERLINK("https://ssdweb.co/ssdweb/hd/Vision360.html?d=922930163&amp;zoomslide=1&amp;z=1922930163&amp;ISCONFIRM=0","VIDEO")</f>
        <v>VIDEO</v>
      </c>
      <c r="AA2716" s="19" t="str">
        <f>HYPERLINK("https://ssdweb.co/ssdweb/CERTH/534266860.pdf","CERTI")</f>
        <v>CERTI</v>
      </c>
    </row>
    <row r="2717" spans="1:27" ht="15" x14ac:dyDescent="0.25">
      <c r="A2717" s="2">
        <v>2712</v>
      </c>
      <c r="B2717" s="39">
        <v>831020221</v>
      </c>
      <c r="C2717" s="28" t="str">
        <f>HYPERLINK("https://pld.live/RapDetail.aspx?STONELIST=831020221","DNA")</f>
        <v>DNA</v>
      </c>
      <c r="D2717" s="18" t="s">
        <v>3174</v>
      </c>
      <c r="E2717" s="18" t="s">
        <v>2186</v>
      </c>
      <c r="F2717" s="2" t="s">
        <v>7987</v>
      </c>
      <c r="G2717" s="2" t="s">
        <v>3296</v>
      </c>
      <c r="H2717" s="14">
        <v>5.24</v>
      </c>
      <c r="I2717" s="2" t="s">
        <v>1505</v>
      </c>
      <c r="J2717" s="2" t="s">
        <v>444</v>
      </c>
      <c r="K2717" s="2" t="s">
        <v>1452</v>
      </c>
      <c r="L2717" s="2" t="s">
        <v>5221</v>
      </c>
      <c r="M2717" s="2" t="s">
        <v>5221</v>
      </c>
      <c r="N2717" s="2" t="s">
        <v>2317</v>
      </c>
      <c r="O2717" s="14">
        <v>25000</v>
      </c>
      <c r="P2717" s="14">
        <v>99.49</v>
      </c>
      <c r="Q2717" s="14">
        <v>127.5</v>
      </c>
      <c r="R2717" s="14">
        <v>668.1</v>
      </c>
      <c r="S2717" s="2" t="s">
        <v>5404</v>
      </c>
      <c r="T2717" s="2">
        <v>1.05</v>
      </c>
      <c r="U2717" s="2">
        <v>63.5</v>
      </c>
      <c r="V2717" s="2">
        <v>65</v>
      </c>
      <c r="W2717" s="2" t="s">
        <v>8016</v>
      </c>
      <c r="X2717" s="2" t="s">
        <v>7670</v>
      </c>
      <c r="Y2717" s="2">
        <v>131000</v>
      </c>
      <c r="Z2717" s="19" t="str">
        <f>HYPERLINK("https://ssdweb.co/ssdweb/hd/Vision360.html?d=831020221&amp;zoomslide=1&amp;z=1831020221&amp;ISCONFIRM=0","VIDEO")</f>
        <v>VIDEO</v>
      </c>
      <c r="AA2717" s="19" t="str">
        <f>HYPERLINK("https://ssdweb.co/ssdweb/CERTH/537255167.pdf","CERTI")</f>
        <v>CERTI</v>
      </c>
    </row>
    <row r="2718" spans="1:27" ht="15" x14ac:dyDescent="0.25">
      <c r="A2718" s="2">
        <v>2713</v>
      </c>
      <c r="B2718" s="39">
        <v>926450622</v>
      </c>
      <c r="C2718" s="28" t="str">
        <f>HYPERLINK("https://pld.live/RapDetail.aspx?STONELIST=926450622","DNA")</f>
        <v>DNA</v>
      </c>
      <c r="D2718" s="18" t="s">
        <v>3174</v>
      </c>
      <c r="E2718" s="18" t="s">
        <v>2186</v>
      </c>
      <c r="F2718" s="2" t="s">
        <v>7987</v>
      </c>
      <c r="G2718" s="2" t="s">
        <v>3296</v>
      </c>
      <c r="H2718" s="14">
        <v>5.22</v>
      </c>
      <c r="I2718" s="2" t="s">
        <v>6845</v>
      </c>
      <c r="J2718" s="2" t="s">
        <v>13</v>
      </c>
      <c r="K2718" s="2" t="s">
        <v>1452</v>
      </c>
      <c r="L2718" s="2" t="s">
        <v>5221</v>
      </c>
      <c r="M2718" s="2" t="s">
        <v>5221</v>
      </c>
      <c r="N2718" s="2" t="s">
        <v>2317</v>
      </c>
      <c r="O2718" s="14">
        <v>9500</v>
      </c>
      <c r="P2718" s="14">
        <v>96.32</v>
      </c>
      <c r="Q2718" s="14">
        <v>349.6</v>
      </c>
      <c r="R2718" s="14">
        <v>1824.91</v>
      </c>
      <c r="S2718" s="2" t="s">
        <v>1477</v>
      </c>
      <c r="T2718" s="2">
        <v>1.02</v>
      </c>
      <c r="U2718" s="2">
        <v>65.400000000000006</v>
      </c>
      <c r="V2718" s="2">
        <v>62</v>
      </c>
      <c r="W2718" s="2" t="s">
        <v>7862</v>
      </c>
      <c r="X2718" s="2" t="s">
        <v>7670</v>
      </c>
      <c r="Y2718" s="2">
        <v>49590</v>
      </c>
      <c r="Z2718" s="19" t="str">
        <f>HYPERLINK("https://ssdweb.co/ssdweb/hd/Vision360.html?d=926450622&amp;zoomslide=1&amp;z=1926450622&amp;ISCONFIRM=0","VIDEO")</f>
        <v>VIDEO</v>
      </c>
      <c r="AA2718" s="19" t="str">
        <f>HYPERLINK("https://ssdweb.co/ssdweb/CERTH/668437274.pdf","CERTI")</f>
        <v>CERTI</v>
      </c>
    </row>
    <row r="2719" spans="1:27" ht="15" x14ac:dyDescent="0.25">
      <c r="A2719" s="2">
        <v>2714</v>
      </c>
      <c r="B2719" s="39">
        <v>926470427</v>
      </c>
      <c r="C2719" s="28" t="str">
        <f>HYPERLINK("https://pld.live/RapDetail.aspx?STONELIST=926470427","DNA")</f>
        <v>DNA</v>
      </c>
      <c r="D2719" s="18" t="s">
        <v>3174</v>
      </c>
      <c r="E2719" s="18" t="s">
        <v>2186</v>
      </c>
      <c r="F2719" s="2" t="s">
        <v>7987</v>
      </c>
      <c r="G2719" s="2" t="s">
        <v>3296</v>
      </c>
      <c r="H2719" s="14">
        <v>5.21</v>
      </c>
      <c r="I2719" s="2" t="s">
        <v>6845</v>
      </c>
      <c r="J2719" s="2" t="s">
        <v>13</v>
      </c>
      <c r="K2719" s="2" t="s">
        <v>1452</v>
      </c>
      <c r="L2719" s="2" t="s">
        <v>5221</v>
      </c>
      <c r="M2719" s="2" t="s">
        <v>5221</v>
      </c>
      <c r="N2719" s="2" t="s">
        <v>2317</v>
      </c>
      <c r="O2719" s="14">
        <v>9500</v>
      </c>
      <c r="P2719" s="14">
        <v>96.32</v>
      </c>
      <c r="Q2719" s="14">
        <v>349.6</v>
      </c>
      <c r="R2719" s="14">
        <v>1821.42</v>
      </c>
      <c r="S2719" s="2" t="s">
        <v>4192</v>
      </c>
      <c r="T2719" s="2">
        <v>1.04</v>
      </c>
      <c r="U2719" s="2">
        <v>64</v>
      </c>
      <c r="V2719" s="2">
        <v>62</v>
      </c>
      <c r="W2719" s="2" t="s">
        <v>7862</v>
      </c>
      <c r="X2719" s="2" t="s">
        <v>7670</v>
      </c>
      <c r="Y2719" s="2">
        <v>49495</v>
      </c>
      <c r="Z2719" s="19" t="str">
        <f>HYPERLINK("https://ssdweb.co/ssdweb/hd/Vision360.html?d=926470427&amp;zoomslide=1&amp;z=1926470427&amp;ISCONFIRM=0","VIDEO")</f>
        <v>VIDEO</v>
      </c>
      <c r="AA2719" s="19" t="str">
        <f>HYPERLINK("https://ssdweb.co/ssdweb/CERTH/648410108.pdf","CERTI")</f>
        <v>CERTI</v>
      </c>
    </row>
    <row r="2720" spans="1:27" ht="15" x14ac:dyDescent="0.25">
      <c r="A2720" s="2">
        <v>2715</v>
      </c>
      <c r="B2720" s="39">
        <v>926420447</v>
      </c>
      <c r="C2720" s="28" t="str">
        <f>HYPERLINK("https://pld.live/RapDetail.aspx?STONELIST=926420447","DNA")</f>
        <v>DNA</v>
      </c>
      <c r="D2720" s="18" t="s">
        <v>3174</v>
      </c>
      <c r="E2720" s="18" t="s">
        <v>2186</v>
      </c>
      <c r="F2720" s="2" t="s">
        <v>7987</v>
      </c>
      <c r="G2720" s="2" t="s">
        <v>3296</v>
      </c>
      <c r="H2720" s="14">
        <v>5.2</v>
      </c>
      <c r="I2720" s="2" t="s">
        <v>6845</v>
      </c>
      <c r="J2720" s="2" t="s">
        <v>13</v>
      </c>
      <c r="K2720" s="2" t="s">
        <v>1452</v>
      </c>
      <c r="L2720" s="2" t="s">
        <v>5221</v>
      </c>
      <c r="M2720" s="2" t="s">
        <v>5221</v>
      </c>
      <c r="N2720" s="2" t="s">
        <v>2317</v>
      </c>
      <c r="O2720" s="14">
        <v>9500</v>
      </c>
      <c r="P2720" s="14">
        <v>96.32</v>
      </c>
      <c r="Q2720" s="14">
        <v>349.6</v>
      </c>
      <c r="R2720" s="14">
        <v>1817.92</v>
      </c>
      <c r="S2720" s="2" t="s">
        <v>3188</v>
      </c>
      <c r="T2720" s="2">
        <v>1.05</v>
      </c>
      <c r="U2720" s="2">
        <v>65.900000000000006</v>
      </c>
      <c r="V2720" s="2">
        <v>61</v>
      </c>
      <c r="W2720" s="2" t="s">
        <v>7862</v>
      </c>
      <c r="X2720" s="2" t="s">
        <v>7670</v>
      </c>
      <c r="Y2720" s="2">
        <v>49400</v>
      </c>
      <c r="Z2720" s="19" t="str">
        <f>HYPERLINK("https://ssdweb.co/ssdweb/hd/Vision360.html?d=926420447&amp;zoomslide=1&amp;z=1926420447&amp;ISCONFIRM=0","VIDEO")</f>
        <v>VIDEO</v>
      </c>
      <c r="AA2720" s="19" t="str">
        <f>HYPERLINK("https://ssdweb.co/ssdweb/CERTH/648410107.pdf","CERTI")</f>
        <v>CERTI</v>
      </c>
    </row>
    <row r="2721" spans="1:27" ht="15" x14ac:dyDescent="0.25">
      <c r="A2721" s="2">
        <v>2716</v>
      </c>
      <c r="B2721" s="39">
        <v>922170063</v>
      </c>
      <c r="C2721" s="28" t="str">
        <f>HYPERLINK("https://pld.live/RapDetail.aspx?STONELIST=922170063","DNA")</f>
        <v>DNA</v>
      </c>
      <c r="D2721" s="18" t="s">
        <v>3174</v>
      </c>
      <c r="E2721" s="18" t="s">
        <v>2186</v>
      </c>
      <c r="F2721" s="2" t="s">
        <v>5597</v>
      </c>
      <c r="G2721" s="2" t="s">
        <v>3296</v>
      </c>
      <c r="H2721" s="14">
        <v>5.12</v>
      </c>
      <c r="I2721" s="2" t="s">
        <v>3722</v>
      </c>
      <c r="J2721" s="2" t="s">
        <v>13</v>
      </c>
      <c r="K2721" s="2" t="s">
        <v>1452</v>
      </c>
      <c r="L2721" s="2" t="s">
        <v>5221</v>
      </c>
      <c r="M2721" s="2" t="s">
        <v>5721</v>
      </c>
      <c r="N2721" s="2" t="s">
        <v>2317</v>
      </c>
      <c r="O2721" s="14">
        <v>25500</v>
      </c>
      <c r="P2721" s="14">
        <v>99.18</v>
      </c>
      <c r="Q2721" s="14">
        <v>209.1</v>
      </c>
      <c r="R2721" s="14">
        <v>1070.5899999999999</v>
      </c>
      <c r="S2721" s="2" t="s">
        <v>5272</v>
      </c>
      <c r="T2721" s="2">
        <v>1.04</v>
      </c>
      <c r="U2721" s="2">
        <v>62.9</v>
      </c>
      <c r="V2721" s="2">
        <v>65</v>
      </c>
      <c r="W2721" s="2" t="s">
        <v>8016</v>
      </c>
      <c r="X2721" s="2" t="s">
        <v>7053</v>
      </c>
      <c r="Y2721" s="2">
        <v>130560</v>
      </c>
      <c r="Z2721" s="19" t="str">
        <f>HYPERLINK("https://ssdweb.co/ssdweb/hd/Vision360.html?d=922170063&amp;zoomslide=1&amp;z=1922170063&amp;ISCONFIRM=0","VIDEO")</f>
        <v>VIDEO</v>
      </c>
      <c r="AA2721" s="19" t="str">
        <f>HYPERLINK("https://ssdweb.co/ssdweb/CERTH/6227326881.pdf","CERTI")</f>
        <v>CERTI</v>
      </c>
    </row>
    <row r="2722" spans="1:27" ht="15" x14ac:dyDescent="0.25">
      <c r="A2722" s="2">
        <v>2717</v>
      </c>
      <c r="B2722" s="39">
        <v>831020259</v>
      </c>
      <c r="C2722" s="28" t="str">
        <f>HYPERLINK("https://pld.live/RapDetail.aspx?STONELIST=831020259","DNA")</f>
        <v>DNA</v>
      </c>
      <c r="D2722" s="18" t="s">
        <v>3174</v>
      </c>
      <c r="E2722" s="18" t="s">
        <v>2186</v>
      </c>
      <c r="F2722" s="2" t="s">
        <v>7987</v>
      </c>
      <c r="G2722" s="2" t="s">
        <v>3296</v>
      </c>
      <c r="H2722" s="14">
        <v>5.04</v>
      </c>
      <c r="I2722" s="2" t="s">
        <v>6587</v>
      </c>
      <c r="J2722" s="2" t="s">
        <v>13</v>
      </c>
      <c r="K2722" s="2" t="s">
        <v>1452</v>
      </c>
      <c r="L2722" s="2" t="s">
        <v>5221</v>
      </c>
      <c r="M2722" s="2" t="s">
        <v>5221</v>
      </c>
      <c r="N2722" s="2" t="s">
        <v>2317</v>
      </c>
      <c r="O2722" s="14">
        <v>42500</v>
      </c>
      <c r="P2722" s="14">
        <v>99.64</v>
      </c>
      <c r="Q2722" s="14">
        <v>153</v>
      </c>
      <c r="R2722" s="14">
        <v>771.12</v>
      </c>
      <c r="S2722" s="2" t="s">
        <v>6724</v>
      </c>
      <c r="T2722" s="2">
        <v>1.05</v>
      </c>
      <c r="U2722" s="2">
        <v>62.1</v>
      </c>
      <c r="V2722" s="2">
        <v>66.5</v>
      </c>
      <c r="W2722" s="2" t="s">
        <v>7862</v>
      </c>
      <c r="X2722" s="2" t="s">
        <v>7670</v>
      </c>
      <c r="Y2722" s="2">
        <v>214200</v>
      </c>
      <c r="Z2722" s="19" t="str">
        <f>HYPERLINK("https://ssdweb.co/ssdweb/hd/Vision360.html?d=831020259&amp;zoomslide=1&amp;z=1831020259&amp;ISCONFIRM=0","VIDEO")</f>
        <v>VIDEO</v>
      </c>
      <c r="AA2722" s="19" t="str">
        <f>HYPERLINK("https://ssdweb.co/ssdweb/CERTH/537213919.pdf","CERTI")</f>
        <v>CERTI</v>
      </c>
    </row>
    <row r="2723" spans="1:27" ht="15" x14ac:dyDescent="0.25">
      <c r="A2723" s="2">
        <v>2718</v>
      </c>
      <c r="B2723" s="39">
        <v>922550049</v>
      </c>
      <c r="C2723" s="28" t="str">
        <f>HYPERLINK("https://pld.live/RapDetail.aspx?STONELIST=922550049","DNA")</f>
        <v>DNA</v>
      </c>
      <c r="D2723" s="18" t="s">
        <v>3174</v>
      </c>
      <c r="E2723" s="18" t="s">
        <v>2186</v>
      </c>
      <c r="F2723" s="2" t="s">
        <v>7987</v>
      </c>
      <c r="G2723" s="2" t="s">
        <v>3296</v>
      </c>
      <c r="H2723" s="14">
        <v>5.03</v>
      </c>
      <c r="I2723" s="2" t="s">
        <v>6587</v>
      </c>
      <c r="J2723" s="2" t="s">
        <v>5144</v>
      </c>
      <c r="K2723" s="2" t="s">
        <v>1452</v>
      </c>
      <c r="L2723" s="2" t="s">
        <v>5221</v>
      </c>
      <c r="M2723" s="2" t="s">
        <v>5221</v>
      </c>
      <c r="N2723" s="2" t="s">
        <v>2317</v>
      </c>
      <c r="O2723" s="14">
        <v>36500</v>
      </c>
      <c r="P2723" s="14">
        <v>99.6</v>
      </c>
      <c r="Q2723" s="14">
        <v>146</v>
      </c>
      <c r="R2723" s="14">
        <v>734.38</v>
      </c>
      <c r="S2723" s="2" t="s">
        <v>4346</v>
      </c>
      <c r="T2723" s="2">
        <v>1.05</v>
      </c>
      <c r="U2723" s="2">
        <v>63.1</v>
      </c>
      <c r="V2723" s="2">
        <v>64.5</v>
      </c>
      <c r="W2723" s="2" t="s">
        <v>7862</v>
      </c>
      <c r="X2723" s="2" t="s">
        <v>7670</v>
      </c>
      <c r="Y2723" s="2">
        <v>183595</v>
      </c>
      <c r="Z2723" s="19" t="str">
        <f>HYPERLINK("https://ssdweb.co/ssdweb/hd/Vision360.html?d=922550049&amp;zoomslide=1&amp;z=1922550049&amp;ISCONFIRM=0","VIDEO")</f>
        <v>VIDEO</v>
      </c>
      <c r="AA2723" s="19" t="str">
        <f>HYPERLINK("https://ssdweb.co/ssdweb/CERTH/528221687.pdf","CERTI")</f>
        <v>CERTI</v>
      </c>
    </row>
    <row r="2724" spans="1:27" ht="15" x14ac:dyDescent="0.25">
      <c r="A2724" s="2">
        <v>2719</v>
      </c>
      <c r="B2724" s="39">
        <v>922170001</v>
      </c>
      <c r="C2724" s="28" t="str">
        <f>HYPERLINK("https://pld.live/RapDetail.aspx?STONELIST=922170001","DNA")</f>
        <v>DNA</v>
      </c>
      <c r="D2724" s="18" t="s">
        <v>3174</v>
      </c>
      <c r="E2724" s="18" t="s">
        <v>2186</v>
      </c>
      <c r="F2724" s="2" t="s">
        <v>7987</v>
      </c>
      <c r="G2724" s="2" t="s">
        <v>3296</v>
      </c>
      <c r="H2724" s="14">
        <v>5.03</v>
      </c>
      <c r="I2724" s="2" t="s">
        <v>1505</v>
      </c>
      <c r="J2724" s="2" t="s">
        <v>13</v>
      </c>
      <c r="K2724" s="2" t="s">
        <v>1452</v>
      </c>
      <c r="L2724" s="2" t="s">
        <v>5221</v>
      </c>
      <c r="M2724" s="2" t="s">
        <v>5221</v>
      </c>
      <c r="N2724" s="2" t="s">
        <v>2317</v>
      </c>
      <c r="O2724" s="14">
        <v>33500</v>
      </c>
      <c r="P2724" s="14">
        <v>99.6</v>
      </c>
      <c r="Q2724" s="14">
        <v>134</v>
      </c>
      <c r="R2724" s="14">
        <v>674.02</v>
      </c>
      <c r="S2724" s="2" t="s">
        <v>6855</v>
      </c>
      <c r="T2724" s="2">
        <v>1.06</v>
      </c>
      <c r="U2724" s="2">
        <v>62.2</v>
      </c>
      <c r="V2724" s="2">
        <v>67.5</v>
      </c>
      <c r="W2724" s="2" t="s">
        <v>7862</v>
      </c>
      <c r="X2724" s="2" t="s">
        <v>3851</v>
      </c>
      <c r="Y2724" s="2">
        <v>168505</v>
      </c>
      <c r="Z2724" s="19" t="str">
        <f>HYPERLINK("https://ssdweb.co/ssdweb/hd/Vision360.html?d=922170001&amp;zoomslide=1&amp;z=1922170001&amp;ISCONFIRM=0","VIDEO")</f>
        <v>VIDEO</v>
      </c>
      <c r="AA2724" s="19" t="str">
        <f>HYPERLINK("https://ssdweb.co/ssdweb/CERTH/514266949.pdf","CERTI")</f>
        <v>CERTI</v>
      </c>
    </row>
    <row r="2725" spans="1:27" ht="15" x14ac:dyDescent="0.25">
      <c r="A2725" s="2">
        <v>2720</v>
      </c>
      <c r="B2725" s="39">
        <v>923740329</v>
      </c>
      <c r="C2725" s="28" t="str">
        <f>HYPERLINK("https://pld.live/RapDetail.aspx?STONELIST=923740329","DNA")</f>
        <v>DNA</v>
      </c>
      <c r="D2725" s="18" t="s">
        <v>3134</v>
      </c>
      <c r="E2725" s="18" t="s">
        <v>2186</v>
      </c>
      <c r="F2725" s="2" t="s">
        <v>5597</v>
      </c>
      <c r="G2725" s="2" t="s">
        <v>3296</v>
      </c>
      <c r="H2725" s="14">
        <v>4.1500000000000004</v>
      </c>
      <c r="I2725" s="2" t="s">
        <v>1505</v>
      </c>
      <c r="J2725" s="2" t="s">
        <v>5144</v>
      </c>
      <c r="K2725" s="2" t="s">
        <v>1452</v>
      </c>
      <c r="L2725" s="2" t="s">
        <v>5221</v>
      </c>
      <c r="M2725" s="2" t="s">
        <v>5221</v>
      </c>
      <c r="N2725" s="2" t="s">
        <v>2317</v>
      </c>
      <c r="O2725" s="14">
        <v>23500</v>
      </c>
      <c r="P2725" s="14">
        <v>98.87</v>
      </c>
      <c r="Q2725" s="14">
        <v>265.55</v>
      </c>
      <c r="R2725" s="14">
        <v>1102.03</v>
      </c>
      <c r="S2725" s="2" t="s">
        <v>5380</v>
      </c>
      <c r="T2725" s="2">
        <v>1.04</v>
      </c>
      <c r="U2725" s="2">
        <v>67.099999999999994</v>
      </c>
      <c r="V2725" s="2">
        <v>61</v>
      </c>
      <c r="W2725" s="2" t="s">
        <v>7862</v>
      </c>
      <c r="X2725" s="2" t="s">
        <v>7053</v>
      </c>
      <c r="Y2725" s="2">
        <v>97525</v>
      </c>
      <c r="Z2725" s="19" t="str">
        <f>HYPERLINK("https://ssdweb.co/ssdweb/hd/Vision360.html?d=923740329&amp;zoomslide=1&amp;z=1923740329&amp;ISCONFIRM=0","VIDEO")</f>
        <v>VIDEO</v>
      </c>
      <c r="AA2725" s="19" t="str">
        <f>HYPERLINK("https://ssdweb.co/ssdweb/CERTH/6451622817.pdf","CERTI")</f>
        <v>CERTI</v>
      </c>
    </row>
    <row r="2726" spans="1:27" ht="15" x14ac:dyDescent="0.25">
      <c r="A2726" s="2">
        <v>2721</v>
      </c>
      <c r="B2726" s="39">
        <v>925060441</v>
      </c>
      <c r="C2726" s="28" t="str">
        <f>HYPERLINK("https://pld.live/RapDetail.aspx?STONELIST=925060441","DNA")</f>
        <v>DNA</v>
      </c>
      <c r="D2726" s="18" t="s">
        <v>3134</v>
      </c>
      <c r="E2726" s="18" t="s">
        <v>2186</v>
      </c>
      <c r="F2726" s="2" t="s">
        <v>7987</v>
      </c>
      <c r="G2726" s="2" t="s">
        <v>3296</v>
      </c>
      <c r="H2726" s="14">
        <v>4.0999999999999996</v>
      </c>
      <c r="I2726" s="2" t="s">
        <v>1505</v>
      </c>
      <c r="J2726" s="2" t="s">
        <v>5144</v>
      </c>
      <c r="K2726" s="2" t="s">
        <v>1452</v>
      </c>
      <c r="L2726" s="2" t="s">
        <v>5221</v>
      </c>
      <c r="M2726" s="2" t="s">
        <v>5221</v>
      </c>
      <c r="N2726" s="2" t="s">
        <v>2317</v>
      </c>
      <c r="O2726" s="14">
        <v>23500</v>
      </c>
      <c r="P2726" s="14">
        <v>99.5</v>
      </c>
      <c r="Q2726" s="14">
        <v>117.5</v>
      </c>
      <c r="R2726" s="14">
        <v>481.75</v>
      </c>
      <c r="S2726" s="2" t="s">
        <v>1414</v>
      </c>
      <c r="T2726" s="2">
        <v>1.07</v>
      </c>
      <c r="U2726" s="2">
        <v>62.1</v>
      </c>
      <c r="V2726" s="2">
        <v>63</v>
      </c>
      <c r="W2726" s="2" t="s">
        <v>8016</v>
      </c>
      <c r="X2726" s="2" t="s">
        <v>3851</v>
      </c>
      <c r="Y2726" s="2">
        <v>96350</v>
      </c>
      <c r="Z2726" s="19" t="str">
        <f>HYPERLINK("https://ssdweb.co/ssdweb/hd/Vision360.html?d=925060441&amp;zoomslide=1&amp;z=1925060441&amp;ISCONFIRM=0","VIDEO")</f>
        <v>VIDEO</v>
      </c>
      <c r="AA2726" s="19" t="str">
        <f>HYPERLINK("https://ssdweb.co/ssdweb/CERTH/613355556.pdf","CERTI")</f>
        <v>CERTI</v>
      </c>
    </row>
    <row r="2727" spans="1:27" ht="15" x14ac:dyDescent="0.25">
      <c r="A2727" s="2">
        <v>2722</v>
      </c>
      <c r="B2727" s="39">
        <v>923260297</v>
      </c>
      <c r="C2727" s="28" t="str">
        <f>HYPERLINK("https://pld.live/RapDetail.aspx?STONELIST=923260297","DNA")</f>
        <v>DNA</v>
      </c>
      <c r="D2727" s="18" t="s">
        <v>3134</v>
      </c>
      <c r="E2727" s="18" t="s">
        <v>2186</v>
      </c>
      <c r="F2727" s="2" t="s">
        <v>7987</v>
      </c>
      <c r="G2727" s="2" t="s">
        <v>3296</v>
      </c>
      <c r="H2727" s="14">
        <v>4.08</v>
      </c>
      <c r="I2727" s="2" t="s">
        <v>6845</v>
      </c>
      <c r="J2727" s="2" t="s">
        <v>444</v>
      </c>
      <c r="K2727" s="2" t="s">
        <v>1452</v>
      </c>
      <c r="L2727" s="2" t="s">
        <v>5221</v>
      </c>
      <c r="M2727" s="2" t="s">
        <v>5221</v>
      </c>
      <c r="N2727" s="2" t="s">
        <v>2317</v>
      </c>
      <c r="O2727" s="14">
        <v>6400</v>
      </c>
      <c r="P2727" s="14">
        <v>96.72</v>
      </c>
      <c r="Q2727" s="14">
        <v>209.92</v>
      </c>
      <c r="R2727" s="14">
        <v>856.47</v>
      </c>
      <c r="S2727" s="2" t="s">
        <v>7701</v>
      </c>
      <c r="T2727" s="2">
        <v>1.04</v>
      </c>
      <c r="U2727" s="2">
        <v>63</v>
      </c>
      <c r="V2727" s="2">
        <v>62</v>
      </c>
      <c r="W2727" s="2" t="s">
        <v>7862</v>
      </c>
      <c r="X2727" s="2" t="s">
        <v>7670</v>
      </c>
      <c r="Y2727" s="2">
        <v>26112</v>
      </c>
      <c r="Z2727" s="19" t="str">
        <f>HYPERLINK("https://ssdweb.co/ssdweb/hd/Vision360.html?d=923260297&amp;zoomslide=1&amp;z=1923260297&amp;ISCONFIRM=0","VIDEO")</f>
        <v>VIDEO</v>
      </c>
      <c r="AA2727" s="19" t="str">
        <f>HYPERLINK("https://ssdweb.co/ssdweb/CERTH/623449187.pdf","CERTI")</f>
        <v>CERTI</v>
      </c>
    </row>
    <row r="2728" spans="1:27" ht="15" x14ac:dyDescent="0.25">
      <c r="A2728" s="2">
        <v>2723</v>
      </c>
      <c r="B2728" s="39">
        <v>831020071</v>
      </c>
      <c r="C2728" s="28" t="str">
        <f>HYPERLINK("https://pld.live/RapDetail.aspx?STONELIST=831020071","DNA")</f>
        <v>DNA</v>
      </c>
      <c r="D2728" s="18" t="s">
        <v>3134</v>
      </c>
      <c r="E2728" s="18" t="s">
        <v>2186</v>
      </c>
      <c r="F2728" s="2" t="s">
        <v>5597</v>
      </c>
      <c r="G2728" s="2" t="s">
        <v>3296</v>
      </c>
      <c r="H2728" s="14">
        <v>4.0599999999999996</v>
      </c>
      <c r="I2728" s="2" t="s">
        <v>1505</v>
      </c>
      <c r="J2728" s="2" t="s">
        <v>13</v>
      </c>
      <c r="K2728" s="2" t="s">
        <v>1452</v>
      </c>
      <c r="L2728" s="2" t="s">
        <v>5221</v>
      </c>
      <c r="M2728" s="2" t="s">
        <v>5221</v>
      </c>
      <c r="N2728" s="2" t="s">
        <v>2317</v>
      </c>
      <c r="O2728" s="14">
        <v>25500</v>
      </c>
      <c r="P2728" s="14">
        <v>98.88</v>
      </c>
      <c r="Q2728" s="14">
        <v>285.60000000000002</v>
      </c>
      <c r="R2728" s="14">
        <v>1159.54</v>
      </c>
      <c r="S2728" s="2" t="s">
        <v>5584</v>
      </c>
      <c r="T2728" s="2">
        <v>1.05</v>
      </c>
      <c r="U2728" s="2">
        <v>66.7</v>
      </c>
      <c r="V2728" s="2">
        <v>61</v>
      </c>
      <c r="W2728" s="2" t="s">
        <v>7862</v>
      </c>
      <c r="X2728" s="2" t="s">
        <v>7053</v>
      </c>
      <c r="Y2728" s="2">
        <v>103530</v>
      </c>
      <c r="Z2728" s="19" t="str">
        <f>HYPERLINK("https://ssdweb.co/ssdweb/hd/Vision360.html?d=831020071&amp;zoomslide=1&amp;z=1831020071&amp;ISCONFIRM=0","VIDEO")</f>
        <v>VIDEO</v>
      </c>
      <c r="AA2728" s="19" t="str">
        <f>HYPERLINK("https://ssdweb.co/ssdweb/CERTH/1458622839.pdf","CERTI")</f>
        <v>CERTI</v>
      </c>
    </row>
    <row r="2729" spans="1:27" ht="15" x14ac:dyDescent="0.25">
      <c r="A2729" s="2">
        <v>2724</v>
      </c>
      <c r="B2729" s="39">
        <v>923740320</v>
      </c>
      <c r="C2729" s="28" t="str">
        <f>HYPERLINK("https://pld.live/RapDetail.aspx?STONELIST=923740320","DNA")</f>
        <v>DNA</v>
      </c>
      <c r="D2729" s="18" t="s">
        <v>3134</v>
      </c>
      <c r="E2729" s="18" t="s">
        <v>2186</v>
      </c>
      <c r="F2729" s="2" t="s">
        <v>5597</v>
      </c>
      <c r="G2729" s="2" t="s">
        <v>3296</v>
      </c>
      <c r="H2729" s="14">
        <v>4.04</v>
      </c>
      <c r="I2729" s="2" t="s">
        <v>1505</v>
      </c>
      <c r="J2729" s="2" t="s">
        <v>5144</v>
      </c>
      <c r="K2729" s="2" t="s">
        <v>1452</v>
      </c>
      <c r="L2729" s="2" t="s">
        <v>5221</v>
      </c>
      <c r="M2729" s="2" t="s">
        <v>5721</v>
      </c>
      <c r="N2729" s="2" t="s">
        <v>2317</v>
      </c>
      <c r="O2729" s="14">
        <v>23500</v>
      </c>
      <c r="P2729" s="14">
        <v>98.88</v>
      </c>
      <c r="Q2729" s="14">
        <v>263.2</v>
      </c>
      <c r="R2729" s="14">
        <v>1063.33</v>
      </c>
      <c r="S2729" s="2" t="s">
        <v>2153</v>
      </c>
      <c r="T2729" s="2">
        <v>1.07</v>
      </c>
      <c r="U2729" s="2">
        <v>68.5</v>
      </c>
      <c r="V2729" s="2">
        <v>62</v>
      </c>
      <c r="W2729" s="2" t="s">
        <v>7862</v>
      </c>
      <c r="X2729" s="2" t="s">
        <v>7053</v>
      </c>
      <c r="Y2729" s="2">
        <v>94940</v>
      </c>
      <c r="Z2729" s="19" t="str">
        <f>HYPERLINK("https://ssdweb.co/ssdweb/hd/Vision360.html?d=923740320&amp;zoomslide=1&amp;z=1923740320&amp;ISCONFIRM=0","VIDEO")</f>
        <v>VIDEO</v>
      </c>
      <c r="AA2729" s="19" t="str">
        <f>HYPERLINK("https://ssdweb.co/ssdweb/CERTH/2454622821.pdf","CERTI")</f>
        <v>CERTI</v>
      </c>
    </row>
    <row r="2730" spans="1:27" ht="15" x14ac:dyDescent="0.25">
      <c r="A2730" s="2">
        <v>2725</v>
      </c>
      <c r="B2730" s="39">
        <v>922420101</v>
      </c>
      <c r="C2730" s="28" t="str">
        <f>HYPERLINK("https://pld.live/RapDetail.aspx?STONELIST=922420101","DNA")</f>
        <v>DNA</v>
      </c>
      <c r="D2730" s="18" t="s">
        <v>3134</v>
      </c>
      <c r="E2730" s="18" t="s">
        <v>2186</v>
      </c>
      <c r="F2730" s="2" t="s">
        <v>5597</v>
      </c>
      <c r="G2730" s="2" t="s">
        <v>3296</v>
      </c>
      <c r="H2730" s="14">
        <v>4.0199999999999996</v>
      </c>
      <c r="I2730" s="2" t="s">
        <v>1505</v>
      </c>
      <c r="J2730" s="2" t="s">
        <v>13</v>
      </c>
      <c r="K2730" s="2" t="s">
        <v>1452</v>
      </c>
      <c r="L2730" s="2" t="s">
        <v>5221</v>
      </c>
      <c r="M2730" s="2" t="s">
        <v>5221</v>
      </c>
      <c r="N2730" s="2" t="s">
        <v>2317</v>
      </c>
      <c r="O2730" s="14">
        <v>25500</v>
      </c>
      <c r="P2730" s="14">
        <v>98.88</v>
      </c>
      <c r="Q2730" s="14">
        <v>285.60000000000002</v>
      </c>
      <c r="R2730" s="14">
        <v>1148.1099999999999</v>
      </c>
      <c r="S2730" s="2" t="s">
        <v>2669</v>
      </c>
      <c r="T2730" s="2">
        <v>1.04</v>
      </c>
      <c r="U2730" s="2">
        <v>62.9</v>
      </c>
      <c r="V2730" s="2">
        <v>67</v>
      </c>
      <c r="W2730" s="2" t="s">
        <v>7862</v>
      </c>
      <c r="X2730" s="2" t="s">
        <v>7053</v>
      </c>
      <c r="Y2730" s="2">
        <v>102510</v>
      </c>
      <c r="Z2730" s="19" t="str">
        <f>HYPERLINK("https://ssdweb.co/ssdweb/hd/Vision360.html?d=922420101&amp;zoomslide=1&amp;z=1922420101&amp;ISCONFIRM=0","VIDEO")</f>
        <v>VIDEO</v>
      </c>
      <c r="AA2730" s="19" t="str">
        <f>HYPERLINK("https://ssdweb.co/ssdweb/CERTH/3435049736.pdf","CERTI")</f>
        <v>CERTI</v>
      </c>
    </row>
    <row r="2731" spans="1:27" ht="15" x14ac:dyDescent="0.25">
      <c r="A2731" s="2">
        <v>2726</v>
      </c>
      <c r="B2731" s="39">
        <v>922550010</v>
      </c>
      <c r="C2731" s="28" t="str">
        <f>HYPERLINK("https://pld.live/RapDetail.aspx?STONELIST=922550010","DNA")</f>
        <v>DNA</v>
      </c>
      <c r="D2731" s="18" t="s">
        <v>3628</v>
      </c>
      <c r="E2731" s="18" t="s">
        <v>2186</v>
      </c>
      <c r="F2731" s="2" t="s">
        <v>7987</v>
      </c>
      <c r="G2731" s="2" t="s">
        <v>3296</v>
      </c>
      <c r="H2731" s="14">
        <v>3.64</v>
      </c>
      <c r="I2731" s="2" t="s">
        <v>1505</v>
      </c>
      <c r="J2731" s="2" t="s">
        <v>13</v>
      </c>
      <c r="K2731" s="2" t="s">
        <v>1452</v>
      </c>
      <c r="L2731" s="2" t="s">
        <v>5221</v>
      </c>
      <c r="M2731" s="2" t="s">
        <v>5221</v>
      </c>
      <c r="N2731" s="2" t="s">
        <v>2317</v>
      </c>
      <c r="O2731" s="14">
        <v>19500</v>
      </c>
      <c r="P2731" s="14">
        <v>99.38</v>
      </c>
      <c r="Q2731" s="14">
        <v>120.9</v>
      </c>
      <c r="R2731" s="14">
        <v>440.08</v>
      </c>
      <c r="S2731" s="2" t="s">
        <v>5138</v>
      </c>
      <c r="T2731" s="2">
        <v>1.05</v>
      </c>
      <c r="U2731" s="2">
        <v>63.4</v>
      </c>
      <c r="V2731" s="2">
        <v>64.5</v>
      </c>
      <c r="W2731" s="2" t="s">
        <v>7862</v>
      </c>
      <c r="X2731" s="2" t="s">
        <v>7670</v>
      </c>
      <c r="Y2731" s="2">
        <v>70980</v>
      </c>
      <c r="Z2731" s="19" t="str">
        <f>HYPERLINK("https://ssdweb.co/ssdweb/hd/Vision360.html?d=922550010&amp;zoomslide=1&amp;z=1922550010&amp;ISCONFIRM=0","VIDEO")</f>
        <v>VIDEO</v>
      </c>
      <c r="AA2731" s="19" t="str">
        <f>HYPERLINK("https://ssdweb.co/ssdweb/CERTH/523298353.pdf","CERTI")</f>
        <v>CERTI</v>
      </c>
    </row>
    <row r="2732" spans="1:27" ht="15" x14ac:dyDescent="0.25">
      <c r="A2732" s="2">
        <v>2727</v>
      </c>
      <c r="B2732" s="39">
        <v>924940268</v>
      </c>
      <c r="C2732" s="28" t="str">
        <f>HYPERLINK("https://pld.live/RapDetail.aspx?STONELIST=924940268","DNA")</f>
        <v>DNA</v>
      </c>
      <c r="D2732" s="18" t="s">
        <v>3628</v>
      </c>
      <c r="E2732" s="18" t="s">
        <v>2186</v>
      </c>
      <c r="F2732" s="2" t="s">
        <v>7987</v>
      </c>
      <c r="G2732" s="2" t="s">
        <v>3296</v>
      </c>
      <c r="H2732" s="14">
        <v>3.63</v>
      </c>
      <c r="I2732" s="2" t="s">
        <v>1505</v>
      </c>
      <c r="J2732" s="2" t="s">
        <v>5144</v>
      </c>
      <c r="K2732" s="2" t="s">
        <v>1452</v>
      </c>
      <c r="L2732" s="2" t="s">
        <v>5221</v>
      </c>
      <c r="M2732" s="2" t="s">
        <v>5221</v>
      </c>
      <c r="N2732" s="2" t="s">
        <v>2317</v>
      </c>
      <c r="O2732" s="14">
        <v>18000</v>
      </c>
      <c r="P2732" s="14">
        <v>99.36</v>
      </c>
      <c r="Q2732" s="14">
        <v>115.2</v>
      </c>
      <c r="R2732" s="14">
        <v>418.18</v>
      </c>
      <c r="S2732" s="2" t="s">
        <v>1442</v>
      </c>
      <c r="T2732" s="2">
        <v>1.01</v>
      </c>
      <c r="U2732" s="2">
        <v>65.8</v>
      </c>
      <c r="V2732" s="2">
        <v>61</v>
      </c>
      <c r="W2732" s="2" t="s">
        <v>7862</v>
      </c>
      <c r="X2732" s="2" t="s">
        <v>7670</v>
      </c>
      <c r="Y2732" s="2">
        <v>65340</v>
      </c>
      <c r="Z2732" s="19" t="str">
        <f>HYPERLINK("https://ssdweb.co/ssdweb/hd/Vision360.html?d=924940268&amp;zoomslide=1&amp;z=1924940268&amp;ISCONFIRM=0","VIDEO")</f>
        <v>VIDEO</v>
      </c>
      <c r="AA2732" s="19" t="str">
        <f>HYPERLINK("https://ssdweb.co/ssdweb/CERTH/605330742.pdf","CERTI")</f>
        <v>CERTI</v>
      </c>
    </row>
    <row r="2733" spans="1:27" ht="15" x14ac:dyDescent="0.25">
      <c r="A2733" s="2">
        <v>2728</v>
      </c>
      <c r="B2733" s="39">
        <v>831020073</v>
      </c>
      <c r="C2733" s="28" t="str">
        <f>HYPERLINK("https://pld.live/RapDetail.aspx?STONELIST=831020073","DNA")</f>
        <v>DNA</v>
      </c>
      <c r="D2733" s="18" t="s">
        <v>3628</v>
      </c>
      <c r="E2733" s="18" t="s">
        <v>2186</v>
      </c>
      <c r="F2733" s="2" t="s">
        <v>7987</v>
      </c>
      <c r="G2733" s="2" t="s">
        <v>3296</v>
      </c>
      <c r="H2733" s="14">
        <v>3.6</v>
      </c>
      <c r="I2733" s="2" t="s">
        <v>1505</v>
      </c>
      <c r="J2733" s="2" t="s">
        <v>13</v>
      </c>
      <c r="K2733" s="2" t="s">
        <v>1452</v>
      </c>
      <c r="L2733" s="2" t="s">
        <v>5221</v>
      </c>
      <c r="M2733" s="2" t="s">
        <v>5221</v>
      </c>
      <c r="N2733" s="2" t="s">
        <v>2317</v>
      </c>
      <c r="O2733" s="14">
        <v>19500</v>
      </c>
      <c r="P2733" s="14">
        <v>99.38</v>
      </c>
      <c r="Q2733" s="14">
        <v>120.9</v>
      </c>
      <c r="R2733" s="14">
        <v>435.24</v>
      </c>
      <c r="S2733" s="2" t="s">
        <v>2118</v>
      </c>
      <c r="T2733" s="2">
        <v>1.01</v>
      </c>
      <c r="U2733" s="2">
        <v>65.2</v>
      </c>
      <c r="V2733" s="2">
        <v>64.5</v>
      </c>
      <c r="W2733" s="2" t="s">
        <v>7862</v>
      </c>
      <c r="X2733" s="2" t="s">
        <v>7670</v>
      </c>
      <c r="Y2733" s="2">
        <v>70200</v>
      </c>
      <c r="Z2733" s="19" t="str">
        <f>HYPERLINK("https://ssdweb.co/ssdweb/hd/Vision360.html?d=831020073&amp;zoomslide=1&amp;z=1831020073&amp;ISCONFIRM=0","VIDEO")</f>
        <v>VIDEO</v>
      </c>
      <c r="AA2733" s="19" t="str">
        <f>HYPERLINK("https://ssdweb.co/ssdweb/CERTH/529279267.pdf","CERTI")</f>
        <v>CERTI</v>
      </c>
    </row>
    <row r="2734" spans="1:27" ht="15" x14ac:dyDescent="0.25">
      <c r="A2734" s="2">
        <v>2729</v>
      </c>
      <c r="B2734" s="39">
        <v>921800086</v>
      </c>
      <c r="C2734" s="28" t="str">
        <f>HYPERLINK("https://pld.live/RapDetail.aspx?STONELIST=921800086","DNA")</f>
        <v>DNA</v>
      </c>
      <c r="D2734" s="18" t="s">
        <v>3628</v>
      </c>
      <c r="E2734" s="18" t="s">
        <v>2186</v>
      </c>
      <c r="F2734" s="2" t="s">
        <v>5597</v>
      </c>
      <c r="G2734" s="2" t="s">
        <v>3296</v>
      </c>
      <c r="H2734" s="14">
        <v>3.58</v>
      </c>
      <c r="I2734" s="2" t="s">
        <v>3722</v>
      </c>
      <c r="J2734" s="2" t="s">
        <v>13</v>
      </c>
      <c r="K2734" s="2" t="s">
        <v>1452</v>
      </c>
      <c r="L2734" s="2" t="s">
        <v>5221</v>
      </c>
      <c r="M2734" s="2" t="s">
        <v>5221</v>
      </c>
      <c r="N2734" s="2" t="s">
        <v>2317</v>
      </c>
      <c r="O2734" s="14">
        <v>16500</v>
      </c>
      <c r="P2734" s="14">
        <v>98.7</v>
      </c>
      <c r="Q2734" s="14">
        <v>214.5</v>
      </c>
      <c r="R2734" s="14">
        <v>767.91</v>
      </c>
      <c r="S2734" s="2" t="s">
        <v>665</v>
      </c>
      <c r="T2734" s="2">
        <v>1.02</v>
      </c>
      <c r="U2734" s="2">
        <v>65.900000000000006</v>
      </c>
      <c r="V2734" s="2">
        <v>62</v>
      </c>
      <c r="W2734" s="2" t="s">
        <v>7862</v>
      </c>
      <c r="X2734" s="2" t="s">
        <v>7053</v>
      </c>
      <c r="Y2734" s="2">
        <v>59070</v>
      </c>
      <c r="Z2734" s="19" t="str">
        <f>HYPERLINK("https://ssdweb.co/ssdweb/hd/Vision360.html?d=921800086&amp;zoomslide=1&amp;z=1921800086&amp;ISCONFIRM=0","VIDEO")</f>
        <v>VIDEO</v>
      </c>
      <c r="AA2734" s="19" t="str">
        <f>HYPERLINK("https://ssdweb.co/ssdweb/CERTH/1408605819.pdf","CERTI")</f>
        <v>CERTI</v>
      </c>
    </row>
    <row r="2735" spans="1:27" ht="15" x14ac:dyDescent="0.25">
      <c r="A2735" s="2">
        <v>2730</v>
      </c>
      <c r="B2735" s="39">
        <v>922480055</v>
      </c>
      <c r="C2735" s="28" t="str">
        <f>HYPERLINK("https://pld.live/RapDetail.aspx?STONELIST=922480055","DNA")</f>
        <v>DNA</v>
      </c>
      <c r="D2735" s="18" t="s">
        <v>3628</v>
      </c>
      <c r="E2735" s="18" t="s">
        <v>2186</v>
      </c>
      <c r="F2735" s="2" t="s">
        <v>7987</v>
      </c>
      <c r="G2735" s="2" t="s">
        <v>3296</v>
      </c>
      <c r="H2735" s="14">
        <v>3.52</v>
      </c>
      <c r="I2735" s="2" t="s">
        <v>6587</v>
      </c>
      <c r="J2735" s="2" t="s">
        <v>5144</v>
      </c>
      <c r="K2735" s="2" t="s">
        <v>1452</v>
      </c>
      <c r="L2735" s="2" t="s">
        <v>5221</v>
      </c>
      <c r="M2735" s="2" t="s">
        <v>5221</v>
      </c>
      <c r="N2735" s="2" t="s">
        <v>2317</v>
      </c>
      <c r="O2735" s="14">
        <v>20500</v>
      </c>
      <c r="P2735" s="14">
        <v>99.37</v>
      </c>
      <c r="Q2735" s="14">
        <v>129.15</v>
      </c>
      <c r="R2735" s="14">
        <v>454.61</v>
      </c>
      <c r="S2735" s="2" t="s">
        <v>4321</v>
      </c>
      <c r="T2735" s="2">
        <v>1.01</v>
      </c>
      <c r="U2735" s="2">
        <v>64.400000000000006</v>
      </c>
      <c r="V2735" s="2">
        <v>64.5</v>
      </c>
      <c r="W2735" s="2" t="s">
        <v>7862</v>
      </c>
      <c r="X2735" s="2" t="s">
        <v>7670</v>
      </c>
      <c r="Y2735" s="2">
        <v>72160</v>
      </c>
      <c r="Z2735" s="19" t="str">
        <f>HYPERLINK("https://ssdweb.co/ssdweb/hd/Vision360.html?d=922480055&amp;zoomslide=1&amp;z=1922480055&amp;ISCONFIRM=0","VIDEO")</f>
        <v>VIDEO</v>
      </c>
      <c r="AA2735" s="19" t="str">
        <f>HYPERLINK("https://ssdweb.co/ssdweb/CERTH/524227740.pdf","CERTI")</f>
        <v>CERTI</v>
      </c>
    </row>
    <row r="2736" spans="1:27" ht="15" x14ac:dyDescent="0.25">
      <c r="A2736" s="2">
        <v>2731</v>
      </c>
      <c r="B2736" s="39">
        <v>831020075</v>
      </c>
      <c r="C2736" s="28" t="str">
        <f>HYPERLINK("https://pld.live/RapDetail.aspx?STONELIST=831020075","DNA")</f>
        <v>DNA</v>
      </c>
      <c r="D2736" s="18" t="s">
        <v>6469</v>
      </c>
      <c r="E2736" s="18" t="s">
        <v>2186</v>
      </c>
      <c r="F2736" s="2" t="s">
        <v>7987</v>
      </c>
      <c r="G2736" s="2" t="s">
        <v>3296</v>
      </c>
      <c r="H2736" s="14">
        <v>3.4</v>
      </c>
      <c r="I2736" s="2" t="s">
        <v>3722</v>
      </c>
      <c r="J2736" s="2" t="s">
        <v>13</v>
      </c>
      <c r="K2736" s="2" t="s">
        <v>1452</v>
      </c>
      <c r="L2736" s="2" t="s">
        <v>5221</v>
      </c>
      <c r="M2736" s="2" t="s">
        <v>5221</v>
      </c>
      <c r="N2736" s="2" t="s">
        <v>2317</v>
      </c>
      <c r="O2736" s="14">
        <v>16500</v>
      </c>
      <c r="P2736" s="14">
        <v>99.32</v>
      </c>
      <c r="Q2736" s="14">
        <v>112.2</v>
      </c>
      <c r="R2736" s="14">
        <v>381.48</v>
      </c>
      <c r="S2736" s="2" t="s">
        <v>3830</v>
      </c>
      <c r="T2736" s="2">
        <v>1.01</v>
      </c>
      <c r="U2736" s="2">
        <v>63.1</v>
      </c>
      <c r="V2736" s="2">
        <v>64</v>
      </c>
      <c r="W2736" s="2" t="s">
        <v>8016</v>
      </c>
      <c r="X2736" s="2" t="s">
        <v>7670</v>
      </c>
      <c r="Y2736" s="2">
        <v>56100</v>
      </c>
      <c r="Z2736" s="19" t="str">
        <f>HYPERLINK("https://ssdweb.co/ssdweb/hd/Vision360.html?d=831020075&amp;zoomslide=1&amp;z=1831020075&amp;ISCONFIRM=0","VIDEO")</f>
        <v>VIDEO</v>
      </c>
      <c r="AA2736" s="19" t="str">
        <f>HYPERLINK("https://ssdweb.co/ssdweb/CERTH/532264635.pdf","CERTI")</f>
        <v>CERTI</v>
      </c>
    </row>
    <row r="2737" spans="1:27" ht="15" x14ac:dyDescent="0.25">
      <c r="A2737" s="2">
        <v>2732</v>
      </c>
      <c r="B2737" s="39">
        <v>923750288</v>
      </c>
      <c r="C2737" s="28" t="str">
        <f>HYPERLINK("https://pld.live/RapDetail.aspx?STONELIST=923750288","DNA")</f>
        <v>DNA</v>
      </c>
      <c r="D2737" s="18" t="s">
        <v>6469</v>
      </c>
      <c r="E2737" s="18" t="s">
        <v>2186</v>
      </c>
      <c r="F2737" s="2" t="s">
        <v>5597</v>
      </c>
      <c r="G2737" s="2" t="s">
        <v>3296</v>
      </c>
      <c r="H2737" s="14">
        <v>3.38</v>
      </c>
      <c r="I2737" s="2" t="s">
        <v>1505</v>
      </c>
      <c r="J2737" s="2" t="s">
        <v>13</v>
      </c>
      <c r="K2737" s="2" t="s">
        <v>1452</v>
      </c>
      <c r="L2737" s="2" t="s">
        <v>5221</v>
      </c>
      <c r="M2737" s="2" t="s">
        <v>5221</v>
      </c>
      <c r="N2737" s="2" t="s">
        <v>2317</v>
      </c>
      <c r="O2737" s="14">
        <v>19500</v>
      </c>
      <c r="P2737" s="14">
        <v>98.79</v>
      </c>
      <c r="Q2737" s="14">
        <v>235.95</v>
      </c>
      <c r="R2737" s="14">
        <v>797.51</v>
      </c>
      <c r="S2737" s="2" t="s">
        <v>5377</v>
      </c>
      <c r="T2737" s="2">
        <v>1.04</v>
      </c>
      <c r="U2737" s="2">
        <v>63.6</v>
      </c>
      <c r="V2737" s="2">
        <v>60</v>
      </c>
      <c r="W2737" s="2" t="s">
        <v>7862</v>
      </c>
      <c r="X2737" s="2" t="s">
        <v>7053</v>
      </c>
      <c r="Y2737" s="2">
        <v>65910</v>
      </c>
      <c r="Z2737" s="19" t="str">
        <f>HYPERLINK("https://ssdweb.co/ssdweb/hd/Vision360.html?d=923750288&amp;zoomslide=1&amp;z=1923750288&amp;ISCONFIRM=0","VIDEO")</f>
        <v>VIDEO</v>
      </c>
      <c r="AA2737" s="19" t="str">
        <f>HYPERLINK("https://ssdweb.co/ssdweb/CERTH/2457595685.pdf","CERTI")</f>
        <v>CERTI</v>
      </c>
    </row>
    <row r="2738" spans="1:27" ht="15" x14ac:dyDescent="0.25">
      <c r="A2738" s="2">
        <v>2733</v>
      </c>
      <c r="B2738" s="39">
        <v>831020566</v>
      </c>
      <c r="C2738" s="28" t="str">
        <f>HYPERLINK("https://pld.live/RapDetail.aspx?STONELIST=831020566","DNA")</f>
        <v>DNA</v>
      </c>
      <c r="D2738" s="18" t="s">
        <v>6469</v>
      </c>
      <c r="E2738" s="18" t="s">
        <v>2186</v>
      </c>
      <c r="F2738" s="2" t="s">
        <v>7987</v>
      </c>
      <c r="G2738" s="2" t="s">
        <v>3296</v>
      </c>
      <c r="H2738" s="14">
        <v>3.35</v>
      </c>
      <c r="I2738" s="2" t="s">
        <v>6587</v>
      </c>
      <c r="J2738" s="2" t="s">
        <v>13</v>
      </c>
      <c r="K2738" s="2" t="s">
        <v>1452</v>
      </c>
      <c r="L2738" s="2" t="s">
        <v>5221</v>
      </c>
      <c r="M2738" s="2" t="s">
        <v>5221</v>
      </c>
      <c r="N2738" s="2" t="s">
        <v>2317</v>
      </c>
      <c r="O2738" s="14">
        <v>22500</v>
      </c>
      <c r="P2738" s="14">
        <v>99.4</v>
      </c>
      <c r="Q2738" s="14">
        <v>135</v>
      </c>
      <c r="R2738" s="14">
        <v>452.25</v>
      </c>
      <c r="S2738" s="2" t="s">
        <v>4988</v>
      </c>
      <c r="T2738" s="2">
        <v>1.01</v>
      </c>
      <c r="U2738" s="2">
        <v>65.599999999999994</v>
      </c>
      <c r="V2738" s="2">
        <v>63.5</v>
      </c>
      <c r="W2738" s="2" t="s">
        <v>7862</v>
      </c>
      <c r="X2738" s="2" t="s">
        <v>7670</v>
      </c>
      <c r="Y2738" s="2">
        <v>75375</v>
      </c>
      <c r="Z2738" s="19" t="str">
        <f>HYPERLINK("https://ssdweb.co/ssdweb/hd/Vision360.html?d=831020566&amp;zoomslide=1&amp;z=1831020566&amp;ISCONFIRM=0","VIDEO")</f>
        <v>VIDEO</v>
      </c>
      <c r="AA2738" s="19" t="str">
        <f>HYPERLINK("https://ssdweb.co/ssdweb/CERTH/537225077.pdf","CERTI")</f>
        <v>CERTI</v>
      </c>
    </row>
    <row r="2739" spans="1:27" ht="15" x14ac:dyDescent="0.25">
      <c r="A2739" s="2">
        <v>2734</v>
      </c>
      <c r="B2739" s="39">
        <v>831020417</v>
      </c>
      <c r="C2739" s="28" t="str">
        <f>HYPERLINK("https://pld.live/RapDetail.aspx?STONELIST=831020417","DNA")</f>
        <v>DNA</v>
      </c>
      <c r="D2739" s="18" t="s">
        <v>6469</v>
      </c>
      <c r="E2739" s="18" t="s">
        <v>2186</v>
      </c>
      <c r="F2739" s="2" t="s">
        <v>7987</v>
      </c>
      <c r="G2739" s="2" t="s">
        <v>3296</v>
      </c>
      <c r="H2739" s="14">
        <v>3.34</v>
      </c>
      <c r="I2739" s="2" t="s">
        <v>1505</v>
      </c>
      <c r="J2739" s="2" t="s">
        <v>13</v>
      </c>
      <c r="K2739" s="2" t="s">
        <v>1452</v>
      </c>
      <c r="L2739" s="2" t="s">
        <v>5221</v>
      </c>
      <c r="M2739" s="2" t="s">
        <v>5221</v>
      </c>
      <c r="N2739" s="2" t="s">
        <v>2317</v>
      </c>
      <c r="O2739" s="14">
        <v>19500</v>
      </c>
      <c r="P2739" s="14">
        <v>99.38</v>
      </c>
      <c r="Q2739" s="14">
        <v>120.9</v>
      </c>
      <c r="R2739" s="14">
        <v>403.81</v>
      </c>
      <c r="S2739" s="2" t="s">
        <v>3147</v>
      </c>
      <c r="T2739" s="2">
        <v>1.05</v>
      </c>
      <c r="U2739" s="2">
        <v>67.3</v>
      </c>
      <c r="V2739" s="2">
        <v>60</v>
      </c>
      <c r="W2739" s="2" t="s">
        <v>7862</v>
      </c>
      <c r="X2739" s="2" t="s">
        <v>7670</v>
      </c>
      <c r="Y2739" s="2">
        <v>65130</v>
      </c>
      <c r="Z2739" s="19" t="str">
        <f>HYPERLINK("https://ssdweb.co/ssdweb/hd/Vision360.html?d=831020417&amp;zoomslide=1&amp;z=1831020417&amp;ISCONFIRM=0","VIDEO")</f>
        <v>VIDEO</v>
      </c>
      <c r="AA2739" s="19" t="str">
        <f>HYPERLINK("https://ssdweb.co/ssdweb/CERTH/581339625.pdf","CERTI")</f>
        <v>CERTI</v>
      </c>
    </row>
    <row r="2740" spans="1:27" ht="15" x14ac:dyDescent="0.25">
      <c r="A2740" s="2">
        <v>2735</v>
      </c>
      <c r="B2740" s="39">
        <v>925020213</v>
      </c>
      <c r="C2740" s="28" t="str">
        <f>HYPERLINK("https://pld.live/RapDetail.aspx?STONELIST=925020213","DNA")</f>
        <v>DNA</v>
      </c>
      <c r="D2740" s="18" t="s">
        <v>4563</v>
      </c>
      <c r="E2740" s="18" t="s">
        <v>2186</v>
      </c>
      <c r="F2740" s="2" t="s">
        <v>7987</v>
      </c>
      <c r="G2740" s="2" t="s">
        <v>3296</v>
      </c>
      <c r="H2740" s="14">
        <v>3.28</v>
      </c>
      <c r="I2740" s="2" t="s">
        <v>267</v>
      </c>
      <c r="J2740" s="2" t="s">
        <v>13</v>
      </c>
      <c r="K2740" s="2" t="s">
        <v>1452</v>
      </c>
      <c r="L2740" s="2" t="s">
        <v>5221</v>
      </c>
      <c r="M2740" s="2" t="s">
        <v>5221</v>
      </c>
      <c r="N2740" s="2" t="s">
        <v>2317</v>
      </c>
      <c r="O2740" s="14">
        <v>30000</v>
      </c>
      <c r="P2740" s="14">
        <v>99.42</v>
      </c>
      <c r="Q2740" s="14">
        <v>174</v>
      </c>
      <c r="R2740" s="14">
        <v>570.72</v>
      </c>
      <c r="S2740" s="2" t="s">
        <v>7081</v>
      </c>
      <c r="T2740" s="2">
        <v>1.04</v>
      </c>
      <c r="U2740" s="2">
        <v>63.7</v>
      </c>
      <c r="V2740" s="2">
        <v>61</v>
      </c>
      <c r="W2740" s="2" t="s">
        <v>7862</v>
      </c>
      <c r="X2740" s="2" t="s">
        <v>7670</v>
      </c>
      <c r="Y2740" s="2">
        <v>98400</v>
      </c>
      <c r="Z2740" s="19" t="str">
        <f>HYPERLINK("https://ssdweb.co/ssdweb/hd/Vision360.html?d=925020213&amp;zoomslide=1&amp;z=1925020213&amp;ISCONFIRM=0","VIDEO")</f>
        <v>VIDEO</v>
      </c>
      <c r="AA2740" s="19" t="str">
        <f>HYPERLINK("https://ssdweb.co/ssdweb/CERTH/613350495.pdf","CERTI")</f>
        <v>CERTI</v>
      </c>
    </row>
    <row r="2741" spans="1:27" ht="15" x14ac:dyDescent="0.25">
      <c r="A2741" s="2">
        <v>2736</v>
      </c>
      <c r="B2741" s="39">
        <v>922420088</v>
      </c>
      <c r="C2741" s="28" t="str">
        <f>HYPERLINK("https://pld.live/RapDetail.aspx?STONELIST=922420088","DNA")</f>
        <v>DNA</v>
      </c>
      <c r="D2741" s="18" t="s">
        <v>4563</v>
      </c>
      <c r="E2741" s="18" t="s">
        <v>2186</v>
      </c>
      <c r="F2741" s="2" t="s">
        <v>5597</v>
      </c>
      <c r="G2741" s="2" t="s">
        <v>3296</v>
      </c>
      <c r="H2741" s="14">
        <v>3.26</v>
      </c>
      <c r="I2741" s="2" t="s">
        <v>4699</v>
      </c>
      <c r="J2741" s="2" t="s">
        <v>13</v>
      </c>
      <c r="K2741" s="2" t="s">
        <v>1452</v>
      </c>
      <c r="L2741" s="2" t="s">
        <v>5221</v>
      </c>
      <c r="M2741" s="2" t="s">
        <v>5721</v>
      </c>
      <c r="N2741" s="2" t="s">
        <v>2317</v>
      </c>
      <c r="O2741" s="14">
        <v>25000</v>
      </c>
      <c r="P2741" s="14">
        <v>98.91</v>
      </c>
      <c r="Q2741" s="14">
        <v>272.5</v>
      </c>
      <c r="R2741" s="14">
        <v>888.35</v>
      </c>
      <c r="S2741" s="2" t="s">
        <v>4205</v>
      </c>
      <c r="T2741" s="2">
        <v>1.05</v>
      </c>
      <c r="U2741" s="2">
        <v>64.2</v>
      </c>
      <c r="V2741" s="2">
        <v>64</v>
      </c>
      <c r="W2741" s="2" t="s">
        <v>7862</v>
      </c>
      <c r="X2741" s="2" t="s">
        <v>7053</v>
      </c>
      <c r="Y2741" s="2">
        <v>81500</v>
      </c>
      <c r="Z2741" s="19" t="str">
        <f>HYPERLINK("https://ssdweb.co/ssdweb/hd/Vision360.html?d=922420088&amp;zoomslide=1&amp;z=1922420088&amp;ISCONFIRM=0","VIDEO")</f>
        <v>VIDEO</v>
      </c>
      <c r="AA2741" s="19" t="str">
        <f>HYPERLINK("https://ssdweb.co/ssdweb/CERTH/1433024695.pdf","CERTI")</f>
        <v>CERTI</v>
      </c>
    </row>
    <row r="2742" spans="1:27" ht="15" x14ac:dyDescent="0.25">
      <c r="A2742" s="2">
        <v>2737</v>
      </c>
      <c r="B2742" s="39">
        <v>922480054</v>
      </c>
      <c r="C2742" s="28" t="str">
        <f>HYPERLINK("https://pld.live/RapDetail.aspx?STONELIST=922480054","DNA")</f>
        <v>DNA</v>
      </c>
      <c r="D2742" s="18" t="s">
        <v>4563</v>
      </c>
      <c r="E2742" s="18" t="s">
        <v>2186</v>
      </c>
      <c r="F2742" s="2" t="s">
        <v>7987</v>
      </c>
      <c r="G2742" s="2" t="s">
        <v>3296</v>
      </c>
      <c r="H2742" s="14">
        <v>3.26</v>
      </c>
      <c r="I2742" s="2" t="s">
        <v>1505</v>
      </c>
      <c r="J2742" s="2" t="s">
        <v>444</v>
      </c>
      <c r="K2742" s="2" t="s">
        <v>1452</v>
      </c>
      <c r="L2742" s="2" t="s">
        <v>5221</v>
      </c>
      <c r="M2742" s="2" t="s">
        <v>5221</v>
      </c>
      <c r="N2742" s="2" t="s">
        <v>2317</v>
      </c>
      <c r="O2742" s="14">
        <v>16000</v>
      </c>
      <c r="P2742" s="14">
        <v>99.33</v>
      </c>
      <c r="Q2742" s="14">
        <v>107.2</v>
      </c>
      <c r="R2742" s="14">
        <v>349.47</v>
      </c>
      <c r="S2742" s="2" t="s">
        <v>4368</v>
      </c>
      <c r="T2742" s="2">
        <v>1.05</v>
      </c>
      <c r="U2742" s="2">
        <v>64</v>
      </c>
      <c r="V2742" s="2">
        <v>65</v>
      </c>
      <c r="W2742" s="2" t="s">
        <v>8016</v>
      </c>
      <c r="X2742" s="2" t="s">
        <v>7670</v>
      </c>
      <c r="Y2742" s="2">
        <v>52160</v>
      </c>
      <c r="Z2742" s="19" t="str">
        <f>HYPERLINK("https://ssdweb.co/ssdweb/hd/Vision360.html?d=922480054&amp;zoomslide=1&amp;z=1922480054&amp;ISCONFIRM=0","VIDEO")</f>
        <v>VIDEO</v>
      </c>
      <c r="AA2742" s="19" t="str">
        <f>HYPERLINK("https://ssdweb.co/ssdweb/CERTH/524227739.pdf","CERTI")</f>
        <v>CERTI</v>
      </c>
    </row>
    <row r="2743" spans="1:27" ht="15" x14ac:dyDescent="0.25">
      <c r="A2743" s="2">
        <v>2738</v>
      </c>
      <c r="B2743" s="39">
        <v>831020638</v>
      </c>
      <c r="C2743" s="28" t="str">
        <f>HYPERLINK("https://pld.live/RapDetail.aspx?STONELIST=831020638","DNA")</f>
        <v>DNA</v>
      </c>
      <c r="D2743" s="18" t="s">
        <v>4563</v>
      </c>
      <c r="E2743" s="18" t="s">
        <v>2186</v>
      </c>
      <c r="F2743" s="2" t="s">
        <v>7987</v>
      </c>
      <c r="G2743" s="2" t="s">
        <v>3296</v>
      </c>
      <c r="H2743" s="14">
        <v>3.25</v>
      </c>
      <c r="I2743" s="2" t="s">
        <v>3722</v>
      </c>
      <c r="J2743" s="2" t="s">
        <v>13</v>
      </c>
      <c r="K2743" s="2" t="s">
        <v>1452</v>
      </c>
      <c r="L2743" s="2" t="s">
        <v>5221</v>
      </c>
      <c r="M2743" s="2" t="s">
        <v>5221</v>
      </c>
      <c r="N2743" s="2" t="s">
        <v>2317</v>
      </c>
      <c r="O2743" s="14">
        <v>16500</v>
      </c>
      <c r="P2743" s="14">
        <v>99.3</v>
      </c>
      <c r="Q2743" s="14">
        <v>115.5</v>
      </c>
      <c r="R2743" s="14">
        <v>375.38</v>
      </c>
      <c r="S2743" s="2" t="s">
        <v>1954</v>
      </c>
      <c r="T2743" s="2">
        <v>1.03</v>
      </c>
      <c r="U2743" s="2">
        <v>64</v>
      </c>
      <c r="V2743" s="2">
        <v>58</v>
      </c>
      <c r="W2743" s="2" t="s">
        <v>7862</v>
      </c>
      <c r="X2743" s="2" t="s">
        <v>7670</v>
      </c>
      <c r="Y2743" s="2">
        <v>53625</v>
      </c>
      <c r="Z2743" s="19" t="str">
        <f>HYPERLINK("https://ssdweb.co/ssdweb/hd/Vision360.html?d=831020638&amp;zoomslide=1&amp;z=1831020638&amp;ISCONFIRM=0","VIDEO")</f>
        <v>VIDEO</v>
      </c>
      <c r="AA2743" s="19" t="str">
        <f>HYPERLINK("https://ssdweb.co/ssdweb/CERTH/572368791.pdf","CERTI")</f>
        <v>CERTI</v>
      </c>
    </row>
    <row r="2744" spans="1:27" ht="15" x14ac:dyDescent="0.25">
      <c r="A2744" s="2">
        <v>2739</v>
      </c>
      <c r="B2744" s="39">
        <v>924950401</v>
      </c>
      <c r="C2744" s="28" t="str">
        <f>HYPERLINK("https://pld.live/RapDetail.aspx?STONELIST=924950401","DNA")</f>
        <v>DNA</v>
      </c>
      <c r="D2744" s="18" t="s">
        <v>4563</v>
      </c>
      <c r="E2744" s="18" t="s">
        <v>2186</v>
      </c>
      <c r="F2744" s="2" t="s">
        <v>7987</v>
      </c>
      <c r="G2744" s="2" t="s">
        <v>3296</v>
      </c>
      <c r="H2744" s="14">
        <v>3.23</v>
      </c>
      <c r="I2744" s="2" t="s">
        <v>1505</v>
      </c>
      <c r="J2744" s="2" t="s">
        <v>5144</v>
      </c>
      <c r="K2744" s="2" t="s">
        <v>1452</v>
      </c>
      <c r="L2744" s="2" t="s">
        <v>5221</v>
      </c>
      <c r="M2744" s="2" t="s">
        <v>5221</v>
      </c>
      <c r="N2744" s="2" t="s">
        <v>2317</v>
      </c>
      <c r="O2744" s="14">
        <v>18000</v>
      </c>
      <c r="P2744" s="14">
        <v>99.36</v>
      </c>
      <c r="Q2744" s="14">
        <v>115.2</v>
      </c>
      <c r="R2744" s="14">
        <v>372.1</v>
      </c>
      <c r="S2744" s="2" t="s">
        <v>1809</v>
      </c>
      <c r="T2744" s="2">
        <v>1.05</v>
      </c>
      <c r="U2744" s="2">
        <v>64.3</v>
      </c>
      <c r="V2744" s="2">
        <v>58</v>
      </c>
      <c r="W2744" s="2" t="s">
        <v>7862</v>
      </c>
      <c r="X2744" s="2" t="s">
        <v>7670</v>
      </c>
      <c r="Y2744" s="2">
        <v>58140</v>
      </c>
      <c r="Z2744" s="19" t="str">
        <f>HYPERLINK("https://ssdweb.co/ssdweb/hd/Vision360.html?d=924950401&amp;zoomslide=1&amp;z=1924950401&amp;ISCONFIRM=0","VIDEO")</f>
        <v>VIDEO</v>
      </c>
      <c r="AA2744" s="19" t="str">
        <f>HYPERLINK("https://ssdweb.co/ssdweb/CERTH/605355664.pdf","CERTI")</f>
        <v>CERTI</v>
      </c>
    </row>
    <row r="2745" spans="1:27" ht="15" x14ac:dyDescent="0.25">
      <c r="A2745" s="2">
        <v>2740</v>
      </c>
      <c r="B2745" s="39">
        <v>924250624</v>
      </c>
      <c r="C2745" s="28" t="str">
        <f>HYPERLINK("https://pld.live/RapDetail.aspx?STONELIST=924250624","DNA")</f>
        <v>DNA</v>
      </c>
      <c r="D2745" s="18" t="s">
        <v>4563</v>
      </c>
      <c r="E2745" s="18" t="s">
        <v>2186</v>
      </c>
      <c r="F2745" s="2" t="s">
        <v>7987</v>
      </c>
      <c r="G2745" s="2" t="s">
        <v>3296</v>
      </c>
      <c r="H2745" s="14">
        <v>3.2</v>
      </c>
      <c r="I2745" s="2" t="s">
        <v>1505</v>
      </c>
      <c r="J2745" s="2" t="s">
        <v>13</v>
      </c>
      <c r="K2745" s="2" t="s">
        <v>1452</v>
      </c>
      <c r="L2745" s="2" t="s">
        <v>5221</v>
      </c>
      <c r="M2745" s="2" t="s">
        <v>5221</v>
      </c>
      <c r="N2745" s="2" t="s">
        <v>2317</v>
      </c>
      <c r="O2745" s="14">
        <v>19500</v>
      </c>
      <c r="P2745" s="14">
        <v>99.38</v>
      </c>
      <c r="Q2745" s="14">
        <v>120.9</v>
      </c>
      <c r="R2745" s="14">
        <v>386.88</v>
      </c>
      <c r="S2745" s="2" t="s">
        <v>701</v>
      </c>
      <c r="T2745" s="2">
        <v>1.01</v>
      </c>
      <c r="U2745" s="2">
        <v>64.099999999999994</v>
      </c>
      <c r="V2745" s="2">
        <v>61</v>
      </c>
      <c r="W2745" s="2" t="s">
        <v>7862</v>
      </c>
      <c r="X2745" s="2" t="s">
        <v>7670</v>
      </c>
      <c r="Y2745" s="2">
        <v>62400</v>
      </c>
      <c r="Z2745" s="19" t="str">
        <f>HYPERLINK("https://ssdweb.co/ssdweb/hd/Vision360.html?d=924250624&amp;zoomslide=1&amp;z=1924250624&amp;ISCONFIRM=0","VIDEO")</f>
        <v>VIDEO</v>
      </c>
      <c r="AA2745" s="19" t="str">
        <f>HYPERLINK("https://ssdweb.co/ssdweb/CERTH/582351791.pdf","CERTI")</f>
        <v>CERTI</v>
      </c>
    </row>
    <row r="2746" spans="1:27" ht="15" x14ac:dyDescent="0.25">
      <c r="A2746" s="2">
        <v>2741</v>
      </c>
      <c r="B2746" s="39">
        <v>921800084</v>
      </c>
      <c r="C2746" s="28" t="str">
        <f>HYPERLINK("https://pld.live/RapDetail.aspx?STONELIST=921800084","DNA")</f>
        <v>DNA</v>
      </c>
      <c r="D2746" s="18" t="s">
        <v>4563</v>
      </c>
      <c r="E2746" s="18" t="s">
        <v>2186</v>
      </c>
      <c r="F2746" s="2" t="s">
        <v>5597</v>
      </c>
      <c r="G2746" s="2" t="s">
        <v>3296</v>
      </c>
      <c r="H2746" s="14">
        <v>3.18</v>
      </c>
      <c r="I2746" s="2" t="s">
        <v>3722</v>
      </c>
      <c r="J2746" s="2" t="s">
        <v>13</v>
      </c>
      <c r="K2746" s="2" t="s">
        <v>1452</v>
      </c>
      <c r="L2746" s="2" t="s">
        <v>5221</v>
      </c>
      <c r="M2746" s="2" t="s">
        <v>5221</v>
      </c>
      <c r="N2746" s="2" t="s">
        <v>2317</v>
      </c>
      <c r="O2746" s="14">
        <v>16500</v>
      </c>
      <c r="P2746" s="14">
        <v>98.7</v>
      </c>
      <c r="Q2746" s="14">
        <v>214.5</v>
      </c>
      <c r="R2746" s="14">
        <v>682.11</v>
      </c>
      <c r="S2746" s="2" t="s">
        <v>5693</v>
      </c>
      <c r="T2746" s="2">
        <v>1.05</v>
      </c>
      <c r="U2746" s="2">
        <v>64.5</v>
      </c>
      <c r="V2746" s="2">
        <v>62</v>
      </c>
      <c r="W2746" s="2" t="s">
        <v>7862</v>
      </c>
      <c r="X2746" s="2" t="s">
        <v>7053</v>
      </c>
      <c r="Y2746" s="2">
        <v>52470</v>
      </c>
      <c r="Z2746" s="19" t="str">
        <f>HYPERLINK("https://ssdweb.co/ssdweb/hd/Vision360.html?d=921800084&amp;zoomslide=1&amp;z=1921800084&amp;ISCONFIRM=0","VIDEO")</f>
        <v>VIDEO</v>
      </c>
      <c r="AA2746" s="19" t="str">
        <f>HYPERLINK("https://ssdweb.co/ssdweb/CERTH/6402606013.pdf","CERTI")</f>
        <v>CERTI</v>
      </c>
    </row>
    <row r="2747" spans="1:27" ht="15" x14ac:dyDescent="0.25">
      <c r="A2747" s="2">
        <v>2742</v>
      </c>
      <c r="B2747" s="39">
        <v>924950433</v>
      </c>
      <c r="C2747" s="28" t="str">
        <f>HYPERLINK("https://pld.live/RapDetail.aspx?STONELIST=924950433","DNA")</f>
        <v>DNA</v>
      </c>
      <c r="D2747" s="18" t="s">
        <v>4563</v>
      </c>
      <c r="E2747" s="18" t="s">
        <v>2186</v>
      </c>
      <c r="F2747" s="2" t="s">
        <v>7987</v>
      </c>
      <c r="G2747" s="2" t="s">
        <v>3296</v>
      </c>
      <c r="H2747" s="14">
        <v>3.17</v>
      </c>
      <c r="I2747" s="2" t="s">
        <v>6587</v>
      </c>
      <c r="J2747" s="2" t="s">
        <v>5144</v>
      </c>
      <c r="K2747" s="2" t="s">
        <v>1452</v>
      </c>
      <c r="L2747" s="2" t="s">
        <v>5221</v>
      </c>
      <c r="M2747" s="2" t="s">
        <v>5221</v>
      </c>
      <c r="N2747" s="2" t="s">
        <v>2317</v>
      </c>
      <c r="O2747" s="14">
        <v>20500</v>
      </c>
      <c r="P2747" s="14">
        <v>99.37</v>
      </c>
      <c r="Q2747" s="14">
        <v>129.15</v>
      </c>
      <c r="R2747" s="14">
        <v>409.41</v>
      </c>
      <c r="S2747" s="2" t="s">
        <v>6380</v>
      </c>
      <c r="T2747" s="2">
        <v>1.01</v>
      </c>
      <c r="U2747" s="2">
        <v>67.3</v>
      </c>
      <c r="V2747" s="2">
        <v>60</v>
      </c>
      <c r="W2747" s="2" t="s">
        <v>7862</v>
      </c>
      <c r="X2747" s="2" t="s">
        <v>7670</v>
      </c>
      <c r="Y2747" s="2">
        <v>64985</v>
      </c>
      <c r="Z2747" s="19" t="str">
        <f>HYPERLINK("https://ssdweb.co/ssdweb/hd/Vision360.html?d=924950433&amp;zoomslide=1&amp;z=1924950433&amp;ISCONFIRM=0","VIDEO")</f>
        <v>VIDEO</v>
      </c>
      <c r="AA2747" s="19" t="str">
        <f>HYPERLINK("https://ssdweb.co/ssdweb/CERTH/605305694.pdf","CERTI")</f>
        <v>CERTI</v>
      </c>
    </row>
    <row r="2748" spans="1:27" ht="15" x14ac:dyDescent="0.25">
      <c r="A2748" s="2">
        <v>2743</v>
      </c>
      <c r="B2748" s="39">
        <v>923750353</v>
      </c>
      <c r="C2748" s="28" t="str">
        <f>HYPERLINK("https://pld.live/RapDetail.aspx?STONELIST=923750353","DNA")</f>
        <v>DNA</v>
      </c>
      <c r="D2748" s="18" t="s">
        <v>4563</v>
      </c>
      <c r="E2748" s="18" t="s">
        <v>2186</v>
      </c>
      <c r="F2748" s="2" t="s">
        <v>7987</v>
      </c>
      <c r="G2748" s="2" t="s">
        <v>3296</v>
      </c>
      <c r="H2748" s="14">
        <v>3.15</v>
      </c>
      <c r="I2748" s="2" t="s">
        <v>1505</v>
      </c>
      <c r="J2748" s="2" t="s">
        <v>13</v>
      </c>
      <c r="K2748" s="2" t="s">
        <v>1452</v>
      </c>
      <c r="L2748" s="2" t="s">
        <v>5221</v>
      </c>
      <c r="M2748" s="2" t="s">
        <v>5221</v>
      </c>
      <c r="N2748" s="2" t="s">
        <v>2317</v>
      </c>
      <c r="O2748" s="14">
        <v>19500</v>
      </c>
      <c r="P2748" s="14">
        <v>99.39</v>
      </c>
      <c r="Q2748" s="14">
        <v>118.95</v>
      </c>
      <c r="R2748" s="14">
        <v>374.69</v>
      </c>
      <c r="S2748" s="2" t="s">
        <v>165</v>
      </c>
      <c r="T2748" s="2">
        <v>1.05</v>
      </c>
      <c r="U2748" s="2">
        <v>63.7</v>
      </c>
      <c r="V2748" s="2">
        <v>61</v>
      </c>
      <c r="W2748" s="2" t="s">
        <v>8016</v>
      </c>
      <c r="X2748" s="2" t="s">
        <v>7670</v>
      </c>
      <c r="Y2748" s="2">
        <v>61425</v>
      </c>
      <c r="Z2748" s="19" t="str">
        <f>HYPERLINK("https://ssdweb.co/ssdweb/hd/Vision360.html?d=923750353&amp;zoomslide=1&amp;z=1923750353&amp;ISCONFIRM=0","VIDEO")</f>
        <v>VIDEO</v>
      </c>
      <c r="AA2748" s="19" t="str">
        <f>HYPERLINK("https://ssdweb.co/ssdweb/CERTH/566302060.pdf","CERTI")</f>
        <v>CERTI</v>
      </c>
    </row>
    <row r="2749" spans="1:27" ht="15" x14ac:dyDescent="0.25">
      <c r="A2749" s="2">
        <v>2744</v>
      </c>
      <c r="B2749" s="39">
        <v>831020562</v>
      </c>
      <c r="C2749" s="28" t="str">
        <f>HYPERLINK("https://pld.live/RapDetail.aspx?STONELIST=831020562","DNA")</f>
        <v>DNA</v>
      </c>
      <c r="D2749" s="18" t="s">
        <v>4563</v>
      </c>
      <c r="E2749" s="18" t="s">
        <v>2186</v>
      </c>
      <c r="F2749" s="2" t="s">
        <v>7987</v>
      </c>
      <c r="G2749" s="2" t="s">
        <v>3296</v>
      </c>
      <c r="H2749" s="14">
        <v>3.12</v>
      </c>
      <c r="I2749" s="2" t="s">
        <v>1505</v>
      </c>
      <c r="J2749" s="2" t="s">
        <v>13</v>
      </c>
      <c r="K2749" s="2" t="s">
        <v>1452</v>
      </c>
      <c r="L2749" s="2" t="s">
        <v>5221</v>
      </c>
      <c r="M2749" s="2" t="s">
        <v>5221</v>
      </c>
      <c r="N2749" s="2" t="s">
        <v>2317</v>
      </c>
      <c r="O2749" s="14">
        <v>19500</v>
      </c>
      <c r="P2749" s="14">
        <v>99.39</v>
      </c>
      <c r="Q2749" s="14">
        <v>118.95</v>
      </c>
      <c r="R2749" s="14">
        <v>371.12</v>
      </c>
      <c r="S2749" s="2" t="s">
        <v>6960</v>
      </c>
      <c r="T2749" s="2">
        <v>1.05</v>
      </c>
      <c r="U2749" s="2">
        <v>63.8</v>
      </c>
      <c r="V2749" s="2">
        <v>61</v>
      </c>
      <c r="W2749" s="2" t="s">
        <v>8016</v>
      </c>
      <c r="X2749" s="2" t="s">
        <v>7670</v>
      </c>
      <c r="Y2749" s="2">
        <v>60840</v>
      </c>
      <c r="Z2749" s="19" t="str">
        <f>HYPERLINK("https://ssdweb.co/ssdweb/hd/Vision360.html?d=831020562&amp;zoomslide=1&amp;z=1831020562&amp;ISCONFIRM=0","VIDEO")</f>
        <v>VIDEO</v>
      </c>
      <c r="AA2749" s="19" t="str">
        <f>HYPERLINK("https://ssdweb.co/ssdweb/CERTH/570336697.pdf","CERTI")</f>
        <v>CERTI</v>
      </c>
    </row>
    <row r="2750" spans="1:27" ht="15" x14ac:dyDescent="0.25">
      <c r="A2750" s="2">
        <v>2745</v>
      </c>
      <c r="B2750" s="39">
        <v>924950285</v>
      </c>
      <c r="C2750" s="28" t="str">
        <f>HYPERLINK("https://pld.live/RapDetail.aspx?STONELIST=924950285","DNA")</f>
        <v>DNA</v>
      </c>
      <c r="D2750" s="18" t="s">
        <v>4563</v>
      </c>
      <c r="E2750" s="18" t="s">
        <v>2186</v>
      </c>
      <c r="F2750" s="2" t="s">
        <v>7987</v>
      </c>
      <c r="G2750" s="2" t="s">
        <v>3296</v>
      </c>
      <c r="H2750" s="14">
        <v>3.11</v>
      </c>
      <c r="I2750" s="2" t="s">
        <v>1505</v>
      </c>
      <c r="J2750" s="2" t="s">
        <v>5144</v>
      </c>
      <c r="K2750" s="2" t="s">
        <v>1452</v>
      </c>
      <c r="L2750" s="2" t="s">
        <v>5221</v>
      </c>
      <c r="M2750" s="2" t="s">
        <v>5221</v>
      </c>
      <c r="N2750" s="2" t="s">
        <v>2317</v>
      </c>
      <c r="O2750" s="14">
        <v>18000</v>
      </c>
      <c r="P2750" s="14">
        <v>99.36</v>
      </c>
      <c r="Q2750" s="14">
        <v>115.2</v>
      </c>
      <c r="R2750" s="14">
        <v>358.27</v>
      </c>
      <c r="S2750" s="2" t="s">
        <v>7114</v>
      </c>
      <c r="T2750" s="2">
        <v>1.05</v>
      </c>
      <c r="U2750" s="2">
        <v>65.099999999999994</v>
      </c>
      <c r="V2750" s="2">
        <v>61</v>
      </c>
      <c r="W2750" s="2" t="s">
        <v>7862</v>
      </c>
      <c r="X2750" s="2" t="s">
        <v>7670</v>
      </c>
      <c r="Y2750" s="2">
        <v>55980</v>
      </c>
      <c r="Z2750" s="19" t="str">
        <f>HYPERLINK("https://ssdweb.co/ssdweb/hd/Vision360.html?d=924950285&amp;zoomslide=1&amp;z=1924950285&amp;ISCONFIRM=0","VIDEO")</f>
        <v>VIDEO</v>
      </c>
      <c r="AA2750" s="19" t="str">
        <f>HYPERLINK("https://ssdweb.co/ssdweb/CERTH/604303888.pdf","CERTI")</f>
        <v>CERTI</v>
      </c>
    </row>
    <row r="2751" spans="1:27" ht="15" x14ac:dyDescent="0.25">
      <c r="A2751" s="2">
        <v>2746</v>
      </c>
      <c r="B2751" s="39">
        <v>923610363</v>
      </c>
      <c r="C2751" s="28" t="str">
        <f>HYPERLINK("https://pld.live/RapDetail.aspx?STONELIST=923610363","DNA")</f>
        <v>DNA</v>
      </c>
      <c r="D2751" s="18" t="s">
        <v>4563</v>
      </c>
      <c r="E2751" s="18" t="s">
        <v>2186</v>
      </c>
      <c r="F2751" s="2" t="s">
        <v>5597</v>
      </c>
      <c r="G2751" s="2" t="s">
        <v>3296</v>
      </c>
      <c r="H2751" s="14">
        <v>3.11</v>
      </c>
      <c r="I2751" s="2" t="s">
        <v>3722</v>
      </c>
      <c r="J2751" s="2" t="s">
        <v>13</v>
      </c>
      <c r="K2751" s="2" t="s">
        <v>1452</v>
      </c>
      <c r="L2751" s="2" t="s">
        <v>5221</v>
      </c>
      <c r="M2751" s="2" t="s">
        <v>5221</v>
      </c>
      <c r="N2751" s="2" t="s">
        <v>2317</v>
      </c>
      <c r="O2751" s="14">
        <v>16500</v>
      </c>
      <c r="P2751" s="14">
        <v>98.7</v>
      </c>
      <c r="Q2751" s="14">
        <v>214.5</v>
      </c>
      <c r="R2751" s="14">
        <v>667.1</v>
      </c>
      <c r="S2751" s="2" t="s">
        <v>3185</v>
      </c>
      <c r="T2751" s="2">
        <v>1.07</v>
      </c>
      <c r="U2751" s="2">
        <v>68.8</v>
      </c>
      <c r="V2751" s="2">
        <v>61</v>
      </c>
      <c r="W2751" s="2" t="s">
        <v>7862</v>
      </c>
      <c r="X2751" s="2" t="s">
        <v>7053</v>
      </c>
      <c r="Y2751" s="2">
        <v>51315</v>
      </c>
      <c r="Z2751" s="19" t="str">
        <f>HYPERLINK("https://ssdweb.co/ssdweb/hd/Vision360.html?d=923610363&amp;zoomslide=1&amp;z=1923610363&amp;ISCONFIRM=0","VIDEO")</f>
        <v>VIDEO</v>
      </c>
      <c r="AA2751" s="19" t="str">
        <f>HYPERLINK("https://ssdweb.co/ssdweb/CERTH/1455529031.pdf","CERTI")</f>
        <v>CERTI</v>
      </c>
    </row>
    <row r="2752" spans="1:27" ht="15" x14ac:dyDescent="0.25">
      <c r="A2752" s="2">
        <v>2747</v>
      </c>
      <c r="B2752" s="39">
        <v>926160069</v>
      </c>
      <c r="C2752" s="28" t="str">
        <f>HYPERLINK("https://pld.live/RapDetail.aspx?STONELIST=926160069","DNA")</f>
        <v>DNA</v>
      </c>
      <c r="D2752" s="18" t="s">
        <v>4563</v>
      </c>
      <c r="E2752" s="18" t="s">
        <v>2186</v>
      </c>
      <c r="F2752" s="2" t="s">
        <v>7987</v>
      </c>
      <c r="G2752" s="2" t="s">
        <v>3296</v>
      </c>
      <c r="H2752" s="14">
        <v>3.1</v>
      </c>
      <c r="I2752" s="2" t="s">
        <v>6587</v>
      </c>
      <c r="J2752" s="2" t="s">
        <v>13</v>
      </c>
      <c r="K2752" s="2" t="s">
        <v>1452</v>
      </c>
      <c r="L2752" s="2" t="s">
        <v>5221</v>
      </c>
      <c r="M2752" s="2" t="s">
        <v>5221</v>
      </c>
      <c r="N2752" s="2" t="s">
        <v>2317</v>
      </c>
      <c r="O2752" s="14">
        <v>22500</v>
      </c>
      <c r="P2752" s="14">
        <v>99.39</v>
      </c>
      <c r="Q2752" s="14">
        <v>137.25</v>
      </c>
      <c r="R2752" s="14">
        <v>425.48</v>
      </c>
      <c r="S2752" s="2" t="s">
        <v>1526</v>
      </c>
      <c r="T2752" s="2">
        <v>1.05</v>
      </c>
      <c r="U2752" s="2">
        <v>63.6</v>
      </c>
      <c r="V2752" s="2">
        <v>58</v>
      </c>
      <c r="W2752" s="2" t="s">
        <v>7862</v>
      </c>
      <c r="X2752" s="2" t="s">
        <v>7670</v>
      </c>
      <c r="Y2752" s="2">
        <v>69750</v>
      </c>
      <c r="Z2752" s="19" t="str">
        <f>HYPERLINK("https://ssdweb.co/ssdweb/hd/Vision360.html?d=926160069&amp;zoomslide=1&amp;z=1926160069&amp;ISCONFIRM=0","VIDEO")</f>
        <v>VIDEO</v>
      </c>
      <c r="AA2752" s="19" t="str">
        <f>HYPERLINK("https://ssdweb.co/ssdweb/CERTH/635427150.pdf","CERTI")</f>
        <v>CERTI</v>
      </c>
    </row>
    <row r="2753" spans="1:27" ht="15" x14ac:dyDescent="0.25">
      <c r="A2753" s="2">
        <v>2748</v>
      </c>
      <c r="B2753" s="39">
        <v>924950305</v>
      </c>
      <c r="C2753" s="28" t="str">
        <f>HYPERLINK("https://pld.live/RapDetail.aspx?STONELIST=924950305","DNA")</f>
        <v>DNA</v>
      </c>
      <c r="D2753" s="18" t="s">
        <v>4563</v>
      </c>
      <c r="E2753" s="18" t="s">
        <v>2186</v>
      </c>
      <c r="F2753" s="2" t="s">
        <v>7987</v>
      </c>
      <c r="G2753" s="2" t="s">
        <v>3296</v>
      </c>
      <c r="H2753" s="14">
        <v>3.09</v>
      </c>
      <c r="I2753" s="2" t="s">
        <v>1505</v>
      </c>
      <c r="J2753" s="2" t="s">
        <v>5144</v>
      </c>
      <c r="K2753" s="2" t="s">
        <v>1452</v>
      </c>
      <c r="L2753" s="2" t="s">
        <v>5221</v>
      </c>
      <c r="M2753" s="2" t="s">
        <v>5221</v>
      </c>
      <c r="N2753" s="2" t="s">
        <v>2317</v>
      </c>
      <c r="O2753" s="14">
        <v>18000</v>
      </c>
      <c r="P2753" s="14">
        <v>99.36</v>
      </c>
      <c r="Q2753" s="14">
        <v>115.2</v>
      </c>
      <c r="R2753" s="14">
        <v>355.97</v>
      </c>
      <c r="S2753" s="2" t="s">
        <v>6628</v>
      </c>
      <c r="T2753" s="2">
        <v>1.05</v>
      </c>
      <c r="U2753" s="2">
        <v>66</v>
      </c>
      <c r="V2753" s="2">
        <v>62</v>
      </c>
      <c r="W2753" s="2" t="s">
        <v>7862</v>
      </c>
      <c r="X2753" s="2" t="s">
        <v>7670</v>
      </c>
      <c r="Y2753" s="2">
        <v>55620</v>
      </c>
      <c r="Z2753" s="19" t="str">
        <f>HYPERLINK("https://ssdweb.co/ssdweb/hd/Vision360.html?d=924950305&amp;zoomslide=1&amp;z=1924950305&amp;ISCONFIRM=0","VIDEO")</f>
        <v>VIDEO</v>
      </c>
      <c r="AA2753" s="19" t="str">
        <f>HYPERLINK("https://ssdweb.co/ssdweb/CERTH/605330721.pdf","CERTI")</f>
        <v>CERTI</v>
      </c>
    </row>
    <row r="2754" spans="1:27" ht="15" x14ac:dyDescent="0.25">
      <c r="A2754" s="2">
        <v>2749</v>
      </c>
      <c r="B2754" s="39">
        <v>926160045</v>
      </c>
      <c r="C2754" s="28" t="str">
        <f>HYPERLINK("https://pld.live/RapDetail.aspx?STONELIST=926160045","DNA")</f>
        <v>DNA</v>
      </c>
      <c r="D2754" s="18" t="s">
        <v>4563</v>
      </c>
      <c r="E2754" s="18" t="s">
        <v>2186</v>
      </c>
      <c r="F2754" s="2" t="s">
        <v>7987</v>
      </c>
      <c r="G2754" s="2" t="s">
        <v>3296</v>
      </c>
      <c r="H2754" s="14">
        <v>3.07</v>
      </c>
      <c r="I2754" s="2" t="s">
        <v>6587</v>
      </c>
      <c r="J2754" s="2" t="s">
        <v>5144</v>
      </c>
      <c r="K2754" s="2" t="s">
        <v>1452</v>
      </c>
      <c r="L2754" s="2" t="s">
        <v>5221</v>
      </c>
      <c r="M2754" s="2" t="s">
        <v>5221</v>
      </c>
      <c r="N2754" s="2" t="s">
        <v>2317</v>
      </c>
      <c r="O2754" s="14">
        <v>20500</v>
      </c>
      <c r="P2754" s="14">
        <v>99.35</v>
      </c>
      <c r="Q2754" s="14">
        <v>133.25</v>
      </c>
      <c r="R2754" s="14">
        <v>409.08</v>
      </c>
      <c r="S2754" s="2" t="s">
        <v>3557</v>
      </c>
      <c r="T2754" s="2">
        <v>1.04</v>
      </c>
      <c r="U2754" s="2">
        <v>64.3</v>
      </c>
      <c r="V2754" s="2">
        <v>59</v>
      </c>
      <c r="W2754" s="2" t="s">
        <v>7862</v>
      </c>
      <c r="X2754" s="2" t="s">
        <v>7670</v>
      </c>
      <c r="Y2754" s="2">
        <v>62935</v>
      </c>
      <c r="Z2754" s="19" t="str">
        <f>HYPERLINK("https://ssdweb.co/ssdweb/hd/Vision360.html?d=926160045&amp;zoomslide=1&amp;z=1926160045&amp;ISCONFIRM=0","VIDEO")</f>
        <v>VIDEO</v>
      </c>
      <c r="AA2754" s="19" t="str">
        <f>HYPERLINK("https://ssdweb.co/ssdweb/CERTH/634431533.pdf","CERTI")</f>
        <v>CERTI</v>
      </c>
    </row>
    <row r="2755" spans="1:27" ht="15" x14ac:dyDescent="0.25">
      <c r="A2755" s="2">
        <v>2750</v>
      </c>
      <c r="B2755" s="39">
        <v>922480074</v>
      </c>
      <c r="C2755" s="28" t="str">
        <f>HYPERLINK("https://pld.live/RapDetail.aspx?STONELIST=922480074","DNA")</f>
        <v>DNA</v>
      </c>
      <c r="D2755" s="18" t="s">
        <v>4563</v>
      </c>
      <c r="E2755" s="18" t="s">
        <v>2186</v>
      </c>
      <c r="F2755" s="2" t="s">
        <v>7987</v>
      </c>
      <c r="G2755" s="2" t="s">
        <v>3296</v>
      </c>
      <c r="H2755" s="14">
        <v>3.06</v>
      </c>
      <c r="I2755" s="2" t="s">
        <v>6587</v>
      </c>
      <c r="J2755" s="2" t="s">
        <v>3942</v>
      </c>
      <c r="K2755" s="2" t="s">
        <v>1452</v>
      </c>
      <c r="L2755" s="2" t="s">
        <v>5221</v>
      </c>
      <c r="M2755" s="2" t="s">
        <v>5221</v>
      </c>
      <c r="N2755" s="2" t="s">
        <v>2317</v>
      </c>
      <c r="O2755" s="14">
        <v>24500</v>
      </c>
      <c r="P2755" s="14">
        <v>99.41</v>
      </c>
      <c r="Q2755" s="14">
        <v>144.55000000000001</v>
      </c>
      <c r="R2755" s="14">
        <v>442.32</v>
      </c>
      <c r="S2755" s="2" t="s">
        <v>7386</v>
      </c>
      <c r="T2755" s="2">
        <v>1.05</v>
      </c>
      <c r="U2755" s="2">
        <v>64.400000000000006</v>
      </c>
      <c r="V2755" s="2">
        <v>64.5</v>
      </c>
      <c r="W2755" s="2" t="s">
        <v>7862</v>
      </c>
      <c r="X2755" s="2" t="s">
        <v>7670</v>
      </c>
      <c r="Y2755" s="2">
        <v>74970</v>
      </c>
      <c r="Z2755" s="19" t="str">
        <f>HYPERLINK("https://ssdweb.co/ssdweb/hd/Vision360.html?d=922480074&amp;zoomslide=1&amp;z=1922480074&amp;ISCONFIRM=0","VIDEO")</f>
        <v>VIDEO</v>
      </c>
      <c r="AA2755" s="19" t="str">
        <f>HYPERLINK("https://ssdweb.co/ssdweb/CERTH/526285753.pdf","CERTI")</f>
        <v>CERTI</v>
      </c>
    </row>
    <row r="2756" spans="1:27" ht="15" x14ac:dyDescent="0.25">
      <c r="A2756" s="2">
        <v>2751</v>
      </c>
      <c r="B2756" s="39">
        <v>923310088</v>
      </c>
      <c r="C2756" s="28" t="str">
        <f>HYPERLINK("https://pld.live/RapDetail.aspx?STONELIST=923310088","DNA")</f>
        <v>DNA</v>
      </c>
      <c r="D2756" s="18" t="s">
        <v>4563</v>
      </c>
      <c r="E2756" s="18" t="s">
        <v>2186</v>
      </c>
      <c r="F2756" s="2" t="s">
        <v>7987</v>
      </c>
      <c r="G2756" s="2" t="s">
        <v>3296</v>
      </c>
      <c r="H2756" s="14">
        <v>3.06</v>
      </c>
      <c r="I2756" s="2" t="s">
        <v>1505</v>
      </c>
      <c r="J2756" s="2" t="s">
        <v>13</v>
      </c>
      <c r="K2756" s="2" t="s">
        <v>1452</v>
      </c>
      <c r="L2756" s="2" t="s">
        <v>5221</v>
      </c>
      <c r="M2756" s="2" t="s">
        <v>5221</v>
      </c>
      <c r="N2756" s="2" t="s">
        <v>2317</v>
      </c>
      <c r="O2756" s="14">
        <v>19500</v>
      </c>
      <c r="P2756" s="14">
        <v>99.39</v>
      </c>
      <c r="Q2756" s="14">
        <v>118.95</v>
      </c>
      <c r="R2756" s="14">
        <v>363.99</v>
      </c>
      <c r="S2756" s="2" t="s">
        <v>7905</v>
      </c>
      <c r="T2756" s="2">
        <v>1.07</v>
      </c>
      <c r="U2756" s="2">
        <v>62.1</v>
      </c>
      <c r="V2756" s="2">
        <v>64</v>
      </c>
      <c r="W2756" s="2" t="s">
        <v>8016</v>
      </c>
      <c r="X2756" s="2" t="s">
        <v>7053</v>
      </c>
      <c r="Y2756" s="2">
        <v>59670</v>
      </c>
      <c r="Z2756" s="19" t="str">
        <f>HYPERLINK("https://ssdweb.co/ssdweb/hd/Vision360.html?d=923310088&amp;zoomslide=1&amp;z=1923310088&amp;ISCONFIRM=0","VIDEO")</f>
        <v>VIDEO</v>
      </c>
      <c r="AA2756" s="19" t="str">
        <f>HYPERLINK("https://ssdweb.co/ssdweb/CERTH/541255067.pdf","CERTI")</f>
        <v>CERTI</v>
      </c>
    </row>
    <row r="2757" spans="1:27" ht="15" x14ac:dyDescent="0.25">
      <c r="A2757" s="2">
        <v>2752</v>
      </c>
      <c r="B2757" s="39">
        <v>925610462</v>
      </c>
      <c r="C2757" s="28" t="str">
        <f>HYPERLINK("https://pld.live/RapDetail.aspx?STONELIST=925610462","DNA")</f>
        <v>DNA</v>
      </c>
      <c r="D2757" s="18" t="s">
        <v>4563</v>
      </c>
      <c r="E2757" s="18" t="s">
        <v>2186</v>
      </c>
      <c r="F2757" s="2" t="s">
        <v>7987</v>
      </c>
      <c r="G2757" s="2" t="s">
        <v>3296</v>
      </c>
      <c r="H2757" s="14">
        <v>3.05</v>
      </c>
      <c r="I2757" s="2" t="s">
        <v>267</v>
      </c>
      <c r="J2757" s="2" t="s">
        <v>3942</v>
      </c>
      <c r="K2757" s="2" t="s">
        <v>1452</v>
      </c>
      <c r="L2757" s="2" t="s">
        <v>5221</v>
      </c>
      <c r="M2757" s="2" t="s">
        <v>5221</v>
      </c>
      <c r="N2757" s="2" t="s">
        <v>2317</v>
      </c>
      <c r="O2757" s="14">
        <v>32500</v>
      </c>
      <c r="P2757" s="14">
        <v>99.42</v>
      </c>
      <c r="Q2757" s="14">
        <v>188.5</v>
      </c>
      <c r="R2757" s="14">
        <v>574.92999999999995</v>
      </c>
      <c r="S2757" s="2" t="s">
        <v>5993</v>
      </c>
      <c r="T2757" s="2">
        <v>1.05</v>
      </c>
      <c r="U2757" s="2">
        <v>67.2</v>
      </c>
      <c r="V2757" s="2">
        <v>61</v>
      </c>
      <c r="W2757" s="2" t="s">
        <v>7862</v>
      </c>
      <c r="X2757" s="2" t="s">
        <v>7670</v>
      </c>
      <c r="Y2757" s="2">
        <v>99125</v>
      </c>
      <c r="Z2757" s="19" t="str">
        <f>HYPERLINK("https://ssdweb.co/ssdweb/hd/Vision360.html?d=925610462&amp;zoomslide=1&amp;z=1925610462&amp;ISCONFIRM=0","VIDEO")</f>
        <v>VIDEO</v>
      </c>
      <c r="AA2757" s="19" t="str">
        <f>HYPERLINK("https://ssdweb.co/ssdweb/CERTH/624499744.pdf","CERTI")</f>
        <v>CERTI</v>
      </c>
    </row>
    <row r="2758" spans="1:27" ht="15" x14ac:dyDescent="0.25">
      <c r="A2758" s="2">
        <v>2753</v>
      </c>
      <c r="B2758" s="39">
        <v>925502251</v>
      </c>
      <c r="C2758" s="28" t="str">
        <f>HYPERLINK("https://pld.live/RapDetail.aspx?STONELIST=925502251","DNA")</f>
        <v>DNA</v>
      </c>
      <c r="D2758" s="18" t="s">
        <v>4563</v>
      </c>
      <c r="E2758" s="18" t="s">
        <v>5128</v>
      </c>
      <c r="F2758" s="2" t="s">
        <v>7987</v>
      </c>
      <c r="G2758" s="2" t="s">
        <v>3296</v>
      </c>
      <c r="H2758" s="14">
        <v>3.05</v>
      </c>
      <c r="I2758" s="2" t="s">
        <v>267</v>
      </c>
      <c r="J2758" s="2" t="s">
        <v>5144</v>
      </c>
      <c r="K2758" s="2" t="s">
        <v>1452</v>
      </c>
      <c r="L2758" s="2" t="s">
        <v>5221</v>
      </c>
      <c r="M2758" s="2" t="s">
        <v>5221</v>
      </c>
      <c r="N2758" s="2" t="s">
        <v>2317</v>
      </c>
      <c r="O2758" s="14">
        <v>27000</v>
      </c>
      <c r="P2758" s="14">
        <v>99.43</v>
      </c>
      <c r="Q2758" s="14">
        <v>153.9</v>
      </c>
      <c r="R2758" s="14">
        <v>469.4</v>
      </c>
      <c r="S2758" s="2" t="s">
        <v>1082</v>
      </c>
      <c r="T2758" s="2">
        <v>1.04</v>
      </c>
      <c r="U2758" s="2">
        <v>65.8</v>
      </c>
      <c r="V2758" s="2">
        <v>61</v>
      </c>
      <c r="W2758" s="2" t="s">
        <v>7862</v>
      </c>
      <c r="X2758" s="2" t="s">
        <v>7670</v>
      </c>
      <c r="Y2758" s="2">
        <v>82350</v>
      </c>
      <c r="Z2758" s="19" t="str">
        <f>HYPERLINK("https://ssdweb.co/ssdweb/hd/Vision360.html?d=925502251&amp;zoomslide=1&amp;z=1925502251&amp;ISCONFIRM=0","VIDEO")</f>
        <v>VIDEO</v>
      </c>
      <c r="AA2758" s="19" t="str">
        <f>HYPERLINK("https://ssdweb.co/ssdweb/CERTH/617413141.pdf","CERTI")</f>
        <v>CERTI</v>
      </c>
    </row>
    <row r="2759" spans="1:27" ht="15" x14ac:dyDescent="0.25">
      <c r="A2759" s="2">
        <v>2754</v>
      </c>
      <c r="B2759" s="39">
        <v>925010066</v>
      </c>
      <c r="C2759" s="28" t="str">
        <f>HYPERLINK("https://pld.live/RapDetail.aspx?STONELIST=925010066","DNA")</f>
        <v>DNA</v>
      </c>
      <c r="D2759" s="18" t="s">
        <v>4563</v>
      </c>
      <c r="E2759" s="18" t="s">
        <v>2186</v>
      </c>
      <c r="F2759" s="2" t="s">
        <v>7987</v>
      </c>
      <c r="G2759" s="2" t="s">
        <v>3296</v>
      </c>
      <c r="H2759" s="14">
        <v>3.05</v>
      </c>
      <c r="I2759" s="2" t="s">
        <v>4761</v>
      </c>
      <c r="J2759" s="2" t="s">
        <v>13</v>
      </c>
      <c r="K2759" s="2" t="s">
        <v>1452</v>
      </c>
      <c r="L2759" s="2" t="s">
        <v>5221</v>
      </c>
      <c r="M2759" s="2" t="s">
        <v>5221</v>
      </c>
      <c r="N2759" s="2" t="s">
        <v>2317</v>
      </c>
      <c r="O2759" s="14">
        <v>27500</v>
      </c>
      <c r="P2759" s="14">
        <v>99.45</v>
      </c>
      <c r="Q2759" s="14">
        <v>151.25</v>
      </c>
      <c r="R2759" s="14">
        <v>461.31</v>
      </c>
      <c r="S2759" s="2" t="s">
        <v>1976</v>
      </c>
      <c r="T2759" s="2">
        <v>1.05</v>
      </c>
      <c r="U2759" s="2">
        <v>65.099999999999994</v>
      </c>
      <c r="V2759" s="2">
        <v>60</v>
      </c>
      <c r="W2759" s="2" t="s">
        <v>7862</v>
      </c>
      <c r="X2759" s="2" t="s">
        <v>7670</v>
      </c>
      <c r="Y2759" s="2">
        <v>83875</v>
      </c>
      <c r="Z2759" s="19" t="str">
        <f>HYPERLINK("https://ssdweb.co/ssdweb/hd/Vision360.html?d=925010066&amp;zoomslide=1&amp;z=1925010066&amp;ISCONFIRM=0","VIDEO")</f>
        <v>VIDEO</v>
      </c>
      <c r="AA2759" s="19" t="str">
        <f>HYPERLINK("https://ssdweb.co/ssdweb/CERTH/605346340.pdf","CERTI")</f>
        <v>CERTI</v>
      </c>
    </row>
    <row r="2760" spans="1:27" ht="15" x14ac:dyDescent="0.25">
      <c r="A2760" s="2">
        <v>2755</v>
      </c>
      <c r="B2760" s="39">
        <v>925610439</v>
      </c>
      <c r="C2760" s="28" t="str">
        <f>HYPERLINK("https://pld.live/RapDetail.aspx?STONELIST=925610439","DNA")</f>
        <v>DNA</v>
      </c>
      <c r="D2760" s="18" t="s">
        <v>4563</v>
      </c>
      <c r="E2760" s="18" t="s">
        <v>2186</v>
      </c>
      <c r="F2760" s="2" t="s">
        <v>7987</v>
      </c>
      <c r="G2760" s="2" t="s">
        <v>3296</v>
      </c>
      <c r="H2760" s="14">
        <v>3.05</v>
      </c>
      <c r="I2760" s="2" t="s">
        <v>4761</v>
      </c>
      <c r="J2760" s="2" t="s">
        <v>13</v>
      </c>
      <c r="K2760" s="2" t="s">
        <v>1452</v>
      </c>
      <c r="L2760" s="2" t="s">
        <v>5221</v>
      </c>
      <c r="M2760" s="2" t="s">
        <v>5221</v>
      </c>
      <c r="N2760" s="2" t="s">
        <v>2317</v>
      </c>
      <c r="O2760" s="14">
        <v>27500</v>
      </c>
      <c r="P2760" s="14">
        <v>99.45</v>
      </c>
      <c r="Q2760" s="14">
        <v>151.25</v>
      </c>
      <c r="R2760" s="14">
        <v>461.31</v>
      </c>
      <c r="S2760" s="2" t="s">
        <v>2011</v>
      </c>
      <c r="T2760" s="2">
        <v>1.05</v>
      </c>
      <c r="U2760" s="2">
        <v>65.599999999999994</v>
      </c>
      <c r="V2760" s="2">
        <v>60</v>
      </c>
      <c r="W2760" s="2" t="s">
        <v>7862</v>
      </c>
      <c r="X2760" s="2" t="s">
        <v>7053</v>
      </c>
      <c r="Y2760" s="2">
        <v>83875</v>
      </c>
      <c r="Z2760" s="19" t="str">
        <f>HYPERLINK("https://ssdweb.co/ssdweb/hd/Vision360.html?d=925610439&amp;zoomslide=1&amp;z=1925610439&amp;ISCONFIRM=0","VIDEO")</f>
        <v>VIDEO</v>
      </c>
      <c r="AA2760" s="19" t="str">
        <f>HYPERLINK("https://ssdweb.co/ssdweb/CERTH/623449428.pdf","CERTI")</f>
        <v>CERTI</v>
      </c>
    </row>
    <row r="2761" spans="1:27" ht="15" x14ac:dyDescent="0.25">
      <c r="A2761" s="2">
        <v>2756</v>
      </c>
      <c r="B2761" s="39">
        <v>924950452</v>
      </c>
      <c r="C2761" s="28" t="str">
        <f>HYPERLINK("https://pld.live/RapDetail.aspx?STONELIST=924950452","DNA")</f>
        <v>DNA</v>
      </c>
      <c r="D2761" s="18" t="s">
        <v>4563</v>
      </c>
      <c r="E2761" s="18" t="s">
        <v>2186</v>
      </c>
      <c r="F2761" s="2" t="s">
        <v>7987</v>
      </c>
      <c r="G2761" s="2" t="s">
        <v>3296</v>
      </c>
      <c r="H2761" s="14">
        <v>3.05</v>
      </c>
      <c r="I2761" s="2" t="s">
        <v>1505</v>
      </c>
      <c r="J2761" s="2" t="s">
        <v>444</v>
      </c>
      <c r="K2761" s="2" t="s">
        <v>1452</v>
      </c>
      <c r="L2761" s="2" t="s">
        <v>5221</v>
      </c>
      <c r="M2761" s="2" t="s">
        <v>5221</v>
      </c>
      <c r="N2761" s="2" t="s">
        <v>2317</v>
      </c>
      <c r="O2761" s="14">
        <v>16000</v>
      </c>
      <c r="P2761" s="14">
        <v>99.31</v>
      </c>
      <c r="Q2761" s="14">
        <v>110.4</v>
      </c>
      <c r="R2761" s="14">
        <v>336.72</v>
      </c>
      <c r="S2761" s="2" t="s">
        <v>7242</v>
      </c>
      <c r="T2761" s="2">
        <v>1.07</v>
      </c>
      <c r="U2761" s="2">
        <v>63.5</v>
      </c>
      <c r="V2761" s="2">
        <v>61</v>
      </c>
      <c r="W2761" s="2" t="s">
        <v>7862</v>
      </c>
      <c r="X2761" s="2" t="s">
        <v>3851</v>
      </c>
      <c r="Y2761" s="2">
        <v>48800</v>
      </c>
      <c r="Z2761" s="19" t="str">
        <f>HYPERLINK("https://ssdweb.co/ssdweb/hd/Vision360.html?d=924950452&amp;zoomslide=1&amp;z=1924950452&amp;ISCONFIRM=0","VIDEO")</f>
        <v>VIDEO</v>
      </c>
      <c r="AA2761" s="19" t="str">
        <f>HYPERLINK("https://ssdweb.co/ssdweb/CERTH/607378525.pdf","CERTI")</f>
        <v>CERTI</v>
      </c>
    </row>
    <row r="2762" spans="1:27" ht="15" x14ac:dyDescent="0.25">
      <c r="A2762" s="2">
        <v>2757</v>
      </c>
      <c r="B2762" s="39">
        <v>925610472</v>
      </c>
      <c r="C2762" s="28" t="str">
        <f>HYPERLINK("https://pld.live/RapDetail.aspx?STONELIST=925610472","DNA")</f>
        <v>DNA</v>
      </c>
      <c r="D2762" s="18" t="s">
        <v>4563</v>
      </c>
      <c r="E2762" s="18" t="s">
        <v>2186</v>
      </c>
      <c r="F2762" s="2" t="s">
        <v>7987</v>
      </c>
      <c r="G2762" s="2" t="s">
        <v>3296</v>
      </c>
      <c r="H2762" s="14">
        <v>3.04</v>
      </c>
      <c r="I2762" s="2" t="s">
        <v>267</v>
      </c>
      <c r="J2762" s="2" t="s">
        <v>13</v>
      </c>
      <c r="K2762" s="2" t="s">
        <v>1452</v>
      </c>
      <c r="L2762" s="2" t="s">
        <v>5221</v>
      </c>
      <c r="M2762" s="2" t="s">
        <v>5221</v>
      </c>
      <c r="N2762" s="2" t="s">
        <v>2317</v>
      </c>
      <c r="O2762" s="14">
        <v>30000</v>
      </c>
      <c r="P2762" s="14">
        <v>99.42</v>
      </c>
      <c r="Q2762" s="14">
        <v>174</v>
      </c>
      <c r="R2762" s="14">
        <v>528.96</v>
      </c>
      <c r="S2762" s="2" t="s">
        <v>6651</v>
      </c>
      <c r="T2762" s="2">
        <v>1.05</v>
      </c>
      <c r="U2762" s="2">
        <v>64.2</v>
      </c>
      <c r="V2762" s="2">
        <v>62</v>
      </c>
      <c r="W2762" s="2" t="s">
        <v>7862</v>
      </c>
      <c r="X2762" s="2" t="s">
        <v>7670</v>
      </c>
      <c r="Y2762" s="2">
        <v>91200</v>
      </c>
      <c r="Z2762" s="19" t="str">
        <f>HYPERLINK("https://ssdweb.co/ssdweb/hd/Vision360.html?d=925610472&amp;zoomslide=1&amp;z=1925610472&amp;ISCONFIRM=0","VIDEO")</f>
        <v>VIDEO</v>
      </c>
      <c r="AA2762" s="19" t="str">
        <f>HYPERLINK("https://ssdweb.co/ssdweb/CERTH/624499747.pdf","CERTI")</f>
        <v>CERTI</v>
      </c>
    </row>
    <row r="2763" spans="1:27" ht="15" x14ac:dyDescent="0.25">
      <c r="A2763" s="2">
        <v>2758</v>
      </c>
      <c r="B2763" s="39">
        <v>925020011</v>
      </c>
      <c r="C2763" s="28" t="str">
        <f>HYPERLINK("https://pld.live/RapDetail.aspx?STONELIST=925020011","DNA")</f>
        <v>DNA</v>
      </c>
      <c r="D2763" s="18" t="s">
        <v>4563</v>
      </c>
      <c r="E2763" s="18" t="s">
        <v>2186</v>
      </c>
      <c r="F2763" s="2" t="s">
        <v>7987</v>
      </c>
      <c r="G2763" s="2" t="s">
        <v>3296</v>
      </c>
      <c r="H2763" s="14">
        <v>3.04</v>
      </c>
      <c r="I2763" s="2" t="s">
        <v>4761</v>
      </c>
      <c r="J2763" s="2" t="s">
        <v>3942</v>
      </c>
      <c r="K2763" s="2" t="s">
        <v>1452</v>
      </c>
      <c r="L2763" s="2" t="s">
        <v>5221</v>
      </c>
      <c r="M2763" s="2" t="s">
        <v>5221</v>
      </c>
      <c r="N2763" s="2" t="s">
        <v>2317</v>
      </c>
      <c r="O2763" s="14">
        <v>29500</v>
      </c>
      <c r="P2763" s="14">
        <v>99.42</v>
      </c>
      <c r="Q2763" s="14">
        <v>171.1</v>
      </c>
      <c r="R2763" s="14">
        <v>520.14</v>
      </c>
      <c r="S2763" s="2" t="s">
        <v>3416</v>
      </c>
      <c r="T2763" s="2">
        <v>1.05</v>
      </c>
      <c r="U2763" s="2">
        <v>65.400000000000006</v>
      </c>
      <c r="V2763" s="2">
        <v>61</v>
      </c>
      <c r="W2763" s="2" t="s">
        <v>7862</v>
      </c>
      <c r="X2763" s="2" t="s">
        <v>7670</v>
      </c>
      <c r="Y2763" s="2">
        <v>89680</v>
      </c>
      <c r="Z2763" s="19" t="str">
        <f>HYPERLINK("https://ssdweb.co/ssdweb/hd/Vision360.html?d=925020011&amp;zoomslide=1&amp;z=1925020011&amp;ISCONFIRM=0","VIDEO")</f>
        <v>VIDEO</v>
      </c>
      <c r="AA2763" s="19" t="str">
        <f>HYPERLINK("https://ssdweb.co/ssdweb/CERTH/605346345.pdf","CERTI")</f>
        <v>CERTI</v>
      </c>
    </row>
    <row r="2764" spans="1:27" ht="15" x14ac:dyDescent="0.25">
      <c r="A2764" s="2">
        <v>2759</v>
      </c>
      <c r="B2764" s="39">
        <v>925510131</v>
      </c>
      <c r="C2764" s="28" t="str">
        <f>HYPERLINK("https://pld.live/RapDetail.aspx?STONELIST=925510131","DNA")</f>
        <v>DNA</v>
      </c>
      <c r="D2764" s="18" t="s">
        <v>4563</v>
      </c>
      <c r="E2764" s="18" t="s">
        <v>2186</v>
      </c>
      <c r="F2764" s="2" t="s">
        <v>7987</v>
      </c>
      <c r="G2764" s="2" t="s">
        <v>3296</v>
      </c>
      <c r="H2764" s="14">
        <v>3.04</v>
      </c>
      <c r="I2764" s="2" t="s">
        <v>4761</v>
      </c>
      <c r="J2764" s="2" t="s">
        <v>13</v>
      </c>
      <c r="K2764" s="2" t="s">
        <v>1452</v>
      </c>
      <c r="L2764" s="2" t="s">
        <v>5221</v>
      </c>
      <c r="M2764" s="2" t="s">
        <v>5221</v>
      </c>
      <c r="N2764" s="2" t="s">
        <v>2317</v>
      </c>
      <c r="O2764" s="14">
        <v>27500</v>
      </c>
      <c r="P2764" s="14">
        <v>99.45</v>
      </c>
      <c r="Q2764" s="14">
        <v>151.25</v>
      </c>
      <c r="R2764" s="14">
        <v>459.8</v>
      </c>
      <c r="S2764" s="2" t="s">
        <v>926</v>
      </c>
      <c r="T2764" s="2">
        <v>1.05</v>
      </c>
      <c r="U2764" s="2">
        <v>63.8</v>
      </c>
      <c r="V2764" s="2">
        <v>62</v>
      </c>
      <c r="W2764" s="2" t="s">
        <v>7862</v>
      </c>
      <c r="X2764" s="2" t="s">
        <v>7670</v>
      </c>
      <c r="Y2764" s="2">
        <v>83600</v>
      </c>
      <c r="Z2764" s="19" t="str">
        <f>HYPERLINK("https://ssdweb.co/ssdweb/hd/Vision360.html?d=925510131&amp;zoomslide=1&amp;z=1925510131&amp;ISCONFIRM=0","VIDEO")</f>
        <v>VIDEO</v>
      </c>
      <c r="AA2764" s="19" t="str">
        <f>HYPERLINK("https://ssdweb.co/ssdweb/CERTH/618455298.pdf","CERTI")</f>
        <v>CERTI</v>
      </c>
    </row>
    <row r="2765" spans="1:27" ht="15" x14ac:dyDescent="0.25">
      <c r="A2765" s="2">
        <v>2760</v>
      </c>
      <c r="B2765" s="39">
        <v>927020674</v>
      </c>
      <c r="C2765" s="28" t="str">
        <f>HYPERLINK("https://pld.live/RapDetail.aspx?STONELIST=927020674","DNA")</f>
        <v>DNA</v>
      </c>
      <c r="D2765" s="18" t="s">
        <v>4563</v>
      </c>
      <c r="E2765" s="18" t="s">
        <v>2186</v>
      </c>
      <c r="F2765" s="2" t="s">
        <v>7987</v>
      </c>
      <c r="G2765" s="2" t="s">
        <v>3296</v>
      </c>
      <c r="H2765" s="14">
        <v>3.04</v>
      </c>
      <c r="I2765" s="2" t="s">
        <v>4699</v>
      </c>
      <c r="J2765" s="2" t="s">
        <v>3942</v>
      </c>
      <c r="K2765" s="2" t="s">
        <v>1452</v>
      </c>
      <c r="L2765" s="2" t="s">
        <v>5221</v>
      </c>
      <c r="M2765" s="2" t="s">
        <v>5221</v>
      </c>
      <c r="N2765" s="2" t="s">
        <v>2317</v>
      </c>
      <c r="O2765" s="14">
        <v>27000</v>
      </c>
      <c r="P2765" s="14">
        <v>99.37</v>
      </c>
      <c r="Q2765" s="14">
        <v>170.1</v>
      </c>
      <c r="R2765" s="14">
        <v>517.1</v>
      </c>
      <c r="S2765" s="2" t="s">
        <v>3212</v>
      </c>
      <c r="T2765" s="2">
        <v>1.05</v>
      </c>
      <c r="U2765" s="2">
        <v>63.7</v>
      </c>
      <c r="V2765" s="2">
        <v>61</v>
      </c>
      <c r="W2765" s="2" t="s">
        <v>7862</v>
      </c>
      <c r="X2765" s="2" t="s">
        <v>7670</v>
      </c>
      <c r="Y2765" s="2">
        <v>82080</v>
      </c>
      <c r="Z2765" s="19" t="str">
        <f>HYPERLINK("https://ssdweb.co/ssdweb/hd/Vision360.html?d=927020674&amp;zoomslide=1&amp;z=1927020674&amp;ISCONFIRM=0","VIDEO")</f>
        <v>VIDEO</v>
      </c>
      <c r="AA2765" s="19" t="str">
        <f>HYPERLINK("https://ssdweb.co/ssdweb/CERTH/665453227.pdf","CERTI")</f>
        <v>CERTI</v>
      </c>
    </row>
    <row r="2766" spans="1:27" ht="15" x14ac:dyDescent="0.25">
      <c r="A2766" s="2">
        <v>2761</v>
      </c>
      <c r="B2766" s="39">
        <v>925530123</v>
      </c>
      <c r="C2766" s="28" t="str">
        <f>HYPERLINK("https://pld.live/RapDetail.aspx?STONELIST=925530123","DNA")</f>
        <v>DNA</v>
      </c>
      <c r="D2766" s="18" t="s">
        <v>4563</v>
      </c>
      <c r="E2766" s="18" t="s">
        <v>2186</v>
      </c>
      <c r="F2766" s="2" t="s">
        <v>7987</v>
      </c>
      <c r="G2766" s="2" t="s">
        <v>3296</v>
      </c>
      <c r="H2766" s="14">
        <v>3.03</v>
      </c>
      <c r="I2766" s="2" t="s">
        <v>267</v>
      </c>
      <c r="J2766" s="2" t="s">
        <v>13</v>
      </c>
      <c r="K2766" s="2" t="s">
        <v>1452</v>
      </c>
      <c r="L2766" s="2" t="s">
        <v>5221</v>
      </c>
      <c r="M2766" s="2" t="s">
        <v>5221</v>
      </c>
      <c r="N2766" s="2" t="s">
        <v>2317</v>
      </c>
      <c r="O2766" s="14">
        <v>30000</v>
      </c>
      <c r="P2766" s="14">
        <v>99.42</v>
      </c>
      <c r="Q2766" s="14">
        <v>174</v>
      </c>
      <c r="R2766" s="14">
        <v>527.22</v>
      </c>
      <c r="S2766" s="2" t="s">
        <v>3870</v>
      </c>
      <c r="T2766" s="2">
        <v>1.03</v>
      </c>
      <c r="U2766" s="2">
        <v>66</v>
      </c>
      <c r="V2766" s="2">
        <v>62</v>
      </c>
      <c r="W2766" s="2" t="s">
        <v>7862</v>
      </c>
      <c r="X2766" s="2" t="s">
        <v>7670</v>
      </c>
      <c r="Y2766" s="2">
        <v>90900</v>
      </c>
      <c r="Z2766" s="19" t="str">
        <f>HYPERLINK("https://ssdweb.co/ssdweb/hd/Vision360.html?d=925530123&amp;zoomslide=1&amp;z=1925530123&amp;ISCONFIRM=0","VIDEO")</f>
        <v>VIDEO</v>
      </c>
      <c r="AA2766" s="19" t="str">
        <f>HYPERLINK("https://ssdweb.co/ssdweb/CERTH/617413150.pdf","CERTI")</f>
        <v>CERTI</v>
      </c>
    </row>
    <row r="2767" spans="1:27" ht="15" x14ac:dyDescent="0.25">
      <c r="A2767" s="2">
        <v>2762</v>
      </c>
      <c r="B2767" s="39">
        <v>925530186</v>
      </c>
      <c r="C2767" s="28" t="str">
        <f>HYPERLINK("https://pld.live/RapDetail.aspx?STONELIST=925530186","DNA")</f>
        <v>DNA</v>
      </c>
      <c r="D2767" s="18" t="s">
        <v>4563</v>
      </c>
      <c r="E2767" s="18" t="s">
        <v>2186</v>
      </c>
      <c r="F2767" s="2" t="s">
        <v>7987</v>
      </c>
      <c r="G2767" s="2" t="s">
        <v>3296</v>
      </c>
      <c r="H2767" s="14">
        <v>3.03</v>
      </c>
      <c r="I2767" s="2" t="s">
        <v>4761</v>
      </c>
      <c r="J2767" s="2" t="s">
        <v>13</v>
      </c>
      <c r="K2767" s="2" t="s">
        <v>1452</v>
      </c>
      <c r="L2767" s="2" t="s">
        <v>5221</v>
      </c>
      <c r="M2767" s="2" t="s">
        <v>5221</v>
      </c>
      <c r="N2767" s="2" t="s">
        <v>2317</v>
      </c>
      <c r="O2767" s="14">
        <v>27500</v>
      </c>
      <c r="P2767" s="14">
        <v>99.45</v>
      </c>
      <c r="Q2767" s="14">
        <v>151.25</v>
      </c>
      <c r="R2767" s="14">
        <v>458.29</v>
      </c>
      <c r="S2767" s="2" t="s">
        <v>3938</v>
      </c>
      <c r="T2767" s="2">
        <v>1.04</v>
      </c>
      <c r="U2767" s="2">
        <v>64.8</v>
      </c>
      <c r="V2767" s="2">
        <v>61</v>
      </c>
      <c r="W2767" s="2" t="s">
        <v>7862</v>
      </c>
      <c r="X2767" s="2" t="s">
        <v>7670</v>
      </c>
      <c r="Y2767" s="2">
        <v>83325</v>
      </c>
      <c r="Z2767" s="19" t="str">
        <f>HYPERLINK("https://ssdweb.co/ssdweb/hd/Vision360.html?d=925530186&amp;zoomslide=1&amp;z=1925530186&amp;ISCONFIRM=0","VIDEO")</f>
        <v>VIDEO</v>
      </c>
      <c r="AA2767" s="19" t="str">
        <f>HYPERLINK("https://ssdweb.co/ssdweb/CERTH/618455299.pdf","CERTI")</f>
        <v>CERTI</v>
      </c>
    </row>
    <row r="2768" spans="1:27" ht="15" x14ac:dyDescent="0.25">
      <c r="A2768" s="2">
        <v>2763</v>
      </c>
      <c r="B2768" s="39">
        <v>924730029</v>
      </c>
      <c r="C2768" s="28" t="str">
        <f>HYPERLINK("https://pld.live/RapDetail.aspx?STONELIST=924730029","DNA")</f>
        <v>DNA</v>
      </c>
      <c r="D2768" s="18" t="s">
        <v>4563</v>
      </c>
      <c r="E2768" s="18" t="s">
        <v>5128</v>
      </c>
      <c r="F2768" s="2" t="s">
        <v>7987</v>
      </c>
      <c r="G2768" s="2" t="s">
        <v>3296</v>
      </c>
      <c r="H2768" s="14">
        <v>3.03</v>
      </c>
      <c r="I2768" s="2" t="s">
        <v>4761</v>
      </c>
      <c r="J2768" s="2" t="s">
        <v>5144</v>
      </c>
      <c r="K2768" s="2" t="s">
        <v>1452</v>
      </c>
      <c r="L2768" s="2" t="s">
        <v>5221</v>
      </c>
      <c r="M2768" s="2" t="s">
        <v>5221</v>
      </c>
      <c r="N2768" s="2" t="s">
        <v>2317</v>
      </c>
      <c r="O2768" s="14">
        <v>24500</v>
      </c>
      <c r="P2768" s="14">
        <v>99.44</v>
      </c>
      <c r="Q2768" s="14">
        <v>137.19999999999999</v>
      </c>
      <c r="R2768" s="14">
        <v>415.72</v>
      </c>
      <c r="S2768" s="2" t="s">
        <v>6095</v>
      </c>
      <c r="T2768" s="2">
        <v>1.01</v>
      </c>
      <c r="U2768" s="2">
        <v>67.8</v>
      </c>
      <c r="V2768" s="2">
        <v>62</v>
      </c>
      <c r="W2768" s="2" t="s">
        <v>4336</v>
      </c>
      <c r="X2768" s="2" t="s">
        <v>7670</v>
      </c>
      <c r="Y2768" s="2">
        <v>74235</v>
      </c>
      <c r="Z2768" s="19" t="str">
        <f>HYPERLINK("https://ssdweb.co/ssdweb/hd/Vision360.html?d=924730029&amp;zoomslide=1&amp;z=1924730029&amp;ISCONFIRM=0","VIDEO")</f>
        <v>VIDEO</v>
      </c>
      <c r="AA2768" s="19" t="str">
        <f>HYPERLINK("https://ssdweb.co/ssdweb/CERTH/597387079.pdf","CERTI")</f>
        <v>CERTI</v>
      </c>
    </row>
    <row r="2769" spans="1:27" ht="15" x14ac:dyDescent="0.25">
      <c r="A2769" s="2">
        <v>2764</v>
      </c>
      <c r="B2769" s="39">
        <v>924660001</v>
      </c>
      <c r="C2769" s="28" t="str">
        <f>HYPERLINK("https://pld.live/RapDetail.aspx?STONELIST=924660001","DNA")</f>
        <v>DNA</v>
      </c>
      <c r="D2769" s="18" t="s">
        <v>4563</v>
      </c>
      <c r="E2769" s="18" t="s">
        <v>5128</v>
      </c>
      <c r="F2769" s="2" t="s">
        <v>7987</v>
      </c>
      <c r="G2769" s="2" t="s">
        <v>3296</v>
      </c>
      <c r="H2769" s="14">
        <v>3.03</v>
      </c>
      <c r="I2769" s="2" t="s">
        <v>1505</v>
      </c>
      <c r="J2769" s="2" t="s">
        <v>13</v>
      </c>
      <c r="K2769" s="2" t="s">
        <v>1452</v>
      </c>
      <c r="L2769" s="2" t="s">
        <v>5221</v>
      </c>
      <c r="M2769" s="2" t="s">
        <v>5221</v>
      </c>
      <c r="N2769" s="2" t="s">
        <v>2317</v>
      </c>
      <c r="O2769" s="14">
        <v>19500</v>
      </c>
      <c r="P2769" s="14">
        <v>99.38</v>
      </c>
      <c r="Q2769" s="14">
        <v>120.9</v>
      </c>
      <c r="R2769" s="14">
        <v>366.33</v>
      </c>
      <c r="S2769" s="2" t="s">
        <v>4152</v>
      </c>
      <c r="T2769" s="2">
        <v>1.04</v>
      </c>
      <c r="U2769" s="2">
        <v>63.8</v>
      </c>
      <c r="V2769" s="2">
        <v>59</v>
      </c>
      <c r="W2769" s="2" t="s">
        <v>7862</v>
      </c>
      <c r="X2769" s="2" t="s">
        <v>7670</v>
      </c>
      <c r="Y2769" s="2">
        <v>59085</v>
      </c>
      <c r="Z2769" s="19" t="str">
        <f>HYPERLINK("https://ssdweb.co/ssdweb/hd/Vision360.html?d=924660001&amp;zoomslide=1&amp;z=1924660001&amp;ISCONFIRM=0","VIDEO")</f>
        <v>VIDEO</v>
      </c>
      <c r="AA2769" s="19" t="str">
        <f>HYPERLINK("https://ssdweb.co/ssdweb/CERTH/595368616.pdf","CERTI")</f>
        <v>CERTI</v>
      </c>
    </row>
    <row r="2770" spans="1:27" ht="15" x14ac:dyDescent="0.25">
      <c r="A2770" s="2">
        <v>2765</v>
      </c>
      <c r="B2770" s="39">
        <v>924950416</v>
      </c>
      <c r="C2770" s="28" t="str">
        <f>HYPERLINK("https://pld.live/RapDetail.aspx?STONELIST=924950416","DNA")</f>
        <v>DNA</v>
      </c>
      <c r="D2770" s="18" t="s">
        <v>4563</v>
      </c>
      <c r="E2770" s="18" t="s">
        <v>2186</v>
      </c>
      <c r="F2770" s="2" t="s">
        <v>7987</v>
      </c>
      <c r="G2770" s="2" t="s">
        <v>3296</v>
      </c>
      <c r="H2770" s="14">
        <v>3.03</v>
      </c>
      <c r="I2770" s="2" t="s">
        <v>1505</v>
      </c>
      <c r="J2770" s="2" t="s">
        <v>13</v>
      </c>
      <c r="K2770" s="2" t="s">
        <v>1452</v>
      </c>
      <c r="L2770" s="2" t="s">
        <v>5221</v>
      </c>
      <c r="M2770" s="2" t="s">
        <v>5221</v>
      </c>
      <c r="N2770" s="2" t="s">
        <v>2317</v>
      </c>
      <c r="O2770" s="14">
        <v>19500</v>
      </c>
      <c r="P2770" s="14">
        <v>99.38</v>
      </c>
      <c r="Q2770" s="14">
        <v>120.9</v>
      </c>
      <c r="R2770" s="14">
        <v>366.33</v>
      </c>
      <c r="S2770" s="2" t="s">
        <v>5381</v>
      </c>
      <c r="T2770" s="2">
        <v>1.05</v>
      </c>
      <c r="U2770" s="2">
        <v>63.9</v>
      </c>
      <c r="V2770" s="2">
        <v>63</v>
      </c>
      <c r="W2770" s="2" t="s">
        <v>7862</v>
      </c>
      <c r="X2770" s="2" t="s">
        <v>7670</v>
      </c>
      <c r="Y2770" s="2">
        <v>59085</v>
      </c>
      <c r="Z2770" s="19" t="str">
        <f>HYPERLINK("https://ssdweb.co/ssdweb/hd/Vision360.html?d=924950416&amp;zoomslide=1&amp;z=1924950416&amp;ISCONFIRM=0","VIDEO")</f>
        <v>VIDEO</v>
      </c>
      <c r="AA2770" s="19" t="str">
        <f>HYPERLINK("https://ssdweb.co/ssdweb/CERTH/605381299.pdf","CERTI")</f>
        <v>CERTI</v>
      </c>
    </row>
    <row r="2771" spans="1:27" ht="15" x14ac:dyDescent="0.25">
      <c r="A2771" s="2">
        <v>2766</v>
      </c>
      <c r="B2771" s="39">
        <v>923720224</v>
      </c>
      <c r="C2771" s="28" t="str">
        <f>HYPERLINK("https://pld.live/RapDetail.aspx?STONELIST=923720224","DNA")</f>
        <v>DNA</v>
      </c>
      <c r="D2771" s="18" t="s">
        <v>4563</v>
      </c>
      <c r="E2771" s="18" t="s">
        <v>2186</v>
      </c>
      <c r="F2771" s="2" t="s">
        <v>5597</v>
      </c>
      <c r="G2771" s="2" t="s">
        <v>3296</v>
      </c>
      <c r="H2771" s="14">
        <v>3.03</v>
      </c>
      <c r="I2771" s="2" t="s">
        <v>3722</v>
      </c>
      <c r="J2771" s="2" t="s">
        <v>13</v>
      </c>
      <c r="K2771" s="2" t="s">
        <v>1452</v>
      </c>
      <c r="L2771" s="2" t="s">
        <v>5221</v>
      </c>
      <c r="M2771" s="2" t="s">
        <v>5221</v>
      </c>
      <c r="N2771" s="2" t="s">
        <v>2317</v>
      </c>
      <c r="O2771" s="14">
        <v>16500</v>
      </c>
      <c r="P2771" s="14">
        <v>98.7</v>
      </c>
      <c r="Q2771" s="14">
        <v>214.5</v>
      </c>
      <c r="R2771" s="14">
        <v>649.94000000000005</v>
      </c>
      <c r="S2771" s="2" t="s">
        <v>5733</v>
      </c>
      <c r="T2771" s="2">
        <v>1.02</v>
      </c>
      <c r="U2771" s="2">
        <v>67</v>
      </c>
      <c r="V2771" s="2">
        <v>60</v>
      </c>
      <c r="W2771" s="2" t="s">
        <v>7862</v>
      </c>
      <c r="X2771" s="2" t="s">
        <v>7053</v>
      </c>
      <c r="Y2771" s="2">
        <v>49995</v>
      </c>
      <c r="Z2771" s="19" t="str">
        <f>HYPERLINK("https://ssdweb.co/ssdweb/hd/Vision360.html?d=923720224&amp;zoomslide=1&amp;z=1923720224&amp;ISCONFIRM=0","VIDEO")</f>
        <v>VIDEO</v>
      </c>
      <c r="AA2771" s="19" t="str">
        <f>HYPERLINK("https://ssdweb.co/ssdweb/CERTH/1453553064.pdf","CERTI")</f>
        <v>CERTI</v>
      </c>
    </row>
    <row r="2772" spans="1:27" ht="15" x14ac:dyDescent="0.25">
      <c r="A2772" s="2">
        <v>2767</v>
      </c>
      <c r="B2772" s="39">
        <v>926010168</v>
      </c>
      <c r="C2772" s="28" t="str">
        <f>HYPERLINK("https://pld.live/RapDetail.aspx?STONELIST=926010168","DNA")</f>
        <v>DNA</v>
      </c>
      <c r="D2772" s="18" t="s">
        <v>4563</v>
      </c>
      <c r="E2772" s="18" t="s">
        <v>2186</v>
      </c>
      <c r="F2772" s="2" t="s">
        <v>7987</v>
      </c>
      <c r="G2772" s="2" t="s">
        <v>3296</v>
      </c>
      <c r="H2772" s="14">
        <v>3.03</v>
      </c>
      <c r="I2772" s="2" t="s">
        <v>6845</v>
      </c>
      <c r="J2772" s="2" t="s">
        <v>13</v>
      </c>
      <c r="K2772" s="2" t="s">
        <v>1452</v>
      </c>
      <c r="L2772" s="2" t="s">
        <v>5221</v>
      </c>
      <c r="M2772" s="2" t="s">
        <v>5221</v>
      </c>
      <c r="N2772" s="2" t="s">
        <v>2317</v>
      </c>
      <c r="O2772" s="14">
        <v>5700</v>
      </c>
      <c r="P2772" s="14">
        <v>96.14</v>
      </c>
      <c r="Q2772" s="14">
        <v>220.02</v>
      </c>
      <c r="R2772" s="14">
        <v>666.66</v>
      </c>
      <c r="S2772" s="2" t="s">
        <v>6067</v>
      </c>
      <c r="T2772" s="2">
        <v>1</v>
      </c>
      <c r="U2772" s="2">
        <v>66.400000000000006</v>
      </c>
      <c r="V2772" s="2">
        <v>61</v>
      </c>
      <c r="W2772" s="2" t="s">
        <v>7862</v>
      </c>
      <c r="X2772" s="2" t="s">
        <v>7670</v>
      </c>
      <c r="Y2772" s="2">
        <v>17271</v>
      </c>
      <c r="Z2772" s="19" t="str">
        <f>HYPERLINK("https://ssdweb.co/ssdweb/hd/Vision360.html?d=926010168&amp;zoomslide=1&amp;z=1926010168&amp;ISCONFIRM=0","VIDEO")</f>
        <v>VIDEO</v>
      </c>
      <c r="AA2772" s="19" t="str">
        <f>HYPERLINK("https://ssdweb.co/ssdweb/CERTH/636470034.pdf","CERTI")</f>
        <v>CERTI</v>
      </c>
    </row>
    <row r="2773" spans="1:27" ht="15" x14ac:dyDescent="0.25">
      <c r="A2773" s="2">
        <v>2768</v>
      </c>
      <c r="B2773" s="39">
        <v>926010184</v>
      </c>
      <c r="C2773" s="28" t="str">
        <f>HYPERLINK("https://pld.live/RapDetail.aspx?STONELIST=926010184","DNA")</f>
        <v>DNA</v>
      </c>
      <c r="D2773" s="18" t="s">
        <v>4563</v>
      </c>
      <c r="E2773" s="18" t="s">
        <v>2186</v>
      </c>
      <c r="F2773" s="2" t="s">
        <v>7987</v>
      </c>
      <c r="G2773" s="2" t="s">
        <v>3296</v>
      </c>
      <c r="H2773" s="14">
        <v>3.03</v>
      </c>
      <c r="I2773" s="2" t="s">
        <v>6845</v>
      </c>
      <c r="J2773" s="2" t="s">
        <v>13</v>
      </c>
      <c r="K2773" s="2" t="s">
        <v>1452</v>
      </c>
      <c r="L2773" s="2" t="s">
        <v>6587</v>
      </c>
      <c r="M2773" s="2" t="s">
        <v>5221</v>
      </c>
      <c r="N2773" s="2" t="s">
        <v>2317</v>
      </c>
      <c r="O2773" s="14">
        <v>5700</v>
      </c>
      <c r="P2773" s="14">
        <v>96.32</v>
      </c>
      <c r="Q2773" s="14">
        <v>209.76</v>
      </c>
      <c r="R2773" s="14">
        <v>635.57000000000005</v>
      </c>
      <c r="S2773" s="2" t="s">
        <v>7072</v>
      </c>
      <c r="T2773" s="2">
        <v>1.05</v>
      </c>
      <c r="U2773" s="2">
        <v>64.2</v>
      </c>
      <c r="V2773" s="2">
        <v>64</v>
      </c>
      <c r="W2773" s="2" t="s">
        <v>7862</v>
      </c>
      <c r="X2773" s="2" t="s">
        <v>7670</v>
      </c>
      <c r="Y2773" s="2">
        <v>17271</v>
      </c>
      <c r="Z2773" s="19" t="str">
        <f>HYPERLINK("https://ssdweb.co/ssdweb/hd/Vision360.html?d=926010184&amp;zoomslide=1&amp;z=1926010184&amp;ISCONFIRM=0","VIDEO")</f>
        <v>VIDEO</v>
      </c>
      <c r="AA2773" s="19" t="str">
        <f>HYPERLINK("https://ssdweb.co/ssdweb/CERTH/636470035.pdf","CERTI")</f>
        <v>CERTI</v>
      </c>
    </row>
    <row r="2774" spans="1:27" ht="15" x14ac:dyDescent="0.25">
      <c r="A2774" s="2">
        <v>2769</v>
      </c>
      <c r="B2774" s="39">
        <v>925530117</v>
      </c>
      <c r="C2774" s="28" t="str">
        <f>HYPERLINK("https://pld.live/RapDetail.aspx?STONELIST=925530117","DNA")</f>
        <v>DNA</v>
      </c>
      <c r="D2774" s="18" t="s">
        <v>4563</v>
      </c>
      <c r="E2774" s="18" t="s">
        <v>2186</v>
      </c>
      <c r="F2774" s="2" t="s">
        <v>7987</v>
      </c>
      <c r="G2774" s="2" t="s">
        <v>3296</v>
      </c>
      <c r="H2774" s="14">
        <v>3.02</v>
      </c>
      <c r="I2774" s="2" t="s">
        <v>267</v>
      </c>
      <c r="J2774" s="2" t="s">
        <v>3942</v>
      </c>
      <c r="K2774" s="2" t="s">
        <v>1452</v>
      </c>
      <c r="L2774" s="2" t="s">
        <v>5221</v>
      </c>
      <c r="M2774" s="2" t="s">
        <v>5221</v>
      </c>
      <c r="N2774" s="2" t="s">
        <v>2317</v>
      </c>
      <c r="O2774" s="14">
        <v>32500</v>
      </c>
      <c r="P2774" s="14">
        <v>99.42</v>
      </c>
      <c r="Q2774" s="14">
        <v>188.5</v>
      </c>
      <c r="R2774" s="14">
        <v>569.27</v>
      </c>
      <c r="S2774" s="2" t="s">
        <v>1341</v>
      </c>
      <c r="T2774" s="2">
        <v>1.05</v>
      </c>
      <c r="U2774" s="2">
        <v>68.599999999999994</v>
      </c>
      <c r="V2774" s="2">
        <v>61</v>
      </c>
      <c r="W2774" s="2" t="s">
        <v>7862</v>
      </c>
      <c r="X2774" s="2" t="s">
        <v>7670</v>
      </c>
      <c r="Y2774" s="2">
        <v>98150</v>
      </c>
      <c r="Z2774" s="19" t="str">
        <f>HYPERLINK("https://ssdweb.co/ssdweb/hd/Vision360.html?d=925530117&amp;zoomslide=1&amp;z=1925530117&amp;ISCONFIRM=0","VIDEO")</f>
        <v>VIDEO</v>
      </c>
      <c r="AA2774" s="19" t="str">
        <f>HYPERLINK("https://ssdweb.co/ssdweb/CERTH/617413148.pdf","CERTI")</f>
        <v>CERTI</v>
      </c>
    </row>
    <row r="2775" spans="1:27" ht="15" x14ac:dyDescent="0.25">
      <c r="A2775" s="2">
        <v>2770</v>
      </c>
      <c r="B2775" s="39">
        <v>925510125</v>
      </c>
      <c r="C2775" s="28" t="str">
        <f>HYPERLINK("https://pld.live/RapDetail.aspx?STONELIST=925510125","DNA")</f>
        <v>DNA</v>
      </c>
      <c r="D2775" s="18" t="s">
        <v>4563</v>
      </c>
      <c r="E2775" s="18" t="s">
        <v>2186</v>
      </c>
      <c r="F2775" s="2" t="s">
        <v>7987</v>
      </c>
      <c r="G2775" s="2" t="s">
        <v>3296</v>
      </c>
      <c r="H2775" s="14">
        <v>3.02</v>
      </c>
      <c r="I2775" s="2" t="s">
        <v>267</v>
      </c>
      <c r="J2775" s="2" t="s">
        <v>13</v>
      </c>
      <c r="K2775" s="2" t="s">
        <v>1452</v>
      </c>
      <c r="L2775" s="2" t="s">
        <v>5221</v>
      </c>
      <c r="M2775" s="2" t="s">
        <v>5221</v>
      </c>
      <c r="N2775" s="2" t="s">
        <v>2317</v>
      </c>
      <c r="O2775" s="14">
        <v>30000</v>
      </c>
      <c r="P2775" s="14">
        <v>99.42</v>
      </c>
      <c r="Q2775" s="14">
        <v>174</v>
      </c>
      <c r="R2775" s="14">
        <v>525.48</v>
      </c>
      <c r="S2775" s="2" t="s">
        <v>742</v>
      </c>
      <c r="T2775" s="2">
        <v>1.03</v>
      </c>
      <c r="U2775" s="2">
        <v>63.8</v>
      </c>
      <c r="V2775" s="2">
        <v>59</v>
      </c>
      <c r="W2775" s="2" t="s">
        <v>7862</v>
      </c>
      <c r="X2775" s="2" t="s">
        <v>7670</v>
      </c>
      <c r="Y2775" s="2">
        <v>90600</v>
      </c>
      <c r="Z2775" s="19" t="str">
        <f>HYPERLINK("https://ssdweb.co/ssdweb/hd/Vision360.html?d=925510125&amp;zoomslide=1&amp;z=1925510125&amp;ISCONFIRM=0","VIDEO")</f>
        <v>VIDEO</v>
      </c>
      <c r="AA2775" s="19" t="str">
        <f>HYPERLINK("https://ssdweb.co/ssdweb/CERTH/618455295.pdf","CERTI")</f>
        <v>CERTI</v>
      </c>
    </row>
    <row r="2776" spans="1:27" ht="15" x14ac:dyDescent="0.25">
      <c r="A2776" s="2">
        <v>2771</v>
      </c>
      <c r="B2776" s="39">
        <v>927070574</v>
      </c>
      <c r="C2776" s="28" t="str">
        <f>HYPERLINK("https://pld.live/RapDetail.aspx?STONELIST=927070574","DNA")</f>
        <v>DNA</v>
      </c>
      <c r="D2776" s="18" t="s">
        <v>4563</v>
      </c>
      <c r="E2776" s="18" t="s">
        <v>2186</v>
      </c>
      <c r="F2776" s="2" t="s">
        <v>7987</v>
      </c>
      <c r="G2776" s="2" t="s">
        <v>3296</v>
      </c>
      <c r="H2776" s="14">
        <v>3.02</v>
      </c>
      <c r="I2776" s="2" t="s">
        <v>4761</v>
      </c>
      <c r="J2776" s="2" t="s">
        <v>6555</v>
      </c>
      <c r="K2776" s="2" t="s">
        <v>1452</v>
      </c>
      <c r="L2776" s="2" t="s">
        <v>5221</v>
      </c>
      <c r="M2776" s="2" t="s">
        <v>5221</v>
      </c>
      <c r="N2776" s="2" t="s">
        <v>2317</v>
      </c>
      <c r="O2776" s="14">
        <v>32500</v>
      </c>
      <c r="P2776" s="14">
        <v>98.83</v>
      </c>
      <c r="Q2776" s="14">
        <v>380.25</v>
      </c>
      <c r="R2776" s="14">
        <v>1148.3599999999999</v>
      </c>
      <c r="S2776" s="2" t="s">
        <v>3352</v>
      </c>
      <c r="T2776" s="2">
        <v>1</v>
      </c>
      <c r="U2776" s="2">
        <v>65.5</v>
      </c>
      <c r="V2776" s="2">
        <v>61</v>
      </c>
      <c r="W2776" s="2" t="s">
        <v>7862</v>
      </c>
      <c r="X2776" s="2" t="s">
        <v>7670</v>
      </c>
      <c r="Y2776" s="2">
        <v>98150</v>
      </c>
      <c r="Z2776" s="19" t="str">
        <f>HYPERLINK("https://ssdweb.co/ssdweb/hd/Vision360.html?d=927070574&amp;zoomslide=1&amp;z=1927070574&amp;ISCONFIRM=0","VIDEO")</f>
        <v>VIDEO</v>
      </c>
      <c r="AA2776" s="19" t="str">
        <f>HYPERLINK("https://ssdweb.co/ssdweb/CERTH/662473892.pdf","CERTI")</f>
        <v>CERTI</v>
      </c>
    </row>
    <row r="2777" spans="1:27" ht="15" x14ac:dyDescent="0.25">
      <c r="A2777" s="2">
        <v>2772</v>
      </c>
      <c r="B2777" s="39">
        <v>831010107</v>
      </c>
      <c r="C2777" s="28" t="str">
        <f>HYPERLINK("https://pld.live/RapDetail.aspx?STONELIST=831010107","DNA")</f>
        <v>DNA</v>
      </c>
      <c r="D2777" s="18" t="s">
        <v>4563</v>
      </c>
      <c r="E2777" s="18" t="s">
        <v>5128</v>
      </c>
      <c r="F2777" s="2" t="s">
        <v>7987</v>
      </c>
      <c r="G2777" s="2" t="s">
        <v>3296</v>
      </c>
      <c r="H2777" s="14">
        <v>3.02</v>
      </c>
      <c r="I2777" s="2" t="s">
        <v>4761</v>
      </c>
      <c r="J2777" s="2" t="s">
        <v>444</v>
      </c>
      <c r="K2777" s="2" t="s">
        <v>1452</v>
      </c>
      <c r="L2777" s="2" t="s">
        <v>5221</v>
      </c>
      <c r="M2777" s="2" t="s">
        <v>5221</v>
      </c>
      <c r="N2777" s="2" t="s">
        <v>2317</v>
      </c>
      <c r="O2777" s="14">
        <v>21500</v>
      </c>
      <c r="P2777" s="14">
        <v>99.4</v>
      </c>
      <c r="Q2777" s="14">
        <v>129</v>
      </c>
      <c r="R2777" s="14">
        <v>389.58</v>
      </c>
      <c r="S2777" s="2" t="s">
        <v>3991</v>
      </c>
      <c r="T2777" s="2">
        <v>1.06</v>
      </c>
      <c r="U2777" s="2">
        <v>63.7</v>
      </c>
      <c r="V2777" s="2">
        <v>62</v>
      </c>
      <c r="W2777" s="2" t="s">
        <v>7862</v>
      </c>
      <c r="X2777" s="2" t="s">
        <v>3851</v>
      </c>
      <c r="Y2777" s="2">
        <v>64930</v>
      </c>
      <c r="Z2777" s="19" t="str">
        <f>HYPERLINK("https://ssdweb.co/ssdweb/hd/Vision360.html?d=831010107&amp;zoomslide=1&amp;z=1831010107&amp;ISCONFIRM=0","VIDEO")</f>
        <v>VIDEO</v>
      </c>
      <c r="AA2777" s="19" t="str">
        <f>HYPERLINK("https://ssdweb.co/ssdweb/CERTH/533299487.pdf","CERTI")</f>
        <v>CERTI</v>
      </c>
    </row>
    <row r="2778" spans="1:27" ht="15" x14ac:dyDescent="0.25">
      <c r="A2778" s="2">
        <v>2773</v>
      </c>
      <c r="B2778" s="39">
        <v>927080699</v>
      </c>
      <c r="C2778" s="28" t="str">
        <f>HYPERLINK("https://pld.live/RapDetail.aspx?STONELIST=927080699","DNA")</f>
        <v>DNA</v>
      </c>
      <c r="D2778" s="18" t="s">
        <v>4563</v>
      </c>
      <c r="E2778" s="18" t="s">
        <v>2186</v>
      </c>
      <c r="F2778" s="2" t="s">
        <v>7987</v>
      </c>
      <c r="G2778" s="2" t="s">
        <v>3296</v>
      </c>
      <c r="H2778" s="14">
        <v>3.02</v>
      </c>
      <c r="I2778" s="2" t="s">
        <v>4699</v>
      </c>
      <c r="J2778" s="2" t="s">
        <v>3942</v>
      </c>
      <c r="K2778" s="2" t="s">
        <v>1452</v>
      </c>
      <c r="L2778" s="2" t="s">
        <v>5221</v>
      </c>
      <c r="M2778" s="2" t="s">
        <v>5221</v>
      </c>
      <c r="N2778" s="2" t="s">
        <v>2317</v>
      </c>
      <c r="O2778" s="14">
        <v>27000</v>
      </c>
      <c r="P2778" s="14">
        <v>99.37</v>
      </c>
      <c r="Q2778" s="14">
        <v>170.1</v>
      </c>
      <c r="R2778" s="14">
        <v>513.70000000000005</v>
      </c>
      <c r="S2778" s="2" t="s">
        <v>4945</v>
      </c>
      <c r="T2778" s="2">
        <v>1</v>
      </c>
      <c r="U2778" s="2">
        <v>66.3</v>
      </c>
      <c r="V2778" s="2">
        <v>59</v>
      </c>
      <c r="W2778" s="2" t="s">
        <v>7862</v>
      </c>
      <c r="X2778" s="2" t="s">
        <v>7670</v>
      </c>
      <c r="Y2778" s="2">
        <v>81540</v>
      </c>
      <c r="Z2778" s="19" t="str">
        <f>HYPERLINK("https://ssdweb.co/ssdweb/hd/Vision360.html?d=927080699&amp;zoomslide=1&amp;z=1927080699&amp;ISCONFIRM=0","VIDEO")</f>
        <v>VIDEO</v>
      </c>
      <c r="AA2778" s="19" t="str">
        <f>HYPERLINK("https://ssdweb.co/ssdweb/CERTH/662473923.pdf","CERTI")</f>
        <v>CERTI</v>
      </c>
    </row>
    <row r="2779" spans="1:27" ht="15" x14ac:dyDescent="0.25">
      <c r="A2779" s="2">
        <v>2774</v>
      </c>
      <c r="B2779" s="39">
        <v>923980470</v>
      </c>
      <c r="C2779" s="28" t="str">
        <f>HYPERLINK("https://pld.live/RapDetail.aspx?STONELIST=923980470","DNA")</f>
        <v>DNA</v>
      </c>
      <c r="D2779" s="18" t="s">
        <v>4563</v>
      </c>
      <c r="E2779" s="18" t="s">
        <v>2186</v>
      </c>
      <c r="F2779" s="2" t="s">
        <v>7987</v>
      </c>
      <c r="G2779" s="2" t="s">
        <v>3296</v>
      </c>
      <c r="H2779" s="14">
        <v>3.02</v>
      </c>
      <c r="I2779" s="2" t="s">
        <v>1505</v>
      </c>
      <c r="J2779" s="2" t="s">
        <v>13</v>
      </c>
      <c r="K2779" s="2" t="s">
        <v>1452</v>
      </c>
      <c r="L2779" s="2" t="s">
        <v>5221</v>
      </c>
      <c r="M2779" s="2" t="s">
        <v>5221</v>
      </c>
      <c r="N2779" s="2" t="s">
        <v>2317</v>
      </c>
      <c r="O2779" s="14">
        <v>19500</v>
      </c>
      <c r="P2779" s="14">
        <v>99.39</v>
      </c>
      <c r="Q2779" s="14">
        <v>118.95</v>
      </c>
      <c r="R2779" s="14">
        <v>359.23</v>
      </c>
      <c r="S2779" s="2" t="s">
        <v>7448</v>
      </c>
      <c r="T2779" s="2">
        <v>1.07</v>
      </c>
      <c r="U2779" s="2">
        <v>63.3</v>
      </c>
      <c r="V2779" s="2">
        <v>62.5</v>
      </c>
      <c r="W2779" s="2" t="s">
        <v>8016</v>
      </c>
      <c r="X2779" s="2" t="s">
        <v>3851</v>
      </c>
      <c r="Y2779" s="2">
        <v>58890</v>
      </c>
      <c r="Z2779" s="19" t="str">
        <f>HYPERLINK("https://ssdweb.co/ssdweb/hd/Vision360.html?d=923980470&amp;zoomslide=1&amp;z=1923980470&amp;ISCONFIRM=0","VIDEO")</f>
        <v>VIDEO</v>
      </c>
      <c r="AA2779" s="19" t="str">
        <f>HYPERLINK("https://ssdweb.co/ssdweb/CERTH/574343368.pdf","CERTI")</f>
        <v>CERTI</v>
      </c>
    </row>
    <row r="2780" spans="1:27" ht="15" x14ac:dyDescent="0.25">
      <c r="A2780" s="2">
        <v>2775</v>
      </c>
      <c r="B2780" s="39">
        <v>925010042</v>
      </c>
      <c r="C2780" s="28" t="str">
        <f>HYPERLINK("https://pld.live/RapDetail.aspx?STONELIST=925010042","DNA")</f>
        <v>DNA</v>
      </c>
      <c r="D2780" s="18" t="s">
        <v>4563</v>
      </c>
      <c r="E2780" s="18" t="s">
        <v>2186</v>
      </c>
      <c r="F2780" s="2" t="s">
        <v>7987</v>
      </c>
      <c r="G2780" s="2" t="s">
        <v>3296</v>
      </c>
      <c r="H2780" s="14">
        <v>3.01</v>
      </c>
      <c r="I2780" s="2" t="s">
        <v>4761</v>
      </c>
      <c r="J2780" s="2" t="s">
        <v>3942</v>
      </c>
      <c r="K2780" s="2" t="s">
        <v>1452</v>
      </c>
      <c r="L2780" s="2" t="s">
        <v>5221</v>
      </c>
      <c r="M2780" s="2" t="s">
        <v>5221</v>
      </c>
      <c r="N2780" s="2" t="s">
        <v>2317</v>
      </c>
      <c r="O2780" s="14">
        <v>29500</v>
      </c>
      <c r="P2780" s="14">
        <v>99.42</v>
      </c>
      <c r="Q2780" s="14">
        <v>171.1</v>
      </c>
      <c r="R2780" s="14">
        <v>515.01</v>
      </c>
      <c r="S2780" s="2" t="s">
        <v>1697</v>
      </c>
      <c r="T2780" s="2">
        <v>1.04</v>
      </c>
      <c r="U2780" s="2">
        <v>66.7</v>
      </c>
      <c r="V2780" s="2">
        <v>61</v>
      </c>
      <c r="W2780" s="2" t="s">
        <v>7862</v>
      </c>
      <c r="X2780" s="2" t="s">
        <v>7670</v>
      </c>
      <c r="Y2780" s="2">
        <v>88795</v>
      </c>
      <c r="Z2780" s="19" t="str">
        <f>HYPERLINK("https://ssdweb.co/ssdweb/hd/Vision360.html?d=925010042&amp;zoomslide=1&amp;z=1925010042&amp;ISCONFIRM=0","VIDEO")</f>
        <v>VIDEO</v>
      </c>
      <c r="AA2780" s="19" t="str">
        <f>HYPERLINK("https://ssdweb.co/ssdweb/CERTH/605346347.pdf","CERTI")</f>
        <v>CERTI</v>
      </c>
    </row>
    <row r="2781" spans="1:27" ht="15" x14ac:dyDescent="0.25">
      <c r="A2781" s="2">
        <v>2776</v>
      </c>
      <c r="B2781" s="39">
        <v>927000604</v>
      </c>
      <c r="C2781" s="28" t="str">
        <f>HYPERLINK("https://pld.live/RapDetail.aspx?STONELIST=927000604","DNA")</f>
        <v>DNA</v>
      </c>
      <c r="D2781" s="18" t="s">
        <v>4563</v>
      </c>
      <c r="E2781" s="18" t="s">
        <v>2186</v>
      </c>
      <c r="F2781" s="2" t="s">
        <v>7987</v>
      </c>
      <c r="G2781" s="2" t="s">
        <v>3296</v>
      </c>
      <c r="H2781" s="14">
        <v>3.01</v>
      </c>
      <c r="I2781" s="2" t="s">
        <v>4761</v>
      </c>
      <c r="J2781" s="2" t="s">
        <v>3942</v>
      </c>
      <c r="K2781" s="2" t="s">
        <v>1452</v>
      </c>
      <c r="L2781" s="2" t="s">
        <v>5221</v>
      </c>
      <c r="M2781" s="2" t="s">
        <v>5221</v>
      </c>
      <c r="N2781" s="2" t="s">
        <v>2317</v>
      </c>
      <c r="O2781" s="14">
        <v>29500</v>
      </c>
      <c r="P2781" s="14">
        <v>99.41</v>
      </c>
      <c r="Q2781" s="14">
        <v>174.05</v>
      </c>
      <c r="R2781" s="14">
        <v>523.89</v>
      </c>
      <c r="S2781" s="2" t="s">
        <v>80</v>
      </c>
      <c r="T2781" s="2">
        <v>1.01</v>
      </c>
      <c r="U2781" s="2">
        <v>64.400000000000006</v>
      </c>
      <c r="V2781" s="2">
        <v>59</v>
      </c>
      <c r="W2781" s="2" t="s">
        <v>7862</v>
      </c>
      <c r="X2781" s="2" t="s">
        <v>7670</v>
      </c>
      <c r="Y2781" s="2">
        <v>88795</v>
      </c>
      <c r="Z2781" s="19" t="str">
        <f>HYPERLINK("https://ssdweb.co/ssdweb/hd/Vision360.html?d=927000604&amp;zoomslide=1&amp;z=1927000604&amp;ISCONFIRM=0","VIDEO")</f>
        <v>VIDEO</v>
      </c>
      <c r="AA2781" s="19" t="str">
        <f>HYPERLINK("https://ssdweb.co/ssdweb/CERTH/665453223.pdf","CERTI")</f>
        <v>CERTI</v>
      </c>
    </row>
    <row r="2782" spans="1:27" ht="15" x14ac:dyDescent="0.25">
      <c r="A2782" s="2">
        <v>2777</v>
      </c>
      <c r="B2782" s="39">
        <v>831020557</v>
      </c>
      <c r="C2782" s="28" t="str">
        <f>HYPERLINK("https://pld.live/RapDetail.aspx?STONELIST=831020557","DNA")</f>
        <v>DNA</v>
      </c>
      <c r="D2782" s="18" t="s">
        <v>4563</v>
      </c>
      <c r="E2782" s="18" t="s">
        <v>2186</v>
      </c>
      <c r="F2782" s="2" t="s">
        <v>5597</v>
      </c>
      <c r="G2782" s="2" t="s">
        <v>3296</v>
      </c>
      <c r="H2782" s="14">
        <v>3.01</v>
      </c>
      <c r="I2782" s="2" t="s">
        <v>6587</v>
      </c>
      <c r="J2782" s="2" t="s">
        <v>13</v>
      </c>
      <c r="K2782" s="2" t="s">
        <v>1452</v>
      </c>
      <c r="L2782" s="2" t="s">
        <v>5221</v>
      </c>
      <c r="M2782" s="2" t="s">
        <v>5221</v>
      </c>
      <c r="N2782" s="2" t="s">
        <v>2317</v>
      </c>
      <c r="O2782" s="14">
        <v>22500</v>
      </c>
      <c r="P2782" s="14">
        <v>98.84</v>
      </c>
      <c r="Q2782" s="14">
        <v>261</v>
      </c>
      <c r="R2782" s="14">
        <v>785.61</v>
      </c>
      <c r="S2782" s="2" t="s">
        <v>4481</v>
      </c>
      <c r="T2782" s="2">
        <v>1.07</v>
      </c>
      <c r="U2782" s="2">
        <v>64.8</v>
      </c>
      <c r="V2782" s="2">
        <v>58</v>
      </c>
      <c r="W2782" s="2" t="s">
        <v>7862</v>
      </c>
      <c r="X2782" s="2" t="s">
        <v>7053</v>
      </c>
      <c r="Y2782" s="2">
        <v>67725</v>
      </c>
      <c r="Z2782" s="19" t="str">
        <f>HYPERLINK("https://ssdweb.co/ssdweb/hd/Vision360.html?d=831020557&amp;zoomslide=1&amp;z=1831020557&amp;ISCONFIRM=0","VIDEO")</f>
        <v>VIDEO</v>
      </c>
      <c r="AA2782" s="19" t="str">
        <f>HYPERLINK("https://ssdweb.co/ssdweb/CERTH/5453553080.pdf","CERTI")</f>
        <v>CERTI</v>
      </c>
    </row>
    <row r="2783" spans="1:27" ht="15" x14ac:dyDescent="0.25">
      <c r="A2783" s="2">
        <v>2778</v>
      </c>
      <c r="B2783" s="39">
        <v>925502236</v>
      </c>
      <c r="C2783" s="28" t="str">
        <f>HYPERLINK("https://pld.live/RapDetail.aspx?STONELIST=925502236","DNA")</f>
        <v>DNA</v>
      </c>
      <c r="D2783" s="18" t="s">
        <v>4563</v>
      </c>
      <c r="E2783" s="18" t="s">
        <v>5128</v>
      </c>
      <c r="F2783" s="2" t="s">
        <v>7987</v>
      </c>
      <c r="G2783" s="2" t="s">
        <v>3296</v>
      </c>
      <c r="H2783" s="14">
        <v>3.01</v>
      </c>
      <c r="I2783" s="2" t="s">
        <v>1505</v>
      </c>
      <c r="J2783" s="2" t="s">
        <v>3942</v>
      </c>
      <c r="K2783" s="2" t="s">
        <v>1452</v>
      </c>
      <c r="L2783" s="2" t="s">
        <v>5221</v>
      </c>
      <c r="M2783" s="2" t="s">
        <v>5221</v>
      </c>
      <c r="N2783" s="2" t="s">
        <v>2317</v>
      </c>
      <c r="O2783" s="14">
        <v>21000</v>
      </c>
      <c r="P2783" s="14">
        <v>99.43</v>
      </c>
      <c r="Q2783" s="14">
        <v>119.7</v>
      </c>
      <c r="R2783" s="14">
        <v>360.3</v>
      </c>
      <c r="S2783" s="2" t="s">
        <v>2311</v>
      </c>
      <c r="T2783" s="2">
        <v>1</v>
      </c>
      <c r="U2783" s="2">
        <v>67.3</v>
      </c>
      <c r="V2783" s="2">
        <v>62</v>
      </c>
      <c r="W2783" s="2" t="s">
        <v>6297</v>
      </c>
      <c r="X2783" s="2" t="s">
        <v>7670</v>
      </c>
      <c r="Y2783" s="2">
        <v>63210</v>
      </c>
      <c r="Z2783" s="19" t="str">
        <f>HYPERLINK("https://ssdweb.co/ssdweb/hd/Vision360.html?d=925502236&amp;zoomslide=1&amp;z=1925502236&amp;ISCONFIRM=0","VIDEO")</f>
        <v>VIDEO</v>
      </c>
      <c r="AA2783" s="19" t="str">
        <f>HYPERLINK("https://ssdweb.co/ssdweb/CERTH/617424659.pdf","CERTI")</f>
        <v>CERTI</v>
      </c>
    </row>
    <row r="2784" spans="1:27" ht="15" x14ac:dyDescent="0.25">
      <c r="A2784" s="2">
        <v>2779</v>
      </c>
      <c r="B2784" s="39">
        <v>831010515</v>
      </c>
      <c r="C2784" s="28" t="str">
        <f>HYPERLINK("https://pld.live/RapDetail.aspx?STONELIST=831010515","DNA")</f>
        <v>DNA</v>
      </c>
      <c r="D2784" s="18" t="s">
        <v>4563</v>
      </c>
      <c r="E2784" s="18" t="s">
        <v>5128</v>
      </c>
      <c r="F2784" s="2" t="s">
        <v>7987</v>
      </c>
      <c r="G2784" s="2" t="s">
        <v>3296</v>
      </c>
      <c r="H2784" s="14">
        <v>3</v>
      </c>
      <c r="I2784" s="2" t="s">
        <v>4699</v>
      </c>
      <c r="J2784" s="2" t="s">
        <v>5144</v>
      </c>
      <c r="K2784" s="2" t="s">
        <v>1452</v>
      </c>
      <c r="L2784" s="2" t="s">
        <v>5221</v>
      </c>
      <c r="M2784" s="2" t="s">
        <v>5221</v>
      </c>
      <c r="N2784" s="2" t="s">
        <v>2317</v>
      </c>
      <c r="O2784" s="14">
        <v>22500</v>
      </c>
      <c r="P2784" s="14">
        <v>99.41</v>
      </c>
      <c r="Q2784" s="14">
        <v>132.75</v>
      </c>
      <c r="R2784" s="14">
        <v>398.25</v>
      </c>
      <c r="S2784" s="2" t="s">
        <v>6657</v>
      </c>
      <c r="T2784" s="2">
        <v>1.03</v>
      </c>
      <c r="U2784" s="2">
        <v>66.7</v>
      </c>
      <c r="V2784" s="2">
        <v>62</v>
      </c>
      <c r="W2784" s="2" t="s">
        <v>4336</v>
      </c>
      <c r="X2784" s="2" t="s">
        <v>7670</v>
      </c>
      <c r="Y2784" s="2">
        <v>67500</v>
      </c>
      <c r="Z2784" s="19" t="str">
        <f>HYPERLINK("https://ssdweb.co/ssdweb/hd/Vision360.html?d=831010515&amp;zoomslide=1&amp;z=1831010515&amp;ISCONFIRM=0","VIDEO")</f>
        <v>VIDEO</v>
      </c>
      <c r="AA2784" s="19" t="str">
        <f>HYPERLINK("https://ssdweb.co/ssdweb/CERTH/618455304.pdf","CERTI")</f>
        <v>CERTI</v>
      </c>
    </row>
    <row r="2785" spans="1:27" ht="15" x14ac:dyDescent="0.25">
      <c r="A2785" s="2">
        <v>2780</v>
      </c>
      <c r="B2785" s="39">
        <v>924950443</v>
      </c>
      <c r="C2785" s="28" t="str">
        <f>HYPERLINK("https://pld.live/RapDetail.aspx?STONELIST=924950443","DNA")</f>
        <v>DNA</v>
      </c>
      <c r="D2785" s="18" t="s">
        <v>4563</v>
      </c>
      <c r="E2785" s="18" t="s">
        <v>2186</v>
      </c>
      <c r="F2785" s="2" t="s">
        <v>7987</v>
      </c>
      <c r="G2785" s="2" t="s">
        <v>3296</v>
      </c>
      <c r="H2785" s="14">
        <v>3</v>
      </c>
      <c r="I2785" s="2" t="s">
        <v>1505</v>
      </c>
      <c r="J2785" s="2" t="s">
        <v>5144</v>
      </c>
      <c r="K2785" s="2" t="s">
        <v>1452</v>
      </c>
      <c r="L2785" s="2" t="s">
        <v>5221</v>
      </c>
      <c r="M2785" s="2" t="s">
        <v>5221</v>
      </c>
      <c r="N2785" s="2" t="s">
        <v>2317</v>
      </c>
      <c r="O2785" s="14">
        <v>18000</v>
      </c>
      <c r="P2785" s="14">
        <v>99.37</v>
      </c>
      <c r="Q2785" s="14">
        <v>113.4</v>
      </c>
      <c r="R2785" s="14">
        <v>340.2</v>
      </c>
      <c r="S2785" s="2" t="s">
        <v>2672</v>
      </c>
      <c r="T2785" s="2">
        <v>1.05</v>
      </c>
      <c r="U2785" s="2">
        <v>62.2</v>
      </c>
      <c r="V2785" s="2">
        <v>63</v>
      </c>
      <c r="W2785" s="2" t="s">
        <v>8016</v>
      </c>
      <c r="X2785" s="2" t="s">
        <v>7670</v>
      </c>
      <c r="Y2785" s="2">
        <v>54000</v>
      </c>
      <c r="Z2785" s="19" t="str">
        <f>HYPERLINK("https://ssdweb.co/ssdweb/hd/Vision360.html?d=924950443&amp;zoomslide=1&amp;z=1924950443&amp;ISCONFIRM=0","VIDEO")</f>
        <v>VIDEO</v>
      </c>
      <c r="AA2785" s="19" t="str">
        <f>HYPERLINK("https://ssdweb.co/ssdweb/CERTH/606330012.pdf","CERTI")</f>
        <v>CERTI</v>
      </c>
    </row>
    <row r="2786" spans="1:27" ht="15" x14ac:dyDescent="0.25">
      <c r="A2786" s="2">
        <v>2781</v>
      </c>
      <c r="B2786" s="39">
        <v>923510635</v>
      </c>
      <c r="C2786" s="28" t="str">
        <f>HYPERLINK("https://pld.live/RapDetail.aspx?STONELIST=923510635","DNA")</f>
        <v>DNA</v>
      </c>
      <c r="D2786" s="18" t="s">
        <v>4563</v>
      </c>
      <c r="E2786" s="18" t="s">
        <v>2186</v>
      </c>
      <c r="F2786" s="2" t="s">
        <v>5597</v>
      </c>
      <c r="G2786" s="2" t="s">
        <v>3296</v>
      </c>
      <c r="H2786" s="14">
        <v>3</v>
      </c>
      <c r="I2786" s="2" t="s">
        <v>3722</v>
      </c>
      <c r="J2786" s="2" t="s">
        <v>13</v>
      </c>
      <c r="K2786" s="2" t="s">
        <v>1452</v>
      </c>
      <c r="L2786" s="2" t="s">
        <v>5221</v>
      </c>
      <c r="M2786" s="2" t="s">
        <v>5221</v>
      </c>
      <c r="N2786" s="2" t="s">
        <v>2317</v>
      </c>
      <c r="O2786" s="14">
        <v>16500</v>
      </c>
      <c r="P2786" s="14">
        <v>98.7</v>
      </c>
      <c r="Q2786" s="14">
        <v>214.5</v>
      </c>
      <c r="R2786" s="14">
        <v>643.5</v>
      </c>
      <c r="S2786" s="2" t="s">
        <v>3424</v>
      </c>
      <c r="T2786" s="2">
        <v>1.05</v>
      </c>
      <c r="U2786" s="2">
        <v>62.1</v>
      </c>
      <c r="V2786" s="2">
        <v>65</v>
      </c>
      <c r="W2786" s="2" t="s">
        <v>7862</v>
      </c>
      <c r="X2786" s="2" t="s">
        <v>7053</v>
      </c>
      <c r="Y2786" s="2">
        <v>49500</v>
      </c>
      <c r="Z2786" s="19" t="str">
        <f>HYPERLINK("https://ssdweb.co/ssdweb/hd/Vision360.html?d=923510635&amp;zoomslide=1&amp;z=1923510635&amp;ISCONFIRM=0","VIDEO")</f>
        <v>VIDEO</v>
      </c>
      <c r="AA2786" s="19" t="str">
        <f>HYPERLINK("https://ssdweb.co/ssdweb/CERTH/7456208368.pdf","CERTI")</f>
        <v>CERTI</v>
      </c>
    </row>
    <row r="2787" spans="1:27" ht="15" x14ac:dyDescent="0.25">
      <c r="A2787" s="2">
        <v>2782</v>
      </c>
      <c r="B2787" s="39">
        <v>925510138</v>
      </c>
      <c r="C2787" s="28" t="str">
        <f>HYPERLINK("https://pld.live/RapDetail.aspx?STONELIST=925510138","DNA")</f>
        <v>DNA</v>
      </c>
      <c r="D2787" s="18" t="s">
        <v>2694</v>
      </c>
      <c r="E2787" s="18" t="s">
        <v>2186</v>
      </c>
      <c r="F2787" s="2" t="s">
        <v>7987</v>
      </c>
      <c r="G2787" s="2" t="s">
        <v>3296</v>
      </c>
      <c r="H2787" s="14">
        <v>2.96</v>
      </c>
      <c r="I2787" s="2" t="s">
        <v>4761</v>
      </c>
      <c r="J2787" s="2" t="s">
        <v>5144</v>
      </c>
      <c r="K2787" s="2" t="s">
        <v>1452</v>
      </c>
      <c r="L2787" s="2" t="s">
        <v>5221</v>
      </c>
      <c r="M2787" s="2" t="s">
        <v>5221</v>
      </c>
      <c r="N2787" s="2" t="s">
        <v>2317</v>
      </c>
      <c r="O2787" s="14">
        <v>15000</v>
      </c>
      <c r="P2787" s="14">
        <v>99.13</v>
      </c>
      <c r="Q2787" s="14">
        <v>130.5</v>
      </c>
      <c r="R2787" s="14">
        <v>386.28</v>
      </c>
      <c r="S2787" s="2" t="s">
        <v>3085</v>
      </c>
      <c r="T2787" s="2">
        <v>1.05</v>
      </c>
      <c r="U2787" s="2">
        <v>65.599999999999994</v>
      </c>
      <c r="V2787" s="2">
        <v>64</v>
      </c>
      <c r="W2787" s="2" t="s">
        <v>7862</v>
      </c>
      <c r="X2787" s="2" t="s">
        <v>7670</v>
      </c>
      <c r="Y2787" s="2">
        <v>44400</v>
      </c>
      <c r="Z2787" s="19" t="str">
        <f>HYPERLINK("https://ssdweb.co/ssdweb/hd/Vision360.html?d=925510138&amp;zoomslide=1&amp;z=1925510138&amp;ISCONFIRM=0","VIDEO")</f>
        <v>VIDEO</v>
      </c>
      <c r="AA2787" s="19" t="str">
        <f>HYPERLINK("https://ssdweb.co/ssdweb/CERTH/618480890.pdf","CERTI")</f>
        <v>CERTI</v>
      </c>
    </row>
    <row r="2788" spans="1:27" ht="15" x14ac:dyDescent="0.25">
      <c r="A2788" s="2">
        <v>2783</v>
      </c>
      <c r="B2788" s="39">
        <v>924660014</v>
      </c>
      <c r="C2788" s="28" t="str">
        <f>HYPERLINK("https://pld.live/RapDetail.aspx?STONELIST=924660014","DNA")</f>
        <v>DNA</v>
      </c>
      <c r="D2788" s="18" t="s">
        <v>2694</v>
      </c>
      <c r="E2788" s="18" t="s">
        <v>5128</v>
      </c>
      <c r="F2788" s="2" t="s">
        <v>7987</v>
      </c>
      <c r="G2788" s="2" t="s">
        <v>3296</v>
      </c>
      <c r="H2788" s="14">
        <v>2.95</v>
      </c>
      <c r="I2788" s="2" t="s">
        <v>6587</v>
      </c>
      <c r="J2788" s="2" t="s">
        <v>13</v>
      </c>
      <c r="K2788" s="2" t="s">
        <v>1452</v>
      </c>
      <c r="L2788" s="2" t="s">
        <v>5221</v>
      </c>
      <c r="M2788" s="2" t="s">
        <v>5221</v>
      </c>
      <c r="N2788" s="2" t="s">
        <v>2317</v>
      </c>
      <c r="O2788" s="14">
        <v>14000</v>
      </c>
      <c r="P2788" s="14">
        <v>99.14</v>
      </c>
      <c r="Q2788" s="14">
        <v>120.4</v>
      </c>
      <c r="R2788" s="14">
        <v>355.18</v>
      </c>
      <c r="S2788" s="2" t="s">
        <v>3315</v>
      </c>
      <c r="T2788" s="2">
        <v>1.05</v>
      </c>
      <c r="U2788" s="2">
        <v>60.1</v>
      </c>
      <c r="V2788" s="2">
        <v>66</v>
      </c>
      <c r="W2788" s="2" t="s">
        <v>7862</v>
      </c>
      <c r="X2788" s="2" t="s">
        <v>7670</v>
      </c>
      <c r="Y2788" s="2">
        <v>41300</v>
      </c>
      <c r="Z2788" s="19" t="str">
        <f>HYPERLINK("https://ssdweb.co/ssdweb/hd/Vision360.html?d=924660014&amp;zoomslide=1&amp;z=1924660014&amp;ISCONFIRM=0","VIDEO")</f>
        <v>VIDEO</v>
      </c>
      <c r="AA2788" s="19" t="str">
        <f>HYPERLINK("https://ssdweb.co/ssdweb/CERTH/596332080.pdf","CERTI")</f>
        <v>CERTI</v>
      </c>
    </row>
    <row r="2789" spans="1:27" ht="15" x14ac:dyDescent="0.25">
      <c r="A2789" s="2">
        <v>2784</v>
      </c>
      <c r="B2789" s="39">
        <v>925542773</v>
      </c>
      <c r="C2789" s="28" t="str">
        <f>HYPERLINK("https://pld.live/RapDetail.aspx?STONELIST=925542773","DNA")</f>
        <v>DNA</v>
      </c>
      <c r="D2789" s="18" t="s">
        <v>2694</v>
      </c>
      <c r="E2789" s="18" t="s">
        <v>5128</v>
      </c>
      <c r="F2789" s="2" t="s">
        <v>7987</v>
      </c>
      <c r="G2789" s="2" t="s">
        <v>3296</v>
      </c>
      <c r="H2789" s="14">
        <v>2.95</v>
      </c>
      <c r="I2789" s="2" t="s">
        <v>6587</v>
      </c>
      <c r="J2789" s="2" t="s">
        <v>13</v>
      </c>
      <c r="K2789" s="2" t="s">
        <v>1452</v>
      </c>
      <c r="L2789" s="2" t="s">
        <v>5221</v>
      </c>
      <c r="M2789" s="2" t="s">
        <v>5221</v>
      </c>
      <c r="N2789" s="2" t="s">
        <v>2317</v>
      </c>
      <c r="O2789" s="14">
        <v>14000</v>
      </c>
      <c r="P2789" s="14">
        <v>99.16</v>
      </c>
      <c r="Q2789" s="14">
        <v>117.6</v>
      </c>
      <c r="R2789" s="14">
        <v>346.92</v>
      </c>
      <c r="S2789" s="2" t="s">
        <v>650</v>
      </c>
      <c r="T2789" s="2">
        <v>1.05</v>
      </c>
      <c r="U2789" s="2">
        <v>64.8</v>
      </c>
      <c r="V2789" s="2">
        <v>64</v>
      </c>
      <c r="W2789" s="2" t="s">
        <v>4336</v>
      </c>
      <c r="X2789" s="2" t="s">
        <v>7670</v>
      </c>
      <c r="Y2789" s="2">
        <v>41300</v>
      </c>
      <c r="Z2789" s="19" t="str">
        <f>HYPERLINK("https://ssdweb.co/ssdweb/hd/Vision360.html?d=925542773&amp;zoomslide=1&amp;z=1925542773&amp;ISCONFIRM=0","VIDEO")</f>
        <v>VIDEO</v>
      </c>
      <c r="AA2789" s="19" t="str">
        <f>HYPERLINK("https://ssdweb.co/ssdweb/CERTH/623493248.pdf","CERTI")</f>
        <v>CERTI</v>
      </c>
    </row>
    <row r="2790" spans="1:27" ht="15" x14ac:dyDescent="0.25">
      <c r="A2790" s="2">
        <v>2785</v>
      </c>
      <c r="B2790" s="39">
        <v>925500199</v>
      </c>
      <c r="C2790" s="28" t="str">
        <f>HYPERLINK("https://pld.live/RapDetail.aspx?STONELIST=925500199","DNA")</f>
        <v>DNA</v>
      </c>
      <c r="D2790" s="18" t="s">
        <v>2694</v>
      </c>
      <c r="E2790" s="18" t="s">
        <v>5128</v>
      </c>
      <c r="F2790" s="2" t="s">
        <v>7987</v>
      </c>
      <c r="G2790" s="2" t="s">
        <v>3296</v>
      </c>
      <c r="H2790" s="14">
        <v>2.95</v>
      </c>
      <c r="I2790" s="2" t="s">
        <v>6587</v>
      </c>
      <c r="J2790" s="2" t="s">
        <v>5144</v>
      </c>
      <c r="K2790" s="2" t="s">
        <v>1452</v>
      </c>
      <c r="L2790" s="2" t="s">
        <v>5221</v>
      </c>
      <c r="M2790" s="2" t="s">
        <v>5221</v>
      </c>
      <c r="N2790" s="2" t="s">
        <v>2317</v>
      </c>
      <c r="O2790" s="14">
        <v>13000</v>
      </c>
      <c r="P2790" s="14">
        <v>99.12</v>
      </c>
      <c r="Q2790" s="14">
        <v>114.4</v>
      </c>
      <c r="R2790" s="14">
        <v>337.48</v>
      </c>
      <c r="S2790" s="2" t="s">
        <v>2605</v>
      </c>
      <c r="T2790" s="2">
        <v>1.04</v>
      </c>
      <c r="U2790" s="2">
        <v>68.2</v>
      </c>
      <c r="V2790" s="2">
        <v>62</v>
      </c>
      <c r="W2790" s="2" t="s">
        <v>7862</v>
      </c>
      <c r="X2790" s="2" t="s">
        <v>7670</v>
      </c>
      <c r="Y2790" s="2">
        <v>38350</v>
      </c>
      <c r="Z2790" s="19" t="str">
        <f>HYPERLINK("https://ssdweb.co/ssdweb/hd/Vision360.html?d=925500199&amp;zoomslide=1&amp;z=1925500199&amp;ISCONFIRM=0","VIDEO")</f>
        <v>VIDEO</v>
      </c>
      <c r="AA2790" s="19" t="str">
        <f>HYPERLINK("https://ssdweb.co/ssdweb/CERTH/616491963.pdf","CERTI")</f>
        <v>CERTI</v>
      </c>
    </row>
    <row r="2791" spans="1:27" ht="15" x14ac:dyDescent="0.25">
      <c r="A2791" s="2">
        <v>2786</v>
      </c>
      <c r="B2791" s="39">
        <v>925920085</v>
      </c>
      <c r="C2791" s="28" t="str">
        <f>HYPERLINK("https://pld.live/RapDetail.aspx?STONELIST=925920085","DNA")</f>
        <v>DNA</v>
      </c>
      <c r="D2791" s="18" t="s">
        <v>2694</v>
      </c>
      <c r="E2791" s="18" t="s">
        <v>5128</v>
      </c>
      <c r="F2791" s="2" t="s">
        <v>7987</v>
      </c>
      <c r="G2791" s="2" t="s">
        <v>3296</v>
      </c>
      <c r="H2791" s="14">
        <v>2.89</v>
      </c>
      <c r="I2791" s="2" t="s">
        <v>4699</v>
      </c>
      <c r="J2791" s="2" t="s">
        <v>6555</v>
      </c>
      <c r="K2791" s="2" t="s">
        <v>1452</v>
      </c>
      <c r="L2791" s="2" t="s">
        <v>5221</v>
      </c>
      <c r="M2791" s="2" t="s">
        <v>5221</v>
      </c>
      <c r="N2791" s="2" t="s">
        <v>2317</v>
      </c>
      <c r="O2791" s="14">
        <v>17000</v>
      </c>
      <c r="P2791" s="14">
        <v>98.45</v>
      </c>
      <c r="Q2791" s="14">
        <v>263.5</v>
      </c>
      <c r="R2791" s="14">
        <v>761.52</v>
      </c>
      <c r="S2791" s="2" t="s">
        <v>7082</v>
      </c>
      <c r="T2791" s="2">
        <v>1.01</v>
      </c>
      <c r="U2791" s="2">
        <v>64.3</v>
      </c>
      <c r="V2791" s="2">
        <v>60</v>
      </c>
      <c r="W2791" s="2" t="s">
        <v>4336</v>
      </c>
      <c r="X2791" s="2" t="s">
        <v>7670</v>
      </c>
      <c r="Y2791" s="2">
        <v>49130</v>
      </c>
      <c r="Z2791" s="19" t="str">
        <f>HYPERLINK("https://ssdweb.co/ssdweb/hd/Vision360.html?d=925920085&amp;zoomslide=1&amp;z=1925920085&amp;ISCONFIRM=0","VIDEO")</f>
        <v>VIDEO</v>
      </c>
      <c r="AA2791" s="19" t="str">
        <f>HYPERLINK("https://ssdweb.co/ssdweb/CERTH/626427496.pdf","CERTI")</f>
        <v>CERTI</v>
      </c>
    </row>
    <row r="2792" spans="1:27" ht="15" x14ac:dyDescent="0.25">
      <c r="A2792" s="2">
        <v>2787</v>
      </c>
      <c r="B2792" s="39">
        <v>926150042</v>
      </c>
      <c r="C2792" s="28" t="str">
        <f>HYPERLINK("https://pld.live/RapDetail.aspx?STONELIST=926150042","DNA")</f>
        <v>DNA</v>
      </c>
      <c r="D2792" s="18" t="s">
        <v>2694</v>
      </c>
      <c r="E2792" s="18" t="s">
        <v>2186</v>
      </c>
      <c r="F2792" s="2" t="s">
        <v>7987</v>
      </c>
      <c r="G2792" s="2" t="s">
        <v>3296</v>
      </c>
      <c r="H2792" s="14">
        <v>2.79</v>
      </c>
      <c r="I2792" s="2" t="s">
        <v>6587</v>
      </c>
      <c r="J2792" s="2" t="s">
        <v>3942</v>
      </c>
      <c r="K2792" s="2" t="s">
        <v>1452</v>
      </c>
      <c r="L2792" s="2" t="s">
        <v>5221</v>
      </c>
      <c r="M2792" s="2" t="s">
        <v>5221</v>
      </c>
      <c r="N2792" s="2" t="s">
        <v>2317</v>
      </c>
      <c r="O2792" s="14">
        <v>15000</v>
      </c>
      <c r="P2792" s="14">
        <v>99.16</v>
      </c>
      <c r="Q2792" s="14">
        <v>126</v>
      </c>
      <c r="R2792" s="14">
        <v>351.54</v>
      </c>
      <c r="S2792" s="2" t="s">
        <v>2160</v>
      </c>
      <c r="T2792" s="2">
        <v>1.05</v>
      </c>
      <c r="U2792" s="2">
        <v>65.8</v>
      </c>
      <c r="V2792" s="2">
        <v>61</v>
      </c>
      <c r="W2792" s="2" t="s">
        <v>8016</v>
      </c>
      <c r="X2792" s="2" t="s">
        <v>7670</v>
      </c>
      <c r="Y2792" s="2">
        <v>41850</v>
      </c>
      <c r="Z2792" s="19" t="str">
        <f>HYPERLINK("https://ssdweb.co/ssdweb/hd/Vision360.html?d=926150042&amp;zoomslide=1&amp;z=1926150042&amp;ISCONFIRM=0","VIDEO")</f>
        <v>VIDEO</v>
      </c>
      <c r="AA2792" s="19" t="str">
        <f>HYPERLINK("https://ssdweb.co/ssdweb/CERTH/634472294.pdf","CERTI")</f>
        <v>CERTI</v>
      </c>
    </row>
    <row r="2793" spans="1:27" ht="15" x14ac:dyDescent="0.25">
      <c r="A2793" s="2">
        <v>2788</v>
      </c>
      <c r="B2793" s="39">
        <v>831020649</v>
      </c>
      <c r="C2793" s="28" t="str">
        <f>HYPERLINK("https://pld.live/RapDetail.aspx?STONELIST=831020649","DNA")</f>
        <v>DNA</v>
      </c>
      <c r="D2793" s="18" t="s">
        <v>2694</v>
      </c>
      <c r="E2793" s="18" t="s">
        <v>2186</v>
      </c>
      <c r="F2793" s="2" t="s">
        <v>7987</v>
      </c>
      <c r="G2793" s="2" t="s">
        <v>3296</v>
      </c>
      <c r="H2793" s="14">
        <v>2.7</v>
      </c>
      <c r="I2793" s="2" t="s">
        <v>3722</v>
      </c>
      <c r="J2793" s="2" t="s">
        <v>13</v>
      </c>
      <c r="K2793" s="2" t="s">
        <v>1452</v>
      </c>
      <c r="L2793" s="2" t="s">
        <v>5221</v>
      </c>
      <c r="M2793" s="2" t="s">
        <v>5221</v>
      </c>
      <c r="N2793" s="2" t="s">
        <v>2317</v>
      </c>
      <c r="O2793" s="14">
        <v>9500</v>
      </c>
      <c r="P2793" s="14">
        <v>98.84</v>
      </c>
      <c r="Q2793" s="14">
        <v>110.2</v>
      </c>
      <c r="R2793" s="14">
        <v>297.54000000000002</v>
      </c>
      <c r="S2793" s="2" t="s">
        <v>531</v>
      </c>
      <c r="T2793" s="2">
        <v>1.07</v>
      </c>
      <c r="U2793" s="2">
        <v>63.4</v>
      </c>
      <c r="V2793" s="2">
        <v>61.5</v>
      </c>
      <c r="W2793" s="2" t="s">
        <v>7862</v>
      </c>
      <c r="X2793" s="2" t="s">
        <v>3851</v>
      </c>
      <c r="Y2793" s="2">
        <v>25650</v>
      </c>
      <c r="Z2793" s="19" t="str">
        <f>HYPERLINK("https://ssdweb.co/ssdweb/hd/Vision360.html?d=831020649&amp;zoomslide=1&amp;z=1831020649&amp;ISCONFIRM=0","VIDEO")</f>
        <v>VIDEO</v>
      </c>
      <c r="AA2793" s="19" t="str">
        <f>HYPERLINK("https://ssdweb.co/ssdweb/CERTH/577362568.pdf","CERTI")</f>
        <v>CERTI</v>
      </c>
    </row>
    <row r="2794" spans="1:27" ht="15" x14ac:dyDescent="0.25">
      <c r="A2794" s="2">
        <v>2789</v>
      </c>
      <c r="B2794" s="39">
        <v>926450604</v>
      </c>
      <c r="C2794" s="28" t="str">
        <f>HYPERLINK("https://pld.live/RapDetail.aspx?STONELIST=926450604","DNA")</f>
        <v>DNA</v>
      </c>
      <c r="D2794" s="18" t="s">
        <v>4032</v>
      </c>
      <c r="E2794" s="18" t="s">
        <v>2186</v>
      </c>
      <c r="F2794" s="2" t="s">
        <v>7987</v>
      </c>
      <c r="G2794" s="2" t="s">
        <v>3296</v>
      </c>
      <c r="H2794" s="14">
        <v>2.68</v>
      </c>
      <c r="I2794" s="2" t="s">
        <v>6845</v>
      </c>
      <c r="J2794" s="2" t="s">
        <v>13</v>
      </c>
      <c r="K2794" s="2" t="s">
        <v>1452</v>
      </c>
      <c r="L2794" s="2" t="s">
        <v>5221</v>
      </c>
      <c r="M2794" s="2" t="s">
        <v>5221</v>
      </c>
      <c r="N2794" s="2" t="s">
        <v>2317</v>
      </c>
      <c r="O2794" s="14">
        <v>4200</v>
      </c>
      <c r="P2794" s="14">
        <v>94.52</v>
      </c>
      <c r="Q2794" s="14">
        <v>230.16</v>
      </c>
      <c r="R2794" s="14">
        <v>616.83000000000004</v>
      </c>
      <c r="S2794" s="2" t="s">
        <v>7069</v>
      </c>
      <c r="T2794" s="2">
        <v>1.05</v>
      </c>
      <c r="U2794" s="2">
        <v>65</v>
      </c>
      <c r="V2794" s="2">
        <v>59</v>
      </c>
      <c r="W2794" s="2" t="s">
        <v>7862</v>
      </c>
      <c r="X2794" s="2" t="s">
        <v>7670</v>
      </c>
      <c r="Y2794" s="2">
        <v>11256</v>
      </c>
      <c r="Z2794" s="19" t="str">
        <f>HYPERLINK("https://ssdweb.co/ssdweb/hd/Vision360.html?d=926450604&amp;zoomslide=1&amp;z=1926450604&amp;ISCONFIRM=0","VIDEO")</f>
        <v>VIDEO</v>
      </c>
      <c r="AA2794" s="19" t="str">
        <f>HYPERLINK("https://ssdweb.co/ssdweb/CERTH/649409461.pdf","CERTI")</f>
        <v>CERTI</v>
      </c>
    </row>
    <row r="2795" spans="1:27" ht="15" x14ac:dyDescent="0.25">
      <c r="A2795" s="2">
        <v>2790</v>
      </c>
      <c r="B2795" s="39">
        <v>925920086</v>
      </c>
      <c r="C2795" s="28" t="str">
        <f>HYPERLINK("https://pld.live/RapDetail.aspx?STONELIST=925920086","DNA")</f>
        <v>DNA</v>
      </c>
      <c r="D2795" s="18" t="s">
        <v>4032</v>
      </c>
      <c r="E2795" s="18" t="s">
        <v>5128</v>
      </c>
      <c r="F2795" s="2" t="s">
        <v>7987</v>
      </c>
      <c r="G2795" s="2" t="s">
        <v>3296</v>
      </c>
      <c r="H2795" s="14">
        <v>2.5299999999999998</v>
      </c>
      <c r="I2795" s="2" t="s">
        <v>6587</v>
      </c>
      <c r="J2795" s="2" t="s">
        <v>13</v>
      </c>
      <c r="K2795" s="2" t="s">
        <v>1452</v>
      </c>
      <c r="L2795" s="2" t="s">
        <v>5221</v>
      </c>
      <c r="M2795" s="2" t="s">
        <v>5221</v>
      </c>
      <c r="N2795" s="2" t="s">
        <v>2317</v>
      </c>
      <c r="O2795" s="14">
        <v>14000</v>
      </c>
      <c r="P2795" s="14">
        <v>99.16</v>
      </c>
      <c r="Q2795" s="14">
        <v>117.6</v>
      </c>
      <c r="R2795" s="14">
        <v>297.52999999999997</v>
      </c>
      <c r="S2795" s="2" t="s">
        <v>2870</v>
      </c>
      <c r="T2795" s="2">
        <v>1.04</v>
      </c>
      <c r="U2795" s="2">
        <v>67.2</v>
      </c>
      <c r="V2795" s="2">
        <v>60</v>
      </c>
      <c r="W2795" s="2" t="s">
        <v>4336</v>
      </c>
      <c r="X2795" s="2" t="s">
        <v>7670</v>
      </c>
      <c r="Y2795" s="2">
        <v>35420</v>
      </c>
      <c r="Z2795" s="19" t="str">
        <f>HYPERLINK("https://ssdweb.co/ssdweb/hd/Vision360.html?d=925920086&amp;zoomslide=1&amp;z=1925920086&amp;ISCONFIRM=0","VIDEO")</f>
        <v>VIDEO</v>
      </c>
      <c r="AA2795" s="19" t="str">
        <f>HYPERLINK("https://ssdweb.co/ssdweb/CERTH/626427495.pdf","CERTI")</f>
        <v>CERTI</v>
      </c>
    </row>
    <row r="2796" spans="1:27" ht="15" x14ac:dyDescent="0.25">
      <c r="A2796" s="2">
        <v>2791</v>
      </c>
      <c r="B2796" s="39">
        <v>926020809</v>
      </c>
      <c r="C2796" s="28" t="str">
        <f>HYPERLINK("https://pld.live/RapDetail.aspx?STONELIST=926020809","DNA")</f>
        <v>DNA</v>
      </c>
      <c r="D2796" s="18" t="s">
        <v>5154</v>
      </c>
      <c r="E2796" s="18" t="s">
        <v>5128</v>
      </c>
      <c r="F2796" s="2" t="s">
        <v>7987</v>
      </c>
      <c r="G2796" s="2" t="s">
        <v>3296</v>
      </c>
      <c r="H2796" s="14">
        <v>2.33</v>
      </c>
      <c r="I2796" s="2" t="s">
        <v>6587</v>
      </c>
      <c r="J2796" s="2" t="s">
        <v>3942</v>
      </c>
      <c r="K2796" s="2" t="s">
        <v>1452</v>
      </c>
      <c r="L2796" s="2" t="s">
        <v>5221</v>
      </c>
      <c r="M2796" s="2" t="s">
        <v>5221</v>
      </c>
      <c r="N2796" s="2" t="s">
        <v>2317</v>
      </c>
      <c r="O2796" s="14">
        <v>15000</v>
      </c>
      <c r="P2796" s="14">
        <v>99.18</v>
      </c>
      <c r="Q2796" s="14">
        <v>123</v>
      </c>
      <c r="R2796" s="14">
        <v>286.58999999999997</v>
      </c>
      <c r="S2796" s="2" t="s">
        <v>4074</v>
      </c>
      <c r="T2796" s="2">
        <v>1</v>
      </c>
      <c r="U2796" s="2">
        <v>64.2</v>
      </c>
      <c r="V2796" s="2">
        <v>61</v>
      </c>
      <c r="W2796" s="2" t="s">
        <v>4336</v>
      </c>
      <c r="X2796" s="2" t="s">
        <v>7670</v>
      </c>
      <c r="Y2796" s="2">
        <v>34950</v>
      </c>
      <c r="Z2796" s="19" t="str">
        <f>HYPERLINK("https://ssdweb.co/ssdweb/hd/Vision360.html?d=926020809&amp;zoomslide=1&amp;z=1926020809&amp;ISCONFIRM=0","VIDEO")</f>
        <v>VIDEO</v>
      </c>
      <c r="AA2796" s="19" t="str">
        <f>HYPERLINK("https://ssdweb.co/ssdweb/CERTH/631464201.pdf","CERTI")</f>
        <v>CERTI</v>
      </c>
    </row>
    <row r="2797" spans="1:27" ht="15" x14ac:dyDescent="0.25">
      <c r="A2797" s="2">
        <v>2792</v>
      </c>
      <c r="B2797" s="39">
        <v>925920719</v>
      </c>
      <c r="C2797" s="28" t="str">
        <f>HYPERLINK("https://pld.live/RapDetail.aspx?STONELIST=925920719","DNA")</f>
        <v>DNA</v>
      </c>
      <c r="D2797" s="18" t="s">
        <v>3658</v>
      </c>
      <c r="E2797" s="18" t="s">
        <v>5128</v>
      </c>
      <c r="F2797" s="2" t="s">
        <v>7987</v>
      </c>
      <c r="G2797" s="2" t="s">
        <v>3296</v>
      </c>
      <c r="H2797" s="14">
        <v>2.29</v>
      </c>
      <c r="I2797" s="2" t="s">
        <v>267</v>
      </c>
      <c r="J2797" s="2" t="s">
        <v>5144</v>
      </c>
      <c r="K2797" s="2" t="s">
        <v>1452</v>
      </c>
      <c r="L2797" s="2" t="s">
        <v>5221</v>
      </c>
      <c r="M2797" s="2" t="s">
        <v>5221</v>
      </c>
      <c r="N2797" s="2" t="s">
        <v>2317</v>
      </c>
      <c r="O2797" s="14">
        <v>16000</v>
      </c>
      <c r="P2797" s="14">
        <v>99.13</v>
      </c>
      <c r="Q2797" s="14">
        <v>139.19999999999999</v>
      </c>
      <c r="R2797" s="14">
        <v>318.77</v>
      </c>
      <c r="S2797" s="2" t="s">
        <v>598</v>
      </c>
      <c r="T2797" s="2">
        <v>1.01</v>
      </c>
      <c r="U2797" s="2">
        <v>67.3</v>
      </c>
      <c r="V2797" s="2">
        <v>60</v>
      </c>
      <c r="W2797" s="2" t="s">
        <v>7862</v>
      </c>
      <c r="X2797" s="2" t="s">
        <v>7670</v>
      </c>
      <c r="Y2797" s="2">
        <v>36640</v>
      </c>
      <c r="Z2797" s="19" t="str">
        <f>HYPERLINK("https://ssdweb.co/ssdweb/hd/Vision360.html?d=925920719&amp;zoomslide=1&amp;z=1925920719&amp;ISCONFIRM=0","VIDEO")</f>
        <v>VIDEO</v>
      </c>
      <c r="AA2797" s="19" t="str">
        <f>HYPERLINK("https://ssdweb.co/ssdweb/CERTH/627431796.pdf","CERTI")</f>
        <v>CERTI</v>
      </c>
    </row>
    <row r="2798" spans="1:27" ht="15" x14ac:dyDescent="0.25">
      <c r="A2798" s="2">
        <v>2793</v>
      </c>
      <c r="B2798" s="39">
        <v>925981078</v>
      </c>
      <c r="C2798" s="28" t="str">
        <f>HYPERLINK("https://pld.live/RapDetail.aspx?STONELIST=925981078","DNA")</f>
        <v>DNA</v>
      </c>
      <c r="D2798" s="18" t="s">
        <v>3658</v>
      </c>
      <c r="E2798" s="18" t="s">
        <v>5128</v>
      </c>
      <c r="F2798" s="2" t="s">
        <v>7987</v>
      </c>
      <c r="G2798" s="2" t="s">
        <v>3296</v>
      </c>
      <c r="H2798" s="14">
        <v>2.2599999999999998</v>
      </c>
      <c r="I2798" s="2" t="s">
        <v>4761</v>
      </c>
      <c r="J2798" s="2" t="s">
        <v>444</v>
      </c>
      <c r="K2798" s="2" t="s">
        <v>1452</v>
      </c>
      <c r="L2798" s="2" t="s">
        <v>5221</v>
      </c>
      <c r="M2798" s="2" t="s">
        <v>5221</v>
      </c>
      <c r="N2798" s="2" t="s">
        <v>2317</v>
      </c>
      <c r="O2798" s="14">
        <v>12500</v>
      </c>
      <c r="P2798" s="14">
        <v>99.08</v>
      </c>
      <c r="Q2798" s="14">
        <v>115</v>
      </c>
      <c r="R2798" s="14">
        <v>259.89999999999998</v>
      </c>
      <c r="S2798" s="2" t="s">
        <v>7628</v>
      </c>
      <c r="T2798" s="2">
        <v>1.04</v>
      </c>
      <c r="U2798" s="2">
        <v>64.7</v>
      </c>
      <c r="V2798" s="2">
        <v>61</v>
      </c>
      <c r="W2798" s="2" t="s">
        <v>7862</v>
      </c>
      <c r="X2798" s="2" t="s">
        <v>7670</v>
      </c>
      <c r="Y2798" s="2">
        <v>28250</v>
      </c>
      <c r="Z2798" s="19" t="str">
        <f>HYPERLINK("https://ssdweb.co/ssdweb/hd/Vision360.html?d=925981078&amp;zoomslide=1&amp;z=1925981078&amp;ISCONFIRM=0","VIDEO")</f>
        <v>VIDEO</v>
      </c>
      <c r="AA2798" s="19" t="str">
        <f>HYPERLINK("https://ssdweb.co/ssdweb/CERTH/629478990.pdf","CERTI")</f>
        <v>CERTI</v>
      </c>
    </row>
    <row r="2799" spans="1:27" ht="15" x14ac:dyDescent="0.25">
      <c r="A2799" s="2">
        <v>2794</v>
      </c>
      <c r="B2799" s="39">
        <v>925801148</v>
      </c>
      <c r="C2799" s="28" t="str">
        <f>HYPERLINK("https://pld.live/RapDetail.aspx?STONELIST=925801148","DNA")</f>
        <v>DNA</v>
      </c>
      <c r="D2799" s="18" t="s">
        <v>3658</v>
      </c>
      <c r="E2799" s="18" t="s">
        <v>5128</v>
      </c>
      <c r="F2799" s="2" t="s">
        <v>7987</v>
      </c>
      <c r="G2799" s="2" t="s">
        <v>3296</v>
      </c>
      <c r="H2799" s="14">
        <v>2.11</v>
      </c>
      <c r="I2799" s="2" t="s">
        <v>267</v>
      </c>
      <c r="J2799" s="2" t="s">
        <v>13</v>
      </c>
      <c r="K2799" s="2" t="s">
        <v>1452</v>
      </c>
      <c r="L2799" s="2" t="s">
        <v>5221</v>
      </c>
      <c r="M2799" s="2" t="s">
        <v>5221</v>
      </c>
      <c r="N2799" s="2" t="s">
        <v>2317</v>
      </c>
      <c r="O2799" s="14">
        <v>17500</v>
      </c>
      <c r="P2799" s="14">
        <v>99.17</v>
      </c>
      <c r="Q2799" s="14">
        <v>145.25</v>
      </c>
      <c r="R2799" s="14">
        <v>306.48</v>
      </c>
      <c r="S2799" s="2" t="s">
        <v>3292</v>
      </c>
      <c r="T2799" s="2">
        <v>1.05</v>
      </c>
      <c r="U2799" s="2">
        <v>67.2</v>
      </c>
      <c r="V2799" s="2">
        <v>61</v>
      </c>
      <c r="W2799" s="2" t="s">
        <v>7862</v>
      </c>
      <c r="X2799" s="2" t="s">
        <v>7670</v>
      </c>
      <c r="Y2799" s="2">
        <v>36925</v>
      </c>
      <c r="Z2799" s="19" t="str">
        <f>HYPERLINK("https://ssdweb.co/ssdweb/hd/Vision360.html?d=925801148&amp;zoomslide=1&amp;z=1925801148&amp;ISCONFIRM=0","VIDEO")</f>
        <v>VIDEO</v>
      </c>
      <c r="AA2799" s="19" t="str">
        <f>HYPERLINK("https://ssdweb.co/ssdweb/CERTH/626457447.pdf","CERTI")</f>
        <v>CERTI</v>
      </c>
    </row>
    <row r="2800" spans="1:27" ht="15" x14ac:dyDescent="0.25">
      <c r="A2800" s="2">
        <v>2795</v>
      </c>
      <c r="B2800" s="39">
        <v>925951168</v>
      </c>
      <c r="C2800" s="28" t="str">
        <f>HYPERLINK("https://pld.live/RapDetail.aspx?STONELIST=925951168","DNA")</f>
        <v>DNA</v>
      </c>
      <c r="D2800" s="18" t="s">
        <v>3658</v>
      </c>
      <c r="E2800" s="18" t="s">
        <v>5128</v>
      </c>
      <c r="F2800" s="2" t="s">
        <v>7987</v>
      </c>
      <c r="G2800" s="2" t="s">
        <v>3296</v>
      </c>
      <c r="H2800" s="14">
        <v>2.1</v>
      </c>
      <c r="I2800" s="2" t="s">
        <v>267</v>
      </c>
      <c r="J2800" s="2" t="s">
        <v>3942</v>
      </c>
      <c r="K2800" s="2" t="s">
        <v>1452</v>
      </c>
      <c r="L2800" s="2" t="s">
        <v>5221</v>
      </c>
      <c r="M2800" s="2" t="s">
        <v>5221</v>
      </c>
      <c r="N2800" s="2" t="s">
        <v>2317</v>
      </c>
      <c r="O2800" s="14">
        <v>18500</v>
      </c>
      <c r="P2800" s="14">
        <v>99.11</v>
      </c>
      <c r="Q2800" s="14">
        <v>164.65</v>
      </c>
      <c r="R2800" s="14">
        <v>345.77</v>
      </c>
      <c r="S2800" s="2" t="s">
        <v>6283</v>
      </c>
      <c r="T2800" s="2">
        <v>1.04</v>
      </c>
      <c r="U2800" s="2">
        <v>66.599999999999994</v>
      </c>
      <c r="V2800" s="2">
        <v>62</v>
      </c>
      <c r="W2800" s="2" t="s">
        <v>7862</v>
      </c>
      <c r="X2800" s="2" t="s">
        <v>7670</v>
      </c>
      <c r="Y2800" s="2">
        <v>38850</v>
      </c>
      <c r="Z2800" s="19" t="str">
        <f>HYPERLINK("https://ssdweb.co/ssdweb/hd/Vision360.html?d=925951168&amp;zoomslide=1&amp;z=1925951168&amp;ISCONFIRM=0","VIDEO")</f>
        <v>VIDEO</v>
      </c>
      <c r="AA2800" s="19" t="str">
        <f>HYPERLINK("https://ssdweb.co/ssdweb/CERTH/629453205.pdf","CERTI")</f>
        <v>CERTI</v>
      </c>
    </row>
    <row r="2801" spans="1:27" ht="15" x14ac:dyDescent="0.25">
      <c r="A2801" s="2">
        <v>2796</v>
      </c>
      <c r="B2801" s="39">
        <v>925732041</v>
      </c>
      <c r="C2801" s="28" t="str">
        <f>HYPERLINK("https://pld.live/RapDetail.aspx?STONELIST=925732041","DNA")</f>
        <v>DNA</v>
      </c>
      <c r="D2801" s="18" t="s">
        <v>3658</v>
      </c>
      <c r="E2801" s="18" t="s">
        <v>5128</v>
      </c>
      <c r="F2801" s="2" t="s">
        <v>7987</v>
      </c>
      <c r="G2801" s="2" t="s">
        <v>3296</v>
      </c>
      <c r="H2801" s="14">
        <v>2.1</v>
      </c>
      <c r="I2801" s="2" t="s">
        <v>267</v>
      </c>
      <c r="J2801" s="2" t="s">
        <v>5144</v>
      </c>
      <c r="K2801" s="2" t="s">
        <v>1452</v>
      </c>
      <c r="L2801" s="2" t="s">
        <v>5221</v>
      </c>
      <c r="M2801" s="2" t="s">
        <v>5221</v>
      </c>
      <c r="N2801" s="2" t="s">
        <v>2317</v>
      </c>
      <c r="O2801" s="14">
        <v>16000</v>
      </c>
      <c r="P2801" s="14">
        <v>99.13</v>
      </c>
      <c r="Q2801" s="14">
        <v>139.19999999999999</v>
      </c>
      <c r="R2801" s="14">
        <v>292.32</v>
      </c>
      <c r="S2801" s="2" t="s">
        <v>7339</v>
      </c>
      <c r="T2801" s="2">
        <v>1.01</v>
      </c>
      <c r="U2801" s="2">
        <v>63.8</v>
      </c>
      <c r="V2801" s="2">
        <v>58</v>
      </c>
      <c r="W2801" s="2" t="s">
        <v>7862</v>
      </c>
      <c r="X2801" s="2" t="s">
        <v>7670</v>
      </c>
      <c r="Y2801" s="2">
        <v>33600</v>
      </c>
      <c r="Z2801" s="19" t="str">
        <f>HYPERLINK("https://ssdweb.co/ssdweb/hd/Vision360.html?d=925732041&amp;zoomslide=1&amp;z=1925732041&amp;ISCONFIRM=0","VIDEO")</f>
        <v>VIDEO</v>
      </c>
      <c r="AA2801" s="19" t="str">
        <f>HYPERLINK("https://ssdweb.co/ssdweb/CERTH/625432307.pdf","CERTI")</f>
        <v>CERTI</v>
      </c>
    </row>
    <row r="2802" spans="1:27" ht="15" x14ac:dyDescent="0.25">
      <c r="A2802" s="2">
        <v>2797</v>
      </c>
      <c r="B2802" s="39">
        <v>925961323</v>
      </c>
      <c r="C2802" s="28" t="str">
        <f>HYPERLINK("https://pld.live/RapDetail.aspx?STONELIST=925961323","DNA")</f>
        <v>DNA</v>
      </c>
      <c r="D2802" s="18" t="s">
        <v>3658</v>
      </c>
      <c r="E2802" s="18" t="s">
        <v>5128</v>
      </c>
      <c r="F2802" s="2" t="s">
        <v>7987</v>
      </c>
      <c r="G2802" s="2" t="s">
        <v>3296</v>
      </c>
      <c r="H2802" s="14">
        <v>2.1</v>
      </c>
      <c r="I2802" s="2" t="s">
        <v>4761</v>
      </c>
      <c r="J2802" s="2" t="s">
        <v>3942</v>
      </c>
      <c r="K2802" s="2" t="s">
        <v>1452</v>
      </c>
      <c r="L2802" s="2" t="s">
        <v>5221</v>
      </c>
      <c r="M2802" s="2" t="s">
        <v>5221</v>
      </c>
      <c r="N2802" s="2" t="s">
        <v>2317</v>
      </c>
      <c r="O2802" s="14">
        <v>17000</v>
      </c>
      <c r="P2802" s="14">
        <v>99.12</v>
      </c>
      <c r="Q2802" s="14">
        <v>149.6</v>
      </c>
      <c r="R2802" s="14">
        <v>314.16000000000003</v>
      </c>
      <c r="S2802" s="2" t="s">
        <v>4269</v>
      </c>
      <c r="T2802" s="2">
        <v>1.02</v>
      </c>
      <c r="U2802" s="2">
        <v>64.5</v>
      </c>
      <c r="V2802" s="2">
        <v>62</v>
      </c>
      <c r="W2802" s="2" t="s">
        <v>7862</v>
      </c>
      <c r="X2802" s="2" t="s">
        <v>7670</v>
      </c>
      <c r="Y2802" s="2">
        <v>35700</v>
      </c>
      <c r="Z2802" s="19" t="str">
        <f>HYPERLINK("https://ssdweb.co/ssdweb/hd/Vision360.html?d=925961323&amp;zoomslide=1&amp;z=1925961323&amp;ISCONFIRM=0","VIDEO")</f>
        <v>VIDEO</v>
      </c>
      <c r="AA2802" s="19" t="str">
        <f>HYPERLINK("https://ssdweb.co/ssdweb/CERTH/629478996.pdf","CERTI")</f>
        <v>CERTI</v>
      </c>
    </row>
    <row r="2803" spans="1:27" ht="15" x14ac:dyDescent="0.25">
      <c r="A2803" s="2">
        <v>2798</v>
      </c>
      <c r="B2803" s="39">
        <v>926201151</v>
      </c>
      <c r="C2803" s="28" t="str">
        <f>HYPERLINK("https://pld.live/RapDetail.aspx?STONELIST=926201151","DNA")</f>
        <v>DNA</v>
      </c>
      <c r="D2803" s="18" t="s">
        <v>3658</v>
      </c>
      <c r="E2803" s="18" t="s">
        <v>5128</v>
      </c>
      <c r="F2803" s="2" t="s">
        <v>7987</v>
      </c>
      <c r="G2803" s="2" t="s">
        <v>3296</v>
      </c>
      <c r="H2803" s="14">
        <v>2.1</v>
      </c>
      <c r="I2803" s="2" t="s">
        <v>6587</v>
      </c>
      <c r="J2803" s="2" t="s">
        <v>13</v>
      </c>
      <c r="K2803" s="2" t="s">
        <v>1452</v>
      </c>
      <c r="L2803" s="2" t="s">
        <v>5221</v>
      </c>
      <c r="M2803" s="2" t="s">
        <v>5221</v>
      </c>
      <c r="N2803" s="2" t="s">
        <v>2317</v>
      </c>
      <c r="O2803" s="14">
        <v>14000</v>
      </c>
      <c r="P2803" s="14">
        <v>99.17</v>
      </c>
      <c r="Q2803" s="14">
        <v>116.2</v>
      </c>
      <c r="R2803" s="14">
        <v>244.02</v>
      </c>
      <c r="S2803" s="2" t="s">
        <v>7729</v>
      </c>
      <c r="T2803" s="2">
        <v>1</v>
      </c>
      <c r="U2803" s="2">
        <v>67.8</v>
      </c>
      <c r="V2803" s="2">
        <v>60</v>
      </c>
      <c r="W2803" s="2" t="s">
        <v>4336</v>
      </c>
      <c r="X2803" s="2" t="s">
        <v>7670</v>
      </c>
      <c r="Y2803" s="2">
        <v>29400</v>
      </c>
      <c r="Z2803" s="19" t="str">
        <f>HYPERLINK("https://ssdweb.co/ssdweb/hd/Vision360.html?d=926201151&amp;zoomslide=1&amp;z=1926201151&amp;ISCONFIRM=0","VIDEO")</f>
        <v>VIDEO</v>
      </c>
      <c r="AA2803" s="19" t="str">
        <f>HYPERLINK("https://ssdweb.co/ssdweb/CERTH/638463223.pdf","CERTI")</f>
        <v>CERTI</v>
      </c>
    </row>
    <row r="2804" spans="1:27" ht="15" x14ac:dyDescent="0.25">
      <c r="A2804" s="2">
        <v>2799</v>
      </c>
      <c r="B2804" s="39">
        <v>925770858</v>
      </c>
      <c r="C2804" s="28" t="str">
        <f>HYPERLINK("https://pld.live/RapDetail.aspx?STONELIST=925770858","DNA")</f>
        <v>DNA</v>
      </c>
      <c r="D2804" s="18" t="s">
        <v>3658</v>
      </c>
      <c r="E2804" s="18" t="s">
        <v>5128</v>
      </c>
      <c r="F2804" s="2" t="s">
        <v>7987</v>
      </c>
      <c r="G2804" s="2" t="s">
        <v>3296</v>
      </c>
      <c r="H2804" s="14">
        <v>2.09</v>
      </c>
      <c r="I2804" s="2" t="s">
        <v>267</v>
      </c>
      <c r="J2804" s="2" t="s">
        <v>3942</v>
      </c>
      <c r="K2804" s="2" t="s">
        <v>1452</v>
      </c>
      <c r="L2804" s="2" t="s">
        <v>5221</v>
      </c>
      <c r="M2804" s="2" t="s">
        <v>5221</v>
      </c>
      <c r="N2804" s="2" t="s">
        <v>2317</v>
      </c>
      <c r="O2804" s="14">
        <v>18500</v>
      </c>
      <c r="P2804" s="14">
        <v>99.11</v>
      </c>
      <c r="Q2804" s="14">
        <v>164.65</v>
      </c>
      <c r="R2804" s="14">
        <v>344.12</v>
      </c>
      <c r="S2804" s="2" t="s">
        <v>5056</v>
      </c>
      <c r="T2804" s="2">
        <v>1.05</v>
      </c>
      <c r="U2804" s="2">
        <v>65.5</v>
      </c>
      <c r="V2804" s="2">
        <v>61</v>
      </c>
      <c r="W2804" s="2" t="s">
        <v>7862</v>
      </c>
      <c r="X2804" s="2" t="s">
        <v>7670</v>
      </c>
      <c r="Y2804" s="2">
        <v>38665</v>
      </c>
      <c r="Z2804" s="19" t="str">
        <f>HYPERLINK("https://ssdweb.co/ssdweb/hd/Vision360.html?d=925770858&amp;zoomslide=1&amp;z=1925770858&amp;ISCONFIRM=0","VIDEO")</f>
        <v>VIDEO</v>
      </c>
      <c r="AA2804" s="19" t="str">
        <f>HYPERLINK("https://ssdweb.co/ssdweb/CERTH/625432315.pdf","CERTI")</f>
        <v>CERTI</v>
      </c>
    </row>
    <row r="2805" spans="1:27" ht="15" x14ac:dyDescent="0.25">
      <c r="A2805" s="2">
        <v>2800</v>
      </c>
      <c r="B2805" s="39">
        <v>926200738</v>
      </c>
      <c r="C2805" s="28" t="str">
        <f>HYPERLINK("https://pld.live/RapDetail.aspx?STONELIST=926200738","DNA")</f>
        <v>DNA</v>
      </c>
      <c r="D2805" s="18" t="s">
        <v>3658</v>
      </c>
      <c r="E2805" s="18" t="s">
        <v>5128</v>
      </c>
      <c r="F2805" s="2" t="s">
        <v>7987</v>
      </c>
      <c r="G2805" s="2" t="s">
        <v>3296</v>
      </c>
      <c r="H2805" s="14">
        <v>2.09</v>
      </c>
      <c r="I2805" s="2" t="s">
        <v>267</v>
      </c>
      <c r="J2805" s="2" t="s">
        <v>13</v>
      </c>
      <c r="K2805" s="2" t="s">
        <v>1452</v>
      </c>
      <c r="L2805" s="2" t="s">
        <v>5221</v>
      </c>
      <c r="M2805" s="2" t="s">
        <v>5221</v>
      </c>
      <c r="N2805" s="2" t="s">
        <v>2317</v>
      </c>
      <c r="O2805" s="14">
        <v>17500</v>
      </c>
      <c r="P2805" s="14">
        <v>99.15</v>
      </c>
      <c r="Q2805" s="14">
        <v>148.75</v>
      </c>
      <c r="R2805" s="14">
        <v>310.89</v>
      </c>
      <c r="S2805" s="2" t="s">
        <v>4634</v>
      </c>
      <c r="T2805" s="2">
        <v>1.05</v>
      </c>
      <c r="U2805" s="2">
        <v>67.8</v>
      </c>
      <c r="V2805" s="2">
        <v>63</v>
      </c>
      <c r="W2805" s="2" t="s">
        <v>7862</v>
      </c>
      <c r="X2805" s="2" t="s">
        <v>7670</v>
      </c>
      <c r="Y2805" s="2">
        <v>36575</v>
      </c>
      <c r="Z2805" s="19" t="str">
        <f>HYPERLINK("https://ssdweb.co/ssdweb/hd/Vision360.html?d=926200738&amp;zoomslide=1&amp;z=1926200738&amp;ISCONFIRM=0","VIDEO")</f>
        <v>VIDEO</v>
      </c>
      <c r="AA2805" s="19" t="str">
        <f>HYPERLINK("https://ssdweb.co/ssdweb/CERTH/634431404.pdf","CERTI")</f>
        <v>CERTI</v>
      </c>
    </row>
    <row r="2806" spans="1:27" ht="15" x14ac:dyDescent="0.25">
      <c r="A2806" s="2">
        <v>2801</v>
      </c>
      <c r="B2806" s="39">
        <v>925552037</v>
      </c>
      <c r="C2806" s="28" t="str">
        <f>HYPERLINK("https://pld.live/RapDetail.aspx?STONELIST=925552037","DNA")</f>
        <v>DNA</v>
      </c>
      <c r="D2806" s="18" t="s">
        <v>3658</v>
      </c>
      <c r="E2806" s="18" t="s">
        <v>5128</v>
      </c>
      <c r="F2806" s="2" t="s">
        <v>7987</v>
      </c>
      <c r="G2806" s="2" t="s">
        <v>3296</v>
      </c>
      <c r="H2806" s="14">
        <v>2.09</v>
      </c>
      <c r="I2806" s="2" t="s">
        <v>4761</v>
      </c>
      <c r="J2806" s="2" t="s">
        <v>13</v>
      </c>
      <c r="K2806" s="2" t="s">
        <v>1452</v>
      </c>
      <c r="L2806" s="2" t="s">
        <v>5221</v>
      </c>
      <c r="M2806" s="2" t="s">
        <v>5221</v>
      </c>
      <c r="N2806" s="2" t="s">
        <v>2317</v>
      </c>
      <c r="O2806" s="14">
        <v>16000</v>
      </c>
      <c r="P2806" s="14">
        <v>99.22</v>
      </c>
      <c r="Q2806" s="14">
        <v>124.8</v>
      </c>
      <c r="R2806" s="14">
        <v>260.83</v>
      </c>
      <c r="S2806" s="2" t="s">
        <v>143</v>
      </c>
      <c r="T2806" s="2">
        <v>1.04</v>
      </c>
      <c r="U2806" s="2">
        <v>63.2</v>
      </c>
      <c r="V2806" s="2">
        <v>61</v>
      </c>
      <c r="W2806" s="2" t="s">
        <v>7862</v>
      </c>
      <c r="X2806" s="2" t="s">
        <v>7670</v>
      </c>
      <c r="Y2806" s="2">
        <v>33440</v>
      </c>
      <c r="Z2806" s="19" t="str">
        <f>HYPERLINK("https://ssdweb.co/ssdweb/hd/Vision360.html?d=925552037&amp;zoomslide=1&amp;z=1925552037&amp;ISCONFIRM=0","VIDEO")</f>
        <v>VIDEO</v>
      </c>
      <c r="AA2806" s="19" t="str">
        <f>HYPERLINK("https://ssdweb.co/ssdweb/CERTH/622499867.pdf","CERTI")</f>
        <v>CERTI</v>
      </c>
    </row>
    <row r="2807" spans="1:27" ht="15" x14ac:dyDescent="0.25">
      <c r="A2807" s="2">
        <v>2802</v>
      </c>
      <c r="B2807" s="39">
        <v>925920995</v>
      </c>
      <c r="C2807" s="28" t="str">
        <f>HYPERLINK("https://pld.live/RapDetail.aspx?STONELIST=925920995","DNA")</f>
        <v>DNA</v>
      </c>
      <c r="D2807" s="18" t="s">
        <v>3658</v>
      </c>
      <c r="E2807" s="18" t="s">
        <v>5128</v>
      </c>
      <c r="F2807" s="2" t="s">
        <v>7987</v>
      </c>
      <c r="G2807" s="2" t="s">
        <v>3296</v>
      </c>
      <c r="H2807" s="14">
        <v>2.08</v>
      </c>
      <c r="I2807" s="2" t="s">
        <v>6587</v>
      </c>
      <c r="J2807" s="2" t="s">
        <v>3942</v>
      </c>
      <c r="K2807" s="2" t="s">
        <v>1452</v>
      </c>
      <c r="L2807" s="2" t="s">
        <v>5221</v>
      </c>
      <c r="M2807" s="2" t="s">
        <v>5221</v>
      </c>
      <c r="N2807" s="2" t="s">
        <v>2317</v>
      </c>
      <c r="O2807" s="14">
        <v>15000</v>
      </c>
      <c r="P2807" s="14">
        <v>99.17</v>
      </c>
      <c r="Q2807" s="14">
        <v>124.5</v>
      </c>
      <c r="R2807" s="14">
        <v>258.95999999999998</v>
      </c>
      <c r="S2807" s="2" t="s">
        <v>5640</v>
      </c>
      <c r="T2807" s="2">
        <v>1.05</v>
      </c>
      <c r="U2807" s="2">
        <v>63.9</v>
      </c>
      <c r="V2807" s="2">
        <v>61</v>
      </c>
      <c r="W2807" s="2" t="s">
        <v>7862</v>
      </c>
      <c r="X2807" s="2" t="s">
        <v>7670</v>
      </c>
      <c r="Y2807" s="2">
        <v>31200</v>
      </c>
      <c r="Z2807" s="19" t="str">
        <f>HYPERLINK("https://ssdweb.co/ssdweb/hd/Vision360.html?d=925920995&amp;zoomslide=1&amp;z=1925920995&amp;ISCONFIRM=0","VIDEO")</f>
        <v>VIDEO</v>
      </c>
      <c r="AA2807" s="19" t="str">
        <f>HYPERLINK("https://ssdweb.co/ssdweb/CERTH/629453334.pdf","CERTI")</f>
        <v>CERTI</v>
      </c>
    </row>
    <row r="2808" spans="1:27" ht="15" x14ac:dyDescent="0.25">
      <c r="A2808" s="2">
        <v>2803</v>
      </c>
      <c r="B2808" s="39">
        <v>925890673</v>
      </c>
      <c r="C2808" s="28" t="str">
        <f>HYPERLINK("https://pld.live/RapDetail.aspx?STONELIST=925890673","DNA")</f>
        <v>DNA</v>
      </c>
      <c r="D2808" s="18" t="s">
        <v>3658</v>
      </c>
      <c r="E2808" s="18" t="s">
        <v>5128</v>
      </c>
      <c r="F2808" s="2" t="s">
        <v>5597</v>
      </c>
      <c r="G2808" s="2" t="s">
        <v>3296</v>
      </c>
      <c r="H2808" s="14">
        <v>2.0699999999999998</v>
      </c>
      <c r="I2808" s="2" t="s">
        <v>267</v>
      </c>
      <c r="J2808" s="2" t="s">
        <v>6555</v>
      </c>
      <c r="K2808" s="2" t="s">
        <v>1452</v>
      </c>
      <c r="L2808" s="2" t="s">
        <v>5221</v>
      </c>
      <c r="M2808" s="2" t="s">
        <v>5221</v>
      </c>
      <c r="N2808" s="2" t="s">
        <v>2317</v>
      </c>
      <c r="O2808" s="14">
        <v>20000</v>
      </c>
      <c r="P2808" s="14">
        <v>98.08</v>
      </c>
      <c r="Q2808" s="14">
        <v>384</v>
      </c>
      <c r="R2808" s="14">
        <v>794.88</v>
      </c>
      <c r="S2808" s="2" t="s">
        <v>139</v>
      </c>
      <c r="T2808" s="2">
        <v>1</v>
      </c>
      <c r="U2808" s="2">
        <v>67.099999999999994</v>
      </c>
      <c r="V2808" s="2">
        <v>60</v>
      </c>
      <c r="W2808" s="2" t="s">
        <v>7862</v>
      </c>
      <c r="X2808" s="2" t="s">
        <v>7053</v>
      </c>
      <c r="Y2808" s="2">
        <v>41400</v>
      </c>
      <c r="Z2808" s="19" t="str">
        <f>HYPERLINK("https://ssdweb.co/ssdweb/hd/Vision360.html?d=925890673&amp;zoomslide=1&amp;z=1925890673&amp;ISCONFIRM=0","VIDEO")</f>
        <v>VIDEO</v>
      </c>
      <c r="AA2808" s="19" t="str">
        <f>HYPERLINK("https://ssdweb.co/ssdweb/CERTH/6492087741.pdf","CERTI")</f>
        <v>CERTI</v>
      </c>
    </row>
    <row r="2809" spans="1:27" ht="15" x14ac:dyDescent="0.25">
      <c r="A2809" s="2">
        <v>2804</v>
      </c>
      <c r="B2809" s="39">
        <v>926170656</v>
      </c>
      <c r="C2809" s="28" t="str">
        <f>HYPERLINK("https://pld.live/RapDetail.aspx?STONELIST=926170656","DNA")</f>
        <v>DNA</v>
      </c>
      <c r="D2809" s="18" t="s">
        <v>3658</v>
      </c>
      <c r="E2809" s="18" t="s">
        <v>5128</v>
      </c>
      <c r="F2809" s="2" t="s">
        <v>7987</v>
      </c>
      <c r="G2809" s="2" t="s">
        <v>3296</v>
      </c>
      <c r="H2809" s="14">
        <v>2.0699999999999998</v>
      </c>
      <c r="I2809" s="2" t="s">
        <v>4761</v>
      </c>
      <c r="J2809" s="2" t="s">
        <v>5144</v>
      </c>
      <c r="K2809" s="2" t="s">
        <v>1452</v>
      </c>
      <c r="L2809" s="2" t="s">
        <v>5221</v>
      </c>
      <c r="M2809" s="2" t="s">
        <v>5221</v>
      </c>
      <c r="N2809" s="2" t="s">
        <v>2317</v>
      </c>
      <c r="O2809" s="14">
        <v>15000</v>
      </c>
      <c r="P2809" s="14">
        <v>99.2</v>
      </c>
      <c r="Q2809" s="14">
        <v>120</v>
      </c>
      <c r="R2809" s="14">
        <v>248.4</v>
      </c>
      <c r="S2809" s="2" t="s">
        <v>3478</v>
      </c>
      <c r="T2809" s="2">
        <v>1.04</v>
      </c>
      <c r="U2809" s="2">
        <v>66.8</v>
      </c>
      <c r="V2809" s="2">
        <v>61</v>
      </c>
      <c r="W2809" s="2" t="s">
        <v>7862</v>
      </c>
      <c r="X2809" s="2" t="s">
        <v>7670</v>
      </c>
      <c r="Y2809" s="2">
        <v>31050</v>
      </c>
      <c r="Z2809" s="19" t="str">
        <f>HYPERLINK("https://ssdweb.co/ssdweb/hd/Vision360.html?d=926170656&amp;zoomslide=1&amp;z=1926170656&amp;ISCONFIRM=0","VIDEO")</f>
        <v>VIDEO</v>
      </c>
      <c r="AA2809" s="19" t="str">
        <f>HYPERLINK("https://ssdweb.co/ssdweb/CERTH/633474111.pdf","CERTI")</f>
        <v>CERTI</v>
      </c>
    </row>
    <row r="2810" spans="1:27" ht="15" x14ac:dyDescent="0.25">
      <c r="A2810" s="2">
        <v>2805</v>
      </c>
      <c r="B2810" s="39">
        <v>924750391</v>
      </c>
      <c r="C2810" s="28" t="str">
        <f>HYPERLINK("https://pld.live/RapDetail.aspx?STONELIST=924750391","DNA")</f>
        <v>DNA</v>
      </c>
      <c r="D2810" s="18" t="s">
        <v>3658</v>
      </c>
      <c r="E2810" s="18" t="s">
        <v>5128</v>
      </c>
      <c r="F2810" s="2" t="s">
        <v>7987</v>
      </c>
      <c r="G2810" s="2" t="s">
        <v>3296</v>
      </c>
      <c r="H2810" s="14">
        <v>2.0699999999999998</v>
      </c>
      <c r="I2810" s="2" t="s">
        <v>4699</v>
      </c>
      <c r="J2810" s="2" t="s">
        <v>5144</v>
      </c>
      <c r="K2810" s="2" t="s">
        <v>1452</v>
      </c>
      <c r="L2810" s="2" t="s">
        <v>5221</v>
      </c>
      <c r="M2810" s="2" t="s">
        <v>5221</v>
      </c>
      <c r="N2810" s="2" t="s">
        <v>2317</v>
      </c>
      <c r="O2810" s="14">
        <v>14000</v>
      </c>
      <c r="P2810" s="14">
        <v>99.18</v>
      </c>
      <c r="Q2810" s="14">
        <v>114.8</v>
      </c>
      <c r="R2810" s="14">
        <v>237.64</v>
      </c>
      <c r="S2810" s="2" t="s">
        <v>2240</v>
      </c>
      <c r="T2810" s="2">
        <v>1.03</v>
      </c>
      <c r="U2810" s="2">
        <v>64.599999999999994</v>
      </c>
      <c r="V2810" s="2">
        <v>61</v>
      </c>
      <c r="W2810" s="2" t="s">
        <v>7862</v>
      </c>
      <c r="X2810" s="2" t="s">
        <v>5985</v>
      </c>
      <c r="Y2810" s="2">
        <v>28980</v>
      </c>
      <c r="Z2810" s="19" t="str">
        <f>HYPERLINK("https://ssdweb.co/ssdweb/hd/Vision360.html?d=924750391&amp;zoomslide=1&amp;z=1924750391&amp;ISCONFIRM=0","VIDEO")</f>
        <v>VIDEO</v>
      </c>
      <c r="AA2810" s="19" t="str">
        <f>HYPERLINK("https://ssdweb.co/ssdweb/CERTH/600304732.pdf","CERTI")</f>
        <v>CERTI</v>
      </c>
    </row>
    <row r="2811" spans="1:27" ht="15" x14ac:dyDescent="0.25">
      <c r="A2811" s="2">
        <v>2806</v>
      </c>
      <c r="B2811" s="39">
        <v>925801934</v>
      </c>
      <c r="C2811" s="28" t="str">
        <f>HYPERLINK("https://pld.live/RapDetail.aspx?STONELIST=925801934","DNA")</f>
        <v>DNA</v>
      </c>
      <c r="D2811" s="18" t="s">
        <v>3658</v>
      </c>
      <c r="E2811" s="18" t="s">
        <v>5128</v>
      </c>
      <c r="F2811" s="2" t="s">
        <v>7987</v>
      </c>
      <c r="G2811" s="2" t="s">
        <v>3296</v>
      </c>
      <c r="H2811" s="14">
        <v>2.06</v>
      </c>
      <c r="I2811" s="2" t="s">
        <v>267</v>
      </c>
      <c r="J2811" s="2" t="s">
        <v>6555</v>
      </c>
      <c r="K2811" s="2" t="s">
        <v>1452</v>
      </c>
      <c r="L2811" s="2" t="s">
        <v>5221</v>
      </c>
      <c r="M2811" s="2" t="s">
        <v>5221</v>
      </c>
      <c r="N2811" s="2" t="s">
        <v>2317</v>
      </c>
      <c r="O2811" s="14">
        <v>20000</v>
      </c>
      <c r="P2811" s="14">
        <v>98.58</v>
      </c>
      <c r="Q2811" s="14">
        <v>284</v>
      </c>
      <c r="R2811" s="14">
        <v>585.04</v>
      </c>
      <c r="S2811" s="2" t="s">
        <v>160</v>
      </c>
      <c r="T2811" s="2">
        <v>1</v>
      </c>
      <c r="U2811" s="2">
        <v>66.400000000000006</v>
      </c>
      <c r="V2811" s="2">
        <v>60</v>
      </c>
      <c r="W2811" s="2" t="s">
        <v>7862</v>
      </c>
      <c r="X2811" s="2" t="s">
        <v>7670</v>
      </c>
      <c r="Y2811" s="2">
        <v>41200</v>
      </c>
      <c r="Z2811" s="19" t="str">
        <f>HYPERLINK("https://ssdweb.co/ssdweb/hd/Vision360.html?d=925801934&amp;zoomslide=1&amp;z=1925801934&amp;ISCONFIRM=0","VIDEO")</f>
        <v>VIDEO</v>
      </c>
      <c r="AA2811" s="19" t="str">
        <f>HYPERLINK("https://ssdweb.co/ssdweb/CERTH/627474775.pdf","CERTI")</f>
        <v>CERTI</v>
      </c>
    </row>
    <row r="2812" spans="1:27" ht="15" x14ac:dyDescent="0.25">
      <c r="A2812" s="2">
        <v>2807</v>
      </c>
      <c r="B2812" s="39">
        <v>926170153</v>
      </c>
      <c r="C2812" s="28" t="str">
        <f>HYPERLINK("https://pld.live/RapDetail.aspx?STONELIST=926170153","DNA")</f>
        <v>DNA</v>
      </c>
      <c r="D2812" s="18" t="s">
        <v>3658</v>
      </c>
      <c r="E2812" s="18" t="s">
        <v>5128</v>
      </c>
      <c r="F2812" s="2" t="s">
        <v>7987</v>
      </c>
      <c r="G2812" s="2" t="s">
        <v>3296</v>
      </c>
      <c r="H2812" s="14">
        <v>2.06</v>
      </c>
      <c r="I2812" s="2" t="s">
        <v>4761</v>
      </c>
      <c r="J2812" s="2" t="s">
        <v>3942</v>
      </c>
      <c r="K2812" s="2" t="s">
        <v>1452</v>
      </c>
      <c r="L2812" s="2" t="s">
        <v>5221</v>
      </c>
      <c r="M2812" s="2" t="s">
        <v>5221</v>
      </c>
      <c r="N2812" s="2" t="s">
        <v>2317</v>
      </c>
      <c r="O2812" s="14">
        <v>17000</v>
      </c>
      <c r="P2812" s="14">
        <v>99.13</v>
      </c>
      <c r="Q2812" s="14">
        <v>147.9</v>
      </c>
      <c r="R2812" s="14">
        <v>304.67</v>
      </c>
      <c r="S2812" s="2" t="s">
        <v>4023</v>
      </c>
      <c r="T2812" s="2">
        <v>1.01</v>
      </c>
      <c r="U2812" s="2">
        <v>66.599999999999994</v>
      </c>
      <c r="V2812" s="2">
        <v>64</v>
      </c>
      <c r="W2812" s="2" t="s">
        <v>4336</v>
      </c>
      <c r="X2812" s="2" t="s">
        <v>7670</v>
      </c>
      <c r="Y2812" s="2">
        <v>35020</v>
      </c>
      <c r="Z2812" s="19" t="str">
        <f>HYPERLINK("https://ssdweb.co/ssdweb/hd/Vision360.html?d=926170153&amp;zoomslide=1&amp;z=1926170153&amp;ISCONFIRM=0","VIDEO")</f>
        <v>VIDEO</v>
      </c>
      <c r="AA2812" s="19" t="str">
        <f>HYPERLINK("https://ssdweb.co/ssdweb/CERTH/632449620.pdf","CERTI")</f>
        <v>CERTI</v>
      </c>
    </row>
    <row r="2813" spans="1:27" ht="15" x14ac:dyDescent="0.25">
      <c r="A2813" s="2">
        <v>2808</v>
      </c>
      <c r="B2813" s="39">
        <v>925951279</v>
      </c>
      <c r="C2813" s="28" t="str">
        <f>HYPERLINK("https://pld.live/RapDetail.aspx?STONELIST=925951279","DNA")</f>
        <v>DNA</v>
      </c>
      <c r="D2813" s="18" t="s">
        <v>3658</v>
      </c>
      <c r="E2813" s="18" t="s">
        <v>5128</v>
      </c>
      <c r="F2813" s="2" t="s">
        <v>7987</v>
      </c>
      <c r="G2813" s="2" t="s">
        <v>3296</v>
      </c>
      <c r="H2813" s="14">
        <v>2.0499999999999998</v>
      </c>
      <c r="I2813" s="2" t="s">
        <v>267</v>
      </c>
      <c r="J2813" s="2" t="s">
        <v>6555</v>
      </c>
      <c r="K2813" s="2" t="s">
        <v>1452</v>
      </c>
      <c r="L2813" s="2" t="s">
        <v>5221</v>
      </c>
      <c r="M2813" s="2" t="s">
        <v>5221</v>
      </c>
      <c r="N2813" s="2" t="s">
        <v>2317</v>
      </c>
      <c r="O2813" s="14">
        <v>20000</v>
      </c>
      <c r="P2813" s="14">
        <v>98.58</v>
      </c>
      <c r="Q2813" s="14">
        <v>284</v>
      </c>
      <c r="R2813" s="14">
        <v>582.20000000000005</v>
      </c>
      <c r="S2813" s="2" t="s">
        <v>1902</v>
      </c>
      <c r="T2813" s="2">
        <v>1.05</v>
      </c>
      <c r="U2813" s="2">
        <v>63.9</v>
      </c>
      <c r="V2813" s="2">
        <v>61</v>
      </c>
      <c r="W2813" s="2" t="s">
        <v>7862</v>
      </c>
      <c r="X2813" s="2" t="s">
        <v>7670</v>
      </c>
      <c r="Y2813" s="2">
        <v>41000</v>
      </c>
      <c r="Z2813" s="19" t="str">
        <f>HYPERLINK("https://ssdweb.co/ssdweb/hd/Vision360.html?d=925951279&amp;zoomslide=1&amp;z=1925951279&amp;ISCONFIRM=0","VIDEO")</f>
        <v>VIDEO</v>
      </c>
      <c r="AA2813" s="19" t="str">
        <f>HYPERLINK("https://ssdweb.co/ssdweb/CERTH/629479145.pdf","CERTI")</f>
        <v>CERTI</v>
      </c>
    </row>
    <row r="2814" spans="1:27" ht="15" x14ac:dyDescent="0.25">
      <c r="A2814" s="2">
        <v>2809</v>
      </c>
      <c r="B2814" s="39">
        <v>925890659</v>
      </c>
      <c r="C2814" s="28" t="str">
        <f>HYPERLINK("https://pld.live/RapDetail.aspx?STONELIST=925890659","DNA")</f>
        <v>DNA</v>
      </c>
      <c r="D2814" s="18" t="s">
        <v>3658</v>
      </c>
      <c r="E2814" s="18" t="s">
        <v>5128</v>
      </c>
      <c r="F2814" s="2" t="s">
        <v>7987</v>
      </c>
      <c r="G2814" s="2" t="s">
        <v>3296</v>
      </c>
      <c r="H2814" s="14">
        <v>2.0499999999999998</v>
      </c>
      <c r="I2814" s="2" t="s">
        <v>267</v>
      </c>
      <c r="J2814" s="2" t="s">
        <v>6555</v>
      </c>
      <c r="K2814" s="2" t="s">
        <v>1452</v>
      </c>
      <c r="L2814" s="2" t="s">
        <v>5221</v>
      </c>
      <c r="M2814" s="2" t="s">
        <v>5221</v>
      </c>
      <c r="N2814" s="2" t="s">
        <v>2317</v>
      </c>
      <c r="O2814" s="14">
        <v>20000</v>
      </c>
      <c r="P2814" s="14">
        <v>98.59</v>
      </c>
      <c r="Q2814" s="14">
        <v>282</v>
      </c>
      <c r="R2814" s="14">
        <v>578.1</v>
      </c>
      <c r="S2814" s="2" t="s">
        <v>1273</v>
      </c>
      <c r="T2814" s="2">
        <v>1.05</v>
      </c>
      <c r="U2814" s="2">
        <v>67.2</v>
      </c>
      <c r="V2814" s="2">
        <v>59</v>
      </c>
      <c r="W2814" s="2" t="s">
        <v>4336</v>
      </c>
      <c r="X2814" s="2" t="s">
        <v>7053</v>
      </c>
      <c r="Y2814" s="2">
        <v>41000</v>
      </c>
      <c r="Z2814" s="19" t="str">
        <f>HYPERLINK("https://ssdweb.co/ssdweb/hd/Vision360.html?d=925890659&amp;zoomslide=1&amp;z=1925890659&amp;ISCONFIRM=0","VIDEO")</f>
        <v>VIDEO</v>
      </c>
      <c r="AA2814" s="19" t="str">
        <f>HYPERLINK("https://ssdweb.co/ssdweb/CERTH/629453212.pdf","CERTI")</f>
        <v>CERTI</v>
      </c>
    </row>
    <row r="2815" spans="1:27" ht="15" x14ac:dyDescent="0.25">
      <c r="A2815" s="2">
        <v>2810</v>
      </c>
      <c r="B2815" s="39">
        <v>925921014</v>
      </c>
      <c r="C2815" s="28" t="str">
        <f>HYPERLINK("https://pld.live/RapDetail.aspx?STONELIST=925921014","DNA")</f>
        <v>DNA</v>
      </c>
      <c r="D2815" s="18" t="s">
        <v>3658</v>
      </c>
      <c r="E2815" s="18" t="s">
        <v>5128</v>
      </c>
      <c r="F2815" s="2" t="s">
        <v>7987</v>
      </c>
      <c r="G2815" s="2" t="s">
        <v>3296</v>
      </c>
      <c r="H2815" s="14">
        <v>2.0499999999999998</v>
      </c>
      <c r="I2815" s="2" t="s">
        <v>267</v>
      </c>
      <c r="J2815" s="2" t="s">
        <v>3942</v>
      </c>
      <c r="K2815" s="2" t="s">
        <v>1452</v>
      </c>
      <c r="L2815" s="2" t="s">
        <v>5221</v>
      </c>
      <c r="M2815" s="2" t="s">
        <v>5221</v>
      </c>
      <c r="N2815" s="2" t="s">
        <v>2317</v>
      </c>
      <c r="O2815" s="14">
        <v>18500</v>
      </c>
      <c r="P2815" s="14">
        <v>99.11</v>
      </c>
      <c r="Q2815" s="14">
        <v>164.65</v>
      </c>
      <c r="R2815" s="14">
        <v>337.53</v>
      </c>
      <c r="S2815" s="2" t="s">
        <v>1169</v>
      </c>
      <c r="T2815" s="2">
        <v>1.04</v>
      </c>
      <c r="U2815" s="2">
        <v>64.400000000000006</v>
      </c>
      <c r="V2815" s="2">
        <v>60</v>
      </c>
      <c r="W2815" s="2" t="s">
        <v>7862</v>
      </c>
      <c r="X2815" s="2" t="s">
        <v>7670</v>
      </c>
      <c r="Y2815" s="2">
        <v>37925</v>
      </c>
      <c r="Z2815" s="19" t="str">
        <f>HYPERLINK("https://ssdweb.co/ssdweb/hd/Vision360.html?d=925921014&amp;zoomslide=1&amp;z=1925921014&amp;ISCONFIRM=0","VIDEO")</f>
        <v>VIDEO</v>
      </c>
      <c r="AA2815" s="19" t="str">
        <f>HYPERLINK("https://ssdweb.co/ssdweb/CERTH/629453122.pdf","CERTI")</f>
        <v>CERTI</v>
      </c>
    </row>
    <row r="2816" spans="1:27" ht="15" x14ac:dyDescent="0.25">
      <c r="A2816" s="2">
        <v>2811</v>
      </c>
      <c r="B2816" s="39">
        <v>925961157</v>
      </c>
      <c r="C2816" s="28" t="str">
        <f>HYPERLINK("https://pld.live/RapDetail.aspx?STONELIST=925961157","DNA")</f>
        <v>DNA</v>
      </c>
      <c r="D2816" s="18" t="s">
        <v>3658</v>
      </c>
      <c r="E2816" s="18" t="s">
        <v>5128</v>
      </c>
      <c r="F2816" s="2" t="s">
        <v>7987</v>
      </c>
      <c r="G2816" s="2" t="s">
        <v>3296</v>
      </c>
      <c r="H2816" s="14">
        <v>2.0499999999999998</v>
      </c>
      <c r="I2816" s="2" t="s">
        <v>267</v>
      </c>
      <c r="J2816" s="2" t="s">
        <v>3942</v>
      </c>
      <c r="K2816" s="2" t="s">
        <v>1452</v>
      </c>
      <c r="L2816" s="2" t="s">
        <v>5221</v>
      </c>
      <c r="M2816" s="2" t="s">
        <v>5221</v>
      </c>
      <c r="N2816" s="2" t="s">
        <v>2317</v>
      </c>
      <c r="O2816" s="14">
        <v>18500</v>
      </c>
      <c r="P2816" s="14">
        <v>99.11</v>
      </c>
      <c r="Q2816" s="14">
        <v>164.65</v>
      </c>
      <c r="R2816" s="14">
        <v>337.53</v>
      </c>
      <c r="S2816" s="2" t="s">
        <v>867</v>
      </c>
      <c r="T2816" s="2">
        <v>1.02</v>
      </c>
      <c r="U2816" s="2">
        <v>67.3</v>
      </c>
      <c r="V2816" s="2">
        <v>60</v>
      </c>
      <c r="W2816" s="2" t="s">
        <v>7862</v>
      </c>
      <c r="X2816" s="2" t="s">
        <v>7670</v>
      </c>
      <c r="Y2816" s="2">
        <v>37925</v>
      </c>
      <c r="Z2816" s="19" t="str">
        <f>HYPERLINK("https://ssdweb.co/ssdweb/hd/Vision360.html?d=925961157&amp;zoomslide=1&amp;z=1925961157&amp;ISCONFIRM=0","VIDEO")</f>
        <v>VIDEO</v>
      </c>
      <c r="AA2816" s="19" t="str">
        <f>HYPERLINK("https://ssdweb.co/ssdweb/CERTH/629453261.pdf","CERTI")</f>
        <v>CERTI</v>
      </c>
    </row>
    <row r="2817" spans="1:27" ht="15" x14ac:dyDescent="0.25">
      <c r="A2817" s="2">
        <v>2812</v>
      </c>
      <c r="B2817" s="39">
        <v>925771339</v>
      </c>
      <c r="C2817" s="28" t="str">
        <f>HYPERLINK("https://pld.live/RapDetail.aspx?STONELIST=925771339","DNA")</f>
        <v>DNA</v>
      </c>
      <c r="D2817" s="18" t="s">
        <v>3658</v>
      </c>
      <c r="E2817" s="18" t="s">
        <v>5128</v>
      </c>
      <c r="F2817" s="2" t="s">
        <v>7987</v>
      </c>
      <c r="G2817" s="2" t="s">
        <v>3296</v>
      </c>
      <c r="H2817" s="14">
        <v>2.0499999999999998</v>
      </c>
      <c r="I2817" s="2" t="s">
        <v>267</v>
      </c>
      <c r="J2817" s="2" t="s">
        <v>3942</v>
      </c>
      <c r="K2817" s="2" t="s">
        <v>1452</v>
      </c>
      <c r="L2817" s="2" t="s">
        <v>5221</v>
      </c>
      <c r="M2817" s="2" t="s">
        <v>5221</v>
      </c>
      <c r="N2817" s="2" t="s">
        <v>2317</v>
      </c>
      <c r="O2817" s="14">
        <v>18500</v>
      </c>
      <c r="P2817" s="14">
        <v>99.11</v>
      </c>
      <c r="Q2817" s="14">
        <v>164.65</v>
      </c>
      <c r="R2817" s="14">
        <v>337.53</v>
      </c>
      <c r="S2817" s="2" t="s">
        <v>2594</v>
      </c>
      <c r="T2817" s="2">
        <v>1.05</v>
      </c>
      <c r="U2817" s="2">
        <v>67.3</v>
      </c>
      <c r="V2817" s="2">
        <v>60</v>
      </c>
      <c r="W2817" s="2" t="s">
        <v>7862</v>
      </c>
      <c r="X2817" s="2" t="s">
        <v>7670</v>
      </c>
      <c r="Y2817" s="2">
        <v>37925</v>
      </c>
      <c r="Z2817" s="19" t="str">
        <f>HYPERLINK("https://ssdweb.co/ssdweb/hd/Vision360.html?d=925771339&amp;zoomslide=1&amp;z=1925771339&amp;ISCONFIRM=0","VIDEO")</f>
        <v>VIDEO</v>
      </c>
      <c r="AA2817" s="19" t="str">
        <f>HYPERLINK("https://ssdweb.co/ssdweb/CERTH/627471596.pdf","CERTI")</f>
        <v>CERTI</v>
      </c>
    </row>
    <row r="2818" spans="1:27" ht="15" x14ac:dyDescent="0.25">
      <c r="A2818" s="2">
        <v>2813</v>
      </c>
      <c r="B2818" s="39">
        <v>925861828</v>
      </c>
      <c r="C2818" s="28" t="str">
        <f>HYPERLINK("https://pld.live/RapDetail.aspx?STONELIST=925861828","DNA")</f>
        <v>DNA</v>
      </c>
      <c r="D2818" s="18" t="s">
        <v>3658</v>
      </c>
      <c r="E2818" s="18" t="s">
        <v>5128</v>
      </c>
      <c r="F2818" s="2" t="s">
        <v>5597</v>
      </c>
      <c r="G2818" s="2" t="s">
        <v>3296</v>
      </c>
      <c r="H2818" s="14">
        <v>2.04</v>
      </c>
      <c r="I2818" s="2" t="s">
        <v>267</v>
      </c>
      <c r="J2818" s="2" t="s">
        <v>6555</v>
      </c>
      <c r="K2818" s="2" t="s">
        <v>1452</v>
      </c>
      <c r="L2818" s="2" t="s">
        <v>5221</v>
      </c>
      <c r="M2818" s="2" t="s">
        <v>5221</v>
      </c>
      <c r="N2818" s="2" t="s">
        <v>2317</v>
      </c>
      <c r="O2818" s="14">
        <v>20000</v>
      </c>
      <c r="P2818" s="14">
        <v>98.08</v>
      </c>
      <c r="Q2818" s="14">
        <v>384</v>
      </c>
      <c r="R2818" s="14">
        <v>783.36</v>
      </c>
      <c r="S2818" s="2" t="s">
        <v>5793</v>
      </c>
      <c r="T2818" s="2">
        <v>1.05</v>
      </c>
      <c r="U2818" s="2">
        <v>63.8</v>
      </c>
      <c r="V2818" s="2">
        <v>61</v>
      </c>
      <c r="W2818" s="2" t="s">
        <v>7862</v>
      </c>
      <c r="X2818" s="2" t="s">
        <v>7053</v>
      </c>
      <c r="Y2818" s="2">
        <v>40800</v>
      </c>
      <c r="Z2818" s="19" t="str">
        <f>HYPERLINK("https://ssdweb.co/ssdweb/hd/Vision360.html?d=925861828&amp;zoomslide=1&amp;z=1925861828&amp;ISCONFIRM=0","VIDEO")</f>
        <v>VIDEO</v>
      </c>
      <c r="AA2818" s="19" t="str">
        <f>HYPERLINK("https://ssdweb.co/ssdweb/CERTH/6485994146.pdf","CERTI")</f>
        <v>CERTI</v>
      </c>
    </row>
    <row r="2819" spans="1:27" ht="15" x14ac:dyDescent="0.25">
      <c r="A2819" s="2">
        <v>2814</v>
      </c>
      <c r="B2819" s="39">
        <v>925310396</v>
      </c>
      <c r="C2819" s="28" t="str">
        <f>HYPERLINK("https://pld.live/RapDetail.aspx?STONELIST=925310396","DNA")</f>
        <v>DNA</v>
      </c>
      <c r="D2819" s="18" t="s">
        <v>3658</v>
      </c>
      <c r="E2819" s="18" t="s">
        <v>5128</v>
      </c>
      <c r="F2819" s="2" t="s">
        <v>7987</v>
      </c>
      <c r="G2819" s="2" t="s">
        <v>3296</v>
      </c>
      <c r="H2819" s="14">
        <v>2.04</v>
      </c>
      <c r="I2819" s="2" t="s">
        <v>267</v>
      </c>
      <c r="J2819" s="2" t="s">
        <v>6555</v>
      </c>
      <c r="K2819" s="2" t="s">
        <v>1452</v>
      </c>
      <c r="L2819" s="2" t="s">
        <v>5221</v>
      </c>
      <c r="M2819" s="2" t="s">
        <v>5221</v>
      </c>
      <c r="N2819" s="2" t="s">
        <v>2317</v>
      </c>
      <c r="O2819" s="14">
        <v>20000</v>
      </c>
      <c r="P2819" s="14">
        <v>98.58</v>
      </c>
      <c r="Q2819" s="14">
        <v>284</v>
      </c>
      <c r="R2819" s="14">
        <v>579.36</v>
      </c>
      <c r="S2819" s="2" t="s">
        <v>272</v>
      </c>
      <c r="T2819" s="2">
        <v>1.01</v>
      </c>
      <c r="U2819" s="2">
        <v>67.400000000000006</v>
      </c>
      <c r="V2819" s="2">
        <v>61</v>
      </c>
      <c r="W2819" s="2" t="s">
        <v>7862</v>
      </c>
      <c r="X2819" s="2" t="s">
        <v>7670</v>
      </c>
      <c r="Y2819" s="2">
        <v>40800</v>
      </c>
      <c r="Z2819" s="19" t="str">
        <f>HYPERLINK("https://ssdweb.co/ssdweb/hd/Vision360.html?d=925310396&amp;zoomslide=1&amp;z=1925310396&amp;ISCONFIRM=0","VIDEO")</f>
        <v>VIDEO</v>
      </c>
      <c r="AA2819" s="19" t="str">
        <f>HYPERLINK("https://ssdweb.co/ssdweb/CERTH/621448140.pdf","CERTI")</f>
        <v>CERTI</v>
      </c>
    </row>
    <row r="2820" spans="1:27" ht="15" x14ac:dyDescent="0.25">
      <c r="A2820" s="2">
        <v>2815</v>
      </c>
      <c r="B2820" s="39">
        <v>925732052</v>
      </c>
      <c r="C2820" s="28" t="str">
        <f>HYPERLINK("https://pld.live/RapDetail.aspx?STONELIST=925732052","DNA")</f>
        <v>DNA</v>
      </c>
      <c r="D2820" s="18" t="s">
        <v>3658</v>
      </c>
      <c r="E2820" s="18" t="s">
        <v>5128</v>
      </c>
      <c r="F2820" s="2" t="s">
        <v>7987</v>
      </c>
      <c r="G2820" s="2" t="s">
        <v>3296</v>
      </c>
      <c r="H2820" s="14">
        <v>2.04</v>
      </c>
      <c r="I2820" s="2" t="s">
        <v>267</v>
      </c>
      <c r="J2820" s="2" t="s">
        <v>3942</v>
      </c>
      <c r="K2820" s="2" t="s">
        <v>1452</v>
      </c>
      <c r="L2820" s="2" t="s">
        <v>5221</v>
      </c>
      <c r="M2820" s="2" t="s">
        <v>5221</v>
      </c>
      <c r="N2820" s="2" t="s">
        <v>2317</v>
      </c>
      <c r="O2820" s="14">
        <v>18500</v>
      </c>
      <c r="P2820" s="14">
        <v>99.11</v>
      </c>
      <c r="Q2820" s="14">
        <v>164.65</v>
      </c>
      <c r="R2820" s="14">
        <v>335.89</v>
      </c>
      <c r="S2820" s="2" t="s">
        <v>6365</v>
      </c>
      <c r="T2820" s="2">
        <v>1.01</v>
      </c>
      <c r="U2820" s="2">
        <v>65.8</v>
      </c>
      <c r="V2820" s="2">
        <v>61</v>
      </c>
      <c r="W2820" s="2" t="s">
        <v>7862</v>
      </c>
      <c r="X2820" s="2" t="s">
        <v>7670</v>
      </c>
      <c r="Y2820" s="2">
        <v>37740</v>
      </c>
      <c r="Z2820" s="19" t="str">
        <f>HYPERLINK("https://ssdweb.co/ssdweb/hd/Vision360.html?d=925732052&amp;zoomslide=1&amp;z=1925732052&amp;ISCONFIRM=0","VIDEO")</f>
        <v>VIDEO</v>
      </c>
      <c r="AA2820" s="19" t="str">
        <f>HYPERLINK("https://ssdweb.co/ssdweb/CERTH/626457364.pdf","CERTI")</f>
        <v>CERTI</v>
      </c>
    </row>
    <row r="2821" spans="1:27" ht="15" x14ac:dyDescent="0.25">
      <c r="A2821" s="2">
        <v>2816</v>
      </c>
      <c r="B2821" s="39">
        <v>925771159</v>
      </c>
      <c r="C2821" s="28" t="str">
        <f>HYPERLINK("https://pld.live/RapDetail.aspx?STONELIST=925771159","DNA")</f>
        <v>DNA</v>
      </c>
      <c r="D2821" s="18" t="s">
        <v>3658</v>
      </c>
      <c r="E2821" s="18" t="s">
        <v>5128</v>
      </c>
      <c r="F2821" s="2" t="s">
        <v>7987</v>
      </c>
      <c r="G2821" s="2" t="s">
        <v>3296</v>
      </c>
      <c r="H2821" s="14">
        <v>2.04</v>
      </c>
      <c r="I2821" s="2" t="s">
        <v>267</v>
      </c>
      <c r="J2821" s="2" t="s">
        <v>3942</v>
      </c>
      <c r="K2821" s="2" t="s">
        <v>1452</v>
      </c>
      <c r="L2821" s="2" t="s">
        <v>5221</v>
      </c>
      <c r="M2821" s="2" t="s">
        <v>5221</v>
      </c>
      <c r="N2821" s="2" t="s">
        <v>2317</v>
      </c>
      <c r="O2821" s="14">
        <v>18500</v>
      </c>
      <c r="P2821" s="14">
        <v>99.11</v>
      </c>
      <c r="Q2821" s="14">
        <v>164.65</v>
      </c>
      <c r="R2821" s="14">
        <v>335.89</v>
      </c>
      <c r="S2821" s="2" t="s">
        <v>2339</v>
      </c>
      <c r="T2821" s="2">
        <v>1.04</v>
      </c>
      <c r="U2821" s="2">
        <v>63.2</v>
      </c>
      <c r="V2821" s="2">
        <v>61</v>
      </c>
      <c r="W2821" s="2" t="s">
        <v>7862</v>
      </c>
      <c r="X2821" s="2" t="s">
        <v>7670</v>
      </c>
      <c r="Y2821" s="2">
        <v>37740</v>
      </c>
      <c r="Z2821" s="19" t="str">
        <f>HYPERLINK("https://ssdweb.co/ssdweb/hd/Vision360.html?d=925771159&amp;zoomslide=1&amp;z=1925771159&amp;ISCONFIRM=0","VIDEO")</f>
        <v>VIDEO</v>
      </c>
      <c r="AA2821" s="19" t="str">
        <f>HYPERLINK("https://ssdweb.co/ssdweb/CERTH/626457268.pdf","CERTI")</f>
        <v>CERTI</v>
      </c>
    </row>
    <row r="2822" spans="1:27" ht="15" x14ac:dyDescent="0.25">
      <c r="A2822" s="2">
        <v>2817</v>
      </c>
      <c r="B2822" s="39">
        <v>926171449</v>
      </c>
      <c r="C2822" s="28" t="str">
        <f>HYPERLINK("https://pld.live/RapDetail.aspx?STONELIST=926171449","DNA")</f>
        <v>DNA</v>
      </c>
      <c r="D2822" s="18" t="s">
        <v>3658</v>
      </c>
      <c r="E2822" s="18" t="s">
        <v>5128</v>
      </c>
      <c r="F2822" s="2" t="s">
        <v>7987</v>
      </c>
      <c r="G2822" s="2" t="s">
        <v>3296</v>
      </c>
      <c r="H2822" s="14">
        <v>2.04</v>
      </c>
      <c r="I2822" s="2" t="s">
        <v>4761</v>
      </c>
      <c r="J2822" s="2" t="s">
        <v>5144</v>
      </c>
      <c r="K2822" s="2" t="s">
        <v>1452</v>
      </c>
      <c r="L2822" s="2" t="s">
        <v>5221</v>
      </c>
      <c r="M2822" s="2" t="s">
        <v>5221</v>
      </c>
      <c r="N2822" s="2" t="s">
        <v>2317</v>
      </c>
      <c r="O2822" s="14">
        <v>15000</v>
      </c>
      <c r="P2822" s="14">
        <v>99.19</v>
      </c>
      <c r="Q2822" s="14">
        <v>121.5</v>
      </c>
      <c r="R2822" s="14">
        <v>247.86</v>
      </c>
      <c r="S2822" s="2" t="s">
        <v>855</v>
      </c>
      <c r="T2822" s="2">
        <v>1.07</v>
      </c>
      <c r="U2822" s="2">
        <v>63.4</v>
      </c>
      <c r="V2822" s="2">
        <v>63</v>
      </c>
      <c r="W2822" s="2" t="s">
        <v>4336</v>
      </c>
      <c r="X2822" s="2" t="s">
        <v>3851</v>
      </c>
      <c r="Y2822" s="2">
        <v>30600</v>
      </c>
      <c r="Z2822" s="19" t="str">
        <f>HYPERLINK("https://ssdweb.co/ssdweb/hd/Vision360.html?d=926171449&amp;zoomslide=1&amp;z=1926171449&amp;ISCONFIRM=0","VIDEO")</f>
        <v>VIDEO</v>
      </c>
      <c r="AA2822" s="19" t="str">
        <f>HYPERLINK("https://ssdweb.co/ssdweb/CERTH/634431392.pdf","CERTI")</f>
        <v>CERTI</v>
      </c>
    </row>
    <row r="2823" spans="1:27" ht="15" x14ac:dyDescent="0.25">
      <c r="A2823" s="2">
        <v>2818</v>
      </c>
      <c r="B2823" s="39">
        <v>925890663</v>
      </c>
      <c r="C2823" s="28" t="str">
        <f>HYPERLINK("https://pld.live/RapDetail.aspx?STONELIST=925890663","DNA")</f>
        <v>DNA</v>
      </c>
      <c r="D2823" s="18" t="s">
        <v>3658</v>
      </c>
      <c r="E2823" s="18" t="s">
        <v>5128</v>
      </c>
      <c r="F2823" s="2" t="s">
        <v>7987</v>
      </c>
      <c r="G2823" s="2" t="s">
        <v>3296</v>
      </c>
      <c r="H2823" s="14">
        <v>2.0299999999999998</v>
      </c>
      <c r="I2823" s="2" t="s">
        <v>267</v>
      </c>
      <c r="J2823" s="2" t="s">
        <v>3942</v>
      </c>
      <c r="K2823" s="2" t="s">
        <v>1452</v>
      </c>
      <c r="L2823" s="2" t="s">
        <v>5221</v>
      </c>
      <c r="M2823" s="2" t="s">
        <v>5221</v>
      </c>
      <c r="N2823" s="2" t="s">
        <v>2317</v>
      </c>
      <c r="O2823" s="14">
        <v>18500</v>
      </c>
      <c r="P2823" s="14">
        <v>99.11</v>
      </c>
      <c r="Q2823" s="14">
        <v>164.65</v>
      </c>
      <c r="R2823" s="14">
        <v>334.24</v>
      </c>
      <c r="S2823" s="2" t="s">
        <v>1737</v>
      </c>
      <c r="T2823" s="2">
        <v>1.04</v>
      </c>
      <c r="U2823" s="2">
        <v>64.3</v>
      </c>
      <c r="V2823" s="2">
        <v>59</v>
      </c>
      <c r="W2823" s="2" t="s">
        <v>7862</v>
      </c>
      <c r="X2823" s="2" t="s">
        <v>7670</v>
      </c>
      <c r="Y2823" s="2">
        <v>37555</v>
      </c>
      <c r="Z2823" s="19" t="str">
        <f>HYPERLINK("https://ssdweb.co/ssdweb/hd/Vision360.html?d=925890663&amp;zoomslide=1&amp;z=1925890663&amp;ISCONFIRM=0","VIDEO")</f>
        <v>VIDEO</v>
      </c>
      <c r="AA2823" s="19" t="str">
        <f>HYPERLINK("https://ssdweb.co/ssdweb/CERTH/629453158.pdf","CERTI")</f>
        <v>CERTI</v>
      </c>
    </row>
    <row r="2824" spans="1:27" ht="15" x14ac:dyDescent="0.25">
      <c r="A2824" s="2">
        <v>2819</v>
      </c>
      <c r="B2824" s="39">
        <v>925971314</v>
      </c>
      <c r="C2824" s="28" t="str">
        <f>HYPERLINK("https://pld.live/RapDetail.aspx?STONELIST=925971314","DNA")</f>
        <v>DNA</v>
      </c>
      <c r="D2824" s="18" t="s">
        <v>3658</v>
      </c>
      <c r="E2824" s="18" t="s">
        <v>5128</v>
      </c>
      <c r="F2824" s="2" t="s">
        <v>7987</v>
      </c>
      <c r="G2824" s="2" t="s">
        <v>3296</v>
      </c>
      <c r="H2824" s="14">
        <v>2.0299999999999998</v>
      </c>
      <c r="I2824" s="2" t="s">
        <v>4761</v>
      </c>
      <c r="J2824" s="2" t="s">
        <v>6555</v>
      </c>
      <c r="K2824" s="2" t="s">
        <v>1452</v>
      </c>
      <c r="L2824" s="2" t="s">
        <v>5221</v>
      </c>
      <c r="M2824" s="2" t="s">
        <v>5221</v>
      </c>
      <c r="N2824" s="2" t="s">
        <v>2317</v>
      </c>
      <c r="O2824" s="14">
        <v>18500</v>
      </c>
      <c r="P2824" s="14">
        <v>98.66</v>
      </c>
      <c r="Q2824" s="14">
        <v>247.9</v>
      </c>
      <c r="R2824" s="14">
        <v>503.24</v>
      </c>
      <c r="S2824" s="2" t="s">
        <v>4334</v>
      </c>
      <c r="T2824" s="2">
        <v>1</v>
      </c>
      <c r="U2824" s="2">
        <v>67.099999999999994</v>
      </c>
      <c r="V2824" s="2">
        <v>62</v>
      </c>
      <c r="W2824" s="2" t="s">
        <v>4336</v>
      </c>
      <c r="X2824" s="2" t="s">
        <v>7670</v>
      </c>
      <c r="Y2824" s="2">
        <v>37555</v>
      </c>
      <c r="Z2824" s="19" t="str">
        <f>HYPERLINK("https://ssdweb.co/ssdweb/hd/Vision360.html?d=925971314&amp;zoomslide=1&amp;z=1925971314&amp;ISCONFIRM=0","VIDEO")</f>
        <v>VIDEO</v>
      </c>
      <c r="AA2824" s="19" t="str">
        <f>HYPERLINK("https://ssdweb.co/ssdweb/CERTH/631404453.pdf","CERTI")</f>
        <v>CERTI</v>
      </c>
    </row>
    <row r="2825" spans="1:27" ht="15" x14ac:dyDescent="0.25">
      <c r="A2825" s="2">
        <v>2820</v>
      </c>
      <c r="B2825" s="39">
        <v>926041243</v>
      </c>
      <c r="C2825" s="28" t="str">
        <f>HYPERLINK("https://pld.live/RapDetail.aspx?STONELIST=926041243","DNA")</f>
        <v>DNA</v>
      </c>
      <c r="D2825" s="18" t="s">
        <v>3658</v>
      </c>
      <c r="E2825" s="18" t="s">
        <v>5128</v>
      </c>
      <c r="F2825" s="2" t="s">
        <v>7987</v>
      </c>
      <c r="G2825" s="2" t="s">
        <v>3296</v>
      </c>
      <c r="H2825" s="14">
        <v>2.0299999999999998</v>
      </c>
      <c r="I2825" s="2" t="s">
        <v>4761</v>
      </c>
      <c r="J2825" s="2" t="s">
        <v>3942</v>
      </c>
      <c r="K2825" s="2" t="s">
        <v>1452</v>
      </c>
      <c r="L2825" s="2" t="s">
        <v>5221</v>
      </c>
      <c r="M2825" s="2" t="s">
        <v>5221</v>
      </c>
      <c r="N2825" s="2" t="s">
        <v>2317</v>
      </c>
      <c r="O2825" s="14">
        <v>17000</v>
      </c>
      <c r="P2825" s="14">
        <v>99.12</v>
      </c>
      <c r="Q2825" s="14">
        <v>149.6</v>
      </c>
      <c r="R2825" s="14">
        <v>303.69</v>
      </c>
      <c r="S2825" s="2" t="s">
        <v>7451</v>
      </c>
      <c r="T2825" s="2">
        <v>1.05</v>
      </c>
      <c r="U2825" s="2">
        <v>63.1</v>
      </c>
      <c r="V2825" s="2">
        <v>63</v>
      </c>
      <c r="W2825" s="2" t="s">
        <v>7862</v>
      </c>
      <c r="X2825" s="2" t="s">
        <v>7670</v>
      </c>
      <c r="Y2825" s="2">
        <v>34510</v>
      </c>
      <c r="Z2825" s="19" t="str">
        <f>HYPERLINK("https://ssdweb.co/ssdweb/hd/Vision360.html?d=926041243&amp;zoomslide=1&amp;z=1926041243&amp;ISCONFIRM=0","VIDEO")</f>
        <v>VIDEO</v>
      </c>
      <c r="AA2825" s="19" t="str">
        <f>HYPERLINK("https://ssdweb.co/ssdweb/CERTH/631430169.pdf","CERTI")</f>
        <v>CERTI</v>
      </c>
    </row>
    <row r="2826" spans="1:27" ht="15" x14ac:dyDescent="0.25">
      <c r="A2826" s="2">
        <v>2821</v>
      </c>
      <c r="B2826" s="39">
        <v>925552028</v>
      </c>
      <c r="C2826" s="28" t="str">
        <f>HYPERLINK("https://pld.live/RapDetail.aspx?STONELIST=925552028","DNA")</f>
        <v>DNA</v>
      </c>
      <c r="D2826" s="18" t="s">
        <v>3658</v>
      </c>
      <c r="E2826" s="18" t="s">
        <v>5128</v>
      </c>
      <c r="F2826" s="2" t="s">
        <v>7987</v>
      </c>
      <c r="G2826" s="2" t="s">
        <v>3296</v>
      </c>
      <c r="H2826" s="14">
        <v>2.0299999999999998</v>
      </c>
      <c r="I2826" s="2" t="s">
        <v>6587</v>
      </c>
      <c r="J2826" s="2" t="s">
        <v>3942</v>
      </c>
      <c r="K2826" s="2" t="s">
        <v>1452</v>
      </c>
      <c r="L2826" s="2" t="s">
        <v>5221</v>
      </c>
      <c r="M2826" s="2" t="s">
        <v>5221</v>
      </c>
      <c r="N2826" s="2" t="s">
        <v>2317</v>
      </c>
      <c r="O2826" s="14">
        <v>15000</v>
      </c>
      <c r="P2826" s="14">
        <v>99.18</v>
      </c>
      <c r="Q2826" s="14">
        <v>123</v>
      </c>
      <c r="R2826" s="14">
        <v>249.69</v>
      </c>
      <c r="S2826" s="2" t="s">
        <v>868</v>
      </c>
      <c r="T2826" s="2">
        <v>1.03</v>
      </c>
      <c r="U2826" s="2">
        <v>65.8</v>
      </c>
      <c r="V2826" s="2">
        <v>58</v>
      </c>
      <c r="W2826" s="2" t="s">
        <v>4336</v>
      </c>
      <c r="X2826" s="2" t="s">
        <v>7670</v>
      </c>
      <c r="Y2826" s="2">
        <v>30450</v>
      </c>
      <c r="Z2826" s="19" t="str">
        <f>HYPERLINK("https://ssdweb.co/ssdweb/hd/Vision360.html?d=925552028&amp;zoomslide=1&amp;z=1925552028&amp;ISCONFIRM=0","VIDEO")</f>
        <v>VIDEO</v>
      </c>
      <c r="AA2826" s="19" t="str">
        <f>HYPERLINK("https://ssdweb.co/ssdweb/CERTH/622499869.pdf","CERTI")</f>
        <v>CERTI</v>
      </c>
    </row>
    <row r="2827" spans="1:27" ht="15" x14ac:dyDescent="0.25">
      <c r="A2827" s="2">
        <v>2822</v>
      </c>
      <c r="B2827" s="39">
        <v>925801813</v>
      </c>
      <c r="C2827" s="28" t="str">
        <f>HYPERLINK("https://pld.live/RapDetail.aspx?STONELIST=925801813","DNA")</f>
        <v>DNA</v>
      </c>
      <c r="D2827" s="18" t="s">
        <v>3658</v>
      </c>
      <c r="E2827" s="18" t="s">
        <v>5128</v>
      </c>
      <c r="F2827" s="2" t="s">
        <v>7987</v>
      </c>
      <c r="G2827" s="2" t="s">
        <v>3296</v>
      </c>
      <c r="H2827" s="14">
        <v>2.02</v>
      </c>
      <c r="I2827" s="2" t="s">
        <v>267</v>
      </c>
      <c r="J2827" s="2" t="s">
        <v>6555</v>
      </c>
      <c r="K2827" s="2" t="s">
        <v>1452</v>
      </c>
      <c r="L2827" s="2" t="s">
        <v>5221</v>
      </c>
      <c r="M2827" s="2" t="s">
        <v>5221</v>
      </c>
      <c r="N2827" s="2" t="s">
        <v>2317</v>
      </c>
      <c r="O2827" s="14">
        <v>20000</v>
      </c>
      <c r="P2827" s="14">
        <v>98.58</v>
      </c>
      <c r="Q2827" s="14">
        <v>284</v>
      </c>
      <c r="R2827" s="14">
        <v>573.67999999999995</v>
      </c>
      <c r="S2827" s="2" t="s">
        <v>7520</v>
      </c>
      <c r="T2827" s="2">
        <v>1.04</v>
      </c>
      <c r="U2827" s="2">
        <v>64.099999999999994</v>
      </c>
      <c r="V2827" s="2">
        <v>60</v>
      </c>
      <c r="W2827" s="2" t="s">
        <v>7862</v>
      </c>
      <c r="X2827" s="2" t="s">
        <v>7670</v>
      </c>
      <c r="Y2827" s="2">
        <v>40400</v>
      </c>
      <c r="Z2827" s="19" t="str">
        <f>HYPERLINK("https://ssdweb.co/ssdweb/hd/Vision360.html?d=925801813&amp;zoomslide=1&amp;z=1925801813&amp;ISCONFIRM=0","VIDEO")</f>
        <v>VIDEO</v>
      </c>
      <c r="AA2827" s="19" t="str">
        <f>HYPERLINK("https://ssdweb.co/ssdweb/CERTH/626499252.pdf","CERTI")</f>
        <v>CERTI</v>
      </c>
    </row>
    <row r="2828" spans="1:27" ht="15" x14ac:dyDescent="0.25">
      <c r="A2828" s="2">
        <v>2823</v>
      </c>
      <c r="B2828" s="39">
        <v>925732132</v>
      </c>
      <c r="C2828" s="28" t="str">
        <f>HYPERLINK("https://pld.live/RapDetail.aspx?STONELIST=925732132","DNA")</f>
        <v>DNA</v>
      </c>
      <c r="D2828" s="18" t="s">
        <v>3658</v>
      </c>
      <c r="E2828" s="18" t="s">
        <v>5128</v>
      </c>
      <c r="F2828" s="2" t="s">
        <v>7987</v>
      </c>
      <c r="G2828" s="2" t="s">
        <v>3296</v>
      </c>
      <c r="H2828" s="14">
        <v>2.02</v>
      </c>
      <c r="I2828" s="2" t="s">
        <v>267</v>
      </c>
      <c r="J2828" s="2" t="s">
        <v>3942</v>
      </c>
      <c r="K2828" s="2" t="s">
        <v>1452</v>
      </c>
      <c r="L2828" s="2" t="s">
        <v>5221</v>
      </c>
      <c r="M2828" s="2" t="s">
        <v>5221</v>
      </c>
      <c r="N2828" s="2" t="s">
        <v>2317</v>
      </c>
      <c r="O2828" s="14">
        <v>18500</v>
      </c>
      <c r="P2828" s="14">
        <v>99.11</v>
      </c>
      <c r="Q2828" s="14">
        <v>164.65</v>
      </c>
      <c r="R2828" s="14">
        <v>332.59</v>
      </c>
      <c r="S2828" s="2" t="s">
        <v>3734</v>
      </c>
      <c r="T2828" s="2">
        <v>1.05</v>
      </c>
      <c r="U2828" s="2">
        <v>64</v>
      </c>
      <c r="V2828" s="2">
        <v>56</v>
      </c>
      <c r="W2828" s="2" t="s">
        <v>7862</v>
      </c>
      <c r="X2828" s="2" t="s">
        <v>7670</v>
      </c>
      <c r="Y2828" s="2">
        <v>37370</v>
      </c>
      <c r="Z2828" s="19" t="str">
        <f>HYPERLINK("https://ssdweb.co/ssdweb/hd/Vision360.html?d=925732132&amp;zoomslide=1&amp;z=1925732132&amp;ISCONFIRM=0","VIDEO")</f>
        <v>VIDEO</v>
      </c>
      <c r="AA2828" s="19" t="str">
        <f>HYPERLINK("https://ssdweb.co/ssdweb/CERTH/626457362.pdf","CERTI")</f>
        <v>CERTI</v>
      </c>
    </row>
    <row r="2829" spans="1:27" ht="15" x14ac:dyDescent="0.25">
      <c r="A2829" s="2">
        <v>2824</v>
      </c>
      <c r="B2829" s="39">
        <v>925552046</v>
      </c>
      <c r="C2829" s="28" t="str">
        <f>HYPERLINK("https://pld.live/RapDetail.aspx?STONELIST=925552046","DNA")</f>
        <v>DNA</v>
      </c>
      <c r="D2829" s="18" t="s">
        <v>3658</v>
      </c>
      <c r="E2829" s="18" t="s">
        <v>5128</v>
      </c>
      <c r="F2829" s="2" t="s">
        <v>7987</v>
      </c>
      <c r="G2829" s="2" t="s">
        <v>3296</v>
      </c>
      <c r="H2829" s="14">
        <v>2.02</v>
      </c>
      <c r="I2829" s="2" t="s">
        <v>267</v>
      </c>
      <c r="J2829" s="2" t="s">
        <v>3942</v>
      </c>
      <c r="K2829" s="2" t="s">
        <v>1452</v>
      </c>
      <c r="L2829" s="2" t="s">
        <v>5221</v>
      </c>
      <c r="M2829" s="2" t="s">
        <v>5221</v>
      </c>
      <c r="N2829" s="2" t="s">
        <v>2317</v>
      </c>
      <c r="O2829" s="14">
        <v>18500</v>
      </c>
      <c r="P2829" s="14">
        <v>99.11</v>
      </c>
      <c r="Q2829" s="14">
        <v>164.65</v>
      </c>
      <c r="R2829" s="14">
        <v>332.59</v>
      </c>
      <c r="S2829" s="2" t="s">
        <v>1678</v>
      </c>
      <c r="T2829" s="2">
        <v>1.04</v>
      </c>
      <c r="U2829" s="2">
        <v>64</v>
      </c>
      <c r="V2829" s="2">
        <v>61</v>
      </c>
      <c r="W2829" s="2" t="s">
        <v>7862</v>
      </c>
      <c r="X2829" s="2" t="s">
        <v>7670</v>
      </c>
      <c r="Y2829" s="2">
        <v>37370</v>
      </c>
      <c r="Z2829" s="19" t="str">
        <f>HYPERLINK("https://ssdweb.co/ssdweb/hd/Vision360.html?d=925552046&amp;zoomslide=1&amp;z=1925552046&amp;ISCONFIRM=0","VIDEO")</f>
        <v>VIDEO</v>
      </c>
      <c r="AA2829" s="19" t="str">
        <f>HYPERLINK("https://ssdweb.co/ssdweb/CERTH/624420556.pdf","CERTI")</f>
        <v>CERTI</v>
      </c>
    </row>
    <row r="2830" spans="1:27" ht="15" x14ac:dyDescent="0.25">
      <c r="A2830" s="2">
        <v>2825</v>
      </c>
      <c r="B2830" s="39">
        <v>926101116</v>
      </c>
      <c r="C2830" s="28" t="str">
        <f>HYPERLINK("https://pld.live/RapDetail.aspx?STONELIST=926101116","DNA")</f>
        <v>DNA</v>
      </c>
      <c r="D2830" s="18" t="s">
        <v>3658</v>
      </c>
      <c r="E2830" s="18" t="s">
        <v>5128</v>
      </c>
      <c r="F2830" s="2" t="s">
        <v>7987</v>
      </c>
      <c r="G2830" s="2" t="s">
        <v>3296</v>
      </c>
      <c r="H2830" s="14">
        <v>2.02</v>
      </c>
      <c r="I2830" s="2" t="s">
        <v>267</v>
      </c>
      <c r="J2830" s="2" t="s">
        <v>3942</v>
      </c>
      <c r="K2830" s="2" t="s">
        <v>1452</v>
      </c>
      <c r="L2830" s="2" t="s">
        <v>5221</v>
      </c>
      <c r="M2830" s="2" t="s">
        <v>5221</v>
      </c>
      <c r="N2830" s="2" t="s">
        <v>2317</v>
      </c>
      <c r="O2830" s="14">
        <v>18500</v>
      </c>
      <c r="P2830" s="14">
        <v>99.11</v>
      </c>
      <c r="Q2830" s="14">
        <v>164.65</v>
      </c>
      <c r="R2830" s="14">
        <v>332.59</v>
      </c>
      <c r="S2830" s="2" t="s">
        <v>6771</v>
      </c>
      <c r="T2830" s="2">
        <v>1.04</v>
      </c>
      <c r="U2830" s="2">
        <v>69.099999999999994</v>
      </c>
      <c r="V2830" s="2">
        <v>63</v>
      </c>
      <c r="W2830" s="2" t="s">
        <v>7862</v>
      </c>
      <c r="X2830" s="2" t="s">
        <v>7670</v>
      </c>
      <c r="Y2830" s="2">
        <v>37370</v>
      </c>
      <c r="Z2830" s="19" t="str">
        <f>HYPERLINK("https://ssdweb.co/ssdweb/hd/Vision360.html?d=926101116&amp;zoomslide=1&amp;z=1926101116&amp;ISCONFIRM=0","VIDEO")</f>
        <v>VIDEO</v>
      </c>
      <c r="AA2830" s="19" t="str">
        <f>HYPERLINK("https://ssdweb.co/ssdweb/CERTH/632488296.pdf","CERTI")</f>
        <v>CERTI</v>
      </c>
    </row>
    <row r="2831" spans="1:27" ht="15" x14ac:dyDescent="0.25">
      <c r="A2831" s="2">
        <v>2826</v>
      </c>
      <c r="B2831" s="39">
        <v>925861769</v>
      </c>
      <c r="C2831" s="28" t="str">
        <f>HYPERLINK("https://pld.live/RapDetail.aspx?STONELIST=925861769","DNA")</f>
        <v>DNA</v>
      </c>
      <c r="D2831" s="18" t="s">
        <v>3658</v>
      </c>
      <c r="E2831" s="18" t="s">
        <v>5128</v>
      </c>
      <c r="F2831" s="2" t="s">
        <v>7987</v>
      </c>
      <c r="G2831" s="2" t="s">
        <v>3296</v>
      </c>
      <c r="H2831" s="14">
        <v>2.02</v>
      </c>
      <c r="I2831" s="2" t="s">
        <v>267</v>
      </c>
      <c r="J2831" s="2" t="s">
        <v>13</v>
      </c>
      <c r="K2831" s="2" t="s">
        <v>1452</v>
      </c>
      <c r="L2831" s="2" t="s">
        <v>5221</v>
      </c>
      <c r="M2831" s="2" t="s">
        <v>5221</v>
      </c>
      <c r="N2831" s="2" t="s">
        <v>2317</v>
      </c>
      <c r="O2831" s="14">
        <v>17500</v>
      </c>
      <c r="P2831" s="14">
        <v>99.17</v>
      </c>
      <c r="Q2831" s="14">
        <v>145.25</v>
      </c>
      <c r="R2831" s="14">
        <v>293.41000000000003</v>
      </c>
      <c r="S2831" s="2" t="s">
        <v>2023</v>
      </c>
      <c r="T2831" s="2">
        <v>1.07</v>
      </c>
      <c r="U2831" s="2">
        <v>67.8</v>
      </c>
      <c r="V2831" s="2">
        <v>63</v>
      </c>
      <c r="W2831" s="2" t="s">
        <v>7862</v>
      </c>
      <c r="X2831" s="2" t="s">
        <v>3851</v>
      </c>
      <c r="Y2831" s="2">
        <v>35350</v>
      </c>
      <c r="Z2831" s="19" t="str">
        <f>HYPERLINK("https://ssdweb.co/ssdweb/hd/Vision360.html?d=925861769&amp;zoomslide=1&amp;z=1925861769&amp;ISCONFIRM=0","VIDEO")</f>
        <v>VIDEO</v>
      </c>
      <c r="AA2831" s="19" t="str">
        <f>HYPERLINK("https://ssdweb.co/ssdweb/CERTH/627410512.pdf","CERTI")</f>
        <v>CERTI</v>
      </c>
    </row>
    <row r="2832" spans="1:27" ht="15" x14ac:dyDescent="0.25">
      <c r="A2832" s="2">
        <v>2827</v>
      </c>
      <c r="B2832" s="39">
        <v>925971304</v>
      </c>
      <c r="C2832" s="28" t="str">
        <f>HYPERLINK("https://pld.live/RapDetail.aspx?STONELIST=925971304","DNA")</f>
        <v>DNA</v>
      </c>
      <c r="D2832" s="18" t="s">
        <v>3658</v>
      </c>
      <c r="E2832" s="18" t="s">
        <v>5128</v>
      </c>
      <c r="F2832" s="2" t="s">
        <v>7987</v>
      </c>
      <c r="G2832" s="2" t="s">
        <v>3296</v>
      </c>
      <c r="H2832" s="14">
        <v>2.02</v>
      </c>
      <c r="I2832" s="2" t="s">
        <v>4761</v>
      </c>
      <c r="J2832" s="2" t="s">
        <v>6555</v>
      </c>
      <c r="K2832" s="2" t="s">
        <v>1452</v>
      </c>
      <c r="L2832" s="2" t="s">
        <v>5221</v>
      </c>
      <c r="M2832" s="2" t="s">
        <v>5221</v>
      </c>
      <c r="N2832" s="2" t="s">
        <v>2317</v>
      </c>
      <c r="O2832" s="14">
        <v>18500</v>
      </c>
      <c r="P2832" s="14">
        <v>98.65</v>
      </c>
      <c r="Q2832" s="14">
        <v>249.75</v>
      </c>
      <c r="R2832" s="14">
        <v>504.5</v>
      </c>
      <c r="S2832" s="2" t="s">
        <v>7062</v>
      </c>
      <c r="T2832" s="2">
        <v>1.06</v>
      </c>
      <c r="U2832" s="2">
        <v>68.599999999999994</v>
      </c>
      <c r="V2832" s="2">
        <v>63</v>
      </c>
      <c r="W2832" s="2" t="s">
        <v>7862</v>
      </c>
      <c r="X2832" s="2" t="s">
        <v>3851</v>
      </c>
      <c r="Y2832" s="2">
        <v>37370</v>
      </c>
      <c r="Z2832" s="19" t="str">
        <f>HYPERLINK("https://ssdweb.co/ssdweb/hd/Vision360.html?d=925971304&amp;zoomslide=1&amp;z=1925971304&amp;ISCONFIRM=0","VIDEO")</f>
        <v>VIDEO</v>
      </c>
      <c r="AA2832" s="19" t="str">
        <f>HYPERLINK("https://ssdweb.co/ssdweb/CERTH/630447780.pdf","CERTI")</f>
        <v>CERTI</v>
      </c>
    </row>
    <row r="2833" spans="1:27" ht="15" x14ac:dyDescent="0.25">
      <c r="A2833" s="2">
        <v>2828</v>
      </c>
      <c r="B2833" s="39">
        <v>926171459</v>
      </c>
      <c r="C2833" s="28" t="str">
        <f>HYPERLINK("https://pld.live/RapDetail.aspx?STONELIST=926171459","DNA")</f>
        <v>DNA</v>
      </c>
      <c r="D2833" s="18" t="s">
        <v>3658</v>
      </c>
      <c r="E2833" s="18" t="s">
        <v>5128</v>
      </c>
      <c r="F2833" s="2" t="s">
        <v>7987</v>
      </c>
      <c r="G2833" s="2" t="s">
        <v>3296</v>
      </c>
      <c r="H2833" s="14">
        <v>2.02</v>
      </c>
      <c r="I2833" s="2" t="s">
        <v>4761</v>
      </c>
      <c r="J2833" s="2" t="s">
        <v>3942</v>
      </c>
      <c r="K2833" s="2" t="s">
        <v>1452</v>
      </c>
      <c r="L2833" s="2" t="s">
        <v>5221</v>
      </c>
      <c r="M2833" s="2" t="s">
        <v>5221</v>
      </c>
      <c r="N2833" s="2" t="s">
        <v>2317</v>
      </c>
      <c r="O2833" s="14">
        <v>17000</v>
      </c>
      <c r="P2833" s="14">
        <v>99.1</v>
      </c>
      <c r="Q2833" s="14">
        <v>153</v>
      </c>
      <c r="R2833" s="14">
        <v>309.06</v>
      </c>
      <c r="S2833" s="2" t="s">
        <v>1562</v>
      </c>
      <c r="T2833" s="2">
        <v>1.04</v>
      </c>
      <c r="U2833" s="2">
        <v>67.2</v>
      </c>
      <c r="V2833" s="2">
        <v>59</v>
      </c>
      <c r="W2833" s="2" t="s">
        <v>7862</v>
      </c>
      <c r="X2833" s="2" t="s">
        <v>7670</v>
      </c>
      <c r="Y2833" s="2">
        <v>34340</v>
      </c>
      <c r="Z2833" s="19" t="str">
        <f>HYPERLINK("https://ssdweb.co/ssdweb/hd/Vision360.html?d=926171459&amp;zoomslide=1&amp;z=1926171459&amp;ISCONFIRM=0","VIDEO")</f>
        <v>VIDEO</v>
      </c>
      <c r="AA2833" s="19" t="str">
        <f>HYPERLINK("https://ssdweb.co/ssdweb/CERTH/634431510.pdf","CERTI")</f>
        <v>CERTI</v>
      </c>
    </row>
    <row r="2834" spans="1:27" ht="15" x14ac:dyDescent="0.25">
      <c r="A2834" s="2">
        <v>2829</v>
      </c>
      <c r="B2834" s="39">
        <v>926171119</v>
      </c>
      <c r="C2834" s="28" t="str">
        <f>HYPERLINK("https://pld.live/RapDetail.aspx?STONELIST=926171119","DNA")</f>
        <v>DNA</v>
      </c>
      <c r="D2834" s="18" t="s">
        <v>3658</v>
      </c>
      <c r="E2834" s="18" t="s">
        <v>5128</v>
      </c>
      <c r="F2834" s="2" t="s">
        <v>7987</v>
      </c>
      <c r="G2834" s="2" t="s">
        <v>3296</v>
      </c>
      <c r="H2834" s="14">
        <v>2.02</v>
      </c>
      <c r="I2834" s="2" t="s">
        <v>4761</v>
      </c>
      <c r="J2834" s="2" t="s">
        <v>5144</v>
      </c>
      <c r="K2834" s="2" t="s">
        <v>1452</v>
      </c>
      <c r="L2834" s="2" t="s">
        <v>5221</v>
      </c>
      <c r="M2834" s="2" t="s">
        <v>5221</v>
      </c>
      <c r="N2834" s="2" t="s">
        <v>2317</v>
      </c>
      <c r="O2834" s="14">
        <v>15000</v>
      </c>
      <c r="P2834" s="14">
        <v>99.18</v>
      </c>
      <c r="Q2834" s="14">
        <v>123</v>
      </c>
      <c r="R2834" s="14">
        <v>248.46</v>
      </c>
      <c r="S2834" s="2" t="s">
        <v>3747</v>
      </c>
      <c r="T2834" s="2">
        <v>1.05</v>
      </c>
      <c r="U2834" s="2">
        <v>65.2</v>
      </c>
      <c r="V2834" s="2">
        <v>60</v>
      </c>
      <c r="W2834" s="2" t="s">
        <v>7862</v>
      </c>
      <c r="X2834" s="2" t="s">
        <v>7670</v>
      </c>
      <c r="Y2834" s="2">
        <v>30300</v>
      </c>
      <c r="Z2834" s="19" t="str">
        <f>HYPERLINK("https://ssdweb.co/ssdweb/hd/Vision360.html?d=926171119&amp;zoomslide=1&amp;z=1926171119&amp;ISCONFIRM=0","VIDEO")</f>
        <v>VIDEO</v>
      </c>
      <c r="AA2834" s="19" t="str">
        <f>HYPERLINK("https://ssdweb.co/ssdweb/CERTH/634472343.pdf","CERTI")</f>
        <v>CERTI</v>
      </c>
    </row>
    <row r="2835" spans="1:27" ht="15" x14ac:dyDescent="0.25">
      <c r="A2835" s="2">
        <v>2830</v>
      </c>
      <c r="B2835" s="39">
        <v>926170660</v>
      </c>
      <c r="C2835" s="28" t="str">
        <f>HYPERLINK("https://pld.live/RapDetail.aspx?STONELIST=926170660","DNA")</f>
        <v>DNA</v>
      </c>
      <c r="D2835" s="18" t="s">
        <v>3658</v>
      </c>
      <c r="E2835" s="18" t="s">
        <v>5128</v>
      </c>
      <c r="F2835" s="2" t="s">
        <v>7987</v>
      </c>
      <c r="G2835" s="2" t="s">
        <v>3296</v>
      </c>
      <c r="H2835" s="14">
        <v>2.02</v>
      </c>
      <c r="I2835" s="2" t="s">
        <v>4699</v>
      </c>
      <c r="J2835" s="2" t="s">
        <v>5144</v>
      </c>
      <c r="K2835" s="2" t="s">
        <v>1452</v>
      </c>
      <c r="L2835" s="2" t="s">
        <v>5221</v>
      </c>
      <c r="M2835" s="2" t="s">
        <v>5221</v>
      </c>
      <c r="N2835" s="2" t="s">
        <v>2317</v>
      </c>
      <c r="O2835" s="14">
        <v>14000</v>
      </c>
      <c r="P2835" s="14">
        <v>99.18</v>
      </c>
      <c r="Q2835" s="14">
        <v>114.8</v>
      </c>
      <c r="R2835" s="14">
        <v>231.9</v>
      </c>
      <c r="S2835" s="2" t="s">
        <v>6489</v>
      </c>
      <c r="T2835" s="2">
        <v>1.01</v>
      </c>
      <c r="U2835" s="2">
        <v>65.400000000000006</v>
      </c>
      <c r="V2835" s="2">
        <v>61</v>
      </c>
      <c r="W2835" s="2" t="s">
        <v>7862</v>
      </c>
      <c r="X2835" s="2" t="s">
        <v>7670</v>
      </c>
      <c r="Y2835" s="2">
        <v>28280</v>
      </c>
      <c r="Z2835" s="19" t="str">
        <f>HYPERLINK("https://ssdweb.co/ssdweb/hd/Vision360.html?d=926170660&amp;zoomslide=1&amp;z=1926170660&amp;ISCONFIRM=0","VIDEO")</f>
        <v>VIDEO</v>
      </c>
      <c r="AA2835" s="19" t="str">
        <f>HYPERLINK("https://ssdweb.co/ssdweb/CERTH/633490571.pdf","CERTI")</f>
        <v>CERTI</v>
      </c>
    </row>
    <row r="2836" spans="1:27" ht="15" x14ac:dyDescent="0.25">
      <c r="A2836" s="2">
        <v>2831</v>
      </c>
      <c r="B2836" s="39">
        <v>925981256</v>
      </c>
      <c r="C2836" s="28" t="str">
        <f>HYPERLINK("https://pld.live/RapDetail.aspx?STONELIST=925981256","DNA")</f>
        <v>DNA</v>
      </c>
      <c r="D2836" s="18" t="s">
        <v>3658</v>
      </c>
      <c r="E2836" s="18" t="s">
        <v>5128</v>
      </c>
      <c r="F2836" s="2" t="s">
        <v>7987</v>
      </c>
      <c r="G2836" s="2" t="s">
        <v>3296</v>
      </c>
      <c r="H2836" s="14">
        <v>2.0099999999999998</v>
      </c>
      <c r="I2836" s="2" t="s">
        <v>267</v>
      </c>
      <c r="J2836" s="2" t="s">
        <v>6555</v>
      </c>
      <c r="K2836" s="2" t="s">
        <v>1452</v>
      </c>
      <c r="L2836" s="2" t="s">
        <v>5221</v>
      </c>
      <c r="M2836" s="2" t="s">
        <v>5221</v>
      </c>
      <c r="N2836" s="2" t="s">
        <v>2317</v>
      </c>
      <c r="O2836" s="14">
        <v>20000</v>
      </c>
      <c r="P2836" s="14">
        <v>98.59</v>
      </c>
      <c r="Q2836" s="14">
        <v>282</v>
      </c>
      <c r="R2836" s="14">
        <v>566.82000000000005</v>
      </c>
      <c r="S2836" s="2" t="s">
        <v>1099</v>
      </c>
      <c r="T2836" s="2">
        <v>1.04</v>
      </c>
      <c r="U2836" s="2">
        <v>65.400000000000006</v>
      </c>
      <c r="V2836" s="2">
        <v>59</v>
      </c>
      <c r="W2836" s="2" t="s">
        <v>4336</v>
      </c>
      <c r="X2836" s="2" t="s">
        <v>7670</v>
      </c>
      <c r="Y2836" s="2">
        <v>40200</v>
      </c>
      <c r="Z2836" s="19" t="str">
        <f>HYPERLINK("https://ssdweb.co/ssdweb/hd/Vision360.html?d=925981256&amp;zoomslide=1&amp;z=1925981256&amp;ISCONFIRM=0","VIDEO")</f>
        <v>VIDEO</v>
      </c>
      <c r="AA2836" s="19" t="str">
        <f>HYPERLINK("https://ssdweb.co/ssdweb/CERTH/631430233.pdf","CERTI")</f>
        <v>CERTI</v>
      </c>
    </row>
    <row r="2837" spans="1:27" ht="15" x14ac:dyDescent="0.25">
      <c r="A2837" s="2">
        <v>2832</v>
      </c>
      <c r="B2837" s="39">
        <v>926071711</v>
      </c>
      <c r="C2837" s="28" t="str">
        <f>HYPERLINK("https://pld.live/RapDetail.aspx?STONELIST=926071711","DNA")</f>
        <v>DNA</v>
      </c>
      <c r="D2837" s="18" t="s">
        <v>3658</v>
      </c>
      <c r="E2837" s="18" t="s">
        <v>5128</v>
      </c>
      <c r="F2837" s="2" t="s">
        <v>7987</v>
      </c>
      <c r="G2837" s="2" t="s">
        <v>3296</v>
      </c>
      <c r="H2837" s="14">
        <v>2.0099999999999998</v>
      </c>
      <c r="I2837" s="2" t="s">
        <v>267</v>
      </c>
      <c r="J2837" s="2" t="s">
        <v>6555</v>
      </c>
      <c r="K2837" s="2" t="s">
        <v>1452</v>
      </c>
      <c r="L2837" s="2" t="s">
        <v>5221</v>
      </c>
      <c r="M2837" s="2" t="s">
        <v>5221</v>
      </c>
      <c r="N2837" s="2" t="s">
        <v>2317</v>
      </c>
      <c r="O2837" s="14">
        <v>20000</v>
      </c>
      <c r="P2837" s="14">
        <v>98.58</v>
      </c>
      <c r="Q2837" s="14">
        <v>284</v>
      </c>
      <c r="R2837" s="14">
        <v>570.84</v>
      </c>
      <c r="S2837" s="2" t="s">
        <v>5885</v>
      </c>
      <c r="T2837" s="2">
        <v>1.02</v>
      </c>
      <c r="U2837" s="2">
        <v>66.8</v>
      </c>
      <c r="V2837" s="2">
        <v>62</v>
      </c>
      <c r="W2837" s="2" t="s">
        <v>7862</v>
      </c>
      <c r="X2837" s="2" t="s">
        <v>7670</v>
      </c>
      <c r="Y2837" s="2">
        <v>40200</v>
      </c>
      <c r="Z2837" s="19" t="str">
        <f>HYPERLINK("https://ssdweb.co/ssdweb/hd/Vision360.html?d=926071711&amp;zoomslide=1&amp;z=1926071711&amp;ISCONFIRM=0","VIDEO")</f>
        <v>VIDEO</v>
      </c>
      <c r="AA2837" s="19" t="str">
        <f>HYPERLINK("https://ssdweb.co/ssdweb/CERTH/631464095.pdf","CERTI")</f>
        <v>CERTI</v>
      </c>
    </row>
    <row r="2838" spans="1:27" ht="15" x14ac:dyDescent="0.25">
      <c r="A2838" s="2">
        <v>2833</v>
      </c>
      <c r="B2838" s="39">
        <v>925801970</v>
      </c>
      <c r="C2838" s="28" t="str">
        <f>HYPERLINK("https://pld.live/RapDetail.aspx?STONELIST=925801970","DNA")</f>
        <v>DNA</v>
      </c>
      <c r="D2838" s="18" t="s">
        <v>3658</v>
      </c>
      <c r="E2838" s="18" t="s">
        <v>5128</v>
      </c>
      <c r="F2838" s="2" t="s">
        <v>7987</v>
      </c>
      <c r="G2838" s="2" t="s">
        <v>3296</v>
      </c>
      <c r="H2838" s="14">
        <v>2.0099999999999998</v>
      </c>
      <c r="I2838" s="2" t="s">
        <v>267</v>
      </c>
      <c r="J2838" s="2" t="s">
        <v>3942</v>
      </c>
      <c r="K2838" s="2" t="s">
        <v>1452</v>
      </c>
      <c r="L2838" s="2" t="s">
        <v>5221</v>
      </c>
      <c r="M2838" s="2" t="s">
        <v>5221</v>
      </c>
      <c r="N2838" s="2" t="s">
        <v>2317</v>
      </c>
      <c r="O2838" s="14">
        <v>18500</v>
      </c>
      <c r="P2838" s="14">
        <v>99.11</v>
      </c>
      <c r="Q2838" s="14">
        <v>164.65</v>
      </c>
      <c r="R2838" s="14">
        <v>330.95</v>
      </c>
      <c r="S2838" s="2" t="s">
        <v>3389</v>
      </c>
      <c r="T2838" s="2">
        <v>1.02</v>
      </c>
      <c r="U2838" s="2">
        <v>65.099999999999994</v>
      </c>
      <c r="V2838" s="2">
        <v>63</v>
      </c>
      <c r="W2838" s="2" t="s">
        <v>7862</v>
      </c>
      <c r="X2838" s="2" t="s">
        <v>7670</v>
      </c>
      <c r="Y2838" s="2">
        <v>37185</v>
      </c>
      <c r="Z2838" s="19" t="str">
        <f>HYPERLINK("https://ssdweb.co/ssdweb/hd/Vision360.html?d=925801970&amp;zoomslide=1&amp;z=1925801970&amp;ISCONFIRM=0","VIDEO")</f>
        <v>VIDEO</v>
      </c>
      <c r="AA2838" s="19" t="str">
        <f>HYPERLINK("https://ssdweb.co/ssdweb/CERTH/627415144.pdf","CERTI")</f>
        <v>CERTI</v>
      </c>
    </row>
    <row r="2839" spans="1:27" ht="15" x14ac:dyDescent="0.25">
      <c r="A2839" s="2">
        <v>2834</v>
      </c>
      <c r="B2839" s="39">
        <v>925800950</v>
      </c>
      <c r="C2839" s="28" t="str">
        <f>HYPERLINK("https://pld.live/RapDetail.aspx?STONELIST=925800950","DNA")</f>
        <v>DNA</v>
      </c>
      <c r="D2839" s="18" t="s">
        <v>3658</v>
      </c>
      <c r="E2839" s="18" t="s">
        <v>5128</v>
      </c>
      <c r="F2839" s="2" t="s">
        <v>7987</v>
      </c>
      <c r="G2839" s="2" t="s">
        <v>3296</v>
      </c>
      <c r="H2839" s="14">
        <v>2.0099999999999998</v>
      </c>
      <c r="I2839" s="2" t="s">
        <v>267</v>
      </c>
      <c r="J2839" s="2" t="s">
        <v>3942</v>
      </c>
      <c r="K2839" s="2" t="s">
        <v>1452</v>
      </c>
      <c r="L2839" s="2" t="s">
        <v>5221</v>
      </c>
      <c r="M2839" s="2" t="s">
        <v>5221</v>
      </c>
      <c r="N2839" s="2" t="s">
        <v>2317</v>
      </c>
      <c r="O2839" s="14">
        <v>18500</v>
      </c>
      <c r="P2839" s="14">
        <v>99.11</v>
      </c>
      <c r="Q2839" s="14">
        <v>164.65</v>
      </c>
      <c r="R2839" s="14">
        <v>330.95</v>
      </c>
      <c r="S2839" s="2" t="s">
        <v>2342</v>
      </c>
      <c r="T2839" s="2">
        <v>1.03</v>
      </c>
      <c r="U2839" s="2">
        <v>67.2</v>
      </c>
      <c r="V2839" s="2">
        <v>62</v>
      </c>
      <c r="W2839" s="2" t="s">
        <v>7862</v>
      </c>
      <c r="X2839" s="2" t="s">
        <v>7670</v>
      </c>
      <c r="Y2839" s="2">
        <v>37185</v>
      </c>
      <c r="Z2839" s="19" t="str">
        <f>HYPERLINK("https://ssdweb.co/ssdweb/hd/Vision360.html?d=925800950&amp;zoomslide=1&amp;z=1925800950&amp;ISCONFIRM=0","VIDEO")</f>
        <v>VIDEO</v>
      </c>
      <c r="AA2839" s="19" t="str">
        <f>HYPERLINK("https://ssdweb.co/ssdweb/CERTH/626457262.pdf","CERTI")</f>
        <v>CERTI</v>
      </c>
    </row>
    <row r="2840" spans="1:27" ht="15" x14ac:dyDescent="0.25">
      <c r="A2840" s="2">
        <v>2835</v>
      </c>
      <c r="B2840" s="39">
        <v>926171442</v>
      </c>
      <c r="C2840" s="28" t="str">
        <f>HYPERLINK("https://pld.live/RapDetail.aspx?STONELIST=926171442","DNA")</f>
        <v>DNA</v>
      </c>
      <c r="D2840" s="18" t="s">
        <v>3658</v>
      </c>
      <c r="E2840" s="18" t="s">
        <v>5128</v>
      </c>
      <c r="F2840" s="2" t="s">
        <v>7987</v>
      </c>
      <c r="G2840" s="2" t="s">
        <v>3296</v>
      </c>
      <c r="H2840" s="14">
        <v>2.0099999999999998</v>
      </c>
      <c r="I2840" s="2" t="s">
        <v>267</v>
      </c>
      <c r="J2840" s="2" t="s">
        <v>3942</v>
      </c>
      <c r="K2840" s="2" t="s">
        <v>1452</v>
      </c>
      <c r="L2840" s="2" t="s">
        <v>5221</v>
      </c>
      <c r="M2840" s="2" t="s">
        <v>5221</v>
      </c>
      <c r="N2840" s="2" t="s">
        <v>2317</v>
      </c>
      <c r="O2840" s="14">
        <v>18500</v>
      </c>
      <c r="P2840" s="14">
        <v>99.09</v>
      </c>
      <c r="Q2840" s="14">
        <v>168.35</v>
      </c>
      <c r="R2840" s="14">
        <v>338.38</v>
      </c>
      <c r="S2840" s="2" t="s">
        <v>2598</v>
      </c>
      <c r="T2840" s="2">
        <v>1.05</v>
      </c>
      <c r="U2840" s="2">
        <v>66.8</v>
      </c>
      <c r="V2840" s="2">
        <v>61</v>
      </c>
      <c r="W2840" s="2" t="s">
        <v>7862</v>
      </c>
      <c r="X2840" s="2" t="s">
        <v>7670</v>
      </c>
      <c r="Y2840" s="2">
        <v>37185</v>
      </c>
      <c r="Z2840" s="19" t="str">
        <f>HYPERLINK("https://ssdweb.co/ssdweb/hd/Vision360.html?d=926171442&amp;zoomslide=1&amp;z=1926171442&amp;ISCONFIRM=0","VIDEO")</f>
        <v>VIDEO</v>
      </c>
      <c r="AA2840" s="19" t="str">
        <f>HYPERLINK("https://ssdweb.co/ssdweb/CERTH/634431446.pdf","CERTI")</f>
        <v>CERTI</v>
      </c>
    </row>
    <row r="2841" spans="1:27" ht="15" x14ac:dyDescent="0.25">
      <c r="A2841" s="2">
        <v>2836</v>
      </c>
      <c r="B2841" s="39">
        <v>926171124</v>
      </c>
      <c r="C2841" s="28" t="str">
        <f>HYPERLINK("https://pld.live/RapDetail.aspx?STONELIST=926171124","DNA")</f>
        <v>DNA</v>
      </c>
      <c r="D2841" s="18" t="s">
        <v>3658</v>
      </c>
      <c r="E2841" s="18" t="s">
        <v>5128</v>
      </c>
      <c r="F2841" s="2" t="s">
        <v>7987</v>
      </c>
      <c r="G2841" s="2" t="s">
        <v>3296</v>
      </c>
      <c r="H2841" s="14">
        <v>2.0099999999999998</v>
      </c>
      <c r="I2841" s="2" t="s">
        <v>267</v>
      </c>
      <c r="J2841" s="2" t="s">
        <v>13</v>
      </c>
      <c r="K2841" s="2" t="s">
        <v>1452</v>
      </c>
      <c r="L2841" s="2" t="s">
        <v>5221</v>
      </c>
      <c r="M2841" s="2" t="s">
        <v>5221</v>
      </c>
      <c r="N2841" s="2" t="s">
        <v>2317</v>
      </c>
      <c r="O2841" s="14">
        <v>17500</v>
      </c>
      <c r="P2841" s="14">
        <v>99.15</v>
      </c>
      <c r="Q2841" s="14">
        <v>148.75</v>
      </c>
      <c r="R2841" s="14">
        <v>298.99</v>
      </c>
      <c r="S2841" s="2" t="s">
        <v>5667</v>
      </c>
      <c r="T2841" s="2">
        <v>1.04</v>
      </c>
      <c r="U2841" s="2">
        <v>69.8</v>
      </c>
      <c r="V2841" s="2">
        <v>64</v>
      </c>
      <c r="W2841" s="2" t="s">
        <v>7862</v>
      </c>
      <c r="X2841" s="2" t="s">
        <v>7670</v>
      </c>
      <c r="Y2841" s="2">
        <v>35175</v>
      </c>
      <c r="Z2841" s="19" t="str">
        <f>HYPERLINK("https://ssdweb.co/ssdweb/hd/Vision360.html?d=926171124&amp;zoomslide=1&amp;z=1926171124&amp;ISCONFIRM=0","VIDEO")</f>
        <v>VIDEO</v>
      </c>
      <c r="AA2841" s="19" t="str">
        <f>HYPERLINK("https://ssdweb.co/ssdweb/CERTH/634472348.pdf","CERTI")</f>
        <v>CERTI</v>
      </c>
    </row>
    <row r="2842" spans="1:27" ht="15" x14ac:dyDescent="0.25">
      <c r="A2842" s="2">
        <v>2837</v>
      </c>
      <c r="B2842" s="39">
        <v>926171465</v>
      </c>
      <c r="C2842" s="28" t="str">
        <f>HYPERLINK("https://pld.live/RapDetail.aspx?STONELIST=926171465","DNA")</f>
        <v>DNA</v>
      </c>
      <c r="D2842" s="18" t="s">
        <v>3658</v>
      </c>
      <c r="E2842" s="18" t="s">
        <v>5128</v>
      </c>
      <c r="F2842" s="2" t="s">
        <v>7987</v>
      </c>
      <c r="G2842" s="2" t="s">
        <v>3296</v>
      </c>
      <c r="H2842" s="14">
        <v>2.0099999999999998</v>
      </c>
      <c r="I2842" s="2" t="s">
        <v>267</v>
      </c>
      <c r="J2842" s="2" t="s">
        <v>13</v>
      </c>
      <c r="K2842" s="2" t="s">
        <v>1452</v>
      </c>
      <c r="L2842" s="2" t="s">
        <v>5221</v>
      </c>
      <c r="M2842" s="2" t="s">
        <v>5221</v>
      </c>
      <c r="N2842" s="2" t="s">
        <v>2317</v>
      </c>
      <c r="O2842" s="14">
        <v>17500</v>
      </c>
      <c r="P2842" s="14">
        <v>99.15</v>
      </c>
      <c r="Q2842" s="14">
        <v>148.75</v>
      </c>
      <c r="R2842" s="14">
        <v>298.99</v>
      </c>
      <c r="S2842" s="2" t="s">
        <v>744</v>
      </c>
      <c r="T2842" s="2">
        <v>1.05</v>
      </c>
      <c r="U2842" s="2">
        <v>66.599999999999994</v>
      </c>
      <c r="V2842" s="2">
        <v>57</v>
      </c>
      <c r="W2842" s="2" t="s">
        <v>7862</v>
      </c>
      <c r="X2842" s="2" t="s">
        <v>7670</v>
      </c>
      <c r="Y2842" s="2">
        <v>35175</v>
      </c>
      <c r="Z2842" s="19" t="str">
        <f>HYPERLINK("https://ssdweb.co/ssdweb/hd/Vision360.html?d=926171465&amp;zoomslide=1&amp;z=1926171465&amp;ISCONFIRM=0","VIDEO")</f>
        <v>VIDEO</v>
      </c>
      <c r="AA2842" s="19" t="str">
        <f>HYPERLINK("https://ssdweb.co/ssdweb/CERTH/634431514.pdf","CERTI")</f>
        <v>CERTI</v>
      </c>
    </row>
    <row r="2843" spans="1:27" ht="15" x14ac:dyDescent="0.25">
      <c r="A2843" s="2">
        <v>2838</v>
      </c>
      <c r="B2843" s="39">
        <v>925861653</v>
      </c>
      <c r="C2843" s="28" t="str">
        <f>HYPERLINK("https://pld.live/RapDetail.aspx?STONELIST=925861653","DNA")</f>
        <v>DNA</v>
      </c>
      <c r="D2843" s="18" t="s">
        <v>3658</v>
      </c>
      <c r="E2843" s="18" t="s">
        <v>5128</v>
      </c>
      <c r="F2843" s="2" t="s">
        <v>5597</v>
      </c>
      <c r="G2843" s="2" t="s">
        <v>3296</v>
      </c>
      <c r="H2843" s="14">
        <v>2.0099999999999998</v>
      </c>
      <c r="I2843" s="2" t="s">
        <v>267</v>
      </c>
      <c r="J2843" s="2" t="s">
        <v>5144</v>
      </c>
      <c r="K2843" s="2" t="s">
        <v>1452</v>
      </c>
      <c r="L2843" s="2" t="s">
        <v>5221</v>
      </c>
      <c r="M2843" s="2" t="s">
        <v>5221</v>
      </c>
      <c r="N2843" s="2" t="s">
        <v>2317</v>
      </c>
      <c r="O2843" s="14">
        <v>16000</v>
      </c>
      <c r="P2843" s="14">
        <v>98.5</v>
      </c>
      <c r="Q2843" s="14">
        <v>240</v>
      </c>
      <c r="R2843" s="14">
        <v>482.4</v>
      </c>
      <c r="S2843" s="2" t="s">
        <v>3581</v>
      </c>
      <c r="T2843" s="2">
        <v>1.05</v>
      </c>
      <c r="U2843" s="2">
        <v>69</v>
      </c>
      <c r="V2843" s="2">
        <v>60</v>
      </c>
      <c r="W2843" s="2" t="s">
        <v>7862</v>
      </c>
      <c r="X2843" s="2" t="s">
        <v>7053</v>
      </c>
      <c r="Y2843" s="2">
        <v>32160</v>
      </c>
      <c r="Z2843" s="19" t="str">
        <f>HYPERLINK("https://ssdweb.co/ssdweb/hd/Vision360.html?d=925861653&amp;zoomslide=1&amp;z=1925861653&amp;ISCONFIRM=0","VIDEO")</f>
        <v>VIDEO</v>
      </c>
      <c r="AA2843" s="19" t="str">
        <f>HYPERLINK("https://ssdweb.co/ssdweb/CERTH/2486994101.pdf","CERTI")</f>
        <v>CERTI</v>
      </c>
    </row>
    <row r="2844" spans="1:27" ht="15" x14ac:dyDescent="0.25">
      <c r="A2844" s="2">
        <v>2839</v>
      </c>
      <c r="B2844" s="39">
        <v>924720162</v>
      </c>
      <c r="C2844" s="28" t="str">
        <f>HYPERLINK("https://pld.live/RapDetail.aspx?STONELIST=924720162","DNA")</f>
        <v>DNA</v>
      </c>
      <c r="D2844" s="18" t="s">
        <v>3658</v>
      </c>
      <c r="E2844" s="18" t="s">
        <v>5128</v>
      </c>
      <c r="F2844" s="2" t="s">
        <v>7987</v>
      </c>
      <c r="G2844" s="2" t="s">
        <v>3296</v>
      </c>
      <c r="H2844" s="14">
        <v>2.0099999999999998</v>
      </c>
      <c r="I2844" s="2" t="s">
        <v>267</v>
      </c>
      <c r="J2844" s="2" t="s">
        <v>5144</v>
      </c>
      <c r="K2844" s="2" t="s">
        <v>1452</v>
      </c>
      <c r="L2844" s="2" t="s">
        <v>5221</v>
      </c>
      <c r="M2844" s="2" t="s">
        <v>5221</v>
      </c>
      <c r="N2844" s="2" t="s">
        <v>2317</v>
      </c>
      <c r="O2844" s="14">
        <v>16000</v>
      </c>
      <c r="P2844" s="14">
        <v>99.13</v>
      </c>
      <c r="Q2844" s="14">
        <v>139.19999999999999</v>
      </c>
      <c r="R2844" s="14">
        <v>279.79000000000002</v>
      </c>
      <c r="S2844" s="2" t="s">
        <v>1317</v>
      </c>
      <c r="T2844" s="2">
        <v>1</v>
      </c>
      <c r="U2844" s="2">
        <v>67.3</v>
      </c>
      <c r="V2844" s="2">
        <v>62</v>
      </c>
      <c r="W2844" s="2" t="s">
        <v>7862</v>
      </c>
      <c r="X2844" s="2" t="s">
        <v>5985</v>
      </c>
      <c r="Y2844" s="2">
        <v>32160</v>
      </c>
      <c r="Z2844" s="19" t="str">
        <f>HYPERLINK("https://ssdweb.co/ssdweb/hd/Vision360.html?d=924720162&amp;zoomslide=1&amp;z=1924720162&amp;ISCONFIRM=0","VIDEO")</f>
        <v>VIDEO</v>
      </c>
      <c r="AA2844" s="19" t="str">
        <f>HYPERLINK("https://ssdweb.co/ssdweb/CERTH/600304715.pdf","CERTI")</f>
        <v>CERTI</v>
      </c>
    </row>
    <row r="2845" spans="1:27" ht="15" x14ac:dyDescent="0.25">
      <c r="A2845" s="2">
        <v>2840</v>
      </c>
      <c r="B2845" s="39">
        <v>924750401</v>
      </c>
      <c r="C2845" s="28" t="str">
        <f>HYPERLINK("https://pld.live/RapDetail.aspx?STONELIST=924750401","DNA")</f>
        <v>DNA</v>
      </c>
      <c r="D2845" s="18" t="s">
        <v>3658</v>
      </c>
      <c r="E2845" s="18" t="s">
        <v>5128</v>
      </c>
      <c r="F2845" s="2" t="s">
        <v>7987</v>
      </c>
      <c r="G2845" s="2" t="s">
        <v>3296</v>
      </c>
      <c r="H2845" s="14">
        <v>2.0099999999999998</v>
      </c>
      <c r="I2845" s="2" t="s">
        <v>267</v>
      </c>
      <c r="J2845" s="2" t="s">
        <v>5144</v>
      </c>
      <c r="K2845" s="2" t="s">
        <v>1452</v>
      </c>
      <c r="L2845" s="2" t="s">
        <v>5221</v>
      </c>
      <c r="M2845" s="2" t="s">
        <v>5221</v>
      </c>
      <c r="N2845" s="2" t="s">
        <v>2317</v>
      </c>
      <c r="O2845" s="14">
        <v>16000</v>
      </c>
      <c r="P2845" s="14">
        <v>99.13</v>
      </c>
      <c r="Q2845" s="14">
        <v>139.19999999999999</v>
      </c>
      <c r="R2845" s="14">
        <v>279.79000000000002</v>
      </c>
      <c r="S2845" s="2" t="s">
        <v>7809</v>
      </c>
      <c r="T2845" s="2">
        <v>1.05</v>
      </c>
      <c r="U2845" s="2">
        <v>64.3</v>
      </c>
      <c r="V2845" s="2">
        <v>58</v>
      </c>
      <c r="W2845" s="2" t="s">
        <v>7862</v>
      </c>
      <c r="X2845" s="2" t="s">
        <v>5985</v>
      </c>
      <c r="Y2845" s="2">
        <v>32160</v>
      </c>
      <c r="Z2845" s="19" t="str">
        <f>HYPERLINK("https://ssdweb.co/ssdweb/hd/Vision360.html?d=924750401&amp;zoomslide=1&amp;z=1924750401&amp;ISCONFIRM=0","VIDEO")</f>
        <v>VIDEO</v>
      </c>
      <c r="AA2845" s="19" t="str">
        <f>HYPERLINK("https://ssdweb.co/ssdweb/CERTH/600304719.pdf","CERTI")</f>
        <v>CERTI</v>
      </c>
    </row>
    <row r="2846" spans="1:27" ht="15" x14ac:dyDescent="0.25">
      <c r="A2846" s="2">
        <v>2841</v>
      </c>
      <c r="B2846" s="39">
        <v>925961380</v>
      </c>
      <c r="C2846" s="28" t="str">
        <f>HYPERLINK("https://pld.live/RapDetail.aspx?STONELIST=925961380","DNA")</f>
        <v>DNA</v>
      </c>
      <c r="D2846" s="18" t="s">
        <v>3658</v>
      </c>
      <c r="E2846" s="18" t="s">
        <v>5128</v>
      </c>
      <c r="F2846" s="2" t="s">
        <v>7987</v>
      </c>
      <c r="G2846" s="2" t="s">
        <v>3296</v>
      </c>
      <c r="H2846" s="14">
        <v>2.0099999999999998</v>
      </c>
      <c r="I2846" s="2" t="s">
        <v>267</v>
      </c>
      <c r="J2846" s="2" t="s">
        <v>5144</v>
      </c>
      <c r="K2846" s="2" t="s">
        <v>1452</v>
      </c>
      <c r="L2846" s="2" t="s">
        <v>5221</v>
      </c>
      <c r="M2846" s="2" t="s">
        <v>5221</v>
      </c>
      <c r="N2846" s="2" t="s">
        <v>2317</v>
      </c>
      <c r="O2846" s="14">
        <v>16000</v>
      </c>
      <c r="P2846" s="14">
        <v>99.13</v>
      </c>
      <c r="Q2846" s="14">
        <v>139.19999999999999</v>
      </c>
      <c r="R2846" s="14">
        <v>279.79000000000002</v>
      </c>
      <c r="S2846" s="2" t="s">
        <v>2885</v>
      </c>
      <c r="T2846" s="2">
        <v>1.04</v>
      </c>
      <c r="U2846" s="2">
        <v>68.599999999999994</v>
      </c>
      <c r="V2846" s="2">
        <v>64</v>
      </c>
      <c r="W2846" s="2" t="s">
        <v>7862</v>
      </c>
      <c r="X2846" s="2" t="s">
        <v>7670</v>
      </c>
      <c r="Y2846" s="2">
        <v>32160</v>
      </c>
      <c r="Z2846" s="19" t="str">
        <f>HYPERLINK("https://ssdweb.co/ssdweb/hd/Vision360.html?d=925961380&amp;zoomslide=1&amp;z=1925961380&amp;ISCONFIRM=0","VIDEO")</f>
        <v>VIDEO</v>
      </c>
      <c r="AA2846" s="19" t="str">
        <f>HYPERLINK("https://ssdweb.co/ssdweb/CERTH/631404562.pdf","CERTI")</f>
        <v>CERTI</v>
      </c>
    </row>
    <row r="2847" spans="1:27" ht="15" x14ac:dyDescent="0.25">
      <c r="A2847" s="2">
        <v>2842</v>
      </c>
      <c r="B2847" s="39">
        <v>831010259</v>
      </c>
      <c r="C2847" s="28" t="str">
        <f>HYPERLINK("https://pld.live/RapDetail.aspx?STONELIST=831010259","DNA")</f>
        <v>DNA</v>
      </c>
      <c r="D2847" s="18" t="s">
        <v>3658</v>
      </c>
      <c r="E2847" s="18" t="s">
        <v>5128</v>
      </c>
      <c r="F2847" s="2" t="s">
        <v>7987</v>
      </c>
      <c r="G2847" s="2" t="s">
        <v>3296</v>
      </c>
      <c r="H2847" s="14">
        <v>2.0099999999999998</v>
      </c>
      <c r="I2847" s="2" t="s">
        <v>4761</v>
      </c>
      <c r="J2847" s="2" t="s">
        <v>5144</v>
      </c>
      <c r="K2847" s="2" t="s">
        <v>1452</v>
      </c>
      <c r="L2847" s="2" t="s">
        <v>5221</v>
      </c>
      <c r="M2847" s="2" t="s">
        <v>5221</v>
      </c>
      <c r="N2847" s="2" t="s">
        <v>2317</v>
      </c>
      <c r="O2847" s="14">
        <v>15000</v>
      </c>
      <c r="P2847" s="14">
        <v>99.2</v>
      </c>
      <c r="Q2847" s="14">
        <v>120</v>
      </c>
      <c r="R2847" s="14">
        <v>241.2</v>
      </c>
      <c r="S2847" s="2" t="s">
        <v>2442</v>
      </c>
      <c r="T2847" s="2">
        <v>1.07</v>
      </c>
      <c r="U2847" s="2">
        <v>64</v>
      </c>
      <c r="V2847" s="2">
        <v>62</v>
      </c>
      <c r="W2847" s="2" t="s">
        <v>7862</v>
      </c>
      <c r="X2847" s="2" t="s">
        <v>7053</v>
      </c>
      <c r="Y2847" s="2">
        <v>30150</v>
      </c>
      <c r="Z2847" s="19" t="str">
        <f>HYPERLINK("https://ssdweb.co/ssdweb/hd/Vision360.html?d=831010259&amp;zoomslide=1&amp;z=1831010259&amp;ISCONFIRM=0","VIDEO")</f>
        <v>VIDEO</v>
      </c>
      <c r="AA2847" s="19" t="str">
        <f>HYPERLINK("https://ssdweb.co/ssdweb/CERTH/600304718.pdf","CERTI")</f>
        <v>CERTI</v>
      </c>
    </row>
    <row r="2848" spans="1:27" ht="15" x14ac:dyDescent="0.25">
      <c r="A2848" s="2">
        <v>2843</v>
      </c>
      <c r="B2848" s="39">
        <v>926171520</v>
      </c>
      <c r="C2848" s="28" t="str">
        <f>HYPERLINK("https://pld.live/RapDetail.aspx?STONELIST=926171520","DNA")</f>
        <v>DNA</v>
      </c>
      <c r="D2848" s="18" t="s">
        <v>3658</v>
      </c>
      <c r="E2848" s="18" t="s">
        <v>5128</v>
      </c>
      <c r="F2848" s="2" t="s">
        <v>7987</v>
      </c>
      <c r="G2848" s="2" t="s">
        <v>3296</v>
      </c>
      <c r="H2848" s="14">
        <v>2.0099999999999998</v>
      </c>
      <c r="I2848" s="2" t="s">
        <v>4699</v>
      </c>
      <c r="J2848" s="2" t="s">
        <v>3942</v>
      </c>
      <c r="K2848" s="2" t="s">
        <v>1452</v>
      </c>
      <c r="L2848" s="2" t="s">
        <v>5221</v>
      </c>
      <c r="M2848" s="2" t="s">
        <v>5221</v>
      </c>
      <c r="N2848" s="2" t="s">
        <v>2317</v>
      </c>
      <c r="O2848" s="14">
        <v>16000</v>
      </c>
      <c r="P2848" s="14">
        <v>99.08</v>
      </c>
      <c r="Q2848" s="14">
        <v>147.19999999999999</v>
      </c>
      <c r="R2848" s="14">
        <v>295.87</v>
      </c>
      <c r="S2848" s="2" t="s">
        <v>1195</v>
      </c>
      <c r="T2848" s="2">
        <v>1.04</v>
      </c>
      <c r="U2848" s="2">
        <v>65.3</v>
      </c>
      <c r="V2848" s="2">
        <v>59</v>
      </c>
      <c r="W2848" s="2" t="s">
        <v>7862</v>
      </c>
      <c r="X2848" s="2" t="s">
        <v>7670</v>
      </c>
      <c r="Y2848" s="2">
        <v>32160</v>
      </c>
      <c r="Z2848" s="19" t="str">
        <f>HYPERLINK("https://ssdweb.co/ssdweb/hd/Vision360.html?d=926171520&amp;zoomslide=1&amp;z=1926171520&amp;ISCONFIRM=0","VIDEO")</f>
        <v>VIDEO</v>
      </c>
      <c r="AA2848" s="19" t="str">
        <f>HYPERLINK("https://ssdweb.co/ssdweb/CERTH/635426920.pdf","CERTI")</f>
        <v>CERTI</v>
      </c>
    </row>
    <row r="2849" spans="1:27" ht="15" x14ac:dyDescent="0.25">
      <c r="A2849" s="2">
        <v>2844</v>
      </c>
      <c r="B2849" s="39">
        <v>925971332</v>
      </c>
      <c r="C2849" s="28" t="str">
        <f>HYPERLINK("https://pld.live/RapDetail.aspx?STONELIST=925971332","DNA")</f>
        <v>DNA</v>
      </c>
      <c r="D2849" s="18" t="s">
        <v>3658</v>
      </c>
      <c r="E2849" s="18" t="s">
        <v>5128</v>
      </c>
      <c r="F2849" s="2" t="s">
        <v>7987</v>
      </c>
      <c r="G2849" s="2" t="s">
        <v>3296</v>
      </c>
      <c r="H2849" s="14">
        <v>2.0099999999999998</v>
      </c>
      <c r="I2849" s="2" t="s">
        <v>4699</v>
      </c>
      <c r="J2849" s="2" t="s">
        <v>3942</v>
      </c>
      <c r="K2849" s="2" t="s">
        <v>1452</v>
      </c>
      <c r="L2849" s="2" t="s">
        <v>5221</v>
      </c>
      <c r="M2849" s="2" t="s">
        <v>5221</v>
      </c>
      <c r="N2849" s="2" t="s">
        <v>2317</v>
      </c>
      <c r="O2849" s="14">
        <v>16000</v>
      </c>
      <c r="P2849" s="14">
        <v>99.09</v>
      </c>
      <c r="Q2849" s="14">
        <v>145.6</v>
      </c>
      <c r="R2849" s="14">
        <v>292.66000000000003</v>
      </c>
      <c r="S2849" s="2" t="s">
        <v>6146</v>
      </c>
      <c r="T2849" s="2">
        <v>1.05</v>
      </c>
      <c r="U2849" s="2">
        <v>67.5</v>
      </c>
      <c r="V2849" s="2">
        <v>62</v>
      </c>
      <c r="W2849" s="2" t="s">
        <v>7862</v>
      </c>
      <c r="X2849" s="2" t="s">
        <v>7670</v>
      </c>
      <c r="Y2849" s="2">
        <v>32160</v>
      </c>
      <c r="Z2849" s="19" t="str">
        <f>HYPERLINK("https://ssdweb.co/ssdweb/hd/Vision360.html?d=925971332&amp;zoomslide=1&amp;z=1925971332&amp;ISCONFIRM=0","VIDEO")</f>
        <v>VIDEO</v>
      </c>
      <c r="AA2849" s="19" t="str">
        <f>HYPERLINK("https://ssdweb.co/ssdweb/CERTH/631464064.pdf","CERTI")</f>
        <v>CERTI</v>
      </c>
    </row>
    <row r="2850" spans="1:27" ht="15" x14ac:dyDescent="0.25">
      <c r="A2850" s="2">
        <v>2845</v>
      </c>
      <c r="B2850" s="39">
        <v>925971286</v>
      </c>
      <c r="C2850" s="28" t="str">
        <f>HYPERLINK("https://pld.live/RapDetail.aspx?STONELIST=925971286","DNA")</f>
        <v>DNA</v>
      </c>
      <c r="D2850" s="18" t="s">
        <v>3658</v>
      </c>
      <c r="E2850" s="18" t="s">
        <v>5128</v>
      </c>
      <c r="F2850" s="2" t="s">
        <v>7987</v>
      </c>
      <c r="G2850" s="2" t="s">
        <v>3296</v>
      </c>
      <c r="H2850" s="14">
        <v>2.0099999999999998</v>
      </c>
      <c r="I2850" s="2" t="s">
        <v>4699</v>
      </c>
      <c r="J2850" s="2" t="s">
        <v>13</v>
      </c>
      <c r="K2850" s="2" t="s">
        <v>1452</v>
      </c>
      <c r="L2850" s="2" t="s">
        <v>5221</v>
      </c>
      <c r="M2850" s="2" t="s">
        <v>5221</v>
      </c>
      <c r="N2850" s="2" t="s">
        <v>2317</v>
      </c>
      <c r="O2850" s="14">
        <v>15000</v>
      </c>
      <c r="P2850" s="14">
        <v>99.21</v>
      </c>
      <c r="Q2850" s="14">
        <v>118.5</v>
      </c>
      <c r="R2850" s="14">
        <v>238.19</v>
      </c>
      <c r="S2850" s="2" t="s">
        <v>6308</v>
      </c>
      <c r="T2850" s="2">
        <v>1.07</v>
      </c>
      <c r="U2850" s="2">
        <v>61.9</v>
      </c>
      <c r="V2850" s="2">
        <v>62</v>
      </c>
      <c r="W2850" s="2" t="s">
        <v>4336</v>
      </c>
      <c r="X2850" s="2" t="s">
        <v>3851</v>
      </c>
      <c r="Y2850" s="2">
        <v>30150</v>
      </c>
      <c r="Z2850" s="19" t="str">
        <f>HYPERLINK("https://ssdweb.co/ssdweb/hd/Vision360.html?d=925971286&amp;zoomslide=1&amp;z=1925971286&amp;ISCONFIRM=0","VIDEO")</f>
        <v>VIDEO</v>
      </c>
      <c r="AA2850" s="19" t="str">
        <f>HYPERLINK("https://ssdweb.co/ssdweb/CERTH/629497453.pdf","CERTI")</f>
        <v>CERTI</v>
      </c>
    </row>
    <row r="2851" spans="1:27" ht="15" x14ac:dyDescent="0.25">
      <c r="A2851" s="2">
        <v>2846</v>
      </c>
      <c r="B2851" s="39">
        <v>925890602</v>
      </c>
      <c r="C2851" s="28" t="str">
        <f>HYPERLINK("https://pld.live/RapDetail.aspx?STONELIST=925890602","DNA")</f>
        <v>DNA</v>
      </c>
      <c r="D2851" s="18" t="s">
        <v>3658</v>
      </c>
      <c r="E2851" s="18" t="s">
        <v>5128</v>
      </c>
      <c r="F2851" s="2" t="s">
        <v>7987</v>
      </c>
      <c r="G2851" s="2" t="s">
        <v>3296</v>
      </c>
      <c r="H2851" s="14">
        <v>2</v>
      </c>
      <c r="I2851" s="2" t="s">
        <v>267</v>
      </c>
      <c r="J2851" s="2" t="s">
        <v>6555</v>
      </c>
      <c r="K2851" s="2" t="s">
        <v>1452</v>
      </c>
      <c r="L2851" s="2" t="s">
        <v>5221</v>
      </c>
      <c r="M2851" s="2" t="s">
        <v>5221</v>
      </c>
      <c r="N2851" s="2" t="s">
        <v>2317</v>
      </c>
      <c r="O2851" s="14">
        <v>20000</v>
      </c>
      <c r="P2851" s="14">
        <v>98.58</v>
      </c>
      <c r="Q2851" s="14">
        <v>284</v>
      </c>
      <c r="R2851" s="14">
        <v>568</v>
      </c>
      <c r="S2851" s="2" t="s">
        <v>3950</v>
      </c>
      <c r="T2851" s="2">
        <v>1</v>
      </c>
      <c r="U2851" s="2">
        <v>68.5</v>
      </c>
      <c r="V2851" s="2">
        <v>62</v>
      </c>
      <c r="W2851" s="2" t="s">
        <v>7862</v>
      </c>
      <c r="X2851" s="2" t="s">
        <v>7670</v>
      </c>
      <c r="Y2851" s="2">
        <v>40000</v>
      </c>
      <c r="Z2851" s="19" t="str">
        <f>HYPERLINK("https://ssdweb.co/ssdweb/hd/Vision360.html?d=925890602&amp;zoomslide=1&amp;z=1925890602&amp;ISCONFIRM=0","VIDEO")</f>
        <v>VIDEO</v>
      </c>
      <c r="AA2851" s="19" t="str">
        <f>HYPERLINK("https://ssdweb.co/ssdweb/CERTH/628427043.pdf","CERTI")</f>
        <v>CERTI</v>
      </c>
    </row>
    <row r="2852" spans="1:27" ht="15" x14ac:dyDescent="0.25">
      <c r="A2852" s="2">
        <v>2847</v>
      </c>
      <c r="B2852" s="39">
        <v>925921050</v>
      </c>
      <c r="C2852" s="28" t="str">
        <f>HYPERLINK("https://pld.live/RapDetail.aspx?STONELIST=925921050","DNA")</f>
        <v>DNA</v>
      </c>
      <c r="D2852" s="18" t="s">
        <v>3658</v>
      </c>
      <c r="E2852" s="18" t="s">
        <v>5128</v>
      </c>
      <c r="F2852" s="2" t="s">
        <v>5597</v>
      </c>
      <c r="G2852" s="2" t="s">
        <v>3296</v>
      </c>
      <c r="H2852" s="14">
        <v>2</v>
      </c>
      <c r="I2852" s="2" t="s">
        <v>267</v>
      </c>
      <c r="J2852" s="2" t="s">
        <v>3942</v>
      </c>
      <c r="K2852" s="2" t="s">
        <v>1452</v>
      </c>
      <c r="L2852" s="2" t="s">
        <v>5221</v>
      </c>
      <c r="M2852" s="2" t="s">
        <v>5721</v>
      </c>
      <c r="N2852" s="2" t="s">
        <v>2317</v>
      </c>
      <c r="O2852" s="14">
        <v>18500</v>
      </c>
      <c r="P2852" s="14">
        <v>98.36</v>
      </c>
      <c r="Q2852" s="14">
        <v>303.39999999999998</v>
      </c>
      <c r="R2852" s="14">
        <v>606.79999999999995</v>
      </c>
      <c r="S2852" s="2" t="s">
        <v>7992</v>
      </c>
      <c r="T2852" s="2">
        <v>1.04</v>
      </c>
      <c r="U2852" s="2">
        <v>66.3</v>
      </c>
      <c r="V2852" s="2">
        <v>62</v>
      </c>
      <c r="W2852" s="2" t="s">
        <v>7862</v>
      </c>
      <c r="X2852" s="2" t="s">
        <v>7053</v>
      </c>
      <c r="Y2852" s="2">
        <v>37000</v>
      </c>
      <c r="Z2852" s="19" t="str">
        <f>HYPERLINK("https://ssdweb.co/ssdweb/hd/Vision360.html?d=925921050&amp;zoomslide=1&amp;z=1925921050&amp;ISCONFIRM=0","VIDEO")</f>
        <v>VIDEO</v>
      </c>
      <c r="AA2852" s="19" t="str">
        <f>HYPERLINK("https://ssdweb.co/ssdweb/CERTH/5493087538.pdf","CERTI")</f>
        <v>CERTI</v>
      </c>
    </row>
    <row r="2853" spans="1:27" ht="15" x14ac:dyDescent="0.25">
      <c r="A2853" s="2">
        <v>2848</v>
      </c>
      <c r="B2853" s="39">
        <v>925921057</v>
      </c>
      <c r="C2853" s="28" t="str">
        <f>HYPERLINK("https://pld.live/RapDetail.aspx?STONELIST=925921057","DNA")</f>
        <v>DNA</v>
      </c>
      <c r="D2853" s="18" t="s">
        <v>3658</v>
      </c>
      <c r="E2853" s="18" t="s">
        <v>5128</v>
      </c>
      <c r="F2853" s="2" t="s">
        <v>7987</v>
      </c>
      <c r="G2853" s="2" t="s">
        <v>3296</v>
      </c>
      <c r="H2853" s="14">
        <v>2</v>
      </c>
      <c r="I2853" s="2" t="s">
        <v>267</v>
      </c>
      <c r="J2853" s="2" t="s">
        <v>13</v>
      </c>
      <c r="K2853" s="2" t="s">
        <v>1452</v>
      </c>
      <c r="L2853" s="2" t="s">
        <v>5221</v>
      </c>
      <c r="M2853" s="2" t="s">
        <v>5221</v>
      </c>
      <c r="N2853" s="2" t="s">
        <v>2317</v>
      </c>
      <c r="O2853" s="14">
        <v>17500</v>
      </c>
      <c r="P2853" s="14">
        <v>99.17</v>
      </c>
      <c r="Q2853" s="14">
        <v>145.25</v>
      </c>
      <c r="R2853" s="14">
        <v>290.5</v>
      </c>
      <c r="S2853" s="2" t="s">
        <v>5393</v>
      </c>
      <c r="T2853" s="2">
        <v>1.04</v>
      </c>
      <c r="U2853" s="2">
        <v>63.4</v>
      </c>
      <c r="V2853" s="2">
        <v>59</v>
      </c>
      <c r="W2853" s="2" t="s">
        <v>7862</v>
      </c>
      <c r="X2853" s="2" t="s">
        <v>7670</v>
      </c>
      <c r="Y2853" s="2">
        <v>35000</v>
      </c>
      <c r="Z2853" s="19" t="str">
        <f>HYPERLINK("https://ssdweb.co/ssdweb/hd/Vision360.html?d=925921057&amp;zoomslide=1&amp;z=1925921057&amp;ISCONFIRM=0","VIDEO")</f>
        <v>VIDEO</v>
      </c>
      <c r="AA2853" s="19" t="str">
        <f>HYPERLINK("https://ssdweb.co/ssdweb/CERTH/630447904.pdf","CERTI")</f>
        <v>CERTI</v>
      </c>
    </row>
    <row r="2854" spans="1:27" ht="15" x14ac:dyDescent="0.25">
      <c r="A2854" s="2">
        <v>2849</v>
      </c>
      <c r="B2854" s="39">
        <v>925552021</v>
      </c>
      <c r="C2854" s="28" t="str">
        <f>HYPERLINK("https://pld.live/RapDetail.aspx?STONELIST=925552021","DNA")</f>
        <v>DNA</v>
      </c>
      <c r="D2854" s="18" t="s">
        <v>3658</v>
      </c>
      <c r="E2854" s="18" t="s">
        <v>5128</v>
      </c>
      <c r="F2854" s="2" t="s">
        <v>7987</v>
      </c>
      <c r="G2854" s="2" t="s">
        <v>3296</v>
      </c>
      <c r="H2854" s="14">
        <v>2</v>
      </c>
      <c r="I2854" s="2" t="s">
        <v>4761</v>
      </c>
      <c r="J2854" s="2" t="s">
        <v>5144</v>
      </c>
      <c r="K2854" s="2" t="s">
        <v>1452</v>
      </c>
      <c r="L2854" s="2" t="s">
        <v>5221</v>
      </c>
      <c r="M2854" s="2" t="s">
        <v>5221</v>
      </c>
      <c r="N2854" s="2" t="s">
        <v>2317</v>
      </c>
      <c r="O2854" s="14">
        <v>15000</v>
      </c>
      <c r="P2854" s="14">
        <v>99.2</v>
      </c>
      <c r="Q2854" s="14">
        <v>120</v>
      </c>
      <c r="R2854" s="14">
        <v>240</v>
      </c>
      <c r="S2854" s="2" t="s">
        <v>6229</v>
      </c>
      <c r="T2854" s="2">
        <v>1.01</v>
      </c>
      <c r="U2854" s="2">
        <v>67.099999999999994</v>
      </c>
      <c r="V2854" s="2">
        <v>61</v>
      </c>
      <c r="W2854" s="2" t="s">
        <v>7862</v>
      </c>
      <c r="X2854" s="2" t="s">
        <v>7670</v>
      </c>
      <c r="Y2854" s="2">
        <v>30000</v>
      </c>
      <c r="Z2854" s="19" t="str">
        <f>HYPERLINK("https://ssdweb.co/ssdweb/hd/Vision360.html?d=925552021&amp;zoomslide=1&amp;z=1925552021&amp;ISCONFIRM=0","VIDEO")</f>
        <v>VIDEO</v>
      </c>
      <c r="AA2854" s="19" t="str">
        <f>HYPERLINK("https://ssdweb.co/ssdweb/CERTH/622461227.pdf","CERTI")</f>
        <v>CERTI</v>
      </c>
    </row>
    <row r="2855" spans="1:27" ht="15" x14ac:dyDescent="0.25">
      <c r="A2855" s="2">
        <v>2850</v>
      </c>
      <c r="B2855" s="39">
        <v>831010856</v>
      </c>
      <c r="C2855" s="28" t="str">
        <f>HYPERLINK("https://pld.live/RapDetail.aspx?STONELIST=831010856","DNA")</f>
        <v>DNA</v>
      </c>
      <c r="D2855" s="18" t="s">
        <v>6675</v>
      </c>
      <c r="E2855" s="18" t="s">
        <v>5128</v>
      </c>
      <c r="F2855" s="2" t="s">
        <v>7987</v>
      </c>
      <c r="G2855" s="2" t="s">
        <v>3296</v>
      </c>
      <c r="H2855" s="14">
        <v>1.96</v>
      </c>
      <c r="I2855" s="2" t="s">
        <v>4699</v>
      </c>
      <c r="J2855" s="2" t="s">
        <v>13</v>
      </c>
      <c r="K2855" s="2" t="s">
        <v>1452</v>
      </c>
      <c r="L2855" s="2" t="s">
        <v>5221</v>
      </c>
      <c r="M2855" s="2" t="s">
        <v>5221</v>
      </c>
      <c r="N2855" s="2" t="s">
        <v>2317</v>
      </c>
      <c r="O2855" s="14">
        <v>10200</v>
      </c>
      <c r="P2855" s="14">
        <v>98.92</v>
      </c>
      <c r="Q2855" s="14">
        <v>110.16</v>
      </c>
      <c r="R2855" s="14">
        <v>215.91</v>
      </c>
      <c r="S2855" s="2" t="s">
        <v>405</v>
      </c>
      <c r="T2855" s="2">
        <v>1.01</v>
      </c>
      <c r="U2855" s="2">
        <v>67.2</v>
      </c>
      <c r="V2855" s="2">
        <v>61</v>
      </c>
      <c r="W2855" s="2" t="s">
        <v>4336</v>
      </c>
      <c r="X2855" s="2" t="s">
        <v>7670</v>
      </c>
      <c r="Y2855" s="2">
        <v>19992</v>
      </c>
      <c r="Z2855" s="19" t="str">
        <f>HYPERLINK("https://ssdweb.co/ssdweb/hd/Vision360.html?d=831010856&amp;zoomslide=1&amp;z=1831010856&amp;ISCONFIRM=0","VIDEO")</f>
        <v>VIDEO</v>
      </c>
      <c r="AA2855" s="19" t="str">
        <f>HYPERLINK("https://ssdweb.co/ssdweb/CERTH/631464169.pdf","CERTI")</f>
        <v>CERTI</v>
      </c>
    </row>
    <row r="2856" spans="1:27" ht="15" x14ac:dyDescent="0.25">
      <c r="A2856" s="2">
        <v>2851</v>
      </c>
      <c r="B2856" s="39">
        <v>925732137</v>
      </c>
      <c r="C2856" s="28" t="str">
        <f>HYPERLINK("https://pld.live/RapDetail.aspx?STONELIST=925732137","DNA")</f>
        <v>DNA</v>
      </c>
      <c r="D2856" s="18" t="s">
        <v>6675</v>
      </c>
      <c r="E2856" s="18" t="s">
        <v>5128</v>
      </c>
      <c r="F2856" s="2" t="s">
        <v>7987</v>
      </c>
      <c r="G2856" s="2" t="s">
        <v>3296</v>
      </c>
      <c r="H2856" s="14">
        <v>1.95</v>
      </c>
      <c r="I2856" s="2" t="s">
        <v>4761</v>
      </c>
      <c r="J2856" s="2" t="s">
        <v>3942</v>
      </c>
      <c r="K2856" s="2" t="s">
        <v>1452</v>
      </c>
      <c r="L2856" s="2" t="s">
        <v>5221</v>
      </c>
      <c r="M2856" s="2" t="s">
        <v>5221</v>
      </c>
      <c r="N2856" s="2" t="s">
        <v>2317</v>
      </c>
      <c r="O2856" s="14">
        <v>11600</v>
      </c>
      <c r="P2856" s="14">
        <v>98.96</v>
      </c>
      <c r="Q2856" s="14">
        <v>120.64</v>
      </c>
      <c r="R2856" s="14">
        <v>235.25</v>
      </c>
      <c r="S2856" s="2" t="s">
        <v>2061</v>
      </c>
      <c r="T2856" s="2">
        <v>1.06</v>
      </c>
      <c r="U2856" s="2">
        <v>68.099999999999994</v>
      </c>
      <c r="V2856" s="2">
        <v>57</v>
      </c>
      <c r="W2856" s="2" t="s">
        <v>7862</v>
      </c>
      <c r="X2856" s="2" t="s">
        <v>3851</v>
      </c>
      <c r="Y2856" s="2">
        <v>22620</v>
      </c>
      <c r="Z2856" s="19" t="str">
        <f>HYPERLINK("https://ssdweb.co/ssdweb/hd/Vision360.html?d=925732137&amp;zoomslide=1&amp;z=1925732137&amp;ISCONFIRM=0","VIDEO")</f>
        <v>VIDEO</v>
      </c>
      <c r="AA2856" s="19" t="str">
        <f>HYPERLINK("https://ssdweb.co/ssdweb/CERTH/626457435.pdf","CERTI")</f>
        <v>CERTI</v>
      </c>
    </row>
    <row r="2857" spans="1:27" ht="15" x14ac:dyDescent="0.25">
      <c r="A2857" s="2">
        <v>2852</v>
      </c>
      <c r="B2857" s="39">
        <v>925970928</v>
      </c>
      <c r="C2857" s="28" t="str">
        <f>HYPERLINK("https://pld.live/RapDetail.aspx?STONELIST=925970928","DNA")</f>
        <v>DNA</v>
      </c>
      <c r="D2857" s="18" t="s">
        <v>6675</v>
      </c>
      <c r="E2857" s="18" t="s">
        <v>5128</v>
      </c>
      <c r="F2857" s="2" t="s">
        <v>7987</v>
      </c>
      <c r="G2857" s="2" t="s">
        <v>3296</v>
      </c>
      <c r="H2857" s="14">
        <v>1.93</v>
      </c>
      <c r="I2857" s="2" t="s">
        <v>267</v>
      </c>
      <c r="J2857" s="2" t="s">
        <v>3942</v>
      </c>
      <c r="K2857" s="2" t="s">
        <v>1452</v>
      </c>
      <c r="L2857" s="2" t="s">
        <v>5221</v>
      </c>
      <c r="M2857" s="2" t="s">
        <v>5221</v>
      </c>
      <c r="N2857" s="2" t="s">
        <v>2317</v>
      </c>
      <c r="O2857" s="14">
        <v>12500</v>
      </c>
      <c r="P2857" s="14">
        <v>98.92</v>
      </c>
      <c r="Q2857" s="14">
        <v>135</v>
      </c>
      <c r="R2857" s="14">
        <v>260.55</v>
      </c>
      <c r="S2857" s="2" t="s">
        <v>7930</v>
      </c>
      <c r="T2857" s="2">
        <v>1.05</v>
      </c>
      <c r="U2857" s="2">
        <v>64.2</v>
      </c>
      <c r="V2857" s="2">
        <v>61</v>
      </c>
      <c r="W2857" s="2" t="s">
        <v>7862</v>
      </c>
      <c r="X2857" s="2" t="s">
        <v>7670</v>
      </c>
      <c r="Y2857" s="2">
        <v>24125</v>
      </c>
      <c r="Z2857" s="19" t="str">
        <f>HYPERLINK("https://ssdweb.co/ssdweb/hd/Vision360.html?d=925970928&amp;zoomslide=1&amp;z=1925970928&amp;ISCONFIRM=0","VIDEO")</f>
        <v>VIDEO</v>
      </c>
      <c r="AA2857" s="19" t="str">
        <f>HYPERLINK("https://ssdweb.co/ssdweb/CERTH/629453288.pdf","CERTI")</f>
        <v>CERTI</v>
      </c>
    </row>
    <row r="2858" spans="1:27" ht="15" x14ac:dyDescent="0.25">
      <c r="A2858" s="2">
        <v>2853</v>
      </c>
      <c r="B2858" s="39">
        <v>925860792</v>
      </c>
      <c r="C2858" s="28" t="str">
        <f>HYPERLINK("https://pld.live/RapDetail.aspx?STONELIST=925860792","DNA")</f>
        <v>DNA</v>
      </c>
      <c r="D2858" s="18" t="s">
        <v>5313</v>
      </c>
      <c r="E2858" s="18" t="s">
        <v>5128</v>
      </c>
      <c r="F2858" s="2" t="s">
        <v>7987</v>
      </c>
      <c r="G2858" s="2" t="s">
        <v>3296</v>
      </c>
      <c r="H2858" s="14">
        <v>1.86</v>
      </c>
      <c r="I2858" s="2" t="s">
        <v>267</v>
      </c>
      <c r="J2858" s="2" t="s">
        <v>6555</v>
      </c>
      <c r="K2858" s="2" t="s">
        <v>1452</v>
      </c>
      <c r="L2858" s="2" t="s">
        <v>5221</v>
      </c>
      <c r="M2858" s="2" t="s">
        <v>5221</v>
      </c>
      <c r="N2858" s="2" t="s">
        <v>2317</v>
      </c>
      <c r="O2858" s="14">
        <v>13200</v>
      </c>
      <c r="P2858" s="14">
        <v>98.65</v>
      </c>
      <c r="Q2858" s="14">
        <v>178.2</v>
      </c>
      <c r="R2858" s="14">
        <v>331.45</v>
      </c>
      <c r="S2858" s="2" t="s">
        <v>3326</v>
      </c>
      <c r="T2858" s="2">
        <v>1.05</v>
      </c>
      <c r="U2858" s="2">
        <v>65.2</v>
      </c>
      <c r="V2858" s="2">
        <v>61</v>
      </c>
      <c r="W2858" s="2" t="s">
        <v>7862</v>
      </c>
      <c r="X2858" s="2" t="s">
        <v>7670</v>
      </c>
      <c r="Y2858" s="2">
        <v>24552</v>
      </c>
      <c r="Z2858" s="19" t="str">
        <f>HYPERLINK("https://ssdweb.co/ssdweb/hd/Vision360.html?d=925860792&amp;zoomslide=1&amp;z=1925860792&amp;ISCONFIRM=0","VIDEO")</f>
        <v>VIDEO</v>
      </c>
      <c r="AA2858" s="19" t="str">
        <f>HYPERLINK("https://ssdweb.co/ssdweb/CERTH/626427623.pdf","CERTI")</f>
        <v>CERTI</v>
      </c>
    </row>
    <row r="2859" spans="1:27" ht="15" x14ac:dyDescent="0.25">
      <c r="A2859" s="2">
        <v>2854</v>
      </c>
      <c r="B2859" s="39">
        <v>925860265</v>
      </c>
      <c r="C2859" s="28" t="str">
        <f>HYPERLINK("https://pld.live/RapDetail.aspx?STONELIST=925860265","DNA")</f>
        <v>DNA</v>
      </c>
      <c r="D2859" s="18" t="s">
        <v>5313</v>
      </c>
      <c r="E2859" s="18" t="s">
        <v>5128</v>
      </c>
      <c r="F2859" s="2" t="s">
        <v>7987</v>
      </c>
      <c r="G2859" s="2" t="s">
        <v>3296</v>
      </c>
      <c r="H2859" s="14">
        <v>1.86</v>
      </c>
      <c r="I2859" s="2" t="s">
        <v>267</v>
      </c>
      <c r="J2859" s="2" t="s">
        <v>6555</v>
      </c>
      <c r="K2859" s="2" t="s">
        <v>1452</v>
      </c>
      <c r="L2859" s="2" t="s">
        <v>5221</v>
      </c>
      <c r="M2859" s="2" t="s">
        <v>5221</v>
      </c>
      <c r="N2859" s="2" t="s">
        <v>2317</v>
      </c>
      <c r="O2859" s="14">
        <v>13200</v>
      </c>
      <c r="P2859" s="14">
        <v>98.65</v>
      </c>
      <c r="Q2859" s="14">
        <v>178.2</v>
      </c>
      <c r="R2859" s="14">
        <v>331.45</v>
      </c>
      <c r="S2859" s="2" t="s">
        <v>6758</v>
      </c>
      <c r="T2859" s="2">
        <v>1.05</v>
      </c>
      <c r="U2859" s="2">
        <v>63.2</v>
      </c>
      <c r="V2859" s="2">
        <v>60</v>
      </c>
      <c r="W2859" s="2" t="s">
        <v>7862</v>
      </c>
      <c r="X2859" s="2" t="s">
        <v>7670</v>
      </c>
      <c r="Y2859" s="2">
        <v>24552</v>
      </c>
      <c r="Z2859" s="19" t="str">
        <f>HYPERLINK("https://ssdweb.co/ssdweb/hd/Vision360.html?d=925860265&amp;zoomslide=1&amp;z=1925860265&amp;ISCONFIRM=0","VIDEO")</f>
        <v>VIDEO</v>
      </c>
      <c r="AA2859" s="19" t="str">
        <f>HYPERLINK("https://ssdweb.co/ssdweb/CERTH/626466309.pdf","CERTI")</f>
        <v>CERTI</v>
      </c>
    </row>
    <row r="2860" spans="1:27" ht="15" x14ac:dyDescent="0.25">
      <c r="A2860" s="2">
        <v>2855</v>
      </c>
      <c r="B2860" s="39">
        <v>925890662</v>
      </c>
      <c r="C2860" s="28" t="str">
        <f>HYPERLINK("https://pld.live/RapDetail.aspx?STONELIST=925890662","DNA")</f>
        <v>DNA</v>
      </c>
      <c r="D2860" s="18" t="s">
        <v>5313</v>
      </c>
      <c r="E2860" s="18" t="s">
        <v>5128</v>
      </c>
      <c r="F2860" s="2" t="s">
        <v>7987</v>
      </c>
      <c r="G2860" s="2" t="s">
        <v>3296</v>
      </c>
      <c r="H2860" s="14">
        <v>1.85</v>
      </c>
      <c r="I2860" s="2" t="s">
        <v>267</v>
      </c>
      <c r="J2860" s="2" t="s">
        <v>13</v>
      </c>
      <c r="K2860" s="2" t="s">
        <v>1452</v>
      </c>
      <c r="L2860" s="2" t="s">
        <v>5221</v>
      </c>
      <c r="M2860" s="2" t="s">
        <v>5221</v>
      </c>
      <c r="N2860" s="2" t="s">
        <v>2317</v>
      </c>
      <c r="O2860" s="14">
        <v>11600</v>
      </c>
      <c r="P2860" s="14">
        <v>98.91</v>
      </c>
      <c r="Q2860" s="14">
        <v>126.44</v>
      </c>
      <c r="R2860" s="14">
        <v>233.91</v>
      </c>
      <c r="S2860" s="2" t="s">
        <v>5353</v>
      </c>
      <c r="T2860" s="2">
        <v>1.04</v>
      </c>
      <c r="U2860" s="2">
        <v>63.3</v>
      </c>
      <c r="V2860" s="2">
        <v>60</v>
      </c>
      <c r="W2860" s="2" t="s">
        <v>7862</v>
      </c>
      <c r="X2860" s="2" t="s">
        <v>7670</v>
      </c>
      <c r="Y2860" s="2">
        <v>21460</v>
      </c>
      <c r="Z2860" s="19" t="str">
        <f>HYPERLINK("https://ssdweb.co/ssdweb/hd/Vision360.html?d=925890662&amp;zoomslide=1&amp;z=1925890662&amp;ISCONFIRM=0","VIDEO")</f>
        <v>VIDEO</v>
      </c>
      <c r="AA2860" s="19" t="str">
        <f>HYPERLINK("https://ssdweb.co/ssdweb/CERTH/629453127.pdf","CERTI")</f>
        <v>CERTI</v>
      </c>
    </row>
    <row r="2861" spans="1:27" ht="15" x14ac:dyDescent="0.25">
      <c r="A2861" s="2">
        <v>2856</v>
      </c>
      <c r="B2861" s="39">
        <v>926200895</v>
      </c>
      <c r="C2861" s="28" t="str">
        <f>HYPERLINK("https://pld.live/RapDetail.aspx?STONELIST=926200895","DNA")</f>
        <v>DNA</v>
      </c>
      <c r="D2861" s="18" t="s">
        <v>5313</v>
      </c>
      <c r="E2861" s="18" t="s">
        <v>5128</v>
      </c>
      <c r="F2861" s="2" t="s">
        <v>7987</v>
      </c>
      <c r="G2861" s="2" t="s">
        <v>3296</v>
      </c>
      <c r="H2861" s="14">
        <v>1.83</v>
      </c>
      <c r="I2861" s="2" t="s">
        <v>267</v>
      </c>
      <c r="J2861" s="2" t="s">
        <v>6555</v>
      </c>
      <c r="K2861" s="2" t="s">
        <v>1452</v>
      </c>
      <c r="L2861" s="2" t="s">
        <v>5221</v>
      </c>
      <c r="M2861" s="2" t="s">
        <v>5221</v>
      </c>
      <c r="N2861" s="2" t="s">
        <v>2317</v>
      </c>
      <c r="O2861" s="14">
        <v>13200</v>
      </c>
      <c r="P2861" s="14">
        <v>98.64</v>
      </c>
      <c r="Q2861" s="14">
        <v>179.52</v>
      </c>
      <c r="R2861" s="14">
        <v>328.52</v>
      </c>
      <c r="S2861" s="2" t="s">
        <v>1179</v>
      </c>
      <c r="T2861" s="2">
        <v>1.04</v>
      </c>
      <c r="U2861" s="2">
        <v>67</v>
      </c>
      <c r="V2861" s="2">
        <v>60</v>
      </c>
      <c r="W2861" s="2" t="s">
        <v>7862</v>
      </c>
      <c r="X2861" s="2" t="s">
        <v>7670</v>
      </c>
      <c r="Y2861" s="2">
        <v>24156</v>
      </c>
      <c r="Z2861" s="19" t="str">
        <f>HYPERLINK("https://ssdweb.co/ssdweb/hd/Vision360.html?d=926200895&amp;zoomslide=1&amp;z=1926200895&amp;ISCONFIRM=0","VIDEO")</f>
        <v>VIDEO</v>
      </c>
      <c r="AA2861" s="19" t="str">
        <f>HYPERLINK("https://ssdweb.co/ssdweb/CERTH/635426978.pdf","CERTI")</f>
        <v>CERTI</v>
      </c>
    </row>
    <row r="2862" spans="1:27" ht="15" x14ac:dyDescent="0.25">
      <c r="A2862" s="2">
        <v>2857</v>
      </c>
      <c r="B2862" s="39">
        <v>925860266</v>
      </c>
      <c r="C2862" s="28" t="str">
        <f>HYPERLINK("https://pld.live/RapDetail.aspx?STONELIST=925860266","DNA")</f>
        <v>DNA</v>
      </c>
      <c r="D2862" s="18" t="s">
        <v>5313</v>
      </c>
      <c r="E2862" s="18" t="s">
        <v>5128</v>
      </c>
      <c r="F2862" s="2" t="s">
        <v>7987</v>
      </c>
      <c r="G2862" s="2" t="s">
        <v>3296</v>
      </c>
      <c r="H2862" s="14">
        <v>1.83</v>
      </c>
      <c r="I2862" s="2" t="s">
        <v>4761</v>
      </c>
      <c r="J2862" s="2" t="s">
        <v>6555</v>
      </c>
      <c r="K2862" s="2" t="s">
        <v>1452</v>
      </c>
      <c r="L2862" s="2" t="s">
        <v>5221</v>
      </c>
      <c r="M2862" s="2" t="s">
        <v>5221</v>
      </c>
      <c r="N2862" s="2" t="s">
        <v>2317</v>
      </c>
      <c r="O2862" s="14">
        <v>12400</v>
      </c>
      <c r="P2862" s="14">
        <v>98.67</v>
      </c>
      <c r="Q2862" s="14">
        <v>164.92</v>
      </c>
      <c r="R2862" s="14">
        <v>301.8</v>
      </c>
      <c r="S2862" s="2" t="s">
        <v>7290</v>
      </c>
      <c r="T2862" s="2">
        <v>1.05</v>
      </c>
      <c r="U2862" s="2">
        <v>67.2</v>
      </c>
      <c r="V2862" s="2">
        <v>61</v>
      </c>
      <c r="W2862" s="2" t="s">
        <v>4336</v>
      </c>
      <c r="X2862" s="2" t="s">
        <v>7670</v>
      </c>
      <c r="Y2862" s="2">
        <v>22692</v>
      </c>
      <c r="Z2862" s="19" t="str">
        <f>HYPERLINK("https://ssdweb.co/ssdweb/hd/Vision360.html?d=925860266&amp;zoomslide=1&amp;z=1925860266&amp;ISCONFIRM=0","VIDEO")</f>
        <v>VIDEO</v>
      </c>
      <c r="AA2862" s="19" t="str">
        <f>HYPERLINK("https://ssdweb.co/ssdweb/CERTH/626466308.pdf","CERTI")</f>
        <v>CERTI</v>
      </c>
    </row>
    <row r="2863" spans="1:27" ht="15" x14ac:dyDescent="0.25">
      <c r="A2863" s="2">
        <v>2858</v>
      </c>
      <c r="B2863" s="39">
        <v>926101118</v>
      </c>
      <c r="C2863" s="28" t="str">
        <f>HYPERLINK("https://pld.live/RapDetail.aspx?STONELIST=926101118","DNA")</f>
        <v>DNA</v>
      </c>
      <c r="D2863" s="18" t="s">
        <v>5313</v>
      </c>
      <c r="E2863" s="18" t="s">
        <v>5128</v>
      </c>
      <c r="F2863" s="2" t="s">
        <v>7987</v>
      </c>
      <c r="G2863" s="2" t="s">
        <v>3296</v>
      </c>
      <c r="H2863" s="14">
        <v>1.78</v>
      </c>
      <c r="I2863" s="2" t="s">
        <v>4761</v>
      </c>
      <c r="J2863" s="2" t="s">
        <v>6555</v>
      </c>
      <c r="K2863" s="2" t="s">
        <v>1452</v>
      </c>
      <c r="L2863" s="2" t="s">
        <v>5221</v>
      </c>
      <c r="M2863" s="2" t="s">
        <v>5221</v>
      </c>
      <c r="N2863" s="2" t="s">
        <v>2317</v>
      </c>
      <c r="O2863" s="14">
        <v>12400</v>
      </c>
      <c r="P2863" s="14">
        <v>98.67</v>
      </c>
      <c r="Q2863" s="14">
        <v>164.92</v>
      </c>
      <c r="R2863" s="14">
        <v>293.56</v>
      </c>
      <c r="S2863" s="2" t="s">
        <v>7175</v>
      </c>
      <c r="T2863" s="2">
        <v>1.03</v>
      </c>
      <c r="U2863" s="2">
        <v>67.099999999999994</v>
      </c>
      <c r="V2863" s="2">
        <v>59</v>
      </c>
      <c r="W2863" s="2" t="s">
        <v>4336</v>
      </c>
      <c r="X2863" s="2" t="s">
        <v>7670</v>
      </c>
      <c r="Y2863" s="2">
        <v>22072</v>
      </c>
      <c r="Z2863" s="19" t="str">
        <f>HYPERLINK("https://ssdweb.co/ssdweb/hd/Vision360.html?d=926101118&amp;zoomslide=1&amp;z=1926101118&amp;ISCONFIRM=0","VIDEO")</f>
        <v>VIDEO</v>
      </c>
      <c r="AA2863" s="19" t="str">
        <f>HYPERLINK("https://ssdweb.co/ssdweb/CERTH/632488307.pdf","CERTI")</f>
        <v>CERTI</v>
      </c>
    </row>
    <row r="2864" spans="1:27" ht="15" x14ac:dyDescent="0.25">
      <c r="A2864" s="2">
        <v>2859</v>
      </c>
      <c r="B2864" s="39">
        <v>925140343</v>
      </c>
      <c r="C2864" s="28" t="str">
        <f>HYPERLINK("https://pld.live/RapDetail.aspx?STONELIST=925140343","DNA")</f>
        <v>DNA</v>
      </c>
      <c r="D2864" s="18" t="s">
        <v>5313</v>
      </c>
      <c r="E2864" s="18" t="s">
        <v>5128</v>
      </c>
      <c r="F2864" s="2" t="s">
        <v>7987</v>
      </c>
      <c r="G2864" s="2" t="s">
        <v>3296</v>
      </c>
      <c r="H2864" s="14">
        <v>1.76</v>
      </c>
      <c r="I2864" s="2" t="s">
        <v>267</v>
      </c>
      <c r="J2864" s="2" t="s">
        <v>444</v>
      </c>
      <c r="K2864" s="2" t="s">
        <v>1452</v>
      </c>
      <c r="L2864" s="2" t="s">
        <v>5221</v>
      </c>
      <c r="M2864" s="2" t="s">
        <v>5221</v>
      </c>
      <c r="N2864" s="2" t="s">
        <v>2317</v>
      </c>
      <c r="O2864" s="14">
        <v>8100</v>
      </c>
      <c r="P2864" s="14">
        <v>98.52</v>
      </c>
      <c r="Q2864" s="14">
        <v>119.88</v>
      </c>
      <c r="R2864" s="14">
        <v>210.99</v>
      </c>
      <c r="S2864" s="2" t="s">
        <v>7795</v>
      </c>
      <c r="T2864" s="2">
        <v>1.04</v>
      </c>
      <c r="U2864" s="2">
        <v>64</v>
      </c>
      <c r="V2864" s="2">
        <v>58</v>
      </c>
      <c r="W2864" s="2" t="s">
        <v>7862</v>
      </c>
      <c r="X2864" s="2" t="s">
        <v>7670</v>
      </c>
      <c r="Y2864" s="2">
        <v>14256</v>
      </c>
      <c r="Z2864" s="19" t="str">
        <f>HYPERLINK("https://ssdweb.co/ssdweb/hd/Vision360.html?d=925140343&amp;zoomslide=1&amp;z=1925140343&amp;ISCONFIRM=0","VIDEO")</f>
        <v>VIDEO</v>
      </c>
      <c r="AA2864" s="19" t="str">
        <f>HYPERLINK("https://ssdweb.co/ssdweb/CERTH/619424144.pdf","CERTI")</f>
        <v>CERTI</v>
      </c>
    </row>
    <row r="2865" spans="1:27" ht="15" x14ac:dyDescent="0.25">
      <c r="A2865" s="2">
        <v>2860</v>
      </c>
      <c r="B2865" s="39">
        <v>926200993</v>
      </c>
      <c r="C2865" s="28" t="str">
        <f>HYPERLINK("https://pld.live/RapDetail.aspx?STONELIST=926200993","DNA")</f>
        <v>DNA</v>
      </c>
      <c r="D2865" s="18" t="s">
        <v>5313</v>
      </c>
      <c r="E2865" s="18" t="s">
        <v>5128</v>
      </c>
      <c r="F2865" s="2" t="s">
        <v>7987</v>
      </c>
      <c r="G2865" s="2" t="s">
        <v>3296</v>
      </c>
      <c r="H2865" s="14">
        <v>1.74</v>
      </c>
      <c r="I2865" s="2" t="s">
        <v>267</v>
      </c>
      <c r="J2865" s="2" t="s">
        <v>6555</v>
      </c>
      <c r="K2865" s="2" t="s">
        <v>1452</v>
      </c>
      <c r="L2865" s="2" t="s">
        <v>5221</v>
      </c>
      <c r="M2865" s="2" t="s">
        <v>5221</v>
      </c>
      <c r="N2865" s="2" t="s">
        <v>2317</v>
      </c>
      <c r="O2865" s="14">
        <v>13200</v>
      </c>
      <c r="P2865" s="14">
        <v>98.61</v>
      </c>
      <c r="Q2865" s="14">
        <v>183.48</v>
      </c>
      <c r="R2865" s="14">
        <v>319.26</v>
      </c>
      <c r="S2865" s="2" t="s">
        <v>3906</v>
      </c>
      <c r="T2865" s="2">
        <v>1.04</v>
      </c>
      <c r="U2865" s="2">
        <v>67.5</v>
      </c>
      <c r="V2865" s="2">
        <v>62</v>
      </c>
      <c r="W2865" s="2" t="s">
        <v>7862</v>
      </c>
      <c r="X2865" s="2" t="s">
        <v>7670</v>
      </c>
      <c r="Y2865" s="2">
        <v>22968</v>
      </c>
      <c r="Z2865" s="19" t="str">
        <f>HYPERLINK("https://ssdweb.co/ssdweb/hd/Vision360.html?d=926200993&amp;zoomslide=1&amp;z=1926200993&amp;ISCONFIRM=0","VIDEO")</f>
        <v>VIDEO</v>
      </c>
      <c r="AA2865" s="19" t="str">
        <f>HYPERLINK("https://ssdweb.co/ssdweb/CERTH/635423946.pdf","CERTI")</f>
        <v>CERTI</v>
      </c>
    </row>
    <row r="2866" spans="1:27" ht="15" x14ac:dyDescent="0.25">
      <c r="A2866" s="2">
        <v>2861</v>
      </c>
      <c r="B2866" s="39">
        <v>925861905</v>
      </c>
      <c r="C2866" s="28" t="str">
        <f>HYPERLINK("https://pld.live/RapDetail.aspx?STONELIST=925861905","DNA")</f>
        <v>DNA</v>
      </c>
      <c r="D2866" s="18" t="s">
        <v>5313</v>
      </c>
      <c r="E2866" s="18" t="s">
        <v>5128</v>
      </c>
      <c r="F2866" s="2" t="s">
        <v>7987</v>
      </c>
      <c r="G2866" s="2" t="s">
        <v>3296</v>
      </c>
      <c r="H2866" s="14">
        <v>1.73</v>
      </c>
      <c r="I2866" s="2" t="s">
        <v>267</v>
      </c>
      <c r="J2866" s="2" t="s">
        <v>13</v>
      </c>
      <c r="K2866" s="2" t="s">
        <v>1452</v>
      </c>
      <c r="L2866" s="2" t="s">
        <v>5221</v>
      </c>
      <c r="M2866" s="2" t="s">
        <v>5221</v>
      </c>
      <c r="N2866" s="2" t="s">
        <v>2317</v>
      </c>
      <c r="O2866" s="14">
        <v>11600</v>
      </c>
      <c r="P2866" s="14">
        <v>98.9</v>
      </c>
      <c r="Q2866" s="14">
        <v>127.6</v>
      </c>
      <c r="R2866" s="14">
        <v>220.75</v>
      </c>
      <c r="S2866" s="2" t="s">
        <v>3884</v>
      </c>
      <c r="T2866" s="2">
        <v>1.05</v>
      </c>
      <c r="U2866" s="2">
        <v>64.2</v>
      </c>
      <c r="V2866" s="2">
        <v>61</v>
      </c>
      <c r="W2866" s="2" t="s">
        <v>7862</v>
      </c>
      <c r="X2866" s="2" t="s">
        <v>7670</v>
      </c>
      <c r="Y2866" s="2">
        <v>20068</v>
      </c>
      <c r="Z2866" s="19" t="str">
        <f>HYPERLINK("https://ssdweb.co/ssdweb/hd/Vision360.html?d=925861905&amp;zoomslide=1&amp;z=1925861905&amp;ISCONFIRM=0","VIDEO")</f>
        <v>VIDEO</v>
      </c>
      <c r="AA2866" s="19" t="str">
        <f>HYPERLINK("https://ssdweb.co/ssdweb/CERTH/627431723.pdf","CERTI")</f>
        <v>CERTI</v>
      </c>
    </row>
    <row r="2867" spans="1:27" ht="15" x14ac:dyDescent="0.25">
      <c r="A2867" s="2">
        <v>2862</v>
      </c>
      <c r="B2867" s="39">
        <v>926200755</v>
      </c>
      <c r="C2867" s="28" t="str">
        <f>HYPERLINK("https://pld.live/RapDetail.aspx?STONELIST=926200755","DNA")</f>
        <v>DNA</v>
      </c>
      <c r="D2867" s="18" t="s">
        <v>5313</v>
      </c>
      <c r="E2867" s="18" t="s">
        <v>5128</v>
      </c>
      <c r="F2867" s="2" t="s">
        <v>7987</v>
      </c>
      <c r="G2867" s="2" t="s">
        <v>3296</v>
      </c>
      <c r="H2867" s="14">
        <v>1.72</v>
      </c>
      <c r="I2867" s="2" t="s">
        <v>267</v>
      </c>
      <c r="J2867" s="2" t="s">
        <v>3942</v>
      </c>
      <c r="K2867" s="2" t="s">
        <v>1452</v>
      </c>
      <c r="L2867" s="2" t="s">
        <v>5221</v>
      </c>
      <c r="M2867" s="2" t="s">
        <v>5221</v>
      </c>
      <c r="N2867" s="2" t="s">
        <v>2317</v>
      </c>
      <c r="O2867" s="14">
        <v>12500</v>
      </c>
      <c r="P2867" s="14">
        <v>98.86</v>
      </c>
      <c r="Q2867" s="14">
        <v>142.5</v>
      </c>
      <c r="R2867" s="14">
        <v>245.1</v>
      </c>
      <c r="S2867" s="2" t="s">
        <v>140</v>
      </c>
      <c r="T2867" s="2">
        <v>1.03</v>
      </c>
      <c r="U2867" s="2">
        <v>67.099999999999994</v>
      </c>
      <c r="V2867" s="2">
        <v>62</v>
      </c>
      <c r="W2867" s="2" t="s">
        <v>7862</v>
      </c>
      <c r="X2867" s="2" t="s">
        <v>7670</v>
      </c>
      <c r="Y2867" s="2">
        <v>21500</v>
      </c>
      <c r="Z2867" s="19" t="str">
        <f>HYPERLINK("https://ssdweb.co/ssdweb/hd/Vision360.html?d=926200755&amp;zoomslide=1&amp;z=1926200755&amp;ISCONFIRM=0","VIDEO")</f>
        <v>VIDEO</v>
      </c>
      <c r="AA2867" s="19" t="str">
        <f>HYPERLINK("https://ssdweb.co/ssdweb/CERTH/634431460.pdf","CERTI")</f>
        <v>CERTI</v>
      </c>
    </row>
    <row r="2868" spans="1:27" ht="15" x14ac:dyDescent="0.25">
      <c r="A2868" s="2">
        <v>2863</v>
      </c>
      <c r="B2868" s="39">
        <v>831010340</v>
      </c>
      <c r="C2868" s="28" t="str">
        <f>HYPERLINK("https://pld.live/RapDetail.aspx?STONELIST=831010340","DNA")</f>
        <v>DNA</v>
      </c>
      <c r="D2868" s="18" t="s">
        <v>5313</v>
      </c>
      <c r="E2868" s="18" t="s">
        <v>5128</v>
      </c>
      <c r="F2868" s="2" t="s">
        <v>7987</v>
      </c>
      <c r="G2868" s="2" t="s">
        <v>3296</v>
      </c>
      <c r="H2868" s="14">
        <v>1.71</v>
      </c>
      <c r="I2868" s="2" t="s">
        <v>4699</v>
      </c>
      <c r="J2868" s="2" t="s">
        <v>3942</v>
      </c>
      <c r="K2868" s="2" t="s">
        <v>1452</v>
      </c>
      <c r="L2868" s="2" t="s">
        <v>5221</v>
      </c>
      <c r="M2868" s="2" t="s">
        <v>5221</v>
      </c>
      <c r="N2868" s="2" t="s">
        <v>2317</v>
      </c>
      <c r="O2868" s="14">
        <v>10800</v>
      </c>
      <c r="P2868" s="14">
        <v>98.83</v>
      </c>
      <c r="Q2868" s="14">
        <v>126.36</v>
      </c>
      <c r="R2868" s="14">
        <v>216.08</v>
      </c>
      <c r="S2868" s="2" t="s">
        <v>1557</v>
      </c>
      <c r="T2868" s="2">
        <v>1.05</v>
      </c>
      <c r="U2868" s="2">
        <v>66.900000000000006</v>
      </c>
      <c r="V2868" s="2">
        <v>60</v>
      </c>
      <c r="W2868" s="2" t="s">
        <v>7862</v>
      </c>
      <c r="X2868" s="2" t="s">
        <v>7670</v>
      </c>
      <c r="Y2868" s="2">
        <v>18468</v>
      </c>
      <c r="Z2868" s="19" t="str">
        <f>HYPERLINK("https://ssdweb.co/ssdweb/hd/Vision360.html?d=831010340&amp;zoomslide=1&amp;z=1831010340&amp;ISCONFIRM=0","VIDEO")</f>
        <v>VIDEO</v>
      </c>
      <c r="AA2868" s="19" t="str">
        <f>HYPERLINK("https://ssdweb.co/ssdweb/CERTH/616434518.pdf","CERTI")</f>
        <v>CERTI</v>
      </c>
    </row>
    <row r="2869" spans="1:27" ht="15" x14ac:dyDescent="0.25">
      <c r="A2869" s="2">
        <v>2864</v>
      </c>
      <c r="B2869" s="39">
        <v>831010847</v>
      </c>
      <c r="C2869" s="28" t="str">
        <f>HYPERLINK("https://pld.live/RapDetail.aspx?STONELIST=831010847","DNA")</f>
        <v>DNA</v>
      </c>
      <c r="D2869" s="18" t="s">
        <v>5313</v>
      </c>
      <c r="E2869" s="18" t="s">
        <v>5128</v>
      </c>
      <c r="F2869" s="2" t="s">
        <v>7987</v>
      </c>
      <c r="G2869" s="2" t="s">
        <v>3296</v>
      </c>
      <c r="H2869" s="14">
        <v>1.71</v>
      </c>
      <c r="I2869" s="2" t="s">
        <v>4699</v>
      </c>
      <c r="J2869" s="2" t="s">
        <v>5144</v>
      </c>
      <c r="K2869" s="2" t="s">
        <v>1452</v>
      </c>
      <c r="L2869" s="2" t="s">
        <v>5221</v>
      </c>
      <c r="M2869" s="2" t="s">
        <v>5221</v>
      </c>
      <c r="N2869" s="2" t="s">
        <v>2317</v>
      </c>
      <c r="O2869" s="14">
        <v>8800</v>
      </c>
      <c r="P2869" s="14">
        <v>98.75</v>
      </c>
      <c r="Q2869" s="14">
        <v>110</v>
      </c>
      <c r="R2869" s="14">
        <v>188.1</v>
      </c>
      <c r="S2869" s="2" t="s">
        <v>1807</v>
      </c>
      <c r="T2869" s="2">
        <v>1.03</v>
      </c>
      <c r="U2869" s="2">
        <v>67</v>
      </c>
      <c r="V2869" s="2">
        <v>61</v>
      </c>
      <c r="W2869" s="2" t="s">
        <v>4336</v>
      </c>
      <c r="X2869" s="2" t="s">
        <v>7670</v>
      </c>
      <c r="Y2869" s="2">
        <v>15048</v>
      </c>
      <c r="Z2869" s="19" t="str">
        <f>HYPERLINK("https://ssdweb.co/ssdweb/hd/Vision360.html?d=831010847&amp;zoomslide=1&amp;z=1831010847&amp;ISCONFIRM=0","VIDEO")</f>
        <v>VIDEO</v>
      </c>
      <c r="AA2869" s="19" t="str">
        <f>HYPERLINK("https://ssdweb.co/ssdweb/CERTH/616403552.pdf","CERTI")</f>
        <v>CERTI</v>
      </c>
    </row>
    <row r="2870" spans="1:27" ht="15" x14ac:dyDescent="0.25">
      <c r="A2870" s="2">
        <v>2865</v>
      </c>
      <c r="B2870" s="39">
        <v>926200719</v>
      </c>
      <c r="C2870" s="28" t="str">
        <f>HYPERLINK("https://pld.live/RapDetail.aspx?STONELIST=926200719","DNA")</f>
        <v>DNA</v>
      </c>
      <c r="D2870" s="18" t="s">
        <v>5313</v>
      </c>
      <c r="E2870" s="18" t="s">
        <v>5128</v>
      </c>
      <c r="F2870" s="2" t="s">
        <v>7987</v>
      </c>
      <c r="G2870" s="2" t="s">
        <v>3296</v>
      </c>
      <c r="H2870" s="14">
        <v>1.7</v>
      </c>
      <c r="I2870" s="2" t="s">
        <v>4761</v>
      </c>
      <c r="J2870" s="2" t="s">
        <v>6555</v>
      </c>
      <c r="K2870" s="2" t="s">
        <v>1452</v>
      </c>
      <c r="L2870" s="2" t="s">
        <v>5721</v>
      </c>
      <c r="M2870" s="2" t="s">
        <v>5221</v>
      </c>
      <c r="N2870" s="2" t="s">
        <v>2317</v>
      </c>
      <c r="O2870" s="14">
        <v>12400</v>
      </c>
      <c r="P2870" s="14">
        <v>98.67</v>
      </c>
      <c r="Q2870" s="14">
        <v>164.92</v>
      </c>
      <c r="R2870" s="14">
        <v>280.36</v>
      </c>
      <c r="S2870" s="2" t="s">
        <v>2510</v>
      </c>
      <c r="T2870" s="2">
        <v>1</v>
      </c>
      <c r="U2870" s="2">
        <v>66.099999999999994</v>
      </c>
      <c r="V2870" s="2">
        <v>60</v>
      </c>
      <c r="W2870" s="2" t="s">
        <v>7862</v>
      </c>
      <c r="X2870" s="2" t="s">
        <v>7670</v>
      </c>
      <c r="Y2870" s="2">
        <v>21080</v>
      </c>
      <c r="Z2870" s="19" t="str">
        <f>HYPERLINK("https://ssdweb.co/ssdweb/hd/Vision360.html?d=926200719&amp;zoomslide=1&amp;z=1926200719&amp;ISCONFIRM=0","VIDEO")</f>
        <v>VIDEO</v>
      </c>
      <c r="AA2870" s="19" t="str">
        <f>HYPERLINK("https://ssdweb.co/ssdweb/CERTH/634431486.pdf","CERTI")</f>
        <v>CERTI</v>
      </c>
    </row>
    <row r="2871" spans="1:27" ht="15" x14ac:dyDescent="0.25">
      <c r="A2871" s="2">
        <v>2866</v>
      </c>
      <c r="B2871" s="39">
        <v>926200805</v>
      </c>
      <c r="C2871" s="28" t="str">
        <f>HYPERLINK("https://pld.live/RapDetail.aspx?STONELIST=926200805","DNA")</f>
        <v>DNA</v>
      </c>
      <c r="D2871" s="18" t="s">
        <v>711</v>
      </c>
      <c r="E2871" s="18" t="s">
        <v>5128</v>
      </c>
      <c r="F2871" s="2" t="s">
        <v>7987</v>
      </c>
      <c r="G2871" s="2" t="s">
        <v>3296</v>
      </c>
      <c r="H2871" s="14">
        <v>1.68</v>
      </c>
      <c r="I2871" s="2" t="s">
        <v>267</v>
      </c>
      <c r="J2871" s="2" t="s">
        <v>3942</v>
      </c>
      <c r="K2871" s="2" t="s">
        <v>1452</v>
      </c>
      <c r="L2871" s="2" t="s">
        <v>5221</v>
      </c>
      <c r="M2871" s="2" t="s">
        <v>5221</v>
      </c>
      <c r="N2871" s="2" t="s">
        <v>2317</v>
      </c>
      <c r="O2871" s="14">
        <v>12500</v>
      </c>
      <c r="P2871" s="14">
        <v>99.02</v>
      </c>
      <c r="Q2871" s="14">
        <v>122.5</v>
      </c>
      <c r="R2871" s="14">
        <v>205.8</v>
      </c>
      <c r="S2871" s="2" t="s">
        <v>5253</v>
      </c>
      <c r="T2871" s="2">
        <v>1.05</v>
      </c>
      <c r="U2871" s="2">
        <v>67.2</v>
      </c>
      <c r="V2871" s="2">
        <v>60</v>
      </c>
      <c r="W2871" s="2" t="s">
        <v>7862</v>
      </c>
      <c r="X2871" s="2" t="s">
        <v>7670</v>
      </c>
      <c r="Y2871" s="2">
        <v>21000</v>
      </c>
      <c r="Z2871" s="19" t="str">
        <f>HYPERLINK("https://ssdweb.co/ssdweb/hd/Vision360.html?d=926200805&amp;zoomslide=1&amp;z=1926200805&amp;ISCONFIRM=0","VIDEO")</f>
        <v>VIDEO</v>
      </c>
      <c r="AA2871" s="19" t="str">
        <f>HYPERLINK("https://ssdweb.co/ssdweb/CERTH/635426975.pdf","CERTI")</f>
        <v>CERTI</v>
      </c>
    </row>
    <row r="2872" spans="1:27" ht="15" x14ac:dyDescent="0.25">
      <c r="A2872" s="2">
        <v>2867</v>
      </c>
      <c r="B2872" s="39">
        <v>925890665</v>
      </c>
      <c r="C2872" s="28" t="str">
        <f>HYPERLINK("https://pld.live/RapDetail.aspx?STONELIST=925890665","DNA")</f>
        <v>DNA</v>
      </c>
      <c r="D2872" s="18" t="s">
        <v>711</v>
      </c>
      <c r="E2872" s="18" t="s">
        <v>5128</v>
      </c>
      <c r="F2872" s="2" t="s">
        <v>7987</v>
      </c>
      <c r="G2872" s="2" t="s">
        <v>3296</v>
      </c>
      <c r="H2872" s="14">
        <v>1.68</v>
      </c>
      <c r="I2872" s="2" t="s">
        <v>267</v>
      </c>
      <c r="J2872" s="2" t="s">
        <v>13</v>
      </c>
      <c r="K2872" s="2" t="s">
        <v>1452</v>
      </c>
      <c r="L2872" s="2" t="s">
        <v>5221</v>
      </c>
      <c r="M2872" s="2" t="s">
        <v>5221</v>
      </c>
      <c r="N2872" s="2" t="s">
        <v>2317</v>
      </c>
      <c r="O2872" s="14">
        <v>11600</v>
      </c>
      <c r="P2872" s="14">
        <v>98.96</v>
      </c>
      <c r="Q2872" s="14">
        <v>120.64</v>
      </c>
      <c r="R2872" s="14">
        <v>202.68</v>
      </c>
      <c r="S2872" s="2" t="s">
        <v>7454</v>
      </c>
      <c r="T2872" s="2">
        <v>1.02</v>
      </c>
      <c r="U2872" s="2">
        <v>66.7</v>
      </c>
      <c r="V2872" s="2">
        <v>62</v>
      </c>
      <c r="W2872" s="2" t="s">
        <v>7862</v>
      </c>
      <c r="X2872" s="2" t="s">
        <v>7670</v>
      </c>
      <c r="Y2872" s="2">
        <v>19488</v>
      </c>
      <c r="Z2872" s="19" t="str">
        <f>HYPERLINK("https://ssdweb.co/ssdweb/hd/Vision360.html?d=925890665&amp;zoomslide=1&amp;z=1925890665&amp;ISCONFIRM=0","VIDEO")</f>
        <v>VIDEO</v>
      </c>
      <c r="AA2872" s="19" t="str">
        <f>HYPERLINK("https://ssdweb.co/ssdweb/CERTH/629453157.pdf","CERTI")</f>
        <v>CERTI</v>
      </c>
    </row>
    <row r="2873" spans="1:27" ht="15" x14ac:dyDescent="0.25">
      <c r="A2873" s="2">
        <v>2868</v>
      </c>
      <c r="B2873" s="39">
        <v>925861636</v>
      </c>
      <c r="C2873" s="28" t="str">
        <f>HYPERLINK("https://pld.live/RapDetail.aspx?STONELIST=925861636","DNA")</f>
        <v>DNA</v>
      </c>
      <c r="D2873" s="18" t="s">
        <v>711</v>
      </c>
      <c r="E2873" s="18" t="s">
        <v>5128</v>
      </c>
      <c r="F2873" s="2" t="s">
        <v>7987</v>
      </c>
      <c r="G2873" s="2" t="s">
        <v>3296</v>
      </c>
      <c r="H2873" s="14">
        <v>1.66</v>
      </c>
      <c r="I2873" s="2" t="s">
        <v>267</v>
      </c>
      <c r="J2873" s="2" t="s">
        <v>3942</v>
      </c>
      <c r="K2873" s="2" t="s">
        <v>1452</v>
      </c>
      <c r="L2873" s="2" t="s">
        <v>5221</v>
      </c>
      <c r="M2873" s="2" t="s">
        <v>5221</v>
      </c>
      <c r="N2873" s="2" t="s">
        <v>2317</v>
      </c>
      <c r="O2873" s="14">
        <v>12500</v>
      </c>
      <c r="P2873" s="14">
        <v>99.03</v>
      </c>
      <c r="Q2873" s="14">
        <v>121.25</v>
      </c>
      <c r="R2873" s="14">
        <v>201.28</v>
      </c>
      <c r="S2873" s="2" t="s">
        <v>972</v>
      </c>
      <c r="T2873" s="2">
        <v>1.07</v>
      </c>
      <c r="U2873" s="2">
        <v>63.8</v>
      </c>
      <c r="V2873" s="2">
        <v>63</v>
      </c>
      <c r="W2873" s="2" t="s">
        <v>7862</v>
      </c>
      <c r="X2873" s="2" t="s">
        <v>3851</v>
      </c>
      <c r="Y2873" s="2">
        <v>20750</v>
      </c>
      <c r="Z2873" s="19" t="str">
        <f>HYPERLINK("https://ssdweb.co/ssdweb/hd/Vision360.html?d=925861636&amp;zoomslide=1&amp;z=1925861636&amp;ISCONFIRM=0","VIDEO")</f>
        <v>VIDEO</v>
      </c>
      <c r="AA2873" s="19" t="str">
        <f>HYPERLINK("https://ssdweb.co/ssdweb/CERTH/627497067.pdf","CERTI")</f>
        <v>CERTI</v>
      </c>
    </row>
    <row r="2874" spans="1:27" ht="15" x14ac:dyDescent="0.25">
      <c r="A2874" s="2">
        <v>2869</v>
      </c>
      <c r="B2874" s="39">
        <v>926200964</v>
      </c>
      <c r="C2874" s="28" t="str">
        <f>HYPERLINK("https://pld.live/RapDetail.aspx?STONELIST=926200964","DNA")</f>
        <v>DNA</v>
      </c>
      <c r="D2874" s="18" t="s">
        <v>711</v>
      </c>
      <c r="E2874" s="18" t="s">
        <v>5128</v>
      </c>
      <c r="F2874" s="2" t="s">
        <v>7987</v>
      </c>
      <c r="G2874" s="2" t="s">
        <v>3296</v>
      </c>
      <c r="H2874" s="14">
        <v>1.65</v>
      </c>
      <c r="I2874" s="2" t="s">
        <v>267</v>
      </c>
      <c r="J2874" s="2" t="s">
        <v>3942</v>
      </c>
      <c r="K2874" s="2" t="s">
        <v>1452</v>
      </c>
      <c r="L2874" s="2" t="s">
        <v>5221</v>
      </c>
      <c r="M2874" s="2" t="s">
        <v>5221</v>
      </c>
      <c r="N2874" s="2" t="s">
        <v>2317</v>
      </c>
      <c r="O2874" s="14">
        <v>12500</v>
      </c>
      <c r="P2874" s="14">
        <v>99.02</v>
      </c>
      <c r="Q2874" s="14">
        <v>122.5</v>
      </c>
      <c r="R2874" s="14">
        <v>202.13</v>
      </c>
      <c r="S2874" s="2" t="s">
        <v>317</v>
      </c>
      <c r="T2874" s="2">
        <v>1.03</v>
      </c>
      <c r="U2874" s="2">
        <v>65.8</v>
      </c>
      <c r="V2874" s="2">
        <v>62</v>
      </c>
      <c r="W2874" s="2" t="s">
        <v>7862</v>
      </c>
      <c r="X2874" s="2" t="s">
        <v>7670</v>
      </c>
      <c r="Y2874" s="2">
        <v>20625</v>
      </c>
      <c r="Z2874" s="19" t="str">
        <f>HYPERLINK("https://ssdweb.co/ssdweb/hd/Vision360.html?d=926200964&amp;zoomslide=1&amp;z=1926200964&amp;ISCONFIRM=0","VIDEO")</f>
        <v>VIDEO</v>
      </c>
      <c r="AA2874" s="19" t="str">
        <f>HYPERLINK("https://ssdweb.co/ssdweb/CERTH/635426971.pdf","CERTI")</f>
        <v>CERTI</v>
      </c>
    </row>
    <row r="2875" spans="1:27" ht="15" x14ac:dyDescent="0.25">
      <c r="A2875" s="2">
        <v>2870</v>
      </c>
      <c r="B2875" s="39">
        <v>926200330</v>
      </c>
      <c r="C2875" s="28" t="str">
        <f>HYPERLINK("https://pld.live/RapDetail.aspx?STONELIST=926200330","DNA")</f>
        <v>DNA</v>
      </c>
      <c r="D2875" s="18" t="s">
        <v>711</v>
      </c>
      <c r="E2875" s="18" t="s">
        <v>5128</v>
      </c>
      <c r="F2875" s="2" t="s">
        <v>7987</v>
      </c>
      <c r="G2875" s="2" t="s">
        <v>3296</v>
      </c>
      <c r="H2875" s="14">
        <v>1.65</v>
      </c>
      <c r="I2875" s="2" t="s">
        <v>267</v>
      </c>
      <c r="J2875" s="2" t="s">
        <v>13</v>
      </c>
      <c r="K2875" s="2" t="s">
        <v>1452</v>
      </c>
      <c r="L2875" s="2" t="s">
        <v>5221</v>
      </c>
      <c r="M2875" s="2" t="s">
        <v>5221</v>
      </c>
      <c r="N2875" s="2" t="s">
        <v>2317</v>
      </c>
      <c r="O2875" s="14">
        <v>11600</v>
      </c>
      <c r="P2875" s="14">
        <v>98.96</v>
      </c>
      <c r="Q2875" s="14">
        <v>120.64</v>
      </c>
      <c r="R2875" s="14">
        <v>199.06</v>
      </c>
      <c r="S2875" s="2" t="s">
        <v>4834</v>
      </c>
      <c r="T2875" s="2">
        <v>1.02</v>
      </c>
      <c r="U2875" s="2">
        <v>67.099999999999994</v>
      </c>
      <c r="V2875" s="2">
        <v>62</v>
      </c>
      <c r="W2875" s="2" t="s">
        <v>7862</v>
      </c>
      <c r="X2875" s="2" t="s">
        <v>7670</v>
      </c>
      <c r="Y2875" s="2">
        <v>19140</v>
      </c>
      <c r="Z2875" s="19" t="str">
        <f>HYPERLINK("https://ssdweb.co/ssdweb/hd/Vision360.html?d=926200330&amp;zoomslide=1&amp;z=1926200330&amp;ISCONFIRM=0","VIDEO")</f>
        <v>VIDEO</v>
      </c>
      <c r="AA2875" s="19" t="str">
        <f>HYPERLINK("https://ssdweb.co/ssdweb/CERTH/634431451.pdf","CERTI")</f>
        <v>CERTI</v>
      </c>
    </row>
    <row r="2876" spans="1:27" ht="15" x14ac:dyDescent="0.25">
      <c r="A2876" s="2">
        <v>2871</v>
      </c>
      <c r="B2876" s="39">
        <v>926200994</v>
      </c>
      <c r="C2876" s="28" t="str">
        <f>HYPERLINK("https://pld.live/RapDetail.aspx?STONELIST=926200994","DNA")</f>
        <v>DNA</v>
      </c>
      <c r="D2876" s="18" t="s">
        <v>711</v>
      </c>
      <c r="E2876" s="18" t="s">
        <v>5128</v>
      </c>
      <c r="F2876" s="2" t="s">
        <v>7987</v>
      </c>
      <c r="G2876" s="2" t="s">
        <v>3296</v>
      </c>
      <c r="H2876" s="14">
        <v>1.65</v>
      </c>
      <c r="I2876" s="2" t="s">
        <v>267</v>
      </c>
      <c r="J2876" s="2" t="s">
        <v>5144</v>
      </c>
      <c r="K2876" s="2" t="s">
        <v>1452</v>
      </c>
      <c r="L2876" s="2" t="s">
        <v>5221</v>
      </c>
      <c r="M2876" s="2" t="s">
        <v>5221</v>
      </c>
      <c r="N2876" s="2" t="s">
        <v>2317</v>
      </c>
      <c r="O2876" s="14">
        <v>9900</v>
      </c>
      <c r="P2876" s="14">
        <v>98.8</v>
      </c>
      <c r="Q2876" s="14">
        <v>118.8</v>
      </c>
      <c r="R2876" s="14">
        <v>196.02</v>
      </c>
      <c r="S2876" s="2" t="s">
        <v>4458</v>
      </c>
      <c r="T2876" s="2">
        <v>1.02</v>
      </c>
      <c r="U2876" s="2">
        <v>62.9</v>
      </c>
      <c r="V2876" s="2">
        <v>61</v>
      </c>
      <c r="W2876" s="2" t="s">
        <v>7862</v>
      </c>
      <c r="X2876" s="2" t="s">
        <v>7670</v>
      </c>
      <c r="Y2876" s="2">
        <v>16335</v>
      </c>
      <c r="Z2876" s="19" t="str">
        <f>HYPERLINK("https://ssdweb.co/ssdweb/hd/Vision360.html?d=926200994&amp;zoomslide=1&amp;z=1926200994&amp;ISCONFIRM=0","VIDEO")</f>
        <v>VIDEO</v>
      </c>
      <c r="AA2876" s="19" t="str">
        <f>HYPERLINK("https://ssdweb.co/ssdweb/CERTH/635423947.pdf","CERTI")</f>
        <v>CERTI</v>
      </c>
    </row>
    <row r="2877" spans="1:27" ht="15" x14ac:dyDescent="0.25">
      <c r="A2877" s="2">
        <v>2872</v>
      </c>
      <c r="B2877" s="39">
        <v>926200481</v>
      </c>
      <c r="C2877" s="28" t="str">
        <f>HYPERLINK("https://pld.live/RapDetail.aspx?STONELIST=926200481","DNA")</f>
        <v>DNA</v>
      </c>
      <c r="D2877" s="18" t="s">
        <v>711</v>
      </c>
      <c r="E2877" s="18" t="s">
        <v>5128</v>
      </c>
      <c r="F2877" s="2" t="s">
        <v>7987</v>
      </c>
      <c r="G2877" s="2" t="s">
        <v>3296</v>
      </c>
      <c r="H2877" s="14">
        <v>1.65</v>
      </c>
      <c r="I2877" s="2" t="s">
        <v>4761</v>
      </c>
      <c r="J2877" s="2" t="s">
        <v>13</v>
      </c>
      <c r="K2877" s="2" t="s">
        <v>1452</v>
      </c>
      <c r="L2877" s="2" t="s">
        <v>5221</v>
      </c>
      <c r="M2877" s="2" t="s">
        <v>5221</v>
      </c>
      <c r="N2877" s="2" t="s">
        <v>2317</v>
      </c>
      <c r="O2877" s="14">
        <v>10800</v>
      </c>
      <c r="P2877" s="14">
        <v>98.9</v>
      </c>
      <c r="Q2877" s="14">
        <v>118.8</v>
      </c>
      <c r="R2877" s="14">
        <v>196.02</v>
      </c>
      <c r="S2877" s="2" t="s">
        <v>6231</v>
      </c>
      <c r="T2877" s="2">
        <v>1</v>
      </c>
      <c r="U2877" s="2">
        <v>67.2</v>
      </c>
      <c r="V2877" s="2">
        <v>61</v>
      </c>
      <c r="W2877" s="2" t="s">
        <v>7862</v>
      </c>
      <c r="X2877" s="2" t="s">
        <v>7670</v>
      </c>
      <c r="Y2877" s="2">
        <v>17820</v>
      </c>
      <c r="Z2877" s="19" t="str">
        <f>HYPERLINK("https://ssdweb.co/ssdweb/hd/Vision360.html?d=926200481&amp;zoomslide=1&amp;z=1926200481&amp;ISCONFIRM=0","VIDEO")</f>
        <v>VIDEO</v>
      </c>
      <c r="AA2877" s="19" t="str">
        <f>HYPERLINK("https://ssdweb.co/ssdweb/CERTH/634431503.pdf","CERTI")</f>
        <v>CERTI</v>
      </c>
    </row>
    <row r="2878" spans="1:27" ht="15" x14ac:dyDescent="0.25">
      <c r="A2878" s="2">
        <v>2873</v>
      </c>
      <c r="B2878" s="39">
        <v>922200120</v>
      </c>
      <c r="C2878" s="28" t="str">
        <f>HYPERLINK("https://pld.live/RapDetail.aspx?STONELIST=922200120","DNA")</f>
        <v>DNA</v>
      </c>
      <c r="D2878" s="18" t="s">
        <v>711</v>
      </c>
      <c r="E2878" s="18" t="s">
        <v>5128</v>
      </c>
      <c r="F2878" s="2" t="s">
        <v>5597</v>
      </c>
      <c r="G2878" s="2" t="s">
        <v>3296</v>
      </c>
      <c r="H2878" s="14">
        <v>1.61</v>
      </c>
      <c r="I2878" s="2" t="s">
        <v>267</v>
      </c>
      <c r="J2878" s="2" t="s">
        <v>5144</v>
      </c>
      <c r="K2878" s="2" t="s">
        <v>1452</v>
      </c>
      <c r="L2878" s="2" t="s">
        <v>5221</v>
      </c>
      <c r="M2878" s="2" t="s">
        <v>5221</v>
      </c>
      <c r="N2878" s="2" t="s">
        <v>2317</v>
      </c>
      <c r="O2878" s="14">
        <v>9900</v>
      </c>
      <c r="P2878" s="14">
        <v>97.98</v>
      </c>
      <c r="Q2878" s="14">
        <v>199.98</v>
      </c>
      <c r="R2878" s="14">
        <v>321.97000000000003</v>
      </c>
      <c r="S2878" s="2" t="s">
        <v>3128</v>
      </c>
      <c r="T2878" s="2">
        <v>1.05</v>
      </c>
      <c r="U2878" s="2">
        <v>65.900000000000006</v>
      </c>
      <c r="V2878" s="2">
        <v>64</v>
      </c>
      <c r="W2878" s="2" t="s">
        <v>7862</v>
      </c>
      <c r="X2878" s="2" t="s">
        <v>7053</v>
      </c>
      <c r="Y2878" s="2">
        <v>15939</v>
      </c>
      <c r="Z2878" s="19" t="str">
        <f>HYPERLINK("https://ssdweb.co/ssdweb/hd/Vision360.html?d=922200120&amp;zoomslide=1&amp;z=1922200120&amp;ISCONFIRM=0","VIDEO")</f>
        <v>VIDEO</v>
      </c>
      <c r="AA2878" s="19" t="str">
        <f>HYPERLINK("https://ssdweb.co/ssdweb/CERTH/6421438826.pdf","CERTI")</f>
        <v>CERTI</v>
      </c>
    </row>
    <row r="2879" spans="1:27" ht="15" x14ac:dyDescent="0.25">
      <c r="A2879" s="2">
        <v>2874</v>
      </c>
      <c r="B2879" s="39">
        <v>926171460</v>
      </c>
      <c r="C2879" s="28" t="str">
        <f>HYPERLINK("https://pld.live/RapDetail.aspx?STONELIST=926171460","DNA")</f>
        <v>DNA</v>
      </c>
      <c r="D2879" s="18" t="s">
        <v>711</v>
      </c>
      <c r="E2879" s="18" t="s">
        <v>5128</v>
      </c>
      <c r="F2879" s="2" t="s">
        <v>7987</v>
      </c>
      <c r="G2879" s="2" t="s">
        <v>3296</v>
      </c>
      <c r="H2879" s="14">
        <v>1.6</v>
      </c>
      <c r="I2879" s="2" t="s">
        <v>4761</v>
      </c>
      <c r="J2879" s="2" t="s">
        <v>6555</v>
      </c>
      <c r="K2879" s="2" t="s">
        <v>1452</v>
      </c>
      <c r="L2879" s="2" t="s">
        <v>5221</v>
      </c>
      <c r="M2879" s="2" t="s">
        <v>5221</v>
      </c>
      <c r="N2879" s="2" t="s">
        <v>2317</v>
      </c>
      <c r="O2879" s="14">
        <v>12400</v>
      </c>
      <c r="P2879" s="14">
        <v>98.83</v>
      </c>
      <c r="Q2879" s="14">
        <v>145.08000000000001</v>
      </c>
      <c r="R2879" s="14">
        <v>232.13</v>
      </c>
      <c r="S2879" s="2" t="s">
        <v>2302</v>
      </c>
      <c r="T2879" s="2">
        <v>1.05</v>
      </c>
      <c r="U2879" s="2">
        <v>62.9</v>
      </c>
      <c r="V2879" s="2">
        <v>61</v>
      </c>
      <c r="W2879" s="2" t="s">
        <v>7862</v>
      </c>
      <c r="X2879" s="2" t="s">
        <v>7670</v>
      </c>
      <c r="Y2879" s="2">
        <v>19840</v>
      </c>
      <c r="Z2879" s="19" t="str">
        <f>HYPERLINK("https://ssdweb.co/ssdweb/hd/Vision360.html?d=926171460&amp;zoomslide=1&amp;z=1926171460&amp;ISCONFIRM=0","VIDEO")</f>
        <v>VIDEO</v>
      </c>
      <c r="AA2879" s="19" t="str">
        <f>HYPERLINK("https://ssdweb.co/ssdweb/CERTH/634431511.pdf","CERTI")</f>
        <v>CERTI</v>
      </c>
    </row>
    <row r="2880" spans="1:27" ht="15" x14ac:dyDescent="0.25">
      <c r="A2880" s="2">
        <v>2875</v>
      </c>
      <c r="B2880" s="39">
        <v>922650369</v>
      </c>
      <c r="C2880" s="28" t="str">
        <f>HYPERLINK("https://pld.live/RapDetail.aspx?STONELIST=922650369","DNA")</f>
        <v>DNA</v>
      </c>
      <c r="D2880" s="18" t="s">
        <v>711</v>
      </c>
      <c r="E2880" s="18" t="s">
        <v>5128</v>
      </c>
      <c r="F2880" s="2" t="s">
        <v>7987</v>
      </c>
      <c r="G2880" s="2" t="s">
        <v>3296</v>
      </c>
      <c r="H2880" s="14">
        <v>1.57</v>
      </c>
      <c r="I2880" s="2" t="s">
        <v>267</v>
      </c>
      <c r="J2880" s="2" t="s">
        <v>444</v>
      </c>
      <c r="K2880" s="2" t="s">
        <v>1452</v>
      </c>
      <c r="L2880" s="2" t="s">
        <v>5221</v>
      </c>
      <c r="M2880" s="2" t="s">
        <v>5221</v>
      </c>
      <c r="N2880" s="2" t="s">
        <v>2317</v>
      </c>
      <c r="O2880" s="14">
        <v>8100</v>
      </c>
      <c r="P2880" s="14">
        <v>98.6</v>
      </c>
      <c r="Q2880" s="14">
        <v>113.4</v>
      </c>
      <c r="R2880" s="14">
        <v>178.04</v>
      </c>
      <c r="S2880" s="2" t="s">
        <v>3735</v>
      </c>
      <c r="T2880" s="2">
        <v>1.04</v>
      </c>
      <c r="U2880" s="2">
        <v>65.5</v>
      </c>
      <c r="V2880" s="2">
        <v>64</v>
      </c>
      <c r="W2880" s="2" t="s">
        <v>7862</v>
      </c>
      <c r="X2880" s="2" t="s">
        <v>7670</v>
      </c>
      <c r="Y2880" s="2">
        <v>12717</v>
      </c>
      <c r="Z2880" s="19" t="str">
        <f>HYPERLINK("https://ssdweb.co/ssdweb/hd/Vision360.html?d=922650369&amp;zoomslide=1&amp;z=1922650369&amp;ISCONFIRM=0","VIDEO")</f>
        <v>VIDEO</v>
      </c>
      <c r="AA2880" s="19" t="str">
        <f>HYPERLINK("https://ssdweb.co/ssdweb/CERTH/532257275.pdf","CERTI")</f>
        <v>CERTI</v>
      </c>
    </row>
    <row r="2881" spans="1:27" ht="15" x14ac:dyDescent="0.25">
      <c r="A2881" s="2">
        <v>2876</v>
      </c>
      <c r="B2881" s="39">
        <v>923800327</v>
      </c>
      <c r="C2881" s="28" t="str">
        <f>HYPERLINK("https://pld.live/RapDetail.aspx?STONELIST=923800327","DNA")</f>
        <v>DNA</v>
      </c>
      <c r="D2881" s="18" t="s">
        <v>711</v>
      </c>
      <c r="E2881" s="18" t="s">
        <v>5128</v>
      </c>
      <c r="F2881" s="2" t="s">
        <v>7987</v>
      </c>
      <c r="G2881" s="2" t="s">
        <v>3296</v>
      </c>
      <c r="H2881" s="14">
        <v>1.57</v>
      </c>
      <c r="I2881" s="2" t="s">
        <v>267</v>
      </c>
      <c r="J2881" s="2" t="s">
        <v>444</v>
      </c>
      <c r="K2881" s="2" t="s">
        <v>1452</v>
      </c>
      <c r="L2881" s="2" t="s">
        <v>5221</v>
      </c>
      <c r="M2881" s="2" t="s">
        <v>5221</v>
      </c>
      <c r="N2881" s="2" t="s">
        <v>2317</v>
      </c>
      <c r="O2881" s="14">
        <v>8100</v>
      </c>
      <c r="P2881" s="14">
        <v>98.6</v>
      </c>
      <c r="Q2881" s="14">
        <v>113.4</v>
      </c>
      <c r="R2881" s="14">
        <v>178.04</v>
      </c>
      <c r="S2881" s="2" t="s">
        <v>7956</v>
      </c>
      <c r="T2881" s="2">
        <v>1.05</v>
      </c>
      <c r="U2881" s="2">
        <v>65.2</v>
      </c>
      <c r="V2881" s="2">
        <v>62</v>
      </c>
      <c r="W2881" s="2" t="s">
        <v>7862</v>
      </c>
      <c r="X2881" s="2" t="s">
        <v>7670</v>
      </c>
      <c r="Y2881" s="2">
        <v>12717</v>
      </c>
      <c r="Z2881" s="19" t="str">
        <f>HYPERLINK("https://ssdweb.co/ssdweb/hd/Vision360.html?d=923800327&amp;zoomslide=1&amp;z=1923800327&amp;ISCONFIRM=0","VIDEO")</f>
        <v>VIDEO</v>
      </c>
      <c r="AA2881" s="19" t="str">
        <f>HYPERLINK("https://ssdweb.co/ssdweb/CERTH/569323202.pdf","CERTI")</f>
        <v>CERTI</v>
      </c>
    </row>
    <row r="2882" spans="1:27" ht="15" x14ac:dyDescent="0.25">
      <c r="A2882" s="2">
        <v>2877</v>
      </c>
      <c r="B2882" s="39">
        <v>925861940</v>
      </c>
      <c r="C2882" s="28" t="str">
        <f>HYPERLINK("https://pld.live/RapDetail.aspx?STONELIST=925861940","DNA")</f>
        <v>DNA</v>
      </c>
      <c r="D2882" s="18" t="s">
        <v>711</v>
      </c>
      <c r="E2882" s="18" t="s">
        <v>5128</v>
      </c>
      <c r="F2882" s="2" t="s">
        <v>7987</v>
      </c>
      <c r="G2882" s="2" t="s">
        <v>3296</v>
      </c>
      <c r="H2882" s="14">
        <v>1.56</v>
      </c>
      <c r="I2882" s="2" t="s">
        <v>267</v>
      </c>
      <c r="J2882" s="2" t="s">
        <v>3942</v>
      </c>
      <c r="K2882" s="2" t="s">
        <v>1452</v>
      </c>
      <c r="L2882" s="2" t="s">
        <v>5221</v>
      </c>
      <c r="M2882" s="2" t="s">
        <v>5221</v>
      </c>
      <c r="N2882" s="2" t="s">
        <v>2317</v>
      </c>
      <c r="O2882" s="14">
        <v>12500</v>
      </c>
      <c r="P2882" s="14">
        <v>99.03</v>
      </c>
      <c r="Q2882" s="14">
        <v>121.25</v>
      </c>
      <c r="R2882" s="14">
        <v>189.15</v>
      </c>
      <c r="S2882" s="2" t="s">
        <v>8116</v>
      </c>
      <c r="T2882" s="2">
        <v>1.05</v>
      </c>
      <c r="U2882" s="2">
        <v>63.6</v>
      </c>
      <c r="V2882" s="2">
        <v>61</v>
      </c>
      <c r="W2882" s="2" t="s">
        <v>7862</v>
      </c>
      <c r="X2882" s="2" t="s">
        <v>7670</v>
      </c>
      <c r="Y2882" s="2">
        <v>19500</v>
      </c>
      <c r="Z2882" s="19" t="str">
        <f>HYPERLINK("https://ssdweb.co/ssdweb/hd/Vision360.html?d=925861940&amp;zoomslide=1&amp;z=1925861940&amp;ISCONFIRM=0","VIDEO")</f>
        <v>VIDEO</v>
      </c>
      <c r="AA2882" s="19" t="str">
        <f>HYPERLINK("https://ssdweb.co/ssdweb/CERTH/627431814.pdf","CERTI")</f>
        <v>CERTI</v>
      </c>
    </row>
    <row r="2883" spans="1:27" ht="15" x14ac:dyDescent="0.25">
      <c r="A2883" s="2">
        <v>2878</v>
      </c>
      <c r="B2883" s="39">
        <v>831010846</v>
      </c>
      <c r="C2883" s="28" t="str">
        <f>HYPERLINK("https://pld.live/RapDetail.aspx?STONELIST=831010846","DNA")</f>
        <v>DNA</v>
      </c>
      <c r="D2883" s="18" t="s">
        <v>711</v>
      </c>
      <c r="E2883" s="18" t="s">
        <v>5128</v>
      </c>
      <c r="F2883" s="2" t="s">
        <v>7987</v>
      </c>
      <c r="G2883" s="2" t="s">
        <v>3296</v>
      </c>
      <c r="H2883" s="14">
        <v>1.56</v>
      </c>
      <c r="I2883" s="2" t="s">
        <v>267</v>
      </c>
      <c r="J2883" s="2" t="s">
        <v>3942</v>
      </c>
      <c r="K2883" s="2" t="s">
        <v>1452</v>
      </c>
      <c r="L2883" s="2" t="s">
        <v>5221</v>
      </c>
      <c r="M2883" s="2" t="s">
        <v>5221</v>
      </c>
      <c r="N2883" s="2" t="s">
        <v>2317</v>
      </c>
      <c r="O2883" s="14">
        <v>12500</v>
      </c>
      <c r="P2883" s="14">
        <v>99.03</v>
      </c>
      <c r="Q2883" s="14">
        <v>121.25</v>
      </c>
      <c r="R2883" s="14">
        <v>189.15</v>
      </c>
      <c r="S2883" s="2" t="s">
        <v>5484</v>
      </c>
      <c r="T2883" s="2">
        <v>1.05</v>
      </c>
      <c r="U2883" s="2">
        <v>64.2</v>
      </c>
      <c r="V2883" s="2">
        <v>57</v>
      </c>
      <c r="W2883" s="2" t="s">
        <v>7862</v>
      </c>
      <c r="X2883" s="2" t="s">
        <v>7670</v>
      </c>
      <c r="Y2883" s="2">
        <v>19500</v>
      </c>
      <c r="Z2883" s="19" t="str">
        <f>HYPERLINK("https://ssdweb.co/ssdweb/hd/Vision360.html?d=831010846&amp;zoomslide=1&amp;z=1831010846&amp;ISCONFIRM=0","VIDEO")</f>
        <v>VIDEO</v>
      </c>
      <c r="AA2883" s="19" t="str">
        <f>HYPERLINK("https://ssdweb.co/ssdweb/CERTH/613350241.pdf","CERTI")</f>
        <v>CERTI</v>
      </c>
    </row>
    <row r="2884" spans="1:27" ht="15" x14ac:dyDescent="0.25">
      <c r="A2884" s="2">
        <v>2879</v>
      </c>
      <c r="B2884" s="39">
        <v>925140325</v>
      </c>
      <c r="C2884" s="28" t="str">
        <f>HYPERLINK("https://pld.live/RapDetail.aspx?STONELIST=925140325","DNA")</f>
        <v>DNA</v>
      </c>
      <c r="D2884" s="18" t="s">
        <v>711</v>
      </c>
      <c r="E2884" s="18" t="s">
        <v>5128</v>
      </c>
      <c r="F2884" s="2" t="s">
        <v>7987</v>
      </c>
      <c r="G2884" s="2" t="s">
        <v>3296</v>
      </c>
      <c r="H2884" s="14">
        <v>1.56</v>
      </c>
      <c r="I2884" s="2" t="s">
        <v>267</v>
      </c>
      <c r="J2884" s="2" t="s">
        <v>13</v>
      </c>
      <c r="K2884" s="2" t="s">
        <v>1452</v>
      </c>
      <c r="L2884" s="2" t="s">
        <v>5221</v>
      </c>
      <c r="M2884" s="2" t="s">
        <v>5221</v>
      </c>
      <c r="N2884" s="2" t="s">
        <v>2317</v>
      </c>
      <c r="O2884" s="14">
        <v>11600</v>
      </c>
      <c r="P2884" s="14">
        <v>98.97</v>
      </c>
      <c r="Q2884" s="14">
        <v>119.48</v>
      </c>
      <c r="R2884" s="14">
        <v>186.39</v>
      </c>
      <c r="S2884" s="2" t="s">
        <v>6538</v>
      </c>
      <c r="T2884" s="2">
        <v>1.05</v>
      </c>
      <c r="U2884" s="2">
        <v>65.2</v>
      </c>
      <c r="V2884" s="2">
        <v>60</v>
      </c>
      <c r="W2884" s="2" t="s">
        <v>7862</v>
      </c>
      <c r="X2884" s="2" t="s">
        <v>7670</v>
      </c>
      <c r="Y2884" s="2">
        <v>18096</v>
      </c>
      <c r="Z2884" s="19" t="str">
        <f>HYPERLINK("https://ssdweb.co/ssdweb/hd/Vision360.html?d=925140325&amp;zoomslide=1&amp;z=1925140325&amp;ISCONFIRM=0","VIDEO")</f>
        <v>VIDEO</v>
      </c>
      <c r="AA2884" s="19" t="str">
        <f>HYPERLINK("https://ssdweb.co/ssdweb/CERTH/616403470.pdf","CERTI")</f>
        <v>CERTI</v>
      </c>
    </row>
    <row r="2885" spans="1:27" ht="15" x14ac:dyDescent="0.25">
      <c r="A2885" s="2">
        <v>2880</v>
      </c>
      <c r="B2885" s="39">
        <v>925551860</v>
      </c>
      <c r="C2885" s="28" t="str">
        <f>HYPERLINK("https://pld.live/RapDetail.aspx?STONELIST=925551860","DNA")</f>
        <v>DNA</v>
      </c>
      <c r="D2885" s="18" t="s">
        <v>711</v>
      </c>
      <c r="E2885" s="18" t="s">
        <v>5128</v>
      </c>
      <c r="F2885" s="2" t="s">
        <v>7987</v>
      </c>
      <c r="G2885" s="2" t="s">
        <v>3296</v>
      </c>
      <c r="H2885" s="14">
        <v>1.56</v>
      </c>
      <c r="I2885" s="2" t="s">
        <v>267</v>
      </c>
      <c r="J2885" s="2" t="s">
        <v>5144</v>
      </c>
      <c r="K2885" s="2" t="s">
        <v>1452</v>
      </c>
      <c r="L2885" s="2" t="s">
        <v>5221</v>
      </c>
      <c r="M2885" s="2" t="s">
        <v>5221</v>
      </c>
      <c r="N2885" s="2" t="s">
        <v>2317</v>
      </c>
      <c r="O2885" s="14">
        <v>9900</v>
      </c>
      <c r="P2885" s="14">
        <v>98.82</v>
      </c>
      <c r="Q2885" s="14">
        <v>116.82</v>
      </c>
      <c r="R2885" s="14">
        <v>182.24</v>
      </c>
      <c r="S2885" s="2" t="s">
        <v>164</v>
      </c>
      <c r="T2885" s="2">
        <v>1.05</v>
      </c>
      <c r="U2885" s="2">
        <v>69.099999999999994</v>
      </c>
      <c r="V2885" s="2">
        <v>63</v>
      </c>
      <c r="W2885" s="2" t="s">
        <v>7862</v>
      </c>
      <c r="X2885" s="2" t="s">
        <v>7670</v>
      </c>
      <c r="Y2885" s="2">
        <v>15444</v>
      </c>
      <c r="Z2885" s="19" t="str">
        <f>HYPERLINK("https://ssdweb.co/ssdweb/hd/Vision360.html?d=925551860&amp;zoomslide=1&amp;z=1925551860&amp;ISCONFIRM=0","VIDEO")</f>
        <v>VIDEO</v>
      </c>
      <c r="AA2885" s="19" t="str">
        <f>HYPERLINK("https://ssdweb.co/ssdweb/CERTH/620403133.pdf","CERTI")</f>
        <v>CERTI</v>
      </c>
    </row>
    <row r="2886" spans="1:27" ht="15" x14ac:dyDescent="0.25">
      <c r="A2886" s="2">
        <v>2881</v>
      </c>
      <c r="B2886" s="39">
        <v>831010845</v>
      </c>
      <c r="C2886" s="28" t="str">
        <f>HYPERLINK("https://pld.live/RapDetail.aspx?STONELIST=831010845","DNA")</f>
        <v>DNA</v>
      </c>
      <c r="D2886" s="18" t="s">
        <v>711</v>
      </c>
      <c r="E2886" s="18" t="s">
        <v>5128</v>
      </c>
      <c r="F2886" s="2" t="s">
        <v>7987</v>
      </c>
      <c r="G2886" s="2" t="s">
        <v>3296</v>
      </c>
      <c r="H2886" s="14">
        <v>1.55</v>
      </c>
      <c r="I2886" s="2" t="s">
        <v>267</v>
      </c>
      <c r="J2886" s="2" t="s">
        <v>13</v>
      </c>
      <c r="K2886" s="2" t="s">
        <v>1452</v>
      </c>
      <c r="L2886" s="2" t="s">
        <v>5221</v>
      </c>
      <c r="M2886" s="2" t="s">
        <v>5221</v>
      </c>
      <c r="N2886" s="2" t="s">
        <v>2317</v>
      </c>
      <c r="O2886" s="14">
        <v>11600</v>
      </c>
      <c r="P2886" s="14">
        <v>98.97</v>
      </c>
      <c r="Q2886" s="14">
        <v>119.48</v>
      </c>
      <c r="R2886" s="14">
        <v>185.19</v>
      </c>
      <c r="S2886" s="2" t="s">
        <v>534</v>
      </c>
      <c r="T2886" s="2">
        <v>1.04</v>
      </c>
      <c r="U2886" s="2">
        <v>63.6</v>
      </c>
      <c r="V2886" s="2">
        <v>60</v>
      </c>
      <c r="W2886" s="2" t="s">
        <v>7862</v>
      </c>
      <c r="X2886" s="2" t="s">
        <v>7670</v>
      </c>
      <c r="Y2886" s="2">
        <v>17980</v>
      </c>
      <c r="Z2886" s="19" t="str">
        <f>HYPERLINK("https://ssdweb.co/ssdweb/hd/Vision360.html?d=831010845&amp;zoomslide=1&amp;z=1831010845&amp;ISCONFIRM=0","VIDEO")</f>
        <v>VIDEO</v>
      </c>
      <c r="AA2886" s="19" t="str">
        <f>HYPERLINK("https://ssdweb.co/ssdweb/CERTH/617437434.pdf","CERTI")</f>
        <v>CERTI</v>
      </c>
    </row>
    <row r="2887" spans="1:27" ht="15" x14ac:dyDescent="0.25">
      <c r="A2887" s="2">
        <v>2882</v>
      </c>
      <c r="B2887" s="39">
        <v>925862082</v>
      </c>
      <c r="C2887" s="28" t="str">
        <f>HYPERLINK("https://pld.live/RapDetail.aspx?STONELIST=925862082","DNA")</f>
        <v>DNA</v>
      </c>
      <c r="D2887" s="18" t="s">
        <v>711</v>
      </c>
      <c r="E2887" s="18" t="s">
        <v>5128</v>
      </c>
      <c r="F2887" s="2" t="s">
        <v>7987</v>
      </c>
      <c r="G2887" s="2" t="s">
        <v>3296</v>
      </c>
      <c r="H2887" s="14">
        <v>1.55</v>
      </c>
      <c r="I2887" s="2" t="s">
        <v>4761</v>
      </c>
      <c r="J2887" s="2" t="s">
        <v>7032</v>
      </c>
      <c r="K2887" s="2" t="s">
        <v>1452</v>
      </c>
      <c r="L2887" s="2" t="s">
        <v>5221</v>
      </c>
      <c r="M2887" s="2" t="s">
        <v>5221</v>
      </c>
      <c r="N2887" s="2" t="s">
        <v>2317</v>
      </c>
      <c r="O2887" s="14">
        <v>13200</v>
      </c>
      <c r="P2887" s="14">
        <v>97.45</v>
      </c>
      <c r="Q2887" s="14">
        <v>336.6</v>
      </c>
      <c r="R2887" s="14">
        <v>521.73</v>
      </c>
      <c r="S2887" s="2" t="s">
        <v>6409</v>
      </c>
      <c r="T2887" s="2">
        <v>1.04</v>
      </c>
      <c r="U2887" s="2">
        <v>65.400000000000006</v>
      </c>
      <c r="V2887" s="2">
        <v>60</v>
      </c>
      <c r="W2887" s="2" t="s">
        <v>4336</v>
      </c>
      <c r="X2887" s="2" t="s">
        <v>7670</v>
      </c>
      <c r="Y2887" s="2">
        <v>20460</v>
      </c>
      <c r="Z2887" s="19" t="str">
        <f>HYPERLINK("https://ssdweb.co/ssdweb/hd/Vision360.html?d=925862082&amp;zoomslide=1&amp;z=1925862082&amp;ISCONFIRM=0","VIDEO")</f>
        <v>VIDEO</v>
      </c>
      <c r="AA2887" s="19" t="str">
        <f>HYPERLINK("https://ssdweb.co/ssdweb/CERTH/629453286.pdf","CERTI")</f>
        <v>CERTI</v>
      </c>
    </row>
    <row r="2888" spans="1:27" ht="15" x14ac:dyDescent="0.25">
      <c r="A2888" s="2">
        <v>2883</v>
      </c>
      <c r="B2888" s="39">
        <v>926071917</v>
      </c>
      <c r="C2888" s="28" t="str">
        <f>HYPERLINK("https://pld.live/RapDetail.aspx?STONELIST=926071917","DNA")</f>
        <v>DNA</v>
      </c>
      <c r="D2888" s="18" t="s">
        <v>711</v>
      </c>
      <c r="E2888" s="18" t="s">
        <v>5128</v>
      </c>
      <c r="F2888" s="2" t="s">
        <v>7987</v>
      </c>
      <c r="G2888" s="2" t="s">
        <v>3296</v>
      </c>
      <c r="H2888" s="14">
        <v>1.55</v>
      </c>
      <c r="I2888" s="2" t="s">
        <v>4761</v>
      </c>
      <c r="J2888" s="2" t="s">
        <v>3942</v>
      </c>
      <c r="K2888" s="2" t="s">
        <v>1452</v>
      </c>
      <c r="L2888" s="2" t="s">
        <v>5221</v>
      </c>
      <c r="M2888" s="2" t="s">
        <v>5221</v>
      </c>
      <c r="N2888" s="2" t="s">
        <v>2317</v>
      </c>
      <c r="O2888" s="14">
        <v>11600</v>
      </c>
      <c r="P2888" s="14">
        <v>98.97</v>
      </c>
      <c r="Q2888" s="14">
        <v>119.48</v>
      </c>
      <c r="R2888" s="14">
        <v>185.19</v>
      </c>
      <c r="S2888" s="2" t="s">
        <v>3858</v>
      </c>
      <c r="T2888" s="2">
        <v>1.05</v>
      </c>
      <c r="U2888" s="2">
        <v>62.3</v>
      </c>
      <c r="V2888" s="2">
        <v>63</v>
      </c>
      <c r="W2888" s="2" t="s">
        <v>4336</v>
      </c>
      <c r="X2888" s="2" t="s">
        <v>7670</v>
      </c>
      <c r="Y2888" s="2">
        <v>17980</v>
      </c>
      <c r="Z2888" s="19" t="str">
        <f>HYPERLINK("https://ssdweb.co/ssdweb/hd/Vision360.html?d=926071917&amp;zoomslide=1&amp;z=1926071917&amp;ISCONFIRM=0","VIDEO")</f>
        <v>VIDEO</v>
      </c>
      <c r="AA2888" s="19" t="str">
        <f>HYPERLINK("https://ssdweb.co/ssdweb/CERTH/632403856.pdf","CERTI")</f>
        <v>CERTI</v>
      </c>
    </row>
    <row r="2889" spans="1:27" ht="15" x14ac:dyDescent="0.25">
      <c r="A2889" s="2">
        <v>2884</v>
      </c>
      <c r="B2889" s="39">
        <v>923490333</v>
      </c>
      <c r="C2889" s="28" t="str">
        <f>HYPERLINK("https://pld.live/RapDetail.aspx?STONELIST=923490333","DNA")</f>
        <v>DNA</v>
      </c>
      <c r="D2889" s="18" t="s">
        <v>711</v>
      </c>
      <c r="E2889" s="18" t="s">
        <v>5128</v>
      </c>
      <c r="F2889" s="2" t="s">
        <v>7987</v>
      </c>
      <c r="G2889" s="2" t="s">
        <v>3296</v>
      </c>
      <c r="H2889" s="14">
        <v>1.54</v>
      </c>
      <c r="I2889" s="2" t="s">
        <v>267</v>
      </c>
      <c r="J2889" s="2" t="s">
        <v>5144</v>
      </c>
      <c r="K2889" s="2" t="s">
        <v>1452</v>
      </c>
      <c r="L2889" s="2" t="s">
        <v>5221</v>
      </c>
      <c r="M2889" s="2" t="s">
        <v>5221</v>
      </c>
      <c r="N2889" s="2" t="s">
        <v>2317</v>
      </c>
      <c r="O2889" s="14">
        <v>9900</v>
      </c>
      <c r="P2889" s="14">
        <v>98.82</v>
      </c>
      <c r="Q2889" s="14">
        <v>116.82</v>
      </c>
      <c r="R2889" s="14">
        <v>179.9</v>
      </c>
      <c r="S2889" s="2" t="s">
        <v>1552</v>
      </c>
      <c r="T2889" s="2">
        <v>1.03</v>
      </c>
      <c r="U2889" s="2">
        <v>68.5</v>
      </c>
      <c r="V2889" s="2">
        <v>63.5</v>
      </c>
      <c r="W2889" s="2" t="s">
        <v>7862</v>
      </c>
      <c r="X2889" s="2" t="s">
        <v>7670</v>
      </c>
      <c r="Y2889" s="2">
        <v>15246</v>
      </c>
      <c r="Z2889" s="19" t="str">
        <f>HYPERLINK("https://ssdweb.co/ssdweb/hd/Vision360.html?d=923490333&amp;zoomslide=1&amp;z=1923490333&amp;ISCONFIRM=0","VIDEO")</f>
        <v>VIDEO</v>
      </c>
      <c r="AA2889" s="19" t="str">
        <f>HYPERLINK("https://ssdweb.co/ssdweb/CERTH/549214235.pdf","CERTI")</f>
        <v>CERTI</v>
      </c>
    </row>
    <row r="2890" spans="1:27" ht="15" x14ac:dyDescent="0.25">
      <c r="A2890" s="2">
        <v>2885</v>
      </c>
      <c r="B2890" s="39">
        <v>923500280</v>
      </c>
      <c r="C2890" s="28" t="str">
        <f>HYPERLINK("https://pld.live/RapDetail.aspx?STONELIST=923500280","DNA")</f>
        <v>DNA</v>
      </c>
      <c r="D2890" s="18" t="s">
        <v>711</v>
      </c>
      <c r="E2890" s="18" t="s">
        <v>5128</v>
      </c>
      <c r="F2890" s="2" t="s">
        <v>7987</v>
      </c>
      <c r="G2890" s="2" t="s">
        <v>3296</v>
      </c>
      <c r="H2890" s="14">
        <v>1.54</v>
      </c>
      <c r="I2890" s="2" t="s">
        <v>267</v>
      </c>
      <c r="J2890" s="2" t="s">
        <v>444</v>
      </c>
      <c r="K2890" s="2" t="s">
        <v>1452</v>
      </c>
      <c r="L2890" s="2" t="s">
        <v>5221</v>
      </c>
      <c r="M2890" s="2" t="s">
        <v>5221</v>
      </c>
      <c r="N2890" s="2" t="s">
        <v>2317</v>
      </c>
      <c r="O2890" s="14">
        <v>8100</v>
      </c>
      <c r="P2890" s="14">
        <v>98.6</v>
      </c>
      <c r="Q2890" s="14">
        <v>113.4</v>
      </c>
      <c r="R2890" s="14">
        <v>174.64</v>
      </c>
      <c r="S2890" s="2" t="s">
        <v>5752</v>
      </c>
      <c r="T2890" s="2">
        <v>1.05</v>
      </c>
      <c r="U2890" s="2">
        <v>65.2</v>
      </c>
      <c r="V2890" s="2">
        <v>60</v>
      </c>
      <c r="W2890" s="2" t="s">
        <v>7862</v>
      </c>
      <c r="X2890" s="2" t="s">
        <v>7670</v>
      </c>
      <c r="Y2890" s="2">
        <v>12474</v>
      </c>
      <c r="Z2890" s="19" t="str">
        <f>HYPERLINK("https://ssdweb.co/ssdweb/hd/Vision360.html?d=923500280&amp;zoomslide=1&amp;z=1923500280&amp;ISCONFIRM=0","VIDEO")</f>
        <v>VIDEO</v>
      </c>
      <c r="AA2890" s="19" t="str">
        <f>HYPERLINK("https://ssdweb.co/ssdweb/CERTH/549299464.pdf","CERTI")</f>
        <v>CERTI</v>
      </c>
    </row>
    <row r="2891" spans="1:27" ht="15" x14ac:dyDescent="0.25">
      <c r="A2891" s="2">
        <v>2886</v>
      </c>
      <c r="B2891" s="39">
        <v>925951227</v>
      </c>
      <c r="C2891" s="28" t="str">
        <f>HYPERLINK("https://pld.live/RapDetail.aspx?STONELIST=925951227","DNA")</f>
        <v>DNA</v>
      </c>
      <c r="D2891" s="18" t="s">
        <v>711</v>
      </c>
      <c r="E2891" s="18" t="s">
        <v>5128</v>
      </c>
      <c r="F2891" s="2" t="s">
        <v>7987</v>
      </c>
      <c r="G2891" s="2" t="s">
        <v>3296</v>
      </c>
      <c r="H2891" s="14">
        <v>1.53</v>
      </c>
      <c r="I2891" s="2" t="s">
        <v>267</v>
      </c>
      <c r="J2891" s="2" t="s">
        <v>13</v>
      </c>
      <c r="K2891" s="2" t="s">
        <v>1452</v>
      </c>
      <c r="L2891" s="2" t="s">
        <v>5221</v>
      </c>
      <c r="M2891" s="2" t="s">
        <v>5221</v>
      </c>
      <c r="N2891" s="2" t="s">
        <v>2317</v>
      </c>
      <c r="O2891" s="14">
        <v>11600</v>
      </c>
      <c r="P2891" s="14">
        <v>98.96</v>
      </c>
      <c r="Q2891" s="14">
        <v>120.64</v>
      </c>
      <c r="R2891" s="14">
        <v>184.58</v>
      </c>
      <c r="S2891" s="2" t="s">
        <v>4001</v>
      </c>
      <c r="T2891" s="2">
        <v>1.04</v>
      </c>
      <c r="U2891" s="2">
        <v>66.400000000000006</v>
      </c>
      <c r="V2891" s="2">
        <v>59</v>
      </c>
      <c r="W2891" s="2" t="s">
        <v>7862</v>
      </c>
      <c r="X2891" s="2" t="s">
        <v>7670</v>
      </c>
      <c r="Y2891" s="2">
        <v>17748</v>
      </c>
      <c r="Z2891" s="19" t="str">
        <f>HYPERLINK("https://ssdweb.co/ssdweb/hd/Vision360.html?d=925951227&amp;zoomslide=1&amp;z=1925951227&amp;ISCONFIRM=0","VIDEO")</f>
        <v>VIDEO</v>
      </c>
      <c r="AA2891" s="19" t="str">
        <f>HYPERLINK("https://ssdweb.co/ssdweb/CERTH/629453154.pdf","CERTI")</f>
        <v>CERTI</v>
      </c>
    </row>
    <row r="2892" spans="1:27" ht="15" x14ac:dyDescent="0.25">
      <c r="A2892" s="2">
        <v>2887</v>
      </c>
      <c r="B2892" s="39">
        <v>925360406</v>
      </c>
      <c r="C2892" s="28" t="str">
        <f>HYPERLINK("https://pld.live/RapDetail.aspx?STONELIST=925360406","DNA")</f>
        <v>DNA</v>
      </c>
      <c r="D2892" s="18" t="s">
        <v>711</v>
      </c>
      <c r="E2892" s="18" t="s">
        <v>5128</v>
      </c>
      <c r="F2892" s="2" t="s">
        <v>7987</v>
      </c>
      <c r="G2892" s="2" t="s">
        <v>3296</v>
      </c>
      <c r="H2892" s="14">
        <v>1.53</v>
      </c>
      <c r="I2892" s="2" t="s">
        <v>4761</v>
      </c>
      <c r="J2892" s="2" t="s">
        <v>3942</v>
      </c>
      <c r="K2892" s="2" t="s">
        <v>1452</v>
      </c>
      <c r="L2892" s="2" t="s">
        <v>5221</v>
      </c>
      <c r="M2892" s="2" t="s">
        <v>5221</v>
      </c>
      <c r="N2892" s="2" t="s">
        <v>2317</v>
      </c>
      <c r="O2892" s="14">
        <v>11600</v>
      </c>
      <c r="P2892" s="14">
        <v>98.97</v>
      </c>
      <c r="Q2892" s="14">
        <v>119.48</v>
      </c>
      <c r="R2892" s="14">
        <v>182.8</v>
      </c>
      <c r="S2892" s="2" t="s">
        <v>991</v>
      </c>
      <c r="T2892" s="2">
        <v>1.03</v>
      </c>
      <c r="U2892" s="2">
        <v>67.900000000000006</v>
      </c>
      <c r="V2892" s="2">
        <v>61</v>
      </c>
      <c r="W2892" s="2" t="s">
        <v>7862</v>
      </c>
      <c r="X2892" s="2" t="s">
        <v>7670</v>
      </c>
      <c r="Y2892" s="2">
        <v>17748</v>
      </c>
      <c r="Z2892" s="19" t="str">
        <f>HYPERLINK("https://ssdweb.co/ssdweb/hd/Vision360.html?d=925360406&amp;zoomslide=1&amp;z=1925360406&amp;ISCONFIRM=0","VIDEO")</f>
        <v>VIDEO</v>
      </c>
      <c r="AA2892" s="19" t="str">
        <f>HYPERLINK("https://ssdweb.co/ssdweb/CERTH/620448969.pdf","CERTI")</f>
        <v>CERTI</v>
      </c>
    </row>
    <row r="2893" spans="1:27" ht="15" x14ac:dyDescent="0.25">
      <c r="A2893" s="2">
        <v>2888</v>
      </c>
      <c r="B2893" s="39">
        <v>925140267</v>
      </c>
      <c r="C2893" s="28" t="str">
        <f>HYPERLINK("https://pld.live/RapDetail.aspx?STONELIST=925140267","DNA")</f>
        <v>DNA</v>
      </c>
      <c r="D2893" s="18" t="s">
        <v>711</v>
      </c>
      <c r="E2893" s="18" t="s">
        <v>5128</v>
      </c>
      <c r="F2893" s="2" t="s">
        <v>7987</v>
      </c>
      <c r="G2893" s="2" t="s">
        <v>3296</v>
      </c>
      <c r="H2893" s="14">
        <v>1.53</v>
      </c>
      <c r="I2893" s="2" t="s">
        <v>4761</v>
      </c>
      <c r="J2893" s="2" t="s">
        <v>3942</v>
      </c>
      <c r="K2893" s="2" t="s">
        <v>1452</v>
      </c>
      <c r="L2893" s="2" t="s">
        <v>5221</v>
      </c>
      <c r="M2893" s="2" t="s">
        <v>5221</v>
      </c>
      <c r="N2893" s="2" t="s">
        <v>2317</v>
      </c>
      <c r="O2893" s="14">
        <v>11600</v>
      </c>
      <c r="P2893" s="14">
        <v>98.97</v>
      </c>
      <c r="Q2893" s="14">
        <v>119.48</v>
      </c>
      <c r="R2893" s="14">
        <v>182.8</v>
      </c>
      <c r="S2893" s="2" t="s">
        <v>2201</v>
      </c>
      <c r="T2893" s="2">
        <v>1.07</v>
      </c>
      <c r="U2893" s="2">
        <v>69</v>
      </c>
      <c r="V2893" s="2">
        <v>58</v>
      </c>
      <c r="W2893" s="2" t="s">
        <v>7862</v>
      </c>
      <c r="X2893" s="2" t="s">
        <v>3851</v>
      </c>
      <c r="Y2893" s="2">
        <v>17748</v>
      </c>
      <c r="Z2893" s="19" t="str">
        <f>HYPERLINK("https://ssdweb.co/ssdweb/hd/Vision360.html?d=925140267&amp;zoomslide=1&amp;z=1925140267&amp;ISCONFIRM=0","VIDEO")</f>
        <v>VIDEO</v>
      </c>
      <c r="AA2893" s="19" t="str">
        <f>HYPERLINK("https://ssdweb.co/ssdweb/CERTH/613350268.pdf","CERTI")</f>
        <v>CERTI</v>
      </c>
    </row>
    <row r="2894" spans="1:27" ht="15" x14ac:dyDescent="0.25">
      <c r="A2894" s="2">
        <v>2889</v>
      </c>
      <c r="B2894" s="39">
        <v>926830867</v>
      </c>
      <c r="C2894" s="28" t="str">
        <f>HYPERLINK("https://pld.live/RapDetail.aspx?STONELIST=926830867","DNA")</f>
        <v>DNA</v>
      </c>
      <c r="D2894" s="18" t="s">
        <v>711</v>
      </c>
      <c r="E2894" s="18" t="s">
        <v>5128</v>
      </c>
      <c r="F2894" s="2" t="s">
        <v>7987</v>
      </c>
      <c r="G2894" s="2" t="s">
        <v>3296</v>
      </c>
      <c r="H2894" s="14">
        <v>1.53</v>
      </c>
      <c r="I2894" s="2" t="s">
        <v>4761</v>
      </c>
      <c r="J2894" s="2" t="s">
        <v>13</v>
      </c>
      <c r="K2894" s="2" t="s">
        <v>1452</v>
      </c>
      <c r="L2894" s="2" t="s">
        <v>5221</v>
      </c>
      <c r="M2894" s="2" t="s">
        <v>5221</v>
      </c>
      <c r="N2894" s="2" t="s">
        <v>2317</v>
      </c>
      <c r="O2894" s="14">
        <v>10800</v>
      </c>
      <c r="P2894" s="14">
        <v>98.89</v>
      </c>
      <c r="Q2894" s="14">
        <v>119.88</v>
      </c>
      <c r="R2894" s="14">
        <v>183.42</v>
      </c>
      <c r="S2894" s="2" t="s">
        <v>6923</v>
      </c>
      <c r="T2894" s="2">
        <v>1.04</v>
      </c>
      <c r="U2894" s="2">
        <v>64.5</v>
      </c>
      <c r="V2894" s="2">
        <v>62</v>
      </c>
      <c r="W2894" s="2" t="s">
        <v>7862</v>
      </c>
      <c r="X2894" s="2" t="s">
        <v>7670</v>
      </c>
      <c r="Y2894" s="2">
        <v>16524</v>
      </c>
      <c r="Z2894" s="19" t="str">
        <f>HYPERLINK("https://ssdweb.co/ssdweb/hd/Vision360.html?d=926830867&amp;zoomslide=1&amp;z=1926830867&amp;ISCONFIRM=0","VIDEO")</f>
        <v>VIDEO</v>
      </c>
      <c r="AA2894" s="19" t="str">
        <f>HYPERLINK("https://ssdweb.co/ssdweb/CERTH/656485758.pdf","CERTI")</f>
        <v>CERTI</v>
      </c>
    </row>
    <row r="2895" spans="1:27" ht="15" x14ac:dyDescent="0.25">
      <c r="A2895" s="2">
        <v>2890</v>
      </c>
      <c r="B2895" s="39">
        <v>925951032</v>
      </c>
      <c r="C2895" s="28" t="str">
        <f>HYPERLINK("https://pld.live/RapDetail.aspx?STONELIST=925951032","DNA")</f>
        <v>DNA</v>
      </c>
      <c r="D2895" s="18" t="s">
        <v>711</v>
      </c>
      <c r="E2895" s="18" t="s">
        <v>5128</v>
      </c>
      <c r="F2895" s="2" t="s">
        <v>7987</v>
      </c>
      <c r="G2895" s="2" t="s">
        <v>3296</v>
      </c>
      <c r="H2895" s="14">
        <v>1.52</v>
      </c>
      <c r="I2895" s="2" t="s">
        <v>267</v>
      </c>
      <c r="J2895" s="2" t="s">
        <v>3942</v>
      </c>
      <c r="K2895" s="2" t="s">
        <v>1452</v>
      </c>
      <c r="L2895" s="2" t="s">
        <v>5221</v>
      </c>
      <c r="M2895" s="2" t="s">
        <v>5221</v>
      </c>
      <c r="N2895" s="2" t="s">
        <v>2317</v>
      </c>
      <c r="O2895" s="14">
        <v>12500</v>
      </c>
      <c r="P2895" s="14">
        <v>99.02</v>
      </c>
      <c r="Q2895" s="14">
        <v>122.5</v>
      </c>
      <c r="R2895" s="14">
        <v>186.2</v>
      </c>
      <c r="S2895" s="2" t="s">
        <v>4386</v>
      </c>
      <c r="T2895" s="2">
        <v>1.08</v>
      </c>
      <c r="U2895" s="2">
        <v>65.900000000000006</v>
      </c>
      <c r="V2895" s="2">
        <v>59</v>
      </c>
      <c r="W2895" s="2" t="s">
        <v>7862</v>
      </c>
      <c r="X2895" s="2" t="s">
        <v>3851</v>
      </c>
      <c r="Y2895" s="2">
        <v>19000</v>
      </c>
      <c r="Z2895" s="19" t="str">
        <f>HYPERLINK("https://ssdweb.co/ssdweb/hd/Vision360.html?d=925951032&amp;zoomslide=1&amp;z=1925951032&amp;ISCONFIRM=0","VIDEO")</f>
        <v>VIDEO</v>
      </c>
      <c r="AA2895" s="19" t="str">
        <f>HYPERLINK("https://ssdweb.co/ssdweb/CERTH/628427041.pdf","CERTI")</f>
        <v>CERTI</v>
      </c>
    </row>
    <row r="2896" spans="1:27" ht="15" x14ac:dyDescent="0.25">
      <c r="A2896" s="2">
        <v>2891</v>
      </c>
      <c r="B2896" s="39">
        <v>925861832</v>
      </c>
      <c r="C2896" s="28" t="str">
        <f>HYPERLINK("https://pld.live/RapDetail.aspx?STONELIST=925861832","DNA")</f>
        <v>DNA</v>
      </c>
      <c r="D2896" s="18" t="s">
        <v>711</v>
      </c>
      <c r="E2896" s="18" t="s">
        <v>5128</v>
      </c>
      <c r="F2896" s="2" t="s">
        <v>7987</v>
      </c>
      <c r="G2896" s="2" t="s">
        <v>3296</v>
      </c>
      <c r="H2896" s="14">
        <v>1.52</v>
      </c>
      <c r="I2896" s="2" t="s">
        <v>267</v>
      </c>
      <c r="J2896" s="2" t="s">
        <v>3942</v>
      </c>
      <c r="K2896" s="2" t="s">
        <v>1452</v>
      </c>
      <c r="L2896" s="2" t="s">
        <v>5221</v>
      </c>
      <c r="M2896" s="2" t="s">
        <v>5221</v>
      </c>
      <c r="N2896" s="2" t="s">
        <v>2317</v>
      </c>
      <c r="O2896" s="14">
        <v>12500</v>
      </c>
      <c r="P2896" s="14">
        <v>99.02</v>
      </c>
      <c r="Q2896" s="14">
        <v>122.5</v>
      </c>
      <c r="R2896" s="14">
        <v>186.2</v>
      </c>
      <c r="S2896" s="2" t="s">
        <v>3715</v>
      </c>
      <c r="T2896" s="2">
        <v>1.04</v>
      </c>
      <c r="U2896" s="2">
        <v>63.5</v>
      </c>
      <c r="V2896" s="2">
        <v>61</v>
      </c>
      <c r="W2896" s="2" t="s">
        <v>7862</v>
      </c>
      <c r="X2896" s="2" t="s">
        <v>7670</v>
      </c>
      <c r="Y2896" s="2">
        <v>19000</v>
      </c>
      <c r="Z2896" s="19" t="str">
        <f>HYPERLINK("https://ssdweb.co/ssdweb/hd/Vision360.html?d=925861832&amp;zoomslide=1&amp;z=1925861832&amp;ISCONFIRM=0","VIDEO")</f>
        <v>VIDEO</v>
      </c>
      <c r="AA2896" s="19" t="str">
        <f>HYPERLINK("https://ssdweb.co/ssdweb/CERTH/627431752.pdf","CERTI")</f>
        <v>CERTI</v>
      </c>
    </row>
    <row r="2897" spans="1:27" ht="15" x14ac:dyDescent="0.25">
      <c r="A2897" s="2">
        <v>2892</v>
      </c>
      <c r="B2897" s="39">
        <v>926900704</v>
      </c>
      <c r="C2897" s="28" t="str">
        <f>HYPERLINK("https://pld.live/RapDetail.aspx?STONELIST=926900704","DNA")</f>
        <v>DNA</v>
      </c>
      <c r="D2897" s="18" t="s">
        <v>711</v>
      </c>
      <c r="E2897" s="18" t="s">
        <v>5128</v>
      </c>
      <c r="F2897" s="2" t="s">
        <v>7987</v>
      </c>
      <c r="G2897" s="2" t="s">
        <v>3296</v>
      </c>
      <c r="H2897" s="14">
        <v>1.52</v>
      </c>
      <c r="I2897" s="2" t="s">
        <v>4761</v>
      </c>
      <c r="J2897" s="2" t="s">
        <v>13</v>
      </c>
      <c r="K2897" s="2" t="s">
        <v>1452</v>
      </c>
      <c r="L2897" s="2" t="s">
        <v>5221</v>
      </c>
      <c r="M2897" s="2" t="s">
        <v>5221</v>
      </c>
      <c r="N2897" s="2" t="s">
        <v>2317</v>
      </c>
      <c r="O2897" s="14">
        <v>10800</v>
      </c>
      <c r="P2897" s="14">
        <v>98.89</v>
      </c>
      <c r="Q2897" s="14">
        <v>119.88</v>
      </c>
      <c r="R2897" s="14">
        <v>182.22</v>
      </c>
      <c r="S2897" s="2" t="s">
        <v>3824</v>
      </c>
      <c r="T2897" s="2">
        <v>1.04</v>
      </c>
      <c r="U2897" s="2">
        <v>65.900000000000006</v>
      </c>
      <c r="V2897" s="2">
        <v>61</v>
      </c>
      <c r="W2897" s="2" t="s">
        <v>7862</v>
      </c>
      <c r="X2897" s="2" t="s">
        <v>7670</v>
      </c>
      <c r="Y2897" s="2">
        <v>16416</v>
      </c>
      <c r="Z2897" s="19" t="str">
        <f>HYPERLINK("https://ssdweb.co/ssdweb/hd/Vision360.html?d=926900704&amp;zoomslide=1&amp;z=1926900704&amp;ISCONFIRM=0","VIDEO")</f>
        <v>VIDEO</v>
      </c>
      <c r="AA2897" s="19" t="str">
        <f>HYPERLINK("https://ssdweb.co/ssdweb/CERTH/656485771.pdf","CERTI")</f>
        <v>CERTI</v>
      </c>
    </row>
    <row r="2898" spans="1:27" ht="15" x14ac:dyDescent="0.25">
      <c r="A2898" s="2">
        <v>2893</v>
      </c>
      <c r="B2898" s="39">
        <v>925551926</v>
      </c>
      <c r="C2898" s="28" t="str">
        <f>HYPERLINK("https://pld.live/RapDetail.aspx?STONELIST=925551926","DNA")</f>
        <v>DNA</v>
      </c>
      <c r="D2898" s="18" t="s">
        <v>711</v>
      </c>
      <c r="E2898" s="18" t="s">
        <v>5128</v>
      </c>
      <c r="F2898" s="2" t="s">
        <v>7987</v>
      </c>
      <c r="G2898" s="2" t="s">
        <v>3296</v>
      </c>
      <c r="H2898" s="14">
        <v>1.51</v>
      </c>
      <c r="I2898" s="2" t="s">
        <v>267</v>
      </c>
      <c r="J2898" s="2" t="s">
        <v>3942</v>
      </c>
      <c r="K2898" s="2" t="s">
        <v>1452</v>
      </c>
      <c r="L2898" s="2" t="s">
        <v>5221</v>
      </c>
      <c r="M2898" s="2" t="s">
        <v>5221</v>
      </c>
      <c r="N2898" s="2" t="s">
        <v>2317</v>
      </c>
      <c r="O2898" s="14">
        <v>12500</v>
      </c>
      <c r="P2898" s="14">
        <v>99.03</v>
      </c>
      <c r="Q2898" s="14">
        <v>121.25</v>
      </c>
      <c r="R2898" s="14">
        <v>183.09</v>
      </c>
      <c r="S2898" s="2" t="s">
        <v>7575</v>
      </c>
      <c r="T2898" s="2">
        <v>1.03</v>
      </c>
      <c r="U2898" s="2">
        <v>64.7</v>
      </c>
      <c r="V2898" s="2">
        <v>60</v>
      </c>
      <c r="W2898" s="2" t="s">
        <v>7862</v>
      </c>
      <c r="X2898" s="2" t="s">
        <v>7670</v>
      </c>
      <c r="Y2898" s="2">
        <v>18875</v>
      </c>
      <c r="Z2898" s="19" t="str">
        <f>HYPERLINK("https://ssdweb.co/ssdweb/hd/Vision360.html?d=925551926&amp;zoomslide=1&amp;z=1925551926&amp;ISCONFIRM=0","VIDEO")</f>
        <v>VIDEO</v>
      </c>
      <c r="AA2898" s="19" t="str">
        <f>HYPERLINK("https://ssdweb.co/ssdweb/CERTH/620448890.pdf","CERTI")</f>
        <v>CERTI</v>
      </c>
    </row>
    <row r="2899" spans="1:27" ht="15" x14ac:dyDescent="0.25">
      <c r="A2899" s="2">
        <v>2894</v>
      </c>
      <c r="B2899" s="39">
        <v>925862032</v>
      </c>
      <c r="C2899" s="28" t="str">
        <f>HYPERLINK("https://pld.live/RapDetail.aspx?STONELIST=925862032","DNA")</f>
        <v>DNA</v>
      </c>
      <c r="D2899" s="18" t="s">
        <v>711</v>
      </c>
      <c r="E2899" s="18" t="s">
        <v>5128</v>
      </c>
      <c r="F2899" s="2" t="s">
        <v>7987</v>
      </c>
      <c r="G2899" s="2" t="s">
        <v>3296</v>
      </c>
      <c r="H2899" s="14">
        <v>1.51</v>
      </c>
      <c r="I2899" s="2" t="s">
        <v>267</v>
      </c>
      <c r="J2899" s="2" t="s">
        <v>13</v>
      </c>
      <c r="K2899" s="2" t="s">
        <v>1452</v>
      </c>
      <c r="L2899" s="2" t="s">
        <v>5221</v>
      </c>
      <c r="M2899" s="2" t="s">
        <v>5221</v>
      </c>
      <c r="N2899" s="2" t="s">
        <v>2317</v>
      </c>
      <c r="O2899" s="14">
        <v>11600</v>
      </c>
      <c r="P2899" s="14">
        <v>98.96</v>
      </c>
      <c r="Q2899" s="14">
        <v>120.64</v>
      </c>
      <c r="R2899" s="14">
        <v>182.17</v>
      </c>
      <c r="S2899" s="2" t="s">
        <v>4709</v>
      </c>
      <c r="T2899" s="2">
        <v>1.04</v>
      </c>
      <c r="U2899" s="2">
        <v>65.7</v>
      </c>
      <c r="V2899" s="2">
        <v>60</v>
      </c>
      <c r="W2899" s="2" t="s">
        <v>7862</v>
      </c>
      <c r="X2899" s="2" t="s">
        <v>7670</v>
      </c>
      <c r="Y2899" s="2">
        <v>17516</v>
      </c>
      <c r="Z2899" s="19" t="str">
        <f>HYPERLINK("https://ssdweb.co/ssdweb/hd/Vision360.html?d=925862032&amp;zoomslide=1&amp;z=1925862032&amp;ISCONFIRM=0","VIDEO")</f>
        <v>VIDEO</v>
      </c>
      <c r="AA2899" s="19" t="str">
        <f>HYPERLINK("https://ssdweb.co/ssdweb/CERTH/628427013.pdf","CERTI")</f>
        <v>CERTI</v>
      </c>
    </row>
    <row r="2900" spans="1:27" ht="15" x14ac:dyDescent="0.25">
      <c r="A2900" s="2">
        <v>2895</v>
      </c>
      <c r="B2900" s="39">
        <v>925290567</v>
      </c>
      <c r="C2900" s="28" t="str">
        <f>HYPERLINK("https://pld.live/RapDetail.aspx?STONELIST=925290567","DNA")</f>
        <v>DNA</v>
      </c>
      <c r="D2900" s="18" t="s">
        <v>711</v>
      </c>
      <c r="E2900" s="18" t="s">
        <v>5128</v>
      </c>
      <c r="F2900" s="2" t="s">
        <v>7987</v>
      </c>
      <c r="G2900" s="2" t="s">
        <v>3296</v>
      </c>
      <c r="H2900" s="14">
        <v>1.51</v>
      </c>
      <c r="I2900" s="2" t="s">
        <v>267</v>
      </c>
      <c r="J2900" s="2" t="s">
        <v>13</v>
      </c>
      <c r="K2900" s="2" t="s">
        <v>1452</v>
      </c>
      <c r="L2900" s="2" t="s">
        <v>5221</v>
      </c>
      <c r="M2900" s="2" t="s">
        <v>5221</v>
      </c>
      <c r="N2900" s="2" t="s">
        <v>2317</v>
      </c>
      <c r="O2900" s="14">
        <v>11600</v>
      </c>
      <c r="P2900" s="14">
        <v>98.97</v>
      </c>
      <c r="Q2900" s="14">
        <v>119.48</v>
      </c>
      <c r="R2900" s="14">
        <v>180.41</v>
      </c>
      <c r="S2900" s="2" t="s">
        <v>3163</v>
      </c>
      <c r="T2900" s="2">
        <v>1.07</v>
      </c>
      <c r="U2900" s="2">
        <v>61.5</v>
      </c>
      <c r="V2900" s="2">
        <v>64</v>
      </c>
      <c r="W2900" s="2" t="s">
        <v>7862</v>
      </c>
      <c r="X2900" s="2" t="s">
        <v>3851</v>
      </c>
      <c r="Y2900" s="2">
        <v>17516</v>
      </c>
      <c r="Z2900" s="19" t="str">
        <f>HYPERLINK("https://ssdweb.co/ssdweb/hd/Vision360.html?d=925290567&amp;zoomslide=1&amp;z=1925290567&amp;ISCONFIRM=0","VIDEO")</f>
        <v>VIDEO</v>
      </c>
      <c r="AA2900" s="19" t="str">
        <f>HYPERLINK("https://ssdweb.co/ssdweb/CERTH/620448970.pdf","CERTI")</f>
        <v>CERTI</v>
      </c>
    </row>
    <row r="2901" spans="1:27" ht="15" x14ac:dyDescent="0.25">
      <c r="A2901" s="2">
        <v>2896</v>
      </c>
      <c r="B2901" s="39">
        <v>925300341</v>
      </c>
      <c r="C2901" s="28" t="str">
        <f>HYPERLINK("https://pld.live/RapDetail.aspx?STONELIST=925300341","DNA")</f>
        <v>DNA</v>
      </c>
      <c r="D2901" s="18" t="s">
        <v>711</v>
      </c>
      <c r="E2901" s="18" t="s">
        <v>5128</v>
      </c>
      <c r="F2901" s="2" t="s">
        <v>7987</v>
      </c>
      <c r="G2901" s="2" t="s">
        <v>3296</v>
      </c>
      <c r="H2901" s="14">
        <v>1.51</v>
      </c>
      <c r="I2901" s="2" t="s">
        <v>267</v>
      </c>
      <c r="J2901" s="2" t="s">
        <v>13</v>
      </c>
      <c r="K2901" s="2" t="s">
        <v>1452</v>
      </c>
      <c r="L2901" s="2" t="s">
        <v>5221</v>
      </c>
      <c r="M2901" s="2" t="s">
        <v>5221</v>
      </c>
      <c r="N2901" s="2" t="s">
        <v>2317</v>
      </c>
      <c r="O2901" s="14">
        <v>11600</v>
      </c>
      <c r="P2901" s="14">
        <v>98.97</v>
      </c>
      <c r="Q2901" s="14">
        <v>119.48</v>
      </c>
      <c r="R2901" s="14">
        <v>180.41</v>
      </c>
      <c r="S2901" s="2" t="s">
        <v>7436</v>
      </c>
      <c r="T2901" s="2">
        <v>1.05</v>
      </c>
      <c r="U2901" s="2">
        <v>64.400000000000006</v>
      </c>
      <c r="V2901" s="2">
        <v>58</v>
      </c>
      <c r="W2901" s="2" t="s">
        <v>7862</v>
      </c>
      <c r="X2901" s="2" t="s">
        <v>7670</v>
      </c>
      <c r="Y2901" s="2">
        <v>17516</v>
      </c>
      <c r="Z2901" s="19" t="str">
        <f>HYPERLINK("https://ssdweb.co/ssdweb/hd/Vision360.html?d=925300341&amp;zoomslide=1&amp;z=1925300341&amp;ISCONFIRM=0","VIDEO")</f>
        <v>VIDEO</v>
      </c>
      <c r="AA2901" s="19" t="str">
        <f>HYPERLINK("https://ssdweb.co/ssdweb/CERTH/619469694.pdf","CERTI")</f>
        <v>CERTI</v>
      </c>
    </row>
    <row r="2902" spans="1:27" ht="15" x14ac:dyDescent="0.25">
      <c r="A2902" s="2">
        <v>2897</v>
      </c>
      <c r="B2902" s="39">
        <v>831010785</v>
      </c>
      <c r="C2902" s="28" t="str">
        <f>HYPERLINK("https://pld.live/RapDetail.aspx?STONELIST=831010785","DNA")</f>
        <v>DNA</v>
      </c>
      <c r="D2902" s="18" t="s">
        <v>711</v>
      </c>
      <c r="E2902" s="18" t="s">
        <v>5128</v>
      </c>
      <c r="F2902" s="2" t="s">
        <v>7987</v>
      </c>
      <c r="G2902" s="2" t="s">
        <v>3296</v>
      </c>
      <c r="H2902" s="14">
        <v>1.51</v>
      </c>
      <c r="I2902" s="2" t="s">
        <v>267</v>
      </c>
      <c r="J2902" s="2" t="s">
        <v>444</v>
      </c>
      <c r="K2902" s="2" t="s">
        <v>1452</v>
      </c>
      <c r="L2902" s="2" t="s">
        <v>5221</v>
      </c>
      <c r="M2902" s="2" t="s">
        <v>5221</v>
      </c>
      <c r="N2902" s="2" t="s">
        <v>2317</v>
      </c>
      <c r="O2902" s="14">
        <v>8100</v>
      </c>
      <c r="P2902" s="14">
        <v>98.6</v>
      </c>
      <c r="Q2902" s="14">
        <v>113.4</v>
      </c>
      <c r="R2902" s="14">
        <v>171.23</v>
      </c>
      <c r="S2902" s="2" t="s">
        <v>68</v>
      </c>
      <c r="T2902" s="2">
        <v>1</v>
      </c>
      <c r="U2902" s="2">
        <v>68.2</v>
      </c>
      <c r="V2902" s="2">
        <v>63</v>
      </c>
      <c r="W2902" s="2" t="s">
        <v>7862</v>
      </c>
      <c r="X2902" s="2" t="s">
        <v>7670</v>
      </c>
      <c r="Y2902" s="2">
        <v>12231</v>
      </c>
      <c r="Z2902" s="19" t="str">
        <f>HYPERLINK("https://ssdweb.co/ssdweb/hd/Vision360.html?d=831010785&amp;zoomslide=1&amp;z=1831010785&amp;ISCONFIRM=0","VIDEO")</f>
        <v>VIDEO</v>
      </c>
      <c r="AA2902" s="19" t="str">
        <f>HYPERLINK("https://ssdweb.co/ssdweb/CERTH/550244443.pdf","CERTI")</f>
        <v>CERTI</v>
      </c>
    </row>
    <row r="2903" spans="1:27" ht="15" x14ac:dyDescent="0.25">
      <c r="A2903" s="2">
        <v>2898</v>
      </c>
      <c r="B2903" s="39">
        <v>925290578</v>
      </c>
      <c r="C2903" s="28" t="str">
        <f>HYPERLINK("https://pld.live/RapDetail.aspx?STONELIST=925290578","DNA")</f>
        <v>DNA</v>
      </c>
      <c r="D2903" s="18" t="s">
        <v>711</v>
      </c>
      <c r="E2903" s="18" t="s">
        <v>5128</v>
      </c>
      <c r="F2903" s="2" t="s">
        <v>7987</v>
      </c>
      <c r="G2903" s="2" t="s">
        <v>3296</v>
      </c>
      <c r="H2903" s="14">
        <v>1.51</v>
      </c>
      <c r="I2903" s="2" t="s">
        <v>4761</v>
      </c>
      <c r="J2903" s="2" t="s">
        <v>13</v>
      </c>
      <c r="K2903" s="2" t="s">
        <v>1452</v>
      </c>
      <c r="L2903" s="2" t="s">
        <v>5221</v>
      </c>
      <c r="M2903" s="2" t="s">
        <v>5221</v>
      </c>
      <c r="N2903" s="2" t="s">
        <v>2317</v>
      </c>
      <c r="O2903" s="14">
        <v>10800</v>
      </c>
      <c r="P2903" s="14">
        <v>98.92</v>
      </c>
      <c r="Q2903" s="14">
        <v>116.64</v>
      </c>
      <c r="R2903" s="14">
        <v>176.13</v>
      </c>
      <c r="S2903" s="2" t="s">
        <v>399</v>
      </c>
      <c r="T2903" s="2">
        <v>1.06</v>
      </c>
      <c r="U2903" s="2">
        <v>63.3</v>
      </c>
      <c r="V2903" s="2">
        <v>57</v>
      </c>
      <c r="W2903" s="2" t="s">
        <v>7862</v>
      </c>
      <c r="X2903" s="2" t="s">
        <v>3851</v>
      </c>
      <c r="Y2903" s="2">
        <v>16308</v>
      </c>
      <c r="Z2903" s="19" t="str">
        <f>HYPERLINK("https://ssdweb.co/ssdweb/hd/Vision360.html?d=925290578&amp;zoomslide=1&amp;z=1925290578&amp;ISCONFIRM=0","VIDEO")</f>
        <v>VIDEO</v>
      </c>
      <c r="AA2903" s="19" t="str">
        <f>HYPERLINK("https://ssdweb.co/ssdweb/CERTH/621475793.pdf","CERTI")</f>
        <v>CERTI</v>
      </c>
    </row>
    <row r="2904" spans="1:27" ht="15" x14ac:dyDescent="0.25">
      <c r="A2904" s="2">
        <v>2899</v>
      </c>
      <c r="B2904" s="39">
        <v>926831049</v>
      </c>
      <c r="C2904" s="28" t="str">
        <f>HYPERLINK("https://pld.live/RapDetail.aspx?STONELIST=926831049","DNA")</f>
        <v>DNA</v>
      </c>
      <c r="D2904" s="18" t="s">
        <v>711</v>
      </c>
      <c r="E2904" s="18" t="s">
        <v>5128</v>
      </c>
      <c r="F2904" s="2" t="s">
        <v>7987</v>
      </c>
      <c r="G2904" s="2" t="s">
        <v>3296</v>
      </c>
      <c r="H2904" s="14">
        <v>1.51</v>
      </c>
      <c r="I2904" s="2" t="s">
        <v>4699</v>
      </c>
      <c r="J2904" s="2" t="s">
        <v>3942</v>
      </c>
      <c r="K2904" s="2" t="s">
        <v>1452</v>
      </c>
      <c r="L2904" s="2" t="s">
        <v>5221</v>
      </c>
      <c r="M2904" s="2" t="s">
        <v>5221</v>
      </c>
      <c r="N2904" s="2" t="s">
        <v>2317</v>
      </c>
      <c r="O2904" s="14">
        <v>10800</v>
      </c>
      <c r="P2904" s="14">
        <v>98.89</v>
      </c>
      <c r="Q2904" s="14">
        <v>119.88</v>
      </c>
      <c r="R2904" s="14">
        <v>181.02</v>
      </c>
      <c r="S2904" s="2" t="s">
        <v>5011</v>
      </c>
      <c r="T2904" s="2">
        <v>1.04</v>
      </c>
      <c r="U2904" s="2">
        <v>65.8</v>
      </c>
      <c r="V2904" s="2">
        <v>62</v>
      </c>
      <c r="W2904" s="2" t="s">
        <v>7862</v>
      </c>
      <c r="X2904" s="2" t="s">
        <v>7670</v>
      </c>
      <c r="Y2904" s="2">
        <v>16308</v>
      </c>
      <c r="Z2904" s="19" t="str">
        <f>HYPERLINK("https://ssdweb.co/ssdweb/hd/Vision360.html?d=926831049&amp;zoomslide=1&amp;z=1926831049&amp;ISCONFIRM=0","VIDEO")</f>
        <v>VIDEO</v>
      </c>
      <c r="AA2904" s="19" t="str">
        <f>HYPERLINK("https://ssdweb.co/ssdweb/CERTH/656485756.pdf","CERTI")</f>
        <v>CERTI</v>
      </c>
    </row>
    <row r="2905" spans="1:27" ht="15" x14ac:dyDescent="0.25">
      <c r="A2905" s="2">
        <v>2900</v>
      </c>
      <c r="B2905" s="39">
        <v>925951325</v>
      </c>
      <c r="C2905" s="28" t="str">
        <f>HYPERLINK("https://pld.live/RapDetail.aspx?STONELIST=925951325","DNA")</f>
        <v>DNA</v>
      </c>
      <c r="D2905" s="18" t="s">
        <v>711</v>
      </c>
      <c r="E2905" s="18" t="s">
        <v>5128</v>
      </c>
      <c r="F2905" s="2" t="s">
        <v>7987</v>
      </c>
      <c r="G2905" s="2" t="s">
        <v>3296</v>
      </c>
      <c r="H2905" s="14">
        <v>1.5</v>
      </c>
      <c r="I2905" s="2" t="s">
        <v>267</v>
      </c>
      <c r="J2905" s="2" t="s">
        <v>3942</v>
      </c>
      <c r="K2905" s="2" t="s">
        <v>1452</v>
      </c>
      <c r="L2905" s="2" t="s">
        <v>5221</v>
      </c>
      <c r="M2905" s="2" t="s">
        <v>5221</v>
      </c>
      <c r="N2905" s="2" t="s">
        <v>2317</v>
      </c>
      <c r="O2905" s="14">
        <v>12500</v>
      </c>
      <c r="P2905" s="14">
        <v>99.02</v>
      </c>
      <c r="Q2905" s="14">
        <v>122.5</v>
      </c>
      <c r="R2905" s="14">
        <v>183.75</v>
      </c>
      <c r="S2905" s="2" t="s">
        <v>666</v>
      </c>
      <c r="T2905" s="2">
        <v>1.02</v>
      </c>
      <c r="U2905" s="2">
        <v>67.400000000000006</v>
      </c>
      <c r="V2905" s="2">
        <v>61</v>
      </c>
      <c r="W2905" s="2" t="s">
        <v>7862</v>
      </c>
      <c r="X2905" s="2" t="s">
        <v>7670</v>
      </c>
      <c r="Y2905" s="2">
        <v>18750</v>
      </c>
      <c r="Z2905" s="19" t="str">
        <f>HYPERLINK("https://ssdweb.co/ssdweb/hd/Vision360.html?d=925951325&amp;zoomslide=1&amp;z=1925951325&amp;ISCONFIRM=0","VIDEO")</f>
        <v>VIDEO</v>
      </c>
      <c r="AA2905" s="19" t="str">
        <f>HYPERLINK("https://ssdweb.co/ssdweb/CERTH/631404502.pdf","CERTI")</f>
        <v>CERTI</v>
      </c>
    </row>
    <row r="2906" spans="1:27" ht="15" x14ac:dyDescent="0.25">
      <c r="A2906" s="2">
        <v>2901</v>
      </c>
      <c r="B2906" s="39">
        <v>831010588</v>
      </c>
      <c r="C2906" s="28" t="str">
        <f>HYPERLINK("https://pld.live/RapDetail.aspx?STONELIST=831010588","DNA")</f>
        <v>DNA</v>
      </c>
      <c r="D2906" s="18" t="s">
        <v>711</v>
      </c>
      <c r="E2906" s="18" t="s">
        <v>5128</v>
      </c>
      <c r="F2906" s="2" t="s">
        <v>7987</v>
      </c>
      <c r="G2906" s="2" t="s">
        <v>3296</v>
      </c>
      <c r="H2906" s="14">
        <v>1.5</v>
      </c>
      <c r="I2906" s="2" t="s">
        <v>267</v>
      </c>
      <c r="J2906" s="2" t="s">
        <v>3942</v>
      </c>
      <c r="K2906" s="2" t="s">
        <v>1452</v>
      </c>
      <c r="L2906" s="2" t="s">
        <v>5221</v>
      </c>
      <c r="M2906" s="2" t="s">
        <v>5221</v>
      </c>
      <c r="N2906" s="2" t="s">
        <v>2317</v>
      </c>
      <c r="O2906" s="14">
        <v>12500</v>
      </c>
      <c r="P2906" s="14">
        <v>99.03</v>
      </c>
      <c r="Q2906" s="14">
        <v>121.25</v>
      </c>
      <c r="R2906" s="14">
        <v>181.88</v>
      </c>
      <c r="S2906" s="2" t="s">
        <v>1407</v>
      </c>
      <c r="T2906" s="2">
        <v>1.05</v>
      </c>
      <c r="U2906" s="2">
        <v>66.599999999999994</v>
      </c>
      <c r="V2906" s="2">
        <v>57</v>
      </c>
      <c r="W2906" s="2" t="s">
        <v>7862</v>
      </c>
      <c r="X2906" s="2" t="s">
        <v>7670</v>
      </c>
      <c r="Y2906" s="2">
        <v>18750</v>
      </c>
      <c r="Z2906" s="19" t="str">
        <f>HYPERLINK("https://ssdweb.co/ssdweb/hd/Vision360.html?d=831010588&amp;zoomslide=1&amp;z=1831010588&amp;ISCONFIRM=0","VIDEO")</f>
        <v>VIDEO</v>
      </c>
      <c r="AA2906" s="19" t="str">
        <f>HYPERLINK("https://ssdweb.co/ssdweb/CERTH/571303158.pdf","CERTI")</f>
        <v>CERTI</v>
      </c>
    </row>
    <row r="2907" spans="1:27" ht="15" x14ac:dyDescent="0.25">
      <c r="A2907" s="2">
        <v>2902</v>
      </c>
      <c r="B2907" s="39">
        <v>923780370</v>
      </c>
      <c r="C2907" s="28" t="str">
        <f>HYPERLINK("https://pld.live/RapDetail.aspx?STONELIST=923780370","DNA")</f>
        <v>DNA</v>
      </c>
      <c r="D2907" s="18" t="s">
        <v>711</v>
      </c>
      <c r="E2907" s="18" t="s">
        <v>5128</v>
      </c>
      <c r="F2907" s="2" t="s">
        <v>7987</v>
      </c>
      <c r="G2907" s="2" t="s">
        <v>3296</v>
      </c>
      <c r="H2907" s="14">
        <v>1.5</v>
      </c>
      <c r="I2907" s="2" t="s">
        <v>267</v>
      </c>
      <c r="J2907" s="2" t="s">
        <v>5144</v>
      </c>
      <c r="K2907" s="2" t="s">
        <v>1452</v>
      </c>
      <c r="L2907" s="2" t="s">
        <v>5221</v>
      </c>
      <c r="M2907" s="2" t="s">
        <v>5221</v>
      </c>
      <c r="N2907" s="2" t="s">
        <v>2317</v>
      </c>
      <c r="O2907" s="14">
        <v>9900</v>
      </c>
      <c r="P2907" s="14">
        <v>98.82</v>
      </c>
      <c r="Q2907" s="14">
        <v>116.82</v>
      </c>
      <c r="R2907" s="14">
        <v>175.23</v>
      </c>
      <c r="S2907" s="2" t="s">
        <v>2280</v>
      </c>
      <c r="T2907" s="2">
        <v>1.07</v>
      </c>
      <c r="U2907" s="2">
        <v>65.099999999999994</v>
      </c>
      <c r="V2907" s="2">
        <v>64</v>
      </c>
      <c r="W2907" s="2" t="s">
        <v>7862</v>
      </c>
      <c r="X2907" s="2" t="s">
        <v>3851</v>
      </c>
      <c r="Y2907" s="2">
        <v>14850</v>
      </c>
      <c r="Z2907" s="19" t="str">
        <f>HYPERLINK("https://ssdweb.co/ssdweb/hd/Vision360.html?d=923780370&amp;zoomslide=1&amp;z=1923780370&amp;ISCONFIRM=0","VIDEO")</f>
        <v>VIDEO</v>
      </c>
      <c r="AA2907" s="19" t="str">
        <f>HYPERLINK("https://ssdweb.co/ssdweb/CERTH/569323174.pdf","CERTI")</f>
        <v>CERTI</v>
      </c>
    </row>
    <row r="2908" spans="1:27" ht="15" x14ac:dyDescent="0.25">
      <c r="A2908" s="2">
        <v>2903</v>
      </c>
      <c r="B2908" s="39">
        <v>925890645</v>
      </c>
      <c r="C2908" s="28" t="str">
        <f>HYPERLINK("https://pld.live/RapDetail.aspx?STONELIST=925890645","DNA")</f>
        <v>DNA</v>
      </c>
      <c r="D2908" s="18" t="s">
        <v>711</v>
      </c>
      <c r="E2908" s="18" t="s">
        <v>5128</v>
      </c>
      <c r="F2908" s="2" t="s">
        <v>7987</v>
      </c>
      <c r="G2908" s="2" t="s">
        <v>3296</v>
      </c>
      <c r="H2908" s="14">
        <v>1.5</v>
      </c>
      <c r="I2908" s="2" t="s">
        <v>267</v>
      </c>
      <c r="J2908" s="2" t="s">
        <v>5144</v>
      </c>
      <c r="K2908" s="2" t="s">
        <v>1452</v>
      </c>
      <c r="L2908" s="2" t="s">
        <v>5221</v>
      </c>
      <c r="M2908" s="2" t="s">
        <v>5221</v>
      </c>
      <c r="N2908" s="2" t="s">
        <v>2317</v>
      </c>
      <c r="O2908" s="14">
        <v>9900</v>
      </c>
      <c r="P2908" s="14">
        <v>98.8</v>
      </c>
      <c r="Q2908" s="14">
        <v>118.8</v>
      </c>
      <c r="R2908" s="14">
        <v>178.2</v>
      </c>
      <c r="S2908" s="2" t="s">
        <v>5413</v>
      </c>
      <c r="T2908" s="2">
        <v>1.06</v>
      </c>
      <c r="U2908" s="2">
        <v>63.8</v>
      </c>
      <c r="V2908" s="2">
        <v>62</v>
      </c>
      <c r="W2908" s="2" t="s">
        <v>7862</v>
      </c>
      <c r="X2908" s="2" t="s">
        <v>3851</v>
      </c>
      <c r="Y2908" s="2">
        <v>14850</v>
      </c>
      <c r="Z2908" s="19" t="str">
        <f>HYPERLINK("https://ssdweb.co/ssdweb/hd/Vision360.html?d=925890645&amp;zoomslide=1&amp;z=1925890645&amp;ISCONFIRM=0","VIDEO")</f>
        <v>VIDEO</v>
      </c>
      <c r="AA2908" s="19" t="str">
        <f>HYPERLINK("https://ssdweb.co/ssdweb/CERTH/628427086.pdf","CERTI")</f>
        <v>CERTI</v>
      </c>
    </row>
    <row r="2909" spans="1:27" ht="15" x14ac:dyDescent="0.25">
      <c r="A2909" s="2">
        <v>2904</v>
      </c>
      <c r="B2909" s="39">
        <v>925300353</v>
      </c>
      <c r="C2909" s="28" t="str">
        <f>HYPERLINK("https://pld.live/RapDetail.aspx?STONELIST=925300353","DNA")</f>
        <v>DNA</v>
      </c>
      <c r="D2909" s="18" t="s">
        <v>711</v>
      </c>
      <c r="E2909" s="18" t="s">
        <v>5128</v>
      </c>
      <c r="F2909" s="2" t="s">
        <v>7987</v>
      </c>
      <c r="G2909" s="2" t="s">
        <v>3296</v>
      </c>
      <c r="H2909" s="14">
        <v>1.5</v>
      </c>
      <c r="I2909" s="2" t="s">
        <v>267</v>
      </c>
      <c r="J2909" s="2" t="s">
        <v>5144</v>
      </c>
      <c r="K2909" s="2" t="s">
        <v>1452</v>
      </c>
      <c r="L2909" s="2" t="s">
        <v>5221</v>
      </c>
      <c r="M2909" s="2" t="s">
        <v>5221</v>
      </c>
      <c r="N2909" s="2" t="s">
        <v>2317</v>
      </c>
      <c r="O2909" s="14">
        <v>9900</v>
      </c>
      <c r="P2909" s="14">
        <v>98.82</v>
      </c>
      <c r="Q2909" s="14">
        <v>116.82</v>
      </c>
      <c r="R2909" s="14">
        <v>175.23</v>
      </c>
      <c r="S2909" s="2" t="s">
        <v>5241</v>
      </c>
      <c r="T2909" s="2">
        <v>1.05</v>
      </c>
      <c r="U2909" s="2">
        <v>66.3</v>
      </c>
      <c r="V2909" s="2">
        <v>58</v>
      </c>
      <c r="W2909" s="2" t="s">
        <v>7862</v>
      </c>
      <c r="X2909" s="2" t="s">
        <v>3851</v>
      </c>
      <c r="Y2909" s="2">
        <v>14850</v>
      </c>
      <c r="Z2909" s="19" t="str">
        <f>HYPERLINK("https://ssdweb.co/ssdweb/hd/Vision360.html?d=925300353&amp;zoomslide=1&amp;z=1925300353&amp;ISCONFIRM=0","VIDEO")</f>
        <v>VIDEO</v>
      </c>
      <c r="AA2909" s="19" t="str">
        <f>HYPERLINK("https://ssdweb.co/ssdweb/CERTH/620448952.pdf","CERTI")</f>
        <v>CERTI</v>
      </c>
    </row>
    <row r="2910" spans="1:27" ht="15" x14ac:dyDescent="0.25">
      <c r="A2910" s="2">
        <v>2905</v>
      </c>
      <c r="B2910" s="39">
        <v>922240044</v>
      </c>
      <c r="C2910" s="28" t="str">
        <f>HYPERLINK("https://pld.live/RapDetail.aspx?STONELIST=922240044","DNA")</f>
        <v>DNA</v>
      </c>
      <c r="D2910" s="18" t="s">
        <v>711</v>
      </c>
      <c r="E2910" s="18" t="s">
        <v>5128</v>
      </c>
      <c r="F2910" s="2" t="s">
        <v>5597</v>
      </c>
      <c r="G2910" s="2" t="s">
        <v>3296</v>
      </c>
      <c r="H2910" s="14">
        <v>1.5</v>
      </c>
      <c r="I2910" s="2" t="s">
        <v>267</v>
      </c>
      <c r="J2910" s="2" t="s">
        <v>444</v>
      </c>
      <c r="K2910" s="2" t="s">
        <v>1452</v>
      </c>
      <c r="L2910" s="2" t="s">
        <v>5221</v>
      </c>
      <c r="M2910" s="2" t="s">
        <v>5221</v>
      </c>
      <c r="N2910" s="2" t="s">
        <v>2317</v>
      </c>
      <c r="O2910" s="14">
        <v>8100</v>
      </c>
      <c r="P2910" s="14">
        <v>97.88</v>
      </c>
      <c r="Q2910" s="14">
        <v>171.72</v>
      </c>
      <c r="R2910" s="14">
        <v>257.58</v>
      </c>
      <c r="S2910" s="2" t="s">
        <v>5008</v>
      </c>
      <c r="T2910" s="2">
        <v>1.06</v>
      </c>
      <c r="U2910" s="2">
        <v>66.599999999999994</v>
      </c>
      <c r="V2910" s="2">
        <v>62</v>
      </c>
      <c r="W2910" s="2" t="s">
        <v>7862</v>
      </c>
      <c r="X2910" s="2" t="s">
        <v>7053</v>
      </c>
      <c r="Y2910" s="2">
        <v>12150</v>
      </c>
      <c r="Z2910" s="19" t="str">
        <f>HYPERLINK("https://ssdweb.co/ssdweb/hd/Vision360.html?d=922240044&amp;zoomslide=1&amp;z=1922240044&amp;ISCONFIRM=0","VIDEO")</f>
        <v>VIDEO</v>
      </c>
      <c r="AA2910" s="19" t="str">
        <f>HYPERLINK("https://ssdweb.co/ssdweb/CERTH/1428186208.pdf","CERTI")</f>
        <v>CERTI</v>
      </c>
    </row>
    <row r="2911" spans="1:27" ht="15" x14ac:dyDescent="0.25">
      <c r="A2911" s="2">
        <v>2906</v>
      </c>
      <c r="B2911" s="39">
        <v>925160027</v>
      </c>
      <c r="C2911" s="28" t="str">
        <f>HYPERLINK("https://pld.live/RapDetail.aspx?STONELIST=925160027","DNA")</f>
        <v>DNA</v>
      </c>
      <c r="D2911" s="18" t="s">
        <v>711</v>
      </c>
      <c r="E2911" s="18" t="s">
        <v>5128</v>
      </c>
      <c r="F2911" s="2" t="s">
        <v>7987</v>
      </c>
      <c r="G2911" s="2" t="s">
        <v>3296</v>
      </c>
      <c r="H2911" s="14">
        <v>1.5</v>
      </c>
      <c r="I2911" s="2" t="s">
        <v>267</v>
      </c>
      <c r="J2911" s="2" t="s">
        <v>444</v>
      </c>
      <c r="K2911" s="2" t="s">
        <v>1452</v>
      </c>
      <c r="L2911" s="2" t="s">
        <v>5221</v>
      </c>
      <c r="M2911" s="2" t="s">
        <v>5221</v>
      </c>
      <c r="N2911" s="2" t="s">
        <v>2317</v>
      </c>
      <c r="O2911" s="14">
        <v>8100</v>
      </c>
      <c r="P2911" s="14">
        <v>98.6</v>
      </c>
      <c r="Q2911" s="14">
        <v>113.4</v>
      </c>
      <c r="R2911" s="14">
        <v>170.1</v>
      </c>
      <c r="S2911" s="2" t="s">
        <v>2848</v>
      </c>
      <c r="T2911" s="2">
        <v>1.07</v>
      </c>
      <c r="U2911" s="2">
        <v>64.5</v>
      </c>
      <c r="V2911" s="2">
        <v>58</v>
      </c>
      <c r="W2911" s="2" t="s">
        <v>7862</v>
      </c>
      <c r="X2911" s="2" t="s">
        <v>7053</v>
      </c>
      <c r="Y2911" s="2">
        <v>12150</v>
      </c>
      <c r="Z2911" s="19" t="str">
        <f>HYPERLINK("https://ssdweb.co/ssdweb/hd/Vision360.html?d=925160027&amp;zoomslide=1&amp;z=1925160027&amp;ISCONFIRM=0","VIDEO")</f>
        <v>VIDEO</v>
      </c>
      <c r="AA2911" s="19" t="str">
        <f>HYPERLINK("https://ssdweb.co/ssdweb/CERTH/619424147.pdf","CERTI")</f>
        <v>CERTI</v>
      </c>
    </row>
    <row r="2912" spans="1:27" ht="15" x14ac:dyDescent="0.25">
      <c r="A2912" s="2">
        <v>2907</v>
      </c>
      <c r="B2912" s="39">
        <v>925300295</v>
      </c>
      <c r="C2912" s="28" t="str">
        <f>HYPERLINK("https://pld.live/RapDetail.aspx?STONELIST=925300295","DNA")</f>
        <v>DNA</v>
      </c>
      <c r="D2912" s="18" t="s">
        <v>711</v>
      </c>
      <c r="E2912" s="18" t="s">
        <v>5128</v>
      </c>
      <c r="F2912" s="2" t="s">
        <v>7987</v>
      </c>
      <c r="G2912" s="2" t="s">
        <v>3296</v>
      </c>
      <c r="H2912" s="14">
        <v>1.5</v>
      </c>
      <c r="I2912" s="2" t="s">
        <v>4761</v>
      </c>
      <c r="J2912" s="2" t="s">
        <v>6555</v>
      </c>
      <c r="K2912" s="2" t="s">
        <v>1452</v>
      </c>
      <c r="L2912" s="2" t="s">
        <v>5221</v>
      </c>
      <c r="M2912" s="2" t="s">
        <v>5221</v>
      </c>
      <c r="N2912" s="2" t="s">
        <v>2317</v>
      </c>
      <c r="O2912" s="14">
        <v>12400</v>
      </c>
      <c r="P2912" s="14">
        <v>98.85</v>
      </c>
      <c r="Q2912" s="14">
        <v>142.6</v>
      </c>
      <c r="R2912" s="14">
        <v>213.9</v>
      </c>
      <c r="S2912" s="2" t="s">
        <v>1716</v>
      </c>
      <c r="T2912" s="2">
        <v>1.03</v>
      </c>
      <c r="U2912" s="2">
        <v>67.2</v>
      </c>
      <c r="V2912" s="2">
        <v>61</v>
      </c>
      <c r="W2912" s="2" t="s">
        <v>7862</v>
      </c>
      <c r="X2912" s="2" t="s">
        <v>7670</v>
      </c>
      <c r="Y2912" s="2">
        <v>18600</v>
      </c>
      <c r="Z2912" s="19" t="str">
        <f>HYPERLINK("https://ssdweb.co/ssdweb/hd/Vision360.html?d=925300295&amp;zoomslide=1&amp;z=1925300295&amp;ISCONFIRM=0","VIDEO")</f>
        <v>VIDEO</v>
      </c>
      <c r="AA2912" s="19" t="str">
        <f>HYPERLINK("https://ssdweb.co/ssdweb/CERTH/616403530.pdf","CERTI")</f>
        <v>CERTI</v>
      </c>
    </row>
    <row r="2913" spans="1:27" ht="15" x14ac:dyDescent="0.25">
      <c r="A2913" s="2">
        <v>2908</v>
      </c>
      <c r="B2913" s="39">
        <v>925732213</v>
      </c>
      <c r="C2913" s="28" t="str">
        <f>HYPERLINK("https://pld.live/RapDetail.aspx?STONELIST=925732213","DNA")</f>
        <v>DNA</v>
      </c>
      <c r="D2913" s="18" t="s">
        <v>711</v>
      </c>
      <c r="E2913" s="18" t="s">
        <v>5128</v>
      </c>
      <c r="F2913" s="2" t="s">
        <v>7987</v>
      </c>
      <c r="G2913" s="2" t="s">
        <v>3296</v>
      </c>
      <c r="H2913" s="14">
        <v>1.5</v>
      </c>
      <c r="I2913" s="2" t="s">
        <v>4761</v>
      </c>
      <c r="J2913" s="2" t="s">
        <v>13</v>
      </c>
      <c r="K2913" s="2" t="s">
        <v>1452</v>
      </c>
      <c r="L2913" s="2" t="s">
        <v>5221</v>
      </c>
      <c r="M2913" s="2" t="s">
        <v>5221</v>
      </c>
      <c r="N2913" s="2" t="s">
        <v>2317</v>
      </c>
      <c r="O2913" s="14">
        <v>10800</v>
      </c>
      <c r="P2913" s="14">
        <v>98.92</v>
      </c>
      <c r="Q2913" s="14">
        <v>116.64</v>
      </c>
      <c r="R2913" s="14">
        <v>174.96</v>
      </c>
      <c r="S2913" s="2" t="s">
        <v>1180</v>
      </c>
      <c r="T2913" s="2">
        <v>1.05</v>
      </c>
      <c r="U2913" s="2">
        <v>66.2</v>
      </c>
      <c r="V2913" s="2">
        <v>61</v>
      </c>
      <c r="W2913" s="2" t="s">
        <v>7862</v>
      </c>
      <c r="X2913" s="2" t="s">
        <v>7670</v>
      </c>
      <c r="Y2913" s="2">
        <v>16200</v>
      </c>
      <c r="Z2913" s="19" t="str">
        <f>HYPERLINK("https://ssdweb.co/ssdweb/hd/Vision360.html?d=925732213&amp;zoomslide=1&amp;z=1925732213&amp;ISCONFIRM=0","VIDEO")</f>
        <v>VIDEO</v>
      </c>
      <c r="AA2913" s="19" t="str">
        <f>HYPERLINK("https://ssdweb.co/ssdweb/CERTH/626466350.pdf","CERTI")</f>
        <v>CERTI</v>
      </c>
    </row>
    <row r="2914" spans="1:27" ht="15" x14ac:dyDescent="0.25">
      <c r="A2914" s="2">
        <v>2909</v>
      </c>
      <c r="B2914" s="39">
        <v>925140322</v>
      </c>
      <c r="C2914" s="28" t="str">
        <f>HYPERLINK("https://pld.live/RapDetail.aspx?STONELIST=925140322","DNA")</f>
        <v>DNA</v>
      </c>
      <c r="D2914" s="18" t="s">
        <v>711</v>
      </c>
      <c r="E2914" s="18" t="s">
        <v>5128</v>
      </c>
      <c r="F2914" s="2" t="s">
        <v>7987</v>
      </c>
      <c r="G2914" s="2" t="s">
        <v>3296</v>
      </c>
      <c r="H2914" s="14">
        <v>1.5</v>
      </c>
      <c r="I2914" s="2" t="s">
        <v>4761</v>
      </c>
      <c r="J2914" s="2" t="s">
        <v>13</v>
      </c>
      <c r="K2914" s="2" t="s">
        <v>1452</v>
      </c>
      <c r="L2914" s="2" t="s">
        <v>5221</v>
      </c>
      <c r="M2914" s="2" t="s">
        <v>5221</v>
      </c>
      <c r="N2914" s="2" t="s">
        <v>2317</v>
      </c>
      <c r="O2914" s="14">
        <v>10800</v>
      </c>
      <c r="P2914" s="14">
        <v>98.92</v>
      </c>
      <c r="Q2914" s="14">
        <v>116.64</v>
      </c>
      <c r="R2914" s="14">
        <v>174.96</v>
      </c>
      <c r="S2914" s="2" t="s">
        <v>6924</v>
      </c>
      <c r="T2914" s="2">
        <v>1.07</v>
      </c>
      <c r="U2914" s="2">
        <v>64.400000000000006</v>
      </c>
      <c r="V2914" s="2">
        <v>63</v>
      </c>
      <c r="W2914" s="2" t="s">
        <v>7862</v>
      </c>
      <c r="X2914" s="2" t="s">
        <v>3851</v>
      </c>
      <c r="Y2914" s="2">
        <v>16200</v>
      </c>
      <c r="Z2914" s="19" t="str">
        <f>HYPERLINK("https://ssdweb.co/ssdweb/hd/Vision360.html?d=925140322&amp;zoomslide=1&amp;z=1925140322&amp;ISCONFIRM=0","VIDEO")</f>
        <v>VIDEO</v>
      </c>
      <c r="AA2914" s="19" t="str">
        <f>HYPERLINK("https://ssdweb.co/ssdweb/CERTH/616403469.pdf","CERTI")</f>
        <v>CERTI</v>
      </c>
    </row>
    <row r="2915" spans="1:27" ht="15" x14ac:dyDescent="0.25">
      <c r="A2915" s="2">
        <v>2910</v>
      </c>
      <c r="B2915" s="39">
        <v>923500340</v>
      </c>
      <c r="C2915" s="28" t="str">
        <f>HYPERLINK("https://pld.live/RapDetail.aspx?STONELIST=923500340","DNA")</f>
        <v>DNA</v>
      </c>
      <c r="D2915" s="18" t="s">
        <v>711</v>
      </c>
      <c r="E2915" s="18" t="s">
        <v>5128</v>
      </c>
      <c r="F2915" s="2" t="s">
        <v>7987</v>
      </c>
      <c r="G2915" s="2" t="s">
        <v>3296</v>
      </c>
      <c r="H2915" s="14">
        <v>1.5</v>
      </c>
      <c r="I2915" s="2" t="s">
        <v>4761</v>
      </c>
      <c r="J2915" s="2" t="s">
        <v>444</v>
      </c>
      <c r="K2915" s="2" t="s">
        <v>1452</v>
      </c>
      <c r="L2915" s="2" t="s">
        <v>5221</v>
      </c>
      <c r="M2915" s="2" t="s">
        <v>5221</v>
      </c>
      <c r="N2915" s="2" t="s">
        <v>2317</v>
      </c>
      <c r="O2915" s="14">
        <v>7600</v>
      </c>
      <c r="P2915" s="14">
        <v>98.57</v>
      </c>
      <c r="Q2915" s="14">
        <v>108.68</v>
      </c>
      <c r="R2915" s="14">
        <v>163.02000000000001</v>
      </c>
      <c r="S2915" s="2" t="s">
        <v>6658</v>
      </c>
      <c r="T2915" s="2">
        <v>1.05</v>
      </c>
      <c r="U2915" s="2">
        <v>63.4</v>
      </c>
      <c r="V2915" s="2">
        <v>64.5</v>
      </c>
      <c r="W2915" s="2" t="s">
        <v>7862</v>
      </c>
      <c r="X2915" s="2" t="s">
        <v>7670</v>
      </c>
      <c r="Y2915" s="2">
        <v>11400</v>
      </c>
      <c r="Z2915" s="19" t="str">
        <f>HYPERLINK("https://ssdweb.co/ssdweb/hd/Vision360.html?d=923500340&amp;zoomslide=1&amp;z=1923500340&amp;ISCONFIRM=0","VIDEO")</f>
        <v>VIDEO</v>
      </c>
      <c r="AA2915" s="19" t="str">
        <f>HYPERLINK("https://ssdweb.co/ssdweb/CERTH/550244444.pdf","CERTI")</f>
        <v>CERTI</v>
      </c>
    </row>
    <row r="2916" spans="1:27" ht="15" x14ac:dyDescent="0.25">
      <c r="A2916" s="2">
        <v>2911</v>
      </c>
      <c r="B2916" s="39">
        <v>926201054</v>
      </c>
      <c r="C2916" s="28" t="str">
        <f>HYPERLINK("https://pld.live/RapDetail.aspx?STONELIST=926201054","DNA")</f>
        <v>DNA</v>
      </c>
      <c r="D2916" s="18" t="s">
        <v>5281</v>
      </c>
      <c r="E2916" s="18" t="s">
        <v>5128</v>
      </c>
      <c r="F2916" s="2" t="s">
        <v>7987</v>
      </c>
      <c r="G2916" s="2" t="s">
        <v>3296</v>
      </c>
      <c r="H2916" s="14">
        <v>1.42</v>
      </c>
      <c r="I2916" s="2" t="s">
        <v>267</v>
      </c>
      <c r="J2916" s="2" t="s">
        <v>6555</v>
      </c>
      <c r="K2916" s="2" t="s">
        <v>1452</v>
      </c>
      <c r="L2916" s="2" t="s">
        <v>5221</v>
      </c>
      <c r="M2916" s="2" t="s">
        <v>5221</v>
      </c>
      <c r="N2916" s="2" t="s">
        <v>2317</v>
      </c>
      <c r="O2916" s="14">
        <v>8200</v>
      </c>
      <c r="P2916" s="14">
        <v>98.21</v>
      </c>
      <c r="Q2916" s="14">
        <v>146.78</v>
      </c>
      <c r="R2916" s="14">
        <v>208.43</v>
      </c>
      <c r="S2916" s="2" t="s">
        <v>3323</v>
      </c>
      <c r="T2916" s="2">
        <v>1.04</v>
      </c>
      <c r="U2916" s="2">
        <v>63.4</v>
      </c>
      <c r="V2916" s="2">
        <v>62</v>
      </c>
      <c r="W2916" s="2" t="s">
        <v>7862</v>
      </c>
      <c r="X2916" s="2" t="s">
        <v>7670</v>
      </c>
      <c r="Y2916" s="2">
        <v>11644</v>
      </c>
      <c r="Z2916" s="19" t="str">
        <f>HYPERLINK("https://ssdweb.co/ssdweb/hd/Vision360.html?d=926201054&amp;zoomslide=1&amp;z=1926201054&amp;ISCONFIRM=0","VIDEO")</f>
        <v>VIDEO</v>
      </c>
      <c r="AA2916" s="19" t="str">
        <f>HYPERLINK("https://ssdweb.co/ssdweb/CERTH/638463296.pdf","CERTI")</f>
        <v>CERTI</v>
      </c>
    </row>
    <row r="2917" spans="1:27" ht="15" x14ac:dyDescent="0.25">
      <c r="A2917" s="2">
        <v>2912</v>
      </c>
      <c r="B2917" s="39">
        <v>925030363</v>
      </c>
      <c r="C2917" s="28" t="str">
        <f>HYPERLINK("https://pld.live/RapDetail.aspx?STONELIST=925030363","DNA")</f>
        <v>DNA</v>
      </c>
      <c r="D2917" s="18" t="s">
        <v>3054</v>
      </c>
      <c r="E2917" s="18" t="s">
        <v>5128</v>
      </c>
      <c r="F2917" s="2" t="s">
        <v>7987</v>
      </c>
      <c r="G2917" s="2" t="s">
        <v>3296</v>
      </c>
      <c r="H2917" s="14">
        <v>1.1299999999999999</v>
      </c>
      <c r="I2917" s="2" t="s">
        <v>267</v>
      </c>
      <c r="J2917" s="2" t="s">
        <v>5144</v>
      </c>
      <c r="K2917" s="2" t="s">
        <v>1452</v>
      </c>
      <c r="L2917" s="2" t="s">
        <v>5221</v>
      </c>
      <c r="M2917" s="2" t="s">
        <v>5221</v>
      </c>
      <c r="N2917" s="2" t="s">
        <v>2317</v>
      </c>
      <c r="O2917" s="14">
        <v>5700</v>
      </c>
      <c r="P2917" s="14">
        <v>98.14</v>
      </c>
      <c r="Q2917" s="14">
        <v>106.02</v>
      </c>
      <c r="R2917" s="14">
        <v>119.8</v>
      </c>
      <c r="S2917" s="2" t="s">
        <v>279</v>
      </c>
      <c r="T2917" s="2">
        <v>1.03</v>
      </c>
      <c r="U2917" s="2">
        <v>64.599999999999994</v>
      </c>
      <c r="V2917" s="2">
        <v>60</v>
      </c>
      <c r="W2917" s="2" t="s">
        <v>7862</v>
      </c>
      <c r="X2917" s="2" t="s">
        <v>7670</v>
      </c>
      <c r="Y2917" s="2">
        <v>6441</v>
      </c>
      <c r="Z2917" s="19" t="str">
        <f>HYPERLINK("https://ssdweb.co/ssdweb/hd/Vision360.html?d=925030363&amp;zoomslide=1&amp;z=1925030363&amp;ISCONFIRM=0","VIDEO")</f>
        <v>VIDEO</v>
      </c>
      <c r="AA2917" s="19" t="str">
        <f>HYPERLINK("https://ssdweb.co/ssdweb/CERTH/612322037.pdf","CERTI")</f>
        <v>CERTI</v>
      </c>
    </row>
    <row r="2918" spans="1:27" ht="15" x14ac:dyDescent="0.25">
      <c r="A2918" s="2">
        <v>2913</v>
      </c>
      <c r="B2918" s="39">
        <v>831010800</v>
      </c>
      <c r="C2918" s="28" t="str">
        <f>HYPERLINK("https://pld.live/RapDetail.aspx?STONELIST=831010800","DNA")</f>
        <v>DNA</v>
      </c>
      <c r="D2918" s="18" t="s">
        <v>3054</v>
      </c>
      <c r="E2918" s="18" t="s">
        <v>5128</v>
      </c>
      <c r="F2918" s="2" t="s">
        <v>7987</v>
      </c>
      <c r="G2918" s="2" t="s">
        <v>3296</v>
      </c>
      <c r="H2918" s="14">
        <v>1.1299999999999999</v>
      </c>
      <c r="I2918" s="2" t="s">
        <v>4761</v>
      </c>
      <c r="J2918" s="2" t="s">
        <v>3942</v>
      </c>
      <c r="K2918" s="2" t="s">
        <v>1452</v>
      </c>
      <c r="L2918" s="2" t="s">
        <v>5221</v>
      </c>
      <c r="M2918" s="2" t="s">
        <v>5221</v>
      </c>
      <c r="N2918" s="2" t="s">
        <v>2317</v>
      </c>
      <c r="O2918" s="14">
        <v>6900</v>
      </c>
      <c r="P2918" s="14">
        <v>98.42</v>
      </c>
      <c r="Q2918" s="14">
        <v>109.02</v>
      </c>
      <c r="R2918" s="14">
        <v>123.19</v>
      </c>
      <c r="S2918" s="2" t="s">
        <v>4402</v>
      </c>
      <c r="T2918" s="2">
        <v>1.05</v>
      </c>
      <c r="U2918" s="2">
        <v>63.6</v>
      </c>
      <c r="V2918" s="2">
        <v>60</v>
      </c>
      <c r="W2918" s="2" t="s">
        <v>7862</v>
      </c>
      <c r="X2918" s="2" t="s">
        <v>7670</v>
      </c>
      <c r="Y2918" s="2">
        <v>7797</v>
      </c>
      <c r="Z2918" s="19" t="str">
        <f>HYPERLINK("https://ssdweb.co/ssdweb/hd/Vision360.html?d=831010800&amp;zoomslide=1&amp;z=1831010800&amp;ISCONFIRM=0","VIDEO")</f>
        <v>VIDEO</v>
      </c>
      <c r="AA2918" s="19" t="str">
        <f>HYPERLINK("https://ssdweb.co/ssdweb/CERTH/572368778.pdf","CERTI")</f>
        <v>CERTI</v>
      </c>
    </row>
    <row r="2919" spans="1:27" ht="15" x14ac:dyDescent="0.25">
      <c r="A2919" s="2">
        <v>2914</v>
      </c>
      <c r="B2919" s="39">
        <v>831010799</v>
      </c>
      <c r="C2919" s="28" t="str">
        <f>HYPERLINK("https://pld.live/RapDetail.aspx?STONELIST=831010799","DNA")</f>
        <v>DNA</v>
      </c>
      <c r="D2919" s="18" t="s">
        <v>3054</v>
      </c>
      <c r="E2919" s="18" t="s">
        <v>5128</v>
      </c>
      <c r="F2919" s="2" t="s">
        <v>7987</v>
      </c>
      <c r="G2919" s="2" t="s">
        <v>3296</v>
      </c>
      <c r="H2919" s="14">
        <v>1.1100000000000001</v>
      </c>
      <c r="I2919" s="2" t="s">
        <v>267</v>
      </c>
      <c r="J2919" s="2" t="s">
        <v>5144</v>
      </c>
      <c r="K2919" s="2" t="s">
        <v>1452</v>
      </c>
      <c r="L2919" s="2" t="s">
        <v>5221</v>
      </c>
      <c r="M2919" s="2" t="s">
        <v>5221</v>
      </c>
      <c r="N2919" s="2" t="s">
        <v>2317</v>
      </c>
      <c r="O2919" s="14">
        <v>5700</v>
      </c>
      <c r="P2919" s="14">
        <v>98.14</v>
      </c>
      <c r="Q2919" s="14">
        <v>106.02</v>
      </c>
      <c r="R2919" s="14">
        <v>117.68</v>
      </c>
      <c r="S2919" s="2" t="s">
        <v>7757</v>
      </c>
      <c r="T2919" s="2">
        <v>1.05</v>
      </c>
      <c r="U2919" s="2">
        <v>66.400000000000006</v>
      </c>
      <c r="V2919" s="2">
        <v>59.5</v>
      </c>
      <c r="W2919" s="2" t="s">
        <v>7862</v>
      </c>
      <c r="X2919" s="2" t="s">
        <v>7670</v>
      </c>
      <c r="Y2919" s="2">
        <v>6327</v>
      </c>
      <c r="Z2919" s="19" t="str">
        <f>HYPERLINK("https://ssdweb.co/ssdweb/hd/Vision360.html?d=831010799&amp;zoomslide=1&amp;z=1831010799&amp;ISCONFIRM=0","VIDEO")</f>
        <v>VIDEO</v>
      </c>
      <c r="AA2919" s="19" t="str">
        <f>HYPERLINK("https://ssdweb.co/ssdweb/CERTH/572342853.pdf","CERTI")</f>
        <v>CERTI</v>
      </c>
    </row>
    <row r="2920" spans="1:27" ht="15" x14ac:dyDescent="0.25">
      <c r="A2920" s="2">
        <v>2915</v>
      </c>
      <c r="B2920" s="39">
        <v>925830777</v>
      </c>
      <c r="C2920" s="28" t="str">
        <f>HYPERLINK("https://pld.live/RapDetail.aspx?STONELIST=925830777","DNA")</f>
        <v>DNA</v>
      </c>
      <c r="D2920" s="18" t="s">
        <v>3054</v>
      </c>
      <c r="E2920" s="18" t="s">
        <v>5128</v>
      </c>
      <c r="F2920" s="2" t="s">
        <v>7987</v>
      </c>
      <c r="G2920" s="2" t="s">
        <v>3296</v>
      </c>
      <c r="H2920" s="14">
        <v>1.1000000000000001</v>
      </c>
      <c r="I2920" s="2" t="s">
        <v>267</v>
      </c>
      <c r="J2920" s="2" t="s">
        <v>3942</v>
      </c>
      <c r="K2920" s="2" t="s">
        <v>1452</v>
      </c>
      <c r="L2920" s="2" t="s">
        <v>5221</v>
      </c>
      <c r="M2920" s="2" t="s">
        <v>5221</v>
      </c>
      <c r="N2920" s="2" t="s">
        <v>2317</v>
      </c>
      <c r="O2920" s="14">
        <v>7600</v>
      </c>
      <c r="P2920" s="14">
        <v>98.5</v>
      </c>
      <c r="Q2920" s="14">
        <v>114</v>
      </c>
      <c r="R2920" s="14">
        <v>125.4</v>
      </c>
      <c r="S2920" s="2" t="s">
        <v>600</v>
      </c>
      <c r="T2920" s="2">
        <v>1.01</v>
      </c>
      <c r="U2920" s="2">
        <v>63.1</v>
      </c>
      <c r="V2920" s="2">
        <v>62</v>
      </c>
      <c r="W2920" s="2" t="s">
        <v>7862</v>
      </c>
      <c r="X2920" s="2" t="s">
        <v>7670</v>
      </c>
      <c r="Y2920" s="2">
        <v>8360</v>
      </c>
      <c r="Z2920" s="19" t="str">
        <f>HYPERLINK("https://ssdweb.co/ssdweb/hd/Vision360.html?d=925830777&amp;zoomslide=1&amp;z=1925830777&amp;ISCONFIRM=0","VIDEO")</f>
        <v>VIDEO</v>
      </c>
      <c r="AA2920" s="19" t="str">
        <f>HYPERLINK("https://ssdweb.co/ssdweb/CERTH/629453214.pdf","CERTI")</f>
        <v>CERTI</v>
      </c>
    </row>
    <row r="2921" spans="1:27" ht="15" x14ac:dyDescent="0.25">
      <c r="A2921" s="2">
        <v>2916</v>
      </c>
      <c r="B2921" s="39">
        <v>925940667</v>
      </c>
      <c r="C2921" s="28" t="str">
        <f>HYPERLINK("https://pld.live/RapDetail.aspx?STONELIST=925940667","DNA")</f>
        <v>DNA</v>
      </c>
      <c r="D2921" s="18" t="s">
        <v>3054</v>
      </c>
      <c r="E2921" s="18" t="s">
        <v>5128</v>
      </c>
      <c r="F2921" s="2" t="s">
        <v>7987</v>
      </c>
      <c r="G2921" s="2" t="s">
        <v>3296</v>
      </c>
      <c r="H2921" s="14">
        <v>1.08</v>
      </c>
      <c r="I2921" s="2" t="s">
        <v>267</v>
      </c>
      <c r="J2921" s="2" t="s">
        <v>3942</v>
      </c>
      <c r="K2921" s="2" t="s">
        <v>1452</v>
      </c>
      <c r="L2921" s="2" t="s">
        <v>5221</v>
      </c>
      <c r="M2921" s="2" t="s">
        <v>5221</v>
      </c>
      <c r="N2921" s="2" t="s">
        <v>2317</v>
      </c>
      <c r="O2921" s="14">
        <v>7600</v>
      </c>
      <c r="P2921" s="14">
        <v>98.5</v>
      </c>
      <c r="Q2921" s="14">
        <v>114</v>
      </c>
      <c r="R2921" s="14">
        <v>123.12</v>
      </c>
      <c r="S2921" s="2" t="s">
        <v>2955</v>
      </c>
      <c r="T2921" s="2">
        <v>1.05</v>
      </c>
      <c r="U2921" s="2">
        <v>66</v>
      </c>
      <c r="V2921" s="2">
        <v>61</v>
      </c>
      <c r="W2921" s="2" t="s">
        <v>7862</v>
      </c>
      <c r="X2921" s="2" t="s">
        <v>7670</v>
      </c>
      <c r="Y2921" s="2">
        <v>8208</v>
      </c>
      <c r="Z2921" s="19" t="str">
        <f>HYPERLINK("https://ssdweb.co/ssdweb/hd/Vision360.html?d=925940667&amp;zoomslide=1&amp;z=1925940667&amp;ISCONFIRM=0","VIDEO")</f>
        <v>VIDEO</v>
      </c>
      <c r="AA2921" s="19" t="str">
        <f>HYPERLINK("https://ssdweb.co/ssdweb/CERTH/631404498.pdf","CERTI")</f>
        <v>CERTI</v>
      </c>
    </row>
    <row r="2922" spans="1:27" ht="15" x14ac:dyDescent="0.25">
      <c r="A2922" s="2">
        <v>2917</v>
      </c>
      <c r="B2922" s="39">
        <v>925080515</v>
      </c>
      <c r="C2922" s="28" t="str">
        <f>HYPERLINK("https://pld.live/RapDetail.aspx?STONELIST=925080515","DNA")</f>
        <v>DNA</v>
      </c>
      <c r="D2922" s="18" t="s">
        <v>3054</v>
      </c>
      <c r="E2922" s="18" t="s">
        <v>5128</v>
      </c>
      <c r="F2922" s="2" t="s">
        <v>7987</v>
      </c>
      <c r="G2922" s="2" t="s">
        <v>3296</v>
      </c>
      <c r="H2922" s="14">
        <v>1.06</v>
      </c>
      <c r="I2922" s="2" t="s">
        <v>267</v>
      </c>
      <c r="J2922" s="2" t="s">
        <v>6555</v>
      </c>
      <c r="K2922" s="2" t="s">
        <v>1452</v>
      </c>
      <c r="L2922" s="2" t="s">
        <v>5221</v>
      </c>
      <c r="M2922" s="2" t="s">
        <v>5221</v>
      </c>
      <c r="N2922" s="2" t="s">
        <v>2317</v>
      </c>
      <c r="O2922" s="14">
        <v>8200</v>
      </c>
      <c r="P2922" s="14">
        <v>98.24</v>
      </c>
      <c r="Q2922" s="14">
        <v>144.32</v>
      </c>
      <c r="R2922" s="14">
        <v>152.97999999999999</v>
      </c>
      <c r="S2922" s="2" t="s">
        <v>2517</v>
      </c>
      <c r="T2922" s="2">
        <v>1.05</v>
      </c>
      <c r="U2922" s="2">
        <v>65.2</v>
      </c>
      <c r="V2922" s="2">
        <v>60</v>
      </c>
      <c r="W2922" s="2" t="s">
        <v>7862</v>
      </c>
      <c r="X2922" s="2" t="s">
        <v>7670</v>
      </c>
      <c r="Y2922" s="2">
        <v>8692</v>
      </c>
      <c r="Z2922" s="19" t="str">
        <f>HYPERLINK("https://ssdweb.co/ssdweb/hd/Vision360.html?d=925080515&amp;zoomslide=1&amp;z=1925080515&amp;ISCONFIRM=0","VIDEO")</f>
        <v>VIDEO</v>
      </c>
      <c r="AA2922" s="19" t="str">
        <f>HYPERLINK("https://ssdweb.co/ssdweb/CERTH/613393348.pdf","CERTI")</f>
        <v>CERTI</v>
      </c>
    </row>
    <row r="2923" spans="1:27" ht="15" x14ac:dyDescent="0.25">
      <c r="A2923" s="2">
        <v>2918</v>
      </c>
      <c r="B2923" s="39">
        <v>925760261</v>
      </c>
      <c r="C2923" s="28" t="str">
        <f>HYPERLINK("https://pld.live/RapDetail.aspx?STONELIST=925760261","DNA")</f>
        <v>DNA</v>
      </c>
      <c r="D2923" s="18" t="s">
        <v>3054</v>
      </c>
      <c r="E2923" s="18" t="s">
        <v>5128</v>
      </c>
      <c r="F2923" s="2" t="s">
        <v>7987</v>
      </c>
      <c r="G2923" s="2" t="s">
        <v>3296</v>
      </c>
      <c r="H2923" s="14">
        <v>1.06</v>
      </c>
      <c r="I2923" s="2" t="s">
        <v>267</v>
      </c>
      <c r="J2923" s="2" t="s">
        <v>3942</v>
      </c>
      <c r="K2923" s="2" t="s">
        <v>1452</v>
      </c>
      <c r="L2923" s="2" t="s">
        <v>5221</v>
      </c>
      <c r="M2923" s="2" t="s">
        <v>5221</v>
      </c>
      <c r="N2923" s="2" t="s">
        <v>2317</v>
      </c>
      <c r="O2923" s="14">
        <v>7600</v>
      </c>
      <c r="P2923" s="14">
        <v>98.53</v>
      </c>
      <c r="Q2923" s="14">
        <v>111.72</v>
      </c>
      <c r="R2923" s="14">
        <v>118.42</v>
      </c>
      <c r="S2923" s="2" t="s">
        <v>7111</v>
      </c>
      <c r="T2923" s="2">
        <v>1.05</v>
      </c>
      <c r="U2923" s="2">
        <v>65.599999999999994</v>
      </c>
      <c r="V2923" s="2">
        <v>60</v>
      </c>
      <c r="W2923" s="2" t="s">
        <v>7862</v>
      </c>
      <c r="X2923" s="2" t="s">
        <v>7670</v>
      </c>
      <c r="Y2923" s="2">
        <v>8056</v>
      </c>
      <c r="Z2923" s="19" t="str">
        <f>HYPERLINK("https://ssdweb.co/ssdweb/hd/Vision360.html?d=925760261&amp;zoomslide=1&amp;z=1925760261&amp;ISCONFIRM=0","VIDEO")</f>
        <v>VIDEO</v>
      </c>
      <c r="AA2923" s="19" t="str">
        <f>HYPERLINK("https://ssdweb.co/ssdweb/CERTH/624420593.pdf","CERTI")</f>
        <v>CERTI</v>
      </c>
    </row>
    <row r="2924" spans="1:27" ht="15" x14ac:dyDescent="0.25">
      <c r="A2924" s="2">
        <v>2919</v>
      </c>
      <c r="B2924" s="39">
        <v>925830750</v>
      </c>
      <c r="C2924" s="28" t="str">
        <f>HYPERLINK("https://pld.live/RapDetail.aspx?STONELIST=925830750","DNA")</f>
        <v>DNA</v>
      </c>
      <c r="D2924" s="18" t="s">
        <v>3054</v>
      </c>
      <c r="E2924" s="18" t="s">
        <v>5128</v>
      </c>
      <c r="F2924" s="2" t="s">
        <v>7987</v>
      </c>
      <c r="G2924" s="2" t="s">
        <v>3296</v>
      </c>
      <c r="H2924" s="14">
        <v>1.06</v>
      </c>
      <c r="I2924" s="2" t="s">
        <v>267</v>
      </c>
      <c r="J2924" s="2" t="s">
        <v>3942</v>
      </c>
      <c r="K2924" s="2" t="s">
        <v>1452</v>
      </c>
      <c r="L2924" s="2" t="s">
        <v>5221</v>
      </c>
      <c r="M2924" s="2" t="s">
        <v>5221</v>
      </c>
      <c r="N2924" s="2" t="s">
        <v>2317</v>
      </c>
      <c r="O2924" s="14">
        <v>7600</v>
      </c>
      <c r="P2924" s="14">
        <v>98.5</v>
      </c>
      <c r="Q2924" s="14">
        <v>114</v>
      </c>
      <c r="R2924" s="14">
        <v>120.84</v>
      </c>
      <c r="S2924" s="2" t="s">
        <v>2315</v>
      </c>
      <c r="T2924" s="2">
        <v>1.04</v>
      </c>
      <c r="U2924" s="2">
        <v>64.8</v>
      </c>
      <c r="V2924" s="2">
        <v>61</v>
      </c>
      <c r="W2924" s="2" t="s">
        <v>7862</v>
      </c>
      <c r="X2924" s="2" t="s">
        <v>7670</v>
      </c>
      <c r="Y2924" s="2">
        <v>8056</v>
      </c>
      <c r="Z2924" s="19" t="str">
        <f>HYPERLINK("https://ssdweb.co/ssdweb/hd/Vision360.html?d=925830750&amp;zoomslide=1&amp;z=1925830750&amp;ISCONFIRM=0","VIDEO")</f>
        <v>VIDEO</v>
      </c>
      <c r="AA2924" s="19" t="str">
        <f>HYPERLINK("https://ssdweb.co/ssdweb/CERTH/628426984.pdf","CERTI")</f>
        <v>CERTI</v>
      </c>
    </row>
    <row r="2925" spans="1:27" ht="15" x14ac:dyDescent="0.25">
      <c r="A2925" s="2">
        <v>2920</v>
      </c>
      <c r="B2925" s="39">
        <v>925830751</v>
      </c>
      <c r="C2925" s="28" t="str">
        <f>HYPERLINK("https://pld.live/RapDetail.aspx?STONELIST=925830751","DNA")</f>
        <v>DNA</v>
      </c>
      <c r="D2925" s="18" t="s">
        <v>3054</v>
      </c>
      <c r="E2925" s="18" t="s">
        <v>5128</v>
      </c>
      <c r="F2925" s="2" t="s">
        <v>7987</v>
      </c>
      <c r="G2925" s="2" t="s">
        <v>3296</v>
      </c>
      <c r="H2925" s="14">
        <v>1.06</v>
      </c>
      <c r="I2925" s="2" t="s">
        <v>267</v>
      </c>
      <c r="J2925" s="2" t="s">
        <v>3942</v>
      </c>
      <c r="K2925" s="2" t="s">
        <v>1452</v>
      </c>
      <c r="L2925" s="2" t="s">
        <v>5221</v>
      </c>
      <c r="M2925" s="2" t="s">
        <v>5221</v>
      </c>
      <c r="N2925" s="2" t="s">
        <v>2317</v>
      </c>
      <c r="O2925" s="14">
        <v>7600</v>
      </c>
      <c r="P2925" s="14">
        <v>98.5</v>
      </c>
      <c r="Q2925" s="14">
        <v>114</v>
      </c>
      <c r="R2925" s="14">
        <v>120.84</v>
      </c>
      <c r="S2925" s="2" t="s">
        <v>4568</v>
      </c>
      <c r="T2925" s="2">
        <v>1.05</v>
      </c>
      <c r="U2925" s="2">
        <v>63.8</v>
      </c>
      <c r="V2925" s="2">
        <v>59</v>
      </c>
      <c r="W2925" s="2" t="s">
        <v>7862</v>
      </c>
      <c r="X2925" s="2" t="s">
        <v>7670</v>
      </c>
      <c r="Y2925" s="2">
        <v>8056</v>
      </c>
      <c r="Z2925" s="19" t="str">
        <f>HYPERLINK("https://ssdweb.co/ssdweb/hd/Vision360.html?d=925830751&amp;zoomslide=1&amp;z=1925830751&amp;ISCONFIRM=0","VIDEO")</f>
        <v>VIDEO</v>
      </c>
      <c r="AA2925" s="19" t="str">
        <f>HYPERLINK("https://ssdweb.co/ssdweb/CERTH/628426985.pdf","CERTI")</f>
        <v>CERTI</v>
      </c>
    </row>
    <row r="2926" spans="1:27" ht="15" x14ac:dyDescent="0.25">
      <c r="A2926" s="2">
        <v>2921</v>
      </c>
      <c r="B2926" s="39">
        <v>925940603</v>
      </c>
      <c r="C2926" s="28" t="str">
        <f>HYPERLINK("https://pld.live/RapDetail.aspx?STONELIST=925940603","DNA")</f>
        <v>DNA</v>
      </c>
      <c r="D2926" s="18" t="s">
        <v>3054</v>
      </c>
      <c r="E2926" s="18" t="s">
        <v>5128</v>
      </c>
      <c r="F2926" s="2" t="s">
        <v>7987</v>
      </c>
      <c r="G2926" s="2" t="s">
        <v>3296</v>
      </c>
      <c r="H2926" s="14">
        <v>1.06</v>
      </c>
      <c r="I2926" s="2" t="s">
        <v>267</v>
      </c>
      <c r="J2926" s="2" t="s">
        <v>3942</v>
      </c>
      <c r="K2926" s="2" t="s">
        <v>1452</v>
      </c>
      <c r="L2926" s="2" t="s">
        <v>5221</v>
      </c>
      <c r="M2926" s="2" t="s">
        <v>5221</v>
      </c>
      <c r="N2926" s="2" t="s">
        <v>2317</v>
      </c>
      <c r="O2926" s="14">
        <v>7600</v>
      </c>
      <c r="P2926" s="14">
        <v>98.5</v>
      </c>
      <c r="Q2926" s="14">
        <v>114</v>
      </c>
      <c r="R2926" s="14">
        <v>120.84</v>
      </c>
      <c r="S2926" s="2" t="s">
        <v>2656</v>
      </c>
      <c r="T2926" s="2">
        <v>1.05</v>
      </c>
      <c r="U2926" s="2">
        <v>63.3</v>
      </c>
      <c r="V2926" s="2">
        <v>61</v>
      </c>
      <c r="W2926" s="2" t="s">
        <v>7862</v>
      </c>
      <c r="X2926" s="2" t="s">
        <v>7670</v>
      </c>
      <c r="Y2926" s="2">
        <v>8056</v>
      </c>
      <c r="Z2926" s="19" t="str">
        <f>HYPERLINK("https://ssdweb.co/ssdweb/hd/Vision360.html?d=925940603&amp;zoomslide=1&amp;z=1925940603&amp;ISCONFIRM=0","VIDEO")</f>
        <v>VIDEO</v>
      </c>
      <c r="AA2926" s="19" t="str">
        <f>HYPERLINK("https://ssdweb.co/ssdweb/CERTH/629479066.pdf","CERTI")</f>
        <v>CERTI</v>
      </c>
    </row>
    <row r="2927" spans="1:27" ht="15" x14ac:dyDescent="0.25">
      <c r="A2927" s="2">
        <v>2922</v>
      </c>
      <c r="B2927" s="39">
        <v>925900593</v>
      </c>
      <c r="C2927" s="28" t="str">
        <f>HYPERLINK("https://pld.live/RapDetail.aspx?STONELIST=925900593","DNA")</f>
        <v>DNA</v>
      </c>
      <c r="D2927" s="18" t="s">
        <v>3054</v>
      </c>
      <c r="E2927" s="18" t="s">
        <v>5128</v>
      </c>
      <c r="F2927" s="2" t="s">
        <v>7987</v>
      </c>
      <c r="G2927" s="2" t="s">
        <v>3296</v>
      </c>
      <c r="H2927" s="14">
        <v>1.06</v>
      </c>
      <c r="I2927" s="2" t="s">
        <v>267</v>
      </c>
      <c r="J2927" s="2" t="s">
        <v>3942</v>
      </c>
      <c r="K2927" s="2" t="s">
        <v>1452</v>
      </c>
      <c r="L2927" s="2" t="s">
        <v>5221</v>
      </c>
      <c r="M2927" s="2" t="s">
        <v>5221</v>
      </c>
      <c r="N2927" s="2" t="s">
        <v>2317</v>
      </c>
      <c r="O2927" s="14">
        <v>7600</v>
      </c>
      <c r="P2927" s="14">
        <v>98.5</v>
      </c>
      <c r="Q2927" s="14">
        <v>114</v>
      </c>
      <c r="R2927" s="14">
        <v>120.84</v>
      </c>
      <c r="S2927" s="2" t="s">
        <v>474</v>
      </c>
      <c r="T2927" s="2">
        <v>1.05</v>
      </c>
      <c r="U2927" s="2">
        <v>65.7</v>
      </c>
      <c r="V2927" s="2">
        <v>60</v>
      </c>
      <c r="W2927" s="2" t="s">
        <v>7862</v>
      </c>
      <c r="X2927" s="2" t="s">
        <v>7670</v>
      </c>
      <c r="Y2927" s="2">
        <v>8056</v>
      </c>
      <c r="Z2927" s="19" t="str">
        <f>HYPERLINK("https://ssdweb.co/ssdweb/hd/Vision360.html?d=925900593&amp;zoomslide=1&amp;z=1925900593&amp;ISCONFIRM=0","VIDEO")</f>
        <v>VIDEO</v>
      </c>
      <c r="AA2927" s="19" t="str">
        <f>HYPERLINK("https://ssdweb.co/ssdweb/CERTH/629453408.pdf","CERTI")</f>
        <v>CERTI</v>
      </c>
    </row>
    <row r="2928" spans="1:27" ht="15" x14ac:dyDescent="0.25">
      <c r="A2928" s="2">
        <v>2923</v>
      </c>
      <c r="B2928" s="39">
        <v>925940615</v>
      </c>
      <c r="C2928" s="28" t="str">
        <f>HYPERLINK("https://pld.live/RapDetail.aspx?STONELIST=925940615","DNA")</f>
        <v>DNA</v>
      </c>
      <c r="D2928" s="18" t="s">
        <v>3054</v>
      </c>
      <c r="E2928" s="18" t="s">
        <v>5128</v>
      </c>
      <c r="F2928" s="2" t="s">
        <v>7987</v>
      </c>
      <c r="G2928" s="2" t="s">
        <v>3296</v>
      </c>
      <c r="H2928" s="14">
        <v>1.06</v>
      </c>
      <c r="I2928" s="2" t="s">
        <v>267</v>
      </c>
      <c r="J2928" s="2" t="s">
        <v>3942</v>
      </c>
      <c r="K2928" s="2" t="s">
        <v>1452</v>
      </c>
      <c r="L2928" s="2" t="s">
        <v>5221</v>
      </c>
      <c r="M2928" s="2" t="s">
        <v>5221</v>
      </c>
      <c r="N2928" s="2" t="s">
        <v>2317</v>
      </c>
      <c r="O2928" s="14">
        <v>7600</v>
      </c>
      <c r="P2928" s="14">
        <v>98.5</v>
      </c>
      <c r="Q2928" s="14">
        <v>114</v>
      </c>
      <c r="R2928" s="14">
        <v>120.84</v>
      </c>
      <c r="S2928" s="2" t="s">
        <v>1055</v>
      </c>
      <c r="T2928" s="2">
        <v>1.05</v>
      </c>
      <c r="U2928" s="2">
        <v>64.900000000000006</v>
      </c>
      <c r="V2928" s="2">
        <v>60</v>
      </c>
      <c r="W2928" s="2" t="s">
        <v>7862</v>
      </c>
      <c r="X2928" s="2" t="s">
        <v>7670</v>
      </c>
      <c r="Y2928" s="2">
        <v>8056</v>
      </c>
      <c r="Z2928" s="19" t="str">
        <f>HYPERLINK("https://ssdweb.co/ssdweb/hd/Vision360.html?d=925940615&amp;zoomslide=1&amp;z=1925940615&amp;ISCONFIRM=0","VIDEO")</f>
        <v>VIDEO</v>
      </c>
      <c r="AA2928" s="19" t="str">
        <f>HYPERLINK("https://ssdweb.co/ssdweb/CERTH/629479092.pdf","CERTI")</f>
        <v>CERTI</v>
      </c>
    </row>
    <row r="2929" spans="1:27" ht="15" x14ac:dyDescent="0.25">
      <c r="A2929" s="2">
        <v>2924</v>
      </c>
      <c r="B2929" s="39">
        <v>925900600</v>
      </c>
      <c r="C2929" s="28" t="str">
        <f>HYPERLINK("https://pld.live/RapDetail.aspx?STONELIST=925900600","DNA")</f>
        <v>DNA</v>
      </c>
      <c r="D2929" s="18" t="s">
        <v>3054</v>
      </c>
      <c r="E2929" s="18" t="s">
        <v>5128</v>
      </c>
      <c r="F2929" s="2" t="s">
        <v>7987</v>
      </c>
      <c r="G2929" s="2" t="s">
        <v>3296</v>
      </c>
      <c r="H2929" s="14">
        <v>1.06</v>
      </c>
      <c r="I2929" s="2" t="s">
        <v>267</v>
      </c>
      <c r="J2929" s="2" t="s">
        <v>3942</v>
      </c>
      <c r="K2929" s="2" t="s">
        <v>1452</v>
      </c>
      <c r="L2929" s="2" t="s">
        <v>5221</v>
      </c>
      <c r="M2929" s="2" t="s">
        <v>5221</v>
      </c>
      <c r="N2929" s="2" t="s">
        <v>2317</v>
      </c>
      <c r="O2929" s="14">
        <v>7600</v>
      </c>
      <c r="P2929" s="14">
        <v>98.5</v>
      </c>
      <c r="Q2929" s="14">
        <v>114</v>
      </c>
      <c r="R2929" s="14">
        <v>120.84</v>
      </c>
      <c r="S2929" s="2" t="s">
        <v>4511</v>
      </c>
      <c r="T2929" s="2">
        <v>1.05</v>
      </c>
      <c r="U2929" s="2">
        <v>63.6</v>
      </c>
      <c r="V2929" s="2">
        <v>61</v>
      </c>
      <c r="W2929" s="2" t="s">
        <v>7862</v>
      </c>
      <c r="X2929" s="2" t="s">
        <v>7670</v>
      </c>
      <c r="Y2929" s="2">
        <v>8056</v>
      </c>
      <c r="Z2929" s="19" t="str">
        <f>HYPERLINK("https://ssdweb.co/ssdweb/hd/Vision360.html?d=925900600&amp;zoomslide=1&amp;z=1925900600&amp;ISCONFIRM=0","VIDEO")</f>
        <v>VIDEO</v>
      </c>
      <c r="AA2929" s="19" t="str">
        <f>HYPERLINK("https://ssdweb.co/ssdweb/CERTH/629479100.pdf","CERTI")</f>
        <v>CERTI</v>
      </c>
    </row>
    <row r="2930" spans="1:27" ht="15" x14ac:dyDescent="0.25">
      <c r="A2930" s="2">
        <v>2925</v>
      </c>
      <c r="B2930" s="39">
        <v>926110997</v>
      </c>
      <c r="C2930" s="28" t="str">
        <f>HYPERLINK("https://pld.live/RapDetail.aspx?STONELIST=926110997","DNA")</f>
        <v>DNA</v>
      </c>
      <c r="D2930" s="18" t="s">
        <v>3054</v>
      </c>
      <c r="E2930" s="18" t="s">
        <v>5128</v>
      </c>
      <c r="F2930" s="2" t="s">
        <v>7987</v>
      </c>
      <c r="G2930" s="2" t="s">
        <v>3296</v>
      </c>
      <c r="H2930" s="14">
        <v>1.06</v>
      </c>
      <c r="I2930" s="2" t="s">
        <v>267</v>
      </c>
      <c r="J2930" s="2" t="s">
        <v>3942</v>
      </c>
      <c r="K2930" s="2" t="s">
        <v>1452</v>
      </c>
      <c r="L2930" s="2" t="s">
        <v>5221</v>
      </c>
      <c r="M2930" s="2" t="s">
        <v>5221</v>
      </c>
      <c r="N2930" s="2" t="s">
        <v>2317</v>
      </c>
      <c r="O2930" s="14">
        <v>7600</v>
      </c>
      <c r="P2930" s="14">
        <v>98.5</v>
      </c>
      <c r="Q2930" s="14">
        <v>114</v>
      </c>
      <c r="R2930" s="14">
        <v>120.84</v>
      </c>
      <c r="S2930" s="2" t="s">
        <v>6035</v>
      </c>
      <c r="T2930" s="2">
        <v>1.05</v>
      </c>
      <c r="U2930" s="2">
        <v>65.099999999999994</v>
      </c>
      <c r="V2930" s="2">
        <v>60</v>
      </c>
      <c r="W2930" s="2" t="s">
        <v>7862</v>
      </c>
      <c r="X2930" s="2" t="s">
        <v>7670</v>
      </c>
      <c r="Y2930" s="2">
        <v>8056</v>
      </c>
      <c r="Z2930" s="19" t="str">
        <f>HYPERLINK("https://ssdweb.co/ssdweb/hd/Vision360.html?d=926110997&amp;zoomslide=1&amp;z=1926110997&amp;ISCONFIRM=0","VIDEO")</f>
        <v>VIDEO</v>
      </c>
      <c r="AA2930" s="19" t="str">
        <f>HYPERLINK("https://ssdweb.co/ssdweb/CERTH/632449578.pdf","CERTI")</f>
        <v>CERTI</v>
      </c>
    </row>
    <row r="2931" spans="1:27" ht="15" x14ac:dyDescent="0.25">
      <c r="A2931" s="2">
        <v>2926</v>
      </c>
      <c r="B2931" s="39">
        <v>926110880</v>
      </c>
      <c r="C2931" s="28" t="str">
        <f>HYPERLINK("https://pld.live/RapDetail.aspx?STONELIST=926110880","DNA")</f>
        <v>DNA</v>
      </c>
      <c r="D2931" s="18" t="s">
        <v>3054</v>
      </c>
      <c r="E2931" s="18" t="s">
        <v>5128</v>
      </c>
      <c r="F2931" s="2" t="s">
        <v>7987</v>
      </c>
      <c r="G2931" s="2" t="s">
        <v>3296</v>
      </c>
      <c r="H2931" s="14">
        <v>1.06</v>
      </c>
      <c r="I2931" s="2" t="s">
        <v>267</v>
      </c>
      <c r="J2931" s="2" t="s">
        <v>3942</v>
      </c>
      <c r="K2931" s="2" t="s">
        <v>1452</v>
      </c>
      <c r="L2931" s="2" t="s">
        <v>5221</v>
      </c>
      <c r="M2931" s="2" t="s">
        <v>5221</v>
      </c>
      <c r="N2931" s="2" t="s">
        <v>2317</v>
      </c>
      <c r="O2931" s="14">
        <v>7600</v>
      </c>
      <c r="P2931" s="14">
        <v>98.5</v>
      </c>
      <c r="Q2931" s="14">
        <v>114</v>
      </c>
      <c r="R2931" s="14">
        <v>120.84</v>
      </c>
      <c r="S2931" s="2" t="s">
        <v>4156</v>
      </c>
      <c r="T2931" s="2">
        <v>1.01</v>
      </c>
      <c r="U2931" s="2">
        <v>63.9</v>
      </c>
      <c r="V2931" s="2">
        <v>60</v>
      </c>
      <c r="W2931" s="2" t="s">
        <v>7862</v>
      </c>
      <c r="X2931" s="2" t="s">
        <v>7670</v>
      </c>
      <c r="Y2931" s="2">
        <v>8056</v>
      </c>
      <c r="Z2931" s="19" t="str">
        <f>HYPERLINK("https://ssdweb.co/ssdweb/hd/Vision360.html?d=926110880&amp;zoomslide=1&amp;z=1926110880&amp;ISCONFIRM=0","VIDEO")</f>
        <v>VIDEO</v>
      </c>
      <c r="AA2931" s="19" t="str">
        <f>HYPERLINK("https://ssdweb.co/ssdweb/CERTH/632449641.pdf","CERTI")</f>
        <v>CERTI</v>
      </c>
    </row>
    <row r="2932" spans="1:27" ht="15" x14ac:dyDescent="0.25">
      <c r="A2932" s="2">
        <v>2927</v>
      </c>
      <c r="B2932" s="39">
        <v>925830739</v>
      </c>
      <c r="C2932" s="28" t="str">
        <f>HYPERLINK("https://pld.live/RapDetail.aspx?STONELIST=925830739","DNA")</f>
        <v>DNA</v>
      </c>
      <c r="D2932" s="18" t="s">
        <v>3054</v>
      </c>
      <c r="E2932" s="18" t="s">
        <v>5128</v>
      </c>
      <c r="F2932" s="2" t="s">
        <v>7987</v>
      </c>
      <c r="G2932" s="2" t="s">
        <v>3296</v>
      </c>
      <c r="H2932" s="14">
        <v>1.06</v>
      </c>
      <c r="I2932" s="2" t="s">
        <v>267</v>
      </c>
      <c r="J2932" s="2" t="s">
        <v>13</v>
      </c>
      <c r="K2932" s="2" t="s">
        <v>1452</v>
      </c>
      <c r="L2932" s="2" t="s">
        <v>5221</v>
      </c>
      <c r="M2932" s="2" t="s">
        <v>5221</v>
      </c>
      <c r="N2932" s="2" t="s">
        <v>2317</v>
      </c>
      <c r="O2932" s="14">
        <v>6700</v>
      </c>
      <c r="P2932" s="14">
        <v>98.33</v>
      </c>
      <c r="Q2932" s="14">
        <v>111.89</v>
      </c>
      <c r="R2932" s="14">
        <v>118.6</v>
      </c>
      <c r="S2932" s="2" t="s">
        <v>1446</v>
      </c>
      <c r="T2932" s="2">
        <v>1.05</v>
      </c>
      <c r="U2932" s="2">
        <v>63.2</v>
      </c>
      <c r="V2932" s="2">
        <v>58</v>
      </c>
      <c r="W2932" s="2" t="s">
        <v>7862</v>
      </c>
      <c r="X2932" s="2" t="s">
        <v>7670</v>
      </c>
      <c r="Y2932" s="2">
        <v>7102</v>
      </c>
      <c r="Z2932" s="19" t="str">
        <f>HYPERLINK("https://ssdweb.co/ssdweb/hd/Vision360.html?d=925830739&amp;zoomslide=1&amp;z=1925830739&amp;ISCONFIRM=0","VIDEO")</f>
        <v>VIDEO</v>
      </c>
      <c r="AA2932" s="19" t="str">
        <f>HYPERLINK("https://ssdweb.co/ssdweb/CERTH/628427095.pdf","CERTI")</f>
        <v>CERTI</v>
      </c>
    </row>
    <row r="2933" spans="1:27" ht="15" x14ac:dyDescent="0.25">
      <c r="A2933" s="2">
        <v>2928</v>
      </c>
      <c r="B2933" s="39">
        <v>831010775</v>
      </c>
      <c r="C2933" s="28" t="str">
        <f>HYPERLINK("https://pld.live/RapDetail.aspx?STONELIST=831010775","DNA")</f>
        <v>DNA</v>
      </c>
      <c r="D2933" s="18" t="s">
        <v>3054</v>
      </c>
      <c r="E2933" s="18" t="s">
        <v>5128</v>
      </c>
      <c r="F2933" s="2" t="s">
        <v>7987</v>
      </c>
      <c r="G2933" s="2" t="s">
        <v>3296</v>
      </c>
      <c r="H2933" s="14">
        <v>1.06</v>
      </c>
      <c r="I2933" s="2" t="s">
        <v>267</v>
      </c>
      <c r="J2933" s="2" t="s">
        <v>5144</v>
      </c>
      <c r="K2933" s="2" t="s">
        <v>1452</v>
      </c>
      <c r="L2933" s="2" t="s">
        <v>5221</v>
      </c>
      <c r="M2933" s="2" t="s">
        <v>5221</v>
      </c>
      <c r="N2933" s="2" t="s">
        <v>2317</v>
      </c>
      <c r="O2933" s="14">
        <v>5700</v>
      </c>
      <c r="P2933" s="14">
        <v>98.14</v>
      </c>
      <c r="Q2933" s="14">
        <v>106.02</v>
      </c>
      <c r="R2933" s="14">
        <v>112.38</v>
      </c>
      <c r="S2933" s="2" t="s">
        <v>6496</v>
      </c>
      <c r="T2933" s="2">
        <v>1.05</v>
      </c>
      <c r="U2933" s="2">
        <v>63.6</v>
      </c>
      <c r="V2933" s="2">
        <v>58</v>
      </c>
      <c r="W2933" s="2" t="s">
        <v>7862</v>
      </c>
      <c r="X2933" s="2" t="s">
        <v>3851</v>
      </c>
      <c r="Y2933" s="2">
        <v>6042</v>
      </c>
      <c r="Z2933" s="19" t="str">
        <f>HYPERLINK("https://ssdweb.co/ssdweb/hd/Vision360.html?d=831010775&amp;zoomslide=1&amp;z=1831010775&amp;ISCONFIRM=0","VIDEO")</f>
        <v>VIDEO</v>
      </c>
      <c r="AA2933" s="19" t="str">
        <f>HYPERLINK("https://ssdweb.co/ssdweb/CERTH/621496766.pdf","CERTI")</f>
        <v>CERTI</v>
      </c>
    </row>
    <row r="2934" spans="1:27" ht="15" x14ac:dyDescent="0.25">
      <c r="A2934" s="2">
        <v>2929</v>
      </c>
      <c r="B2934" s="39">
        <v>926110870</v>
      </c>
      <c r="C2934" s="28" t="str">
        <f>HYPERLINK("https://pld.live/RapDetail.aspx?STONELIST=926110870","DNA")</f>
        <v>DNA</v>
      </c>
      <c r="D2934" s="18" t="s">
        <v>3054</v>
      </c>
      <c r="E2934" s="18" t="s">
        <v>5128</v>
      </c>
      <c r="F2934" s="2" t="s">
        <v>7987</v>
      </c>
      <c r="G2934" s="2" t="s">
        <v>3296</v>
      </c>
      <c r="H2934" s="14">
        <v>1.06</v>
      </c>
      <c r="I2934" s="2" t="s">
        <v>4761</v>
      </c>
      <c r="J2934" s="2" t="s">
        <v>3942</v>
      </c>
      <c r="K2934" s="2" t="s">
        <v>1452</v>
      </c>
      <c r="L2934" s="2" t="s">
        <v>5221</v>
      </c>
      <c r="M2934" s="2" t="s">
        <v>5221</v>
      </c>
      <c r="N2934" s="2" t="s">
        <v>2317</v>
      </c>
      <c r="O2934" s="14">
        <v>6900</v>
      </c>
      <c r="P2934" s="14">
        <v>98.39</v>
      </c>
      <c r="Q2934" s="14">
        <v>111.09</v>
      </c>
      <c r="R2934" s="14">
        <v>117.76</v>
      </c>
      <c r="S2934" s="2" t="s">
        <v>4482</v>
      </c>
      <c r="T2934" s="2">
        <v>1.03</v>
      </c>
      <c r="U2934" s="2">
        <v>63.7</v>
      </c>
      <c r="V2934" s="2">
        <v>60</v>
      </c>
      <c r="W2934" s="2" t="s">
        <v>7862</v>
      </c>
      <c r="X2934" s="2" t="s">
        <v>7670</v>
      </c>
      <c r="Y2934" s="2">
        <v>7314</v>
      </c>
      <c r="Z2934" s="19" t="str">
        <f>HYPERLINK("https://ssdweb.co/ssdweb/hd/Vision360.html?d=926110870&amp;zoomslide=1&amp;z=1926110870&amp;ISCONFIRM=0","VIDEO")</f>
        <v>VIDEO</v>
      </c>
      <c r="AA2934" s="19" t="str">
        <f>HYPERLINK("https://ssdweb.co/ssdweb/CERTH/632449612.pdf","CERTI")</f>
        <v>CERTI</v>
      </c>
    </row>
    <row r="2935" spans="1:27" ht="15" x14ac:dyDescent="0.25">
      <c r="A2935" s="2">
        <v>2930</v>
      </c>
      <c r="B2935" s="39">
        <v>925940592</v>
      </c>
      <c r="C2935" s="28" t="str">
        <f>HYPERLINK("https://pld.live/RapDetail.aspx?STONELIST=925940592","DNA")</f>
        <v>DNA</v>
      </c>
      <c r="D2935" s="18" t="s">
        <v>3054</v>
      </c>
      <c r="E2935" s="18" t="s">
        <v>5128</v>
      </c>
      <c r="F2935" s="2" t="s">
        <v>7987</v>
      </c>
      <c r="G2935" s="2" t="s">
        <v>3296</v>
      </c>
      <c r="H2935" s="14">
        <v>1.05</v>
      </c>
      <c r="I2935" s="2" t="s">
        <v>267</v>
      </c>
      <c r="J2935" s="2" t="s">
        <v>6555</v>
      </c>
      <c r="K2935" s="2" t="s">
        <v>1452</v>
      </c>
      <c r="L2935" s="2" t="s">
        <v>5221</v>
      </c>
      <c r="M2935" s="2" t="s">
        <v>5221</v>
      </c>
      <c r="N2935" s="2" t="s">
        <v>2317</v>
      </c>
      <c r="O2935" s="14">
        <v>8200</v>
      </c>
      <c r="P2935" s="14">
        <v>98.22</v>
      </c>
      <c r="Q2935" s="14">
        <v>145.96</v>
      </c>
      <c r="R2935" s="14">
        <v>153.26</v>
      </c>
      <c r="S2935" s="2" t="s">
        <v>4226</v>
      </c>
      <c r="T2935" s="2">
        <v>1.05</v>
      </c>
      <c r="U2935" s="2">
        <v>66</v>
      </c>
      <c r="V2935" s="2">
        <v>62</v>
      </c>
      <c r="W2935" s="2" t="s">
        <v>7862</v>
      </c>
      <c r="X2935" s="2" t="s">
        <v>7670</v>
      </c>
      <c r="Y2935" s="2">
        <v>8610</v>
      </c>
      <c r="Z2935" s="19" t="str">
        <f>HYPERLINK("https://ssdweb.co/ssdweb/hd/Vision360.html?d=925940592&amp;zoomslide=1&amp;z=1925940592&amp;ISCONFIRM=0","VIDEO")</f>
        <v>VIDEO</v>
      </c>
      <c r="AA2935" s="19" t="str">
        <f>HYPERLINK("https://ssdweb.co/ssdweb/CERTH/629453409.pdf","CERTI")</f>
        <v>CERTI</v>
      </c>
    </row>
    <row r="2936" spans="1:27" ht="15" x14ac:dyDescent="0.25">
      <c r="A2936" s="2">
        <v>2931</v>
      </c>
      <c r="B2936" s="39">
        <v>924970257</v>
      </c>
      <c r="C2936" s="28" t="str">
        <f>HYPERLINK("https://pld.live/RapDetail.aspx?STONELIST=924970257","DNA")</f>
        <v>DNA</v>
      </c>
      <c r="D2936" s="18" t="s">
        <v>3054</v>
      </c>
      <c r="E2936" s="18" t="s">
        <v>5128</v>
      </c>
      <c r="F2936" s="2" t="s">
        <v>7987</v>
      </c>
      <c r="G2936" s="2" t="s">
        <v>3296</v>
      </c>
      <c r="H2936" s="14">
        <v>1.05</v>
      </c>
      <c r="I2936" s="2" t="s">
        <v>267</v>
      </c>
      <c r="J2936" s="2" t="s">
        <v>6555</v>
      </c>
      <c r="K2936" s="2" t="s">
        <v>1452</v>
      </c>
      <c r="L2936" s="2" t="s">
        <v>5221</v>
      </c>
      <c r="M2936" s="2" t="s">
        <v>5221</v>
      </c>
      <c r="N2936" s="2" t="s">
        <v>2317</v>
      </c>
      <c r="O2936" s="14">
        <v>8200</v>
      </c>
      <c r="P2936" s="14">
        <v>98.24</v>
      </c>
      <c r="Q2936" s="14">
        <v>144.32</v>
      </c>
      <c r="R2936" s="14">
        <v>151.54</v>
      </c>
      <c r="S2936" s="2" t="s">
        <v>2029</v>
      </c>
      <c r="T2936" s="2">
        <v>1.05</v>
      </c>
      <c r="U2936" s="2">
        <v>63.6</v>
      </c>
      <c r="V2936" s="2">
        <v>60</v>
      </c>
      <c r="W2936" s="2" t="s">
        <v>7862</v>
      </c>
      <c r="X2936" s="2" t="s">
        <v>7670</v>
      </c>
      <c r="Y2936" s="2">
        <v>8610</v>
      </c>
      <c r="Z2936" s="19" t="str">
        <f>HYPERLINK("https://ssdweb.co/ssdweb/hd/Vision360.html?d=924970257&amp;zoomslide=1&amp;z=1924970257&amp;ISCONFIRM=0","VIDEO")</f>
        <v>VIDEO</v>
      </c>
      <c r="AA2936" s="19" t="str">
        <f>HYPERLINK("https://ssdweb.co/ssdweb/CERTH/604379457.pdf","CERTI")</f>
        <v>CERTI</v>
      </c>
    </row>
    <row r="2937" spans="1:27" ht="15" x14ac:dyDescent="0.25">
      <c r="A2937" s="2">
        <v>2932</v>
      </c>
      <c r="B2937" s="39">
        <v>925900597</v>
      </c>
      <c r="C2937" s="28" t="str">
        <f>HYPERLINK("https://pld.live/RapDetail.aspx?STONELIST=925900597","DNA")</f>
        <v>DNA</v>
      </c>
      <c r="D2937" s="18" t="s">
        <v>3054</v>
      </c>
      <c r="E2937" s="18" t="s">
        <v>5128</v>
      </c>
      <c r="F2937" s="2" t="s">
        <v>7987</v>
      </c>
      <c r="G2937" s="2" t="s">
        <v>3296</v>
      </c>
      <c r="H2937" s="14">
        <v>1.05</v>
      </c>
      <c r="I2937" s="2" t="s">
        <v>267</v>
      </c>
      <c r="J2937" s="2" t="s">
        <v>6555</v>
      </c>
      <c r="K2937" s="2" t="s">
        <v>1452</v>
      </c>
      <c r="L2937" s="2" t="s">
        <v>5221</v>
      </c>
      <c r="M2937" s="2" t="s">
        <v>5221</v>
      </c>
      <c r="N2937" s="2" t="s">
        <v>2317</v>
      </c>
      <c r="O2937" s="14">
        <v>8200</v>
      </c>
      <c r="P2937" s="14">
        <v>98.22</v>
      </c>
      <c r="Q2937" s="14">
        <v>145.96</v>
      </c>
      <c r="R2937" s="14">
        <v>153.26</v>
      </c>
      <c r="S2937" s="2" t="s">
        <v>5136</v>
      </c>
      <c r="T2937" s="2">
        <v>1.05</v>
      </c>
      <c r="U2937" s="2">
        <v>63.7</v>
      </c>
      <c r="V2937" s="2">
        <v>59</v>
      </c>
      <c r="W2937" s="2" t="s">
        <v>7862</v>
      </c>
      <c r="X2937" s="2" t="s">
        <v>7670</v>
      </c>
      <c r="Y2937" s="2">
        <v>8610</v>
      </c>
      <c r="Z2937" s="19" t="str">
        <f>HYPERLINK("https://ssdweb.co/ssdweb/hd/Vision360.html?d=925900597&amp;zoomslide=1&amp;z=1925900597&amp;ISCONFIRM=0","VIDEO")</f>
        <v>VIDEO</v>
      </c>
      <c r="AA2937" s="19" t="str">
        <f>HYPERLINK("https://ssdweb.co/ssdweb/CERTH/629479063.pdf","CERTI")</f>
        <v>CERTI</v>
      </c>
    </row>
    <row r="2938" spans="1:27" ht="15" x14ac:dyDescent="0.25">
      <c r="A2938" s="2">
        <v>2933</v>
      </c>
      <c r="B2938" s="39">
        <v>925150144</v>
      </c>
      <c r="C2938" s="28" t="str">
        <f>HYPERLINK("https://pld.live/RapDetail.aspx?STONELIST=925150144","DNA")</f>
        <v>DNA</v>
      </c>
      <c r="D2938" s="18" t="s">
        <v>3054</v>
      </c>
      <c r="E2938" s="18" t="s">
        <v>5128</v>
      </c>
      <c r="F2938" s="2" t="s">
        <v>7987</v>
      </c>
      <c r="G2938" s="2" t="s">
        <v>3296</v>
      </c>
      <c r="H2938" s="14">
        <v>1.05</v>
      </c>
      <c r="I2938" s="2" t="s">
        <v>267</v>
      </c>
      <c r="J2938" s="2" t="s">
        <v>6555</v>
      </c>
      <c r="K2938" s="2" t="s">
        <v>1452</v>
      </c>
      <c r="L2938" s="2" t="s">
        <v>5221</v>
      </c>
      <c r="M2938" s="2" t="s">
        <v>5221</v>
      </c>
      <c r="N2938" s="2" t="s">
        <v>2317</v>
      </c>
      <c r="O2938" s="14">
        <v>8200</v>
      </c>
      <c r="P2938" s="14">
        <v>98.24</v>
      </c>
      <c r="Q2938" s="14">
        <v>144.32</v>
      </c>
      <c r="R2938" s="14">
        <v>151.54</v>
      </c>
      <c r="S2938" s="2" t="s">
        <v>2452</v>
      </c>
      <c r="T2938" s="2">
        <v>1.04</v>
      </c>
      <c r="U2938" s="2">
        <v>64.3</v>
      </c>
      <c r="V2938" s="2">
        <v>61</v>
      </c>
      <c r="W2938" s="2" t="s">
        <v>7862</v>
      </c>
      <c r="X2938" s="2" t="s">
        <v>7670</v>
      </c>
      <c r="Y2938" s="2">
        <v>8610</v>
      </c>
      <c r="Z2938" s="19" t="str">
        <f>HYPERLINK("https://ssdweb.co/ssdweb/hd/Vision360.html?d=925150144&amp;zoomslide=1&amp;z=1925150144&amp;ISCONFIRM=0","VIDEO")</f>
        <v>VIDEO</v>
      </c>
      <c r="AA2938" s="19" t="str">
        <f>HYPERLINK("https://ssdweb.co/ssdweb/CERTH/616434479.pdf","CERTI")</f>
        <v>CERTI</v>
      </c>
    </row>
    <row r="2939" spans="1:27" ht="15" x14ac:dyDescent="0.25">
      <c r="A2939" s="2">
        <v>2934</v>
      </c>
      <c r="B2939" s="39">
        <v>925420402</v>
      </c>
      <c r="C2939" s="28" t="str">
        <f>HYPERLINK("https://pld.live/RapDetail.aspx?STONELIST=925420402","DNA")</f>
        <v>DNA</v>
      </c>
      <c r="D2939" s="18" t="s">
        <v>3054</v>
      </c>
      <c r="E2939" s="18" t="s">
        <v>5128</v>
      </c>
      <c r="F2939" s="2" t="s">
        <v>7987</v>
      </c>
      <c r="G2939" s="2" t="s">
        <v>3296</v>
      </c>
      <c r="H2939" s="14">
        <v>1.05</v>
      </c>
      <c r="I2939" s="2" t="s">
        <v>267</v>
      </c>
      <c r="J2939" s="2" t="s">
        <v>6555</v>
      </c>
      <c r="K2939" s="2" t="s">
        <v>1452</v>
      </c>
      <c r="L2939" s="2" t="s">
        <v>5221</v>
      </c>
      <c r="M2939" s="2" t="s">
        <v>5221</v>
      </c>
      <c r="N2939" s="2" t="s">
        <v>2317</v>
      </c>
      <c r="O2939" s="14">
        <v>8200</v>
      </c>
      <c r="P2939" s="14">
        <v>98.24</v>
      </c>
      <c r="Q2939" s="14">
        <v>144.32</v>
      </c>
      <c r="R2939" s="14">
        <v>151.54</v>
      </c>
      <c r="S2939" s="2" t="s">
        <v>693</v>
      </c>
      <c r="T2939" s="2">
        <v>1.04</v>
      </c>
      <c r="U2939" s="2">
        <v>67.3</v>
      </c>
      <c r="V2939" s="2">
        <v>61</v>
      </c>
      <c r="W2939" s="2" t="s">
        <v>7862</v>
      </c>
      <c r="X2939" s="2" t="s">
        <v>7670</v>
      </c>
      <c r="Y2939" s="2">
        <v>8610</v>
      </c>
      <c r="Z2939" s="19" t="str">
        <f>HYPERLINK("https://ssdweb.co/ssdweb/hd/Vision360.html?d=925420402&amp;zoomslide=1&amp;z=1925420402&amp;ISCONFIRM=0","VIDEO")</f>
        <v>VIDEO</v>
      </c>
      <c r="AA2939" s="19" t="str">
        <f>HYPERLINK("https://ssdweb.co/ssdweb/CERTH/618439753.pdf","CERTI")</f>
        <v>CERTI</v>
      </c>
    </row>
    <row r="2940" spans="1:27" ht="15" x14ac:dyDescent="0.25">
      <c r="A2940" s="2">
        <v>2935</v>
      </c>
      <c r="B2940" s="39">
        <v>925900548</v>
      </c>
      <c r="C2940" s="28" t="str">
        <f>HYPERLINK("https://pld.live/RapDetail.aspx?STONELIST=925900548","DNA")</f>
        <v>DNA</v>
      </c>
      <c r="D2940" s="18" t="s">
        <v>3054</v>
      </c>
      <c r="E2940" s="18" t="s">
        <v>5128</v>
      </c>
      <c r="F2940" s="2" t="s">
        <v>7987</v>
      </c>
      <c r="G2940" s="2" t="s">
        <v>3296</v>
      </c>
      <c r="H2940" s="14">
        <v>1.05</v>
      </c>
      <c r="I2940" s="2" t="s">
        <v>267</v>
      </c>
      <c r="J2940" s="2" t="s">
        <v>3942</v>
      </c>
      <c r="K2940" s="2" t="s">
        <v>1452</v>
      </c>
      <c r="L2940" s="2" t="s">
        <v>5221</v>
      </c>
      <c r="M2940" s="2" t="s">
        <v>5221</v>
      </c>
      <c r="N2940" s="2" t="s">
        <v>2317</v>
      </c>
      <c r="O2940" s="14">
        <v>7600</v>
      </c>
      <c r="P2940" s="14">
        <v>98.5</v>
      </c>
      <c r="Q2940" s="14">
        <v>114</v>
      </c>
      <c r="R2940" s="14">
        <v>119.7</v>
      </c>
      <c r="S2940" s="2" t="s">
        <v>5566</v>
      </c>
      <c r="T2940" s="2">
        <v>1.04</v>
      </c>
      <c r="U2940" s="2">
        <v>65.5</v>
      </c>
      <c r="V2940" s="2">
        <v>62</v>
      </c>
      <c r="W2940" s="2" t="s">
        <v>7862</v>
      </c>
      <c r="X2940" s="2" t="s">
        <v>7670</v>
      </c>
      <c r="Y2940" s="2">
        <v>7980</v>
      </c>
      <c r="Z2940" s="19" t="str">
        <f>HYPERLINK("https://ssdweb.co/ssdweb/hd/Vision360.html?d=925900548&amp;zoomslide=1&amp;z=1925900548&amp;ISCONFIRM=0","VIDEO")</f>
        <v>VIDEO</v>
      </c>
      <c r="AA2940" s="19" t="str">
        <f>HYPERLINK("https://ssdweb.co/ssdweb/CERTH/628426927.pdf","CERTI")</f>
        <v>CERTI</v>
      </c>
    </row>
    <row r="2941" spans="1:27" ht="15" x14ac:dyDescent="0.25">
      <c r="A2941" s="2">
        <v>2936</v>
      </c>
      <c r="B2941" s="39">
        <v>925940657</v>
      </c>
      <c r="C2941" s="28" t="str">
        <f>HYPERLINK("https://pld.live/RapDetail.aspx?STONELIST=925940657","DNA")</f>
        <v>DNA</v>
      </c>
      <c r="D2941" s="18" t="s">
        <v>3054</v>
      </c>
      <c r="E2941" s="18" t="s">
        <v>5128</v>
      </c>
      <c r="F2941" s="2" t="s">
        <v>7987</v>
      </c>
      <c r="G2941" s="2" t="s">
        <v>3296</v>
      </c>
      <c r="H2941" s="14">
        <v>1.05</v>
      </c>
      <c r="I2941" s="2" t="s">
        <v>267</v>
      </c>
      <c r="J2941" s="2" t="s">
        <v>3942</v>
      </c>
      <c r="K2941" s="2" t="s">
        <v>1452</v>
      </c>
      <c r="L2941" s="2" t="s">
        <v>5221</v>
      </c>
      <c r="M2941" s="2" t="s">
        <v>5221</v>
      </c>
      <c r="N2941" s="2" t="s">
        <v>2317</v>
      </c>
      <c r="O2941" s="14">
        <v>7600</v>
      </c>
      <c r="P2941" s="14">
        <v>98.5</v>
      </c>
      <c r="Q2941" s="14">
        <v>114</v>
      </c>
      <c r="R2941" s="14">
        <v>119.7</v>
      </c>
      <c r="S2941" s="2" t="s">
        <v>7818</v>
      </c>
      <c r="T2941" s="2">
        <v>1.04</v>
      </c>
      <c r="U2941" s="2">
        <v>66.8</v>
      </c>
      <c r="V2941" s="2">
        <v>61</v>
      </c>
      <c r="W2941" s="2" t="s">
        <v>7862</v>
      </c>
      <c r="X2941" s="2" t="s">
        <v>7670</v>
      </c>
      <c r="Y2941" s="2">
        <v>7980</v>
      </c>
      <c r="Z2941" s="19" t="str">
        <f>HYPERLINK("https://ssdweb.co/ssdweb/hd/Vision360.html?d=925940657&amp;zoomslide=1&amp;z=1925940657&amp;ISCONFIRM=0","VIDEO")</f>
        <v>VIDEO</v>
      </c>
      <c r="AA2941" s="19" t="str">
        <f>HYPERLINK("https://ssdweb.co/ssdweb/CERTH/630447522.pdf","CERTI")</f>
        <v>CERTI</v>
      </c>
    </row>
    <row r="2942" spans="1:27" ht="15" x14ac:dyDescent="0.25">
      <c r="A2942" s="2">
        <v>2937</v>
      </c>
      <c r="B2942" s="39">
        <v>925830758</v>
      </c>
      <c r="C2942" s="28" t="str">
        <f>HYPERLINK("https://pld.live/RapDetail.aspx?STONELIST=925830758","DNA")</f>
        <v>DNA</v>
      </c>
      <c r="D2942" s="18" t="s">
        <v>3054</v>
      </c>
      <c r="E2942" s="18" t="s">
        <v>5128</v>
      </c>
      <c r="F2942" s="2" t="s">
        <v>7987</v>
      </c>
      <c r="G2942" s="2" t="s">
        <v>3296</v>
      </c>
      <c r="H2942" s="14">
        <v>1.05</v>
      </c>
      <c r="I2942" s="2" t="s">
        <v>267</v>
      </c>
      <c r="J2942" s="2" t="s">
        <v>3942</v>
      </c>
      <c r="K2942" s="2" t="s">
        <v>1452</v>
      </c>
      <c r="L2942" s="2" t="s">
        <v>5221</v>
      </c>
      <c r="M2942" s="2" t="s">
        <v>5221</v>
      </c>
      <c r="N2942" s="2" t="s">
        <v>2317</v>
      </c>
      <c r="O2942" s="14">
        <v>7600</v>
      </c>
      <c r="P2942" s="14">
        <v>98.5</v>
      </c>
      <c r="Q2942" s="14">
        <v>114</v>
      </c>
      <c r="R2942" s="14">
        <v>119.7</v>
      </c>
      <c r="S2942" s="2" t="s">
        <v>1265</v>
      </c>
      <c r="T2942" s="2">
        <v>1.03</v>
      </c>
      <c r="U2942" s="2">
        <v>64.900000000000006</v>
      </c>
      <c r="V2942" s="2">
        <v>61</v>
      </c>
      <c r="W2942" s="2" t="s">
        <v>7862</v>
      </c>
      <c r="X2942" s="2" t="s">
        <v>7670</v>
      </c>
      <c r="Y2942" s="2">
        <v>7980</v>
      </c>
      <c r="Z2942" s="19" t="str">
        <f>HYPERLINK("https://ssdweb.co/ssdweb/hd/Vision360.html?d=925830758&amp;zoomslide=1&amp;z=1925830758&amp;ISCONFIRM=0","VIDEO")</f>
        <v>VIDEO</v>
      </c>
      <c r="AA2942" s="19" t="str">
        <f>HYPERLINK("https://ssdweb.co/ssdweb/CERTH/629453312.pdf","CERTI")</f>
        <v>CERTI</v>
      </c>
    </row>
    <row r="2943" spans="1:27" ht="15" x14ac:dyDescent="0.25">
      <c r="A2943" s="2">
        <v>2938</v>
      </c>
      <c r="B2943" s="39">
        <v>925830763</v>
      </c>
      <c r="C2943" s="28" t="str">
        <f>HYPERLINK("https://pld.live/RapDetail.aspx?STONELIST=925830763","DNA")</f>
        <v>DNA</v>
      </c>
      <c r="D2943" s="18" t="s">
        <v>3054</v>
      </c>
      <c r="E2943" s="18" t="s">
        <v>5128</v>
      </c>
      <c r="F2943" s="2" t="s">
        <v>7987</v>
      </c>
      <c r="G2943" s="2" t="s">
        <v>3296</v>
      </c>
      <c r="H2943" s="14">
        <v>1.05</v>
      </c>
      <c r="I2943" s="2" t="s">
        <v>267</v>
      </c>
      <c r="J2943" s="2" t="s">
        <v>3942</v>
      </c>
      <c r="K2943" s="2" t="s">
        <v>1452</v>
      </c>
      <c r="L2943" s="2" t="s">
        <v>5221</v>
      </c>
      <c r="M2943" s="2" t="s">
        <v>5221</v>
      </c>
      <c r="N2943" s="2" t="s">
        <v>2317</v>
      </c>
      <c r="O2943" s="14">
        <v>7600</v>
      </c>
      <c r="P2943" s="14">
        <v>98.5</v>
      </c>
      <c r="Q2943" s="14">
        <v>114</v>
      </c>
      <c r="R2943" s="14">
        <v>119.7</v>
      </c>
      <c r="S2943" s="2" t="s">
        <v>2837</v>
      </c>
      <c r="T2943" s="2">
        <v>1.05</v>
      </c>
      <c r="U2943" s="2">
        <v>63.4</v>
      </c>
      <c r="V2943" s="2">
        <v>64</v>
      </c>
      <c r="W2943" s="2" t="s">
        <v>7862</v>
      </c>
      <c r="X2943" s="2" t="s">
        <v>7670</v>
      </c>
      <c r="Y2943" s="2">
        <v>7980</v>
      </c>
      <c r="Z2943" s="19" t="str">
        <f>HYPERLINK("https://ssdweb.co/ssdweb/hd/Vision360.html?d=925830763&amp;zoomslide=1&amp;z=1925830763&amp;ISCONFIRM=0","VIDEO")</f>
        <v>VIDEO</v>
      </c>
      <c r="AA2943" s="19" t="str">
        <f>HYPERLINK("https://ssdweb.co/ssdweb/CERTH/629453315.pdf","CERTI")</f>
        <v>CERTI</v>
      </c>
    </row>
    <row r="2944" spans="1:27" ht="15" x14ac:dyDescent="0.25">
      <c r="A2944" s="2">
        <v>2939</v>
      </c>
      <c r="B2944" s="39">
        <v>925760667</v>
      </c>
      <c r="C2944" s="28" t="str">
        <f>HYPERLINK("https://pld.live/RapDetail.aspx?STONELIST=925760667","DNA")</f>
        <v>DNA</v>
      </c>
      <c r="D2944" s="18" t="s">
        <v>3054</v>
      </c>
      <c r="E2944" s="18" t="s">
        <v>5128</v>
      </c>
      <c r="F2944" s="2" t="s">
        <v>7987</v>
      </c>
      <c r="G2944" s="2" t="s">
        <v>3296</v>
      </c>
      <c r="H2944" s="14">
        <v>1.05</v>
      </c>
      <c r="I2944" s="2" t="s">
        <v>267</v>
      </c>
      <c r="J2944" s="2" t="s">
        <v>3942</v>
      </c>
      <c r="K2944" s="2" t="s">
        <v>1452</v>
      </c>
      <c r="L2944" s="2" t="s">
        <v>5221</v>
      </c>
      <c r="M2944" s="2" t="s">
        <v>5221</v>
      </c>
      <c r="N2944" s="2" t="s">
        <v>2317</v>
      </c>
      <c r="O2944" s="14">
        <v>7600</v>
      </c>
      <c r="P2944" s="14">
        <v>98.53</v>
      </c>
      <c r="Q2944" s="14">
        <v>111.72</v>
      </c>
      <c r="R2944" s="14">
        <v>117.31</v>
      </c>
      <c r="S2944" s="2" t="s">
        <v>641</v>
      </c>
      <c r="T2944" s="2">
        <v>1.02</v>
      </c>
      <c r="U2944" s="2">
        <v>65</v>
      </c>
      <c r="V2944" s="2">
        <v>60</v>
      </c>
      <c r="W2944" s="2" t="s">
        <v>7862</v>
      </c>
      <c r="X2944" s="2" t="s">
        <v>7670</v>
      </c>
      <c r="Y2944" s="2">
        <v>7980</v>
      </c>
      <c r="Z2944" s="19" t="str">
        <f>HYPERLINK("https://ssdweb.co/ssdweb/hd/Vision360.html?d=925760667&amp;zoomslide=1&amp;z=1925760667&amp;ISCONFIRM=0","VIDEO")</f>
        <v>VIDEO</v>
      </c>
      <c r="AA2944" s="19" t="str">
        <f>HYPERLINK("https://ssdweb.co/ssdweb/CERTH/626427520.pdf","CERTI")</f>
        <v>CERTI</v>
      </c>
    </row>
    <row r="2945" spans="1:27" ht="15" x14ac:dyDescent="0.25">
      <c r="A2945" s="2">
        <v>2940</v>
      </c>
      <c r="B2945" s="39">
        <v>925940638</v>
      </c>
      <c r="C2945" s="28" t="str">
        <f>HYPERLINK("https://pld.live/RapDetail.aspx?STONELIST=925940638","DNA")</f>
        <v>DNA</v>
      </c>
      <c r="D2945" s="18" t="s">
        <v>3054</v>
      </c>
      <c r="E2945" s="18" t="s">
        <v>5128</v>
      </c>
      <c r="F2945" s="2" t="s">
        <v>7987</v>
      </c>
      <c r="G2945" s="2" t="s">
        <v>3296</v>
      </c>
      <c r="H2945" s="14">
        <v>1.05</v>
      </c>
      <c r="I2945" s="2" t="s">
        <v>267</v>
      </c>
      <c r="J2945" s="2" t="s">
        <v>3942</v>
      </c>
      <c r="K2945" s="2" t="s">
        <v>1452</v>
      </c>
      <c r="L2945" s="2" t="s">
        <v>5221</v>
      </c>
      <c r="M2945" s="2" t="s">
        <v>5221</v>
      </c>
      <c r="N2945" s="2" t="s">
        <v>2317</v>
      </c>
      <c r="O2945" s="14">
        <v>7600</v>
      </c>
      <c r="P2945" s="14">
        <v>98.5</v>
      </c>
      <c r="Q2945" s="14">
        <v>114</v>
      </c>
      <c r="R2945" s="14">
        <v>119.7</v>
      </c>
      <c r="S2945" s="2" t="s">
        <v>4129</v>
      </c>
      <c r="T2945" s="2">
        <v>1.05</v>
      </c>
      <c r="U2945" s="2">
        <v>63.6</v>
      </c>
      <c r="V2945" s="2">
        <v>61</v>
      </c>
      <c r="W2945" s="2" t="s">
        <v>7862</v>
      </c>
      <c r="X2945" s="2" t="s">
        <v>7670</v>
      </c>
      <c r="Y2945" s="2">
        <v>7980</v>
      </c>
      <c r="Z2945" s="19" t="str">
        <f>HYPERLINK("https://ssdweb.co/ssdweb/hd/Vision360.html?d=925940638&amp;zoomslide=1&amp;z=1925940638&amp;ISCONFIRM=0","VIDEO")</f>
        <v>VIDEO</v>
      </c>
      <c r="AA2945" s="19" t="str">
        <f>HYPERLINK("https://ssdweb.co/ssdweb/CERTH/629497469.pdf","CERTI")</f>
        <v>CERTI</v>
      </c>
    </row>
    <row r="2946" spans="1:27" ht="15" x14ac:dyDescent="0.25">
      <c r="A2946" s="2">
        <v>2941</v>
      </c>
      <c r="B2946" s="39">
        <v>925830774</v>
      </c>
      <c r="C2946" s="28" t="str">
        <f>HYPERLINK("https://pld.live/RapDetail.aspx?STONELIST=925830774","DNA")</f>
        <v>DNA</v>
      </c>
      <c r="D2946" s="18" t="s">
        <v>3054</v>
      </c>
      <c r="E2946" s="18" t="s">
        <v>5128</v>
      </c>
      <c r="F2946" s="2" t="s">
        <v>7987</v>
      </c>
      <c r="G2946" s="2" t="s">
        <v>3296</v>
      </c>
      <c r="H2946" s="14">
        <v>1.05</v>
      </c>
      <c r="I2946" s="2" t="s">
        <v>267</v>
      </c>
      <c r="J2946" s="2" t="s">
        <v>3942</v>
      </c>
      <c r="K2946" s="2" t="s">
        <v>1452</v>
      </c>
      <c r="L2946" s="2" t="s">
        <v>5221</v>
      </c>
      <c r="M2946" s="2" t="s">
        <v>5221</v>
      </c>
      <c r="N2946" s="2" t="s">
        <v>2317</v>
      </c>
      <c r="O2946" s="14">
        <v>7600</v>
      </c>
      <c r="P2946" s="14">
        <v>98.5</v>
      </c>
      <c r="Q2946" s="14">
        <v>114</v>
      </c>
      <c r="R2946" s="14">
        <v>119.7</v>
      </c>
      <c r="S2946" s="2" t="s">
        <v>3826</v>
      </c>
      <c r="T2946" s="2">
        <v>1.04</v>
      </c>
      <c r="U2946" s="2">
        <v>64.400000000000006</v>
      </c>
      <c r="V2946" s="2">
        <v>59</v>
      </c>
      <c r="W2946" s="2" t="s">
        <v>7862</v>
      </c>
      <c r="X2946" s="2" t="s">
        <v>7670</v>
      </c>
      <c r="Y2946" s="2">
        <v>7980</v>
      </c>
      <c r="Z2946" s="19" t="str">
        <f>HYPERLINK("https://ssdweb.co/ssdweb/hd/Vision360.html?d=925830774&amp;zoomslide=1&amp;z=1925830774&amp;ISCONFIRM=0","VIDEO")</f>
        <v>VIDEO</v>
      </c>
      <c r="AA2946" s="19" t="str">
        <f>HYPERLINK("https://ssdweb.co/ssdweb/CERTH/629453375.pdf","CERTI")</f>
        <v>CERTI</v>
      </c>
    </row>
    <row r="2947" spans="1:27" ht="15" x14ac:dyDescent="0.25">
      <c r="A2947" s="2">
        <v>2942</v>
      </c>
      <c r="B2947" s="39">
        <v>925940630</v>
      </c>
      <c r="C2947" s="28" t="str">
        <f>HYPERLINK("https://pld.live/RapDetail.aspx?STONELIST=925940630","DNA")</f>
        <v>DNA</v>
      </c>
      <c r="D2947" s="18" t="s">
        <v>3054</v>
      </c>
      <c r="E2947" s="18" t="s">
        <v>5128</v>
      </c>
      <c r="F2947" s="2" t="s">
        <v>7987</v>
      </c>
      <c r="G2947" s="2" t="s">
        <v>3296</v>
      </c>
      <c r="H2947" s="14">
        <v>1.05</v>
      </c>
      <c r="I2947" s="2" t="s">
        <v>267</v>
      </c>
      <c r="J2947" s="2" t="s">
        <v>3942</v>
      </c>
      <c r="K2947" s="2" t="s">
        <v>1452</v>
      </c>
      <c r="L2947" s="2" t="s">
        <v>5221</v>
      </c>
      <c r="M2947" s="2" t="s">
        <v>5221</v>
      </c>
      <c r="N2947" s="2" t="s">
        <v>2317</v>
      </c>
      <c r="O2947" s="14">
        <v>7600</v>
      </c>
      <c r="P2947" s="14">
        <v>98.5</v>
      </c>
      <c r="Q2947" s="14">
        <v>114</v>
      </c>
      <c r="R2947" s="14">
        <v>119.7</v>
      </c>
      <c r="S2947" s="2" t="s">
        <v>6956</v>
      </c>
      <c r="T2947" s="2">
        <v>1.02</v>
      </c>
      <c r="U2947" s="2">
        <v>65.099999999999994</v>
      </c>
      <c r="V2947" s="2">
        <v>60</v>
      </c>
      <c r="W2947" s="2" t="s">
        <v>7862</v>
      </c>
      <c r="X2947" s="2" t="s">
        <v>7670</v>
      </c>
      <c r="Y2947" s="2">
        <v>7980</v>
      </c>
      <c r="Z2947" s="19" t="str">
        <f>HYPERLINK("https://ssdweb.co/ssdweb/hd/Vision360.html?d=925940630&amp;zoomslide=1&amp;z=1925940630&amp;ISCONFIRM=0","VIDEO")</f>
        <v>VIDEO</v>
      </c>
      <c r="AA2947" s="19" t="str">
        <f>HYPERLINK("https://ssdweb.co/ssdweb/CERTH/629478945.pdf","CERTI")</f>
        <v>CERTI</v>
      </c>
    </row>
    <row r="2948" spans="1:27" ht="15" x14ac:dyDescent="0.25">
      <c r="A2948" s="2">
        <v>2943</v>
      </c>
      <c r="B2948" s="39">
        <v>926250348</v>
      </c>
      <c r="C2948" s="28" t="str">
        <f>HYPERLINK("https://pld.live/RapDetail.aspx?STONELIST=926250348","DNA")</f>
        <v>DNA</v>
      </c>
      <c r="D2948" s="18" t="s">
        <v>3054</v>
      </c>
      <c r="E2948" s="18" t="s">
        <v>5128</v>
      </c>
      <c r="F2948" s="2" t="s">
        <v>7987</v>
      </c>
      <c r="G2948" s="2" t="s">
        <v>3296</v>
      </c>
      <c r="H2948" s="14">
        <v>1.05</v>
      </c>
      <c r="I2948" s="2" t="s">
        <v>267</v>
      </c>
      <c r="J2948" s="2" t="s">
        <v>3942</v>
      </c>
      <c r="K2948" s="2" t="s">
        <v>1452</v>
      </c>
      <c r="L2948" s="2" t="s">
        <v>5221</v>
      </c>
      <c r="M2948" s="2" t="s">
        <v>5221</v>
      </c>
      <c r="N2948" s="2" t="s">
        <v>2317</v>
      </c>
      <c r="O2948" s="14">
        <v>7600</v>
      </c>
      <c r="P2948" s="14">
        <v>98.5</v>
      </c>
      <c r="Q2948" s="14">
        <v>114</v>
      </c>
      <c r="R2948" s="14">
        <v>119.7</v>
      </c>
      <c r="S2948" s="2" t="s">
        <v>7699</v>
      </c>
      <c r="T2948" s="2">
        <v>1.04</v>
      </c>
      <c r="U2948" s="2">
        <v>67.5</v>
      </c>
      <c r="V2948" s="2">
        <v>64</v>
      </c>
      <c r="W2948" s="2" t="s">
        <v>7862</v>
      </c>
      <c r="X2948" s="2" t="s">
        <v>7670</v>
      </c>
      <c r="Y2948" s="2">
        <v>7980</v>
      </c>
      <c r="Z2948" s="19" t="str">
        <f>HYPERLINK("https://ssdweb.co/ssdweb/hd/Vision360.html?d=926250348&amp;zoomslide=1&amp;z=1926250348&amp;ISCONFIRM=0","VIDEO")</f>
        <v>VIDEO</v>
      </c>
      <c r="AA2948" s="19" t="str">
        <f>HYPERLINK("https://ssdweb.co/ssdweb/CERTH/638463231.pdf","CERTI")</f>
        <v>CERTI</v>
      </c>
    </row>
    <row r="2949" spans="1:27" ht="15" x14ac:dyDescent="0.25">
      <c r="A2949" s="2">
        <v>2944</v>
      </c>
      <c r="B2949" s="39">
        <v>926210852</v>
      </c>
      <c r="C2949" s="28" t="str">
        <f>HYPERLINK("https://pld.live/RapDetail.aspx?STONELIST=926210852","DNA")</f>
        <v>DNA</v>
      </c>
      <c r="D2949" s="18" t="s">
        <v>3054</v>
      </c>
      <c r="E2949" s="18" t="s">
        <v>5128</v>
      </c>
      <c r="F2949" s="2" t="s">
        <v>7987</v>
      </c>
      <c r="G2949" s="2" t="s">
        <v>3296</v>
      </c>
      <c r="H2949" s="14">
        <v>1.05</v>
      </c>
      <c r="I2949" s="2" t="s">
        <v>267</v>
      </c>
      <c r="J2949" s="2" t="s">
        <v>3942</v>
      </c>
      <c r="K2949" s="2" t="s">
        <v>1452</v>
      </c>
      <c r="L2949" s="2" t="s">
        <v>5221</v>
      </c>
      <c r="M2949" s="2" t="s">
        <v>5221</v>
      </c>
      <c r="N2949" s="2" t="s">
        <v>2317</v>
      </c>
      <c r="O2949" s="14">
        <v>7600</v>
      </c>
      <c r="P2949" s="14">
        <v>98.5</v>
      </c>
      <c r="Q2949" s="14">
        <v>114</v>
      </c>
      <c r="R2949" s="14">
        <v>119.7</v>
      </c>
      <c r="S2949" s="2" t="s">
        <v>4837</v>
      </c>
      <c r="T2949" s="2">
        <v>1.05</v>
      </c>
      <c r="U2949" s="2">
        <v>65.400000000000006</v>
      </c>
      <c r="V2949" s="2">
        <v>61</v>
      </c>
      <c r="W2949" s="2" t="s">
        <v>7862</v>
      </c>
      <c r="X2949" s="2" t="s">
        <v>7670</v>
      </c>
      <c r="Y2949" s="2">
        <v>7980</v>
      </c>
      <c r="Z2949" s="19" t="str">
        <f>HYPERLINK("https://ssdweb.co/ssdweb/hd/Vision360.html?d=926210852&amp;zoomslide=1&amp;z=1926210852&amp;ISCONFIRM=0","VIDEO")</f>
        <v>VIDEO</v>
      </c>
      <c r="AA2949" s="19" t="str">
        <f>HYPERLINK("https://ssdweb.co/ssdweb/CERTH/635426980.pdf","CERTI")</f>
        <v>CERTI</v>
      </c>
    </row>
    <row r="2950" spans="1:27" ht="15" x14ac:dyDescent="0.25">
      <c r="A2950" s="2">
        <v>2945</v>
      </c>
      <c r="B2950" s="39">
        <v>925521924</v>
      </c>
      <c r="C2950" s="28" t="str">
        <f>HYPERLINK("https://pld.live/RapDetail.aspx?STONELIST=925521924","DNA")</f>
        <v>DNA</v>
      </c>
      <c r="D2950" s="18" t="s">
        <v>3054</v>
      </c>
      <c r="E2950" s="18" t="s">
        <v>5128</v>
      </c>
      <c r="F2950" s="2" t="s">
        <v>7987</v>
      </c>
      <c r="G2950" s="2" t="s">
        <v>3296</v>
      </c>
      <c r="H2950" s="14">
        <v>1.05</v>
      </c>
      <c r="I2950" s="2" t="s">
        <v>267</v>
      </c>
      <c r="J2950" s="2" t="s">
        <v>3942</v>
      </c>
      <c r="K2950" s="2" t="s">
        <v>1452</v>
      </c>
      <c r="L2950" s="2" t="s">
        <v>5221</v>
      </c>
      <c r="M2950" s="2" t="s">
        <v>5221</v>
      </c>
      <c r="N2950" s="2" t="s">
        <v>2317</v>
      </c>
      <c r="O2950" s="14">
        <v>7600</v>
      </c>
      <c r="P2950" s="14">
        <v>98.53</v>
      </c>
      <c r="Q2950" s="14">
        <v>111.72</v>
      </c>
      <c r="R2950" s="14">
        <v>117.31</v>
      </c>
      <c r="S2950" s="2" t="s">
        <v>842</v>
      </c>
      <c r="T2950" s="2">
        <v>1.05</v>
      </c>
      <c r="U2950" s="2">
        <v>63.1</v>
      </c>
      <c r="V2950" s="2">
        <v>59</v>
      </c>
      <c r="W2950" s="2" t="s">
        <v>7862</v>
      </c>
      <c r="X2950" s="2" t="s">
        <v>7670</v>
      </c>
      <c r="Y2950" s="2">
        <v>7980</v>
      </c>
      <c r="Z2950" s="19" t="str">
        <f>HYPERLINK("https://ssdweb.co/ssdweb/hd/Vision360.html?d=925521924&amp;zoomslide=1&amp;z=1925521924&amp;ISCONFIRM=0","VIDEO")</f>
        <v>VIDEO</v>
      </c>
      <c r="AA2950" s="19" t="str">
        <f>HYPERLINK("https://ssdweb.co/ssdweb/CERTH/620403246.pdf","CERTI")</f>
        <v>CERTI</v>
      </c>
    </row>
    <row r="2951" spans="1:27" ht="15" x14ac:dyDescent="0.25">
      <c r="A2951" s="2">
        <v>2946</v>
      </c>
      <c r="B2951" s="39">
        <v>925900605</v>
      </c>
      <c r="C2951" s="28" t="str">
        <f>HYPERLINK("https://pld.live/RapDetail.aspx?STONELIST=925900605","DNA")</f>
        <v>DNA</v>
      </c>
      <c r="D2951" s="18" t="s">
        <v>3054</v>
      </c>
      <c r="E2951" s="18" t="s">
        <v>5128</v>
      </c>
      <c r="F2951" s="2" t="s">
        <v>7987</v>
      </c>
      <c r="G2951" s="2" t="s">
        <v>3296</v>
      </c>
      <c r="H2951" s="14">
        <v>1.05</v>
      </c>
      <c r="I2951" s="2" t="s">
        <v>267</v>
      </c>
      <c r="J2951" s="2" t="s">
        <v>13</v>
      </c>
      <c r="K2951" s="2" t="s">
        <v>1452</v>
      </c>
      <c r="L2951" s="2" t="s">
        <v>5221</v>
      </c>
      <c r="M2951" s="2" t="s">
        <v>5221</v>
      </c>
      <c r="N2951" s="2" t="s">
        <v>2317</v>
      </c>
      <c r="O2951" s="14">
        <v>6700</v>
      </c>
      <c r="P2951" s="14">
        <v>98.33</v>
      </c>
      <c r="Q2951" s="14">
        <v>111.89</v>
      </c>
      <c r="R2951" s="14">
        <v>117.48</v>
      </c>
      <c r="S2951" s="2" t="s">
        <v>3427</v>
      </c>
      <c r="T2951" s="2">
        <v>1.05</v>
      </c>
      <c r="U2951" s="2">
        <v>64</v>
      </c>
      <c r="V2951" s="2">
        <v>61</v>
      </c>
      <c r="W2951" s="2" t="s">
        <v>7862</v>
      </c>
      <c r="X2951" s="2" t="s">
        <v>7670</v>
      </c>
      <c r="Y2951" s="2">
        <v>7035</v>
      </c>
      <c r="Z2951" s="19" t="str">
        <f>HYPERLINK("https://ssdweb.co/ssdweb/hd/Vision360.html?d=925900605&amp;zoomslide=1&amp;z=1925900605&amp;ISCONFIRM=0","VIDEO")</f>
        <v>VIDEO</v>
      </c>
      <c r="AA2951" s="19" t="str">
        <f>HYPERLINK("https://ssdweb.co/ssdweb/CERTH/629497517.pdf","CERTI")</f>
        <v>CERTI</v>
      </c>
    </row>
    <row r="2952" spans="1:27" ht="15" x14ac:dyDescent="0.25">
      <c r="A2952" s="2">
        <v>2947</v>
      </c>
      <c r="B2952" s="39">
        <v>925940627</v>
      </c>
      <c r="C2952" s="28" t="str">
        <f>HYPERLINK("https://pld.live/RapDetail.aspx?STONELIST=925940627","DNA")</f>
        <v>DNA</v>
      </c>
      <c r="D2952" s="18" t="s">
        <v>3054</v>
      </c>
      <c r="E2952" s="18" t="s">
        <v>5128</v>
      </c>
      <c r="F2952" s="2" t="s">
        <v>7987</v>
      </c>
      <c r="G2952" s="2" t="s">
        <v>3296</v>
      </c>
      <c r="H2952" s="14">
        <v>1.05</v>
      </c>
      <c r="I2952" s="2" t="s">
        <v>267</v>
      </c>
      <c r="J2952" s="2" t="s">
        <v>13</v>
      </c>
      <c r="K2952" s="2" t="s">
        <v>1452</v>
      </c>
      <c r="L2952" s="2" t="s">
        <v>5221</v>
      </c>
      <c r="M2952" s="2" t="s">
        <v>5221</v>
      </c>
      <c r="N2952" s="2" t="s">
        <v>2317</v>
      </c>
      <c r="O2952" s="14">
        <v>6700</v>
      </c>
      <c r="P2952" s="14">
        <v>98.33</v>
      </c>
      <c r="Q2952" s="14">
        <v>111.89</v>
      </c>
      <c r="R2952" s="14">
        <v>117.48</v>
      </c>
      <c r="S2952" s="2" t="s">
        <v>5650</v>
      </c>
      <c r="T2952" s="2">
        <v>1</v>
      </c>
      <c r="U2952" s="2">
        <v>66.900000000000006</v>
      </c>
      <c r="V2952" s="2">
        <v>59</v>
      </c>
      <c r="W2952" s="2" t="s">
        <v>7862</v>
      </c>
      <c r="X2952" s="2" t="s">
        <v>7670</v>
      </c>
      <c r="Y2952" s="2">
        <v>7035</v>
      </c>
      <c r="Z2952" s="19" t="str">
        <f>HYPERLINK("https://ssdweb.co/ssdweb/hd/Vision360.html?d=925940627&amp;zoomslide=1&amp;z=1925940627&amp;ISCONFIRM=0","VIDEO")</f>
        <v>VIDEO</v>
      </c>
      <c r="AA2952" s="19" t="str">
        <f>HYPERLINK("https://ssdweb.co/ssdweb/CERTH/629478941.pdf","CERTI")</f>
        <v>CERTI</v>
      </c>
    </row>
    <row r="2953" spans="1:27" ht="15" x14ac:dyDescent="0.25">
      <c r="A2953" s="2">
        <v>2948</v>
      </c>
      <c r="B2953" s="39">
        <v>925940622</v>
      </c>
      <c r="C2953" s="28" t="str">
        <f>HYPERLINK("https://pld.live/RapDetail.aspx?STONELIST=925940622","DNA")</f>
        <v>DNA</v>
      </c>
      <c r="D2953" s="18" t="s">
        <v>3054</v>
      </c>
      <c r="E2953" s="18" t="s">
        <v>5128</v>
      </c>
      <c r="F2953" s="2" t="s">
        <v>7987</v>
      </c>
      <c r="G2953" s="2" t="s">
        <v>3296</v>
      </c>
      <c r="H2953" s="14">
        <v>1.05</v>
      </c>
      <c r="I2953" s="2" t="s">
        <v>267</v>
      </c>
      <c r="J2953" s="2" t="s">
        <v>13</v>
      </c>
      <c r="K2953" s="2" t="s">
        <v>1452</v>
      </c>
      <c r="L2953" s="2" t="s">
        <v>5221</v>
      </c>
      <c r="M2953" s="2" t="s">
        <v>5221</v>
      </c>
      <c r="N2953" s="2" t="s">
        <v>2317</v>
      </c>
      <c r="O2953" s="14">
        <v>6700</v>
      </c>
      <c r="P2953" s="14">
        <v>98.33</v>
      </c>
      <c r="Q2953" s="14">
        <v>111.89</v>
      </c>
      <c r="R2953" s="14">
        <v>117.48</v>
      </c>
      <c r="S2953" s="2" t="s">
        <v>7434</v>
      </c>
      <c r="T2953" s="2">
        <v>1.04</v>
      </c>
      <c r="U2953" s="2">
        <v>66</v>
      </c>
      <c r="V2953" s="2">
        <v>57</v>
      </c>
      <c r="W2953" s="2" t="s">
        <v>7862</v>
      </c>
      <c r="X2953" s="2" t="s">
        <v>7670</v>
      </c>
      <c r="Y2953" s="2">
        <v>7035</v>
      </c>
      <c r="Z2953" s="19" t="str">
        <f>HYPERLINK("https://ssdweb.co/ssdweb/hd/Vision360.html?d=925940622&amp;zoomslide=1&amp;z=1925940622&amp;ISCONFIRM=0","VIDEO")</f>
        <v>VIDEO</v>
      </c>
      <c r="AA2953" s="19" t="str">
        <f>HYPERLINK("https://ssdweb.co/ssdweb/CERTH/629479087.pdf","CERTI")</f>
        <v>CERTI</v>
      </c>
    </row>
    <row r="2954" spans="1:27" ht="15" x14ac:dyDescent="0.25">
      <c r="A2954" s="2">
        <v>2949</v>
      </c>
      <c r="B2954" s="39">
        <v>926110975</v>
      </c>
      <c r="C2954" s="28" t="str">
        <f>HYPERLINK("https://pld.live/RapDetail.aspx?STONELIST=926110975","DNA")</f>
        <v>DNA</v>
      </c>
      <c r="D2954" s="18" t="s">
        <v>3054</v>
      </c>
      <c r="E2954" s="18" t="s">
        <v>5128</v>
      </c>
      <c r="F2954" s="2" t="s">
        <v>7987</v>
      </c>
      <c r="G2954" s="2" t="s">
        <v>3296</v>
      </c>
      <c r="H2954" s="14">
        <v>1.05</v>
      </c>
      <c r="I2954" s="2" t="s">
        <v>267</v>
      </c>
      <c r="J2954" s="2" t="s">
        <v>13</v>
      </c>
      <c r="K2954" s="2" t="s">
        <v>1452</v>
      </c>
      <c r="L2954" s="2" t="s">
        <v>5221</v>
      </c>
      <c r="M2954" s="2" t="s">
        <v>5221</v>
      </c>
      <c r="N2954" s="2" t="s">
        <v>2317</v>
      </c>
      <c r="O2954" s="14">
        <v>6700</v>
      </c>
      <c r="P2954" s="14">
        <v>98.33</v>
      </c>
      <c r="Q2954" s="14">
        <v>111.89</v>
      </c>
      <c r="R2954" s="14">
        <v>117.48</v>
      </c>
      <c r="S2954" s="2" t="s">
        <v>717</v>
      </c>
      <c r="T2954" s="2">
        <v>1</v>
      </c>
      <c r="U2954" s="2">
        <v>67</v>
      </c>
      <c r="V2954" s="2">
        <v>62</v>
      </c>
      <c r="W2954" s="2" t="s">
        <v>7862</v>
      </c>
      <c r="X2954" s="2" t="s">
        <v>7670</v>
      </c>
      <c r="Y2954" s="2">
        <v>7035</v>
      </c>
      <c r="Z2954" s="19" t="str">
        <f>HYPERLINK("https://ssdweb.co/ssdweb/hd/Vision360.html?d=926110975&amp;zoomslide=1&amp;z=1926110975&amp;ISCONFIRM=0","VIDEO")</f>
        <v>VIDEO</v>
      </c>
      <c r="AA2954" s="19" t="str">
        <f>HYPERLINK("https://ssdweb.co/ssdweb/CERTH/632449571.pdf","CERTI")</f>
        <v>CERTI</v>
      </c>
    </row>
    <row r="2955" spans="1:27" ht="15" x14ac:dyDescent="0.25">
      <c r="A2955" s="2">
        <v>2950</v>
      </c>
      <c r="B2955" s="39">
        <v>925940650</v>
      </c>
      <c r="C2955" s="28" t="str">
        <f>HYPERLINK("https://pld.live/RapDetail.aspx?STONELIST=925940650","DNA")</f>
        <v>DNA</v>
      </c>
      <c r="D2955" s="18" t="s">
        <v>3054</v>
      </c>
      <c r="E2955" s="18" t="s">
        <v>5128</v>
      </c>
      <c r="F2955" s="2" t="s">
        <v>7987</v>
      </c>
      <c r="G2955" s="2" t="s">
        <v>3296</v>
      </c>
      <c r="H2955" s="14">
        <v>1.05</v>
      </c>
      <c r="I2955" s="2" t="s">
        <v>4761</v>
      </c>
      <c r="J2955" s="2" t="s">
        <v>6555</v>
      </c>
      <c r="K2955" s="2" t="s">
        <v>1452</v>
      </c>
      <c r="L2955" s="2" t="s">
        <v>5221</v>
      </c>
      <c r="M2955" s="2" t="s">
        <v>5221</v>
      </c>
      <c r="N2955" s="2" t="s">
        <v>2317</v>
      </c>
      <c r="O2955" s="14">
        <v>7500</v>
      </c>
      <c r="P2955" s="14">
        <v>98.08</v>
      </c>
      <c r="Q2955" s="14">
        <v>144</v>
      </c>
      <c r="R2955" s="14">
        <v>151.19999999999999</v>
      </c>
      <c r="S2955" s="2" t="s">
        <v>763</v>
      </c>
      <c r="T2955" s="2">
        <v>1.05</v>
      </c>
      <c r="U2955" s="2">
        <v>64.099999999999994</v>
      </c>
      <c r="V2955" s="2">
        <v>60</v>
      </c>
      <c r="W2955" s="2" t="s">
        <v>7862</v>
      </c>
      <c r="X2955" s="2" t="s">
        <v>7670</v>
      </c>
      <c r="Y2955" s="2">
        <v>7875</v>
      </c>
      <c r="Z2955" s="19" t="str">
        <f>HYPERLINK("https://ssdweb.co/ssdweb/hd/Vision360.html?d=925940650&amp;zoomslide=1&amp;z=1925940650&amp;ISCONFIRM=0","VIDEO")</f>
        <v>VIDEO</v>
      </c>
      <c r="AA2955" s="19" t="str">
        <f>HYPERLINK("https://ssdweb.co/ssdweb/CERTH/630447896.pdf","CERTI")</f>
        <v>CERTI</v>
      </c>
    </row>
    <row r="2956" spans="1:27" ht="15" x14ac:dyDescent="0.25">
      <c r="A2956" s="2">
        <v>2951</v>
      </c>
      <c r="B2956" s="39">
        <v>925940637</v>
      </c>
      <c r="C2956" s="28" t="str">
        <f>HYPERLINK("https://pld.live/RapDetail.aspx?STONELIST=925940637","DNA")</f>
        <v>DNA</v>
      </c>
      <c r="D2956" s="18" t="s">
        <v>3054</v>
      </c>
      <c r="E2956" s="18" t="s">
        <v>5128</v>
      </c>
      <c r="F2956" s="2" t="s">
        <v>7987</v>
      </c>
      <c r="G2956" s="2" t="s">
        <v>3296</v>
      </c>
      <c r="H2956" s="14">
        <v>1.05</v>
      </c>
      <c r="I2956" s="2" t="s">
        <v>4761</v>
      </c>
      <c r="J2956" s="2" t="s">
        <v>3942</v>
      </c>
      <c r="K2956" s="2" t="s">
        <v>1452</v>
      </c>
      <c r="L2956" s="2" t="s">
        <v>5221</v>
      </c>
      <c r="M2956" s="2" t="s">
        <v>5221</v>
      </c>
      <c r="N2956" s="2" t="s">
        <v>2317</v>
      </c>
      <c r="O2956" s="14">
        <v>6900</v>
      </c>
      <c r="P2956" s="14">
        <v>98.39</v>
      </c>
      <c r="Q2956" s="14">
        <v>111.09</v>
      </c>
      <c r="R2956" s="14">
        <v>116.64</v>
      </c>
      <c r="S2956" s="2" t="s">
        <v>5249</v>
      </c>
      <c r="T2956" s="2">
        <v>1.05</v>
      </c>
      <c r="U2956" s="2">
        <v>65.400000000000006</v>
      </c>
      <c r="V2956" s="2">
        <v>61</v>
      </c>
      <c r="W2956" s="2" t="s">
        <v>7862</v>
      </c>
      <c r="X2956" s="2" t="s">
        <v>7670</v>
      </c>
      <c r="Y2956" s="2">
        <v>7245</v>
      </c>
      <c r="Z2956" s="19" t="str">
        <f>HYPERLINK("https://ssdweb.co/ssdweb/hd/Vision360.html?d=925940637&amp;zoomslide=1&amp;z=1925940637&amp;ISCONFIRM=0","VIDEO")</f>
        <v>VIDEO</v>
      </c>
      <c r="AA2956" s="19" t="str">
        <f>HYPERLINK("https://ssdweb.co/ssdweb/CERTH/630447365.pdf","CERTI")</f>
        <v>CERTI</v>
      </c>
    </row>
    <row r="2957" spans="1:27" ht="15" x14ac:dyDescent="0.25">
      <c r="A2957" s="2">
        <v>2952</v>
      </c>
      <c r="B2957" s="39">
        <v>925760262</v>
      </c>
      <c r="C2957" s="28" t="str">
        <f>HYPERLINK("https://pld.live/RapDetail.aspx?STONELIST=925760262","DNA")</f>
        <v>DNA</v>
      </c>
      <c r="D2957" s="18" t="s">
        <v>3054</v>
      </c>
      <c r="E2957" s="18" t="s">
        <v>5128</v>
      </c>
      <c r="F2957" s="2" t="s">
        <v>7987</v>
      </c>
      <c r="G2957" s="2" t="s">
        <v>3296</v>
      </c>
      <c r="H2957" s="14">
        <v>1.05</v>
      </c>
      <c r="I2957" s="2" t="s">
        <v>4761</v>
      </c>
      <c r="J2957" s="2" t="s">
        <v>3942</v>
      </c>
      <c r="K2957" s="2" t="s">
        <v>1452</v>
      </c>
      <c r="L2957" s="2" t="s">
        <v>5221</v>
      </c>
      <c r="M2957" s="2" t="s">
        <v>5221</v>
      </c>
      <c r="N2957" s="2" t="s">
        <v>2317</v>
      </c>
      <c r="O2957" s="14">
        <v>6900</v>
      </c>
      <c r="P2957" s="14">
        <v>98.42</v>
      </c>
      <c r="Q2957" s="14">
        <v>109.02</v>
      </c>
      <c r="R2957" s="14">
        <v>114.47</v>
      </c>
      <c r="S2957" s="2" t="s">
        <v>6565</v>
      </c>
      <c r="T2957" s="2">
        <v>1.04</v>
      </c>
      <c r="U2957" s="2">
        <v>65.099999999999994</v>
      </c>
      <c r="V2957" s="2">
        <v>59</v>
      </c>
      <c r="W2957" s="2" t="s">
        <v>7862</v>
      </c>
      <c r="X2957" s="2" t="s">
        <v>7670</v>
      </c>
      <c r="Y2957" s="2">
        <v>7245</v>
      </c>
      <c r="Z2957" s="19" t="str">
        <f>HYPERLINK("https://ssdweb.co/ssdweb/hd/Vision360.html?d=925760262&amp;zoomslide=1&amp;z=1925760262&amp;ISCONFIRM=0","VIDEO")</f>
        <v>VIDEO</v>
      </c>
      <c r="AA2957" s="19" t="str">
        <f>HYPERLINK("https://ssdweb.co/ssdweb/CERTH/624440140.pdf","CERTI")</f>
        <v>CERTI</v>
      </c>
    </row>
    <row r="2958" spans="1:27" ht="15" x14ac:dyDescent="0.25">
      <c r="A2958" s="2">
        <v>2953</v>
      </c>
      <c r="B2958" s="39">
        <v>925830730</v>
      </c>
      <c r="C2958" s="28" t="str">
        <f>HYPERLINK("https://pld.live/RapDetail.aspx?STONELIST=925830730","DNA")</f>
        <v>DNA</v>
      </c>
      <c r="D2958" s="18" t="s">
        <v>3054</v>
      </c>
      <c r="E2958" s="18" t="s">
        <v>5128</v>
      </c>
      <c r="F2958" s="2" t="s">
        <v>7987</v>
      </c>
      <c r="G2958" s="2" t="s">
        <v>3296</v>
      </c>
      <c r="H2958" s="14">
        <v>1.05</v>
      </c>
      <c r="I2958" s="2" t="s">
        <v>4761</v>
      </c>
      <c r="J2958" s="2" t="s">
        <v>13</v>
      </c>
      <c r="K2958" s="2" t="s">
        <v>1452</v>
      </c>
      <c r="L2958" s="2" t="s">
        <v>5221</v>
      </c>
      <c r="M2958" s="2" t="s">
        <v>5221</v>
      </c>
      <c r="N2958" s="2" t="s">
        <v>2317</v>
      </c>
      <c r="O2958" s="14">
        <v>6200</v>
      </c>
      <c r="P2958" s="14">
        <v>98.27</v>
      </c>
      <c r="Q2958" s="14">
        <v>107.26</v>
      </c>
      <c r="R2958" s="14">
        <v>112.62</v>
      </c>
      <c r="S2958" s="2" t="s">
        <v>4871</v>
      </c>
      <c r="T2958" s="2">
        <v>1.05</v>
      </c>
      <c r="U2958" s="2">
        <v>65.2</v>
      </c>
      <c r="V2958" s="2">
        <v>62</v>
      </c>
      <c r="W2958" s="2" t="s">
        <v>7862</v>
      </c>
      <c r="X2958" s="2" t="s">
        <v>7670</v>
      </c>
      <c r="Y2958" s="2">
        <v>6510</v>
      </c>
      <c r="Z2958" s="19" t="str">
        <f>HYPERLINK("https://ssdweb.co/ssdweb/hd/Vision360.html?d=925830730&amp;zoomslide=1&amp;z=1925830730&amp;ISCONFIRM=0","VIDEO")</f>
        <v>VIDEO</v>
      </c>
      <c r="AA2958" s="19" t="str">
        <f>HYPERLINK("https://ssdweb.co/ssdweb/CERTH/627431821.pdf","CERTI")</f>
        <v>CERTI</v>
      </c>
    </row>
    <row r="2959" spans="1:27" ht="15" x14ac:dyDescent="0.25">
      <c r="A2959" s="2">
        <v>2954</v>
      </c>
      <c r="B2959" s="39">
        <v>925940652</v>
      </c>
      <c r="C2959" s="28" t="str">
        <f>HYPERLINK("https://pld.live/RapDetail.aspx?STONELIST=925940652","DNA")</f>
        <v>DNA</v>
      </c>
      <c r="D2959" s="18" t="s">
        <v>3054</v>
      </c>
      <c r="E2959" s="18" t="s">
        <v>5128</v>
      </c>
      <c r="F2959" s="2" t="s">
        <v>7987</v>
      </c>
      <c r="G2959" s="2" t="s">
        <v>3296</v>
      </c>
      <c r="H2959" s="14">
        <v>1.04</v>
      </c>
      <c r="I2959" s="2" t="s">
        <v>267</v>
      </c>
      <c r="J2959" s="2" t="s">
        <v>3942</v>
      </c>
      <c r="K2959" s="2" t="s">
        <v>1452</v>
      </c>
      <c r="L2959" s="2" t="s">
        <v>5221</v>
      </c>
      <c r="M2959" s="2" t="s">
        <v>5221</v>
      </c>
      <c r="N2959" s="2" t="s">
        <v>2317</v>
      </c>
      <c r="O2959" s="14">
        <v>7600</v>
      </c>
      <c r="P2959" s="14">
        <v>98.5</v>
      </c>
      <c r="Q2959" s="14">
        <v>114</v>
      </c>
      <c r="R2959" s="14">
        <v>118.56</v>
      </c>
      <c r="S2959" s="2" t="s">
        <v>5753</v>
      </c>
      <c r="T2959" s="2">
        <v>1.05</v>
      </c>
      <c r="U2959" s="2">
        <v>64.7</v>
      </c>
      <c r="V2959" s="2">
        <v>61</v>
      </c>
      <c r="W2959" s="2" t="s">
        <v>7862</v>
      </c>
      <c r="X2959" s="2" t="s">
        <v>7670</v>
      </c>
      <c r="Y2959" s="2">
        <v>7904</v>
      </c>
      <c r="Z2959" s="19" t="str">
        <f>HYPERLINK("https://ssdweb.co/ssdweb/hd/Vision360.html?d=925940652&amp;zoomslide=1&amp;z=1925940652&amp;ISCONFIRM=0","VIDEO")</f>
        <v>VIDEO</v>
      </c>
      <c r="AA2959" s="19" t="str">
        <f>HYPERLINK("https://ssdweb.co/ssdweb/CERTH/630447764.pdf","CERTI")</f>
        <v>CERTI</v>
      </c>
    </row>
    <row r="2960" spans="1:27" ht="15" x14ac:dyDescent="0.25">
      <c r="A2960" s="2">
        <v>2955</v>
      </c>
      <c r="B2960" s="39">
        <v>925940660</v>
      </c>
      <c r="C2960" s="28" t="str">
        <f>HYPERLINK("https://pld.live/RapDetail.aspx?STONELIST=925940660","DNA")</f>
        <v>DNA</v>
      </c>
      <c r="D2960" s="18" t="s">
        <v>3054</v>
      </c>
      <c r="E2960" s="18" t="s">
        <v>5128</v>
      </c>
      <c r="F2960" s="2" t="s">
        <v>7987</v>
      </c>
      <c r="G2960" s="2" t="s">
        <v>3296</v>
      </c>
      <c r="H2960" s="14">
        <v>1.04</v>
      </c>
      <c r="I2960" s="2" t="s">
        <v>267</v>
      </c>
      <c r="J2960" s="2" t="s">
        <v>3942</v>
      </c>
      <c r="K2960" s="2" t="s">
        <v>1452</v>
      </c>
      <c r="L2960" s="2" t="s">
        <v>5221</v>
      </c>
      <c r="M2960" s="2" t="s">
        <v>5221</v>
      </c>
      <c r="N2960" s="2" t="s">
        <v>2317</v>
      </c>
      <c r="O2960" s="14">
        <v>7600</v>
      </c>
      <c r="P2960" s="14">
        <v>98.5</v>
      </c>
      <c r="Q2960" s="14">
        <v>114</v>
      </c>
      <c r="R2960" s="14">
        <v>118.56</v>
      </c>
      <c r="S2960" s="2" t="s">
        <v>1576</v>
      </c>
      <c r="T2960" s="2">
        <v>1.04</v>
      </c>
      <c r="U2960" s="2">
        <v>66.099999999999994</v>
      </c>
      <c r="V2960" s="2">
        <v>61</v>
      </c>
      <c r="W2960" s="2" t="s">
        <v>7862</v>
      </c>
      <c r="X2960" s="2" t="s">
        <v>7670</v>
      </c>
      <c r="Y2960" s="2">
        <v>7904</v>
      </c>
      <c r="Z2960" s="19" t="str">
        <f>HYPERLINK("https://ssdweb.co/ssdweb/hd/Vision360.html?d=925940660&amp;zoomslide=1&amp;z=1925940660&amp;ISCONFIRM=0","VIDEO")</f>
        <v>VIDEO</v>
      </c>
      <c r="AA2960" s="19" t="str">
        <f>HYPERLINK("https://ssdweb.co/ssdweb/CERTH/630447931.pdf","CERTI")</f>
        <v>CERTI</v>
      </c>
    </row>
    <row r="2961" spans="1:27" ht="15" x14ac:dyDescent="0.25">
      <c r="A2961" s="2">
        <v>2956</v>
      </c>
      <c r="B2961" s="39">
        <v>926210973</v>
      </c>
      <c r="C2961" s="28" t="str">
        <f>HYPERLINK("https://pld.live/RapDetail.aspx?STONELIST=926210973","DNA")</f>
        <v>DNA</v>
      </c>
      <c r="D2961" s="18" t="s">
        <v>3054</v>
      </c>
      <c r="E2961" s="18" t="s">
        <v>5128</v>
      </c>
      <c r="F2961" s="2" t="s">
        <v>7987</v>
      </c>
      <c r="G2961" s="2" t="s">
        <v>3296</v>
      </c>
      <c r="H2961" s="14">
        <v>1.04</v>
      </c>
      <c r="I2961" s="2" t="s">
        <v>267</v>
      </c>
      <c r="J2961" s="2" t="s">
        <v>3942</v>
      </c>
      <c r="K2961" s="2" t="s">
        <v>1452</v>
      </c>
      <c r="L2961" s="2" t="s">
        <v>5221</v>
      </c>
      <c r="M2961" s="2" t="s">
        <v>5221</v>
      </c>
      <c r="N2961" s="2" t="s">
        <v>2317</v>
      </c>
      <c r="O2961" s="14">
        <v>7600</v>
      </c>
      <c r="P2961" s="14">
        <v>98.5</v>
      </c>
      <c r="Q2961" s="14">
        <v>114</v>
      </c>
      <c r="R2961" s="14">
        <v>118.56</v>
      </c>
      <c r="S2961" s="2" t="s">
        <v>1881</v>
      </c>
      <c r="T2961" s="2">
        <v>1.02</v>
      </c>
      <c r="U2961" s="2">
        <v>64.900000000000006</v>
      </c>
      <c r="V2961" s="2">
        <v>61</v>
      </c>
      <c r="W2961" s="2" t="s">
        <v>7862</v>
      </c>
      <c r="X2961" s="2" t="s">
        <v>7670</v>
      </c>
      <c r="Y2961" s="2">
        <v>7904</v>
      </c>
      <c r="Z2961" s="19" t="str">
        <f>HYPERLINK("https://ssdweb.co/ssdweb/hd/Vision360.html?d=926210973&amp;zoomslide=1&amp;z=1926210973&amp;ISCONFIRM=0","VIDEO")</f>
        <v>VIDEO</v>
      </c>
      <c r="AA2961" s="19" t="str">
        <f>HYPERLINK("https://ssdweb.co/ssdweb/CERTH/635423979.pdf","CERTI")</f>
        <v>CERTI</v>
      </c>
    </row>
    <row r="2962" spans="1:27" ht="15" x14ac:dyDescent="0.25">
      <c r="A2962" s="2">
        <v>2957</v>
      </c>
      <c r="B2962" s="39">
        <v>926111191</v>
      </c>
      <c r="C2962" s="28" t="str">
        <f>HYPERLINK("https://pld.live/RapDetail.aspx?STONELIST=926111191","DNA")</f>
        <v>DNA</v>
      </c>
      <c r="D2962" s="18" t="s">
        <v>3054</v>
      </c>
      <c r="E2962" s="18" t="s">
        <v>5128</v>
      </c>
      <c r="F2962" s="2" t="s">
        <v>7987</v>
      </c>
      <c r="G2962" s="2" t="s">
        <v>3296</v>
      </c>
      <c r="H2962" s="14">
        <v>1.04</v>
      </c>
      <c r="I2962" s="2" t="s">
        <v>267</v>
      </c>
      <c r="J2962" s="2" t="s">
        <v>3942</v>
      </c>
      <c r="K2962" s="2" t="s">
        <v>1452</v>
      </c>
      <c r="L2962" s="2" t="s">
        <v>5221</v>
      </c>
      <c r="M2962" s="2" t="s">
        <v>5221</v>
      </c>
      <c r="N2962" s="2" t="s">
        <v>2317</v>
      </c>
      <c r="O2962" s="14">
        <v>7600</v>
      </c>
      <c r="P2962" s="14">
        <v>98.5</v>
      </c>
      <c r="Q2962" s="14">
        <v>114</v>
      </c>
      <c r="R2962" s="14">
        <v>118.56</v>
      </c>
      <c r="S2962" s="2" t="s">
        <v>2809</v>
      </c>
      <c r="T2962" s="2">
        <v>1.05</v>
      </c>
      <c r="U2962" s="2">
        <v>66.400000000000006</v>
      </c>
      <c r="V2962" s="2">
        <v>61</v>
      </c>
      <c r="W2962" s="2" t="s">
        <v>7862</v>
      </c>
      <c r="X2962" s="2" t="s">
        <v>7670</v>
      </c>
      <c r="Y2962" s="2">
        <v>7904</v>
      </c>
      <c r="Z2962" s="19" t="str">
        <f>HYPERLINK("https://ssdweb.co/ssdweb/hd/Vision360.html?d=926111191&amp;zoomslide=1&amp;z=1926111191&amp;ISCONFIRM=0","VIDEO")</f>
        <v>VIDEO</v>
      </c>
      <c r="AA2962" s="19" t="str">
        <f>HYPERLINK("https://ssdweb.co/ssdweb/CERTH/633431991.pdf","CERTI")</f>
        <v>CERTI</v>
      </c>
    </row>
    <row r="2963" spans="1:27" ht="15" x14ac:dyDescent="0.25">
      <c r="A2963" s="2">
        <v>2958</v>
      </c>
      <c r="B2963" s="39">
        <v>926111047</v>
      </c>
      <c r="C2963" s="28" t="str">
        <f>HYPERLINK("https://pld.live/RapDetail.aspx?STONELIST=926111047","DNA")</f>
        <v>DNA</v>
      </c>
      <c r="D2963" s="18" t="s">
        <v>3054</v>
      </c>
      <c r="E2963" s="18" t="s">
        <v>5128</v>
      </c>
      <c r="F2963" s="2" t="s">
        <v>7987</v>
      </c>
      <c r="G2963" s="2" t="s">
        <v>3296</v>
      </c>
      <c r="H2963" s="14">
        <v>1.04</v>
      </c>
      <c r="I2963" s="2" t="s">
        <v>267</v>
      </c>
      <c r="J2963" s="2" t="s">
        <v>3942</v>
      </c>
      <c r="K2963" s="2" t="s">
        <v>1452</v>
      </c>
      <c r="L2963" s="2" t="s">
        <v>5221</v>
      </c>
      <c r="M2963" s="2" t="s">
        <v>5221</v>
      </c>
      <c r="N2963" s="2" t="s">
        <v>2317</v>
      </c>
      <c r="O2963" s="14">
        <v>7600</v>
      </c>
      <c r="P2963" s="14">
        <v>98.5</v>
      </c>
      <c r="Q2963" s="14">
        <v>114</v>
      </c>
      <c r="R2963" s="14">
        <v>118.56</v>
      </c>
      <c r="S2963" s="2" t="s">
        <v>6140</v>
      </c>
      <c r="T2963" s="2">
        <v>1.05</v>
      </c>
      <c r="U2963" s="2">
        <v>65</v>
      </c>
      <c r="V2963" s="2">
        <v>62</v>
      </c>
      <c r="W2963" s="2" t="s">
        <v>7862</v>
      </c>
      <c r="X2963" s="2" t="s">
        <v>7670</v>
      </c>
      <c r="Y2963" s="2">
        <v>7904</v>
      </c>
      <c r="Z2963" s="19" t="str">
        <f>HYPERLINK("https://ssdweb.co/ssdweb/hd/Vision360.html?d=926111047&amp;zoomslide=1&amp;z=1926111047&amp;ISCONFIRM=0","VIDEO")</f>
        <v>VIDEO</v>
      </c>
      <c r="AA2963" s="19" t="str">
        <f>HYPERLINK("https://ssdweb.co/ssdweb/CERTH/632449584.pdf","CERTI")</f>
        <v>CERTI</v>
      </c>
    </row>
    <row r="2964" spans="1:27" ht="15" x14ac:dyDescent="0.25">
      <c r="A2964" s="2">
        <v>2959</v>
      </c>
      <c r="B2964" s="39">
        <v>926110968</v>
      </c>
      <c r="C2964" s="28" t="str">
        <f>HYPERLINK("https://pld.live/RapDetail.aspx?STONELIST=926110968","DNA")</f>
        <v>DNA</v>
      </c>
      <c r="D2964" s="18" t="s">
        <v>3054</v>
      </c>
      <c r="E2964" s="18" t="s">
        <v>5128</v>
      </c>
      <c r="F2964" s="2" t="s">
        <v>7987</v>
      </c>
      <c r="G2964" s="2" t="s">
        <v>3296</v>
      </c>
      <c r="H2964" s="14">
        <v>1.04</v>
      </c>
      <c r="I2964" s="2" t="s">
        <v>267</v>
      </c>
      <c r="J2964" s="2" t="s">
        <v>3942</v>
      </c>
      <c r="K2964" s="2" t="s">
        <v>1452</v>
      </c>
      <c r="L2964" s="2" t="s">
        <v>5221</v>
      </c>
      <c r="M2964" s="2" t="s">
        <v>5221</v>
      </c>
      <c r="N2964" s="2" t="s">
        <v>2317</v>
      </c>
      <c r="O2964" s="14">
        <v>7600</v>
      </c>
      <c r="P2964" s="14">
        <v>98.5</v>
      </c>
      <c r="Q2964" s="14">
        <v>114</v>
      </c>
      <c r="R2964" s="14">
        <v>118.56</v>
      </c>
      <c r="S2964" s="2" t="s">
        <v>781</v>
      </c>
      <c r="T2964" s="2">
        <v>1.04</v>
      </c>
      <c r="U2964" s="2">
        <v>66.7</v>
      </c>
      <c r="V2964" s="2">
        <v>62</v>
      </c>
      <c r="W2964" s="2" t="s">
        <v>7862</v>
      </c>
      <c r="X2964" s="2" t="s">
        <v>7670</v>
      </c>
      <c r="Y2964" s="2">
        <v>7904</v>
      </c>
      <c r="Z2964" s="19" t="str">
        <f>HYPERLINK("https://ssdweb.co/ssdweb/hd/Vision360.html?d=926110968&amp;zoomslide=1&amp;z=1926110968&amp;ISCONFIRM=0","VIDEO")</f>
        <v>VIDEO</v>
      </c>
      <c r="AA2964" s="19" t="str">
        <f>HYPERLINK("https://ssdweb.co/ssdweb/CERTH/632449595.pdf","CERTI")</f>
        <v>CERTI</v>
      </c>
    </row>
    <row r="2965" spans="1:27" ht="15" x14ac:dyDescent="0.25">
      <c r="A2965" s="2">
        <v>2960</v>
      </c>
      <c r="B2965" s="39">
        <v>925940616</v>
      </c>
      <c r="C2965" s="28" t="str">
        <f>HYPERLINK("https://pld.live/RapDetail.aspx?STONELIST=925940616","DNA")</f>
        <v>DNA</v>
      </c>
      <c r="D2965" s="18" t="s">
        <v>3054</v>
      </c>
      <c r="E2965" s="18" t="s">
        <v>5128</v>
      </c>
      <c r="F2965" s="2" t="s">
        <v>7987</v>
      </c>
      <c r="G2965" s="2" t="s">
        <v>3296</v>
      </c>
      <c r="H2965" s="14">
        <v>1.04</v>
      </c>
      <c r="I2965" s="2" t="s">
        <v>267</v>
      </c>
      <c r="J2965" s="2" t="s">
        <v>13</v>
      </c>
      <c r="K2965" s="2" t="s">
        <v>1452</v>
      </c>
      <c r="L2965" s="2" t="s">
        <v>5221</v>
      </c>
      <c r="M2965" s="2" t="s">
        <v>5221</v>
      </c>
      <c r="N2965" s="2" t="s">
        <v>2317</v>
      </c>
      <c r="O2965" s="14">
        <v>6700</v>
      </c>
      <c r="P2965" s="14">
        <v>98.33</v>
      </c>
      <c r="Q2965" s="14">
        <v>111.89</v>
      </c>
      <c r="R2965" s="14">
        <v>116.37</v>
      </c>
      <c r="S2965" s="2" t="s">
        <v>5032</v>
      </c>
      <c r="T2965" s="2">
        <v>1.04</v>
      </c>
      <c r="U2965" s="2">
        <v>65.099999999999994</v>
      </c>
      <c r="V2965" s="2">
        <v>62</v>
      </c>
      <c r="W2965" s="2" t="s">
        <v>7862</v>
      </c>
      <c r="X2965" s="2" t="s">
        <v>7670</v>
      </c>
      <c r="Y2965" s="2">
        <v>6968</v>
      </c>
      <c r="Z2965" s="19" t="str">
        <f>HYPERLINK("https://ssdweb.co/ssdweb/hd/Vision360.html?d=925940616&amp;zoomslide=1&amp;z=1925940616&amp;ISCONFIRM=0","VIDEO")</f>
        <v>VIDEO</v>
      </c>
      <c r="AA2965" s="19" t="str">
        <f>HYPERLINK("https://ssdweb.co/ssdweb/CERTH/629479091.pdf","CERTI")</f>
        <v>CERTI</v>
      </c>
    </row>
    <row r="2966" spans="1:27" ht="15" x14ac:dyDescent="0.25">
      <c r="A2966" s="2">
        <v>2961</v>
      </c>
      <c r="B2966" s="39">
        <v>925900589</v>
      </c>
      <c r="C2966" s="28" t="str">
        <f>HYPERLINK("https://pld.live/RapDetail.aspx?STONELIST=925900589","DNA")</f>
        <v>DNA</v>
      </c>
      <c r="D2966" s="18" t="s">
        <v>3054</v>
      </c>
      <c r="E2966" s="18" t="s">
        <v>5128</v>
      </c>
      <c r="F2966" s="2" t="s">
        <v>7987</v>
      </c>
      <c r="G2966" s="2" t="s">
        <v>3296</v>
      </c>
      <c r="H2966" s="14">
        <v>1.04</v>
      </c>
      <c r="I2966" s="2" t="s">
        <v>267</v>
      </c>
      <c r="J2966" s="2" t="s">
        <v>13</v>
      </c>
      <c r="K2966" s="2" t="s">
        <v>1452</v>
      </c>
      <c r="L2966" s="2" t="s">
        <v>5221</v>
      </c>
      <c r="M2966" s="2" t="s">
        <v>5221</v>
      </c>
      <c r="N2966" s="2" t="s">
        <v>2317</v>
      </c>
      <c r="O2966" s="14">
        <v>6700</v>
      </c>
      <c r="P2966" s="14">
        <v>98.33</v>
      </c>
      <c r="Q2966" s="14">
        <v>111.89</v>
      </c>
      <c r="R2966" s="14">
        <v>116.37</v>
      </c>
      <c r="S2966" s="2" t="s">
        <v>5580</v>
      </c>
      <c r="T2966" s="2">
        <v>1.03</v>
      </c>
      <c r="U2966" s="2">
        <v>64.599999999999994</v>
      </c>
      <c r="V2966" s="2">
        <v>59</v>
      </c>
      <c r="W2966" s="2" t="s">
        <v>7862</v>
      </c>
      <c r="X2966" s="2" t="s">
        <v>7670</v>
      </c>
      <c r="Y2966" s="2">
        <v>6968</v>
      </c>
      <c r="Z2966" s="19" t="str">
        <f>HYPERLINK("https://ssdweb.co/ssdweb/hd/Vision360.html?d=925900589&amp;zoomslide=1&amp;z=1925900589&amp;ISCONFIRM=0","VIDEO")</f>
        <v>VIDEO</v>
      </c>
      <c r="AA2966" s="19" t="str">
        <f>HYPERLINK("https://ssdweb.co/ssdweb/CERTH/629453405.pdf","CERTI")</f>
        <v>CERTI</v>
      </c>
    </row>
    <row r="2967" spans="1:27" ht="15" x14ac:dyDescent="0.25">
      <c r="A2967" s="2">
        <v>2962</v>
      </c>
      <c r="B2967" s="39">
        <v>925791418</v>
      </c>
      <c r="C2967" s="28" t="str">
        <f>HYPERLINK("https://pld.live/RapDetail.aspx?STONELIST=925791418","DNA")</f>
        <v>DNA</v>
      </c>
      <c r="D2967" s="18" t="s">
        <v>3054</v>
      </c>
      <c r="E2967" s="18" t="s">
        <v>5128</v>
      </c>
      <c r="F2967" s="2" t="s">
        <v>7987</v>
      </c>
      <c r="G2967" s="2" t="s">
        <v>3296</v>
      </c>
      <c r="H2967" s="14">
        <v>1.04</v>
      </c>
      <c r="I2967" s="2" t="s">
        <v>267</v>
      </c>
      <c r="J2967" s="2" t="s">
        <v>5144</v>
      </c>
      <c r="K2967" s="2" t="s">
        <v>1452</v>
      </c>
      <c r="L2967" s="2" t="s">
        <v>5221</v>
      </c>
      <c r="M2967" s="2" t="s">
        <v>5221</v>
      </c>
      <c r="N2967" s="2" t="s">
        <v>2317</v>
      </c>
      <c r="O2967" s="14">
        <v>5700</v>
      </c>
      <c r="P2967" s="14">
        <v>98.14</v>
      </c>
      <c r="Q2967" s="14">
        <v>106.02</v>
      </c>
      <c r="R2967" s="14">
        <v>110.26</v>
      </c>
      <c r="S2967" s="2" t="s">
        <v>5687</v>
      </c>
      <c r="T2967" s="2">
        <v>1.05</v>
      </c>
      <c r="U2967" s="2">
        <v>63.4</v>
      </c>
      <c r="V2967" s="2">
        <v>59</v>
      </c>
      <c r="W2967" s="2" t="s">
        <v>7862</v>
      </c>
      <c r="X2967" s="2" t="s">
        <v>7670</v>
      </c>
      <c r="Y2967" s="2">
        <v>5928</v>
      </c>
      <c r="Z2967" s="19" t="str">
        <f>HYPERLINK("https://ssdweb.co/ssdweb/hd/Vision360.html?d=925791418&amp;zoomslide=1&amp;z=1925791418&amp;ISCONFIRM=0","VIDEO")</f>
        <v>VIDEO</v>
      </c>
      <c r="AA2967" s="19" t="str">
        <f>HYPERLINK("https://ssdweb.co/ssdweb/CERTH/627431785.pdf","CERTI")</f>
        <v>CERTI</v>
      </c>
    </row>
    <row r="2968" spans="1:27" ht="15" x14ac:dyDescent="0.25">
      <c r="A2968" s="2">
        <v>2963</v>
      </c>
      <c r="B2968" s="39">
        <v>924610084</v>
      </c>
      <c r="C2968" s="28" t="str">
        <f>HYPERLINK("https://pld.live/RapDetail.aspx?STONELIST=924610084","DNA")</f>
        <v>DNA</v>
      </c>
      <c r="D2968" s="18" t="s">
        <v>3054</v>
      </c>
      <c r="E2968" s="18" t="s">
        <v>5128</v>
      </c>
      <c r="F2968" s="2" t="s">
        <v>7987</v>
      </c>
      <c r="G2968" s="2" t="s">
        <v>3296</v>
      </c>
      <c r="H2968" s="14">
        <v>1.04</v>
      </c>
      <c r="I2968" s="2" t="s">
        <v>4761</v>
      </c>
      <c r="J2968" s="2" t="s">
        <v>7032</v>
      </c>
      <c r="K2968" s="2" t="s">
        <v>1452</v>
      </c>
      <c r="L2968" s="2" t="s">
        <v>5221</v>
      </c>
      <c r="M2968" s="2" t="s">
        <v>5221</v>
      </c>
      <c r="N2968" s="2" t="s">
        <v>2317</v>
      </c>
      <c r="O2968" s="14">
        <v>8200</v>
      </c>
      <c r="P2968" s="14">
        <v>97.05</v>
      </c>
      <c r="Q2968" s="14">
        <v>241.9</v>
      </c>
      <c r="R2968" s="14">
        <v>251.58</v>
      </c>
      <c r="S2968" s="2" t="s">
        <v>7735</v>
      </c>
      <c r="T2968" s="2">
        <v>1.01</v>
      </c>
      <c r="U2968" s="2">
        <v>63.5</v>
      </c>
      <c r="V2968" s="2">
        <v>61</v>
      </c>
      <c r="W2968" s="2" t="s">
        <v>7862</v>
      </c>
      <c r="X2968" s="2" t="s">
        <v>7670</v>
      </c>
      <c r="Y2968" s="2">
        <v>8528</v>
      </c>
      <c r="Z2968" s="19" t="str">
        <f>HYPERLINK("https://ssdweb.co/ssdweb/hd/Vision360.html?d=924610084&amp;zoomslide=1&amp;z=1924610084&amp;ISCONFIRM=0","VIDEO")</f>
        <v>VIDEO</v>
      </c>
      <c r="AA2968" s="19" t="str">
        <f>HYPERLINK("https://ssdweb.co/ssdweb/CERTH/595367325.pdf","CERTI")</f>
        <v>CERTI</v>
      </c>
    </row>
    <row r="2969" spans="1:27" ht="15" x14ac:dyDescent="0.25">
      <c r="A2969" s="2">
        <v>2964</v>
      </c>
      <c r="B2969" s="39">
        <v>925760708</v>
      </c>
      <c r="C2969" s="28" t="str">
        <f>HYPERLINK("https://pld.live/RapDetail.aspx?STONELIST=925760708","DNA")</f>
        <v>DNA</v>
      </c>
      <c r="D2969" s="18" t="s">
        <v>3054</v>
      </c>
      <c r="E2969" s="18" t="s">
        <v>5128</v>
      </c>
      <c r="F2969" s="2" t="s">
        <v>7987</v>
      </c>
      <c r="G2969" s="2" t="s">
        <v>3296</v>
      </c>
      <c r="H2969" s="14">
        <v>1.04</v>
      </c>
      <c r="I2969" s="2" t="s">
        <v>4761</v>
      </c>
      <c r="J2969" s="2" t="s">
        <v>6555</v>
      </c>
      <c r="K2969" s="2" t="s">
        <v>1452</v>
      </c>
      <c r="L2969" s="2" t="s">
        <v>5221</v>
      </c>
      <c r="M2969" s="2" t="s">
        <v>5221</v>
      </c>
      <c r="N2969" s="2" t="s">
        <v>2317</v>
      </c>
      <c r="O2969" s="14">
        <v>7500</v>
      </c>
      <c r="P2969" s="14">
        <v>98.08</v>
      </c>
      <c r="Q2969" s="14">
        <v>144</v>
      </c>
      <c r="R2969" s="14">
        <v>149.76</v>
      </c>
      <c r="S2969" s="2" t="s">
        <v>6713</v>
      </c>
      <c r="T2969" s="2">
        <v>1.05</v>
      </c>
      <c r="U2969" s="2">
        <v>65.900000000000006</v>
      </c>
      <c r="V2969" s="2">
        <v>59</v>
      </c>
      <c r="W2969" s="2" t="s">
        <v>7862</v>
      </c>
      <c r="X2969" s="2" t="s">
        <v>7670</v>
      </c>
      <c r="Y2969" s="2">
        <v>7800</v>
      </c>
      <c r="Z2969" s="19" t="str">
        <f>HYPERLINK("https://ssdweb.co/ssdweb/hd/Vision360.html?d=925760708&amp;zoomslide=1&amp;z=1925760708&amp;ISCONFIRM=0","VIDEO")</f>
        <v>VIDEO</v>
      </c>
      <c r="AA2969" s="19" t="str">
        <f>HYPERLINK("https://ssdweb.co/ssdweb/CERTH/628426998.pdf","CERTI")</f>
        <v>CERTI</v>
      </c>
    </row>
    <row r="2970" spans="1:27" ht="15" x14ac:dyDescent="0.25">
      <c r="A2970" s="2">
        <v>2965</v>
      </c>
      <c r="B2970" s="39">
        <v>925802043</v>
      </c>
      <c r="C2970" s="28" t="str">
        <f>HYPERLINK("https://pld.live/RapDetail.aspx?STONELIST=925802043","DNA")</f>
        <v>DNA</v>
      </c>
      <c r="D2970" s="18" t="s">
        <v>3054</v>
      </c>
      <c r="E2970" s="18" t="s">
        <v>5128</v>
      </c>
      <c r="F2970" s="2" t="s">
        <v>7987</v>
      </c>
      <c r="G2970" s="2" t="s">
        <v>3296</v>
      </c>
      <c r="H2970" s="14">
        <v>1.03</v>
      </c>
      <c r="I2970" s="2" t="s">
        <v>267</v>
      </c>
      <c r="J2970" s="2" t="s">
        <v>3942</v>
      </c>
      <c r="K2970" s="2" t="s">
        <v>1452</v>
      </c>
      <c r="L2970" s="2" t="s">
        <v>5221</v>
      </c>
      <c r="M2970" s="2" t="s">
        <v>5221</v>
      </c>
      <c r="N2970" s="2" t="s">
        <v>2317</v>
      </c>
      <c r="O2970" s="14">
        <v>7600</v>
      </c>
      <c r="P2970" s="14">
        <v>98.53</v>
      </c>
      <c r="Q2970" s="14">
        <v>111.72</v>
      </c>
      <c r="R2970" s="14">
        <v>115.07</v>
      </c>
      <c r="S2970" s="2" t="s">
        <v>3872</v>
      </c>
      <c r="T2970" s="2">
        <v>1.04</v>
      </c>
      <c r="U2970" s="2">
        <v>67.099999999999994</v>
      </c>
      <c r="V2970" s="2">
        <v>59</v>
      </c>
      <c r="W2970" s="2" t="s">
        <v>7862</v>
      </c>
      <c r="X2970" s="2" t="s">
        <v>7670</v>
      </c>
      <c r="Y2970" s="2">
        <v>7828</v>
      </c>
      <c r="Z2970" s="19" t="str">
        <f>HYPERLINK("https://ssdweb.co/ssdweb/hd/Vision360.html?d=925802043&amp;zoomslide=1&amp;z=1925802043&amp;ISCONFIRM=0","VIDEO")</f>
        <v>VIDEO</v>
      </c>
      <c r="AA2970" s="19" t="str">
        <f>HYPERLINK("https://ssdweb.co/ssdweb/CERTH/627410450.pdf","CERTI")</f>
        <v>CERTI</v>
      </c>
    </row>
    <row r="2971" spans="1:27" ht="15" x14ac:dyDescent="0.25">
      <c r="A2971" s="2">
        <v>2966</v>
      </c>
      <c r="B2971" s="39">
        <v>925900592</v>
      </c>
      <c r="C2971" s="28" t="str">
        <f>HYPERLINK("https://pld.live/RapDetail.aspx?STONELIST=925900592","DNA")</f>
        <v>DNA</v>
      </c>
      <c r="D2971" s="18" t="s">
        <v>3054</v>
      </c>
      <c r="E2971" s="18" t="s">
        <v>5128</v>
      </c>
      <c r="F2971" s="2" t="s">
        <v>7987</v>
      </c>
      <c r="G2971" s="2" t="s">
        <v>3296</v>
      </c>
      <c r="H2971" s="14">
        <v>1.03</v>
      </c>
      <c r="I2971" s="2" t="s">
        <v>267</v>
      </c>
      <c r="J2971" s="2" t="s">
        <v>3942</v>
      </c>
      <c r="K2971" s="2" t="s">
        <v>1452</v>
      </c>
      <c r="L2971" s="2" t="s">
        <v>5221</v>
      </c>
      <c r="M2971" s="2" t="s">
        <v>5221</v>
      </c>
      <c r="N2971" s="2" t="s">
        <v>2317</v>
      </c>
      <c r="O2971" s="14">
        <v>7600</v>
      </c>
      <c r="P2971" s="14">
        <v>98.5</v>
      </c>
      <c r="Q2971" s="14">
        <v>114</v>
      </c>
      <c r="R2971" s="14">
        <v>117.42</v>
      </c>
      <c r="S2971" s="2" t="s">
        <v>2152</v>
      </c>
      <c r="T2971" s="2">
        <v>1.05</v>
      </c>
      <c r="U2971" s="2">
        <v>66</v>
      </c>
      <c r="V2971" s="2">
        <v>61</v>
      </c>
      <c r="W2971" s="2" t="s">
        <v>7862</v>
      </c>
      <c r="X2971" s="2" t="s">
        <v>7670</v>
      </c>
      <c r="Y2971" s="2">
        <v>7828</v>
      </c>
      <c r="Z2971" s="19" t="str">
        <f>HYPERLINK("https://ssdweb.co/ssdweb/hd/Vision360.html?d=925900592&amp;zoomslide=1&amp;z=1925900592&amp;ISCONFIRM=0","VIDEO")</f>
        <v>VIDEO</v>
      </c>
      <c r="AA2971" s="19" t="str">
        <f>HYPERLINK("https://ssdweb.co/ssdweb/CERTH/629453407.pdf","CERTI")</f>
        <v>CERTI</v>
      </c>
    </row>
    <row r="2972" spans="1:27" ht="15" x14ac:dyDescent="0.25">
      <c r="A2972" s="2">
        <v>2967</v>
      </c>
      <c r="B2972" s="39">
        <v>925940633</v>
      </c>
      <c r="C2972" s="28" t="str">
        <f>HYPERLINK("https://pld.live/RapDetail.aspx?STONELIST=925940633","DNA")</f>
        <v>DNA</v>
      </c>
      <c r="D2972" s="18" t="s">
        <v>3054</v>
      </c>
      <c r="E2972" s="18" t="s">
        <v>5128</v>
      </c>
      <c r="F2972" s="2" t="s">
        <v>7987</v>
      </c>
      <c r="G2972" s="2" t="s">
        <v>3296</v>
      </c>
      <c r="H2972" s="14">
        <v>1.03</v>
      </c>
      <c r="I2972" s="2" t="s">
        <v>267</v>
      </c>
      <c r="J2972" s="2" t="s">
        <v>3942</v>
      </c>
      <c r="K2972" s="2" t="s">
        <v>1452</v>
      </c>
      <c r="L2972" s="2" t="s">
        <v>5221</v>
      </c>
      <c r="M2972" s="2" t="s">
        <v>5221</v>
      </c>
      <c r="N2972" s="2" t="s">
        <v>2317</v>
      </c>
      <c r="O2972" s="14">
        <v>7600</v>
      </c>
      <c r="P2972" s="14">
        <v>98.5</v>
      </c>
      <c r="Q2972" s="14">
        <v>114</v>
      </c>
      <c r="R2972" s="14">
        <v>117.42</v>
      </c>
      <c r="S2972" s="2" t="s">
        <v>5731</v>
      </c>
      <c r="T2972" s="2">
        <v>1.04</v>
      </c>
      <c r="U2972" s="2">
        <v>63.5</v>
      </c>
      <c r="V2972" s="2">
        <v>60</v>
      </c>
      <c r="W2972" s="2" t="s">
        <v>7862</v>
      </c>
      <c r="X2972" s="2" t="s">
        <v>7670</v>
      </c>
      <c r="Y2972" s="2">
        <v>7828</v>
      </c>
      <c r="Z2972" s="19" t="str">
        <f>HYPERLINK("https://ssdweb.co/ssdweb/hd/Vision360.html?d=925940633&amp;zoomslide=1&amp;z=1925940633&amp;ISCONFIRM=0","VIDEO")</f>
        <v>VIDEO</v>
      </c>
      <c r="AA2972" s="19" t="str">
        <f>HYPERLINK("https://ssdweb.co/ssdweb/CERTH/629497468.pdf","CERTI")</f>
        <v>CERTI</v>
      </c>
    </row>
    <row r="2973" spans="1:27" ht="15" x14ac:dyDescent="0.25">
      <c r="A2973" s="2">
        <v>2968</v>
      </c>
      <c r="B2973" s="39">
        <v>925791428</v>
      </c>
      <c r="C2973" s="28" t="str">
        <f>HYPERLINK("https://pld.live/RapDetail.aspx?STONELIST=925791428","DNA")</f>
        <v>DNA</v>
      </c>
      <c r="D2973" s="18" t="s">
        <v>3054</v>
      </c>
      <c r="E2973" s="18" t="s">
        <v>5128</v>
      </c>
      <c r="F2973" s="2" t="s">
        <v>7987</v>
      </c>
      <c r="G2973" s="2" t="s">
        <v>3296</v>
      </c>
      <c r="H2973" s="14">
        <v>1.03</v>
      </c>
      <c r="I2973" s="2" t="s">
        <v>267</v>
      </c>
      <c r="J2973" s="2" t="s">
        <v>3942</v>
      </c>
      <c r="K2973" s="2" t="s">
        <v>1452</v>
      </c>
      <c r="L2973" s="2" t="s">
        <v>5221</v>
      </c>
      <c r="M2973" s="2" t="s">
        <v>5221</v>
      </c>
      <c r="N2973" s="2" t="s">
        <v>2317</v>
      </c>
      <c r="O2973" s="14">
        <v>7600</v>
      </c>
      <c r="P2973" s="14">
        <v>98.5</v>
      </c>
      <c r="Q2973" s="14">
        <v>114</v>
      </c>
      <c r="R2973" s="14">
        <v>117.42</v>
      </c>
      <c r="S2973" s="2" t="s">
        <v>4454</v>
      </c>
      <c r="T2973" s="2">
        <v>1.02</v>
      </c>
      <c r="U2973" s="2">
        <v>67.3</v>
      </c>
      <c r="V2973" s="2">
        <v>60</v>
      </c>
      <c r="W2973" s="2" t="s">
        <v>7862</v>
      </c>
      <c r="X2973" s="2" t="s">
        <v>7670</v>
      </c>
      <c r="Y2973" s="2">
        <v>7828</v>
      </c>
      <c r="Z2973" s="19" t="str">
        <f>HYPERLINK("https://ssdweb.co/ssdweb/hd/Vision360.html?d=925791428&amp;zoomslide=1&amp;z=1925791428&amp;ISCONFIRM=0","VIDEO")</f>
        <v>VIDEO</v>
      </c>
      <c r="AA2973" s="19" t="str">
        <f>HYPERLINK("https://ssdweb.co/ssdweb/CERTH/628427014.pdf","CERTI")</f>
        <v>CERTI</v>
      </c>
    </row>
    <row r="2974" spans="1:27" ht="15" x14ac:dyDescent="0.25">
      <c r="A2974" s="2">
        <v>2969</v>
      </c>
      <c r="B2974" s="39">
        <v>925830725</v>
      </c>
      <c r="C2974" s="28" t="str">
        <f>HYPERLINK("https://pld.live/RapDetail.aspx?STONELIST=925830725","DNA")</f>
        <v>DNA</v>
      </c>
      <c r="D2974" s="18" t="s">
        <v>3054</v>
      </c>
      <c r="E2974" s="18" t="s">
        <v>5128</v>
      </c>
      <c r="F2974" s="2" t="s">
        <v>7987</v>
      </c>
      <c r="G2974" s="2" t="s">
        <v>3296</v>
      </c>
      <c r="H2974" s="14">
        <v>1.03</v>
      </c>
      <c r="I2974" s="2" t="s">
        <v>267</v>
      </c>
      <c r="J2974" s="2" t="s">
        <v>3942</v>
      </c>
      <c r="K2974" s="2" t="s">
        <v>1452</v>
      </c>
      <c r="L2974" s="2" t="s">
        <v>5221</v>
      </c>
      <c r="M2974" s="2" t="s">
        <v>5221</v>
      </c>
      <c r="N2974" s="2" t="s">
        <v>2317</v>
      </c>
      <c r="O2974" s="14">
        <v>7600</v>
      </c>
      <c r="P2974" s="14">
        <v>98.53</v>
      </c>
      <c r="Q2974" s="14">
        <v>111.72</v>
      </c>
      <c r="R2974" s="14">
        <v>115.07</v>
      </c>
      <c r="S2974" s="2" t="s">
        <v>5977</v>
      </c>
      <c r="T2974" s="2">
        <v>1.05</v>
      </c>
      <c r="U2974" s="2">
        <v>65.099999999999994</v>
      </c>
      <c r="V2974" s="2">
        <v>61</v>
      </c>
      <c r="W2974" s="2" t="s">
        <v>7862</v>
      </c>
      <c r="X2974" s="2" t="s">
        <v>7670</v>
      </c>
      <c r="Y2974" s="2">
        <v>7828</v>
      </c>
      <c r="Z2974" s="19" t="str">
        <f>HYPERLINK("https://ssdweb.co/ssdweb/hd/Vision360.html?d=925830725&amp;zoomslide=1&amp;z=1925830725&amp;ISCONFIRM=0","VIDEO")</f>
        <v>VIDEO</v>
      </c>
      <c r="AA2974" s="19" t="str">
        <f>HYPERLINK("https://ssdweb.co/ssdweb/CERTH/627431818.pdf","CERTI")</f>
        <v>CERTI</v>
      </c>
    </row>
    <row r="2975" spans="1:27" ht="15" x14ac:dyDescent="0.25">
      <c r="A2975" s="2">
        <v>2970</v>
      </c>
      <c r="B2975" s="39">
        <v>925940668</v>
      </c>
      <c r="C2975" s="28" t="str">
        <f>HYPERLINK("https://pld.live/RapDetail.aspx?STONELIST=925940668","DNA")</f>
        <v>DNA</v>
      </c>
      <c r="D2975" s="18" t="s">
        <v>3054</v>
      </c>
      <c r="E2975" s="18" t="s">
        <v>5128</v>
      </c>
      <c r="F2975" s="2" t="s">
        <v>7987</v>
      </c>
      <c r="G2975" s="2" t="s">
        <v>3296</v>
      </c>
      <c r="H2975" s="14">
        <v>1.03</v>
      </c>
      <c r="I2975" s="2" t="s">
        <v>267</v>
      </c>
      <c r="J2975" s="2" t="s">
        <v>3942</v>
      </c>
      <c r="K2975" s="2" t="s">
        <v>1452</v>
      </c>
      <c r="L2975" s="2" t="s">
        <v>5221</v>
      </c>
      <c r="M2975" s="2" t="s">
        <v>5221</v>
      </c>
      <c r="N2975" s="2" t="s">
        <v>2317</v>
      </c>
      <c r="O2975" s="14">
        <v>7600</v>
      </c>
      <c r="P2975" s="14">
        <v>98.5</v>
      </c>
      <c r="Q2975" s="14">
        <v>114</v>
      </c>
      <c r="R2975" s="14">
        <v>117.42</v>
      </c>
      <c r="S2975" s="2" t="s">
        <v>17</v>
      </c>
      <c r="T2975" s="2">
        <v>1.05</v>
      </c>
      <c r="U2975" s="2">
        <v>62.9</v>
      </c>
      <c r="V2975" s="2">
        <v>61</v>
      </c>
      <c r="W2975" s="2" t="s">
        <v>7862</v>
      </c>
      <c r="X2975" s="2" t="s">
        <v>7670</v>
      </c>
      <c r="Y2975" s="2">
        <v>7828</v>
      </c>
      <c r="Z2975" s="19" t="str">
        <f>HYPERLINK("https://ssdweb.co/ssdweb/hd/Vision360.html?d=925940668&amp;zoomslide=1&amp;z=1925940668&amp;ISCONFIRM=0","VIDEO")</f>
        <v>VIDEO</v>
      </c>
      <c r="AA2975" s="19" t="str">
        <f>HYPERLINK("https://ssdweb.co/ssdweb/CERTH/631404499.pdf","CERTI")</f>
        <v>CERTI</v>
      </c>
    </row>
    <row r="2976" spans="1:27" ht="15" x14ac:dyDescent="0.25">
      <c r="A2976" s="2">
        <v>2971</v>
      </c>
      <c r="B2976" s="39">
        <v>926310850</v>
      </c>
      <c r="C2976" s="28" t="str">
        <f>HYPERLINK("https://pld.live/RapDetail.aspx?STONELIST=926310850","DNA")</f>
        <v>DNA</v>
      </c>
      <c r="D2976" s="18" t="s">
        <v>3054</v>
      </c>
      <c r="E2976" s="18" t="s">
        <v>5128</v>
      </c>
      <c r="F2976" s="2" t="s">
        <v>7987</v>
      </c>
      <c r="G2976" s="2" t="s">
        <v>3296</v>
      </c>
      <c r="H2976" s="14">
        <v>1.03</v>
      </c>
      <c r="I2976" s="2" t="s">
        <v>267</v>
      </c>
      <c r="J2976" s="2" t="s">
        <v>3942</v>
      </c>
      <c r="K2976" s="2" t="s">
        <v>1452</v>
      </c>
      <c r="L2976" s="2" t="s">
        <v>5221</v>
      </c>
      <c r="M2976" s="2" t="s">
        <v>5221</v>
      </c>
      <c r="N2976" s="2" t="s">
        <v>2317</v>
      </c>
      <c r="O2976" s="14">
        <v>7600</v>
      </c>
      <c r="P2976" s="14">
        <v>98.5</v>
      </c>
      <c r="Q2976" s="14">
        <v>114</v>
      </c>
      <c r="R2976" s="14">
        <v>117.42</v>
      </c>
      <c r="S2976" s="2" t="s">
        <v>7493</v>
      </c>
      <c r="T2976" s="2">
        <v>1.02</v>
      </c>
      <c r="U2976" s="2">
        <v>68.400000000000006</v>
      </c>
      <c r="V2976" s="2">
        <v>63</v>
      </c>
      <c r="W2976" s="2" t="s">
        <v>7862</v>
      </c>
      <c r="X2976" s="2" t="s">
        <v>7670</v>
      </c>
      <c r="Y2976" s="2">
        <v>7828</v>
      </c>
      <c r="Z2976" s="19" t="str">
        <f>HYPERLINK("https://ssdweb.co/ssdweb/hd/Vision360.html?d=926310850&amp;zoomslide=1&amp;z=1926310850&amp;ISCONFIRM=0","VIDEO")</f>
        <v>VIDEO</v>
      </c>
      <c r="AA2976" s="19" t="str">
        <f>HYPERLINK("https://ssdweb.co/ssdweb/CERTH/639413273.pdf","CERTI")</f>
        <v>CERTI</v>
      </c>
    </row>
    <row r="2977" spans="1:27" ht="15" x14ac:dyDescent="0.25">
      <c r="A2977" s="2">
        <v>2972</v>
      </c>
      <c r="B2977" s="39">
        <v>926110973</v>
      </c>
      <c r="C2977" s="28" t="str">
        <f>HYPERLINK("https://pld.live/RapDetail.aspx?STONELIST=926110973","DNA")</f>
        <v>DNA</v>
      </c>
      <c r="D2977" s="18" t="s">
        <v>3054</v>
      </c>
      <c r="E2977" s="18" t="s">
        <v>5128</v>
      </c>
      <c r="F2977" s="2" t="s">
        <v>7987</v>
      </c>
      <c r="G2977" s="2" t="s">
        <v>3296</v>
      </c>
      <c r="H2977" s="14">
        <v>1.03</v>
      </c>
      <c r="I2977" s="2" t="s">
        <v>267</v>
      </c>
      <c r="J2977" s="2" t="s">
        <v>3942</v>
      </c>
      <c r="K2977" s="2" t="s">
        <v>1452</v>
      </c>
      <c r="L2977" s="2" t="s">
        <v>5221</v>
      </c>
      <c r="M2977" s="2" t="s">
        <v>5221</v>
      </c>
      <c r="N2977" s="2" t="s">
        <v>2317</v>
      </c>
      <c r="O2977" s="14">
        <v>7600</v>
      </c>
      <c r="P2977" s="14">
        <v>98.5</v>
      </c>
      <c r="Q2977" s="14">
        <v>114</v>
      </c>
      <c r="R2977" s="14">
        <v>117.42</v>
      </c>
      <c r="S2977" s="2" t="s">
        <v>7678</v>
      </c>
      <c r="T2977" s="2">
        <v>1.04</v>
      </c>
      <c r="U2977" s="2">
        <v>65.7</v>
      </c>
      <c r="V2977" s="2">
        <v>60</v>
      </c>
      <c r="W2977" s="2" t="s">
        <v>7862</v>
      </c>
      <c r="X2977" s="2" t="s">
        <v>7670</v>
      </c>
      <c r="Y2977" s="2">
        <v>7828</v>
      </c>
      <c r="Z2977" s="19" t="str">
        <f>HYPERLINK("https://ssdweb.co/ssdweb/hd/Vision360.html?d=926110973&amp;zoomslide=1&amp;z=1926110973&amp;ISCONFIRM=0","VIDEO")</f>
        <v>VIDEO</v>
      </c>
      <c r="AA2977" s="19" t="str">
        <f>HYPERLINK("https://ssdweb.co/ssdweb/CERTH/632449570.pdf","CERTI")</f>
        <v>CERTI</v>
      </c>
    </row>
    <row r="2978" spans="1:27" ht="15" x14ac:dyDescent="0.25">
      <c r="A2978" s="2">
        <v>2973</v>
      </c>
      <c r="B2978" s="39">
        <v>925791426</v>
      </c>
      <c r="C2978" s="28" t="str">
        <f>HYPERLINK("https://pld.live/RapDetail.aspx?STONELIST=925791426","DNA")</f>
        <v>DNA</v>
      </c>
      <c r="D2978" s="18" t="s">
        <v>3054</v>
      </c>
      <c r="E2978" s="18" t="s">
        <v>5128</v>
      </c>
      <c r="F2978" s="2" t="s">
        <v>7987</v>
      </c>
      <c r="G2978" s="2" t="s">
        <v>3296</v>
      </c>
      <c r="H2978" s="14">
        <v>1.03</v>
      </c>
      <c r="I2978" s="2" t="s">
        <v>267</v>
      </c>
      <c r="J2978" s="2" t="s">
        <v>13</v>
      </c>
      <c r="K2978" s="2" t="s">
        <v>1452</v>
      </c>
      <c r="L2978" s="2" t="s">
        <v>5221</v>
      </c>
      <c r="M2978" s="2" t="s">
        <v>5221</v>
      </c>
      <c r="N2978" s="2" t="s">
        <v>2317</v>
      </c>
      <c r="O2978" s="14">
        <v>6700</v>
      </c>
      <c r="P2978" s="14">
        <v>98.33</v>
      </c>
      <c r="Q2978" s="14">
        <v>111.89</v>
      </c>
      <c r="R2978" s="14">
        <v>115.25</v>
      </c>
      <c r="S2978" s="2" t="s">
        <v>2423</v>
      </c>
      <c r="T2978" s="2">
        <v>1</v>
      </c>
      <c r="U2978" s="2">
        <v>67.400000000000006</v>
      </c>
      <c r="V2978" s="2">
        <v>59</v>
      </c>
      <c r="W2978" s="2" t="s">
        <v>7862</v>
      </c>
      <c r="X2978" s="2" t="s">
        <v>7670</v>
      </c>
      <c r="Y2978" s="2">
        <v>6901</v>
      </c>
      <c r="Z2978" s="19" t="str">
        <f>HYPERLINK("https://ssdweb.co/ssdweb/hd/Vision360.html?d=925791426&amp;zoomslide=1&amp;z=1925791426&amp;ISCONFIRM=0","VIDEO")</f>
        <v>VIDEO</v>
      </c>
      <c r="AA2978" s="19" t="str">
        <f>HYPERLINK("https://ssdweb.co/ssdweb/CERTH/628427078.pdf","CERTI")</f>
        <v>CERTI</v>
      </c>
    </row>
    <row r="2979" spans="1:27" ht="15" x14ac:dyDescent="0.25">
      <c r="A2979" s="2">
        <v>2974</v>
      </c>
      <c r="B2979" s="39">
        <v>925760703</v>
      </c>
      <c r="C2979" s="28" t="str">
        <f>HYPERLINK("https://pld.live/RapDetail.aspx?STONELIST=925760703","DNA")</f>
        <v>DNA</v>
      </c>
      <c r="D2979" s="18" t="s">
        <v>3054</v>
      </c>
      <c r="E2979" s="18" t="s">
        <v>5128</v>
      </c>
      <c r="F2979" s="2" t="s">
        <v>7987</v>
      </c>
      <c r="G2979" s="2" t="s">
        <v>3296</v>
      </c>
      <c r="H2979" s="14">
        <v>1.03</v>
      </c>
      <c r="I2979" s="2" t="s">
        <v>267</v>
      </c>
      <c r="J2979" s="2" t="s">
        <v>13</v>
      </c>
      <c r="K2979" s="2" t="s">
        <v>1452</v>
      </c>
      <c r="L2979" s="2" t="s">
        <v>5221</v>
      </c>
      <c r="M2979" s="2" t="s">
        <v>5221</v>
      </c>
      <c r="N2979" s="2" t="s">
        <v>2317</v>
      </c>
      <c r="O2979" s="14">
        <v>6700</v>
      </c>
      <c r="P2979" s="14">
        <v>98.36</v>
      </c>
      <c r="Q2979" s="14">
        <v>109.88</v>
      </c>
      <c r="R2979" s="14">
        <v>113.18</v>
      </c>
      <c r="S2979" s="2" t="s">
        <v>5025</v>
      </c>
      <c r="T2979" s="2">
        <v>1.01</v>
      </c>
      <c r="U2979" s="2">
        <v>67</v>
      </c>
      <c r="V2979" s="2">
        <v>61</v>
      </c>
      <c r="W2979" s="2" t="s">
        <v>7862</v>
      </c>
      <c r="X2979" s="2" t="s">
        <v>7670</v>
      </c>
      <c r="Y2979" s="2">
        <v>6901</v>
      </c>
      <c r="Z2979" s="19" t="str">
        <f>HYPERLINK("https://ssdweb.co/ssdweb/hd/Vision360.html?d=925760703&amp;zoomslide=1&amp;z=1925760703&amp;ISCONFIRM=0","VIDEO")</f>
        <v>VIDEO</v>
      </c>
      <c r="AA2979" s="19" t="str">
        <f>HYPERLINK("https://ssdweb.co/ssdweb/CERTH/627431866.pdf","CERTI")</f>
        <v>CERTI</v>
      </c>
    </row>
    <row r="2980" spans="1:27" ht="15" x14ac:dyDescent="0.25">
      <c r="A2980" s="2">
        <v>2975</v>
      </c>
      <c r="B2980" s="39">
        <v>925760303</v>
      </c>
      <c r="C2980" s="28" t="str">
        <f>HYPERLINK("https://pld.live/RapDetail.aspx?STONELIST=925760303","DNA")</f>
        <v>DNA</v>
      </c>
      <c r="D2980" s="18" t="s">
        <v>3054</v>
      </c>
      <c r="E2980" s="18" t="s">
        <v>5128</v>
      </c>
      <c r="F2980" s="2" t="s">
        <v>7987</v>
      </c>
      <c r="G2980" s="2" t="s">
        <v>3296</v>
      </c>
      <c r="H2980" s="14">
        <v>1.03</v>
      </c>
      <c r="I2980" s="2" t="s">
        <v>267</v>
      </c>
      <c r="J2980" s="2" t="s">
        <v>13</v>
      </c>
      <c r="K2980" s="2" t="s">
        <v>1452</v>
      </c>
      <c r="L2980" s="2" t="s">
        <v>5221</v>
      </c>
      <c r="M2980" s="2" t="s">
        <v>5221</v>
      </c>
      <c r="N2980" s="2" t="s">
        <v>2317</v>
      </c>
      <c r="O2980" s="14">
        <v>6700</v>
      </c>
      <c r="P2980" s="14">
        <v>98.36</v>
      </c>
      <c r="Q2980" s="14">
        <v>109.88</v>
      </c>
      <c r="R2980" s="14">
        <v>113.18</v>
      </c>
      <c r="S2980" s="2" t="s">
        <v>5565</v>
      </c>
      <c r="T2980" s="2">
        <v>1.05</v>
      </c>
      <c r="U2980" s="2">
        <v>66.2</v>
      </c>
      <c r="V2980" s="2">
        <v>62</v>
      </c>
      <c r="W2980" s="2" t="s">
        <v>7862</v>
      </c>
      <c r="X2980" s="2" t="s">
        <v>7670</v>
      </c>
      <c r="Y2980" s="2">
        <v>6901</v>
      </c>
      <c r="Z2980" s="19" t="str">
        <f>HYPERLINK("https://ssdweb.co/ssdweb/hd/Vision360.html?d=925760303&amp;zoomslide=1&amp;z=1925760303&amp;ISCONFIRM=0","VIDEO")</f>
        <v>VIDEO</v>
      </c>
      <c r="AA2980" s="19" t="str">
        <f>HYPERLINK("https://ssdweb.co/ssdweb/CERTH/624420594.pdf","CERTI")</f>
        <v>CERTI</v>
      </c>
    </row>
    <row r="2981" spans="1:27" ht="15" x14ac:dyDescent="0.25">
      <c r="A2981" s="2">
        <v>2976</v>
      </c>
      <c r="B2981" s="39">
        <v>926210853</v>
      </c>
      <c r="C2981" s="28" t="str">
        <f>HYPERLINK("https://pld.live/RapDetail.aspx?STONELIST=926210853","DNA")</f>
        <v>DNA</v>
      </c>
      <c r="D2981" s="18" t="s">
        <v>3054</v>
      </c>
      <c r="E2981" s="18" t="s">
        <v>5128</v>
      </c>
      <c r="F2981" s="2" t="s">
        <v>7987</v>
      </c>
      <c r="G2981" s="2" t="s">
        <v>3296</v>
      </c>
      <c r="H2981" s="14">
        <v>1.03</v>
      </c>
      <c r="I2981" s="2" t="s">
        <v>267</v>
      </c>
      <c r="J2981" s="2" t="s">
        <v>13</v>
      </c>
      <c r="K2981" s="2" t="s">
        <v>1452</v>
      </c>
      <c r="L2981" s="2" t="s">
        <v>5221</v>
      </c>
      <c r="M2981" s="2" t="s">
        <v>5221</v>
      </c>
      <c r="N2981" s="2" t="s">
        <v>2317</v>
      </c>
      <c r="O2981" s="14">
        <v>6700</v>
      </c>
      <c r="P2981" s="14">
        <v>98.33</v>
      </c>
      <c r="Q2981" s="14">
        <v>111.89</v>
      </c>
      <c r="R2981" s="14">
        <v>115.25</v>
      </c>
      <c r="S2981" s="2" t="s">
        <v>4933</v>
      </c>
      <c r="T2981" s="2">
        <v>1.01</v>
      </c>
      <c r="U2981" s="2">
        <v>67.599999999999994</v>
      </c>
      <c r="V2981" s="2">
        <v>63</v>
      </c>
      <c r="W2981" s="2" t="s">
        <v>7862</v>
      </c>
      <c r="X2981" s="2" t="s">
        <v>7670</v>
      </c>
      <c r="Y2981" s="2">
        <v>6901</v>
      </c>
      <c r="Z2981" s="19" t="str">
        <f>HYPERLINK("https://ssdweb.co/ssdweb/hd/Vision360.html?d=926210853&amp;zoomslide=1&amp;z=1926210853&amp;ISCONFIRM=0","VIDEO")</f>
        <v>VIDEO</v>
      </c>
      <c r="AA2981" s="19" t="str">
        <f>HYPERLINK("https://ssdweb.co/ssdweb/CERTH/635423931.pdf","CERTI")</f>
        <v>CERTI</v>
      </c>
    </row>
    <row r="2982" spans="1:27" ht="15" x14ac:dyDescent="0.25">
      <c r="A2982" s="2">
        <v>2977</v>
      </c>
      <c r="B2982" s="39">
        <v>925760705</v>
      </c>
      <c r="C2982" s="28" t="str">
        <f>HYPERLINK("https://pld.live/RapDetail.aspx?STONELIST=925760705","DNA")</f>
        <v>DNA</v>
      </c>
      <c r="D2982" s="18" t="s">
        <v>3054</v>
      </c>
      <c r="E2982" s="18" t="s">
        <v>5128</v>
      </c>
      <c r="F2982" s="2" t="s">
        <v>7987</v>
      </c>
      <c r="G2982" s="2" t="s">
        <v>3296</v>
      </c>
      <c r="H2982" s="14">
        <v>1.03</v>
      </c>
      <c r="I2982" s="2" t="s">
        <v>267</v>
      </c>
      <c r="J2982" s="2" t="s">
        <v>5144</v>
      </c>
      <c r="K2982" s="2" t="s">
        <v>1452</v>
      </c>
      <c r="L2982" s="2" t="s">
        <v>5221</v>
      </c>
      <c r="M2982" s="2" t="s">
        <v>5221</v>
      </c>
      <c r="N2982" s="2" t="s">
        <v>2317</v>
      </c>
      <c r="O2982" s="14">
        <v>5700</v>
      </c>
      <c r="P2982" s="14">
        <v>98.14</v>
      </c>
      <c r="Q2982" s="14">
        <v>106.02</v>
      </c>
      <c r="R2982" s="14">
        <v>109.2</v>
      </c>
      <c r="S2982" s="2" t="s">
        <v>5164</v>
      </c>
      <c r="T2982" s="2">
        <v>1.01</v>
      </c>
      <c r="U2982" s="2">
        <v>65.099999999999994</v>
      </c>
      <c r="V2982" s="2">
        <v>59</v>
      </c>
      <c r="W2982" s="2" t="s">
        <v>7862</v>
      </c>
      <c r="X2982" s="2" t="s">
        <v>7670</v>
      </c>
      <c r="Y2982" s="2">
        <v>5871</v>
      </c>
      <c r="Z2982" s="19" t="str">
        <f>HYPERLINK("https://ssdweb.co/ssdweb/hd/Vision360.html?d=925760705&amp;zoomslide=1&amp;z=1925760705&amp;ISCONFIRM=0","VIDEO")</f>
        <v>VIDEO</v>
      </c>
      <c r="AA2982" s="19" t="str">
        <f>HYPERLINK("https://ssdweb.co/ssdweb/CERTH/627410444.pdf","CERTI")</f>
        <v>CERTI</v>
      </c>
    </row>
    <row r="2983" spans="1:27" ht="15" x14ac:dyDescent="0.25">
      <c r="A2983" s="2">
        <v>2978</v>
      </c>
      <c r="B2983" s="39">
        <v>925080606</v>
      </c>
      <c r="C2983" s="28" t="str">
        <f>HYPERLINK("https://pld.live/RapDetail.aspx?STONELIST=925080606","DNA")</f>
        <v>DNA</v>
      </c>
      <c r="D2983" s="18" t="s">
        <v>3054</v>
      </c>
      <c r="E2983" s="18" t="s">
        <v>5128</v>
      </c>
      <c r="F2983" s="2" t="s">
        <v>7987</v>
      </c>
      <c r="G2983" s="2" t="s">
        <v>3296</v>
      </c>
      <c r="H2983" s="14">
        <v>1.03</v>
      </c>
      <c r="I2983" s="2" t="s">
        <v>267</v>
      </c>
      <c r="J2983" s="2" t="s">
        <v>5144</v>
      </c>
      <c r="K2983" s="2" t="s">
        <v>1452</v>
      </c>
      <c r="L2983" s="2" t="s">
        <v>5221</v>
      </c>
      <c r="M2983" s="2" t="s">
        <v>5221</v>
      </c>
      <c r="N2983" s="2" t="s">
        <v>2317</v>
      </c>
      <c r="O2983" s="14">
        <v>5700</v>
      </c>
      <c r="P2983" s="14">
        <v>98.14</v>
      </c>
      <c r="Q2983" s="14">
        <v>106.02</v>
      </c>
      <c r="R2983" s="14">
        <v>109.2</v>
      </c>
      <c r="S2983" s="2" t="s">
        <v>5430</v>
      </c>
      <c r="T2983" s="2">
        <v>1.05</v>
      </c>
      <c r="U2983" s="2">
        <v>63</v>
      </c>
      <c r="V2983" s="2">
        <v>61</v>
      </c>
      <c r="W2983" s="2" t="s">
        <v>7862</v>
      </c>
      <c r="X2983" s="2" t="s">
        <v>7670</v>
      </c>
      <c r="Y2983" s="2">
        <v>5871</v>
      </c>
      <c r="Z2983" s="19" t="str">
        <f>HYPERLINK("https://ssdweb.co/ssdweb/hd/Vision360.html?d=925080606&amp;zoomslide=1&amp;z=1925080606&amp;ISCONFIRM=0","VIDEO")</f>
        <v>VIDEO</v>
      </c>
      <c r="AA2983" s="19" t="str">
        <f>HYPERLINK("https://ssdweb.co/ssdweb/CERTH/619424114.pdf","CERTI")</f>
        <v>CERTI</v>
      </c>
    </row>
    <row r="2984" spans="1:27" ht="15" x14ac:dyDescent="0.25">
      <c r="A2984" s="2">
        <v>2979</v>
      </c>
      <c r="B2984" s="39">
        <v>926110935</v>
      </c>
      <c r="C2984" s="28" t="str">
        <f>HYPERLINK("https://pld.live/RapDetail.aspx?STONELIST=926110935","DNA")</f>
        <v>DNA</v>
      </c>
      <c r="D2984" s="18" t="s">
        <v>3054</v>
      </c>
      <c r="E2984" s="18" t="s">
        <v>5128</v>
      </c>
      <c r="F2984" s="2" t="s">
        <v>7987</v>
      </c>
      <c r="G2984" s="2" t="s">
        <v>3296</v>
      </c>
      <c r="H2984" s="14">
        <v>1.03</v>
      </c>
      <c r="I2984" s="2" t="s">
        <v>4761</v>
      </c>
      <c r="J2984" s="2" t="s">
        <v>3942</v>
      </c>
      <c r="K2984" s="2" t="s">
        <v>1452</v>
      </c>
      <c r="L2984" s="2" t="s">
        <v>5221</v>
      </c>
      <c r="M2984" s="2" t="s">
        <v>5221</v>
      </c>
      <c r="N2984" s="2" t="s">
        <v>2317</v>
      </c>
      <c r="O2984" s="14">
        <v>6900</v>
      </c>
      <c r="P2984" s="14">
        <v>98.39</v>
      </c>
      <c r="Q2984" s="14">
        <v>111.09</v>
      </c>
      <c r="R2984" s="14">
        <v>114.42</v>
      </c>
      <c r="S2984" s="2" t="s">
        <v>3247</v>
      </c>
      <c r="T2984" s="2">
        <v>1.06</v>
      </c>
      <c r="U2984" s="2">
        <v>63.7</v>
      </c>
      <c r="V2984" s="2">
        <v>61</v>
      </c>
      <c r="W2984" s="2" t="s">
        <v>7862</v>
      </c>
      <c r="X2984" s="2" t="s">
        <v>3851</v>
      </c>
      <c r="Y2984" s="2">
        <v>7107</v>
      </c>
      <c r="Z2984" s="19" t="str">
        <f>HYPERLINK("https://ssdweb.co/ssdweb/hd/Vision360.html?d=926110935&amp;zoomslide=1&amp;z=1926110935&amp;ISCONFIRM=0","VIDEO")</f>
        <v>VIDEO</v>
      </c>
      <c r="AA2984" s="19" t="str">
        <f>HYPERLINK("https://ssdweb.co/ssdweb/CERTH/632449589.pdf","CERTI")</f>
        <v>CERTI</v>
      </c>
    </row>
    <row r="2985" spans="1:27" ht="15" x14ac:dyDescent="0.25">
      <c r="A2985" s="2">
        <v>2980</v>
      </c>
      <c r="B2985" s="39">
        <v>925900584</v>
      </c>
      <c r="C2985" s="28" t="str">
        <f>HYPERLINK("https://pld.live/RapDetail.aspx?STONELIST=925900584","DNA")</f>
        <v>DNA</v>
      </c>
      <c r="D2985" s="18" t="s">
        <v>3054</v>
      </c>
      <c r="E2985" s="18" t="s">
        <v>5128</v>
      </c>
      <c r="F2985" s="2" t="s">
        <v>7987</v>
      </c>
      <c r="G2985" s="2" t="s">
        <v>3296</v>
      </c>
      <c r="H2985" s="14">
        <v>1.03</v>
      </c>
      <c r="I2985" s="2" t="s">
        <v>4761</v>
      </c>
      <c r="J2985" s="2" t="s">
        <v>13</v>
      </c>
      <c r="K2985" s="2" t="s">
        <v>1452</v>
      </c>
      <c r="L2985" s="2" t="s">
        <v>5221</v>
      </c>
      <c r="M2985" s="2" t="s">
        <v>5221</v>
      </c>
      <c r="N2985" s="2" t="s">
        <v>2317</v>
      </c>
      <c r="O2985" s="14">
        <v>6200</v>
      </c>
      <c r="P2985" s="14">
        <v>98.24</v>
      </c>
      <c r="Q2985" s="14">
        <v>109.12</v>
      </c>
      <c r="R2985" s="14">
        <v>112.39</v>
      </c>
      <c r="S2985" s="2" t="s">
        <v>7132</v>
      </c>
      <c r="T2985" s="2">
        <v>1.05</v>
      </c>
      <c r="U2985" s="2">
        <v>67.2</v>
      </c>
      <c r="V2985" s="2">
        <v>61</v>
      </c>
      <c r="W2985" s="2" t="s">
        <v>7862</v>
      </c>
      <c r="X2985" s="2" t="s">
        <v>7670</v>
      </c>
      <c r="Y2985" s="2">
        <v>6386</v>
      </c>
      <c r="Z2985" s="19" t="str">
        <f>HYPERLINK("https://ssdweb.co/ssdweb/hd/Vision360.html?d=925900584&amp;zoomslide=1&amp;z=1925900584&amp;ISCONFIRM=0","VIDEO")</f>
        <v>VIDEO</v>
      </c>
      <c r="AA2985" s="19" t="str">
        <f>HYPERLINK("https://ssdweb.co/ssdweb/CERTH/629453470.pdf","CERTI")</f>
        <v>CERTI</v>
      </c>
    </row>
    <row r="2986" spans="1:27" ht="15" x14ac:dyDescent="0.25">
      <c r="A2986" s="2">
        <v>2981</v>
      </c>
      <c r="B2986" s="39">
        <v>926210876</v>
      </c>
      <c r="C2986" s="28" t="str">
        <f>HYPERLINK("https://pld.live/RapDetail.aspx?STONELIST=926210876","DNA")</f>
        <v>DNA</v>
      </c>
      <c r="D2986" s="18" t="s">
        <v>3054</v>
      </c>
      <c r="E2986" s="18" t="s">
        <v>5128</v>
      </c>
      <c r="F2986" s="2" t="s">
        <v>7987</v>
      </c>
      <c r="G2986" s="2" t="s">
        <v>3296</v>
      </c>
      <c r="H2986" s="14">
        <v>1.03</v>
      </c>
      <c r="I2986" s="2" t="s">
        <v>4761</v>
      </c>
      <c r="J2986" s="2" t="s">
        <v>13</v>
      </c>
      <c r="K2986" s="2" t="s">
        <v>1452</v>
      </c>
      <c r="L2986" s="2" t="s">
        <v>5221</v>
      </c>
      <c r="M2986" s="2" t="s">
        <v>5221</v>
      </c>
      <c r="N2986" s="2" t="s">
        <v>2317</v>
      </c>
      <c r="O2986" s="14">
        <v>6200</v>
      </c>
      <c r="P2986" s="14">
        <v>98.24</v>
      </c>
      <c r="Q2986" s="14">
        <v>109.12</v>
      </c>
      <c r="R2986" s="14">
        <v>112.39</v>
      </c>
      <c r="S2986" s="2" t="s">
        <v>4416</v>
      </c>
      <c r="T2986" s="2">
        <v>1.05</v>
      </c>
      <c r="U2986" s="2">
        <v>64</v>
      </c>
      <c r="V2986" s="2">
        <v>62</v>
      </c>
      <c r="W2986" s="2" t="s">
        <v>7862</v>
      </c>
      <c r="X2986" s="2" t="s">
        <v>7670</v>
      </c>
      <c r="Y2986" s="2">
        <v>6386</v>
      </c>
      <c r="Z2986" s="19" t="str">
        <f>HYPERLINK("https://ssdweb.co/ssdweb/hd/Vision360.html?d=926210876&amp;zoomslide=1&amp;z=1926210876&amp;ISCONFIRM=0","VIDEO")</f>
        <v>VIDEO</v>
      </c>
      <c r="AA2986" s="19" t="str">
        <f>HYPERLINK("https://ssdweb.co/ssdweb/CERTH/635427149.pdf","CERTI")</f>
        <v>CERTI</v>
      </c>
    </row>
    <row r="2987" spans="1:27" ht="15" x14ac:dyDescent="0.25">
      <c r="A2987" s="2">
        <v>2982</v>
      </c>
      <c r="B2987" s="39">
        <v>925940612</v>
      </c>
      <c r="C2987" s="28" t="str">
        <f>HYPERLINK("https://pld.live/RapDetail.aspx?STONELIST=925940612","DNA")</f>
        <v>DNA</v>
      </c>
      <c r="D2987" s="18" t="s">
        <v>3054</v>
      </c>
      <c r="E2987" s="18" t="s">
        <v>5128</v>
      </c>
      <c r="F2987" s="2" t="s">
        <v>7987</v>
      </c>
      <c r="G2987" s="2" t="s">
        <v>3296</v>
      </c>
      <c r="H2987" s="14">
        <v>1.02</v>
      </c>
      <c r="I2987" s="2" t="s">
        <v>267</v>
      </c>
      <c r="J2987" s="2" t="s">
        <v>3942</v>
      </c>
      <c r="K2987" s="2" t="s">
        <v>1452</v>
      </c>
      <c r="L2987" s="2" t="s">
        <v>5221</v>
      </c>
      <c r="M2987" s="2" t="s">
        <v>5221</v>
      </c>
      <c r="N2987" s="2" t="s">
        <v>2317</v>
      </c>
      <c r="O2987" s="14">
        <v>7600</v>
      </c>
      <c r="P2987" s="14">
        <v>98.5</v>
      </c>
      <c r="Q2987" s="14">
        <v>114</v>
      </c>
      <c r="R2987" s="14">
        <v>116.28</v>
      </c>
      <c r="S2987" s="2" t="s">
        <v>6882</v>
      </c>
      <c r="T2987" s="2">
        <v>1.05</v>
      </c>
      <c r="U2987" s="2">
        <v>67</v>
      </c>
      <c r="V2987" s="2">
        <v>62</v>
      </c>
      <c r="W2987" s="2" t="s">
        <v>7862</v>
      </c>
      <c r="X2987" s="2" t="s">
        <v>7670</v>
      </c>
      <c r="Y2987" s="2">
        <v>7752</v>
      </c>
      <c r="Z2987" s="19" t="str">
        <f>HYPERLINK("https://ssdweb.co/ssdweb/hd/Vision360.html?d=925940612&amp;zoomslide=1&amp;z=1925940612&amp;ISCONFIRM=0","VIDEO")</f>
        <v>VIDEO</v>
      </c>
      <c r="AA2987" s="19" t="str">
        <f>HYPERLINK("https://ssdweb.co/ssdweb/CERTH/629479093.pdf","CERTI")</f>
        <v>CERTI</v>
      </c>
    </row>
    <row r="2988" spans="1:27" ht="15" x14ac:dyDescent="0.25">
      <c r="A2988" s="2">
        <v>2983</v>
      </c>
      <c r="B2988" s="39">
        <v>925940653</v>
      </c>
      <c r="C2988" s="28" t="str">
        <f>HYPERLINK("https://pld.live/RapDetail.aspx?STONELIST=925940653","DNA")</f>
        <v>DNA</v>
      </c>
      <c r="D2988" s="18" t="s">
        <v>3054</v>
      </c>
      <c r="E2988" s="18" t="s">
        <v>5128</v>
      </c>
      <c r="F2988" s="2" t="s">
        <v>7987</v>
      </c>
      <c r="G2988" s="2" t="s">
        <v>3296</v>
      </c>
      <c r="H2988" s="14">
        <v>1.02</v>
      </c>
      <c r="I2988" s="2" t="s">
        <v>267</v>
      </c>
      <c r="J2988" s="2" t="s">
        <v>3942</v>
      </c>
      <c r="K2988" s="2" t="s">
        <v>1452</v>
      </c>
      <c r="L2988" s="2" t="s">
        <v>5221</v>
      </c>
      <c r="M2988" s="2" t="s">
        <v>5221</v>
      </c>
      <c r="N2988" s="2" t="s">
        <v>2317</v>
      </c>
      <c r="O2988" s="14">
        <v>7600</v>
      </c>
      <c r="P2988" s="14">
        <v>98.5</v>
      </c>
      <c r="Q2988" s="14">
        <v>114</v>
      </c>
      <c r="R2988" s="14">
        <v>116.28</v>
      </c>
      <c r="S2988" s="2" t="s">
        <v>6150</v>
      </c>
      <c r="T2988" s="2">
        <v>1.05</v>
      </c>
      <c r="U2988" s="2">
        <v>67.099999999999994</v>
      </c>
      <c r="V2988" s="2">
        <v>60</v>
      </c>
      <c r="W2988" s="2" t="s">
        <v>7862</v>
      </c>
      <c r="X2988" s="2" t="s">
        <v>7670</v>
      </c>
      <c r="Y2988" s="2">
        <v>7752</v>
      </c>
      <c r="Z2988" s="19" t="str">
        <f>HYPERLINK("https://ssdweb.co/ssdweb/hd/Vision360.html?d=925940653&amp;zoomslide=1&amp;z=1925940653&amp;ISCONFIRM=0","VIDEO")</f>
        <v>VIDEO</v>
      </c>
      <c r="AA2988" s="19" t="str">
        <f>HYPERLINK("https://ssdweb.co/ssdweb/CERTH/630447944.pdf","CERTI")</f>
        <v>CERTI</v>
      </c>
    </row>
    <row r="2989" spans="1:27" ht="15" x14ac:dyDescent="0.25">
      <c r="A2989" s="2">
        <v>2984</v>
      </c>
      <c r="B2989" s="39">
        <v>925940655</v>
      </c>
      <c r="C2989" s="28" t="str">
        <f>HYPERLINK("https://pld.live/RapDetail.aspx?STONELIST=925940655","DNA")</f>
        <v>DNA</v>
      </c>
      <c r="D2989" s="18" t="s">
        <v>3054</v>
      </c>
      <c r="E2989" s="18" t="s">
        <v>5128</v>
      </c>
      <c r="F2989" s="2" t="s">
        <v>7987</v>
      </c>
      <c r="G2989" s="2" t="s">
        <v>3296</v>
      </c>
      <c r="H2989" s="14">
        <v>1.02</v>
      </c>
      <c r="I2989" s="2" t="s">
        <v>267</v>
      </c>
      <c r="J2989" s="2" t="s">
        <v>3942</v>
      </c>
      <c r="K2989" s="2" t="s">
        <v>1452</v>
      </c>
      <c r="L2989" s="2" t="s">
        <v>5221</v>
      </c>
      <c r="M2989" s="2" t="s">
        <v>5221</v>
      </c>
      <c r="N2989" s="2" t="s">
        <v>2317</v>
      </c>
      <c r="O2989" s="14">
        <v>7600</v>
      </c>
      <c r="P2989" s="14">
        <v>98.5</v>
      </c>
      <c r="Q2989" s="14">
        <v>114</v>
      </c>
      <c r="R2989" s="14">
        <v>116.28</v>
      </c>
      <c r="S2989" s="2" t="s">
        <v>1949</v>
      </c>
      <c r="T2989" s="2">
        <v>1.05</v>
      </c>
      <c r="U2989" s="2">
        <v>65.8</v>
      </c>
      <c r="V2989" s="2">
        <v>61</v>
      </c>
      <c r="W2989" s="2" t="s">
        <v>7862</v>
      </c>
      <c r="X2989" s="2" t="s">
        <v>7670</v>
      </c>
      <c r="Y2989" s="2">
        <v>7752</v>
      </c>
      <c r="Z2989" s="19" t="str">
        <f>HYPERLINK("https://ssdweb.co/ssdweb/hd/Vision360.html?d=925940655&amp;zoomslide=1&amp;z=1925940655&amp;ISCONFIRM=0","VIDEO")</f>
        <v>VIDEO</v>
      </c>
      <c r="AA2989" s="19" t="str">
        <f>HYPERLINK("https://ssdweb.co/ssdweb/CERTH/630447713.pdf","CERTI")</f>
        <v>CERTI</v>
      </c>
    </row>
    <row r="2990" spans="1:27" ht="15" x14ac:dyDescent="0.25">
      <c r="A2990" s="2">
        <v>2985</v>
      </c>
      <c r="B2990" s="39">
        <v>925900554</v>
      </c>
      <c r="C2990" s="28" t="str">
        <f>HYPERLINK("https://pld.live/RapDetail.aspx?STONELIST=925900554","DNA")</f>
        <v>DNA</v>
      </c>
      <c r="D2990" s="18" t="s">
        <v>3054</v>
      </c>
      <c r="E2990" s="18" t="s">
        <v>5128</v>
      </c>
      <c r="F2990" s="2" t="s">
        <v>7987</v>
      </c>
      <c r="G2990" s="2" t="s">
        <v>3296</v>
      </c>
      <c r="H2990" s="14">
        <v>1.02</v>
      </c>
      <c r="I2990" s="2" t="s">
        <v>267</v>
      </c>
      <c r="J2990" s="2" t="s">
        <v>3942</v>
      </c>
      <c r="K2990" s="2" t="s">
        <v>1452</v>
      </c>
      <c r="L2990" s="2" t="s">
        <v>5221</v>
      </c>
      <c r="M2990" s="2" t="s">
        <v>5221</v>
      </c>
      <c r="N2990" s="2" t="s">
        <v>2317</v>
      </c>
      <c r="O2990" s="14">
        <v>7600</v>
      </c>
      <c r="P2990" s="14">
        <v>98.5</v>
      </c>
      <c r="Q2990" s="14">
        <v>114</v>
      </c>
      <c r="R2990" s="14">
        <v>116.28</v>
      </c>
      <c r="S2990" s="2" t="s">
        <v>3359</v>
      </c>
      <c r="T2990" s="2">
        <v>1.05</v>
      </c>
      <c r="U2990" s="2">
        <v>65.099999999999994</v>
      </c>
      <c r="V2990" s="2">
        <v>59</v>
      </c>
      <c r="W2990" s="2" t="s">
        <v>7862</v>
      </c>
      <c r="X2990" s="2" t="s">
        <v>7670</v>
      </c>
      <c r="Y2990" s="2">
        <v>7752</v>
      </c>
      <c r="Z2990" s="19" t="str">
        <f>HYPERLINK("https://ssdweb.co/ssdweb/hd/Vision360.html?d=925900554&amp;zoomslide=1&amp;z=1925900554&amp;ISCONFIRM=0","VIDEO")</f>
        <v>VIDEO</v>
      </c>
      <c r="AA2990" s="19" t="str">
        <f>HYPERLINK("https://ssdweb.co/ssdweb/CERTH/628426924.pdf","CERTI")</f>
        <v>CERTI</v>
      </c>
    </row>
    <row r="2991" spans="1:27" ht="15" x14ac:dyDescent="0.25">
      <c r="A2991" s="2">
        <v>2986</v>
      </c>
      <c r="B2991" s="39">
        <v>925830766</v>
      </c>
      <c r="C2991" s="28" t="str">
        <f>HYPERLINK("https://pld.live/RapDetail.aspx?STONELIST=925830766","DNA")</f>
        <v>DNA</v>
      </c>
      <c r="D2991" s="18" t="s">
        <v>3054</v>
      </c>
      <c r="E2991" s="18" t="s">
        <v>5128</v>
      </c>
      <c r="F2991" s="2" t="s">
        <v>7987</v>
      </c>
      <c r="G2991" s="2" t="s">
        <v>3296</v>
      </c>
      <c r="H2991" s="14">
        <v>1.02</v>
      </c>
      <c r="I2991" s="2" t="s">
        <v>267</v>
      </c>
      <c r="J2991" s="2" t="s">
        <v>3942</v>
      </c>
      <c r="K2991" s="2" t="s">
        <v>1452</v>
      </c>
      <c r="L2991" s="2" t="s">
        <v>5221</v>
      </c>
      <c r="M2991" s="2" t="s">
        <v>5221</v>
      </c>
      <c r="N2991" s="2" t="s">
        <v>2317</v>
      </c>
      <c r="O2991" s="14">
        <v>7600</v>
      </c>
      <c r="P2991" s="14">
        <v>98.5</v>
      </c>
      <c r="Q2991" s="14">
        <v>114</v>
      </c>
      <c r="R2991" s="14">
        <v>116.28</v>
      </c>
      <c r="S2991" s="2" t="s">
        <v>3364</v>
      </c>
      <c r="T2991" s="2">
        <v>1.05</v>
      </c>
      <c r="U2991" s="2">
        <v>66.400000000000006</v>
      </c>
      <c r="V2991" s="2">
        <v>60</v>
      </c>
      <c r="W2991" s="2" t="s">
        <v>7862</v>
      </c>
      <c r="X2991" s="2" t="s">
        <v>7670</v>
      </c>
      <c r="Y2991" s="2">
        <v>7752</v>
      </c>
      <c r="Z2991" s="19" t="str">
        <f>HYPERLINK("https://ssdweb.co/ssdweb/hd/Vision360.html?d=925830766&amp;zoomslide=1&amp;z=1925830766&amp;ISCONFIRM=0","VIDEO")</f>
        <v>VIDEO</v>
      </c>
      <c r="AA2991" s="19" t="str">
        <f>HYPERLINK("https://ssdweb.co/ssdweb/CERTH/629453316.pdf","CERTI")</f>
        <v>CERTI</v>
      </c>
    </row>
    <row r="2992" spans="1:27" ht="15" x14ac:dyDescent="0.25">
      <c r="A2992" s="2">
        <v>2987</v>
      </c>
      <c r="B2992" s="39">
        <v>925760693</v>
      </c>
      <c r="C2992" s="28" t="str">
        <f>HYPERLINK("https://pld.live/RapDetail.aspx?STONELIST=925760693","DNA")</f>
        <v>DNA</v>
      </c>
      <c r="D2992" s="18" t="s">
        <v>3054</v>
      </c>
      <c r="E2992" s="18" t="s">
        <v>5128</v>
      </c>
      <c r="F2992" s="2" t="s">
        <v>7987</v>
      </c>
      <c r="G2992" s="2" t="s">
        <v>3296</v>
      </c>
      <c r="H2992" s="14">
        <v>1.02</v>
      </c>
      <c r="I2992" s="2" t="s">
        <v>267</v>
      </c>
      <c r="J2992" s="2" t="s">
        <v>3942</v>
      </c>
      <c r="K2992" s="2" t="s">
        <v>1452</v>
      </c>
      <c r="L2992" s="2" t="s">
        <v>5221</v>
      </c>
      <c r="M2992" s="2" t="s">
        <v>5221</v>
      </c>
      <c r="N2992" s="2" t="s">
        <v>2317</v>
      </c>
      <c r="O2992" s="14">
        <v>7600</v>
      </c>
      <c r="P2992" s="14">
        <v>98.5</v>
      </c>
      <c r="Q2992" s="14">
        <v>114</v>
      </c>
      <c r="R2992" s="14">
        <v>116.28</v>
      </c>
      <c r="S2992" s="2" t="s">
        <v>5176</v>
      </c>
      <c r="T2992" s="2">
        <v>1.04</v>
      </c>
      <c r="U2992" s="2">
        <v>65.7</v>
      </c>
      <c r="V2992" s="2">
        <v>61</v>
      </c>
      <c r="W2992" s="2" t="s">
        <v>7862</v>
      </c>
      <c r="X2992" s="2" t="s">
        <v>7670</v>
      </c>
      <c r="Y2992" s="2">
        <v>7752</v>
      </c>
      <c r="Z2992" s="19" t="str">
        <f>HYPERLINK("https://ssdweb.co/ssdweb/hd/Vision360.html?d=925760693&amp;zoomslide=1&amp;z=1925760693&amp;ISCONFIRM=0","VIDEO")</f>
        <v>VIDEO</v>
      </c>
      <c r="AA2992" s="19" t="str">
        <f>HYPERLINK("https://ssdweb.co/ssdweb/CERTH/627431865.pdf","CERTI")</f>
        <v>CERTI</v>
      </c>
    </row>
    <row r="2993" spans="1:27" ht="15" x14ac:dyDescent="0.25">
      <c r="A2993" s="2">
        <v>2988</v>
      </c>
      <c r="B2993" s="39">
        <v>821128377</v>
      </c>
      <c r="C2993" s="28" t="str">
        <f>HYPERLINK("https://pld.live/RapDetail.aspx?STONELIST=821128377","DNA")</f>
        <v>DNA</v>
      </c>
      <c r="D2993" s="18" t="s">
        <v>3054</v>
      </c>
      <c r="E2993" s="18" t="s">
        <v>5128</v>
      </c>
      <c r="F2993" s="2" t="s">
        <v>7987</v>
      </c>
      <c r="G2993" s="2" t="s">
        <v>3296</v>
      </c>
      <c r="H2993" s="14">
        <v>1.02</v>
      </c>
      <c r="I2993" s="2" t="s">
        <v>267</v>
      </c>
      <c r="J2993" s="2" t="s">
        <v>3942</v>
      </c>
      <c r="K2993" s="2" t="s">
        <v>1452</v>
      </c>
      <c r="L2993" s="2" t="s">
        <v>5221</v>
      </c>
      <c r="M2993" s="2" t="s">
        <v>5221</v>
      </c>
      <c r="N2993" s="2" t="s">
        <v>2317</v>
      </c>
      <c r="O2993" s="14">
        <v>7600</v>
      </c>
      <c r="P2993" s="14">
        <v>98.53</v>
      </c>
      <c r="Q2993" s="14">
        <v>111.72</v>
      </c>
      <c r="R2993" s="14">
        <v>113.95</v>
      </c>
      <c r="S2993" s="2" t="s">
        <v>7541</v>
      </c>
      <c r="T2993" s="2">
        <v>1.03</v>
      </c>
      <c r="U2993" s="2">
        <v>67.400000000000006</v>
      </c>
      <c r="V2993" s="2">
        <v>60</v>
      </c>
      <c r="W2993" s="2" t="s">
        <v>7862</v>
      </c>
      <c r="X2993" s="2" t="s">
        <v>7670</v>
      </c>
      <c r="Y2993" s="2">
        <v>7752</v>
      </c>
      <c r="Z2993" s="19" t="str">
        <f>HYPERLINK("https://ssdweb.co/ssdweb/hd/Vision360.html?d=821128377&amp;zoomslide=1&amp;z=1821128377&amp;ISCONFIRM=0","VIDEO")</f>
        <v>VIDEO</v>
      </c>
      <c r="AA2993" s="19" t="str">
        <f>HYPERLINK("https://ssdweb.co/ssdweb/CERTH/623467919.pdf","CERTI")</f>
        <v>CERTI</v>
      </c>
    </row>
    <row r="2994" spans="1:27" ht="15" x14ac:dyDescent="0.25">
      <c r="A2994" s="2">
        <v>2989</v>
      </c>
      <c r="B2994" s="39">
        <v>821128378</v>
      </c>
      <c r="C2994" s="28" t="str">
        <f>HYPERLINK("https://pld.live/RapDetail.aspx?STONELIST=821128378","DNA")</f>
        <v>DNA</v>
      </c>
      <c r="D2994" s="18" t="s">
        <v>3054</v>
      </c>
      <c r="E2994" s="18" t="s">
        <v>5128</v>
      </c>
      <c r="F2994" s="2" t="s">
        <v>7987</v>
      </c>
      <c r="G2994" s="2" t="s">
        <v>3296</v>
      </c>
      <c r="H2994" s="14">
        <v>1.02</v>
      </c>
      <c r="I2994" s="2" t="s">
        <v>267</v>
      </c>
      <c r="J2994" s="2" t="s">
        <v>3942</v>
      </c>
      <c r="K2994" s="2" t="s">
        <v>1452</v>
      </c>
      <c r="L2994" s="2" t="s">
        <v>5221</v>
      </c>
      <c r="M2994" s="2" t="s">
        <v>5221</v>
      </c>
      <c r="N2994" s="2" t="s">
        <v>2317</v>
      </c>
      <c r="O2994" s="14">
        <v>7600</v>
      </c>
      <c r="P2994" s="14">
        <v>98.53</v>
      </c>
      <c r="Q2994" s="14">
        <v>111.72</v>
      </c>
      <c r="R2994" s="14">
        <v>113.95</v>
      </c>
      <c r="S2994" s="2" t="s">
        <v>2259</v>
      </c>
      <c r="T2994" s="2">
        <v>1.02</v>
      </c>
      <c r="U2994" s="2">
        <v>65.599999999999994</v>
      </c>
      <c r="V2994" s="2">
        <v>60</v>
      </c>
      <c r="W2994" s="2" t="s">
        <v>7862</v>
      </c>
      <c r="X2994" s="2" t="s">
        <v>7670</v>
      </c>
      <c r="Y2994" s="2">
        <v>7752</v>
      </c>
      <c r="Z2994" s="19" t="str">
        <f>HYPERLINK("https://ssdweb.co/ssdweb/hd/Vision360.html?d=821128378&amp;zoomslide=1&amp;z=1821128378&amp;ISCONFIRM=0","VIDEO")</f>
        <v>VIDEO</v>
      </c>
      <c r="AA2994" s="19" t="str">
        <f>HYPERLINK("https://ssdweb.co/ssdweb/CERTH/622463116.pdf","CERTI")</f>
        <v>CERTI</v>
      </c>
    </row>
    <row r="2995" spans="1:27" ht="15" x14ac:dyDescent="0.25">
      <c r="A2995" s="2">
        <v>2990</v>
      </c>
      <c r="B2995" s="39">
        <v>821128379</v>
      </c>
      <c r="C2995" s="28" t="str">
        <f>HYPERLINK("https://pld.live/RapDetail.aspx?STONELIST=821128379","DNA")</f>
        <v>DNA</v>
      </c>
      <c r="D2995" s="18" t="s">
        <v>3054</v>
      </c>
      <c r="E2995" s="18" t="s">
        <v>5128</v>
      </c>
      <c r="F2995" s="2" t="s">
        <v>7987</v>
      </c>
      <c r="G2995" s="2" t="s">
        <v>3296</v>
      </c>
      <c r="H2995" s="14">
        <v>1.02</v>
      </c>
      <c r="I2995" s="2" t="s">
        <v>267</v>
      </c>
      <c r="J2995" s="2" t="s">
        <v>3942</v>
      </c>
      <c r="K2995" s="2" t="s">
        <v>1452</v>
      </c>
      <c r="L2995" s="2" t="s">
        <v>5221</v>
      </c>
      <c r="M2995" s="2" t="s">
        <v>5221</v>
      </c>
      <c r="N2995" s="2" t="s">
        <v>2317</v>
      </c>
      <c r="O2995" s="14">
        <v>7600</v>
      </c>
      <c r="P2995" s="14">
        <v>98.53</v>
      </c>
      <c r="Q2995" s="14">
        <v>111.72</v>
      </c>
      <c r="R2995" s="14">
        <v>113.95</v>
      </c>
      <c r="S2995" s="2" t="s">
        <v>1975</v>
      </c>
      <c r="T2995" s="2">
        <v>1</v>
      </c>
      <c r="U2995" s="2">
        <v>67</v>
      </c>
      <c r="V2995" s="2">
        <v>60</v>
      </c>
      <c r="W2995" s="2" t="s">
        <v>7862</v>
      </c>
      <c r="X2995" s="2" t="s">
        <v>7670</v>
      </c>
      <c r="Y2995" s="2">
        <v>7752</v>
      </c>
      <c r="Z2995" s="19" t="str">
        <f>HYPERLINK("https://ssdweb.co/ssdweb/hd/Vision360.html?d=821128379&amp;zoomslide=1&amp;z=1821128379&amp;ISCONFIRM=0","VIDEO")</f>
        <v>VIDEO</v>
      </c>
      <c r="AA2995" s="19" t="str">
        <f>HYPERLINK("https://ssdweb.co/ssdweb/CERTH/622463001.pdf","CERTI")</f>
        <v>CERTI</v>
      </c>
    </row>
    <row r="2996" spans="1:27" ht="15" x14ac:dyDescent="0.25">
      <c r="A2996" s="2">
        <v>2991</v>
      </c>
      <c r="B2996" s="39">
        <v>821128403</v>
      </c>
      <c r="C2996" s="28" t="str">
        <f>HYPERLINK("https://pld.live/RapDetail.aspx?STONELIST=821128403","DNA")</f>
        <v>DNA</v>
      </c>
      <c r="D2996" s="18" t="s">
        <v>3054</v>
      </c>
      <c r="E2996" s="18" t="s">
        <v>5128</v>
      </c>
      <c r="F2996" s="2" t="s">
        <v>7987</v>
      </c>
      <c r="G2996" s="2" t="s">
        <v>3296</v>
      </c>
      <c r="H2996" s="14">
        <v>1.02</v>
      </c>
      <c r="I2996" s="2" t="s">
        <v>267</v>
      </c>
      <c r="J2996" s="2" t="s">
        <v>3942</v>
      </c>
      <c r="K2996" s="2" t="s">
        <v>1452</v>
      </c>
      <c r="L2996" s="2" t="s">
        <v>5221</v>
      </c>
      <c r="M2996" s="2" t="s">
        <v>5221</v>
      </c>
      <c r="N2996" s="2" t="s">
        <v>2317</v>
      </c>
      <c r="O2996" s="14">
        <v>7600</v>
      </c>
      <c r="P2996" s="14">
        <v>98.49</v>
      </c>
      <c r="Q2996" s="14">
        <v>114.76</v>
      </c>
      <c r="R2996" s="14">
        <v>117.06</v>
      </c>
      <c r="S2996" s="2" t="s">
        <v>5889</v>
      </c>
      <c r="T2996" s="2">
        <v>1.02</v>
      </c>
      <c r="U2996" s="2">
        <v>65.8</v>
      </c>
      <c r="V2996" s="2">
        <v>62</v>
      </c>
      <c r="W2996" s="2" t="s">
        <v>7862</v>
      </c>
      <c r="X2996" s="2" t="s">
        <v>7670</v>
      </c>
      <c r="Y2996" s="2">
        <v>7752</v>
      </c>
      <c r="Z2996" s="19" t="str">
        <f>HYPERLINK("https://ssdweb.co/ssdweb/hd/Vision360.html?d=821128403&amp;zoomslide=1&amp;z=1821128403&amp;ISCONFIRM=0","VIDEO")</f>
        <v>VIDEO</v>
      </c>
      <c r="AA2996" s="19" t="str">
        <f>HYPERLINK("https://ssdweb.co/ssdweb/CERTH/601322185.pdf","CERTI")</f>
        <v>CERTI</v>
      </c>
    </row>
    <row r="2997" spans="1:27" ht="15" x14ac:dyDescent="0.25">
      <c r="A2997" s="2">
        <v>2992</v>
      </c>
      <c r="B2997" s="39">
        <v>821128404</v>
      </c>
      <c r="C2997" s="28" t="str">
        <f>HYPERLINK("https://pld.live/RapDetail.aspx?STONELIST=821128404","DNA")</f>
        <v>DNA</v>
      </c>
      <c r="D2997" s="18" t="s">
        <v>3054</v>
      </c>
      <c r="E2997" s="18" t="s">
        <v>5128</v>
      </c>
      <c r="F2997" s="2" t="s">
        <v>7987</v>
      </c>
      <c r="G2997" s="2" t="s">
        <v>3296</v>
      </c>
      <c r="H2997" s="14">
        <v>1.02</v>
      </c>
      <c r="I2997" s="2" t="s">
        <v>267</v>
      </c>
      <c r="J2997" s="2" t="s">
        <v>3942</v>
      </c>
      <c r="K2997" s="2" t="s">
        <v>1452</v>
      </c>
      <c r="L2997" s="2" t="s">
        <v>5221</v>
      </c>
      <c r="M2997" s="2" t="s">
        <v>5221</v>
      </c>
      <c r="N2997" s="2" t="s">
        <v>2317</v>
      </c>
      <c r="O2997" s="14">
        <v>7600</v>
      </c>
      <c r="P2997" s="14">
        <v>98.53</v>
      </c>
      <c r="Q2997" s="14">
        <v>111.72</v>
      </c>
      <c r="R2997" s="14">
        <v>113.95</v>
      </c>
      <c r="S2997" s="2" t="s">
        <v>6914</v>
      </c>
      <c r="T2997" s="2">
        <v>1.02</v>
      </c>
      <c r="U2997" s="2">
        <v>65</v>
      </c>
      <c r="V2997" s="2">
        <v>60</v>
      </c>
      <c r="W2997" s="2" t="s">
        <v>7862</v>
      </c>
      <c r="X2997" s="2" t="s">
        <v>7670</v>
      </c>
      <c r="Y2997" s="2">
        <v>7752</v>
      </c>
      <c r="Z2997" s="19" t="str">
        <f>HYPERLINK("https://ssdweb.co/ssdweb/hd/Vision360.html?d=821128404&amp;zoomslide=1&amp;z=1821128404&amp;ISCONFIRM=0","VIDEO")</f>
        <v>VIDEO</v>
      </c>
      <c r="AA2997" s="19" t="str">
        <f>HYPERLINK("https://ssdweb.co/ssdweb/CERTH/625468580.pdf","CERTI")</f>
        <v>CERTI</v>
      </c>
    </row>
    <row r="2998" spans="1:27" ht="15" x14ac:dyDescent="0.25">
      <c r="A2998" s="2">
        <v>2993</v>
      </c>
      <c r="B2998" s="39">
        <v>821128405</v>
      </c>
      <c r="C2998" s="28" t="str">
        <f>HYPERLINK("https://pld.live/RapDetail.aspx?STONELIST=821128405","DNA")</f>
        <v>DNA</v>
      </c>
      <c r="D2998" s="18" t="s">
        <v>3054</v>
      </c>
      <c r="E2998" s="18" t="s">
        <v>5128</v>
      </c>
      <c r="F2998" s="2" t="s">
        <v>7987</v>
      </c>
      <c r="G2998" s="2" t="s">
        <v>3296</v>
      </c>
      <c r="H2998" s="14">
        <v>1.02</v>
      </c>
      <c r="I2998" s="2" t="s">
        <v>267</v>
      </c>
      <c r="J2998" s="2" t="s">
        <v>3942</v>
      </c>
      <c r="K2998" s="2" t="s">
        <v>1452</v>
      </c>
      <c r="L2998" s="2" t="s">
        <v>5221</v>
      </c>
      <c r="M2998" s="2" t="s">
        <v>5221</v>
      </c>
      <c r="N2998" s="2" t="s">
        <v>2317</v>
      </c>
      <c r="O2998" s="14">
        <v>7600</v>
      </c>
      <c r="P2998" s="14">
        <v>98.53</v>
      </c>
      <c r="Q2998" s="14">
        <v>111.72</v>
      </c>
      <c r="R2998" s="14">
        <v>113.95</v>
      </c>
      <c r="S2998" s="2" t="s">
        <v>2157</v>
      </c>
      <c r="T2998" s="2">
        <v>1.01</v>
      </c>
      <c r="U2998" s="2">
        <v>65.5</v>
      </c>
      <c r="V2998" s="2">
        <v>60</v>
      </c>
      <c r="W2998" s="2" t="s">
        <v>7862</v>
      </c>
      <c r="X2998" s="2" t="s">
        <v>7670</v>
      </c>
      <c r="Y2998" s="2">
        <v>7752</v>
      </c>
      <c r="Z2998" s="19" t="str">
        <f>HYPERLINK("https://ssdweb.co/ssdweb/hd/Vision360.html?d=821128405&amp;zoomslide=1&amp;z=1821128405&amp;ISCONFIRM=0","VIDEO")</f>
        <v>VIDEO</v>
      </c>
      <c r="AA2998" s="19" t="str">
        <f>HYPERLINK("https://ssdweb.co/ssdweb/CERTH/622463125.pdf","CERTI")</f>
        <v>CERTI</v>
      </c>
    </row>
    <row r="2999" spans="1:27" ht="15" x14ac:dyDescent="0.25">
      <c r="A2999" s="2">
        <v>2994</v>
      </c>
      <c r="B2999" s="39">
        <v>821128406</v>
      </c>
      <c r="C2999" s="28" t="str">
        <f>HYPERLINK("https://pld.live/RapDetail.aspx?STONELIST=821128406","DNA")</f>
        <v>DNA</v>
      </c>
      <c r="D2999" s="18" t="s">
        <v>3054</v>
      </c>
      <c r="E2999" s="18" t="s">
        <v>5128</v>
      </c>
      <c r="F2999" s="2" t="s">
        <v>7987</v>
      </c>
      <c r="G2999" s="2" t="s">
        <v>3296</v>
      </c>
      <c r="H2999" s="14">
        <v>1.02</v>
      </c>
      <c r="I2999" s="2" t="s">
        <v>267</v>
      </c>
      <c r="J2999" s="2" t="s">
        <v>3942</v>
      </c>
      <c r="K2999" s="2" t="s">
        <v>1452</v>
      </c>
      <c r="L2999" s="2" t="s">
        <v>5221</v>
      </c>
      <c r="M2999" s="2" t="s">
        <v>5221</v>
      </c>
      <c r="N2999" s="2" t="s">
        <v>2317</v>
      </c>
      <c r="O2999" s="14">
        <v>7600</v>
      </c>
      <c r="P2999" s="14">
        <v>98.53</v>
      </c>
      <c r="Q2999" s="14">
        <v>111.72</v>
      </c>
      <c r="R2999" s="14">
        <v>113.95</v>
      </c>
      <c r="S2999" s="2" t="s">
        <v>2701</v>
      </c>
      <c r="T2999" s="2">
        <v>1.03</v>
      </c>
      <c r="U2999" s="2">
        <v>66.5</v>
      </c>
      <c r="V2999" s="2">
        <v>59</v>
      </c>
      <c r="W2999" s="2" t="s">
        <v>7862</v>
      </c>
      <c r="X2999" s="2" t="s">
        <v>7670</v>
      </c>
      <c r="Y2999" s="2">
        <v>7752</v>
      </c>
      <c r="Z2999" s="19" t="str">
        <f>HYPERLINK("https://ssdweb.co/ssdweb/hd/Vision360.html?d=821128406&amp;zoomslide=1&amp;z=1821128406&amp;ISCONFIRM=0","VIDEO")</f>
        <v>VIDEO</v>
      </c>
      <c r="AA2999" s="19" t="str">
        <f>HYPERLINK("https://ssdweb.co/ssdweb/CERTH/622464114.pdf","CERTI")</f>
        <v>CERTI</v>
      </c>
    </row>
    <row r="3000" spans="1:27" ht="15" x14ac:dyDescent="0.25">
      <c r="A3000" s="2">
        <v>2995</v>
      </c>
      <c r="B3000" s="39">
        <v>821128401</v>
      </c>
      <c r="C3000" s="28" t="str">
        <f>HYPERLINK("https://pld.live/RapDetail.aspx?STONELIST=821128401","DNA")</f>
        <v>DNA</v>
      </c>
      <c r="D3000" s="18" t="s">
        <v>3054</v>
      </c>
      <c r="E3000" s="18" t="s">
        <v>5128</v>
      </c>
      <c r="F3000" s="2" t="s">
        <v>7987</v>
      </c>
      <c r="G3000" s="2" t="s">
        <v>3296</v>
      </c>
      <c r="H3000" s="14">
        <v>1.02</v>
      </c>
      <c r="I3000" s="2" t="s">
        <v>267</v>
      </c>
      <c r="J3000" s="2" t="s">
        <v>3942</v>
      </c>
      <c r="K3000" s="2" t="s">
        <v>1452</v>
      </c>
      <c r="L3000" s="2" t="s">
        <v>5221</v>
      </c>
      <c r="M3000" s="2" t="s">
        <v>5721</v>
      </c>
      <c r="N3000" s="2" t="s">
        <v>2317</v>
      </c>
      <c r="O3000" s="14">
        <v>7600</v>
      </c>
      <c r="P3000" s="14">
        <v>98.54</v>
      </c>
      <c r="Q3000" s="14">
        <v>110.96</v>
      </c>
      <c r="R3000" s="14">
        <v>113.18</v>
      </c>
      <c r="S3000" s="2" t="s">
        <v>655</v>
      </c>
      <c r="T3000" s="2">
        <v>1</v>
      </c>
      <c r="U3000" s="2">
        <v>67.8</v>
      </c>
      <c r="V3000" s="2">
        <v>61</v>
      </c>
      <c r="W3000" s="2" t="s">
        <v>7862</v>
      </c>
      <c r="X3000" s="2" t="s">
        <v>7670</v>
      </c>
      <c r="Y3000" s="2">
        <v>7752</v>
      </c>
      <c r="Z3000" s="19" t="str">
        <f>HYPERLINK("https://ssdweb.co/ssdweb/hd/Vision360.html?d=821128401&amp;zoomslide=1&amp;z=1821128401&amp;ISCONFIRM=0","VIDEO")</f>
        <v>VIDEO</v>
      </c>
      <c r="AA3000" s="19" t="str">
        <f>HYPERLINK("https://ssdweb.co/ssdweb/CERTH/622463003.pdf","CERTI")</f>
        <v>CERTI</v>
      </c>
    </row>
    <row r="3001" spans="1:27" ht="15" x14ac:dyDescent="0.25">
      <c r="A3001" s="2">
        <v>2996</v>
      </c>
      <c r="B3001" s="39">
        <v>821128402</v>
      </c>
      <c r="C3001" s="28" t="str">
        <f>HYPERLINK("https://pld.live/RapDetail.aspx?STONELIST=821128402","DNA")</f>
        <v>DNA</v>
      </c>
      <c r="D3001" s="18" t="s">
        <v>3054</v>
      </c>
      <c r="E3001" s="18" t="s">
        <v>5128</v>
      </c>
      <c r="F3001" s="2" t="s">
        <v>7987</v>
      </c>
      <c r="G3001" s="2" t="s">
        <v>3296</v>
      </c>
      <c r="H3001" s="14">
        <v>1.02</v>
      </c>
      <c r="I3001" s="2" t="s">
        <v>267</v>
      </c>
      <c r="J3001" s="2" t="s">
        <v>3942</v>
      </c>
      <c r="K3001" s="2" t="s">
        <v>1452</v>
      </c>
      <c r="L3001" s="2" t="s">
        <v>5221</v>
      </c>
      <c r="M3001" s="2" t="s">
        <v>5721</v>
      </c>
      <c r="N3001" s="2" t="s">
        <v>2317</v>
      </c>
      <c r="O3001" s="14">
        <v>7600</v>
      </c>
      <c r="P3001" s="14">
        <v>98.54</v>
      </c>
      <c r="Q3001" s="14">
        <v>110.96</v>
      </c>
      <c r="R3001" s="14">
        <v>113.18</v>
      </c>
      <c r="S3001" s="2" t="s">
        <v>3299</v>
      </c>
      <c r="T3001" s="2">
        <v>1</v>
      </c>
      <c r="U3001" s="2">
        <v>65.400000000000006</v>
      </c>
      <c r="V3001" s="2">
        <v>61</v>
      </c>
      <c r="W3001" s="2" t="s">
        <v>7862</v>
      </c>
      <c r="X3001" s="2" t="s">
        <v>7670</v>
      </c>
      <c r="Y3001" s="2">
        <v>7752</v>
      </c>
      <c r="Z3001" s="19" t="str">
        <f>HYPERLINK("https://ssdweb.co/ssdweb/hd/Vision360.html?d=821128402&amp;zoomslide=1&amp;z=1821128402&amp;ISCONFIRM=0","VIDEO")</f>
        <v>VIDEO</v>
      </c>
      <c r="AA3001" s="19" t="str">
        <f>HYPERLINK("https://ssdweb.co/ssdweb/CERTH/623467856.pdf","CERTI")</f>
        <v>CERTI</v>
      </c>
    </row>
    <row r="3002" spans="1:27" ht="15" x14ac:dyDescent="0.25">
      <c r="A3002" s="2">
        <v>2997</v>
      </c>
      <c r="B3002" s="39">
        <v>925900570</v>
      </c>
      <c r="C3002" s="28" t="str">
        <f>HYPERLINK("https://pld.live/RapDetail.aspx?STONELIST=925900570","DNA")</f>
        <v>DNA</v>
      </c>
      <c r="D3002" s="18" t="s">
        <v>3054</v>
      </c>
      <c r="E3002" s="18" t="s">
        <v>5128</v>
      </c>
      <c r="F3002" s="2" t="s">
        <v>7987</v>
      </c>
      <c r="G3002" s="2" t="s">
        <v>3296</v>
      </c>
      <c r="H3002" s="14">
        <v>1.02</v>
      </c>
      <c r="I3002" s="2" t="s">
        <v>267</v>
      </c>
      <c r="J3002" s="2" t="s">
        <v>13</v>
      </c>
      <c r="K3002" s="2" t="s">
        <v>1452</v>
      </c>
      <c r="L3002" s="2" t="s">
        <v>5221</v>
      </c>
      <c r="M3002" s="2" t="s">
        <v>5221</v>
      </c>
      <c r="N3002" s="2" t="s">
        <v>2317</v>
      </c>
      <c r="O3002" s="14">
        <v>6700</v>
      </c>
      <c r="P3002" s="14">
        <v>98.33</v>
      </c>
      <c r="Q3002" s="14">
        <v>111.89</v>
      </c>
      <c r="R3002" s="14">
        <v>114.13</v>
      </c>
      <c r="S3002" s="2" t="s">
        <v>2330</v>
      </c>
      <c r="T3002" s="2">
        <v>1.01</v>
      </c>
      <c r="U3002" s="2">
        <v>65.8</v>
      </c>
      <c r="V3002" s="2">
        <v>59</v>
      </c>
      <c r="W3002" s="2" t="s">
        <v>7862</v>
      </c>
      <c r="X3002" s="2" t="s">
        <v>7670</v>
      </c>
      <c r="Y3002" s="2">
        <v>6834</v>
      </c>
      <c r="Z3002" s="19" t="str">
        <f>HYPERLINK("https://ssdweb.co/ssdweb/hd/Vision360.html?d=925900570&amp;zoomslide=1&amp;z=1925900570&amp;ISCONFIRM=0","VIDEO")</f>
        <v>VIDEO</v>
      </c>
      <c r="AA3002" s="19" t="str">
        <f>HYPERLINK("https://ssdweb.co/ssdweb/CERTH/629453215.pdf","CERTI")</f>
        <v>CERTI</v>
      </c>
    </row>
    <row r="3003" spans="1:27" ht="15" x14ac:dyDescent="0.25">
      <c r="A3003" s="2">
        <v>2998</v>
      </c>
      <c r="B3003" s="39">
        <v>925940665</v>
      </c>
      <c r="C3003" s="28" t="str">
        <f>HYPERLINK("https://pld.live/RapDetail.aspx?STONELIST=925940665","DNA")</f>
        <v>DNA</v>
      </c>
      <c r="D3003" s="18" t="s">
        <v>3054</v>
      </c>
      <c r="E3003" s="18" t="s">
        <v>5128</v>
      </c>
      <c r="F3003" s="2" t="s">
        <v>7987</v>
      </c>
      <c r="G3003" s="2" t="s">
        <v>3296</v>
      </c>
      <c r="H3003" s="14">
        <v>1.02</v>
      </c>
      <c r="I3003" s="2" t="s">
        <v>267</v>
      </c>
      <c r="J3003" s="2" t="s">
        <v>13</v>
      </c>
      <c r="K3003" s="2" t="s">
        <v>1452</v>
      </c>
      <c r="L3003" s="2" t="s">
        <v>5221</v>
      </c>
      <c r="M3003" s="2" t="s">
        <v>5221</v>
      </c>
      <c r="N3003" s="2" t="s">
        <v>2317</v>
      </c>
      <c r="O3003" s="14">
        <v>6700</v>
      </c>
      <c r="P3003" s="14">
        <v>98.33</v>
      </c>
      <c r="Q3003" s="14">
        <v>111.89</v>
      </c>
      <c r="R3003" s="14">
        <v>114.13</v>
      </c>
      <c r="S3003" s="2" t="s">
        <v>217</v>
      </c>
      <c r="T3003" s="2">
        <v>1.05</v>
      </c>
      <c r="U3003" s="2">
        <v>65.900000000000006</v>
      </c>
      <c r="V3003" s="2">
        <v>61</v>
      </c>
      <c r="W3003" s="2" t="s">
        <v>7862</v>
      </c>
      <c r="X3003" s="2" t="s">
        <v>7670</v>
      </c>
      <c r="Y3003" s="2">
        <v>6834</v>
      </c>
      <c r="Z3003" s="19" t="str">
        <f>HYPERLINK("https://ssdweb.co/ssdweb/hd/Vision360.html?d=925940665&amp;zoomslide=1&amp;z=1925940665&amp;ISCONFIRM=0","VIDEO")</f>
        <v>VIDEO</v>
      </c>
      <c r="AA3003" s="19" t="str">
        <f>HYPERLINK("https://ssdweb.co/ssdweb/CERTH/631404496.pdf","CERTI")</f>
        <v>CERTI</v>
      </c>
    </row>
    <row r="3004" spans="1:27" ht="15" x14ac:dyDescent="0.25">
      <c r="A3004" s="2">
        <v>2999</v>
      </c>
      <c r="B3004" s="39">
        <v>925900580</v>
      </c>
      <c r="C3004" s="28" t="str">
        <f>HYPERLINK("https://pld.live/RapDetail.aspx?STONELIST=925900580","DNA")</f>
        <v>DNA</v>
      </c>
      <c r="D3004" s="18" t="s">
        <v>3054</v>
      </c>
      <c r="E3004" s="18" t="s">
        <v>5128</v>
      </c>
      <c r="F3004" s="2" t="s">
        <v>7987</v>
      </c>
      <c r="G3004" s="2" t="s">
        <v>3296</v>
      </c>
      <c r="H3004" s="14">
        <v>1.02</v>
      </c>
      <c r="I3004" s="2" t="s">
        <v>267</v>
      </c>
      <c r="J3004" s="2" t="s">
        <v>13</v>
      </c>
      <c r="K3004" s="2" t="s">
        <v>1452</v>
      </c>
      <c r="L3004" s="2" t="s">
        <v>5221</v>
      </c>
      <c r="M3004" s="2" t="s">
        <v>5221</v>
      </c>
      <c r="N3004" s="2" t="s">
        <v>2317</v>
      </c>
      <c r="O3004" s="14">
        <v>6700</v>
      </c>
      <c r="P3004" s="14">
        <v>98.33</v>
      </c>
      <c r="Q3004" s="14">
        <v>111.89</v>
      </c>
      <c r="R3004" s="14">
        <v>114.13</v>
      </c>
      <c r="S3004" s="2" t="s">
        <v>4797</v>
      </c>
      <c r="T3004" s="2">
        <v>1.05</v>
      </c>
      <c r="U3004" s="2">
        <v>63.6</v>
      </c>
      <c r="V3004" s="2">
        <v>63</v>
      </c>
      <c r="W3004" s="2" t="s">
        <v>7862</v>
      </c>
      <c r="X3004" s="2" t="s">
        <v>7670</v>
      </c>
      <c r="Y3004" s="2">
        <v>6834</v>
      </c>
      <c r="Z3004" s="19" t="str">
        <f>HYPERLINK("https://ssdweb.co/ssdweb/hd/Vision360.html?d=925900580&amp;zoomslide=1&amp;z=1925900580&amp;ISCONFIRM=0","VIDEO")</f>
        <v>VIDEO</v>
      </c>
      <c r="AA3004" s="19" t="str">
        <f>HYPERLINK("https://ssdweb.co/ssdweb/CERTH/629453373.pdf","CERTI")</f>
        <v>CERTI</v>
      </c>
    </row>
    <row r="3005" spans="1:27" ht="15" x14ac:dyDescent="0.25">
      <c r="A3005" s="2">
        <v>3000</v>
      </c>
      <c r="B3005" s="39">
        <v>925940607</v>
      </c>
      <c r="C3005" s="28" t="str">
        <f>HYPERLINK("https://pld.live/RapDetail.aspx?STONELIST=925940607","DNA")</f>
        <v>DNA</v>
      </c>
      <c r="D3005" s="18" t="s">
        <v>3054</v>
      </c>
      <c r="E3005" s="18" t="s">
        <v>5128</v>
      </c>
      <c r="F3005" s="2" t="s">
        <v>7987</v>
      </c>
      <c r="G3005" s="2" t="s">
        <v>3296</v>
      </c>
      <c r="H3005" s="14">
        <v>1.02</v>
      </c>
      <c r="I3005" s="2" t="s">
        <v>267</v>
      </c>
      <c r="J3005" s="2" t="s">
        <v>13</v>
      </c>
      <c r="K3005" s="2" t="s">
        <v>1452</v>
      </c>
      <c r="L3005" s="2" t="s">
        <v>5221</v>
      </c>
      <c r="M3005" s="2" t="s">
        <v>5221</v>
      </c>
      <c r="N3005" s="2" t="s">
        <v>2317</v>
      </c>
      <c r="O3005" s="14">
        <v>6700</v>
      </c>
      <c r="P3005" s="14">
        <v>98.33</v>
      </c>
      <c r="Q3005" s="14">
        <v>111.89</v>
      </c>
      <c r="R3005" s="14">
        <v>114.13</v>
      </c>
      <c r="S3005" s="2" t="s">
        <v>5153</v>
      </c>
      <c r="T3005" s="2">
        <v>1.05</v>
      </c>
      <c r="U3005" s="2">
        <v>65.5</v>
      </c>
      <c r="V3005" s="2">
        <v>61</v>
      </c>
      <c r="W3005" s="2" t="s">
        <v>7862</v>
      </c>
      <c r="X3005" s="2" t="s">
        <v>7670</v>
      </c>
      <c r="Y3005" s="2">
        <v>6834</v>
      </c>
      <c r="Z3005" s="19" t="str">
        <f>HYPERLINK("https://ssdweb.co/ssdweb/hd/Vision360.html?d=925940607&amp;zoomslide=1&amp;z=1925940607&amp;ISCONFIRM=0","VIDEO")</f>
        <v>VIDEO</v>
      </c>
      <c r="AA3005" s="19" t="str">
        <f>HYPERLINK("https://ssdweb.co/ssdweb/CERTH/629479126.pdf","CERTI")</f>
        <v>CERTI</v>
      </c>
    </row>
    <row r="3006" spans="1:27" ht="15" x14ac:dyDescent="0.25">
      <c r="A3006" s="2">
        <v>3001</v>
      </c>
      <c r="B3006" s="39">
        <v>926250465</v>
      </c>
      <c r="C3006" s="28" t="str">
        <f>HYPERLINK("https://pld.live/RapDetail.aspx?STONELIST=926250465","DNA")</f>
        <v>DNA</v>
      </c>
      <c r="D3006" s="18" t="s">
        <v>3054</v>
      </c>
      <c r="E3006" s="18" t="s">
        <v>5128</v>
      </c>
      <c r="F3006" s="2" t="s">
        <v>7987</v>
      </c>
      <c r="G3006" s="2" t="s">
        <v>3296</v>
      </c>
      <c r="H3006" s="14">
        <v>1.02</v>
      </c>
      <c r="I3006" s="2" t="s">
        <v>267</v>
      </c>
      <c r="J3006" s="2" t="s">
        <v>13</v>
      </c>
      <c r="K3006" s="2" t="s">
        <v>1452</v>
      </c>
      <c r="L3006" s="2" t="s">
        <v>5221</v>
      </c>
      <c r="M3006" s="2" t="s">
        <v>5221</v>
      </c>
      <c r="N3006" s="2" t="s">
        <v>2317</v>
      </c>
      <c r="O3006" s="14">
        <v>6700</v>
      </c>
      <c r="P3006" s="14">
        <v>98.33</v>
      </c>
      <c r="Q3006" s="14">
        <v>111.89</v>
      </c>
      <c r="R3006" s="14">
        <v>114.13</v>
      </c>
      <c r="S3006" s="2" t="s">
        <v>273</v>
      </c>
      <c r="T3006" s="2">
        <v>1.04</v>
      </c>
      <c r="U3006" s="2">
        <v>66.8</v>
      </c>
      <c r="V3006" s="2">
        <v>62</v>
      </c>
      <c r="W3006" s="2" t="s">
        <v>7862</v>
      </c>
      <c r="X3006" s="2" t="s">
        <v>7670</v>
      </c>
      <c r="Y3006" s="2">
        <v>6834</v>
      </c>
      <c r="Z3006" s="19" t="str">
        <f>HYPERLINK("https://ssdweb.co/ssdweb/hd/Vision360.html?d=926250465&amp;zoomslide=1&amp;z=1926250465&amp;ISCONFIRM=0","VIDEO")</f>
        <v>VIDEO</v>
      </c>
      <c r="AA3006" s="19" t="str">
        <f>HYPERLINK("https://ssdweb.co/ssdweb/CERTH/638463362.pdf","CERTI")</f>
        <v>CERTI</v>
      </c>
    </row>
    <row r="3007" spans="1:27" ht="15" x14ac:dyDescent="0.25">
      <c r="A3007" s="2">
        <v>3002</v>
      </c>
      <c r="B3007" s="39">
        <v>821128395</v>
      </c>
      <c r="C3007" s="28" t="str">
        <f>HYPERLINK("https://pld.live/RapDetail.aspx?STONELIST=821128395","DNA")</f>
        <v>DNA</v>
      </c>
      <c r="D3007" s="18" t="s">
        <v>3054</v>
      </c>
      <c r="E3007" s="18" t="s">
        <v>5128</v>
      </c>
      <c r="F3007" s="2" t="s">
        <v>7987</v>
      </c>
      <c r="G3007" s="2" t="s">
        <v>3296</v>
      </c>
      <c r="H3007" s="14">
        <v>1.02</v>
      </c>
      <c r="I3007" s="2" t="s">
        <v>267</v>
      </c>
      <c r="J3007" s="2" t="s">
        <v>13</v>
      </c>
      <c r="K3007" s="2" t="s">
        <v>1452</v>
      </c>
      <c r="L3007" s="2" t="s">
        <v>5221</v>
      </c>
      <c r="M3007" s="2" t="s">
        <v>5221</v>
      </c>
      <c r="N3007" s="2" t="s">
        <v>2317</v>
      </c>
      <c r="O3007" s="14">
        <v>6700</v>
      </c>
      <c r="P3007" s="14">
        <v>98.33</v>
      </c>
      <c r="Q3007" s="14">
        <v>111.89</v>
      </c>
      <c r="R3007" s="14">
        <v>114.13</v>
      </c>
      <c r="S3007" s="2" t="s">
        <v>3145</v>
      </c>
      <c r="T3007" s="2">
        <v>1.01</v>
      </c>
      <c r="U3007" s="2">
        <v>67.099999999999994</v>
      </c>
      <c r="V3007" s="2">
        <v>57</v>
      </c>
      <c r="W3007" s="2" t="s">
        <v>7862</v>
      </c>
      <c r="X3007" s="2" t="s">
        <v>7670</v>
      </c>
      <c r="Y3007" s="2">
        <v>6834</v>
      </c>
      <c r="Z3007" s="19" t="str">
        <f>HYPERLINK("https://ssdweb.co/ssdweb/hd/Vision360.html?d=821128395&amp;zoomslide=1&amp;z=1821128395&amp;ISCONFIRM=0","VIDEO")</f>
        <v>VIDEO</v>
      </c>
      <c r="AA3007" s="19" t="str">
        <f>HYPERLINK("https://ssdweb.co/ssdweb/CERTH/627453062.pdf","CERTI")</f>
        <v>CERTI</v>
      </c>
    </row>
    <row r="3008" spans="1:27" ht="15" x14ac:dyDescent="0.25">
      <c r="A3008" s="2">
        <v>3003</v>
      </c>
      <c r="B3008" s="39">
        <v>821128393</v>
      </c>
      <c r="C3008" s="28" t="str">
        <f>HYPERLINK("https://pld.live/RapDetail.aspx?STONELIST=821128393","DNA")</f>
        <v>DNA</v>
      </c>
      <c r="D3008" s="18" t="s">
        <v>3054</v>
      </c>
      <c r="E3008" s="18" t="s">
        <v>5128</v>
      </c>
      <c r="F3008" s="2" t="s">
        <v>7987</v>
      </c>
      <c r="G3008" s="2" t="s">
        <v>3296</v>
      </c>
      <c r="H3008" s="14">
        <v>1.02</v>
      </c>
      <c r="I3008" s="2" t="s">
        <v>267</v>
      </c>
      <c r="J3008" s="2" t="s">
        <v>13</v>
      </c>
      <c r="K3008" s="2" t="s">
        <v>1452</v>
      </c>
      <c r="L3008" s="2" t="s">
        <v>5221</v>
      </c>
      <c r="M3008" s="2" t="s">
        <v>5221</v>
      </c>
      <c r="N3008" s="2" t="s">
        <v>2317</v>
      </c>
      <c r="O3008" s="14">
        <v>6700</v>
      </c>
      <c r="P3008" s="14">
        <v>98.36</v>
      </c>
      <c r="Q3008" s="14">
        <v>109.88</v>
      </c>
      <c r="R3008" s="14">
        <v>112.08</v>
      </c>
      <c r="S3008" s="2" t="s">
        <v>1237</v>
      </c>
      <c r="T3008" s="2">
        <v>1</v>
      </c>
      <c r="U3008" s="2">
        <v>67.3</v>
      </c>
      <c r="V3008" s="2">
        <v>60</v>
      </c>
      <c r="W3008" s="2" t="s">
        <v>7862</v>
      </c>
      <c r="X3008" s="2" t="s">
        <v>7670</v>
      </c>
      <c r="Y3008" s="2">
        <v>6834</v>
      </c>
      <c r="Z3008" s="19" t="str">
        <f>HYPERLINK("https://ssdweb.co/ssdweb/hd/Vision360.html?d=821128393&amp;zoomslide=1&amp;z=1821128393&amp;ISCONFIRM=0","VIDEO")</f>
        <v>VIDEO</v>
      </c>
      <c r="AA3008" s="19" t="str">
        <f>HYPERLINK("https://ssdweb.co/ssdweb/CERTH/625467356.pdf","CERTI")</f>
        <v>CERTI</v>
      </c>
    </row>
    <row r="3009" spans="1:27" ht="15" x14ac:dyDescent="0.25">
      <c r="A3009" s="2">
        <v>3004</v>
      </c>
      <c r="B3009" s="39">
        <v>926250464</v>
      </c>
      <c r="C3009" s="28" t="str">
        <f>HYPERLINK("https://pld.live/RapDetail.aspx?STONELIST=926250464","DNA")</f>
        <v>DNA</v>
      </c>
      <c r="D3009" s="18" t="s">
        <v>3054</v>
      </c>
      <c r="E3009" s="18" t="s">
        <v>5128</v>
      </c>
      <c r="F3009" s="2" t="s">
        <v>7987</v>
      </c>
      <c r="G3009" s="2" t="s">
        <v>3296</v>
      </c>
      <c r="H3009" s="14">
        <v>1.02</v>
      </c>
      <c r="I3009" s="2" t="s">
        <v>267</v>
      </c>
      <c r="J3009" s="2" t="s">
        <v>13</v>
      </c>
      <c r="K3009" s="2" t="s">
        <v>1452</v>
      </c>
      <c r="L3009" s="2" t="s">
        <v>5221</v>
      </c>
      <c r="M3009" s="2" t="s">
        <v>5221</v>
      </c>
      <c r="N3009" s="2" t="s">
        <v>2317</v>
      </c>
      <c r="O3009" s="14">
        <v>6700</v>
      </c>
      <c r="P3009" s="14">
        <v>98.33</v>
      </c>
      <c r="Q3009" s="14">
        <v>111.89</v>
      </c>
      <c r="R3009" s="14">
        <v>114.13</v>
      </c>
      <c r="S3009" s="2" t="s">
        <v>6527</v>
      </c>
      <c r="T3009" s="2">
        <v>1.01</v>
      </c>
      <c r="U3009" s="2">
        <v>63.6</v>
      </c>
      <c r="V3009" s="2">
        <v>63</v>
      </c>
      <c r="W3009" s="2" t="s">
        <v>7862</v>
      </c>
      <c r="X3009" s="2" t="s">
        <v>7670</v>
      </c>
      <c r="Y3009" s="2">
        <v>6834</v>
      </c>
      <c r="Z3009" s="19" t="str">
        <f>HYPERLINK("https://ssdweb.co/ssdweb/hd/Vision360.html?d=926250464&amp;zoomslide=1&amp;z=1926250464&amp;ISCONFIRM=0","VIDEO")</f>
        <v>VIDEO</v>
      </c>
      <c r="AA3009" s="19" t="str">
        <f>HYPERLINK("https://ssdweb.co/ssdweb/CERTH/638463361.pdf","CERTI")</f>
        <v>CERTI</v>
      </c>
    </row>
    <row r="3010" spans="1:27" ht="15" x14ac:dyDescent="0.25">
      <c r="A3010" s="2">
        <v>3005</v>
      </c>
      <c r="B3010" s="39">
        <v>821128390</v>
      </c>
      <c r="C3010" s="28" t="str">
        <f>HYPERLINK("https://pld.live/RapDetail.aspx?STONELIST=821128390","DNA")</f>
        <v>DNA</v>
      </c>
      <c r="D3010" s="18" t="s">
        <v>3054</v>
      </c>
      <c r="E3010" s="18" t="s">
        <v>5128</v>
      </c>
      <c r="F3010" s="2" t="s">
        <v>7987</v>
      </c>
      <c r="G3010" s="2" t="s">
        <v>3296</v>
      </c>
      <c r="H3010" s="14">
        <v>1.02</v>
      </c>
      <c r="I3010" s="2" t="s">
        <v>267</v>
      </c>
      <c r="J3010" s="2" t="s">
        <v>13</v>
      </c>
      <c r="K3010" s="2" t="s">
        <v>1452</v>
      </c>
      <c r="L3010" s="2" t="s">
        <v>5221</v>
      </c>
      <c r="M3010" s="2" t="s">
        <v>5221</v>
      </c>
      <c r="N3010" s="2" t="s">
        <v>2317</v>
      </c>
      <c r="O3010" s="14">
        <v>6700</v>
      </c>
      <c r="P3010" s="14">
        <v>98.36</v>
      </c>
      <c r="Q3010" s="14">
        <v>109.88</v>
      </c>
      <c r="R3010" s="14">
        <v>112.08</v>
      </c>
      <c r="S3010" s="2" t="s">
        <v>2274</v>
      </c>
      <c r="T3010" s="2">
        <v>1.03</v>
      </c>
      <c r="U3010" s="2">
        <v>67.099999999999994</v>
      </c>
      <c r="V3010" s="2">
        <v>63</v>
      </c>
      <c r="W3010" s="2" t="s">
        <v>7862</v>
      </c>
      <c r="X3010" s="2" t="s">
        <v>7670</v>
      </c>
      <c r="Y3010" s="2">
        <v>6834</v>
      </c>
      <c r="Z3010" s="19" t="str">
        <f>HYPERLINK("https://ssdweb.co/ssdweb/hd/Vision360.html?d=821128390&amp;zoomslide=1&amp;z=1821128390&amp;ISCONFIRM=0","VIDEO")</f>
        <v>VIDEO</v>
      </c>
      <c r="AA3010" s="19" t="str">
        <f>HYPERLINK("https://ssdweb.co/ssdweb/CERTH/622463117.pdf","CERTI")</f>
        <v>CERTI</v>
      </c>
    </row>
    <row r="3011" spans="1:27" ht="15" x14ac:dyDescent="0.25">
      <c r="A3011" s="2">
        <v>3006</v>
      </c>
      <c r="B3011" s="39">
        <v>926210975</v>
      </c>
      <c r="C3011" s="28" t="str">
        <f>HYPERLINK("https://pld.live/RapDetail.aspx?STONELIST=926210975","DNA")</f>
        <v>DNA</v>
      </c>
      <c r="D3011" s="18" t="s">
        <v>3054</v>
      </c>
      <c r="E3011" s="18" t="s">
        <v>5128</v>
      </c>
      <c r="F3011" s="2" t="s">
        <v>7987</v>
      </c>
      <c r="G3011" s="2" t="s">
        <v>3296</v>
      </c>
      <c r="H3011" s="14">
        <v>1.02</v>
      </c>
      <c r="I3011" s="2" t="s">
        <v>267</v>
      </c>
      <c r="J3011" s="2" t="s">
        <v>13</v>
      </c>
      <c r="K3011" s="2" t="s">
        <v>1452</v>
      </c>
      <c r="L3011" s="2" t="s">
        <v>5221</v>
      </c>
      <c r="M3011" s="2" t="s">
        <v>5221</v>
      </c>
      <c r="N3011" s="2" t="s">
        <v>2317</v>
      </c>
      <c r="O3011" s="14">
        <v>6700</v>
      </c>
      <c r="P3011" s="14">
        <v>98.33</v>
      </c>
      <c r="Q3011" s="14">
        <v>111.89</v>
      </c>
      <c r="R3011" s="14">
        <v>114.13</v>
      </c>
      <c r="S3011" s="2" t="s">
        <v>862</v>
      </c>
      <c r="T3011" s="2">
        <v>1.04</v>
      </c>
      <c r="U3011" s="2">
        <v>66.5</v>
      </c>
      <c r="V3011" s="2">
        <v>60</v>
      </c>
      <c r="W3011" s="2" t="s">
        <v>7862</v>
      </c>
      <c r="X3011" s="2" t="s">
        <v>7670</v>
      </c>
      <c r="Y3011" s="2">
        <v>6834</v>
      </c>
      <c r="Z3011" s="19" t="str">
        <f>HYPERLINK("https://ssdweb.co/ssdweb/hd/Vision360.html?d=926210975&amp;zoomslide=1&amp;z=1926210975&amp;ISCONFIRM=0","VIDEO")</f>
        <v>VIDEO</v>
      </c>
      <c r="AA3011" s="19" t="str">
        <f>HYPERLINK("https://ssdweb.co/ssdweb/CERTH/635427024.pdf","CERTI")</f>
        <v>CERTI</v>
      </c>
    </row>
    <row r="3012" spans="1:27" ht="15" x14ac:dyDescent="0.25">
      <c r="A3012" s="2">
        <v>3007</v>
      </c>
      <c r="B3012" s="39">
        <v>925360408</v>
      </c>
      <c r="C3012" s="28" t="str">
        <f>HYPERLINK("https://pld.live/RapDetail.aspx?STONELIST=925360408","DNA")</f>
        <v>DNA</v>
      </c>
      <c r="D3012" s="18" t="s">
        <v>3054</v>
      </c>
      <c r="E3012" s="18" t="s">
        <v>5128</v>
      </c>
      <c r="F3012" s="2" t="s">
        <v>7987</v>
      </c>
      <c r="G3012" s="2" t="s">
        <v>3296</v>
      </c>
      <c r="H3012" s="14">
        <v>1.02</v>
      </c>
      <c r="I3012" s="2" t="s">
        <v>267</v>
      </c>
      <c r="J3012" s="2" t="s">
        <v>13</v>
      </c>
      <c r="K3012" s="2" t="s">
        <v>1452</v>
      </c>
      <c r="L3012" s="2" t="s">
        <v>5221</v>
      </c>
      <c r="M3012" s="2" t="s">
        <v>5221</v>
      </c>
      <c r="N3012" s="2" t="s">
        <v>2317</v>
      </c>
      <c r="O3012" s="14">
        <v>6700</v>
      </c>
      <c r="P3012" s="14">
        <v>98.36</v>
      </c>
      <c r="Q3012" s="14">
        <v>109.88</v>
      </c>
      <c r="R3012" s="14">
        <v>112.08</v>
      </c>
      <c r="S3012" s="2" t="s">
        <v>7805</v>
      </c>
      <c r="T3012" s="2">
        <v>1.05</v>
      </c>
      <c r="U3012" s="2">
        <v>68.8</v>
      </c>
      <c r="V3012" s="2">
        <v>58</v>
      </c>
      <c r="W3012" s="2" t="s">
        <v>7862</v>
      </c>
      <c r="X3012" s="2" t="s">
        <v>7670</v>
      </c>
      <c r="Y3012" s="2">
        <v>6834</v>
      </c>
      <c r="Z3012" s="19" t="str">
        <f>HYPERLINK("https://ssdweb.co/ssdweb/hd/Vision360.html?d=925360408&amp;zoomslide=1&amp;z=1925360408&amp;ISCONFIRM=0","VIDEO")</f>
        <v>VIDEO</v>
      </c>
      <c r="AA3012" s="19" t="str">
        <f>HYPERLINK("https://ssdweb.co/ssdweb/CERTH/620448966.pdf","CERTI")</f>
        <v>CERTI</v>
      </c>
    </row>
    <row r="3013" spans="1:27" ht="15" x14ac:dyDescent="0.25">
      <c r="A3013" s="2">
        <v>3008</v>
      </c>
      <c r="B3013" s="39">
        <v>926110977</v>
      </c>
      <c r="C3013" s="28" t="str">
        <f>HYPERLINK("https://pld.live/RapDetail.aspx?STONELIST=926110977","DNA")</f>
        <v>DNA</v>
      </c>
      <c r="D3013" s="18" t="s">
        <v>3054</v>
      </c>
      <c r="E3013" s="18" t="s">
        <v>5128</v>
      </c>
      <c r="F3013" s="2" t="s">
        <v>7987</v>
      </c>
      <c r="G3013" s="2" t="s">
        <v>3296</v>
      </c>
      <c r="H3013" s="14">
        <v>1.02</v>
      </c>
      <c r="I3013" s="2" t="s">
        <v>267</v>
      </c>
      <c r="J3013" s="2" t="s">
        <v>13</v>
      </c>
      <c r="K3013" s="2" t="s">
        <v>1452</v>
      </c>
      <c r="L3013" s="2" t="s">
        <v>5221</v>
      </c>
      <c r="M3013" s="2" t="s">
        <v>5221</v>
      </c>
      <c r="N3013" s="2" t="s">
        <v>2317</v>
      </c>
      <c r="O3013" s="14">
        <v>6700</v>
      </c>
      <c r="P3013" s="14">
        <v>98.33</v>
      </c>
      <c r="Q3013" s="14">
        <v>111.89</v>
      </c>
      <c r="R3013" s="14">
        <v>114.13</v>
      </c>
      <c r="S3013" s="2" t="s">
        <v>5344</v>
      </c>
      <c r="T3013" s="2">
        <v>1.03</v>
      </c>
      <c r="U3013" s="2">
        <v>66.099999999999994</v>
      </c>
      <c r="V3013" s="2">
        <v>61</v>
      </c>
      <c r="W3013" s="2" t="s">
        <v>7862</v>
      </c>
      <c r="X3013" s="2" t="s">
        <v>7670</v>
      </c>
      <c r="Y3013" s="2">
        <v>6834</v>
      </c>
      <c r="Z3013" s="19" t="str">
        <f>HYPERLINK("https://ssdweb.co/ssdweb/hd/Vision360.html?d=926110977&amp;zoomslide=1&amp;z=1926110977&amp;ISCONFIRM=0","VIDEO")</f>
        <v>VIDEO</v>
      </c>
      <c r="AA3013" s="19" t="str">
        <f>HYPERLINK("https://ssdweb.co/ssdweb/CERTH/632449573.pdf","CERTI")</f>
        <v>CERTI</v>
      </c>
    </row>
    <row r="3014" spans="1:27" ht="15" x14ac:dyDescent="0.25">
      <c r="A3014" s="2">
        <v>3009</v>
      </c>
      <c r="B3014" s="39">
        <v>925791442</v>
      </c>
      <c r="C3014" s="28" t="str">
        <f>HYPERLINK("https://pld.live/RapDetail.aspx?STONELIST=925791442","DNA")</f>
        <v>DNA</v>
      </c>
      <c r="D3014" s="18" t="s">
        <v>3054</v>
      </c>
      <c r="E3014" s="18" t="s">
        <v>5128</v>
      </c>
      <c r="F3014" s="2" t="s">
        <v>7987</v>
      </c>
      <c r="G3014" s="2" t="s">
        <v>3296</v>
      </c>
      <c r="H3014" s="14">
        <v>1.02</v>
      </c>
      <c r="I3014" s="2" t="s">
        <v>267</v>
      </c>
      <c r="J3014" s="2" t="s">
        <v>5144</v>
      </c>
      <c r="K3014" s="2" t="s">
        <v>1452</v>
      </c>
      <c r="L3014" s="2" t="s">
        <v>5221</v>
      </c>
      <c r="M3014" s="2" t="s">
        <v>5221</v>
      </c>
      <c r="N3014" s="2" t="s">
        <v>2317</v>
      </c>
      <c r="O3014" s="14">
        <v>5700</v>
      </c>
      <c r="P3014" s="14">
        <v>98.11</v>
      </c>
      <c r="Q3014" s="14">
        <v>107.73</v>
      </c>
      <c r="R3014" s="14">
        <v>109.88</v>
      </c>
      <c r="S3014" s="2" t="s">
        <v>5542</v>
      </c>
      <c r="T3014" s="2">
        <v>1</v>
      </c>
      <c r="U3014" s="2">
        <v>67</v>
      </c>
      <c r="V3014" s="2">
        <v>60</v>
      </c>
      <c r="W3014" s="2" t="s">
        <v>7862</v>
      </c>
      <c r="X3014" s="2" t="s">
        <v>7670</v>
      </c>
      <c r="Y3014" s="2">
        <v>5814</v>
      </c>
      <c r="Z3014" s="19" t="str">
        <f>HYPERLINK("https://ssdweb.co/ssdweb/hd/Vision360.html?d=925791442&amp;zoomslide=1&amp;z=1925791442&amp;ISCONFIRM=0","VIDEO")</f>
        <v>VIDEO</v>
      </c>
      <c r="AA3014" s="19" t="str">
        <f>HYPERLINK("https://ssdweb.co/ssdweb/CERTH/628427058.pdf","CERTI")</f>
        <v>CERTI</v>
      </c>
    </row>
    <row r="3015" spans="1:27" ht="15" x14ac:dyDescent="0.25">
      <c r="A3015" s="2">
        <v>3010</v>
      </c>
      <c r="B3015" s="39">
        <v>924880034</v>
      </c>
      <c r="C3015" s="28" t="str">
        <f>HYPERLINK("https://pld.live/RapDetail.aspx?STONELIST=924880034","DNA")</f>
        <v>DNA</v>
      </c>
      <c r="D3015" s="18" t="s">
        <v>3054</v>
      </c>
      <c r="E3015" s="18" t="s">
        <v>5128</v>
      </c>
      <c r="F3015" s="2" t="s">
        <v>7987</v>
      </c>
      <c r="G3015" s="2" t="s">
        <v>3296</v>
      </c>
      <c r="H3015" s="14">
        <v>1.02</v>
      </c>
      <c r="I3015" s="2" t="s">
        <v>4761</v>
      </c>
      <c r="J3015" s="2" t="s">
        <v>7032</v>
      </c>
      <c r="K3015" s="2" t="s">
        <v>1452</v>
      </c>
      <c r="L3015" s="2" t="s">
        <v>5221</v>
      </c>
      <c r="M3015" s="2" t="s">
        <v>5221</v>
      </c>
      <c r="N3015" s="2" t="s">
        <v>2317</v>
      </c>
      <c r="O3015" s="14">
        <v>8200</v>
      </c>
      <c r="P3015" s="14">
        <v>97.05</v>
      </c>
      <c r="Q3015" s="14">
        <v>241.9</v>
      </c>
      <c r="R3015" s="14">
        <v>246.74</v>
      </c>
      <c r="S3015" s="2" t="s">
        <v>2952</v>
      </c>
      <c r="T3015" s="2">
        <v>1.03</v>
      </c>
      <c r="U3015" s="2">
        <v>67.3</v>
      </c>
      <c r="V3015" s="2">
        <v>60</v>
      </c>
      <c r="W3015" s="2" t="s">
        <v>7862</v>
      </c>
      <c r="X3015" s="2" t="s">
        <v>7670</v>
      </c>
      <c r="Y3015" s="2">
        <v>8364</v>
      </c>
      <c r="Z3015" s="19" t="str">
        <f>HYPERLINK("https://ssdweb.co/ssdweb/hd/Vision360.html?d=924880034&amp;zoomslide=1&amp;z=1924880034&amp;ISCONFIRM=0","VIDEO")</f>
        <v>VIDEO</v>
      </c>
      <c r="AA3015" s="19" t="str">
        <f>HYPERLINK("https://ssdweb.co/ssdweb/CERTH/600356290.pdf","CERTI")</f>
        <v>CERTI</v>
      </c>
    </row>
    <row r="3016" spans="1:27" ht="15" x14ac:dyDescent="0.25">
      <c r="A3016" s="2">
        <v>3011</v>
      </c>
      <c r="B3016" s="39">
        <v>925830752</v>
      </c>
      <c r="C3016" s="28" t="str">
        <f>HYPERLINK("https://pld.live/RapDetail.aspx?STONELIST=925830752","DNA")</f>
        <v>DNA</v>
      </c>
      <c r="D3016" s="18" t="s">
        <v>3054</v>
      </c>
      <c r="E3016" s="18" t="s">
        <v>5128</v>
      </c>
      <c r="F3016" s="2" t="s">
        <v>7987</v>
      </c>
      <c r="G3016" s="2" t="s">
        <v>3296</v>
      </c>
      <c r="H3016" s="14">
        <v>1.02</v>
      </c>
      <c r="I3016" s="2" t="s">
        <v>4761</v>
      </c>
      <c r="J3016" s="2" t="s">
        <v>6555</v>
      </c>
      <c r="K3016" s="2" t="s">
        <v>1452</v>
      </c>
      <c r="L3016" s="2" t="s">
        <v>5221</v>
      </c>
      <c r="M3016" s="2" t="s">
        <v>5221</v>
      </c>
      <c r="N3016" s="2" t="s">
        <v>2317</v>
      </c>
      <c r="O3016" s="14">
        <v>7500</v>
      </c>
      <c r="P3016" s="14">
        <v>98.08</v>
      </c>
      <c r="Q3016" s="14">
        <v>144</v>
      </c>
      <c r="R3016" s="14">
        <v>146.88</v>
      </c>
      <c r="S3016" s="2" t="s">
        <v>3213</v>
      </c>
      <c r="T3016" s="2">
        <v>1.05</v>
      </c>
      <c r="U3016" s="2">
        <v>63.7</v>
      </c>
      <c r="V3016" s="2">
        <v>62</v>
      </c>
      <c r="W3016" s="2" t="s">
        <v>7862</v>
      </c>
      <c r="X3016" s="2" t="s">
        <v>7670</v>
      </c>
      <c r="Y3016" s="2">
        <v>7650</v>
      </c>
      <c r="Z3016" s="19" t="str">
        <f>HYPERLINK("https://ssdweb.co/ssdweb/hd/Vision360.html?d=925830752&amp;zoomslide=1&amp;z=1925830752&amp;ISCONFIRM=0","VIDEO")</f>
        <v>VIDEO</v>
      </c>
      <c r="AA3016" s="19" t="str">
        <f>HYPERLINK("https://ssdweb.co/ssdweb/CERTH/628426986.pdf","CERTI")</f>
        <v>CERTI</v>
      </c>
    </row>
    <row r="3017" spans="1:27" ht="15" x14ac:dyDescent="0.25">
      <c r="A3017" s="2">
        <v>3012</v>
      </c>
      <c r="B3017" s="39">
        <v>926250024</v>
      </c>
      <c r="C3017" s="28" t="str">
        <f>HYPERLINK("https://pld.live/RapDetail.aspx?STONELIST=926250024","DNA")</f>
        <v>DNA</v>
      </c>
      <c r="D3017" s="18" t="s">
        <v>3054</v>
      </c>
      <c r="E3017" s="18" t="s">
        <v>5128</v>
      </c>
      <c r="F3017" s="2" t="s">
        <v>7987</v>
      </c>
      <c r="G3017" s="2" t="s">
        <v>3296</v>
      </c>
      <c r="H3017" s="14">
        <v>1.02</v>
      </c>
      <c r="I3017" s="2" t="s">
        <v>4761</v>
      </c>
      <c r="J3017" s="2" t="s">
        <v>3942</v>
      </c>
      <c r="K3017" s="2" t="s">
        <v>1452</v>
      </c>
      <c r="L3017" s="2" t="s">
        <v>5221</v>
      </c>
      <c r="M3017" s="2" t="s">
        <v>5221</v>
      </c>
      <c r="N3017" s="2" t="s">
        <v>2317</v>
      </c>
      <c r="O3017" s="14">
        <v>6900</v>
      </c>
      <c r="P3017" s="14">
        <v>98.39</v>
      </c>
      <c r="Q3017" s="14">
        <v>111.09</v>
      </c>
      <c r="R3017" s="14">
        <v>113.31</v>
      </c>
      <c r="S3017" s="2" t="s">
        <v>365</v>
      </c>
      <c r="T3017" s="2">
        <v>1.05</v>
      </c>
      <c r="U3017" s="2">
        <v>67.5</v>
      </c>
      <c r="V3017" s="2">
        <v>58</v>
      </c>
      <c r="W3017" s="2" t="s">
        <v>7862</v>
      </c>
      <c r="X3017" s="2" t="s">
        <v>7670</v>
      </c>
      <c r="Y3017" s="2">
        <v>7038</v>
      </c>
      <c r="Z3017" s="19" t="str">
        <f>HYPERLINK("https://ssdweb.co/ssdweb/hd/Vision360.html?d=926250024&amp;zoomslide=1&amp;z=1926250024&amp;ISCONFIRM=0","VIDEO")</f>
        <v>VIDEO</v>
      </c>
      <c r="AA3017" s="19" t="str">
        <f>HYPERLINK("https://ssdweb.co/ssdweb/CERTH/635427019.pdf","CERTI")</f>
        <v>CERTI</v>
      </c>
    </row>
    <row r="3018" spans="1:27" ht="15" x14ac:dyDescent="0.25">
      <c r="A3018" s="2">
        <v>3013</v>
      </c>
      <c r="B3018" s="39">
        <v>926211211</v>
      </c>
      <c r="C3018" s="28" t="str">
        <f>HYPERLINK("https://pld.live/RapDetail.aspx?STONELIST=926211211","DNA")</f>
        <v>DNA</v>
      </c>
      <c r="D3018" s="18" t="s">
        <v>3054</v>
      </c>
      <c r="E3018" s="18" t="s">
        <v>5128</v>
      </c>
      <c r="F3018" s="2" t="s">
        <v>7987</v>
      </c>
      <c r="G3018" s="2" t="s">
        <v>3296</v>
      </c>
      <c r="H3018" s="14">
        <v>1.02</v>
      </c>
      <c r="I3018" s="2" t="s">
        <v>4761</v>
      </c>
      <c r="J3018" s="2" t="s">
        <v>3942</v>
      </c>
      <c r="K3018" s="2" t="s">
        <v>1452</v>
      </c>
      <c r="L3018" s="2" t="s">
        <v>5221</v>
      </c>
      <c r="M3018" s="2" t="s">
        <v>5221</v>
      </c>
      <c r="N3018" s="2" t="s">
        <v>2317</v>
      </c>
      <c r="O3018" s="14">
        <v>6900</v>
      </c>
      <c r="P3018" s="14">
        <v>98.39</v>
      </c>
      <c r="Q3018" s="14">
        <v>111.09</v>
      </c>
      <c r="R3018" s="14">
        <v>113.31</v>
      </c>
      <c r="S3018" s="2" t="s">
        <v>7220</v>
      </c>
      <c r="T3018" s="2">
        <v>1.02</v>
      </c>
      <c r="U3018" s="2">
        <v>64.8</v>
      </c>
      <c r="V3018" s="2">
        <v>57</v>
      </c>
      <c r="W3018" s="2" t="s">
        <v>7862</v>
      </c>
      <c r="X3018" s="2" t="s">
        <v>7670</v>
      </c>
      <c r="Y3018" s="2">
        <v>7038</v>
      </c>
      <c r="Z3018" s="19" t="str">
        <f>HYPERLINK("https://ssdweb.co/ssdweb/hd/Vision360.html?d=926211211&amp;zoomslide=1&amp;z=1926211211&amp;ISCONFIRM=0","VIDEO")</f>
        <v>VIDEO</v>
      </c>
      <c r="AA3018" s="19" t="str">
        <f>HYPERLINK("https://ssdweb.co/ssdweb/CERTH/644472442.pdf","CERTI")</f>
        <v>CERTI</v>
      </c>
    </row>
    <row r="3019" spans="1:27" ht="15" x14ac:dyDescent="0.25">
      <c r="A3019" s="2">
        <v>3014</v>
      </c>
      <c r="B3019" s="39">
        <v>925900598</v>
      </c>
      <c r="C3019" s="28" t="str">
        <f>HYPERLINK("https://pld.live/RapDetail.aspx?STONELIST=925900598","DNA")</f>
        <v>DNA</v>
      </c>
      <c r="D3019" s="18" t="s">
        <v>3054</v>
      </c>
      <c r="E3019" s="18" t="s">
        <v>5128</v>
      </c>
      <c r="F3019" s="2" t="s">
        <v>5597</v>
      </c>
      <c r="G3019" s="2" t="s">
        <v>3296</v>
      </c>
      <c r="H3019" s="14">
        <v>1.02</v>
      </c>
      <c r="I3019" s="2" t="s">
        <v>4761</v>
      </c>
      <c r="J3019" s="2" t="s">
        <v>3942</v>
      </c>
      <c r="K3019" s="2" t="s">
        <v>1452</v>
      </c>
      <c r="L3019" s="2" t="s">
        <v>5221</v>
      </c>
      <c r="M3019" s="2" t="s">
        <v>5721</v>
      </c>
      <c r="N3019" s="2" t="s">
        <v>2317</v>
      </c>
      <c r="O3019" s="14">
        <v>6900</v>
      </c>
      <c r="P3019" s="14">
        <v>97.46</v>
      </c>
      <c r="Q3019" s="14">
        <v>175.26</v>
      </c>
      <c r="R3019" s="14">
        <v>178.77</v>
      </c>
      <c r="S3019" s="2" t="s">
        <v>6908</v>
      </c>
      <c r="T3019" s="2">
        <v>1.05</v>
      </c>
      <c r="U3019" s="2">
        <v>66.599999999999994</v>
      </c>
      <c r="V3019" s="2">
        <v>60</v>
      </c>
      <c r="W3019" s="2" t="s">
        <v>7862</v>
      </c>
      <c r="X3019" s="2" t="s">
        <v>7053</v>
      </c>
      <c r="Y3019" s="2">
        <v>7038</v>
      </c>
      <c r="Z3019" s="19" t="str">
        <f>HYPERLINK("https://ssdweb.co/ssdweb/hd/Vision360.html?d=925900598&amp;zoomslide=1&amp;z=1925900598&amp;ISCONFIRM=0","VIDEO")</f>
        <v>VIDEO</v>
      </c>
      <c r="AA3019" s="19" t="str">
        <f>HYPERLINK("https://ssdweb.co/ssdweb/CERTH/2496087902.pdf","CERTI")</f>
        <v>CERTI</v>
      </c>
    </row>
    <row r="3020" spans="1:27" ht="15" x14ac:dyDescent="0.25">
      <c r="A3020" s="2">
        <v>3015</v>
      </c>
      <c r="B3020" s="39">
        <v>925791409</v>
      </c>
      <c r="C3020" s="28" t="str">
        <f>HYPERLINK("https://pld.live/RapDetail.aspx?STONELIST=925791409","DNA")</f>
        <v>DNA</v>
      </c>
      <c r="D3020" s="18" t="s">
        <v>3054</v>
      </c>
      <c r="E3020" s="18" t="s">
        <v>5128</v>
      </c>
      <c r="F3020" s="2" t="s">
        <v>7987</v>
      </c>
      <c r="G3020" s="2" t="s">
        <v>3296</v>
      </c>
      <c r="H3020" s="14">
        <v>1.02</v>
      </c>
      <c r="I3020" s="2" t="s">
        <v>4761</v>
      </c>
      <c r="J3020" s="2" t="s">
        <v>13</v>
      </c>
      <c r="K3020" s="2" t="s">
        <v>1452</v>
      </c>
      <c r="L3020" s="2" t="s">
        <v>5221</v>
      </c>
      <c r="M3020" s="2" t="s">
        <v>5221</v>
      </c>
      <c r="N3020" s="2" t="s">
        <v>2317</v>
      </c>
      <c r="O3020" s="14">
        <v>6200</v>
      </c>
      <c r="P3020" s="14">
        <v>98.24</v>
      </c>
      <c r="Q3020" s="14">
        <v>109.12</v>
      </c>
      <c r="R3020" s="14">
        <v>111.3</v>
      </c>
      <c r="S3020" s="2" t="s">
        <v>1248</v>
      </c>
      <c r="T3020" s="2">
        <v>1.05</v>
      </c>
      <c r="U3020" s="2">
        <v>66.8</v>
      </c>
      <c r="V3020" s="2">
        <v>60</v>
      </c>
      <c r="W3020" s="2" t="s">
        <v>7862</v>
      </c>
      <c r="X3020" s="2" t="s">
        <v>7670</v>
      </c>
      <c r="Y3020" s="2">
        <v>6324</v>
      </c>
      <c r="Z3020" s="19" t="str">
        <f>HYPERLINK("https://ssdweb.co/ssdweb/hd/Vision360.html?d=925791409&amp;zoomslide=1&amp;z=1925791409&amp;ISCONFIRM=0","VIDEO")</f>
        <v>VIDEO</v>
      </c>
      <c r="AA3020" s="19" t="str">
        <f>HYPERLINK("https://ssdweb.co/ssdweb/CERTH/628427005.pdf","CERTI")</f>
        <v>CERTI</v>
      </c>
    </row>
    <row r="3021" spans="1:27" ht="15" x14ac:dyDescent="0.25">
      <c r="A3021" s="2">
        <v>3016</v>
      </c>
      <c r="B3021" s="39">
        <v>926111372</v>
      </c>
      <c r="C3021" s="28" t="str">
        <f>HYPERLINK("https://pld.live/RapDetail.aspx?STONELIST=926111372","DNA")</f>
        <v>DNA</v>
      </c>
      <c r="D3021" s="18" t="s">
        <v>3054</v>
      </c>
      <c r="E3021" s="18" t="s">
        <v>5128</v>
      </c>
      <c r="F3021" s="2" t="s">
        <v>7987</v>
      </c>
      <c r="G3021" s="2" t="s">
        <v>3296</v>
      </c>
      <c r="H3021" s="14">
        <v>1.02</v>
      </c>
      <c r="I3021" s="2" t="s">
        <v>4761</v>
      </c>
      <c r="J3021" s="2" t="s">
        <v>13</v>
      </c>
      <c r="K3021" s="2" t="s">
        <v>1452</v>
      </c>
      <c r="L3021" s="2" t="s">
        <v>5221</v>
      </c>
      <c r="M3021" s="2" t="s">
        <v>5221</v>
      </c>
      <c r="N3021" s="2" t="s">
        <v>2317</v>
      </c>
      <c r="O3021" s="14">
        <v>6200</v>
      </c>
      <c r="P3021" s="14">
        <v>98.24</v>
      </c>
      <c r="Q3021" s="14">
        <v>109.12</v>
      </c>
      <c r="R3021" s="14">
        <v>111.3</v>
      </c>
      <c r="S3021" s="2" t="s">
        <v>633</v>
      </c>
      <c r="T3021" s="2">
        <v>1.04</v>
      </c>
      <c r="U3021" s="2">
        <v>65</v>
      </c>
      <c r="V3021" s="2">
        <v>61</v>
      </c>
      <c r="W3021" s="2" t="s">
        <v>7862</v>
      </c>
      <c r="X3021" s="2" t="s">
        <v>7670</v>
      </c>
      <c r="Y3021" s="2">
        <v>6324</v>
      </c>
      <c r="Z3021" s="19" t="str">
        <f>HYPERLINK("https://ssdweb.co/ssdweb/hd/Vision360.html?d=926111372&amp;zoomslide=1&amp;z=1926111372&amp;ISCONFIRM=0","VIDEO")</f>
        <v>VIDEO</v>
      </c>
      <c r="AA3021" s="19" t="str">
        <f>HYPERLINK("https://ssdweb.co/ssdweb/CERTH/635426999.pdf","CERTI")</f>
        <v>CERTI</v>
      </c>
    </row>
    <row r="3022" spans="1:27" ht="15" x14ac:dyDescent="0.25">
      <c r="A3022" s="2">
        <v>3017</v>
      </c>
      <c r="B3022" s="39">
        <v>926310445</v>
      </c>
      <c r="C3022" s="28" t="str">
        <f>HYPERLINK("https://pld.live/RapDetail.aspx?STONELIST=926310445","DNA")</f>
        <v>DNA</v>
      </c>
      <c r="D3022" s="18" t="s">
        <v>3054</v>
      </c>
      <c r="E3022" s="18" t="s">
        <v>5128</v>
      </c>
      <c r="F3022" s="2" t="s">
        <v>7987</v>
      </c>
      <c r="G3022" s="2" t="s">
        <v>3296</v>
      </c>
      <c r="H3022" s="14">
        <v>1.02</v>
      </c>
      <c r="I3022" s="2" t="s">
        <v>4761</v>
      </c>
      <c r="J3022" s="2" t="s">
        <v>5144</v>
      </c>
      <c r="K3022" s="2" t="s">
        <v>1452</v>
      </c>
      <c r="L3022" s="2" t="s">
        <v>5221</v>
      </c>
      <c r="M3022" s="2" t="s">
        <v>5221</v>
      </c>
      <c r="N3022" s="2" t="s">
        <v>2317</v>
      </c>
      <c r="O3022" s="14">
        <v>5400</v>
      </c>
      <c r="P3022" s="14">
        <v>98.04</v>
      </c>
      <c r="Q3022" s="14">
        <v>105.84</v>
      </c>
      <c r="R3022" s="14">
        <v>107.96</v>
      </c>
      <c r="S3022" s="2" t="s">
        <v>5550</v>
      </c>
      <c r="T3022" s="2">
        <v>1.04</v>
      </c>
      <c r="U3022" s="2">
        <v>65.400000000000006</v>
      </c>
      <c r="V3022" s="2">
        <v>61</v>
      </c>
      <c r="W3022" s="2" t="s">
        <v>7862</v>
      </c>
      <c r="X3022" s="2" t="s">
        <v>7670</v>
      </c>
      <c r="Y3022" s="2">
        <v>5508</v>
      </c>
      <c r="Z3022" s="19" t="str">
        <f>HYPERLINK("https://ssdweb.co/ssdweb/hd/Vision360.html?d=926310445&amp;zoomslide=1&amp;z=1926310445&amp;ISCONFIRM=0","VIDEO")</f>
        <v>VIDEO</v>
      </c>
      <c r="AA3022" s="19" t="str">
        <f>HYPERLINK("https://ssdweb.co/ssdweb/CERTH/638463380.pdf","CERTI")</f>
        <v>CERTI</v>
      </c>
    </row>
    <row r="3023" spans="1:27" ht="15" x14ac:dyDescent="0.25">
      <c r="A3023" s="2">
        <v>3018</v>
      </c>
      <c r="B3023" s="39">
        <v>925830755</v>
      </c>
      <c r="C3023" s="28" t="str">
        <f>HYPERLINK("https://pld.live/RapDetail.aspx?STONELIST=925830755","DNA")</f>
        <v>DNA</v>
      </c>
      <c r="D3023" s="18" t="s">
        <v>3054</v>
      </c>
      <c r="E3023" s="18" t="s">
        <v>5128</v>
      </c>
      <c r="F3023" s="2" t="s">
        <v>7987</v>
      </c>
      <c r="G3023" s="2" t="s">
        <v>3296</v>
      </c>
      <c r="H3023" s="14">
        <v>1.01</v>
      </c>
      <c r="I3023" s="2" t="s">
        <v>267</v>
      </c>
      <c r="J3023" s="2" t="s">
        <v>3942</v>
      </c>
      <c r="K3023" s="2" t="s">
        <v>1452</v>
      </c>
      <c r="L3023" s="2" t="s">
        <v>5221</v>
      </c>
      <c r="M3023" s="2" t="s">
        <v>5221</v>
      </c>
      <c r="N3023" s="2" t="s">
        <v>2317</v>
      </c>
      <c r="O3023" s="14">
        <v>7600</v>
      </c>
      <c r="P3023" s="14">
        <v>98.5</v>
      </c>
      <c r="Q3023" s="14">
        <v>114</v>
      </c>
      <c r="R3023" s="14">
        <v>115.14</v>
      </c>
      <c r="S3023" s="2" t="s">
        <v>3559</v>
      </c>
      <c r="T3023" s="2">
        <v>1.05</v>
      </c>
      <c r="U3023" s="2">
        <v>66.099999999999994</v>
      </c>
      <c r="V3023" s="2">
        <v>59</v>
      </c>
      <c r="W3023" s="2" t="s">
        <v>7862</v>
      </c>
      <c r="X3023" s="2" t="s">
        <v>7670</v>
      </c>
      <c r="Y3023" s="2">
        <v>7676</v>
      </c>
      <c r="Z3023" s="19" t="str">
        <f>HYPERLINK("https://ssdweb.co/ssdweb/hd/Vision360.html?d=925830755&amp;zoomslide=1&amp;z=1925830755&amp;ISCONFIRM=0","VIDEO")</f>
        <v>VIDEO</v>
      </c>
      <c r="AA3023" s="19" t="str">
        <f>HYPERLINK("https://ssdweb.co/ssdweb/CERTH/629453099.pdf","CERTI")</f>
        <v>CERTI</v>
      </c>
    </row>
    <row r="3024" spans="1:27" ht="15" x14ac:dyDescent="0.25">
      <c r="A3024" s="2">
        <v>3019</v>
      </c>
      <c r="B3024" s="39">
        <v>925791448</v>
      </c>
      <c r="C3024" s="28" t="str">
        <f>HYPERLINK("https://pld.live/RapDetail.aspx?STONELIST=925791448","DNA")</f>
        <v>DNA</v>
      </c>
      <c r="D3024" s="18" t="s">
        <v>3054</v>
      </c>
      <c r="E3024" s="18" t="s">
        <v>5128</v>
      </c>
      <c r="F3024" s="2" t="s">
        <v>7987</v>
      </c>
      <c r="G3024" s="2" t="s">
        <v>3296</v>
      </c>
      <c r="H3024" s="14">
        <v>1.01</v>
      </c>
      <c r="I3024" s="2" t="s">
        <v>267</v>
      </c>
      <c r="J3024" s="2" t="s">
        <v>3942</v>
      </c>
      <c r="K3024" s="2" t="s">
        <v>1452</v>
      </c>
      <c r="L3024" s="2" t="s">
        <v>5221</v>
      </c>
      <c r="M3024" s="2" t="s">
        <v>5221</v>
      </c>
      <c r="N3024" s="2" t="s">
        <v>2317</v>
      </c>
      <c r="O3024" s="14">
        <v>7600</v>
      </c>
      <c r="P3024" s="14">
        <v>98.5</v>
      </c>
      <c r="Q3024" s="14">
        <v>114</v>
      </c>
      <c r="R3024" s="14">
        <v>115.14</v>
      </c>
      <c r="S3024" s="2" t="s">
        <v>7967</v>
      </c>
      <c r="T3024" s="2">
        <v>1.05</v>
      </c>
      <c r="U3024" s="2">
        <v>66.099999999999994</v>
      </c>
      <c r="V3024" s="2">
        <v>60</v>
      </c>
      <c r="W3024" s="2" t="s">
        <v>7862</v>
      </c>
      <c r="X3024" s="2" t="s">
        <v>7670</v>
      </c>
      <c r="Y3024" s="2">
        <v>7676</v>
      </c>
      <c r="Z3024" s="19" t="str">
        <f>HYPERLINK("https://ssdweb.co/ssdweb/hd/Vision360.html?d=925791448&amp;zoomslide=1&amp;z=1925791448&amp;ISCONFIRM=0","VIDEO")</f>
        <v>VIDEO</v>
      </c>
      <c r="AA3024" s="19" t="str">
        <f>HYPERLINK("https://ssdweb.co/ssdweb/CERTH/629453377.pdf","CERTI")</f>
        <v>CERTI</v>
      </c>
    </row>
    <row r="3025" spans="1:27" ht="15" x14ac:dyDescent="0.25">
      <c r="A3025" s="2">
        <v>3020</v>
      </c>
      <c r="B3025" s="39">
        <v>925732192</v>
      </c>
      <c r="C3025" s="28" t="str">
        <f>HYPERLINK("https://pld.live/RapDetail.aspx?STONELIST=925732192","DNA")</f>
        <v>DNA</v>
      </c>
      <c r="D3025" s="18" t="s">
        <v>3054</v>
      </c>
      <c r="E3025" s="18" t="s">
        <v>5128</v>
      </c>
      <c r="F3025" s="2" t="s">
        <v>7987</v>
      </c>
      <c r="G3025" s="2" t="s">
        <v>3296</v>
      </c>
      <c r="H3025" s="14">
        <v>1.01</v>
      </c>
      <c r="I3025" s="2" t="s">
        <v>267</v>
      </c>
      <c r="J3025" s="2" t="s">
        <v>3942</v>
      </c>
      <c r="K3025" s="2" t="s">
        <v>1452</v>
      </c>
      <c r="L3025" s="2" t="s">
        <v>5221</v>
      </c>
      <c r="M3025" s="2" t="s">
        <v>5221</v>
      </c>
      <c r="N3025" s="2" t="s">
        <v>2317</v>
      </c>
      <c r="O3025" s="14">
        <v>7600</v>
      </c>
      <c r="P3025" s="14">
        <v>98.53</v>
      </c>
      <c r="Q3025" s="14">
        <v>111.72</v>
      </c>
      <c r="R3025" s="14">
        <v>112.84</v>
      </c>
      <c r="S3025" s="2" t="s">
        <v>6321</v>
      </c>
      <c r="T3025" s="2">
        <v>1.02</v>
      </c>
      <c r="U3025" s="2">
        <v>67.3</v>
      </c>
      <c r="V3025" s="2">
        <v>61</v>
      </c>
      <c r="W3025" s="2" t="s">
        <v>7862</v>
      </c>
      <c r="X3025" s="2" t="s">
        <v>7670</v>
      </c>
      <c r="Y3025" s="2">
        <v>7676</v>
      </c>
      <c r="Z3025" s="19" t="str">
        <f>HYPERLINK("https://ssdweb.co/ssdweb/hd/Vision360.html?d=925732192&amp;zoomslide=1&amp;z=1925732192&amp;ISCONFIRM=0","VIDEO")</f>
        <v>VIDEO</v>
      </c>
      <c r="AA3025" s="19" t="str">
        <f>HYPERLINK("https://ssdweb.co/ssdweb/CERTH/626466263.pdf","CERTI")</f>
        <v>CERTI</v>
      </c>
    </row>
    <row r="3026" spans="1:27" ht="15" x14ac:dyDescent="0.25">
      <c r="A3026" s="2">
        <v>3021</v>
      </c>
      <c r="B3026" s="39">
        <v>821128394</v>
      </c>
      <c r="C3026" s="28" t="str">
        <f>HYPERLINK("https://pld.live/RapDetail.aspx?STONELIST=821128394","DNA")</f>
        <v>DNA</v>
      </c>
      <c r="D3026" s="18" t="s">
        <v>3054</v>
      </c>
      <c r="E3026" s="18" t="s">
        <v>5128</v>
      </c>
      <c r="F3026" s="2" t="s">
        <v>7987</v>
      </c>
      <c r="G3026" s="2" t="s">
        <v>3296</v>
      </c>
      <c r="H3026" s="14">
        <v>1.01</v>
      </c>
      <c r="I3026" s="2" t="s">
        <v>267</v>
      </c>
      <c r="J3026" s="2" t="s">
        <v>3942</v>
      </c>
      <c r="K3026" s="2" t="s">
        <v>1452</v>
      </c>
      <c r="L3026" s="2" t="s">
        <v>5221</v>
      </c>
      <c r="M3026" s="2" t="s">
        <v>5221</v>
      </c>
      <c r="N3026" s="2" t="s">
        <v>2317</v>
      </c>
      <c r="O3026" s="14">
        <v>7600</v>
      </c>
      <c r="P3026" s="14">
        <v>98.53</v>
      </c>
      <c r="Q3026" s="14">
        <v>111.72</v>
      </c>
      <c r="R3026" s="14">
        <v>112.84</v>
      </c>
      <c r="S3026" s="2" t="s">
        <v>4999</v>
      </c>
      <c r="T3026" s="2">
        <v>1.02</v>
      </c>
      <c r="U3026" s="2">
        <v>65.2</v>
      </c>
      <c r="V3026" s="2">
        <v>59</v>
      </c>
      <c r="W3026" s="2" t="s">
        <v>7862</v>
      </c>
      <c r="X3026" s="2" t="s">
        <v>7670</v>
      </c>
      <c r="Y3026" s="2">
        <v>7676</v>
      </c>
      <c r="Z3026" s="19" t="str">
        <f>HYPERLINK("https://ssdweb.co/ssdweb/hd/Vision360.html?d=821128394&amp;zoomslide=1&amp;z=1821128394&amp;ISCONFIRM=0","VIDEO")</f>
        <v>VIDEO</v>
      </c>
      <c r="AA3026" s="19" t="str">
        <f>HYPERLINK("https://ssdweb.co/ssdweb/CERTH/623467813.pdf","CERTI")</f>
        <v>CERTI</v>
      </c>
    </row>
    <row r="3027" spans="1:27" ht="15" x14ac:dyDescent="0.25">
      <c r="A3027" s="2">
        <v>3022</v>
      </c>
      <c r="B3027" s="39">
        <v>821128387</v>
      </c>
      <c r="C3027" s="28" t="str">
        <f>HYPERLINK("https://pld.live/RapDetail.aspx?STONELIST=821128387","DNA")</f>
        <v>DNA</v>
      </c>
      <c r="D3027" s="18" t="s">
        <v>3054</v>
      </c>
      <c r="E3027" s="18" t="s">
        <v>5128</v>
      </c>
      <c r="F3027" s="2" t="s">
        <v>7987</v>
      </c>
      <c r="G3027" s="2" t="s">
        <v>3296</v>
      </c>
      <c r="H3027" s="14">
        <v>1.01</v>
      </c>
      <c r="I3027" s="2" t="s">
        <v>267</v>
      </c>
      <c r="J3027" s="2" t="s">
        <v>3942</v>
      </c>
      <c r="K3027" s="2" t="s">
        <v>1452</v>
      </c>
      <c r="L3027" s="2" t="s">
        <v>5221</v>
      </c>
      <c r="M3027" s="2" t="s">
        <v>5221</v>
      </c>
      <c r="N3027" s="2" t="s">
        <v>2317</v>
      </c>
      <c r="O3027" s="14">
        <v>7600</v>
      </c>
      <c r="P3027" s="14">
        <v>98.53</v>
      </c>
      <c r="Q3027" s="14">
        <v>111.72</v>
      </c>
      <c r="R3027" s="14">
        <v>112.84</v>
      </c>
      <c r="S3027" s="2" t="s">
        <v>2533</v>
      </c>
      <c r="T3027" s="2">
        <v>1.02</v>
      </c>
      <c r="U3027" s="2">
        <v>63.3</v>
      </c>
      <c r="V3027" s="2">
        <v>60</v>
      </c>
      <c r="W3027" s="2" t="s">
        <v>7862</v>
      </c>
      <c r="X3027" s="2" t="s">
        <v>7670</v>
      </c>
      <c r="Y3027" s="2">
        <v>7676</v>
      </c>
      <c r="Z3027" s="19" t="str">
        <f>HYPERLINK("https://ssdweb.co/ssdweb/hd/Vision360.html?d=821128387&amp;zoomslide=1&amp;z=1821128387&amp;ISCONFIRM=0","VIDEO")</f>
        <v>VIDEO</v>
      </c>
      <c r="AA3027" s="19" t="str">
        <f>HYPERLINK("https://ssdweb.co/ssdweb/CERTH/622463195.pdf","CERTI")</f>
        <v>CERTI</v>
      </c>
    </row>
    <row r="3028" spans="1:27" ht="15" x14ac:dyDescent="0.25">
      <c r="A3028" s="2">
        <v>3023</v>
      </c>
      <c r="B3028" s="39">
        <v>821128375</v>
      </c>
      <c r="C3028" s="28" t="str">
        <f>HYPERLINK("https://pld.live/RapDetail.aspx?STONELIST=821128375","DNA")</f>
        <v>DNA</v>
      </c>
      <c r="D3028" s="18" t="s">
        <v>3054</v>
      </c>
      <c r="E3028" s="18" t="s">
        <v>5128</v>
      </c>
      <c r="F3028" s="2" t="s">
        <v>7987</v>
      </c>
      <c r="G3028" s="2" t="s">
        <v>3296</v>
      </c>
      <c r="H3028" s="14">
        <v>1.01</v>
      </c>
      <c r="I3028" s="2" t="s">
        <v>267</v>
      </c>
      <c r="J3028" s="2" t="s">
        <v>3942</v>
      </c>
      <c r="K3028" s="2" t="s">
        <v>1452</v>
      </c>
      <c r="L3028" s="2" t="s">
        <v>5221</v>
      </c>
      <c r="M3028" s="2" t="s">
        <v>5221</v>
      </c>
      <c r="N3028" s="2" t="s">
        <v>2317</v>
      </c>
      <c r="O3028" s="14">
        <v>7600</v>
      </c>
      <c r="P3028" s="14">
        <v>98.53</v>
      </c>
      <c r="Q3028" s="14">
        <v>111.72</v>
      </c>
      <c r="R3028" s="14">
        <v>112.84</v>
      </c>
      <c r="S3028" s="2" t="s">
        <v>6148</v>
      </c>
      <c r="T3028" s="2">
        <v>1.03</v>
      </c>
      <c r="U3028" s="2">
        <v>66.2</v>
      </c>
      <c r="V3028" s="2">
        <v>66.2</v>
      </c>
      <c r="W3028" s="2" t="s">
        <v>7862</v>
      </c>
      <c r="X3028" s="2" t="s">
        <v>7670</v>
      </c>
      <c r="Y3028" s="2">
        <v>7676</v>
      </c>
      <c r="Z3028" s="19" t="str">
        <f>HYPERLINK("https://ssdweb.co/ssdweb/hd/Vision360.html?d=821128375&amp;zoomslide=1&amp;z=1821128375&amp;ISCONFIRM=0","VIDEO")</f>
        <v>VIDEO</v>
      </c>
      <c r="AA3028" s="19" t="str">
        <f>HYPERLINK("https://ssdweb.co/ssdweb/CERTH/622463145.pdf","CERTI")</f>
        <v>CERTI</v>
      </c>
    </row>
    <row r="3029" spans="1:27" ht="15" x14ac:dyDescent="0.25">
      <c r="A3029" s="2">
        <v>3024</v>
      </c>
      <c r="B3029" s="39">
        <v>821128373</v>
      </c>
      <c r="C3029" s="28" t="str">
        <f>HYPERLINK("https://pld.live/RapDetail.aspx?STONELIST=821128373","DNA")</f>
        <v>DNA</v>
      </c>
      <c r="D3029" s="18" t="s">
        <v>3054</v>
      </c>
      <c r="E3029" s="18" t="s">
        <v>5128</v>
      </c>
      <c r="F3029" s="2" t="s">
        <v>7987</v>
      </c>
      <c r="G3029" s="2" t="s">
        <v>3296</v>
      </c>
      <c r="H3029" s="14">
        <v>1.01</v>
      </c>
      <c r="I3029" s="2" t="s">
        <v>267</v>
      </c>
      <c r="J3029" s="2" t="s">
        <v>3942</v>
      </c>
      <c r="K3029" s="2" t="s">
        <v>1452</v>
      </c>
      <c r="L3029" s="2" t="s">
        <v>5221</v>
      </c>
      <c r="M3029" s="2" t="s">
        <v>5221</v>
      </c>
      <c r="N3029" s="2" t="s">
        <v>2317</v>
      </c>
      <c r="O3029" s="14">
        <v>7600</v>
      </c>
      <c r="P3029" s="14">
        <v>98.53</v>
      </c>
      <c r="Q3029" s="14">
        <v>111.72</v>
      </c>
      <c r="R3029" s="14">
        <v>112.84</v>
      </c>
      <c r="S3029" s="2" t="s">
        <v>4218</v>
      </c>
      <c r="T3029" s="2">
        <v>1.02</v>
      </c>
      <c r="U3029" s="2">
        <v>66.8</v>
      </c>
      <c r="V3029" s="2">
        <v>61</v>
      </c>
      <c r="W3029" s="2" t="s">
        <v>7862</v>
      </c>
      <c r="X3029" s="2" t="s">
        <v>7670</v>
      </c>
      <c r="Y3029" s="2">
        <v>7676</v>
      </c>
      <c r="Z3029" s="19" t="str">
        <f>HYPERLINK("https://ssdweb.co/ssdweb/hd/Vision360.html?d=821128373&amp;zoomslide=1&amp;z=1821128373&amp;ISCONFIRM=0","VIDEO")</f>
        <v>VIDEO</v>
      </c>
      <c r="AA3029" s="19" t="str">
        <f>HYPERLINK("https://ssdweb.co/ssdweb/CERTH/602301330.pdf","CERTI")</f>
        <v>CERTI</v>
      </c>
    </row>
    <row r="3030" spans="1:27" ht="15" x14ac:dyDescent="0.25">
      <c r="A3030" s="2">
        <v>3025</v>
      </c>
      <c r="B3030" s="39">
        <v>821128371</v>
      </c>
      <c r="C3030" s="28" t="str">
        <f>HYPERLINK("https://pld.live/RapDetail.aspx?STONELIST=821128371","DNA")</f>
        <v>DNA</v>
      </c>
      <c r="D3030" s="18" t="s">
        <v>3054</v>
      </c>
      <c r="E3030" s="18" t="s">
        <v>5128</v>
      </c>
      <c r="F3030" s="2" t="s">
        <v>7987</v>
      </c>
      <c r="G3030" s="2" t="s">
        <v>3296</v>
      </c>
      <c r="H3030" s="14">
        <v>1.01</v>
      </c>
      <c r="I3030" s="2" t="s">
        <v>267</v>
      </c>
      <c r="J3030" s="2" t="s">
        <v>3942</v>
      </c>
      <c r="K3030" s="2" t="s">
        <v>1452</v>
      </c>
      <c r="L3030" s="2" t="s">
        <v>5221</v>
      </c>
      <c r="M3030" s="2" t="s">
        <v>5221</v>
      </c>
      <c r="N3030" s="2" t="s">
        <v>2317</v>
      </c>
      <c r="O3030" s="14">
        <v>7600</v>
      </c>
      <c r="P3030" s="14">
        <v>98.53</v>
      </c>
      <c r="Q3030" s="14">
        <v>111.72</v>
      </c>
      <c r="R3030" s="14">
        <v>112.84</v>
      </c>
      <c r="S3030" s="2" t="s">
        <v>389</v>
      </c>
      <c r="T3030" s="2">
        <v>1.01</v>
      </c>
      <c r="U3030" s="2">
        <v>66</v>
      </c>
      <c r="V3030" s="2">
        <v>60</v>
      </c>
      <c r="W3030" s="2" t="s">
        <v>7862</v>
      </c>
      <c r="X3030" s="2" t="s">
        <v>7670</v>
      </c>
      <c r="Y3030" s="2">
        <v>7676</v>
      </c>
      <c r="Z3030" s="19" t="str">
        <f>HYPERLINK("https://ssdweb.co/ssdweb/hd/Vision360.html?d=821128371&amp;zoomslide=1&amp;z=1821128371&amp;ISCONFIRM=0","VIDEO")</f>
        <v>VIDEO</v>
      </c>
      <c r="AA3030" s="19" t="str">
        <f>HYPERLINK("https://ssdweb.co/ssdweb/CERTH/622463137.pdf","CERTI")</f>
        <v>CERTI</v>
      </c>
    </row>
    <row r="3031" spans="1:27" ht="15" x14ac:dyDescent="0.25">
      <c r="A3031" s="2">
        <v>3026</v>
      </c>
      <c r="B3031" s="39">
        <v>821128369</v>
      </c>
      <c r="C3031" s="28" t="str">
        <f>HYPERLINK("https://pld.live/RapDetail.aspx?STONELIST=821128369","DNA")</f>
        <v>DNA</v>
      </c>
      <c r="D3031" s="18" t="s">
        <v>3054</v>
      </c>
      <c r="E3031" s="18" t="s">
        <v>5128</v>
      </c>
      <c r="F3031" s="2" t="s">
        <v>7987</v>
      </c>
      <c r="G3031" s="2" t="s">
        <v>3296</v>
      </c>
      <c r="H3031" s="14">
        <v>1.01</v>
      </c>
      <c r="I3031" s="2" t="s">
        <v>267</v>
      </c>
      <c r="J3031" s="2" t="s">
        <v>3942</v>
      </c>
      <c r="K3031" s="2" t="s">
        <v>1452</v>
      </c>
      <c r="L3031" s="2" t="s">
        <v>5221</v>
      </c>
      <c r="M3031" s="2" t="s">
        <v>5221</v>
      </c>
      <c r="N3031" s="2" t="s">
        <v>2317</v>
      </c>
      <c r="O3031" s="14">
        <v>7600</v>
      </c>
      <c r="P3031" s="14">
        <v>98.53</v>
      </c>
      <c r="Q3031" s="14">
        <v>111.72</v>
      </c>
      <c r="R3031" s="14">
        <v>112.84</v>
      </c>
      <c r="S3031" s="2" t="s">
        <v>2860</v>
      </c>
      <c r="T3031" s="2">
        <v>1.02</v>
      </c>
      <c r="U3031" s="2">
        <v>63.7</v>
      </c>
      <c r="V3031" s="2">
        <v>60</v>
      </c>
      <c r="W3031" s="2" t="s">
        <v>7862</v>
      </c>
      <c r="X3031" s="2" t="s">
        <v>7670</v>
      </c>
      <c r="Y3031" s="2">
        <v>7676</v>
      </c>
      <c r="Z3031" s="19" t="str">
        <f>HYPERLINK("https://ssdweb.co/ssdweb/hd/Vision360.html?d=821128369&amp;zoomslide=1&amp;z=1821128369&amp;ISCONFIRM=0","VIDEO")</f>
        <v>VIDEO</v>
      </c>
      <c r="AA3031" s="19" t="str">
        <f>HYPERLINK("https://ssdweb.co/ssdweb/CERTH/622463174.pdf","CERTI")</f>
        <v>CERTI</v>
      </c>
    </row>
    <row r="3032" spans="1:27" ht="15" x14ac:dyDescent="0.25">
      <c r="A3032" s="2">
        <v>3027</v>
      </c>
      <c r="B3032" s="39">
        <v>821128367</v>
      </c>
      <c r="C3032" s="28" t="str">
        <f>HYPERLINK("https://pld.live/RapDetail.aspx?STONELIST=821128367","DNA")</f>
        <v>DNA</v>
      </c>
      <c r="D3032" s="18" t="s">
        <v>3054</v>
      </c>
      <c r="E3032" s="18" t="s">
        <v>5128</v>
      </c>
      <c r="F3032" s="2" t="s">
        <v>7987</v>
      </c>
      <c r="G3032" s="2" t="s">
        <v>3296</v>
      </c>
      <c r="H3032" s="14">
        <v>1.01</v>
      </c>
      <c r="I3032" s="2" t="s">
        <v>267</v>
      </c>
      <c r="J3032" s="2" t="s">
        <v>3942</v>
      </c>
      <c r="K3032" s="2" t="s">
        <v>1452</v>
      </c>
      <c r="L3032" s="2" t="s">
        <v>5221</v>
      </c>
      <c r="M3032" s="2" t="s">
        <v>5221</v>
      </c>
      <c r="N3032" s="2" t="s">
        <v>2317</v>
      </c>
      <c r="O3032" s="14">
        <v>7600</v>
      </c>
      <c r="P3032" s="14">
        <v>98.53</v>
      </c>
      <c r="Q3032" s="14">
        <v>111.72</v>
      </c>
      <c r="R3032" s="14">
        <v>112.84</v>
      </c>
      <c r="S3032" s="2" t="s">
        <v>7784</v>
      </c>
      <c r="T3032" s="2">
        <v>1.03</v>
      </c>
      <c r="U3032" s="2">
        <v>65.7</v>
      </c>
      <c r="V3032" s="2">
        <v>58</v>
      </c>
      <c r="W3032" s="2" t="s">
        <v>7862</v>
      </c>
      <c r="X3032" s="2" t="s">
        <v>7670</v>
      </c>
      <c r="Y3032" s="2">
        <v>7676</v>
      </c>
      <c r="Z3032" s="19" t="str">
        <f>HYPERLINK("https://ssdweb.co/ssdweb/hd/Vision360.html?d=821128367&amp;zoomslide=1&amp;z=1821128367&amp;ISCONFIRM=0","VIDEO")</f>
        <v>VIDEO</v>
      </c>
      <c r="AA3032" s="19" t="str">
        <f>HYPERLINK("https://ssdweb.co/ssdweb/CERTH/623406744.pdf","CERTI")</f>
        <v>CERTI</v>
      </c>
    </row>
    <row r="3033" spans="1:27" ht="15" x14ac:dyDescent="0.25">
      <c r="A3033" s="2">
        <v>3028</v>
      </c>
      <c r="B3033" s="39">
        <v>926111163</v>
      </c>
      <c r="C3033" s="28" t="str">
        <f>HYPERLINK("https://pld.live/RapDetail.aspx?STONELIST=926111163","DNA")</f>
        <v>DNA</v>
      </c>
      <c r="D3033" s="18" t="s">
        <v>3054</v>
      </c>
      <c r="E3033" s="18" t="s">
        <v>5128</v>
      </c>
      <c r="F3033" s="2" t="s">
        <v>7987</v>
      </c>
      <c r="G3033" s="2" t="s">
        <v>3296</v>
      </c>
      <c r="H3033" s="14">
        <v>1.01</v>
      </c>
      <c r="I3033" s="2" t="s">
        <v>267</v>
      </c>
      <c r="J3033" s="2" t="s">
        <v>3942</v>
      </c>
      <c r="K3033" s="2" t="s">
        <v>1452</v>
      </c>
      <c r="L3033" s="2" t="s">
        <v>5221</v>
      </c>
      <c r="M3033" s="2" t="s">
        <v>5221</v>
      </c>
      <c r="N3033" s="2" t="s">
        <v>2317</v>
      </c>
      <c r="O3033" s="14">
        <v>7600</v>
      </c>
      <c r="P3033" s="14">
        <v>98.5</v>
      </c>
      <c r="Q3033" s="14">
        <v>114</v>
      </c>
      <c r="R3033" s="14">
        <v>115.14</v>
      </c>
      <c r="S3033" s="2" t="s">
        <v>5229</v>
      </c>
      <c r="T3033" s="2">
        <v>1.05</v>
      </c>
      <c r="U3033" s="2">
        <v>63.5</v>
      </c>
      <c r="V3033" s="2">
        <v>62</v>
      </c>
      <c r="W3033" s="2" t="s">
        <v>7862</v>
      </c>
      <c r="X3033" s="2" t="s">
        <v>7670</v>
      </c>
      <c r="Y3033" s="2">
        <v>7676</v>
      </c>
      <c r="Z3033" s="19" t="str">
        <f>HYPERLINK("https://ssdweb.co/ssdweb/hd/Vision360.html?d=926111163&amp;zoomslide=1&amp;z=1926111163&amp;ISCONFIRM=0","VIDEO")</f>
        <v>VIDEO</v>
      </c>
      <c r="AA3033" s="19" t="str">
        <f>HYPERLINK("https://ssdweb.co/ssdweb/CERTH/633431990.pdf","CERTI")</f>
        <v>CERTI</v>
      </c>
    </row>
    <row r="3034" spans="1:27" ht="15" x14ac:dyDescent="0.25">
      <c r="A3034" s="2">
        <v>3029</v>
      </c>
      <c r="B3034" s="39">
        <v>925830728</v>
      </c>
      <c r="C3034" s="28" t="str">
        <f>HYPERLINK("https://pld.live/RapDetail.aspx?STONELIST=925830728","DNA")</f>
        <v>DNA</v>
      </c>
      <c r="D3034" s="18" t="s">
        <v>3054</v>
      </c>
      <c r="E3034" s="18" t="s">
        <v>5128</v>
      </c>
      <c r="F3034" s="2" t="s">
        <v>7987</v>
      </c>
      <c r="G3034" s="2" t="s">
        <v>3296</v>
      </c>
      <c r="H3034" s="14">
        <v>1.01</v>
      </c>
      <c r="I3034" s="2" t="s">
        <v>267</v>
      </c>
      <c r="J3034" s="2" t="s">
        <v>13</v>
      </c>
      <c r="K3034" s="2" t="s">
        <v>1452</v>
      </c>
      <c r="L3034" s="2" t="s">
        <v>5221</v>
      </c>
      <c r="M3034" s="2" t="s">
        <v>5221</v>
      </c>
      <c r="N3034" s="2" t="s">
        <v>2317</v>
      </c>
      <c r="O3034" s="14">
        <v>6700</v>
      </c>
      <c r="P3034" s="14">
        <v>98.33</v>
      </c>
      <c r="Q3034" s="14">
        <v>111.89</v>
      </c>
      <c r="R3034" s="14">
        <v>113.01</v>
      </c>
      <c r="S3034" s="2" t="s">
        <v>2099</v>
      </c>
      <c r="T3034" s="2">
        <v>1.05</v>
      </c>
      <c r="U3034" s="2">
        <v>65.2</v>
      </c>
      <c r="V3034" s="2">
        <v>60</v>
      </c>
      <c r="W3034" s="2" t="s">
        <v>7862</v>
      </c>
      <c r="X3034" s="2" t="s">
        <v>7670</v>
      </c>
      <c r="Y3034" s="2">
        <v>6767</v>
      </c>
      <c r="Z3034" s="19" t="str">
        <f>HYPERLINK("https://ssdweb.co/ssdweb/hd/Vision360.html?d=925830728&amp;zoomslide=1&amp;z=1925830728&amp;ISCONFIRM=0","VIDEO")</f>
        <v>VIDEO</v>
      </c>
      <c r="AA3034" s="19" t="str">
        <f>HYPERLINK("https://ssdweb.co/ssdweb/CERTH/628427075.pdf","CERTI")</f>
        <v>CERTI</v>
      </c>
    </row>
    <row r="3035" spans="1:27" ht="15" x14ac:dyDescent="0.25">
      <c r="A3035" s="2">
        <v>3030</v>
      </c>
      <c r="B3035" s="39">
        <v>925760713</v>
      </c>
      <c r="C3035" s="28" t="str">
        <f>HYPERLINK("https://pld.live/RapDetail.aspx?STONELIST=925760713","DNA")</f>
        <v>DNA</v>
      </c>
      <c r="D3035" s="18" t="s">
        <v>3054</v>
      </c>
      <c r="E3035" s="18" t="s">
        <v>5128</v>
      </c>
      <c r="F3035" s="2" t="s">
        <v>7987</v>
      </c>
      <c r="G3035" s="2" t="s">
        <v>3296</v>
      </c>
      <c r="H3035" s="14">
        <v>1.01</v>
      </c>
      <c r="I3035" s="2" t="s">
        <v>267</v>
      </c>
      <c r="J3035" s="2" t="s">
        <v>13</v>
      </c>
      <c r="K3035" s="2" t="s">
        <v>1452</v>
      </c>
      <c r="L3035" s="2" t="s">
        <v>5221</v>
      </c>
      <c r="M3035" s="2" t="s">
        <v>5221</v>
      </c>
      <c r="N3035" s="2" t="s">
        <v>2317</v>
      </c>
      <c r="O3035" s="14">
        <v>6700</v>
      </c>
      <c r="P3035" s="14">
        <v>98.33</v>
      </c>
      <c r="Q3035" s="14">
        <v>111.89</v>
      </c>
      <c r="R3035" s="14">
        <v>113.01</v>
      </c>
      <c r="S3035" s="2" t="s">
        <v>5372</v>
      </c>
      <c r="T3035" s="2">
        <v>1.05</v>
      </c>
      <c r="U3035" s="2">
        <v>66.099999999999994</v>
      </c>
      <c r="V3035" s="2">
        <v>62</v>
      </c>
      <c r="W3035" s="2" t="s">
        <v>7862</v>
      </c>
      <c r="X3035" s="2" t="s">
        <v>7670</v>
      </c>
      <c r="Y3035" s="2">
        <v>6767</v>
      </c>
      <c r="Z3035" s="19" t="str">
        <f>HYPERLINK("https://ssdweb.co/ssdweb/hd/Vision360.html?d=925760713&amp;zoomslide=1&amp;z=1925760713&amp;ISCONFIRM=0","VIDEO")</f>
        <v>VIDEO</v>
      </c>
      <c r="AA3035" s="19" t="str">
        <f>HYPERLINK("https://ssdweb.co/ssdweb/CERTH/629453284.pdf","CERTI")</f>
        <v>CERTI</v>
      </c>
    </row>
    <row r="3036" spans="1:27" ht="15" x14ac:dyDescent="0.25">
      <c r="A3036" s="2">
        <v>3031</v>
      </c>
      <c r="B3036" s="39">
        <v>925760645</v>
      </c>
      <c r="C3036" s="28" t="str">
        <f>HYPERLINK("https://pld.live/RapDetail.aspx?STONELIST=925760645","DNA")</f>
        <v>DNA</v>
      </c>
      <c r="D3036" s="18" t="s">
        <v>3054</v>
      </c>
      <c r="E3036" s="18" t="s">
        <v>5128</v>
      </c>
      <c r="F3036" s="2" t="s">
        <v>7987</v>
      </c>
      <c r="G3036" s="2" t="s">
        <v>3296</v>
      </c>
      <c r="H3036" s="14">
        <v>1.01</v>
      </c>
      <c r="I3036" s="2" t="s">
        <v>267</v>
      </c>
      <c r="J3036" s="2" t="s">
        <v>13</v>
      </c>
      <c r="K3036" s="2" t="s">
        <v>1452</v>
      </c>
      <c r="L3036" s="2" t="s">
        <v>5221</v>
      </c>
      <c r="M3036" s="2" t="s">
        <v>5221</v>
      </c>
      <c r="N3036" s="2" t="s">
        <v>2317</v>
      </c>
      <c r="O3036" s="14">
        <v>6700</v>
      </c>
      <c r="P3036" s="14">
        <v>98.36</v>
      </c>
      <c r="Q3036" s="14">
        <v>109.88</v>
      </c>
      <c r="R3036" s="14">
        <v>110.98</v>
      </c>
      <c r="S3036" s="2" t="s">
        <v>3106</v>
      </c>
      <c r="T3036" s="2">
        <v>1.05</v>
      </c>
      <c r="U3036" s="2">
        <v>63.4</v>
      </c>
      <c r="V3036" s="2">
        <v>62</v>
      </c>
      <c r="W3036" s="2" t="s">
        <v>7862</v>
      </c>
      <c r="X3036" s="2" t="s">
        <v>7670</v>
      </c>
      <c r="Y3036" s="2">
        <v>6767</v>
      </c>
      <c r="Z3036" s="19" t="str">
        <f>HYPERLINK("https://ssdweb.co/ssdweb/hd/Vision360.html?d=925760645&amp;zoomslide=1&amp;z=1925760645&amp;ISCONFIRM=0","VIDEO")</f>
        <v>VIDEO</v>
      </c>
      <c r="AA3036" s="19" t="str">
        <f>HYPERLINK("https://ssdweb.co/ssdweb/CERTH/626466344.pdf","CERTI")</f>
        <v>CERTI</v>
      </c>
    </row>
    <row r="3037" spans="1:27" ht="15" x14ac:dyDescent="0.25">
      <c r="A3037" s="2">
        <v>3032</v>
      </c>
      <c r="B3037" s="39">
        <v>925900574</v>
      </c>
      <c r="C3037" s="28" t="str">
        <f>HYPERLINK("https://pld.live/RapDetail.aspx?STONELIST=925900574","DNA")</f>
        <v>DNA</v>
      </c>
      <c r="D3037" s="18" t="s">
        <v>3054</v>
      </c>
      <c r="E3037" s="18" t="s">
        <v>5128</v>
      </c>
      <c r="F3037" s="2" t="s">
        <v>7987</v>
      </c>
      <c r="G3037" s="2" t="s">
        <v>3296</v>
      </c>
      <c r="H3037" s="14">
        <v>1.01</v>
      </c>
      <c r="I3037" s="2" t="s">
        <v>267</v>
      </c>
      <c r="J3037" s="2" t="s">
        <v>13</v>
      </c>
      <c r="K3037" s="2" t="s">
        <v>1452</v>
      </c>
      <c r="L3037" s="2" t="s">
        <v>5221</v>
      </c>
      <c r="M3037" s="2" t="s">
        <v>5221</v>
      </c>
      <c r="N3037" s="2" t="s">
        <v>2317</v>
      </c>
      <c r="O3037" s="14">
        <v>6700</v>
      </c>
      <c r="P3037" s="14">
        <v>98.33</v>
      </c>
      <c r="Q3037" s="14">
        <v>111.89</v>
      </c>
      <c r="R3037" s="14">
        <v>113.01</v>
      </c>
      <c r="S3037" s="2" t="s">
        <v>5348</v>
      </c>
      <c r="T3037" s="2">
        <v>1.05</v>
      </c>
      <c r="U3037" s="2">
        <v>65</v>
      </c>
      <c r="V3037" s="2">
        <v>60</v>
      </c>
      <c r="W3037" s="2" t="s">
        <v>7862</v>
      </c>
      <c r="X3037" s="2" t="s">
        <v>7670</v>
      </c>
      <c r="Y3037" s="2">
        <v>6767</v>
      </c>
      <c r="Z3037" s="19" t="str">
        <f>HYPERLINK("https://ssdweb.co/ssdweb/hd/Vision360.html?d=925900574&amp;zoomslide=1&amp;z=1925900574&amp;ISCONFIRM=0","VIDEO")</f>
        <v>VIDEO</v>
      </c>
      <c r="AA3037" s="19" t="str">
        <f>HYPERLINK("https://ssdweb.co/ssdweb/CERTH/629453218.pdf","CERTI")</f>
        <v>CERTI</v>
      </c>
    </row>
    <row r="3038" spans="1:27" ht="15" x14ac:dyDescent="0.25">
      <c r="A3038" s="2">
        <v>3033</v>
      </c>
      <c r="B3038" s="39">
        <v>925760685</v>
      </c>
      <c r="C3038" s="28" t="str">
        <f>HYPERLINK("https://pld.live/RapDetail.aspx?STONELIST=925760685","DNA")</f>
        <v>DNA</v>
      </c>
      <c r="D3038" s="18" t="s">
        <v>3054</v>
      </c>
      <c r="E3038" s="18" t="s">
        <v>5128</v>
      </c>
      <c r="F3038" s="2" t="s">
        <v>7987</v>
      </c>
      <c r="G3038" s="2" t="s">
        <v>3296</v>
      </c>
      <c r="H3038" s="14">
        <v>1.01</v>
      </c>
      <c r="I3038" s="2" t="s">
        <v>267</v>
      </c>
      <c r="J3038" s="2" t="s">
        <v>13</v>
      </c>
      <c r="K3038" s="2" t="s">
        <v>1452</v>
      </c>
      <c r="L3038" s="2" t="s">
        <v>5221</v>
      </c>
      <c r="M3038" s="2" t="s">
        <v>5221</v>
      </c>
      <c r="N3038" s="2" t="s">
        <v>2317</v>
      </c>
      <c r="O3038" s="14">
        <v>6700</v>
      </c>
      <c r="P3038" s="14">
        <v>98.33</v>
      </c>
      <c r="Q3038" s="14">
        <v>111.89</v>
      </c>
      <c r="R3038" s="14">
        <v>113.01</v>
      </c>
      <c r="S3038" s="2" t="s">
        <v>787</v>
      </c>
      <c r="T3038" s="2">
        <v>1.05</v>
      </c>
      <c r="U3038" s="2">
        <v>66.099999999999994</v>
      </c>
      <c r="V3038" s="2">
        <v>62</v>
      </c>
      <c r="W3038" s="2" t="s">
        <v>7862</v>
      </c>
      <c r="X3038" s="2" t="s">
        <v>7670</v>
      </c>
      <c r="Y3038" s="2">
        <v>6767</v>
      </c>
      <c r="Z3038" s="19" t="str">
        <f>HYPERLINK("https://ssdweb.co/ssdweb/hd/Vision360.html?d=925760685&amp;zoomslide=1&amp;z=1925760685&amp;ISCONFIRM=0","VIDEO")</f>
        <v>VIDEO</v>
      </c>
      <c r="AA3038" s="19" t="str">
        <f>HYPERLINK("https://ssdweb.co/ssdweb/CERTH/627415171.pdf","CERTI")</f>
        <v>CERTI</v>
      </c>
    </row>
    <row r="3039" spans="1:27" ht="15" x14ac:dyDescent="0.25">
      <c r="A3039" s="2">
        <v>3034</v>
      </c>
      <c r="B3039" s="39">
        <v>925951301</v>
      </c>
      <c r="C3039" s="28" t="str">
        <f>HYPERLINK("https://pld.live/RapDetail.aspx?STONELIST=925951301","DNA")</f>
        <v>DNA</v>
      </c>
      <c r="D3039" s="18" t="s">
        <v>3054</v>
      </c>
      <c r="E3039" s="18" t="s">
        <v>5128</v>
      </c>
      <c r="F3039" s="2" t="s">
        <v>7987</v>
      </c>
      <c r="G3039" s="2" t="s">
        <v>3296</v>
      </c>
      <c r="H3039" s="14">
        <v>1.01</v>
      </c>
      <c r="I3039" s="2" t="s">
        <v>267</v>
      </c>
      <c r="J3039" s="2" t="s">
        <v>13</v>
      </c>
      <c r="K3039" s="2" t="s">
        <v>1452</v>
      </c>
      <c r="L3039" s="2" t="s">
        <v>5221</v>
      </c>
      <c r="M3039" s="2" t="s">
        <v>5221</v>
      </c>
      <c r="N3039" s="2" t="s">
        <v>2317</v>
      </c>
      <c r="O3039" s="14">
        <v>6700</v>
      </c>
      <c r="P3039" s="14">
        <v>98.33</v>
      </c>
      <c r="Q3039" s="14">
        <v>111.89</v>
      </c>
      <c r="R3039" s="14">
        <v>113.01</v>
      </c>
      <c r="S3039" s="2" t="s">
        <v>5948</v>
      </c>
      <c r="T3039" s="2">
        <v>1.05</v>
      </c>
      <c r="U3039" s="2">
        <v>68.900000000000006</v>
      </c>
      <c r="V3039" s="2">
        <v>61</v>
      </c>
      <c r="W3039" s="2" t="s">
        <v>7862</v>
      </c>
      <c r="X3039" s="2" t="s">
        <v>7670</v>
      </c>
      <c r="Y3039" s="2">
        <v>6767</v>
      </c>
      <c r="Z3039" s="19" t="str">
        <f>HYPERLINK("https://ssdweb.co/ssdweb/hd/Vision360.html?d=925951301&amp;zoomslide=1&amp;z=1925951301&amp;ISCONFIRM=0","VIDEO")</f>
        <v>VIDEO</v>
      </c>
      <c r="AA3039" s="19" t="str">
        <f>HYPERLINK("https://ssdweb.co/ssdweb/CERTH/629478917.pdf","CERTI")</f>
        <v>CERTI</v>
      </c>
    </row>
    <row r="3040" spans="1:27" ht="15" x14ac:dyDescent="0.25">
      <c r="A3040" s="2">
        <v>3035</v>
      </c>
      <c r="B3040" s="39">
        <v>925760701</v>
      </c>
      <c r="C3040" s="28" t="str">
        <f>HYPERLINK("https://pld.live/RapDetail.aspx?STONELIST=925760701","DNA")</f>
        <v>DNA</v>
      </c>
      <c r="D3040" s="18" t="s">
        <v>3054</v>
      </c>
      <c r="E3040" s="18" t="s">
        <v>5128</v>
      </c>
      <c r="F3040" s="2" t="s">
        <v>7987</v>
      </c>
      <c r="G3040" s="2" t="s">
        <v>3296</v>
      </c>
      <c r="H3040" s="14">
        <v>1.01</v>
      </c>
      <c r="I3040" s="2" t="s">
        <v>267</v>
      </c>
      <c r="J3040" s="2" t="s">
        <v>13</v>
      </c>
      <c r="K3040" s="2" t="s">
        <v>1452</v>
      </c>
      <c r="L3040" s="2" t="s">
        <v>5221</v>
      </c>
      <c r="M3040" s="2" t="s">
        <v>5221</v>
      </c>
      <c r="N3040" s="2" t="s">
        <v>2317</v>
      </c>
      <c r="O3040" s="14">
        <v>6700</v>
      </c>
      <c r="P3040" s="14">
        <v>98.33</v>
      </c>
      <c r="Q3040" s="14">
        <v>111.89</v>
      </c>
      <c r="R3040" s="14">
        <v>113.01</v>
      </c>
      <c r="S3040" s="2" t="s">
        <v>4080</v>
      </c>
      <c r="T3040" s="2">
        <v>1.07</v>
      </c>
      <c r="U3040" s="2">
        <v>66.2</v>
      </c>
      <c r="V3040" s="2">
        <v>62</v>
      </c>
      <c r="W3040" s="2" t="s">
        <v>7862</v>
      </c>
      <c r="X3040" s="2" t="s">
        <v>3851</v>
      </c>
      <c r="Y3040" s="2">
        <v>6767</v>
      </c>
      <c r="Z3040" s="19" t="str">
        <f>HYPERLINK("https://ssdweb.co/ssdweb/hd/Vision360.html?d=925760701&amp;zoomslide=1&amp;z=1925760701&amp;ISCONFIRM=0","VIDEO")</f>
        <v>VIDEO</v>
      </c>
      <c r="AA3040" s="19" t="str">
        <f>HYPERLINK("https://ssdweb.co/ssdweb/CERTH/627431842.pdf","CERTI")</f>
        <v>CERTI</v>
      </c>
    </row>
    <row r="3041" spans="1:27" ht="15" x14ac:dyDescent="0.25">
      <c r="A3041" s="2">
        <v>3036</v>
      </c>
      <c r="B3041" s="39">
        <v>925940620</v>
      </c>
      <c r="C3041" s="28" t="str">
        <f>HYPERLINK("https://pld.live/RapDetail.aspx?STONELIST=925940620","DNA")</f>
        <v>DNA</v>
      </c>
      <c r="D3041" s="18" t="s">
        <v>3054</v>
      </c>
      <c r="E3041" s="18" t="s">
        <v>5128</v>
      </c>
      <c r="F3041" s="2" t="s">
        <v>7987</v>
      </c>
      <c r="G3041" s="2" t="s">
        <v>3296</v>
      </c>
      <c r="H3041" s="14">
        <v>1.01</v>
      </c>
      <c r="I3041" s="2" t="s">
        <v>267</v>
      </c>
      <c r="J3041" s="2" t="s">
        <v>13</v>
      </c>
      <c r="K3041" s="2" t="s">
        <v>1452</v>
      </c>
      <c r="L3041" s="2" t="s">
        <v>5221</v>
      </c>
      <c r="M3041" s="2" t="s">
        <v>5221</v>
      </c>
      <c r="N3041" s="2" t="s">
        <v>2317</v>
      </c>
      <c r="O3041" s="14">
        <v>6700</v>
      </c>
      <c r="P3041" s="14">
        <v>98.33</v>
      </c>
      <c r="Q3041" s="14">
        <v>111.89</v>
      </c>
      <c r="R3041" s="14">
        <v>113.01</v>
      </c>
      <c r="S3041" s="2" t="s">
        <v>7802</v>
      </c>
      <c r="T3041" s="2">
        <v>1.05</v>
      </c>
      <c r="U3041" s="2">
        <v>66.5</v>
      </c>
      <c r="V3041" s="2">
        <v>61</v>
      </c>
      <c r="W3041" s="2" t="s">
        <v>7862</v>
      </c>
      <c r="X3041" s="2" t="s">
        <v>7670</v>
      </c>
      <c r="Y3041" s="2">
        <v>6767</v>
      </c>
      <c r="Z3041" s="19" t="str">
        <f>HYPERLINK("https://ssdweb.co/ssdweb/hd/Vision360.html?d=925940620&amp;zoomslide=1&amp;z=1925940620&amp;ISCONFIRM=0","VIDEO")</f>
        <v>VIDEO</v>
      </c>
      <c r="AA3041" s="19" t="str">
        <f>HYPERLINK("https://ssdweb.co/ssdweb/CERTH/629479088.pdf","CERTI")</f>
        <v>CERTI</v>
      </c>
    </row>
    <row r="3042" spans="1:27" ht="15" x14ac:dyDescent="0.25">
      <c r="A3042" s="2">
        <v>3037</v>
      </c>
      <c r="B3042" s="39">
        <v>925791412</v>
      </c>
      <c r="C3042" s="28" t="str">
        <f>HYPERLINK("https://pld.live/RapDetail.aspx?STONELIST=925791412","DNA")</f>
        <v>DNA</v>
      </c>
      <c r="D3042" s="18" t="s">
        <v>3054</v>
      </c>
      <c r="E3042" s="18" t="s">
        <v>5128</v>
      </c>
      <c r="F3042" s="2" t="s">
        <v>7987</v>
      </c>
      <c r="G3042" s="2" t="s">
        <v>3296</v>
      </c>
      <c r="H3042" s="14">
        <v>1.01</v>
      </c>
      <c r="I3042" s="2" t="s">
        <v>267</v>
      </c>
      <c r="J3042" s="2" t="s">
        <v>13</v>
      </c>
      <c r="K3042" s="2" t="s">
        <v>1452</v>
      </c>
      <c r="L3042" s="2" t="s">
        <v>5221</v>
      </c>
      <c r="M3042" s="2" t="s">
        <v>5221</v>
      </c>
      <c r="N3042" s="2" t="s">
        <v>2317</v>
      </c>
      <c r="O3042" s="14">
        <v>6700</v>
      </c>
      <c r="P3042" s="14">
        <v>98.36</v>
      </c>
      <c r="Q3042" s="14">
        <v>109.88</v>
      </c>
      <c r="R3042" s="14">
        <v>110.98</v>
      </c>
      <c r="S3042" s="2" t="s">
        <v>557</v>
      </c>
      <c r="T3042" s="2">
        <v>1.05</v>
      </c>
      <c r="U3042" s="2">
        <v>63.8</v>
      </c>
      <c r="V3042" s="2">
        <v>61</v>
      </c>
      <c r="W3042" s="2" t="s">
        <v>7862</v>
      </c>
      <c r="X3042" s="2" t="s">
        <v>7670</v>
      </c>
      <c r="Y3042" s="2">
        <v>6767</v>
      </c>
      <c r="Z3042" s="19" t="str">
        <f>HYPERLINK("https://ssdweb.co/ssdweb/hd/Vision360.html?d=925791412&amp;zoomslide=1&amp;z=1925791412&amp;ISCONFIRM=0","VIDEO")</f>
        <v>VIDEO</v>
      </c>
      <c r="AA3042" s="19" t="str">
        <f>HYPERLINK("https://ssdweb.co/ssdweb/CERTH/627431732.pdf","CERTI")</f>
        <v>CERTI</v>
      </c>
    </row>
    <row r="3043" spans="1:27" ht="15" x14ac:dyDescent="0.25">
      <c r="A3043" s="2">
        <v>3038</v>
      </c>
      <c r="B3043" s="39">
        <v>821128389</v>
      </c>
      <c r="C3043" s="28" t="str">
        <f>HYPERLINK("https://pld.live/RapDetail.aspx?STONELIST=821128389","DNA")</f>
        <v>DNA</v>
      </c>
      <c r="D3043" s="18" t="s">
        <v>3054</v>
      </c>
      <c r="E3043" s="18" t="s">
        <v>5128</v>
      </c>
      <c r="F3043" s="2" t="s">
        <v>7987</v>
      </c>
      <c r="G3043" s="2" t="s">
        <v>3296</v>
      </c>
      <c r="H3043" s="14">
        <v>1.01</v>
      </c>
      <c r="I3043" s="2" t="s">
        <v>267</v>
      </c>
      <c r="J3043" s="2" t="s">
        <v>13</v>
      </c>
      <c r="K3043" s="2" t="s">
        <v>1452</v>
      </c>
      <c r="L3043" s="2" t="s">
        <v>5221</v>
      </c>
      <c r="M3043" s="2" t="s">
        <v>5221</v>
      </c>
      <c r="N3043" s="2" t="s">
        <v>2317</v>
      </c>
      <c r="O3043" s="14">
        <v>6700</v>
      </c>
      <c r="P3043" s="14">
        <v>98.36</v>
      </c>
      <c r="Q3043" s="14">
        <v>109.88</v>
      </c>
      <c r="R3043" s="14">
        <v>110.98</v>
      </c>
      <c r="S3043" s="2" t="s">
        <v>4253</v>
      </c>
      <c r="T3043" s="2">
        <v>1.03</v>
      </c>
      <c r="U3043" s="2">
        <v>65.3</v>
      </c>
      <c r="V3043" s="2">
        <v>59</v>
      </c>
      <c r="W3043" s="2" t="s">
        <v>7862</v>
      </c>
      <c r="X3043" s="2" t="s">
        <v>7670</v>
      </c>
      <c r="Y3043" s="2">
        <v>6767</v>
      </c>
      <c r="Z3043" s="19" t="str">
        <f>HYPERLINK("https://ssdweb.co/ssdweb/hd/Vision360.html?d=821128389&amp;zoomslide=1&amp;z=1821128389&amp;ISCONFIRM=0","VIDEO")</f>
        <v>VIDEO</v>
      </c>
      <c r="AA3043" s="19" t="str">
        <f>HYPERLINK("https://ssdweb.co/ssdweb/CERTH/622463113.pdf","CERTI")</f>
        <v>CERTI</v>
      </c>
    </row>
    <row r="3044" spans="1:27" ht="15" x14ac:dyDescent="0.25">
      <c r="A3044" s="2">
        <v>3039</v>
      </c>
      <c r="B3044" s="39">
        <v>926210835</v>
      </c>
      <c r="C3044" s="28" t="str">
        <f>HYPERLINK("https://pld.live/RapDetail.aspx?STONELIST=926210835","DNA")</f>
        <v>DNA</v>
      </c>
      <c r="D3044" s="18" t="s">
        <v>3054</v>
      </c>
      <c r="E3044" s="18" t="s">
        <v>5128</v>
      </c>
      <c r="F3044" s="2" t="s">
        <v>7987</v>
      </c>
      <c r="G3044" s="2" t="s">
        <v>3296</v>
      </c>
      <c r="H3044" s="14">
        <v>1.01</v>
      </c>
      <c r="I3044" s="2" t="s">
        <v>267</v>
      </c>
      <c r="J3044" s="2" t="s">
        <v>13</v>
      </c>
      <c r="K3044" s="2" t="s">
        <v>1452</v>
      </c>
      <c r="L3044" s="2" t="s">
        <v>5221</v>
      </c>
      <c r="M3044" s="2" t="s">
        <v>5221</v>
      </c>
      <c r="N3044" s="2" t="s">
        <v>2317</v>
      </c>
      <c r="O3044" s="14">
        <v>6700</v>
      </c>
      <c r="P3044" s="14">
        <v>98.33</v>
      </c>
      <c r="Q3044" s="14">
        <v>111.89</v>
      </c>
      <c r="R3044" s="14">
        <v>113.01</v>
      </c>
      <c r="S3044" s="2" t="s">
        <v>4750</v>
      </c>
      <c r="T3044" s="2">
        <v>1.06</v>
      </c>
      <c r="U3044" s="2">
        <v>62.2</v>
      </c>
      <c r="V3044" s="2">
        <v>62</v>
      </c>
      <c r="W3044" s="2" t="s">
        <v>7862</v>
      </c>
      <c r="X3044" s="2" t="s">
        <v>3851</v>
      </c>
      <c r="Y3044" s="2">
        <v>6767</v>
      </c>
      <c r="Z3044" s="19" t="str">
        <f>HYPERLINK("https://ssdweb.co/ssdweb/hd/Vision360.html?d=926210835&amp;zoomslide=1&amp;z=1926210835&amp;ISCONFIRM=0","VIDEO")</f>
        <v>VIDEO</v>
      </c>
      <c r="AA3044" s="19" t="str">
        <f>HYPERLINK("https://ssdweb.co/ssdweb/CERTH/635426940.pdf","CERTI")</f>
        <v>CERTI</v>
      </c>
    </row>
    <row r="3045" spans="1:27" ht="15" x14ac:dyDescent="0.25">
      <c r="A3045" s="2">
        <v>3040</v>
      </c>
      <c r="B3045" s="39">
        <v>926210874</v>
      </c>
      <c r="C3045" s="28" t="str">
        <f>HYPERLINK("https://pld.live/RapDetail.aspx?STONELIST=926210874","DNA")</f>
        <v>DNA</v>
      </c>
      <c r="D3045" s="18" t="s">
        <v>3054</v>
      </c>
      <c r="E3045" s="18" t="s">
        <v>5128</v>
      </c>
      <c r="F3045" s="2" t="s">
        <v>7987</v>
      </c>
      <c r="G3045" s="2" t="s">
        <v>3296</v>
      </c>
      <c r="H3045" s="14">
        <v>1.01</v>
      </c>
      <c r="I3045" s="2" t="s">
        <v>267</v>
      </c>
      <c r="J3045" s="2" t="s">
        <v>13</v>
      </c>
      <c r="K3045" s="2" t="s">
        <v>1452</v>
      </c>
      <c r="L3045" s="2" t="s">
        <v>5221</v>
      </c>
      <c r="M3045" s="2" t="s">
        <v>5221</v>
      </c>
      <c r="N3045" s="2" t="s">
        <v>2317</v>
      </c>
      <c r="O3045" s="14">
        <v>6700</v>
      </c>
      <c r="P3045" s="14">
        <v>98.33</v>
      </c>
      <c r="Q3045" s="14">
        <v>111.89</v>
      </c>
      <c r="R3045" s="14">
        <v>113.01</v>
      </c>
      <c r="S3045" s="2" t="s">
        <v>3325</v>
      </c>
      <c r="T3045" s="2">
        <v>1.05</v>
      </c>
      <c r="U3045" s="2">
        <v>62.9</v>
      </c>
      <c r="V3045" s="2">
        <v>64</v>
      </c>
      <c r="W3045" s="2" t="s">
        <v>7862</v>
      </c>
      <c r="X3045" s="2" t="s">
        <v>7670</v>
      </c>
      <c r="Y3045" s="2">
        <v>6767</v>
      </c>
      <c r="Z3045" s="19" t="str">
        <f>HYPERLINK("https://ssdweb.co/ssdweb/hd/Vision360.html?d=926210874&amp;zoomslide=1&amp;z=1926210874&amp;ISCONFIRM=0","VIDEO")</f>
        <v>VIDEO</v>
      </c>
      <c r="AA3045" s="19" t="str">
        <f>HYPERLINK("https://ssdweb.co/ssdweb/CERTH/635423934.pdf","CERTI")</f>
        <v>CERTI</v>
      </c>
    </row>
    <row r="3046" spans="1:27" ht="15" x14ac:dyDescent="0.25">
      <c r="A3046" s="2">
        <v>3041</v>
      </c>
      <c r="B3046" s="39">
        <v>926110933</v>
      </c>
      <c r="C3046" s="28" t="str">
        <f>HYPERLINK("https://pld.live/RapDetail.aspx?STONELIST=926110933","DNA")</f>
        <v>DNA</v>
      </c>
      <c r="D3046" s="18" t="s">
        <v>3054</v>
      </c>
      <c r="E3046" s="18" t="s">
        <v>5128</v>
      </c>
      <c r="F3046" s="2" t="s">
        <v>7987</v>
      </c>
      <c r="G3046" s="2" t="s">
        <v>3296</v>
      </c>
      <c r="H3046" s="14">
        <v>1.01</v>
      </c>
      <c r="I3046" s="2" t="s">
        <v>267</v>
      </c>
      <c r="J3046" s="2" t="s">
        <v>13</v>
      </c>
      <c r="K3046" s="2" t="s">
        <v>1452</v>
      </c>
      <c r="L3046" s="2" t="s">
        <v>5221</v>
      </c>
      <c r="M3046" s="2" t="s">
        <v>5221</v>
      </c>
      <c r="N3046" s="2" t="s">
        <v>2317</v>
      </c>
      <c r="O3046" s="14">
        <v>6700</v>
      </c>
      <c r="P3046" s="14">
        <v>98.33</v>
      </c>
      <c r="Q3046" s="14">
        <v>111.89</v>
      </c>
      <c r="R3046" s="14">
        <v>113.01</v>
      </c>
      <c r="S3046" s="2" t="s">
        <v>6996</v>
      </c>
      <c r="T3046" s="2">
        <v>1.04</v>
      </c>
      <c r="U3046" s="2">
        <v>65.2</v>
      </c>
      <c r="V3046" s="2">
        <v>61</v>
      </c>
      <c r="W3046" s="2" t="s">
        <v>7862</v>
      </c>
      <c r="X3046" s="2" t="s">
        <v>7670</v>
      </c>
      <c r="Y3046" s="2">
        <v>6767</v>
      </c>
      <c r="Z3046" s="19" t="str">
        <f>HYPERLINK("https://ssdweb.co/ssdweb/hd/Vision360.html?d=926110933&amp;zoomslide=1&amp;z=1926110933&amp;ISCONFIRM=0","VIDEO")</f>
        <v>VIDEO</v>
      </c>
      <c r="AA3046" s="19" t="str">
        <f>HYPERLINK("https://ssdweb.co/ssdweb/CERTH/632449647.pdf","CERTI")</f>
        <v>CERTI</v>
      </c>
    </row>
    <row r="3047" spans="1:27" ht="15" x14ac:dyDescent="0.25">
      <c r="A3047" s="2">
        <v>3042</v>
      </c>
      <c r="B3047" s="39">
        <v>926111121</v>
      </c>
      <c r="C3047" s="28" t="str">
        <f>HYPERLINK("https://pld.live/RapDetail.aspx?STONELIST=926111121","DNA")</f>
        <v>DNA</v>
      </c>
      <c r="D3047" s="18" t="s">
        <v>3054</v>
      </c>
      <c r="E3047" s="18" t="s">
        <v>5128</v>
      </c>
      <c r="F3047" s="2" t="s">
        <v>7987</v>
      </c>
      <c r="G3047" s="2" t="s">
        <v>3296</v>
      </c>
      <c r="H3047" s="14">
        <v>1.01</v>
      </c>
      <c r="I3047" s="2" t="s">
        <v>267</v>
      </c>
      <c r="J3047" s="2" t="s">
        <v>13</v>
      </c>
      <c r="K3047" s="2" t="s">
        <v>1452</v>
      </c>
      <c r="L3047" s="2" t="s">
        <v>5221</v>
      </c>
      <c r="M3047" s="2" t="s">
        <v>5221</v>
      </c>
      <c r="N3047" s="2" t="s">
        <v>2317</v>
      </c>
      <c r="O3047" s="14">
        <v>6700</v>
      </c>
      <c r="P3047" s="14">
        <v>98.33</v>
      </c>
      <c r="Q3047" s="14">
        <v>111.89</v>
      </c>
      <c r="R3047" s="14">
        <v>113.01</v>
      </c>
      <c r="S3047" s="2" t="s">
        <v>5853</v>
      </c>
      <c r="T3047" s="2">
        <v>1.05</v>
      </c>
      <c r="U3047" s="2">
        <v>63.2</v>
      </c>
      <c r="V3047" s="2">
        <v>60</v>
      </c>
      <c r="W3047" s="2" t="s">
        <v>7862</v>
      </c>
      <c r="X3047" s="2" t="s">
        <v>7670</v>
      </c>
      <c r="Y3047" s="2">
        <v>6767</v>
      </c>
      <c r="Z3047" s="19" t="str">
        <f>HYPERLINK("https://ssdweb.co/ssdweb/hd/Vision360.html?d=926111121&amp;zoomslide=1&amp;z=1926111121&amp;ISCONFIRM=0","VIDEO")</f>
        <v>VIDEO</v>
      </c>
      <c r="AA3047" s="19" t="str">
        <f>HYPERLINK("https://ssdweb.co/ssdweb/CERTH/633474065.pdf","CERTI")</f>
        <v>CERTI</v>
      </c>
    </row>
    <row r="3048" spans="1:27" ht="15" x14ac:dyDescent="0.25">
      <c r="A3048" s="2">
        <v>3043</v>
      </c>
      <c r="B3048" s="39">
        <v>926111214</v>
      </c>
      <c r="C3048" s="28" t="str">
        <f>HYPERLINK("https://pld.live/RapDetail.aspx?STONELIST=926111214","DNA")</f>
        <v>DNA</v>
      </c>
      <c r="D3048" s="18" t="s">
        <v>3054</v>
      </c>
      <c r="E3048" s="18" t="s">
        <v>5128</v>
      </c>
      <c r="F3048" s="2" t="s">
        <v>7987</v>
      </c>
      <c r="G3048" s="2" t="s">
        <v>3296</v>
      </c>
      <c r="H3048" s="14">
        <v>1.01</v>
      </c>
      <c r="I3048" s="2" t="s">
        <v>267</v>
      </c>
      <c r="J3048" s="2" t="s">
        <v>13</v>
      </c>
      <c r="K3048" s="2" t="s">
        <v>1452</v>
      </c>
      <c r="L3048" s="2" t="s">
        <v>5221</v>
      </c>
      <c r="M3048" s="2" t="s">
        <v>5221</v>
      </c>
      <c r="N3048" s="2" t="s">
        <v>2317</v>
      </c>
      <c r="O3048" s="14">
        <v>6700</v>
      </c>
      <c r="P3048" s="14">
        <v>98.33</v>
      </c>
      <c r="Q3048" s="14">
        <v>111.89</v>
      </c>
      <c r="R3048" s="14">
        <v>113.01</v>
      </c>
      <c r="S3048" s="2" t="s">
        <v>2020</v>
      </c>
      <c r="T3048" s="2">
        <v>1.07</v>
      </c>
      <c r="U3048" s="2">
        <v>62.9</v>
      </c>
      <c r="V3048" s="2">
        <v>58</v>
      </c>
      <c r="W3048" s="2" t="s">
        <v>7862</v>
      </c>
      <c r="X3048" s="2" t="s">
        <v>3851</v>
      </c>
      <c r="Y3048" s="2">
        <v>6767</v>
      </c>
      <c r="Z3048" s="19" t="str">
        <f>HYPERLINK("https://ssdweb.co/ssdweb/hd/Vision360.html?d=926111214&amp;zoomslide=1&amp;z=1926111214&amp;ISCONFIRM=0","VIDEO")</f>
        <v>VIDEO</v>
      </c>
      <c r="AA3048" s="19" t="str">
        <f>HYPERLINK("https://ssdweb.co/ssdweb/CERTH/634472351.pdf","CERTI")</f>
        <v>CERTI</v>
      </c>
    </row>
    <row r="3049" spans="1:27" ht="15" x14ac:dyDescent="0.25">
      <c r="A3049" s="2">
        <v>3044</v>
      </c>
      <c r="B3049" s="39">
        <v>925830753</v>
      </c>
      <c r="C3049" s="28" t="str">
        <f>HYPERLINK("https://pld.live/RapDetail.aspx?STONELIST=925830753","DNA")</f>
        <v>DNA</v>
      </c>
      <c r="D3049" s="18" t="s">
        <v>3054</v>
      </c>
      <c r="E3049" s="18" t="s">
        <v>5128</v>
      </c>
      <c r="F3049" s="2" t="s">
        <v>7987</v>
      </c>
      <c r="G3049" s="2" t="s">
        <v>3296</v>
      </c>
      <c r="H3049" s="14">
        <v>1.01</v>
      </c>
      <c r="I3049" s="2" t="s">
        <v>267</v>
      </c>
      <c r="J3049" s="2" t="s">
        <v>5144</v>
      </c>
      <c r="K3049" s="2" t="s">
        <v>1452</v>
      </c>
      <c r="L3049" s="2" t="s">
        <v>5221</v>
      </c>
      <c r="M3049" s="2" t="s">
        <v>5221</v>
      </c>
      <c r="N3049" s="2" t="s">
        <v>2317</v>
      </c>
      <c r="O3049" s="14">
        <v>5700</v>
      </c>
      <c r="P3049" s="14">
        <v>98.11</v>
      </c>
      <c r="Q3049" s="14">
        <v>107.73</v>
      </c>
      <c r="R3049" s="14">
        <v>108.81</v>
      </c>
      <c r="S3049" s="2" t="s">
        <v>829</v>
      </c>
      <c r="T3049" s="2">
        <v>1.05</v>
      </c>
      <c r="U3049" s="2">
        <v>66.3</v>
      </c>
      <c r="V3049" s="2">
        <v>59</v>
      </c>
      <c r="W3049" s="2" t="s">
        <v>7862</v>
      </c>
      <c r="X3049" s="2" t="s">
        <v>7670</v>
      </c>
      <c r="Y3049" s="2">
        <v>5757</v>
      </c>
      <c r="Z3049" s="19" t="str">
        <f>HYPERLINK("https://ssdweb.co/ssdweb/hd/Vision360.html?d=925830753&amp;zoomslide=1&amp;z=1925830753&amp;ISCONFIRM=0","VIDEO")</f>
        <v>VIDEO</v>
      </c>
      <c r="AA3049" s="19" t="str">
        <f>HYPERLINK("https://ssdweb.co/ssdweb/CERTH/628426974.pdf","CERTI")</f>
        <v>CERTI</v>
      </c>
    </row>
    <row r="3050" spans="1:27" ht="15" x14ac:dyDescent="0.25">
      <c r="A3050" s="2">
        <v>3045</v>
      </c>
      <c r="B3050" s="39">
        <v>925830757</v>
      </c>
      <c r="C3050" s="28" t="str">
        <f>HYPERLINK("https://pld.live/RapDetail.aspx?STONELIST=925830757","DNA")</f>
        <v>DNA</v>
      </c>
      <c r="D3050" s="18" t="s">
        <v>3054</v>
      </c>
      <c r="E3050" s="18" t="s">
        <v>5128</v>
      </c>
      <c r="F3050" s="2" t="s">
        <v>7987</v>
      </c>
      <c r="G3050" s="2" t="s">
        <v>3296</v>
      </c>
      <c r="H3050" s="14">
        <v>1.01</v>
      </c>
      <c r="I3050" s="2" t="s">
        <v>267</v>
      </c>
      <c r="J3050" s="2" t="s">
        <v>5144</v>
      </c>
      <c r="K3050" s="2" t="s">
        <v>1452</v>
      </c>
      <c r="L3050" s="2" t="s">
        <v>5221</v>
      </c>
      <c r="M3050" s="2" t="s">
        <v>5221</v>
      </c>
      <c r="N3050" s="2" t="s">
        <v>2317</v>
      </c>
      <c r="O3050" s="14">
        <v>5700</v>
      </c>
      <c r="P3050" s="14">
        <v>98.11</v>
      </c>
      <c r="Q3050" s="14">
        <v>107.73</v>
      </c>
      <c r="R3050" s="14">
        <v>108.81</v>
      </c>
      <c r="S3050" s="2" t="s">
        <v>670</v>
      </c>
      <c r="T3050" s="2">
        <v>1.05</v>
      </c>
      <c r="U3050" s="2">
        <v>67</v>
      </c>
      <c r="V3050" s="2">
        <v>61</v>
      </c>
      <c r="W3050" s="2" t="s">
        <v>7862</v>
      </c>
      <c r="X3050" s="2" t="s">
        <v>7670</v>
      </c>
      <c r="Y3050" s="2">
        <v>5757</v>
      </c>
      <c r="Z3050" s="19" t="str">
        <f>HYPERLINK("https://ssdweb.co/ssdweb/hd/Vision360.html?d=925830757&amp;zoomslide=1&amp;z=1925830757&amp;ISCONFIRM=0","VIDEO")</f>
        <v>VIDEO</v>
      </c>
      <c r="AA3050" s="19" t="str">
        <f>HYPERLINK("https://ssdweb.co/ssdweb/CERTH/629453101.pdf","CERTI")</f>
        <v>CERTI</v>
      </c>
    </row>
    <row r="3051" spans="1:27" ht="15" x14ac:dyDescent="0.25">
      <c r="A3051" s="2">
        <v>3046</v>
      </c>
      <c r="B3051" s="39">
        <v>925760689</v>
      </c>
      <c r="C3051" s="28" t="str">
        <f>HYPERLINK("https://pld.live/RapDetail.aspx?STONELIST=925760689","DNA")</f>
        <v>DNA</v>
      </c>
      <c r="D3051" s="18" t="s">
        <v>3054</v>
      </c>
      <c r="E3051" s="18" t="s">
        <v>5128</v>
      </c>
      <c r="F3051" s="2" t="s">
        <v>7987</v>
      </c>
      <c r="G3051" s="2" t="s">
        <v>3296</v>
      </c>
      <c r="H3051" s="14">
        <v>1.01</v>
      </c>
      <c r="I3051" s="2" t="s">
        <v>267</v>
      </c>
      <c r="J3051" s="2" t="s">
        <v>5144</v>
      </c>
      <c r="K3051" s="2" t="s">
        <v>1452</v>
      </c>
      <c r="L3051" s="2" t="s">
        <v>5221</v>
      </c>
      <c r="M3051" s="2" t="s">
        <v>5221</v>
      </c>
      <c r="N3051" s="2" t="s">
        <v>2317</v>
      </c>
      <c r="O3051" s="14">
        <v>5700</v>
      </c>
      <c r="P3051" s="14">
        <v>98.14</v>
      </c>
      <c r="Q3051" s="14">
        <v>106.02</v>
      </c>
      <c r="R3051" s="14">
        <v>107.08</v>
      </c>
      <c r="S3051" s="2" t="s">
        <v>7584</v>
      </c>
      <c r="T3051" s="2">
        <v>1.03</v>
      </c>
      <c r="U3051" s="2">
        <v>65.099999999999994</v>
      </c>
      <c r="V3051" s="2">
        <v>65</v>
      </c>
      <c r="W3051" s="2" t="s">
        <v>7862</v>
      </c>
      <c r="X3051" s="2" t="s">
        <v>7670</v>
      </c>
      <c r="Y3051" s="2">
        <v>5757</v>
      </c>
      <c r="Z3051" s="19" t="str">
        <f>HYPERLINK("https://ssdweb.co/ssdweb/hd/Vision360.html?d=925760689&amp;zoomslide=1&amp;z=1925760689&amp;ISCONFIRM=0","VIDEO")</f>
        <v>VIDEO</v>
      </c>
      <c r="AA3051" s="19" t="str">
        <f>HYPERLINK("https://ssdweb.co/ssdweb/CERTH/627497032.pdf","CERTI")</f>
        <v>CERTI</v>
      </c>
    </row>
    <row r="3052" spans="1:27" ht="15" x14ac:dyDescent="0.25">
      <c r="A3052" s="2">
        <v>3047</v>
      </c>
      <c r="B3052" s="39">
        <v>925150168</v>
      </c>
      <c r="C3052" s="28" t="str">
        <f>HYPERLINK("https://pld.live/RapDetail.aspx?STONELIST=925150168","DNA")</f>
        <v>DNA</v>
      </c>
      <c r="D3052" s="18" t="s">
        <v>3054</v>
      </c>
      <c r="E3052" s="18" t="s">
        <v>5128</v>
      </c>
      <c r="F3052" s="2" t="s">
        <v>7987</v>
      </c>
      <c r="G3052" s="2" t="s">
        <v>3296</v>
      </c>
      <c r="H3052" s="14">
        <v>1.01</v>
      </c>
      <c r="I3052" s="2" t="s">
        <v>267</v>
      </c>
      <c r="J3052" s="2" t="s">
        <v>5144</v>
      </c>
      <c r="K3052" s="2" t="s">
        <v>1452</v>
      </c>
      <c r="L3052" s="2" t="s">
        <v>5221</v>
      </c>
      <c r="M3052" s="2" t="s">
        <v>5221</v>
      </c>
      <c r="N3052" s="2" t="s">
        <v>2317</v>
      </c>
      <c r="O3052" s="14">
        <v>5700</v>
      </c>
      <c r="P3052" s="14">
        <v>98.14</v>
      </c>
      <c r="Q3052" s="14">
        <v>106.02</v>
      </c>
      <c r="R3052" s="14">
        <v>107.08</v>
      </c>
      <c r="S3052" s="2" t="s">
        <v>2853</v>
      </c>
      <c r="T3052" s="2">
        <v>1.03</v>
      </c>
      <c r="U3052" s="2">
        <v>64.099999999999994</v>
      </c>
      <c r="V3052" s="2">
        <v>62</v>
      </c>
      <c r="W3052" s="2" t="s">
        <v>7862</v>
      </c>
      <c r="X3052" s="2" t="s">
        <v>7670</v>
      </c>
      <c r="Y3052" s="2">
        <v>5757</v>
      </c>
      <c r="Z3052" s="19" t="str">
        <f>HYPERLINK("https://ssdweb.co/ssdweb/hd/Vision360.html?d=925150168&amp;zoomslide=1&amp;z=1925150168&amp;ISCONFIRM=0","VIDEO")</f>
        <v>VIDEO</v>
      </c>
      <c r="AA3052" s="19" t="str">
        <f>HYPERLINK("https://ssdweb.co/ssdweb/CERTH/619427245.pdf","CERTI")</f>
        <v>CERTI</v>
      </c>
    </row>
    <row r="3053" spans="1:27" ht="15" x14ac:dyDescent="0.25">
      <c r="A3053" s="2">
        <v>3048</v>
      </c>
      <c r="B3053" s="39">
        <v>926210832</v>
      </c>
      <c r="C3053" s="28" t="str">
        <f>HYPERLINK("https://pld.live/RapDetail.aspx?STONELIST=926210832","DNA")</f>
        <v>DNA</v>
      </c>
      <c r="D3053" s="18" t="s">
        <v>3054</v>
      </c>
      <c r="E3053" s="18" t="s">
        <v>5128</v>
      </c>
      <c r="F3053" s="2" t="s">
        <v>7987</v>
      </c>
      <c r="G3053" s="2" t="s">
        <v>3296</v>
      </c>
      <c r="H3053" s="14">
        <v>1.01</v>
      </c>
      <c r="I3053" s="2" t="s">
        <v>4761</v>
      </c>
      <c r="J3053" s="2" t="s">
        <v>6555</v>
      </c>
      <c r="K3053" s="2" t="s">
        <v>1452</v>
      </c>
      <c r="L3053" s="2" t="s">
        <v>5221</v>
      </c>
      <c r="M3053" s="2" t="s">
        <v>5221</v>
      </c>
      <c r="N3053" s="2" t="s">
        <v>2317</v>
      </c>
      <c r="O3053" s="14">
        <v>7500</v>
      </c>
      <c r="P3053" s="14">
        <v>98.08</v>
      </c>
      <c r="Q3053" s="14">
        <v>144</v>
      </c>
      <c r="R3053" s="14">
        <v>145.44</v>
      </c>
      <c r="S3053" s="2" t="s">
        <v>1009</v>
      </c>
      <c r="T3053" s="2">
        <v>1.04</v>
      </c>
      <c r="U3053" s="2">
        <v>62.3</v>
      </c>
      <c r="V3053" s="2">
        <v>63</v>
      </c>
      <c r="W3053" s="2" t="s">
        <v>7862</v>
      </c>
      <c r="X3053" s="2" t="s">
        <v>7670</v>
      </c>
      <c r="Y3053" s="2">
        <v>7575</v>
      </c>
      <c r="Z3053" s="19" t="str">
        <f>HYPERLINK("https://ssdweb.co/ssdweb/hd/Vision360.html?d=926210832&amp;zoomslide=1&amp;z=1926210832&amp;ISCONFIRM=0","VIDEO")</f>
        <v>VIDEO</v>
      </c>
      <c r="AA3053" s="19" t="str">
        <f>HYPERLINK("https://ssdweb.co/ssdweb/CERTH/635423965.pdf","CERTI")</f>
        <v>CERTI</v>
      </c>
    </row>
    <row r="3054" spans="1:27" ht="15" x14ac:dyDescent="0.25">
      <c r="A3054" s="2">
        <v>3049</v>
      </c>
      <c r="B3054" s="39">
        <v>821128376</v>
      </c>
      <c r="C3054" s="28" t="str">
        <f>HYPERLINK("https://pld.live/RapDetail.aspx?STONELIST=821128376","DNA")</f>
        <v>DNA</v>
      </c>
      <c r="D3054" s="18" t="s">
        <v>3054</v>
      </c>
      <c r="E3054" s="18" t="s">
        <v>5128</v>
      </c>
      <c r="F3054" s="2" t="s">
        <v>7987</v>
      </c>
      <c r="G3054" s="2" t="s">
        <v>3296</v>
      </c>
      <c r="H3054" s="14">
        <v>1.01</v>
      </c>
      <c r="I3054" s="2" t="s">
        <v>4761</v>
      </c>
      <c r="J3054" s="2" t="s">
        <v>3942</v>
      </c>
      <c r="K3054" s="2" t="s">
        <v>1452</v>
      </c>
      <c r="L3054" s="2" t="s">
        <v>5221</v>
      </c>
      <c r="M3054" s="2" t="s">
        <v>5221</v>
      </c>
      <c r="N3054" s="2" t="s">
        <v>2317</v>
      </c>
      <c r="O3054" s="14">
        <v>6900</v>
      </c>
      <c r="P3054" s="14">
        <v>98.42</v>
      </c>
      <c r="Q3054" s="14">
        <v>109.02</v>
      </c>
      <c r="R3054" s="14">
        <v>110.11</v>
      </c>
      <c r="S3054" s="2" t="s">
        <v>6572</v>
      </c>
      <c r="T3054" s="2">
        <v>1.01</v>
      </c>
      <c r="U3054" s="2">
        <v>62.3</v>
      </c>
      <c r="V3054" s="2">
        <v>60</v>
      </c>
      <c r="W3054" s="2" t="s">
        <v>7862</v>
      </c>
      <c r="X3054" s="2" t="s">
        <v>7670</v>
      </c>
      <c r="Y3054" s="2">
        <v>6969</v>
      </c>
      <c r="Z3054" s="19" t="str">
        <f>HYPERLINK("https://ssdweb.co/ssdweb/hd/Vision360.html?d=821128376&amp;zoomslide=1&amp;z=1821128376&amp;ISCONFIRM=0","VIDEO")</f>
        <v>VIDEO</v>
      </c>
      <c r="AA3054" s="19" t="str">
        <f>HYPERLINK("https://ssdweb.co/ssdweb/CERTH/622464154.pdf","CERTI")</f>
        <v>CERTI</v>
      </c>
    </row>
    <row r="3055" spans="1:27" ht="15" x14ac:dyDescent="0.25">
      <c r="A3055" s="2">
        <v>3050</v>
      </c>
      <c r="B3055" s="39">
        <v>926211095</v>
      </c>
      <c r="C3055" s="28" t="str">
        <f>HYPERLINK("https://pld.live/RapDetail.aspx?STONELIST=926211095","DNA")</f>
        <v>DNA</v>
      </c>
      <c r="D3055" s="18" t="s">
        <v>3054</v>
      </c>
      <c r="E3055" s="18" t="s">
        <v>5128</v>
      </c>
      <c r="F3055" s="2" t="s">
        <v>7987</v>
      </c>
      <c r="G3055" s="2" t="s">
        <v>3296</v>
      </c>
      <c r="H3055" s="14">
        <v>1.01</v>
      </c>
      <c r="I3055" s="2" t="s">
        <v>4761</v>
      </c>
      <c r="J3055" s="2" t="s">
        <v>3942</v>
      </c>
      <c r="K3055" s="2" t="s">
        <v>1452</v>
      </c>
      <c r="L3055" s="2" t="s">
        <v>5221</v>
      </c>
      <c r="M3055" s="2" t="s">
        <v>5221</v>
      </c>
      <c r="N3055" s="2" t="s">
        <v>2317</v>
      </c>
      <c r="O3055" s="14">
        <v>6900</v>
      </c>
      <c r="P3055" s="14">
        <v>98.39</v>
      </c>
      <c r="Q3055" s="14">
        <v>111.09</v>
      </c>
      <c r="R3055" s="14">
        <v>112.2</v>
      </c>
      <c r="S3055" s="2" t="s">
        <v>1800</v>
      </c>
      <c r="T3055" s="2">
        <v>1.05</v>
      </c>
      <c r="U3055" s="2">
        <v>65.400000000000006</v>
      </c>
      <c r="V3055" s="2">
        <v>59</v>
      </c>
      <c r="W3055" s="2" t="s">
        <v>7862</v>
      </c>
      <c r="X3055" s="2" t="s">
        <v>7670</v>
      </c>
      <c r="Y3055" s="2">
        <v>6969</v>
      </c>
      <c r="Z3055" s="19" t="str">
        <f>HYPERLINK("https://ssdweb.co/ssdweb/hd/Vision360.html?d=926211095&amp;zoomslide=1&amp;z=1926211095&amp;ISCONFIRM=0","VIDEO")</f>
        <v>VIDEO</v>
      </c>
      <c r="AA3055" s="19" t="str">
        <f>HYPERLINK("https://ssdweb.co/ssdweb/CERTH/638463247.pdf","CERTI")</f>
        <v>CERTI</v>
      </c>
    </row>
    <row r="3056" spans="1:27" ht="15" x14ac:dyDescent="0.25">
      <c r="A3056" s="2">
        <v>3051</v>
      </c>
      <c r="B3056" s="39">
        <v>926311148</v>
      </c>
      <c r="C3056" s="28" t="str">
        <f>HYPERLINK("https://pld.live/RapDetail.aspx?STONELIST=926311148","DNA")</f>
        <v>DNA</v>
      </c>
      <c r="D3056" s="18" t="s">
        <v>3054</v>
      </c>
      <c r="E3056" s="18" t="s">
        <v>5128</v>
      </c>
      <c r="F3056" s="2" t="s">
        <v>7987</v>
      </c>
      <c r="G3056" s="2" t="s">
        <v>3296</v>
      </c>
      <c r="H3056" s="14">
        <v>1.01</v>
      </c>
      <c r="I3056" s="2" t="s">
        <v>4761</v>
      </c>
      <c r="J3056" s="2" t="s">
        <v>3942</v>
      </c>
      <c r="K3056" s="2" t="s">
        <v>1452</v>
      </c>
      <c r="L3056" s="2" t="s">
        <v>5221</v>
      </c>
      <c r="M3056" s="2" t="s">
        <v>5221</v>
      </c>
      <c r="N3056" s="2" t="s">
        <v>2317</v>
      </c>
      <c r="O3056" s="14">
        <v>6900</v>
      </c>
      <c r="P3056" s="14">
        <v>98.39</v>
      </c>
      <c r="Q3056" s="14">
        <v>111.09</v>
      </c>
      <c r="R3056" s="14">
        <v>112.2</v>
      </c>
      <c r="S3056" s="2" t="s">
        <v>1962</v>
      </c>
      <c r="T3056" s="2">
        <v>1.02</v>
      </c>
      <c r="U3056" s="2">
        <v>67.599999999999994</v>
      </c>
      <c r="V3056" s="2">
        <v>62</v>
      </c>
      <c r="W3056" s="2" t="s">
        <v>7862</v>
      </c>
      <c r="X3056" s="2" t="s">
        <v>7670</v>
      </c>
      <c r="Y3056" s="2">
        <v>6969</v>
      </c>
      <c r="Z3056" s="19" t="str">
        <f>HYPERLINK("https://ssdweb.co/ssdweb/hd/Vision360.html?d=926311148&amp;zoomslide=1&amp;z=1926311148&amp;ISCONFIRM=0","VIDEO")</f>
        <v>VIDEO</v>
      </c>
      <c r="AA3056" s="19" t="str">
        <f>HYPERLINK("https://ssdweb.co/ssdweb/CERTH/644472490.pdf","CERTI")</f>
        <v>CERTI</v>
      </c>
    </row>
    <row r="3057" spans="1:27" ht="15" x14ac:dyDescent="0.25">
      <c r="A3057" s="2">
        <v>3052</v>
      </c>
      <c r="B3057" s="39">
        <v>926111148</v>
      </c>
      <c r="C3057" s="28" t="str">
        <f>HYPERLINK("https://pld.live/RapDetail.aspx?STONELIST=926111148","DNA")</f>
        <v>DNA</v>
      </c>
      <c r="D3057" s="18" t="s">
        <v>3054</v>
      </c>
      <c r="E3057" s="18" t="s">
        <v>5128</v>
      </c>
      <c r="F3057" s="2" t="s">
        <v>7987</v>
      </c>
      <c r="G3057" s="2" t="s">
        <v>3296</v>
      </c>
      <c r="H3057" s="14">
        <v>1.01</v>
      </c>
      <c r="I3057" s="2" t="s">
        <v>4761</v>
      </c>
      <c r="J3057" s="2" t="s">
        <v>3942</v>
      </c>
      <c r="K3057" s="2" t="s">
        <v>1452</v>
      </c>
      <c r="L3057" s="2" t="s">
        <v>5221</v>
      </c>
      <c r="M3057" s="2" t="s">
        <v>5221</v>
      </c>
      <c r="N3057" s="2" t="s">
        <v>2317</v>
      </c>
      <c r="O3057" s="14">
        <v>6900</v>
      </c>
      <c r="P3057" s="14">
        <v>98.39</v>
      </c>
      <c r="Q3057" s="14">
        <v>111.09</v>
      </c>
      <c r="R3057" s="14">
        <v>112.2</v>
      </c>
      <c r="S3057" s="2" t="s">
        <v>6979</v>
      </c>
      <c r="T3057" s="2">
        <v>1.05</v>
      </c>
      <c r="U3057" s="2">
        <v>63.6</v>
      </c>
      <c r="V3057" s="2">
        <v>62</v>
      </c>
      <c r="W3057" s="2" t="s">
        <v>7862</v>
      </c>
      <c r="X3057" s="2" t="s">
        <v>7670</v>
      </c>
      <c r="Y3057" s="2">
        <v>6969</v>
      </c>
      <c r="Z3057" s="19" t="str">
        <f>HYPERLINK("https://ssdweb.co/ssdweb/hd/Vision360.html?d=926111148&amp;zoomslide=1&amp;z=1926111148&amp;ISCONFIRM=0","VIDEO")</f>
        <v>VIDEO</v>
      </c>
      <c r="AA3057" s="19" t="str">
        <f>HYPERLINK("https://ssdweb.co/ssdweb/CERTH/633490547.pdf","CERTI")</f>
        <v>CERTI</v>
      </c>
    </row>
    <row r="3058" spans="1:27" ht="15" x14ac:dyDescent="0.25">
      <c r="A3058" s="2">
        <v>3053</v>
      </c>
      <c r="B3058" s="39">
        <v>926110844</v>
      </c>
      <c r="C3058" s="28" t="str">
        <f>HYPERLINK("https://pld.live/RapDetail.aspx?STONELIST=926110844","DNA")</f>
        <v>DNA</v>
      </c>
      <c r="D3058" s="18" t="s">
        <v>3054</v>
      </c>
      <c r="E3058" s="18" t="s">
        <v>5128</v>
      </c>
      <c r="F3058" s="2" t="s">
        <v>7987</v>
      </c>
      <c r="G3058" s="2" t="s">
        <v>3296</v>
      </c>
      <c r="H3058" s="14">
        <v>1.01</v>
      </c>
      <c r="I3058" s="2" t="s">
        <v>4761</v>
      </c>
      <c r="J3058" s="2" t="s">
        <v>3942</v>
      </c>
      <c r="K3058" s="2" t="s">
        <v>1452</v>
      </c>
      <c r="L3058" s="2" t="s">
        <v>5221</v>
      </c>
      <c r="M3058" s="2" t="s">
        <v>5221</v>
      </c>
      <c r="N3058" s="2" t="s">
        <v>2317</v>
      </c>
      <c r="O3058" s="14">
        <v>6900</v>
      </c>
      <c r="P3058" s="14">
        <v>98.39</v>
      </c>
      <c r="Q3058" s="14">
        <v>111.09</v>
      </c>
      <c r="R3058" s="14">
        <v>112.2</v>
      </c>
      <c r="S3058" s="2" t="s">
        <v>2783</v>
      </c>
      <c r="T3058" s="2">
        <v>1.07</v>
      </c>
      <c r="U3058" s="2">
        <v>68.099999999999994</v>
      </c>
      <c r="V3058" s="2">
        <v>63</v>
      </c>
      <c r="W3058" s="2" t="s">
        <v>7862</v>
      </c>
      <c r="X3058" s="2" t="s">
        <v>3851</v>
      </c>
      <c r="Y3058" s="2">
        <v>6969</v>
      </c>
      <c r="Z3058" s="19" t="str">
        <f>HYPERLINK("https://ssdweb.co/ssdweb/hd/Vision360.html?d=926110844&amp;zoomslide=1&amp;z=1926110844&amp;ISCONFIRM=0","VIDEO")</f>
        <v>VIDEO</v>
      </c>
      <c r="AA3058" s="19" t="str">
        <f>HYPERLINK("https://ssdweb.co/ssdweb/CERTH/632403953.pdf","CERTI")</f>
        <v>CERTI</v>
      </c>
    </row>
    <row r="3059" spans="1:27" ht="15" x14ac:dyDescent="0.25">
      <c r="A3059" s="2">
        <v>3054</v>
      </c>
      <c r="B3059" s="39">
        <v>926110676</v>
      </c>
      <c r="C3059" s="28" t="str">
        <f>HYPERLINK("https://pld.live/RapDetail.aspx?STONELIST=926110676","DNA")</f>
        <v>DNA</v>
      </c>
      <c r="D3059" s="18" t="s">
        <v>3054</v>
      </c>
      <c r="E3059" s="18" t="s">
        <v>5128</v>
      </c>
      <c r="F3059" s="2" t="s">
        <v>7987</v>
      </c>
      <c r="G3059" s="2" t="s">
        <v>3296</v>
      </c>
      <c r="H3059" s="14">
        <v>1.01</v>
      </c>
      <c r="I3059" s="2" t="s">
        <v>4761</v>
      </c>
      <c r="J3059" s="2" t="s">
        <v>3942</v>
      </c>
      <c r="K3059" s="2" t="s">
        <v>1452</v>
      </c>
      <c r="L3059" s="2" t="s">
        <v>5221</v>
      </c>
      <c r="M3059" s="2" t="s">
        <v>5221</v>
      </c>
      <c r="N3059" s="2" t="s">
        <v>2317</v>
      </c>
      <c r="O3059" s="14">
        <v>6900</v>
      </c>
      <c r="P3059" s="14">
        <v>98.39</v>
      </c>
      <c r="Q3059" s="14">
        <v>111.09</v>
      </c>
      <c r="R3059" s="14">
        <v>112.2</v>
      </c>
      <c r="S3059" s="2" t="s">
        <v>512</v>
      </c>
      <c r="T3059" s="2">
        <v>1.05</v>
      </c>
      <c r="U3059" s="2">
        <v>67.400000000000006</v>
      </c>
      <c r="V3059" s="2">
        <v>61</v>
      </c>
      <c r="W3059" s="2" t="s">
        <v>7862</v>
      </c>
      <c r="X3059" s="2" t="s">
        <v>7670</v>
      </c>
      <c r="Y3059" s="2">
        <v>6969</v>
      </c>
      <c r="Z3059" s="19" t="str">
        <f>HYPERLINK("https://ssdweb.co/ssdweb/hd/Vision360.html?d=926110676&amp;zoomslide=1&amp;z=1926110676&amp;ISCONFIRM=0","VIDEO")</f>
        <v>VIDEO</v>
      </c>
      <c r="AA3059" s="19" t="str">
        <f>HYPERLINK("https://ssdweb.co/ssdweb/CERTH/632421503.pdf","CERTI")</f>
        <v>CERTI</v>
      </c>
    </row>
    <row r="3060" spans="1:27" ht="15" x14ac:dyDescent="0.25">
      <c r="A3060" s="2">
        <v>3055</v>
      </c>
      <c r="B3060" s="39">
        <v>925940669</v>
      </c>
      <c r="C3060" s="28" t="str">
        <f>HYPERLINK("https://pld.live/RapDetail.aspx?STONELIST=925940669","DNA")</f>
        <v>DNA</v>
      </c>
      <c r="D3060" s="18" t="s">
        <v>3054</v>
      </c>
      <c r="E3060" s="18" t="s">
        <v>5128</v>
      </c>
      <c r="F3060" s="2" t="s">
        <v>7987</v>
      </c>
      <c r="G3060" s="2" t="s">
        <v>3296</v>
      </c>
      <c r="H3060" s="14">
        <v>1.01</v>
      </c>
      <c r="I3060" s="2" t="s">
        <v>4761</v>
      </c>
      <c r="J3060" s="2" t="s">
        <v>13</v>
      </c>
      <c r="K3060" s="2" t="s">
        <v>1452</v>
      </c>
      <c r="L3060" s="2" t="s">
        <v>5221</v>
      </c>
      <c r="M3060" s="2" t="s">
        <v>5221</v>
      </c>
      <c r="N3060" s="2" t="s">
        <v>2317</v>
      </c>
      <c r="O3060" s="14">
        <v>6200</v>
      </c>
      <c r="P3060" s="14">
        <v>98.24</v>
      </c>
      <c r="Q3060" s="14">
        <v>109.12</v>
      </c>
      <c r="R3060" s="14">
        <v>110.21</v>
      </c>
      <c r="S3060" s="2" t="s">
        <v>7526</v>
      </c>
      <c r="T3060" s="2">
        <v>1.04</v>
      </c>
      <c r="U3060" s="2">
        <v>67.099999999999994</v>
      </c>
      <c r="V3060" s="2">
        <v>60</v>
      </c>
      <c r="W3060" s="2" t="s">
        <v>7862</v>
      </c>
      <c r="X3060" s="2" t="s">
        <v>7670</v>
      </c>
      <c r="Y3060" s="2">
        <v>6262</v>
      </c>
      <c r="Z3060" s="19" t="str">
        <f>HYPERLINK("https://ssdweb.co/ssdweb/hd/Vision360.html?d=925940669&amp;zoomslide=1&amp;z=1925940669&amp;ISCONFIRM=0","VIDEO")</f>
        <v>VIDEO</v>
      </c>
      <c r="AA3060" s="19" t="str">
        <f>HYPERLINK("https://ssdweb.co/ssdweb/CERTH/631404500.pdf","CERTI")</f>
        <v>CERTI</v>
      </c>
    </row>
    <row r="3061" spans="1:27" ht="15" x14ac:dyDescent="0.25">
      <c r="A3061" s="2">
        <v>3056</v>
      </c>
      <c r="B3061" s="39">
        <v>925940671</v>
      </c>
      <c r="C3061" s="28" t="str">
        <f>HYPERLINK("https://pld.live/RapDetail.aspx?STONELIST=925940671","DNA")</f>
        <v>DNA</v>
      </c>
      <c r="D3061" s="18" t="s">
        <v>3054</v>
      </c>
      <c r="E3061" s="18" t="s">
        <v>5128</v>
      </c>
      <c r="F3061" s="2" t="s">
        <v>7987</v>
      </c>
      <c r="G3061" s="2" t="s">
        <v>3296</v>
      </c>
      <c r="H3061" s="14">
        <v>1.01</v>
      </c>
      <c r="I3061" s="2" t="s">
        <v>4761</v>
      </c>
      <c r="J3061" s="2" t="s">
        <v>13</v>
      </c>
      <c r="K3061" s="2" t="s">
        <v>1452</v>
      </c>
      <c r="L3061" s="2" t="s">
        <v>5221</v>
      </c>
      <c r="M3061" s="2" t="s">
        <v>5221</v>
      </c>
      <c r="N3061" s="2" t="s">
        <v>2317</v>
      </c>
      <c r="O3061" s="14">
        <v>6200</v>
      </c>
      <c r="P3061" s="14">
        <v>98.24</v>
      </c>
      <c r="Q3061" s="14">
        <v>109.12</v>
      </c>
      <c r="R3061" s="14">
        <v>110.21</v>
      </c>
      <c r="S3061" s="2" t="s">
        <v>382</v>
      </c>
      <c r="T3061" s="2">
        <v>1.04</v>
      </c>
      <c r="U3061" s="2">
        <v>64.7</v>
      </c>
      <c r="V3061" s="2">
        <v>63</v>
      </c>
      <c r="W3061" s="2" t="s">
        <v>7862</v>
      </c>
      <c r="X3061" s="2" t="s">
        <v>7670</v>
      </c>
      <c r="Y3061" s="2">
        <v>6262</v>
      </c>
      <c r="Z3061" s="19" t="str">
        <f>HYPERLINK("https://ssdweb.co/ssdweb/hd/Vision360.html?d=925940671&amp;zoomslide=1&amp;z=1925940671&amp;ISCONFIRM=0","VIDEO")</f>
        <v>VIDEO</v>
      </c>
      <c r="AA3061" s="19" t="str">
        <f>HYPERLINK("https://ssdweb.co/ssdweb/CERTH/631430134.pdf","CERTI")</f>
        <v>CERTI</v>
      </c>
    </row>
    <row r="3062" spans="1:27" ht="15" x14ac:dyDescent="0.25">
      <c r="A3062" s="2">
        <v>3057</v>
      </c>
      <c r="B3062" s="39">
        <v>925791407</v>
      </c>
      <c r="C3062" s="28" t="str">
        <f>HYPERLINK("https://pld.live/RapDetail.aspx?STONELIST=925791407","DNA")</f>
        <v>DNA</v>
      </c>
      <c r="D3062" s="18" t="s">
        <v>3054</v>
      </c>
      <c r="E3062" s="18" t="s">
        <v>5128</v>
      </c>
      <c r="F3062" s="2" t="s">
        <v>7987</v>
      </c>
      <c r="G3062" s="2" t="s">
        <v>3296</v>
      </c>
      <c r="H3062" s="14">
        <v>1.01</v>
      </c>
      <c r="I3062" s="2" t="s">
        <v>4761</v>
      </c>
      <c r="J3062" s="2" t="s">
        <v>13</v>
      </c>
      <c r="K3062" s="2" t="s">
        <v>1452</v>
      </c>
      <c r="L3062" s="2" t="s">
        <v>5221</v>
      </c>
      <c r="M3062" s="2" t="s">
        <v>5221</v>
      </c>
      <c r="N3062" s="2" t="s">
        <v>2317</v>
      </c>
      <c r="O3062" s="14">
        <v>6200</v>
      </c>
      <c r="P3062" s="14">
        <v>98.27</v>
      </c>
      <c r="Q3062" s="14">
        <v>107.26</v>
      </c>
      <c r="R3062" s="14">
        <v>108.33</v>
      </c>
      <c r="S3062" s="2" t="s">
        <v>1677</v>
      </c>
      <c r="T3062" s="2">
        <v>1.05</v>
      </c>
      <c r="U3062" s="2">
        <v>63.2</v>
      </c>
      <c r="V3062" s="2">
        <v>60</v>
      </c>
      <c r="W3062" s="2" t="s">
        <v>7862</v>
      </c>
      <c r="X3062" s="2" t="s">
        <v>7670</v>
      </c>
      <c r="Y3062" s="2">
        <v>6262</v>
      </c>
      <c r="Z3062" s="19" t="str">
        <f>HYPERLINK("https://ssdweb.co/ssdweb/hd/Vision360.html?d=925791407&amp;zoomslide=1&amp;z=1925791407&amp;ISCONFIRM=0","VIDEO")</f>
        <v>VIDEO</v>
      </c>
      <c r="AA3062" s="19" t="str">
        <f>HYPERLINK("https://ssdweb.co/ssdweb/CERTH/627410447.pdf","CERTI")</f>
        <v>CERTI</v>
      </c>
    </row>
    <row r="3063" spans="1:27" ht="15" x14ac:dyDescent="0.25">
      <c r="A3063" s="2">
        <v>3058</v>
      </c>
      <c r="B3063" s="39">
        <v>925791386</v>
      </c>
      <c r="C3063" s="28" t="str">
        <f>HYPERLINK("https://pld.live/RapDetail.aspx?STONELIST=925791386","DNA")</f>
        <v>DNA</v>
      </c>
      <c r="D3063" s="18" t="s">
        <v>3054</v>
      </c>
      <c r="E3063" s="18" t="s">
        <v>5128</v>
      </c>
      <c r="F3063" s="2" t="s">
        <v>7987</v>
      </c>
      <c r="G3063" s="2" t="s">
        <v>3296</v>
      </c>
      <c r="H3063" s="14">
        <v>1.01</v>
      </c>
      <c r="I3063" s="2" t="s">
        <v>4761</v>
      </c>
      <c r="J3063" s="2" t="s">
        <v>13</v>
      </c>
      <c r="K3063" s="2" t="s">
        <v>1452</v>
      </c>
      <c r="L3063" s="2" t="s">
        <v>5221</v>
      </c>
      <c r="M3063" s="2" t="s">
        <v>5221</v>
      </c>
      <c r="N3063" s="2" t="s">
        <v>2317</v>
      </c>
      <c r="O3063" s="14">
        <v>6200</v>
      </c>
      <c r="P3063" s="14">
        <v>98.27</v>
      </c>
      <c r="Q3063" s="14">
        <v>107.26</v>
      </c>
      <c r="R3063" s="14">
        <v>108.33</v>
      </c>
      <c r="S3063" s="2" t="s">
        <v>3635</v>
      </c>
      <c r="T3063" s="2">
        <v>1.05</v>
      </c>
      <c r="U3063" s="2">
        <v>63.6</v>
      </c>
      <c r="V3063" s="2">
        <v>59</v>
      </c>
      <c r="W3063" s="2" t="s">
        <v>7862</v>
      </c>
      <c r="X3063" s="2" t="s">
        <v>7670</v>
      </c>
      <c r="Y3063" s="2">
        <v>6262</v>
      </c>
      <c r="Z3063" s="19" t="str">
        <f>HYPERLINK("https://ssdweb.co/ssdweb/hd/Vision360.html?d=925791386&amp;zoomslide=1&amp;z=1925791386&amp;ISCONFIRM=0","VIDEO")</f>
        <v>VIDEO</v>
      </c>
      <c r="AA3063" s="19" t="str">
        <f>HYPERLINK("https://ssdweb.co/ssdweb/CERTH/627471564.pdf","CERTI")</f>
        <v>CERTI</v>
      </c>
    </row>
    <row r="3064" spans="1:27" ht="15" x14ac:dyDescent="0.25">
      <c r="A3064" s="2">
        <v>3059</v>
      </c>
      <c r="B3064" s="39">
        <v>926210867</v>
      </c>
      <c r="C3064" s="28" t="str">
        <f>HYPERLINK("https://pld.live/RapDetail.aspx?STONELIST=926210867","DNA")</f>
        <v>DNA</v>
      </c>
      <c r="D3064" s="18" t="s">
        <v>3054</v>
      </c>
      <c r="E3064" s="18" t="s">
        <v>5128</v>
      </c>
      <c r="F3064" s="2" t="s">
        <v>7987</v>
      </c>
      <c r="G3064" s="2" t="s">
        <v>3296</v>
      </c>
      <c r="H3064" s="14">
        <v>1.01</v>
      </c>
      <c r="I3064" s="2" t="s">
        <v>4761</v>
      </c>
      <c r="J3064" s="2" t="s">
        <v>13</v>
      </c>
      <c r="K3064" s="2" t="s">
        <v>1452</v>
      </c>
      <c r="L3064" s="2" t="s">
        <v>5221</v>
      </c>
      <c r="M3064" s="2" t="s">
        <v>5221</v>
      </c>
      <c r="N3064" s="2" t="s">
        <v>2317</v>
      </c>
      <c r="O3064" s="14">
        <v>6200</v>
      </c>
      <c r="P3064" s="14">
        <v>98.24</v>
      </c>
      <c r="Q3064" s="14">
        <v>109.12</v>
      </c>
      <c r="R3064" s="14">
        <v>110.21</v>
      </c>
      <c r="S3064" s="2" t="s">
        <v>6692</v>
      </c>
      <c r="T3064" s="2">
        <v>1</v>
      </c>
      <c r="U3064" s="2">
        <v>65.400000000000006</v>
      </c>
      <c r="V3064" s="2">
        <v>60</v>
      </c>
      <c r="W3064" s="2" t="s">
        <v>7862</v>
      </c>
      <c r="X3064" s="2" t="s">
        <v>7670</v>
      </c>
      <c r="Y3064" s="2">
        <v>6262</v>
      </c>
      <c r="Z3064" s="19" t="str">
        <f>HYPERLINK("https://ssdweb.co/ssdweb/hd/Vision360.html?d=926210867&amp;zoomslide=1&amp;z=1926210867&amp;ISCONFIRM=0","VIDEO")</f>
        <v>VIDEO</v>
      </c>
      <c r="AA3064" s="19" t="str">
        <f>HYPERLINK("https://ssdweb.co/ssdweb/CERTH/635426912.pdf","CERTI")</f>
        <v>CERTI</v>
      </c>
    </row>
    <row r="3065" spans="1:27" ht="15" x14ac:dyDescent="0.25">
      <c r="A3065" s="2">
        <v>3060</v>
      </c>
      <c r="B3065" s="39">
        <v>941040196</v>
      </c>
      <c r="C3065" s="28" t="str">
        <f>HYPERLINK("https://pld.live/RapDetail.aspx?STONELIST=941040196","DNA")</f>
        <v>DNA</v>
      </c>
      <c r="D3065" s="18" t="s">
        <v>3054</v>
      </c>
      <c r="E3065" s="18" t="s">
        <v>5128</v>
      </c>
      <c r="F3065" s="2" t="s">
        <v>7987</v>
      </c>
      <c r="G3065" s="2" t="s">
        <v>3296</v>
      </c>
      <c r="H3065" s="14">
        <v>1.01</v>
      </c>
      <c r="I3065" s="2" t="s">
        <v>4761</v>
      </c>
      <c r="J3065" s="2" t="s">
        <v>13</v>
      </c>
      <c r="K3065" s="2" t="s">
        <v>1452</v>
      </c>
      <c r="L3065" s="2" t="s">
        <v>5221</v>
      </c>
      <c r="M3065" s="2" t="s">
        <v>5221</v>
      </c>
      <c r="N3065" s="2" t="s">
        <v>2317</v>
      </c>
      <c r="O3065" s="14">
        <v>6200</v>
      </c>
      <c r="P3065" s="14">
        <v>98.21</v>
      </c>
      <c r="Q3065" s="14">
        <v>110.98</v>
      </c>
      <c r="R3065" s="14">
        <v>112.09</v>
      </c>
      <c r="S3065" s="2" t="s">
        <v>5233</v>
      </c>
      <c r="T3065" s="2">
        <v>1.04</v>
      </c>
      <c r="U3065" s="2">
        <v>63.6</v>
      </c>
      <c r="V3065" s="2">
        <v>62</v>
      </c>
      <c r="W3065" s="2" t="s">
        <v>7862</v>
      </c>
      <c r="X3065" s="2" t="s">
        <v>7670</v>
      </c>
      <c r="Y3065" s="2">
        <v>6262</v>
      </c>
      <c r="Z3065" s="19" t="str">
        <f>HYPERLINK("https://ssdweb.co/ssdweb/hd/Vision360.html?d=941040196&amp;zoomslide=1&amp;z=1941040196&amp;ISCONFIRM=0","VIDEO")</f>
        <v>VIDEO</v>
      </c>
      <c r="AA3065" s="19" t="str">
        <f>HYPERLINK("https://ssdweb.co/ssdweb/CERTH/668477344.pdf","CERTI")</f>
        <v>CERTI</v>
      </c>
    </row>
    <row r="3066" spans="1:27" ht="15" x14ac:dyDescent="0.25">
      <c r="A3066" s="2">
        <v>3061</v>
      </c>
      <c r="B3066" s="39">
        <v>925900594</v>
      </c>
      <c r="C3066" s="28" t="str">
        <f>HYPERLINK("https://pld.live/RapDetail.aspx?STONELIST=925900594","DNA")</f>
        <v>DNA</v>
      </c>
      <c r="D3066" s="18" t="s">
        <v>3054</v>
      </c>
      <c r="E3066" s="18" t="s">
        <v>5128</v>
      </c>
      <c r="F3066" s="2" t="s">
        <v>7987</v>
      </c>
      <c r="G3066" s="2" t="s">
        <v>3296</v>
      </c>
      <c r="H3066" s="14">
        <v>1</v>
      </c>
      <c r="I3066" s="2" t="s">
        <v>267</v>
      </c>
      <c r="J3066" s="2" t="s">
        <v>3942</v>
      </c>
      <c r="K3066" s="2" t="s">
        <v>1452</v>
      </c>
      <c r="L3066" s="2" t="s">
        <v>5221</v>
      </c>
      <c r="M3066" s="2" t="s">
        <v>5221</v>
      </c>
      <c r="N3066" s="2" t="s">
        <v>2317</v>
      </c>
      <c r="O3066" s="14">
        <v>7600</v>
      </c>
      <c r="P3066" s="14">
        <v>98.5</v>
      </c>
      <c r="Q3066" s="14">
        <v>114</v>
      </c>
      <c r="R3066" s="14">
        <v>114</v>
      </c>
      <c r="S3066" s="2" t="s">
        <v>3267</v>
      </c>
      <c r="T3066" s="2">
        <v>1.05</v>
      </c>
      <c r="U3066" s="2">
        <v>67.400000000000006</v>
      </c>
      <c r="V3066" s="2">
        <v>59</v>
      </c>
      <c r="W3066" s="2" t="s">
        <v>7862</v>
      </c>
      <c r="X3066" s="2" t="s">
        <v>7670</v>
      </c>
      <c r="Y3066" s="2">
        <v>7600</v>
      </c>
      <c r="Z3066" s="19" t="str">
        <f>HYPERLINK("https://ssdweb.co/ssdweb/hd/Vision360.html?d=925900594&amp;zoomslide=1&amp;z=1925900594&amp;ISCONFIRM=0","VIDEO")</f>
        <v>VIDEO</v>
      </c>
      <c r="AA3066" s="19" t="str">
        <f>HYPERLINK("https://ssdweb.co/ssdweb/CERTH/629479101.pdf","CERTI")</f>
        <v>CERTI</v>
      </c>
    </row>
    <row r="3067" spans="1:27" ht="15" x14ac:dyDescent="0.25">
      <c r="A3067" s="2">
        <v>3062</v>
      </c>
      <c r="B3067" s="39">
        <v>926111048</v>
      </c>
      <c r="C3067" s="28" t="str">
        <f>HYPERLINK("https://pld.live/RapDetail.aspx?STONELIST=926111048","DNA")</f>
        <v>DNA</v>
      </c>
      <c r="D3067" s="18" t="s">
        <v>3054</v>
      </c>
      <c r="E3067" s="18" t="s">
        <v>5128</v>
      </c>
      <c r="F3067" s="2" t="s">
        <v>7987</v>
      </c>
      <c r="G3067" s="2" t="s">
        <v>3296</v>
      </c>
      <c r="H3067" s="14">
        <v>1</v>
      </c>
      <c r="I3067" s="2" t="s">
        <v>267</v>
      </c>
      <c r="J3067" s="2" t="s">
        <v>3942</v>
      </c>
      <c r="K3067" s="2" t="s">
        <v>1452</v>
      </c>
      <c r="L3067" s="2" t="s">
        <v>5221</v>
      </c>
      <c r="M3067" s="2" t="s">
        <v>5221</v>
      </c>
      <c r="N3067" s="2" t="s">
        <v>2317</v>
      </c>
      <c r="O3067" s="14">
        <v>7600</v>
      </c>
      <c r="P3067" s="14">
        <v>98.5</v>
      </c>
      <c r="Q3067" s="14">
        <v>114</v>
      </c>
      <c r="R3067" s="14">
        <v>114</v>
      </c>
      <c r="S3067" s="2" t="s">
        <v>4972</v>
      </c>
      <c r="T3067" s="2">
        <v>1.05</v>
      </c>
      <c r="U3067" s="2">
        <v>68.400000000000006</v>
      </c>
      <c r="V3067" s="2">
        <v>59</v>
      </c>
      <c r="W3067" s="2" t="s">
        <v>7862</v>
      </c>
      <c r="X3067" s="2" t="s">
        <v>7670</v>
      </c>
      <c r="Y3067" s="2">
        <v>7600</v>
      </c>
      <c r="Z3067" s="19" t="str">
        <f>HYPERLINK("https://ssdweb.co/ssdweb/hd/Vision360.html?d=926111048&amp;zoomslide=1&amp;z=1926111048&amp;ISCONFIRM=0","VIDEO")</f>
        <v>VIDEO</v>
      </c>
      <c r="AA3067" s="19" t="str">
        <f>HYPERLINK("https://ssdweb.co/ssdweb/CERTH/632449585.pdf","CERTI")</f>
        <v>CERTI</v>
      </c>
    </row>
    <row r="3068" spans="1:27" ht="15" x14ac:dyDescent="0.25">
      <c r="A3068" s="2">
        <v>3063</v>
      </c>
      <c r="B3068" s="39">
        <v>925900411</v>
      </c>
      <c r="C3068" s="28" t="str">
        <f>HYPERLINK("https://pld.live/RapDetail.aspx?STONELIST=925900411","DNA")</f>
        <v>DNA</v>
      </c>
      <c r="D3068" s="18" t="s">
        <v>3054</v>
      </c>
      <c r="E3068" s="18" t="s">
        <v>5128</v>
      </c>
      <c r="F3068" s="2" t="s">
        <v>7987</v>
      </c>
      <c r="G3068" s="2" t="s">
        <v>3296</v>
      </c>
      <c r="H3068" s="14">
        <v>1</v>
      </c>
      <c r="I3068" s="2" t="s">
        <v>267</v>
      </c>
      <c r="J3068" s="2" t="s">
        <v>13</v>
      </c>
      <c r="K3068" s="2" t="s">
        <v>1452</v>
      </c>
      <c r="L3068" s="2" t="s">
        <v>5221</v>
      </c>
      <c r="M3068" s="2" t="s">
        <v>5221</v>
      </c>
      <c r="N3068" s="2" t="s">
        <v>2317</v>
      </c>
      <c r="O3068" s="14">
        <v>6700</v>
      </c>
      <c r="P3068" s="14">
        <v>98.36</v>
      </c>
      <c r="Q3068" s="14">
        <v>109.88</v>
      </c>
      <c r="R3068" s="14">
        <v>109.88</v>
      </c>
      <c r="S3068" s="2" t="s">
        <v>7336</v>
      </c>
      <c r="T3068" s="2">
        <v>1.05</v>
      </c>
      <c r="U3068" s="2">
        <v>67.3</v>
      </c>
      <c r="V3068" s="2">
        <v>60</v>
      </c>
      <c r="W3068" s="2" t="s">
        <v>7862</v>
      </c>
      <c r="X3068" s="2" t="s">
        <v>7670</v>
      </c>
      <c r="Y3068" s="2">
        <v>6700</v>
      </c>
      <c r="Z3068" s="19" t="str">
        <f>HYPERLINK("https://ssdweb.co/ssdweb/hd/Vision360.html?d=925900411&amp;zoomslide=1&amp;z=1925900411&amp;ISCONFIRM=0","VIDEO")</f>
        <v>VIDEO</v>
      </c>
      <c r="AA3068" s="19" t="str">
        <f>HYPERLINK("https://ssdweb.co/ssdweb/CERTH/627431764.pdf","CERTI")</f>
        <v>CERTI</v>
      </c>
    </row>
    <row r="3069" spans="1:27" ht="15" x14ac:dyDescent="0.25">
      <c r="A3069" s="2">
        <v>3064</v>
      </c>
      <c r="B3069" s="39">
        <v>925900588</v>
      </c>
      <c r="C3069" s="28" t="str">
        <f>HYPERLINK("https://pld.live/RapDetail.aspx?STONELIST=925900588","DNA")</f>
        <v>DNA</v>
      </c>
      <c r="D3069" s="18" t="s">
        <v>3054</v>
      </c>
      <c r="E3069" s="18" t="s">
        <v>5128</v>
      </c>
      <c r="F3069" s="2" t="s">
        <v>7987</v>
      </c>
      <c r="G3069" s="2" t="s">
        <v>3296</v>
      </c>
      <c r="H3069" s="14">
        <v>1</v>
      </c>
      <c r="I3069" s="2" t="s">
        <v>267</v>
      </c>
      <c r="J3069" s="2" t="s">
        <v>13</v>
      </c>
      <c r="K3069" s="2" t="s">
        <v>1452</v>
      </c>
      <c r="L3069" s="2" t="s">
        <v>5221</v>
      </c>
      <c r="M3069" s="2" t="s">
        <v>5221</v>
      </c>
      <c r="N3069" s="2" t="s">
        <v>2317</v>
      </c>
      <c r="O3069" s="14">
        <v>6700</v>
      </c>
      <c r="P3069" s="14">
        <v>98.33</v>
      </c>
      <c r="Q3069" s="14">
        <v>111.89</v>
      </c>
      <c r="R3069" s="14">
        <v>111.89</v>
      </c>
      <c r="S3069" s="2" t="s">
        <v>7936</v>
      </c>
      <c r="T3069" s="2">
        <v>1.02</v>
      </c>
      <c r="U3069" s="2">
        <v>64</v>
      </c>
      <c r="V3069" s="2">
        <v>61</v>
      </c>
      <c r="W3069" s="2" t="s">
        <v>7862</v>
      </c>
      <c r="X3069" s="2" t="s">
        <v>7670</v>
      </c>
      <c r="Y3069" s="2">
        <v>6700</v>
      </c>
      <c r="Z3069" s="19" t="str">
        <f>HYPERLINK("https://ssdweb.co/ssdweb/hd/Vision360.html?d=925900588&amp;zoomslide=1&amp;z=1925900588&amp;ISCONFIRM=0","VIDEO")</f>
        <v>VIDEO</v>
      </c>
      <c r="AA3069" s="19" t="str">
        <f>HYPERLINK("https://ssdweb.co/ssdweb/CERTH/629453404.pdf","CERTI")</f>
        <v>CERTI</v>
      </c>
    </row>
    <row r="3070" spans="1:27" ht="15" x14ac:dyDescent="0.25">
      <c r="A3070" s="2">
        <v>3065</v>
      </c>
      <c r="B3070" s="39">
        <v>925862060</v>
      </c>
      <c r="C3070" s="28" t="str">
        <f>HYPERLINK("https://pld.live/RapDetail.aspx?STONELIST=925862060","DNA")</f>
        <v>DNA</v>
      </c>
      <c r="D3070" s="18" t="s">
        <v>3054</v>
      </c>
      <c r="E3070" s="18" t="s">
        <v>5128</v>
      </c>
      <c r="F3070" s="2" t="s">
        <v>7987</v>
      </c>
      <c r="G3070" s="2" t="s">
        <v>3296</v>
      </c>
      <c r="H3070" s="14">
        <v>1</v>
      </c>
      <c r="I3070" s="2" t="s">
        <v>267</v>
      </c>
      <c r="J3070" s="2" t="s">
        <v>13</v>
      </c>
      <c r="K3070" s="2" t="s">
        <v>1452</v>
      </c>
      <c r="L3070" s="2" t="s">
        <v>5221</v>
      </c>
      <c r="M3070" s="2" t="s">
        <v>5221</v>
      </c>
      <c r="N3070" s="2" t="s">
        <v>2317</v>
      </c>
      <c r="O3070" s="14">
        <v>6700</v>
      </c>
      <c r="P3070" s="14">
        <v>98.33</v>
      </c>
      <c r="Q3070" s="14">
        <v>111.89</v>
      </c>
      <c r="R3070" s="14">
        <v>111.89</v>
      </c>
      <c r="S3070" s="2" t="s">
        <v>6343</v>
      </c>
      <c r="T3070" s="2">
        <v>1.03</v>
      </c>
      <c r="U3070" s="2">
        <v>65.2</v>
      </c>
      <c r="V3070" s="2">
        <v>60</v>
      </c>
      <c r="W3070" s="2" t="s">
        <v>7862</v>
      </c>
      <c r="X3070" s="2" t="s">
        <v>7670</v>
      </c>
      <c r="Y3070" s="2">
        <v>6700</v>
      </c>
      <c r="Z3070" s="19" t="str">
        <f>HYPERLINK("https://ssdweb.co/ssdweb/hd/Vision360.html?d=925862060&amp;zoomslide=1&amp;z=1925862060&amp;ISCONFIRM=0","VIDEO")</f>
        <v>VIDEO</v>
      </c>
      <c r="AA3070" s="19" t="str">
        <f>HYPERLINK("https://ssdweb.co/ssdweb/CERTH/629453337.pdf","CERTI")</f>
        <v>CERTI</v>
      </c>
    </row>
    <row r="3071" spans="1:27" ht="15" x14ac:dyDescent="0.25">
      <c r="A3071" s="2">
        <v>3066</v>
      </c>
      <c r="B3071" s="39">
        <v>925830769</v>
      </c>
      <c r="C3071" s="28" t="str">
        <f>HYPERLINK("https://pld.live/RapDetail.aspx?STONELIST=925830769","DNA")</f>
        <v>DNA</v>
      </c>
      <c r="D3071" s="18" t="s">
        <v>3054</v>
      </c>
      <c r="E3071" s="18" t="s">
        <v>5128</v>
      </c>
      <c r="F3071" s="2" t="s">
        <v>7987</v>
      </c>
      <c r="G3071" s="2" t="s">
        <v>3296</v>
      </c>
      <c r="H3071" s="14">
        <v>1</v>
      </c>
      <c r="I3071" s="2" t="s">
        <v>267</v>
      </c>
      <c r="J3071" s="2" t="s">
        <v>13</v>
      </c>
      <c r="K3071" s="2" t="s">
        <v>1452</v>
      </c>
      <c r="L3071" s="2" t="s">
        <v>5221</v>
      </c>
      <c r="M3071" s="2" t="s">
        <v>5221</v>
      </c>
      <c r="N3071" s="2" t="s">
        <v>2317</v>
      </c>
      <c r="O3071" s="14">
        <v>6700</v>
      </c>
      <c r="P3071" s="14">
        <v>98.33</v>
      </c>
      <c r="Q3071" s="14">
        <v>111.89</v>
      </c>
      <c r="R3071" s="14">
        <v>111.89</v>
      </c>
      <c r="S3071" s="2" t="s">
        <v>1433</v>
      </c>
      <c r="T3071" s="2">
        <v>1.02</v>
      </c>
      <c r="U3071" s="2">
        <v>67.7</v>
      </c>
      <c r="V3071" s="2">
        <v>60</v>
      </c>
      <c r="W3071" s="2" t="s">
        <v>7862</v>
      </c>
      <c r="X3071" s="2" t="s">
        <v>7670</v>
      </c>
      <c r="Y3071" s="2">
        <v>6700</v>
      </c>
      <c r="Z3071" s="19" t="str">
        <f>HYPERLINK("https://ssdweb.co/ssdweb/hd/Vision360.html?d=925830769&amp;zoomslide=1&amp;z=1925830769&amp;ISCONFIRM=0","VIDEO")</f>
        <v>VIDEO</v>
      </c>
      <c r="AA3071" s="19" t="str">
        <f>HYPERLINK("https://ssdweb.co/ssdweb/CERTH/629453319.pdf","CERTI")</f>
        <v>CERTI</v>
      </c>
    </row>
    <row r="3072" spans="1:27" ht="15" x14ac:dyDescent="0.25">
      <c r="A3072" s="2">
        <v>3067</v>
      </c>
      <c r="B3072" s="39">
        <v>925760702</v>
      </c>
      <c r="C3072" s="28" t="str">
        <f>HYPERLINK("https://pld.live/RapDetail.aspx?STONELIST=925760702","DNA")</f>
        <v>DNA</v>
      </c>
      <c r="D3072" s="18" t="s">
        <v>3054</v>
      </c>
      <c r="E3072" s="18" t="s">
        <v>5128</v>
      </c>
      <c r="F3072" s="2" t="s">
        <v>7987</v>
      </c>
      <c r="G3072" s="2" t="s">
        <v>3296</v>
      </c>
      <c r="H3072" s="14">
        <v>1</v>
      </c>
      <c r="I3072" s="2" t="s">
        <v>267</v>
      </c>
      <c r="J3072" s="2" t="s">
        <v>13</v>
      </c>
      <c r="K3072" s="2" t="s">
        <v>1452</v>
      </c>
      <c r="L3072" s="2" t="s">
        <v>5221</v>
      </c>
      <c r="M3072" s="2" t="s">
        <v>5221</v>
      </c>
      <c r="N3072" s="2" t="s">
        <v>2317</v>
      </c>
      <c r="O3072" s="14">
        <v>6700</v>
      </c>
      <c r="P3072" s="14">
        <v>98.33</v>
      </c>
      <c r="Q3072" s="14">
        <v>111.89</v>
      </c>
      <c r="R3072" s="14">
        <v>111.89</v>
      </c>
      <c r="S3072" s="2" t="s">
        <v>6176</v>
      </c>
      <c r="T3072" s="2">
        <v>1.04</v>
      </c>
      <c r="U3072" s="2">
        <v>66.099999999999994</v>
      </c>
      <c r="V3072" s="2">
        <v>61</v>
      </c>
      <c r="W3072" s="2" t="s">
        <v>7862</v>
      </c>
      <c r="X3072" s="2" t="s">
        <v>7670</v>
      </c>
      <c r="Y3072" s="2">
        <v>6700</v>
      </c>
      <c r="Z3072" s="19" t="str">
        <f>HYPERLINK("https://ssdweb.co/ssdweb/hd/Vision360.html?d=925760702&amp;zoomslide=1&amp;z=1925760702&amp;ISCONFIRM=0","VIDEO")</f>
        <v>VIDEO</v>
      </c>
      <c r="AA3072" s="19" t="str">
        <f>HYPERLINK("https://ssdweb.co/ssdweb/CERTH/636470102.pdf","CERTI")</f>
        <v>CERTI</v>
      </c>
    </row>
    <row r="3073" spans="1:27" ht="15" x14ac:dyDescent="0.25">
      <c r="A3073" s="2">
        <v>3068</v>
      </c>
      <c r="B3073" s="39">
        <v>925830747</v>
      </c>
      <c r="C3073" s="28" t="str">
        <f>HYPERLINK("https://pld.live/RapDetail.aspx?STONELIST=925830747","DNA")</f>
        <v>DNA</v>
      </c>
      <c r="D3073" s="18" t="s">
        <v>3054</v>
      </c>
      <c r="E3073" s="18" t="s">
        <v>5128</v>
      </c>
      <c r="F3073" s="2" t="s">
        <v>7987</v>
      </c>
      <c r="G3073" s="2" t="s">
        <v>3296</v>
      </c>
      <c r="H3073" s="14">
        <v>1</v>
      </c>
      <c r="I3073" s="2" t="s">
        <v>267</v>
      </c>
      <c r="J3073" s="2" t="s">
        <v>13</v>
      </c>
      <c r="K3073" s="2" t="s">
        <v>1452</v>
      </c>
      <c r="L3073" s="2" t="s">
        <v>5221</v>
      </c>
      <c r="M3073" s="2" t="s">
        <v>5221</v>
      </c>
      <c r="N3073" s="2" t="s">
        <v>2317</v>
      </c>
      <c r="O3073" s="14">
        <v>6700</v>
      </c>
      <c r="P3073" s="14">
        <v>98.33</v>
      </c>
      <c r="Q3073" s="14">
        <v>111.89</v>
      </c>
      <c r="R3073" s="14">
        <v>111.89</v>
      </c>
      <c r="S3073" s="2" t="s">
        <v>255</v>
      </c>
      <c r="T3073" s="2">
        <v>1.07</v>
      </c>
      <c r="U3073" s="2">
        <v>67.5</v>
      </c>
      <c r="V3073" s="2">
        <v>57</v>
      </c>
      <c r="W3073" s="2" t="s">
        <v>7862</v>
      </c>
      <c r="X3073" s="2" t="s">
        <v>3851</v>
      </c>
      <c r="Y3073" s="2">
        <v>6700</v>
      </c>
      <c r="Z3073" s="19" t="str">
        <f>HYPERLINK("https://ssdweb.co/ssdweb/hd/Vision360.html?d=925830747&amp;zoomslide=1&amp;z=1925830747&amp;ISCONFIRM=0","VIDEO")</f>
        <v>VIDEO</v>
      </c>
      <c r="AA3073" s="19" t="str">
        <f>HYPERLINK("https://ssdweb.co/ssdweb/CERTH/628427083.pdf","CERTI")</f>
        <v>CERTI</v>
      </c>
    </row>
    <row r="3074" spans="1:27" ht="15" x14ac:dyDescent="0.25">
      <c r="A3074" s="2">
        <v>3069</v>
      </c>
      <c r="B3074" s="39">
        <v>925940648</v>
      </c>
      <c r="C3074" s="28" t="str">
        <f>HYPERLINK("https://pld.live/RapDetail.aspx?STONELIST=925940648","DNA")</f>
        <v>DNA</v>
      </c>
      <c r="D3074" s="18" t="s">
        <v>3054</v>
      </c>
      <c r="E3074" s="18" t="s">
        <v>5128</v>
      </c>
      <c r="F3074" s="2" t="s">
        <v>7987</v>
      </c>
      <c r="G3074" s="2" t="s">
        <v>3296</v>
      </c>
      <c r="H3074" s="14">
        <v>1</v>
      </c>
      <c r="I3074" s="2" t="s">
        <v>267</v>
      </c>
      <c r="J3074" s="2" t="s">
        <v>13</v>
      </c>
      <c r="K3074" s="2" t="s">
        <v>1452</v>
      </c>
      <c r="L3074" s="2" t="s">
        <v>5221</v>
      </c>
      <c r="M3074" s="2" t="s">
        <v>5221</v>
      </c>
      <c r="N3074" s="2" t="s">
        <v>2317</v>
      </c>
      <c r="O3074" s="14">
        <v>6700</v>
      </c>
      <c r="P3074" s="14">
        <v>98.33</v>
      </c>
      <c r="Q3074" s="14">
        <v>111.89</v>
      </c>
      <c r="R3074" s="14">
        <v>111.89</v>
      </c>
      <c r="S3074" s="2" t="s">
        <v>4337</v>
      </c>
      <c r="T3074" s="2">
        <v>1.05</v>
      </c>
      <c r="U3074" s="2">
        <v>66.7</v>
      </c>
      <c r="V3074" s="2">
        <v>58</v>
      </c>
      <c r="W3074" s="2" t="s">
        <v>7862</v>
      </c>
      <c r="X3074" s="2" t="s">
        <v>7670</v>
      </c>
      <c r="Y3074" s="2">
        <v>6700</v>
      </c>
      <c r="Z3074" s="19" t="str">
        <f>HYPERLINK("https://ssdweb.co/ssdweb/hd/Vision360.html?d=925940648&amp;zoomslide=1&amp;z=1925940648&amp;ISCONFIRM=0","VIDEO")</f>
        <v>VIDEO</v>
      </c>
      <c r="AA3074" s="19" t="str">
        <f>HYPERLINK("https://ssdweb.co/ssdweb/CERTH/630447799.pdf","CERTI")</f>
        <v>CERTI</v>
      </c>
    </row>
    <row r="3075" spans="1:27" ht="15" x14ac:dyDescent="0.25">
      <c r="A3075" s="2">
        <v>3070</v>
      </c>
      <c r="B3075" s="39">
        <v>925220259</v>
      </c>
      <c r="C3075" s="28" t="str">
        <f>HYPERLINK("https://pld.live/RapDetail.aspx?STONELIST=925220259","DNA")</f>
        <v>DNA</v>
      </c>
      <c r="D3075" s="18" t="s">
        <v>3054</v>
      </c>
      <c r="E3075" s="18" t="s">
        <v>5128</v>
      </c>
      <c r="F3075" s="2" t="s">
        <v>7987</v>
      </c>
      <c r="G3075" s="2" t="s">
        <v>3296</v>
      </c>
      <c r="H3075" s="14">
        <v>1</v>
      </c>
      <c r="I3075" s="2" t="s">
        <v>267</v>
      </c>
      <c r="J3075" s="2" t="s">
        <v>13</v>
      </c>
      <c r="K3075" s="2" t="s">
        <v>1452</v>
      </c>
      <c r="L3075" s="2" t="s">
        <v>5221</v>
      </c>
      <c r="M3075" s="2" t="s">
        <v>5221</v>
      </c>
      <c r="N3075" s="2" t="s">
        <v>2317</v>
      </c>
      <c r="O3075" s="14">
        <v>6700</v>
      </c>
      <c r="P3075" s="14">
        <v>98.36</v>
      </c>
      <c r="Q3075" s="14">
        <v>109.88</v>
      </c>
      <c r="R3075" s="14">
        <v>109.88</v>
      </c>
      <c r="S3075" s="2" t="s">
        <v>8091</v>
      </c>
      <c r="T3075" s="2">
        <v>1.07</v>
      </c>
      <c r="U3075" s="2">
        <v>61.8</v>
      </c>
      <c r="V3075" s="2">
        <v>60</v>
      </c>
      <c r="W3075" s="2" t="s">
        <v>7862</v>
      </c>
      <c r="X3075" s="2" t="s">
        <v>3851</v>
      </c>
      <c r="Y3075" s="2">
        <v>6700</v>
      </c>
      <c r="Z3075" s="19" t="str">
        <f>HYPERLINK("https://ssdweb.co/ssdweb/hd/Vision360.html?d=925220259&amp;zoomslide=1&amp;z=1925220259&amp;ISCONFIRM=0","VIDEO")</f>
        <v>VIDEO</v>
      </c>
      <c r="AA3075" s="19" t="str">
        <f>HYPERLINK("https://ssdweb.co/ssdweb/CERTH/620448931.pdf","CERTI")</f>
        <v>CERTI</v>
      </c>
    </row>
    <row r="3076" spans="1:27" ht="15" x14ac:dyDescent="0.25">
      <c r="A3076" s="2">
        <v>3071</v>
      </c>
      <c r="B3076" s="39">
        <v>926110679</v>
      </c>
      <c r="C3076" s="28" t="str">
        <f>HYPERLINK("https://pld.live/RapDetail.aspx?STONELIST=926110679","DNA")</f>
        <v>DNA</v>
      </c>
      <c r="D3076" s="18" t="s">
        <v>3054</v>
      </c>
      <c r="E3076" s="18" t="s">
        <v>5128</v>
      </c>
      <c r="F3076" s="2" t="s">
        <v>7987</v>
      </c>
      <c r="G3076" s="2" t="s">
        <v>3296</v>
      </c>
      <c r="H3076" s="14">
        <v>1</v>
      </c>
      <c r="I3076" s="2" t="s">
        <v>267</v>
      </c>
      <c r="J3076" s="2" t="s">
        <v>13</v>
      </c>
      <c r="K3076" s="2" t="s">
        <v>1452</v>
      </c>
      <c r="L3076" s="2" t="s">
        <v>5221</v>
      </c>
      <c r="M3076" s="2" t="s">
        <v>5221</v>
      </c>
      <c r="N3076" s="2" t="s">
        <v>2317</v>
      </c>
      <c r="O3076" s="14">
        <v>6700</v>
      </c>
      <c r="P3076" s="14">
        <v>98.33</v>
      </c>
      <c r="Q3076" s="14">
        <v>111.89</v>
      </c>
      <c r="R3076" s="14">
        <v>111.89</v>
      </c>
      <c r="S3076" s="2" t="s">
        <v>7796</v>
      </c>
      <c r="T3076" s="2">
        <v>1.05</v>
      </c>
      <c r="U3076" s="2">
        <v>64</v>
      </c>
      <c r="V3076" s="2">
        <v>58</v>
      </c>
      <c r="W3076" s="2" t="s">
        <v>7862</v>
      </c>
      <c r="X3076" s="2" t="s">
        <v>7670</v>
      </c>
      <c r="Y3076" s="2">
        <v>6700</v>
      </c>
      <c r="Z3076" s="19" t="str">
        <f>HYPERLINK("https://ssdweb.co/ssdweb/hd/Vision360.html?d=926110679&amp;zoomslide=1&amp;z=1926110679&amp;ISCONFIRM=0","VIDEO")</f>
        <v>VIDEO</v>
      </c>
      <c r="AA3076" s="19" t="str">
        <f>HYPERLINK("https://ssdweb.co/ssdweb/CERTH/632403913.pdf","CERTI")</f>
        <v>CERTI</v>
      </c>
    </row>
    <row r="3077" spans="1:27" ht="15" x14ac:dyDescent="0.25">
      <c r="A3077" s="2">
        <v>3072</v>
      </c>
      <c r="B3077" s="39">
        <v>926111266</v>
      </c>
      <c r="C3077" s="28" t="str">
        <f>HYPERLINK("https://pld.live/RapDetail.aspx?STONELIST=926111266","DNA")</f>
        <v>DNA</v>
      </c>
      <c r="D3077" s="18" t="s">
        <v>3054</v>
      </c>
      <c r="E3077" s="18" t="s">
        <v>5128</v>
      </c>
      <c r="F3077" s="2" t="s">
        <v>7987</v>
      </c>
      <c r="G3077" s="2" t="s">
        <v>3296</v>
      </c>
      <c r="H3077" s="14">
        <v>1</v>
      </c>
      <c r="I3077" s="2" t="s">
        <v>267</v>
      </c>
      <c r="J3077" s="2" t="s">
        <v>13</v>
      </c>
      <c r="K3077" s="2" t="s">
        <v>1452</v>
      </c>
      <c r="L3077" s="2" t="s">
        <v>5221</v>
      </c>
      <c r="M3077" s="2" t="s">
        <v>5221</v>
      </c>
      <c r="N3077" s="2" t="s">
        <v>2317</v>
      </c>
      <c r="O3077" s="14">
        <v>6700</v>
      </c>
      <c r="P3077" s="14">
        <v>98.33</v>
      </c>
      <c r="Q3077" s="14">
        <v>111.89</v>
      </c>
      <c r="R3077" s="14">
        <v>111.89</v>
      </c>
      <c r="S3077" s="2" t="s">
        <v>5416</v>
      </c>
      <c r="T3077" s="2">
        <v>1.01</v>
      </c>
      <c r="U3077" s="2">
        <v>68.5</v>
      </c>
      <c r="V3077" s="2">
        <v>62</v>
      </c>
      <c r="W3077" s="2" t="s">
        <v>7862</v>
      </c>
      <c r="X3077" s="2" t="s">
        <v>7670</v>
      </c>
      <c r="Y3077" s="2">
        <v>6700</v>
      </c>
      <c r="Z3077" s="19" t="str">
        <f>HYPERLINK("https://ssdweb.co/ssdweb/hd/Vision360.html?d=926111266&amp;zoomslide=1&amp;z=1926111266&amp;ISCONFIRM=0","VIDEO")</f>
        <v>VIDEO</v>
      </c>
      <c r="AA3077" s="19" t="str">
        <f>HYPERLINK("https://ssdweb.co/ssdweb/CERTH/634472354.pdf","CERTI")</f>
        <v>CERTI</v>
      </c>
    </row>
    <row r="3078" spans="1:27" ht="15" x14ac:dyDescent="0.25">
      <c r="A3078" s="2">
        <v>3073</v>
      </c>
      <c r="B3078" s="39">
        <v>926210847</v>
      </c>
      <c r="C3078" s="28" t="str">
        <f>HYPERLINK("https://pld.live/RapDetail.aspx?STONELIST=926210847","DNA")</f>
        <v>DNA</v>
      </c>
      <c r="D3078" s="18" t="s">
        <v>3054</v>
      </c>
      <c r="E3078" s="18" t="s">
        <v>5128</v>
      </c>
      <c r="F3078" s="2" t="s">
        <v>7987</v>
      </c>
      <c r="G3078" s="2" t="s">
        <v>3296</v>
      </c>
      <c r="H3078" s="14">
        <v>1</v>
      </c>
      <c r="I3078" s="2" t="s">
        <v>267</v>
      </c>
      <c r="J3078" s="2" t="s">
        <v>13</v>
      </c>
      <c r="K3078" s="2" t="s">
        <v>1452</v>
      </c>
      <c r="L3078" s="2" t="s">
        <v>5721</v>
      </c>
      <c r="M3078" s="2" t="s">
        <v>5221</v>
      </c>
      <c r="N3078" s="2" t="s">
        <v>2317</v>
      </c>
      <c r="O3078" s="14">
        <v>6700</v>
      </c>
      <c r="P3078" s="14">
        <v>98.34</v>
      </c>
      <c r="Q3078" s="14">
        <v>111.22</v>
      </c>
      <c r="R3078" s="14">
        <v>111.22</v>
      </c>
      <c r="S3078" s="2" t="s">
        <v>145</v>
      </c>
      <c r="T3078" s="2">
        <v>1.04</v>
      </c>
      <c r="U3078" s="2">
        <v>68.8</v>
      </c>
      <c r="V3078" s="2">
        <v>59</v>
      </c>
      <c r="W3078" s="2" t="s">
        <v>7862</v>
      </c>
      <c r="X3078" s="2" t="s">
        <v>7670</v>
      </c>
      <c r="Y3078" s="2">
        <v>6700</v>
      </c>
      <c r="Z3078" s="19" t="str">
        <f>HYPERLINK("https://ssdweb.co/ssdweb/hd/Vision360.html?d=926210847&amp;zoomslide=1&amp;z=1926210847&amp;ISCONFIRM=0","VIDEO")</f>
        <v>VIDEO</v>
      </c>
      <c r="AA3078" s="19" t="str">
        <f>HYPERLINK("https://ssdweb.co/ssdweb/CERTH/635423929.pdf","CERTI")</f>
        <v>CERTI</v>
      </c>
    </row>
    <row r="3079" spans="1:27" ht="15" x14ac:dyDescent="0.25">
      <c r="A3079" s="2">
        <v>3074</v>
      </c>
      <c r="B3079" s="39">
        <v>925940634</v>
      </c>
      <c r="C3079" s="28" t="str">
        <f>HYPERLINK("https://pld.live/RapDetail.aspx?STONELIST=925940634","DNA")</f>
        <v>DNA</v>
      </c>
      <c r="D3079" s="18" t="s">
        <v>3054</v>
      </c>
      <c r="E3079" s="18" t="s">
        <v>5128</v>
      </c>
      <c r="F3079" s="2" t="s">
        <v>7987</v>
      </c>
      <c r="G3079" s="2" t="s">
        <v>3296</v>
      </c>
      <c r="H3079" s="14">
        <v>1</v>
      </c>
      <c r="I3079" s="2" t="s">
        <v>267</v>
      </c>
      <c r="J3079" s="2" t="s">
        <v>5144</v>
      </c>
      <c r="K3079" s="2" t="s">
        <v>1452</v>
      </c>
      <c r="L3079" s="2" t="s">
        <v>5221</v>
      </c>
      <c r="M3079" s="2" t="s">
        <v>5221</v>
      </c>
      <c r="N3079" s="2" t="s">
        <v>2317</v>
      </c>
      <c r="O3079" s="14">
        <v>5700</v>
      </c>
      <c r="P3079" s="14">
        <v>98.11</v>
      </c>
      <c r="Q3079" s="14">
        <v>107.73</v>
      </c>
      <c r="R3079" s="14">
        <v>107.73</v>
      </c>
      <c r="S3079" s="2" t="s">
        <v>4035</v>
      </c>
      <c r="T3079" s="2">
        <v>1.05</v>
      </c>
      <c r="U3079" s="2">
        <v>66.599999999999994</v>
      </c>
      <c r="V3079" s="2">
        <v>62</v>
      </c>
      <c r="W3079" s="2" t="s">
        <v>7862</v>
      </c>
      <c r="X3079" s="2" t="s">
        <v>7670</v>
      </c>
      <c r="Y3079" s="2">
        <v>5700</v>
      </c>
      <c r="Z3079" s="19" t="str">
        <f>HYPERLINK("https://ssdweb.co/ssdweb/hd/Vision360.html?d=925940634&amp;zoomslide=1&amp;z=1925940634&amp;ISCONFIRM=0","VIDEO")</f>
        <v>VIDEO</v>
      </c>
      <c r="AA3079" s="19" t="str">
        <f>HYPERLINK("https://ssdweb.co/ssdweb/CERTH/629497466.pdf","CERTI")</f>
        <v>CERTI</v>
      </c>
    </row>
    <row r="3080" spans="1:27" ht="15" x14ac:dyDescent="0.25">
      <c r="A3080" s="2">
        <v>3075</v>
      </c>
      <c r="B3080" s="39">
        <v>926211122</v>
      </c>
      <c r="C3080" s="28" t="str">
        <f>HYPERLINK("https://pld.live/RapDetail.aspx?STONELIST=926211122","DNA")</f>
        <v>DNA</v>
      </c>
      <c r="D3080" s="18" t="s">
        <v>3054</v>
      </c>
      <c r="E3080" s="18" t="s">
        <v>5128</v>
      </c>
      <c r="F3080" s="2" t="s">
        <v>7987</v>
      </c>
      <c r="G3080" s="2" t="s">
        <v>3296</v>
      </c>
      <c r="H3080" s="14">
        <v>1</v>
      </c>
      <c r="I3080" s="2" t="s">
        <v>267</v>
      </c>
      <c r="J3080" s="2" t="s">
        <v>5144</v>
      </c>
      <c r="K3080" s="2" t="s">
        <v>1452</v>
      </c>
      <c r="L3080" s="2" t="s">
        <v>5221</v>
      </c>
      <c r="M3080" s="2" t="s">
        <v>5221</v>
      </c>
      <c r="N3080" s="2" t="s">
        <v>2317</v>
      </c>
      <c r="O3080" s="14">
        <v>5700</v>
      </c>
      <c r="P3080" s="14">
        <v>98.11</v>
      </c>
      <c r="Q3080" s="14">
        <v>107.73</v>
      </c>
      <c r="R3080" s="14">
        <v>107.73</v>
      </c>
      <c r="S3080" s="2" t="s">
        <v>7735</v>
      </c>
      <c r="T3080" s="2">
        <v>1.01</v>
      </c>
      <c r="U3080" s="2">
        <v>63.5</v>
      </c>
      <c r="V3080" s="2">
        <v>61</v>
      </c>
      <c r="W3080" s="2" t="s">
        <v>7862</v>
      </c>
      <c r="X3080" s="2" t="s">
        <v>7670</v>
      </c>
      <c r="Y3080" s="2">
        <v>5700</v>
      </c>
      <c r="Z3080" s="19" t="str">
        <f>HYPERLINK("https://ssdweb.co/ssdweb/hd/Vision360.html?d=926211122&amp;zoomslide=1&amp;z=1926211122&amp;ISCONFIRM=0","VIDEO")</f>
        <v>VIDEO</v>
      </c>
      <c r="AA3080" s="19" t="str">
        <f>HYPERLINK("https://ssdweb.co/ssdweb/CERTH/638463178.pdf","CERTI")</f>
        <v>CERTI</v>
      </c>
    </row>
    <row r="3081" spans="1:27" ht="15" x14ac:dyDescent="0.25">
      <c r="A3081" s="2">
        <v>3076</v>
      </c>
      <c r="B3081" s="39">
        <v>926210791</v>
      </c>
      <c r="C3081" s="28" t="str">
        <f>HYPERLINK("https://pld.live/RapDetail.aspx?STONELIST=926210791","DNA")</f>
        <v>DNA</v>
      </c>
      <c r="D3081" s="18" t="s">
        <v>3054</v>
      </c>
      <c r="E3081" s="18" t="s">
        <v>5128</v>
      </c>
      <c r="F3081" s="2" t="s">
        <v>7987</v>
      </c>
      <c r="G3081" s="2" t="s">
        <v>3296</v>
      </c>
      <c r="H3081" s="14">
        <v>1</v>
      </c>
      <c r="I3081" s="2" t="s">
        <v>4761</v>
      </c>
      <c r="J3081" s="2" t="s">
        <v>3942</v>
      </c>
      <c r="K3081" s="2" t="s">
        <v>1452</v>
      </c>
      <c r="L3081" s="2" t="s">
        <v>5221</v>
      </c>
      <c r="M3081" s="2" t="s">
        <v>5221</v>
      </c>
      <c r="N3081" s="2" t="s">
        <v>2317</v>
      </c>
      <c r="O3081" s="14">
        <v>6900</v>
      </c>
      <c r="P3081" s="14">
        <v>98.39</v>
      </c>
      <c r="Q3081" s="14">
        <v>111.09</v>
      </c>
      <c r="R3081" s="14">
        <v>111.09</v>
      </c>
      <c r="S3081" s="2" t="s">
        <v>5264</v>
      </c>
      <c r="T3081" s="2">
        <v>1.01</v>
      </c>
      <c r="U3081" s="2">
        <v>67.3</v>
      </c>
      <c r="V3081" s="2">
        <v>62</v>
      </c>
      <c r="W3081" s="2" t="s">
        <v>7862</v>
      </c>
      <c r="X3081" s="2" t="s">
        <v>7670</v>
      </c>
      <c r="Y3081" s="2">
        <v>6900</v>
      </c>
      <c r="Z3081" s="19" t="str">
        <f>HYPERLINK("https://ssdweb.co/ssdweb/hd/Vision360.html?d=926210791&amp;zoomslide=1&amp;z=1926210791&amp;ISCONFIRM=0","VIDEO")</f>
        <v>VIDEO</v>
      </c>
      <c r="AA3081" s="19" t="str">
        <f>HYPERLINK("https://ssdweb.co/ssdweb/CERTH/635423964.pdf","CERTI")</f>
        <v>CERTI</v>
      </c>
    </row>
    <row r="3082" spans="1:27" ht="15" x14ac:dyDescent="0.25">
      <c r="A3082" s="2">
        <v>3077</v>
      </c>
      <c r="B3082" s="39">
        <v>926250049</v>
      </c>
      <c r="C3082" s="28" t="str">
        <f>HYPERLINK("https://pld.live/RapDetail.aspx?STONELIST=926250049","DNA")</f>
        <v>DNA</v>
      </c>
      <c r="D3082" s="18" t="s">
        <v>3054</v>
      </c>
      <c r="E3082" s="18" t="s">
        <v>5128</v>
      </c>
      <c r="F3082" s="2" t="s">
        <v>7987</v>
      </c>
      <c r="G3082" s="2" t="s">
        <v>3296</v>
      </c>
      <c r="H3082" s="14">
        <v>1</v>
      </c>
      <c r="I3082" s="2" t="s">
        <v>4761</v>
      </c>
      <c r="J3082" s="2" t="s">
        <v>3942</v>
      </c>
      <c r="K3082" s="2" t="s">
        <v>1452</v>
      </c>
      <c r="L3082" s="2" t="s">
        <v>5221</v>
      </c>
      <c r="M3082" s="2" t="s">
        <v>5221</v>
      </c>
      <c r="N3082" s="2" t="s">
        <v>2317</v>
      </c>
      <c r="O3082" s="14">
        <v>6900</v>
      </c>
      <c r="P3082" s="14">
        <v>98.39</v>
      </c>
      <c r="Q3082" s="14">
        <v>111.09</v>
      </c>
      <c r="R3082" s="14">
        <v>111.09</v>
      </c>
      <c r="S3082" s="2" t="s">
        <v>6745</v>
      </c>
      <c r="T3082" s="2">
        <v>1.03</v>
      </c>
      <c r="U3082" s="2">
        <v>64.099999999999994</v>
      </c>
      <c r="V3082" s="2">
        <v>60</v>
      </c>
      <c r="W3082" s="2" t="s">
        <v>7862</v>
      </c>
      <c r="X3082" s="2" t="s">
        <v>7670</v>
      </c>
      <c r="Y3082" s="2">
        <v>6900</v>
      </c>
      <c r="Z3082" s="19" t="str">
        <f>HYPERLINK("https://ssdweb.co/ssdweb/hd/Vision360.html?d=926250049&amp;zoomslide=1&amp;z=1926250049&amp;ISCONFIRM=0","VIDEO")</f>
        <v>VIDEO</v>
      </c>
      <c r="AA3082" s="19" t="str">
        <f>HYPERLINK("https://ssdweb.co/ssdweb/CERTH/635426947.pdf","CERTI")</f>
        <v>CERTI</v>
      </c>
    </row>
    <row r="3083" spans="1:27" ht="15" x14ac:dyDescent="0.25">
      <c r="A3083" s="2">
        <v>3078</v>
      </c>
      <c r="B3083" s="39">
        <v>926210846</v>
      </c>
      <c r="C3083" s="28" t="str">
        <f>HYPERLINK("https://pld.live/RapDetail.aspx?STONELIST=926210846","DNA")</f>
        <v>DNA</v>
      </c>
      <c r="D3083" s="18" t="s">
        <v>3054</v>
      </c>
      <c r="E3083" s="18" t="s">
        <v>5128</v>
      </c>
      <c r="F3083" s="2" t="s">
        <v>7987</v>
      </c>
      <c r="G3083" s="2" t="s">
        <v>3296</v>
      </c>
      <c r="H3083" s="14">
        <v>1</v>
      </c>
      <c r="I3083" s="2" t="s">
        <v>4761</v>
      </c>
      <c r="J3083" s="2" t="s">
        <v>3942</v>
      </c>
      <c r="K3083" s="2" t="s">
        <v>1452</v>
      </c>
      <c r="L3083" s="2" t="s">
        <v>5221</v>
      </c>
      <c r="M3083" s="2" t="s">
        <v>5221</v>
      </c>
      <c r="N3083" s="2" t="s">
        <v>2317</v>
      </c>
      <c r="O3083" s="14">
        <v>6900</v>
      </c>
      <c r="P3083" s="14">
        <v>98.39</v>
      </c>
      <c r="Q3083" s="14">
        <v>111.09</v>
      </c>
      <c r="R3083" s="14">
        <v>111.09</v>
      </c>
      <c r="S3083" s="2" t="s">
        <v>2180</v>
      </c>
      <c r="T3083" s="2">
        <v>1.04</v>
      </c>
      <c r="U3083" s="2">
        <v>66</v>
      </c>
      <c r="V3083" s="2">
        <v>58</v>
      </c>
      <c r="W3083" s="2" t="s">
        <v>7862</v>
      </c>
      <c r="X3083" s="2" t="s">
        <v>7670</v>
      </c>
      <c r="Y3083" s="2">
        <v>6900</v>
      </c>
      <c r="Z3083" s="19" t="str">
        <f>HYPERLINK("https://ssdweb.co/ssdweb/hd/Vision360.html?d=926210846&amp;zoomslide=1&amp;z=1926210846&amp;ISCONFIRM=0","VIDEO")</f>
        <v>VIDEO</v>
      </c>
      <c r="AA3083" s="19" t="str">
        <f>HYPERLINK("https://ssdweb.co/ssdweb/CERTH/635423928.pdf","CERTI")</f>
        <v>CERTI</v>
      </c>
    </row>
    <row r="3084" spans="1:27" ht="15" x14ac:dyDescent="0.25">
      <c r="A3084" s="2">
        <v>3079</v>
      </c>
      <c r="B3084" s="39">
        <v>926111136</v>
      </c>
      <c r="C3084" s="28" t="str">
        <f>HYPERLINK("https://pld.live/RapDetail.aspx?STONELIST=926111136","DNA")</f>
        <v>DNA</v>
      </c>
      <c r="D3084" s="18" t="s">
        <v>3054</v>
      </c>
      <c r="E3084" s="18" t="s">
        <v>5128</v>
      </c>
      <c r="F3084" s="2" t="s">
        <v>7987</v>
      </c>
      <c r="G3084" s="2" t="s">
        <v>3296</v>
      </c>
      <c r="H3084" s="14">
        <v>1</v>
      </c>
      <c r="I3084" s="2" t="s">
        <v>4761</v>
      </c>
      <c r="J3084" s="2" t="s">
        <v>3942</v>
      </c>
      <c r="K3084" s="2" t="s">
        <v>1452</v>
      </c>
      <c r="L3084" s="2" t="s">
        <v>5221</v>
      </c>
      <c r="M3084" s="2" t="s">
        <v>5221</v>
      </c>
      <c r="N3084" s="2" t="s">
        <v>2317</v>
      </c>
      <c r="O3084" s="14">
        <v>6900</v>
      </c>
      <c r="P3084" s="14">
        <v>98.39</v>
      </c>
      <c r="Q3084" s="14">
        <v>111.09</v>
      </c>
      <c r="R3084" s="14">
        <v>111.09</v>
      </c>
      <c r="S3084" s="2" t="s">
        <v>7966</v>
      </c>
      <c r="T3084" s="2">
        <v>1.07</v>
      </c>
      <c r="U3084" s="2">
        <v>62.1</v>
      </c>
      <c r="V3084" s="2">
        <v>60</v>
      </c>
      <c r="W3084" s="2" t="s">
        <v>7862</v>
      </c>
      <c r="X3084" s="2" t="s">
        <v>3851</v>
      </c>
      <c r="Y3084" s="2">
        <v>6900</v>
      </c>
      <c r="Z3084" s="19" t="str">
        <f>HYPERLINK("https://ssdweb.co/ssdweb/hd/Vision360.html?d=926111136&amp;zoomslide=1&amp;z=1926111136&amp;ISCONFIRM=0","VIDEO")</f>
        <v>VIDEO</v>
      </c>
      <c r="AA3084" s="19" t="str">
        <f>HYPERLINK("https://ssdweb.co/ssdweb/CERTH/633490541.pdf","CERTI")</f>
        <v>CERTI</v>
      </c>
    </row>
    <row r="3085" spans="1:27" ht="15" x14ac:dyDescent="0.25">
      <c r="A3085" s="2">
        <v>3080</v>
      </c>
      <c r="B3085" s="39">
        <v>926111135</v>
      </c>
      <c r="C3085" s="28" t="str">
        <f>HYPERLINK("https://pld.live/RapDetail.aspx?STONELIST=926111135","DNA")</f>
        <v>DNA</v>
      </c>
      <c r="D3085" s="18" t="s">
        <v>3054</v>
      </c>
      <c r="E3085" s="18" t="s">
        <v>5128</v>
      </c>
      <c r="F3085" s="2" t="s">
        <v>7987</v>
      </c>
      <c r="G3085" s="2" t="s">
        <v>3296</v>
      </c>
      <c r="H3085" s="14">
        <v>1</v>
      </c>
      <c r="I3085" s="2" t="s">
        <v>4761</v>
      </c>
      <c r="J3085" s="2" t="s">
        <v>3942</v>
      </c>
      <c r="K3085" s="2" t="s">
        <v>1452</v>
      </c>
      <c r="L3085" s="2" t="s">
        <v>5221</v>
      </c>
      <c r="M3085" s="2" t="s">
        <v>5221</v>
      </c>
      <c r="N3085" s="2" t="s">
        <v>2317</v>
      </c>
      <c r="O3085" s="14">
        <v>6900</v>
      </c>
      <c r="P3085" s="14">
        <v>98.39</v>
      </c>
      <c r="Q3085" s="14">
        <v>111.09</v>
      </c>
      <c r="R3085" s="14">
        <v>111.09</v>
      </c>
      <c r="S3085" s="2" t="s">
        <v>4293</v>
      </c>
      <c r="T3085" s="2">
        <v>1.04</v>
      </c>
      <c r="U3085" s="2">
        <v>68</v>
      </c>
      <c r="V3085" s="2">
        <v>62</v>
      </c>
      <c r="W3085" s="2" t="s">
        <v>7862</v>
      </c>
      <c r="X3085" s="2" t="s">
        <v>7670</v>
      </c>
      <c r="Y3085" s="2">
        <v>6900</v>
      </c>
      <c r="Z3085" s="19" t="str">
        <f>HYPERLINK("https://ssdweb.co/ssdweb/hd/Vision360.html?d=926111135&amp;zoomslide=1&amp;z=1926111135&amp;ISCONFIRM=0","VIDEO")</f>
        <v>VIDEO</v>
      </c>
      <c r="AA3085" s="19" t="str">
        <f>HYPERLINK("https://ssdweb.co/ssdweb/CERTH/633490540.pdf","CERTI")</f>
        <v>CERTI</v>
      </c>
    </row>
    <row r="3086" spans="1:27" ht="15" x14ac:dyDescent="0.25">
      <c r="A3086" s="2">
        <v>3081</v>
      </c>
      <c r="B3086" s="39">
        <v>926111193</v>
      </c>
      <c r="C3086" s="28" t="str">
        <f>HYPERLINK("https://pld.live/RapDetail.aspx?STONELIST=926111193","DNA")</f>
        <v>DNA</v>
      </c>
      <c r="D3086" s="18" t="s">
        <v>3054</v>
      </c>
      <c r="E3086" s="18" t="s">
        <v>5128</v>
      </c>
      <c r="F3086" s="2" t="s">
        <v>7987</v>
      </c>
      <c r="G3086" s="2" t="s">
        <v>3296</v>
      </c>
      <c r="H3086" s="14">
        <v>1</v>
      </c>
      <c r="I3086" s="2" t="s">
        <v>4761</v>
      </c>
      <c r="J3086" s="2" t="s">
        <v>3942</v>
      </c>
      <c r="K3086" s="2" t="s">
        <v>1452</v>
      </c>
      <c r="L3086" s="2" t="s">
        <v>5221</v>
      </c>
      <c r="M3086" s="2" t="s">
        <v>5221</v>
      </c>
      <c r="N3086" s="2" t="s">
        <v>2317</v>
      </c>
      <c r="O3086" s="14">
        <v>6900</v>
      </c>
      <c r="P3086" s="14">
        <v>98.39</v>
      </c>
      <c r="Q3086" s="14">
        <v>111.09</v>
      </c>
      <c r="R3086" s="14">
        <v>111.09</v>
      </c>
      <c r="S3086" s="2" t="s">
        <v>3895</v>
      </c>
      <c r="T3086" s="2">
        <v>1.05</v>
      </c>
      <c r="U3086" s="2">
        <v>67.900000000000006</v>
      </c>
      <c r="V3086" s="2">
        <v>61</v>
      </c>
      <c r="W3086" s="2" t="s">
        <v>7862</v>
      </c>
      <c r="X3086" s="2" t="s">
        <v>7670</v>
      </c>
      <c r="Y3086" s="2">
        <v>6900</v>
      </c>
      <c r="Z3086" s="19" t="str">
        <f>HYPERLINK("https://ssdweb.co/ssdweb/hd/Vision360.html?d=926111193&amp;zoomslide=1&amp;z=1926111193&amp;ISCONFIRM=0","VIDEO")</f>
        <v>VIDEO</v>
      </c>
      <c r="AA3086" s="19" t="str">
        <f>HYPERLINK("https://ssdweb.co/ssdweb/CERTH/633431992.pdf","CERTI")</f>
        <v>CERTI</v>
      </c>
    </row>
    <row r="3087" spans="1:27" ht="15" x14ac:dyDescent="0.25">
      <c r="A3087" s="2">
        <v>3082</v>
      </c>
      <c r="B3087" s="39">
        <v>926110298</v>
      </c>
      <c r="C3087" s="28" t="str">
        <f>HYPERLINK("https://pld.live/RapDetail.aspx?STONELIST=926110298","DNA")</f>
        <v>DNA</v>
      </c>
      <c r="D3087" s="18" t="s">
        <v>3054</v>
      </c>
      <c r="E3087" s="18" t="s">
        <v>5128</v>
      </c>
      <c r="F3087" s="2" t="s">
        <v>7987</v>
      </c>
      <c r="G3087" s="2" t="s">
        <v>3296</v>
      </c>
      <c r="H3087" s="14">
        <v>1</v>
      </c>
      <c r="I3087" s="2" t="s">
        <v>4761</v>
      </c>
      <c r="J3087" s="2" t="s">
        <v>3942</v>
      </c>
      <c r="K3087" s="2" t="s">
        <v>1452</v>
      </c>
      <c r="L3087" s="2" t="s">
        <v>5221</v>
      </c>
      <c r="M3087" s="2" t="s">
        <v>5721</v>
      </c>
      <c r="N3087" s="2" t="s">
        <v>2317</v>
      </c>
      <c r="O3087" s="14">
        <v>6900</v>
      </c>
      <c r="P3087" s="14">
        <v>98.41</v>
      </c>
      <c r="Q3087" s="14">
        <v>109.71</v>
      </c>
      <c r="R3087" s="14">
        <v>109.71</v>
      </c>
      <c r="S3087" s="2" t="s">
        <v>2112</v>
      </c>
      <c r="T3087" s="2">
        <v>1.06</v>
      </c>
      <c r="U3087" s="2">
        <v>65.900000000000006</v>
      </c>
      <c r="V3087" s="2">
        <v>62</v>
      </c>
      <c r="W3087" s="2" t="s">
        <v>7862</v>
      </c>
      <c r="X3087" s="2" t="s">
        <v>3851</v>
      </c>
      <c r="Y3087" s="2">
        <v>6900</v>
      </c>
      <c r="Z3087" s="19" t="str">
        <f>HYPERLINK("https://ssdweb.co/ssdweb/hd/Vision360.html?d=926110298&amp;zoomslide=1&amp;z=1926110298&amp;ISCONFIRM=0","VIDEO")</f>
        <v>VIDEO</v>
      </c>
      <c r="AA3087" s="19" t="str">
        <f>HYPERLINK("https://ssdweb.co/ssdweb/CERTH/632488500.pdf","CERTI")</f>
        <v>CERTI</v>
      </c>
    </row>
    <row r="3088" spans="1:27" ht="15" x14ac:dyDescent="0.25">
      <c r="A3088" s="2">
        <v>3083</v>
      </c>
      <c r="B3088" s="39">
        <v>926110979</v>
      </c>
      <c r="C3088" s="28" t="str">
        <f>HYPERLINK("https://pld.live/RapDetail.aspx?STONELIST=926110979","DNA")</f>
        <v>DNA</v>
      </c>
      <c r="D3088" s="18" t="s">
        <v>3054</v>
      </c>
      <c r="E3088" s="18" t="s">
        <v>5128</v>
      </c>
      <c r="F3088" s="2" t="s">
        <v>7987</v>
      </c>
      <c r="G3088" s="2" t="s">
        <v>3296</v>
      </c>
      <c r="H3088" s="14">
        <v>1</v>
      </c>
      <c r="I3088" s="2" t="s">
        <v>4761</v>
      </c>
      <c r="J3088" s="2" t="s">
        <v>13</v>
      </c>
      <c r="K3088" s="2" t="s">
        <v>1452</v>
      </c>
      <c r="L3088" s="2" t="s">
        <v>5221</v>
      </c>
      <c r="M3088" s="2" t="s">
        <v>5221</v>
      </c>
      <c r="N3088" s="2" t="s">
        <v>2317</v>
      </c>
      <c r="O3088" s="14">
        <v>6200</v>
      </c>
      <c r="P3088" s="14">
        <v>98.24</v>
      </c>
      <c r="Q3088" s="14">
        <v>109.12</v>
      </c>
      <c r="R3088" s="14">
        <v>109.12</v>
      </c>
      <c r="S3088" s="2" t="s">
        <v>961</v>
      </c>
      <c r="T3088" s="2">
        <v>1.06</v>
      </c>
      <c r="U3088" s="2">
        <v>64.5</v>
      </c>
      <c r="V3088" s="2">
        <v>63</v>
      </c>
      <c r="W3088" s="2" t="s">
        <v>7862</v>
      </c>
      <c r="X3088" s="2" t="s">
        <v>7670</v>
      </c>
      <c r="Y3088" s="2">
        <v>6200</v>
      </c>
      <c r="Z3088" s="19" t="str">
        <f>HYPERLINK("https://ssdweb.co/ssdweb/hd/Vision360.html?d=926110979&amp;zoomslide=1&amp;z=1926110979&amp;ISCONFIRM=0","VIDEO")</f>
        <v>VIDEO</v>
      </c>
      <c r="AA3088" s="19" t="str">
        <f>HYPERLINK("https://ssdweb.co/ssdweb/CERTH/632449574.pdf","CERTI")</f>
        <v>CERTI</v>
      </c>
    </row>
    <row r="3089" spans="1:27" ht="15" x14ac:dyDescent="0.25">
      <c r="A3089" s="2">
        <v>3084</v>
      </c>
      <c r="B3089" s="39">
        <v>821128381</v>
      </c>
      <c r="C3089" s="28" t="str">
        <f>HYPERLINK("https://pld.live/RapDetail.aspx?STONELIST=821128381","DNA")</f>
        <v>DNA</v>
      </c>
      <c r="D3089" s="18" t="s">
        <v>4121</v>
      </c>
      <c r="E3089" s="18" t="s">
        <v>5128</v>
      </c>
      <c r="F3089" s="2" t="s">
        <v>7987</v>
      </c>
      <c r="G3089" s="2" t="s">
        <v>3296</v>
      </c>
      <c r="H3089" s="14">
        <v>0.99</v>
      </c>
      <c r="I3089" s="2" t="s">
        <v>267</v>
      </c>
      <c r="J3089" s="2" t="s">
        <v>3942</v>
      </c>
      <c r="K3089" s="2" t="s">
        <v>1452</v>
      </c>
      <c r="L3089" s="2" t="s">
        <v>5221</v>
      </c>
      <c r="M3089" s="2" t="s">
        <v>5221</v>
      </c>
      <c r="N3089" s="2" t="s">
        <v>2317</v>
      </c>
      <c r="O3089" s="14">
        <v>5600</v>
      </c>
      <c r="P3089" s="14">
        <v>97.96</v>
      </c>
      <c r="Q3089" s="14">
        <v>114.24</v>
      </c>
      <c r="R3089" s="14">
        <v>113.1</v>
      </c>
      <c r="S3089" s="2" t="s">
        <v>2012</v>
      </c>
      <c r="T3089" s="2">
        <v>1.01</v>
      </c>
      <c r="U3089" s="2">
        <v>66</v>
      </c>
      <c r="V3089" s="2">
        <v>59</v>
      </c>
      <c r="W3089" s="2" t="s">
        <v>7862</v>
      </c>
      <c r="X3089" s="2" t="s">
        <v>7670</v>
      </c>
      <c r="Y3089" s="2">
        <v>5544</v>
      </c>
      <c r="Z3089" s="19" t="str">
        <f>HYPERLINK("https://ssdweb.co/ssdweb/hd/Vision360.html?d=821128381&amp;zoomslide=1&amp;z=1821128381&amp;ISCONFIRM=0","VIDEO")</f>
        <v>VIDEO</v>
      </c>
      <c r="AA3089" s="19" t="str">
        <f>HYPERLINK("https://ssdweb.co/ssdweb/CERTH/627417906.pdf","CERTI")</f>
        <v>CERTI</v>
      </c>
    </row>
    <row r="3090" spans="1:27" ht="15" x14ac:dyDescent="0.25">
      <c r="A3090" s="2">
        <v>3085</v>
      </c>
      <c r="B3090" s="39">
        <v>821128398</v>
      </c>
      <c r="C3090" s="28" t="str">
        <f>HYPERLINK("https://pld.live/RapDetail.aspx?STONELIST=821128398","DNA")</f>
        <v>DNA</v>
      </c>
      <c r="D3090" s="18" t="s">
        <v>4121</v>
      </c>
      <c r="E3090" s="18" t="s">
        <v>5128</v>
      </c>
      <c r="F3090" s="2" t="s">
        <v>7987</v>
      </c>
      <c r="G3090" s="2" t="s">
        <v>3296</v>
      </c>
      <c r="H3090" s="14">
        <v>0.99</v>
      </c>
      <c r="I3090" s="2" t="s">
        <v>267</v>
      </c>
      <c r="J3090" s="2" t="s">
        <v>3942</v>
      </c>
      <c r="K3090" s="2" t="s">
        <v>1452</v>
      </c>
      <c r="L3090" s="2" t="s">
        <v>5221</v>
      </c>
      <c r="M3090" s="2" t="s">
        <v>5221</v>
      </c>
      <c r="N3090" s="2" t="s">
        <v>2317</v>
      </c>
      <c r="O3090" s="14">
        <v>5600</v>
      </c>
      <c r="P3090" s="14">
        <v>97.96</v>
      </c>
      <c r="Q3090" s="14">
        <v>114.24</v>
      </c>
      <c r="R3090" s="14">
        <v>113.1</v>
      </c>
      <c r="S3090" s="2" t="s">
        <v>5190</v>
      </c>
      <c r="T3090" s="2">
        <v>1.02</v>
      </c>
      <c r="U3090" s="2">
        <v>68</v>
      </c>
      <c r="V3090" s="2">
        <v>63</v>
      </c>
      <c r="W3090" s="2" t="s">
        <v>7862</v>
      </c>
      <c r="X3090" s="2" t="s">
        <v>7670</v>
      </c>
      <c r="Y3090" s="2">
        <v>5544</v>
      </c>
      <c r="Z3090" s="19" t="str">
        <f>HYPERLINK("https://ssdweb.co/ssdweb/hd/Vision360.html?d=821128398&amp;zoomslide=1&amp;z=1821128398&amp;ISCONFIRM=0","VIDEO")</f>
        <v>VIDEO</v>
      </c>
      <c r="AA3090" s="19" t="str">
        <f>HYPERLINK("https://ssdweb.co/ssdweb/CERTH/623408051.pdf","CERTI")</f>
        <v>CERTI</v>
      </c>
    </row>
    <row r="3091" spans="1:27" ht="15" x14ac:dyDescent="0.25">
      <c r="A3091" s="2">
        <v>3086</v>
      </c>
      <c r="B3091" s="39">
        <v>821128396</v>
      </c>
      <c r="C3091" s="28" t="str">
        <f>HYPERLINK("https://pld.live/RapDetail.aspx?STONELIST=821128396","DNA")</f>
        <v>DNA</v>
      </c>
      <c r="D3091" s="18" t="s">
        <v>4121</v>
      </c>
      <c r="E3091" s="18" t="s">
        <v>5128</v>
      </c>
      <c r="F3091" s="2" t="s">
        <v>7987</v>
      </c>
      <c r="G3091" s="2" t="s">
        <v>3296</v>
      </c>
      <c r="H3091" s="14">
        <v>0.99</v>
      </c>
      <c r="I3091" s="2" t="s">
        <v>267</v>
      </c>
      <c r="J3091" s="2" t="s">
        <v>13</v>
      </c>
      <c r="K3091" s="2" t="s">
        <v>1452</v>
      </c>
      <c r="L3091" s="2" t="s">
        <v>5221</v>
      </c>
      <c r="M3091" s="2" t="s">
        <v>5221</v>
      </c>
      <c r="N3091" s="2" t="s">
        <v>2317</v>
      </c>
      <c r="O3091" s="14">
        <v>5200</v>
      </c>
      <c r="P3091" s="14">
        <v>97.85</v>
      </c>
      <c r="Q3091" s="14">
        <v>111.8</v>
      </c>
      <c r="R3091" s="14">
        <v>110.68</v>
      </c>
      <c r="S3091" s="2" t="s">
        <v>3945</v>
      </c>
      <c r="T3091" s="2">
        <v>1.01</v>
      </c>
      <c r="U3091" s="2">
        <v>66.599999999999994</v>
      </c>
      <c r="V3091" s="2">
        <v>59</v>
      </c>
      <c r="W3091" s="2" t="s">
        <v>7862</v>
      </c>
      <c r="X3091" s="2" t="s">
        <v>7670</v>
      </c>
      <c r="Y3091" s="2">
        <v>5148</v>
      </c>
      <c r="Z3091" s="19" t="str">
        <f>HYPERLINK("https://ssdweb.co/ssdweb/hd/Vision360.html?d=821128396&amp;zoomslide=1&amp;z=1821128396&amp;ISCONFIRM=0","VIDEO")</f>
        <v>VIDEO</v>
      </c>
      <c r="AA3091" s="19" t="str">
        <f>HYPERLINK("https://ssdweb.co/ssdweb/CERTH/627417908.pdf","CERTI")</f>
        <v>CERTI</v>
      </c>
    </row>
    <row r="3092" spans="1:27" ht="15" x14ac:dyDescent="0.25">
      <c r="A3092" s="2">
        <v>3087</v>
      </c>
      <c r="B3092" s="39">
        <v>821128382</v>
      </c>
      <c r="C3092" s="28" t="str">
        <f>HYPERLINK("https://pld.live/RapDetail.aspx?STONELIST=821128382","DNA")</f>
        <v>DNA</v>
      </c>
      <c r="D3092" s="18" t="s">
        <v>4121</v>
      </c>
      <c r="E3092" s="18" t="s">
        <v>5128</v>
      </c>
      <c r="F3092" s="2" t="s">
        <v>7987</v>
      </c>
      <c r="G3092" s="2" t="s">
        <v>3296</v>
      </c>
      <c r="H3092" s="14">
        <v>0.98</v>
      </c>
      <c r="I3092" s="2" t="s">
        <v>267</v>
      </c>
      <c r="J3092" s="2" t="s">
        <v>3942</v>
      </c>
      <c r="K3092" s="2" t="s">
        <v>1452</v>
      </c>
      <c r="L3092" s="2" t="s">
        <v>5221</v>
      </c>
      <c r="M3092" s="2" t="s">
        <v>5221</v>
      </c>
      <c r="N3092" s="2" t="s">
        <v>2317</v>
      </c>
      <c r="O3092" s="14">
        <v>5600</v>
      </c>
      <c r="P3092" s="14">
        <v>97.96</v>
      </c>
      <c r="Q3092" s="14">
        <v>114.24</v>
      </c>
      <c r="R3092" s="14">
        <v>111.96</v>
      </c>
      <c r="S3092" s="2" t="s">
        <v>1206</v>
      </c>
      <c r="T3092" s="2">
        <v>1.01</v>
      </c>
      <c r="U3092" s="2">
        <v>66.099999999999994</v>
      </c>
      <c r="V3092" s="2">
        <v>61</v>
      </c>
      <c r="W3092" s="2" t="s">
        <v>7862</v>
      </c>
      <c r="X3092" s="2" t="s">
        <v>7670</v>
      </c>
      <c r="Y3092" s="2">
        <v>5488</v>
      </c>
      <c r="Z3092" s="19" t="str">
        <f>HYPERLINK("https://ssdweb.co/ssdweb/hd/Vision360.html?d=821128382&amp;zoomslide=1&amp;z=1821128382&amp;ISCONFIRM=0","VIDEO")</f>
        <v>VIDEO</v>
      </c>
      <c r="AA3092" s="19" t="str">
        <f>HYPERLINK("https://ssdweb.co/ssdweb/CERTH/623467926.pdf","CERTI")</f>
        <v>CERTI</v>
      </c>
    </row>
    <row r="3093" spans="1:27" ht="15" x14ac:dyDescent="0.25">
      <c r="A3093" s="2">
        <v>3088</v>
      </c>
      <c r="B3093" s="39">
        <v>821128368</v>
      </c>
      <c r="C3093" s="28" t="str">
        <f>HYPERLINK("https://pld.live/RapDetail.aspx?STONELIST=821128368","DNA")</f>
        <v>DNA</v>
      </c>
      <c r="D3093" s="18" t="s">
        <v>4121</v>
      </c>
      <c r="E3093" s="18" t="s">
        <v>5128</v>
      </c>
      <c r="F3093" s="2" t="s">
        <v>7987</v>
      </c>
      <c r="G3093" s="2" t="s">
        <v>3296</v>
      </c>
      <c r="H3093" s="14">
        <v>0.98</v>
      </c>
      <c r="I3093" s="2" t="s">
        <v>267</v>
      </c>
      <c r="J3093" s="2" t="s">
        <v>13</v>
      </c>
      <c r="K3093" s="2" t="s">
        <v>1452</v>
      </c>
      <c r="L3093" s="2" t="s">
        <v>5221</v>
      </c>
      <c r="M3093" s="2" t="s">
        <v>5221</v>
      </c>
      <c r="N3093" s="2" t="s">
        <v>2317</v>
      </c>
      <c r="O3093" s="14">
        <v>5200</v>
      </c>
      <c r="P3093" s="14">
        <v>97.85</v>
      </c>
      <c r="Q3093" s="14">
        <v>111.8</v>
      </c>
      <c r="R3093" s="14">
        <v>109.56</v>
      </c>
      <c r="S3093" s="2" t="s">
        <v>3259</v>
      </c>
      <c r="T3093" s="2">
        <v>1</v>
      </c>
      <c r="U3093" s="2">
        <v>66</v>
      </c>
      <c r="V3093" s="2">
        <v>62</v>
      </c>
      <c r="W3093" s="2" t="s">
        <v>7862</v>
      </c>
      <c r="X3093" s="2" t="s">
        <v>7670</v>
      </c>
      <c r="Y3093" s="2">
        <v>5096</v>
      </c>
      <c r="Z3093" s="19" t="str">
        <f>HYPERLINK("https://ssdweb.co/ssdweb/hd/Vision360.html?d=821128368&amp;zoomslide=1&amp;z=1821128368&amp;ISCONFIRM=0","VIDEO")</f>
        <v>VIDEO</v>
      </c>
      <c r="AA3093" s="19" t="str">
        <f>HYPERLINK("https://ssdweb.co/ssdweb/CERTH/621430170.pdf","CERTI")</f>
        <v>CERTI</v>
      </c>
    </row>
    <row r="3094" spans="1:27" ht="15" x14ac:dyDescent="0.25">
      <c r="A3094" s="2">
        <v>3089</v>
      </c>
      <c r="B3094" s="39">
        <v>821128374</v>
      </c>
      <c r="C3094" s="28" t="str">
        <f>HYPERLINK("https://pld.live/RapDetail.aspx?STONELIST=821128374","DNA")</f>
        <v>DNA</v>
      </c>
      <c r="D3094" s="18" t="s">
        <v>4121</v>
      </c>
      <c r="E3094" s="18" t="s">
        <v>5128</v>
      </c>
      <c r="F3094" s="2" t="s">
        <v>7987</v>
      </c>
      <c r="G3094" s="2" t="s">
        <v>3296</v>
      </c>
      <c r="H3094" s="14">
        <v>0.98</v>
      </c>
      <c r="I3094" s="2" t="s">
        <v>267</v>
      </c>
      <c r="J3094" s="2" t="s">
        <v>13</v>
      </c>
      <c r="K3094" s="2" t="s">
        <v>1452</v>
      </c>
      <c r="L3094" s="2" t="s">
        <v>5221</v>
      </c>
      <c r="M3094" s="2" t="s">
        <v>5221</v>
      </c>
      <c r="N3094" s="2" t="s">
        <v>2317</v>
      </c>
      <c r="O3094" s="14">
        <v>5200</v>
      </c>
      <c r="P3094" s="14">
        <v>97.79</v>
      </c>
      <c r="Q3094" s="14">
        <v>114.92</v>
      </c>
      <c r="R3094" s="14">
        <v>112.62</v>
      </c>
      <c r="S3094" s="2" t="s">
        <v>6689</v>
      </c>
      <c r="T3094" s="2">
        <v>1.02</v>
      </c>
      <c r="U3094" s="2">
        <v>67.3</v>
      </c>
      <c r="V3094" s="2">
        <v>67.3</v>
      </c>
      <c r="W3094" s="2" t="s">
        <v>7862</v>
      </c>
      <c r="X3094" s="2" t="s">
        <v>7670</v>
      </c>
      <c r="Y3094" s="2">
        <v>5096</v>
      </c>
      <c r="Z3094" s="19" t="str">
        <f>HYPERLINK("https://ssdweb.co/ssdweb/hd/Vision360.html?d=821128374&amp;zoomslide=1&amp;z=1821128374&amp;ISCONFIRM=0","VIDEO")</f>
        <v>VIDEO</v>
      </c>
      <c r="AA3094" s="19" t="str">
        <f>HYPERLINK("https://ssdweb.co/ssdweb/CERTH/601322752.pdf","CERTI")</f>
        <v>CERTI</v>
      </c>
    </row>
    <row r="3095" spans="1:27" ht="15" x14ac:dyDescent="0.25">
      <c r="A3095" s="2">
        <v>3090</v>
      </c>
      <c r="B3095" s="39">
        <v>925260296</v>
      </c>
      <c r="C3095" s="28" t="str">
        <f>HYPERLINK("https://pld.live/RapDetail.aspx?STONELIST=925260296","DNA")</f>
        <v>DNA</v>
      </c>
      <c r="D3095" s="18" t="s">
        <v>4121</v>
      </c>
      <c r="E3095" s="18" t="s">
        <v>5128</v>
      </c>
      <c r="F3095" s="2" t="s">
        <v>7987</v>
      </c>
      <c r="G3095" s="2" t="s">
        <v>3296</v>
      </c>
      <c r="H3095" s="14">
        <v>0.98</v>
      </c>
      <c r="I3095" s="2" t="s">
        <v>4761</v>
      </c>
      <c r="J3095" s="2" t="s">
        <v>13</v>
      </c>
      <c r="K3095" s="2" t="s">
        <v>1452</v>
      </c>
      <c r="L3095" s="2" t="s">
        <v>5221</v>
      </c>
      <c r="M3095" s="2" t="s">
        <v>5221</v>
      </c>
      <c r="N3095" s="2" t="s">
        <v>2317</v>
      </c>
      <c r="O3095" s="14">
        <v>4900</v>
      </c>
      <c r="P3095" s="14">
        <v>97.78</v>
      </c>
      <c r="Q3095" s="14">
        <v>108.78</v>
      </c>
      <c r="R3095" s="14">
        <v>106.6</v>
      </c>
      <c r="S3095" s="2" t="s">
        <v>1243</v>
      </c>
      <c r="T3095" s="2">
        <v>1</v>
      </c>
      <c r="U3095" s="2">
        <v>67.3</v>
      </c>
      <c r="V3095" s="2">
        <v>62</v>
      </c>
      <c r="W3095" s="2" t="s">
        <v>7862</v>
      </c>
      <c r="X3095" s="2" t="s">
        <v>7670</v>
      </c>
      <c r="Y3095" s="2">
        <v>4802</v>
      </c>
      <c r="Z3095" s="19" t="str">
        <f>HYPERLINK("https://ssdweb.co/ssdweb/hd/Vision360.html?d=925260296&amp;zoomslide=1&amp;z=1925260296&amp;ISCONFIRM=0","VIDEO")</f>
        <v>VIDEO</v>
      </c>
      <c r="AA3095" s="19" t="str">
        <f>HYPERLINK("https://ssdweb.co/ssdweb/CERTH/618455163.pdf","CERTI")</f>
        <v>CERTI</v>
      </c>
    </row>
    <row r="3096" spans="1:27" ht="15" x14ac:dyDescent="0.25">
      <c r="A3096" s="2">
        <v>3091</v>
      </c>
      <c r="B3096" s="39">
        <v>924390426</v>
      </c>
      <c r="C3096" s="28" t="str">
        <f>HYPERLINK("https://pld.live/RapDetail.aspx?STONELIST=924390426","DNA")</f>
        <v>DNA</v>
      </c>
      <c r="D3096" s="18" t="s">
        <v>4121</v>
      </c>
      <c r="E3096" s="18" t="s">
        <v>5128</v>
      </c>
      <c r="F3096" s="2" t="s">
        <v>7987</v>
      </c>
      <c r="G3096" s="2" t="s">
        <v>3296</v>
      </c>
      <c r="H3096" s="14">
        <v>0.97</v>
      </c>
      <c r="I3096" s="2" t="s">
        <v>267</v>
      </c>
      <c r="J3096" s="2" t="s">
        <v>3942</v>
      </c>
      <c r="K3096" s="2" t="s">
        <v>1452</v>
      </c>
      <c r="L3096" s="2" t="s">
        <v>5221</v>
      </c>
      <c r="M3096" s="2" t="s">
        <v>5221</v>
      </c>
      <c r="N3096" s="2" t="s">
        <v>2317</v>
      </c>
      <c r="O3096" s="14">
        <v>5600</v>
      </c>
      <c r="P3096" s="14">
        <v>97.96</v>
      </c>
      <c r="Q3096" s="14">
        <v>114.24</v>
      </c>
      <c r="R3096" s="14">
        <v>110.81</v>
      </c>
      <c r="S3096" s="2" t="s">
        <v>7181</v>
      </c>
      <c r="T3096" s="2">
        <v>1.07</v>
      </c>
      <c r="U3096" s="2">
        <v>63.1</v>
      </c>
      <c r="V3096" s="2">
        <v>60</v>
      </c>
      <c r="W3096" s="2" t="s">
        <v>7862</v>
      </c>
      <c r="X3096" s="2" t="s">
        <v>3851</v>
      </c>
      <c r="Y3096" s="2">
        <v>5432</v>
      </c>
      <c r="Z3096" s="19" t="str">
        <f>HYPERLINK("https://ssdweb.co/ssdweb/hd/Vision360.html?d=924390426&amp;zoomslide=1&amp;z=1924390426&amp;ISCONFIRM=0","VIDEO")</f>
        <v>VIDEO</v>
      </c>
      <c r="AA3096" s="19" t="str">
        <f>HYPERLINK("https://ssdweb.co/ssdweb/CERTH/591308282.pdf","CERTI")</f>
        <v>CERTI</v>
      </c>
    </row>
    <row r="3097" spans="1:27" ht="15" x14ac:dyDescent="0.25">
      <c r="A3097" s="2">
        <v>3092</v>
      </c>
      <c r="B3097" s="39">
        <v>925900586</v>
      </c>
      <c r="C3097" s="28" t="str">
        <f>HYPERLINK("https://pld.live/RapDetail.aspx?STONELIST=925900586","DNA")</f>
        <v>DNA</v>
      </c>
      <c r="D3097" s="18" t="s">
        <v>4121</v>
      </c>
      <c r="E3097" s="18" t="s">
        <v>5128</v>
      </c>
      <c r="F3097" s="2" t="s">
        <v>7987</v>
      </c>
      <c r="G3097" s="2" t="s">
        <v>3296</v>
      </c>
      <c r="H3097" s="14">
        <v>0.97</v>
      </c>
      <c r="I3097" s="2" t="s">
        <v>267</v>
      </c>
      <c r="J3097" s="2" t="s">
        <v>3942</v>
      </c>
      <c r="K3097" s="2" t="s">
        <v>1452</v>
      </c>
      <c r="L3097" s="2" t="s">
        <v>5221</v>
      </c>
      <c r="M3097" s="2" t="s">
        <v>5221</v>
      </c>
      <c r="N3097" s="2" t="s">
        <v>2317</v>
      </c>
      <c r="O3097" s="14">
        <v>5600</v>
      </c>
      <c r="P3097" s="14">
        <v>97.93</v>
      </c>
      <c r="Q3097" s="14">
        <v>115.92</v>
      </c>
      <c r="R3097" s="14">
        <v>112.44</v>
      </c>
      <c r="S3097" s="2" t="s">
        <v>5586</v>
      </c>
      <c r="T3097" s="2">
        <v>1</v>
      </c>
      <c r="U3097" s="2">
        <v>67.2</v>
      </c>
      <c r="V3097" s="2">
        <v>61</v>
      </c>
      <c r="W3097" s="2" t="s">
        <v>7862</v>
      </c>
      <c r="X3097" s="2" t="s">
        <v>7670</v>
      </c>
      <c r="Y3097" s="2">
        <v>5432</v>
      </c>
      <c r="Z3097" s="19" t="str">
        <f>HYPERLINK("https://ssdweb.co/ssdweb/hd/Vision360.html?d=925900586&amp;zoomslide=1&amp;z=1925900586&amp;ISCONFIRM=0","VIDEO")</f>
        <v>VIDEO</v>
      </c>
      <c r="AA3097" s="19" t="str">
        <f>HYPERLINK("https://ssdweb.co/ssdweb/CERTH/629435547.pdf","CERTI")</f>
        <v>CERTI</v>
      </c>
    </row>
    <row r="3098" spans="1:27" ht="15" x14ac:dyDescent="0.25">
      <c r="A3098" s="2">
        <v>3093</v>
      </c>
      <c r="B3098" s="39">
        <v>925830727</v>
      </c>
      <c r="C3098" s="28" t="str">
        <f>HYPERLINK("https://pld.live/RapDetail.aspx?STONELIST=925830727","DNA")</f>
        <v>DNA</v>
      </c>
      <c r="D3098" s="18" t="s">
        <v>4121</v>
      </c>
      <c r="E3098" s="18" t="s">
        <v>5128</v>
      </c>
      <c r="F3098" s="2" t="s">
        <v>7987</v>
      </c>
      <c r="G3098" s="2" t="s">
        <v>3296</v>
      </c>
      <c r="H3098" s="14">
        <v>0.97</v>
      </c>
      <c r="I3098" s="2" t="s">
        <v>267</v>
      </c>
      <c r="J3098" s="2" t="s">
        <v>3942</v>
      </c>
      <c r="K3098" s="2" t="s">
        <v>1452</v>
      </c>
      <c r="L3098" s="2" t="s">
        <v>5221</v>
      </c>
      <c r="M3098" s="2" t="s">
        <v>5221</v>
      </c>
      <c r="N3098" s="2" t="s">
        <v>2317</v>
      </c>
      <c r="O3098" s="14">
        <v>5600</v>
      </c>
      <c r="P3098" s="14">
        <v>97.96</v>
      </c>
      <c r="Q3098" s="14">
        <v>114.24</v>
      </c>
      <c r="R3098" s="14">
        <v>110.81</v>
      </c>
      <c r="S3098" s="2" t="s">
        <v>2487</v>
      </c>
      <c r="T3098" s="2">
        <v>1.05</v>
      </c>
      <c r="U3098" s="2">
        <v>63.3</v>
      </c>
      <c r="V3098" s="2">
        <v>59</v>
      </c>
      <c r="W3098" s="2" t="s">
        <v>7862</v>
      </c>
      <c r="X3098" s="2" t="s">
        <v>7670</v>
      </c>
      <c r="Y3098" s="2">
        <v>5432</v>
      </c>
      <c r="Z3098" s="19" t="str">
        <f>HYPERLINK("https://ssdweb.co/ssdweb/hd/Vision360.html?d=925830727&amp;zoomslide=1&amp;z=1925830727&amp;ISCONFIRM=0","VIDEO")</f>
        <v>VIDEO</v>
      </c>
      <c r="AA3098" s="19" t="str">
        <f>HYPERLINK("https://ssdweb.co/ssdweb/CERTH/627427348.pdf","CERTI")</f>
        <v>CERTI</v>
      </c>
    </row>
    <row r="3099" spans="1:27" ht="15" x14ac:dyDescent="0.25">
      <c r="A3099" s="2">
        <v>3094</v>
      </c>
      <c r="B3099" s="39">
        <v>821128397</v>
      </c>
      <c r="C3099" s="28" t="str">
        <f>HYPERLINK("https://pld.live/RapDetail.aspx?STONELIST=821128397","DNA")</f>
        <v>DNA</v>
      </c>
      <c r="D3099" s="18" t="s">
        <v>4121</v>
      </c>
      <c r="E3099" s="18" t="s">
        <v>5128</v>
      </c>
      <c r="F3099" s="2" t="s">
        <v>7987</v>
      </c>
      <c r="G3099" s="2" t="s">
        <v>3296</v>
      </c>
      <c r="H3099" s="14">
        <v>0.97</v>
      </c>
      <c r="I3099" s="2" t="s">
        <v>267</v>
      </c>
      <c r="J3099" s="2" t="s">
        <v>13</v>
      </c>
      <c r="K3099" s="2" t="s">
        <v>1452</v>
      </c>
      <c r="L3099" s="2" t="s">
        <v>5221</v>
      </c>
      <c r="M3099" s="2" t="s">
        <v>5221</v>
      </c>
      <c r="N3099" s="2" t="s">
        <v>2317</v>
      </c>
      <c r="O3099" s="14">
        <v>5200</v>
      </c>
      <c r="P3099" s="14">
        <v>97.85</v>
      </c>
      <c r="Q3099" s="14">
        <v>111.8</v>
      </c>
      <c r="R3099" s="14">
        <v>108.45</v>
      </c>
      <c r="S3099" s="2" t="s">
        <v>4278</v>
      </c>
      <c r="T3099" s="2">
        <v>1.02</v>
      </c>
      <c r="U3099" s="2">
        <v>67.3</v>
      </c>
      <c r="V3099" s="2">
        <v>57</v>
      </c>
      <c r="W3099" s="2" t="s">
        <v>7862</v>
      </c>
      <c r="X3099" s="2" t="s">
        <v>7670</v>
      </c>
      <c r="Y3099" s="2">
        <v>5044</v>
      </c>
      <c r="Z3099" s="19" t="str">
        <f>HYPERLINK("https://ssdweb.co/ssdweb/hd/Vision360.html?d=821128397&amp;zoomslide=1&amp;z=1821128397&amp;ISCONFIRM=0","VIDEO")</f>
        <v>VIDEO</v>
      </c>
      <c r="AA3099" s="19" t="str">
        <f>HYPERLINK("https://ssdweb.co/ssdweb/CERTH/602302344.pdf","CERTI")</f>
        <v>CERTI</v>
      </c>
    </row>
    <row r="3100" spans="1:27" ht="15" x14ac:dyDescent="0.25">
      <c r="A3100" s="2">
        <v>3095</v>
      </c>
      <c r="B3100" s="39">
        <v>821128388</v>
      </c>
      <c r="C3100" s="28" t="str">
        <f>HYPERLINK("https://pld.live/RapDetail.aspx?STONELIST=821128388","DNA")</f>
        <v>DNA</v>
      </c>
      <c r="D3100" s="18" t="s">
        <v>4121</v>
      </c>
      <c r="E3100" s="18" t="s">
        <v>5128</v>
      </c>
      <c r="F3100" s="2" t="s">
        <v>7987</v>
      </c>
      <c r="G3100" s="2" t="s">
        <v>3296</v>
      </c>
      <c r="H3100" s="14">
        <v>0.97</v>
      </c>
      <c r="I3100" s="2" t="s">
        <v>267</v>
      </c>
      <c r="J3100" s="2" t="s">
        <v>13</v>
      </c>
      <c r="K3100" s="2" t="s">
        <v>1452</v>
      </c>
      <c r="L3100" s="2" t="s">
        <v>5221</v>
      </c>
      <c r="M3100" s="2" t="s">
        <v>5221</v>
      </c>
      <c r="N3100" s="2" t="s">
        <v>2317</v>
      </c>
      <c r="O3100" s="14">
        <v>5200</v>
      </c>
      <c r="P3100" s="14">
        <v>97.85</v>
      </c>
      <c r="Q3100" s="14">
        <v>111.8</v>
      </c>
      <c r="R3100" s="14">
        <v>108.45</v>
      </c>
      <c r="S3100" s="2" t="s">
        <v>1942</v>
      </c>
      <c r="T3100" s="2">
        <v>1.01</v>
      </c>
      <c r="U3100" s="2">
        <v>64.8</v>
      </c>
      <c r="V3100" s="2">
        <v>63</v>
      </c>
      <c r="W3100" s="2" t="s">
        <v>7862</v>
      </c>
      <c r="X3100" s="2" t="s">
        <v>7670</v>
      </c>
      <c r="Y3100" s="2">
        <v>5044</v>
      </c>
      <c r="Z3100" s="19" t="str">
        <f>HYPERLINK("https://ssdweb.co/ssdweb/hd/Vision360.html?d=821128388&amp;zoomslide=1&amp;z=1821128388&amp;ISCONFIRM=0","VIDEO")</f>
        <v>VIDEO</v>
      </c>
      <c r="AA3100" s="19" t="str">
        <f>HYPERLINK("https://ssdweb.co/ssdweb/CERTH/623407034.pdf","CERTI")</f>
        <v>CERTI</v>
      </c>
    </row>
    <row r="3101" spans="1:27" ht="15" x14ac:dyDescent="0.25">
      <c r="A3101" s="2">
        <v>3096</v>
      </c>
      <c r="B3101" s="39">
        <v>821128391</v>
      </c>
      <c r="C3101" s="28" t="str">
        <f>HYPERLINK("https://pld.live/RapDetail.aspx?STONELIST=821128391","DNA")</f>
        <v>DNA</v>
      </c>
      <c r="D3101" s="18" t="s">
        <v>4121</v>
      </c>
      <c r="E3101" s="18" t="s">
        <v>5128</v>
      </c>
      <c r="F3101" s="2" t="s">
        <v>7987</v>
      </c>
      <c r="G3101" s="2" t="s">
        <v>3296</v>
      </c>
      <c r="H3101" s="14">
        <v>0.97</v>
      </c>
      <c r="I3101" s="2" t="s">
        <v>267</v>
      </c>
      <c r="J3101" s="2" t="s">
        <v>13</v>
      </c>
      <c r="K3101" s="2" t="s">
        <v>1452</v>
      </c>
      <c r="L3101" s="2" t="s">
        <v>5221</v>
      </c>
      <c r="M3101" s="2" t="s">
        <v>5221</v>
      </c>
      <c r="N3101" s="2" t="s">
        <v>2317</v>
      </c>
      <c r="O3101" s="14">
        <v>5200</v>
      </c>
      <c r="P3101" s="14">
        <v>97.85</v>
      </c>
      <c r="Q3101" s="14">
        <v>111.8</v>
      </c>
      <c r="R3101" s="14">
        <v>108.45</v>
      </c>
      <c r="S3101" s="2" t="s">
        <v>4800</v>
      </c>
      <c r="T3101" s="2">
        <v>1.02</v>
      </c>
      <c r="U3101" s="2">
        <v>65.3</v>
      </c>
      <c r="V3101" s="2">
        <v>64</v>
      </c>
      <c r="W3101" s="2" t="s">
        <v>7862</v>
      </c>
      <c r="X3101" s="2" t="s">
        <v>7670</v>
      </c>
      <c r="Y3101" s="2">
        <v>5044</v>
      </c>
      <c r="Z3101" s="19" t="str">
        <f>HYPERLINK("https://ssdweb.co/ssdweb/hd/Vision360.html?d=821128391&amp;zoomslide=1&amp;z=1821128391&amp;ISCONFIRM=0","VIDEO")</f>
        <v>VIDEO</v>
      </c>
      <c r="AA3101" s="19" t="str">
        <f>HYPERLINK("https://ssdweb.co/ssdweb/CERTH/602301955.pdf","CERTI")</f>
        <v>CERTI</v>
      </c>
    </row>
    <row r="3102" spans="1:27" ht="15" x14ac:dyDescent="0.25">
      <c r="A3102" s="2">
        <v>3097</v>
      </c>
      <c r="B3102" s="39">
        <v>821128366</v>
      </c>
      <c r="C3102" s="28" t="str">
        <f>HYPERLINK("https://pld.live/RapDetail.aspx?STONELIST=821128366","DNA")</f>
        <v>DNA</v>
      </c>
      <c r="D3102" s="18" t="s">
        <v>4121</v>
      </c>
      <c r="E3102" s="18" t="s">
        <v>5128</v>
      </c>
      <c r="F3102" s="2" t="s">
        <v>7987</v>
      </c>
      <c r="G3102" s="2" t="s">
        <v>3296</v>
      </c>
      <c r="H3102" s="14">
        <v>0.97</v>
      </c>
      <c r="I3102" s="2" t="s">
        <v>4761</v>
      </c>
      <c r="J3102" s="2" t="s">
        <v>3942</v>
      </c>
      <c r="K3102" s="2" t="s">
        <v>1452</v>
      </c>
      <c r="L3102" s="2" t="s">
        <v>5221</v>
      </c>
      <c r="M3102" s="2" t="s">
        <v>5221</v>
      </c>
      <c r="N3102" s="2" t="s">
        <v>2317</v>
      </c>
      <c r="O3102" s="14">
        <v>5200</v>
      </c>
      <c r="P3102" s="14">
        <v>97.85</v>
      </c>
      <c r="Q3102" s="14">
        <v>111.8</v>
      </c>
      <c r="R3102" s="14">
        <v>108.45</v>
      </c>
      <c r="S3102" s="2" t="s">
        <v>2050</v>
      </c>
      <c r="T3102" s="2">
        <v>1.03</v>
      </c>
      <c r="U3102" s="2">
        <v>66.8</v>
      </c>
      <c r="V3102" s="2">
        <v>57</v>
      </c>
      <c r="W3102" s="2" t="s">
        <v>7862</v>
      </c>
      <c r="X3102" s="2" t="s">
        <v>7670</v>
      </c>
      <c r="Y3102" s="2">
        <v>5044</v>
      </c>
      <c r="Z3102" s="19" t="str">
        <f>HYPERLINK("https://ssdweb.co/ssdweb/hd/Vision360.html?d=821128366&amp;zoomslide=1&amp;z=1821128366&amp;ISCONFIRM=0","VIDEO")</f>
        <v>VIDEO</v>
      </c>
      <c r="AA3102" s="19" t="str">
        <f>HYPERLINK("https://ssdweb.co/ssdweb/CERTH/619463990.pdf","CERTI")</f>
        <v>CERTI</v>
      </c>
    </row>
    <row r="3103" spans="1:27" ht="15" x14ac:dyDescent="0.25">
      <c r="A3103" s="2">
        <v>3098</v>
      </c>
      <c r="B3103" s="39">
        <v>926220585</v>
      </c>
      <c r="C3103" s="28" t="str">
        <f>HYPERLINK("https://pld.live/RapDetail.aspx?STONELIST=926220585","DNA")</f>
        <v>DNA</v>
      </c>
      <c r="D3103" s="18" t="s">
        <v>4121</v>
      </c>
      <c r="E3103" s="18" t="s">
        <v>5128</v>
      </c>
      <c r="F3103" s="2" t="s">
        <v>7987</v>
      </c>
      <c r="G3103" s="2" t="s">
        <v>3296</v>
      </c>
      <c r="H3103" s="14">
        <v>0.97</v>
      </c>
      <c r="I3103" s="2" t="s">
        <v>4761</v>
      </c>
      <c r="J3103" s="2" t="s">
        <v>13</v>
      </c>
      <c r="K3103" s="2" t="s">
        <v>1452</v>
      </c>
      <c r="L3103" s="2" t="s">
        <v>5221</v>
      </c>
      <c r="M3103" s="2" t="s">
        <v>5221</v>
      </c>
      <c r="N3103" s="2" t="s">
        <v>2317</v>
      </c>
      <c r="O3103" s="14">
        <v>4900</v>
      </c>
      <c r="P3103" s="14">
        <v>97.73</v>
      </c>
      <c r="Q3103" s="14">
        <v>111.23</v>
      </c>
      <c r="R3103" s="14">
        <v>107.89</v>
      </c>
      <c r="S3103" s="2" t="s">
        <v>6588</v>
      </c>
      <c r="T3103" s="2">
        <v>1.02</v>
      </c>
      <c r="U3103" s="2">
        <v>66.8</v>
      </c>
      <c r="V3103" s="2">
        <v>59</v>
      </c>
      <c r="W3103" s="2" t="s">
        <v>7862</v>
      </c>
      <c r="X3103" s="2" t="s">
        <v>7670</v>
      </c>
      <c r="Y3103" s="2">
        <v>4753</v>
      </c>
      <c r="Z3103" s="19" t="str">
        <f>HYPERLINK("https://ssdweb.co/ssdweb/hd/Vision360.html?d=926220585&amp;zoomslide=1&amp;z=1926220585&amp;ISCONFIRM=0","VIDEO")</f>
        <v>VIDEO</v>
      </c>
      <c r="AA3103" s="19" t="str">
        <f>HYPERLINK("https://ssdweb.co/ssdweb/CERTH/635427029.pdf","CERTI")</f>
        <v>CERTI</v>
      </c>
    </row>
    <row r="3104" spans="1:27" ht="15" x14ac:dyDescent="0.25">
      <c r="A3104" s="2">
        <v>3099</v>
      </c>
      <c r="B3104" s="39">
        <v>926210855</v>
      </c>
      <c r="C3104" s="28" t="str">
        <f>HYPERLINK("https://pld.live/RapDetail.aspx?STONELIST=926210855","DNA")</f>
        <v>DNA</v>
      </c>
      <c r="D3104" s="18" t="s">
        <v>4121</v>
      </c>
      <c r="E3104" s="18" t="s">
        <v>5128</v>
      </c>
      <c r="F3104" s="2" t="s">
        <v>7987</v>
      </c>
      <c r="G3104" s="2" t="s">
        <v>3296</v>
      </c>
      <c r="H3104" s="14">
        <v>0.96</v>
      </c>
      <c r="I3104" s="2" t="s">
        <v>267</v>
      </c>
      <c r="J3104" s="2" t="s">
        <v>6555</v>
      </c>
      <c r="K3104" s="2" t="s">
        <v>1452</v>
      </c>
      <c r="L3104" s="2" t="s">
        <v>5221</v>
      </c>
      <c r="M3104" s="2" t="s">
        <v>5221</v>
      </c>
      <c r="N3104" s="2" t="s">
        <v>2317</v>
      </c>
      <c r="O3104" s="14">
        <v>6300</v>
      </c>
      <c r="P3104" s="14">
        <v>97.71</v>
      </c>
      <c r="Q3104" s="14">
        <v>144.27000000000001</v>
      </c>
      <c r="R3104" s="14">
        <v>138.5</v>
      </c>
      <c r="S3104" s="2" t="s">
        <v>7498</v>
      </c>
      <c r="T3104" s="2">
        <v>1.01</v>
      </c>
      <c r="U3104" s="2">
        <v>65.599999999999994</v>
      </c>
      <c r="V3104" s="2">
        <v>61</v>
      </c>
      <c r="W3104" s="2" t="s">
        <v>7862</v>
      </c>
      <c r="X3104" s="2" t="s">
        <v>7670</v>
      </c>
      <c r="Y3104" s="2">
        <v>6048</v>
      </c>
      <c r="Z3104" s="19" t="str">
        <f>HYPERLINK("https://ssdweb.co/ssdweb/hd/Vision360.html?d=926210855&amp;zoomslide=1&amp;z=1926210855&amp;ISCONFIRM=0","VIDEO")</f>
        <v>VIDEO</v>
      </c>
      <c r="AA3104" s="19" t="str">
        <f>HYPERLINK("https://ssdweb.co/ssdweb/CERTH/635423817.pdf","CERTI")</f>
        <v>CERTI</v>
      </c>
    </row>
    <row r="3105" spans="1:27" ht="15" x14ac:dyDescent="0.25">
      <c r="A3105" s="2">
        <v>3100</v>
      </c>
      <c r="B3105" s="39">
        <v>821128384</v>
      </c>
      <c r="C3105" s="28" t="str">
        <f>HYPERLINK("https://pld.live/RapDetail.aspx?STONELIST=821128384","DNA")</f>
        <v>DNA</v>
      </c>
      <c r="D3105" s="18" t="s">
        <v>4121</v>
      </c>
      <c r="E3105" s="18" t="s">
        <v>5128</v>
      </c>
      <c r="F3105" s="2" t="s">
        <v>7987</v>
      </c>
      <c r="G3105" s="2" t="s">
        <v>3296</v>
      </c>
      <c r="H3105" s="14">
        <v>0.96</v>
      </c>
      <c r="I3105" s="2" t="s">
        <v>267</v>
      </c>
      <c r="J3105" s="2" t="s">
        <v>3942</v>
      </c>
      <c r="K3105" s="2" t="s">
        <v>1452</v>
      </c>
      <c r="L3105" s="2" t="s">
        <v>5221</v>
      </c>
      <c r="M3105" s="2" t="s">
        <v>5221</v>
      </c>
      <c r="N3105" s="2" t="s">
        <v>2317</v>
      </c>
      <c r="O3105" s="14">
        <v>5600</v>
      </c>
      <c r="P3105" s="14">
        <v>97.96</v>
      </c>
      <c r="Q3105" s="14">
        <v>114.24</v>
      </c>
      <c r="R3105" s="14">
        <v>109.67</v>
      </c>
      <c r="S3105" s="2" t="s">
        <v>1051</v>
      </c>
      <c r="T3105" s="2">
        <v>1.01</v>
      </c>
      <c r="U3105" s="2">
        <v>67.2</v>
      </c>
      <c r="V3105" s="2">
        <v>63</v>
      </c>
      <c r="W3105" s="2" t="s">
        <v>7862</v>
      </c>
      <c r="X3105" s="2" t="s">
        <v>7670</v>
      </c>
      <c r="Y3105" s="2">
        <v>5376</v>
      </c>
      <c r="Z3105" s="19" t="str">
        <f>HYPERLINK("https://ssdweb.co/ssdweb/hd/Vision360.html?d=821128384&amp;zoomslide=1&amp;z=1821128384&amp;ISCONFIRM=0","VIDEO")</f>
        <v>VIDEO</v>
      </c>
      <c r="AA3105" s="19" t="str">
        <f>HYPERLINK("https://ssdweb.co/ssdweb/CERTH/619464038.pdf","CERTI")</f>
        <v>CERTI</v>
      </c>
    </row>
    <row r="3106" spans="1:27" ht="15" x14ac:dyDescent="0.25">
      <c r="A3106" s="2">
        <v>3101</v>
      </c>
      <c r="B3106" s="39">
        <v>925791427</v>
      </c>
      <c r="C3106" s="28" t="str">
        <f>HYPERLINK("https://pld.live/RapDetail.aspx?STONELIST=925791427","DNA")</f>
        <v>DNA</v>
      </c>
      <c r="D3106" s="18" t="s">
        <v>4121</v>
      </c>
      <c r="E3106" s="18" t="s">
        <v>5128</v>
      </c>
      <c r="F3106" s="2" t="s">
        <v>7987</v>
      </c>
      <c r="G3106" s="2" t="s">
        <v>3296</v>
      </c>
      <c r="H3106" s="14">
        <v>0.96</v>
      </c>
      <c r="I3106" s="2" t="s">
        <v>267</v>
      </c>
      <c r="J3106" s="2" t="s">
        <v>13</v>
      </c>
      <c r="K3106" s="2" t="s">
        <v>1452</v>
      </c>
      <c r="L3106" s="2" t="s">
        <v>5221</v>
      </c>
      <c r="M3106" s="2" t="s">
        <v>5221</v>
      </c>
      <c r="N3106" s="2" t="s">
        <v>2317</v>
      </c>
      <c r="O3106" s="14">
        <v>5200</v>
      </c>
      <c r="P3106" s="14">
        <v>97.81</v>
      </c>
      <c r="Q3106" s="14">
        <v>113.88</v>
      </c>
      <c r="R3106" s="14">
        <v>109.32</v>
      </c>
      <c r="S3106" s="2" t="s">
        <v>4727</v>
      </c>
      <c r="T3106" s="2">
        <v>1.06</v>
      </c>
      <c r="U3106" s="2">
        <v>62.8</v>
      </c>
      <c r="V3106" s="2">
        <v>59</v>
      </c>
      <c r="W3106" s="2" t="s">
        <v>7862</v>
      </c>
      <c r="X3106" s="2" t="s">
        <v>3851</v>
      </c>
      <c r="Y3106" s="2">
        <v>4992</v>
      </c>
      <c r="Z3106" s="19" t="str">
        <f>HYPERLINK("https://ssdweb.co/ssdweb/hd/Vision360.html?d=925791427&amp;zoomslide=1&amp;z=1925791427&amp;ISCONFIRM=0","VIDEO")</f>
        <v>VIDEO</v>
      </c>
      <c r="AA3106" s="19" t="str">
        <f>HYPERLINK("https://ssdweb.co/ssdweb/CERTH/628426772.pdf","CERTI")</f>
        <v>CERTI</v>
      </c>
    </row>
    <row r="3107" spans="1:27" ht="15" x14ac:dyDescent="0.25">
      <c r="A3107" s="2">
        <v>3102</v>
      </c>
      <c r="B3107" s="39">
        <v>821128392</v>
      </c>
      <c r="C3107" s="28" t="str">
        <f>HYPERLINK("https://pld.live/RapDetail.aspx?STONELIST=821128392","DNA")</f>
        <v>DNA</v>
      </c>
      <c r="D3107" s="18" t="s">
        <v>4121</v>
      </c>
      <c r="E3107" s="18" t="s">
        <v>5128</v>
      </c>
      <c r="F3107" s="2" t="s">
        <v>7987</v>
      </c>
      <c r="G3107" s="2" t="s">
        <v>3296</v>
      </c>
      <c r="H3107" s="14">
        <v>0.96</v>
      </c>
      <c r="I3107" s="2" t="s">
        <v>267</v>
      </c>
      <c r="J3107" s="2" t="s">
        <v>13</v>
      </c>
      <c r="K3107" s="2" t="s">
        <v>1452</v>
      </c>
      <c r="L3107" s="2" t="s">
        <v>5221</v>
      </c>
      <c r="M3107" s="2" t="s">
        <v>5221</v>
      </c>
      <c r="N3107" s="2" t="s">
        <v>2317</v>
      </c>
      <c r="O3107" s="14">
        <v>5200</v>
      </c>
      <c r="P3107" s="14">
        <v>97.85</v>
      </c>
      <c r="Q3107" s="14">
        <v>111.8</v>
      </c>
      <c r="R3107" s="14">
        <v>107.33</v>
      </c>
      <c r="S3107" s="2" t="s">
        <v>5879</v>
      </c>
      <c r="T3107" s="2">
        <v>1.02</v>
      </c>
      <c r="U3107" s="2">
        <v>64.7</v>
      </c>
      <c r="V3107" s="2">
        <v>60</v>
      </c>
      <c r="W3107" s="2" t="s">
        <v>7862</v>
      </c>
      <c r="X3107" s="2" t="s">
        <v>7670</v>
      </c>
      <c r="Y3107" s="2">
        <v>4992</v>
      </c>
      <c r="Z3107" s="19" t="str">
        <f>HYPERLINK("https://ssdweb.co/ssdweb/hd/Vision360.html?d=821128392&amp;zoomslide=1&amp;z=1821128392&amp;ISCONFIRM=0","VIDEO")</f>
        <v>VIDEO</v>
      </c>
      <c r="AA3107" s="19" t="str">
        <f>HYPERLINK("https://ssdweb.co/ssdweb/CERTH/602301365.pdf","CERTI")</f>
        <v>CERTI</v>
      </c>
    </row>
    <row r="3108" spans="1:27" ht="15" x14ac:dyDescent="0.25">
      <c r="A3108" s="2">
        <v>3103</v>
      </c>
      <c r="B3108" s="39">
        <v>925290517</v>
      </c>
      <c r="C3108" s="28" t="str">
        <f>HYPERLINK("https://pld.live/RapDetail.aspx?STONELIST=925290517","DNA")</f>
        <v>DNA</v>
      </c>
      <c r="D3108" s="18" t="s">
        <v>4121</v>
      </c>
      <c r="E3108" s="18" t="s">
        <v>5128</v>
      </c>
      <c r="F3108" s="2" t="s">
        <v>7987</v>
      </c>
      <c r="G3108" s="2" t="s">
        <v>3296</v>
      </c>
      <c r="H3108" s="14">
        <v>0.96</v>
      </c>
      <c r="I3108" s="2" t="s">
        <v>267</v>
      </c>
      <c r="J3108" s="2" t="s">
        <v>13</v>
      </c>
      <c r="K3108" s="2" t="s">
        <v>1452</v>
      </c>
      <c r="L3108" s="2" t="s">
        <v>5221</v>
      </c>
      <c r="M3108" s="2" t="s">
        <v>5221</v>
      </c>
      <c r="N3108" s="2" t="s">
        <v>2317</v>
      </c>
      <c r="O3108" s="14">
        <v>5200</v>
      </c>
      <c r="P3108" s="14">
        <v>97.85</v>
      </c>
      <c r="Q3108" s="14">
        <v>111.8</v>
      </c>
      <c r="R3108" s="14">
        <v>107.33</v>
      </c>
      <c r="S3108" s="2" t="s">
        <v>1725</v>
      </c>
      <c r="T3108" s="2">
        <v>1.03</v>
      </c>
      <c r="U3108" s="2">
        <v>63.1</v>
      </c>
      <c r="V3108" s="2">
        <v>64</v>
      </c>
      <c r="W3108" s="2" t="s">
        <v>7862</v>
      </c>
      <c r="X3108" s="2" t="s">
        <v>7670</v>
      </c>
      <c r="Y3108" s="2">
        <v>4992</v>
      </c>
      <c r="Z3108" s="19" t="str">
        <f>HYPERLINK("https://ssdweb.co/ssdweb/hd/Vision360.html?d=925290517&amp;zoomslide=1&amp;z=1925290517&amp;ISCONFIRM=0","VIDEO")</f>
        <v>VIDEO</v>
      </c>
      <c r="AA3108" s="19" t="str">
        <f>HYPERLINK("https://ssdweb.co/ssdweb/CERTH/617426263.pdf","CERTI")</f>
        <v>CERTI</v>
      </c>
    </row>
    <row r="3109" spans="1:27" ht="15" x14ac:dyDescent="0.25">
      <c r="A3109" s="2">
        <v>3104</v>
      </c>
      <c r="B3109" s="39">
        <v>821123104</v>
      </c>
      <c r="C3109" s="28" t="str">
        <f>HYPERLINK("https://pld.live/RapDetail.aspx?STONELIST=821123104","DNA")</f>
        <v>DNA</v>
      </c>
      <c r="D3109" s="18" t="s">
        <v>4121</v>
      </c>
      <c r="E3109" s="18" t="s">
        <v>5128</v>
      </c>
      <c r="F3109" s="2" t="s">
        <v>7987</v>
      </c>
      <c r="G3109" s="2" t="s">
        <v>3296</v>
      </c>
      <c r="H3109" s="14">
        <v>0.95</v>
      </c>
      <c r="I3109" s="2" t="s">
        <v>267</v>
      </c>
      <c r="J3109" s="2" t="s">
        <v>6555</v>
      </c>
      <c r="K3109" s="2" t="s">
        <v>1452</v>
      </c>
      <c r="L3109" s="2" t="s">
        <v>5221</v>
      </c>
      <c r="M3109" s="2" t="s">
        <v>5221</v>
      </c>
      <c r="N3109" s="2" t="s">
        <v>2317</v>
      </c>
      <c r="O3109" s="14">
        <v>6300</v>
      </c>
      <c r="P3109" s="14">
        <v>97.75</v>
      </c>
      <c r="Q3109" s="14">
        <v>141.75</v>
      </c>
      <c r="R3109" s="14">
        <v>134.66</v>
      </c>
      <c r="S3109" s="2" t="s">
        <v>4614</v>
      </c>
      <c r="T3109" s="2">
        <v>1.04</v>
      </c>
      <c r="U3109" s="2">
        <v>66.099999999999994</v>
      </c>
      <c r="V3109" s="2">
        <v>60</v>
      </c>
      <c r="W3109" s="2" t="s">
        <v>7862</v>
      </c>
      <c r="X3109" s="2" t="s">
        <v>7670</v>
      </c>
      <c r="Y3109" s="2">
        <v>5985</v>
      </c>
      <c r="Z3109" s="19" t="str">
        <f>HYPERLINK("https://ssdweb.co/ssdweb/hd/Vision360.html?d=821123104&amp;zoomslide=1&amp;z=1821123104&amp;ISCONFIRM=0","VIDEO")</f>
        <v>VIDEO</v>
      </c>
      <c r="AA3109" s="19" t="str">
        <f>HYPERLINK("https://ssdweb.co/ssdweb/CERTH/601321791.pdf","CERTI")</f>
        <v>CERTI</v>
      </c>
    </row>
    <row r="3110" spans="1:27" ht="15" x14ac:dyDescent="0.25">
      <c r="A3110" s="2">
        <v>3105</v>
      </c>
      <c r="B3110" s="39">
        <v>925030278</v>
      </c>
      <c r="C3110" s="28" t="str">
        <f>HYPERLINK("https://pld.live/RapDetail.aspx?STONELIST=925030278","DNA")</f>
        <v>DNA</v>
      </c>
      <c r="D3110" s="18" t="s">
        <v>4121</v>
      </c>
      <c r="E3110" s="18" t="s">
        <v>5128</v>
      </c>
      <c r="F3110" s="2" t="s">
        <v>7987</v>
      </c>
      <c r="G3110" s="2" t="s">
        <v>3296</v>
      </c>
      <c r="H3110" s="14">
        <v>0.95</v>
      </c>
      <c r="I3110" s="2" t="s">
        <v>267</v>
      </c>
      <c r="J3110" s="2" t="s">
        <v>3942</v>
      </c>
      <c r="K3110" s="2" t="s">
        <v>1452</v>
      </c>
      <c r="L3110" s="2" t="s">
        <v>5221</v>
      </c>
      <c r="M3110" s="2" t="s">
        <v>5221</v>
      </c>
      <c r="N3110" s="2" t="s">
        <v>2317</v>
      </c>
      <c r="O3110" s="14">
        <v>5600</v>
      </c>
      <c r="P3110" s="14">
        <v>97.96</v>
      </c>
      <c r="Q3110" s="14">
        <v>114.24</v>
      </c>
      <c r="R3110" s="14">
        <v>108.53</v>
      </c>
      <c r="S3110" s="2" t="s">
        <v>7017</v>
      </c>
      <c r="T3110" s="2">
        <v>1.01</v>
      </c>
      <c r="U3110" s="2">
        <v>63.6</v>
      </c>
      <c r="V3110" s="2">
        <v>59</v>
      </c>
      <c r="W3110" s="2" t="s">
        <v>7862</v>
      </c>
      <c r="X3110" s="2" t="s">
        <v>7670</v>
      </c>
      <c r="Y3110" s="2">
        <v>5320</v>
      </c>
      <c r="Z3110" s="19" t="str">
        <f>HYPERLINK("https://ssdweb.co/ssdweb/hd/Vision360.html?d=925030278&amp;zoomslide=1&amp;z=1925030278&amp;ISCONFIRM=0","VIDEO")</f>
        <v>VIDEO</v>
      </c>
      <c r="AA3110" s="19" t="str">
        <f>HYPERLINK("https://ssdweb.co/ssdweb/CERTH/607357757.pdf","CERTI")</f>
        <v>CERTI</v>
      </c>
    </row>
    <row r="3111" spans="1:27" ht="15" x14ac:dyDescent="0.25">
      <c r="A3111" s="2">
        <v>3106</v>
      </c>
      <c r="B3111" s="39">
        <v>925150171</v>
      </c>
      <c r="C3111" s="28" t="str">
        <f>HYPERLINK("https://pld.live/RapDetail.aspx?STONELIST=925150171","DNA")</f>
        <v>DNA</v>
      </c>
      <c r="D3111" s="18" t="s">
        <v>4121</v>
      </c>
      <c r="E3111" s="18" t="s">
        <v>5128</v>
      </c>
      <c r="F3111" s="2" t="s">
        <v>7987</v>
      </c>
      <c r="G3111" s="2" t="s">
        <v>3296</v>
      </c>
      <c r="H3111" s="14">
        <v>0.95</v>
      </c>
      <c r="I3111" s="2" t="s">
        <v>267</v>
      </c>
      <c r="J3111" s="2" t="s">
        <v>5144</v>
      </c>
      <c r="K3111" s="2" t="s">
        <v>1452</v>
      </c>
      <c r="L3111" s="2" t="s">
        <v>5221</v>
      </c>
      <c r="M3111" s="2" t="s">
        <v>5221</v>
      </c>
      <c r="N3111" s="2" t="s">
        <v>2317</v>
      </c>
      <c r="O3111" s="14">
        <v>4400</v>
      </c>
      <c r="P3111" s="14">
        <v>97.5</v>
      </c>
      <c r="Q3111" s="14">
        <v>110</v>
      </c>
      <c r="R3111" s="14">
        <v>104.5</v>
      </c>
      <c r="S3111" s="2" t="s">
        <v>5355</v>
      </c>
      <c r="T3111" s="2">
        <v>1.05</v>
      </c>
      <c r="U3111" s="2">
        <v>66.099999999999994</v>
      </c>
      <c r="V3111" s="2">
        <v>64</v>
      </c>
      <c r="W3111" s="2" t="s">
        <v>7862</v>
      </c>
      <c r="X3111" s="2" t="s">
        <v>7670</v>
      </c>
      <c r="Y3111" s="2">
        <v>4180</v>
      </c>
      <c r="Z3111" s="19" t="str">
        <f>HYPERLINK("https://ssdweb.co/ssdweb/hd/Vision360.html?d=925150171&amp;zoomslide=1&amp;z=1925150171&amp;ISCONFIRM=0","VIDEO")</f>
        <v>VIDEO</v>
      </c>
      <c r="AA3111" s="19" t="str">
        <f>HYPERLINK("https://ssdweb.co/ssdweb/CERTH/619453286.pdf","CERTI")</f>
        <v>CERTI</v>
      </c>
    </row>
    <row r="3112" spans="1:27" ht="15" x14ac:dyDescent="0.25">
      <c r="A3112" s="2">
        <v>3107</v>
      </c>
      <c r="B3112" s="39">
        <v>925030270</v>
      </c>
      <c r="C3112" s="28" t="str">
        <f>HYPERLINK("https://pld.live/RapDetail.aspx?STONELIST=925030270","DNA")</f>
        <v>DNA</v>
      </c>
      <c r="D3112" s="18" t="s">
        <v>4121</v>
      </c>
      <c r="E3112" s="18" t="s">
        <v>5128</v>
      </c>
      <c r="F3112" s="2" t="s">
        <v>7987</v>
      </c>
      <c r="G3112" s="2" t="s">
        <v>3296</v>
      </c>
      <c r="H3112" s="14">
        <v>0.95</v>
      </c>
      <c r="I3112" s="2" t="s">
        <v>4761</v>
      </c>
      <c r="J3112" s="2" t="s">
        <v>3942</v>
      </c>
      <c r="K3112" s="2" t="s">
        <v>1452</v>
      </c>
      <c r="L3112" s="2" t="s">
        <v>5221</v>
      </c>
      <c r="M3112" s="2" t="s">
        <v>5221</v>
      </c>
      <c r="N3112" s="2" t="s">
        <v>2317</v>
      </c>
      <c r="O3112" s="14">
        <v>5200</v>
      </c>
      <c r="P3112" s="14">
        <v>97.85</v>
      </c>
      <c r="Q3112" s="14">
        <v>111.8</v>
      </c>
      <c r="R3112" s="14">
        <v>106.21</v>
      </c>
      <c r="S3112" s="2" t="s">
        <v>5571</v>
      </c>
      <c r="T3112" s="2">
        <v>1.04</v>
      </c>
      <c r="U3112" s="2">
        <v>68.8</v>
      </c>
      <c r="V3112" s="2">
        <v>57</v>
      </c>
      <c r="W3112" s="2" t="s">
        <v>7862</v>
      </c>
      <c r="X3112" s="2" t="s">
        <v>7670</v>
      </c>
      <c r="Y3112" s="2">
        <v>4940</v>
      </c>
      <c r="Z3112" s="19" t="str">
        <f>HYPERLINK("https://ssdweb.co/ssdweb/hd/Vision360.html?d=925030270&amp;zoomslide=1&amp;z=1925030270&amp;ISCONFIRM=0","VIDEO")</f>
        <v>VIDEO</v>
      </c>
      <c r="AA3112" s="19" t="str">
        <f>HYPERLINK("https://ssdweb.co/ssdweb/CERTH/607357755.pdf","CERTI")</f>
        <v>CERTI</v>
      </c>
    </row>
    <row r="3113" spans="1:27" ht="15" x14ac:dyDescent="0.25">
      <c r="A3113" s="2">
        <v>3108</v>
      </c>
      <c r="B3113" s="39">
        <v>923990376</v>
      </c>
      <c r="C3113" s="28" t="str">
        <f>HYPERLINK("https://pld.live/RapDetail.aspx?STONELIST=923990376","DNA")</f>
        <v>DNA</v>
      </c>
      <c r="D3113" s="18" t="s">
        <v>2990</v>
      </c>
      <c r="E3113" s="18" t="s">
        <v>5128</v>
      </c>
      <c r="F3113" s="2" t="s">
        <v>7987</v>
      </c>
      <c r="G3113" s="2" t="s">
        <v>3296</v>
      </c>
      <c r="H3113" s="14">
        <v>0.94</v>
      </c>
      <c r="I3113" s="2" t="s">
        <v>267</v>
      </c>
      <c r="J3113" s="2" t="s">
        <v>3942</v>
      </c>
      <c r="K3113" s="2" t="s">
        <v>1452</v>
      </c>
      <c r="L3113" s="2" t="s">
        <v>5221</v>
      </c>
      <c r="M3113" s="2" t="s">
        <v>5221</v>
      </c>
      <c r="N3113" s="2" t="s">
        <v>2317</v>
      </c>
      <c r="O3113" s="14">
        <v>5600</v>
      </c>
      <c r="P3113" s="14">
        <v>97.96</v>
      </c>
      <c r="Q3113" s="14">
        <v>114.24</v>
      </c>
      <c r="R3113" s="14">
        <v>107.39</v>
      </c>
      <c r="S3113" s="2" t="s">
        <v>3069</v>
      </c>
      <c r="T3113" s="2">
        <v>1.05</v>
      </c>
      <c r="U3113" s="2">
        <v>66.5</v>
      </c>
      <c r="V3113" s="2">
        <v>61</v>
      </c>
      <c r="W3113" s="2" t="s">
        <v>7862</v>
      </c>
      <c r="X3113" s="2" t="s">
        <v>7670</v>
      </c>
      <c r="Y3113" s="2">
        <v>5264</v>
      </c>
      <c r="Z3113" s="19" t="str">
        <f>HYPERLINK("https://ssdweb.co/ssdweb/hd/Vision360.html?d=923990376&amp;zoomslide=1&amp;z=1923990376&amp;ISCONFIRM=0","VIDEO")</f>
        <v>VIDEO</v>
      </c>
      <c r="AA3113" s="19" t="str">
        <f>HYPERLINK("https://ssdweb.co/ssdweb/CERTH/570372539.pdf","CERTI")</f>
        <v>CERTI</v>
      </c>
    </row>
    <row r="3114" spans="1:27" ht="15" x14ac:dyDescent="0.25">
      <c r="A3114" s="2">
        <v>3109</v>
      </c>
      <c r="B3114" s="39">
        <v>926210545</v>
      </c>
      <c r="C3114" s="28" t="str">
        <f>HYPERLINK("https://pld.live/RapDetail.aspx?STONELIST=926210545","DNA")</f>
        <v>DNA</v>
      </c>
      <c r="D3114" s="18" t="s">
        <v>2990</v>
      </c>
      <c r="E3114" s="18" t="s">
        <v>5128</v>
      </c>
      <c r="F3114" s="2" t="s">
        <v>7987</v>
      </c>
      <c r="G3114" s="2" t="s">
        <v>3296</v>
      </c>
      <c r="H3114" s="14">
        <v>0.94</v>
      </c>
      <c r="I3114" s="2" t="s">
        <v>267</v>
      </c>
      <c r="J3114" s="2" t="s">
        <v>13</v>
      </c>
      <c r="K3114" s="2" t="s">
        <v>1452</v>
      </c>
      <c r="L3114" s="2" t="s">
        <v>5221</v>
      </c>
      <c r="M3114" s="2" t="s">
        <v>5221</v>
      </c>
      <c r="N3114" s="2" t="s">
        <v>2317</v>
      </c>
      <c r="O3114" s="14">
        <v>5200</v>
      </c>
      <c r="P3114" s="14">
        <v>97.81</v>
      </c>
      <c r="Q3114" s="14">
        <v>113.88</v>
      </c>
      <c r="R3114" s="14">
        <v>107.05</v>
      </c>
      <c r="S3114" s="2" t="s">
        <v>7060</v>
      </c>
      <c r="T3114" s="2">
        <v>1.01</v>
      </c>
      <c r="U3114" s="2">
        <v>65</v>
      </c>
      <c r="V3114" s="2">
        <v>65</v>
      </c>
      <c r="W3114" s="2" t="s">
        <v>7862</v>
      </c>
      <c r="X3114" s="2" t="s">
        <v>7670</v>
      </c>
      <c r="Y3114" s="2">
        <v>4888</v>
      </c>
      <c r="Z3114" s="19" t="str">
        <f>HYPERLINK("https://ssdweb.co/ssdweb/hd/Vision360.html?d=926210545&amp;zoomslide=1&amp;z=1926210545&amp;ISCONFIRM=0","VIDEO")</f>
        <v>VIDEO</v>
      </c>
      <c r="AA3114" s="19" t="str">
        <f>HYPERLINK("https://ssdweb.co/ssdweb/CERTH/634431238.pdf","CERTI")</f>
        <v>CERTI</v>
      </c>
    </row>
    <row r="3115" spans="1:27" ht="15" x14ac:dyDescent="0.25">
      <c r="A3115" s="2">
        <v>3110</v>
      </c>
      <c r="B3115" s="39">
        <v>926210894</v>
      </c>
      <c r="C3115" s="28" t="str">
        <f>HYPERLINK("https://pld.live/RapDetail.aspx?STONELIST=926210894","DNA")</f>
        <v>DNA</v>
      </c>
      <c r="D3115" s="18" t="s">
        <v>2990</v>
      </c>
      <c r="E3115" s="18" t="s">
        <v>5128</v>
      </c>
      <c r="F3115" s="2" t="s">
        <v>7987</v>
      </c>
      <c r="G3115" s="2" t="s">
        <v>3296</v>
      </c>
      <c r="H3115" s="14">
        <v>0.94</v>
      </c>
      <c r="I3115" s="2" t="s">
        <v>4761</v>
      </c>
      <c r="J3115" s="2" t="s">
        <v>3942</v>
      </c>
      <c r="K3115" s="2" t="s">
        <v>1452</v>
      </c>
      <c r="L3115" s="2" t="s">
        <v>5221</v>
      </c>
      <c r="M3115" s="2" t="s">
        <v>5221</v>
      </c>
      <c r="N3115" s="2" t="s">
        <v>2317</v>
      </c>
      <c r="O3115" s="14">
        <v>5200</v>
      </c>
      <c r="P3115" s="14">
        <v>97.81</v>
      </c>
      <c r="Q3115" s="14">
        <v>113.88</v>
      </c>
      <c r="R3115" s="14">
        <v>107.05</v>
      </c>
      <c r="S3115" s="2" t="s">
        <v>1107</v>
      </c>
      <c r="T3115" s="2">
        <v>1.05</v>
      </c>
      <c r="U3115" s="2">
        <v>64.8</v>
      </c>
      <c r="V3115" s="2">
        <v>62</v>
      </c>
      <c r="W3115" s="2" t="s">
        <v>7862</v>
      </c>
      <c r="X3115" s="2" t="s">
        <v>7670</v>
      </c>
      <c r="Y3115" s="2">
        <v>4888</v>
      </c>
      <c r="Z3115" s="19" t="str">
        <f>HYPERLINK("https://ssdweb.co/ssdweb/hd/Vision360.html?d=926210894&amp;zoomslide=1&amp;z=1926210894&amp;ISCONFIRM=0","VIDEO")</f>
        <v>VIDEO</v>
      </c>
      <c r="AA3115" s="19" t="str">
        <f>HYPERLINK("https://ssdweb.co/ssdweb/CERTH/635427079.pdf","CERTI")</f>
        <v>CERTI</v>
      </c>
    </row>
    <row r="3116" spans="1:27" ht="15" x14ac:dyDescent="0.25">
      <c r="A3116" s="2">
        <v>3111</v>
      </c>
      <c r="B3116" s="39">
        <v>925080501</v>
      </c>
      <c r="C3116" s="28" t="str">
        <f>HYPERLINK("https://pld.live/RapDetail.aspx?STONELIST=925080501","DNA")</f>
        <v>DNA</v>
      </c>
      <c r="D3116" s="18" t="s">
        <v>2990</v>
      </c>
      <c r="E3116" s="18" t="s">
        <v>5128</v>
      </c>
      <c r="F3116" s="2" t="s">
        <v>7987</v>
      </c>
      <c r="G3116" s="2" t="s">
        <v>3296</v>
      </c>
      <c r="H3116" s="14">
        <v>0.94</v>
      </c>
      <c r="I3116" s="2" t="s">
        <v>4761</v>
      </c>
      <c r="J3116" s="2" t="s">
        <v>5144</v>
      </c>
      <c r="K3116" s="2" t="s">
        <v>1452</v>
      </c>
      <c r="L3116" s="2" t="s">
        <v>5221</v>
      </c>
      <c r="M3116" s="2" t="s">
        <v>5221</v>
      </c>
      <c r="N3116" s="2" t="s">
        <v>2317</v>
      </c>
      <c r="O3116" s="14">
        <v>4200</v>
      </c>
      <c r="P3116" s="14">
        <v>97.45</v>
      </c>
      <c r="Q3116" s="14">
        <v>107.1</v>
      </c>
      <c r="R3116" s="14">
        <v>100.67</v>
      </c>
      <c r="S3116" s="2" t="s">
        <v>6438</v>
      </c>
      <c r="T3116" s="2">
        <v>1.04</v>
      </c>
      <c r="U3116" s="2">
        <v>66</v>
      </c>
      <c r="V3116" s="2">
        <v>60</v>
      </c>
      <c r="W3116" s="2" t="s">
        <v>7862</v>
      </c>
      <c r="X3116" s="2" t="s">
        <v>7670</v>
      </c>
      <c r="Y3116" s="2">
        <v>3948</v>
      </c>
      <c r="Z3116" s="19" t="str">
        <f>HYPERLINK("https://ssdweb.co/ssdweb/hd/Vision360.html?d=925080501&amp;zoomslide=1&amp;z=1925080501&amp;ISCONFIRM=0","VIDEO")</f>
        <v>VIDEO</v>
      </c>
      <c r="AA3116" s="19" t="str">
        <f>HYPERLINK("https://ssdweb.co/ssdweb/CERTH/613350204.pdf","CERTI")</f>
        <v>CERTI</v>
      </c>
    </row>
    <row r="3117" spans="1:27" ht="15" x14ac:dyDescent="0.25">
      <c r="A3117" s="2">
        <v>3112</v>
      </c>
      <c r="B3117" s="39">
        <v>925791415</v>
      </c>
      <c r="C3117" s="28" t="str">
        <f>HYPERLINK("https://pld.live/RapDetail.aspx?STONELIST=925791415","DNA")</f>
        <v>DNA</v>
      </c>
      <c r="D3117" s="18" t="s">
        <v>2990</v>
      </c>
      <c r="E3117" s="18" t="s">
        <v>5128</v>
      </c>
      <c r="F3117" s="2" t="s">
        <v>7987</v>
      </c>
      <c r="G3117" s="2" t="s">
        <v>3296</v>
      </c>
      <c r="H3117" s="14">
        <v>0.93</v>
      </c>
      <c r="I3117" s="2" t="s">
        <v>267</v>
      </c>
      <c r="J3117" s="2" t="s">
        <v>3942</v>
      </c>
      <c r="K3117" s="2" t="s">
        <v>1452</v>
      </c>
      <c r="L3117" s="2" t="s">
        <v>5221</v>
      </c>
      <c r="M3117" s="2" t="s">
        <v>5221</v>
      </c>
      <c r="N3117" s="2" t="s">
        <v>2317</v>
      </c>
      <c r="O3117" s="14">
        <v>5600</v>
      </c>
      <c r="P3117" s="14">
        <v>97.96</v>
      </c>
      <c r="Q3117" s="14">
        <v>114.24</v>
      </c>
      <c r="R3117" s="14">
        <v>106.24</v>
      </c>
      <c r="S3117" s="2" t="s">
        <v>6475</v>
      </c>
      <c r="T3117" s="2">
        <v>1.02</v>
      </c>
      <c r="U3117" s="2">
        <v>64.8</v>
      </c>
      <c r="V3117" s="2">
        <v>61</v>
      </c>
      <c r="W3117" s="2" t="s">
        <v>7862</v>
      </c>
      <c r="X3117" s="2" t="s">
        <v>7670</v>
      </c>
      <c r="Y3117" s="2">
        <v>5208</v>
      </c>
      <c r="Z3117" s="19" t="str">
        <f>HYPERLINK("https://ssdweb.co/ssdweb/hd/Vision360.html?d=925791415&amp;zoomslide=1&amp;z=1925791415&amp;ISCONFIRM=0","VIDEO")</f>
        <v>VIDEO</v>
      </c>
      <c r="AA3117" s="19" t="str">
        <f>HYPERLINK("https://ssdweb.co/ssdweb/CERTH/627431664.pdf","CERTI")</f>
        <v>CERTI</v>
      </c>
    </row>
    <row r="3118" spans="1:27" ht="15" x14ac:dyDescent="0.25">
      <c r="A3118" s="2">
        <v>3113</v>
      </c>
      <c r="B3118" s="39">
        <v>923990430</v>
      </c>
      <c r="C3118" s="28" t="str">
        <f>HYPERLINK("https://pld.live/RapDetail.aspx?STONELIST=923990430","DNA")</f>
        <v>DNA</v>
      </c>
      <c r="D3118" s="18" t="s">
        <v>2990</v>
      </c>
      <c r="E3118" s="18" t="s">
        <v>5128</v>
      </c>
      <c r="F3118" s="2" t="s">
        <v>7987</v>
      </c>
      <c r="G3118" s="2" t="s">
        <v>3296</v>
      </c>
      <c r="H3118" s="14">
        <v>0.93</v>
      </c>
      <c r="I3118" s="2" t="s">
        <v>267</v>
      </c>
      <c r="J3118" s="2" t="s">
        <v>3942</v>
      </c>
      <c r="K3118" s="2" t="s">
        <v>1452</v>
      </c>
      <c r="L3118" s="2" t="s">
        <v>5221</v>
      </c>
      <c r="M3118" s="2" t="s">
        <v>5221</v>
      </c>
      <c r="N3118" s="2" t="s">
        <v>2317</v>
      </c>
      <c r="O3118" s="14">
        <v>5600</v>
      </c>
      <c r="P3118" s="14">
        <v>97.96</v>
      </c>
      <c r="Q3118" s="14">
        <v>114.24</v>
      </c>
      <c r="R3118" s="14">
        <v>106.24</v>
      </c>
      <c r="S3118" s="2" t="s">
        <v>1613</v>
      </c>
      <c r="T3118" s="2">
        <v>1.05</v>
      </c>
      <c r="U3118" s="2">
        <v>65.2</v>
      </c>
      <c r="V3118" s="2">
        <v>59.5</v>
      </c>
      <c r="W3118" s="2" t="s">
        <v>7862</v>
      </c>
      <c r="X3118" s="2" t="s">
        <v>7670</v>
      </c>
      <c r="Y3118" s="2">
        <v>5208</v>
      </c>
      <c r="Z3118" s="19" t="str">
        <f>HYPERLINK("https://ssdweb.co/ssdweb/hd/Vision360.html?d=923990430&amp;zoomslide=1&amp;z=1923990430&amp;ISCONFIRM=0","VIDEO")</f>
        <v>VIDEO</v>
      </c>
      <c r="AA3118" s="19" t="str">
        <f>HYPERLINK("https://ssdweb.co/ssdweb/CERTH/572338288.pdf","CERTI")</f>
        <v>CERTI</v>
      </c>
    </row>
    <row r="3119" spans="1:27" ht="15" x14ac:dyDescent="0.25">
      <c r="A3119" s="2">
        <v>3114</v>
      </c>
      <c r="B3119" s="39">
        <v>926210952</v>
      </c>
      <c r="C3119" s="28" t="str">
        <f>HYPERLINK("https://pld.live/RapDetail.aspx?STONELIST=926210952","DNA")</f>
        <v>DNA</v>
      </c>
      <c r="D3119" s="18" t="s">
        <v>2990</v>
      </c>
      <c r="E3119" s="18" t="s">
        <v>5128</v>
      </c>
      <c r="F3119" s="2" t="s">
        <v>7987</v>
      </c>
      <c r="G3119" s="2" t="s">
        <v>3296</v>
      </c>
      <c r="H3119" s="14">
        <v>0.93</v>
      </c>
      <c r="I3119" s="2" t="s">
        <v>267</v>
      </c>
      <c r="J3119" s="2" t="s">
        <v>3942</v>
      </c>
      <c r="K3119" s="2" t="s">
        <v>1452</v>
      </c>
      <c r="L3119" s="2" t="s">
        <v>5221</v>
      </c>
      <c r="M3119" s="2" t="s">
        <v>5221</v>
      </c>
      <c r="N3119" s="2" t="s">
        <v>2317</v>
      </c>
      <c r="O3119" s="14">
        <v>5600</v>
      </c>
      <c r="P3119" s="14">
        <v>97.93</v>
      </c>
      <c r="Q3119" s="14">
        <v>115.92</v>
      </c>
      <c r="R3119" s="14">
        <v>107.81</v>
      </c>
      <c r="S3119" s="2" t="s">
        <v>7971</v>
      </c>
      <c r="T3119" s="2">
        <v>1.04</v>
      </c>
      <c r="U3119" s="2">
        <v>64.599999999999994</v>
      </c>
      <c r="V3119" s="2">
        <v>60</v>
      </c>
      <c r="W3119" s="2" t="s">
        <v>7862</v>
      </c>
      <c r="X3119" s="2" t="s">
        <v>7670</v>
      </c>
      <c r="Y3119" s="2">
        <v>5208</v>
      </c>
      <c r="Z3119" s="19" t="str">
        <f>HYPERLINK("https://ssdweb.co/ssdweb/hd/Vision360.html?d=926210952&amp;zoomslide=1&amp;z=1926210952&amp;ISCONFIRM=0","VIDEO")</f>
        <v>VIDEO</v>
      </c>
      <c r="AA3119" s="19" t="str">
        <f>HYPERLINK("https://ssdweb.co/ssdweb/CERTH/635423823.pdf","CERTI")</f>
        <v>CERTI</v>
      </c>
    </row>
    <row r="3120" spans="1:27" ht="15" x14ac:dyDescent="0.25">
      <c r="A3120" s="2">
        <v>3115</v>
      </c>
      <c r="B3120" s="39">
        <v>926210614</v>
      </c>
      <c r="C3120" s="28" t="str">
        <f>HYPERLINK("https://pld.live/RapDetail.aspx?STONELIST=926210614","DNA")</f>
        <v>DNA</v>
      </c>
      <c r="D3120" s="18" t="s">
        <v>2990</v>
      </c>
      <c r="E3120" s="18" t="s">
        <v>5128</v>
      </c>
      <c r="F3120" s="2" t="s">
        <v>7987</v>
      </c>
      <c r="G3120" s="2" t="s">
        <v>3296</v>
      </c>
      <c r="H3120" s="14">
        <v>0.93</v>
      </c>
      <c r="I3120" s="2" t="s">
        <v>267</v>
      </c>
      <c r="J3120" s="2" t="s">
        <v>3942</v>
      </c>
      <c r="K3120" s="2" t="s">
        <v>1452</v>
      </c>
      <c r="L3120" s="2" t="s">
        <v>5221</v>
      </c>
      <c r="M3120" s="2" t="s">
        <v>5221</v>
      </c>
      <c r="N3120" s="2" t="s">
        <v>2317</v>
      </c>
      <c r="O3120" s="14">
        <v>5600</v>
      </c>
      <c r="P3120" s="14">
        <v>97.93</v>
      </c>
      <c r="Q3120" s="14">
        <v>115.92</v>
      </c>
      <c r="R3120" s="14">
        <v>107.81</v>
      </c>
      <c r="S3120" s="2" t="s">
        <v>5925</v>
      </c>
      <c r="T3120" s="2">
        <v>1.04</v>
      </c>
      <c r="U3120" s="2">
        <v>67.900000000000006</v>
      </c>
      <c r="V3120" s="2">
        <v>61</v>
      </c>
      <c r="W3120" s="2" t="s">
        <v>7862</v>
      </c>
      <c r="X3120" s="2" t="s">
        <v>7670</v>
      </c>
      <c r="Y3120" s="2">
        <v>5208</v>
      </c>
      <c r="Z3120" s="19" t="str">
        <f>HYPERLINK("https://ssdweb.co/ssdweb/hd/Vision360.html?d=926210614&amp;zoomslide=1&amp;z=1926210614&amp;ISCONFIRM=0","VIDEO")</f>
        <v>VIDEO</v>
      </c>
      <c r="AA3120" s="19" t="str">
        <f>HYPERLINK("https://ssdweb.co/ssdweb/CERTH/635423812.pdf","CERTI")</f>
        <v>CERTI</v>
      </c>
    </row>
    <row r="3121" spans="1:27" ht="15" x14ac:dyDescent="0.25">
      <c r="A3121" s="2">
        <v>3116</v>
      </c>
      <c r="B3121" s="39">
        <v>925791447</v>
      </c>
      <c r="C3121" s="28" t="str">
        <f>HYPERLINK("https://pld.live/RapDetail.aspx?STONELIST=925791447","DNA")</f>
        <v>DNA</v>
      </c>
      <c r="D3121" s="18" t="s">
        <v>2990</v>
      </c>
      <c r="E3121" s="18" t="s">
        <v>5128</v>
      </c>
      <c r="F3121" s="2" t="s">
        <v>7987</v>
      </c>
      <c r="G3121" s="2" t="s">
        <v>3296</v>
      </c>
      <c r="H3121" s="14">
        <v>0.93</v>
      </c>
      <c r="I3121" s="2" t="s">
        <v>267</v>
      </c>
      <c r="J3121" s="2" t="s">
        <v>13</v>
      </c>
      <c r="K3121" s="2" t="s">
        <v>1452</v>
      </c>
      <c r="L3121" s="2" t="s">
        <v>5221</v>
      </c>
      <c r="M3121" s="2" t="s">
        <v>5221</v>
      </c>
      <c r="N3121" s="2" t="s">
        <v>2317</v>
      </c>
      <c r="O3121" s="14">
        <v>5200</v>
      </c>
      <c r="P3121" s="14">
        <v>97.81</v>
      </c>
      <c r="Q3121" s="14">
        <v>113.88</v>
      </c>
      <c r="R3121" s="14">
        <v>105.91</v>
      </c>
      <c r="S3121" s="2" t="s">
        <v>869</v>
      </c>
      <c r="T3121" s="2">
        <v>1.01</v>
      </c>
      <c r="U3121" s="2">
        <v>65.099999999999994</v>
      </c>
      <c r="V3121" s="2">
        <v>64</v>
      </c>
      <c r="W3121" s="2" t="s">
        <v>7862</v>
      </c>
      <c r="X3121" s="2" t="s">
        <v>7670</v>
      </c>
      <c r="Y3121" s="2">
        <v>4836</v>
      </c>
      <c r="Z3121" s="19" t="str">
        <f>HYPERLINK("https://ssdweb.co/ssdweb/hd/Vision360.html?d=925791447&amp;zoomslide=1&amp;z=1925791447&amp;ISCONFIRM=0","VIDEO")</f>
        <v>VIDEO</v>
      </c>
      <c r="AA3121" s="19" t="str">
        <f>HYPERLINK("https://ssdweb.co/ssdweb/CERTH/629435534.pdf","CERTI")</f>
        <v>CERTI</v>
      </c>
    </row>
    <row r="3122" spans="1:27" ht="15" x14ac:dyDescent="0.25">
      <c r="A3122" s="2">
        <v>3117</v>
      </c>
      <c r="B3122" s="39">
        <v>925220257</v>
      </c>
      <c r="C3122" s="28" t="str">
        <f>HYPERLINK("https://pld.live/RapDetail.aspx?STONELIST=925220257","DNA")</f>
        <v>DNA</v>
      </c>
      <c r="D3122" s="18" t="s">
        <v>2990</v>
      </c>
      <c r="E3122" s="18" t="s">
        <v>5128</v>
      </c>
      <c r="F3122" s="2" t="s">
        <v>7987</v>
      </c>
      <c r="G3122" s="2" t="s">
        <v>3296</v>
      </c>
      <c r="H3122" s="14">
        <v>0.93</v>
      </c>
      <c r="I3122" s="2" t="s">
        <v>267</v>
      </c>
      <c r="J3122" s="2" t="s">
        <v>13</v>
      </c>
      <c r="K3122" s="2" t="s">
        <v>1452</v>
      </c>
      <c r="L3122" s="2" t="s">
        <v>5221</v>
      </c>
      <c r="M3122" s="2" t="s">
        <v>5221</v>
      </c>
      <c r="N3122" s="2" t="s">
        <v>2317</v>
      </c>
      <c r="O3122" s="14">
        <v>5200</v>
      </c>
      <c r="P3122" s="14">
        <v>97.85</v>
      </c>
      <c r="Q3122" s="14">
        <v>111.8</v>
      </c>
      <c r="R3122" s="14">
        <v>103.97</v>
      </c>
      <c r="S3122" s="2" t="s">
        <v>53</v>
      </c>
      <c r="T3122" s="2">
        <v>1.05</v>
      </c>
      <c r="U3122" s="2">
        <v>67.400000000000006</v>
      </c>
      <c r="V3122" s="2">
        <v>60</v>
      </c>
      <c r="W3122" s="2" t="s">
        <v>7862</v>
      </c>
      <c r="X3122" s="2" t="s">
        <v>7670</v>
      </c>
      <c r="Y3122" s="2">
        <v>4836</v>
      </c>
      <c r="Z3122" s="19" t="str">
        <f>HYPERLINK("https://ssdweb.co/ssdweb/hd/Vision360.html?d=925220257&amp;zoomslide=1&amp;z=1925220257&amp;ISCONFIRM=0","VIDEO")</f>
        <v>VIDEO</v>
      </c>
      <c r="AA3122" s="19" t="str">
        <f>HYPERLINK("https://ssdweb.co/ssdweb/CERTH/619469592.pdf","CERTI")</f>
        <v>CERTI</v>
      </c>
    </row>
    <row r="3123" spans="1:27" ht="15" x14ac:dyDescent="0.25">
      <c r="A3123" s="2">
        <v>3118</v>
      </c>
      <c r="B3123" s="39">
        <v>924900093</v>
      </c>
      <c r="C3123" s="28" t="str">
        <f>HYPERLINK("https://pld.live/RapDetail.aspx?STONELIST=924900093","DNA")</f>
        <v>DNA</v>
      </c>
      <c r="D3123" s="18" t="s">
        <v>2990</v>
      </c>
      <c r="E3123" s="18" t="s">
        <v>5128</v>
      </c>
      <c r="F3123" s="2" t="s">
        <v>7987</v>
      </c>
      <c r="G3123" s="2" t="s">
        <v>3296</v>
      </c>
      <c r="H3123" s="14">
        <v>0.93</v>
      </c>
      <c r="I3123" s="2" t="s">
        <v>4761</v>
      </c>
      <c r="J3123" s="2" t="s">
        <v>6555</v>
      </c>
      <c r="K3123" s="2" t="s">
        <v>1452</v>
      </c>
      <c r="L3123" s="2" t="s">
        <v>5221</v>
      </c>
      <c r="M3123" s="2" t="s">
        <v>5221</v>
      </c>
      <c r="N3123" s="2" t="s">
        <v>2317</v>
      </c>
      <c r="O3123" s="14">
        <v>5700</v>
      </c>
      <c r="P3123" s="14">
        <v>97.75</v>
      </c>
      <c r="Q3123" s="14">
        <v>128.25</v>
      </c>
      <c r="R3123" s="14">
        <v>119.27</v>
      </c>
      <c r="S3123" s="2" t="s">
        <v>2511</v>
      </c>
      <c r="T3123" s="2">
        <v>1.05</v>
      </c>
      <c r="U3123" s="2">
        <v>65.900000000000006</v>
      </c>
      <c r="V3123" s="2">
        <v>61</v>
      </c>
      <c r="W3123" s="2" t="s">
        <v>7862</v>
      </c>
      <c r="X3123" s="2" t="s">
        <v>3851</v>
      </c>
      <c r="Y3123" s="2">
        <v>5301</v>
      </c>
      <c r="Z3123" s="19" t="str">
        <f>HYPERLINK("https://ssdweb.co/ssdweb/hd/Vision360.html?d=924900093&amp;zoomslide=1&amp;z=1924900093&amp;ISCONFIRM=0","VIDEO")</f>
        <v>VIDEO</v>
      </c>
      <c r="AA3123" s="19" t="str">
        <f>HYPERLINK("https://ssdweb.co/ssdweb/CERTH/601323296.pdf","CERTI")</f>
        <v>CERTI</v>
      </c>
    </row>
    <row r="3124" spans="1:27" ht="15" x14ac:dyDescent="0.25">
      <c r="A3124" s="2">
        <v>3119</v>
      </c>
      <c r="B3124" s="39">
        <v>926210611</v>
      </c>
      <c r="C3124" s="28" t="str">
        <f>HYPERLINK("https://pld.live/RapDetail.aspx?STONELIST=926210611","DNA")</f>
        <v>DNA</v>
      </c>
      <c r="D3124" s="18" t="s">
        <v>2990</v>
      </c>
      <c r="E3124" s="18" t="s">
        <v>5128</v>
      </c>
      <c r="F3124" s="2" t="s">
        <v>7987</v>
      </c>
      <c r="G3124" s="2" t="s">
        <v>3296</v>
      </c>
      <c r="H3124" s="14">
        <v>0.93</v>
      </c>
      <c r="I3124" s="2" t="s">
        <v>4761</v>
      </c>
      <c r="J3124" s="2" t="s">
        <v>6555</v>
      </c>
      <c r="K3124" s="2" t="s">
        <v>1452</v>
      </c>
      <c r="L3124" s="2" t="s">
        <v>5221</v>
      </c>
      <c r="M3124" s="2" t="s">
        <v>5221</v>
      </c>
      <c r="N3124" s="2" t="s">
        <v>2317</v>
      </c>
      <c r="O3124" s="14">
        <v>5700</v>
      </c>
      <c r="P3124" s="14">
        <v>97.72</v>
      </c>
      <c r="Q3124" s="14">
        <v>129.96</v>
      </c>
      <c r="R3124" s="14">
        <v>120.86</v>
      </c>
      <c r="S3124" s="2" t="s">
        <v>2070</v>
      </c>
      <c r="T3124" s="2">
        <v>1</v>
      </c>
      <c r="U3124" s="2">
        <v>65.599999999999994</v>
      </c>
      <c r="V3124" s="2">
        <v>60</v>
      </c>
      <c r="W3124" s="2" t="s">
        <v>7862</v>
      </c>
      <c r="X3124" s="2" t="s">
        <v>7670</v>
      </c>
      <c r="Y3124" s="2">
        <v>5301</v>
      </c>
      <c r="Z3124" s="19" t="str">
        <f>HYPERLINK("https://ssdweb.co/ssdweb/hd/Vision360.html?d=926210611&amp;zoomslide=1&amp;z=1926210611&amp;ISCONFIRM=0","VIDEO")</f>
        <v>VIDEO</v>
      </c>
      <c r="AA3124" s="19" t="str">
        <f>HYPERLINK("https://ssdweb.co/ssdweb/CERTH/635427128.pdf","CERTI")</f>
        <v>CERTI</v>
      </c>
    </row>
    <row r="3125" spans="1:27" ht="15" x14ac:dyDescent="0.25">
      <c r="A3125" s="2">
        <v>3120</v>
      </c>
      <c r="B3125" s="39">
        <v>923920434</v>
      </c>
      <c r="C3125" s="28" t="str">
        <f>HYPERLINK("https://pld.live/RapDetail.aspx?STONELIST=923920434","DNA")</f>
        <v>DNA</v>
      </c>
      <c r="D3125" s="18" t="s">
        <v>2990</v>
      </c>
      <c r="E3125" s="18" t="s">
        <v>5128</v>
      </c>
      <c r="F3125" s="2" t="s">
        <v>7987</v>
      </c>
      <c r="G3125" s="2" t="s">
        <v>3296</v>
      </c>
      <c r="H3125" s="14">
        <v>0.93</v>
      </c>
      <c r="I3125" s="2" t="s">
        <v>4761</v>
      </c>
      <c r="J3125" s="2" t="s">
        <v>3942</v>
      </c>
      <c r="K3125" s="2" t="s">
        <v>1452</v>
      </c>
      <c r="L3125" s="2" t="s">
        <v>5221</v>
      </c>
      <c r="M3125" s="2" t="s">
        <v>5221</v>
      </c>
      <c r="N3125" s="2" t="s">
        <v>2317</v>
      </c>
      <c r="O3125" s="14">
        <v>5200</v>
      </c>
      <c r="P3125" s="14">
        <v>97.85</v>
      </c>
      <c r="Q3125" s="14">
        <v>111.8</v>
      </c>
      <c r="R3125" s="14">
        <v>103.97</v>
      </c>
      <c r="S3125" s="2" t="s">
        <v>2299</v>
      </c>
      <c r="T3125" s="2">
        <v>1.05</v>
      </c>
      <c r="U3125" s="2">
        <v>65.2</v>
      </c>
      <c r="V3125" s="2">
        <v>60.5</v>
      </c>
      <c r="W3125" s="2" t="s">
        <v>7862</v>
      </c>
      <c r="X3125" s="2" t="s">
        <v>7670</v>
      </c>
      <c r="Y3125" s="2">
        <v>4836</v>
      </c>
      <c r="Z3125" s="19" t="str">
        <f>HYPERLINK("https://ssdweb.co/ssdweb/hd/Vision360.html?d=923920434&amp;zoomslide=1&amp;z=1923920434&amp;ISCONFIRM=0","VIDEO")</f>
        <v>VIDEO</v>
      </c>
      <c r="AA3125" s="19" t="str">
        <f>HYPERLINK("https://ssdweb.co/ssdweb/CERTH/571303093.pdf","CERTI")</f>
        <v>CERTI</v>
      </c>
    </row>
    <row r="3126" spans="1:27" ht="15" x14ac:dyDescent="0.25">
      <c r="A3126" s="2">
        <v>3121</v>
      </c>
      <c r="B3126" s="39">
        <v>925220258</v>
      </c>
      <c r="C3126" s="28" t="str">
        <f>HYPERLINK("https://pld.live/RapDetail.aspx?STONELIST=925220258","DNA")</f>
        <v>DNA</v>
      </c>
      <c r="D3126" s="18" t="s">
        <v>2990</v>
      </c>
      <c r="E3126" s="18" t="s">
        <v>5128</v>
      </c>
      <c r="F3126" s="2" t="s">
        <v>7987</v>
      </c>
      <c r="G3126" s="2" t="s">
        <v>3296</v>
      </c>
      <c r="H3126" s="14">
        <v>0.93</v>
      </c>
      <c r="I3126" s="2" t="s">
        <v>4761</v>
      </c>
      <c r="J3126" s="2" t="s">
        <v>3942</v>
      </c>
      <c r="K3126" s="2" t="s">
        <v>1452</v>
      </c>
      <c r="L3126" s="2" t="s">
        <v>5221</v>
      </c>
      <c r="M3126" s="2" t="s">
        <v>5221</v>
      </c>
      <c r="N3126" s="2" t="s">
        <v>2317</v>
      </c>
      <c r="O3126" s="14">
        <v>5200</v>
      </c>
      <c r="P3126" s="14">
        <v>97.85</v>
      </c>
      <c r="Q3126" s="14">
        <v>111.8</v>
      </c>
      <c r="R3126" s="14">
        <v>103.97</v>
      </c>
      <c r="S3126" s="2" t="s">
        <v>1699</v>
      </c>
      <c r="T3126" s="2">
        <v>1.01</v>
      </c>
      <c r="U3126" s="2">
        <v>64.3</v>
      </c>
      <c r="V3126" s="2">
        <v>60</v>
      </c>
      <c r="W3126" s="2" t="s">
        <v>7862</v>
      </c>
      <c r="X3126" s="2" t="s">
        <v>7670</v>
      </c>
      <c r="Y3126" s="2">
        <v>4836</v>
      </c>
      <c r="Z3126" s="19" t="str">
        <f>HYPERLINK("https://ssdweb.co/ssdweb/hd/Vision360.html?d=925220258&amp;zoomslide=1&amp;z=1925220258&amp;ISCONFIRM=0","VIDEO")</f>
        <v>VIDEO</v>
      </c>
      <c r="AA3126" s="19" t="str">
        <f>HYPERLINK("https://ssdweb.co/ssdweb/CERTH/620448832.pdf","CERTI")</f>
        <v>CERTI</v>
      </c>
    </row>
    <row r="3127" spans="1:27" ht="15" x14ac:dyDescent="0.25">
      <c r="A3127" s="2">
        <v>3122</v>
      </c>
      <c r="B3127" s="39">
        <v>924180378</v>
      </c>
      <c r="C3127" s="28" t="str">
        <f>HYPERLINK("https://pld.live/RapDetail.aspx?STONELIST=924180378","DNA")</f>
        <v>DNA</v>
      </c>
      <c r="D3127" s="18" t="s">
        <v>2990</v>
      </c>
      <c r="E3127" s="18" t="s">
        <v>5128</v>
      </c>
      <c r="F3127" s="2" t="s">
        <v>7987</v>
      </c>
      <c r="G3127" s="2" t="s">
        <v>3296</v>
      </c>
      <c r="H3127" s="14">
        <v>0.92</v>
      </c>
      <c r="I3127" s="2" t="s">
        <v>267</v>
      </c>
      <c r="J3127" s="2" t="s">
        <v>6555</v>
      </c>
      <c r="K3127" s="2" t="s">
        <v>1452</v>
      </c>
      <c r="L3127" s="2" t="s">
        <v>5221</v>
      </c>
      <c r="M3127" s="2" t="s">
        <v>5221</v>
      </c>
      <c r="N3127" s="2" t="s">
        <v>2317</v>
      </c>
      <c r="O3127" s="14">
        <v>6300</v>
      </c>
      <c r="P3127" s="14">
        <v>97.75</v>
      </c>
      <c r="Q3127" s="14">
        <v>141.75</v>
      </c>
      <c r="R3127" s="14">
        <v>130.41</v>
      </c>
      <c r="S3127" s="2" t="s">
        <v>4279</v>
      </c>
      <c r="T3127" s="2">
        <v>1.05</v>
      </c>
      <c r="U3127" s="2">
        <v>63.1</v>
      </c>
      <c r="V3127" s="2">
        <v>60</v>
      </c>
      <c r="W3127" s="2" t="s">
        <v>7862</v>
      </c>
      <c r="X3127" s="2" t="s">
        <v>7670</v>
      </c>
      <c r="Y3127" s="2">
        <v>5796</v>
      </c>
      <c r="Z3127" s="19" t="str">
        <f>HYPERLINK("https://ssdweb.co/ssdweb/hd/Vision360.html?d=924180378&amp;zoomslide=1&amp;z=1924180378&amp;ISCONFIRM=0","VIDEO")</f>
        <v>VIDEO</v>
      </c>
      <c r="AA3127" s="19" t="str">
        <f>HYPERLINK("https://ssdweb.co/ssdweb/CERTH/578324500.pdf","CERTI")</f>
        <v>CERTI</v>
      </c>
    </row>
    <row r="3128" spans="1:27" ht="15" x14ac:dyDescent="0.25">
      <c r="A3128" s="2">
        <v>3123</v>
      </c>
      <c r="B3128" s="39">
        <v>924960362</v>
      </c>
      <c r="C3128" s="28" t="str">
        <f>HYPERLINK("https://pld.live/RapDetail.aspx?STONELIST=924960362","DNA")</f>
        <v>DNA</v>
      </c>
      <c r="D3128" s="18" t="s">
        <v>2990</v>
      </c>
      <c r="E3128" s="18" t="s">
        <v>5128</v>
      </c>
      <c r="F3128" s="2" t="s">
        <v>7987</v>
      </c>
      <c r="G3128" s="2" t="s">
        <v>3296</v>
      </c>
      <c r="H3128" s="14">
        <v>0.92</v>
      </c>
      <c r="I3128" s="2" t="s">
        <v>267</v>
      </c>
      <c r="J3128" s="2" t="s">
        <v>6555</v>
      </c>
      <c r="K3128" s="2" t="s">
        <v>1452</v>
      </c>
      <c r="L3128" s="2" t="s">
        <v>5221</v>
      </c>
      <c r="M3128" s="2" t="s">
        <v>5221</v>
      </c>
      <c r="N3128" s="2" t="s">
        <v>2317</v>
      </c>
      <c r="O3128" s="14">
        <v>6300</v>
      </c>
      <c r="P3128" s="14">
        <v>97.75</v>
      </c>
      <c r="Q3128" s="14">
        <v>141.75</v>
      </c>
      <c r="R3128" s="14">
        <v>130.41</v>
      </c>
      <c r="S3128" s="2" t="s">
        <v>4789</v>
      </c>
      <c r="T3128" s="2">
        <v>1.03</v>
      </c>
      <c r="U3128" s="2">
        <v>69</v>
      </c>
      <c r="V3128" s="2">
        <v>63</v>
      </c>
      <c r="W3128" s="2" t="s">
        <v>7862</v>
      </c>
      <c r="X3128" s="2" t="s">
        <v>7670</v>
      </c>
      <c r="Y3128" s="2">
        <v>5796</v>
      </c>
      <c r="Z3128" s="19" t="str">
        <f>HYPERLINK("https://ssdweb.co/ssdweb/hd/Vision360.html?d=924960362&amp;zoomslide=1&amp;z=1924960362&amp;ISCONFIRM=0","VIDEO")</f>
        <v>VIDEO</v>
      </c>
      <c r="AA3128" s="19" t="str">
        <f>HYPERLINK("https://ssdweb.co/ssdweb/CERTH/606329905.pdf","CERTI")</f>
        <v>CERTI</v>
      </c>
    </row>
    <row r="3129" spans="1:27" ht="15" x14ac:dyDescent="0.25">
      <c r="A3129" s="2">
        <v>3124</v>
      </c>
      <c r="B3129" s="39">
        <v>926210833</v>
      </c>
      <c r="C3129" s="28" t="str">
        <f>HYPERLINK("https://pld.live/RapDetail.aspx?STONELIST=926210833","DNA")</f>
        <v>DNA</v>
      </c>
      <c r="D3129" s="18" t="s">
        <v>2990</v>
      </c>
      <c r="E3129" s="18" t="s">
        <v>5128</v>
      </c>
      <c r="F3129" s="2" t="s">
        <v>7987</v>
      </c>
      <c r="G3129" s="2" t="s">
        <v>3296</v>
      </c>
      <c r="H3129" s="14">
        <v>0.92</v>
      </c>
      <c r="I3129" s="2" t="s">
        <v>267</v>
      </c>
      <c r="J3129" s="2" t="s">
        <v>6555</v>
      </c>
      <c r="K3129" s="2" t="s">
        <v>1452</v>
      </c>
      <c r="L3129" s="2" t="s">
        <v>5221</v>
      </c>
      <c r="M3129" s="2" t="s">
        <v>5221</v>
      </c>
      <c r="N3129" s="2" t="s">
        <v>2317</v>
      </c>
      <c r="O3129" s="14">
        <v>6300</v>
      </c>
      <c r="P3129" s="14">
        <v>97.71</v>
      </c>
      <c r="Q3129" s="14">
        <v>144.27000000000001</v>
      </c>
      <c r="R3129" s="14">
        <v>132.72999999999999</v>
      </c>
      <c r="S3129" s="2" t="s">
        <v>1799</v>
      </c>
      <c r="T3129" s="2">
        <v>1.05</v>
      </c>
      <c r="U3129" s="2">
        <v>67.3</v>
      </c>
      <c r="V3129" s="2">
        <v>59</v>
      </c>
      <c r="W3129" s="2" t="s">
        <v>7862</v>
      </c>
      <c r="X3129" s="2" t="s">
        <v>7670</v>
      </c>
      <c r="Y3129" s="2">
        <v>5796</v>
      </c>
      <c r="Z3129" s="19" t="str">
        <f>HYPERLINK("https://ssdweb.co/ssdweb/hd/Vision360.html?d=926210833&amp;zoomslide=1&amp;z=1926210833&amp;ISCONFIRM=0","VIDEO")</f>
        <v>VIDEO</v>
      </c>
      <c r="AA3129" s="19" t="str">
        <f>HYPERLINK("https://ssdweb.co/ssdweb/CERTH/635427146.pdf","CERTI")</f>
        <v>CERTI</v>
      </c>
    </row>
    <row r="3130" spans="1:27" ht="15" x14ac:dyDescent="0.25">
      <c r="A3130" s="2">
        <v>3125</v>
      </c>
      <c r="B3130" s="39">
        <v>925030397</v>
      </c>
      <c r="C3130" s="28" t="str">
        <f>HYPERLINK("https://pld.live/RapDetail.aspx?STONELIST=925030397","DNA")</f>
        <v>DNA</v>
      </c>
      <c r="D3130" s="18" t="s">
        <v>2990</v>
      </c>
      <c r="E3130" s="18" t="s">
        <v>5128</v>
      </c>
      <c r="F3130" s="2" t="s">
        <v>7987</v>
      </c>
      <c r="G3130" s="2" t="s">
        <v>3296</v>
      </c>
      <c r="H3130" s="14">
        <v>0.92</v>
      </c>
      <c r="I3130" s="2" t="s">
        <v>267</v>
      </c>
      <c r="J3130" s="2" t="s">
        <v>13</v>
      </c>
      <c r="K3130" s="2" t="s">
        <v>1452</v>
      </c>
      <c r="L3130" s="2" t="s">
        <v>5221</v>
      </c>
      <c r="M3130" s="2" t="s">
        <v>5221</v>
      </c>
      <c r="N3130" s="2" t="s">
        <v>2317</v>
      </c>
      <c r="O3130" s="14">
        <v>5200</v>
      </c>
      <c r="P3130" s="14">
        <v>97.85</v>
      </c>
      <c r="Q3130" s="14">
        <v>111.8</v>
      </c>
      <c r="R3130" s="14">
        <v>102.86</v>
      </c>
      <c r="S3130" s="2" t="s">
        <v>2197</v>
      </c>
      <c r="T3130" s="2">
        <v>1.07</v>
      </c>
      <c r="U3130" s="2">
        <v>62.3</v>
      </c>
      <c r="V3130" s="2">
        <v>57</v>
      </c>
      <c r="W3130" s="2" t="s">
        <v>7862</v>
      </c>
      <c r="X3130" s="2" t="s">
        <v>3851</v>
      </c>
      <c r="Y3130" s="2">
        <v>4784</v>
      </c>
      <c r="Z3130" s="19" t="str">
        <f>HYPERLINK("https://ssdweb.co/ssdweb/hd/Vision360.html?d=925030397&amp;zoomslide=1&amp;z=1925030397&amp;ISCONFIRM=0","VIDEO")</f>
        <v>VIDEO</v>
      </c>
      <c r="AA3130" s="19" t="str">
        <f>HYPERLINK("https://ssdweb.co/ssdweb/CERTH/613392427.pdf","CERTI")</f>
        <v>CERTI</v>
      </c>
    </row>
    <row r="3131" spans="1:27" ht="15" x14ac:dyDescent="0.25">
      <c r="A3131" s="2">
        <v>3126</v>
      </c>
      <c r="B3131" s="39">
        <v>926210828</v>
      </c>
      <c r="C3131" s="28" t="str">
        <f>HYPERLINK("https://pld.live/RapDetail.aspx?STONELIST=926210828","DNA")</f>
        <v>DNA</v>
      </c>
      <c r="D3131" s="18" t="s">
        <v>2990</v>
      </c>
      <c r="E3131" s="18" t="s">
        <v>5128</v>
      </c>
      <c r="F3131" s="2" t="s">
        <v>7987</v>
      </c>
      <c r="G3131" s="2" t="s">
        <v>3296</v>
      </c>
      <c r="H3131" s="14">
        <v>0.92</v>
      </c>
      <c r="I3131" s="2" t="s">
        <v>267</v>
      </c>
      <c r="J3131" s="2" t="s">
        <v>13</v>
      </c>
      <c r="K3131" s="2" t="s">
        <v>1452</v>
      </c>
      <c r="L3131" s="2" t="s">
        <v>5221</v>
      </c>
      <c r="M3131" s="2" t="s">
        <v>5221</v>
      </c>
      <c r="N3131" s="2" t="s">
        <v>2317</v>
      </c>
      <c r="O3131" s="14">
        <v>5200</v>
      </c>
      <c r="P3131" s="14">
        <v>97.81</v>
      </c>
      <c r="Q3131" s="14">
        <v>113.88</v>
      </c>
      <c r="R3131" s="14">
        <v>104.77</v>
      </c>
      <c r="S3131" s="2" t="s">
        <v>7007</v>
      </c>
      <c r="T3131" s="2">
        <v>1.05</v>
      </c>
      <c r="U3131" s="2">
        <v>66.8</v>
      </c>
      <c r="V3131" s="2">
        <v>61</v>
      </c>
      <c r="W3131" s="2" t="s">
        <v>7862</v>
      </c>
      <c r="X3131" s="2" t="s">
        <v>7670</v>
      </c>
      <c r="Y3131" s="2">
        <v>4784</v>
      </c>
      <c r="Z3131" s="19" t="str">
        <f>HYPERLINK("https://ssdweb.co/ssdweb/hd/Vision360.html?d=926210828&amp;zoomslide=1&amp;z=1926210828&amp;ISCONFIRM=0","VIDEO")</f>
        <v>VIDEO</v>
      </c>
      <c r="AA3131" s="19" t="str">
        <f>HYPERLINK("https://ssdweb.co/ssdweb/CERTH/635423798.pdf","CERTI")</f>
        <v>CERTI</v>
      </c>
    </row>
    <row r="3132" spans="1:27" ht="15" x14ac:dyDescent="0.25">
      <c r="A3132" s="2">
        <v>3127</v>
      </c>
      <c r="B3132" s="39">
        <v>925260306</v>
      </c>
      <c r="C3132" s="28" t="str">
        <f>HYPERLINK("https://pld.live/RapDetail.aspx?STONELIST=925260306","DNA")</f>
        <v>DNA</v>
      </c>
      <c r="D3132" s="18" t="s">
        <v>2990</v>
      </c>
      <c r="E3132" s="18" t="s">
        <v>5128</v>
      </c>
      <c r="F3132" s="2" t="s">
        <v>7987</v>
      </c>
      <c r="G3132" s="2" t="s">
        <v>3296</v>
      </c>
      <c r="H3132" s="14">
        <v>0.92</v>
      </c>
      <c r="I3132" s="2" t="s">
        <v>267</v>
      </c>
      <c r="J3132" s="2" t="s">
        <v>13</v>
      </c>
      <c r="K3132" s="2" t="s">
        <v>1452</v>
      </c>
      <c r="L3132" s="2" t="s">
        <v>5221</v>
      </c>
      <c r="M3132" s="2" t="s">
        <v>5221</v>
      </c>
      <c r="N3132" s="2" t="s">
        <v>2317</v>
      </c>
      <c r="O3132" s="14">
        <v>5200</v>
      </c>
      <c r="P3132" s="14">
        <v>97.85</v>
      </c>
      <c r="Q3132" s="14">
        <v>111.8</v>
      </c>
      <c r="R3132" s="14">
        <v>102.86</v>
      </c>
      <c r="S3132" s="2" t="s">
        <v>5048</v>
      </c>
      <c r="T3132" s="2">
        <v>1.05</v>
      </c>
      <c r="U3132" s="2">
        <v>67.400000000000006</v>
      </c>
      <c r="V3132" s="2">
        <v>60</v>
      </c>
      <c r="W3132" s="2" t="s">
        <v>7862</v>
      </c>
      <c r="X3132" s="2" t="s">
        <v>7670</v>
      </c>
      <c r="Y3132" s="2">
        <v>4784</v>
      </c>
      <c r="Z3132" s="19" t="str">
        <f>HYPERLINK("https://ssdweb.co/ssdweb/hd/Vision360.html?d=925260306&amp;zoomslide=1&amp;z=1925260306&amp;ISCONFIRM=0","VIDEO")</f>
        <v>VIDEO</v>
      </c>
      <c r="AA3132" s="19" t="str">
        <f>HYPERLINK("https://ssdweb.co/ssdweb/CERTH/620403105.pdf","CERTI")</f>
        <v>CERTI</v>
      </c>
    </row>
    <row r="3133" spans="1:27" ht="15" x14ac:dyDescent="0.25">
      <c r="A3133" s="2">
        <v>3128</v>
      </c>
      <c r="B3133" s="39">
        <v>923920338</v>
      </c>
      <c r="C3133" s="28" t="str">
        <f>HYPERLINK("https://pld.live/RapDetail.aspx?STONELIST=923920338","DNA")</f>
        <v>DNA</v>
      </c>
      <c r="D3133" s="18" t="s">
        <v>2990</v>
      </c>
      <c r="E3133" s="18" t="s">
        <v>5128</v>
      </c>
      <c r="F3133" s="2" t="s">
        <v>7987</v>
      </c>
      <c r="G3133" s="2" t="s">
        <v>3296</v>
      </c>
      <c r="H3133" s="14">
        <v>0.92</v>
      </c>
      <c r="I3133" s="2" t="s">
        <v>4761</v>
      </c>
      <c r="J3133" s="2" t="s">
        <v>3942</v>
      </c>
      <c r="K3133" s="2" t="s">
        <v>1452</v>
      </c>
      <c r="L3133" s="2" t="s">
        <v>5221</v>
      </c>
      <c r="M3133" s="2" t="s">
        <v>5221</v>
      </c>
      <c r="N3133" s="2" t="s">
        <v>2317</v>
      </c>
      <c r="O3133" s="14">
        <v>5200</v>
      </c>
      <c r="P3133" s="14">
        <v>97.85</v>
      </c>
      <c r="Q3133" s="14">
        <v>111.8</v>
      </c>
      <c r="R3133" s="14">
        <v>102.86</v>
      </c>
      <c r="S3133" s="2" t="s">
        <v>5322</v>
      </c>
      <c r="T3133" s="2">
        <v>1.04</v>
      </c>
      <c r="U3133" s="2">
        <v>64.5</v>
      </c>
      <c r="V3133" s="2">
        <v>60.5</v>
      </c>
      <c r="W3133" s="2" t="s">
        <v>7862</v>
      </c>
      <c r="X3133" s="2" t="s">
        <v>7670</v>
      </c>
      <c r="Y3133" s="2">
        <v>4784</v>
      </c>
      <c r="Z3133" s="19" t="str">
        <f>HYPERLINK("https://ssdweb.co/ssdweb/hd/Vision360.html?d=923920338&amp;zoomslide=1&amp;z=1923920338&amp;ISCONFIRM=0","VIDEO")</f>
        <v>VIDEO</v>
      </c>
      <c r="AA3133" s="19" t="str">
        <f>HYPERLINK("https://ssdweb.co/ssdweb/CERTH/569328765.pdf","CERTI")</f>
        <v>CERTI</v>
      </c>
    </row>
    <row r="3134" spans="1:27" ht="15" x14ac:dyDescent="0.25">
      <c r="A3134" s="2">
        <v>3129</v>
      </c>
      <c r="B3134" s="39">
        <v>926280601</v>
      </c>
      <c r="C3134" s="28" t="str">
        <f>HYPERLINK("https://pld.live/RapDetail.aspx?STONELIST=926280601","DNA")</f>
        <v>DNA</v>
      </c>
      <c r="D3134" s="18" t="s">
        <v>2990</v>
      </c>
      <c r="E3134" s="18" t="s">
        <v>5128</v>
      </c>
      <c r="F3134" s="2" t="s">
        <v>7987</v>
      </c>
      <c r="G3134" s="2" t="s">
        <v>3296</v>
      </c>
      <c r="H3134" s="14">
        <v>0.92</v>
      </c>
      <c r="I3134" s="2" t="s">
        <v>4761</v>
      </c>
      <c r="J3134" s="2" t="s">
        <v>3942</v>
      </c>
      <c r="K3134" s="2" t="s">
        <v>1452</v>
      </c>
      <c r="L3134" s="2" t="s">
        <v>5221</v>
      </c>
      <c r="M3134" s="2" t="s">
        <v>5221</v>
      </c>
      <c r="N3134" s="2" t="s">
        <v>2317</v>
      </c>
      <c r="O3134" s="14">
        <v>5200</v>
      </c>
      <c r="P3134" s="14">
        <v>97.81</v>
      </c>
      <c r="Q3134" s="14">
        <v>113.88</v>
      </c>
      <c r="R3134" s="14">
        <v>104.77</v>
      </c>
      <c r="S3134" s="2" t="s">
        <v>1314</v>
      </c>
      <c r="T3134" s="2">
        <v>1.05</v>
      </c>
      <c r="U3134" s="2">
        <v>64.900000000000006</v>
      </c>
      <c r="V3134" s="2">
        <v>60</v>
      </c>
      <c r="W3134" s="2" t="s">
        <v>7862</v>
      </c>
      <c r="X3134" s="2" t="s">
        <v>7670</v>
      </c>
      <c r="Y3134" s="2">
        <v>4784</v>
      </c>
      <c r="Z3134" s="19" t="str">
        <f>HYPERLINK("https://ssdweb.co/ssdweb/hd/Vision360.html?d=926280601&amp;zoomslide=1&amp;z=1926280601&amp;ISCONFIRM=0","VIDEO")</f>
        <v>VIDEO</v>
      </c>
      <c r="AA3134" s="19" t="str">
        <f>HYPERLINK("https://ssdweb.co/ssdweb/CERTH/638462957.pdf","CERTI")</f>
        <v>CERTI</v>
      </c>
    </row>
    <row r="3135" spans="1:27" ht="15" x14ac:dyDescent="0.25">
      <c r="A3135" s="2">
        <v>3130</v>
      </c>
      <c r="B3135" s="39">
        <v>925870597</v>
      </c>
      <c r="C3135" s="28" t="str">
        <f>HYPERLINK("https://pld.live/RapDetail.aspx?STONELIST=925870597","DNA")</f>
        <v>DNA</v>
      </c>
      <c r="D3135" s="18" t="s">
        <v>2990</v>
      </c>
      <c r="E3135" s="18" t="s">
        <v>5128</v>
      </c>
      <c r="F3135" s="2" t="s">
        <v>7987</v>
      </c>
      <c r="G3135" s="2" t="s">
        <v>3296</v>
      </c>
      <c r="H3135" s="14">
        <v>0.92</v>
      </c>
      <c r="I3135" s="2" t="s">
        <v>4761</v>
      </c>
      <c r="J3135" s="2" t="s">
        <v>13</v>
      </c>
      <c r="K3135" s="2" t="s">
        <v>1452</v>
      </c>
      <c r="L3135" s="2" t="s">
        <v>5221</v>
      </c>
      <c r="M3135" s="2" t="s">
        <v>5221</v>
      </c>
      <c r="N3135" s="2" t="s">
        <v>2317</v>
      </c>
      <c r="O3135" s="14">
        <v>4900</v>
      </c>
      <c r="P3135" s="14">
        <v>97.73</v>
      </c>
      <c r="Q3135" s="14">
        <v>111.23</v>
      </c>
      <c r="R3135" s="14">
        <v>102.33</v>
      </c>
      <c r="S3135" s="2" t="s">
        <v>5776</v>
      </c>
      <c r="T3135" s="2">
        <v>1.04</v>
      </c>
      <c r="U3135" s="2">
        <v>67.400000000000006</v>
      </c>
      <c r="V3135" s="2">
        <v>60</v>
      </c>
      <c r="W3135" s="2" t="s">
        <v>7862</v>
      </c>
      <c r="X3135" s="2" t="s">
        <v>7670</v>
      </c>
      <c r="Y3135" s="2">
        <v>4508</v>
      </c>
      <c r="Z3135" s="19" t="str">
        <f>HYPERLINK("https://ssdweb.co/ssdweb/hd/Vision360.html?d=925870597&amp;zoomslide=1&amp;z=1925870597&amp;ISCONFIRM=0","VIDEO")</f>
        <v>VIDEO</v>
      </c>
      <c r="AA3135" s="19" t="str">
        <f>HYPERLINK("https://ssdweb.co/ssdweb/CERTH/628426787.pdf","CERTI")</f>
        <v>CERTI</v>
      </c>
    </row>
    <row r="3136" spans="1:27" ht="15" x14ac:dyDescent="0.25">
      <c r="A3136" s="2">
        <v>3131</v>
      </c>
      <c r="B3136" s="39">
        <v>926210857</v>
      </c>
      <c r="C3136" s="28" t="str">
        <f>HYPERLINK("https://pld.live/RapDetail.aspx?STONELIST=926210857","DNA")</f>
        <v>DNA</v>
      </c>
      <c r="D3136" s="18" t="s">
        <v>2990</v>
      </c>
      <c r="E3136" s="18" t="s">
        <v>5128</v>
      </c>
      <c r="F3136" s="2" t="s">
        <v>7987</v>
      </c>
      <c r="G3136" s="2" t="s">
        <v>3296</v>
      </c>
      <c r="H3136" s="14">
        <v>0.92</v>
      </c>
      <c r="I3136" s="2" t="s">
        <v>4761</v>
      </c>
      <c r="J3136" s="2" t="s">
        <v>13</v>
      </c>
      <c r="K3136" s="2" t="s">
        <v>1452</v>
      </c>
      <c r="L3136" s="2" t="s">
        <v>5221</v>
      </c>
      <c r="M3136" s="2" t="s">
        <v>5221</v>
      </c>
      <c r="N3136" s="2" t="s">
        <v>2317</v>
      </c>
      <c r="O3136" s="14">
        <v>4900</v>
      </c>
      <c r="P3136" s="14">
        <v>97.73</v>
      </c>
      <c r="Q3136" s="14">
        <v>111.23</v>
      </c>
      <c r="R3136" s="14">
        <v>102.33</v>
      </c>
      <c r="S3136" s="2" t="s">
        <v>2775</v>
      </c>
      <c r="T3136" s="2">
        <v>1.05</v>
      </c>
      <c r="U3136" s="2">
        <v>63.4</v>
      </c>
      <c r="V3136" s="2">
        <v>59</v>
      </c>
      <c r="W3136" s="2" t="s">
        <v>7862</v>
      </c>
      <c r="X3136" s="2" t="s">
        <v>7670</v>
      </c>
      <c r="Y3136" s="2">
        <v>4508</v>
      </c>
      <c r="Z3136" s="19" t="str">
        <f>HYPERLINK("https://ssdweb.co/ssdweb/hd/Vision360.html?d=926210857&amp;zoomslide=1&amp;z=1926210857&amp;ISCONFIRM=0","VIDEO")</f>
        <v>VIDEO</v>
      </c>
      <c r="AA3136" s="19" t="str">
        <f>HYPERLINK("https://ssdweb.co/ssdweb/CERTH/635423818.pdf","CERTI")</f>
        <v>CERTI</v>
      </c>
    </row>
    <row r="3137" spans="1:27" ht="15" x14ac:dyDescent="0.25">
      <c r="A3137" s="2">
        <v>3132</v>
      </c>
      <c r="B3137" s="39">
        <v>924520151</v>
      </c>
      <c r="C3137" s="28" t="str">
        <f>HYPERLINK("https://pld.live/RapDetail.aspx?STONELIST=924520151","DNA")</f>
        <v>DNA</v>
      </c>
      <c r="D3137" s="18" t="s">
        <v>2990</v>
      </c>
      <c r="E3137" s="18" t="s">
        <v>5128</v>
      </c>
      <c r="F3137" s="2" t="s">
        <v>5597</v>
      </c>
      <c r="G3137" s="2" t="s">
        <v>3296</v>
      </c>
      <c r="H3137" s="14">
        <v>0.92</v>
      </c>
      <c r="I3137" s="2" t="s">
        <v>6587</v>
      </c>
      <c r="J3137" s="2" t="s">
        <v>6555</v>
      </c>
      <c r="K3137" s="2" t="s">
        <v>1452</v>
      </c>
      <c r="L3137" s="2" t="s">
        <v>5221</v>
      </c>
      <c r="M3137" s="2" t="s">
        <v>5221</v>
      </c>
      <c r="N3137" s="2" t="s">
        <v>2317</v>
      </c>
      <c r="O3137" s="14">
        <v>4900</v>
      </c>
      <c r="P3137" s="14">
        <v>96.22</v>
      </c>
      <c r="Q3137" s="14">
        <v>185.22</v>
      </c>
      <c r="R3137" s="14">
        <v>170.4</v>
      </c>
      <c r="S3137" s="2" t="s">
        <v>785</v>
      </c>
      <c r="T3137" s="2">
        <v>1.01</v>
      </c>
      <c r="U3137" s="2">
        <v>62</v>
      </c>
      <c r="V3137" s="2">
        <v>63</v>
      </c>
      <c r="W3137" s="2" t="s">
        <v>7862</v>
      </c>
      <c r="X3137" s="2" t="s">
        <v>7053</v>
      </c>
      <c r="Y3137" s="2">
        <v>4508</v>
      </c>
      <c r="Z3137" s="19" t="str">
        <f>HYPERLINK("https://ssdweb.co/ssdweb/hd/Vision360.html?d=924520151&amp;zoomslide=1&amp;z=1924520151&amp;ISCONFIRM=0","VIDEO")</f>
        <v>VIDEO</v>
      </c>
      <c r="AA3137" s="19" t="str">
        <f>HYPERLINK("https://ssdweb.co/ssdweb/CERTH/6475519004.pdf","CERTI")</f>
        <v>CERTI</v>
      </c>
    </row>
    <row r="3138" spans="1:27" ht="15" x14ac:dyDescent="0.25">
      <c r="A3138" s="2">
        <v>3133</v>
      </c>
      <c r="B3138" s="39">
        <v>925030158</v>
      </c>
      <c r="C3138" s="28" t="str">
        <f>HYPERLINK("https://pld.live/RapDetail.aspx?STONELIST=925030158","DNA")</f>
        <v>DNA</v>
      </c>
      <c r="D3138" s="18" t="s">
        <v>2990</v>
      </c>
      <c r="E3138" s="18" t="s">
        <v>5128</v>
      </c>
      <c r="F3138" s="2" t="s">
        <v>7987</v>
      </c>
      <c r="G3138" s="2" t="s">
        <v>3296</v>
      </c>
      <c r="H3138" s="14">
        <v>0.91</v>
      </c>
      <c r="I3138" s="2" t="s">
        <v>267</v>
      </c>
      <c r="J3138" s="2" t="s">
        <v>6555</v>
      </c>
      <c r="K3138" s="2" t="s">
        <v>1452</v>
      </c>
      <c r="L3138" s="2" t="s">
        <v>5221</v>
      </c>
      <c r="M3138" s="2" t="s">
        <v>5221</v>
      </c>
      <c r="N3138" s="2" t="s">
        <v>2317</v>
      </c>
      <c r="O3138" s="14">
        <v>6300</v>
      </c>
      <c r="P3138" s="14">
        <v>97.75</v>
      </c>
      <c r="Q3138" s="14">
        <v>141.75</v>
      </c>
      <c r="R3138" s="14">
        <v>128.99</v>
      </c>
      <c r="S3138" s="2" t="s">
        <v>2406</v>
      </c>
      <c r="T3138" s="2">
        <v>1.01</v>
      </c>
      <c r="U3138" s="2">
        <v>66.900000000000006</v>
      </c>
      <c r="V3138" s="2">
        <v>59</v>
      </c>
      <c r="W3138" s="2" t="s">
        <v>7862</v>
      </c>
      <c r="X3138" s="2" t="s">
        <v>7670</v>
      </c>
      <c r="Y3138" s="2">
        <v>5733</v>
      </c>
      <c r="Z3138" s="19" t="str">
        <f>HYPERLINK("https://ssdweb.co/ssdweb/hd/Vision360.html?d=925030158&amp;zoomslide=1&amp;z=1925030158&amp;ISCONFIRM=0","VIDEO")</f>
        <v>VIDEO</v>
      </c>
      <c r="AA3138" s="19" t="str">
        <f>HYPERLINK("https://ssdweb.co/ssdweb/CERTH/607332441.pdf","CERTI")</f>
        <v>CERTI</v>
      </c>
    </row>
    <row r="3139" spans="1:27" ht="15" x14ac:dyDescent="0.25">
      <c r="A3139" s="2">
        <v>3134</v>
      </c>
      <c r="B3139" s="39">
        <v>922730400</v>
      </c>
      <c r="C3139" s="28" t="str">
        <f>HYPERLINK("https://pld.live/RapDetail.aspx?STONELIST=922730400","DNA")</f>
        <v>DNA</v>
      </c>
      <c r="D3139" s="18" t="s">
        <v>2990</v>
      </c>
      <c r="E3139" s="18" t="s">
        <v>5128</v>
      </c>
      <c r="F3139" s="2" t="s">
        <v>7987</v>
      </c>
      <c r="G3139" s="2" t="s">
        <v>3296</v>
      </c>
      <c r="H3139" s="14">
        <v>0.91</v>
      </c>
      <c r="I3139" s="2" t="s">
        <v>267</v>
      </c>
      <c r="J3139" s="2" t="s">
        <v>6555</v>
      </c>
      <c r="K3139" s="2" t="s">
        <v>1452</v>
      </c>
      <c r="L3139" s="2" t="s">
        <v>5221</v>
      </c>
      <c r="M3139" s="2" t="s">
        <v>5221</v>
      </c>
      <c r="N3139" s="2" t="s">
        <v>2317</v>
      </c>
      <c r="O3139" s="14">
        <v>6300</v>
      </c>
      <c r="P3139" s="14">
        <v>97.75</v>
      </c>
      <c r="Q3139" s="14">
        <v>141.75</v>
      </c>
      <c r="R3139" s="14">
        <v>128.99</v>
      </c>
      <c r="S3139" s="2" t="s">
        <v>5186</v>
      </c>
      <c r="T3139" s="2">
        <v>1.05</v>
      </c>
      <c r="U3139" s="2">
        <v>63.1</v>
      </c>
      <c r="V3139" s="2">
        <v>66</v>
      </c>
      <c r="W3139" s="2" t="s">
        <v>7862</v>
      </c>
      <c r="X3139" s="2" t="s">
        <v>7670</v>
      </c>
      <c r="Y3139" s="2">
        <v>5733</v>
      </c>
      <c r="Z3139" s="19" t="str">
        <f>HYPERLINK("https://ssdweb.co/ssdweb/hd/Vision360.html?d=922730400&amp;zoomslide=1&amp;z=1922730400&amp;ISCONFIRM=0","VIDEO")</f>
        <v>VIDEO</v>
      </c>
      <c r="AA3139" s="19" t="str">
        <f>HYPERLINK("https://ssdweb.co/ssdweb/CERTH/533216846.pdf","CERTI")</f>
        <v>CERTI</v>
      </c>
    </row>
    <row r="3140" spans="1:27" ht="15" x14ac:dyDescent="0.25">
      <c r="A3140" s="2">
        <v>3135</v>
      </c>
      <c r="B3140" s="39">
        <v>925030390</v>
      </c>
      <c r="C3140" s="28" t="str">
        <f>HYPERLINK("https://pld.live/RapDetail.aspx?STONELIST=925030390","DNA")</f>
        <v>DNA</v>
      </c>
      <c r="D3140" s="18" t="s">
        <v>2990</v>
      </c>
      <c r="E3140" s="18" t="s">
        <v>5128</v>
      </c>
      <c r="F3140" s="2" t="s">
        <v>7987</v>
      </c>
      <c r="G3140" s="2" t="s">
        <v>3296</v>
      </c>
      <c r="H3140" s="14">
        <v>0.91</v>
      </c>
      <c r="I3140" s="2" t="s">
        <v>267</v>
      </c>
      <c r="J3140" s="2" t="s">
        <v>6555</v>
      </c>
      <c r="K3140" s="2" t="s">
        <v>1452</v>
      </c>
      <c r="L3140" s="2" t="s">
        <v>5221</v>
      </c>
      <c r="M3140" s="2" t="s">
        <v>5221</v>
      </c>
      <c r="N3140" s="2" t="s">
        <v>2317</v>
      </c>
      <c r="O3140" s="14">
        <v>6300</v>
      </c>
      <c r="P3140" s="14">
        <v>97.75</v>
      </c>
      <c r="Q3140" s="14">
        <v>141.75</v>
      </c>
      <c r="R3140" s="14">
        <v>128.99</v>
      </c>
      <c r="S3140" s="2" t="s">
        <v>6093</v>
      </c>
      <c r="T3140" s="2">
        <v>1.04</v>
      </c>
      <c r="U3140" s="2">
        <v>63.9</v>
      </c>
      <c r="V3140" s="2">
        <v>60</v>
      </c>
      <c r="W3140" s="2" t="s">
        <v>7862</v>
      </c>
      <c r="X3140" s="2" t="s">
        <v>7670</v>
      </c>
      <c r="Y3140" s="2">
        <v>5733</v>
      </c>
      <c r="Z3140" s="19" t="str">
        <f>HYPERLINK("https://ssdweb.co/ssdweb/hd/Vision360.html?d=925030390&amp;zoomslide=1&amp;z=1925030390&amp;ISCONFIRM=0","VIDEO")</f>
        <v>VIDEO</v>
      </c>
      <c r="AA3140" s="19" t="str">
        <f>HYPERLINK("https://ssdweb.co/ssdweb/CERTH/613355423.pdf","CERTI")</f>
        <v>CERTI</v>
      </c>
    </row>
    <row r="3141" spans="1:27" ht="15" x14ac:dyDescent="0.25">
      <c r="A3141" s="2">
        <v>3136</v>
      </c>
      <c r="B3141" s="39">
        <v>926210613</v>
      </c>
      <c r="C3141" s="28" t="str">
        <f>HYPERLINK("https://pld.live/RapDetail.aspx?STONELIST=926210613","DNA")</f>
        <v>DNA</v>
      </c>
      <c r="D3141" s="18" t="s">
        <v>2990</v>
      </c>
      <c r="E3141" s="18" t="s">
        <v>5128</v>
      </c>
      <c r="F3141" s="2" t="s">
        <v>7987</v>
      </c>
      <c r="G3141" s="2" t="s">
        <v>3296</v>
      </c>
      <c r="H3141" s="14">
        <v>0.91</v>
      </c>
      <c r="I3141" s="2" t="s">
        <v>267</v>
      </c>
      <c r="J3141" s="2" t="s">
        <v>6555</v>
      </c>
      <c r="K3141" s="2" t="s">
        <v>1452</v>
      </c>
      <c r="L3141" s="2" t="s">
        <v>5221</v>
      </c>
      <c r="M3141" s="2" t="s">
        <v>5221</v>
      </c>
      <c r="N3141" s="2" t="s">
        <v>2317</v>
      </c>
      <c r="O3141" s="14">
        <v>6300</v>
      </c>
      <c r="P3141" s="14">
        <v>97.71</v>
      </c>
      <c r="Q3141" s="14">
        <v>144.27000000000001</v>
      </c>
      <c r="R3141" s="14">
        <v>131.29</v>
      </c>
      <c r="S3141" s="2" t="s">
        <v>3571</v>
      </c>
      <c r="T3141" s="2">
        <v>1.04</v>
      </c>
      <c r="U3141" s="2">
        <v>65.7</v>
      </c>
      <c r="V3141" s="2">
        <v>61</v>
      </c>
      <c r="W3141" s="2" t="s">
        <v>7862</v>
      </c>
      <c r="X3141" s="2" t="s">
        <v>7670</v>
      </c>
      <c r="Y3141" s="2">
        <v>5733</v>
      </c>
      <c r="Z3141" s="19" t="str">
        <f>HYPERLINK("https://ssdweb.co/ssdweb/hd/Vision360.html?d=926210613&amp;zoomslide=1&amp;z=1926210613&amp;ISCONFIRM=0","VIDEO")</f>
        <v>VIDEO</v>
      </c>
      <c r="AA3141" s="19" t="str">
        <f>HYPERLINK("https://ssdweb.co/ssdweb/CERTH/635423811.pdf","CERTI")</f>
        <v>CERTI</v>
      </c>
    </row>
    <row r="3142" spans="1:27" ht="15" x14ac:dyDescent="0.25">
      <c r="A3142" s="2">
        <v>3137</v>
      </c>
      <c r="B3142" s="39">
        <v>926210608</v>
      </c>
      <c r="C3142" s="28" t="str">
        <f>HYPERLINK("https://pld.live/RapDetail.aspx?STONELIST=926210608","DNA")</f>
        <v>DNA</v>
      </c>
      <c r="D3142" s="18" t="s">
        <v>2990</v>
      </c>
      <c r="E3142" s="18" t="s">
        <v>5128</v>
      </c>
      <c r="F3142" s="2" t="s">
        <v>7987</v>
      </c>
      <c r="G3142" s="2" t="s">
        <v>3296</v>
      </c>
      <c r="H3142" s="14">
        <v>0.91</v>
      </c>
      <c r="I3142" s="2" t="s">
        <v>267</v>
      </c>
      <c r="J3142" s="2" t="s">
        <v>6555</v>
      </c>
      <c r="K3142" s="2" t="s">
        <v>1452</v>
      </c>
      <c r="L3142" s="2" t="s">
        <v>5221</v>
      </c>
      <c r="M3142" s="2" t="s">
        <v>5221</v>
      </c>
      <c r="N3142" s="2" t="s">
        <v>2317</v>
      </c>
      <c r="O3142" s="14">
        <v>6300</v>
      </c>
      <c r="P3142" s="14">
        <v>97.71</v>
      </c>
      <c r="Q3142" s="14">
        <v>144.27000000000001</v>
      </c>
      <c r="R3142" s="14">
        <v>131.29</v>
      </c>
      <c r="S3142" s="2" t="s">
        <v>1289</v>
      </c>
      <c r="T3142" s="2">
        <v>1.05</v>
      </c>
      <c r="U3142" s="2">
        <v>63.6</v>
      </c>
      <c r="V3142" s="2">
        <v>61</v>
      </c>
      <c r="W3142" s="2" t="s">
        <v>7862</v>
      </c>
      <c r="X3142" s="2" t="s">
        <v>7670</v>
      </c>
      <c r="Y3142" s="2">
        <v>5733</v>
      </c>
      <c r="Z3142" s="19" t="str">
        <f>HYPERLINK("https://ssdweb.co/ssdweb/hd/Vision360.html?d=926210608&amp;zoomslide=1&amp;z=1926210608&amp;ISCONFIRM=0","VIDEO")</f>
        <v>VIDEO</v>
      </c>
      <c r="AA3142" s="19" t="str">
        <f>HYPERLINK("https://ssdweb.co/ssdweb/CERTH/635427131.pdf","CERTI")</f>
        <v>CERTI</v>
      </c>
    </row>
    <row r="3143" spans="1:27" ht="15" x14ac:dyDescent="0.25">
      <c r="A3143" s="2">
        <v>3138</v>
      </c>
      <c r="B3143" s="39">
        <v>926111028</v>
      </c>
      <c r="C3143" s="28" t="str">
        <f>HYPERLINK("https://pld.live/RapDetail.aspx?STONELIST=926111028","DNA")</f>
        <v>DNA</v>
      </c>
      <c r="D3143" s="18" t="s">
        <v>2990</v>
      </c>
      <c r="E3143" s="18" t="s">
        <v>5128</v>
      </c>
      <c r="F3143" s="2" t="s">
        <v>7987</v>
      </c>
      <c r="G3143" s="2" t="s">
        <v>3296</v>
      </c>
      <c r="H3143" s="14">
        <v>0.91</v>
      </c>
      <c r="I3143" s="2" t="s">
        <v>267</v>
      </c>
      <c r="J3143" s="2" t="s">
        <v>6555</v>
      </c>
      <c r="K3143" s="2" t="s">
        <v>1452</v>
      </c>
      <c r="L3143" s="2" t="s">
        <v>5221</v>
      </c>
      <c r="M3143" s="2" t="s">
        <v>5221</v>
      </c>
      <c r="N3143" s="2" t="s">
        <v>2317</v>
      </c>
      <c r="O3143" s="14">
        <v>6300</v>
      </c>
      <c r="P3143" s="14">
        <v>97.71</v>
      </c>
      <c r="Q3143" s="14">
        <v>144.27000000000001</v>
      </c>
      <c r="R3143" s="14">
        <v>131.29</v>
      </c>
      <c r="S3143" s="2" t="s">
        <v>649</v>
      </c>
      <c r="T3143" s="2">
        <v>1.04</v>
      </c>
      <c r="U3143" s="2">
        <v>65.3</v>
      </c>
      <c r="V3143" s="2">
        <v>59</v>
      </c>
      <c r="W3143" s="2" t="s">
        <v>7862</v>
      </c>
      <c r="X3143" s="2" t="s">
        <v>7670</v>
      </c>
      <c r="Y3143" s="2">
        <v>5733</v>
      </c>
      <c r="Z3143" s="19" t="str">
        <f>HYPERLINK("https://ssdweb.co/ssdweb/hd/Vision360.html?d=926111028&amp;zoomslide=1&amp;z=1926111028&amp;ISCONFIRM=0","VIDEO")</f>
        <v>VIDEO</v>
      </c>
      <c r="AA3143" s="19" t="str">
        <f>HYPERLINK("https://ssdweb.co/ssdweb/CERTH/632449441.pdf","CERTI")</f>
        <v>CERTI</v>
      </c>
    </row>
    <row r="3144" spans="1:27" ht="15" x14ac:dyDescent="0.25">
      <c r="A3144" s="2">
        <v>3139</v>
      </c>
      <c r="B3144" s="39">
        <v>925791450</v>
      </c>
      <c r="C3144" s="28" t="str">
        <f>HYPERLINK("https://pld.live/RapDetail.aspx?STONELIST=925791450","DNA")</f>
        <v>DNA</v>
      </c>
      <c r="D3144" s="18" t="s">
        <v>2990</v>
      </c>
      <c r="E3144" s="18" t="s">
        <v>5128</v>
      </c>
      <c r="F3144" s="2" t="s">
        <v>7987</v>
      </c>
      <c r="G3144" s="2" t="s">
        <v>3296</v>
      </c>
      <c r="H3144" s="14">
        <v>0.91</v>
      </c>
      <c r="I3144" s="2" t="s">
        <v>267</v>
      </c>
      <c r="J3144" s="2" t="s">
        <v>3942</v>
      </c>
      <c r="K3144" s="2" t="s">
        <v>1452</v>
      </c>
      <c r="L3144" s="2" t="s">
        <v>5221</v>
      </c>
      <c r="M3144" s="2" t="s">
        <v>5221</v>
      </c>
      <c r="N3144" s="2" t="s">
        <v>2317</v>
      </c>
      <c r="O3144" s="14">
        <v>5600</v>
      </c>
      <c r="P3144" s="14">
        <v>97.93</v>
      </c>
      <c r="Q3144" s="14">
        <v>115.92</v>
      </c>
      <c r="R3144" s="14">
        <v>105.49</v>
      </c>
      <c r="S3144" s="2" t="s">
        <v>6491</v>
      </c>
      <c r="T3144" s="2">
        <v>1</v>
      </c>
      <c r="U3144" s="2">
        <v>65.599999999999994</v>
      </c>
      <c r="V3144" s="2">
        <v>61</v>
      </c>
      <c r="W3144" s="2" t="s">
        <v>7862</v>
      </c>
      <c r="X3144" s="2" t="s">
        <v>7670</v>
      </c>
      <c r="Y3144" s="2">
        <v>5096</v>
      </c>
      <c r="Z3144" s="19" t="str">
        <f>HYPERLINK("https://ssdweb.co/ssdweb/hd/Vision360.html?d=925791450&amp;zoomslide=1&amp;z=1925791450&amp;ISCONFIRM=0","VIDEO")</f>
        <v>VIDEO</v>
      </c>
      <c r="AA3144" s="19" t="str">
        <f>HYPERLINK("https://ssdweb.co/ssdweb/CERTH/629435540.pdf","CERTI")</f>
        <v>CERTI</v>
      </c>
    </row>
    <row r="3145" spans="1:27" ht="15" x14ac:dyDescent="0.25">
      <c r="A3145" s="2">
        <v>3140</v>
      </c>
      <c r="B3145" s="39">
        <v>925791394</v>
      </c>
      <c r="C3145" s="28" t="str">
        <f>HYPERLINK("https://pld.live/RapDetail.aspx?STONELIST=925791394","DNA")</f>
        <v>DNA</v>
      </c>
      <c r="D3145" s="18" t="s">
        <v>2990</v>
      </c>
      <c r="E3145" s="18" t="s">
        <v>5128</v>
      </c>
      <c r="F3145" s="2" t="s">
        <v>7987</v>
      </c>
      <c r="G3145" s="2" t="s">
        <v>3296</v>
      </c>
      <c r="H3145" s="14">
        <v>0.91</v>
      </c>
      <c r="I3145" s="2" t="s">
        <v>267</v>
      </c>
      <c r="J3145" s="2" t="s">
        <v>3942</v>
      </c>
      <c r="K3145" s="2" t="s">
        <v>1452</v>
      </c>
      <c r="L3145" s="2" t="s">
        <v>5221</v>
      </c>
      <c r="M3145" s="2" t="s">
        <v>5221</v>
      </c>
      <c r="N3145" s="2" t="s">
        <v>2317</v>
      </c>
      <c r="O3145" s="14">
        <v>5600</v>
      </c>
      <c r="P3145" s="14">
        <v>97.96</v>
      </c>
      <c r="Q3145" s="14">
        <v>114.24</v>
      </c>
      <c r="R3145" s="14">
        <v>103.96</v>
      </c>
      <c r="S3145" s="2" t="s">
        <v>3655</v>
      </c>
      <c r="T3145" s="2">
        <v>1.01</v>
      </c>
      <c r="U3145" s="2">
        <v>66.8</v>
      </c>
      <c r="V3145" s="2">
        <v>61</v>
      </c>
      <c r="W3145" s="2" t="s">
        <v>7862</v>
      </c>
      <c r="X3145" s="2" t="s">
        <v>7670</v>
      </c>
      <c r="Y3145" s="2">
        <v>5096</v>
      </c>
      <c r="Z3145" s="19" t="str">
        <f>HYPERLINK("https://ssdweb.co/ssdweb/hd/Vision360.html?d=925791394&amp;zoomslide=1&amp;z=1925791394&amp;ISCONFIRM=0","VIDEO")</f>
        <v>VIDEO</v>
      </c>
      <c r="AA3145" s="19" t="str">
        <f>HYPERLINK("https://ssdweb.co/ssdweb/CERTH/627427281.pdf","CERTI")</f>
        <v>CERTI</v>
      </c>
    </row>
    <row r="3146" spans="1:27" ht="15" x14ac:dyDescent="0.25">
      <c r="A3146" s="2">
        <v>3141</v>
      </c>
      <c r="B3146" s="39">
        <v>831010230</v>
      </c>
      <c r="C3146" s="28" t="str">
        <f>HYPERLINK("https://pld.live/RapDetail.aspx?STONELIST=831010230","DNA")</f>
        <v>DNA</v>
      </c>
      <c r="D3146" s="18" t="s">
        <v>2990</v>
      </c>
      <c r="E3146" s="18" t="s">
        <v>5128</v>
      </c>
      <c r="F3146" s="2" t="s">
        <v>7987</v>
      </c>
      <c r="G3146" s="2" t="s">
        <v>3296</v>
      </c>
      <c r="H3146" s="14">
        <v>0.91</v>
      </c>
      <c r="I3146" s="2" t="s">
        <v>267</v>
      </c>
      <c r="J3146" s="2" t="s">
        <v>3942</v>
      </c>
      <c r="K3146" s="2" t="s">
        <v>1452</v>
      </c>
      <c r="L3146" s="2" t="s">
        <v>5221</v>
      </c>
      <c r="M3146" s="2" t="s">
        <v>5221</v>
      </c>
      <c r="N3146" s="2" t="s">
        <v>2317</v>
      </c>
      <c r="O3146" s="14">
        <v>5600</v>
      </c>
      <c r="P3146" s="14">
        <v>97.96</v>
      </c>
      <c r="Q3146" s="14">
        <v>114.24</v>
      </c>
      <c r="R3146" s="14">
        <v>103.96</v>
      </c>
      <c r="S3146" s="2" t="s">
        <v>2072</v>
      </c>
      <c r="T3146" s="2">
        <v>1.07</v>
      </c>
      <c r="U3146" s="2">
        <v>68.3</v>
      </c>
      <c r="V3146" s="2">
        <v>60</v>
      </c>
      <c r="W3146" s="2" t="s">
        <v>7862</v>
      </c>
      <c r="X3146" s="2" t="s">
        <v>3851</v>
      </c>
      <c r="Y3146" s="2">
        <v>5096</v>
      </c>
      <c r="Z3146" s="19" t="str">
        <f>HYPERLINK("https://ssdweb.co/ssdweb/hd/Vision360.html?d=831010230&amp;zoomslide=1&amp;z=1831010230&amp;ISCONFIRM=0","VIDEO")</f>
        <v>VIDEO</v>
      </c>
      <c r="AA3146" s="19" t="str">
        <f>HYPERLINK("https://ssdweb.co/ssdweb/CERTH/579371059.pdf","CERTI")</f>
        <v>CERTI</v>
      </c>
    </row>
    <row r="3147" spans="1:27" ht="15" x14ac:dyDescent="0.25">
      <c r="A3147" s="2">
        <v>3142</v>
      </c>
      <c r="B3147" s="39">
        <v>925040458</v>
      </c>
      <c r="C3147" s="28" t="str">
        <f>HYPERLINK("https://pld.live/RapDetail.aspx?STONELIST=925040458","DNA")</f>
        <v>DNA</v>
      </c>
      <c r="D3147" s="18" t="s">
        <v>2990</v>
      </c>
      <c r="E3147" s="18" t="s">
        <v>5128</v>
      </c>
      <c r="F3147" s="2" t="s">
        <v>7987</v>
      </c>
      <c r="G3147" s="2" t="s">
        <v>3296</v>
      </c>
      <c r="H3147" s="14">
        <v>0.91</v>
      </c>
      <c r="I3147" s="2" t="s">
        <v>267</v>
      </c>
      <c r="J3147" s="2" t="s">
        <v>13</v>
      </c>
      <c r="K3147" s="2" t="s">
        <v>1452</v>
      </c>
      <c r="L3147" s="2" t="s">
        <v>5221</v>
      </c>
      <c r="M3147" s="2" t="s">
        <v>5221</v>
      </c>
      <c r="N3147" s="2" t="s">
        <v>2317</v>
      </c>
      <c r="O3147" s="14">
        <v>5200</v>
      </c>
      <c r="P3147" s="14">
        <v>97.85</v>
      </c>
      <c r="Q3147" s="14">
        <v>111.8</v>
      </c>
      <c r="R3147" s="14">
        <v>101.74</v>
      </c>
      <c r="S3147" s="2" t="s">
        <v>1897</v>
      </c>
      <c r="T3147" s="2">
        <v>1.05</v>
      </c>
      <c r="U3147" s="2">
        <v>66</v>
      </c>
      <c r="V3147" s="2">
        <v>60</v>
      </c>
      <c r="W3147" s="2" t="s">
        <v>7862</v>
      </c>
      <c r="X3147" s="2" t="s">
        <v>7670</v>
      </c>
      <c r="Y3147" s="2">
        <v>4732</v>
      </c>
      <c r="Z3147" s="19" t="str">
        <f>HYPERLINK("https://ssdweb.co/ssdweb/hd/Vision360.html?d=925040458&amp;zoomslide=1&amp;z=1925040458&amp;ISCONFIRM=0","VIDEO")</f>
        <v>VIDEO</v>
      </c>
      <c r="AA3147" s="19" t="str">
        <f>HYPERLINK("https://ssdweb.co/ssdweb/CERTH/618455173.pdf","CERTI")</f>
        <v>CERTI</v>
      </c>
    </row>
    <row r="3148" spans="1:27" ht="15" x14ac:dyDescent="0.25">
      <c r="A3148" s="2">
        <v>3143</v>
      </c>
      <c r="B3148" s="39">
        <v>926210840</v>
      </c>
      <c r="C3148" s="28" t="str">
        <f>HYPERLINK("https://pld.live/RapDetail.aspx?STONELIST=926210840","DNA")</f>
        <v>DNA</v>
      </c>
      <c r="D3148" s="18" t="s">
        <v>2990</v>
      </c>
      <c r="E3148" s="18" t="s">
        <v>5128</v>
      </c>
      <c r="F3148" s="2" t="s">
        <v>7987</v>
      </c>
      <c r="G3148" s="2" t="s">
        <v>3296</v>
      </c>
      <c r="H3148" s="14">
        <v>0.91</v>
      </c>
      <c r="I3148" s="2" t="s">
        <v>267</v>
      </c>
      <c r="J3148" s="2" t="s">
        <v>13</v>
      </c>
      <c r="K3148" s="2" t="s">
        <v>1452</v>
      </c>
      <c r="L3148" s="2" t="s">
        <v>5221</v>
      </c>
      <c r="M3148" s="2" t="s">
        <v>5221</v>
      </c>
      <c r="N3148" s="2" t="s">
        <v>2317</v>
      </c>
      <c r="O3148" s="14">
        <v>5200</v>
      </c>
      <c r="P3148" s="14">
        <v>97.81</v>
      </c>
      <c r="Q3148" s="14">
        <v>113.88</v>
      </c>
      <c r="R3148" s="14">
        <v>103.63</v>
      </c>
      <c r="S3148" s="2" t="s">
        <v>7185</v>
      </c>
      <c r="T3148" s="2">
        <v>1</v>
      </c>
      <c r="U3148" s="2">
        <v>67.599999999999994</v>
      </c>
      <c r="V3148" s="2">
        <v>56</v>
      </c>
      <c r="W3148" s="2" t="s">
        <v>7862</v>
      </c>
      <c r="X3148" s="2" t="s">
        <v>7670</v>
      </c>
      <c r="Y3148" s="2">
        <v>4732</v>
      </c>
      <c r="Z3148" s="19" t="str">
        <f>HYPERLINK("https://ssdweb.co/ssdweb/hd/Vision360.html?d=926210840&amp;zoomslide=1&amp;z=1926210840&amp;ISCONFIRM=0","VIDEO")</f>
        <v>VIDEO</v>
      </c>
      <c r="AA3148" s="19" t="str">
        <f>HYPERLINK("https://ssdweb.co/ssdweb/CERTH/635423802.pdf","CERTI")</f>
        <v>CERTI</v>
      </c>
    </row>
    <row r="3149" spans="1:27" ht="15" x14ac:dyDescent="0.25">
      <c r="A3149" s="2">
        <v>3144</v>
      </c>
      <c r="B3149" s="39">
        <v>926210988</v>
      </c>
      <c r="C3149" s="28" t="str">
        <f>HYPERLINK("https://pld.live/RapDetail.aspx?STONELIST=926210988","DNA")</f>
        <v>DNA</v>
      </c>
      <c r="D3149" s="18" t="s">
        <v>2990</v>
      </c>
      <c r="E3149" s="18" t="s">
        <v>5128</v>
      </c>
      <c r="F3149" s="2" t="s">
        <v>7987</v>
      </c>
      <c r="G3149" s="2" t="s">
        <v>3296</v>
      </c>
      <c r="H3149" s="14">
        <v>0.91</v>
      </c>
      <c r="I3149" s="2" t="s">
        <v>267</v>
      </c>
      <c r="J3149" s="2" t="s">
        <v>13</v>
      </c>
      <c r="K3149" s="2" t="s">
        <v>1452</v>
      </c>
      <c r="L3149" s="2" t="s">
        <v>5221</v>
      </c>
      <c r="M3149" s="2" t="s">
        <v>5221</v>
      </c>
      <c r="N3149" s="2" t="s">
        <v>2317</v>
      </c>
      <c r="O3149" s="14">
        <v>5200</v>
      </c>
      <c r="P3149" s="14">
        <v>97.81</v>
      </c>
      <c r="Q3149" s="14">
        <v>113.88</v>
      </c>
      <c r="R3149" s="14">
        <v>103.63</v>
      </c>
      <c r="S3149" s="2" t="s">
        <v>6620</v>
      </c>
      <c r="T3149" s="2">
        <v>1.03</v>
      </c>
      <c r="U3149" s="2">
        <v>66.7</v>
      </c>
      <c r="V3149" s="2">
        <v>59</v>
      </c>
      <c r="W3149" s="2" t="s">
        <v>7862</v>
      </c>
      <c r="X3149" s="2" t="s">
        <v>7670</v>
      </c>
      <c r="Y3149" s="2">
        <v>4732</v>
      </c>
      <c r="Z3149" s="19" t="str">
        <f>HYPERLINK("https://ssdweb.co/ssdweb/hd/Vision360.html?d=926210988&amp;zoomslide=1&amp;z=1926210988&amp;ISCONFIRM=0","VIDEO")</f>
        <v>VIDEO</v>
      </c>
      <c r="AA3149" s="19" t="str">
        <f>HYPERLINK("https://ssdweb.co/ssdweb/CERTH/635423783.pdf","CERTI")</f>
        <v>CERTI</v>
      </c>
    </row>
    <row r="3150" spans="1:27" ht="15" x14ac:dyDescent="0.25">
      <c r="A3150" s="2">
        <v>3145</v>
      </c>
      <c r="B3150" s="39">
        <v>925210052</v>
      </c>
      <c r="C3150" s="28" t="str">
        <f>HYPERLINK("https://pld.live/RapDetail.aspx?STONELIST=925210052","DNA")</f>
        <v>DNA</v>
      </c>
      <c r="D3150" s="18" t="s">
        <v>2990</v>
      </c>
      <c r="E3150" s="18" t="s">
        <v>5128</v>
      </c>
      <c r="F3150" s="2" t="s">
        <v>7987</v>
      </c>
      <c r="G3150" s="2" t="s">
        <v>3296</v>
      </c>
      <c r="H3150" s="14">
        <v>0.91</v>
      </c>
      <c r="I3150" s="2" t="s">
        <v>267</v>
      </c>
      <c r="J3150" s="2" t="s">
        <v>13</v>
      </c>
      <c r="K3150" s="2" t="s">
        <v>1452</v>
      </c>
      <c r="L3150" s="2" t="s">
        <v>5221</v>
      </c>
      <c r="M3150" s="2" t="s">
        <v>5221</v>
      </c>
      <c r="N3150" s="2" t="s">
        <v>2317</v>
      </c>
      <c r="O3150" s="14">
        <v>5200</v>
      </c>
      <c r="P3150" s="14">
        <v>97.85</v>
      </c>
      <c r="Q3150" s="14">
        <v>111.8</v>
      </c>
      <c r="R3150" s="14">
        <v>101.74</v>
      </c>
      <c r="S3150" s="2" t="s">
        <v>5529</v>
      </c>
      <c r="T3150" s="2">
        <v>1.05</v>
      </c>
      <c r="U3150" s="2">
        <v>65.3</v>
      </c>
      <c r="V3150" s="2">
        <v>63</v>
      </c>
      <c r="W3150" s="2" t="s">
        <v>7862</v>
      </c>
      <c r="X3150" s="2" t="s">
        <v>7670</v>
      </c>
      <c r="Y3150" s="2">
        <v>4732</v>
      </c>
      <c r="Z3150" s="19" t="str">
        <f>HYPERLINK("https://ssdweb.co/ssdweb/hd/Vision360.html?d=925210052&amp;zoomslide=1&amp;z=1925210052&amp;ISCONFIRM=0","VIDEO")</f>
        <v>VIDEO</v>
      </c>
      <c r="AA3150" s="19" t="str">
        <f>HYPERLINK("https://ssdweb.co/ssdweb/CERTH/619453273.pdf","CERTI")</f>
        <v>CERTI</v>
      </c>
    </row>
    <row r="3151" spans="1:27" ht="15" x14ac:dyDescent="0.25">
      <c r="A3151" s="2">
        <v>3146</v>
      </c>
      <c r="B3151" s="39">
        <v>925040459</v>
      </c>
      <c r="C3151" s="28" t="str">
        <f>HYPERLINK("https://pld.live/RapDetail.aspx?STONELIST=925040459","DNA")</f>
        <v>DNA</v>
      </c>
      <c r="D3151" s="18" t="s">
        <v>2990</v>
      </c>
      <c r="E3151" s="18" t="s">
        <v>5128</v>
      </c>
      <c r="F3151" s="2" t="s">
        <v>7987</v>
      </c>
      <c r="G3151" s="2" t="s">
        <v>3296</v>
      </c>
      <c r="H3151" s="14">
        <v>0.91</v>
      </c>
      <c r="I3151" s="2" t="s">
        <v>267</v>
      </c>
      <c r="J3151" s="2" t="s">
        <v>5144</v>
      </c>
      <c r="K3151" s="2" t="s">
        <v>1452</v>
      </c>
      <c r="L3151" s="2" t="s">
        <v>5221</v>
      </c>
      <c r="M3151" s="2" t="s">
        <v>5221</v>
      </c>
      <c r="N3151" s="2" t="s">
        <v>2317</v>
      </c>
      <c r="O3151" s="14">
        <v>4400</v>
      </c>
      <c r="P3151" s="14">
        <v>97.5</v>
      </c>
      <c r="Q3151" s="14">
        <v>110</v>
      </c>
      <c r="R3151" s="14">
        <v>100.1</v>
      </c>
      <c r="S3151" s="2" t="s">
        <v>7819</v>
      </c>
      <c r="T3151" s="2">
        <v>1.05</v>
      </c>
      <c r="U3151" s="2">
        <v>63.7</v>
      </c>
      <c r="V3151" s="2">
        <v>60</v>
      </c>
      <c r="W3151" s="2" t="s">
        <v>7862</v>
      </c>
      <c r="X3151" s="2" t="s">
        <v>7670</v>
      </c>
      <c r="Y3151" s="2">
        <v>4004</v>
      </c>
      <c r="Z3151" s="19" t="str">
        <f>HYPERLINK("https://ssdweb.co/ssdweb/hd/Vision360.html?d=925040459&amp;zoomslide=1&amp;z=1925040459&amp;ISCONFIRM=0","VIDEO")</f>
        <v>VIDEO</v>
      </c>
      <c r="AA3151" s="19" t="str">
        <f>HYPERLINK("https://ssdweb.co/ssdweb/CERTH/618455174.pdf","CERTI")</f>
        <v>CERTI</v>
      </c>
    </row>
    <row r="3152" spans="1:27" ht="15" x14ac:dyDescent="0.25">
      <c r="A3152" s="2">
        <v>3147</v>
      </c>
      <c r="B3152" s="39">
        <v>922340180</v>
      </c>
      <c r="C3152" s="28" t="str">
        <f>HYPERLINK("https://pld.live/RapDetail.aspx?STONELIST=922340180","DNA")</f>
        <v>DNA</v>
      </c>
      <c r="D3152" s="18" t="s">
        <v>2990</v>
      </c>
      <c r="E3152" s="18" t="s">
        <v>5128</v>
      </c>
      <c r="F3152" s="2" t="s">
        <v>7987</v>
      </c>
      <c r="G3152" s="2" t="s">
        <v>3296</v>
      </c>
      <c r="H3152" s="14">
        <v>0.91</v>
      </c>
      <c r="I3152" s="2" t="s">
        <v>267</v>
      </c>
      <c r="J3152" s="2" t="s">
        <v>444</v>
      </c>
      <c r="K3152" s="2" t="s">
        <v>1452</v>
      </c>
      <c r="L3152" s="2" t="s">
        <v>5221</v>
      </c>
      <c r="M3152" s="2" t="s">
        <v>5221</v>
      </c>
      <c r="N3152" s="2" t="s">
        <v>2317</v>
      </c>
      <c r="O3152" s="14">
        <v>3700</v>
      </c>
      <c r="P3152" s="14">
        <v>97.16</v>
      </c>
      <c r="Q3152" s="14">
        <v>105.08</v>
      </c>
      <c r="R3152" s="14">
        <v>95.62</v>
      </c>
      <c r="S3152" s="2" t="s">
        <v>4185</v>
      </c>
      <c r="T3152" s="2">
        <v>1.07</v>
      </c>
      <c r="U3152" s="2">
        <v>63.5</v>
      </c>
      <c r="V3152" s="2">
        <v>64.5</v>
      </c>
      <c r="W3152" s="2" t="s">
        <v>7862</v>
      </c>
      <c r="X3152" s="2" t="s">
        <v>3851</v>
      </c>
      <c r="Y3152" s="2">
        <v>3367</v>
      </c>
      <c r="Z3152" s="19" t="str">
        <f>HYPERLINK("https://ssdweb.co/ssdweb/hd/Vision360.html?d=922340180&amp;zoomslide=1&amp;z=1922340180&amp;ISCONFIRM=0","VIDEO")</f>
        <v>VIDEO</v>
      </c>
      <c r="AA3152" s="19" t="str">
        <f>HYPERLINK("https://ssdweb.co/ssdweb/CERTH/528205134.pdf","CERTI")</f>
        <v>CERTI</v>
      </c>
    </row>
    <row r="3153" spans="1:27" ht="15" x14ac:dyDescent="0.25">
      <c r="A3153" s="2">
        <v>3148</v>
      </c>
      <c r="B3153" s="39">
        <v>925040452</v>
      </c>
      <c r="C3153" s="28" t="str">
        <f>HYPERLINK("https://pld.live/RapDetail.aspx?STONELIST=925040452","DNA")</f>
        <v>DNA</v>
      </c>
      <c r="D3153" s="18" t="s">
        <v>2990</v>
      </c>
      <c r="E3153" s="18" t="s">
        <v>5128</v>
      </c>
      <c r="F3153" s="2" t="s">
        <v>7987</v>
      </c>
      <c r="G3153" s="2" t="s">
        <v>3296</v>
      </c>
      <c r="H3153" s="14">
        <v>0.91</v>
      </c>
      <c r="I3153" s="2" t="s">
        <v>4761</v>
      </c>
      <c r="J3153" s="2" t="s">
        <v>3942</v>
      </c>
      <c r="K3153" s="2" t="s">
        <v>1452</v>
      </c>
      <c r="L3153" s="2" t="s">
        <v>5221</v>
      </c>
      <c r="M3153" s="2" t="s">
        <v>5221</v>
      </c>
      <c r="N3153" s="2" t="s">
        <v>2317</v>
      </c>
      <c r="O3153" s="14">
        <v>5200</v>
      </c>
      <c r="P3153" s="14">
        <v>97.85</v>
      </c>
      <c r="Q3153" s="14">
        <v>111.8</v>
      </c>
      <c r="R3153" s="14">
        <v>101.74</v>
      </c>
      <c r="S3153" s="2" t="s">
        <v>3224</v>
      </c>
      <c r="T3153" s="2">
        <v>1</v>
      </c>
      <c r="U3153" s="2">
        <v>68.8</v>
      </c>
      <c r="V3153" s="2">
        <v>61</v>
      </c>
      <c r="W3153" s="2" t="s">
        <v>7862</v>
      </c>
      <c r="X3153" s="2" t="s">
        <v>7670</v>
      </c>
      <c r="Y3153" s="2">
        <v>4732</v>
      </c>
      <c r="Z3153" s="19" t="str">
        <f>HYPERLINK("https://ssdweb.co/ssdweb/hd/Vision360.html?d=925040452&amp;zoomslide=1&amp;z=1925040452&amp;ISCONFIRM=0","VIDEO")</f>
        <v>VIDEO</v>
      </c>
      <c r="AA3153" s="19" t="str">
        <f>HYPERLINK("https://ssdweb.co/ssdweb/CERTH/617426274.pdf","CERTI")</f>
        <v>CERTI</v>
      </c>
    </row>
    <row r="3154" spans="1:27" ht="15" x14ac:dyDescent="0.25">
      <c r="A3154" s="2">
        <v>3149</v>
      </c>
      <c r="B3154" s="39">
        <v>926220651</v>
      </c>
      <c r="C3154" s="28" t="str">
        <f>HYPERLINK("https://pld.live/RapDetail.aspx?STONELIST=926220651","DNA")</f>
        <v>DNA</v>
      </c>
      <c r="D3154" s="18" t="s">
        <v>2990</v>
      </c>
      <c r="E3154" s="18" t="s">
        <v>5128</v>
      </c>
      <c r="F3154" s="2" t="s">
        <v>7987</v>
      </c>
      <c r="G3154" s="2" t="s">
        <v>3296</v>
      </c>
      <c r="H3154" s="14">
        <v>0.91</v>
      </c>
      <c r="I3154" s="2" t="s">
        <v>4761</v>
      </c>
      <c r="J3154" s="2" t="s">
        <v>3942</v>
      </c>
      <c r="K3154" s="2" t="s">
        <v>1452</v>
      </c>
      <c r="L3154" s="2" t="s">
        <v>5221</v>
      </c>
      <c r="M3154" s="2" t="s">
        <v>5221</v>
      </c>
      <c r="N3154" s="2" t="s">
        <v>2317</v>
      </c>
      <c r="O3154" s="14">
        <v>5200</v>
      </c>
      <c r="P3154" s="14">
        <v>97.81</v>
      </c>
      <c r="Q3154" s="14">
        <v>113.88</v>
      </c>
      <c r="R3154" s="14">
        <v>103.63</v>
      </c>
      <c r="S3154" s="2" t="s">
        <v>4635</v>
      </c>
      <c r="T3154" s="2">
        <v>1.04</v>
      </c>
      <c r="U3154" s="2">
        <v>66.8</v>
      </c>
      <c r="V3154" s="2">
        <v>62</v>
      </c>
      <c r="W3154" s="2" t="s">
        <v>7862</v>
      </c>
      <c r="X3154" s="2" t="s">
        <v>7670</v>
      </c>
      <c r="Y3154" s="2">
        <v>4732</v>
      </c>
      <c r="Z3154" s="19" t="str">
        <f>HYPERLINK("https://ssdweb.co/ssdweb/hd/Vision360.html?d=926220651&amp;zoomslide=1&amp;z=1926220651&amp;ISCONFIRM=0","VIDEO")</f>
        <v>VIDEO</v>
      </c>
      <c r="AA3154" s="19" t="str">
        <f>HYPERLINK("https://ssdweb.co/ssdweb/CERTH/635427056.pdf","CERTI")</f>
        <v>CERTI</v>
      </c>
    </row>
    <row r="3155" spans="1:27" ht="15" x14ac:dyDescent="0.25">
      <c r="A3155" s="2">
        <v>3150</v>
      </c>
      <c r="B3155" s="39">
        <v>925260301</v>
      </c>
      <c r="C3155" s="28" t="str">
        <f>HYPERLINK("https://pld.live/RapDetail.aspx?STONELIST=925260301","DNA")</f>
        <v>DNA</v>
      </c>
      <c r="D3155" s="18" t="s">
        <v>2990</v>
      </c>
      <c r="E3155" s="18" t="s">
        <v>5128</v>
      </c>
      <c r="F3155" s="2" t="s">
        <v>7987</v>
      </c>
      <c r="G3155" s="2" t="s">
        <v>3296</v>
      </c>
      <c r="H3155" s="14">
        <v>0.91</v>
      </c>
      <c r="I3155" s="2" t="s">
        <v>4761</v>
      </c>
      <c r="J3155" s="2" t="s">
        <v>3942</v>
      </c>
      <c r="K3155" s="2" t="s">
        <v>1452</v>
      </c>
      <c r="L3155" s="2" t="s">
        <v>5221</v>
      </c>
      <c r="M3155" s="2" t="s">
        <v>5221</v>
      </c>
      <c r="N3155" s="2" t="s">
        <v>2317</v>
      </c>
      <c r="O3155" s="14">
        <v>5200</v>
      </c>
      <c r="P3155" s="14">
        <v>97.85</v>
      </c>
      <c r="Q3155" s="14">
        <v>111.8</v>
      </c>
      <c r="R3155" s="14">
        <v>101.74</v>
      </c>
      <c r="S3155" s="2" t="s">
        <v>7228</v>
      </c>
      <c r="T3155" s="2">
        <v>1.01</v>
      </c>
      <c r="U3155" s="2">
        <v>68</v>
      </c>
      <c r="V3155" s="2">
        <v>61</v>
      </c>
      <c r="W3155" s="2" t="s">
        <v>7862</v>
      </c>
      <c r="X3155" s="2" t="s">
        <v>7670</v>
      </c>
      <c r="Y3155" s="2">
        <v>4732</v>
      </c>
      <c r="Z3155" s="19" t="str">
        <f>HYPERLINK("https://ssdweb.co/ssdweb/hd/Vision360.html?d=925260301&amp;zoomslide=1&amp;z=1925260301&amp;ISCONFIRM=0","VIDEO")</f>
        <v>VIDEO</v>
      </c>
      <c r="AA3155" s="19" t="str">
        <f>HYPERLINK("https://ssdweb.co/ssdweb/CERTH/619469563.pdf","CERTI")</f>
        <v>CERTI</v>
      </c>
    </row>
    <row r="3156" spans="1:27" ht="15" x14ac:dyDescent="0.25">
      <c r="A3156" s="2">
        <v>3151</v>
      </c>
      <c r="B3156" s="39">
        <v>926210891</v>
      </c>
      <c r="C3156" s="28" t="str">
        <f>HYPERLINK("https://pld.live/RapDetail.aspx?STONELIST=926210891","DNA")</f>
        <v>DNA</v>
      </c>
      <c r="D3156" s="18" t="s">
        <v>2990</v>
      </c>
      <c r="E3156" s="18" t="s">
        <v>5128</v>
      </c>
      <c r="F3156" s="2" t="s">
        <v>7987</v>
      </c>
      <c r="G3156" s="2" t="s">
        <v>3296</v>
      </c>
      <c r="H3156" s="14">
        <v>0.91</v>
      </c>
      <c r="I3156" s="2" t="s">
        <v>4761</v>
      </c>
      <c r="J3156" s="2" t="s">
        <v>3942</v>
      </c>
      <c r="K3156" s="2" t="s">
        <v>1452</v>
      </c>
      <c r="L3156" s="2" t="s">
        <v>5721</v>
      </c>
      <c r="M3156" s="2" t="s">
        <v>5221</v>
      </c>
      <c r="N3156" s="2" t="s">
        <v>2317</v>
      </c>
      <c r="O3156" s="14">
        <v>5200</v>
      </c>
      <c r="P3156" s="14">
        <v>97.85</v>
      </c>
      <c r="Q3156" s="14">
        <v>111.8</v>
      </c>
      <c r="R3156" s="14">
        <v>101.74</v>
      </c>
      <c r="S3156" s="2" t="s">
        <v>570</v>
      </c>
      <c r="T3156" s="2">
        <v>1.03</v>
      </c>
      <c r="U3156" s="2">
        <v>67.099999999999994</v>
      </c>
      <c r="V3156" s="2">
        <v>56</v>
      </c>
      <c r="W3156" s="2" t="s">
        <v>7862</v>
      </c>
      <c r="X3156" s="2" t="s">
        <v>7670</v>
      </c>
      <c r="Y3156" s="2">
        <v>4732</v>
      </c>
      <c r="Z3156" s="19" t="str">
        <f>HYPERLINK("https://ssdweb.co/ssdweb/hd/Vision360.html?d=926210891&amp;zoomslide=1&amp;z=1926210891&amp;ISCONFIRM=0","VIDEO")</f>
        <v>VIDEO</v>
      </c>
      <c r="AA3156" s="19" t="str">
        <f>HYPERLINK("https://ssdweb.co/ssdweb/CERTH/635423820.pdf","CERTI")</f>
        <v>CERTI</v>
      </c>
    </row>
    <row r="3157" spans="1:27" ht="15" x14ac:dyDescent="0.25">
      <c r="A3157" s="2">
        <v>3152</v>
      </c>
      <c r="B3157" s="39">
        <v>924580364</v>
      </c>
      <c r="C3157" s="28" t="str">
        <f>HYPERLINK("https://pld.live/RapDetail.aspx?STONELIST=924580364","DNA")</f>
        <v>DNA</v>
      </c>
      <c r="D3157" s="18" t="s">
        <v>2990</v>
      </c>
      <c r="E3157" s="18" t="s">
        <v>5128</v>
      </c>
      <c r="F3157" s="2" t="s">
        <v>7987</v>
      </c>
      <c r="G3157" s="2" t="s">
        <v>3296</v>
      </c>
      <c r="H3157" s="14">
        <v>0.91</v>
      </c>
      <c r="I3157" s="2" t="s">
        <v>4761</v>
      </c>
      <c r="J3157" s="2" t="s">
        <v>13</v>
      </c>
      <c r="K3157" s="2" t="s">
        <v>1452</v>
      </c>
      <c r="L3157" s="2" t="s">
        <v>5221</v>
      </c>
      <c r="M3157" s="2" t="s">
        <v>5221</v>
      </c>
      <c r="N3157" s="2" t="s">
        <v>2317</v>
      </c>
      <c r="O3157" s="14">
        <v>4900</v>
      </c>
      <c r="P3157" s="14">
        <v>97.78</v>
      </c>
      <c r="Q3157" s="14">
        <v>108.78</v>
      </c>
      <c r="R3157" s="14">
        <v>98.99</v>
      </c>
      <c r="S3157" s="2" t="s">
        <v>1178</v>
      </c>
      <c r="T3157" s="2">
        <v>1.05</v>
      </c>
      <c r="U3157" s="2">
        <v>63.9</v>
      </c>
      <c r="V3157" s="2">
        <v>59</v>
      </c>
      <c r="W3157" s="2" t="s">
        <v>7862</v>
      </c>
      <c r="X3157" s="2" t="s">
        <v>3851</v>
      </c>
      <c r="Y3157" s="2">
        <v>4459</v>
      </c>
      <c r="Z3157" s="19" t="str">
        <f>HYPERLINK("https://ssdweb.co/ssdweb/hd/Vision360.html?d=924580364&amp;zoomslide=1&amp;z=1924580364&amp;ISCONFIRM=0","VIDEO")</f>
        <v>VIDEO</v>
      </c>
      <c r="AA3157" s="19" t="str">
        <f>HYPERLINK("https://ssdweb.co/ssdweb/CERTH/598375479.pdf","CERTI")</f>
        <v>CERTI</v>
      </c>
    </row>
    <row r="3158" spans="1:27" ht="15" x14ac:dyDescent="0.25">
      <c r="A3158" s="2">
        <v>3153</v>
      </c>
      <c r="B3158" s="39">
        <v>925030318</v>
      </c>
      <c r="C3158" s="28" t="str">
        <f>HYPERLINK("https://pld.live/RapDetail.aspx?STONELIST=925030318","DNA")</f>
        <v>DNA</v>
      </c>
      <c r="D3158" s="18" t="s">
        <v>2990</v>
      </c>
      <c r="E3158" s="18" t="s">
        <v>5128</v>
      </c>
      <c r="F3158" s="2" t="s">
        <v>7987</v>
      </c>
      <c r="G3158" s="2" t="s">
        <v>3296</v>
      </c>
      <c r="H3158" s="14">
        <v>0.91</v>
      </c>
      <c r="I3158" s="2" t="s">
        <v>4761</v>
      </c>
      <c r="J3158" s="2" t="s">
        <v>13</v>
      </c>
      <c r="K3158" s="2" t="s">
        <v>1452</v>
      </c>
      <c r="L3158" s="2" t="s">
        <v>5221</v>
      </c>
      <c r="M3158" s="2" t="s">
        <v>5221</v>
      </c>
      <c r="N3158" s="2" t="s">
        <v>2317</v>
      </c>
      <c r="O3158" s="14">
        <v>4900</v>
      </c>
      <c r="P3158" s="14">
        <v>97.78</v>
      </c>
      <c r="Q3158" s="14">
        <v>108.78</v>
      </c>
      <c r="R3158" s="14">
        <v>98.99</v>
      </c>
      <c r="S3158" s="2" t="s">
        <v>7022</v>
      </c>
      <c r="T3158" s="2">
        <v>1.04</v>
      </c>
      <c r="U3158" s="2">
        <v>64.3</v>
      </c>
      <c r="V3158" s="2">
        <v>60</v>
      </c>
      <c r="W3158" s="2" t="s">
        <v>7862</v>
      </c>
      <c r="X3158" s="2" t="s">
        <v>7670</v>
      </c>
      <c r="Y3158" s="2">
        <v>4459</v>
      </c>
      <c r="Z3158" s="19" t="str">
        <f>HYPERLINK("https://ssdweb.co/ssdweb/hd/Vision360.html?d=925030318&amp;zoomslide=1&amp;z=1925030318&amp;ISCONFIRM=0","VIDEO")</f>
        <v>VIDEO</v>
      </c>
      <c r="AA3158" s="19" t="str">
        <f>HYPERLINK("https://ssdweb.co/ssdweb/CERTH/611357218.pdf","CERTI")</f>
        <v>CERTI</v>
      </c>
    </row>
    <row r="3159" spans="1:27" ht="15" x14ac:dyDescent="0.25">
      <c r="A3159" s="2">
        <v>3154</v>
      </c>
      <c r="B3159" s="39">
        <v>925030316</v>
      </c>
      <c r="C3159" s="28" t="str">
        <f>HYPERLINK("https://pld.live/RapDetail.aspx?STONELIST=925030316","DNA")</f>
        <v>DNA</v>
      </c>
      <c r="D3159" s="18" t="s">
        <v>2990</v>
      </c>
      <c r="E3159" s="18" t="s">
        <v>5128</v>
      </c>
      <c r="F3159" s="2" t="s">
        <v>7987</v>
      </c>
      <c r="G3159" s="2" t="s">
        <v>3296</v>
      </c>
      <c r="H3159" s="14">
        <v>0.91</v>
      </c>
      <c r="I3159" s="2" t="s">
        <v>4761</v>
      </c>
      <c r="J3159" s="2" t="s">
        <v>13</v>
      </c>
      <c r="K3159" s="2" t="s">
        <v>1452</v>
      </c>
      <c r="L3159" s="2" t="s">
        <v>5221</v>
      </c>
      <c r="M3159" s="2" t="s">
        <v>5221</v>
      </c>
      <c r="N3159" s="2" t="s">
        <v>2317</v>
      </c>
      <c r="O3159" s="14">
        <v>4900</v>
      </c>
      <c r="P3159" s="14">
        <v>97.78</v>
      </c>
      <c r="Q3159" s="14">
        <v>108.78</v>
      </c>
      <c r="R3159" s="14">
        <v>98.99</v>
      </c>
      <c r="S3159" s="2" t="s">
        <v>1415</v>
      </c>
      <c r="T3159" s="2">
        <v>1.05</v>
      </c>
      <c r="U3159" s="2">
        <v>62.6</v>
      </c>
      <c r="V3159" s="2">
        <v>61</v>
      </c>
      <c r="W3159" s="2" t="s">
        <v>7862</v>
      </c>
      <c r="X3159" s="2" t="s">
        <v>7670</v>
      </c>
      <c r="Y3159" s="2">
        <v>4459</v>
      </c>
      <c r="Z3159" s="19" t="str">
        <f>HYPERLINK("https://ssdweb.co/ssdweb/hd/Vision360.html?d=925030316&amp;zoomslide=1&amp;z=1925030316&amp;ISCONFIRM=0","VIDEO")</f>
        <v>VIDEO</v>
      </c>
      <c r="AA3159" s="19" t="str">
        <f>HYPERLINK("https://ssdweb.co/ssdweb/CERTH/611357191.pdf","CERTI")</f>
        <v>CERTI</v>
      </c>
    </row>
    <row r="3160" spans="1:27" ht="15" x14ac:dyDescent="0.25">
      <c r="A3160" s="2">
        <v>3155</v>
      </c>
      <c r="B3160" s="39">
        <v>926210635</v>
      </c>
      <c r="C3160" s="28" t="str">
        <f>HYPERLINK("https://pld.live/RapDetail.aspx?STONELIST=926210635","DNA")</f>
        <v>DNA</v>
      </c>
      <c r="D3160" s="18" t="s">
        <v>2990</v>
      </c>
      <c r="E3160" s="18" t="s">
        <v>5128</v>
      </c>
      <c r="F3160" s="2" t="s">
        <v>7987</v>
      </c>
      <c r="G3160" s="2" t="s">
        <v>3296</v>
      </c>
      <c r="H3160" s="14">
        <v>0.91</v>
      </c>
      <c r="I3160" s="2" t="s">
        <v>4761</v>
      </c>
      <c r="J3160" s="2" t="s">
        <v>13</v>
      </c>
      <c r="K3160" s="2" t="s">
        <v>1452</v>
      </c>
      <c r="L3160" s="2" t="s">
        <v>5221</v>
      </c>
      <c r="M3160" s="2" t="s">
        <v>5221</v>
      </c>
      <c r="N3160" s="2" t="s">
        <v>2317</v>
      </c>
      <c r="O3160" s="14">
        <v>4900</v>
      </c>
      <c r="P3160" s="14">
        <v>97.73</v>
      </c>
      <c r="Q3160" s="14">
        <v>111.23</v>
      </c>
      <c r="R3160" s="14">
        <v>101.22</v>
      </c>
      <c r="S3160" s="2" t="s">
        <v>5072</v>
      </c>
      <c r="T3160" s="2">
        <v>1.06</v>
      </c>
      <c r="U3160" s="2">
        <v>67</v>
      </c>
      <c r="V3160" s="2">
        <v>63</v>
      </c>
      <c r="W3160" s="2" t="s">
        <v>7862</v>
      </c>
      <c r="X3160" s="2" t="s">
        <v>3851</v>
      </c>
      <c r="Y3160" s="2">
        <v>4459</v>
      </c>
      <c r="Z3160" s="19" t="str">
        <f>HYPERLINK("https://ssdweb.co/ssdweb/hd/Vision360.html?d=926210635&amp;zoomslide=1&amp;z=1926210635&amp;ISCONFIRM=0","VIDEO")</f>
        <v>VIDEO</v>
      </c>
      <c r="AA3160" s="19" t="str">
        <f>HYPERLINK("https://ssdweb.co/ssdweb/CERTH/635427099.pdf","CERTI")</f>
        <v>CERTI</v>
      </c>
    </row>
    <row r="3161" spans="1:27" ht="15" x14ac:dyDescent="0.25">
      <c r="A3161" s="2">
        <v>3156</v>
      </c>
      <c r="B3161" s="39">
        <v>926210562</v>
      </c>
      <c r="C3161" s="28" t="str">
        <f>HYPERLINK("https://pld.live/RapDetail.aspx?STONELIST=926210562","DNA")</f>
        <v>DNA</v>
      </c>
      <c r="D3161" s="18" t="s">
        <v>2990</v>
      </c>
      <c r="E3161" s="18" t="s">
        <v>5128</v>
      </c>
      <c r="F3161" s="2" t="s">
        <v>7987</v>
      </c>
      <c r="G3161" s="2" t="s">
        <v>3296</v>
      </c>
      <c r="H3161" s="14">
        <v>0.91</v>
      </c>
      <c r="I3161" s="2" t="s">
        <v>4761</v>
      </c>
      <c r="J3161" s="2" t="s">
        <v>13</v>
      </c>
      <c r="K3161" s="2" t="s">
        <v>1452</v>
      </c>
      <c r="L3161" s="2" t="s">
        <v>5221</v>
      </c>
      <c r="M3161" s="2" t="s">
        <v>5221</v>
      </c>
      <c r="N3161" s="2" t="s">
        <v>2317</v>
      </c>
      <c r="O3161" s="14">
        <v>4900</v>
      </c>
      <c r="P3161" s="14">
        <v>97.73</v>
      </c>
      <c r="Q3161" s="14">
        <v>111.23</v>
      </c>
      <c r="R3161" s="14">
        <v>101.22</v>
      </c>
      <c r="S3161" s="2" t="s">
        <v>3772</v>
      </c>
      <c r="T3161" s="2">
        <v>1.05</v>
      </c>
      <c r="U3161" s="2">
        <v>67.599999999999994</v>
      </c>
      <c r="V3161" s="2">
        <v>61</v>
      </c>
      <c r="W3161" s="2" t="s">
        <v>7862</v>
      </c>
      <c r="X3161" s="2" t="s">
        <v>7670</v>
      </c>
      <c r="Y3161" s="2">
        <v>4459</v>
      </c>
      <c r="Z3161" s="19" t="str">
        <f>HYPERLINK("https://ssdweb.co/ssdweb/hd/Vision360.html?d=926210562&amp;zoomslide=1&amp;z=1926210562&amp;ISCONFIRM=0","VIDEO")</f>
        <v>VIDEO</v>
      </c>
      <c r="AA3161" s="19" t="str">
        <f>HYPERLINK("https://ssdweb.co/ssdweb/CERTH/634431243.pdf","CERTI")</f>
        <v>CERTI</v>
      </c>
    </row>
    <row r="3162" spans="1:27" ht="15" x14ac:dyDescent="0.25">
      <c r="A3162" s="2">
        <v>3157</v>
      </c>
      <c r="B3162" s="39">
        <v>926210536</v>
      </c>
      <c r="C3162" s="28" t="str">
        <f>HYPERLINK("https://pld.live/RapDetail.aspx?STONELIST=926210536","DNA")</f>
        <v>DNA</v>
      </c>
      <c r="D3162" s="18" t="s">
        <v>2990</v>
      </c>
      <c r="E3162" s="18" t="s">
        <v>5128</v>
      </c>
      <c r="F3162" s="2" t="s">
        <v>7987</v>
      </c>
      <c r="G3162" s="2" t="s">
        <v>3296</v>
      </c>
      <c r="H3162" s="14">
        <v>0.91</v>
      </c>
      <c r="I3162" s="2" t="s">
        <v>4761</v>
      </c>
      <c r="J3162" s="2" t="s">
        <v>13</v>
      </c>
      <c r="K3162" s="2" t="s">
        <v>1452</v>
      </c>
      <c r="L3162" s="2" t="s">
        <v>5221</v>
      </c>
      <c r="M3162" s="2" t="s">
        <v>5221</v>
      </c>
      <c r="N3162" s="2" t="s">
        <v>2317</v>
      </c>
      <c r="O3162" s="14">
        <v>4900</v>
      </c>
      <c r="P3162" s="14">
        <v>97.73</v>
      </c>
      <c r="Q3162" s="14">
        <v>111.23</v>
      </c>
      <c r="R3162" s="14">
        <v>101.22</v>
      </c>
      <c r="S3162" s="2" t="s">
        <v>6197</v>
      </c>
      <c r="T3162" s="2">
        <v>1.05</v>
      </c>
      <c r="U3162" s="2">
        <v>66.5</v>
      </c>
      <c r="V3162" s="2">
        <v>61</v>
      </c>
      <c r="W3162" s="2" t="s">
        <v>7862</v>
      </c>
      <c r="X3162" s="2" t="s">
        <v>7670</v>
      </c>
      <c r="Y3162" s="2">
        <v>4459</v>
      </c>
      <c r="Z3162" s="19" t="str">
        <f>HYPERLINK("https://ssdweb.co/ssdweb/hd/Vision360.html?d=926210536&amp;zoomslide=1&amp;z=1926210536&amp;ISCONFIRM=0","VIDEO")</f>
        <v>VIDEO</v>
      </c>
      <c r="AA3162" s="19" t="str">
        <f>HYPERLINK("https://ssdweb.co/ssdweb/CERTH/634431251.pdf","CERTI")</f>
        <v>CERTI</v>
      </c>
    </row>
    <row r="3163" spans="1:27" ht="15" x14ac:dyDescent="0.25">
      <c r="A3163" s="2">
        <v>3158</v>
      </c>
      <c r="B3163" s="39">
        <v>925040441</v>
      </c>
      <c r="C3163" s="28" t="str">
        <f>HYPERLINK("https://pld.live/RapDetail.aspx?STONELIST=925040441","DNA")</f>
        <v>DNA</v>
      </c>
      <c r="D3163" s="18" t="s">
        <v>2990</v>
      </c>
      <c r="E3163" s="18" t="s">
        <v>5128</v>
      </c>
      <c r="F3163" s="2" t="s">
        <v>7987</v>
      </c>
      <c r="G3163" s="2" t="s">
        <v>3296</v>
      </c>
      <c r="H3163" s="14">
        <v>0.9</v>
      </c>
      <c r="I3163" s="2" t="s">
        <v>267</v>
      </c>
      <c r="J3163" s="2" t="s">
        <v>3942</v>
      </c>
      <c r="K3163" s="2" t="s">
        <v>1452</v>
      </c>
      <c r="L3163" s="2" t="s">
        <v>5221</v>
      </c>
      <c r="M3163" s="2" t="s">
        <v>5221</v>
      </c>
      <c r="N3163" s="2" t="s">
        <v>2317</v>
      </c>
      <c r="O3163" s="14">
        <v>5600</v>
      </c>
      <c r="P3163" s="14">
        <v>97.96</v>
      </c>
      <c r="Q3163" s="14">
        <v>114.24</v>
      </c>
      <c r="R3163" s="14">
        <v>102.82</v>
      </c>
      <c r="S3163" s="2" t="s">
        <v>3071</v>
      </c>
      <c r="T3163" s="2">
        <v>1.04</v>
      </c>
      <c r="U3163" s="2">
        <v>62.8</v>
      </c>
      <c r="V3163" s="2">
        <v>62</v>
      </c>
      <c r="W3163" s="2" t="s">
        <v>7862</v>
      </c>
      <c r="X3163" s="2" t="s">
        <v>7670</v>
      </c>
      <c r="Y3163" s="2">
        <v>5040</v>
      </c>
      <c r="Z3163" s="19" t="str">
        <f>HYPERLINK("https://ssdweb.co/ssdweb/hd/Vision360.html?d=925040441&amp;zoomslide=1&amp;z=1925040441&amp;ISCONFIRM=0","VIDEO")</f>
        <v>VIDEO</v>
      </c>
      <c r="AA3163" s="19" t="str">
        <f>HYPERLINK("https://ssdweb.co/ssdweb/CERTH/617426252.pdf","CERTI")</f>
        <v>CERTI</v>
      </c>
    </row>
    <row r="3164" spans="1:27" ht="15" x14ac:dyDescent="0.25">
      <c r="A3164" s="2">
        <v>3159</v>
      </c>
      <c r="B3164" s="39">
        <v>925030452</v>
      </c>
      <c r="C3164" s="28" t="str">
        <f>HYPERLINK("https://pld.live/RapDetail.aspx?STONELIST=925030452","DNA")</f>
        <v>DNA</v>
      </c>
      <c r="D3164" s="18" t="s">
        <v>2990</v>
      </c>
      <c r="E3164" s="18" t="s">
        <v>5128</v>
      </c>
      <c r="F3164" s="2" t="s">
        <v>7987</v>
      </c>
      <c r="G3164" s="2" t="s">
        <v>3296</v>
      </c>
      <c r="H3164" s="14">
        <v>0.9</v>
      </c>
      <c r="I3164" s="2" t="s">
        <v>267</v>
      </c>
      <c r="J3164" s="2" t="s">
        <v>3942</v>
      </c>
      <c r="K3164" s="2" t="s">
        <v>1452</v>
      </c>
      <c r="L3164" s="2" t="s">
        <v>5221</v>
      </c>
      <c r="M3164" s="2" t="s">
        <v>5221</v>
      </c>
      <c r="N3164" s="2" t="s">
        <v>2317</v>
      </c>
      <c r="O3164" s="14">
        <v>5600</v>
      </c>
      <c r="P3164" s="14">
        <v>97.96</v>
      </c>
      <c r="Q3164" s="14">
        <v>114.24</v>
      </c>
      <c r="R3164" s="14">
        <v>102.82</v>
      </c>
      <c r="S3164" s="2" t="s">
        <v>6685</v>
      </c>
      <c r="T3164" s="2">
        <v>1.05</v>
      </c>
      <c r="U3164" s="2">
        <v>66.7</v>
      </c>
      <c r="V3164" s="2">
        <v>61</v>
      </c>
      <c r="W3164" s="2" t="s">
        <v>7862</v>
      </c>
      <c r="X3164" s="2" t="s">
        <v>7670</v>
      </c>
      <c r="Y3164" s="2">
        <v>5040</v>
      </c>
      <c r="Z3164" s="19" t="str">
        <f>HYPERLINK("https://ssdweb.co/ssdweb/hd/Vision360.html?d=925030452&amp;zoomslide=1&amp;z=1925030452&amp;ISCONFIRM=0","VIDEO")</f>
        <v>VIDEO</v>
      </c>
      <c r="AA3164" s="19" t="str">
        <f>HYPERLINK("https://ssdweb.co/ssdweb/CERTH/619453306.pdf","CERTI")</f>
        <v>CERTI</v>
      </c>
    </row>
    <row r="3165" spans="1:27" ht="15" x14ac:dyDescent="0.25">
      <c r="A3165" s="2">
        <v>3160</v>
      </c>
      <c r="B3165" s="39">
        <v>925830770</v>
      </c>
      <c r="C3165" s="28" t="str">
        <f>HYPERLINK("https://pld.live/RapDetail.aspx?STONELIST=925830770","DNA")</f>
        <v>DNA</v>
      </c>
      <c r="D3165" s="18" t="s">
        <v>2990</v>
      </c>
      <c r="E3165" s="18" t="s">
        <v>5128</v>
      </c>
      <c r="F3165" s="2" t="s">
        <v>7987</v>
      </c>
      <c r="G3165" s="2" t="s">
        <v>3296</v>
      </c>
      <c r="H3165" s="14">
        <v>0.9</v>
      </c>
      <c r="I3165" s="2" t="s">
        <v>267</v>
      </c>
      <c r="J3165" s="2" t="s">
        <v>3942</v>
      </c>
      <c r="K3165" s="2" t="s">
        <v>1452</v>
      </c>
      <c r="L3165" s="2" t="s">
        <v>5221</v>
      </c>
      <c r="M3165" s="2" t="s">
        <v>5221</v>
      </c>
      <c r="N3165" s="2" t="s">
        <v>2317</v>
      </c>
      <c r="O3165" s="14">
        <v>5600</v>
      </c>
      <c r="P3165" s="14">
        <v>97.93</v>
      </c>
      <c r="Q3165" s="14">
        <v>115.92</v>
      </c>
      <c r="R3165" s="14">
        <v>104.33</v>
      </c>
      <c r="S3165" s="2" t="s">
        <v>2489</v>
      </c>
      <c r="T3165" s="2">
        <v>1.02</v>
      </c>
      <c r="U3165" s="2">
        <v>64.900000000000006</v>
      </c>
      <c r="V3165" s="2">
        <v>59</v>
      </c>
      <c r="W3165" s="2" t="s">
        <v>7862</v>
      </c>
      <c r="X3165" s="2" t="s">
        <v>7670</v>
      </c>
      <c r="Y3165" s="2">
        <v>5040</v>
      </c>
      <c r="Z3165" s="19" t="str">
        <f>HYPERLINK("https://ssdweb.co/ssdweb/hd/Vision360.html?d=925830770&amp;zoomslide=1&amp;z=1925830770&amp;ISCONFIRM=0","VIDEO")</f>
        <v>VIDEO</v>
      </c>
      <c r="AA3165" s="19" t="str">
        <f>HYPERLINK("https://ssdweb.co/ssdweb/CERTH/629435535.pdf","CERTI")</f>
        <v>CERTI</v>
      </c>
    </row>
    <row r="3166" spans="1:27" ht="15" x14ac:dyDescent="0.25">
      <c r="A3166" s="2">
        <v>3161</v>
      </c>
      <c r="B3166" s="39">
        <v>925791421</v>
      </c>
      <c r="C3166" s="28" t="str">
        <f>HYPERLINK("https://pld.live/RapDetail.aspx?STONELIST=925791421","DNA")</f>
        <v>DNA</v>
      </c>
      <c r="D3166" s="18" t="s">
        <v>2990</v>
      </c>
      <c r="E3166" s="18" t="s">
        <v>5128</v>
      </c>
      <c r="F3166" s="2" t="s">
        <v>7987</v>
      </c>
      <c r="G3166" s="2" t="s">
        <v>3296</v>
      </c>
      <c r="H3166" s="14">
        <v>0.9</v>
      </c>
      <c r="I3166" s="2" t="s">
        <v>267</v>
      </c>
      <c r="J3166" s="2" t="s">
        <v>3942</v>
      </c>
      <c r="K3166" s="2" t="s">
        <v>1452</v>
      </c>
      <c r="L3166" s="2" t="s">
        <v>5221</v>
      </c>
      <c r="M3166" s="2" t="s">
        <v>5221</v>
      </c>
      <c r="N3166" s="2" t="s">
        <v>2317</v>
      </c>
      <c r="O3166" s="14">
        <v>5600</v>
      </c>
      <c r="P3166" s="14">
        <v>97.96</v>
      </c>
      <c r="Q3166" s="14">
        <v>114.24</v>
      </c>
      <c r="R3166" s="14">
        <v>102.82</v>
      </c>
      <c r="S3166" s="2" t="s">
        <v>1586</v>
      </c>
      <c r="T3166" s="2">
        <v>1.05</v>
      </c>
      <c r="U3166" s="2">
        <v>63.3</v>
      </c>
      <c r="V3166" s="2">
        <v>57</v>
      </c>
      <c r="W3166" s="2" t="s">
        <v>7862</v>
      </c>
      <c r="X3166" s="2" t="s">
        <v>7670</v>
      </c>
      <c r="Y3166" s="2">
        <v>5040</v>
      </c>
      <c r="Z3166" s="19" t="str">
        <f>HYPERLINK("https://ssdweb.co/ssdweb/hd/Vision360.html?d=925791421&amp;zoomslide=1&amp;z=1925791421&amp;ISCONFIRM=0","VIDEO")</f>
        <v>VIDEO</v>
      </c>
      <c r="AA3166" s="19" t="str">
        <f>HYPERLINK("https://ssdweb.co/ssdweb/CERTH/627431665.pdf","CERTI")</f>
        <v>CERTI</v>
      </c>
    </row>
    <row r="3167" spans="1:27" ht="15" x14ac:dyDescent="0.25">
      <c r="A3167" s="2">
        <v>3162</v>
      </c>
      <c r="B3167" s="39">
        <v>926210634</v>
      </c>
      <c r="C3167" s="28" t="str">
        <f>HYPERLINK("https://pld.live/RapDetail.aspx?STONELIST=926210634","DNA")</f>
        <v>DNA</v>
      </c>
      <c r="D3167" s="18" t="s">
        <v>2990</v>
      </c>
      <c r="E3167" s="18" t="s">
        <v>5128</v>
      </c>
      <c r="F3167" s="2" t="s">
        <v>7987</v>
      </c>
      <c r="G3167" s="2" t="s">
        <v>3296</v>
      </c>
      <c r="H3167" s="14">
        <v>0.9</v>
      </c>
      <c r="I3167" s="2" t="s">
        <v>267</v>
      </c>
      <c r="J3167" s="2" t="s">
        <v>3942</v>
      </c>
      <c r="K3167" s="2" t="s">
        <v>1452</v>
      </c>
      <c r="L3167" s="2" t="s">
        <v>5221</v>
      </c>
      <c r="M3167" s="2" t="s">
        <v>5221</v>
      </c>
      <c r="N3167" s="2" t="s">
        <v>2317</v>
      </c>
      <c r="O3167" s="14">
        <v>5600</v>
      </c>
      <c r="P3167" s="14">
        <v>97.93</v>
      </c>
      <c r="Q3167" s="14">
        <v>115.92</v>
      </c>
      <c r="R3167" s="14">
        <v>104.33</v>
      </c>
      <c r="S3167" s="2" t="s">
        <v>5139</v>
      </c>
      <c r="T3167" s="2">
        <v>1.05</v>
      </c>
      <c r="U3167" s="2">
        <v>64.099999999999994</v>
      </c>
      <c r="V3167" s="2">
        <v>60</v>
      </c>
      <c r="W3167" s="2" t="s">
        <v>7862</v>
      </c>
      <c r="X3167" s="2" t="s">
        <v>7670</v>
      </c>
      <c r="Y3167" s="2">
        <v>5040</v>
      </c>
      <c r="Z3167" s="19" t="str">
        <f>HYPERLINK("https://ssdweb.co/ssdweb/hd/Vision360.html?d=926210634&amp;zoomslide=1&amp;z=1926210634&amp;ISCONFIRM=0","VIDEO")</f>
        <v>VIDEO</v>
      </c>
      <c r="AA3167" s="19" t="str">
        <f>HYPERLINK("https://ssdweb.co/ssdweb/CERTH/635427090.pdf","CERTI")</f>
        <v>CERTI</v>
      </c>
    </row>
    <row r="3168" spans="1:27" ht="15" x14ac:dyDescent="0.25">
      <c r="A3168" s="2">
        <v>3163</v>
      </c>
      <c r="B3168" s="39">
        <v>926210541</v>
      </c>
      <c r="C3168" s="28" t="str">
        <f>HYPERLINK("https://pld.live/RapDetail.aspx?STONELIST=926210541","DNA")</f>
        <v>DNA</v>
      </c>
      <c r="D3168" s="18" t="s">
        <v>2990</v>
      </c>
      <c r="E3168" s="18" t="s">
        <v>5128</v>
      </c>
      <c r="F3168" s="2" t="s">
        <v>7987</v>
      </c>
      <c r="G3168" s="2" t="s">
        <v>3296</v>
      </c>
      <c r="H3168" s="14">
        <v>0.9</v>
      </c>
      <c r="I3168" s="2" t="s">
        <v>267</v>
      </c>
      <c r="J3168" s="2" t="s">
        <v>3942</v>
      </c>
      <c r="K3168" s="2" t="s">
        <v>1452</v>
      </c>
      <c r="L3168" s="2" t="s">
        <v>5221</v>
      </c>
      <c r="M3168" s="2" t="s">
        <v>5221</v>
      </c>
      <c r="N3168" s="2" t="s">
        <v>2317</v>
      </c>
      <c r="O3168" s="14">
        <v>5600</v>
      </c>
      <c r="P3168" s="14">
        <v>97.93</v>
      </c>
      <c r="Q3168" s="14">
        <v>115.92</v>
      </c>
      <c r="R3168" s="14">
        <v>104.33</v>
      </c>
      <c r="S3168" s="2" t="s">
        <v>5950</v>
      </c>
      <c r="T3168" s="2">
        <v>1.05</v>
      </c>
      <c r="U3168" s="2">
        <v>65.5</v>
      </c>
      <c r="V3168" s="2">
        <v>58</v>
      </c>
      <c r="W3168" s="2" t="s">
        <v>7862</v>
      </c>
      <c r="X3168" s="2" t="s">
        <v>7670</v>
      </c>
      <c r="Y3168" s="2">
        <v>5040</v>
      </c>
      <c r="Z3168" s="19" t="str">
        <f>HYPERLINK("https://ssdweb.co/ssdweb/hd/Vision360.html?d=926210541&amp;zoomslide=1&amp;z=1926210541&amp;ISCONFIRM=0","VIDEO")</f>
        <v>VIDEO</v>
      </c>
      <c r="AA3168" s="19" t="str">
        <f>HYPERLINK("https://ssdweb.co/ssdweb/CERTH/634431236.pdf","CERTI")</f>
        <v>CERTI</v>
      </c>
    </row>
    <row r="3169" spans="1:27" ht="15" x14ac:dyDescent="0.25">
      <c r="A3169" s="2">
        <v>3164</v>
      </c>
      <c r="B3169" s="39">
        <v>925210056</v>
      </c>
      <c r="C3169" s="28" t="str">
        <f>HYPERLINK("https://pld.live/RapDetail.aspx?STONELIST=925210056","DNA")</f>
        <v>DNA</v>
      </c>
      <c r="D3169" s="18" t="s">
        <v>2990</v>
      </c>
      <c r="E3169" s="18" t="s">
        <v>5128</v>
      </c>
      <c r="F3169" s="2" t="s">
        <v>7987</v>
      </c>
      <c r="G3169" s="2" t="s">
        <v>3296</v>
      </c>
      <c r="H3169" s="14">
        <v>0.9</v>
      </c>
      <c r="I3169" s="2" t="s">
        <v>267</v>
      </c>
      <c r="J3169" s="2" t="s">
        <v>3942</v>
      </c>
      <c r="K3169" s="2" t="s">
        <v>1452</v>
      </c>
      <c r="L3169" s="2" t="s">
        <v>5221</v>
      </c>
      <c r="M3169" s="2" t="s">
        <v>5221</v>
      </c>
      <c r="N3169" s="2" t="s">
        <v>2317</v>
      </c>
      <c r="O3169" s="14">
        <v>5600</v>
      </c>
      <c r="P3169" s="14">
        <v>97.96</v>
      </c>
      <c r="Q3169" s="14">
        <v>114.24</v>
      </c>
      <c r="R3169" s="14">
        <v>102.82</v>
      </c>
      <c r="S3169" s="2" t="s">
        <v>6766</v>
      </c>
      <c r="T3169" s="2">
        <v>1.03</v>
      </c>
      <c r="U3169" s="2">
        <v>63.1</v>
      </c>
      <c r="V3169" s="2">
        <v>57</v>
      </c>
      <c r="W3169" s="2" t="s">
        <v>7862</v>
      </c>
      <c r="X3169" s="2" t="s">
        <v>7670</v>
      </c>
      <c r="Y3169" s="2">
        <v>5040</v>
      </c>
      <c r="Z3169" s="19" t="str">
        <f>HYPERLINK("https://ssdweb.co/ssdweb/hd/Vision360.html?d=925210056&amp;zoomslide=1&amp;z=1925210056&amp;ISCONFIRM=0","VIDEO")</f>
        <v>VIDEO</v>
      </c>
      <c r="AA3169" s="19" t="str">
        <f>HYPERLINK("https://ssdweb.co/ssdweb/CERTH/620403101.pdf","CERTI")</f>
        <v>CERTI</v>
      </c>
    </row>
    <row r="3170" spans="1:27" ht="15" x14ac:dyDescent="0.25">
      <c r="A3170" s="2">
        <v>3165</v>
      </c>
      <c r="B3170" s="39">
        <v>925040428</v>
      </c>
      <c r="C3170" s="28" t="str">
        <f>HYPERLINK("https://pld.live/RapDetail.aspx?STONELIST=925040428","DNA")</f>
        <v>DNA</v>
      </c>
      <c r="D3170" s="18" t="s">
        <v>2990</v>
      </c>
      <c r="E3170" s="18" t="s">
        <v>5128</v>
      </c>
      <c r="F3170" s="2" t="s">
        <v>7987</v>
      </c>
      <c r="G3170" s="2" t="s">
        <v>3296</v>
      </c>
      <c r="H3170" s="14">
        <v>0.9</v>
      </c>
      <c r="I3170" s="2" t="s">
        <v>267</v>
      </c>
      <c r="J3170" s="2" t="s">
        <v>13</v>
      </c>
      <c r="K3170" s="2" t="s">
        <v>1452</v>
      </c>
      <c r="L3170" s="2" t="s">
        <v>5221</v>
      </c>
      <c r="M3170" s="2" t="s">
        <v>5221</v>
      </c>
      <c r="N3170" s="2" t="s">
        <v>2317</v>
      </c>
      <c r="O3170" s="14">
        <v>5200</v>
      </c>
      <c r="P3170" s="14">
        <v>97.85</v>
      </c>
      <c r="Q3170" s="14">
        <v>111.8</v>
      </c>
      <c r="R3170" s="14">
        <v>100.62</v>
      </c>
      <c r="S3170" s="2" t="s">
        <v>5702</v>
      </c>
      <c r="T3170" s="2">
        <v>1.03</v>
      </c>
      <c r="U3170" s="2">
        <v>62.7</v>
      </c>
      <c r="V3170" s="2">
        <v>61</v>
      </c>
      <c r="W3170" s="2" t="s">
        <v>7862</v>
      </c>
      <c r="X3170" s="2" t="s">
        <v>7670</v>
      </c>
      <c r="Y3170" s="2">
        <v>4680</v>
      </c>
      <c r="Z3170" s="19" t="str">
        <f>HYPERLINK("https://ssdweb.co/ssdweb/hd/Vision360.html?d=925040428&amp;zoomslide=1&amp;z=1925040428&amp;ISCONFIRM=0","VIDEO")</f>
        <v>VIDEO</v>
      </c>
      <c r="AA3170" s="19" t="str">
        <f>HYPERLINK("https://ssdweb.co/ssdweb/CERTH/617424603.pdf","CERTI")</f>
        <v>CERTI</v>
      </c>
    </row>
    <row r="3171" spans="1:27" ht="15" x14ac:dyDescent="0.25">
      <c r="A3171" s="2">
        <v>3166</v>
      </c>
      <c r="B3171" s="39">
        <v>922510163</v>
      </c>
      <c r="C3171" s="28" t="str">
        <f>HYPERLINK("https://pld.live/RapDetail.aspx?STONELIST=922510163","DNA")</f>
        <v>DNA</v>
      </c>
      <c r="D3171" s="18" t="s">
        <v>2990</v>
      </c>
      <c r="E3171" s="18" t="s">
        <v>5128</v>
      </c>
      <c r="F3171" s="2" t="s">
        <v>7987</v>
      </c>
      <c r="G3171" s="2" t="s">
        <v>3296</v>
      </c>
      <c r="H3171" s="14">
        <v>0.9</v>
      </c>
      <c r="I3171" s="2" t="s">
        <v>267</v>
      </c>
      <c r="J3171" s="2" t="s">
        <v>13</v>
      </c>
      <c r="K3171" s="2" t="s">
        <v>1452</v>
      </c>
      <c r="L3171" s="2" t="s">
        <v>5221</v>
      </c>
      <c r="M3171" s="2" t="s">
        <v>5221</v>
      </c>
      <c r="N3171" s="2" t="s">
        <v>2317</v>
      </c>
      <c r="O3171" s="14">
        <v>5200</v>
      </c>
      <c r="P3171" s="14">
        <v>97.85</v>
      </c>
      <c r="Q3171" s="14">
        <v>111.8</v>
      </c>
      <c r="R3171" s="14">
        <v>100.62</v>
      </c>
      <c r="S3171" s="2" t="s">
        <v>1568</v>
      </c>
      <c r="T3171" s="2">
        <v>1.07</v>
      </c>
      <c r="U3171" s="2">
        <v>67.7</v>
      </c>
      <c r="V3171" s="2">
        <v>60.5</v>
      </c>
      <c r="W3171" s="2" t="s">
        <v>7862</v>
      </c>
      <c r="X3171" s="2" t="s">
        <v>3851</v>
      </c>
      <c r="Y3171" s="2">
        <v>4680</v>
      </c>
      <c r="Z3171" s="19" t="str">
        <f>HYPERLINK("https://ssdweb.co/ssdweb/hd/Vision360.html?d=922510163&amp;zoomslide=1&amp;z=1922510163&amp;ISCONFIRM=0","VIDEO")</f>
        <v>VIDEO</v>
      </c>
      <c r="AA3171" s="19" t="str">
        <f>HYPERLINK("https://ssdweb.co/ssdweb/CERTH/529245995.pdf","CERTI")</f>
        <v>CERTI</v>
      </c>
    </row>
    <row r="3172" spans="1:27" ht="15" x14ac:dyDescent="0.25">
      <c r="A3172" s="2">
        <v>3167</v>
      </c>
      <c r="B3172" s="39">
        <v>925030303</v>
      </c>
      <c r="C3172" s="28" t="str">
        <f>HYPERLINK("https://pld.live/RapDetail.aspx?STONELIST=925030303","DNA")</f>
        <v>DNA</v>
      </c>
      <c r="D3172" s="18" t="s">
        <v>2990</v>
      </c>
      <c r="E3172" s="18" t="s">
        <v>5128</v>
      </c>
      <c r="F3172" s="2" t="s">
        <v>7987</v>
      </c>
      <c r="G3172" s="2" t="s">
        <v>3296</v>
      </c>
      <c r="H3172" s="14">
        <v>0.9</v>
      </c>
      <c r="I3172" s="2" t="s">
        <v>267</v>
      </c>
      <c r="J3172" s="2" t="s">
        <v>13</v>
      </c>
      <c r="K3172" s="2" t="s">
        <v>1452</v>
      </c>
      <c r="L3172" s="2" t="s">
        <v>5221</v>
      </c>
      <c r="M3172" s="2" t="s">
        <v>5221</v>
      </c>
      <c r="N3172" s="2" t="s">
        <v>2317</v>
      </c>
      <c r="O3172" s="14">
        <v>5200</v>
      </c>
      <c r="P3172" s="14">
        <v>97.85</v>
      </c>
      <c r="Q3172" s="14">
        <v>111.8</v>
      </c>
      <c r="R3172" s="14">
        <v>100.62</v>
      </c>
      <c r="S3172" s="2" t="s">
        <v>3703</v>
      </c>
      <c r="T3172" s="2">
        <v>1.06</v>
      </c>
      <c r="U3172" s="2">
        <v>64.099999999999994</v>
      </c>
      <c r="V3172" s="2">
        <v>62</v>
      </c>
      <c r="W3172" s="2" t="s">
        <v>7862</v>
      </c>
      <c r="X3172" s="2" t="s">
        <v>7053</v>
      </c>
      <c r="Y3172" s="2">
        <v>4680</v>
      </c>
      <c r="Z3172" s="19" t="str">
        <f>HYPERLINK("https://ssdweb.co/ssdweb/hd/Vision360.html?d=925030303&amp;zoomslide=1&amp;z=1925030303&amp;ISCONFIRM=0","VIDEO")</f>
        <v>VIDEO</v>
      </c>
      <c r="AA3172" s="19" t="str">
        <f>HYPERLINK("https://ssdweb.co/ssdweb/CERTH/610315068.pdf","CERTI")</f>
        <v>CERTI</v>
      </c>
    </row>
    <row r="3173" spans="1:27" ht="15" x14ac:dyDescent="0.25">
      <c r="A3173" s="2">
        <v>3168</v>
      </c>
      <c r="B3173" s="39">
        <v>925030446</v>
      </c>
      <c r="C3173" s="28" t="str">
        <f>HYPERLINK("https://pld.live/RapDetail.aspx?STONELIST=925030446","DNA")</f>
        <v>DNA</v>
      </c>
      <c r="D3173" s="18" t="s">
        <v>2990</v>
      </c>
      <c r="E3173" s="18" t="s">
        <v>5128</v>
      </c>
      <c r="F3173" s="2" t="s">
        <v>7987</v>
      </c>
      <c r="G3173" s="2" t="s">
        <v>3296</v>
      </c>
      <c r="H3173" s="14">
        <v>0.9</v>
      </c>
      <c r="I3173" s="2" t="s">
        <v>267</v>
      </c>
      <c r="J3173" s="2" t="s">
        <v>13</v>
      </c>
      <c r="K3173" s="2" t="s">
        <v>1452</v>
      </c>
      <c r="L3173" s="2" t="s">
        <v>5221</v>
      </c>
      <c r="M3173" s="2" t="s">
        <v>5221</v>
      </c>
      <c r="N3173" s="2" t="s">
        <v>2317</v>
      </c>
      <c r="O3173" s="14">
        <v>5200</v>
      </c>
      <c r="P3173" s="14">
        <v>97.85</v>
      </c>
      <c r="Q3173" s="14">
        <v>111.8</v>
      </c>
      <c r="R3173" s="14">
        <v>100.62</v>
      </c>
      <c r="S3173" s="2" t="s">
        <v>7999</v>
      </c>
      <c r="T3173" s="2">
        <v>1.06</v>
      </c>
      <c r="U3173" s="2">
        <v>66.5</v>
      </c>
      <c r="V3173" s="2">
        <v>57</v>
      </c>
      <c r="W3173" s="2" t="s">
        <v>7862</v>
      </c>
      <c r="X3173" s="2" t="s">
        <v>3851</v>
      </c>
      <c r="Y3173" s="2">
        <v>4680</v>
      </c>
      <c r="Z3173" s="19" t="str">
        <f>HYPERLINK("https://ssdweb.co/ssdweb/hd/Vision360.html?d=925030446&amp;zoomslide=1&amp;z=1925030446&amp;ISCONFIRM=0","VIDEO")</f>
        <v>VIDEO</v>
      </c>
      <c r="AA3173" s="19" t="str">
        <f>HYPERLINK("https://ssdweb.co/ssdweb/CERTH/619423989.pdf","CERTI")</f>
        <v>CERTI</v>
      </c>
    </row>
    <row r="3174" spans="1:27" ht="15" x14ac:dyDescent="0.25">
      <c r="A3174" s="2">
        <v>3169</v>
      </c>
      <c r="B3174" s="39">
        <v>925030401</v>
      </c>
      <c r="C3174" s="28" t="str">
        <f>HYPERLINK("https://pld.live/RapDetail.aspx?STONELIST=925030401","DNA")</f>
        <v>DNA</v>
      </c>
      <c r="D3174" s="18" t="s">
        <v>2990</v>
      </c>
      <c r="E3174" s="18" t="s">
        <v>5128</v>
      </c>
      <c r="F3174" s="2" t="s">
        <v>7987</v>
      </c>
      <c r="G3174" s="2" t="s">
        <v>3296</v>
      </c>
      <c r="H3174" s="14">
        <v>0.9</v>
      </c>
      <c r="I3174" s="2" t="s">
        <v>267</v>
      </c>
      <c r="J3174" s="2" t="s">
        <v>13</v>
      </c>
      <c r="K3174" s="2" t="s">
        <v>1452</v>
      </c>
      <c r="L3174" s="2" t="s">
        <v>5221</v>
      </c>
      <c r="M3174" s="2" t="s">
        <v>5221</v>
      </c>
      <c r="N3174" s="2" t="s">
        <v>2317</v>
      </c>
      <c r="O3174" s="14">
        <v>5200</v>
      </c>
      <c r="P3174" s="14">
        <v>97.85</v>
      </c>
      <c r="Q3174" s="14">
        <v>111.8</v>
      </c>
      <c r="R3174" s="14">
        <v>100.62</v>
      </c>
      <c r="S3174" s="2" t="s">
        <v>6337</v>
      </c>
      <c r="T3174" s="2">
        <v>1.05</v>
      </c>
      <c r="U3174" s="2">
        <v>67.599999999999994</v>
      </c>
      <c r="V3174" s="2">
        <v>57</v>
      </c>
      <c r="W3174" s="2" t="s">
        <v>7862</v>
      </c>
      <c r="X3174" s="2" t="s">
        <v>7670</v>
      </c>
      <c r="Y3174" s="2">
        <v>4680</v>
      </c>
      <c r="Z3174" s="19" t="str">
        <f>HYPERLINK("https://ssdweb.co/ssdweb/hd/Vision360.html?d=925030401&amp;zoomslide=1&amp;z=1925030401&amp;ISCONFIRM=0","VIDEO")</f>
        <v>VIDEO</v>
      </c>
      <c r="AA3174" s="19" t="str">
        <f>HYPERLINK("https://ssdweb.co/ssdweb/CERTH/614319336.pdf","CERTI")</f>
        <v>CERTI</v>
      </c>
    </row>
    <row r="3175" spans="1:27" ht="15" x14ac:dyDescent="0.25">
      <c r="A3175" s="2">
        <v>3170</v>
      </c>
      <c r="B3175" s="39">
        <v>924880266</v>
      </c>
      <c r="C3175" s="28" t="str">
        <f>HYPERLINK("https://pld.live/RapDetail.aspx?STONELIST=924880266","DNA")</f>
        <v>DNA</v>
      </c>
      <c r="D3175" s="18" t="s">
        <v>2990</v>
      </c>
      <c r="E3175" s="18" t="s">
        <v>5128</v>
      </c>
      <c r="F3175" s="2" t="s">
        <v>7987</v>
      </c>
      <c r="G3175" s="2" t="s">
        <v>3296</v>
      </c>
      <c r="H3175" s="14">
        <v>0.9</v>
      </c>
      <c r="I3175" s="2" t="s">
        <v>267</v>
      </c>
      <c r="J3175" s="2" t="s">
        <v>13</v>
      </c>
      <c r="K3175" s="2" t="s">
        <v>1452</v>
      </c>
      <c r="L3175" s="2" t="s">
        <v>5221</v>
      </c>
      <c r="M3175" s="2" t="s">
        <v>5221</v>
      </c>
      <c r="N3175" s="2" t="s">
        <v>2317</v>
      </c>
      <c r="O3175" s="14">
        <v>5200</v>
      </c>
      <c r="P3175" s="14">
        <v>97.85</v>
      </c>
      <c r="Q3175" s="14">
        <v>111.8</v>
      </c>
      <c r="R3175" s="14">
        <v>100.62</v>
      </c>
      <c r="S3175" s="2" t="s">
        <v>4399</v>
      </c>
      <c r="T3175" s="2">
        <v>1.01</v>
      </c>
      <c r="U3175" s="2">
        <v>66</v>
      </c>
      <c r="V3175" s="2">
        <v>62</v>
      </c>
      <c r="W3175" s="2" t="s">
        <v>7862</v>
      </c>
      <c r="X3175" s="2" t="s">
        <v>7670</v>
      </c>
      <c r="Y3175" s="2">
        <v>4680</v>
      </c>
      <c r="Z3175" s="19" t="str">
        <f>HYPERLINK("https://ssdweb.co/ssdweb/hd/Vision360.html?d=924880266&amp;zoomslide=1&amp;z=1924880266&amp;ISCONFIRM=0","VIDEO")</f>
        <v>VIDEO</v>
      </c>
      <c r="AA3175" s="19" t="str">
        <f>HYPERLINK("https://ssdweb.co/ssdweb/CERTH/602315882.pdf","CERTI")</f>
        <v>CERTI</v>
      </c>
    </row>
    <row r="3176" spans="1:27" ht="15" x14ac:dyDescent="0.25">
      <c r="A3176" s="2">
        <v>3171</v>
      </c>
      <c r="B3176" s="39">
        <v>923950314</v>
      </c>
      <c r="C3176" s="28" t="str">
        <f>HYPERLINK("https://pld.live/RapDetail.aspx?STONELIST=923950314","DNA")</f>
        <v>DNA</v>
      </c>
      <c r="D3176" s="18" t="s">
        <v>2990</v>
      </c>
      <c r="E3176" s="18" t="s">
        <v>5128</v>
      </c>
      <c r="F3176" s="2" t="s">
        <v>7987</v>
      </c>
      <c r="G3176" s="2" t="s">
        <v>3296</v>
      </c>
      <c r="H3176" s="14">
        <v>0.9</v>
      </c>
      <c r="I3176" s="2" t="s">
        <v>267</v>
      </c>
      <c r="J3176" s="2" t="s">
        <v>13</v>
      </c>
      <c r="K3176" s="2" t="s">
        <v>1452</v>
      </c>
      <c r="L3176" s="2" t="s">
        <v>5221</v>
      </c>
      <c r="M3176" s="2" t="s">
        <v>5221</v>
      </c>
      <c r="N3176" s="2" t="s">
        <v>2317</v>
      </c>
      <c r="O3176" s="14">
        <v>5200</v>
      </c>
      <c r="P3176" s="14">
        <v>97.85</v>
      </c>
      <c r="Q3176" s="14">
        <v>111.8</v>
      </c>
      <c r="R3176" s="14">
        <v>100.62</v>
      </c>
      <c r="S3176" s="2" t="s">
        <v>7013</v>
      </c>
      <c r="T3176" s="2">
        <v>1.05</v>
      </c>
      <c r="U3176" s="2">
        <v>63.1</v>
      </c>
      <c r="V3176" s="2">
        <v>58.5</v>
      </c>
      <c r="W3176" s="2" t="s">
        <v>7862</v>
      </c>
      <c r="X3176" s="2" t="s">
        <v>7670</v>
      </c>
      <c r="Y3176" s="2">
        <v>4680</v>
      </c>
      <c r="Z3176" s="19" t="str">
        <f>HYPERLINK("https://ssdweb.co/ssdweb/hd/Vision360.html?d=923950314&amp;zoomslide=1&amp;z=1923950314&amp;ISCONFIRM=0","VIDEO")</f>
        <v>VIDEO</v>
      </c>
      <c r="AA3176" s="19" t="str">
        <f>HYPERLINK("https://ssdweb.co/ssdweb/CERTH/570371368.pdf","CERTI")</f>
        <v>CERTI</v>
      </c>
    </row>
    <row r="3177" spans="1:27" ht="15" x14ac:dyDescent="0.25">
      <c r="A3177" s="2">
        <v>3172</v>
      </c>
      <c r="B3177" s="39">
        <v>925791390</v>
      </c>
      <c r="C3177" s="28" t="str">
        <f>HYPERLINK("https://pld.live/RapDetail.aspx?STONELIST=925791390","DNA")</f>
        <v>DNA</v>
      </c>
      <c r="D3177" s="18" t="s">
        <v>2990</v>
      </c>
      <c r="E3177" s="18" t="s">
        <v>5128</v>
      </c>
      <c r="F3177" s="2" t="s">
        <v>7987</v>
      </c>
      <c r="G3177" s="2" t="s">
        <v>3296</v>
      </c>
      <c r="H3177" s="14">
        <v>0.9</v>
      </c>
      <c r="I3177" s="2" t="s">
        <v>267</v>
      </c>
      <c r="J3177" s="2" t="s">
        <v>13</v>
      </c>
      <c r="K3177" s="2" t="s">
        <v>1452</v>
      </c>
      <c r="L3177" s="2" t="s">
        <v>5221</v>
      </c>
      <c r="M3177" s="2" t="s">
        <v>5221</v>
      </c>
      <c r="N3177" s="2" t="s">
        <v>2317</v>
      </c>
      <c r="O3177" s="14">
        <v>5200</v>
      </c>
      <c r="P3177" s="14">
        <v>97.85</v>
      </c>
      <c r="Q3177" s="14">
        <v>111.8</v>
      </c>
      <c r="R3177" s="14">
        <v>100.62</v>
      </c>
      <c r="S3177" s="2" t="s">
        <v>7244</v>
      </c>
      <c r="T3177" s="2">
        <v>1.05</v>
      </c>
      <c r="U3177" s="2">
        <v>64.099999999999994</v>
      </c>
      <c r="V3177" s="2">
        <v>60</v>
      </c>
      <c r="W3177" s="2" t="s">
        <v>7862</v>
      </c>
      <c r="X3177" s="2" t="s">
        <v>7670</v>
      </c>
      <c r="Y3177" s="2">
        <v>4680</v>
      </c>
      <c r="Z3177" s="19" t="str">
        <f>HYPERLINK("https://ssdweb.co/ssdweb/hd/Vision360.html?d=925791390&amp;zoomslide=1&amp;z=1925791390&amp;ISCONFIRM=0","VIDEO")</f>
        <v>VIDEO</v>
      </c>
      <c r="AA3177" s="19" t="str">
        <f>HYPERLINK("https://ssdweb.co/ssdweb/CERTH/627415133.pdf","CERTI")</f>
        <v>CERTI</v>
      </c>
    </row>
    <row r="3178" spans="1:27" ht="15" x14ac:dyDescent="0.25">
      <c r="A3178" s="2">
        <v>3173</v>
      </c>
      <c r="B3178" s="39">
        <v>831010219</v>
      </c>
      <c r="C3178" s="28" t="str">
        <f>HYPERLINK("https://pld.live/RapDetail.aspx?STONELIST=831010219","DNA")</f>
        <v>DNA</v>
      </c>
      <c r="D3178" s="18" t="s">
        <v>2990</v>
      </c>
      <c r="E3178" s="18" t="s">
        <v>5128</v>
      </c>
      <c r="F3178" s="2" t="s">
        <v>7987</v>
      </c>
      <c r="G3178" s="2" t="s">
        <v>3296</v>
      </c>
      <c r="H3178" s="14">
        <v>0.9</v>
      </c>
      <c r="I3178" s="2" t="s">
        <v>267</v>
      </c>
      <c r="J3178" s="2" t="s">
        <v>13</v>
      </c>
      <c r="K3178" s="2" t="s">
        <v>1452</v>
      </c>
      <c r="L3178" s="2" t="s">
        <v>5221</v>
      </c>
      <c r="M3178" s="2" t="s">
        <v>5221</v>
      </c>
      <c r="N3178" s="2" t="s">
        <v>2317</v>
      </c>
      <c r="O3178" s="14">
        <v>5200</v>
      </c>
      <c r="P3178" s="14">
        <v>97.85</v>
      </c>
      <c r="Q3178" s="14">
        <v>111.8</v>
      </c>
      <c r="R3178" s="14">
        <v>100.62</v>
      </c>
      <c r="S3178" s="2" t="s">
        <v>1619</v>
      </c>
      <c r="T3178" s="2">
        <v>1.05</v>
      </c>
      <c r="U3178" s="2">
        <v>62.9</v>
      </c>
      <c r="V3178" s="2">
        <v>61.5</v>
      </c>
      <c r="W3178" s="2" t="s">
        <v>7862</v>
      </c>
      <c r="X3178" s="2" t="s">
        <v>7670</v>
      </c>
      <c r="Y3178" s="2">
        <v>4680</v>
      </c>
      <c r="Z3178" s="19" t="str">
        <f>HYPERLINK("https://ssdweb.co/ssdweb/hd/Vision360.html?d=831010219&amp;zoomslide=1&amp;z=1831010219&amp;ISCONFIRM=0","VIDEO")</f>
        <v>VIDEO</v>
      </c>
      <c r="AA3178" s="19" t="str">
        <f>HYPERLINK("https://ssdweb.co/ssdweb/CERTH/557239660.pdf","CERTI")</f>
        <v>CERTI</v>
      </c>
    </row>
    <row r="3179" spans="1:27" ht="15" x14ac:dyDescent="0.25">
      <c r="A3179" s="2">
        <v>3174</v>
      </c>
      <c r="B3179" s="39">
        <v>925290539</v>
      </c>
      <c r="C3179" s="28" t="str">
        <f>HYPERLINK("https://pld.live/RapDetail.aspx?STONELIST=925290539","DNA")</f>
        <v>DNA</v>
      </c>
      <c r="D3179" s="18" t="s">
        <v>2990</v>
      </c>
      <c r="E3179" s="18" t="s">
        <v>5128</v>
      </c>
      <c r="F3179" s="2" t="s">
        <v>7987</v>
      </c>
      <c r="G3179" s="2" t="s">
        <v>3296</v>
      </c>
      <c r="H3179" s="14">
        <v>0.9</v>
      </c>
      <c r="I3179" s="2" t="s">
        <v>267</v>
      </c>
      <c r="J3179" s="2" t="s">
        <v>13</v>
      </c>
      <c r="K3179" s="2" t="s">
        <v>1452</v>
      </c>
      <c r="L3179" s="2" t="s">
        <v>5221</v>
      </c>
      <c r="M3179" s="2" t="s">
        <v>5221</v>
      </c>
      <c r="N3179" s="2" t="s">
        <v>2317</v>
      </c>
      <c r="O3179" s="14">
        <v>5200</v>
      </c>
      <c r="P3179" s="14">
        <v>97.85</v>
      </c>
      <c r="Q3179" s="14">
        <v>111.8</v>
      </c>
      <c r="R3179" s="14">
        <v>100.62</v>
      </c>
      <c r="S3179" s="2" t="s">
        <v>3795</v>
      </c>
      <c r="T3179" s="2">
        <v>1.04</v>
      </c>
      <c r="U3179" s="2">
        <v>63.9</v>
      </c>
      <c r="V3179" s="2">
        <v>61</v>
      </c>
      <c r="W3179" s="2" t="s">
        <v>7862</v>
      </c>
      <c r="X3179" s="2" t="s">
        <v>7670</v>
      </c>
      <c r="Y3179" s="2">
        <v>4680</v>
      </c>
      <c r="Z3179" s="19" t="str">
        <f>HYPERLINK("https://ssdweb.co/ssdweb/hd/Vision360.html?d=925290539&amp;zoomslide=1&amp;z=1925290539&amp;ISCONFIRM=0","VIDEO")</f>
        <v>VIDEO</v>
      </c>
      <c r="AA3179" s="19" t="str">
        <f>HYPERLINK("https://ssdweb.co/ssdweb/CERTH/619453293.pdf","CERTI")</f>
        <v>CERTI</v>
      </c>
    </row>
    <row r="3180" spans="1:27" ht="15" x14ac:dyDescent="0.25">
      <c r="A3180" s="2">
        <v>3175</v>
      </c>
      <c r="B3180" s="39">
        <v>925030207</v>
      </c>
      <c r="C3180" s="28" t="str">
        <f>HYPERLINK("https://pld.live/RapDetail.aspx?STONELIST=925030207","DNA")</f>
        <v>DNA</v>
      </c>
      <c r="D3180" s="18" t="s">
        <v>2990</v>
      </c>
      <c r="E3180" s="18" t="s">
        <v>5128</v>
      </c>
      <c r="F3180" s="2" t="s">
        <v>7987</v>
      </c>
      <c r="G3180" s="2" t="s">
        <v>3296</v>
      </c>
      <c r="H3180" s="14">
        <v>0.9</v>
      </c>
      <c r="I3180" s="2" t="s">
        <v>267</v>
      </c>
      <c r="J3180" s="2" t="s">
        <v>5144</v>
      </c>
      <c r="K3180" s="2" t="s">
        <v>1452</v>
      </c>
      <c r="L3180" s="2" t="s">
        <v>5221</v>
      </c>
      <c r="M3180" s="2" t="s">
        <v>5221</v>
      </c>
      <c r="N3180" s="2" t="s">
        <v>2317</v>
      </c>
      <c r="O3180" s="14">
        <v>4400</v>
      </c>
      <c r="P3180" s="14">
        <v>97.5</v>
      </c>
      <c r="Q3180" s="14">
        <v>110</v>
      </c>
      <c r="R3180" s="14">
        <v>99</v>
      </c>
      <c r="S3180" s="2" t="s">
        <v>3600</v>
      </c>
      <c r="T3180" s="2">
        <v>1.05</v>
      </c>
      <c r="U3180" s="2">
        <v>67.2</v>
      </c>
      <c r="V3180" s="2">
        <v>62</v>
      </c>
      <c r="W3180" s="2" t="s">
        <v>7862</v>
      </c>
      <c r="X3180" s="2" t="s">
        <v>7670</v>
      </c>
      <c r="Y3180" s="2">
        <v>3960</v>
      </c>
      <c r="Z3180" s="19" t="str">
        <f>HYPERLINK("https://ssdweb.co/ssdweb/hd/Vision360.html?d=925030207&amp;zoomslide=1&amp;z=1925030207&amp;ISCONFIRM=0","VIDEO")</f>
        <v>VIDEO</v>
      </c>
      <c r="AA3180" s="19" t="str">
        <f>HYPERLINK("https://ssdweb.co/ssdweb/CERTH/607345377.pdf","CERTI")</f>
        <v>CERTI</v>
      </c>
    </row>
    <row r="3181" spans="1:27" ht="15" x14ac:dyDescent="0.25">
      <c r="A3181" s="2">
        <v>3176</v>
      </c>
      <c r="B3181" s="39">
        <v>925030208</v>
      </c>
      <c r="C3181" s="28" t="str">
        <f>HYPERLINK("https://pld.live/RapDetail.aspx?STONELIST=925030208","DNA")</f>
        <v>DNA</v>
      </c>
      <c r="D3181" s="18" t="s">
        <v>2990</v>
      </c>
      <c r="E3181" s="18" t="s">
        <v>5128</v>
      </c>
      <c r="F3181" s="2" t="s">
        <v>7987</v>
      </c>
      <c r="G3181" s="2" t="s">
        <v>3296</v>
      </c>
      <c r="H3181" s="14">
        <v>0.9</v>
      </c>
      <c r="I3181" s="2" t="s">
        <v>267</v>
      </c>
      <c r="J3181" s="2" t="s">
        <v>5144</v>
      </c>
      <c r="K3181" s="2" t="s">
        <v>1452</v>
      </c>
      <c r="L3181" s="2" t="s">
        <v>5221</v>
      </c>
      <c r="M3181" s="2" t="s">
        <v>5221</v>
      </c>
      <c r="N3181" s="2" t="s">
        <v>2317</v>
      </c>
      <c r="O3181" s="14">
        <v>4400</v>
      </c>
      <c r="P3181" s="14">
        <v>97.5</v>
      </c>
      <c r="Q3181" s="14">
        <v>110</v>
      </c>
      <c r="R3181" s="14">
        <v>99</v>
      </c>
      <c r="S3181" s="2" t="s">
        <v>7793</v>
      </c>
      <c r="T3181" s="2">
        <v>1.08</v>
      </c>
      <c r="U3181" s="2">
        <v>66.7</v>
      </c>
      <c r="V3181" s="2">
        <v>60</v>
      </c>
      <c r="W3181" s="2" t="s">
        <v>7862</v>
      </c>
      <c r="X3181" s="2" t="s">
        <v>3851</v>
      </c>
      <c r="Y3181" s="2">
        <v>3960</v>
      </c>
      <c r="Z3181" s="19" t="str">
        <f>HYPERLINK("https://ssdweb.co/ssdweb/hd/Vision360.html?d=925030208&amp;zoomslide=1&amp;z=1925030208&amp;ISCONFIRM=0","VIDEO")</f>
        <v>VIDEO</v>
      </c>
      <c r="AA3181" s="19" t="str">
        <f>HYPERLINK("https://ssdweb.co/ssdweb/CERTH/607345334.pdf","CERTI")</f>
        <v>CERTI</v>
      </c>
    </row>
    <row r="3182" spans="1:27" ht="15" x14ac:dyDescent="0.25">
      <c r="A3182" s="2">
        <v>3177</v>
      </c>
      <c r="B3182" s="39">
        <v>923920373</v>
      </c>
      <c r="C3182" s="28" t="str">
        <f>HYPERLINK("https://pld.live/RapDetail.aspx?STONELIST=923920373","DNA")</f>
        <v>DNA</v>
      </c>
      <c r="D3182" s="18" t="s">
        <v>2990</v>
      </c>
      <c r="E3182" s="18" t="s">
        <v>5128</v>
      </c>
      <c r="F3182" s="2" t="s">
        <v>7987</v>
      </c>
      <c r="G3182" s="2" t="s">
        <v>3296</v>
      </c>
      <c r="H3182" s="14">
        <v>0.9</v>
      </c>
      <c r="I3182" s="2" t="s">
        <v>267</v>
      </c>
      <c r="J3182" s="2" t="s">
        <v>5144</v>
      </c>
      <c r="K3182" s="2" t="s">
        <v>1452</v>
      </c>
      <c r="L3182" s="2" t="s">
        <v>5221</v>
      </c>
      <c r="M3182" s="2" t="s">
        <v>5221</v>
      </c>
      <c r="N3182" s="2" t="s">
        <v>2317</v>
      </c>
      <c r="O3182" s="14">
        <v>4400</v>
      </c>
      <c r="P3182" s="14">
        <v>97.5</v>
      </c>
      <c r="Q3182" s="14">
        <v>110</v>
      </c>
      <c r="R3182" s="14">
        <v>99</v>
      </c>
      <c r="S3182" s="2" t="s">
        <v>1186</v>
      </c>
      <c r="T3182" s="2">
        <v>1.05</v>
      </c>
      <c r="U3182" s="2">
        <v>66.5</v>
      </c>
      <c r="V3182" s="2">
        <v>59</v>
      </c>
      <c r="W3182" s="2" t="s">
        <v>7862</v>
      </c>
      <c r="X3182" s="2" t="s">
        <v>7670</v>
      </c>
      <c r="Y3182" s="2">
        <v>3960</v>
      </c>
      <c r="Z3182" s="19" t="str">
        <f>HYPERLINK("https://ssdweb.co/ssdweb/hd/Vision360.html?d=923920373&amp;zoomslide=1&amp;z=1923920373&amp;ISCONFIRM=0","VIDEO")</f>
        <v>VIDEO</v>
      </c>
      <c r="AA3182" s="19" t="str">
        <f>HYPERLINK("https://ssdweb.co/ssdweb/CERTH/570371458.pdf","CERTI")</f>
        <v>CERTI</v>
      </c>
    </row>
    <row r="3183" spans="1:27" ht="15" x14ac:dyDescent="0.25">
      <c r="A3183" s="2">
        <v>3178</v>
      </c>
      <c r="B3183" s="39">
        <v>925260298</v>
      </c>
      <c r="C3183" s="28" t="str">
        <f>HYPERLINK("https://pld.live/RapDetail.aspx?STONELIST=925260298","DNA")</f>
        <v>DNA</v>
      </c>
      <c r="D3183" s="18" t="s">
        <v>2990</v>
      </c>
      <c r="E3183" s="18" t="s">
        <v>5128</v>
      </c>
      <c r="F3183" s="2" t="s">
        <v>7987</v>
      </c>
      <c r="G3183" s="2" t="s">
        <v>3296</v>
      </c>
      <c r="H3183" s="14">
        <v>0.9</v>
      </c>
      <c r="I3183" s="2" t="s">
        <v>267</v>
      </c>
      <c r="J3183" s="2" t="s">
        <v>5144</v>
      </c>
      <c r="K3183" s="2" t="s">
        <v>1452</v>
      </c>
      <c r="L3183" s="2" t="s">
        <v>5221</v>
      </c>
      <c r="M3183" s="2" t="s">
        <v>5221</v>
      </c>
      <c r="N3183" s="2" t="s">
        <v>2317</v>
      </c>
      <c r="O3183" s="14">
        <v>4400</v>
      </c>
      <c r="P3183" s="14">
        <v>97.5</v>
      </c>
      <c r="Q3183" s="14">
        <v>110</v>
      </c>
      <c r="R3183" s="14">
        <v>99</v>
      </c>
      <c r="S3183" s="2" t="s">
        <v>2604</v>
      </c>
      <c r="T3183" s="2">
        <v>1.05</v>
      </c>
      <c r="U3183" s="2">
        <v>65</v>
      </c>
      <c r="V3183" s="2">
        <v>63</v>
      </c>
      <c r="W3183" s="2" t="s">
        <v>7862</v>
      </c>
      <c r="X3183" s="2" t="s">
        <v>7670</v>
      </c>
      <c r="Y3183" s="2">
        <v>3960</v>
      </c>
      <c r="Z3183" s="19" t="str">
        <f>HYPERLINK("https://ssdweb.co/ssdweb/hd/Vision360.html?d=925260298&amp;zoomslide=1&amp;z=1925260298&amp;ISCONFIRM=0","VIDEO")</f>
        <v>VIDEO</v>
      </c>
      <c r="AA3183" s="19" t="str">
        <f>HYPERLINK("https://ssdweb.co/ssdweb/CERTH/619453274.pdf","CERTI")</f>
        <v>CERTI</v>
      </c>
    </row>
    <row r="3184" spans="1:27" ht="15" x14ac:dyDescent="0.25">
      <c r="A3184" s="2">
        <v>3179</v>
      </c>
      <c r="B3184" s="39">
        <v>831010681</v>
      </c>
      <c r="C3184" s="28" t="str">
        <f>HYPERLINK("https://pld.live/RapDetail.aspx?STONELIST=831010681","DNA")</f>
        <v>DNA</v>
      </c>
      <c r="D3184" s="18" t="s">
        <v>2990</v>
      </c>
      <c r="E3184" s="18" t="s">
        <v>5128</v>
      </c>
      <c r="F3184" s="2" t="s">
        <v>7987</v>
      </c>
      <c r="G3184" s="2" t="s">
        <v>3296</v>
      </c>
      <c r="H3184" s="14">
        <v>0.9</v>
      </c>
      <c r="I3184" s="2" t="s">
        <v>4761</v>
      </c>
      <c r="J3184" s="2" t="s">
        <v>7032</v>
      </c>
      <c r="K3184" s="2" t="s">
        <v>1452</v>
      </c>
      <c r="L3184" s="2" t="s">
        <v>5221</v>
      </c>
      <c r="M3184" s="2" t="s">
        <v>5221</v>
      </c>
      <c r="N3184" s="2" t="s">
        <v>2317</v>
      </c>
      <c r="O3184" s="14">
        <v>6200</v>
      </c>
      <c r="P3184" s="14">
        <v>96.05</v>
      </c>
      <c r="Q3184" s="14">
        <v>244.9</v>
      </c>
      <c r="R3184" s="14">
        <v>220.41</v>
      </c>
      <c r="S3184" s="2" t="s">
        <v>6277</v>
      </c>
      <c r="T3184" s="2">
        <v>1.04</v>
      </c>
      <c r="U3184" s="2">
        <v>68.099999999999994</v>
      </c>
      <c r="V3184" s="2">
        <v>60</v>
      </c>
      <c r="W3184" s="2" t="s">
        <v>7862</v>
      </c>
      <c r="X3184" s="2" t="s">
        <v>7670</v>
      </c>
      <c r="Y3184" s="2">
        <v>5580</v>
      </c>
      <c r="Z3184" s="19" t="str">
        <f>HYPERLINK("https://ssdweb.co/ssdweb/hd/Vision360.html?d=831010681&amp;zoomslide=1&amp;z=1831010681&amp;ISCONFIRM=0","VIDEO")</f>
        <v>VIDEO</v>
      </c>
      <c r="AA3184" s="19" t="str">
        <f>HYPERLINK("https://ssdweb.co/ssdweb/CERTH/601323538.pdf","CERTI")</f>
        <v>CERTI</v>
      </c>
    </row>
    <row r="3185" spans="1:27" ht="15" x14ac:dyDescent="0.25">
      <c r="A3185" s="2">
        <v>3180</v>
      </c>
      <c r="B3185" s="39">
        <v>925030438</v>
      </c>
      <c r="C3185" s="28" t="str">
        <f>HYPERLINK("https://pld.live/RapDetail.aspx?STONELIST=925030438","DNA")</f>
        <v>DNA</v>
      </c>
      <c r="D3185" s="18" t="s">
        <v>2990</v>
      </c>
      <c r="E3185" s="18" t="s">
        <v>5128</v>
      </c>
      <c r="F3185" s="2" t="s">
        <v>7987</v>
      </c>
      <c r="G3185" s="2" t="s">
        <v>3296</v>
      </c>
      <c r="H3185" s="14">
        <v>0.9</v>
      </c>
      <c r="I3185" s="2" t="s">
        <v>4761</v>
      </c>
      <c r="J3185" s="2" t="s">
        <v>6555</v>
      </c>
      <c r="K3185" s="2" t="s">
        <v>1452</v>
      </c>
      <c r="L3185" s="2" t="s">
        <v>5221</v>
      </c>
      <c r="M3185" s="2" t="s">
        <v>5221</v>
      </c>
      <c r="N3185" s="2" t="s">
        <v>2317</v>
      </c>
      <c r="O3185" s="14">
        <v>5700</v>
      </c>
      <c r="P3185" s="14">
        <v>97.75</v>
      </c>
      <c r="Q3185" s="14">
        <v>128.25</v>
      </c>
      <c r="R3185" s="14">
        <v>115.43</v>
      </c>
      <c r="S3185" s="2" t="s">
        <v>3806</v>
      </c>
      <c r="T3185" s="2">
        <v>1.04</v>
      </c>
      <c r="U3185" s="2">
        <v>63.6</v>
      </c>
      <c r="V3185" s="2">
        <v>59</v>
      </c>
      <c r="W3185" s="2" t="s">
        <v>7862</v>
      </c>
      <c r="X3185" s="2" t="s">
        <v>7670</v>
      </c>
      <c r="Y3185" s="2">
        <v>5130</v>
      </c>
      <c r="Z3185" s="19" t="str">
        <f>HYPERLINK("https://ssdweb.co/ssdweb/hd/Vision360.html?d=925030438&amp;zoomslide=1&amp;z=1925030438&amp;ISCONFIRM=0","VIDEO")</f>
        <v>VIDEO</v>
      </c>
      <c r="AA3185" s="19" t="str">
        <f>HYPERLINK("https://ssdweb.co/ssdweb/CERTH/618455168.pdf","CERTI")</f>
        <v>CERTI</v>
      </c>
    </row>
    <row r="3186" spans="1:27" ht="15" x14ac:dyDescent="0.25">
      <c r="A3186" s="2">
        <v>3181</v>
      </c>
      <c r="B3186" s="39">
        <v>924960012</v>
      </c>
      <c r="C3186" s="28" t="str">
        <f>HYPERLINK("https://pld.live/RapDetail.aspx?STONELIST=924960012","DNA")</f>
        <v>DNA</v>
      </c>
      <c r="D3186" s="18" t="s">
        <v>2990</v>
      </c>
      <c r="E3186" s="18" t="s">
        <v>5128</v>
      </c>
      <c r="F3186" s="2" t="s">
        <v>7987</v>
      </c>
      <c r="G3186" s="2" t="s">
        <v>3296</v>
      </c>
      <c r="H3186" s="14">
        <v>0.9</v>
      </c>
      <c r="I3186" s="2" t="s">
        <v>4761</v>
      </c>
      <c r="J3186" s="2" t="s">
        <v>3942</v>
      </c>
      <c r="K3186" s="2" t="s">
        <v>1452</v>
      </c>
      <c r="L3186" s="2" t="s">
        <v>5221</v>
      </c>
      <c r="M3186" s="2" t="s">
        <v>5221</v>
      </c>
      <c r="N3186" s="2" t="s">
        <v>2317</v>
      </c>
      <c r="O3186" s="14">
        <v>5200</v>
      </c>
      <c r="P3186" s="14">
        <v>97.85</v>
      </c>
      <c r="Q3186" s="14">
        <v>111.8</v>
      </c>
      <c r="R3186" s="14">
        <v>100.62</v>
      </c>
      <c r="S3186" s="2" t="s">
        <v>4070</v>
      </c>
      <c r="T3186" s="2">
        <v>1.04</v>
      </c>
      <c r="U3186" s="2">
        <v>63.1</v>
      </c>
      <c r="V3186" s="2">
        <v>62</v>
      </c>
      <c r="W3186" s="2" t="s">
        <v>7862</v>
      </c>
      <c r="X3186" s="2" t="s">
        <v>3851</v>
      </c>
      <c r="Y3186" s="2">
        <v>4680</v>
      </c>
      <c r="Z3186" s="19" t="str">
        <f>HYPERLINK("https://ssdweb.co/ssdweb/hd/Vision360.html?d=924960012&amp;zoomslide=1&amp;z=1924960012&amp;ISCONFIRM=0","VIDEO")</f>
        <v>VIDEO</v>
      </c>
      <c r="AA3186" s="19" t="str">
        <f>HYPERLINK("https://ssdweb.co/ssdweb/CERTH/602315911.pdf","CERTI")</f>
        <v>CERTI</v>
      </c>
    </row>
    <row r="3187" spans="1:27" ht="15" x14ac:dyDescent="0.25">
      <c r="A3187" s="2">
        <v>3182</v>
      </c>
      <c r="B3187" s="39">
        <v>925030323</v>
      </c>
      <c r="C3187" s="28" t="str">
        <f>HYPERLINK("https://pld.live/RapDetail.aspx?STONELIST=925030323","DNA")</f>
        <v>DNA</v>
      </c>
      <c r="D3187" s="18" t="s">
        <v>2990</v>
      </c>
      <c r="E3187" s="18" t="s">
        <v>5128</v>
      </c>
      <c r="F3187" s="2" t="s">
        <v>7987</v>
      </c>
      <c r="G3187" s="2" t="s">
        <v>3296</v>
      </c>
      <c r="H3187" s="14">
        <v>0.9</v>
      </c>
      <c r="I3187" s="2" t="s">
        <v>4761</v>
      </c>
      <c r="J3187" s="2" t="s">
        <v>3942</v>
      </c>
      <c r="K3187" s="2" t="s">
        <v>1452</v>
      </c>
      <c r="L3187" s="2" t="s">
        <v>5221</v>
      </c>
      <c r="M3187" s="2" t="s">
        <v>5221</v>
      </c>
      <c r="N3187" s="2" t="s">
        <v>2317</v>
      </c>
      <c r="O3187" s="14">
        <v>5200</v>
      </c>
      <c r="P3187" s="14">
        <v>97.85</v>
      </c>
      <c r="Q3187" s="14">
        <v>111.8</v>
      </c>
      <c r="R3187" s="14">
        <v>100.62</v>
      </c>
      <c r="S3187" s="2" t="s">
        <v>3286</v>
      </c>
      <c r="T3187" s="2">
        <v>1.03</v>
      </c>
      <c r="U3187" s="2">
        <v>67.5</v>
      </c>
      <c r="V3187" s="2">
        <v>61</v>
      </c>
      <c r="W3187" s="2" t="s">
        <v>7862</v>
      </c>
      <c r="X3187" s="2" t="s">
        <v>7670</v>
      </c>
      <c r="Y3187" s="2">
        <v>4680</v>
      </c>
      <c r="Z3187" s="19" t="str">
        <f>HYPERLINK("https://ssdweb.co/ssdweb/hd/Vision360.html?d=925030323&amp;zoomslide=1&amp;z=1925030323&amp;ISCONFIRM=0","VIDEO")</f>
        <v>VIDEO</v>
      </c>
      <c r="AA3187" s="19" t="str">
        <f>HYPERLINK("https://ssdweb.co/ssdweb/CERTH/611357178.pdf","CERTI")</f>
        <v>CERTI</v>
      </c>
    </row>
    <row r="3188" spans="1:27" ht="15" x14ac:dyDescent="0.25">
      <c r="A3188" s="2">
        <v>3183</v>
      </c>
      <c r="B3188" s="39">
        <v>926210968</v>
      </c>
      <c r="C3188" s="28" t="str">
        <f>HYPERLINK("https://pld.live/RapDetail.aspx?STONELIST=926210968","DNA")</f>
        <v>DNA</v>
      </c>
      <c r="D3188" s="18" t="s">
        <v>2990</v>
      </c>
      <c r="E3188" s="18" t="s">
        <v>5128</v>
      </c>
      <c r="F3188" s="2" t="s">
        <v>7987</v>
      </c>
      <c r="G3188" s="2" t="s">
        <v>3296</v>
      </c>
      <c r="H3188" s="14">
        <v>0.9</v>
      </c>
      <c r="I3188" s="2" t="s">
        <v>4761</v>
      </c>
      <c r="J3188" s="2" t="s">
        <v>3942</v>
      </c>
      <c r="K3188" s="2" t="s">
        <v>1452</v>
      </c>
      <c r="L3188" s="2" t="s">
        <v>5221</v>
      </c>
      <c r="M3188" s="2" t="s">
        <v>5221</v>
      </c>
      <c r="N3188" s="2" t="s">
        <v>2317</v>
      </c>
      <c r="O3188" s="14">
        <v>5200</v>
      </c>
      <c r="P3188" s="14">
        <v>97.81</v>
      </c>
      <c r="Q3188" s="14">
        <v>113.88</v>
      </c>
      <c r="R3188" s="14">
        <v>102.49</v>
      </c>
      <c r="S3188" s="2" t="s">
        <v>4504</v>
      </c>
      <c r="T3188" s="2">
        <v>1.02</v>
      </c>
      <c r="U3188" s="2">
        <v>67.900000000000006</v>
      </c>
      <c r="V3188" s="2">
        <v>59</v>
      </c>
      <c r="W3188" s="2" t="s">
        <v>7862</v>
      </c>
      <c r="X3188" s="2" t="s">
        <v>7670</v>
      </c>
      <c r="Y3188" s="2">
        <v>4680</v>
      </c>
      <c r="Z3188" s="19" t="str">
        <f>HYPERLINK("https://ssdweb.co/ssdweb/hd/Vision360.html?d=926210968&amp;zoomslide=1&amp;z=1926210968&amp;ISCONFIRM=0","VIDEO")</f>
        <v>VIDEO</v>
      </c>
      <c r="AA3188" s="19" t="str">
        <f>HYPERLINK("https://ssdweb.co/ssdweb/CERTH/635427078.pdf","CERTI")</f>
        <v>CERTI</v>
      </c>
    </row>
    <row r="3189" spans="1:27" ht="15" x14ac:dyDescent="0.25">
      <c r="A3189" s="2">
        <v>3184</v>
      </c>
      <c r="B3189" s="39">
        <v>925030312</v>
      </c>
      <c r="C3189" s="28" t="str">
        <f>HYPERLINK("https://pld.live/RapDetail.aspx?STONELIST=925030312","DNA")</f>
        <v>DNA</v>
      </c>
      <c r="D3189" s="18" t="s">
        <v>2990</v>
      </c>
      <c r="E3189" s="18" t="s">
        <v>5128</v>
      </c>
      <c r="F3189" s="2" t="s">
        <v>7987</v>
      </c>
      <c r="G3189" s="2" t="s">
        <v>3296</v>
      </c>
      <c r="H3189" s="14">
        <v>0.9</v>
      </c>
      <c r="I3189" s="2" t="s">
        <v>4761</v>
      </c>
      <c r="J3189" s="2" t="s">
        <v>13</v>
      </c>
      <c r="K3189" s="2" t="s">
        <v>1452</v>
      </c>
      <c r="L3189" s="2" t="s">
        <v>5221</v>
      </c>
      <c r="M3189" s="2" t="s">
        <v>5221</v>
      </c>
      <c r="N3189" s="2" t="s">
        <v>2317</v>
      </c>
      <c r="O3189" s="14">
        <v>4900</v>
      </c>
      <c r="P3189" s="14">
        <v>97.78</v>
      </c>
      <c r="Q3189" s="14">
        <v>108.78</v>
      </c>
      <c r="R3189" s="14">
        <v>97.9</v>
      </c>
      <c r="S3189" s="2" t="s">
        <v>7933</v>
      </c>
      <c r="T3189" s="2">
        <v>1.03</v>
      </c>
      <c r="U3189" s="2">
        <v>67.599999999999994</v>
      </c>
      <c r="V3189" s="2">
        <v>58</v>
      </c>
      <c r="W3189" s="2" t="s">
        <v>7862</v>
      </c>
      <c r="X3189" s="2" t="s">
        <v>7670</v>
      </c>
      <c r="Y3189" s="2">
        <v>4410</v>
      </c>
      <c r="Z3189" s="19" t="str">
        <f>HYPERLINK("https://ssdweb.co/ssdweb/hd/Vision360.html?d=925030312&amp;zoomslide=1&amp;z=1925030312&amp;ISCONFIRM=0","VIDEO")</f>
        <v>VIDEO</v>
      </c>
      <c r="AA3189" s="19" t="str">
        <f>HYPERLINK("https://ssdweb.co/ssdweb/CERTH/611357192.pdf","CERTI")</f>
        <v>CERTI</v>
      </c>
    </row>
    <row r="3190" spans="1:27" ht="15" x14ac:dyDescent="0.25">
      <c r="A3190" s="2">
        <v>3185</v>
      </c>
      <c r="B3190" s="39">
        <v>924900094</v>
      </c>
      <c r="C3190" s="28" t="str">
        <f>HYPERLINK("https://pld.live/RapDetail.aspx?STONELIST=924900094","DNA")</f>
        <v>DNA</v>
      </c>
      <c r="D3190" s="18" t="s">
        <v>2990</v>
      </c>
      <c r="E3190" s="18" t="s">
        <v>5128</v>
      </c>
      <c r="F3190" s="2" t="s">
        <v>7987</v>
      </c>
      <c r="G3190" s="2" t="s">
        <v>3296</v>
      </c>
      <c r="H3190" s="14">
        <v>0.9</v>
      </c>
      <c r="I3190" s="2" t="s">
        <v>4761</v>
      </c>
      <c r="J3190" s="2" t="s">
        <v>13</v>
      </c>
      <c r="K3190" s="2" t="s">
        <v>1452</v>
      </c>
      <c r="L3190" s="2" t="s">
        <v>5221</v>
      </c>
      <c r="M3190" s="2" t="s">
        <v>5221</v>
      </c>
      <c r="N3190" s="2" t="s">
        <v>2317</v>
      </c>
      <c r="O3190" s="14">
        <v>4900</v>
      </c>
      <c r="P3190" s="14">
        <v>97.78</v>
      </c>
      <c r="Q3190" s="14">
        <v>108.78</v>
      </c>
      <c r="R3190" s="14">
        <v>97.9</v>
      </c>
      <c r="S3190" s="2" t="s">
        <v>7077</v>
      </c>
      <c r="T3190" s="2">
        <v>1.07</v>
      </c>
      <c r="U3190" s="2">
        <v>62.4</v>
      </c>
      <c r="V3190" s="2">
        <v>62</v>
      </c>
      <c r="W3190" s="2" t="s">
        <v>7862</v>
      </c>
      <c r="X3190" s="2" t="s">
        <v>3851</v>
      </c>
      <c r="Y3190" s="2">
        <v>4410</v>
      </c>
      <c r="Z3190" s="19" t="str">
        <f>HYPERLINK("https://ssdweb.co/ssdweb/hd/Vision360.html?d=924900094&amp;zoomslide=1&amp;z=1924900094&amp;ISCONFIRM=0","VIDEO")</f>
        <v>VIDEO</v>
      </c>
      <c r="AA3190" s="19" t="str">
        <f>HYPERLINK("https://ssdweb.co/ssdweb/CERTH/601323539.pdf","CERTI")</f>
        <v>CERTI</v>
      </c>
    </row>
    <row r="3191" spans="1:27" ht="15" x14ac:dyDescent="0.25">
      <c r="A3191" s="2">
        <v>3186</v>
      </c>
      <c r="B3191" s="39">
        <v>926210786</v>
      </c>
      <c r="C3191" s="28" t="str">
        <f>HYPERLINK("https://pld.live/RapDetail.aspx?STONELIST=926210786","DNA")</f>
        <v>DNA</v>
      </c>
      <c r="D3191" s="18" t="s">
        <v>2990</v>
      </c>
      <c r="E3191" s="18" t="s">
        <v>5128</v>
      </c>
      <c r="F3191" s="2" t="s">
        <v>7987</v>
      </c>
      <c r="G3191" s="2" t="s">
        <v>3296</v>
      </c>
      <c r="H3191" s="14">
        <v>0.9</v>
      </c>
      <c r="I3191" s="2" t="s">
        <v>4761</v>
      </c>
      <c r="J3191" s="2" t="s">
        <v>13</v>
      </c>
      <c r="K3191" s="2" t="s">
        <v>1452</v>
      </c>
      <c r="L3191" s="2" t="s">
        <v>5221</v>
      </c>
      <c r="M3191" s="2" t="s">
        <v>5221</v>
      </c>
      <c r="N3191" s="2" t="s">
        <v>2317</v>
      </c>
      <c r="O3191" s="14">
        <v>4900</v>
      </c>
      <c r="P3191" s="14">
        <v>97.73</v>
      </c>
      <c r="Q3191" s="14">
        <v>111.23</v>
      </c>
      <c r="R3191" s="14">
        <v>100.11</v>
      </c>
      <c r="S3191" s="2" t="s">
        <v>2697</v>
      </c>
      <c r="T3191" s="2">
        <v>1.07</v>
      </c>
      <c r="U3191" s="2">
        <v>65.599999999999994</v>
      </c>
      <c r="V3191" s="2">
        <v>62</v>
      </c>
      <c r="W3191" s="2" t="s">
        <v>7862</v>
      </c>
      <c r="X3191" s="2" t="s">
        <v>3851</v>
      </c>
      <c r="Y3191" s="2">
        <v>4410</v>
      </c>
      <c r="Z3191" s="19" t="str">
        <f>HYPERLINK("https://ssdweb.co/ssdweb/hd/Vision360.html?d=926210786&amp;zoomslide=1&amp;z=1926210786&amp;ISCONFIRM=0","VIDEO")</f>
        <v>VIDEO</v>
      </c>
      <c r="AA3191" s="19" t="str">
        <f>HYPERLINK("https://ssdweb.co/ssdweb/CERTH/635423881.pdf","CERTI")</f>
        <v>CERTI</v>
      </c>
    </row>
    <row r="3192" spans="1:27" ht="15" x14ac:dyDescent="0.25">
      <c r="A3192" s="2">
        <v>3187</v>
      </c>
      <c r="B3192" s="39">
        <v>926210964</v>
      </c>
      <c r="C3192" s="28" t="str">
        <f>HYPERLINK("https://pld.live/RapDetail.aspx?STONELIST=926210964","DNA")</f>
        <v>DNA</v>
      </c>
      <c r="D3192" s="18" t="s">
        <v>5715</v>
      </c>
      <c r="E3192" s="18" t="s">
        <v>5128</v>
      </c>
      <c r="F3192" s="2" t="s">
        <v>7987</v>
      </c>
      <c r="G3192" s="2" t="s">
        <v>3296</v>
      </c>
      <c r="H3192" s="14">
        <v>0.85</v>
      </c>
      <c r="I3192" s="2" t="s">
        <v>267</v>
      </c>
      <c r="J3192" s="2" t="s">
        <v>13</v>
      </c>
      <c r="K3192" s="2" t="s">
        <v>1452</v>
      </c>
      <c r="L3192" s="2" t="s">
        <v>5721</v>
      </c>
      <c r="M3192" s="2" t="s">
        <v>5721</v>
      </c>
      <c r="N3192" s="2" t="s">
        <v>2317</v>
      </c>
      <c r="O3192" s="14">
        <v>3700</v>
      </c>
      <c r="P3192" s="14">
        <v>96.57</v>
      </c>
      <c r="Q3192" s="14">
        <v>126.91</v>
      </c>
      <c r="R3192" s="14">
        <v>107.87</v>
      </c>
      <c r="S3192" s="2" t="s">
        <v>6972</v>
      </c>
      <c r="T3192" s="2">
        <v>1</v>
      </c>
      <c r="U3192" s="2">
        <v>65.7</v>
      </c>
      <c r="V3192" s="2">
        <v>57</v>
      </c>
      <c r="W3192" s="2" t="s">
        <v>7862</v>
      </c>
      <c r="X3192" s="2" t="s">
        <v>7670</v>
      </c>
      <c r="Y3192" s="2">
        <v>3145</v>
      </c>
      <c r="Z3192" s="19" t="str">
        <f>HYPERLINK("https://ssdweb.co/ssdweb/hd/Vision360.html?d=926210964&amp;zoomslide=1&amp;z=1926210964&amp;ISCONFIRM=0","VIDEO")</f>
        <v>VIDEO</v>
      </c>
      <c r="AA3192" s="19" t="str">
        <f>HYPERLINK("https://ssdweb.co/ssdweb/CERTH/635423778.pdf","CERTI")</f>
        <v>CERTI</v>
      </c>
    </row>
    <row r="3193" spans="1:27" ht="15" x14ac:dyDescent="0.25">
      <c r="A3193" s="2">
        <v>3188</v>
      </c>
      <c r="B3193" s="39">
        <v>925030299</v>
      </c>
      <c r="C3193" s="28" t="str">
        <f>HYPERLINK("https://pld.live/RapDetail.aspx?STONELIST=925030299","DNA")</f>
        <v>DNA</v>
      </c>
      <c r="D3193" s="18" t="s">
        <v>5715</v>
      </c>
      <c r="E3193" s="18" t="s">
        <v>5128</v>
      </c>
      <c r="F3193" s="2" t="s">
        <v>7987</v>
      </c>
      <c r="G3193" s="2" t="s">
        <v>3296</v>
      </c>
      <c r="H3193" s="14">
        <v>0.82</v>
      </c>
      <c r="I3193" s="2" t="s">
        <v>267</v>
      </c>
      <c r="J3193" s="2" t="s">
        <v>13</v>
      </c>
      <c r="K3193" s="2" t="s">
        <v>1452</v>
      </c>
      <c r="L3193" s="2" t="s">
        <v>5221</v>
      </c>
      <c r="M3193" s="2" t="s">
        <v>5221</v>
      </c>
      <c r="N3193" s="2" t="s">
        <v>2317</v>
      </c>
      <c r="O3193" s="14">
        <v>3700</v>
      </c>
      <c r="P3193" s="14">
        <v>96.57</v>
      </c>
      <c r="Q3193" s="14">
        <v>126.91</v>
      </c>
      <c r="R3193" s="14">
        <v>104.07</v>
      </c>
      <c r="S3193" s="2" t="s">
        <v>2648</v>
      </c>
      <c r="T3193" s="2">
        <v>1.01</v>
      </c>
      <c r="U3193" s="2">
        <v>63.6</v>
      </c>
      <c r="V3193" s="2">
        <v>60</v>
      </c>
      <c r="W3193" s="2" t="s">
        <v>7862</v>
      </c>
      <c r="X3193" s="2" t="s">
        <v>7670</v>
      </c>
      <c r="Y3193" s="2">
        <v>3034</v>
      </c>
      <c r="Z3193" s="19" t="str">
        <f>HYPERLINK("https://ssdweb.co/ssdweb/hd/Vision360.html?d=925030299&amp;zoomslide=1&amp;z=1925030299&amp;ISCONFIRM=0","VIDEO")</f>
        <v>VIDEO</v>
      </c>
      <c r="AA3193" s="19" t="str">
        <f>HYPERLINK("https://ssdweb.co/ssdweb/CERTH/610315069.pdf","CERTI")</f>
        <v>CERTI</v>
      </c>
    </row>
    <row r="3194" spans="1:27" ht="15" x14ac:dyDescent="0.25">
      <c r="A3194" s="2">
        <v>3189</v>
      </c>
      <c r="B3194" s="39">
        <v>925040410</v>
      </c>
      <c r="C3194" s="28" t="str">
        <f>HYPERLINK("https://pld.live/RapDetail.aspx?STONELIST=925040410","DNA")</f>
        <v>DNA</v>
      </c>
      <c r="D3194" s="18" t="s">
        <v>5715</v>
      </c>
      <c r="E3194" s="18" t="s">
        <v>5128</v>
      </c>
      <c r="F3194" s="2" t="s">
        <v>7987</v>
      </c>
      <c r="G3194" s="2" t="s">
        <v>3296</v>
      </c>
      <c r="H3194" s="14">
        <v>0.82</v>
      </c>
      <c r="I3194" s="2" t="s">
        <v>267</v>
      </c>
      <c r="J3194" s="2" t="s">
        <v>5144</v>
      </c>
      <c r="K3194" s="2" t="s">
        <v>1452</v>
      </c>
      <c r="L3194" s="2" t="s">
        <v>5221</v>
      </c>
      <c r="M3194" s="2" t="s">
        <v>5221</v>
      </c>
      <c r="N3194" s="2" t="s">
        <v>2317</v>
      </c>
      <c r="O3194" s="14">
        <v>3400</v>
      </c>
      <c r="P3194" s="14">
        <v>96.41</v>
      </c>
      <c r="Q3194" s="14">
        <v>122.06</v>
      </c>
      <c r="R3194" s="14">
        <v>100.09</v>
      </c>
      <c r="S3194" s="2" t="s">
        <v>3019</v>
      </c>
      <c r="T3194" s="2">
        <v>1.05</v>
      </c>
      <c r="U3194" s="2">
        <v>65</v>
      </c>
      <c r="V3194" s="2">
        <v>60</v>
      </c>
      <c r="W3194" s="2" t="s">
        <v>7862</v>
      </c>
      <c r="X3194" s="2" t="s">
        <v>7670</v>
      </c>
      <c r="Y3194" s="2">
        <v>2788</v>
      </c>
      <c r="Z3194" s="19" t="str">
        <f>HYPERLINK("https://ssdweb.co/ssdweb/hd/Vision360.html?d=925040410&amp;zoomslide=1&amp;z=1925040410&amp;ISCONFIRM=0","VIDEO")</f>
        <v>VIDEO</v>
      </c>
      <c r="AA3194" s="19" t="str">
        <f>HYPERLINK("https://ssdweb.co/ssdweb/CERTH/617424594.pdf","CERTI")</f>
        <v>CERTI</v>
      </c>
    </row>
    <row r="3195" spans="1:27" ht="15" x14ac:dyDescent="0.25">
      <c r="A3195" s="2">
        <v>3190</v>
      </c>
      <c r="B3195" s="39">
        <v>925040429</v>
      </c>
      <c r="C3195" s="28" t="str">
        <f>HYPERLINK("https://pld.live/RapDetail.aspx?STONELIST=925040429","DNA")</f>
        <v>DNA</v>
      </c>
      <c r="D3195" s="18" t="s">
        <v>5847</v>
      </c>
      <c r="E3195" s="18" t="s">
        <v>5128</v>
      </c>
      <c r="F3195" s="2" t="s">
        <v>7987</v>
      </c>
      <c r="G3195" s="2" t="s">
        <v>3296</v>
      </c>
      <c r="H3195" s="14">
        <v>0.74</v>
      </c>
      <c r="I3195" s="2" t="s">
        <v>267</v>
      </c>
      <c r="J3195" s="2" t="s">
        <v>3942</v>
      </c>
      <c r="K3195" s="2" t="s">
        <v>1452</v>
      </c>
      <c r="L3195" s="2" t="s">
        <v>5221</v>
      </c>
      <c r="M3195" s="2" t="s">
        <v>5721</v>
      </c>
      <c r="N3195" s="2" t="s">
        <v>2317</v>
      </c>
      <c r="O3195" s="14">
        <v>4000</v>
      </c>
      <c r="P3195" s="14">
        <v>96.5</v>
      </c>
      <c r="Q3195" s="14">
        <v>140</v>
      </c>
      <c r="R3195" s="14">
        <v>103.6</v>
      </c>
      <c r="S3195" s="2" t="s">
        <v>284</v>
      </c>
      <c r="T3195" s="2">
        <v>1.06</v>
      </c>
      <c r="U3195" s="2">
        <v>66.900000000000006</v>
      </c>
      <c r="V3195" s="2">
        <v>61</v>
      </c>
      <c r="W3195" s="2" t="s">
        <v>7862</v>
      </c>
      <c r="X3195" s="2" t="s">
        <v>3851</v>
      </c>
      <c r="Y3195" s="2">
        <v>2960</v>
      </c>
      <c r="Z3195" s="19" t="str">
        <f>HYPERLINK("https://ssdweb.co/ssdweb/hd/Vision360.html?d=925040429&amp;zoomslide=1&amp;z=1925040429&amp;ISCONFIRM=0","VIDEO")</f>
        <v>VIDEO</v>
      </c>
      <c r="AA3195" s="19" t="str">
        <f>HYPERLINK("https://ssdweb.co/ssdweb/CERTH/617424602.pdf","CERTI")</f>
        <v>CERTI</v>
      </c>
    </row>
    <row r="3196" spans="1:27" ht="15" x14ac:dyDescent="0.25">
      <c r="A3196" s="2">
        <v>3191</v>
      </c>
      <c r="B3196" s="39">
        <v>925040392</v>
      </c>
      <c r="C3196" s="28" t="str">
        <f>HYPERLINK("https://pld.live/RapDetail.aspx?STONELIST=925040392","DNA")</f>
        <v>DNA</v>
      </c>
      <c r="D3196" s="18" t="s">
        <v>5847</v>
      </c>
      <c r="E3196" s="18" t="s">
        <v>5128</v>
      </c>
      <c r="F3196" s="2" t="s">
        <v>7987</v>
      </c>
      <c r="G3196" s="2" t="s">
        <v>3296</v>
      </c>
      <c r="H3196" s="14">
        <v>0.73</v>
      </c>
      <c r="I3196" s="2" t="s">
        <v>267</v>
      </c>
      <c r="J3196" s="2" t="s">
        <v>3942</v>
      </c>
      <c r="K3196" s="2" t="s">
        <v>1452</v>
      </c>
      <c r="L3196" s="2" t="s">
        <v>5221</v>
      </c>
      <c r="M3196" s="2" t="s">
        <v>5221</v>
      </c>
      <c r="N3196" s="2" t="s">
        <v>2317</v>
      </c>
      <c r="O3196" s="14">
        <v>4000</v>
      </c>
      <c r="P3196" s="14">
        <v>96.45</v>
      </c>
      <c r="Q3196" s="14">
        <v>142</v>
      </c>
      <c r="R3196" s="14">
        <v>103.66</v>
      </c>
      <c r="S3196" s="2" t="s">
        <v>4770</v>
      </c>
      <c r="T3196" s="2">
        <v>1.04</v>
      </c>
      <c r="U3196" s="2">
        <v>64.8</v>
      </c>
      <c r="V3196" s="2">
        <v>60</v>
      </c>
      <c r="W3196" s="2" t="s">
        <v>7862</v>
      </c>
      <c r="X3196" s="2" t="s">
        <v>7670</v>
      </c>
      <c r="Y3196" s="2">
        <v>2920</v>
      </c>
      <c r="Z3196" s="19" t="str">
        <f>HYPERLINK("https://ssdweb.co/ssdweb/hd/Vision360.html?d=925040392&amp;zoomslide=1&amp;z=1925040392&amp;ISCONFIRM=0","VIDEO")</f>
        <v>VIDEO</v>
      </c>
      <c r="AA3196" s="19" t="str">
        <f>HYPERLINK("https://ssdweb.co/ssdweb/CERTH/617476157.pdf","CERTI")</f>
        <v>CERTI</v>
      </c>
    </row>
    <row r="3197" spans="1:27" ht="15" x14ac:dyDescent="0.25">
      <c r="A3197" s="2">
        <v>3192</v>
      </c>
      <c r="B3197" s="39">
        <v>925030300</v>
      </c>
      <c r="C3197" s="28" t="str">
        <f>HYPERLINK("https://pld.live/RapDetail.aspx?STONELIST=925030300","DNA")</f>
        <v>DNA</v>
      </c>
      <c r="D3197" s="18" t="s">
        <v>5847</v>
      </c>
      <c r="E3197" s="18" t="s">
        <v>5128</v>
      </c>
      <c r="F3197" s="2" t="s">
        <v>7987</v>
      </c>
      <c r="G3197" s="2" t="s">
        <v>3296</v>
      </c>
      <c r="H3197" s="14">
        <v>0.73</v>
      </c>
      <c r="I3197" s="2" t="s">
        <v>267</v>
      </c>
      <c r="J3197" s="2" t="s">
        <v>13</v>
      </c>
      <c r="K3197" s="2" t="s">
        <v>1452</v>
      </c>
      <c r="L3197" s="2" t="s">
        <v>5221</v>
      </c>
      <c r="M3197" s="2" t="s">
        <v>5221</v>
      </c>
      <c r="N3197" s="2" t="s">
        <v>2317</v>
      </c>
      <c r="O3197" s="14">
        <v>3700</v>
      </c>
      <c r="P3197" s="14">
        <v>96.3</v>
      </c>
      <c r="Q3197" s="14">
        <v>136.9</v>
      </c>
      <c r="R3197" s="14">
        <v>99.94</v>
      </c>
      <c r="S3197" s="2" t="s">
        <v>2650</v>
      </c>
      <c r="T3197" s="2">
        <v>1.04</v>
      </c>
      <c r="U3197" s="2">
        <v>67.5</v>
      </c>
      <c r="V3197" s="2">
        <v>59</v>
      </c>
      <c r="W3197" s="2" t="s">
        <v>7862</v>
      </c>
      <c r="X3197" s="2" t="s">
        <v>7670</v>
      </c>
      <c r="Y3197" s="2">
        <v>2701</v>
      </c>
      <c r="Z3197" s="19" t="str">
        <f>HYPERLINK("https://ssdweb.co/ssdweb/hd/Vision360.html?d=925030300&amp;zoomslide=1&amp;z=1925030300&amp;ISCONFIRM=0","VIDEO")</f>
        <v>VIDEO</v>
      </c>
      <c r="AA3197" s="19" t="str">
        <f>HYPERLINK("https://ssdweb.co/ssdweb/CERTH/610341026.pdf","CERTI")</f>
        <v>CERTI</v>
      </c>
    </row>
    <row r="3198" spans="1:27" ht="15" x14ac:dyDescent="0.25">
      <c r="A3198" s="2">
        <v>3193</v>
      </c>
      <c r="B3198" s="39">
        <v>925030426</v>
      </c>
      <c r="C3198" s="28" t="str">
        <f>HYPERLINK("https://pld.live/RapDetail.aspx?STONELIST=925030426","DNA")</f>
        <v>DNA</v>
      </c>
      <c r="D3198" s="18" t="s">
        <v>5847</v>
      </c>
      <c r="E3198" s="18" t="s">
        <v>5128</v>
      </c>
      <c r="F3198" s="2" t="s">
        <v>7987</v>
      </c>
      <c r="G3198" s="2" t="s">
        <v>3296</v>
      </c>
      <c r="H3198" s="14">
        <v>0.73</v>
      </c>
      <c r="I3198" s="2" t="s">
        <v>267</v>
      </c>
      <c r="J3198" s="2" t="s">
        <v>13</v>
      </c>
      <c r="K3198" s="2" t="s">
        <v>1452</v>
      </c>
      <c r="L3198" s="2" t="s">
        <v>5221</v>
      </c>
      <c r="M3198" s="2" t="s">
        <v>5221</v>
      </c>
      <c r="N3198" s="2" t="s">
        <v>2317</v>
      </c>
      <c r="O3198" s="14">
        <v>3700</v>
      </c>
      <c r="P3198" s="14">
        <v>96.3</v>
      </c>
      <c r="Q3198" s="14">
        <v>136.9</v>
      </c>
      <c r="R3198" s="14">
        <v>99.94</v>
      </c>
      <c r="S3198" s="2" t="s">
        <v>7970</v>
      </c>
      <c r="T3198" s="2">
        <v>1.02</v>
      </c>
      <c r="U3198" s="2">
        <v>65.7</v>
      </c>
      <c r="V3198" s="2">
        <v>58</v>
      </c>
      <c r="W3198" s="2" t="s">
        <v>7862</v>
      </c>
      <c r="X3198" s="2" t="s">
        <v>7670</v>
      </c>
      <c r="Y3198" s="2">
        <v>2701</v>
      </c>
      <c r="Z3198" s="19" t="str">
        <f>HYPERLINK("https://ssdweb.co/ssdweb/hd/Vision360.html?d=925030426&amp;zoomslide=1&amp;z=1925030426&amp;ISCONFIRM=0","VIDEO")</f>
        <v>VIDEO</v>
      </c>
      <c r="AA3198" s="19" t="str">
        <f>HYPERLINK("https://ssdweb.co/ssdweb/CERTH/616434435.pdf","CERTI")</f>
        <v>CERTI</v>
      </c>
    </row>
    <row r="3199" spans="1:27" ht="15" x14ac:dyDescent="0.25">
      <c r="A3199" s="2">
        <v>3194</v>
      </c>
      <c r="B3199" s="39">
        <v>925040451</v>
      </c>
      <c r="C3199" s="28" t="str">
        <f>HYPERLINK("https://pld.live/RapDetail.aspx?STONELIST=925040451","DNA")</f>
        <v>DNA</v>
      </c>
      <c r="D3199" s="18" t="s">
        <v>5847</v>
      </c>
      <c r="E3199" s="18" t="s">
        <v>5128</v>
      </c>
      <c r="F3199" s="2" t="s">
        <v>7987</v>
      </c>
      <c r="G3199" s="2" t="s">
        <v>3296</v>
      </c>
      <c r="H3199" s="14">
        <v>0.73</v>
      </c>
      <c r="I3199" s="2" t="s">
        <v>4761</v>
      </c>
      <c r="J3199" s="2" t="s">
        <v>3942</v>
      </c>
      <c r="K3199" s="2" t="s">
        <v>1452</v>
      </c>
      <c r="L3199" s="2" t="s">
        <v>5221</v>
      </c>
      <c r="M3199" s="2" t="s">
        <v>5221</v>
      </c>
      <c r="N3199" s="2" t="s">
        <v>2317</v>
      </c>
      <c r="O3199" s="14">
        <v>3800</v>
      </c>
      <c r="P3199" s="14">
        <v>96.34</v>
      </c>
      <c r="Q3199" s="14">
        <v>139.08000000000001</v>
      </c>
      <c r="R3199" s="14">
        <v>101.53</v>
      </c>
      <c r="S3199" s="2" t="s">
        <v>7419</v>
      </c>
      <c r="T3199" s="2">
        <v>1.05</v>
      </c>
      <c r="U3199" s="2">
        <v>63.6</v>
      </c>
      <c r="V3199" s="2">
        <v>60</v>
      </c>
      <c r="W3199" s="2" t="s">
        <v>7862</v>
      </c>
      <c r="X3199" s="2" t="s">
        <v>7670</v>
      </c>
      <c r="Y3199" s="2">
        <v>2774</v>
      </c>
      <c r="Z3199" s="19" t="str">
        <f>HYPERLINK("https://ssdweb.co/ssdweb/hd/Vision360.html?d=925040451&amp;zoomslide=1&amp;z=1925040451&amp;ISCONFIRM=0","VIDEO")</f>
        <v>VIDEO</v>
      </c>
      <c r="AA3199" s="19" t="str">
        <f>HYPERLINK("https://ssdweb.co/ssdweb/CERTH/617426273.pdf","CERTI")</f>
        <v>CERTI</v>
      </c>
    </row>
    <row r="3200" spans="1:27" ht="15" x14ac:dyDescent="0.25">
      <c r="A3200" s="2">
        <v>3195</v>
      </c>
      <c r="B3200" s="39">
        <v>925091128</v>
      </c>
      <c r="C3200" s="28" t="str">
        <f>HYPERLINK("https://pld.live/RapDetail.aspx?STONELIST=925091128","DNA")</f>
        <v>DNA</v>
      </c>
      <c r="D3200" s="18" t="s">
        <v>5847</v>
      </c>
      <c r="E3200" s="18" t="s">
        <v>5128</v>
      </c>
      <c r="F3200" s="2" t="s">
        <v>7987</v>
      </c>
      <c r="G3200" s="2" t="s">
        <v>3296</v>
      </c>
      <c r="H3200" s="14">
        <v>0.73</v>
      </c>
      <c r="I3200" s="2" t="s">
        <v>4761</v>
      </c>
      <c r="J3200" s="2" t="s">
        <v>3942</v>
      </c>
      <c r="K3200" s="2" t="s">
        <v>1452</v>
      </c>
      <c r="L3200" s="2" t="s">
        <v>5221</v>
      </c>
      <c r="M3200" s="2" t="s">
        <v>5221</v>
      </c>
      <c r="N3200" s="2" t="s">
        <v>2317</v>
      </c>
      <c r="O3200" s="14">
        <v>3800</v>
      </c>
      <c r="P3200" s="14">
        <v>96.34</v>
      </c>
      <c r="Q3200" s="14">
        <v>139.08000000000001</v>
      </c>
      <c r="R3200" s="14">
        <v>101.53</v>
      </c>
      <c r="S3200" s="2" t="s">
        <v>336</v>
      </c>
      <c r="T3200" s="2">
        <v>1.05</v>
      </c>
      <c r="U3200" s="2">
        <v>65.400000000000006</v>
      </c>
      <c r="V3200" s="2">
        <v>59</v>
      </c>
      <c r="W3200" s="2" t="s">
        <v>7862</v>
      </c>
      <c r="X3200" s="2" t="s">
        <v>7670</v>
      </c>
      <c r="Y3200" s="2">
        <v>2774</v>
      </c>
      <c r="Z3200" s="19" t="str">
        <f>HYPERLINK("https://ssdweb.co/ssdweb/hd/Vision360.html?d=925091128&amp;zoomslide=1&amp;z=1925091128&amp;ISCONFIRM=0","VIDEO")</f>
        <v>VIDEO</v>
      </c>
      <c r="AA3200" s="19" t="str">
        <f>HYPERLINK("https://ssdweb.co/ssdweb/CERTH/619424009.pdf","CERTI")</f>
        <v>CERTI</v>
      </c>
    </row>
    <row r="3201" spans="1:27" ht="15" x14ac:dyDescent="0.25">
      <c r="A3201" s="2">
        <v>3196</v>
      </c>
      <c r="B3201" s="39">
        <v>924520115</v>
      </c>
      <c r="C3201" s="28" t="str">
        <f>HYPERLINK("https://pld.live/RapDetail.aspx?STONELIST=924520115","DNA")</f>
        <v>DNA</v>
      </c>
      <c r="D3201" s="18" t="s">
        <v>5847</v>
      </c>
      <c r="E3201" s="18" t="s">
        <v>5128</v>
      </c>
      <c r="F3201" s="2" t="s">
        <v>5597</v>
      </c>
      <c r="G3201" s="2" t="s">
        <v>3296</v>
      </c>
      <c r="H3201" s="14">
        <v>0.73</v>
      </c>
      <c r="I3201" s="2" t="s">
        <v>4761</v>
      </c>
      <c r="J3201" s="2" t="s">
        <v>5144</v>
      </c>
      <c r="K3201" s="2" t="s">
        <v>1452</v>
      </c>
      <c r="L3201" s="2" t="s">
        <v>5221</v>
      </c>
      <c r="M3201" s="2" t="s">
        <v>5721</v>
      </c>
      <c r="N3201" s="2" t="s">
        <v>2317</v>
      </c>
      <c r="O3201" s="14">
        <v>3200</v>
      </c>
      <c r="P3201" s="14">
        <v>93.28</v>
      </c>
      <c r="Q3201" s="14">
        <v>215.04</v>
      </c>
      <c r="R3201" s="14">
        <v>156.97999999999999</v>
      </c>
      <c r="S3201" s="2" t="s">
        <v>2727</v>
      </c>
      <c r="T3201" s="2">
        <v>1.04</v>
      </c>
      <c r="U3201" s="2">
        <v>67</v>
      </c>
      <c r="V3201" s="2">
        <v>59</v>
      </c>
      <c r="W3201" s="2" t="s">
        <v>7862</v>
      </c>
      <c r="X3201" s="2" t="s">
        <v>7053</v>
      </c>
      <c r="Y3201" s="2">
        <v>2336</v>
      </c>
      <c r="Z3201" s="19" t="str">
        <f>HYPERLINK("https://ssdweb.co/ssdweb/hd/Vision360.html?d=924520115&amp;zoomslide=1&amp;z=1924520115&amp;ISCONFIRM=0","VIDEO")</f>
        <v>VIDEO</v>
      </c>
      <c r="AA3201" s="19" t="str">
        <f>HYPERLINK("https://ssdweb.co/ssdweb/CERTH/6475405682.pdf","CERTI")</f>
        <v>CERTI</v>
      </c>
    </row>
    <row r="3202" spans="1:27" ht="15" x14ac:dyDescent="0.25">
      <c r="A3202" s="2">
        <v>3197</v>
      </c>
      <c r="B3202" s="39">
        <v>925040472</v>
      </c>
      <c r="C3202" s="28" t="str">
        <f>HYPERLINK("https://pld.live/RapDetail.aspx?STONELIST=925040472","DNA")</f>
        <v>DNA</v>
      </c>
      <c r="D3202" s="18" t="s">
        <v>5847</v>
      </c>
      <c r="E3202" s="18" t="s">
        <v>5128</v>
      </c>
      <c r="F3202" s="2" t="s">
        <v>7987</v>
      </c>
      <c r="G3202" s="2" t="s">
        <v>3296</v>
      </c>
      <c r="H3202" s="14">
        <v>0.72</v>
      </c>
      <c r="I3202" s="2" t="s">
        <v>267</v>
      </c>
      <c r="J3202" s="2" t="s">
        <v>3942</v>
      </c>
      <c r="K3202" s="2" t="s">
        <v>1452</v>
      </c>
      <c r="L3202" s="2" t="s">
        <v>5221</v>
      </c>
      <c r="M3202" s="2" t="s">
        <v>5221</v>
      </c>
      <c r="N3202" s="2" t="s">
        <v>2317</v>
      </c>
      <c r="O3202" s="14">
        <v>4000</v>
      </c>
      <c r="P3202" s="14">
        <v>96.45</v>
      </c>
      <c r="Q3202" s="14">
        <v>142</v>
      </c>
      <c r="R3202" s="14">
        <v>102.24</v>
      </c>
      <c r="S3202" s="2" t="s">
        <v>5175</v>
      </c>
      <c r="T3202" s="2">
        <v>1.04</v>
      </c>
      <c r="U3202" s="2">
        <v>63.3</v>
      </c>
      <c r="V3202" s="2">
        <v>61</v>
      </c>
      <c r="W3202" s="2" t="s">
        <v>7862</v>
      </c>
      <c r="X3202" s="2" t="s">
        <v>7670</v>
      </c>
      <c r="Y3202" s="2">
        <v>2880</v>
      </c>
      <c r="Z3202" s="19" t="str">
        <f>HYPERLINK("https://ssdweb.co/ssdweb/hd/Vision360.html?d=925040472&amp;zoomslide=1&amp;z=1925040472&amp;ISCONFIRM=0","VIDEO")</f>
        <v>VIDEO</v>
      </c>
      <c r="AA3202" s="19" t="str">
        <f>HYPERLINK("https://ssdweb.co/ssdweb/CERTH/619424004.pdf","CERTI")</f>
        <v>CERTI</v>
      </c>
    </row>
    <row r="3203" spans="1:27" ht="15" x14ac:dyDescent="0.25">
      <c r="A3203" s="2">
        <v>3198</v>
      </c>
      <c r="B3203" s="39">
        <v>925040399</v>
      </c>
      <c r="C3203" s="28" t="str">
        <f>HYPERLINK("https://pld.live/RapDetail.aspx?STONELIST=925040399","DNA")</f>
        <v>DNA</v>
      </c>
      <c r="D3203" s="18" t="s">
        <v>5847</v>
      </c>
      <c r="E3203" s="18" t="s">
        <v>5128</v>
      </c>
      <c r="F3203" s="2" t="s">
        <v>7987</v>
      </c>
      <c r="G3203" s="2" t="s">
        <v>3296</v>
      </c>
      <c r="H3203" s="14">
        <v>0.72</v>
      </c>
      <c r="I3203" s="2" t="s">
        <v>267</v>
      </c>
      <c r="J3203" s="2" t="s">
        <v>3942</v>
      </c>
      <c r="K3203" s="2" t="s">
        <v>1452</v>
      </c>
      <c r="L3203" s="2" t="s">
        <v>5221</v>
      </c>
      <c r="M3203" s="2" t="s">
        <v>5221</v>
      </c>
      <c r="N3203" s="2" t="s">
        <v>2317</v>
      </c>
      <c r="O3203" s="14">
        <v>4000</v>
      </c>
      <c r="P3203" s="14">
        <v>96.45</v>
      </c>
      <c r="Q3203" s="14">
        <v>142</v>
      </c>
      <c r="R3203" s="14">
        <v>102.24</v>
      </c>
      <c r="S3203" s="2" t="s">
        <v>3852</v>
      </c>
      <c r="T3203" s="2">
        <v>1.04</v>
      </c>
      <c r="U3203" s="2">
        <v>66.099999999999994</v>
      </c>
      <c r="V3203" s="2">
        <v>61</v>
      </c>
      <c r="W3203" s="2" t="s">
        <v>7862</v>
      </c>
      <c r="X3203" s="2" t="s">
        <v>7670</v>
      </c>
      <c r="Y3203" s="2">
        <v>2880</v>
      </c>
      <c r="Z3203" s="19" t="str">
        <f>HYPERLINK("https://ssdweb.co/ssdweb/hd/Vision360.html?d=925040399&amp;zoomslide=1&amp;z=1925040399&amp;ISCONFIRM=0","VIDEO")</f>
        <v>VIDEO</v>
      </c>
      <c r="AA3203" s="19" t="str">
        <f>HYPERLINK("https://ssdweb.co/ssdweb/CERTH/617485770.pdf","CERTI")</f>
        <v>CERTI</v>
      </c>
    </row>
    <row r="3204" spans="1:27" ht="15" x14ac:dyDescent="0.25">
      <c r="A3204" s="2">
        <v>3199</v>
      </c>
      <c r="B3204" s="39">
        <v>926210859</v>
      </c>
      <c r="C3204" s="28" t="str">
        <f>HYPERLINK("https://pld.live/RapDetail.aspx?STONELIST=926210859","DNA")</f>
        <v>DNA</v>
      </c>
      <c r="D3204" s="18" t="s">
        <v>5847</v>
      </c>
      <c r="E3204" s="18" t="s">
        <v>5128</v>
      </c>
      <c r="F3204" s="2" t="s">
        <v>7987</v>
      </c>
      <c r="G3204" s="2" t="s">
        <v>3296</v>
      </c>
      <c r="H3204" s="14">
        <v>0.72</v>
      </c>
      <c r="I3204" s="2" t="s">
        <v>267</v>
      </c>
      <c r="J3204" s="2" t="s">
        <v>13</v>
      </c>
      <c r="K3204" s="2" t="s">
        <v>1452</v>
      </c>
      <c r="L3204" s="2" t="s">
        <v>5221</v>
      </c>
      <c r="M3204" s="2" t="s">
        <v>5721</v>
      </c>
      <c r="N3204" s="2" t="s">
        <v>2317</v>
      </c>
      <c r="O3204" s="14">
        <v>3700</v>
      </c>
      <c r="P3204" s="14">
        <v>96.3</v>
      </c>
      <c r="Q3204" s="14">
        <v>136.9</v>
      </c>
      <c r="R3204" s="14">
        <v>98.57</v>
      </c>
      <c r="S3204" s="2" t="s">
        <v>113</v>
      </c>
      <c r="T3204" s="2">
        <v>1.04</v>
      </c>
      <c r="U3204" s="2">
        <v>65.599999999999994</v>
      </c>
      <c r="V3204" s="2">
        <v>60</v>
      </c>
      <c r="W3204" s="2" t="s">
        <v>7862</v>
      </c>
      <c r="X3204" s="2" t="s">
        <v>7670</v>
      </c>
      <c r="Y3204" s="2">
        <v>2664</v>
      </c>
      <c r="Z3204" s="19" t="str">
        <f>HYPERLINK("https://ssdweb.co/ssdweb/hd/Vision360.html?d=926210859&amp;zoomslide=1&amp;z=1926210859&amp;ISCONFIRM=0","VIDEO")</f>
        <v>VIDEO</v>
      </c>
      <c r="AA3204" s="19" t="str">
        <f>HYPERLINK("https://ssdweb.co/ssdweb/CERTH/635427087.pdf","CERTI")</f>
        <v>CERTI</v>
      </c>
    </row>
    <row r="3205" spans="1:27" ht="15" x14ac:dyDescent="0.25">
      <c r="A3205" s="2">
        <v>3200</v>
      </c>
      <c r="B3205" s="39">
        <v>924960379</v>
      </c>
      <c r="C3205" s="28" t="str">
        <f>HYPERLINK("https://pld.live/RapDetail.aspx?STONELIST=924960379","DNA")</f>
        <v>DNA</v>
      </c>
      <c r="D3205" s="18" t="s">
        <v>5847</v>
      </c>
      <c r="E3205" s="18" t="s">
        <v>5128</v>
      </c>
      <c r="F3205" s="2" t="s">
        <v>7987</v>
      </c>
      <c r="G3205" s="2" t="s">
        <v>3296</v>
      </c>
      <c r="H3205" s="14">
        <v>0.71</v>
      </c>
      <c r="I3205" s="2" t="s">
        <v>267</v>
      </c>
      <c r="J3205" s="2" t="s">
        <v>3942</v>
      </c>
      <c r="K3205" s="2" t="s">
        <v>1452</v>
      </c>
      <c r="L3205" s="2" t="s">
        <v>5221</v>
      </c>
      <c r="M3205" s="2" t="s">
        <v>5221</v>
      </c>
      <c r="N3205" s="2" t="s">
        <v>2317</v>
      </c>
      <c r="O3205" s="14">
        <v>4000</v>
      </c>
      <c r="P3205" s="14">
        <v>96.45</v>
      </c>
      <c r="Q3205" s="14">
        <v>142</v>
      </c>
      <c r="R3205" s="14">
        <v>100.82</v>
      </c>
      <c r="S3205" s="2" t="s">
        <v>8043</v>
      </c>
      <c r="T3205" s="2">
        <v>1.05</v>
      </c>
      <c r="U3205" s="2">
        <v>64.099999999999994</v>
      </c>
      <c r="V3205" s="2">
        <v>62</v>
      </c>
      <c r="W3205" s="2" t="s">
        <v>7862</v>
      </c>
      <c r="X3205" s="2" t="s">
        <v>7670</v>
      </c>
      <c r="Y3205" s="2">
        <v>2840</v>
      </c>
      <c r="Z3205" s="19" t="str">
        <f>HYPERLINK("https://ssdweb.co/ssdweb/hd/Vision360.html?d=924960379&amp;zoomslide=1&amp;z=1924960379&amp;ISCONFIRM=0","VIDEO")</f>
        <v>VIDEO</v>
      </c>
      <c r="AA3205" s="19" t="str">
        <f>HYPERLINK("https://ssdweb.co/ssdweb/CERTH/607366054.pdf","CERTI")</f>
        <v>CERTI</v>
      </c>
    </row>
    <row r="3206" spans="1:27" ht="15" x14ac:dyDescent="0.25">
      <c r="A3206" s="2">
        <v>3201</v>
      </c>
      <c r="B3206" s="39">
        <v>925870600</v>
      </c>
      <c r="C3206" s="28" t="str">
        <f>HYPERLINK("https://pld.live/RapDetail.aspx?STONELIST=925870600","DNA")</f>
        <v>DNA</v>
      </c>
      <c r="D3206" s="18" t="s">
        <v>5847</v>
      </c>
      <c r="E3206" s="18" t="s">
        <v>5128</v>
      </c>
      <c r="F3206" s="2" t="s">
        <v>7987</v>
      </c>
      <c r="G3206" s="2" t="s">
        <v>3296</v>
      </c>
      <c r="H3206" s="14">
        <v>0.71</v>
      </c>
      <c r="I3206" s="2" t="s">
        <v>267</v>
      </c>
      <c r="J3206" s="2" t="s">
        <v>3942</v>
      </c>
      <c r="K3206" s="2" t="s">
        <v>1452</v>
      </c>
      <c r="L3206" s="2" t="s">
        <v>5221</v>
      </c>
      <c r="M3206" s="2" t="s">
        <v>5221</v>
      </c>
      <c r="N3206" s="2" t="s">
        <v>2317</v>
      </c>
      <c r="O3206" s="14">
        <v>4000</v>
      </c>
      <c r="P3206" s="14">
        <v>96.4</v>
      </c>
      <c r="Q3206" s="14">
        <v>144</v>
      </c>
      <c r="R3206" s="14">
        <v>102.24</v>
      </c>
      <c r="S3206" s="2" t="s">
        <v>1106</v>
      </c>
      <c r="T3206" s="2">
        <v>1.02</v>
      </c>
      <c r="U3206" s="2">
        <v>66.5</v>
      </c>
      <c r="V3206" s="2">
        <v>59</v>
      </c>
      <c r="W3206" s="2" t="s">
        <v>7862</v>
      </c>
      <c r="X3206" s="2" t="s">
        <v>7670</v>
      </c>
      <c r="Y3206" s="2">
        <v>2840</v>
      </c>
      <c r="Z3206" s="19" t="str">
        <f>HYPERLINK("https://ssdweb.co/ssdweb/hd/Vision360.html?d=925870600&amp;zoomslide=1&amp;z=1925870600&amp;ISCONFIRM=0","VIDEO")</f>
        <v>VIDEO</v>
      </c>
      <c r="AA3206" s="19" t="str">
        <f>HYPERLINK("https://ssdweb.co/ssdweb/CERTH/629435602.pdf","CERTI")</f>
        <v>CERTI</v>
      </c>
    </row>
    <row r="3207" spans="1:27" ht="15" x14ac:dyDescent="0.25">
      <c r="A3207" s="2">
        <v>3202</v>
      </c>
      <c r="B3207" s="39">
        <v>925040434</v>
      </c>
      <c r="C3207" s="28" t="str">
        <f>HYPERLINK("https://pld.live/RapDetail.aspx?STONELIST=925040434","DNA")</f>
        <v>DNA</v>
      </c>
      <c r="D3207" s="18" t="s">
        <v>5847</v>
      </c>
      <c r="E3207" s="18" t="s">
        <v>5128</v>
      </c>
      <c r="F3207" s="2" t="s">
        <v>7987</v>
      </c>
      <c r="G3207" s="2" t="s">
        <v>3296</v>
      </c>
      <c r="H3207" s="14">
        <v>0.71</v>
      </c>
      <c r="I3207" s="2" t="s">
        <v>267</v>
      </c>
      <c r="J3207" s="2" t="s">
        <v>3942</v>
      </c>
      <c r="K3207" s="2" t="s">
        <v>1452</v>
      </c>
      <c r="L3207" s="2" t="s">
        <v>5221</v>
      </c>
      <c r="M3207" s="2" t="s">
        <v>5221</v>
      </c>
      <c r="N3207" s="2" t="s">
        <v>2317</v>
      </c>
      <c r="O3207" s="14">
        <v>4000</v>
      </c>
      <c r="P3207" s="14">
        <v>96.45</v>
      </c>
      <c r="Q3207" s="14">
        <v>142</v>
      </c>
      <c r="R3207" s="14">
        <v>100.82</v>
      </c>
      <c r="S3207" s="2" t="s">
        <v>7553</v>
      </c>
      <c r="T3207" s="2">
        <v>1.05</v>
      </c>
      <c r="U3207" s="2">
        <v>62.9</v>
      </c>
      <c r="V3207" s="2">
        <v>62</v>
      </c>
      <c r="W3207" s="2" t="s">
        <v>7862</v>
      </c>
      <c r="X3207" s="2" t="s">
        <v>7670</v>
      </c>
      <c r="Y3207" s="2">
        <v>2840</v>
      </c>
      <c r="Z3207" s="19" t="str">
        <f>HYPERLINK("https://ssdweb.co/ssdweb/hd/Vision360.html?d=925040434&amp;zoomslide=1&amp;z=1925040434&amp;ISCONFIRM=0","VIDEO")</f>
        <v>VIDEO</v>
      </c>
      <c r="AA3207" s="19" t="str">
        <f>HYPERLINK("https://ssdweb.co/ssdweb/CERTH/617426246.pdf","CERTI")</f>
        <v>CERTI</v>
      </c>
    </row>
    <row r="3208" spans="1:27" ht="15" x14ac:dyDescent="0.25">
      <c r="A3208" s="2">
        <v>3203</v>
      </c>
      <c r="B3208" s="39">
        <v>925780914</v>
      </c>
      <c r="C3208" s="28" t="str">
        <f>HYPERLINK("https://pld.live/RapDetail.aspx?STONELIST=925780914","DNA")</f>
        <v>DNA</v>
      </c>
      <c r="D3208" s="18" t="s">
        <v>5847</v>
      </c>
      <c r="E3208" s="18" t="s">
        <v>5128</v>
      </c>
      <c r="F3208" s="2" t="s">
        <v>7987</v>
      </c>
      <c r="G3208" s="2" t="s">
        <v>3296</v>
      </c>
      <c r="H3208" s="14">
        <v>0.71</v>
      </c>
      <c r="I3208" s="2" t="s">
        <v>267</v>
      </c>
      <c r="J3208" s="2" t="s">
        <v>3942</v>
      </c>
      <c r="K3208" s="2" t="s">
        <v>1452</v>
      </c>
      <c r="L3208" s="2" t="s">
        <v>5221</v>
      </c>
      <c r="M3208" s="2" t="s">
        <v>5221</v>
      </c>
      <c r="N3208" s="2" t="s">
        <v>2317</v>
      </c>
      <c r="O3208" s="14">
        <v>4000</v>
      </c>
      <c r="P3208" s="14">
        <v>96.4</v>
      </c>
      <c r="Q3208" s="14">
        <v>144</v>
      </c>
      <c r="R3208" s="14">
        <v>102.24</v>
      </c>
      <c r="S3208" s="2" t="s">
        <v>7332</v>
      </c>
      <c r="T3208" s="2">
        <v>1.05</v>
      </c>
      <c r="U3208" s="2">
        <v>64.599999999999994</v>
      </c>
      <c r="V3208" s="2">
        <v>61</v>
      </c>
      <c r="W3208" s="2" t="s">
        <v>7862</v>
      </c>
      <c r="X3208" s="2" t="s">
        <v>7670</v>
      </c>
      <c r="Y3208" s="2">
        <v>2840</v>
      </c>
      <c r="Z3208" s="19" t="str">
        <f>HYPERLINK("https://ssdweb.co/ssdweb/hd/Vision360.html?d=925780914&amp;zoomslide=1&amp;z=1925780914&amp;ISCONFIRM=0","VIDEO")</f>
        <v>VIDEO</v>
      </c>
      <c r="AA3208" s="19" t="str">
        <f>HYPERLINK("https://ssdweb.co/ssdweb/CERTH/626414988.pdf","CERTI")</f>
        <v>CERTI</v>
      </c>
    </row>
    <row r="3209" spans="1:27" ht="15" x14ac:dyDescent="0.25">
      <c r="A3209" s="2">
        <v>3204</v>
      </c>
      <c r="B3209" s="39">
        <v>926220691</v>
      </c>
      <c r="C3209" s="28" t="str">
        <f>HYPERLINK("https://pld.live/RapDetail.aspx?STONELIST=926220691","DNA")</f>
        <v>DNA</v>
      </c>
      <c r="D3209" s="18" t="s">
        <v>5847</v>
      </c>
      <c r="E3209" s="18" t="s">
        <v>5128</v>
      </c>
      <c r="F3209" s="2" t="s">
        <v>7987</v>
      </c>
      <c r="G3209" s="2" t="s">
        <v>3296</v>
      </c>
      <c r="H3209" s="14">
        <v>0.71</v>
      </c>
      <c r="I3209" s="2" t="s">
        <v>267</v>
      </c>
      <c r="J3209" s="2" t="s">
        <v>3942</v>
      </c>
      <c r="K3209" s="2" t="s">
        <v>1452</v>
      </c>
      <c r="L3209" s="2" t="s">
        <v>5221</v>
      </c>
      <c r="M3209" s="2" t="s">
        <v>5221</v>
      </c>
      <c r="N3209" s="2" t="s">
        <v>2317</v>
      </c>
      <c r="O3209" s="14">
        <v>4000</v>
      </c>
      <c r="P3209" s="14">
        <v>96.4</v>
      </c>
      <c r="Q3209" s="14">
        <v>144</v>
      </c>
      <c r="R3209" s="14">
        <v>102.24</v>
      </c>
      <c r="S3209" s="2" t="s">
        <v>3980</v>
      </c>
      <c r="T3209" s="2">
        <v>1.05</v>
      </c>
      <c r="U3209" s="2">
        <v>63.8</v>
      </c>
      <c r="V3209" s="2">
        <v>59</v>
      </c>
      <c r="W3209" s="2" t="s">
        <v>7862</v>
      </c>
      <c r="X3209" s="2" t="s">
        <v>7670</v>
      </c>
      <c r="Y3209" s="2">
        <v>2840</v>
      </c>
      <c r="Z3209" s="19" t="str">
        <f>HYPERLINK("https://ssdweb.co/ssdweb/hd/Vision360.html?d=926220691&amp;zoomslide=1&amp;z=1926220691&amp;ISCONFIRM=0","VIDEO")</f>
        <v>VIDEO</v>
      </c>
      <c r="AA3209" s="19" t="str">
        <f>HYPERLINK("https://ssdweb.co/ssdweb/CERTH/635423846.pdf","CERTI")</f>
        <v>CERTI</v>
      </c>
    </row>
    <row r="3210" spans="1:27" ht="15" x14ac:dyDescent="0.25">
      <c r="A3210" s="2">
        <v>3205</v>
      </c>
      <c r="B3210" s="39">
        <v>926220755</v>
      </c>
      <c r="C3210" s="28" t="str">
        <f>HYPERLINK("https://pld.live/RapDetail.aspx?STONELIST=926220755","DNA")</f>
        <v>DNA</v>
      </c>
      <c r="D3210" s="18" t="s">
        <v>5847</v>
      </c>
      <c r="E3210" s="18" t="s">
        <v>5128</v>
      </c>
      <c r="F3210" s="2" t="s">
        <v>7987</v>
      </c>
      <c r="G3210" s="2" t="s">
        <v>3296</v>
      </c>
      <c r="H3210" s="14">
        <v>0.71</v>
      </c>
      <c r="I3210" s="2" t="s">
        <v>267</v>
      </c>
      <c r="J3210" s="2" t="s">
        <v>3942</v>
      </c>
      <c r="K3210" s="2" t="s">
        <v>1452</v>
      </c>
      <c r="L3210" s="2" t="s">
        <v>5221</v>
      </c>
      <c r="M3210" s="2" t="s">
        <v>5221</v>
      </c>
      <c r="N3210" s="2" t="s">
        <v>2317</v>
      </c>
      <c r="O3210" s="14">
        <v>4000</v>
      </c>
      <c r="P3210" s="14">
        <v>96.4</v>
      </c>
      <c r="Q3210" s="14">
        <v>144</v>
      </c>
      <c r="R3210" s="14">
        <v>102.24</v>
      </c>
      <c r="S3210" s="2" t="s">
        <v>5933</v>
      </c>
      <c r="T3210" s="2">
        <v>1.07</v>
      </c>
      <c r="U3210" s="2">
        <v>62.2</v>
      </c>
      <c r="V3210" s="2">
        <v>57</v>
      </c>
      <c r="W3210" s="2" t="s">
        <v>7862</v>
      </c>
      <c r="X3210" s="2" t="s">
        <v>3851</v>
      </c>
      <c r="Y3210" s="2">
        <v>2840</v>
      </c>
      <c r="Z3210" s="19" t="str">
        <f>HYPERLINK("https://ssdweb.co/ssdweb/hd/Vision360.html?d=926220755&amp;zoomslide=1&amp;z=1926220755&amp;ISCONFIRM=0","VIDEO")</f>
        <v>VIDEO</v>
      </c>
      <c r="AA3210" s="19" t="str">
        <f>HYPERLINK("https://ssdweb.co/ssdweb/CERTH/635427118.pdf","CERTI")</f>
        <v>CERTI</v>
      </c>
    </row>
    <row r="3211" spans="1:27" ht="15" x14ac:dyDescent="0.25">
      <c r="A3211" s="2">
        <v>3206</v>
      </c>
      <c r="B3211" s="39">
        <v>925040419</v>
      </c>
      <c r="C3211" s="28" t="str">
        <f>HYPERLINK("https://pld.live/RapDetail.aspx?STONELIST=925040419","DNA")</f>
        <v>DNA</v>
      </c>
      <c r="D3211" s="18" t="s">
        <v>5847</v>
      </c>
      <c r="E3211" s="18" t="s">
        <v>5128</v>
      </c>
      <c r="F3211" s="2" t="s">
        <v>7987</v>
      </c>
      <c r="G3211" s="2" t="s">
        <v>3296</v>
      </c>
      <c r="H3211" s="14">
        <v>0.71</v>
      </c>
      <c r="I3211" s="2" t="s">
        <v>267</v>
      </c>
      <c r="J3211" s="2" t="s">
        <v>13</v>
      </c>
      <c r="K3211" s="2" t="s">
        <v>1452</v>
      </c>
      <c r="L3211" s="2" t="s">
        <v>5221</v>
      </c>
      <c r="M3211" s="2" t="s">
        <v>5221</v>
      </c>
      <c r="N3211" s="2" t="s">
        <v>2317</v>
      </c>
      <c r="O3211" s="14">
        <v>3700</v>
      </c>
      <c r="P3211" s="14">
        <v>96.3</v>
      </c>
      <c r="Q3211" s="14">
        <v>136.9</v>
      </c>
      <c r="R3211" s="14">
        <v>97.2</v>
      </c>
      <c r="S3211" s="2" t="s">
        <v>120</v>
      </c>
      <c r="T3211" s="2">
        <v>1.06</v>
      </c>
      <c r="U3211" s="2">
        <v>66.3</v>
      </c>
      <c r="V3211" s="2">
        <v>62</v>
      </c>
      <c r="W3211" s="2" t="s">
        <v>7862</v>
      </c>
      <c r="X3211" s="2" t="s">
        <v>3851</v>
      </c>
      <c r="Y3211" s="2">
        <v>2627</v>
      </c>
      <c r="Z3211" s="19" t="str">
        <f>HYPERLINK("https://ssdweb.co/ssdweb/hd/Vision360.html?d=925040419&amp;zoomslide=1&amp;z=1925040419&amp;ISCONFIRM=0","VIDEO")</f>
        <v>VIDEO</v>
      </c>
      <c r="AA3211" s="19" t="str">
        <f>HYPERLINK("https://ssdweb.co/ssdweb/CERTH/617424631.pdf","CERTI")</f>
        <v>CERTI</v>
      </c>
    </row>
    <row r="3212" spans="1:27" ht="15" x14ac:dyDescent="0.25">
      <c r="A3212" s="2">
        <v>3207</v>
      </c>
      <c r="B3212" s="39">
        <v>926220564</v>
      </c>
      <c r="C3212" s="28" t="str">
        <f>HYPERLINK("https://pld.live/RapDetail.aspx?STONELIST=926220564","DNA")</f>
        <v>DNA</v>
      </c>
      <c r="D3212" s="18" t="s">
        <v>5847</v>
      </c>
      <c r="E3212" s="18" t="s">
        <v>5128</v>
      </c>
      <c r="F3212" s="2" t="s">
        <v>7987</v>
      </c>
      <c r="G3212" s="2" t="s">
        <v>3296</v>
      </c>
      <c r="H3212" s="14">
        <v>0.71</v>
      </c>
      <c r="I3212" s="2" t="s">
        <v>267</v>
      </c>
      <c r="J3212" s="2" t="s">
        <v>13</v>
      </c>
      <c r="K3212" s="2" t="s">
        <v>1452</v>
      </c>
      <c r="L3212" s="2" t="s">
        <v>5221</v>
      </c>
      <c r="M3212" s="2" t="s">
        <v>5221</v>
      </c>
      <c r="N3212" s="2" t="s">
        <v>2317</v>
      </c>
      <c r="O3212" s="14">
        <v>3700</v>
      </c>
      <c r="P3212" s="14">
        <v>96.24</v>
      </c>
      <c r="Q3212" s="14">
        <v>139.12</v>
      </c>
      <c r="R3212" s="14">
        <v>98.78</v>
      </c>
      <c r="S3212" s="2" t="s">
        <v>2218</v>
      </c>
      <c r="T3212" s="2">
        <v>1.07</v>
      </c>
      <c r="U3212" s="2">
        <v>68.2</v>
      </c>
      <c r="V3212" s="2">
        <v>61</v>
      </c>
      <c r="W3212" s="2" t="s">
        <v>7862</v>
      </c>
      <c r="X3212" s="2" t="s">
        <v>3851</v>
      </c>
      <c r="Y3212" s="2">
        <v>2627</v>
      </c>
      <c r="Z3212" s="19" t="str">
        <f>HYPERLINK("https://ssdweb.co/ssdweb/hd/Vision360.html?d=926220564&amp;zoomslide=1&amp;z=1926220564&amp;ISCONFIRM=0","VIDEO")</f>
        <v>VIDEO</v>
      </c>
      <c r="AA3212" s="19" t="str">
        <f>HYPERLINK("https://ssdweb.co/ssdweb/CERTH/635423840.pdf","CERTI")</f>
        <v>CERTI</v>
      </c>
    </row>
    <row r="3213" spans="1:27" ht="15" x14ac:dyDescent="0.25">
      <c r="A3213" s="2">
        <v>3208</v>
      </c>
      <c r="B3213" s="39">
        <v>926220728</v>
      </c>
      <c r="C3213" s="28" t="str">
        <f>HYPERLINK("https://pld.live/RapDetail.aspx?STONELIST=926220728","DNA")</f>
        <v>DNA</v>
      </c>
      <c r="D3213" s="18" t="s">
        <v>5847</v>
      </c>
      <c r="E3213" s="18" t="s">
        <v>5128</v>
      </c>
      <c r="F3213" s="2" t="s">
        <v>7987</v>
      </c>
      <c r="G3213" s="2" t="s">
        <v>3296</v>
      </c>
      <c r="H3213" s="14">
        <v>0.71</v>
      </c>
      <c r="I3213" s="2" t="s">
        <v>267</v>
      </c>
      <c r="J3213" s="2" t="s">
        <v>13</v>
      </c>
      <c r="K3213" s="2" t="s">
        <v>1452</v>
      </c>
      <c r="L3213" s="2" t="s">
        <v>5221</v>
      </c>
      <c r="M3213" s="2" t="s">
        <v>5721</v>
      </c>
      <c r="N3213" s="2" t="s">
        <v>2317</v>
      </c>
      <c r="O3213" s="14">
        <v>3700</v>
      </c>
      <c r="P3213" s="14">
        <v>96.3</v>
      </c>
      <c r="Q3213" s="14">
        <v>136.9</v>
      </c>
      <c r="R3213" s="14">
        <v>97.2</v>
      </c>
      <c r="S3213" s="2" t="s">
        <v>328</v>
      </c>
      <c r="T3213" s="2">
        <v>1.07</v>
      </c>
      <c r="U3213" s="2">
        <v>63.2</v>
      </c>
      <c r="V3213" s="2">
        <v>63</v>
      </c>
      <c r="W3213" s="2" t="s">
        <v>7862</v>
      </c>
      <c r="X3213" s="2" t="s">
        <v>7670</v>
      </c>
      <c r="Y3213" s="2">
        <v>2627</v>
      </c>
      <c r="Z3213" s="19" t="str">
        <f>HYPERLINK("https://ssdweb.co/ssdweb/hd/Vision360.html?d=926220728&amp;zoomslide=1&amp;z=1926220728&amp;ISCONFIRM=0","VIDEO")</f>
        <v>VIDEO</v>
      </c>
      <c r="AA3213" s="19" t="str">
        <f>HYPERLINK("https://ssdweb.co/ssdweb/CERTH/635423868.pdf","CERTI")</f>
        <v>CERTI</v>
      </c>
    </row>
    <row r="3214" spans="1:27" ht="15" x14ac:dyDescent="0.25">
      <c r="A3214" s="2">
        <v>3209</v>
      </c>
      <c r="B3214" s="39">
        <v>923870353</v>
      </c>
      <c r="C3214" s="28" t="str">
        <f>HYPERLINK("https://pld.live/RapDetail.aspx?STONELIST=923870353","DNA")</f>
        <v>DNA</v>
      </c>
      <c r="D3214" s="18" t="s">
        <v>5847</v>
      </c>
      <c r="E3214" s="18" t="s">
        <v>5128</v>
      </c>
      <c r="F3214" s="2" t="s">
        <v>7987</v>
      </c>
      <c r="G3214" s="2" t="s">
        <v>3296</v>
      </c>
      <c r="H3214" s="14">
        <v>0.71</v>
      </c>
      <c r="I3214" s="2" t="s">
        <v>4761</v>
      </c>
      <c r="J3214" s="2" t="s">
        <v>6555</v>
      </c>
      <c r="K3214" s="2" t="s">
        <v>1452</v>
      </c>
      <c r="L3214" s="2" t="s">
        <v>5221</v>
      </c>
      <c r="M3214" s="2" t="s">
        <v>5221</v>
      </c>
      <c r="N3214" s="2" t="s">
        <v>2317</v>
      </c>
      <c r="O3214" s="14">
        <v>4000</v>
      </c>
      <c r="P3214" s="14">
        <v>95.95</v>
      </c>
      <c r="Q3214" s="14">
        <v>162</v>
      </c>
      <c r="R3214" s="14">
        <v>115.02</v>
      </c>
      <c r="S3214" s="2" t="s">
        <v>4322</v>
      </c>
      <c r="T3214" s="2">
        <v>1.05</v>
      </c>
      <c r="U3214" s="2">
        <v>63.7</v>
      </c>
      <c r="V3214" s="2">
        <v>58</v>
      </c>
      <c r="W3214" s="2" t="s">
        <v>7862</v>
      </c>
      <c r="X3214" s="2" t="s">
        <v>7670</v>
      </c>
      <c r="Y3214" s="2">
        <v>2840</v>
      </c>
      <c r="Z3214" s="19" t="str">
        <f>HYPERLINK("https://ssdweb.co/ssdweb/hd/Vision360.html?d=923870353&amp;zoomslide=1&amp;z=1923870353&amp;ISCONFIRM=0","VIDEO")</f>
        <v>VIDEO</v>
      </c>
      <c r="AA3214" s="19" t="str">
        <f>HYPERLINK("https://ssdweb.co/ssdweb/CERTH/569323081.pdf","CERTI")</f>
        <v>CERTI</v>
      </c>
    </row>
    <row r="3215" spans="1:27" ht="15" x14ac:dyDescent="0.25">
      <c r="A3215" s="2">
        <v>3210</v>
      </c>
      <c r="B3215" s="39">
        <v>925030432</v>
      </c>
      <c r="C3215" s="28" t="str">
        <f>HYPERLINK("https://pld.live/RapDetail.aspx?STONELIST=925030432","DNA")</f>
        <v>DNA</v>
      </c>
      <c r="D3215" s="18" t="s">
        <v>5847</v>
      </c>
      <c r="E3215" s="18" t="s">
        <v>5128</v>
      </c>
      <c r="F3215" s="2" t="s">
        <v>7987</v>
      </c>
      <c r="G3215" s="2" t="s">
        <v>3296</v>
      </c>
      <c r="H3215" s="14">
        <v>0.71</v>
      </c>
      <c r="I3215" s="2" t="s">
        <v>4761</v>
      </c>
      <c r="J3215" s="2" t="s">
        <v>6555</v>
      </c>
      <c r="K3215" s="2" t="s">
        <v>1452</v>
      </c>
      <c r="L3215" s="2" t="s">
        <v>5221</v>
      </c>
      <c r="M3215" s="2" t="s">
        <v>5221</v>
      </c>
      <c r="N3215" s="2" t="s">
        <v>2317</v>
      </c>
      <c r="O3215" s="14">
        <v>4000</v>
      </c>
      <c r="P3215" s="14">
        <v>95.95</v>
      </c>
      <c r="Q3215" s="14">
        <v>162</v>
      </c>
      <c r="R3215" s="14">
        <v>115.02</v>
      </c>
      <c r="S3215" s="2" t="s">
        <v>4398</v>
      </c>
      <c r="T3215" s="2">
        <v>1.04</v>
      </c>
      <c r="U3215" s="2">
        <v>63.5</v>
      </c>
      <c r="V3215" s="2">
        <v>61</v>
      </c>
      <c r="W3215" s="2" t="s">
        <v>7862</v>
      </c>
      <c r="X3215" s="2" t="s">
        <v>7670</v>
      </c>
      <c r="Y3215" s="2">
        <v>2840</v>
      </c>
      <c r="Z3215" s="19" t="str">
        <f>HYPERLINK("https://ssdweb.co/ssdweb/hd/Vision360.html?d=925030432&amp;zoomslide=1&amp;z=1925030432&amp;ISCONFIRM=0","VIDEO")</f>
        <v>VIDEO</v>
      </c>
      <c r="AA3215" s="19" t="str">
        <f>HYPERLINK("https://ssdweb.co/ssdweb/CERTH/617424580.pdf","CERTI")</f>
        <v>CERTI</v>
      </c>
    </row>
    <row r="3216" spans="1:27" ht="15" x14ac:dyDescent="0.25">
      <c r="A3216" s="2">
        <v>3211</v>
      </c>
      <c r="B3216" s="39">
        <v>925040463</v>
      </c>
      <c r="C3216" s="28" t="str">
        <f>HYPERLINK("https://pld.live/RapDetail.aspx?STONELIST=925040463","DNA")</f>
        <v>DNA</v>
      </c>
      <c r="D3216" s="18" t="s">
        <v>5847</v>
      </c>
      <c r="E3216" s="18" t="s">
        <v>5128</v>
      </c>
      <c r="F3216" s="2" t="s">
        <v>7987</v>
      </c>
      <c r="G3216" s="2" t="s">
        <v>3296</v>
      </c>
      <c r="H3216" s="14">
        <v>0.71</v>
      </c>
      <c r="I3216" s="2" t="s">
        <v>4761</v>
      </c>
      <c r="J3216" s="2" t="s">
        <v>3942</v>
      </c>
      <c r="K3216" s="2" t="s">
        <v>1452</v>
      </c>
      <c r="L3216" s="2" t="s">
        <v>5221</v>
      </c>
      <c r="M3216" s="2" t="s">
        <v>5221</v>
      </c>
      <c r="N3216" s="2" t="s">
        <v>2317</v>
      </c>
      <c r="O3216" s="14">
        <v>3800</v>
      </c>
      <c r="P3216" s="14">
        <v>96.34</v>
      </c>
      <c r="Q3216" s="14">
        <v>139.08000000000001</v>
      </c>
      <c r="R3216" s="14">
        <v>98.75</v>
      </c>
      <c r="S3216" s="2" t="s">
        <v>1232</v>
      </c>
      <c r="T3216" s="2">
        <v>1.05</v>
      </c>
      <c r="U3216" s="2">
        <v>67.599999999999994</v>
      </c>
      <c r="V3216" s="2">
        <v>62</v>
      </c>
      <c r="W3216" s="2" t="s">
        <v>7862</v>
      </c>
      <c r="X3216" s="2" t="s">
        <v>7670</v>
      </c>
      <c r="Y3216" s="2">
        <v>2698</v>
      </c>
      <c r="Z3216" s="19" t="str">
        <f>HYPERLINK("https://ssdweb.co/ssdweb/hd/Vision360.html?d=925040463&amp;zoomslide=1&amp;z=1925040463&amp;ISCONFIRM=0","VIDEO")</f>
        <v>VIDEO</v>
      </c>
      <c r="AA3216" s="19" t="str">
        <f>HYPERLINK("https://ssdweb.co/ssdweb/CERTH/618480817.pdf","CERTI")</f>
        <v>CERTI</v>
      </c>
    </row>
    <row r="3217" spans="1:27" ht="15" x14ac:dyDescent="0.25">
      <c r="A3217" s="2">
        <v>3212</v>
      </c>
      <c r="B3217" s="39">
        <v>925040456</v>
      </c>
      <c r="C3217" s="28" t="str">
        <f>HYPERLINK("https://pld.live/RapDetail.aspx?STONELIST=925040456","DNA")</f>
        <v>DNA</v>
      </c>
      <c r="D3217" s="18" t="s">
        <v>5847</v>
      </c>
      <c r="E3217" s="18" t="s">
        <v>5128</v>
      </c>
      <c r="F3217" s="2" t="s">
        <v>7987</v>
      </c>
      <c r="G3217" s="2" t="s">
        <v>3296</v>
      </c>
      <c r="H3217" s="14">
        <v>0.71</v>
      </c>
      <c r="I3217" s="2" t="s">
        <v>4761</v>
      </c>
      <c r="J3217" s="2" t="s">
        <v>3942</v>
      </c>
      <c r="K3217" s="2" t="s">
        <v>1452</v>
      </c>
      <c r="L3217" s="2" t="s">
        <v>5221</v>
      </c>
      <c r="M3217" s="2" t="s">
        <v>5221</v>
      </c>
      <c r="N3217" s="2" t="s">
        <v>2317</v>
      </c>
      <c r="O3217" s="14">
        <v>3800</v>
      </c>
      <c r="P3217" s="14">
        <v>96.34</v>
      </c>
      <c r="Q3217" s="14">
        <v>139.08000000000001</v>
      </c>
      <c r="R3217" s="14">
        <v>98.75</v>
      </c>
      <c r="S3217" s="2" t="s">
        <v>3280</v>
      </c>
      <c r="T3217" s="2">
        <v>1.04</v>
      </c>
      <c r="U3217" s="2">
        <v>63</v>
      </c>
      <c r="V3217" s="2">
        <v>61</v>
      </c>
      <c r="W3217" s="2" t="s">
        <v>7862</v>
      </c>
      <c r="X3217" s="2" t="s">
        <v>7670</v>
      </c>
      <c r="Y3217" s="2">
        <v>2698</v>
      </c>
      <c r="Z3217" s="19" t="str">
        <f>HYPERLINK("https://ssdweb.co/ssdweb/hd/Vision360.html?d=925040456&amp;zoomslide=1&amp;z=1925040456&amp;ISCONFIRM=0","VIDEO")</f>
        <v>VIDEO</v>
      </c>
      <c r="AA3217" s="19" t="str">
        <f>HYPERLINK("https://ssdweb.co/ssdweb/CERTH/618455171.pdf","CERTI")</f>
        <v>CERTI</v>
      </c>
    </row>
    <row r="3218" spans="1:27" ht="15" x14ac:dyDescent="0.25">
      <c r="A3218" s="2">
        <v>3213</v>
      </c>
      <c r="B3218" s="39">
        <v>925040438</v>
      </c>
      <c r="C3218" s="28" t="str">
        <f>HYPERLINK("https://pld.live/RapDetail.aspx?STONELIST=925040438","DNA")</f>
        <v>DNA</v>
      </c>
      <c r="D3218" s="18" t="s">
        <v>5847</v>
      </c>
      <c r="E3218" s="18" t="s">
        <v>5128</v>
      </c>
      <c r="F3218" s="2" t="s">
        <v>7987</v>
      </c>
      <c r="G3218" s="2" t="s">
        <v>3296</v>
      </c>
      <c r="H3218" s="14">
        <v>0.71</v>
      </c>
      <c r="I3218" s="2" t="s">
        <v>4761</v>
      </c>
      <c r="J3218" s="2" t="s">
        <v>3942</v>
      </c>
      <c r="K3218" s="2" t="s">
        <v>1452</v>
      </c>
      <c r="L3218" s="2" t="s">
        <v>5221</v>
      </c>
      <c r="M3218" s="2" t="s">
        <v>5221</v>
      </c>
      <c r="N3218" s="2" t="s">
        <v>2317</v>
      </c>
      <c r="O3218" s="14">
        <v>3800</v>
      </c>
      <c r="P3218" s="14">
        <v>96.34</v>
      </c>
      <c r="Q3218" s="14">
        <v>139.08000000000001</v>
      </c>
      <c r="R3218" s="14">
        <v>98.75</v>
      </c>
      <c r="S3218" s="2" t="s">
        <v>5245</v>
      </c>
      <c r="T3218" s="2">
        <v>1.03</v>
      </c>
      <c r="U3218" s="2">
        <v>66.900000000000006</v>
      </c>
      <c r="V3218" s="2">
        <v>60</v>
      </c>
      <c r="W3218" s="2" t="s">
        <v>7862</v>
      </c>
      <c r="X3218" s="2" t="s">
        <v>7670</v>
      </c>
      <c r="Y3218" s="2">
        <v>2698</v>
      </c>
      <c r="Z3218" s="19" t="str">
        <f>HYPERLINK("https://ssdweb.co/ssdweb/hd/Vision360.html?d=925040438&amp;zoomslide=1&amp;z=1925040438&amp;ISCONFIRM=0","VIDEO")</f>
        <v>VIDEO</v>
      </c>
      <c r="AA3218" s="19" t="str">
        <f>HYPERLINK("https://ssdweb.co/ssdweb/CERTH/617426250.pdf","CERTI")</f>
        <v>CERTI</v>
      </c>
    </row>
    <row r="3219" spans="1:27" ht="15" x14ac:dyDescent="0.25">
      <c r="A3219" s="2">
        <v>3214</v>
      </c>
      <c r="B3219" s="39">
        <v>925030447</v>
      </c>
      <c r="C3219" s="28" t="str">
        <f>HYPERLINK("https://pld.live/RapDetail.aspx?STONELIST=925030447","DNA")</f>
        <v>DNA</v>
      </c>
      <c r="D3219" s="18" t="s">
        <v>5847</v>
      </c>
      <c r="E3219" s="18" t="s">
        <v>5128</v>
      </c>
      <c r="F3219" s="2" t="s">
        <v>7987</v>
      </c>
      <c r="G3219" s="2" t="s">
        <v>3296</v>
      </c>
      <c r="H3219" s="14">
        <v>0.71</v>
      </c>
      <c r="I3219" s="2" t="s">
        <v>4761</v>
      </c>
      <c r="J3219" s="2" t="s">
        <v>3942</v>
      </c>
      <c r="K3219" s="2" t="s">
        <v>1452</v>
      </c>
      <c r="L3219" s="2" t="s">
        <v>5221</v>
      </c>
      <c r="M3219" s="2" t="s">
        <v>5221</v>
      </c>
      <c r="N3219" s="2" t="s">
        <v>2317</v>
      </c>
      <c r="O3219" s="14">
        <v>3800</v>
      </c>
      <c r="P3219" s="14">
        <v>96.34</v>
      </c>
      <c r="Q3219" s="14">
        <v>139.08000000000001</v>
      </c>
      <c r="R3219" s="14">
        <v>98.75</v>
      </c>
      <c r="S3219" s="2" t="s">
        <v>198</v>
      </c>
      <c r="T3219" s="2">
        <v>1.02</v>
      </c>
      <c r="U3219" s="2">
        <v>66.599999999999994</v>
      </c>
      <c r="V3219" s="2">
        <v>59</v>
      </c>
      <c r="W3219" s="2" t="s">
        <v>7862</v>
      </c>
      <c r="X3219" s="2" t="s">
        <v>7670</v>
      </c>
      <c r="Y3219" s="2">
        <v>2698</v>
      </c>
      <c r="Z3219" s="19" t="str">
        <f>HYPERLINK("https://ssdweb.co/ssdweb/hd/Vision360.html?d=925030447&amp;zoomslide=1&amp;z=1925030447&amp;ISCONFIRM=0","VIDEO")</f>
        <v>VIDEO</v>
      </c>
      <c r="AA3219" s="19" t="str">
        <f>HYPERLINK("https://ssdweb.co/ssdweb/CERTH/619423990.pdf","CERTI")</f>
        <v>CERTI</v>
      </c>
    </row>
    <row r="3220" spans="1:27" ht="15" x14ac:dyDescent="0.25">
      <c r="A3220" s="2">
        <v>3215</v>
      </c>
      <c r="B3220" s="39">
        <v>926220573</v>
      </c>
      <c r="C3220" s="28" t="str">
        <f>HYPERLINK("https://pld.live/RapDetail.aspx?STONELIST=926220573","DNA")</f>
        <v>DNA</v>
      </c>
      <c r="D3220" s="18" t="s">
        <v>5847</v>
      </c>
      <c r="E3220" s="18" t="s">
        <v>5128</v>
      </c>
      <c r="F3220" s="2" t="s">
        <v>7987</v>
      </c>
      <c r="G3220" s="2" t="s">
        <v>3296</v>
      </c>
      <c r="H3220" s="14">
        <v>0.71</v>
      </c>
      <c r="I3220" s="2" t="s">
        <v>4761</v>
      </c>
      <c r="J3220" s="2" t="s">
        <v>3942</v>
      </c>
      <c r="K3220" s="2" t="s">
        <v>1452</v>
      </c>
      <c r="L3220" s="2" t="s">
        <v>5221</v>
      </c>
      <c r="M3220" s="2" t="s">
        <v>5221</v>
      </c>
      <c r="N3220" s="2" t="s">
        <v>2317</v>
      </c>
      <c r="O3220" s="14">
        <v>3800</v>
      </c>
      <c r="P3220" s="14">
        <v>96.29</v>
      </c>
      <c r="Q3220" s="14">
        <v>140.97999999999999</v>
      </c>
      <c r="R3220" s="14">
        <v>100.1</v>
      </c>
      <c r="S3220" s="2" t="s">
        <v>5834</v>
      </c>
      <c r="T3220" s="2">
        <v>1.03</v>
      </c>
      <c r="U3220" s="2">
        <v>66.7</v>
      </c>
      <c r="V3220" s="2">
        <v>60</v>
      </c>
      <c r="W3220" s="2" t="s">
        <v>7862</v>
      </c>
      <c r="X3220" s="2" t="s">
        <v>7670</v>
      </c>
      <c r="Y3220" s="2">
        <v>2698</v>
      </c>
      <c r="Z3220" s="19" t="str">
        <f>HYPERLINK("https://ssdweb.co/ssdweb/hd/Vision360.html?d=926220573&amp;zoomslide=1&amp;z=1926220573&amp;ISCONFIRM=0","VIDEO")</f>
        <v>VIDEO</v>
      </c>
      <c r="AA3220" s="19" t="str">
        <f>HYPERLINK("https://ssdweb.co/ssdweb/CERTH/635427068.pdf","CERTI")</f>
        <v>CERTI</v>
      </c>
    </row>
    <row r="3221" spans="1:27" ht="15" x14ac:dyDescent="0.25">
      <c r="A3221" s="2">
        <v>3216</v>
      </c>
      <c r="B3221" s="39">
        <v>925040430</v>
      </c>
      <c r="C3221" s="28" t="str">
        <f>HYPERLINK("https://pld.live/RapDetail.aspx?STONELIST=925040430","DNA")</f>
        <v>DNA</v>
      </c>
      <c r="D3221" s="18" t="s">
        <v>5847</v>
      </c>
      <c r="E3221" s="18" t="s">
        <v>5128</v>
      </c>
      <c r="F3221" s="2" t="s">
        <v>7987</v>
      </c>
      <c r="G3221" s="2" t="s">
        <v>3296</v>
      </c>
      <c r="H3221" s="14">
        <v>0.7</v>
      </c>
      <c r="I3221" s="2" t="s">
        <v>267</v>
      </c>
      <c r="J3221" s="2" t="s">
        <v>3942</v>
      </c>
      <c r="K3221" s="2" t="s">
        <v>1452</v>
      </c>
      <c r="L3221" s="2" t="s">
        <v>5221</v>
      </c>
      <c r="M3221" s="2" t="s">
        <v>5221</v>
      </c>
      <c r="N3221" s="2" t="s">
        <v>2317</v>
      </c>
      <c r="O3221" s="14">
        <v>4000</v>
      </c>
      <c r="P3221" s="14">
        <v>96.45</v>
      </c>
      <c r="Q3221" s="14">
        <v>142</v>
      </c>
      <c r="R3221" s="14">
        <v>99.4</v>
      </c>
      <c r="S3221" s="2" t="s">
        <v>4701</v>
      </c>
      <c r="T3221" s="2">
        <v>1.03</v>
      </c>
      <c r="U3221" s="2">
        <v>67.400000000000006</v>
      </c>
      <c r="V3221" s="2">
        <v>58</v>
      </c>
      <c r="W3221" s="2" t="s">
        <v>7862</v>
      </c>
      <c r="X3221" s="2" t="s">
        <v>7670</v>
      </c>
      <c r="Y3221" s="2">
        <v>2800</v>
      </c>
      <c r="Z3221" s="19" t="str">
        <f>HYPERLINK("https://ssdweb.co/ssdweb/hd/Vision360.html?d=925040430&amp;zoomslide=1&amp;z=1925040430&amp;ISCONFIRM=0","VIDEO")</f>
        <v>VIDEO</v>
      </c>
      <c r="AA3221" s="19" t="str">
        <f>HYPERLINK("https://ssdweb.co/ssdweb/CERTH/617424600.pdf","CERTI")</f>
        <v>CERTI</v>
      </c>
    </row>
    <row r="3222" spans="1:27" ht="15" x14ac:dyDescent="0.25">
      <c r="A3222" s="2">
        <v>3217</v>
      </c>
      <c r="B3222" s="39">
        <v>925040470</v>
      </c>
      <c r="C3222" s="28" t="str">
        <f>HYPERLINK("https://pld.live/RapDetail.aspx?STONELIST=925040470","DNA")</f>
        <v>DNA</v>
      </c>
      <c r="D3222" s="18" t="s">
        <v>5847</v>
      </c>
      <c r="E3222" s="18" t="s">
        <v>5128</v>
      </c>
      <c r="F3222" s="2" t="s">
        <v>7987</v>
      </c>
      <c r="G3222" s="2" t="s">
        <v>3296</v>
      </c>
      <c r="H3222" s="14">
        <v>0.7</v>
      </c>
      <c r="I3222" s="2" t="s">
        <v>267</v>
      </c>
      <c r="J3222" s="2" t="s">
        <v>3942</v>
      </c>
      <c r="K3222" s="2" t="s">
        <v>1452</v>
      </c>
      <c r="L3222" s="2" t="s">
        <v>5221</v>
      </c>
      <c r="M3222" s="2" t="s">
        <v>5221</v>
      </c>
      <c r="N3222" s="2" t="s">
        <v>2317</v>
      </c>
      <c r="O3222" s="14">
        <v>4000</v>
      </c>
      <c r="P3222" s="14">
        <v>96.45</v>
      </c>
      <c r="Q3222" s="14">
        <v>142</v>
      </c>
      <c r="R3222" s="14">
        <v>99.4</v>
      </c>
      <c r="S3222" s="2" t="s">
        <v>4065</v>
      </c>
      <c r="T3222" s="2">
        <v>1.04</v>
      </c>
      <c r="U3222" s="2">
        <v>63.8</v>
      </c>
      <c r="V3222" s="2">
        <v>58</v>
      </c>
      <c r="W3222" s="2" t="s">
        <v>7862</v>
      </c>
      <c r="X3222" s="2" t="s">
        <v>7670</v>
      </c>
      <c r="Y3222" s="2">
        <v>2800</v>
      </c>
      <c r="Z3222" s="19" t="str">
        <f>HYPERLINK("https://ssdweb.co/ssdweb/hd/Vision360.html?d=925040470&amp;zoomslide=1&amp;z=1925040470&amp;ISCONFIRM=0","VIDEO")</f>
        <v>VIDEO</v>
      </c>
      <c r="AA3222" s="19" t="str">
        <f>HYPERLINK("https://ssdweb.co/ssdweb/CERTH/619423991.pdf","CERTI")</f>
        <v>CERTI</v>
      </c>
    </row>
    <row r="3223" spans="1:27" ht="15" x14ac:dyDescent="0.25">
      <c r="A3223" s="2">
        <v>3218</v>
      </c>
      <c r="B3223" s="39">
        <v>925260303</v>
      </c>
      <c r="C3223" s="28" t="str">
        <f>HYPERLINK("https://pld.live/RapDetail.aspx?STONELIST=925260303","DNA")</f>
        <v>DNA</v>
      </c>
      <c r="D3223" s="18" t="s">
        <v>5847</v>
      </c>
      <c r="E3223" s="18" t="s">
        <v>5128</v>
      </c>
      <c r="F3223" s="2" t="s">
        <v>7987</v>
      </c>
      <c r="G3223" s="2" t="s">
        <v>3296</v>
      </c>
      <c r="H3223" s="14">
        <v>0.7</v>
      </c>
      <c r="I3223" s="2" t="s">
        <v>267</v>
      </c>
      <c r="J3223" s="2" t="s">
        <v>3942</v>
      </c>
      <c r="K3223" s="2" t="s">
        <v>1452</v>
      </c>
      <c r="L3223" s="2" t="s">
        <v>5221</v>
      </c>
      <c r="M3223" s="2" t="s">
        <v>5221</v>
      </c>
      <c r="N3223" s="2" t="s">
        <v>2317</v>
      </c>
      <c r="O3223" s="14">
        <v>4000</v>
      </c>
      <c r="P3223" s="14">
        <v>96.45</v>
      </c>
      <c r="Q3223" s="14">
        <v>142</v>
      </c>
      <c r="R3223" s="14">
        <v>99.4</v>
      </c>
      <c r="S3223" s="2" t="s">
        <v>25</v>
      </c>
      <c r="T3223" s="2">
        <v>1.04</v>
      </c>
      <c r="U3223" s="2">
        <v>63.5</v>
      </c>
      <c r="V3223" s="2">
        <v>60</v>
      </c>
      <c r="W3223" s="2" t="s">
        <v>7862</v>
      </c>
      <c r="X3223" s="2" t="s">
        <v>7670</v>
      </c>
      <c r="Y3223" s="2">
        <v>2800</v>
      </c>
      <c r="Z3223" s="19" t="str">
        <f>HYPERLINK("https://ssdweb.co/ssdweb/hd/Vision360.html?d=925260303&amp;zoomslide=1&amp;z=1925260303&amp;ISCONFIRM=0","VIDEO")</f>
        <v>VIDEO</v>
      </c>
      <c r="AA3223" s="19" t="str">
        <f>HYPERLINK("https://ssdweb.co/ssdweb/CERTH/620403102.pdf","CERTI")</f>
        <v>CERTI</v>
      </c>
    </row>
    <row r="3224" spans="1:27" ht="15" x14ac:dyDescent="0.25">
      <c r="A3224" s="2">
        <v>3219</v>
      </c>
      <c r="B3224" s="39">
        <v>831010540</v>
      </c>
      <c r="C3224" s="28" t="str">
        <f>HYPERLINK("https://pld.live/RapDetail.aspx?STONELIST=831010540","DNA")</f>
        <v>DNA</v>
      </c>
      <c r="D3224" s="18" t="s">
        <v>5847</v>
      </c>
      <c r="E3224" s="18" t="s">
        <v>5128</v>
      </c>
      <c r="F3224" s="2" t="s">
        <v>7987</v>
      </c>
      <c r="G3224" s="2" t="s">
        <v>3296</v>
      </c>
      <c r="H3224" s="14">
        <v>0.7</v>
      </c>
      <c r="I3224" s="2" t="s">
        <v>267</v>
      </c>
      <c r="J3224" s="2" t="s">
        <v>13</v>
      </c>
      <c r="K3224" s="2" t="s">
        <v>1452</v>
      </c>
      <c r="L3224" s="2" t="s">
        <v>5221</v>
      </c>
      <c r="M3224" s="2" t="s">
        <v>5221</v>
      </c>
      <c r="N3224" s="2" t="s">
        <v>2317</v>
      </c>
      <c r="O3224" s="14">
        <v>3700</v>
      </c>
      <c r="P3224" s="14">
        <v>96.3</v>
      </c>
      <c r="Q3224" s="14">
        <v>136.9</v>
      </c>
      <c r="R3224" s="14">
        <v>95.83</v>
      </c>
      <c r="S3224" s="2" t="s">
        <v>2361</v>
      </c>
      <c r="T3224" s="2">
        <v>1.06</v>
      </c>
      <c r="U3224" s="2">
        <v>68.099999999999994</v>
      </c>
      <c r="V3224" s="2">
        <v>61</v>
      </c>
      <c r="W3224" s="2" t="s">
        <v>7862</v>
      </c>
      <c r="X3224" s="2" t="s">
        <v>3851</v>
      </c>
      <c r="Y3224" s="2">
        <v>2590</v>
      </c>
      <c r="Z3224" s="19" t="str">
        <f>HYPERLINK("https://ssdweb.co/ssdweb/hd/Vision360.html?d=831010540&amp;zoomslide=1&amp;z=1831010540&amp;ISCONFIRM=0","VIDEO")</f>
        <v>VIDEO</v>
      </c>
      <c r="AA3224" s="19" t="str">
        <f>HYPERLINK("https://ssdweb.co/ssdweb/CERTH/591307179.pdf","CERTI")</f>
        <v>CERTI</v>
      </c>
    </row>
    <row r="3225" spans="1:27" ht="15" x14ac:dyDescent="0.25">
      <c r="A3225" s="2">
        <v>3220</v>
      </c>
      <c r="B3225" s="39">
        <v>925040443</v>
      </c>
      <c r="C3225" s="28" t="str">
        <f>HYPERLINK("https://pld.live/RapDetail.aspx?STONELIST=925040443","DNA")</f>
        <v>DNA</v>
      </c>
      <c r="D3225" s="18" t="s">
        <v>5847</v>
      </c>
      <c r="E3225" s="18" t="s">
        <v>5128</v>
      </c>
      <c r="F3225" s="2" t="s">
        <v>7987</v>
      </c>
      <c r="G3225" s="2" t="s">
        <v>3296</v>
      </c>
      <c r="H3225" s="14">
        <v>0.7</v>
      </c>
      <c r="I3225" s="2" t="s">
        <v>267</v>
      </c>
      <c r="J3225" s="2" t="s">
        <v>13</v>
      </c>
      <c r="K3225" s="2" t="s">
        <v>1452</v>
      </c>
      <c r="L3225" s="2" t="s">
        <v>5221</v>
      </c>
      <c r="M3225" s="2" t="s">
        <v>5721</v>
      </c>
      <c r="N3225" s="2" t="s">
        <v>2317</v>
      </c>
      <c r="O3225" s="14">
        <v>3700</v>
      </c>
      <c r="P3225" s="14">
        <v>96.3</v>
      </c>
      <c r="Q3225" s="14">
        <v>136.9</v>
      </c>
      <c r="R3225" s="14">
        <v>95.83</v>
      </c>
      <c r="S3225" s="2" t="s">
        <v>8092</v>
      </c>
      <c r="T3225" s="2">
        <v>1.05</v>
      </c>
      <c r="U3225" s="2">
        <v>67.400000000000006</v>
      </c>
      <c r="V3225" s="2">
        <v>57</v>
      </c>
      <c r="W3225" s="2" t="s">
        <v>7862</v>
      </c>
      <c r="X3225" s="2" t="s">
        <v>7670</v>
      </c>
      <c r="Y3225" s="2">
        <v>2590</v>
      </c>
      <c r="Z3225" s="19" t="str">
        <f>HYPERLINK("https://ssdweb.co/ssdweb/hd/Vision360.html?d=925040443&amp;zoomslide=1&amp;z=1925040443&amp;ISCONFIRM=0","VIDEO")</f>
        <v>VIDEO</v>
      </c>
      <c r="AA3225" s="19" t="str">
        <f>HYPERLINK("https://ssdweb.co/ssdweb/CERTH/617426255.pdf","CERTI")</f>
        <v>CERTI</v>
      </c>
    </row>
    <row r="3226" spans="1:27" ht="15" x14ac:dyDescent="0.25">
      <c r="A3226" s="2">
        <v>3221</v>
      </c>
      <c r="B3226" s="39">
        <v>925040407</v>
      </c>
      <c r="C3226" s="28" t="str">
        <f>HYPERLINK("https://pld.live/RapDetail.aspx?STONELIST=925040407","DNA")</f>
        <v>DNA</v>
      </c>
      <c r="D3226" s="18" t="s">
        <v>5847</v>
      </c>
      <c r="E3226" s="18" t="s">
        <v>5128</v>
      </c>
      <c r="F3226" s="2" t="s">
        <v>7987</v>
      </c>
      <c r="G3226" s="2" t="s">
        <v>3296</v>
      </c>
      <c r="H3226" s="14">
        <v>0.7</v>
      </c>
      <c r="I3226" s="2" t="s">
        <v>267</v>
      </c>
      <c r="J3226" s="2" t="s">
        <v>5144</v>
      </c>
      <c r="K3226" s="2" t="s">
        <v>1452</v>
      </c>
      <c r="L3226" s="2" t="s">
        <v>5221</v>
      </c>
      <c r="M3226" s="2" t="s">
        <v>5221</v>
      </c>
      <c r="N3226" s="2" t="s">
        <v>2317</v>
      </c>
      <c r="O3226" s="14">
        <v>3400</v>
      </c>
      <c r="P3226" s="14">
        <v>96.12</v>
      </c>
      <c r="Q3226" s="14">
        <v>131.91999999999999</v>
      </c>
      <c r="R3226" s="14">
        <v>92.34</v>
      </c>
      <c r="S3226" s="2" t="s">
        <v>1089</v>
      </c>
      <c r="T3226" s="2">
        <v>1.07</v>
      </c>
      <c r="U3226" s="2">
        <v>67.400000000000006</v>
      </c>
      <c r="V3226" s="2">
        <v>62</v>
      </c>
      <c r="W3226" s="2" t="s">
        <v>7862</v>
      </c>
      <c r="X3226" s="2" t="s">
        <v>3851</v>
      </c>
      <c r="Y3226" s="2">
        <v>2380</v>
      </c>
      <c r="Z3226" s="19" t="str">
        <f>HYPERLINK("https://ssdweb.co/ssdweb/hd/Vision360.html?d=925040407&amp;zoomslide=1&amp;z=1925040407&amp;ISCONFIRM=0","VIDEO")</f>
        <v>VIDEO</v>
      </c>
      <c r="AA3226" s="19" t="str">
        <f>HYPERLINK("https://ssdweb.co/ssdweb/CERTH/617424579.pdf","CERTI")</f>
        <v>CERTI</v>
      </c>
    </row>
    <row r="3227" spans="1:27" ht="15" x14ac:dyDescent="0.25">
      <c r="A3227" s="2">
        <v>3222</v>
      </c>
      <c r="B3227" s="39">
        <v>925030449</v>
      </c>
      <c r="C3227" s="28" t="str">
        <f>HYPERLINK("https://pld.live/RapDetail.aspx?STONELIST=925030449","DNA")</f>
        <v>DNA</v>
      </c>
      <c r="D3227" s="18" t="s">
        <v>5847</v>
      </c>
      <c r="E3227" s="18" t="s">
        <v>5128</v>
      </c>
      <c r="F3227" s="2" t="s">
        <v>7987</v>
      </c>
      <c r="G3227" s="2" t="s">
        <v>3296</v>
      </c>
      <c r="H3227" s="14">
        <v>0.7</v>
      </c>
      <c r="I3227" s="2" t="s">
        <v>4761</v>
      </c>
      <c r="J3227" s="2" t="s">
        <v>6555</v>
      </c>
      <c r="K3227" s="2" t="s">
        <v>1452</v>
      </c>
      <c r="L3227" s="2" t="s">
        <v>5221</v>
      </c>
      <c r="M3227" s="2" t="s">
        <v>5221</v>
      </c>
      <c r="N3227" s="2" t="s">
        <v>2317</v>
      </c>
      <c r="O3227" s="14">
        <v>4000</v>
      </c>
      <c r="P3227" s="14">
        <v>95.95</v>
      </c>
      <c r="Q3227" s="14">
        <v>162</v>
      </c>
      <c r="R3227" s="14">
        <v>113.4</v>
      </c>
      <c r="S3227" s="2" t="s">
        <v>424</v>
      </c>
      <c r="T3227" s="2">
        <v>1.05</v>
      </c>
      <c r="U3227" s="2">
        <v>62.7</v>
      </c>
      <c r="V3227" s="2">
        <v>62</v>
      </c>
      <c r="W3227" s="2" t="s">
        <v>7862</v>
      </c>
      <c r="X3227" s="2" t="s">
        <v>7670</v>
      </c>
      <c r="Y3227" s="2">
        <v>2800</v>
      </c>
      <c r="Z3227" s="19" t="str">
        <f>HYPERLINK("https://ssdweb.co/ssdweb/hd/Vision360.html?d=925030449&amp;zoomslide=1&amp;z=1925030449&amp;ISCONFIRM=0","VIDEO")</f>
        <v>VIDEO</v>
      </c>
      <c r="AA3227" s="19" t="str">
        <f>HYPERLINK("https://ssdweb.co/ssdweb/CERTH/619426660.pdf","CERTI")</f>
        <v>CERTI</v>
      </c>
    </row>
    <row r="3228" spans="1:27" ht="15" x14ac:dyDescent="0.25">
      <c r="A3228" s="2">
        <v>3223</v>
      </c>
      <c r="B3228" s="39">
        <v>924960328</v>
      </c>
      <c r="C3228" s="28" t="str">
        <f>HYPERLINK("https://pld.live/RapDetail.aspx?STONELIST=924960328","DNA")</f>
        <v>DNA</v>
      </c>
      <c r="D3228" s="18" t="s">
        <v>5847</v>
      </c>
      <c r="E3228" s="18" t="s">
        <v>5128</v>
      </c>
      <c r="F3228" s="2" t="s">
        <v>7987</v>
      </c>
      <c r="G3228" s="2" t="s">
        <v>3296</v>
      </c>
      <c r="H3228" s="14">
        <v>0.7</v>
      </c>
      <c r="I3228" s="2" t="s">
        <v>4761</v>
      </c>
      <c r="J3228" s="2" t="s">
        <v>3942</v>
      </c>
      <c r="K3228" s="2" t="s">
        <v>1452</v>
      </c>
      <c r="L3228" s="2" t="s">
        <v>5221</v>
      </c>
      <c r="M3228" s="2" t="s">
        <v>5221</v>
      </c>
      <c r="N3228" s="2" t="s">
        <v>2317</v>
      </c>
      <c r="O3228" s="14">
        <v>3800</v>
      </c>
      <c r="P3228" s="14">
        <v>96.34</v>
      </c>
      <c r="Q3228" s="14">
        <v>139.08000000000001</v>
      </c>
      <c r="R3228" s="14">
        <v>97.36</v>
      </c>
      <c r="S3228" s="2" t="s">
        <v>4519</v>
      </c>
      <c r="T3228" s="2">
        <v>1.07</v>
      </c>
      <c r="U3228" s="2">
        <v>68.900000000000006</v>
      </c>
      <c r="V3228" s="2">
        <v>56</v>
      </c>
      <c r="W3228" s="2" t="s">
        <v>7862</v>
      </c>
      <c r="X3228" s="2" t="s">
        <v>3851</v>
      </c>
      <c r="Y3228" s="2">
        <v>2660</v>
      </c>
      <c r="Z3228" s="19" t="str">
        <f>HYPERLINK("https://ssdweb.co/ssdweb/hd/Vision360.html?d=924960328&amp;zoomslide=1&amp;z=1924960328&amp;ISCONFIRM=0","VIDEO")</f>
        <v>VIDEO</v>
      </c>
      <c r="AA3228" s="19" t="str">
        <f>HYPERLINK("https://ssdweb.co/ssdweb/CERTH/605381174.pdf","CERTI")</f>
        <v>CERTI</v>
      </c>
    </row>
    <row r="3229" spans="1:27" ht="15" x14ac:dyDescent="0.25">
      <c r="A3229" s="2">
        <v>3224</v>
      </c>
      <c r="B3229" s="39">
        <v>926220831</v>
      </c>
      <c r="C3229" s="28" t="str">
        <f>HYPERLINK("https://pld.live/RapDetail.aspx?STONELIST=926220831","DNA")</f>
        <v>DNA</v>
      </c>
      <c r="D3229" s="18" t="s">
        <v>5847</v>
      </c>
      <c r="E3229" s="18" t="s">
        <v>5128</v>
      </c>
      <c r="F3229" s="2" t="s">
        <v>7987</v>
      </c>
      <c r="G3229" s="2" t="s">
        <v>3296</v>
      </c>
      <c r="H3229" s="14">
        <v>0.7</v>
      </c>
      <c r="I3229" s="2" t="s">
        <v>4761</v>
      </c>
      <c r="J3229" s="2" t="s">
        <v>3942</v>
      </c>
      <c r="K3229" s="2" t="s">
        <v>1452</v>
      </c>
      <c r="L3229" s="2" t="s">
        <v>5221</v>
      </c>
      <c r="M3229" s="2" t="s">
        <v>5221</v>
      </c>
      <c r="N3229" s="2" t="s">
        <v>2317</v>
      </c>
      <c r="O3229" s="14">
        <v>3800</v>
      </c>
      <c r="P3229" s="14">
        <v>96.29</v>
      </c>
      <c r="Q3229" s="14">
        <v>140.97999999999999</v>
      </c>
      <c r="R3229" s="14">
        <v>98.69</v>
      </c>
      <c r="S3229" s="2" t="s">
        <v>887</v>
      </c>
      <c r="T3229" s="2">
        <v>1.05</v>
      </c>
      <c r="U3229" s="2">
        <v>62.6</v>
      </c>
      <c r="V3229" s="2">
        <v>59</v>
      </c>
      <c r="W3229" s="2" t="s">
        <v>7862</v>
      </c>
      <c r="X3229" s="2" t="s">
        <v>7670</v>
      </c>
      <c r="Y3229" s="2">
        <v>2660</v>
      </c>
      <c r="Z3229" s="19" t="str">
        <f>HYPERLINK("https://ssdweb.co/ssdweb/hd/Vision360.html?d=926220831&amp;zoomslide=1&amp;z=1926220831&amp;ISCONFIRM=0","VIDEO")</f>
        <v>VIDEO</v>
      </c>
      <c r="AA3229" s="19" t="str">
        <f>HYPERLINK("https://ssdweb.co/ssdweb/CERTH/636429786.pdf","CERTI")</f>
        <v>CERTI</v>
      </c>
    </row>
    <row r="3230" spans="1:27" ht="15" x14ac:dyDescent="0.25">
      <c r="A3230" s="2">
        <v>3225</v>
      </c>
      <c r="B3230" s="39">
        <v>925091138</v>
      </c>
      <c r="C3230" s="28" t="str">
        <f>HYPERLINK("https://pld.live/RapDetail.aspx?STONELIST=925091138","DNA")</f>
        <v>DNA</v>
      </c>
      <c r="D3230" s="18" t="s">
        <v>5847</v>
      </c>
      <c r="E3230" s="18" t="s">
        <v>5128</v>
      </c>
      <c r="F3230" s="2" t="s">
        <v>7987</v>
      </c>
      <c r="G3230" s="2" t="s">
        <v>3296</v>
      </c>
      <c r="H3230" s="14">
        <v>0.7</v>
      </c>
      <c r="I3230" s="2" t="s">
        <v>4761</v>
      </c>
      <c r="J3230" s="2" t="s">
        <v>3942</v>
      </c>
      <c r="K3230" s="2" t="s">
        <v>1452</v>
      </c>
      <c r="L3230" s="2" t="s">
        <v>5221</v>
      </c>
      <c r="M3230" s="2" t="s">
        <v>5221</v>
      </c>
      <c r="N3230" s="2" t="s">
        <v>2317</v>
      </c>
      <c r="O3230" s="14">
        <v>3800</v>
      </c>
      <c r="P3230" s="14">
        <v>96.34</v>
      </c>
      <c r="Q3230" s="14">
        <v>139.08000000000001</v>
      </c>
      <c r="R3230" s="14">
        <v>97.36</v>
      </c>
      <c r="S3230" s="2" t="s">
        <v>2748</v>
      </c>
      <c r="T3230" s="2">
        <v>1.05</v>
      </c>
      <c r="U3230" s="2">
        <v>67.900000000000006</v>
      </c>
      <c r="V3230" s="2">
        <v>64</v>
      </c>
      <c r="W3230" s="2" t="s">
        <v>7862</v>
      </c>
      <c r="X3230" s="2" t="s">
        <v>7670</v>
      </c>
      <c r="Y3230" s="2">
        <v>2660</v>
      </c>
      <c r="Z3230" s="19" t="str">
        <f>HYPERLINK("https://ssdweb.co/ssdweb/hd/Vision360.html?d=925091138&amp;zoomslide=1&amp;z=1925091138&amp;ISCONFIRM=0","VIDEO")</f>
        <v>VIDEO</v>
      </c>
      <c r="AA3230" s="19" t="str">
        <f>HYPERLINK("https://ssdweb.co/ssdweb/CERTH/619426665.pdf","CERTI")</f>
        <v>CERTI</v>
      </c>
    </row>
    <row r="3231" spans="1:27" ht="15" x14ac:dyDescent="0.25">
      <c r="A3231" s="2">
        <v>3226</v>
      </c>
      <c r="B3231" s="39">
        <v>925091114</v>
      </c>
      <c r="C3231" s="28" t="str">
        <f>HYPERLINK("https://pld.live/RapDetail.aspx?STONELIST=925091114","DNA")</f>
        <v>DNA</v>
      </c>
      <c r="D3231" s="18" t="s">
        <v>5847</v>
      </c>
      <c r="E3231" s="18" t="s">
        <v>5128</v>
      </c>
      <c r="F3231" s="2" t="s">
        <v>7987</v>
      </c>
      <c r="G3231" s="2" t="s">
        <v>3296</v>
      </c>
      <c r="H3231" s="14">
        <v>0.7</v>
      </c>
      <c r="I3231" s="2" t="s">
        <v>4761</v>
      </c>
      <c r="J3231" s="2" t="s">
        <v>3942</v>
      </c>
      <c r="K3231" s="2" t="s">
        <v>1452</v>
      </c>
      <c r="L3231" s="2" t="s">
        <v>5221</v>
      </c>
      <c r="M3231" s="2" t="s">
        <v>5721</v>
      </c>
      <c r="N3231" s="2" t="s">
        <v>2317</v>
      </c>
      <c r="O3231" s="14">
        <v>3800</v>
      </c>
      <c r="P3231" s="14">
        <v>96.39</v>
      </c>
      <c r="Q3231" s="14">
        <v>137.18</v>
      </c>
      <c r="R3231" s="14">
        <v>96.03</v>
      </c>
      <c r="S3231" s="2" t="s">
        <v>6083</v>
      </c>
      <c r="T3231" s="2">
        <v>1.06</v>
      </c>
      <c r="U3231" s="2">
        <v>62.9</v>
      </c>
      <c r="V3231" s="2">
        <v>63</v>
      </c>
      <c r="W3231" s="2" t="s">
        <v>7862</v>
      </c>
      <c r="X3231" s="2" t="s">
        <v>3851</v>
      </c>
      <c r="Y3231" s="2">
        <v>2660</v>
      </c>
      <c r="Z3231" s="19" t="str">
        <f>HYPERLINK("https://ssdweb.co/ssdweb/hd/Vision360.html?d=925091114&amp;zoomslide=1&amp;z=1925091114&amp;ISCONFIRM=0","VIDEO")</f>
        <v>VIDEO</v>
      </c>
      <c r="AA3231" s="19" t="str">
        <f>HYPERLINK("https://ssdweb.co/ssdweb/CERTH/618480825.pdf","CERTI")</f>
        <v>CERTI</v>
      </c>
    </row>
    <row r="3232" spans="1:27" ht="15" x14ac:dyDescent="0.25">
      <c r="A3232" s="2">
        <v>3227</v>
      </c>
      <c r="B3232" s="39">
        <v>925091146</v>
      </c>
      <c r="C3232" s="28" t="str">
        <f>HYPERLINK("https://pld.live/RapDetail.aspx?STONELIST=925091146","DNA")</f>
        <v>DNA</v>
      </c>
      <c r="D3232" s="18" t="s">
        <v>5847</v>
      </c>
      <c r="E3232" s="18" t="s">
        <v>5128</v>
      </c>
      <c r="F3232" s="2" t="s">
        <v>7987</v>
      </c>
      <c r="G3232" s="2" t="s">
        <v>3296</v>
      </c>
      <c r="H3232" s="14">
        <v>0.7</v>
      </c>
      <c r="I3232" s="2" t="s">
        <v>4761</v>
      </c>
      <c r="J3232" s="2" t="s">
        <v>3942</v>
      </c>
      <c r="K3232" s="2" t="s">
        <v>1452</v>
      </c>
      <c r="L3232" s="2" t="s">
        <v>5221</v>
      </c>
      <c r="M3232" s="2" t="s">
        <v>5721</v>
      </c>
      <c r="N3232" s="2" t="s">
        <v>2317</v>
      </c>
      <c r="O3232" s="14">
        <v>3800</v>
      </c>
      <c r="P3232" s="14">
        <v>96.39</v>
      </c>
      <c r="Q3232" s="14">
        <v>137.18</v>
      </c>
      <c r="R3232" s="14">
        <v>96.03</v>
      </c>
      <c r="S3232" s="2" t="s">
        <v>6644</v>
      </c>
      <c r="T3232" s="2">
        <v>1.06</v>
      </c>
      <c r="U3232" s="2">
        <v>68.900000000000006</v>
      </c>
      <c r="V3232" s="2">
        <v>65</v>
      </c>
      <c r="W3232" s="2" t="s">
        <v>7862</v>
      </c>
      <c r="X3232" s="2" t="s">
        <v>3851</v>
      </c>
      <c r="Y3232" s="2">
        <v>2660</v>
      </c>
      <c r="Z3232" s="19" t="str">
        <f>HYPERLINK("https://ssdweb.co/ssdweb/hd/Vision360.html?d=925091146&amp;zoomslide=1&amp;z=1925091146&amp;ISCONFIRM=0","VIDEO")</f>
        <v>VIDEO</v>
      </c>
      <c r="AA3232" s="19" t="str">
        <f>HYPERLINK("https://ssdweb.co/ssdweb/CERTH/619453283.pdf","CERTI")</f>
        <v>CERTI</v>
      </c>
    </row>
    <row r="3233" spans="1:27" ht="15" x14ac:dyDescent="0.25">
      <c r="A3233" s="2">
        <v>3228</v>
      </c>
      <c r="B3233" s="39">
        <v>925040478</v>
      </c>
      <c r="C3233" s="28" t="str">
        <f>HYPERLINK("https://pld.live/RapDetail.aspx?STONELIST=925040478","DNA")</f>
        <v>DNA</v>
      </c>
      <c r="D3233" s="18" t="s">
        <v>1924</v>
      </c>
      <c r="E3233" s="18" t="s">
        <v>5128</v>
      </c>
      <c r="F3233" s="2" t="s">
        <v>7987</v>
      </c>
      <c r="G3233" s="2" t="s">
        <v>3296</v>
      </c>
      <c r="H3233" s="14">
        <v>0.69</v>
      </c>
      <c r="I3233" s="2" t="s">
        <v>267</v>
      </c>
      <c r="J3233" s="2" t="s">
        <v>6555</v>
      </c>
      <c r="K3233" s="2" t="s">
        <v>1452</v>
      </c>
      <c r="L3233" s="2" t="s">
        <v>5221</v>
      </c>
      <c r="M3233" s="2" t="s">
        <v>5221</v>
      </c>
      <c r="N3233" s="2" t="s">
        <v>2317</v>
      </c>
      <c r="O3233" s="14">
        <v>3000</v>
      </c>
      <c r="P3233" s="14">
        <v>93.07</v>
      </c>
      <c r="Q3233" s="14">
        <v>207.9</v>
      </c>
      <c r="R3233" s="14">
        <v>143.44999999999999</v>
      </c>
      <c r="S3233" s="2" t="s">
        <v>1236</v>
      </c>
      <c r="T3233" s="2">
        <v>1.05</v>
      </c>
      <c r="U3233" s="2">
        <v>66.8</v>
      </c>
      <c r="V3233" s="2">
        <v>64</v>
      </c>
      <c r="W3233" s="2" t="s">
        <v>7862</v>
      </c>
      <c r="X3233" s="2" t="s">
        <v>7670</v>
      </c>
      <c r="Y3233" s="2">
        <v>2070</v>
      </c>
      <c r="Z3233" s="19" t="str">
        <f>HYPERLINK("https://ssdweb.co/ssdweb/hd/Vision360.html?d=925040478&amp;zoomslide=1&amp;z=1925040478&amp;ISCONFIRM=0","VIDEO")</f>
        <v>VIDEO</v>
      </c>
      <c r="AA3233" s="19" t="str">
        <f>HYPERLINK("https://ssdweb.co/ssdweb/CERTH/619426662.pdf","CERTI")</f>
        <v>CERTI</v>
      </c>
    </row>
    <row r="3234" spans="1:27" ht="15" x14ac:dyDescent="0.25">
      <c r="A3234" s="2">
        <v>3229</v>
      </c>
      <c r="B3234" s="39">
        <v>925290569</v>
      </c>
      <c r="C3234" s="28" t="str">
        <f>HYPERLINK("https://pld.live/RapDetail.aspx?STONELIST=925290569","DNA")</f>
        <v>DNA</v>
      </c>
      <c r="D3234" s="18" t="s">
        <v>1924</v>
      </c>
      <c r="E3234" s="18" t="s">
        <v>5128</v>
      </c>
      <c r="F3234" s="2" t="s">
        <v>7987</v>
      </c>
      <c r="G3234" s="2" t="s">
        <v>3296</v>
      </c>
      <c r="H3234" s="14">
        <v>0.69</v>
      </c>
      <c r="I3234" s="2" t="s">
        <v>267</v>
      </c>
      <c r="J3234" s="2" t="s">
        <v>3942</v>
      </c>
      <c r="K3234" s="2" t="s">
        <v>1452</v>
      </c>
      <c r="L3234" s="2" t="s">
        <v>5221</v>
      </c>
      <c r="M3234" s="2" t="s">
        <v>5221</v>
      </c>
      <c r="N3234" s="2" t="s">
        <v>2317</v>
      </c>
      <c r="O3234" s="14">
        <v>2800</v>
      </c>
      <c r="P3234" s="14">
        <v>94.21</v>
      </c>
      <c r="Q3234" s="14">
        <v>162.12</v>
      </c>
      <c r="R3234" s="14">
        <v>111.86</v>
      </c>
      <c r="S3234" s="2" t="s">
        <v>1316</v>
      </c>
      <c r="T3234" s="2">
        <v>1.05</v>
      </c>
      <c r="U3234" s="2">
        <v>63.6</v>
      </c>
      <c r="V3234" s="2">
        <v>59</v>
      </c>
      <c r="W3234" s="2" t="s">
        <v>7862</v>
      </c>
      <c r="X3234" s="2" t="s">
        <v>7670</v>
      </c>
      <c r="Y3234" s="2">
        <v>1932</v>
      </c>
      <c r="Z3234" s="19" t="str">
        <f>HYPERLINK("https://ssdweb.co/ssdweb/hd/Vision360.html?d=925290569&amp;zoomslide=1&amp;z=1925290569&amp;ISCONFIRM=0","VIDEO")</f>
        <v>VIDEO</v>
      </c>
      <c r="AA3234" s="19" t="str">
        <f>HYPERLINK("https://ssdweb.co/ssdweb/CERTH/620448815.pdf","CERTI")</f>
        <v>CERTI</v>
      </c>
    </row>
    <row r="3235" spans="1:27" ht="15" x14ac:dyDescent="0.25">
      <c r="A3235" s="2">
        <v>3230</v>
      </c>
      <c r="B3235" s="39">
        <v>925040412</v>
      </c>
      <c r="C3235" s="28" t="str">
        <f>HYPERLINK("https://pld.live/RapDetail.aspx?STONELIST=925040412","DNA")</f>
        <v>DNA</v>
      </c>
      <c r="D3235" s="18" t="s">
        <v>1924</v>
      </c>
      <c r="E3235" s="18" t="s">
        <v>5128</v>
      </c>
      <c r="F3235" s="2" t="s">
        <v>7987</v>
      </c>
      <c r="G3235" s="2" t="s">
        <v>3296</v>
      </c>
      <c r="H3235" s="14">
        <v>0.69</v>
      </c>
      <c r="I3235" s="2" t="s">
        <v>4699</v>
      </c>
      <c r="J3235" s="2" t="s">
        <v>13</v>
      </c>
      <c r="K3235" s="2" t="s">
        <v>1452</v>
      </c>
      <c r="L3235" s="2" t="s">
        <v>5221</v>
      </c>
      <c r="M3235" s="2" t="s">
        <v>5221</v>
      </c>
      <c r="N3235" s="2" t="s">
        <v>2317</v>
      </c>
      <c r="O3235" s="14">
        <v>2400</v>
      </c>
      <c r="P3235" s="14">
        <v>93.88</v>
      </c>
      <c r="Q3235" s="14">
        <v>146.88</v>
      </c>
      <c r="R3235" s="14">
        <v>101.35</v>
      </c>
      <c r="S3235" s="2" t="s">
        <v>898</v>
      </c>
      <c r="T3235" s="2">
        <v>1.06</v>
      </c>
      <c r="U3235" s="2">
        <v>62.2</v>
      </c>
      <c r="V3235" s="2">
        <v>56</v>
      </c>
      <c r="W3235" s="2" t="s">
        <v>7862</v>
      </c>
      <c r="X3235" s="2" t="s">
        <v>3851</v>
      </c>
      <c r="Y3235" s="2">
        <v>1656</v>
      </c>
      <c r="Z3235" s="19" t="str">
        <f>HYPERLINK("https://ssdweb.co/ssdweb/hd/Vision360.html?d=925040412&amp;zoomslide=1&amp;z=1925040412&amp;ISCONFIRM=0","VIDEO")</f>
        <v>VIDEO</v>
      </c>
      <c r="AA3235" s="19" t="str">
        <f>HYPERLINK("https://ssdweb.co/ssdweb/CERTH/617424593.pdf","CERTI")</f>
        <v>CERTI</v>
      </c>
    </row>
    <row r="3236" spans="1:27" ht="15" x14ac:dyDescent="0.25">
      <c r="A3236" s="2">
        <v>3231</v>
      </c>
      <c r="B3236" s="39">
        <v>925091148</v>
      </c>
      <c r="C3236" s="28" t="str">
        <f>HYPERLINK("https://pld.live/RapDetail.aspx?STONELIST=925091148","DNA")</f>
        <v>DNA</v>
      </c>
      <c r="D3236" s="18" t="s">
        <v>1924</v>
      </c>
      <c r="E3236" s="18" t="s">
        <v>5128</v>
      </c>
      <c r="F3236" s="2" t="s">
        <v>7987</v>
      </c>
      <c r="G3236" s="2" t="s">
        <v>3296</v>
      </c>
      <c r="H3236" s="14">
        <v>0.67</v>
      </c>
      <c r="I3236" s="2" t="s">
        <v>267</v>
      </c>
      <c r="J3236" s="2" t="s">
        <v>13</v>
      </c>
      <c r="K3236" s="2" t="s">
        <v>1452</v>
      </c>
      <c r="L3236" s="2" t="s">
        <v>5221</v>
      </c>
      <c r="M3236" s="2" t="s">
        <v>5221</v>
      </c>
      <c r="N3236" s="2" t="s">
        <v>2317</v>
      </c>
      <c r="O3236" s="14">
        <v>2600</v>
      </c>
      <c r="P3236" s="14">
        <v>93.96</v>
      </c>
      <c r="Q3236" s="14">
        <v>157.04</v>
      </c>
      <c r="R3236" s="14">
        <v>105.22</v>
      </c>
      <c r="S3236" s="2" t="s">
        <v>4298</v>
      </c>
      <c r="T3236" s="2">
        <v>1.06</v>
      </c>
      <c r="U3236" s="2">
        <v>62.2</v>
      </c>
      <c r="V3236" s="2">
        <v>60</v>
      </c>
      <c r="W3236" s="2" t="s">
        <v>7862</v>
      </c>
      <c r="X3236" s="2" t="s">
        <v>3851</v>
      </c>
      <c r="Y3236" s="2">
        <v>1742</v>
      </c>
      <c r="Z3236" s="19" t="str">
        <f>HYPERLINK("https://ssdweb.co/ssdweb/hd/Vision360.html?d=925091148&amp;zoomslide=1&amp;z=1925091148&amp;ISCONFIRM=0","VIDEO")</f>
        <v>VIDEO</v>
      </c>
      <c r="AA3236" s="19" t="str">
        <f>HYPERLINK("https://ssdweb.co/ssdweb/CERTH/619453285.pdf","CERTI")</f>
        <v>CERTI</v>
      </c>
    </row>
    <row r="3237" spans="1:27" ht="15" x14ac:dyDescent="0.25">
      <c r="A3237" s="2">
        <v>3232</v>
      </c>
      <c r="B3237" s="39">
        <v>925740800</v>
      </c>
      <c r="C3237" s="28" t="str">
        <f>HYPERLINK("https://pld.live/RapDetail.aspx?STONELIST=925740800","DNA")</f>
        <v>DNA</v>
      </c>
      <c r="D3237" s="18" t="s">
        <v>1924</v>
      </c>
      <c r="E3237" s="18" t="s">
        <v>5128</v>
      </c>
      <c r="F3237" s="2" t="s">
        <v>7987</v>
      </c>
      <c r="G3237" s="2" t="s">
        <v>3296</v>
      </c>
      <c r="H3237" s="14">
        <v>0.67</v>
      </c>
      <c r="I3237" s="2" t="s">
        <v>4761</v>
      </c>
      <c r="J3237" s="2" t="s">
        <v>3942</v>
      </c>
      <c r="K3237" s="2" t="s">
        <v>1452</v>
      </c>
      <c r="L3237" s="2" t="s">
        <v>5221</v>
      </c>
      <c r="M3237" s="2" t="s">
        <v>5221</v>
      </c>
      <c r="N3237" s="2" t="s">
        <v>2317</v>
      </c>
      <c r="O3237" s="14">
        <v>2600</v>
      </c>
      <c r="P3237" s="14">
        <v>93.62</v>
      </c>
      <c r="Q3237" s="14">
        <v>165.88</v>
      </c>
      <c r="R3237" s="14">
        <v>111.14</v>
      </c>
      <c r="S3237" s="2" t="s">
        <v>6073</v>
      </c>
      <c r="T3237" s="2">
        <v>1.05</v>
      </c>
      <c r="U3237" s="2">
        <v>65.2</v>
      </c>
      <c r="V3237" s="2">
        <v>62</v>
      </c>
      <c r="W3237" s="2" t="s">
        <v>7862</v>
      </c>
      <c r="X3237" s="2" t="s">
        <v>7670</v>
      </c>
      <c r="Y3237" s="2">
        <v>1742</v>
      </c>
      <c r="Z3237" s="19" t="str">
        <f>HYPERLINK("https://ssdweb.co/ssdweb/hd/Vision360.html?d=925740800&amp;zoomslide=1&amp;z=1925740800&amp;ISCONFIRM=0","VIDEO")</f>
        <v>VIDEO</v>
      </c>
      <c r="AA3237" s="19" t="str">
        <f>HYPERLINK("https://ssdweb.co/ssdweb/CERTH/623446011.pdf","CERTI")</f>
        <v>CERTI</v>
      </c>
    </row>
    <row r="3238" spans="1:27" ht="15" x14ac:dyDescent="0.25">
      <c r="A3238" s="2">
        <v>3233</v>
      </c>
      <c r="B3238" s="39">
        <v>924960344</v>
      </c>
      <c r="C3238" s="28" t="str">
        <f>HYPERLINK("https://pld.live/RapDetail.aspx?STONELIST=924960344","DNA")</f>
        <v>DNA</v>
      </c>
      <c r="D3238" s="18" t="s">
        <v>1924</v>
      </c>
      <c r="E3238" s="18" t="s">
        <v>5128</v>
      </c>
      <c r="F3238" s="2" t="s">
        <v>7987</v>
      </c>
      <c r="G3238" s="2" t="s">
        <v>3296</v>
      </c>
      <c r="H3238" s="14">
        <v>0.66</v>
      </c>
      <c r="I3238" s="2" t="s">
        <v>267</v>
      </c>
      <c r="J3238" s="2" t="s">
        <v>5144</v>
      </c>
      <c r="K3238" s="2" t="s">
        <v>1452</v>
      </c>
      <c r="L3238" s="2" t="s">
        <v>5221</v>
      </c>
      <c r="M3238" s="2" t="s">
        <v>5221</v>
      </c>
      <c r="N3238" s="2" t="s">
        <v>2317</v>
      </c>
      <c r="O3238" s="14">
        <v>2400</v>
      </c>
      <c r="P3238" s="14">
        <v>93.75</v>
      </c>
      <c r="Q3238" s="14">
        <v>150</v>
      </c>
      <c r="R3238" s="14">
        <v>99</v>
      </c>
      <c r="S3238" s="2" t="s">
        <v>5631</v>
      </c>
      <c r="T3238" s="2">
        <v>1.03</v>
      </c>
      <c r="U3238" s="2">
        <v>67.2</v>
      </c>
      <c r="V3238" s="2">
        <v>62</v>
      </c>
      <c r="W3238" s="2" t="s">
        <v>7862</v>
      </c>
      <c r="X3238" s="2" t="s">
        <v>7670</v>
      </c>
      <c r="Y3238" s="2">
        <v>1584</v>
      </c>
      <c r="Z3238" s="19" t="str">
        <f>HYPERLINK("https://ssdweb.co/ssdweb/hd/Vision360.html?d=924960344&amp;zoomslide=1&amp;z=1924960344&amp;ISCONFIRM=0","VIDEO")</f>
        <v>VIDEO</v>
      </c>
      <c r="AA3238" s="19" t="str">
        <f>HYPERLINK("https://ssdweb.co/ssdweb/CERTH/605381220.pdf","CERTI")</f>
        <v>CERTI</v>
      </c>
    </row>
    <row r="3239" spans="1:27" ht="15" x14ac:dyDescent="0.25">
      <c r="A3239" s="2">
        <v>3234</v>
      </c>
      <c r="B3239" s="39">
        <v>924960399</v>
      </c>
      <c r="C3239" s="28" t="str">
        <f>HYPERLINK("https://pld.live/RapDetail.aspx?STONELIST=924960399","DNA")</f>
        <v>DNA</v>
      </c>
      <c r="D3239" s="18" t="s">
        <v>1924</v>
      </c>
      <c r="E3239" s="18" t="s">
        <v>5128</v>
      </c>
      <c r="F3239" s="2" t="s">
        <v>7987</v>
      </c>
      <c r="G3239" s="2" t="s">
        <v>3296</v>
      </c>
      <c r="H3239" s="14">
        <v>0.66</v>
      </c>
      <c r="I3239" s="2" t="s">
        <v>4761</v>
      </c>
      <c r="J3239" s="2" t="s">
        <v>5144</v>
      </c>
      <c r="K3239" s="2" t="s">
        <v>1452</v>
      </c>
      <c r="L3239" s="2" t="s">
        <v>5221</v>
      </c>
      <c r="M3239" s="2" t="s">
        <v>5221</v>
      </c>
      <c r="N3239" s="2" t="s">
        <v>2317</v>
      </c>
      <c r="O3239" s="14">
        <v>2300</v>
      </c>
      <c r="P3239" s="14">
        <v>93.7</v>
      </c>
      <c r="Q3239" s="14">
        <v>144.9</v>
      </c>
      <c r="R3239" s="14">
        <v>95.63</v>
      </c>
      <c r="S3239" s="2" t="s">
        <v>4565</v>
      </c>
      <c r="T3239" s="2">
        <v>1.05</v>
      </c>
      <c r="U3239" s="2">
        <v>65</v>
      </c>
      <c r="V3239" s="2">
        <v>60</v>
      </c>
      <c r="W3239" s="2" t="s">
        <v>7862</v>
      </c>
      <c r="X3239" s="2" t="s">
        <v>7670</v>
      </c>
      <c r="Y3239" s="2">
        <v>1518</v>
      </c>
      <c r="Z3239" s="19" t="str">
        <f>HYPERLINK("https://ssdweb.co/ssdweb/hd/Vision360.html?d=924960399&amp;zoomslide=1&amp;z=1924960399&amp;ISCONFIRM=0","VIDEO")</f>
        <v>VIDEO</v>
      </c>
      <c r="AA3239" s="19" t="str">
        <f>HYPERLINK("https://ssdweb.co/ssdweb/CERTH/607332437.pdf","CERTI")</f>
        <v>CERTI</v>
      </c>
    </row>
    <row r="3240" spans="1:27" ht="15" x14ac:dyDescent="0.25">
      <c r="A3240" s="2">
        <v>3235</v>
      </c>
      <c r="B3240" s="39">
        <v>925290540</v>
      </c>
      <c r="C3240" s="28" t="str">
        <f>HYPERLINK("https://pld.live/RapDetail.aspx?STONELIST=925290540","DNA")</f>
        <v>DNA</v>
      </c>
      <c r="D3240" s="18" t="s">
        <v>1924</v>
      </c>
      <c r="E3240" s="18" t="s">
        <v>5128</v>
      </c>
      <c r="F3240" s="2" t="s">
        <v>7987</v>
      </c>
      <c r="G3240" s="2" t="s">
        <v>3296</v>
      </c>
      <c r="H3240" s="14">
        <v>0.65</v>
      </c>
      <c r="I3240" s="2" t="s">
        <v>4761</v>
      </c>
      <c r="J3240" s="2" t="s">
        <v>5144</v>
      </c>
      <c r="K3240" s="2" t="s">
        <v>1452</v>
      </c>
      <c r="L3240" s="2" t="s">
        <v>5221</v>
      </c>
      <c r="M3240" s="2" t="s">
        <v>5221</v>
      </c>
      <c r="N3240" s="2" t="s">
        <v>2317</v>
      </c>
      <c r="O3240" s="14">
        <v>2300</v>
      </c>
      <c r="P3240" s="14">
        <v>93.7</v>
      </c>
      <c r="Q3240" s="14">
        <v>144.9</v>
      </c>
      <c r="R3240" s="14">
        <v>94.19</v>
      </c>
      <c r="S3240" s="2" t="s">
        <v>1711</v>
      </c>
      <c r="T3240" s="2">
        <v>1.04</v>
      </c>
      <c r="U3240" s="2">
        <v>63.6</v>
      </c>
      <c r="V3240" s="2">
        <v>61</v>
      </c>
      <c r="W3240" s="2" t="s">
        <v>7862</v>
      </c>
      <c r="X3240" s="2" t="s">
        <v>7670</v>
      </c>
      <c r="Y3240" s="2">
        <v>1495</v>
      </c>
      <c r="Z3240" s="19" t="str">
        <f>HYPERLINK("https://ssdweb.co/ssdweb/hd/Vision360.html?d=925290540&amp;zoomslide=1&amp;z=1925290540&amp;ISCONFIRM=0","VIDEO")</f>
        <v>VIDEO</v>
      </c>
      <c r="AA3240" s="19" t="str">
        <f>HYPERLINK("https://ssdweb.co/ssdweb/CERTH/619453294.pdf","CERTI")</f>
        <v>CERTI</v>
      </c>
    </row>
    <row r="3241" spans="1:27" ht="15" x14ac:dyDescent="0.25">
      <c r="A3241" s="2">
        <v>3236</v>
      </c>
      <c r="B3241" s="39">
        <v>9414000602</v>
      </c>
      <c r="C3241" s="28" t="str">
        <f>HYPERLINK("https://pld.live/RapDetail.aspx?STONELIST=9414000602","DNA")</f>
        <v>DNA</v>
      </c>
      <c r="D3241" s="18" t="s">
        <v>5466</v>
      </c>
      <c r="E3241" s="18" t="s">
        <v>5128</v>
      </c>
      <c r="F3241" s="2" t="s">
        <v>7987</v>
      </c>
      <c r="G3241" s="2" t="s">
        <v>3296</v>
      </c>
      <c r="H3241" s="14">
        <v>0.53</v>
      </c>
      <c r="I3241" s="2" t="s">
        <v>267</v>
      </c>
      <c r="J3241" s="2" t="s">
        <v>6555</v>
      </c>
      <c r="K3241" s="2" t="s">
        <v>1452</v>
      </c>
      <c r="L3241" s="2" t="s">
        <v>5221</v>
      </c>
      <c r="M3241" s="2" t="s">
        <v>5221</v>
      </c>
      <c r="N3241" s="2" t="s">
        <v>2317</v>
      </c>
      <c r="O3241" s="14">
        <v>3000</v>
      </c>
      <c r="P3241" s="14">
        <v>93.33</v>
      </c>
      <c r="Q3241" s="14">
        <v>200.1</v>
      </c>
      <c r="R3241" s="14">
        <v>106.05</v>
      </c>
      <c r="S3241" s="2" t="s">
        <v>8067</v>
      </c>
      <c r="T3241" s="2">
        <v>1.02</v>
      </c>
      <c r="U3241" s="2">
        <v>63.4</v>
      </c>
      <c r="V3241" s="2">
        <v>59</v>
      </c>
      <c r="W3241" s="2" t="s">
        <v>7862</v>
      </c>
      <c r="X3241" s="2" t="s">
        <v>5985</v>
      </c>
      <c r="Y3241" s="2">
        <v>1590</v>
      </c>
      <c r="Z3241" s="19" t="str">
        <f>HYPERLINK("https://ssdweb.co/ssdweb/hd/Vision360.html?d=9414000602&amp;zoomslide=1&amp;z=19414000602&amp;ISCONFIRM=0","VIDEO")</f>
        <v>VIDEO</v>
      </c>
      <c r="AA3241" s="19" t="str">
        <f>HYPERLINK("https://ssdweb.co/ssdweb/CERTH/694508361.pdf","CERTI")</f>
        <v>CERTI</v>
      </c>
    </row>
    <row r="3242" spans="1:27" ht="15" x14ac:dyDescent="0.25">
      <c r="A3242" s="2">
        <v>3237</v>
      </c>
      <c r="B3242" s="39">
        <v>941261086</v>
      </c>
      <c r="C3242" s="28" t="str">
        <f>HYPERLINK("https://pld.live/RapDetail.aspx?STONELIST=941261086","DNA")</f>
        <v>DNA</v>
      </c>
      <c r="D3242" s="18" t="s">
        <v>5466</v>
      </c>
      <c r="E3242" s="18" t="s">
        <v>5128</v>
      </c>
      <c r="F3242" s="2" t="s">
        <v>7987</v>
      </c>
      <c r="G3242" s="2" t="s">
        <v>3296</v>
      </c>
      <c r="H3242" s="14">
        <v>0.53</v>
      </c>
      <c r="I3242" s="2" t="s">
        <v>267</v>
      </c>
      <c r="J3242" s="2" t="s">
        <v>3942</v>
      </c>
      <c r="K3242" s="2" t="s">
        <v>1452</v>
      </c>
      <c r="L3242" s="2" t="s">
        <v>5221</v>
      </c>
      <c r="M3242" s="2" t="s">
        <v>5221</v>
      </c>
      <c r="N3242" s="2" t="s">
        <v>2317</v>
      </c>
      <c r="O3242" s="14">
        <v>2800</v>
      </c>
      <c r="P3242" s="14">
        <v>93.21</v>
      </c>
      <c r="Q3242" s="14">
        <v>190.12</v>
      </c>
      <c r="R3242" s="14">
        <v>100.76</v>
      </c>
      <c r="S3242" s="2" t="s">
        <v>5787</v>
      </c>
      <c r="T3242" s="2">
        <v>1.01</v>
      </c>
      <c r="U3242" s="2">
        <v>63.4</v>
      </c>
      <c r="V3242" s="2">
        <v>60</v>
      </c>
      <c r="W3242" s="2" t="s">
        <v>7862</v>
      </c>
      <c r="X3242" s="2" t="s">
        <v>5985</v>
      </c>
      <c r="Y3242" s="2">
        <v>1484</v>
      </c>
      <c r="Z3242" s="19" t="str">
        <f>HYPERLINK("https://ssdweb.co/ssdweb/hd/Vision360.html?d=941261086&amp;zoomslide=1&amp;z=1941261086&amp;ISCONFIRM=0","VIDEO")</f>
        <v>VIDEO</v>
      </c>
      <c r="AA3242" s="19" t="str">
        <f>HYPERLINK("https://ssdweb.co/ssdweb/CERTH/689543221.pdf","CERTI")</f>
        <v>CERTI</v>
      </c>
    </row>
    <row r="3243" spans="1:27" ht="15" x14ac:dyDescent="0.25">
      <c r="A3243" s="2">
        <v>3238</v>
      </c>
      <c r="B3243" s="39">
        <v>926180899</v>
      </c>
      <c r="C3243" s="28" t="str">
        <f>HYPERLINK("https://pld.live/RapDetail.aspx?STONELIST=926180899","DNA")</f>
        <v>DNA</v>
      </c>
      <c r="D3243" s="18" t="s">
        <v>5466</v>
      </c>
      <c r="E3243" s="18" t="s">
        <v>5128</v>
      </c>
      <c r="F3243" s="2" t="s">
        <v>7987</v>
      </c>
      <c r="G3243" s="2" t="s">
        <v>3296</v>
      </c>
      <c r="H3243" s="14">
        <v>0.53</v>
      </c>
      <c r="I3243" s="2" t="s">
        <v>267</v>
      </c>
      <c r="J3243" s="2" t="s">
        <v>3942</v>
      </c>
      <c r="K3243" s="2" t="s">
        <v>1452</v>
      </c>
      <c r="L3243" s="2" t="s">
        <v>5221</v>
      </c>
      <c r="M3243" s="2" t="s">
        <v>5721</v>
      </c>
      <c r="N3243" s="2" t="s">
        <v>2317</v>
      </c>
      <c r="O3243" s="14">
        <v>2800</v>
      </c>
      <c r="P3243" s="14">
        <v>93.5</v>
      </c>
      <c r="Q3243" s="14">
        <v>182</v>
      </c>
      <c r="R3243" s="14">
        <v>96.46</v>
      </c>
      <c r="S3243" s="2" t="s">
        <v>4466</v>
      </c>
      <c r="T3243" s="2">
        <v>1.02</v>
      </c>
      <c r="U3243" s="2">
        <v>67.7</v>
      </c>
      <c r="V3243" s="2">
        <v>60</v>
      </c>
      <c r="W3243" s="2" t="s">
        <v>7862</v>
      </c>
      <c r="X3243" s="2" t="s">
        <v>7670</v>
      </c>
      <c r="Y3243" s="2">
        <v>1484</v>
      </c>
      <c r="Z3243" s="19" t="str">
        <f>HYPERLINK("https://ssdweb.co/ssdweb/hd/Vision360.html?d=926180899&amp;zoomslide=1&amp;z=1926180899&amp;ISCONFIRM=0","VIDEO")</f>
        <v>VIDEO</v>
      </c>
      <c r="AA3243" s="19" t="str">
        <f>HYPERLINK("https://ssdweb.co/ssdweb/CERTH/634431342.pdf","CERTI")</f>
        <v>CERTI</v>
      </c>
    </row>
    <row r="3244" spans="1:27" ht="15" x14ac:dyDescent="0.25">
      <c r="A3244" s="2">
        <v>3239</v>
      </c>
      <c r="B3244" s="39">
        <v>9414000597</v>
      </c>
      <c r="C3244" s="28" t="str">
        <f>HYPERLINK("https://pld.live/RapDetail.aspx?STONELIST=9414000597","DNA")</f>
        <v>DNA</v>
      </c>
      <c r="D3244" s="18" t="s">
        <v>5466</v>
      </c>
      <c r="E3244" s="18" t="s">
        <v>5128</v>
      </c>
      <c r="F3244" s="2" t="s">
        <v>7987</v>
      </c>
      <c r="G3244" s="2" t="s">
        <v>3296</v>
      </c>
      <c r="H3244" s="14">
        <v>0.53</v>
      </c>
      <c r="I3244" s="2" t="s">
        <v>4699</v>
      </c>
      <c r="J3244" s="2" t="s">
        <v>3942</v>
      </c>
      <c r="K3244" s="2" t="s">
        <v>1452</v>
      </c>
      <c r="L3244" s="2" t="s">
        <v>5221</v>
      </c>
      <c r="M3244" s="2" t="s">
        <v>5221</v>
      </c>
      <c r="N3244" s="2" t="s">
        <v>2317</v>
      </c>
      <c r="O3244" s="14">
        <v>2500</v>
      </c>
      <c r="P3244" s="14">
        <v>92.72</v>
      </c>
      <c r="Q3244" s="14">
        <v>182</v>
      </c>
      <c r="R3244" s="14">
        <v>96.46</v>
      </c>
      <c r="S3244" s="2" t="s">
        <v>4081</v>
      </c>
      <c r="T3244" s="2">
        <v>1.01</v>
      </c>
      <c r="U3244" s="2">
        <v>66.2</v>
      </c>
      <c r="V3244" s="2">
        <v>61</v>
      </c>
      <c r="W3244" s="2" t="s">
        <v>7862</v>
      </c>
      <c r="X3244" s="2" t="s">
        <v>5985</v>
      </c>
      <c r="Y3244" s="2">
        <v>1325</v>
      </c>
      <c r="Z3244" s="19" t="str">
        <f>HYPERLINK("https://ssdweb.co/ssdweb/hd/Vision360.html?d=9414000597&amp;zoomslide=1&amp;z=19414000597&amp;ISCONFIRM=0","VIDEO")</f>
        <v>VIDEO</v>
      </c>
      <c r="AA3244" s="19" t="str">
        <f>HYPERLINK("https://ssdweb.co/ssdweb/CERTH/693519443.pdf","CERTI")</f>
        <v>CERTI</v>
      </c>
    </row>
    <row r="3245" spans="1:27" ht="15" x14ac:dyDescent="0.25">
      <c r="A3245" s="2">
        <v>3240</v>
      </c>
      <c r="B3245" s="39">
        <v>941270809</v>
      </c>
      <c r="C3245" s="28" t="str">
        <f>HYPERLINK("https://pld.live/RapDetail.aspx?STONELIST=941270809","DNA")</f>
        <v>DNA</v>
      </c>
      <c r="D3245" s="18" t="s">
        <v>5466</v>
      </c>
      <c r="E3245" s="18" t="s">
        <v>5128</v>
      </c>
      <c r="F3245" s="2" t="s">
        <v>7987</v>
      </c>
      <c r="G3245" s="2" t="s">
        <v>3296</v>
      </c>
      <c r="H3245" s="14">
        <v>0.52</v>
      </c>
      <c r="I3245" s="2" t="s">
        <v>267</v>
      </c>
      <c r="J3245" s="2" t="s">
        <v>6555</v>
      </c>
      <c r="K3245" s="2" t="s">
        <v>1452</v>
      </c>
      <c r="L3245" s="2" t="s">
        <v>5221</v>
      </c>
      <c r="M3245" s="2" t="s">
        <v>5221</v>
      </c>
      <c r="N3245" s="2" t="s">
        <v>2317</v>
      </c>
      <c r="O3245" s="14">
        <v>3000</v>
      </c>
      <c r="P3245" s="14">
        <v>93.33</v>
      </c>
      <c r="Q3245" s="14">
        <v>200.1</v>
      </c>
      <c r="R3245" s="14">
        <v>104.05</v>
      </c>
      <c r="S3245" s="2" t="s">
        <v>636</v>
      </c>
      <c r="T3245" s="2">
        <v>1.03</v>
      </c>
      <c r="U3245" s="2">
        <v>64.2</v>
      </c>
      <c r="V3245" s="2">
        <v>59</v>
      </c>
      <c r="W3245" s="2" t="s">
        <v>7862</v>
      </c>
      <c r="X3245" s="2" t="s">
        <v>5985</v>
      </c>
      <c r="Y3245" s="2">
        <v>1560</v>
      </c>
      <c r="Z3245" s="19" t="str">
        <f>HYPERLINK("https://ssdweb.co/ssdweb/hd/Vision360.html?d=941270809&amp;zoomslide=1&amp;z=1941270809&amp;ISCONFIRM=0","VIDEO")</f>
        <v>VIDEO</v>
      </c>
      <c r="AA3245" s="19" t="str">
        <f>HYPERLINK("https://ssdweb.co/ssdweb/CERTH/692533961.pdf","CERTI")</f>
        <v>CERTI</v>
      </c>
    </row>
    <row r="3246" spans="1:27" ht="15" x14ac:dyDescent="0.25">
      <c r="A3246" s="2">
        <v>3241</v>
      </c>
      <c r="B3246" s="39">
        <v>9412700821</v>
      </c>
      <c r="C3246" s="28" t="str">
        <f>HYPERLINK("https://pld.live/RapDetail.aspx?STONELIST=9412700821","DNA")</f>
        <v>DNA</v>
      </c>
      <c r="D3246" s="18" t="s">
        <v>5466</v>
      </c>
      <c r="E3246" s="18" t="s">
        <v>5128</v>
      </c>
      <c r="F3246" s="2" t="s">
        <v>7987</v>
      </c>
      <c r="G3246" s="2" t="s">
        <v>3296</v>
      </c>
      <c r="H3246" s="14">
        <v>0.52</v>
      </c>
      <c r="I3246" s="2" t="s">
        <v>267</v>
      </c>
      <c r="J3246" s="2" t="s">
        <v>6555</v>
      </c>
      <c r="K3246" s="2" t="s">
        <v>1452</v>
      </c>
      <c r="L3246" s="2" t="s">
        <v>5221</v>
      </c>
      <c r="M3246" s="2" t="s">
        <v>5221</v>
      </c>
      <c r="N3246" s="2" t="s">
        <v>2317</v>
      </c>
      <c r="O3246" s="14">
        <v>3000</v>
      </c>
      <c r="P3246" s="14">
        <v>93.33</v>
      </c>
      <c r="Q3246" s="14">
        <v>200.1</v>
      </c>
      <c r="R3246" s="14">
        <v>104.05</v>
      </c>
      <c r="S3246" s="2" t="s">
        <v>4741</v>
      </c>
      <c r="T3246" s="2">
        <v>1.02</v>
      </c>
      <c r="U3246" s="2">
        <v>65.099999999999994</v>
      </c>
      <c r="V3246" s="2">
        <v>58</v>
      </c>
      <c r="W3246" s="2" t="s">
        <v>7862</v>
      </c>
      <c r="X3246" s="2" t="s">
        <v>5985</v>
      </c>
      <c r="Y3246" s="2">
        <v>1560</v>
      </c>
      <c r="Z3246" s="19" t="str">
        <f>HYPERLINK("https://ssdweb.co/ssdweb/hd/Vision360.html?d=9412700821&amp;zoomslide=1&amp;z=19412700821&amp;ISCONFIRM=0","VIDEO")</f>
        <v>VIDEO</v>
      </c>
      <c r="AA3246" s="19" t="str">
        <f>HYPERLINK("https://ssdweb.co/ssdweb/CERTH/693519435.pdf","CERTI")</f>
        <v>CERTI</v>
      </c>
    </row>
    <row r="3247" spans="1:27" ht="15" x14ac:dyDescent="0.25">
      <c r="A3247" s="2">
        <v>3242</v>
      </c>
      <c r="B3247" s="39">
        <v>941400591</v>
      </c>
      <c r="C3247" s="28" t="str">
        <f>HYPERLINK("https://pld.live/RapDetail.aspx?STONELIST=941400591","DNA")</f>
        <v>DNA</v>
      </c>
      <c r="D3247" s="18" t="s">
        <v>5466</v>
      </c>
      <c r="E3247" s="18" t="s">
        <v>5128</v>
      </c>
      <c r="F3247" s="2" t="s">
        <v>7987</v>
      </c>
      <c r="G3247" s="2" t="s">
        <v>3296</v>
      </c>
      <c r="H3247" s="14">
        <v>0.52</v>
      </c>
      <c r="I3247" s="2" t="s">
        <v>267</v>
      </c>
      <c r="J3247" s="2" t="s">
        <v>6555</v>
      </c>
      <c r="K3247" s="2" t="s">
        <v>1452</v>
      </c>
      <c r="L3247" s="2" t="s">
        <v>5221</v>
      </c>
      <c r="M3247" s="2" t="s">
        <v>5221</v>
      </c>
      <c r="N3247" s="2" t="s">
        <v>2317</v>
      </c>
      <c r="O3247" s="14">
        <v>3000</v>
      </c>
      <c r="P3247" s="14">
        <v>93.33</v>
      </c>
      <c r="Q3247" s="14">
        <v>200.1</v>
      </c>
      <c r="R3247" s="14">
        <v>104.05</v>
      </c>
      <c r="S3247" s="2" t="s">
        <v>2729</v>
      </c>
      <c r="T3247" s="2">
        <v>1.03</v>
      </c>
      <c r="U3247" s="2">
        <v>65.400000000000006</v>
      </c>
      <c r="V3247" s="2">
        <v>61</v>
      </c>
      <c r="W3247" s="2" t="s">
        <v>7862</v>
      </c>
      <c r="X3247" s="2" t="s">
        <v>5985</v>
      </c>
      <c r="Y3247" s="2">
        <v>1560</v>
      </c>
      <c r="Z3247" s="19" t="str">
        <f>HYPERLINK("https://ssdweb.co/ssdweb/hd/Vision360.html?d=941400591&amp;zoomslide=1&amp;z=1941400591&amp;ISCONFIRM=0","VIDEO")</f>
        <v>VIDEO</v>
      </c>
      <c r="AA3247" s="19" t="str">
        <f>HYPERLINK("https://ssdweb.co/ssdweb/CERTH/693519447.pdf","CERTI")</f>
        <v>CERTI</v>
      </c>
    </row>
    <row r="3248" spans="1:27" ht="15" x14ac:dyDescent="0.25">
      <c r="A3248" s="2">
        <v>3243</v>
      </c>
      <c r="B3248" s="39">
        <v>941400592</v>
      </c>
      <c r="C3248" s="28" t="str">
        <f>HYPERLINK("https://pld.live/RapDetail.aspx?STONELIST=941400592","DNA")</f>
        <v>DNA</v>
      </c>
      <c r="D3248" s="18" t="s">
        <v>5466</v>
      </c>
      <c r="E3248" s="18" t="s">
        <v>5128</v>
      </c>
      <c r="F3248" s="2" t="s">
        <v>7987</v>
      </c>
      <c r="G3248" s="2" t="s">
        <v>3296</v>
      </c>
      <c r="H3248" s="14">
        <v>0.52</v>
      </c>
      <c r="I3248" s="2" t="s">
        <v>267</v>
      </c>
      <c r="J3248" s="2" t="s">
        <v>6555</v>
      </c>
      <c r="K3248" s="2" t="s">
        <v>1452</v>
      </c>
      <c r="L3248" s="2" t="s">
        <v>5221</v>
      </c>
      <c r="M3248" s="2" t="s">
        <v>5221</v>
      </c>
      <c r="N3248" s="2" t="s">
        <v>2317</v>
      </c>
      <c r="O3248" s="14">
        <v>3000</v>
      </c>
      <c r="P3248" s="14">
        <v>93.33</v>
      </c>
      <c r="Q3248" s="14">
        <v>200.1</v>
      </c>
      <c r="R3248" s="14">
        <v>104.05</v>
      </c>
      <c r="S3248" s="2" t="s">
        <v>3538</v>
      </c>
      <c r="T3248" s="2">
        <v>1.03</v>
      </c>
      <c r="U3248" s="2">
        <v>64.599999999999994</v>
      </c>
      <c r="V3248" s="2">
        <v>60</v>
      </c>
      <c r="W3248" s="2" t="s">
        <v>7862</v>
      </c>
      <c r="X3248" s="2" t="s">
        <v>5985</v>
      </c>
      <c r="Y3248" s="2">
        <v>1560</v>
      </c>
      <c r="Z3248" s="19" t="str">
        <f>HYPERLINK("https://ssdweb.co/ssdweb/hd/Vision360.html?d=941400592&amp;zoomslide=1&amp;z=1941400592&amp;ISCONFIRM=0","VIDEO")</f>
        <v>VIDEO</v>
      </c>
      <c r="AA3248" s="19" t="str">
        <f>HYPERLINK("https://ssdweb.co/ssdweb/CERTH/693519448.pdf","CERTI")</f>
        <v>CERTI</v>
      </c>
    </row>
    <row r="3249" spans="1:27" ht="15" x14ac:dyDescent="0.25">
      <c r="A3249" s="2">
        <v>3244</v>
      </c>
      <c r="B3249" s="39">
        <v>941270814</v>
      </c>
      <c r="C3249" s="28" t="str">
        <f>HYPERLINK("https://pld.live/RapDetail.aspx?STONELIST=941270814","DNA")</f>
        <v>DNA</v>
      </c>
      <c r="D3249" s="18" t="s">
        <v>5466</v>
      </c>
      <c r="E3249" s="18" t="s">
        <v>5128</v>
      </c>
      <c r="F3249" s="2" t="s">
        <v>7987</v>
      </c>
      <c r="G3249" s="2" t="s">
        <v>3296</v>
      </c>
      <c r="H3249" s="14">
        <v>0.52</v>
      </c>
      <c r="I3249" s="2" t="s">
        <v>267</v>
      </c>
      <c r="J3249" s="2" t="s">
        <v>3942</v>
      </c>
      <c r="K3249" s="2" t="s">
        <v>1452</v>
      </c>
      <c r="L3249" s="2" t="s">
        <v>5221</v>
      </c>
      <c r="M3249" s="2" t="s">
        <v>5221</v>
      </c>
      <c r="N3249" s="2" t="s">
        <v>2317</v>
      </c>
      <c r="O3249" s="14">
        <v>2800</v>
      </c>
      <c r="P3249" s="14">
        <v>93.21</v>
      </c>
      <c r="Q3249" s="14">
        <v>190.12</v>
      </c>
      <c r="R3249" s="14">
        <v>98.86</v>
      </c>
      <c r="S3249" s="2" t="s">
        <v>3607</v>
      </c>
      <c r="T3249" s="2">
        <v>1.02</v>
      </c>
      <c r="U3249" s="2">
        <v>65.8</v>
      </c>
      <c r="V3249" s="2">
        <v>61</v>
      </c>
      <c r="W3249" s="2" t="s">
        <v>7862</v>
      </c>
      <c r="X3249" s="2" t="s">
        <v>5985</v>
      </c>
      <c r="Y3249" s="2">
        <v>1456</v>
      </c>
      <c r="Z3249" s="19" t="str">
        <f>HYPERLINK("https://ssdweb.co/ssdweb/hd/Vision360.html?d=941270814&amp;zoomslide=1&amp;z=1941270814&amp;ISCONFIRM=0","VIDEO")</f>
        <v>VIDEO</v>
      </c>
      <c r="AA3249" s="19" t="str">
        <f>HYPERLINK("https://ssdweb.co/ssdweb/CERTH/692534018.pdf","CERTI")</f>
        <v>CERTI</v>
      </c>
    </row>
    <row r="3250" spans="1:27" ht="15" x14ac:dyDescent="0.25">
      <c r="A3250" s="2">
        <v>3245</v>
      </c>
      <c r="B3250" s="39">
        <v>941400582</v>
      </c>
      <c r="C3250" s="28" t="str">
        <f>HYPERLINK("https://pld.live/RapDetail.aspx?STONELIST=941400582","DNA")</f>
        <v>DNA</v>
      </c>
      <c r="D3250" s="18" t="s">
        <v>5466</v>
      </c>
      <c r="E3250" s="18" t="s">
        <v>5128</v>
      </c>
      <c r="F3250" s="2" t="s">
        <v>7987</v>
      </c>
      <c r="G3250" s="2" t="s">
        <v>3296</v>
      </c>
      <c r="H3250" s="14">
        <v>0.52</v>
      </c>
      <c r="I3250" s="2" t="s">
        <v>267</v>
      </c>
      <c r="J3250" s="2" t="s">
        <v>3942</v>
      </c>
      <c r="K3250" s="2" t="s">
        <v>1452</v>
      </c>
      <c r="L3250" s="2" t="s">
        <v>5221</v>
      </c>
      <c r="M3250" s="2" t="s">
        <v>5221</v>
      </c>
      <c r="N3250" s="2" t="s">
        <v>2317</v>
      </c>
      <c r="O3250" s="14">
        <v>2800</v>
      </c>
      <c r="P3250" s="14">
        <v>93.21</v>
      </c>
      <c r="Q3250" s="14">
        <v>190.12</v>
      </c>
      <c r="R3250" s="14">
        <v>98.86</v>
      </c>
      <c r="S3250" s="2" t="s">
        <v>6946</v>
      </c>
      <c r="T3250" s="2">
        <v>1.04</v>
      </c>
      <c r="U3250" s="2">
        <v>63.7</v>
      </c>
      <c r="V3250" s="2">
        <v>60</v>
      </c>
      <c r="W3250" s="2" t="s">
        <v>7862</v>
      </c>
      <c r="X3250" s="2" t="s">
        <v>5985</v>
      </c>
      <c r="Y3250" s="2">
        <v>1456</v>
      </c>
      <c r="Z3250" s="19" t="str">
        <f>HYPERLINK("https://ssdweb.co/ssdweb/hd/Vision360.html?d=941400582&amp;zoomslide=1&amp;z=1941400582&amp;ISCONFIRM=0","VIDEO")</f>
        <v>VIDEO</v>
      </c>
      <c r="AA3250" s="19" t="str">
        <f>HYPERLINK("https://ssdweb.co/ssdweb/CERTH/692534021.pdf","CERTI")</f>
        <v>CERTI</v>
      </c>
    </row>
    <row r="3251" spans="1:27" ht="15" x14ac:dyDescent="0.25">
      <c r="A3251" s="2">
        <v>3246</v>
      </c>
      <c r="B3251" s="39">
        <v>9414000600</v>
      </c>
      <c r="C3251" s="28" t="str">
        <f>HYPERLINK("https://pld.live/RapDetail.aspx?STONELIST=9414000600","DNA")</f>
        <v>DNA</v>
      </c>
      <c r="D3251" s="18" t="s">
        <v>5466</v>
      </c>
      <c r="E3251" s="18" t="s">
        <v>5128</v>
      </c>
      <c r="F3251" s="2" t="s">
        <v>7987</v>
      </c>
      <c r="G3251" s="2" t="s">
        <v>3296</v>
      </c>
      <c r="H3251" s="14">
        <v>0.52</v>
      </c>
      <c r="I3251" s="2" t="s">
        <v>267</v>
      </c>
      <c r="J3251" s="2" t="s">
        <v>3942</v>
      </c>
      <c r="K3251" s="2" t="s">
        <v>1452</v>
      </c>
      <c r="L3251" s="2" t="s">
        <v>5221</v>
      </c>
      <c r="M3251" s="2" t="s">
        <v>5221</v>
      </c>
      <c r="N3251" s="2" t="s">
        <v>2317</v>
      </c>
      <c r="O3251" s="14">
        <v>2800</v>
      </c>
      <c r="P3251" s="14">
        <v>93.21</v>
      </c>
      <c r="Q3251" s="14">
        <v>190.12</v>
      </c>
      <c r="R3251" s="14">
        <v>98.86</v>
      </c>
      <c r="S3251" s="2" t="s">
        <v>67</v>
      </c>
      <c r="T3251" s="2">
        <v>1.03</v>
      </c>
      <c r="U3251" s="2">
        <v>63</v>
      </c>
      <c r="V3251" s="2">
        <v>59</v>
      </c>
      <c r="W3251" s="2" t="s">
        <v>7862</v>
      </c>
      <c r="X3251" s="2" t="s">
        <v>5985</v>
      </c>
      <c r="Y3251" s="2">
        <v>1456</v>
      </c>
      <c r="Z3251" s="19" t="str">
        <f>HYPERLINK("https://ssdweb.co/ssdweb/hd/Vision360.html?d=9414000600&amp;zoomslide=1&amp;z=19414000600&amp;ISCONFIRM=0","VIDEO")</f>
        <v>VIDEO</v>
      </c>
      <c r="AA3251" s="19" t="str">
        <f>HYPERLINK("https://ssdweb.co/ssdweb/CERTH/694508359.pdf","CERTI")</f>
        <v>CERTI</v>
      </c>
    </row>
    <row r="3252" spans="1:27" ht="15" x14ac:dyDescent="0.25">
      <c r="A3252" s="2">
        <v>3247</v>
      </c>
      <c r="B3252" s="39">
        <v>9414000599</v>
      </c>
      <c r="C3252" s="28" t="str">
        <f>HYPERLINK("https://pld.live/RapDetail.aspx?STONELIST=9414000599","DNA")</f>
        <v>DNA</v>
      </c>
      <c r="D3252" s="18" t="s">
        <v>5466</v>
      </c>
      <c r="E3252" s="18" t="s">
        <v>5128</v>
      </c>
      <c r="F3252" s="2" t="s">
        <v>7987</v>
      </c>
      <c r="G3252" s="2" t="s">
        <v>3296</v>
      </c>
      <c r="H3252" s="14">
        <v>0.52</v>
      </c>
      <c r="I3252" s="2" t="s">
        <v>267</v>
      </c>
      <c r="J3252" s="2" t="s">
        <v>3942</v>
      </c>
      <c r="K3252" s="2" t="s">
        <v>1452</v>
      </c>
      <c r="L3252" s="2" t="s">
        <v>5221</v>
      </c>
      <c r="M3252" s="2" t="s">
        <v>5221</v>
      </c>
      <c r="N3252" s="2" t="s">
        <v>2317</v>
      </c>
      <c r="O3252" s="14">
        <v>2800</v>
      </c>
      <c r="P3252" s="14">
        <v>93.21</v>
      </c>
      <c r="Q3252" s="14">
        <v>190.12</v>
      </c>
      <c r="R3252" s="14">
        <v>98.86</v>
      </c>
      <c r="S3252" s="2" t="s">
        <v>1441</v>
      </c>
      <c r="T3252" s="2">
        <v>1.03</v>
      </c>
      <c r="U3252" s="2">
        <v>62.3</v>
      </c>
      <c r="V3252" s="2">
        <v>58</v>
      </c>
      <c r="W3252" s="2" t="s">
        <v>7862</v>
      </c>
      <c r="X3252" s="2" t="s">
        <v>5985</v>
      </c>
      <c r="Y3252" s="2">
        <v>1456</v>
      </c>
      <c r="Z3252" s="19" t="str">
        <f>HYPERLINK("https://ssdweb.co/ssdweb/hd/Vision360.html?d=9414000599&amp;zoomslide=1&amp;z=19414000599&amp;ISCONFIRM=0","VIDEO")</f>
        <v>VIDEO</v>
      </c>
      <c r="AA3252" s="19" t="str">
        <f>HYPERLINK("https://ssdweb.co/ssdweb/CERTH/693519444.pdf","CERTI")</f>
        <v>CERTI</v>
      </c>
    </row>
    <row r="3253" spans="1:27" ht="15" x14ac:dyDescent="0.25">
      <c r="A3253" s="2">
        <v>3248</v>
      </c>
      <c r="B3253" s="39">
        <v>941270773</v>
      </c>
      <c r="C3253" s="28" t="str">
        <f>HYPERLINK("https://pld.live/RapDetail.aspx?STONELIST=941270773","DNA")</f>
        <v>DNA</v>
      </c>
      <c r="D3253" s="18" t="s">
        <v>5466</v>
      </c>
      <c r="E3253" s="18" t="s">
        <v>5128</v>
      </c>
      <c r="F3253" s="2" t="s">
        <v>7987</v>
      </c>
      <c r="G3253" s="2" t="s">
        <v>3296</v>
      </c>
      <c r="H3253" s="14">
        <v>0.52</v>
      </c>
      <c r="I3253" s="2" t="s">
        <v>267</v>
      </c>
      <c r="J3253" s="2" t="s">
        <v>3942</v>
      </c>
      <c r="K3253" s="2" t="s">
        <v>1452</v>
      </c>
      <c r="L3253" s="2" t="s">
        <v>5221</v>
      </c>
      <c r="M3253" s="2" t="s">
        <v>5221</v>
      </c>
      <c r="N3253" s="2" t="s">
        <v>2317</v>
      </c>
      <c r="O3253" s="14">
        <v>2800</v>
      </c>
      <c r="P3253" s="14">
        <v>93.21</v>
      </c>
      <c r="Q3253" s="14">
        <v>190.12</v>
      </c>
      <c r="R3253" s="14">
        <v>98.86</v>
      </c>
      <c r="S3253" s="2" t="s">
        <v>192</v>
      </c>
      <c r="T3253" s="2">
        <v>1.02</v>
      </c>
      <c r="U3253" s="2">
        <v>64.099999999999994</v>
      </c>
      <c r="V3253" s="2">
        <v>60</v>
      </c>
      <c r="W3253" s="2" t="s">
        <v>7862</v>
      </c>
      <c r="X3253" s="2" t="s">
        <v>5985</v>
      </c>
      <c r="Y3253" s="2">
        <v>1456</v>
      </c>
      <c r="Z3253" s="19" t="str">
        <f>HYPERLINK("https://ssdweb.co/ssdweb/hd/Vision360.html?d=941270773&amp;zoomslide=1&amp;z=1941270773&amp;ISCONFIRM=0","VIDEO")</f>
        <v>VIDEO</v>
      </c>
      <c r="AA3253" s="19" t="str">
        <f>HYPERLINK("https://ssdweb.co/ssdweb/CERTH/691577886.pdf","CERTI")</f>
        <v>CERTI</v>
      </c>
    </row>
    <row r="3254" spans="1:27" ht="15" x14ac:dyDescent="0.25">
      <c r="A3254" s="2">
        <v>3249</v>
      </c>
      <c r="B3254" s="39">
        <v>941270775</v>
      </c>
      <c r="C3254" s="28" t="str">
        <f>HYPERLINK("https://pld.live/RapDetail.aspx?STONELIST=941270775","DNA")</f>
        <v>DNA</v>
      </c>
      <c r="D3254" s="18" t="s">
        <v>5466</v>
      </c>
      <c r="E3254" s="18" t="s">
        <v>5128</v>
      </c>
      <c r="F3254" s="2" t="s">
        <v>7987</v>
      </c>
      <c r="G3254" s="2" t="s">
        <v>3296</v>
      </c>
      <c r="H3254" s="14">
        <v>0.52</v>
      </c>
      <c r="I3254" s="2" t="s">
        <v>267</v>
      </c>
      <c r="J3254" s="2" t="s">
        <v>3942</v>
      </c>
      <c r="K3254" s="2" t="s">
        <v>1452</v>
      </c>
      <c r="L3254" s="2" t="s">
        <v>5221</v>
      </c>
      <c r="M3254" s="2" t="s">
        <v>5221</v>
      </c>
      <c r="N3254" s="2" t="s">
        <v>2317</v>
      </c>
      <c r="O3254" s="14">
        <v>2800</v>
      </c>
      <c r="P3254" s="14">
        <v>93.21</v>
      </c>
      <c r="Q3254" s="14">
        <v>190.12</v>
      </c>
      <c r="R3254" s="14">
        <v>98.86</v>
      </c>
      <c r="S3254" s="2" t="s">
        <v>5275</v>
      </c>
      <c r="T3254" s="2">
        <v>1.02</v>
      </c>
      <c r="U3254" s="2">
        <v>63.5</v>
      </c>
      <c r="V3254" s="2">
        <v>58</v>
      </c>
      <c r="W3254" s="2" t="s">
        <v>7862</v>
      </c>
      <c r="X3254" s="2" t="s">
        <v>5985</v>
      </c>
      <c r="Y3254" s="2">
        <v>1456</v>
      </c>
      <c r="Z3254" s="19" t="str">
        <f>HYPERLINK("https://ssdweb.co/ssdweb/hd/Vision360.html?d=941270775&amp;zoomslide=1&amp;z=1941270775&amp;ISCONFIRM=0","VIDEO")</f>
        <v>VIDEO</v>
      </c>
      <c r="AA3254" s="19" t="str">
        <f>HYPERLINK("https://ssdweb.co/ssdweb/CERTH/691577888.pdf","CERTI")</f>
        <v>CERTI</v>
      </c>
    </row>
    <row r="3255" spans="1:27" ht="15" x14ac:dyDescent="0.25">
      <c r="A3255" s="2">
        <v>3250</v>
      </c>
      <c r="B3255" s="39">
        <v>941270781</v>
      </c>
      <c r="C3255" s="28" t="str">
        <f>HYPERLINK("https://pld.live/RapDetail.aspx?STONELIST=941270781","DNA")</f>
        <v>DNA</v>
      </c>
      <c r="D3255" s="18" t="s">
        <v>5466</v>
      </c>
      <c r="E3255" s="18" t="s">
        <v>5128</v>
      </c>
      <c r="F3255" s="2" t="s">
        <v>7987</v>
      </c>
      <c r="G3255" s="2" t="s">
        <v>3296</v>
      </c>
      <c r="H3255" s="14">
        <v>0.52</v>
      </c>
      <c r="I3255" s="2" t="s">
        <v>267</v>
      </c>
      <c r="J3255" s="2" t="s">
        <v>3942</v>
      </c>
      <c r="K3255" s="2" t="s">
        <v>1452</v>
      </c>
      <c r="L3255" s="2" t="s">
        <v>5221</v>
      </c>
      <c r="M3255" s="2" t="s">
        <v>5221</v>
      </c>
      <c r="N3255" s="2" t="s">
        <v>2317</v>
      </c>
      <c r="O3255" s="14">
        <v>2800</v>
      </c>
      <c r="P3255" s="14">
        <v>93.21</v>
      </c>
      <c r="Q3255" s="14">
        <v>190.12</v>
      </c>
      <c r="R3255" s="14">
        <v>98.86</v>
      </c>
      <c r="S3255" s="2" t="s">
        <v>481</v>
      </c>
      <c r="T3255" s="2">
        <v>1</v>
      </c>
      <c r="U3255" s="2">
        <v>64.7</v>
      </c>
      <c r="V3255" s="2">
        <v>59</v>
      </c>
      <c r="W3255" s="2" t="s">
        <v>7862</v>
      </c>
      <c r="X3255" s="2" t="s">
        <v>5985</v>
      </c>
      <c r="Y3255" s="2">
        <v>1456</v>
      </c>
      <c r="Z3255" s="19" t="str">
        <f>HYPERLINK("https://ssdweb.co/ssdweb/hd/Vision360.html?d=941270781&amp;zoomslide=1&amp;z=1941270781&amp;ISCONFIRM=0","VIDEO")</f>
        <v>VIDEO</v>
      </c>
      <c r="AA3255" s="19" t="str">
        <f>HYPERLINK("https://ssdweb.co/ssdweb/CERTH/691577894.pdf","CERTI")</f>
        <v>CERTI</v>
      </c>
    </row>
    <row r="3256" spans="1:27" ht="15" x14ac:dyDescent="0.25">
      <c r="A3256" s="2">
        <v>3251</v>
      </c>
      <c r="B3256" s="39">
        <v>926040652</v>
      </c>
      <c r="C3256" s="28" t="str">
        <f>HYPERLINK("https://pld.live/RapDetail.aspx?STONELIST=926040652","DNA")</f>
        <v>DNA</v>
      </c>
      <c r="D3256" s="18" t="s">
        <v>5466</v>
      </c>
      <c r="E3256" s="18" t="s">
        <v>5128</v>
      </c>
      <c r="F3256" s="2" t="s">
        <v>7987</v>
      </c>
      <c r="G3256" s="2" t="s">
        <v>3296</v>
      </c>
      <c r="H3256" s="14">
        <v>0.52</v>
      </c>
      <c r="I3256" s="2" t="s">
        <v>267</v>
      </c>
      <c r="J3256" s="2" t="s">
        <v>3942</v>
      </c>
      <c r="K3256" s="2" t="s">
        <v>1452</v>
      </c>
      <c r="L3256" s="2" t="s">
        <v>5221</v>
      </c>
      <c r="M3256" s="2" t="s">
        <v>5721</v>
      </c>
      <c r="N3256" s="2" t="s">
        <v>2317</v>
      </c>
      <c r="O3256" s="14">
        <v>2800</v>
      </c>
      <c r="P3256" s="14">
        <v>93.36</v>
      </c>
      <c r="Q3256" s="14">
        <v>185.92</v>
      </c>
      <c r="R3256" s="14">
        <v>96.68</v>
      </c>
      <c r="S3256" s="2" t="s">
        <v>7307</v>
      </c>
      <c r="T3256" s="2">
        <v>1.05</v>
      </c>
      <c r="U3256" s="2">
        <v>64</v>
      </c>
      <c r="V3256" s="2">
        <v>62</v>
      </c>
      <c r="W3256" s="2" t="s">
        <v>7862</v>
      </c>
      <c r="X3256" s="2" t="s">
        <v>3851</v>
      </c>
      <c r="Y3256" s="2">
        <v>1456</v>
      </c>
      <c r="Z3256" s="19" t="str">
        <f>HYPERLINK("https://ssdweb.co/ssdweb/hd/Vision360.html?d=926040652&amp;zoomslide=1&amp;z=1926040652&amp;ISCONFIRM=0","VIDEO")</f>
        <v>VIDEO</v>
      </c>
      <c r="AA3256" s="19" t="str">
        <f>HYPERLINK("https://ssdweb.co/ssdweb/CERTH/651401009.pdf","CERTI")</f>
        <v>CERTI</v>
      </c>
    </row>
    <row r="3257" spans="1:27" ht="15" x14ac:dyDescent="0.25">
      <c r="A3257" s="2">
        <v>3252</v>
      </c>
      <c r="B3257" s="39">
        <v>941270798</v>
      </c>
      <c r="C3257" s="28" t="str">
        <f>HYPERLINK("https://pld.live/RapDetail.aspx?STONELIST=941270798","DNA")</f>
        <v>DNA</v>
      </c>
      <c r="D3257" s="18" t="s">
        <v>5466</v>
      </c>
      <c r="E3257" s="18" t="s">
        <v>5128</v>
      </c>
      <c r="F3257" s="2" t="s">
        <v>7987</v>
      </c>
      <c r="G3257" s="2" t="s">
        <v>3296</v>
      </c>
      <c r="H3257" s="14">
        <v>0.52</v>
      </c>
      <c r="I3257" s="2" t="s">
        <v>267</v>
      </c>
      <c r="J3257" s="2" t="s">
        <v>13</v>
      </c>
      <c r="K3257" s="2" t="s">
        <v>1452</v>
      </c>
      <c r="L3257" s="2" t="s">
        <v>5221</v>
      </c>
      <c r="M3257" s="2" t="s">
        <v>5221</v>
      </c>
      <c r="N3257" s="2" t="s">
        <v>2317</v>
      </c>
      <c r="O3257" s="14">
        <v>2600</v>
      </c>
      <c r="P3257" s="14">
        <v>92.89</v>
      </c>
      <c r="Q3257" s="14">
        <v>184.86</v>
      </c>
      <c r="R3257" s="14">
        <v>96.13</v>
      </c>
      <c r="S3257" s="2" t="s">
        <v>4677</v>
      </c>
      <c r="T3257" s="2">
        <v>1.02</v>
      </c>
      <c r="U3257" s="2">
        <v>63.8</v>
      </c>
      <c r="V3257" s="2">
        <v>61</v>
      </c>
      <c r="W3257" s="2" t="s">
        <v>7862</v>
      </c>
      <c r="X3257" s="2" t="s">
        <v>5985</v>
      </c>
      <c r="Y3257" s="2">
        <v>1352</v>
      </c>
      <c r="Z3257" s="19" t="str">
        <f>HYPERLINK("https://ssdweb.co/ssdweb/hd/Vision360.html?d=941270798&amp;zoomslide=1&amp;z=1941270798&amp;ISCONFIRM=0","VIDEO")</f>
        <v>VIDEO</v>
      </c>
      <c r="AA3257" s="19" t="str">
        <f>HYPERLINK("https://ssdweb.co/ssdweb/CERTH/692505633.pdf","CERTI")</f>
        <v>CERTI</v>
      </c>
    </row>
    <row r="3258" spans="1:27" ht="15" x14ac:dyDescent="0.25">
      <c r="A3258" s="2">
        <v>3253</v>
      </c>
      <c r="B3258" s="39">
        <v>941270796</v>
      </c>
      <c r="C3258" s="28" t="str">
        <f>HYPERLINK("https://pld.live/RapDetail.aspx?STONELIST=941270796","DNA")</f>
        <v>DNA</v>
      </c>
      <c r="D3258" s="18" t="s">
        <v>5466</v>
      </c>
      <c r="E3258" s="18" t="s">
        <v>5128</v>
      </c>
      <c r="F3258" s="2" t="s">
        <v>7987</v>
      </c>
      <c r="G3258" s="2" t="s">
        <v>3296</v>
      </c>
      <c r="H3258" s="14">
        <v>0.52</v>
      </c>
      <c r="I3258" s="2" t="s">
        <v>267</v>
      </c>
      <c r="J3258" s="2" t="s">
        <v>13</v>
      </c>
      <c r="K3258" s="2" t="s">
        <v>1452</v>
      </c>
      <c r="L3258" s="2" t="s">
        <v>5221</v>
      </c>
      <c r="M3258" s="2" t="s">
        <v>5221</v>
      </c>
      <c r="N3258" s="2" t="s">
        <v>2317</v>
      </c>
      <c r="O3258" s="14">
        <v>2600</v>
      </c>
      <c r="P3258" s="14">
        <v>92.88</v>
      </c>
      <c r="Q3258" s="14">
        <v>185.12</v>
      </c>
      <c r="R3258" s="14">
        <v>96.26</v>
      </c>
      <c r="S3258" s="2" t="s">
        <v>5877</v>
      </c>
      <c r="T3258" s="2">
        <v>1.02</v>
      </c>
      <c r="U3258" s="2">
        <v>64.8</v>
      </c>
      <c r="V3258" s="2">
        <v>60</v>
      </c>
      <c r="W3258" s="2" t="s">
        <v>7862</v>
      </c>
      <c r="X3258" s="2" t="s">
        <v>5985</v>
      </c>
      <c r="Y3258" s="2">
        <v>1352</v>
      </c>
      <c r="Z3258" s="19" t="str">
        <f>HYPERLINK("https://ssdweb.co/ssdweb/hd/Vision360.html?d=941270796&amp;zoomslide=1&amp;z=1941270796&amp;ISCONFIRM=0","VIDEO")</f>
        <v>VIDEO</v>
      </c>
      <c r="AA3258" s="19" t="str">
        <f>HYPERLINK("https://ssdweb.co/ssdweb/CERTH/692505652.pdf","CERTI")</f>
        <v>CERTI</v>
      </c>
    </row>
    <row r="3259" spans="1:27" ht="15" x14ac:dyDescent="0.25">
      <c r="A3259" s="2">
        <v>3254</v>
      </c>
      <c r="B3259" s="39">
        <v>941270811</v>
      </c>
      <c r="C3259" s="28" t="str">
        <f>HYPERLINK("https://pld.live/RapDetail.aspx?STONELIST=941270811","DNA")</f>
        <v>DNA</v>
      </c>
      <c r="D3259" s="18" t="s">
        <v>5466</v>
      </c>
      <c r="E3259" s="18" t="s">
        <v>5128</v>
      </c>
      <c r="F3259" s="2" t="s">
        <v>7987</v>
      </c>
      <c r="G3259" s="2" t="s">
        <v>3296</v>
      </c>
      <c r="H3259" s="14">
        <v>0.52</v>
      </c>
      <c r="I3259" s="2" t="s">
        <v>267</v>
      </c>
      <c r="J3259" s="2" t="s">
        <v>13</v>
      </c>
      <c r="K3259" s="2" t="s">
        <v>1452</v>
      </c>
      <c r="L3259" s="2" t="s">
        <v>5221</v>
      </c>
      <c r="M3259" s="2" t="s">
        <v>5221</v>
      </c>
      <c r="N3259" s="2" t="s">
        <v>2317</v>
      </c>
      <c r="O3259" s="14">
        <v>2600</v>
      </c>
      <c r="P3259" s="14">
        <v>92.89</v>
      </c>
      <c r="Q3259" s="14">
        <v>184.86</v>
      </c>
      <c r="R3259" s="14">
        <v>96.13</v>
      </c>
      <c r="S3259" s="2" t="s">
        <v>3876</v>
      </c>
      <c r="T3259" s="2">
        <v>1.02</v>
      </c>
      <c r="U3259" s="2">
        <v>63.6</v>
      </c>
      <c r="V3259" s="2">
        <v>63</v>
      </c>
      <c r="W3259" s="2" t="s">
        <v>7862</v>
      </c>
      <c r="X3259" s="2" t="s">
        <v>5985</v>
      </c>
      <c r="Y3259" s="2">
        <v>1352</v>
      </c>
      <c r="Z3259" s="19" t="str">
        <f>HYPERLINK("https://ssdweb.co/ssdweb/hd/Vision360.html?d=941270811&amp;zoomslide=1&amp;z=1941270811&amp;ISCONFIRM=0","VIDEO")</f>
        <v>VIDEO</v>
      </c>
      <c r="AA3259" s="19" t="str">
        <f>HYPERLINK("https://ssdweb.co/ssdweb/CERTH/692533963.pdf","CERTI")</f>
        <v>CERTI</v>
      </c>
    </row>
    <row r="3260" spans="1:27" ht="15" x14ac:dyDescent="0.25">
      <c r="A3260" s="2">
        <v>3255</v>
      </c>
      <c r="B3260" s="39">
        <v>9414000601</v>
      </c>
      <c r="C3260" s="28" t="str">
        <f>HYPERLINK("https://pld.live/RapDetail.aspx?STONELIST=9414000601","DNA")</f>
        <v>DNA</v>
      </c>
      <c r="D3260" s="18" t="s">
        <v>5466</v>
      </c>
      <c r="E3260" s="18" t="s">
        <v>5128</v>
      </c>
      <c r="F3260" s="2" t="s">
        <v>7987</v>
      </c>
      <c r="G3260" s="2" t="s">
        <v>3296</v>
      </c>
      <c r="H3260" s="14">
        <v>0.52</v>
      </c>
      <c r="I3260" s="2" t="s">
        <v>267</v>
      </c>
      <c r="J3260" s="2" t="s">
        <v>13</v>
      </c>
      <c r="K3260" s="2" t="s">
        <v>1452</v>
      </c>
      <c r="L3260" s="2" t="s">
        <v>5221</v>
      </c>
      <c r="M3260" s="2" t="s">
        <v>5221</v>
      </c>
      <c r="N3260" s="2" t="s">
        <v>2317</v>
      </c>
      <c r="O3260" s="14">
        <v>2600</v>
      </c>
      <c r="P3260" s="14">
        <v>92.88</v>
      </c>
      <c r="Q3260" s="14">
        <v>185.12</v>
      </c>
      <c r="R3260" s="14">
        <v>96.26</v>
      </c>
      <c r="S3260" s="2" t="s">
        <v>2667</v>
      </c>
      <c r="T3260" s="2">
        <v>1.02</v>
      </c>
      <c r="U3260" s="2">
        <v>63.8</v>
      </c>
      <c r="V3260" s="2">
        <v>61</v>
      </c>
      <c r="W3260" s="2" t="s">
        <v>7862</v>
      </c>
      <c r="X3260" s="2" t="s">
        <v>5985</v>
      </c>
      <c r="Y3260" s="2">
        <v>1352</v>
      </c>
      <c r="Z3260" s="19" t="str">
        <f>HYPERLINK("https://ssdweb.co/ssdweb/hd/Vision360.html?d=9414000601&amp;zoomslide=1&amp;z=19414000601&amp;ISCONFIRM=0","VIDEO")</f>
        <v>VIDEO</v>
      </c>
      <c r="AA3260" s="19" t="str">
        <f>HYPERLINK("https://ssdweb.co/ssdweb/CERTH/694508360.pdf","CERTI")</f>
        <v>CERTI</v>
      </c>
    </row>
    <row r="3261" spans="1:27" ht="15" x14ac:dyDescent="0.25">
      <c r="A3261" s="2">
        <v>3256</v>
      </c>
      <c r="B3261" s="39">
        <v>941261065</v>
      </c>
      <c r="C3261" s="28" t="str">
        <f>HYPERLINK("https://pld.live/RapDetail.aspx?STONELIST=941261065","DNA")</f>
        <v>DNA</v>
      </c>
      <c r="D3261" s="18" t="s">
        <v>5466</v>
      </c>
      <c r="E3261" s="18" t="s">
        <v>5128</v>
      </c>
      <c r="F3261" s="2" t="s">
        <v>7987</v>
      </c>
      <c r="G3261" s="2" t="s">
        <v>3296</v>
      </c>
      <c r="H3261" s="14">
        <v>0.52</v>
      </c>
      <c r="I3261" s="2" t="s">
        <v>267</v>
      </c>
      <c r="J3261" s="2" t="s">
        <v>13</v>
      </c>
      <c r="K3261" s="2" t="s">
        <v>1452</v>
      </c>
      <c r="L3261" s="2" t="s">
        <v>5221</v>
      </c>
      <c r="M3261" s="2" t="s">
        <v>5221</v>
      </c>
      <c r="N3261" s="2" t="s">
        <v>2317</v>
      </c>
      <c r="O3261" s="14">
        <v>2600</v>
      </c>
      <c r="P3261" s="14">
        <v>92.88</v>
      </c>
      <c r="Q3261" s="14">
        <v>185.12</v>
      </c>
      <c r="R3261" s="14">
        <v>96.26</v>
      </c>
      <c r="S3261" s="2" t="s">
        <v>1659</v>
      </c>
      <c r="T3261" s="2">
        <v>1.02</v>
      </c>
      <c r="U3261" s="2">
        <v>63.9</v>
      </c>
      <c r="V3261" s="2">
        <v>62</v>
      </c>
      <c r="W3261" s="2" t="s">
        <v>7862</v>
      </c>
      <c r="X3261" s="2" t="s">
        <v>5985</v>
      </c>
      <c r="Y3261" s="2">
        <v>1352</v>
      </c>
      <c r="Z3261" s="19" t="str">
        <f>HYPERLINK("https://ssdweb.co/ssdweb/hd/Vision360.html?d=941261065&amp;zoomslide=1&amp;z=1941261065&amp;ISCONFIRM=0","VIDEO")</f>
        <v>VIDEO</v>
      </c>
      <c r="AA3261" s="19" t="str">
        <f>HYPERLINK("https://ssdweb.co/ssdweb/CERTH/689587173.pdf","CERTI")</f>
        <v>CERTI</v>
      </c>
    </row>
    <row r="3262" spans="1:27" ht="15" x14ac:dyDescent="0.25">
      <c r="A3262" s="2">
        <v>3257</v>
      </c>
      <c r="B3262" s="39">
        <v>941261089</v>
      </c>
      <c r="C3262" s="28" t="str">
        <f>HYPERLINK("https://pld.live/RapDetail.aspx?STONELIST=941261089","DNA")</f>
        <v>DNA</v>
      </c>
      <c r="D3262" s="18" t="s">
        <v>5466</v>
      </c>
      <c r="E3262" s="18" t="s">
        <v>5128</v>
      </c>
      <c r="F3262" s="2" t="s">
        <v>7987</v>
      </c>
      <c r="G3262" s="2" t="s">
        <v>3296</v>
      </c>
      <c r="H3262" s="14">
        <v>0.52</v>
      </c>
      <c r="I3262" s="2" t="s">
        <v>267</v>
      </c>
      <c r="J3262" s="2" t="s">
        <v>13</v>
      </c>
      <c r="K3262" s="2" t="s">
        <v>1452</v>
      </c>
      <c r="L3262" s="2" t="s">
        <v>5221</v>
      </c>
      <c r="M3262" s="2" t="s">
        <v>5221</v>
      </c>
      <c r="N3262" s="2" t="s">
        <v>2317</v>
      </c>
      <c r="O3262" s="14">
        <v>2600</v>
      </c>
      <c r="P3262" s="14">
        <v>92.89</v>
      </c>
      <c r="Q3262" s="14">
        <v>184.86</v>
      </c>
      <c r="R3262" s="14">
        <v>96.13</v>
      </c>
      <c r="S3262" s="2" t="s">
        <v>3682</v>
      </c>
      <c r="T3262" s="2">
        <v>1.03</v>
      </c>
      <c r="U3262" s="2">
        <v>66.400000000000006</v>
      </c>
      <c r="V3262" s="2">
        <v>60</v>
      </c>
      <c r="W3262" s="2" t="s">
        <v>7862</v>
      </c>
      <c r="X3262" s="2" t="s">
        <v>7670</v>
      </c>
      <c r="Y3262" s="2">
        <v>1352</v>
      </c>
      <c r="Z3262" s="19" t="str">
        <f>HYPERLINK("https://ssdweb.co/ssdweb/hd/Vision360.html?d=941261089&amp;zoomslide=1&amp;z=1941261089&amp;ISCONFIRM=0","VIDEO")</f>
        <v>VIDEO</v>
      </c>
      <c r="AA3262" s="19" t="str">
        <f>HYPERLINK("https://ssdweb.co/ssdweb/CERTH/689587204.pdf","CERTI")</f>
        <v>CERTI</v>
      </c>
    </row>
    <row r="3263" spans="1:27" ht="15" x14ac:dyDescent="0.25">
      <c r="A3263" s="2">
        <v>3258</v>
      </c>
      <c r="B3263" s="39">
        <v>941261136</v>
      </c>
      <c r="C3263" s="28" t="str">
        <f>HYPERLINK("https://pld.live/RapDetail.aspx?STONELIST=941261136","DNA")</f>
        <v>DNA</v>
      </c>
      <c r="D3263" s="18" t="s">
        <v>5466</v>
      </c>
      <c r="E3263" s="18" t="s">
        <v>5128</v>
      </c>
      <c r="F3263" s="2" t="s">
        <v>7987</v>
      </c>
      <c r="G3263" s="2" t="s">
        <v>3296</v>
      </c>
      <c r="H3263" s="14">
        <v>0.52</v>
      </c>
      <c r="I3263" s="2" t="s">
        <v>4761</v>
      </c>
      <c r="J3263" s="2" t="s">
        <v>13</v>
      </c>
      <c r="K3263" s="2" t="s">
        <v>1452</v>
      </c>
      <c r="L3263" s="2" t="s">
        <v>5221</v>
      </c>
      <c r="M3263" s="2" t="s">
        <v>5221</v>
      </c>
      <c r="N3263" s="2" t="s">
        <v>2317</v>
      </c>
      <c r="O3263" s="14">
        <v>2500</v>
      </c>
      <c r="P3263" s="14">
        <v>92.8</v>
      </c>
      <c r="Q3263" s="14">
        <v>180</v>
      </c>
      <c r="R3263" s="14">
        <v>93.6</v>
      </c>
      <c r="S3263" s="2" t="s">
        <v>510</v>
      </c>
      <c r="T3263" s="2">
        <v>1.04</v>
      </c>
      <c r="U3263" s="2">
        <v>65.2</v>
      </c>
      <c r="V3263" s="2">
        <v>57</v>
      </c>
      <c r="W3263" s="2" t="s">
        <v>7862</v>
      </c>
      <c r="X3263" s="2" t="s">
        <v>5985</v>
      </c>
      <c r="Y3263" s="2">
        <v>1300</v>
      </c>
      <c r="Z3263" s="19" t="str">
        <f>HYPERLINK("https://ssdweb.co/ssdweb/hd/Vision360.html?d=941261136&amp;zoomslide=1&amp;z=1941261136&amp;ISCONFIRM=0","VIDEO")</f>
        <v>VIDEO</v>
      </c>
      <c r="AA3263" s="19" t="str">
        <f>HYPERLINK("https://ssdweb.co/ssdweb/CERTH/693519432.pdf","CERTI")</f>
        <v>CERTI</v>
      </c>
    </row>
    <row r="3264" spans="1:27" ht="15" x14ac:dyDescent="0.25">
      <c r="A3264" s="2">
        <v>3259</v>
      </c>
      <c r="B3264" s="39">
        <v>941270819</v>
      </c>
      <c r="C3264" s="28" t="str">
        <f>HYPERLINK("https://pld.live/RapDetail.aspx?STONELIST=941270819","DNA")</f>
        <v>DNA</v>
      </c>
      <c r="D3264" s="18" t="s">
        <v>5466</v>
      </c>
      <c r="E3264" s="18" t="s">
        <v>5128</v>
      </c>
      <c r="F3264" s="2" t="s">
        <v>7987</v>
      </c>
      <c r="G3264" s="2" t="s">
        <v>3296</v>
      </c>
      <c r="H3264" s="14">
        <v>0.51</v>
      </c>
      <c r="I3264" s="2" t="s">
        <v>267</v>
      </c>
      <c r="J3264" s="2" t="s">
        <v>3942</v>
      </c>
      <c r="K3264" s="2" t="s">
        <v>1452</v>
      </c>
      <c r="L3264" s="2" t="s">
        <v>5221</v>
      </c>
      <c r="M3264" s="2" t="s">
        <v>5221</v>
      </c>
      <c r="N3264" s="2" t="s">
        <v>2317</v>
      </c>
      <c r="O3264" s="14">
        <v>2800</v>
      </c>
      <c r="P3264" s="14">
        <v>93.21</v>
      </c>
      <c r="Q3264" s="14">
        <v>190.12</v>
      </c>
      <c r="R3264" s="14">
        <v>96.96</v>
      </c>
      <c r="S3264" s="2" t="s">
        <v>6371</v>
      </c>
      <c r="T3264" s="2">
        <v>1.03</v>
      </c>
      <c r="U3264" s="2">
        <v>63.8</v>
      </c>
      <c r="V3264" s="2">
        <v>60</v>
      </c>
      <c r="W3264" s="2" t="s">
        <v>7862</v>
      </c>
      <c r="X3264" s="2" t="s">
        <v>5985</v>
      </c>
      <c r="Y3264" s="2">
        <v>1428</v>
      </c>
      <c r="Z3264" s="19" t="str">
        <f>HYPERLINK("https://ssdweb.co/ssdweb/hd/Vision360.html?d=941270819&amp;zoomslide=1&amp;z=1941270819&amp;ISCONFIRM=0","VIDEO")</f>
        <v>VIDEO</v>
      </c>
      <c r="AA3264" s="19" t="str">
        <f>HYPERLINK("https://ssdweb.co/ssdweb/CERTH/693519440.pdf","CERTI")</f>
        <v>CERTI</v>
      </c>
    </row>
    <row r="3265" spans="1:27" ht="15" x14ac:dyDescent="0.25">
      <c r="A3265" s="2">
        <v>3260</v>
      </c>
      <c r="B3265" s="39">
        <v>941270804</v>
      </c>
      <c r="C3265" s="28" t="str">
        <f>HYPERLINK("https://pld.live/RapDetail.aspx?STONELIST=941270804","DNA")</f>
        <v>DNA</v>
      </c>
      <c r="D3265" s="18" t="s">
        <v>5466</v>
      </c>
      <c r="E3265" s="18" t="s">
        <v>5128</v>
      </c>
      <c r="F3265" s="2" t="s">
        <v>7987</v>
      </c>
      <c r="G3265" s="2" t="s">
        <v>3296</v>
      </c>
      <c r="H3265" s="14">
        <v>0.51</v>
      </c>
      <c r="I3265" s="2" t="s">
        <v>267</v>
      </c>
      <c r="J3265" s="2" t="s">
        <v>3942</v>
      </c>
      <c r="K3265" s="2" t="s">
        <v>1452</v>
      </c>
      <c r="L3265" s="2" t="s">
        <v>5221</v>
      </c>
      <c r="M3265" s="2" t="s">
        <v>5221</v>
      </c>
      <c r="N3265" s="2" t="s">
        <v>2317</v>
      </c>
      <c r="O3265" s="14">
        <v>2800</v>
      </c>
      <c r="P3265" s="14">
        <v>93.21</v>
      </c>
      <c r="Q3265" s="14">
        <v>190.12</v>
      </c>
      <c r="R3265" s="14">
        <v>96.96</v>
      </c>
      <c r="S3265" s="2" t="s">
        <v>6872</v>
      </c>
      <c r="T3265" s="2">
        <v>1.02</v>
      </c>
      <c r="U3265" s="2">
        <v>65.8</v>
      </c>
      <c r="V3265" s="2">
        <v>61</v>
      </c>
      <c r="W3265" s="2" t="s">
        <v>7862</v>
      </c>
      <c r="X3265" s="2" t="s">
        <v>5985</v>
      </c>
      <c r="Y3265" s="2">
        <v>1428</v>
      </c>
      <c r="Z3265" s="19" t="str">
        <f>HYPERLINK("https://ssdweb.co/ssdweb/hd/Vision360.html?d=941270804&amp;zoomslide=1&amp;z=1941270804&amp;ISCONFIRM=0","VIDEO")</f>
        <v>VIDEO</v>
      </c>
      <c r="AA3265" s="19" t="str">
        <f>HYPERLINK("https://ssdweb.co/ssdweb/CERTH/692533958.pdf","CERTI")</f>
        <v>CERTI</v>
      </c>
    </row>
    <row r="3266" spans="1:27" ht="15" x14ac:dyDescent="0.25">
      <c r="A3266" s="2">
        <v>3261</v>
      </c>
      <c r="B3266" s="39">
        <v>9414000603</v>
      </c>
      <c r="C3266" s="28" t="str">
        <f>HYPERLINK("https://pld.live/RapDetail.aspx?STONELIST=9414000603","DNA")</f>
        <v>DNA</v>
      </c>
      <c r="D3266" s="18" t="s">
        <v>5466</v>
      </c>
      <c r="E3266" s="18" t="s">
        <v>5128</v>
      </c>
      <c r="F3266" s="2" t="s">
        <v>7987</v>
      </c>
      <c r="G3266" s="2" t="s">
        <v>3296</v>
      </c>
      <c r="H3266" s="14">
        <v>0.51</v>
      </c>
      <c r="I3266" s="2" t="s">
        <v>267</v>
      </c>
      <c r="J3266" s="2" t="s">
        <v>3942</v>
      </c>
      <c r="K3266" s="2" t="s">
        <v>1452</v>
      </c>
      <c r="L3266" s="2" t="s">
        <v>5221</v>
      </c>
      <c r="M3266" s="2" t="s">
        <v>5221</v>
      </c>
      <c r="N3266" s="2" t="s">
        <v>2317</v>
      </c>
      <c r="O3266" s="14">
        <v>2800</v>
      </c>
      <c r="P3266" s="14">
        <v>93.21</v>
      </c>
      <c r="Q3266" s="14">
        <v>190.12</v>
      </c>
      <c r="R3266" s="14">
        <v>96.96</v>
      </c>
      <c r="S3266" s="2" t="s">
        <v>2817</v>
      </c>
      <c r="T3266" s="2">
        <v>1.03</v>
      </c>
      <c r="U3266" s="2">
        <v>62.4</v>
      </c>
      <c r="V3266" s="2">
        <v>61</v>
      </c>
      <c r="W3266" s="2" t="s">
        <v>7862</v>
      </c>
      <c r="X3266" s="2" t="s">
        <v>5985</v>
      </c>
      <c r="Y3266" s="2">
        <v>1428</v>
      </c>
      <c r="Z3266" s="19" t="str">
        <f>HYPERLINK("https://ssdweb.co/ssdweb/hd/Vision360.html?d=9414000603&amp;zoomslide=1&amp;z=19414000603&amp;ISCONFIRM=0","VIDEO")</f>
        <v>VIDEO</v>
      </c>
      <c r="AA3266" s="19" t="str">
        <f>HYPERLINK("https://ssdweb.co/ssdweb/CERTH/694508362.pdf","CERTI")</f>
        <v>CERTI</v>
      </c>
    </row>
    <row r="3267" spans="1:27" ht="15" x14ac:dyDescent="0.25">
      <c r="A3267" s="2">
        <v>3262</v>
      </c>
      <c r="B3267" s="39">
        <v>941261071</v>
      </c>
      <c r="C3267" s="28" t="str">
        <f>HYPERLINK("https://pld.live/RapDetail.aspx?STONELIST=941261071","DNA")</f>
        <v>DNA</v>
      </c>
      <c r="D3267" s="18" t="s">
        <v>5466</v>
      </c>
      <c r="E3267" s="18" t="s">
        <v>5128</v>
      </c>
      <c r="F3267" s="2" t="s">
        <v>7987</v>
      </c>
      <c r="G3267" s="2" t="s">
        <v>3296</v>
      </c>
      <c r="H3267" s="14">
        <v>0.51</v>
      </c>
      <c r="I3267" s="2" t="s">
        <v>267</v>
      </c>
      <c r="J3267" s="2" t="s">
        <v>13</v>
      </c>
      <c r="K3267" s="2" t="s">
        <v>1452</v>
      </c>
      <c r="L3267" s="2" t="s">
        <v>5221</v>
      </c>
      <c r="M3267" s="2" t="s">
        <v>5221</v>
      </c>
      <c r="N3267" s="2" t="s">
        <v>2317</v>
      </c>
      <c r="O3267" s="14">
        <v>2600</v>
      </c>
      <c r="P3267" s="14">
        <v>92.89</v>
      </c>
      <c r="Q3267" s="14">
        <v>184.86</v>
      </c>
      <c r="R3267" s="14">
        <v>94.28</v>
      </c>
      <c r="S3267" s="2" t="s">
        <v>210</v>
      </c>
      <c r="T3267" s="2">
        <v>1</v>
      </c>
      <c r="U3267" s="2">
        <v>64.5</v>
      </c>
      <c r="V3267" s="2">
        <v>62</v>
      </c>
      <c r="W3267" s="2" t="s">
        <v>7862</v>
      </c>
      <c r="X3267" s="2" t="s">
        <v>7670</v>
      </c>
      <c r="Y3267" s="2">
        <v>1326</v>
      </c>
      <c r="Z3267" s="19" t="str">
        <f>HYPERLINK("https://ssdweb.co/ssdweb/hd/Vision360.html?d=941261071&amp;zoomslide=1&amp;z=1941261071&amp;ISCONFIRM=0","VIDEO")</f>
        <v>VIDEO</v>
      </c>
      <c r="AA3267" s="19" t="str">
        <f>HYPERLINK("https://ssdweb.co/ssdweb/CERTH/689587175.pdf","CERTI")</f>
        <v>CERTI</v>
      </c>
    </row>
    <row r="3268" spans="1:27" ht="15" x14ac:dyDescent="0.25">
      <c r="A3268" s="2">
        <v>3263</v>
      </c>
      <c r="B3268" s="39">
        <v>941400595</v>
      </c>
      <c r="C3268" s="28" t="str">
        <f>HYPERLINK("https://pld.live/RapDetail.aspx?STONELIST=941400595","DNA")</f>
        <v>DNA</v>
      </c>
      <c r="D3268" s="18" t="s">
        <v>5466</v>
      </c>
      <c r="E3268" s="18" t="s">
        <v>5128</v>
      </c>
      <c r="F3268" s="2" t="s">
        <v>7987</v>
      </c>
      <c r="G3268" s="2" t="s">
        <v>3296</v>
      </c>
      <c r="H3268" s="14">
        <v>0.51</v>
      </c>
      <c r="I3268" s="2" t="s">
        <v>267</v>
      </c>
      <c r="J3268" s="2" t="s">
        <v>13</v>
      </c>
      <c r="K3268" s="2" t="s">
        <v>1452</v>
      </c>
      <c r="L3268" s="2" t="s">
        <v>5221</v>
      </c>
      <c r="M3268" s="2" t="s">
        <v>5221</v>
      </c>
      <c r="N3268" s="2" t="s">
        <v>2317</v>
      </c>
      <c r="O3268" s="14">
        <v>2600</v>
      </c>
      <c r="P3268" s="14">
        <v>92.88</v>
      </c>
      <c r="Q3268" s="14">
        <v>185.12</v>
      </c>
      <c r="R3268" s="14">
        <v>94.41</v>
      </c>
      <c r="S3268" s="2" t="s">
        <v>3606</v>
      </c>
      <c r="T3268" s="2">
        <v>1.02</v>
      </c>
      <c r="U3268" s="2">
        <v>63.9</v>
      </c>
      <c r="V3268" s="2">
        <v>58</v>
      </c>
      <c r="W3268" s="2" t="s">
        <v>7862</v>
      </c>
      <c r="X3268" s="2" t="s">
        <v>5985</v>
      </c>
      <c r="Y3268" s="2">
        <v>1326</v>
      </c>
      <c r="Z3268" s="19" t="str">
        <f>HYPERLINK("https://ssdweb.co/ssdweb/hd/Vision360.html?d=941400595&amp;zoomslide=1&amp;z=1941400595&amp;ISCONFIRM=0","VIDEO")</f>
        <v>VIDEO</v>
      </c>
      <c r="AA3268" s="19" t="str">
        <f>HYPERLINK("https://ssdweb.co/ssdweb/CERTH/693519449.pdf","CERTI")</f>
        <v>CERTI</v>
      </c>
    </row>
    <row r="3269" spans="1:27" ht="15" x14ac:dyDescent="0.25">
      <c r="A3269" s="2">
        <v>3264</v>
      </c>
      <c r="B3269" s="39">
        <v>9412700822</v>
      </c>
      <c r="C3269" s="28" t="str">
        <f>HYPERLINK("https://pld.live/RapDetail.aspx?STONELIST=9412700822","DNA")</f>
        <v>DNA</v>
      </c>
      <c r="D3269" s="18" t="s">
        <v>5466</v>
      </c>
      <c r="E3269" s="18" t="s">
        <v>5128</v>
      </c>
      <c r="F3269" s="2" t="s">
        <v>7987</v>
      </c>
      <c r="G3269" s="2" t="s">
        <v>3296</v>
      </c>
      <c r="H3269" s="14">
        <v>0.51</v>
      </c>
      <c r="I3269" s="2" t="s">
        <v>267</v>
      </c>
      <c r="J3269" s="2" t="s">
        <v>13</v>
      </c>
      <c r="K3269" s="2" t="s">
        <v>1452</v>
      </c>
      <c r="L3269" s="2" t="s">
        <v>5221</v>
      </c>
      <c r="M3269" s="2" t="s">
        <v>5221</v>
      </c>
      <c r="N3269" s="2" t="s">
        <v>2317</v>
      </c>
      <c r="O3269" s="14">
        <v>2600</v>
      </c>
      <c r="P3269" s="14">
        <v>92.88</v>
      </c>
      <c r="Q3269" s="14">
        <v>185.12</v>
      </c>
      <c r="R3269" s="14">
        <v>94.41</v>
      </c>
      <c r="S3269" s="2" t="s">
        <v>908</v>
      </c>
      <c r="T3269" s="2">
        <v>1.02</v>
      </c>
      <c r="U3269" s="2">
        <v>63.3</v>
      </c>
      <c r="V3269" s="2">
        <v>61</v>
      </c>
      <c r="W3269" s="2" t="s">
        <v>7862</v>
      </c>
      <c r="X3269" s="2" t="s">
        <v>5985</v>
      </c>
      <c r="Y3269" s="2">
        <v>1326</v>
      </c>
      <c r="Z3269" s="19" t="str">
        <f>HYPERLINK("https://ssdweb.co/ssdweb/hd/Vision360.html?d=9412700822&amp;zoomslide=1&amp;z=19412700822&amp;ISCONFIRM=0","VIDEO")</f>
        <v>VIDEO</v>
      </c>
      <c r="AA3269" s="19" t="str">
        <f>HYPERLINK("https://ssdweb.co/ssdweb/CERTH/694508388.pdf","CERTI")</f>
        <v>CERTI</v>
      </c>
    </row>
    <row r="3270" spans="1:27" ht="15" x14ac:dyDescent="0.25">
      <c r="A3270" s="2">
        <v>3265</v>
      </c>
      <c r="B3270" s="39">
        <v>941270754</v>
      </c>
      <c r="C3270" s="28" t="str">
        <f>HYPERLINK("https://pld.live/RapDetail.aspx?STONELIST=941270754","DNA")</f>
        <v>DNA</v>
      </c>
      <c r="D3270" s="18" t="s">
        <v>5466</v>
      </c>
      <c r="E3270" s="18" t="s">
        <v>5128</v>
      </c>
      <c r="F3270" s="2" t="s">
        <v>7987</v>
      </c>
      <c r="G3270" s="2" t="s">
        <v>3296</v>
      </c>
      <c r="H3270" s="14">
        <v>0.51</v>
      </c>
      <c r="I3270" s="2" t="s">
        <v>4761</v>
      </c>
      <c r="J3270" s="2" t="s">
        <v>13</v>
      </c>
      <c r="K3270" s="2" t="s">
        <v>1452</v>
      </c>
      <c r="L3270" s="2" t="s">
        <v>5221</v>
      </c>
      <c r="M3270" s="2" t="s">
        <v>5221</v>
      </c>
      <c r="N3270" s="2" t="s">
        <v>2317</v>
      </c>
      <c r="O3270" s="14">
        <v>2500</v>
      </c>
      <c r="P3270" s="14">
        <v>92.8</v>
      </c>
      <c r="Q3270" s="14">
        <v>180</v>
      </c>
      <c r="R3270" s="14">
        <v>91.8</v>
      </c>
      <c r="S3270" s="2" t="s">
        <v>3114</v>
      </c>
      <c r="T3270" s="2">
        <v>1.03</v>
      </c>
      <c r="U3270" s="2">
        <v>63.8</v>
      </c>
      <c r="V3270" s="2">
        <v>59</v>
      </c>
      <c r="W3270" s="2" t="s">
        <v>7862</v>
      </c>
      <c r="X3270" s="2" t="s">
        <v>7670</v>
      </c>
      <c r="Y3270" s="2">
        <v>1275</v>
      </c>
      <c r="Z3270" s="19" t="str">
        <f>HYPERLINK("https://ssdweb.co/ssdweb/hd/Vision360.html?d=941270754&amp;zoomslide=1&amp;z=1941270754&amp;ISCONFIRM=0","VIDEO")</f>
        <v>VIDEO</v>
      </c>
      <c r="AA3270" s="19" t="str">
        <f>HYPERLINK("https://ssdweb.co/ssdweb/CERTH/687591635.pdf","CERTI")</f>
        <v>CERTI</v>
      </c>
    </row>
    <row r="3271" spans="1:27" ht="15" x14ac:dyDescent="0.25">
      <c r="A3271" s="2">
        <v>3266</v>
      </c>
      <c r="B3271" s="39">
        <v>941270813</v>
      </c>
      <c r="C3271" s="28" t="str">
        <f>HYPERLINK("https://pld.live/RapDetail.aspx?STONELIST=941270813","DNA")</f>
        <v>DNA</v>
      </c>
      <c r="D3271" s="18" t="s">
        <v>5466</v>
      </c>
      <c r="E3271" s="18" t="s">
        <v>5128</v>
      </c>
      <c r="F3271" s="2" t="s">
        <v>7987</v>
      </c>
      <c r="G3271" s="2" t="s">
        <v>3296</v>
      </c>
      <c r="H3271" s="14">
        <v>0.5</v>
      </c>
      <c r="I3271" s="2" t="s">
        <v>267</v>
      </c>
      <c r="J3271" s="2" t="s">
        <v>6555</v>
      </c>
      <c r="K3271" s="2" t="s">
        <v>1452</v>
      </c>
      <c r="L3271" s="2" t="s">
        <v>5221</v>
      </c>
      <c r="M3271" s="2" t="s">
        <v>5221</v>
      </c>
      <c r="N3271" s="2" t="s">
        <v>2317</v>
      </c>
      <c r="O3271" s="14">
        <v>3000</v>
      </c>
      <c r="P3271" s="14">
        <v>93.33</v>
      </c>
      <c r="Q3271" s="14">
        <v>200.1</v>
      </c>
      <c r="R3271" s="14">
        <v>100.05</v>
      </c>
      <c r="S3271" s="2" t="s">
        <v>6722</v>
      </c>
      <c r="T3271" s="2">
        <v>1.02</v>
      </c>
      <c r="U3271" s="2">
        <v>66.900000000000006</v>
      </c>
      <c r="V3271" s="2">
        <v>59</v>
      </c>
      <c r="W3271" s="2" t="s">
        <v>7862</v>
      </c>
      <c r="X3271" s="2" t="s">
        <v>5985</v>
      </c>
      <c r="Y3271" s="2">
        <v>1500</v>
      </c>
      <c r="Z3271" s="19" t="str">
        <f>HYPERLINK("https://ssdweb.co/ssdweb/hd/Vision360.html?d=941270813&amp;zoomslide=1&amp;z=1941270813&amp;ISCONFIRM=0","VIDEO")</f>
        <v>VIDEO</v>
      </c>
      <c r="AA3271" s="19" t="str">
        <f>HYPERLINK("https://ssdweb.co/ssdweb/CERTH/692534017.pdf","CERTI")</f>
        <v>CERTI</v>
      </c>
    </row>
    <row r="3272" spans="1:27" ht="15" x14ac:dyDescent="0.25">
      <c r="A3272" s="2">
        <v>3267</v>
      </c>
      <c r="B3272" s="39">
        <v>941270785</v>
      </c>
      <c r="C3272" s="28" t="str">
        <f>HYPERLINK("https://pld.live/RapDetail.aspx?STONELIST=941270785","DNA")</f>
        <v>DNA</v>
      </c>
      <c r="D3272" s="18" t="s">
        <v>5466</v>
      </c>
      <c r="E3272" s="18" t="s">
        <v>5128</v>
      </c>
      <c r="F3272" s="2" t="s">
        <v>7987</v>
      </c>
      <c r="G3272" s="2" t="s">
        <v>3296</v>
      </c>
      <c r="H3272" s="14">
        <v>0.5</v>
      </c>
      <c r="I3272" s="2" t="s">
        <v>267</v>
      </c>
      <c r="J3272" s="2" t="s">
        <v>3942</v>
      </c>
      <c r="K3272" s="2" t="s">
        <v>1452</v>
      </c>
      <c r="L3272" s="2" t="s">
        <v>5221</v>
      </c>
      <c r="M3272" s="2" t="s">
        <v>5221</v>
      </c>
      <c r="N3272" s="2" t="s">
        <v>2317</v>
      </c>
      <c r="O3272" s="14">
        <v>2800</v>
      </c>
      <c r="P3272" s="14">
        <v>93.21</v>
      </c>
      <c r="Q3272" s="14">
        <v>190.12</v>
      </c>
      <c r="R3272" s="14">
        <v>95.06</v>
      </c>
      <c r="S3272" s="2" t="s">
        <v>5469</v>
      </c>
      <c r="T3272" s="2">
        <v>1.01</v>
      </c>
      <c r="U3272" s="2">
        <v>66.7</v>
      </c>
      <c r="V3272" s="2">
        <v>61</v>
      </c>
      <c r="W3272" s="2" t="s">
        <v>7862</v>
      </c>
      <c r="X3272" s="2" t="s">
        <v>5985</v>
      </c>
      <c r="Y3272" s="2">
        <v>1400</v>
      </c>
      <c r="Z3272" s="19" t="str">
        <f>HYPERLINK("https://ssdweb.co/ssdweb/hd/Vision360.html?d=941270785&amp;zoomslide=1&amp;z=1941270785&amp;ISCONFIRM=0","VIDEO")</f>
        <v>VIDEO</v>
      </c>
      <c r="AA3272" s="19" t="str">
        <f>HYPERLINK("https://ssdweb.co/ssdweb/CERTH/692505643.pdf","CERTI")</f>
        <v>CERTI</v>
      </c>
    </row>
    <row r="3273" spans="1:27" ht="15" x14ac:dyDescent="0.25">
      <c r="A3273" s="2">
        <v>3268</v>
      </c>
      <c r="B3273" s="39">
        <v>941270770</v>
      </c>
      <c r="C3273" s="28" t="str">
        <f>HYPERLINK("https://pld.live/RapDetail.aspx?STONELIST=941270770","DNA")</f>
        <v>DNA</v>
      </c>
      <c r="D3273" s="18" t="s">
        <v>5466</v>
      </c>
      <c r="E3273" s="18" t="s">
        <v>5128</v>
      </c>
      <c r="F3273" s="2" t="s">
        <v>7987</v>
      </c>
      <c r="G3273" s="2" t="s">
        <v>3296</v>
      </c>
      <c r="H3273" s="14">
        <v>0.5</v>
      </c>
      <c r="I3273" s="2" t="s">
        <v>267</v>
      </c>
      <c r="J3273" s="2" t="s">
        <v>3942</v>
      </c>
      <c r="K3273" s="2" t="s">
        <v>1452</v>
      </c>
      <c r="L3273" s="2" t="s">
        <v>5221</v>
      </c>
      <c r="M3273" s="2" t="s">
        <v>5221</v>
      </c>
      <c r="N3273" s="2" t="s">
        <v>2317</v>
      </c>
      <c r="O3273" s="14">
        <v>2800</v>
      </c>
      <c r="P3273" s="14">
        <v>93.21</v>
      </c>
      <c r="Q3273" s="14">
        <v>190.12</v>
      </c>
      <c r="R3273" s="14">
        <v>95.06</v>
      </c>
      <c r="S3273" s="2" t="s">
        <v>3981</v>
      </c>
      <c r="T3273" s="2">
        <v>1.01</v>
      </c>
      <c r="U3273" s="2">
        <v>66.8</v>
      </c>
      <c r="V3273" s="2">
        <v>60</v>
      </c>
      <c r="W3273" s="2" t="s">
        <v>7862</v>
      </c>
      <c r="X3273" s="2" t="s">
        <v>7670</v>
      </c>
      <c r="Y3273" s="2">
        <v>1400</v>
      </c>
      <c r="Z3273" s="19" t="str">
        <f>HYPERLINK("https://ssdweb.co/ssdweb/hd/Vision360.html?d=941270770&amp;zoomslide=1&amp;z=1941270770&amp;ISCONFIRM=0","VIDEO")</f>
        <v>VIDEO</v>
      </c>
      <c r="AA3273" s="19" t="str">
        <f>HYPERLINK("https://ssdweb.co/ssdweb/CERTH/691533691.pdf","CERTI")</f>
        <v>CERTI</v>
      </c>
    </row>
    <row r="3274" spans="1:27" ht="15" x14ac:dyDescent="0.25">
      <c r="A3274" s="2">
        <v>3269</v>
      </c>
      <c r="B3274" s="39">
        <v>941270803</v>
      </c>
      <c r="C3274" s="28" t="str">
        <f>HYPERLINK("https://pld.live/RapDetail.aspx?STONELIST=941270803","DNA")</f>
        <v>DNA</v>
      </c>
      <c r="D3274" s="18" t="s">
        <v>5466</v>
      </c>
      <c r="E3274" s="18" t="s">
        <v>5128</v>
      </c>
      <c r="F3274" s="2" t="s">
        <v>7987</v>
      </c>
      <c r="G3274" s="2" t="s">
        <v>3296</v>
      </c>
      <c r="H3274" s="14">
        <v>0.5</v>
      </c>
      <c r="I3274" s="2" t="s">
        <v>267</v>
      </c>
      <c r="J3274" s="2" t="s">
        <v>3942</v>
      </c>
      <c r="K3274" s="2" t="s">
        <v>1452</v>
      </c>
      <c r="L3274" s="2" t="s">
        <v>5221</v>
      </c>
      <c r="M3274" s="2" t="s">
        <v>5221</v>
      </c>
      <c r="N3274" s="2" t="s">
        <v>2317</v>
      </c>
      <c r="O3274" s="14">
        <v>2800</v>
      </c>
      <c r="P3274" s="14">
        <v>93.21</v>
      </c>
      <c r="Q3274" s="14">
        <v>190.12</v>
      </c>
      <c r="R3274" s="14">
        <v>95.06</v>
      </c>
      <c r="S3274" s="2" t="s">
        <v>8060</v>
      </c>
      <c r="T3274" s="2">
        <v>1.01</v>
      </c>
      <c r="U3274" s="2">
        <v>63.7</v>
      </c>
      <c r="V3274" s="2">
        <v>61</v>
      </c>
      <c r="W3274" s="2" t="s">
        <v>7862</v>
      </c>
      <c r="X3274" s="2" t="s">
        <v>5985</v>
      </c>
      <c r="Y3274" s="2">
        <v>1400</v>
      </c>
      <c r="Z3274" s="19" t="str">
        <f>HYPERLINK("https://ssdweb.co/ssdweb/hd/Vision360.html?d=941270803&amp;zoomslide=1&amp;z=1941270803&amp;ISCONFIRM=0","VIDEO")</f>
        <v>VIDEO</v>
      </c>
      <c r="AA3274" s="19" t="str">
        <f>HYPERLINK("https://ssdweb.co/ssdweb/CERTH/692533957.pdf","CERTI")</f>
        <v>CERTI</v>
      </c>
    </row>
    <row r="3275" spans="1:27" ht="15" x14ac:dyDescent="0.25">
      <c r="A3275" s="2">
        <v>3270</v>
      </c>
      <c r="B3275" s="39">
        <v>941270818</v>
      </c>
      <c r="C3275" s="28" t="str">
        <f>HYPERLINK("https://pld.live/RapDetail.aspx?STONELIST=941270818","DNA")</f>
        <v>DNA</v>
      </c>
      <c r="D3275" s="18" t="s">
        <v>5466</v>
      </c>
      <c r="E3275" s="18" t="s">
        <v>5128</v>
      </c>
      <c r="F3275" s="2" t="s">
        <v>7987</v>
      </c>
      <c r="G3275" s="2" t="s">
        <v>3296</v>
      </c>
      <c r="H3275" s="14">
        <v>0.5</v>
      </c>
      <c r="I3275" s="2" t="s">
        <v>267</v>
      </c>
      <c r="J3275" s="2" t="s">
        <v>3942</v>
      </c>
      <c r="K3275" s="2" t="s">
        <v>1452</v>
      </c>
      <c r="L3275" s="2" t="s">
        <v>5221</v>
      </c>
      <c r="M3275" s="2" t="s">
        <v>5221</v>
      </c>
      <c r="N3275" s="2" t="s">
        <v>2317</v>
      </c>
      <c r="O3275" s="14">
        <v>2800</v>
      </c>
      <c r="P3275" s="14">
        <v>93.21</v>
      </c>
      <c r="Q3275" s="14">
        <v>190.12</v>
      </c>
      <c r="R3275" s="14">
        <v>95.06</v>
      </c>
      <c r="S3275" s="2" t="s">
        <v>20</v>
      </c>
      <c r="T3275" s="2">
        <v>1.02</v>
      </c>
      <c r="U3275" s="2">
        <v>63.3</v>
      </c>
      <c r="V3275" s="2">
        <v>59</v>
      </c>
      <c r="W3275" s="2" t="s">
        <v>7862</v>
      </c>
      <c r="X3275" s="2" t="s">
        <v>5985</v>
      </c>
      <c r="Y3275" s="2">
        <v>1400</v>
      </c>
      <c r="Z3275" s="19" t="str">
        <f>HYPERLINK("https://ssdweb.co/ssdweb/hd/Vision360.html?d=941270818&amp;zoomslide=1&amp;z=1941270818&amp;ISCONFIRM=0","VIDEO")</f>
        <v>VIDEO</v>
      </c>
      <c r="AA3275" s="19" t="str">
        <f>HYPERLINK("https://ssdweb.co/ssdweb/CERTH/693519439.pdf","CERTI")</f>
        <v>CERTI</v>
      </c>
    </row>
    <row r="3276" spans="1:27" ht="15" x14ac:dyDescent="0.25">
      <c r="A3276" s="2">
        <v>3271</v>
      </c>
      <c r="B3276" s="39">
        <v>941270817</v>
      </c>
      <c r="C3276" s="28" t="str">
        <f>HYPERLINK("https://pld.live/RapDetail.aspx?STONELIST=941270817","DNA")</f>
        <v>DNA</v>
      </c>
      <c r="D3276" s="18" t="s">
        <v>5466</v>
      </c>
      <c r="E3276" s="18" t="s">
        <v>5128</v>
      </c>
      <c r="F3276" s="2" t="s">
        <v>7987</v>
      </c>
      <c r="G3276" s="2" t="s">
        <v>3296</v>
      </c>
      <c r="H3276" s="14">
        <v>0.5</v>
      </c>
      <c r="I3276" s="2" t="s">
        <v>267</v>
      </c>
      <c r="J3276" s="2" t="s">
        <v>3942</v>
      </c>
      <c r="K3276" s="2" t="s">
        <v>1452</v>
      </c>
      <c r="L3276" s="2" t="s">
        <v>5221</v>
      </c>
      <c r="M3276" s="2" t="s">
        <v>5221</v>
      </c>
      <c r="N3276" s="2" t="s">
        <v>2317</v>
      </c>
      <c r="O3276" s="14">
        <v>2800</v>
      </c>
      <c r="P3276" s="14">
        <v>93.21</v>
      </c>
      <c r="Q3276" s="14">
        <v>190.12</v>
      </c>
      <c r="R3276" s="14">
        <v>95.06</v>
      </c>
      <c r="S3276" s="2" t="s">
        <v>4466</v>
      </c>
      <c r="T3276" s="2">
        <v>1.02</v>
      </c>
      <c r="U3276" s="2">
        <v>67.7</v>
      </c>
      <c r="V3276" s="2">
        <v>60</v>
      </c>
      <c r="W3276" s="2" t="s">
        <v>7862</v>
      </c>
      <c r="X3276" s="2" t="s">
        <v>5985</v>
      </c>
      <c r="Y3276" s="2">
        <v>1400</v>
      </c>
      <c r="Z3276" s="19" t="str">
        <f>HYPERLINK("https://ssdweb.co/ssdweb/hd/Vision360.html?d=941270817&amp;zoomslide=1&amp;z=1941270817&amp;ISCONFIRM=0","VIDEO")</f>
        <v>VIDEO</v>
      </c>
      <c r="AA3276" s="19" t="str">
        <f>HYPERLINK("https://ssdweb.co/ssdweb/CERTH/693519438.pdf","CERTI")</f>
        <v>CERTI</v>
      </c>
    </row>
    <row r="3277" spans="1:27" ht="15" x14ac:dyDescent="0.25">
      <c r="A3277" s="2">
        <v>3272</v>
      </c>
      <c r="B3277" s="39">
        <v>941270760</v>
      </c>
      <c r="C3277" s="28" t="str">
        <f>HYPERLINK("https://pld.live/RapDetail.aspx?STONELIST=941270760","DNA")</f>
        <v>DNA</v>
      </c>
      <c r="D3277" s="18" t="s">
        <v>5466</v>
      </c>
      <c r="E3277" s="18" t="s">
        <v>5128</v>
      </c>
      <c r="F3277" s="2" t="s">
        <v>7987</v>
      </c>
      <c r="G3277" s="2" t="s">
        <v>3296</v>
      </c>
      <c r="H3277" s="14">
        <v>0.5</v>
      </c>
      <c r="I3277" s="2" t="s">
        <v>267</v>
      </c>
      <c r="J3277" s="2" t="s">
        <v>3942</v>
      </c>
      <c r="K3277" s="2" t="s">
        <v>1452</v>
      </c>
      <c r="L3277" s="2" t="s">
        <v>5221</v>
      </c>
      <c r="M3277" s="2" t="s">
        <v>5221</v>
      </c>
      <c r="N3277" s="2" t="s">
        <v>2317</v>
      </c>
      <c r="O3277" s="14">
        <v>2800</v>
      </c>
      <c r="P3277" s="14">
        <v>93.21</v>
      </c>
      <c r="Q3277" s="14">
        <v>190.12</v>
      </c>
      <c r="R3277" s="14">
        <v>95.06</v>
      </c>
      <c r="S3277" s="2" t="s">
        <v>4567</v>
      </c>
      <c r="T3277" s="2">
        <v>1.02</v>
      </c>
      <c r="U3277" s="2">
        <v>63.4</v>
      </c>
      <c r="V3277" s="2">
        <v>56</v>
      </c>
      <c r="W3277" s="2" t="s">
        <v>7862</v>
      </c>
      <c r="X3277" s="2" t="s">
        <v>5985</v>
      </c>
      <c r="Y3277" s="2">
        <v>1400</v>
      </c>
      <c r="Z3277" s="19" t="str">
        <f>HYPERLINK("https://ssdweb.co/ssdweb/hd/Vision360.html?d=941270760&amp;zoomslide=1&amp;z=1941270760&amp;ISCONFIRM=0","VIDEO")</f>
        <v>VIDEO</v>
      </c>
      <c r="AA3277" s="19" t="str">
        <f>HYPERLINK("https://ssdweb.co/ssdweb/CERTH/689543218.pdf","CERTI")</f>
        <v>CERTI</v>
      </c>
    </row>
    <row r="3278" spans="1:27" ht="15" x14ac:dyDescent="0.25">
      <c r="A3278" s="2">
        <v>3273</v>
      </c>
      <c r="B3278" s="39">
        <v>9412700825</v>
      </c>
      <c r="C3278" s="28" t="str">
        <f>HYPERLINK("https://pld.live/RapDetail.aspx?STONELIST=9412700825","DNA")</f>
        <v>DNA</v>
      </c>
      <c r="D3278" s="18" t="s">
        <v>5466</v>
      </c>
      <c r="E3278" s="18" t="s">
        <v>5128</v>
      </c>
      <c r="F3278" s="2" t="s">
        <v>7987</v>
      </c>
      <c r="G3278" s="2" t="s">
        <v>3296</v>
      </c>
      <c r="H3278" s="14">
        <v>0.5</v>
      </c>
      <c r="I3278" s="2" t="s">
        <v>267</v>
      </c>
      <c r="J3278" s="2" t="s">
        <v>3942</v>
      </c>
      <c r="K3278" s="2" t="s">
        <v>1452</v>
      </c>
      <c r="L3278" s="2" t="s">
        <v>5221</v>
      </c>
      <c r="M3278" s="2" t="s">
        <v>5221</v>
      </c>
      <c r="N3278" s="2" t="s">
        <v>2317</v>
      </c>
      <c r="O3278" s="14">
        <v>2800</v>
      </c>
      <c r="P3278" s="14">
        <v>93.21</v>
      </c>
      <c r="Q3278" s="14">
        <v>190.12</v>
      </c>
      <c r="R3278" s="14">
        <v>95.06</v>
      </c>
      <c r="S3278" s="2" t="s">
        <v>920</v>
      </c>
      <c r="T3278" s="2">
        <v>1.03</v>
      </c>
      <c r="U3278" s="2">
        <v>66.7</v>
      </c>
      <c r="V3278" s="2">
        <v>60</v>
      </c>
      <c r="W3278" s="2" t="s">
        <v>7862</v>
      </c>
      <c r="X3278" s="2" t="s">
        <v>5985</v>
      </c>
      <c r="Y3278" s="2">
        <v>1400</v>
      </c>
      <c r="Z3278" s="19" t="str">
        <f>HYPERLINK("https://ssdweb.co/ssdweb/hd/Vision360.html?d=9412700825&amp;zoomslide=1&amp;z=19412700825&amp;ISCONFIRM=0","VIDEO")</f>
        <v>VIDEO</v>
      </c>
      <c r="AA3278" s="19" t="str">
        <f>HYPERLINK("https://ssdweb.co/ssdweb/CERTH/694508391.pdf","CERTI")</f>
        <v>CERTI</v>
      </c>
    </row>
    <row r="3279" spans="1:27" ht="15" x14ac:dyDescent="0.25">
      <c r="A3279" s="2">
        <v>3274</v>
      </c>
      <c r="B3279" s="39">
        <v>941261087</v>
      </c>
      <c r="C3279" s="28" t="str">
        <f>HYPERLINK("https://pld.live/RapDetail.aspx?STONELIST=941261087","DNA")</f>
        <v>DNA</v>
      </c>
      <c r="D3279" s="18" t="s">
        <v>5466</v>
      </c>
      <c r="E3279" s="18" t="s">
        <v>5128</v>
      </c>
      <c r="F3279" s="2" t="s">
        <v>7987</v>
      </c>
      <c r="G3279" s="2" t="s">
        <v>3296</v>
      </c>
      <c r="H3279" s="14">
        <v>0.5</v>
      </c>
      <c r="I3279" s="2" t="s">
        <v>267</v>
      </c>
      <c r="J3279" s="2" t="s">
        <v>3942</v>
      </c>
      <c r="K3279" s="2" t="s">
        <v>1452</v>
      </c>
      <c r="L3279" s="2" t="s">
        <v>5221</v>
      </c>
      <c r="M3279" s="2" t="s">
        <v>5221</v>
      </c>
      <c r="N3279" s="2" t="s">
        <v>2317</v>
      </c>
      <c r="O3279" s="14">
        <v>2800</v>
      </c>
      <c r="P3279" s="14">
        <v>93.21</v>
      </c>
      <c r="Q3279" s="14">
        <v>190.12</v>
      </c>
      <c r="R3279" s="14">
        <v>95.06</v>
      </c>
      <c r="S3279" s="2" t="s">
        <v>5125</v>
      </c>
      <c r="T3279" s="2">
        <v>1.02</v>
      </c>
      <c r="U3279" s="2">
        <v>63.8</v>
      </c>
      <c r="V3279" s="2">
        <v>59</v>
      </c>
      <c r="W3279" s="2" t="s">
        <v>7862</v>
      </c>
      <c r="X3279" s="2" t="s">
        <v>5985</v>
      </c>
      <c r="Y3279" s="2">
        <v>1400</v>
      </c>
      <c r="Z3279" s="19" t="str">
        <f>HYPERLINK("https://ssdweb.co/ssdweb/hd/Vision360.html?d=941261087&amp;zoomslide=1&amp;z=1941261087&amp;ISCONFIRM=0","VIDEO")</f>
        <v>VIDEO</v>
      </c>
      <c r="AA3279" s="19" t="str">
        <f>HYPERLINK("https://ssdweb.co/ssdweb/CERTH/689543222.pdf","CERTI")</f>
        <v>CERTI</v>
      </c>
    </row>
    <row r="3280" spans="1:27" ht="15" x14ac:dyDescent="0.25">
      <c r="A3280" s="2">
        <v>3275</v>
      </c>
      <c r="B3280" s="39">
        <v>941190631</v>
      </c>
      <c r="C3280" s="28" t="str">
        <f>HYPERLINK("https://pld.live/RapDetail.aspx?STONELIST=941190631","DNA")</f>
        <v>DNA</v>
      </c>
      <c r="D3280" s="18" t="s">
        <v>5466</v>
      </c>
      <c r="E3280" s="18" t="s">
        <v>5128</v>
      </c>
      <c r="F3280" s="2" t="s">
        <v>7987</v>
      </c>
      <c r="G3280" s="2" t="s">
        <v>3296</v>
      </c>
      <c r="H3280" s="14">
        <v>0.5</v>
      </c>
      <c r="I3280" s="2" t="s">
        <v>267</v>
      </c>
      <c r="J3280" s="2" t="s">
        <v>3942</v>
      </c>
      <c r="K3280" s="2" t="s">
        <v>1452</v>
      </c>
      <c r="L3280" s="2" t="s">
        <v>5221</v>
      </c>
      <c r="M3280" s="2" t="s">
        <v>5721</v>
      </c>
      <c r="N3280" s="2" t="s">
        <v>2317</v>
      </c>
      <c r="O3280" s="14">
        <v>2800</v>
      </c>
      <c r="P3280" s="14">
        <v>93.29</v>
      </c>
      <c r="Q3280" s="14">
        <v>187.88</v>
      </c>
      <c r="R3280" s="14">
        <v>93.94</v>
      </c>
      <c r="S3280" s="2" t="s">
        <v>6526</v>
      </c>
      <c r="T3280" s="2">
        <v>1.03</v>
      </c>
      <c r="U3280" s="2">
        <v>63.8</v>
      </c>
      <c r="V3280" s="2">
        <v>57</v>
      </c>
      <c r="W3280" s="2" t="s">
        <v>7862</v>
      </c>
      <c r="X3280" s="2" t="s">
        <v>7053</v>
      </c>
      <c r="Y3280" s="2">
        <v>1400</v>
      </c>
      <c r="Z3280" s="19" t="str">
        <f>HYPERLINK("https://ssdweb.co/ssdweb/hd/Vision360.html?d=941190631&amp;zoomslide=1&amp;z=1941190631&amp;ISCONFIRM=0","VIDEO")</f>
        <v>VIDEO</v>
      </c>
      <c r="AA3280" s="19" t="str">
        <f>HYPERLINK("https://ssdweb.co/ssdweb/CERTH/678550392.pdf","CERTI")</f>
        <v>CERTI</v>
      </c>
    </row>
    <row r="3281" spans="1:27" ht="15" x14ac:dyDescent="0.25">
      <c r="A3281" s="2">
        <v>3276</v>
      </c>
      <c r="B3281" s="39">
        <v>926120757</v>
      </c>
      <c r="C3281" s="28" t="str">
        <f>HYPERLINK("https://pld.live/RapDetail.aspx?STONELIST=926120757","DNA")</f>
        <v>DNA</v>
      </c>
      <c r="D3281" s="18" t="s">
        <v>5466</v>
      </c>
      <c r="E3281" s="18" t="s">
        <v>5128</v>
      </c>
      <c r="F3281" s="2" t="s">
        <v>7987</v>
      </c>
      <c r="G3281" s="2" t="s">
        <v>3296</v>
      </c>
      <c r="H3281" s="14">
        <v>0.5</v>
      </c>
      <c r="I3281" s="2" t="s">
        <v>267</v>
      </c>
      <c r="J3281" s="2" t="s">
        <v>3942</v>
      </c>
      <c r="K3281" s="2" t="s">
        <v>1452</v>
      </c>
      <c r="L3281" s="2" t="s">
        <v>5221</v>
      </c>
      <c r="M3281" s="2" t="s">
        <v>5721</v>
      </c>
      <c r="N3281" s="2" t="s">
        <v>2317</v>
      </c>
      <c r="O3281" s="14">
        <v>2800</v>
      </c>
      <c r="P3281" s="14">
        <v>93.36</v>
      </c>
      <c r="Q3281" s="14">
        <v>185.92</v>
      </c>
      <c r="R3281" s="14">
        <v>92.96</v>
      </c>
      <c r="S3281" s="2" t="s">
        <v>184</v>
      </c>
      <c r="T3281" s="2">
        <v>1.07</v>
      </c>
      <c r="U3281" s="2">
        <v>69</v>
      </c>
      <c r="V3281" s="2">
        <v>59</v>
      </c>
      <c r="W3281" s="2" t="s">
        <v>7862</v>
      </c>
      <c r="X3281" s="2" t="s">
        <v>3851</v>
      </c>
      <c r="Y3281" s="2">
        <v>1400</v>
      </c>
      <c r="Z3281" s="19" t="str">
        <f>HYPERLINK("https://ssdweb.co/ssdweb/hd/Vision360.html?d=926120757&amp;zoomslide=1&amp;z=1926120757&amp;ISCONFIRM=0","VIDEO")</f>
        <v>VIDEO</v>
      </c>
      <c r="AA3281" s="19" t="str">
        <f>HYPERLINK("https://ssdweb.co/ssdweb/CERTH/651400991.pdf","CERTI")</f>
        <v>CERTI</v>
      </c>
    </row>
    <row r="3282" spans="1:27" ht="15" x14ac:dyDescent="0.25">
      <c r="A3282" s="2">
        <v>3277</v>
      </c>
      <c r="B3282" s="39">
        <v>926120062</v>
      </c>
      <c r="C3282" s="28" t="str">
        <f>HYPERLINK("https://pld.live/RapDetail.aspx?STONELIST=926120062","DNA")</f>
        <v>DNA</v>
      </c>
      <c r="D3282" s="18" t="s">
        <v>5466</v>
      </c>
      <c r="E3282" s="18" t="s">
        <v>5128</v>
      </c>
      <c r="F3282" s="2" t="s">
        <v>7987</v>
      </c>
      <c r="G3282" s="2" t="s">
        <v>3296</v>
      </c>
      <c r="H3282" s="14">
        <v>0.5</v>
      </c>
      <c r="I3282" s="2" t="s">
        <v>267</v>
      </c>
      <c r="J3282" s="2" t="s">
        <v>3942</v>
      </c>
      <c r="K3282" s="2" t="s">
        <v>1452</v>
      </c>
      <c r="L3282" s="2" t="s">
        <v>5221</v>
      </c>
      <c r="M3282" s="2" t="s">
        <v>5721</v>
      </c>
      <c r="N3282" s="2" t="s">
        <v>2317</v>
      </c>
      <c r="O3282" s="14">
        <v>2800</v>
      </c>
      <c r="P3282" s="14">
        <v>93.36</v>
      </c>
      <c r="Q3282" s="14">
        <v>185.92</v>
      </c>
      <c r="R3282" s="14">
        <v>92.96</v>
      </c>
      <c r="S3282" s="2" t="s">
        <v>3020</v>
      </c>
      <c r="T3282" s="2">
        <v>1.07</v>
      </c>
      <c r="U3282" s="2">
        <v>62.8</v>
      </c>
      <c r="V3282" s="2">
        <v>61</v>
      </c>
      <c r="W3282" s="2" t="s">
        <v>7862</v>
      </c>
      <c r="X3282" s="2" t="s">
        <v>7670</v>
      </c>
      <c r="Y3282" s="2">
        <v>1400</v>
      </c>
      <c r="Z3282" s="19" t="str">
        <f>HYPERLINK("https://ssdweb.co/ssdweb/hd/Vision360.html?d=926120062&amp;zoomslide=1&amp;z=1926120062&amp;ISCONFIRM=0","VIDEO")</f>
        <v>VIDEO</v>
      </c>
      <c r="AA3282" s="19" t="str">
        <f>HYPERLINK("https://ssdweb.co/ssdweb/CERTH/651401027.pdf","CERTI")</f>
        <v>CERTI</v>
      </c>
    </row>
    <row r="3283" spans="1:27" ht="15" x14ac:dyDescent="0.25">
      <c r="A3283" s="2">
        <v>3278</v>
      </c>
      <c r="B3283" s="39">
        <v>941400589</v>
      </c>
      <c r="C3283" s="28" t="str">
        <f>HYPERLINK("https://pld.live/RapDetail.aspx?STONELIST=941400589","DNA")</f>
        <v>DNA</v>
      </c>
      <c r="D3283" s="18" t="s">
        <v>5466</v>
      </c>
      <c r="E3283" s="18" t="s">
        <v>5128</v>
      </c>
      <c r="F3283" s="2" t="s">
        <v>7987</v>
      </c>
      <c r="G3283" s="2" t="s">
        <v>3296</v>
      </c>
      <c r="H3283" s="14">
        <v>0.5</v>
      </c>
      <c r="I3283" s="2" t="s">
        <v>267</v>
      </c>
      <c r="J3283" s="2" t="s">
        <v>13</v>
      </c>
      <c r="K3283" s="2" t="s">
        <v>1452</v>
      </c>
      <c r="L3283" s="2" t="s">
        <v>5221</v>
      </c>
      <c r="M3283" s="2" t="s">
        <v>5221</v>
      </c>
      <c r="N3283" s="2" t="s">
        <v>2317</v>
      </c>
      <c r="O3283" s="14">
        <v>2600</v>
      </c>
      <c r="P3283" s="14">
        <v>92.88</v>
      </c>
      <c r="Q3283" s="14">
        <v>185.12</v>
      </c>
      <c r="R3283" s="14">
        <v>92.56</v>
      </c>
      <c r="S3283" s="2" t="s">
        <v>790</v>
      </c>
      <c r="T3283" s="2">
        <v>1.03</v>
      </c>
      <c r="U3283" s="2">
        <v>63.6</v>
      </c>
      <c r="V3283" s="2">
        <v>60</v>
      </c>
      <c r="W3283" s="2" t="s">
        <v>7862</v>
      </c>
      <c r="X3283" s="2" t="s">
        <v>5985</v>
      </c>
      <c r="Y3283" s="2">
        <v>1300</v>
      </c>
      <c r="Z3283" s="19" t="str">
        <f>HYPERLINK("https://ssdweb.co/ssdweb/hd/Vision360.html?d=941400589&amp;zoomslide=1&amp;z=1941400589&amp;ISCONFIRM=0","VIDEO")</f>
        <v>VIDEO</v>
      </c>
      <c r="AA3283" s="19" t="str">
        <f>HYPERLINK("https://ssdweb.co/ssdweb/CERTH/693519445.pdf","CERTI")</f>
        <v>CERTI</v>
      </c>
    </row>
    <row r="3284" spans="1:27" ht="15" x14ac:dyDescent="0.25">
      <c r="A3284" s="2">
        <v>3279</v>
      </c>
      <c r="B3284" s="39">
        <v>9412700823</v>
      </c>
      <c r="C3284" s="28" t="str">
        <f>HYPERLINK("https://pld.live/RapDetail.aspx?STONELIST=9412700823","DNA")</f>
        <v>DNA</v>
      </c>
      <c r="D3284" s="18" t="s">
        <v>5466</v>
      </c>
      <c r="E3284" s="18" t="s">
        <v>5128</v>
      </c>
      <c r="F3284" s="2" t="s">
        <v>7987</v>
      </c>
      <c r="G3284" s="2" t="s">
        <v>3296</v>
      </c>
      <c r="H3284" s="14">
        <v>0.5</v>
      </c>
      <c r="I3284" s="2" t="s">
        <v>267</v>
      </c>
      <c r="J3284" s="2" t="s">
        <v>13</v>
      </c>
      <c r="K3284" s="2" t="s">
        <v>1452</v>
      </c>
      <c r="L3284" s="2" t="s">
        <v>5221</v>
      </c>
      <c r="M3284" s="2" t="s">
        <v>5221</v>
      </c>
      <c r="N3284" s="2" t="s">
        <v>2317</v>
      </c>
      <c r="O3284" s="14">
        <v>2600</v>
      </c>
      <c r="P3284" s="14">
        <v>92.88</v>
      </c>
      <c r="Q3284" s="14">
        <v>185.12</v>
      </c>
      <c r="R3284" s="14">
        <v>92.56</v>
      </c>
      <c r="S3284" s="2" t="s">
        <v>1978</v>
      </c>
      <c r="T3284" s="2">
        <v>1.03</v>
      </c>
      <c r="U3284" s="2">
        <v>63.3</v>
      </c>
      <c r="V3284" s="2">
        <v>61</v>
      </c>
      <c r="W3284" s="2" t="s">
        <v>7862</v>
      </c>
      <c r="X3284" s="2" t="s">
        <v>5985</v>
      </c>
      <c r="Y3284" s="2">
        <v>1300</v>
      </c>
      <c r="Z3284" s="19" t="str">
        <f>HYPERLINK("https://ssdweb.co/ssdweb/hd/Vision360.html?d=9412700823&amp;zoomslide=1&amp;z=19412700823&amp;ISCONFIRM=0","VIDEO")</f>
        <v>VIDEO</v>
      </c>
      <c r="AA3284" s="19" t="str">
        <f>HYPERLINK("https://ssdweb.co/ssdweb/CERTH/694508389.pdf","CERTI")</f>
        <v>CERTI</v>
      </c>
    </row>
    <row r="3285" spans="1:27" ht="15" x14ac:dyDescent="0.25">
      <c r="A3285" s="2">
        <v>3280</v>
      </c>
      <c r="B3285" s="39">
        <v>9412700824</v>
      </c>
      <c r="C3285" s="28" t="str">
        <f>HYPERLINK("https://pld.live/RapDetail.aspx?STONELIST=9412700824","DNA")</f>
        <v>DNA</v>
      </c>
      <c r="D3285" s="18" t="s">
        <v>5466</v>
      </c>
      <c r="E3285" s="18" t="s">
        <v>5128</v>
      </c>
      <c r="F3285" s="2" t="s">
        <v>7987</v>
      </c>
      <c r="G3285" s="2" t="s">
        <v>3296</v>
      </c>
      <c r="H3285" s="14">
        <v>0.5</v>
      </c>
      <c r="I3285" s="2" t="s">
        <v>267</v>
      </c>
      <c r="J3285" s="2" t="s">
        <v>13</v>
      </c>
      <c r="K3285" s="2" t="s">
        <v>1452</v>
      </c>
      <c r="L3285" s="2" t="s">
        <v>5221</v>
      </c>
      <c r="M3285" s="2" t="s">
        <v>5221</v>
      </c>
      <c r="N3285" s="2" t="s">
        <v>2317</v>
      </c>
      <c r="O3285" s="14">
        <v>2600</v>
      </c>
      <c r="P3285" s="14">
        <v>92.88</v>
      </c>
      <c r="Q3285" s="14">
        <v>185.12</v>
      </c>
      <c r="R3285" s="14">
        <v>92.56</v>
      </c>
      <c r="S3285" s="2" t="s">
        <v>4651</v>
      </c>
      <c r="T3285" s="2">
        <v>1</v>
      </c>
      <c r="U3285" s="2">
        <v>67.5</v>
      </c>
      <c r="V3285" s="2">
        <v>60</v>
      </c>
      <c r="W3285" s="2" t="s">
        <v>7862</v>
      </c>
      <c r="X3285" s="2" t="s">
        <v>5985</v>
      </c>
      <c r="Y3285" s="2">
        <v>1300</v>
      </c>
      <c r="Z3285" s="19" t="str">
        <f>HYPERLINK("https://ssdweb.co/ssdweb/hd/Vision360.html?d=9412700824&amp;zoomslide=1&amp;z=19412700824&amp;ISCONFIRM=0","VIDEO")</f>
        <v>VIDEO</v>
      </c>
      <c r="AA3285" s="19" t="str">
        <f>HYPERLINK("https://ssdweb.co/ssdweb/CERTH/694508390.pdf","CERTI")</f>
        <v>CERTI</v>
      </c>
    </row>
    <row r="3286" spans="1:27" ht="15" x14ac:dyDescent="0.25">
      <c r="A3286" s="2">
        <v>3281</v>
      </c>
      <c r="B3286" s="39">
        <v>9414000605</v>
      </c>
      <c r="C3286" s="28" t="str">
        <f>HYPERLINK("https://pld.live/RapDetail.aspx?STONELIST=9414000605","DNA")</f>
        <v>DNA</v>
      </c>
      <c r="D3286" s="18" t="s">
        <v>5466</v>
      </c>
      <c r="E3286" s="18" t="s">
        <v>5128</v>
      </c>
      <c r="F3286" s="2" t="s">
        <v>7987</v>
      </c>
      <c r="G3286" s="2" t="s">
        <v>3296</v>
      </c>
      <c r="H3286" s="14">
        <v>0.5</v>
      </c>
      <c r="I3286" s="2" t="s">
        <v>267</v>
      </c>
      <c r="J3286" s="2" t="s">
        <v>13</v>
      </c>
      <c r="K3286" s="2" t="s">
        <v>1452</v>
      </c>
      <c r="L3286" s="2" t="s">
        <v>5221</v>
      </c>
      <c r="M3286" s="2" t="s">
        <v>5221</v>
      </c>
      <c r="N3286" s="2" t="s">
        <v>2317</v>
      </c>
      <c r="O3286" s="14">
        <v>2600</v>
      </c>
      <c r="P3286" s="14">
        <v>92.88</v>
      </c>
      <c r="Q3286" s="14">
        <v>185.12</v>
      </c>
      <c r="R3286" s="14">
        <v>92.56</v>
      </c>
      <c r="S3286" s="2" t="s">
        <v>5996</v>
      </c>
      <c r="T3286" s="2">
        <v>1.02</v>
      </c>
      <c r="U3286" s="2">
        <v>67</v>
      </c>
      <c r="V3286" s="2">
        <v>61</v>
      </c>
      <c r="W3286" s="2" t="s">
        <v>7862</v>
      </c>
      <c r="X3286" s="2" t="s">
        <v>5985</v>
      </c>
      <c r="Y3286" s="2">
        <v>1300</v>
      </c>
      <c r="Z3286" s="19" t="str">
        <f>HYPERLINK("https://ssdweb.co/ssdweb/hd/Vision360.html?d=9414000605&amp;zoomslide=1&amp;z=19414000605&amp;ISCONFIRM=0","VIDEO")</f>
        <v>VIDEO</v>
      </c>
      <c r="AA3286" s="19" t="str">
        <f>HYPERLINK("https://ssdweb.co/ssdweb/CERTH/694508363.pdf","CERTI")</f>
        <v>CERTI</v>
      </c>
    </row>
    <row r="3287" spans="1:27" ht="15" x14ac:dyDescent="0.25">
      <c r="A3287" s="2">
        <v>3282</v>
      </c>
      <c r="B3287" s="39">
        <v>925740826</v>
      </c>
      <c r="C3287" s="28" t="str">
        <f>HYPERLINK("https://pld.live/RapDetail.aspx?STONELIST=925740826","DNA")</f>
        <v>DNA</v>
      </c>
      <c r="D3287" s="18" t="s">
        <v>5466</v>
      </c>
      <c r="E3287" s="18" t="s">
        <v>5128</v>
      </c>
      <c r="F3287" s="2" t="s">
        <v>7987</v>
      </c>
      <c r="G3287" s="2" t="s">
        <v>3296</v>
      </c>
      <c r="H3287" s="14">
        <v>0.5</v>
      </c>
      <c r="I3287" s="2" t="s">
        <v>267</v>
      </c>
      <c r="J3287" s="2" t="s">
        <v>5144</v>
      </c>
      <c r="K3287" s="2" t="s">
        <v>1452</v>
      </c>
      <c r="L3287" s="2" t="s">
        <v>5221</v>
      </c>
      <c r="M3287" s="2" t="s">
        <v>5221</v>
      </c>
      <c r="N3287" s="2" t="s">
        <v>2317</v>
      </c>
      <c r="O3287" s="14">
        <v>2400</v>
      </c>
      <c r="P3287" s="14">
        <v>93.04</v>
      </c>
      <c r="Q3287" s="14">
        <v>167.04</v>
      </c>
      <c r="R3287" s="14">
        <v>83.52</v>
      </c>
      <c r="S3287" s="2" t="s">
        <v>2052</v>
      </c>
      <c r="T3287" s="2">
        <v>1.06</v>
      </c>
      <c r="U3287" s="2">
        <v>61.5</v>
      </c>
      <c r="V3287" s="2">
        <v>67</v>
      </c>
      <c r="W3287" s="2" t="s">
        <v>7862</v>
      </c>
      <c r="X3287" s="2" t="s">
        <v>7670</v>
      </c>
      <c r="Y3287" s="2">
        <v>1200</v>
      </c>
      <c r="Z3287" s="19" t="str">
        <f>HYPERLINK("https://ssdweb.co/ssdweb/hd/Vision360.html?d=925740826&amp;zoomslide=1&amp;z=1925740826&amp;ISCONFIRM=0","VIDEO")</f>
        <v>VIDEO</v>
      </c>
      <c r="AA3287" s="19" t="str">
        <f>HYPERLINK("https://ssdweb.co/ssdweb/CERTH/623492906.pdf","CERTI")</f>
        <v>CERTI</v>
      </c>
    </row>
    <row r="3288" spans="1:27" ht="15" x14ac:dyDescent="0.25">
      <c r="A3288" s="2">
        <v>3283</v>
      </c>
      <c r="B3288" s="39">
        <v>926120545</v>
      </c>
      <c r="C3288" s="28" t="str">
        <f>HYPERLINK("https://pld.live/RapDetail.aspx?STONELIST=926120545","DNA")</f>
        <v>DNA</v>
      </c>
      <c r="D3288" s="18" t="s">
        <v>5466</v>
      </c>
      <c r="E3288" s="18" t="s">
        <v>5128</v>
      </c>
      <c r="F3288" s="2" t="s">
        <v>7987</v>
      </c>
      <c r="G3288" s="2" t="s">
        <v>3296</v>
      </c>
      <c r="H3288" s="14">
        <v>0.5</v>
      </c>
      <c r="I3288" s="2" t="s">
        <v>4761</v>
      </c>
      <c r="J3288" s="2" t="s">
        <v>13</v>
      </c>
      <c r="K3288" s="2" t="s">
        <v>1452</v>
      </c>
      <c r="L3288" s="2" t="s">
        <v>5221</v>
      </c>
      <c r="M3288" s="2" t="s">
        <v>5721</v>
      </c>
      <c r="N3288" s="2" t="s">
        <v>2317</v>
      </c>
      <c r="O3288" s="14">
        <v>2500</v>
      </c>
      <c r="P3288" s="14">
        <v>92.96</v>
      </c>
      <c r="Q3288" s="14">
        <v>176</v>
      </c>
      <c r="R3288" s="14">
        <v>88</v>
      </c>
      <c r="S3288" s="2" t="s">
        <v>7101</v>
      </c>
      <c r="T3288" s="2">
        <v>1.05</v>
      </c>
      <c r="U3288" s="2">
        <v>66.2</v>
      </c>
      <c r="V3288" s="2">
        <v>61</v>
      </c>
      <c r="W3288" s="2" t="s">
        <v>7862</v>
      </c>
      <c r="X3288" s="2" t="s">
        <v>7670</v>
      </c>
      <c r="Y3288" s="2">
        <v>1250</v>
      </c>
      <c r="Z3288" s="19" t="str">
        <f>HYPERLINK("https://ssdweb.co/ssdweb/hd/Vision360.html?d=926120545&amp;zoomslide=1&amp;z=1926120545&amp;ISCONFIRM=0","VIDEO")</f>
        <v>VIDEO</v>
      </c>
      <c r="AA3288" s="19" t="str">
        <f>HYPERLINK("https://ssdweb.co/ssdweb/CERTH/651401015.pdf","CERTI")</f>
        <v>CERTI</v>
      </c>
    </row>
    <row r="3289" spans="1:27" ht="15" x14ac:dyDescent="0.25">
      <c r="A3289" s="2">
        <v>3284</v>
      </c>
      <c r="B3289" s="39">
        <v>926120894</v>
      </c>
      <c r="C3289" s="28" t="str">
        <f>HYPERLINK("https://pld.live/RapDetail.aspx?STONELIST=926120894","DNA")</f>
        <v>DNA</v>
      </c>
      <c r="D3289" s="18" t="s">
        <v>5466</v>
      </c>
      <c r="E3289" s="18" t="s">
        <v>5128</v>
      </c>
      <c r="F3289" s="2" t="s">
        <v>7987</v>
      </c>
      <c r="G3289" s="2" t="s">
        <v>3296</v>
      </c>
      <c r="H3289" s="14">
        <v>0.5</v>
      </c>
      <c r="I3289" s="2" t="s">
        <v>4761</v>
      </c>
      <c r="J3289" s="2" t="s">
        <v>5144</v>
      </c>
      <c r="K3289" s="2" t="s">
        <v>1452</v>
      </c>
      <c r="L3289" s="2" t="s">
        <v>5221</v>
      </c>
      <c r="M3289" s="2" t="s">
        <v>5721</v>
      </c>
      <c r="N3289" s="2" t="s">
        <v>2317</v>
      </c>
      <c r="O3289" s="14">
        <v>2300</v>
      </c>
      <c r="P3289" s="14">
        <v>93.04</v>
      </c>
      <c r="Q3289" s="14">
        <v>160.08000000000001</v>
      </c>
      <c r="R3289" s="14">
        <v>80.040000000000006</v>
      </c>
      <c r="S3289" s="2" t="s">
        <v>6506</v>
      </c>
      <c r="T3289" s="2">
        <v>1.02</v>
      </c>
      <c r="U3289" s="2">
        <v>68</v>
      </c>
      <c r="V3289" s="2">
        <v>62</v>
      </c>
      <c r="W3289" s="2" t="s">
        <v>7862</v>
      </c>
      <c r="X3289" s="2" t="s">
        <v>7670</v>
      </c>
      <c r="Y3289" s="2">
        <v>1150</v>
      </c>
      <c r="Z3289" s="19" t="str">
        <f>HYPERLINK("https://ssdweb.co/ssdweb/hd/Vision360.html?d=926120894&amp;zoomslide=1&amp;z=1926120894&amp;ISCONFIRM=0","VIDEO")</f>
        <v>VIDEO</v>
      </c>
      <c r="AA3289" s="19" t="str">
        <f>HYPERLINK("https://ssdweb.co/ssdweb/CERTH/634472264.pdf","CERTI")</f>
        <v>CERTI</v>
      </c>
    </row>
    <row r="3290" spans="1:27" ht="15" x14ac:dyDescent="0.25">
      <c r="A3290" s="2">
        <v>3285</v>
      </c>
      <c r="B3290" s="39">
        <v>926120553</v>
      </c>
      <c r="C3290" s="28" t="str">
        <f>HYPERLINK("https://pld.live/RapDetail.aspx?STONELIST=926120553","DNA")</f>
        <v>DNA</v>
      </c>
      <c r="D3290" s="18" t="s">
        <v>5466</v>
      </c>
      <c r="E3290" s="18" t="s">
        <v>5128</v>
      </c>
      <c r="F3290" s="2" t="s">
        <v>7987</v>
      </c>
      <c r="G3290" s="2" t="s">
        <v>3296</v>
      </c>
      <c r="H3290" s="14">
        <v>0.5</v>
      </c>
      <c r="I3290" s="2" t="s">
        <v>4761</v>
      </c>
      <c r="J3290" s="2" t="s">
        <v>5144</v>
      </c>
      <c r="K3290" s="2" t="s">
        <v>1452</v>
      </c>
      <c r="L3290" s="2" t="s">
        <v>5221</v>
      </c>
      <c r="M3290" s="2" t="s">
        <v>5721</v>
      </c>
      <c r="N3290" s="2" t="s">
        <v>2317</v>
      </c>
      <c r="O3290" s="14">
        <v>2300</v>
      </c>
      <c r="P3290" s="14">
        <v>92.87</v>
      </c>
      <c r="Q3290" s="14">
        <v>163.99</v>
      </c>
      <c r="R3290" s="14">
        <v>82</v>
      </c>
      <c r="S3290" s="2" t="s">
        <v>3050</v>
      </c>
      <c r="T3290" s="2">
        <v>1.07</v>
      </c>
      <c r="U3290" s="2">
        <v>62.3</v>
      </c>
      <c r="V3290" s="2">
        <v>62</v>
      </c>
      <c r="W3290" s="2" t="s">
        <v>7862</v>
      </c>
      <c r="X3290" s="2" t="s">
        <v>3851</v>
      </c>
      <c r="Y3290" s="2">
        <v>1150</v>
      </c>
      <c r="Z3290" s="19" t="str">
        <f>HYPERLINK("https://ssdweb.co/ssdweb/hd/Vision360.html?d=926120553&amp;zoomslide=1&amp;z=1926120553&amp;ISCONFIRM=0","VIDEO")</f>
        <v>VIDEO</v>
      </c>
      <c r="AA3290" s="19" t="str">
        <f>HYPERLINK("https://ssdweb.co/ssdweb/CERTH/651401017.pdf","CERTI")</f>
        <v>CERTI</v>
      </c>
    </row>
    <row r="3291" spans="1:27" ht="15" x14ac:dyDescent="0.25">
      <c r="A3291" s="2">
        <v>3286</v>
      </c>
      <c r="B3291" s="39">
        <v>926820119</v>
      </c>
      <c r="C3291" s="28" t="str">
        <f>HYPERLINK("https://pld.live/RapDetail.aspx?STONELIST=926820119","DNA")</f>
        <v>DNA</v>
      </c>
      <c r="D3291" s="18" t="s">
        <v>38</v>
      </c>
      <c r="E3291" s="18" t="s">
        <v>2186</v>
      </c>
      <c r="F3291" s="2" t="s">
        <v>7987</v>
      </c>
      <c r="G3291" s="2" t="s">
        <v>7023</v>
      </c>
      <c r="H3291" s="14">
        <v>16.71</v>
      </c>
      <c r="I3291" s="2" t="s">
        <v>4699</v>
      </c>
      <c r="J3291" s="2" t="s">
        <v>13</v>
      </c>
      <c r="K3291" s="2" t="s">
        <v>1452</v>
      </c>
      <c r="L3291" s="2" t="s">
        <v>5221</v>
      </c>
      <c r="M3291" s="2" t="s">
        <v>5221</v>
      </c>
      <c r="N3291" s="2" t="s">
        <v>2317</v>
      </c>
      <c r="O3291" s="14">
        <v>76500</v>
      </c>
      <c r="P3291" s="14">
        <v>99.19</v>
      </c>
      <c r="Q3291" s="14">
        <v>619.65</v>
      </c>
      <c r="R3291" s="14">
        <v>10354.35</v>
      </c>
      <c r="S3291" s="2" t="s">
        <v>6929</v>
      </c>
      <c r="T3291" s="2">
        <v>1.41</v>
      </c>
      <c r="U3291" s="2">
        <v>66.900000000000006</v>
      </c>
      <c r="V3291" s="2">
        <v>64</v>
      </c>
      <c r="W3291" s="2" t="s">
        <v>7862</v>
      </c>
      <c r="X3291" s="2" t="s">
        <v>3851</v>
      </c>
      <c r="Y3291" s="2">
        <v>1278315</v>
      </c>
      <c r="Z3291" s="19" t="str">
        <f>HYPERLINK("https://ssdweb.co/ssdweb/hd/Vision360.html?d=926820119&amp;zoomslide=1&amp;z=1926820119&amp;ISCONFIRM=0","VIDEO")</f>
        <v>VIDEO</v>
      </c>
      <c r="AA3291" s="19" t="str">
        <f>HYPERLINK("https://ssdweb.co/ssdweb/CERTH/660429280.pdf","CERTI")</f>
        <v>CERTI</v>
      </c>
    </row>
    <row r="3292" spans="1:27" ht="15" x14ac:dyDescent="0.25">
      <c r="A3292" s="2">
        <v>3287</v>
      </c>
      <c r="B3292" s="39">
        <v>926820117</v>
      </c>
      <c r="C3292" s="28" t="str">
        <f>HYPERLINK("https://pld.live/RapDetail.aspx?STONELIST=926820117","DNA")</f>
        <v>DNA</v>
      </c>
      <c r="D3292" s="18" t="s">
        <v>38</v>
      </c>
      <c r="E3292" s="18" t="s">
        <v>2186</v>
      </c>
      <c r="F3292" s="2" t="s">
        <v>7987</v>
      </c>
      <c r="G3292" s="2" t="s">
        <v>7023</v>
      </c>
      <c r="H3292" s="14">
        <v>16.22</v>
      </c>
      <c r="I3292" s="2" t="s">
        <v>4699</v>
      </c>
      <c r="J3292" s="2" t="s">
        <v>13</v>
      </c>
      <c r="K3292" s="2" t="s">
        <v>1452</v>
      </c>
      <c r="L3292" s="2" t="s">
        <v>5221</v>
      </c>
      <c r="M3292" s="2" t="s">
        <v>5221</v>
      </c>
      <c r="N3292" s="2" t="s">
        <v>2317</v>
      </c>
      <c r="O3292" s="14">
        <v>76500</v>
      </c>
      <c r="P3292" s="14">
        <v>99.19</v>
      </c>
      <c r="Q3292" s="14">
        <v>619.65</v>
      </c>
      <c r="R3292" s="14">
        <v>10050.719999999999</v>
      </c>
      <c r="S3292" s="2" t="s">
        <v>6943</v>
      </c>
      <c r="T3292" s="2">
        <v>1.23</v>
      </c>
      <c r="U3292" s="2">
        <v>65.8</v>
      </c>
      <c r="V3292" s="2">
        <v>61</v>
      </c>
      <c r="W3292" s="2" t="s">
        <v>7862</v>
      </c>
      <c r="X3292" s="2" t="s">
        <v>3851</v>
      </c>
      <c r="Y3292" s="2">
        <v>1240830</v>
      </c>
      <c r="Z3292" s="19" t="str">
        <f>HYPERLINK("https://ssdweb.co/ssdweb/hd/Vision360.html?d=926820117&amp;zoomslide=1&amp;z=1926820117&amp;ISCONFIRM=0","VIDEO")</f>
        <v>VIDEO</v>
      </c>
      <c r="AA3292" s="19" t="str">
        <f>HYPERLINK("https://ssdweb.co/ssdweb/CERTH/660429274.pdf","CERTI")</f>
        <v>CERTI</v>
      </c>
    </row>
    <row r="3293" spans="1:27" ht="15" x14ac:dyDescent="0.25">
      <c r="A3293" s="2">
        <v>3288</v>
      </c>
      <c r="B3293" s="39">
        <v>926780073</v>
      </c>
      <c r="C3293" s="28" t="str">
        <f>HYPERLINK("https://pld.live/RapDetail.aspx?STONELIST=926780073","DNA")</f>
        <v>DNA</v>
      </c>
      <c r="D3293" s="18" t="s">
        <v>38</v>
      </c>
      <c r="E3293" s="18" t="s">
        <v>2186</v>
      </c>
      <c r="F3293" s="2" t="s">
        <v>7987</v>
      </c>
      <c r="G3293" s="2" t="s">
        <v>7023</v>
      </c>
      <c r="H3293" s="14">
        <v>16.059999999999999</v>
      </c>
      <c r="I3293" s="2" t="s">
        <v>4761</v>
      </c>
      <c r="J3293" s="2" t="s">
        <v>13</v>
      </c>
      <c r="K3293" s="2" t="s">
        <v>1452</v>
      </c>
      <c r="L3293" s="2" t="s">
        <v>5221</v>
      </c>
      <c r="M3293" s="2" t="s">
        <v>5221</v>
      </c>
      <c r="N3293" s="2" t="s">
        <v>2317</v>
      </c>
      <c r="O3293" s="14">
        <v>83500</v>
      </c>
      <c r="P3293" s="14">
        <v>99.19</v>
      </c>
      <c r="Q3293" s="14">
        <v>676.35</v>
      </c>
      <c r="R3293" s="14">
        <v>10862.18</v>
      </c>
      <c r="S3293" s="2" t="s">
        <v>7742</v>
      </c>
      <c r="T3293" s="2">
        <v>1.25</v>
      </c>
      <c r="U3293" s="2">
        <v>66.8</v>
      </c>
      <c r="V3293" s="2">
        <v>64</v>
      </c>
      <c r="W3293" s="2" t="s">
        <v>7862</v>
      </c>
      <c r="X3293" s="2" t="s">
        <v>3851</v>
      </c>
      <c r="Y3293" s="2">
        <v>1341010</v>
      </c>
      <c r="Z3293" s="19" t="str">
        <f>HYPERLINK("https://ssdweb.co/ssdweb/hd/Vision360.html?d=926780073&amp;zoomslide=1&amp;z=1926780073&amp;ISCONFIRM=0","VIDEO")</f>
        <v>VIDEO</v>
      </c>
      <c r="AA3293" s="19" t="str">
        <f>HYPERLINK("https://ssdweb.co/ssdweb/CERTH/653424617.pdf","CERTI")</f>
        <v>CERTI</v>
      </c>
    </row>
    <row r="3294" spans="1:27" ht="15" x14ac:dyDescent="0.25">
      <c r="A3294" s="2">
        <v>3289</v>
      </c>
      <c r="B3294" s="39">
        <v>926780093</v>
      </c>
      <c r="C3294" s="28" t="str">
        <f>HYPERLINK("https://pld.live/RapDetail.aspx?STONELIST=926780093","DNA")</f>
        <v>DNA</v>
      </c>
      <c r="D3294" s="18" t="s">
        <v>38</v>
      </c>
      <c r="E3294" s="18" t="s">
        <v>2186</v>
      </c>
      <c r="F3294" s="2" t="s">
        <v>7987</v>
      </c>
      <c r="G3294" s="2" t="s">
        <v>7023</v>
      </c>
      <c r="H3294" s="14">
        <v>16.05</v>
      </c>
      <c r="I3294" s="2" t="s">
        <v>4761</v>
      </c>
      <c r="J3294" s="2" t="s">
        <v>13</v>
      </c>
      <c r="K3294" s="2" t="s">
        <v>1452</v>
      </c>
      <c r="L3294" s="2" t="s">
        <v>5221</v>
      </c>
      <c r="M3294" s="2" t="s">
        <v>5221</v>
      </c>
      <c r="N3294" s="2" t="s">
        <v>2317</v>
      </c>
      <c r="O3294" s="14">
        <v>83500</v>
      </c>
      <c r="P3294" s="14">
        <v>99.19</v>
      </c>
      <c r="Q3294" s="14">
        <v>676.35</v>
      </c>
      <c r="R3294" s="14">
        <v>10855.42</v>
      </c>
      <c r="S3294" s="2" t="s">
        <v>7190</v>
      </c>
      <c r="T3294" s="2">
        <v>1.2</v>
      </c>
      <c r="U3294" s="2">
        <v>67.400000000000006</v>
      </c>
      <c r="V3294" s="2">
        <v>62</v>
      </c>
      <c r="W3294" s="2" t="s">
        <v>7862</v>
      </c>
      <c r="X3294" s="2" t="s">
        <v>3851</v>
      </c>
      <c r="Y3294" s="2">
        <v>1340175</v>
      </c>
      <c r="Z3294" s="19" t="str">
        <f>HYPERLINK("https://ssdweb.co/ssdweb/hd/Vision360.html?d=926780093&amp;zoomslide=1&amp;z=1926780093&amp;ISCONFIRM=0","VIDEO")</f>
        <v>VIDEO</v>
      </c>
      <c r="AA3294" s="19" t="str">
        <f>HYPERLINK("https://ssdweb.co/ssdweb/CERTH/654408167.pdf","CERTI")</f>
        <v>CERTI</v>
      </c>
    </row>
    <row r="3295" spans="1:27" ht="15" x14ac:dyDescent="0.25">
      <c r="A3295" s="2">
        <v>3290</v>
      </c>
      <c r="B3295" s="39">
        <v>926780084</v>
      </c>
      <c r="C3295" s="28" t="str">
        <f>HYPERLINK("https://pld.live/RapDetail.aspx?STONELIST=926780084","DNA")</f>
        <v>DNA</v>
      </c>
      <c r="D3295" s="18" t="s">
        <v>38</v>
      </c>
      <c r="E3295" s="18" t="s">
        <v>2186</v>
      </c>
      <c r="F3295" s="2" t="s">
        <v>7987</v>
      </c>
      <c r="G3295" s="2" t="s">
        <v>7023</v>
      </c>
      <c r="H3295" s="14">
        <v>15.1</v>
      </c>
      <c r="I3295" s="2" t="s">
        <v>4761</v>
      </c>
      <c r="J3295" s="2" t="s">
        <v>13</v>
      </c>
      <c r="K3295" s="2" t="s">
        <v>1452</v>
      </c>
      <c r="L3295" s="2" t="s">
        <v>5221</v>
      </c>
      <c r="M3295" s="2" t="s">
        <v>5221</v>
      </c>
      <c r="N3295" s="2" t="s">
        <v>2317</v>
      </c>
      <c r="O3295" s="14">
        <v>83500</v>
      </c>
      <c r="P3295" s="14">
        <v>99.19</v>
      </c>
      <c r="Q3295" s="14">
        <v>676.35</v>
      </c>
      <c r="R3295" s="14">
        <v>10212.89</v>
      </c>
      <c r="S3295" s="2" t="s">
        <v>2388</v>
      </c>
      <c r="T3295" s="2">
        <v>1.39</v>
      </c>
      <c r="U3295" s="2">
        <v>64</v>
      </c>
      <c r="V3295" s="2">
        <v>64</v>
      </c>
      <c r="W3295" s="2" t="s">
        <v>7862</v>
      </c>
      <c r="X3295" s="2" t="s">
        <v>3851</v>
      </c>
      <c r="Y3295" s="2">
        <v>1260850</v>
      </c>
      <c r="Z3295" s="19" t="str">
        <f>HYPERLINK("https://ssdweb.co/ssdweb/hd/Vision360.html?d=926780084&amp;zoomslide=1&amp;z=1926780084&amp;ISCONFIRM=0","VIDEO")</f>
        <v>VIDEO</v>
      </c>
      <c r="AA3295" s="19" t="str">
        <f>HYPERLINK("https://ssdweb.co/ssdweb/CERTH/655441403.pdf","CERTI")</f>
        <v>CERTI</v>
      </c>
    </row>
    <row r="3296" spans="1:27" ht="15" x14ac:dyDescent="0.25">
      <c r="A3296" s="2">
        <v>3291</v>
      </c>
      <c r="B3296" s="39">
        <v>926420433</v>
      </c>
      <c r="C3296" s="28" t="str">
        <f>HYPERLINK("https://pld.live/RapDetail.aspx?STONELIST=926420433","DNA")</f>
        <v>DNA</v>
      </c>
      <c r="D3296" s="18" t="s">
        <v>3174</v>
      </c>
      <c r="E3296" s="18" t="s">
        <v>2186</v>
      </c>
      <c r="F3296" s="2" t="s">
        <v>7987</v>
      </c>
      <c r="G3296" s="2" t="s">
        <v>7023</v>
      </c>
      <c r="H3296" s="14">
        <v>5.24</v>
      </c>
      <c r="I3296" s="2" t="s">
        <v>6874</v>
      </c>
      <c r="J3296" s="2" t="s">
        <v>13</v>
      </c>
      <c r="K3296" s="2" t="s">
        <v>1452</v>
      </c>
      <c r="L3296" s="2" t="s">
        <v>5221</v>
      </c>
      <c r="M3296" s="2" t="s">
        <v>5221</v>
      </c>
      <c r="N3296" s="2" t="s">
        <v>924</v>
      </c>
      <c r="O3296" s="14">
        <v>9500</v>
      </c>
      <c r="P3296" s="14">
        <v>96.32</v>
      </c>
      <c r="Q3296" s="14">
        <v>349.6</v>
      </c>
      <c r="R3296" s="14">
        <v>1831.9</v>
      </c>
      <c r="S3296" s="2" t="s">
        <v>4809</v>
      </c>
      <c r="T3296" s="2">
        <v>1.35</v>
      </c>
      <c r="U3296" s="2">
        <v>65.599999999999994</v>
      </c>
      <c r="V3296" s="2">
        <v>63</v>
      </c>
      <c r="W3296" s="2" t="s">
        <v>7862</v>
      </c>
      <c r="X3296" s="2" t="s">
        <v>3851</v>
      </c>
      <c r="Y3296" s="2">
        <v>49780</v>
      </c>
      <c r="Z3296" s="19" t="str">
        <f>HYPERLINK("https://ssdweb.co/ssdweb/hd/Vision360.html?d=926420433&amp;zoomslide=1&amp;z=1926420433&amp;ISCONFIRM=0","VIDEO")</f>
        <v>VIDEO</v>
      </c>
      <c r="AA3296" s="19" t="str">
        <f>HYPERLINK("https://ssdweb.co/ssdweb/CERTH/651454584.pdf","CERTI")</f>
        <v>CERTI</v>
      </c>
    </row>
    <row r="3297" spans="1:27" ht="15" x14ac:dyDescent="0.25">
      <c r="A3297" s="2">
        <v>3292</v>
      </c>
      <c r="B3297" s="39">
        <v>926130178</v>
      </c>
      <c r="C3297" s="28" t="str">
        <f>HYPERLINK("https://pld.live/RapDetail.aspx?STONELIST=926130178","DNA")</f>
        <v>DNA</v>
      </c>
      <c r="D3297" s="18" t="s">
        <v>3174</v>
      </c>
      <c r="E3297" s="18" t="s">
        <v>2186</v>
      </c>
      <c r="F3297" s="2" t="s">
        <v>7987</v>
      </c>
      <c r="G3297" s="2" t="s">
        <v>7023</v>
      </c>
      <c r="H3297" s="14">
        <v>5.14</v>
      </c>
      <c r="I3297" s="2" t="s">
        <v>6845</v>
      </c>
      <c r="J3297" s="2" t="s">
        <v>5144</v>
      </c>
      <c r="K3297" s="2" t="s">
        <v>1452</v>
      </c>
      <c r="L3297" s="2" t="s">
        <v>5221</v>
      </c>
      <c r="M3297" s="2" t="s">
        <v>5221</v>
      </c>
      <c r="N3297" s="2" t="s">
        <v>2317</v>
      </c>
      <c r="O3297" s="14">
        <v>9000</v>
      </c>
      <c r="P3297" s="14">
        <v>96.33</v>
      </c>
      <c r="Q3297" s="14">
        <v>330.3</v>
      </c>
      <c r="R3297" s="14">
        <v>1697.74</v>
      </c>
      <c r="S3297" s="2" t="s">
        <v>6561</v>
      </c>
      <c r="T3297" s="2">
        <v>1.21</v>
      </c>
      <c r="U3297" s="2">
        <v>63.3</v>
      </c>
      <c r="V3297" s="2">
        <v>63</v>
      </c>
      <c r="W3297" s="2" t="s">
        <v>7862</v>
      </c>
      <c r="X3297" s="2" t="s">
        <v>3851</v>
      </c>
      <c r="Y3297" s="2">
        <v>46260</v>
      </c>
      <c r="Z3297" s="19" t="str">
        <f>HYPERLINK("https://ssdweb.co/ssdweb/hd/Vision360.html?d=926130178&amp;zoomslide=1&amp;z=1926130178&amp;ISCONFIRM=0","VIDEO")</f>
        <v>VIDEO</v>
      </c>
      <c r="AA3297" s="19" t="str">
        <f>HYPERLINK("https://ssdweb.co/ssdweb/CERTH/668437272.pdf","CERTI")</f>
        <v>CERTI</v>
      </c>
    </row>
    <row r="3298" spans="1:27" ht="15" x14ac:dyDescent="0.25">
      <c r="A3298" s="2">
        <v>3293</v>
      </c>
      <c r="B3298" s="39">
        <v>926130076</v>
      </c>
      <c r="C3298" s="28" t="str">
        <f>HYPERLINK("https://pld.live/RapDetail.aspx?STONELIST=926130076","DNA")</f>
        <v>DNA</v>
      </c>
      <c r="D3298" s="18" t="s">
        <v>3174</v>
      </c>
      <c r="E3298" s="18" t="s">
        <v>2186</v>
      </c>
      <c r="F3298" s="2" t="s">
        <v>7987</v>
      </c>
      <c r="G3298" s="2" t="s">
        <v>7023</v>
      </c>
      <c r="H3298" s="14">
        <v>5.0599999999999996</v>
      </c>
      <c r="I3298" s="2" t="s">
        <v>1505</v>
      </c>
      <c r="J3298" s="2" t="s">
        <v>13</v>
      </c>
      <c r="K3298" s="2" t="s">
        <v>1452</v>
      </c>
      <c r="L3298" s="2" t="s">
        <v>5221</v>
      </c>
      <c r="M3298" s="2" t="s">
        <v>5221</v>
      </c>
      <c r="N3298" s="2" t="s">
        <v>2317</v>
      </c>
      <c r="O3298" s="14">
        <v>33500</v>
      </c>
      <c r="P3298" s="14">
        <v>99.58</v>
      </c>
      <c r="Q3298" s="14">
        <v>140.69999999999999</v>
      </c>
      <c r="R3298" s="14">
        <v>711.94</v>
      </c>
      <c r="S3298" s="2" t="s">
        <v>7051</v>
      </c>
      <c r="T3298" s="2">
        <v>1.21</v>
      </c>
      <c r="U3298" s="2">
        <v>65.400000000000006</v>
      </c>
      <c r="V3298" s="2">
        <v>61</v>
      </c>
      <c r="W3298" s="2" t="s">
        <v>7862</v>
      </c>
      <c r="X3298" s="2" t="s">
        <v>3851</v>
      </c>
      <c r="Y3298" s="2">
        <v>169510</v>
      </c>
      <c r="Z3298" s="19" t="str">
        <f>HYPERLINK("https://ssdweb.co/ssdweb/hd/Vision360.html?d=926130076&amp;zoomslide=1&amp;z=1926130076&amp;ISCONFIRM=0","VIDEO")</f>
        <v>VIDEO</v>
      </c>
      <c r="AA3298" s="19" t="str">
        <f>HYPERLINK("https://ssdweb.co/ssdweb/CERTH/633432008.pdf","CERTI")</f>
        <v>CERTI</v>
      </c>
    </row>
    <row r="3299" spans="1:27" ht="15" x14ac:dyDescent="0.25">
      <c r="A3299" s="2">
        <v>3294</v>
      </c>
      <c r="B3299" s="39">
        <v>926010269</v>
      </c>
      <c r="C3299" s="28" t="str">
        <f>HYPERLINK("https://pld.live/RapDetail.aspx?STONELIST=926010269","DNA")</f>
        <v>DNA</v>
      </c>
      <c r="D3299" s="18" t="s">
        <v>3134</v>
      </c>
      <c r="E3299" s="18" t="s">
        <v>2186</v>
      </c>
      <c r="F3299" s="2" t="s">
        <v>7987</v>
      </c>
      <c r="G3299" s="2" t="s">
        <v>7023</v>
      </c>
      <c r="H3299" s="14">
        <v>4.22</v>
      </c>
      <c r="I3299" s="2" t="s">
        <v>6587</v>
      </c>
      <c r="J3299" s="2" t="s">
        <v>13</v>
      </c>
      <c r="K3299" s="2" t="s">
        <v>1452</v>
      </c>
      <c r="L3299" s="2" t="s">
        <v>5221</v>
      </c>
      <c r="M3299" s="2" t="s">
        <v>5221</v>
      </c>
      <c r="N3299" s="2" t="s">
        <v>2317</v>
      </c>
      <c r="O3299" s="14">
        <v>30000</v>
      </c>
      <c r="P3299" s="14">
        <v>99.53</v>
      </c>
      <c r="Q3299" s="14">
        <v>141</v>
      </c>
      <c r="R3299" s="14">
        <v>595.02</v>
      </c>
      <c r="S3299" s="2" t="s">
        <v>6448</v>
      </c>
      <c r="T3299" s="2">
        <v>1.29</v>
      </c>
      <c r="U3299" s="2">
        <v>65.599999999999994</v>
      </c>
      <c r="V3299" s="2">
        <v>58</v>
      </c>
      <c r="W3299" s="2" t="s">
        <v>7862</v>
      </c>
      <c r="X3299" s="2" t="s">
        <v>3851</v>
      </c>
      <c r="Y3299" s="2">
        <v>126600</v>
      </c>
      <c r="Z3299" s="19" t="str">
        <f>HYPERLINK("https://ssdweb.co/ssdweb/hd/Vision360.html?d=926010269&amp;zoomslide=1&amp;z=1926010269&amp;ISCONFIRM=0","VIDEO")</f>
        <v>VIDEO</v>
      </c>
      <c r="AA3299" s="19" t="str">
        <f>HYPERLINK("https://ssdweb.co/ssdweb/CERTH/631464406.pdf","CERTI")</f>
        <v>CERTI</v>
      </c>
    </row>
    <row r="3300" spans="1:27" ht="15" x14ac:dyDescent="0.25">
      <c r="A3300" s="2">
        <v>3295</v>
      </c>
      <c r="B3300" s="39">
        <v>926010235</v>
      </c>
      <c r="C3300" s="28" t="str">
        <f>HYPERLINK("https://pld.live/RapDetail.aspx?STONELIST=926010235","DNA")</f>
        <v>DNA</v>
      </c>
      <c r="D3300" s="18" t="s">
        <v>3134</v>
      </c>
      <c r="E3300" s="18" t="s">
        <v>2186</v>
      </c>
      <c r="F3300" s="2" t="s">
        <v>7987</v>
      </c>
      <c r="G3300" s="2" t="s">
        <v>7023</v>
      </c>
      <c r="H3300" s="14">
        <v>4.22</v>
      </c>
      <c r="I3300" s="2" t="s">
        <v>6874</v>
      </c>
      <c r="J3300" s="2" t="s">
        <v>13</v>
      </c>
      <c r="K3300" s="2" t="s">
        <v>1452</v>
      </c>
      <c r="L3300" s="2" t="s">
        <v>5221</v>
      </c>
      <c r="M3300" s="2" t="s">
        <v>5221</v>
      </c>
      <c r="N3300" s="2" t="s">
        <v>924</v>
      </c>
      <c r="O3300" s="14">
        <v>7100</v>
      </c>
      <c r="P3300" s="14">
        <v>93.94</v>
      </c>
      <c r="Q3300" s="14">
        <v>430.26</v>
      </c>
      <c r="R3300" s="14">
        <v>1815.7</v>
      </c>
      <c r="S3300" s="2" t="s">
        <v>6997</v>
      </c>
      <c r="T3300" s="2">
        <v>1.24</v>
      </c>
      <c r="U3300" s="2">
        <v>64</v>
      </c>
      <c r="V3300" s="2">
        <v>61</v>
      </c>
      <c r="W3300" s="2" t="s">
        <v>7862</v>
      </c>
      <c r="X3300" s="2" t="s">
        <v>3851</v>
      </c>
      <c r="Y3300" s="2">
        <v>29962</v>
      </c>
      <c r="Z3300" s="19" t="str">
        <f>HYPERLINK("https://ssdweb.co/ssdweb/hd/Vision360.html?d=926010235&amp;zoomslide=1&amp;z=1926010235&amp;ISCONFIRM=0","VIDEO")</f>
        <v>VIDEO</v>
      </c>
      <c r="AA3300" s="19" t="str">
        <f>HYPERLINK("https://ssdweb.co/ssdweb/CERTH/639406128.pdf","CERTI")</f>
        <v>CERTI</v>
      </c>
    </row>
    <row r="3301" spans="1:27" ht="15" x14ac:dyDescent="0.25">
      <c r="A3301" s="2">
        <v>3296</v>
      </c>
      <c r="B3301" s="39">
        <v>831020676</v>
      </c>
      <c r="C3301" s="28" t="str">
        <f>HYPERLINK("https://pld.live/RapDetail.aspx?STONELIST=831020676","DNA")</f>
        <v>DNA</v>
      </c>
      <c r="D3301" s="18" t="s">
        <v>3134</v>
      </c>
      <c r="E3301" s="18" t="s">
        <v>2186</v>
      </c>
      <c r="F3301" s="2" t="s">
        <v>7987</v>
      </c>
      <c r="G3301" s="2" t="s">
        <v>7023</v>
      </c>
      <c r="H3301" s="14">
        <v>4.13</v>
      </c>
      <c r="I3301" s="2" t="s">
        <v>6587</v>
      </c>
      <c r="J3301" s="2" t="s">
        <v>13</v>
      </c>
      <c r="K3301" s="2" t="s">
        <v>1452</v>
      </c>
      <c r="L3301" s="2" t="s">
        <v>5221</v>
      </c>
      <c r="M3301" s="2" t="s">
        <v>5221</v>
      </c>
      <c r="N3301" s="2" t="s">
        <v>2317</v>
      </c>
      <c r="O3301" s="14">
        <v>30000</v>
      </c>
      <c r="P3301" s="14">
        <v>99.53</v>
      </c>
      <c r="Q3301" s="14">
        <v>141</v>
      </c>
      <c r="R3301" s="14">
        <v>582.33000000000004</v>
      </c>
      <c r="S3301" s="2" t="s">
        <v>1723</v>
      </c>
      <c r="T3301" s="2">
        <v>1.18</v>
      </c>
      <c r="U3301" s="2">
        <v>64.7</v>
      </c>
      <c r="V3301" s="2">
        <v>63.5</v>
      </c>
      <c r="W3301" s="2" t="s">
        <v>7862</v>
      </c>
      <c r="X3301" s="2" t="s">
        <v>3851</v>
      </c>
      <c r="Y3301" s="2">
        <v>123900</v>
      </c>
      <c r="Z3301" s="19" t="str">
        <f>HYPERLINK("https://ssdweb.co/ssdweb/hd/Vision360.html?d=831020676&amp;zoomslide=1&amp;z=1831020676&amp;ISCONFIRM=0","VIDEO")</f>
        <v>VIDEO</v>
      </c>
      <c r="AA3301" s="19" t="str">
        <f>HYPERLINK("https://ssdweb.co/ssdweb/CERTH/563299676.pdf","CERTI")</f>
        <v>CERTI</v>
      </c>
    </row>
    <row r="3302" spans="1:27" ht="15" x14ac:dyDescent="0.25">
      <c r="A3302" s="2">
        <v>3297</v>
      </c>
      <c r="B3302" s="39">
        <v>926010225</v>
      </c>
      <c r="C3302" s="28" t="str">
        <f>HYPERLINK("https://pld.live/RapDetail.aspx?STONELIST=926010225","DNA")</f>
        <v>DNA</v>
      </c>
      <c r="D3302" s="18" t="s">
        <v>3134</v>
      </c>
      <c r="E3302" s="18" t="s">
        <v>2186</v>
      </c>
      <c r="F3302" s="2" t="s">
        <v>7987</v>
      </c>
      <c r="G3302" s="2" t="s">
        <v>7023</v>
      </c>
      <c r="H3302" s="14">
        <v>4.0999999999999996</v>
      </c>
      <c r="I3302" s="2" t="s">
        <v>6587</v>
      </c>
      <c r="J3302" s="2" t="s">
        <v>13</v>
      </c>
      <c r="K3302" s="2" t="s">
        <v>1452</v>
      </c>
      <c r="L3302" s="2" t="s">
        <v>5221</v>
      </c>
      <c r="M3302" s="2" t="s">
        <v>5221</v>
      </c>
      <c r="N3302" s="2" t="s">
        <v>2317</v>
      </c>
      <c r="O3302" s="14">
        <v>30000</v>
      </c>
      <c r="P3302" s="14">
        <v>99.53</v>
      </c>
      <c r="Q3302" s="14">
        <v>141</v>
      </c>
      <c r="R3302" s="14">
        <v>578.1</v>
      </c>
      <c r="S3302" s="2" t="s">
        <v>5276</v>
      </c>
      <c r="T3302" s="2">
        <v>1.2</v>
      </c>
      <c r="U3302" s="2">
        <v>65</v>
      </c>
      <c r="V3302" s="2">
        <v>62</v>
      </c>
      <c r="W3302" s="2" t="s">
        <v>7862</v>
      </c>
      <c r="X3302" s="2" t="s">
        <v>3851</v>
      </c>
      <c r="Y3302" s="2">
        <v>123000</v>
      </c>
      <c r="Z3302" s="19" t="str">
        <f>HYPERLINK("https://ssdweb.co/ssdweb/hd/Vision360.html?d=926010225&amp;zoomslide=1&amp;z=1926010225&amp;ISCONFIRM=0","VIDEO")</f>
        <v>VIDEO</v>
      </c>
      <c r="AA3302" s="19" t="str">
        <f>HYPERLINK("https://ssdweb.co/ssdweb/CERTH/632421574.pdf","CERTI")</f>
        <v>CERTI</v>
      </c>
    </row>
    <row r="3303" spans="1:27" ht="15" x14ac:dyDescent="0.25">
      <c r="A3303" s="2">
        <v>3298</v>
      </c>
      <c r="B3303" s="39">
        <v>926050298</v>
      </c>
      <c r="C3303" s="28" t="str">
        <f>HYPERLINK("https://pld.live/RapDetail.aspx?STONELIST=926050298","DNA")</f>
        <v>DNA</v>
      </c>
      <c r="D3303" s="18" t="s">
        <v>3134</v>
      </c>
      <c r="E3303" s="18" t="s">
        <v>2186</v>
      </c>
      <c r="F3303" s="2" t="s">
        <v>7987</v>
      </c>
      <c r="G3303" s="2" t="s">
        <v>7023</v>
      </c>
      <c r="H3303" s="14">
        <v>4.04</v>
      </c>
      <c r="I3303" s="2" t="s">
        <v>6587</v>
      </c>
      <c r="J3303" s="2" t="s">
        <v>13</v>
      </c>
      <c r="K3303" s="2" t="s">
        <v>1452</v>
      </c>
      <c r="L3303" s="2" t="s">
        <v>5221</v>
      </c>
      <c r="M3303" s="2" t="s">
        <v>5221</v>
      </c>
      <c r="N3303" s="2" t="s">
        <v>2317</v>
      </c>
      <c r="O3303" s="14">
        <v>30000</v>
      </c>
      <c r="P3303" s="14">
        <v>99.53</v>
      </c>
      <c r="Q3303" s="14">
        <v>141</v>
      </c>
      <c r="R3303" s="14">
        <v>569.64</v>
      </c>
      <c r="S3303" s="2" t="s">
        <v>1864</v>
      </c>
      <c r="T3303" s="2">
        <v>1.2</v>
      </c>
      <c r="U3303" s="2">
        <v>67.5</v>
      </c>
      <c r="V3303" s="2">
        <v>59</v>
      </c>
      <c r="W3303" s="2" t="s">
        <v>7862</v>
      </c>
      <c r="X3303" s="2" t="s">
        <v>3851</v>
      </c>
      <c r="Y3303" s="2">
        <v>121200</v>
      </c>
      <c r="Z3303" s="19" t="str">
        <f>HYPERLINK("https://ssdweb.co/ssdweb/hd/Vision360.html?d=926050298&amp;zoomslide=1&amp;z=1926050298&amp;ISCONFIRM=0","VIDEO")</f>
        <v>VIDEO</v>
      </c>
      <c r="AA3303" s="19" t="str">
        <f>HYPERLINK("https://ssdweb.co/ssdweb/CERTH/632488511.pdf","CERTI")</f>
        <v>CERTI</v>
      </c>
    </row>
    <row r="3304" spans="1:27" ht="15" x14ac:dyDescent="0.25">
      <c r="A3304" s="2">
        <v>3299</v>
      </c>
      <c r="B3304" s="39">
        <v>926000052</v>
      </c>
      <c r="C3304" s="28" t="str">
        <f>HYPERLINK("https://pld.live/RapDetail.aspx?STONELIST=926000052","DNA")</f>
        <v>DNA</v>
      </c>
      <c r="D3304" s="18" t="s">
        <v>3134</v>
      </c>
      <c r="E3304" s="18" t="s">
        <v>2186</v>
      </c>
      <c r="F3304" s="2" t="s">
        <v>7987</v>
      </c>
      <c r="G3304" s="2" t="s">
        <v>7023</v>
      </c>
      <c r="H3304" s="14">
        <v>4.04</v>
      </c>
      <c r="I3304" s="2" t="s">
        <v>6587</v>
      </c>
      <c r="J3304" s="2" t="s">
        <v>5144</v>
      </c>
      <c r="K3304" s="2" t="s">
        <v>1452</v>
      </c>
      <c r="L3304" s="2" t="s">
        <v>5221</v>
      </c>
      <c r="M3304" s="2" t="s">
        <v>5221</v>
      </c>
      <c r="N3304" s="2" t="s">
        <v>2317</v>
      </c>
      <c r="O3304" s="14">
        <v>27500</v>
      </c>
      <c r="P3304" s="14">
        <v>99.53</v>
      </c>
      <c r="Q3304" s="14">
        <v>129.25</v>
      </c>
      <c r="R3304" s="14">
        <v>522.16999999999996</v>
      </c>
      <c r="S3304" s="2" t="s">
        <v>3382</v>
      </c>
      <c r="T3304" s="2">
        <v>1.22</v>
      </c>
      <c r="U3304" s="2">
        <v>63.4</v>
      </c>
      <c r="V3304" s="2">
        <v>63</v>
      </c>
      <c r="W3304" s="2" t="s">
        <v>8016</v>
      </c>
      <c r="X3304" s="2" t="s">
        <v>3851</v>
      </c>
      <c r="Y3304" s="2">
        <v>111100</v>
      </c>
      <c r="Z3304" s="19" t="str">
        <f>HYPERLINK("https://ssdweb.co/ssdweb/hd/Vision360.html?d=926000052&amp;zoomslide=1&amp;z=1926000052&amp;ISCONFIRM=0","VIDEO")</f>
        <v>VIDEO</v>
      </c>
      <c r="AA3304" s="19" t="str">
        <f>HYPERLINK("https://ssdweb.co/ssdweb/CERTH/631404413.pdf","CERTI")</f>
        <v>CERTI</v>
      </c>
    </row>
    <row r="3305" spans="1:27" ht="15" x14ac:dyDescent="0.25">
      <c r="A3305" s="2">
        <v>3300</v>
      </c>
      <c r="B3305" s="39">
        <v>923740291</v>
      </c>
      <c r="C3305" s="28" t="str">
        <f>HYPERLINK("https://pld.live/RapDetail.aspx?STONELIST=923740291","DNA")</f>
        <v>DNA</v>
      </c>
      <c r="D3305" s="18" t="s">
        <v>3134</v>
      </c>
      <c r="E3305" s="18" t="s">
        <v>2186</v>
      </c>
      <c r="F3305" s="2" t="s">
        <v>5597</v>
      </c>
      <c r="G3305" s="2" t="s">
        <v>7023</v>
      </c>
      <c r="H3305" s="14">
        <v>4.0199999999999996</v>
      </c>
      <c r="I3305" s="2" t="s">
        <v>6587</v>
      </c>
      <c r="J3305" s="2" t="s">
        <v>13</v>
      </c>
      <c r="K3305" s="2" t="s">
        <v>1452</v>
      </c>
      <c r="L3305" s="2" t="s">
        <v>5221</v>
      </c>
      <c r="M3305" s="2" t="s">
        <v>5221</v>
      </c>
      <c r="N3305" s="2" t="s">
        <v>2317</v>
      </c>
      <c r="O3305" s="14">
        <v>30000</v>
      </c>
      <c r="P3305" s="14">
        <v>98.98</v>
      </c>
      <c r="Q3305" s="14">
        <v>306</v>
      </c>
      <c r="R3305" s="14">
        <v>1230.1199999999999</v>
      </c>
      <c r="S3305" s="2" t="s">
        <v>6647</v>
      </c>
      <c r="T3305" s="2">
        <v>1.18</v>
      </c>
      <c r="U3305" s="2">
        <v>68.5</v>
      </c>
      <c r="V3305" s="2">
        <v>62</v>
      </c>
      <c r="W3305" s="2" t="s">
        <v>7862</v>
      </c>
      <c r="X3305" s="2" t="s">
        <v>7053</v>
      </c>
      <c r="Y3305" s="2">
        <v>120600</v>
      </c>
      <c r="Z3305" s="19" t="str">
        <f>HYPERLINK("https://ssdweb.co/ssdweb/hd/Vision360.html?d=923740291&amp;zoomslide=1&amp;z=1923740291&amp;ISCONFIRM=0","VIDEO")</f>
        <v>VIDEO</v>
      </c>
      <c r="AA3305" s="19" t="str">
        <f>HYPERLINK("https://ssdweb.co/ssdweb/CERTH/6455595915.pdf","CERTI")</f>
        <v>CERTI</v>
      </c>
    </row>
    <row r="3306" spans="1:27" ht="15" x14ac:dyDescent="0.25">
      <c r="A3306" s="2">
        <v>3301</v>
      </c>
      <c r="B3306" s="39">
        <v>924590276</v>
      </c>
      <c r="C3306" s="28" t="str">
        <f>HYPERLINK("https://pld.live/RapDetail.aspx?STONELIST=924590276","DNA")</f>
        <v>DNA</v>
      </c>
      <c r="D3306" s="18" t="s">
        <v>7401</v>
      </c>
      <c r="E3306" s="18" t="s">
        <v>2186</v>
      </c>
      <c r="F3306" s="2" t="s">
        <v>7987</v>
      </c>
      <c r="G3306" s="2" t="s">
        <v>7023</v>
      </c>
      <c r="H3306" s="14">
        <v>3.77</v>
      </c>
      <c r="I3306" s="2" t="s">
        <v>6587</v>
      </c>
      <c r="J3306" s="2" t="s">
        <v>13</v>
      </c>
      <c r="K3306" s="2" t="s">
        <v>1452</v>
      </c>
      <c r="L3306" s="2" t="s">
        <v>5221</v>
      </c>
      <c r="M3306" s="2" t="s">
        <v>5221</v>
      </c>
      <c r="N3306" s="2" t="s">
        <v>2317</v>
      </c>
      <c r="O3306" s="14">
        <v>22500</v>
      </c>
      <c r="P3306" s="14">
        <v>99.4</v>
      </c>
      <c r="Q3306" s="14">
        <v>135</v>
      </c>
      <c r="R3306" s="14">
        <v>508.95</v>
      </c>
      <c r="S3306" s="2" t="s">
        <v>2439</v>
      </c>
      <c r="T3306" s="2">
        <v>1.2</v>
      </c>
      <c r="U3306" s="2">
        <v>66.400000000000006</v>
      </c>
      <c r="V3306" s="2">
        <v>61</v>
      </c>
      <c r="W3306" s="2" t="s">
        <v>8016</v>
      </c>
      <c r="X3306" s="2" t="s">
        <v>3851</v>
      </c>
      <c r="Y3306" s="2">
        <v>84825</v>
      </c>
      <c r="Z3306" s="19" t="str">
        <f>HYPERLINK("https://ssdweb.co/ssdweb/hd/Vision360.html?d=924590276&amp;zoomslide=1&amp;z=1924590276&amp;ISCONFIRM=0","VIDEO")</f>
        <v>VIDEO</v>
      </c>
      <c r="AA3306" s="19" t="str">
        <f>HYPERLINK("https://ssdweb.co/ssdweb/CERTH/600344384.pdf","CERTI")</f>
        <v>CERTI</v>
      </c>
    </row>
    <row r="3307" spans="1:27" ht="15" x14ac:dyDescent="0.25">
      <c r="A3307" s="2">
        <v>3302</v>
      </c>
      <c r="B3307" s="39">
        <v>831020082</v>
      </c>
      <c r="C3307" s="28" t="str">
        <f>HYPERLINK("https://pld.live/RapDetail.aspx?STONELIST=831020082","DNA")</f>
        <v>DNA</v>
      </c>
      <c r="D3307" s="18" t="s">
        <v>7401</v>
      </c>
      <c r="E3307" s="18" t="s">
        <v>2186</v>
      </c>
      <c r="F3307" s="2" t="s">
        <v>7987</v>
      </c>
      <c r="G3307" s="2" t="s">
        <v>7023</v>
      </c>
      <c r="H3307" s="14">
        <v>3.75</v>
      </c>
      <c r="I3307" s="2" t="s">
        <v>1505</v>
      </c>
      <c r="J3307" s="2" t="s">
        <v>5144</v>
      </c>
      <c r="K3307" s="2" t="s">
        <v>1452</v>
      </c>
      <c r="L3307" s="2" t="s">
        <v>5221</v>
      </c>
      <c r="M3307" s="2" t="s">
        <v>5221</v>
      </c>
      <c r="N3307" s="2" t="s">
        <v>2317</v>
      </c>
      <c r="O3307" s="14">
        <v>18000</v>
      </c>
      <c r="P3307" s="14">
        <v>99.37</v>
      </c>
      <c r="Q3307" s="14">
        <v>113.4</v>
      </c>
      <c r="R3307" s="14">
        <v>425.25</v>
      </c>
      <c r="S3307" s="2" t="s">
        <v>5117</v>
      </c>
      <c r="T3307" s="2">
        <v>1.18</v>
      </c>
      <c r="U3307" s="2">
        <v>65.3</v>
      </c>
      <c r="V3307" s="2">
        <v>65.5</v>
      </c>
      <c r="W3307" s="2" t="s">
        <v>8016</v>
      </c>
      <c r="X3307" s="2" t="s">
        <v>3851</v>
      </c>
      <c r="Y3307" s="2">
        <v>67500</v>
      </c>
      <c r="Z3307" s="19" t="str">
        <f>HYPERLINK("https://ssdweb.co/ssdweb/hd/Vision360.html?d=831020082&amp;zoomslide=1&amp;z=1831020082&amp;ISCONFIRM=0","VIDEO")</f>
        <v>VIDEO</v>
      </c>
      <c r="AA3307" s="19" t="str">
        <f>HYPERLINK("https://ssdweb.co/ssdweb/CERTH/528221688.pdf","CERTI")</f>
        <v>CERTI</v>
      </c>
    </row>
    <row r="3308" spans="1:27" ht="15" x14ac:dyDescent="0.25">
      <c r="A3308" s="2">
        <v>3303</v>
      </c>
      <c r="B3308" s="39">
        <v>924350222</v>
      </c>
      <c r="C3308" s="28" t="str">
        <f>HYPERLINK("https://pld.live/RapDetail.aspx?STONELIST=924350222","DNA")</f>
        <v>DNA</v>
      </c>
      <c r="D3308" s="18" t="s">
        <v>7401</v>
      </c>
      <c r="E3308" s="18" t="s">
        <v>2186</v>
      </c>
      <c r="F3308" s="2" t="s">
        <v>7987</v>
      </c>
      <c r="G3308" s="2" t="s">
        <v>7023</v>
      </c>
      <c r="H3308" s="14">
        <v>3.74</v>
      </c>
      <c r="I3308" s="2" t="s">
        <v>6587</v>
      </c>
      <c r="J3308" s="2" t="s">
        <v>13</v>
      </c>
      <c r="K3308" s="2" t="s">
        <v>1452</v>
      </c>
      <c r="L3308" s="2" t="s">
        <v>5221</v>
      </c>
      <c r="M3308" s="2" t="s">
        <v>5221</v>
      </c>
      <c r="N3308" s="2" t="s">
        <v>2317</v>
      </c>
      <c r="O3308" s="14">
        <v>22500</v>
      </c>
      <c r="P3308" s="14">
        <v>99.4</v>
      </c>
      <c r="Q3308" s="14">
        <v>135</v>
      </c>
      <c r="R3308" s="14">
        <v>504.9</v>
      </c>
      <c r="S3308" s="2" t="s">
        <v>4323</v>
      </c>
      <c r="T3308" s="2">
        <v>1.2</v>
      </c>
      <c r="U3308" s="2">
        <v>67.2</v>
      </c>
      <c r="V3308" s="2">
        <v>61</v>
      </c>
      <c r="W3308" s="2" t="s">
        <v>7862</v>
      </c>
      <c r="X3308" s="2" t="s">
        <v>3851</v>
      </c>
      <c r="Y3308" s="2">
        <v>84150</v>
      </c>
      <c r="Z3308" s="19" t="str">
        <f>HYPERLINK("https://ssdweb.co/ssdweb/hd/Vision360.html?d=924350222&amp;zoomslide=1&amp;z=1924350222&amp;ISCONFIRM=0","VIDEO")</f>
        <v>VIDEO</v>
      </c>
      <c r="AA3308" s="19" t="str">
        <f>HYPERLINK("https://ssdweb.co/ssdweb/CERTH/587398315.pdf","CERTI")</f>
        <v>CERTI</v>
      </c>
    </row>
    <row r="3309" spans="1:27" ht="15" x14ac:dyDescent="0.25">
      <c r="A3309" s="2">
        <v>3304</v>
      </c>
      <c r="B3309" s="39">
        <v>926360262</v>
      </c>
      <c r="C3309" s="28" t="str">
        <f>HYPERLINK("https://pld.live/RapDetail.aspx?STONELIST=926360262","DNA")</f>
        <v>DNA</v>
      </c>
      <c r="D3309" s="18" t="s">
        <v>6469</v>
      </c>
      <c r="E3309" s="18" t="s">
        <v>2186</v>
      </c>
      <c r="F3309" s="2" t="s">
        <v>7987</v>
      </c>
      <c r="G3309" s="2" t="s">
        <v>7023</v>
      </c>
      <c r="H3309" s="14">
        <v>3.4</v>
      </c>
      <c r="I3309" s="2" t="s">
        <v>4761</v>
      </c>
      <c r="J3309" s="2" t="s">
        <v>13</v>
      </c>
      <c r="K3309" s="2" t="s">
        <v>1452</v>
      </c>
      <c r="L3309" s="2" t="s">
        <v>5221</v>
      </c>
      <c r="M3309" s="2" t="s">
        <v>5221</v>
      </c>
      <c r="N3309" s="2" t="s">
        <v>2317</v>
      </c>
      <c r="O3309" s="14">
        <v>27500</v>
      </c>
      <c r="P3309" s="14">
        <v>99.44</v>
      </c>
      <c r="Q3309" s="14">
        <v>154</v>
      </c>
      <c r="R3309" s="14">
        <v>523.6</v>
      </c>
      <c r="S3309" s="2" t="s">
        <v>4943</v>
      </c>
      <c r="T3309" s="2">
        <v>1.23</v>
      </c>
      <c r="U3309" s="2">
        <v>69.3</v>
      </c>
      <c r="V3309" s="2">
        <v>59</v>
      </c>
      <c r="W3309" s="2" t="s">
        <v>7862</v>
      </c>
      <c r="X3309" s="2" t="s">
        <v>3851</v>
      </c>
      <c r="Y3309" s="2">
        <v>93500</v>
      </c>
      <c r="Z3309" s="19" t="str">
        <f>HYPERLINK("https://ssdweb.co/ssdweb/hd/Vision360.html?d=926360262&amp;zoomslide=1&amp;z=1926360262&amp;ISCONFIRM=0","VIDEO")</f>
        <v>VIDEO</v>
      </c>
      <c r="AA3309" s="19" t="str">
        <f>HYPERLINK("https://ssdweb.co/ssdweb/CERTH/641474138.pdf","CERTI")</f>
        <v>CERTI</v>
      </c>
    </row>
    <row r="3310" spans="1:27" ht="15" x14ac:dyDescent="0.25">
      <c r="A3310" s="2">
        <v>3305</v>
      </c>
      <c r="B3310" s="39">
        <v>831020723</v>
      </c>
      <c r="C3310" s="28" t="str">
        <f>HYPERLINK("https://pld.live/RapDetail.aspx?STONELIST=831020723","DNA")</f>
        <v>DNA</v>
      </c>
      <c r="D3310" s="18" t="s">
        <v>6469</v>
      </c>
      <c r="E3310" s="18" t="s">
        <v>2186</v>
      </c>
      <c r="F3310" s="2" t="s">
        <v>7987</v>
      </c>
      <c r="G3310" s="2" t="s">
        <v>7023</v>
      </c>
      <c r="H3310" s="14">
        <v>3.34</v>
      </c>
      <c r="I3310" s="2" t="s">
        <v>4699</v>
      </c>
      <c r="J3310" s="2" t="s">
        <v>3942</v>
      </c>
      <c r="K3310" s="2" t="s">
        <v>1452</v>
      </c>
      <c r="L3310" s="2" t="s">
        <v>5221</v>
      </c>
      <c r="M3310" s="2" t="s">
        <v>5221</v>
      </c>
      <c r="N3310" s="2" t="s">
        <v>2317</v>
      </c>
      <c r="O3310" s="14">
        <v>27000</v>
      </c>
      <c r="P3310" s="14">
        <v>99.4</v>
      </c>
      <c r="Q3310" s="14">
        <v>162</v>
      </c>
      <c r="R3310" s="14">
        <v>541.08000000000004</v>
      </c>
      <c r="S3310" s="2" t="s">
        <v>3225</v>
      </c>
      <c r="T3310" s="2">
        <v>1.34</v>
      </c>
      <c r="U3310" s="2">
        <v>66</v>
      </c>
      <c r="V3310" s="2">
        <v>62</v>
      </c>
      <c r="W3310" s="2" t="s">
        <v>8016</v>
      </c>
      <c r="X3310" s="2" t="s">
        <v>3851</v>
      </c>
      <c r="Y3310" s="2">
        <v>90180</v>
      </c>
      <c r="Z3310" s="19" t="str">
        <f>HYPERLINK("https://ssdweb.co/ssdweb/hd/Vision360.html?d=831020723&amp;zoomslide=1&amp;z=1831020723&amp;ISCONFIRM=0","VIDEO")</f>
        <v>VIDEO</v>
      </c>
      <c r="AA3310" s="19" t="str">
        <f>HYPERLINK("https://ssdweb.co/ssdweb/CERTH/594332711.pdf","CERTI")</f>
        <v>CERTI</v>
      </c>
    </row>
    <row r="3311" spans="1:27" ht="15" x14ac:dyDescent="0.25">
      <c r="A3311" s="2">
        <v>3306</v>
      </c>
      <c r="B3311" s="39">
        <v>831020416</v>
      </c>
      <c r="C3311" s="28" t="str">
        <f>HYPERLINK("https://pld.live/RapDetail.aspx?STONELIST=831020416","DNA")</f>
        <v>DNA</v>
      </c>
      <c r="D3311" s="18" t="s">
        <v>6469</v>
      </c>
      <c r="E3311" s="18" t="s">
        <v>2186</v>
      </c>
      <c r="F3311" s="2" t="s">
        <v>7987</v>
      </c>
      <c r="G3311" s="2" t="s">
        <v>7023</v>
      </c>
      <c r="H3311" s="14">
        <v>3.32</v>
      </c>
      <c r="I3311" s="2" t="s">
        <v>1505</v>
      </c>
      <c r="J3311" s="2" t="s">
        <v>13</v>
      </c>
      <c r="K3311" s="2" t="s">
        <v>1452</v>
      </c>
      <c r="L3311" s="2" t="s">
        <v>5221</v>
      </c>
      <c r="M3311" s="2" t="s">
        <v>5221</v>
      </c>
      <c r="N3311" s="2" t="s">
        <v>2317</v>
      </c>
      <c r="O3311" s="14">
        <v>19500</v>
      </c>
      <c r="P3311" s="14">
        <v>99.39</v>
      </c>
      <c r="Q3311" s="14">
        <v>118.95</v>
      </c>
      <c r="R3311" s="14">
        <v>394.91</v>
      </c>
      <c r="S3311" s="2" t="s">
        <v>2162</v>
      </c>
      <c r="T3311" s="2">
        <v>1.2</v>
      </c>
      <c r="U3311" s="2">
        <v>68.8</v>
      </c>
      <c r="V3311" s="2">
        <v>66</v>
      </c>
      <c r="W3311" s="2" t="s">
        <v>8016</v>
      </c>
      <c r="X3311" s="2" t="s">
        <v>3851</v>
      </c>
      <c r="Y3311" s="2">
        <v>64740</v>
      </c>
      <c r="Z3311" s="19" t="str">
        <f>HYPERLINK("https://ssdweb.co/ssdweb/hd/Vision360.html?d=831020416&amp;zoomslide=1&amp;z=1831020416&amp;ISCONFIRM=0","VIDEO")</f>
        <v>VIDEO</v>
      </c>
      <c r="AA3311" s="19" t="str">
        <f>HYPERLINK("https://ssdweb.co/ssdweb/CERTH/539236105.pdf","CERTI")</f>
        <v>CERTI</v>
      </c>
    </row>
    <row r="3312" spans="1:27" ht="15" x14ac:dyDescent="0.25">
      <c r="A3312" s="2">
        <v>3307</v>
      </c>
      <c r="B3312" s="39">
        <v>926010264</v>
      </c>
      <c r="C3312" s="28" t="str">
        <f>HYPERLINK("https://pld.live/RapDetail.aspx?STONELIST=926010264","DNA")</f>
        <v>DNA</v>
      </c>
      <c r="D3312" s="18" t="s">
        <v>4563</v>
      </c>
      <c r="E3312" s="18" t="s">
        <v>2186</v>
      </c>
      <c r="F3312" s="2" t="s">
        <v>7987</v>
      </c>
      <c r="G3312" s="2" t="s">
        <v>7023</v>
      </c>
      <c r="H3312" s="14">
        <v>3.29</v>
      </c>
      <c r="I3312" s="2" t="s">
        <v>6844</v>
      </c>
      <c r="J3312" s="2" t="s">
        <v>5144</v>
      </c>
      <c r="K3312" s="2" t="s">
        <v>1452</v>
      </c>
      <c r="L3312" s="2" t="s">
        <v>5221</v>
      </c>
      <c r="M3312" s="2" t="s">
        <v>5221</v>
      </c>
      <c r="N3312" s="2" t="s">
        <v>924</v>
      </c>
      <c r="O3312" s="14">
        <v>5400</v>
      </c>
      <c r="P3312" s="14">
        <v>94.63</v>
      </c>
      <c r="Q3312" s="14">
        <v>289.98</v>
      </c>
      <c r="R3312" s="14">
        <v>954.03</v>
      </c>
      <c r="S3312" s="2" t="s">
        <v>1973</v>
      </c>
      <c r="T3312" s="2">
        <v>1.3</v>
      </c>
      <c r="U3312" s="2">
        <v>62.5</v>
      </c>
      <c r="V3312" s="2">
        <v>63</v>
      </c>
      <c r="W3312" s="2" t="s">
        <v>7862</v>
      </c>
      <c r="X3312" s="2" t="s">
        <v>3851</v>
      </c>
      <c r="Y3312" s="2">
        <v>17766</v>
      </c>
      <c r="Z3312" s="19" t="str">
        <f>HYPERLINK("https://ssdweb.co/ssdweb/hd/Vision360.html?d=926010264&amp;zoomslide=1&amp;z=1926010264&amp;ISCONFIRM=0","VIDEO")</f>
        <v>VIDEO</v>
      </c>
      <c r="AA3312" s="19" t="str">
        <f>HYPERLINK("https://ssdweb.co/ssdweb/CERTH/639406127.pdf","CERTI")</f>
        <v>CERTI</v>
      </c>
    </row>
    <row r="3313" spans="1:27" ht="15" x14ac:dyDescent="0.25">
      <c r="A3313" s="2">
        <v>3308</v>
      </c>
      <c r="B3313" s="39">
        <v>926030062</v>
      </c>
      <c r="C3313" s="28" t="str">
        <f>HYPERLINK("https://pld.live/RapDetail.aspx?STONELIST=926030062","DNA")</f>
        <v>DNA</v>
      </c>
      <c r="D3313" s="18" t="s">
        <v>4563</v>
      </c>
      <c r="E3313" s="18" t="s">
        <v>2186</v>
      </c>
      <c r="F3313" s="2" t="s">
        <v>7987</v>
      </c>
      <c r="G3313" s="2" t="s">
        <v>7023</v>
      </c>
      <c r="H3313" s="14">
        <v>3.24</v>
      </c>
      <c r="I3313" s="2" t="s">
        <v>6874</v>
      </c>
      <c r="J3313" s="2" t="s">
        <v>5144</v>
      </c>
      <c r="K3313" s="2" t="s">
        <v>1452</v>
      </c>
      <c r="L3313" s="2" t="s">
        <v>5221</v>
      </c>
      <c r="M3313" s="2" t="s">
        <v>5221</v>
      </c>
      <c r="N3313" s="2" t="s">
        <v>924</v>
      </c>
      <c r="O3313" s="14">
        <v>5400</v>
      </c>
      <c r="P3313" s="14">
        <v>93.52</v>
      </c>
      <c r="Q3313" s="14">
        <v>349.92</v>
      </c>
      <c r="R3313" s="14">
        <v>1133.74</v>
      </c>
      <c r="S3313" s="2" t="s">
        <v>6200</v>
      </c>
      <c r="T3313" s="2">
        <v>1.2</v>
      </c>
      <c r="U3313" s="2">
        <v>66.2</v>
      </c>
      <c r="V3313" s="2">
        <v>59</v>
      </c>
      <c r="W3313" s="2" t="s">
        <v>7862</v>
      </c>
      <c r="X3313" s="2" t="s">
        <v>3851</v>
      </c>
      <c r="Y3313" s="2">
        <v>17496</v>
      </c>
      <c r="Z3313" s="19" t="str">
        <f>HYPERLINK("https://ssdweb.co/ssdweb/hd/Vision360.html?d=926030062&amp;zoomslide=1&amp;z=1926030062&amp;ISCONFIRM=0","VIDEO")</f>
        <v>VIDEO</v>
      </c>
      <c r="AA3313" s="19" t="str">
        <f>HYPERLINK("https://ssdweb.co/ssdweb/CERTH/635427157.pdf","CERTI")</f>
        <v>CERTI</v>
      </c>
    </row>
    <row r="3314" spans="1:27" ht="15" x14ac:dyDescent="0.25">
      <c r="A3314" s="2">
        <v>3309</v>
      </c>
      <c r="B3314" s="39">
        <v>926030144</v>
      </c>
      <c r="C3314" s="28" t="str">
        <f>HYPERLINK("https://pld.live/RapDetail.aspx?STONELIST=926030144","DNA")</f>
        <v>DNA</v>
      </c>
      <c r="D3314" s="18" t="s">
        <v>4563</v>
      </c>
      <c r="E3314" s="18" t="s">
        <v>2186</v>
      </c>
      <c r="F3314" s="2" t="s">
        <v>7987</v>
      </c>
      <c r="G3314" s="2" t="s">
        <v>7023</v>
      </c>
      <c r="H3314" s="14">
        <v>3.23</v>
      </c>
      <c r="I3314" s="2" t="s">
        <v>6874</v>
      </c>
      <c r="J3314" s="2" t="s">
        <v>5144</v>
      </c>
      <c r="K3314" s="2" t="s">
        <v>1452</v>
      </c>
      <c r="L3314" s="2" t="s">
        <v>5221</v>
      </c>
      <c r="M3314" s="2" t="s">
        <v>5221</v>
      </c>
      <c r="N3314" s="2" t="s">
        <v>924</v>
      </c>
      <c r="O3314" s="14">
        <v>5400</v>
      </c>
      <c r="P3314" s="14">
        <v>93.52</v>
      </c>
      <c r="Q3314" s="14">
        <v>349.92</v>
      </c>
      <c r="R3314" s="14">
        <v>1130.24</v>
      </c>
      <c r="S3314" s="2" t="s">
        <v>7497</v>
      </c>
      <c r="T3314" s="2">
        <v>1.33</v>
      </c>
      <c r="U3314" s="2">
        <v>63.5</v>
      </c>
      <c r="V3314" s="2">
        <v>62</v>
      </c>
      <c r="W3314" s="2" t="s">
        <v>7862</v>
      </c>
      <c r="X3314" s="2" t="s">
        <v>3851</v>
      </c>
      <c r="Y3314" s="2">
        <v>17442</v>
      </c>
      <c r="Z3314" s="19" t="str">
        <f>HYPERLINK("https://ssdweb.co/ssdweb/hd/Vision360.html?d=926030144&amp;zoomslide=1&amp;z=1926030144&amp;ISCONFIRM=0","VIDEO")</f>
        <v>VIDEO</v>
      </c>
      <c r="AA3314" s="19" t="str">
        <f>HYPERLINK("https://ssdweb.co/ssdweb/CERTH/635427158.pdf","CERTI")</f>
        <v>CERTI</v>
      </c>
    </row>
    <row r="3315" spans="1:27" ht="15" x14ac:dyDescent="0.25">
      <c r="A3315" s="2">
        <v>3310</v>
      </c>
      <c r="B3315" s="39">
        <v>926540181</v>
      </c>
      <c r="C3315" s="28" t="str">
        <f>HYPERLINK("https://pld.live/RapDetail.aspx?STONELIST=926540181","DNA")</f>
        <v>DNA</v>
      </c>
      <c r="D3315" s="18" t="s">
        <v>4563</v>
      </c>
      <c r="E3315" s="18" t="s">
        <v>2186</v>
      </c>
      <c r="F3315" s="2" t="s">
        <v>7987</v>
      </c>
      <c r="G3315" s="2" t="s">
        <v>7023</v>
      </c>
      <c r="H3315" s="14">
        <v>3.21</v>
      </c>
      <c r="I3315" s="2" t="s">
        <v>6845</v>
      </c>
      <c r="J3315" s="2" t="s">
        <v>5144</v>
      </c>
      <c r="K3315" s="2" t="s">
        <v>1452</v>
      </c>
      <c r="L3315" s="2" t="s">
        <v>5221</v>
      </c>
      <c r="M3315" s="2" t="s">
        <v>5221</v>
      </c>
      <c r="N3315" s="2" t="s">
        <v>2317</v>
      </c>
      <c r="O3315" s="14">
        <v>5400</v>
      </c>
      <c r="P3315" s="14">
        <v>96.11</v>
      </c>
      <c r="Q3315" s="14">
        <v>210.06</v>
      </c>
      <c r="R3315" s="14">
        <v>674.29</v>
      </c>
      <c r="S3315" s="2" t="s">
        <v>6643</v>
      </c>
      <c r="T3315" s="2">
        <v>1.34</v>
      </c>
      <c r="U3315" s="2">
        <v>64.5</v>
      </c>
      <c r="V3315" s="2">
        <v>63</v>
      </c>
      <c r="W3315" s="2" t="s">
        <v>7862</v>
      </c>
      <c r="X3315" s="2" t="s">
        <v>3851</v>
      </c>
      <c r="Y3315" s="2">
        <v>17334</v>
      </c>
      <c r="Z3315" s="19" t="str">
        <f>HYPERLINK("https://ssdweb.co/ssdweb/hd/Vision360.html?d=926540181&amp;zoomslide=1&amp;z=1926540181&amp;ISCONFIRM=0","VIDEO")</f>
        <v>VIDEO</v>
      </c>
      <c r="AA3315" s="19" t="str">
        <f>HYPERLINK("https://ssdweb.co/ssdweb/CERTH/649409478.pdf","CERTI")</f>
        <v>CERTI</v>
      </c>
    </row>
    <row r="3316" spans="1:27" ht="15" x14ac:dyDescent="0.25">
      <c r="A3316" s="2">
        <v>3311</v>
      </c>
      <c r="B3316" s="39">
        <v>926540193</v>
      </c>
      <c r="C3316" s="28" t="str">
        <f>HYPERLINK("https://pld.live/RapDetail.aspx?STONELIST=926540193","DNA")</f>
        <v>DNA</v>
      </c>
      <c r="D3316" s="18" t="s">
        <v>4563</v>
      </c>
      <c r="E3316" s="18" t="s">
        <v>2186</v>
      </c>
      <c r="F3316" s="2" t="s">
        <v>7987</v>
      </c>
      <c r="G3316" s="2" t="s">
        <v>7023</v>
      </c>
      <c r="H3316" s="14">
        <v>3.2</v>
      </c>
      <c r="I3316" s="2" t="s">
        <v>6845</v>
      </c>
      <c r="J3316" s="2" t="s">
        <v>13</v>
      </c>
      <c r="K3316" s="2" t="s">
        <v>1452</v>
      </c>
      <c r="L3316" s="2" t="s">
        <v>5221</v>
      </c>
      <c r="M3316" s="2" t="s">
        <v>5221</v>
      </c>
      <c r="N3316" s="2" t="s">
        <v>2317</v>
      </c>
      <c r="O3316" s="14">
        <v>5700</v>
      </c>
      <c r="P3316" s="14">
        <v>95.96</v>
      </c>
      <c r="Q3316" s="14">
        <v>230.28</v>
      </c>
      <c r="R3316" s="14">
        <v>736.9</v>
      </c>
      <c r="S3316" s="2" t="s">
        <v>7613</v>
      </c>
      <c r="T3316" s="2">
        <v>1.39</v>
      </c>
      <c r="U3316" s="2">
        <v>65.099999999999994</v>
      </c>
      <c r="V3316" s="2">
        <v>61</v>
      </c>
      <c r="W3316" s="2" t="s">
        <v>7862</v>
      </c>
      <c r="X3316" s="2" t="s">
        <v>3851</v>
      </c>
      <c r="Y3316" s="2">
        <v>18240</v>
      </c>
      <c r="Z3316" s="19" t="str">
        <f>HYPERLINK("https://ssdweb.co/ssdweb/hd/Vision360.html?d=926540193&amp;zoomslide=1&amp;z=1926540193&amp;ISCONFIRM=0","VIDEO")</f>
        <v>VIDEO</v>
      </c>
      <c r="AA3316" s="19" t="str">
        <f>HYPERLINK("https://ssdweb.co/ssdweb/CERTH/649409476.pdf","CERTI")</f>
        <v>CERTI</v>
      </c>
    </row>
    <row r="3317" spans="1:27" ht="15" x14ac:dyDescent="0.25">
      <c r="A3317" s="2">
        <v>3312</v>
      </c>
      <c r="B3317" s="39">
        <v>831020209</v>
      </c>
      <c r="C3317" s="28" t="str">
        <f>HYPERLINK("https://pld.live/RapDetail.aspx?STONELIST=831020209","DNA")</f>
        <v>DNA</v>
      </c>
      <c r="D3317" s="18" t="s">
        <v>4563</v>
      </c>
      <c r="E3317" s="18" t="s">
        <v>2186</v>
      </c>
      <c r="F3317" s="2" t="s">
        <v>5597</v>
      </c>
      <c r="G3317" s="2" t="s">
        <v>7023</v>
      </c>
      <c r="H3317" s="14">
        <v>3.19</v>
      </c>
      <c r="I3317" s="2" t="s">
        <v>6587</v>
      </c>
      <c r="J3317" s="2" t="s">
        <v>3942</v>
      </c>
      <c r="K3317" s="2" t="s">
        <v>1452</v>
      </c>
      <c r="L3317" s="2" t="s">
        <v>5221</v>
      </c>
      <c r="M3317" s="2" t="s">
        <v>5221</v>
      </c>
      <c r="N3317" s="2" t="s">
        <v>2317</v>
      </c>
      <c r="O3317" s="14">
        <v>24500</v>
      </c>
      <c r="P3317" s="14">
        <v>98.84</v>
      </c>
      <c r="Q3317" s="14">
        <v>284.2</v>
      </c>
      <c r="R3317" s="14">
        <v>906.6</v>
      </c>
      <c r="S3317" s="2" t="s">
        <v>96</v>
      </c>
      <c r="T3317" s="2">
        <v>1.26</v>
      </c>
      <c r="U3317" s="2">
        <v>67.3</v>
      </c>
      <c r="V3317" s="2">
        <v>63</v>
      </c>
      <c r="W3317" s="2" t="s">
        <v>7862</v>
      </c>
      <c r="X3317" s="2" t="s">
        <v>7053</v>
      </c>
      <c r="Y3317" s="2">
        <v>78155</v>
      </c>
      <c r="Z3317" s="19" t="str">
        <f>HYPERLINK("https://ssdweb.co/ssdweb/hd/Vision360.html?d=831020209&amp;zoomslide=1&amp;z=1831020209&amp;ISCONFIRM=0","VIDEO")</f>
        <v>VIDEO</v>
      </c>
      <c r="AA3317" s="19" t="str">
        <f>HYPERLINK("https://ssdweb.co/ssdweb/CERTH/1445473143.pdf","CERTI")</f>
        <v>CERTI</v>
      </c>
    </row>
    <row r="3318" spans="1:27" ht="15" x14ac:dyDescent="0.25">
      <c r="A3318" s="2">
        <v>3313</v>
      </c>
      <c r="B3318" s="39">
        <v>921800095</v>
      </c>
      <c r="C3318" s="28" t="str">
        <f>HYPERLINK("https://pld.live/RapDetail.aspx?STONELIST=921800095","DNA")</f>
        <v>DNA</v>
      </c>
      <c r="D3318" s="18" t="s">
        <v>4563</v>
      </c>
      <c r="E3318" s="18" t="s">
        <v>2186</v>
      </c>
      <c r="F3318" s="2" t="s">
        <v>5597</v>
      </c>
      <c r="G3318" s="2" t="s">
        <v>7023</v>
      </c>
      <c r="H3318" s="14">
        <v>3.17</v>
      </c>
      <c r="I3318" s="2" t="s">
        <v>3722</v>
      </c>
      <c r="J3318" s="2" t="s">
        <v>5144</v>
      </c>
      <c r="K3318" s="2" t="s">
        <v>1452</v>
      </c>
      <c r="L3318" s="2" t="s">
        <v>5221</v>
      </c>
      <c r="M3318" s="2" t="s">
        <v>5221</v>
      </c>
      <c r="N3318" s="2" t="s">
        <v>2317</v>
      </c>
      <c r="O3318" s="14">
        <v>15500</v>
      </c>
      <c r="P3318" s="14">
        <v>98.68</v>
      </c>
      <c r="Q3318" s="14">
        <v>204.6</v>
      </c>
      <c r="R3318" s="14">
        <v>648.58000000000004</v>
      </c>
      <c r="S3318" s="2" t="s">
        <v>2505</v>
      </c>
      <c r="T3318" s="2">
        <v>1.17</v>
      </c>
      <c r="U3318" s="2">
        <v>67.400000000000006</v>
      </c>
      <c r="V3318" s="2">
        <v>62</v>
      </c>
      <c r="W3318" s="2" t="s">
        <v>7862</v>
      </c>
      <c r="X3318" s="2" t="s">
        <v>7053</v>
      </c>
      <c r="Y3318" s="2">
        <v>49135</v>
      </c>
      <c r="Z3318" s="19" t="str">
        <f>HYPERLINK("https://ssdweb.co/ssdweb/hd/Vision360.html?d=921800095&amp;zoomslide=1&amp;z=1921800095&amp;ISCONFIRM=0","VIDEO")</f>
        <v>VIDEO</v>
      </c>
      <c r="AA3318" s="19" t="str">
        <f>HYPERLINK("https://ssdweb.co/ssdweb/CERTH/2408606112.pdf","CERTI")</f>
        <v>CERTI</v>
      </c>
    </row>
    <row r="3319" spans="1:27" ht="15" x14ac:dyDescent="0.25">
      <c r="A3319" s="2">
        <v>3314</v>
      </c>
      <c r="B3319" s="39">
        <v>831020083</v>
      </c>
      <c r="C3319" s="28" t="str">
        <f>HYPERLINK("https://pld.live/RapDetail.aspx?STONELIST=831020083","DNA")</f>
        <v>DNA</v>
      </c>
      <c r="D3319" s="18" t="s">
        <v>4563</v>
      </c>
      <c r="E3319" s="18" t="s">
        <v>2186</v>
      </c>
      <c r="F3319" s="2" t="s">
        <v>5597</v>
      </c>
      <c r="G3319" s="2" t="s">
        <v>7023</v>
      </c>
      <c r="H3319" s="14">
        <v>3.15</v>
      </c>
      <c r="I3319" s="2" t="s">
        <v>1505</v>
      </c>
      <c r="J3319" s="2" t="s">
        <v>13</v>
      </c>
      <c r="K3319" s="2" t="s">
        <v>1452</v>
      </c>
      <c r="L3319" s="2" t="s">
        <v>5221</v>
      </c>
      <c r="M3319" s="2" t="s">
        <v>5221</v>
      </c>
      <c r="N3319" s="2" t="s">
        <v>2317</v>
      </c>
      <c r="O3319" s="14">
        <v>19500</v>
      </c>
      <c r="P3319" s="14">
        <v>98.79</v>
      </c>
      <c r="Q3319" s="14">
        <v>235.95</v>
      </c>
      <c r="R3319" s="14">
        <v>743.24</v>
      </c>
      <c r="S3319" s="2" t="s">
        <v>3896</v>
      </c>
      <c r="T3319" s="2">
        <v>1.2</v>
      </c>
      <c r="U3319" s="2">
        <v>66.7</v>
      </c>
      <c r="V3319" s="2">
        <v>60</v>
      </c>
      <c r="W3319" s="2" t="s">
        <v>7862</v>
      </c>
      <c r="X3319" s="2" t="s">
        <v>7053</v>
      </c>
      <c r="Y3319" s="2">
        <v>61425</v>
      </c>
      <c r="Z3319" s="19" t="str">
        <f>HYPERLINK("https://ssdweb.co/ssdweb/hd/Vision360.html?d=831020083&amp;zoomslide=1&amp;z=1831020083&amp;ISCONFIRM=0","VIDEO")</f>
        <v>VIDEO</v>
      </c>
      <c r="AA3319" s="19" t="str">
        <f>HYPERLINK("https://ssdweb.co/ssdweb/CERTH/6455695065.pdf","CERTI")</f>
        <v>CERTI</v>
      </c>
    </row>
    <row r="3320" spans="1:27" ht="15" x14ac:dyDescent="0.25">
      <c r="A3320" s="2">
        <v>3315</v>
      </c>
      <c r="B3320" s="39">
        <v>923260322</v>
      </c>
      <c r="C3320" s="28" t="str">
        <f>HYPERLINK("https://pld.live/RapDetail.aspx?STONELIST=923260322","DNA")</f>
        <v>DNA</v>
      </c>
      <c r="D3320" s="18" t="s">
        <v>4563</v>
      </c>
      <c r="E3320" s="18" t="s">
        <v>2186</v>
      </c>
      <c r="F3320" s="2" t="s">
        <v>7987</v>
      </c>
      <c r="G3320" s="2" t="s">
        <v>7023</v>
      </c>
      <c r="H3320" s="14">
        <v>3.11</v>
      </c>
      <c r="I3320" s="2" t="s">
        <v>1505</v>
      </c>
      <c r="J3320" s="2" t="s">
        <v>13</v>
      </c>
      <c r="K3320" s="2" t="s">
        <v>1452</v>
      </c>
      <c r="L3320" s="2" t="s">
        <v>5221</v>
      </c>
      <c r="M3320" s="2" t="s">
        <v>5221</v>
      </c>
      <c r="N3320" s="2" t="s">
        <v>2317</v>
      </c>
      <c r="O3320" s="14">
        <v>19500</v>
      </c>
      <c r="P3320" s="14">
        <v>99.38</v>
      </c>
      <c r="Q3320" s="14">
        <v>120.9</v>
      </c>
      <c r="R3320" s="14">
        <v>376</v>
      </c>
      <c r="S3320" s="2" t="s">
        <v>52</v>
      </c>
      <c r="T3320" s="2">
        <v>1.18</v>
      </c>
      <c r="U3320" s="2">
        <v>63.4</v>
      </c>
      <c r="V3320" s="2">
        <v>65.5</v>
      </c>
      <c r="W3320" s="2" t="s">
        <v>7862</v>
      </c>
      <c r="X3320" s="2" t="s">
        <v>3851</v>
      </c>
      <c r="Y3320" s="2">
        <v>60645</v>
      </c>
      <c r="Z3320" s="19" t="str">
        <f>HYPERLINK("https://ssdweb.co/ssdweb/hd/Vision360.html?d=923260322&amp;zoomslide=1&amp;z=1923260322&amp;ISCONFIRM=0","VIDEO")</f>
        <v>VIDEO</v>
      </c>
      <c r="AA3320" s="19" t="str">
        <f>HYPERLINK("https://ssdweb.co/ssdweb/CERTH/539236103.pdf","CERTI")</f>
        <v>CERTI</v>
      </c>
    </row>
    <row r="3321" spans="1:27" ht="15" x14ac:dyDescent="0.25">
      <c r="A3321" s="2">
        <v>3316</v>
      </c>
      <c r="B3321" s="39">
        <v>831020675</v>
      </c>
      <c r="C3321" s="28" t="str">
        <f>HYPERLINK("https://pld.live/RapDetail.aspx?STONELIST=831020675","DNA")</f>
        <v>DNA</v>
      </c>
      <c r="D3321" s="18" t="s">
        <v>4563</v>
      </c>
      <c r="E3321" s="18" t="s">
        <v>2186</v>
      </c>
      <c r="F3321" s="2" t="s">
        <v>7987</v>
      </c>
      <c r="G3321" s="2" t="s">
        <v>7023</v>
      </c>
      <c r="H3321" s="14">
        <v>3.09</v>
      </c>
      <c r="I3321" s="2" t="s">
        <v>6587</v>
      </c>
      <c r="J3321" s="2" t="s">
        <v>5144</v>
      </c>
      <c r="K3321" s="2" t="s">
        <v>1452</v>
      </c>
      <c r="L3321" s="2" t="s">
        <v>5221</v>
      </c>
      <c r="M3321" s="2" t="s">
        <v>5221</v>
      </c>
      <c r="N3321" s="2" t="s">
        <v>2317</v>
      </c>
      <c r="O3321" s="14">
        <v>20500</v>
      </c>
      <c r="P3321" s="14">
        <v>99.37</v>
      </c>
      <c r="Q3321" s="14">
        <v>129.15</v>
      </c>
      <c r="R3321" s="14">
        <v>399.07</v>
      </c>
      <c r="S3321" s="2" t="s">
        <v>1813</v>
      </c>
      <c r="T3321" s="2">
        <v>1.26</v>
      </c>
      <c r="U3321" s="2">
        <v>66.3</v>
      </c>
      <c r="V3321" s="2">
        <v>65</v>
      </c>
      <c r="W3321" s="2" t="s">
        <v>7862</v>
      </c>
      <c r="X3321" s="2" t="s">
        <v>3851</v>
      </c>
      <c r="Y3321" s="2">
        <v>63345</v>
      </c>
      <c r="Z3321" s="19" t="str">
        <f>HYPERLINK("https://ssdweb.co/ssdweb/hd/Vision360.html?d=831020675&amp;zoomslide=1&amp;z=1831020675&amp;ISCONFIRM=0","VIDEO")</f>
        <v>VIDEO</v>
      </c>
      <c r="AA3321" s="19" t="str">
        <f>HYPERLINK("https://ssdweb.co/ssdweb/CERTH/529246133.pdf","CERTI")</f>
        <v>CERTI</v>
      </c>
    </row>
    <row r="3322" spans="1:27" ht="15" x14ac:dyDescent="0.25">
      <c r="A3322" s="2">
        <v>3317</v>
      </c>
      <c r="B3322" s="39">
        <v>921790058</v>
      </c>
      <c r="C3322" s="28" t="str">
        <f>HYPERLINK("https://pld.live/RapDetail.aspx?STONELIST=921790058","DNA")</f>
        <v>DNA</v>
      </c>
      <c r="D3322" s="18" t="s">
        <v>4563</v>
      </c>
      <c r="E3322" s="18" t="s">
        <v>2186</v>
      </c>
      <c r="F3322" s="2" t="s">
        <v>5597</v>
      </c>
      <c r="G3322" s="2" t="s">
        <v>7023</v>
      </c>
      <c r="H3322" s="14">
        <v>3.09</v>
      </c>
      <c r="I3322" s="2" t="s">
        <v>6587</v>
      </c>
      <c r="J3322" s="2" t="s">
        <v>5144</v>
      </c>
      <c r="K3322" s="2" t="s">
        <v>1452</v>
      </c>
      <c r="L3322" s="2" t="s">
        <v>5221</v>
      </c>
      <c r="M3322" s="2" t="s">
        <v>5721</v>
      </c>
      <c r="N3322" s="2" t="s">
        <v>2317</v>
      </c>
      <c r="O3322" s="14">
        <v>20500</v>
      </c>
      <c r="P3322" s="14">
        <v>98.77</v>
      </c>
      <c r="Q3322" s="14">
        <v>252.15</v>
      </c>
      <c r="R3322" s="14">
        <v>779.14</v>
      </c>
      <c r="S3322" s="2" t="s">
        <v>6769</v>
      </c>
      <c r="T3322" s="2">
        <v>1.1499999999999999</v>
      </c>
      <c r="U3322" s="2">
        <v>68.099999999999994</v>
      </c>
      <c r="V3322" s="2">
        <v>62</v>
      </c>
      <c r="W3322" s="2" t="s">
        <v>7862</v>
      </c>
      <c r="X3322" s="2" t="s">
        <v>7053</v>
      </c>
      <c r="Y3322" s="2">
        <v>63345</v>
      </c>
      <c r="Z3322" s="19" t="str">
        <f>HYPERLINK("https://ssdweb.co/ssdweb/hd/Vision360.html?d=921790058&amp;zoomslide=1&amp;z=1921790058&amp;ISCONFIRM=0","VIDEO")</f>
        <v>VIDEO</v>
      </c>
      <c r="AA3322" s="19" t="str">
        <f>HYPERLINK("https://ssdweb.co/ssdweb/CERTH/2404605912.pdf","CERTI")</f>
        <v>CERTI</v>
      </c>
    </row>
    <row r="3323" spans="1:27" ht="15" x14ac:dyDescent="0.25">
      <c r="A3323" s="2">
        <v>3318</v>
      </c>
      <c r="B3323" s="39">
        <v>831020659</v>
      </c>
      <c r="C3323" s="28" t="str">
        <f>HYPERLINK("https://pld.live/RapDetail.aspx?STONELIST=831020659","DNA")</f>
        <v>DNA</v>
      </c>
      <c r="D3323" s="18" t="s">
        <v>4563</v>
      </c>
      <c r="E3323" s="18" t="s">
        <v>2186</v>
      </c>
      <c r="F3323" s="2" t="s">
        <v>7987</v>
      </c>
      <c r="G3323" s="2" t="s">
        <v>7023</v>
      </c>
      <c r="H3323" s="14">
        <v>3.07</v>
      </c>
      <c r="I3323" s="2" t="s">
        <v>6587</v>
      </c>
      <c r="J3323" s="2" t="s">
        <v>13</v>
      </c>
      <c r="K3323" s="2" t="s">
        <v>1452</v>
      </c>
      <c r="L3323" s="2" t="s">
        <v>5221</v>
      </c>
      <c r="M3323" s="2" t="s">
        <v>5221</v>
      </c>
      <c r="N3323" s="2" t="s">
        <v>2317</v>
      </c>
      <c r="O3323" s="14">
        <v>22500</v>
      </c>
      <c r="P3323" s="14">
        <v>99.4</v>
      </c>
      <c r="Q3323" s="14">
        <v>135</v>
      </c>
      <c r="R3323" s="14">
        <v>414.45</v>
      </c>
      <c r="S3323" s="2" t="s">
        <v>2640</v>
      </c>
      <c r="T3323" s="2">
        <v>1.2</v>
      </c>
      <c r="U3323" s="2">
        <v>66.099999999999994</v>
      </c>
      <c r="V3323" s="2">
        <v>62</v>
      </c>
      <c r="W3323" s="2" t="s">
        <v>7862</v>
      </c>
      <c r="X3323" s="2" t="s">
        <v>3851</v>
      </c>
      <c r="Y3323" s="2">
        <v>69075</v>
      </c>
      <c r="Z3323" s="19" t="str">
        <f>HYPERLINK("https://ssdweb.co/ssdweb/hd/Vision360.html?d=831020659&amp;zoomslide=1&amp;z=1831020659&amp;ISCONFIRM=0","VIDEO")</f>
        <v>VIDEO</v>
      </c>
      <c r="AA3323" s="19" t="str">
        <f>HYPERLINK("https://ssdweb.co/ssdweb/CERTH/589306565.pdf","CERTI")</f>
        <v>CERTI</v>
      </c>
    </row>
    <row r="3324" spans="1:27" ht="15" x14ac:dyDescent="0.25">
      <c r="A3324" s="2">
        <v>3319</v>
      </c>
      <c r="B3324" s="39">
        <v>924590266</v>
      </c>
      <c r="C3324" s="28" t="str">
        <f>HYPERLINK("https://pld.live/RapDetail.aspx?STONELIST=924590266","DNA")</f>
        <v>DNA</v>
      </c>
      <c r="D3324" s="18" t="s">
        <v>4563</v>
      </c>
      <c r="E3324" s="18" t="s">
        <v>2186</v>
      </c>
      <c r="F3324" s="2" t="s">
        <v>7987</v>
      </c>
      <c r="G3324" s="2" t="s">
        <v>7023</v>
      </c>
      <c r="H3324" s="14">
        <v>3.06</v>
      </c>
      <c r="I3324" s="2" t="s">
        <v>6587</v>
      </c>
      <c r="J3324" s="2" t="s">
        <v>444</v>
      </c>
      <c r="K3324" s="2" t="s">
        <v>1452</v>
      </c>
      <c r="L3324" s="2" t="s">
        <v>5221</v>
      </c>
      <c r="M3324" s="2" t="s">
        <v>5221</v>
      </c>
      <c r="N3324" s="2" t="s">
        <v>2317</v>
      </c>
      <c r="O3324" s="14">
        <v>18000</v>
      </c>
      <c r="P3324" s="14">
        <v>99.33</v>
      </c>
      <c r="Q3324" s="14">
        <v>120.6</v>
      </c>
      <c r="R3324" s="14">
        <v>369.04</v>
      </c>
      <c r="S3324" s="2" t="s">
        <v>870</v>
      </c>
      <c r="T3324" s="2">
        <v>1.2</v>
      </c>
      <c r="U3324" s="2">
        <v>66.7</v>
      </c>
      <c r="V3324" s="2">
        <v>60</v>
      </c>
      <c r="W3324" s="2" t="s">
        <v>7862</v>
      </c>
      <c r="X3324" s="2" t="s">
        <v>3851</v>
      </c>
      <c r="Y3324" s="2">
        <v>55080</v>
      </c>
      <c r="Z3324" s="19" t="str">
        <f>HYPERLINK("https://ssdweb.co/ssdweb/hd/Vision360.html?d=924590266&amp;zoomslide=1&amp;z=1924590266&amp;ISCONFIRM=0","VIDEO")</f>
        <v>VIDEO</v>
      </c>
      <c r="AA3324" s="19" t="str">
        <f>HYPERLINK("https://ssdweb.co/ssdweb/CERTH/600344385.pdf","CERTI")</f>
        <v>CERTI</v>
      </c>
    </row>
    <row r="3325" spans="1:27" ht="15" x14ac:dyDescent="0.25">
      <c r="A3325" s="2">
        <v>3320</v>
      </c>
      <c r="B3325" s="39">
        <v>921830010</v>
      </c>
      <c r="C3325" s="28" t="str">
        <f>HYPERLINK("https://pld.live/RapDetail.aspx?STONELIST=921830010","DNA")</f>
        <v>DNA</v>
      </c>
      <c r="D3325" s="18" t="s">
        <v>4563</v>
      </c>
      <c r="E3325" s="18" t="s">
        <v>2186</v>
      </c>
      <c r="F3325" s="2" t="s">
        <v>7987</v>
      </c>
      <c r="G3325" s="2" t="s">
        <v>7023</v>
      </c>
      <c r="H3325" s="14">
        <v>3.03</v>
      </c>
      <c r="I3325" s="2" t="s">
        <v>6587</v>
      </c>
      <c r="J3325" s="2" t="s">
        <v>3942</v>
      </c>
      <c r="K3325" s="2" t="s">
        <v>1452</v>
      </c>
      <c r="L3325" s="2" t="s">
        <v>5221</v>
      </c>
      <c r="M3325" s="2" t="s">
        <v>5221</v>
      </c>
      <c r="N3325" s="2" t="s">
        <v>2317</v>
      </c>
      <c r="O3325" s="14">
        <v>24500</v>
      </c>
      <c r="P3325" s="14">
        <v>99.41</v>
      </c>
      <c r="Q3325" s="14">
        <v>144.55000000000001</v>
      </c>
      <c r="R3325" s="14">
        <v>437.99</v>
      </c>
      <c r="S3325" s="2" t="s">
        <v>3010</v>
      </c>
      <c r="T3325" s="2">
        <v>1.2</v>
      </c>
      <c r="U3325" s="2">
        <v>67.099999999999994</v>
      </c>
      <c r="V3325" s="2">
        <v>61.5</v>
      </c>
      <c r="W3325" s="2" t="s">
        <v>8016</v>
      </c>
      <c r="X3325" s="2" t="s">
        <v>3851</v>
      </c>
      <c r="Y3325" s="2">
        <v>74235</v>
      </c>
      <c r="Z3325" s="19" t="str">
        <f>HYPERLINK("https://ssdweb.co/ssdweb/hd/Vision360.html?d=921830010&amp;zoomslide=1&amp;z=1921830010&amp;ISCONFIRM=0","VIDEO")</f>
        <v>VIDEO</v>
      </c>
      <c r="AA3325" s="19" t="str">
        <f>HYPERLINK("https://ssdweb.co/ssdweb/CERTH/499104685.pdf","CERTI")</f>
        <v>CERTI</v>
      </c>
    </row>
    <row r="3326" spans="1:27" ht="15" x14ac:dyDescent="0.25">
      <c r="A3326" s="2">
        <v>3321</v>
      </c>
      <c r="B3326" s="39">
        <v>831020706</v>
      </c>
      <c r="C3326" s="28" t="str">
        <f>HYPERLINK("https://pld.live/RapDetail.aspx?STONELIST=831020706","DNA")</f>
        <v>DNA</v>
      </c>
      <c r="D3326" s="18" t="s">
        <v>4563</v>
      </c>
      <c r="E3326" s="18" t="s">
        <v>2186</v>
      </c>
      <c r="F3326" s="2" t="s">
        <v>7987</v>
      </c>
      <c r="G3326" s="2" t="s">
        <v>7023</v>
      </c>
      <c r="H3326" s="14">
        <v>3.03</v>
      </c>
      <c r="I3326" s="2" t="s">
        <v>6587</v>
      </c>
      <c r="J3326" s="2" t="s">
        <v>13</v>
      </c>
      <c r="K3326" s="2" t="s">
        <v>1452</v>
      </c>
      <c r="L3326" s="2" t="s">
        <v>5221</v>
      </c>
      <c r="M3326" s="2" t="s">
        <v>5221</v>
      </c>
      <c r="N3326" s="2" t="s">
        <v>2317</v>
      </c>
      <c r="O3326" s="14">
        <v>22500</v>
      </c>
      <c r="P3326" s="14">
        <v>99.4</v>
      </c>
      <c r="Q3326" s="14">
        <v>135</v>
      </c>
      <c r="R3326" s="14">
        <v>409.05</v>
      </c>
      <c r="S3326" s="2" t="s">
        <v>2502</v>
      </c>
      <c r="T3326" s="2">
        <v>1.2</v>
      </c>
      <c r="U3326" s="2">
        <v>65.599999999999994</v>
      </c>
      <c r="V3326" s="2">
        <v>61</v>
      </c>
      <c r="W3326" s="2" t="s">
        <v>7862</v>
      </c>
      <c r="X3326" s="2" t="s">
        <v>3851</v>
      </c>
      <c r="Y3326" s="2">
        <v>68175</v>
      </c>
      <c r="Z3326" s="19" t="str">
        <f>HYPERLINK("https://ssdweb.co/ssdweb/hd/Vision360.html?d=831020706&amp;zoomslide=1&amp;z=1831020706&amp;ISCONFIRM=0","VIDEO")</f>
        <v>VIDEO</v>
      </c>
      <c r="AA3326" s="19" t="str">
        <f>HYPERLINK("https://ssdweb.co/ssdweb/CERTH/569395094.pdf","CERTI")</f>
        <v>CERTI</v>
      </c>
    </row>
    <row r="3327" spans="1:27" ht="15" x14ac:dyDescent="0.25">
      <c r="A3327" s="2">
        <v>3322</v>
      </c>
      <c r="B3327" s="39">
        <v>923790337</v>
      </c>
      <c r="C3327" s="28" t="str">
        <f>HYPERLINK("https://pld.live/RapDetail.aspx?STONELIST=923790337","DNA")</f>
        <v>DNA</v>
      </c>
      <c r="D3327" s="18" t="s">
        <v>4563</v>
      </c>
      <c r="E3327" s="18" t="s">
        <v>2186</v>
      </c>
      <c r="F3327" s="2" t="s">
        <v>7987</v>
      </c>
      <c r="G3327" s="2" t="s">
        <v>7023</v>
      </c>
      <c r="H3327" s="14">
        <v>3.03</v>
      </c>
      <c r="I3327" s="2" t="s">
        <v>1505</v>
      </c>
      <c r="J3327" s="2" t="s">
        <v>13</v>
      </c>
      <c r="K3327" s="2" t="s">
        <v>1452</v>
      </c>
      <c r="L3327" s="2" t="s">
        <v>5221</v>
      </c>
      <c r="M3327" s="2" t="s">
        <v>5221</v>
      </c>
      <c r="N3327" s="2" t="s">
        <v>2317</v>
      </c>
      <c r="O3327" s="14">
        <v>19500</v>
      </c>
      <c r="P3327" s="14">
        <v>99.39</v>
      </c>
      <c r="Q3327" s="14">
        <v>118.95</v>
      </c>
      <c r="R3327" s="14">
        <v>360.42</v>
      </c>
      <c r="S3327" s="2" t="s">
        <v>2945</v>
      </c>
      <c r="T3327" s="2">
        <v>1.2</v>
      </c>
      <c r="U3327" s="2">
        <v>65.8</v>
      </c>
      <c r="V3327" s="2">
        <v>63</v>
      </c>
      <c r="W3327" s="2" t="s">
        <v>8016</v>
      </c>
      <c r="X3327" s="2" t="s">
        <v>3851</v>
      </c>
      <c r="Y3327" s="2">
        <v>59085</v>
      </c>
      <c r="Z3327" s="19" t="str">
        <f>HYPERLINK("https://ssdweb.co/ssdweb/hd/Vision360.html?d=923790337&amp;zoomslide=1&amp;z=1923790337&amp;ISCONFIRM=0","VIDEO")</f>
        <v>VIDEO</v>
      </c>
      <c r="AA3327" s="19" t="str">
        <f>HYPERLINK("https://ssdweb.co/ssdweb/CERTH/566302055.pdf","CERTI")</f>
        <v>CERTI</v>
      </c>
    </row>
    <row r="3328" spans="1:27" ht="15" x14ac:dyDescent="0.25">
      <c r="A3328" s="2">
        <v>3323</v>
      </c>
      <c r="B3328" s="39">
        <v>926930933</v>
      </c>
      <c r="C3328" s="28" t="str">
        <f>HYPERLINK("https://pld.live/RapDetail.aspx?STONELIST=926930933","DNA")</f>
        <v>DNA</v>
      </c>
      <c r="D3328" s="18" t="s">
        <v>4563</v>
      </c>
      <c r="E3328" s="18" t="s">
        <v>2186</v>
      </c>
      <c r="F3328" s="2" t="s">
        <v>7987</v>
      </c>
      <c r="G3328" s="2" t="s">
        <v>7023</v>
      </c>
      <c r="H3328" s="14">
        <v>3.02</v>
      </c>
      <c r="I3328" s="2" t="s">
        <v>4761</v>
      </c>
      <c r="J3328" s="2" t="s">
        <v>13</v>
      </c>
      <c r="K3328" s="2" t="s">
        <v>1452</v>
      </c>
      <c r="L3328" s="2" t="s">
        <v>5221</v>
      </c>
      <c r="M3328" s="2" t="s">
        <v>5221</v>
      </c>
      <c r="N3328" s="2" t="s">
        <v>2317</v>
      </c>
      <c r="O3328" s="14">
        <v>27500</v>
      </c>
      <c r="P3328" s="14">
        <v>99.44</v>
      </c>
      <c r="Q3328" s="14">
        <v>154</v>
      </c>
      <c r="R3328" s="14">
        <v>465.08</v>
      </c>
      <c r="S3328" s="2" t="s">
        <v>5340</v>
      </c>
      <c r="T3328" s="2">
        <v>1.23</v>
      </c>
      <c r="U3328" s="2">
        <v>63.3</v>
      </c>
      <c r="V3328" s="2">
        <v>62</v>
      </c>
      <c r="W3328" s="2" t="s">
        <v>7862</v>
      </c>
      <c r="X3328" s="2" t="s">
        <v>3851</v>
      </c>
      <c r="Y3328" s="2">
        <v>83050</v>
      </c>
      <c r="Z3328" s="19" t="str">
        <f>HYPERLINK("https://ssdweb.co/ssdweb/hd/Vision360.html?d=926930933&amp;zoomslide=1&amp;z=1926930933&amp;ISCONFIRM=0","VIDEO")</f>
        <v>VIDEO</v>
      </c>
      <c r="AA3328" s="19" t="str">
        <f>HYPERLINK("https://ssdweb.co/ssdweb/CERTH/665453221.pdf","CERTI")</f>
        <v>CERTI</v>
      </c>
    </row>
    <row r="3329" spans="1:27" ht="15" x14ac:dyDescent="0.25">
      <c r="A3329" s="2">
        <v>3324</v>
      </c>
      <c r="B3329" s="39">
        <v>921810038</v>
      </c>
      <c r="C3329" s="28" t="str">
        <f>HYPERLINK("https://pld.live/RapDetail.aspx?STONELIST=921810038","DNA")</f>
        <v>DNA</v>
      </c>
      <c r="D3329" s="18" t="s">
        <v>4563</v>
      </c>
      <c r="E3329" s="18" t="s">
        <v>2186</v>
      </c>
      <c r="F3329" s="2" t="s">
        <v>5597</v>
      </c>
      <c r="G3329" s="2" t="s">
        <v>7023</v>
      </c>
      <c r="H3329" s="14">
        <v>3.02</v>
      </c>
      <c r="I3329" s="2" t="s">
        <v>1505</v>
      </c>
      <c r="J3329" s="2" t="s">
        <v>13</v>
      </c>
      <c r="K3329" s="2" t="s">
        <v>1452</v>
      </c>
      <c r="L3329" s="2" t="s">
        <v>5221</v>
      </c>
      <c r="M3329" s="2" t="s">
        <v>5221</v>
      </c>
      <c r="N3329" s="2" t="s">
        <v>2317</v>
      </c>
      <c r="O3329" s="14">
        <v>19500</v>
      </c>
      <c r="P3329" s="14">
        <v>98.79</v>
      </c>
      <c r="Q3329" s="14">
        <v>235.95</v>
      </c>
      <c r="R3329" s="14">
        <v>712.57</v>
      </c>
      <c r="S3329" s="2" t="s">
        <v>2047</v>
      </c>
      <c r="T3329" s="2">
        <v>1.2</v>
      </c>
      <c r="U3329" s="2">
        <v>67.3</v>
      </c>
      <c r="V3329" s="2">
        <v>61</v>
      </c>
      <c r="W3329" s="2" t="s">
        <v>7862</v>
      </c>
      <c r="X3329" s="2" t="s">
        <v>7053</v>
      </c>
      <c r="Y3329" s="2">
        <v>58890</v>
      </c>
      <c r="Z3329" s="19" t="str">
        <f>HYPERLINK("https://ssdweb.co/ssdweb/hd/Vision360.html?d=921810038&amp;zoomslide=1&amp;z=1921810038&amp;ISCONFIRM=0","VIDEO")</f>
        <v>VIDEO</v>
      </c>
      <c r="AA3329" s="19" t="str">
        <f>HYPERLINK("https://ssdweb.co/ssdweb/CERTH/7406605903.pdf","CERTI")</f>
        <v>CERTI</v>
      </c>
    </row>
    <row r="3330" spans="1:27" ht="15" x14ac:dyDescent="0.25">
      <c r="A3330" s="2">
        <v>3325</v>
      </c>
      <c r="B3330" s="39">
        <v>926910616</v>
      </c>
      <c r="C3330" s="28" t="str">
        <f>HYPERLINK("https://pld.live/RapDetail.aspx?STONELIST=926910616","DNA")</f>
        <v>DNA</v>
      </c>
      <c r="D3330" s="18" t="s">
        <v>4563</v>
      </c>
      <c r="E3330" s="18" t="s">
        <v>2186</v>
      </c>
      <c r="F3330" s="2" t="s">
        <v>7987</v>
      </c>
      <c r="G3330" s="2" t="s">
        <v>7023</v>
      </c>
      <c r="H3330" s="14">
        <v>3.01</v>
      </c>
      <c r="I3330" s="2" t="s">
        <v>4699</v>
      </c>
      <c r="J3330" s="2" t="s">
        <v>13</v>
      </c>
      <c r="K3330" s="2" t="s">
        <v>1452</v>
      </c>
      <c r="L3330" s="2" t="s">
        <v>5221</v>
      </c>
      <c r="M3330" s="2" t="s">
        <v>5221</v>
      </c>
      <c r="N3330" s="2" t="s">
        <v>2317</v>
      </c>
      <c r="O3330" s="14">
        <v>25000</v>
      </c>
      <c r="P3330" s="14">
        <v>99.4</v>
      </c>
      <c r="Q3330" s="14">
        <v>150</v>
      </c>
      <c r="R3330" s="14">
        <v>451.5</v>
      </c>
      <c r="S3330" s="2" t="s">
        <v>3434</v>
      </c>
      <c r="T3330" s="2">
        <v>1.25</v>
      </c>
      <c r="U3330" s="2">
        <v>66.400000000000006</v>
      </c>
      <c r="V3330" s="2">
        <v>60</v>
      </c>
      <c r="W3330" s="2" t="s">
        <v>7862</v>
      </c>
      <c r="X3330" s="2" t="s">
        <v>3851</v>
      </c>
      <c r="Y3330" s="2">
        <v>75250</v>
      </c>
      <c r="Z3330" s="19" t="str">
        <f>HYPERLINK("https://ssdweb.co/ssdweb/hd/Vision360.html?d=926910616&amp;zoomslide=1&amp;z=1926910616&amp;ISCONFIRM=0","VIDEO")</f>
        <v>VIDEO</v>
      </c>
      <c r="AA3330" s="19" t="str">
        <f>HYPERLINK("https://ssdweb.co/ssdweb/CERTH/660440579.pdf","CERTI")</f>
        <v>CERTI</v>
      </c>
    </row>
    <row r="3331" spans="1:27" ht="15" x14ac:dyDescent="0.25">
      <c r="A3331" s="2">
        <v>3326</v>
      </c>
      <c r="B3331" s="39">
        <v>831020674</v>
      </c>
      <c r="C3331" s="28" t="str">
        <f>HYPERLINK("https://pld.live/RapDetail.aspx?STONELIST=831020674","DNA")</f>
        <v>DNA</v>
      </c>
      <c r="D3331" s="18" t="s">
        <v>4563</v>
      </c>
      <c r="E3331" s="18" t="s">
        <v>2186</v>
      </c>
      <c r="F3331" s="2" t="s">
        <v>7987</v>
      </c>
      <c r="G3331" s="2" t="s">
        <v>7023</v>
      </c>
      <c r="H3331" s="14">
        <v>3.01</v>
      </c>
      <c r="I3331" s="2" t="s">
        <v>6587</v>
      </c>
      <c r="J3331" s="2" t="s">
        <v>5144</v>
      </c>
      <c r="K3331" s="2" t="s">
        <v>1452</v>
      </c>
      <c r="L3331" s="2" t="s">
        <v>5221</v>
      </c>
      <c r="M3331" s="2" t="s">
        <v>5221</v>
      </c>
      <c r="N3331" s="2" t="s">
        <v>2317</v>
      </c>
      <c r="O3331" s="14">
        <v>20500</v>
      </c>
      <c r="P3331" s="14">
        <v>99.38</v>
      </c>
      <c r="Q3331" s="14">
        <v>127.1</v>
      </c>
      <c r="R3331" s="14">
        <v>382.57</v>
      </c>
      <c r="S3331" s="2" t="s">
        <v>1812</v>
      </c>
      <c r="T3331" s="2">
        <v>1.33</v>
      </c>
      <c r="U3331" s="2">
        <v>61.4</v>
      </c>
      <c r="V3331" s="2">
        <v>65.5</v>
      </c>
      <c r="W3331" s="2" t="s">
        <v>8016</v>
      </c>
      <c r="X3331" s="2" t="s">
        <v>3851</v>
      </c>
      <c r="Y3331" s="2">
        <v>61705</v>
      </c>
      <c r="Z3331" s="19" t="str">
        <f>HYPERLINK("https://ssdweb.co/ssdweb/hd/Vision360.html?d=831020674&amp;zoomslide=1&amp;z=1831020674&amp;ISCONFIRM=0","VIDEO")</f>
        <v>VIDEO</v>
      </c>
      <c r="AA3331" s="19" t="str">
        <f>HYPERLINK("https://ssdweb.co/ssdweb/CERTH/529279275.pdf","CERTI")</f>
        <v>CERTI</v>
      </c>
    </row>
    <row r="3332" spans="1:27" ht="15" x14ac:dyDescent="0.25">
      <c r="A3332" s="2">
        <v>3327</v>
      </c>
      <c r="B3332" s="39">
        <v>926150109</v>
      </c>
      <c r="C3332" s="28" t="str">
        <f>HYPERLINK("https://pld.live/RapDetail.aspx?STONELIST=926150109","DNA")</f>
        <v>DNA</v>
      </c>
      <c r="D3332" s="18" t="s">
        <v>2694</v>
      </c>
      <c r="E3332" s="18" t="s">
        <v>2186</v>
      </c>
      <c r="F3332" s="2" t="s">
        <v>7987</v>
      </c>
      <c r="G3332" s="2" t="s">
        <v>7023</v>
      </c>
      <c r="H3332" s="14">
        <v>2.88</v>
      </c>
      <c r="I3332" s="2" t="s">
        <v>6587</v>
      </c>
      <c r="J3332" s="2" t="s">
        <v>13</v>
      </c>
      <c r="K3332" s="2" t="s">
        <v>1452</v>
      </c>
      <c r="L3332" s="2" t="s">
        <v>5221</v>
      </c>
      <c r="M3332" s="2" t="s">
        <v>5221</v>
      </c>
      <c r="N3332" s="2" t="s">
        <v>2317</v>
      </c>
      <c r="O3332" s="14">
        <v>14000</v>
      </c>
      <c r="P3332" s="14">
        <v>99.12</v>
      </c>
      <c r="Q3332" s="14">
        <v>123.2</v>
      </c>
      <c r="R3332" s="14">
        <v>354.82</v>
      </c>
      <c r="S3332" s="2" t="s">
        <v>5468</v>
      </c>
      <c r="T3332" s="2">
        <v>1.28</v>
      </c>
      <c r="U3332" s="2">
        <v>66.599999999999994</v>
      </c>
      <c r="V3332" s="2">
        <v>61</v>
      </c>
      <c r="W3332" s="2" t="s">
        <v>7862</v>
      </c>
      <c r="X3332" s="2" t="s">
        <v>3851</v>
      </c>
      <c r="Y3332" s="2">
        <v>40320</v>
      </c>
      <c r="Z3332" s="19" t="str">
        <f>HYPERLINK("https://ssdweb.co/ssdweb/hd/Vision360.html?d=926150109&amp;zoomslide=1&amp;z=1926150109&amp;ISCONFIRM=0","VIDEO")</f>
        <v>VIDEO</v>
      </c>
      <c r="AA3332" s="19" t="str">
        <f>HYPERLINK("https://ssdweb.co/ssdweb/CERTH/635427021.pdf","CERTI")</f>
        <v>CERTI</v>
      </c>
    </row>
    <row r="3333" spans="1:27" ht="15" x14ac:dyDescent="0.25">
      <c r="A3333" s="2">
        <v>3328</v>
      </c>
      <c r="B3333" s="39">
        <v>926540058</v>
      </c>
      <c r="C3333" s="28" t="str">
        <f>HYPERLINK("https://pld.live/RapDetail.aspx?STONELIST=926540058","DNA")</f>
        <v>DNA</v>
      </c>
      <c r="D3333" s="18" t="s">
        <v>2694</v>
      </c>
      <c r="E3333" s="18" t="s">
        <v>2186</v>
      </c>
      <c r="F3333" s="2" t="s">
        <v>7987</v>
      </c>
      <c r="G3333" s="2" t="s">
        <v>7023</v>
      </c>
      <c r="H3333" s="14">
        <v>2.8</v>
      </c>
      <c r="I3333" s="2" t="s">
        <v>6874</v>
      </c>
      <c r="J3333" s="2" t="s">
        <v>13</v>
      </c>
      <c r="K3333" s="2" t="s">
        <v>1452</v>
      </c>
      <c r="L3333" s="2" t="s">
        <v>5221</v>
      </c>
      <c r="M3333" s="2" t="s">
        <v>5221</v>
      </c>
      <c r="N3333" s="2" t="s">
        <v>924</v>
      </c>
      <c r="O3333" s="14">
        <v>4200</v>
      </c>
      <c r="P3333" s="14">
        <v>90.95</v>
      </c>
      <c r="Q3333" s="14">
        <v>380.1</v>
      </c>
      <c r="R3333" s="14">
        <v>1064.28</v>
      </c>
      <c r="S3333" s="2" t="s">
        <v>7266</v>
      </c>
      <c r="T3333" s="2">
        <v>1.23</v>
      </c>
      <c r="U3333" s="2">
        <v>67.099999999999994</v>
      </c>
      <c r="V3333" s="2">
        <v>62</v>
      </c>
      <c r="W3333" s="2" t="s">
        <v>7862</v>
      </c>
      <c r="X3333" s="2" t="s">
        <v>3851</v>
      </c>
      <c r="Y3333" s="2">
        <v>11760</v>
      </c>
      <c r="Z3333" s="19" t="str">
        <f>HYPERLINK("https://ssdweb.co/ssdweb/hd/Vision360.html?d=926540058&amp;zoomslide=1&amp;z=1926540058&amp;ISCONFIRM=0","VIDEO")</f>
        <v>VIDEO</v>
      </c>
      <c r="AA3333" s="19" t="str">
        <f>HYPERLINK("https://ssdweb.co/ssdweb/CERTH/647475669.pdf","CERTI")</f>
        <v>CERTI</v>
      </c>
    </row>
    <row r="3334" spans="1:27" ht="15" x14ac:dyDescent="0.25">
      <c r="A3334" s="2">
        <v>3329</v>
      </c>
      <c r="B3334" s="39">
        <v>926540171</v>
      </c>
      <c r="C3334" s="28" t="str">
        <f>HYPERLINK("https://pld.live/RapDetail.aspx?STONELIST=926540171","DNA")</f>
        <v>DNA</v>
      </c>
      <c r="D3334" s="18" t="s">
        <v>2694</v>
      </c>
      <c r="E3334" s="18" t="s">
        <v>2186</v>
      </c>
      <c r="F3334" s="2" t="s">
        <v>7987</v>
      </c>
      <c r="G3334" s="2" t="s">
        <v>7023</v>
      </c>
      <c r="H3334" s="14">
        <v>2.77</v>
      </c>
      <c r="I3334" s="2" t="s">
        <v>6874</v>
      </c>
      <c r="J3334" s="2" t="s">
        <v>13</v>
      </c>
      <c r="K3334" s="2" t="s">
        <v>1452</v>
      </c>
      <c r="L3334" s="2" t="s">
        <v>5221</v>
      </c>
      <c r="M3334" s="2" t="s">
        <v>5221</v>
      </c>
      <c r="N3334" s="2" t="s">
        <v>924</v>
      </c>
      <c r="O3334" s="14">
        <v>4000</v>
      </c>
      <c r="P3334" s="14">
        <v>90.5</v>
      </c>
      <c r="Q3334" s="14">
        <v>380</v>
      </c>
      <c r="R3334" s="14">
        <v>1052.5999999999999</v>
      </c>
      <c r="S3334" s="2" t="s">
        <v>545</v>
      </c>
      <c r="T3334" s="2">
        <v>1.21</v>
      </c>
      <c r="U3334" s="2">
        <v>65.599999999999994</v>
      </c>
      <c r="V3334" s="2">
        <v>62</v>
      </c>
      <c r="W3334" s="2" t="s">
        <v>7862</v>
      </c>
      <c r="X3334" s="2" t="s">
        <v>3851</v>
      </c>
      <c r="Y3334" s="2">
        <v>11080</v>
      </c>
      <c r="Z3334" s="19" t="str">
        <f>HYPERLINK("https://ssdweb.co/ssdweb/hd/Vision360.html?d=926540171&amp;zoomslide=1&amp;z=1926540171&amp;ISCONFIRM=0","VIDEO")</f>
        <v>VIDEO</v>
      </c>
      <c r="AA3334" s="19" t="str">
        <f>HYPERLINK("https://ssdweb.co/ssdweb/CERTH/651466440.pdf","CERTI")</f>
        <v>CERTI</v>
      </c>
    </row>
    <row r="3335" spans="1:27" ht="15" x14ac:dyDescent="0.25">
      <c r="A3335" s="2">
        <v>3330</v>
      </c>
      <c r="B3335" s="39">
        <v>926990537</v>
      </c>
      <c r="C3335" s="28" t="str">
        <f>HYPERLINK("https://pld.live/RapDetail.aspx?STONELIST=926990537","DNA")</f>
        <v>DNA</v>
      </c>
      <c r="D3335" s="18" t="s">
        <v>2694</v>
      </c>
      <c r="E3335" s="18" t="s">
        <v>2186</v>
      </c>
      <c r="F3335" s="2" t="s">
        <v>7987</v>
      </c>
      <c r="G3335" s="2" t="s">
        <v>7023</v>
      </c>
      <c r="H3335" s="14">
        <v>2.73</v>
      </c>
      <c r="I3335" s="2" t="s">
        <v>4699</v>
      </c>
      <c r="J3335" s="2" t="s">
        <v>13</v>
      </c>
      <c r="K3335" s="2" t="s">
        <v>1452</v>
      </c>
      <c r="L3335" s="2" t="s">
        <v>5221</v>
      </c>
      <c r="M3335" s="2" t="s">
        <v>5221</v>
      </c>
      <c r="N3335" s="2" t="s">
        <v>2317</v>
      </c>
      <c r="O3335" s="14">
        <v>15000</v>
      </c>
      <c r="P3335" s="14">
        <v>99.1</v>
      </c>
      <c r="Q3335" s="14">
        <v>135</v>
      </c>
      <c r="R3335" s="14">
        <v>368.55</v>
      </c>
      <c r="S3335" s="2" t="s">
        <v>7388</v>
      </c>
      <c r="T3335" s="2">
        <v>1.25</v>
      </c>
      <c r="U3335" s="2">
        <v>67.5</v>
      </c>
      <c r="V3335" s="2">
        <v>63</v>
      </c>
      <c r="W3335" s="2" t="s">
        <v>7862</v>
      </c>
      <c r="X3335" s="2" t="s">
        <v>3851</v>
      </c>
      <c r="Y3335" s="2">
        <v>40950</v>
      </c>
      <c r="Z3335" s="19" t="str">
        <f>HYPERLINK("https://ssdweb.co/ssdweb/hd/Vision360.html?d=926990537&amp;zoomslide=1&amp;z=1926990537&amp;ISCONFIRM=0","VIDEO")</f>
        <v>VIDEO</v>
      </c>
      <c r="AA3335" s="19" t="str">
        <f>HYPERLINK("https://ssdweb.co/ssdweb/CERTH/665411189.pdf","CERTI")</f>
        <v>CERTI</v>
      </c>
    </row>
    <row r="3336" spans="1:27" ht="15" x14ac:dyDescent="0.25">
      <c r="A3336" s="2">
        <v>3331</v>
      </c>
      <c r="B3336" s="39">
        <v>926540155</v>
      </c>
      <c r="C3336" s="28" t="str">
        <f>HYPERLINK("https://pld.live/RapDetail.aspx?STONELIST=926540155","DNA")</f>
        <v>DNA</v>
      </c>
      <c r="D3336" s="18" t="s">
        <v>4032</v>
      </c>
      <c r="E3336" s="18" t="s">
        <v>2186</v>
      </c>
      <c r="F3336" s="2" t="s">
        <v>7987</v>
      </c>
      <c r="G3336" s="2" t="s">
        <v>7023</v>
      </c>
      <c r="H3336" s="14">
        <v>2.54</v>
      </c>
      <c r="I3336" s="2" t="s">
        <v>6874</v>
      </c>
      <c r="J3336" s="2" t="s">
        <v>13</v>
      </c>
      <c r="K3336" s="2" t="s">
        <v>1452</v>
      </c>
      <c r="L3336" s="2" t="s">
        <v>5221</v>
      </c>
      <c r="M3336" s="2" t="s">
        <v>5221</v>
      </c>
      <c r="N3336" s="2" t="s">
        <v>924</v>
      </c>
      <c r="O3336" s="14">
        <v>4000</v>
      </c>
      <c r="P3336" s="14">
        <v>90.5</v>
      </c>
      <c r="Q3336" s="14">
        <v>380</v>
      </c>
      <c r="R3336" s="14">
        <v>965.2</v>
      </c>
      <c r="S3336" s="2" t="s">
        <v>6180</v>
      </c>
      <c r="T3336" s="2">
        <v>1.38</v>
      </c>
      <c r="U3336" s="2">
        <v>64.8</v>
      </c>
      <c r="V3336" s="2">
        <v>63</v>
      </c>
      <c r="W3336" s="2" t="s">
        <v>7862</v>
      </c>
      <c r="X3336" s="2" t="s">
        <v>3851</v>
      </c>
      <c r="Y3336" s="2">
        <v>10160</v>
      </c>
      <c r="Z3336" s="19" t="str">
        <f>HYPERLINK("https://ssdweb.co/ssdweb/hd/Vision360.html?d=926540155&amp;zoomslide=1&amp;z=1926540155&amp;ISCONFIRM=0","VIDEO")</f>
        <v>VIDEO</v>
      </c>
      <c r="AA3336" s="19" t="str">
        <f>HYPERLINK("https://ssdweb.co/ssdweb/CERTH/651466431.pdf","CERTI")</f>
        <v>CERTI</v>
      </c>
    </row>
    <row r="3337" spans="1:27" ht="15" x14ac:dyDescent="0.25">
      <c r="A3337" s="2">
        <v>3332</v>
      </c>
      <c r="B3337" s="39">
        <v>926540149</v>
      </c>
      <c r="C3337" s="28" t="str">
        <f>HYPERLINK("https://pld.live/RapDetail.aspx?STONELIST=926540149","DNA")</f>
        <v>DNA</v>
      </c>
      <c r="D3337" s="18" t="s">
        <v>4032</v>
      </c>
      <c r="E3337" s="18" t="s">
        <v>2186</v>
      </c>
      <c r="F3337" s="2" t="s">
        <v>7987</v>
      </c>
      <c r="G3337" s="2" t="s">
        <v>7023</v>
      </c>
      <c r="H3337" s="14">
        <v>2.52</v>
      </c>
      <c r="I3337" s="2" t="s">
        <v>6874</v>
      </c>
      <c r="J3337" s="2" t="s">
        <v>13</v>
      </c>
      <c r="K3337" s="2" t="s">
        <v>1452</v>
      </c>
      <c r="L3337" s="2" t="s">
        <v>5221</v>
      </c>
      <c r="M3337" s="2" t="s">
        <v>5221</v>
      </c>
      <c r="N3337" s="2" t="s">
        <v>924</v>
      </c>
      <c r="O3337" s="14">
        <v>4000</v>
      </c>
      <c r="P3337" s="14">
        <v>90.5</v>
      </c>
      <c r="Q3337" s="14">
        <v>380</v>
      </c>
      <c r="R3337" s="14">
        <v>957.6</v>
      </c>
      <c r="S3337" s="2" t="s">
        <v>5384</v>
      </c>
      <c r="T3337" s="2">
        <v>1.19</v>
      </c>
      <c r="U3337" s="2">
        <v>63</v>
      </c>
      <c r="V3337" s="2">
        <v>63</v>
      </c>
      <c r="W3337" s="2" t="s">
        <v>7862</v>
      </c>
      <c r="X3337" s="2" t="s">
        <v>3851</v>
      </c>
      <c r="Y3337" s="2">
        <v>10080</v>
      </c>
      <c r="Z3337" s="19" t="str">
        <f>HYPERLINK("https://ssdweb.co/ssdweb/hd/Vision360.html?d=926540149&amp;zoomslide=1&amp;z=1926540149&amp;ISCONFIRM=0","VIDEO")</f>
        <v>VIDEO</v>
      </c>
      <c r="AA3337" s="19" t="str">
        <f>HYPERLINK("https://ssdweb.co/ssdweb/CERTH/651466432.pdf","CERTI")</f>
        <v>CERTI</v>
      </c>
    </row>
    <row r="3338" spans="1:27" ht="15" x14ac:dyDescent="0.25">
      <c r="A3338" s="2">
        <v>3333</v>
      </c>
      <c r="B3338" s="39">
        <v>831020546</v>
      </c>
      <c r="C3338" s="28" t="str">
        <f>HYPERLINK("https://pld.live/RapDetail.aspx?STONELIST=831020546","DNA")</f>
        <v>DNA</v>
      </c>
      <c r="D3338" s="18" t="s">
        <v>5154</v>
      </c>
      <c r="E3338" s="18" t="s">
        <v>2186</v>
      </c>
      <c r="F3338" s="2" t="s">
        <v>7987</v>
      </c>
      <c r="G3338" s="2" t="s">
        <v>7023</v>
      </c>
      <c r="H3338" s="14">
        <v>2.41</v>
      </c>
      <c r="I3338" s="2" t="s">
        <v>6587</v>
      </c>
      <c r="J3338" s="2" t="s">
        <v>444</v>
      </c>
      <c r="K3338" s="2" t="s">
        <v>1452</v>
      </c>
      <c r="L3338" s="2" t="s">
        <v>5221</v>
      </c>
      <c r="M3338" s="2" t="s">
        <v>5221</v>
      </c>
      <c r="N3338" s="2" t="s">
        <v>2317</v>
      </c>
      <c r="O3338" s="14">
        <v>10700</v>
      </c>
      <c r="P3338" s="14">
        <v>99.02</v>
      </c>
      <c r="Q3338" s="14">
        <v>104.86</v>
      </c>
      <c r="R3338" s="14">
        <v>252.71</v>
      </c>
      <c r="S3338" s="2" t="s">
        <v>62</v>
      </c>
      <c r="T3338" s="2">
        <v>1.21</v>
      </c>
      <c r="U3338" s="2">
        <v>67.5</v>
      </c>
      <c r="V3338" s="2">
        <v>61</v>
      </c>
      <c r="W3338" s="2" t="s">
        <v>7862</v>
      </c>
      <c r="X3338" s="2" t="s">
        <v>3851</v>
      </c>
      <c r="Y3338" s="2">
        <v>25787</v>
      </c>
      <c r="Z3338" s="19" t="str">
        <f>HYPERLINK("https://ssdweb.co/ssdweb/hd/Vision360.html?d=831020546&amp;zoomslide=1&amp;z=1831020546&amp;ISCONFIRM=0","VIDEO")</f>
        <v>VIDEO</v>
      </c>
      <c r="AA3338" s="19" t="str">
        <f>HYPERLINK("https://ssdweb.co/ssdweb/CERTH/588354766.pdf","CERTI")</f>
        <v>CERTI</v>
      </c>
    </row>
    <row r="3339" spans="1:27" ht="15" x14ac:dyDescent="0.25">
      <c r="A3339" s="2">
        <v>3334</v>
      </c>
      <c r="B3339" s="39">
        <v>831020084</v>
      </c>
      <c r="C3339" s="28" t="str">
        <f>HYPERLINK("https://pld.live/RapDetail.aspx?STONELIST=831020084","DNA")</f>
        <v>DNA</v>
      </c>
      <c r="D3339" s="18" t="s">
        <v>5154</v>
      </c>
      <c r="E3339" s="18" t="s">
        <v>2186</v>
      </c>
      <c r="F3339" s="2" t="s">
        <v>5597</v>
      </c>
      <c r="G3339" s="2" t="s">
        <v>7023</v>
      </c>
      <c r="H3339" s="14">
        <v>2.41</v>
      </c>
      <c r="I3339" s="2" t="s">
        <v>1505</v>
      </c>
      <c r="J3339" s="2" t="s">
        <v>3942</v>
      </c>
      <c r="K3339" s="2" t="s">
        <v>1452</v>
      </c>
      <c r="L3339" s="2" t="s">
        <v>5221</v>
      </c>
      <c r="M3339" s="2" t="s">
        <v>5221</v>
      </c>
      <c r="N3339" s="2" t="s">
        <v>2317</v>
      </c>
      <c r="O3339" s="14">
        <v>12000</v>
      </c>
      <c r="P3339" s="14">
        <v>98.25</v>
      </c>
      <c r="Q3339" s="14">
        <v>210</v>
      </c>
      <c r="R3339" s="14">
        <v>506.1</v>
      </c>
      <c r="S3339" s="2" t="s">
        <v>1679</v>
      </c>
      <c r="T3339" s="2">
        <v>1.26</v>
      </c>
      <c r="U3339" s="2">
        <v>67.3</v>
      </c>
      <c r="V3339" s="2">
        <v>62</v>
      </c>
      <c r="W3339" s="2" t="s">
        <v>7862</v>
      </c>
      <c r="X3339" s="2" t="s">
        <v>7053</v>
      </c>
      <c r="Y3339" s="2">
        <v>28920</v>
      </c>
      <c r="Z3339" s="19" t="str">
        <f>HYPERLINK("https://ssdweb.co/ssdweb/hd/Vision360.html?d=831020084&amp;zoomslide=1&amp;z=1831020084&amp;ISCONFIRM=0","VIDEO")</f>
        <v>VIDEO</v>
      </c>
      <c r="AA3339" s="19" t="str">
        <f>HYPERLINK("https://ssdweb.co/ssdweb/CERTH/6451208346.pdf","CERTI")</f>
        <v>CERTI</v>
      </c>
    </row>
    <row r="3340" spans="1:27" ht="15" x14ac:dyDescent="0.25">
      <c r="A3340" s="2">
        <v>3335</v>
      </c>
      <c r="B3340" s="39">
        <v>926540210</v>
      </c>
      <c r="C3340" s="28" t="str">
        <f>HYPERLINK("https://pld.live/RapDetail.aspx?STONELIST=926540210","DNA")</f>
        <v>DNA</v>
      </c>
      <c r="D3340" s="18" t="s">
        <v>5154</v>
      </c>
      <c r="E3340" s="18" t="s">
        <v>2186</v>
      </c>
      <c r="F3340" s="2" t="s">
        <v>7987</v>
      </c>
      <c r="G3340" s="2" t="s">
        <v>7023</v>
      </c>
      <c r="H3340" s="14">
        <v>2.41</v>
      </c>
      <c r="I3340" s="2" t="s">
        <v>6874</v>
      </c>
      <c r="J3340" s="2" t="s">
        <v>13</v>
      </c>
      <c r="K3340" s="2" t="s">
        <v>1452</v>
      </c>
      <c r="L3340" s="2" t="s">
        <v>5221</v>
      </c>
      <c r="M3340" s="2" t="s">
        <v>5221</v>
      </c>
      <c r="N3340" s="2" t="s">
        <v>924</v>
      </c>
      <c r="O3340" s="14">
        <v>4000</v>
      </c>
      <c r="P3340" s="14">
        <v>90.75</v>
      </c>
      <c r="Q3340" s="14">
        <v>370</v>
      </c>
      <c r="R3340" s="14">
        <v>891.7</v>
      </c>
      <c r="S3340" s="2" t="s">
        <v>4615</v>
      </c>
      <c r="T3340" s="2">
        <v>1.35</v>
      </c>
      <c r="U3340" s="2">
        <v>66.5</v>
      </c>
      <c r="V3340" s="2">
        <v>62</v>
      </c>
      <c r="W3340" s="2" t="s">
        <v>7862</v>
      </c>
      <c r="X3340" s="2" t="s">
        <v>3851</v>
      </c>
      <c r="Y3340" s="2">
        <v>9640</v>
      </c>
      <c r="Z3340" s="19" t="str">
        <f>HYPERLINK("https://ssdweb.co/ssdweb/hd/Vision360.html?d=926540210&amp;zoomslide=1&amp;z=1926540210&amp;ISCONFIRM=0","VIDEO")</f>
        <v>VIDEO</v>
      </c>
      <c r="AA3340" s="19" t="str">
        <f>HYPERLINK("https://ssdweb.co/ssdweb/CERTH/651466441.pdf","CERTI")</f>
        <v>CERTI</v>
      </c>
    </row>
    <row r="3341" spans="1:27" ht="15" x14ac:dyDescent="0.25">
      <c r="A3341" s="2">
        <v>3336</v>
      </c>
      <c r="B3341" s="39">
        <v>923510618</v>
      </c>
      <c r="C3341" s="28" t="str">
        <f>HYPERLINK("https://pld.live/RapDetail.aspx?STONELIST=923510618","DNA")</f>
        <v>DNA</v>
      </c>
      <c r="D3341" s="18" t="s">
        <v>5154</v>
      </c>
      <c r="E3341" s="18" t="s">
        <v>2186</v>
      </c>
      <c r="F3341" s="2" t="s">
        <v>5597</v>
      </c>
      <c r="G3341" s="2" t="s">
        <v>7023</v>
      </c>
      <c r="H3341" s="14">
        <v>2.4</v>
      </c>
      <c r="I3341" s="2" t="s">
        <v>6587</v>
      </c>
      <c r="J3341" s="2" t="s">
        <v>13</v>
      </c>
      <c r="K3341" s="2" t="s">
        <v>1452</v>
      </c>
      <c r="L3341" s="2" t="s">
        <v>5221</v>
      </c>
      <c r="M3341" s="2" t="s">
        <v>5221</v>
      </c>
      <c r="N3341" s="2" t="s">
        <v>2317</v>
      </c>
      <c r="O3341" s="14">
        <v>14000</v>
      </c>
      <c r="P3341" s="14">
        <v>98.46</v>
      </c>
      <c r="Q3341" s="14">
        <v>215.6</v>
      </c>
      <c r="R3341" s="14">
        <v>517.44000000000005</v>
      </c>
      <c r="S3341" s="2" t="s">
        <v>2239</v>
      </c>
      <c r="T3341" s="2">
        <v>1.18</v>
      </c>
      <c r="U3341" s="2">
        <v>66.5</v>
      </c>
      <c r="V3341" s="2">
        <v>62</v>
      </c>
      <c r="W3341" s="2" t="s">
        <v>7862</v>
      </c>
      <c r="X3341" s="2" t="s">
        <v>7053</v>
      </c>
      <c r="Y3341" s="2">
        <v>33600</v>
      </c>
      <c r="Z3341" s="19" t="str">
        <f>HYPERLINK("https://ssdweb.co/ssdweb/hd/Vision360.html?d=923510618&amp;zoomslide=1&amp;z=1923510618&amp;ISCONFIRM=0","VIDEO")</f>
        <v>VIDEO</v>
      </c>
      <c r="AA3341" s="19" t="str">
        <f>HYPERLINK("https://ssdweb.co/ssdweb/CERTH/6451208320.pdf","CERTI")</f>
        <v>CERTI</v>
      </c>
    </row>
    <row r="3342" spans="1:27" ht="15" x14ac:dyDescent="0.25">
      <c r="A3342" s="2">
        <v>3337</v>
      </c>
      <c r="B3342" s="39">
        <v>925542741</v>
      </c>
      <c r="C3342" s="28" t="str">
        <f>HYPERLINK("https://pld.live/RapDetail.aspx?STONELIST=925542741","DNA")</f>
        <v>DNA</v>
      </c>
      <c r="D3342" s="18" t="s">
        <v>3658</v>
      </c>
      <c r="E3342" s="18" t="s">
        <v>5128</v>
      </c>
      <c r="F3342" s="2" t="s">
        <v>7987</v>
      </c>
      <c r="G3342" s="2" t="s">
        <v>7023</v>
      </c>
      <c r="H3342" s="14">
        <v>2.23</v>
      </c>
      <c r="I3342" s="2" t="s">
        <v>6587</v>
      </c>
      <c r="J3342" s="2" t="s">
        <v>3942</v>
      </c>
      <c r="K3342" s="2" t="s">
        <v>1452</v>
      </c>
      <c r="L3342" s="2" t="s">
        <v>5221</v>
      </c>
      <c r="M3342" s="2" t="s">
        <v>5221</v>
      </c>
      <c r="N3342" s="2" t="s">
        <v>2317</v>
      </c>
      <c r="O3342" s="14">
        <v>15000</v>
      </c>
      <c r="P3342" s="14">
        <v>99.18</v>
      </c>
      <c r="Q3342" s="14">
        <v>123</v>
      </c>
      <c r="R3342" s="14">
        <v>274.29000000000002</v>
      </c>
      <c r="S3342" s="2" t="s">
        <v>3670</v>
      </c>
      <c r="T3342" s="2">
        <v>1.2</v>
      </c>
      <c r="U3342" s="2">
        <v>66.3</v>
      </c>
      <c r="V3342" s="2">
        <v>61</v>
      </c>
      <c r="W3342" s="2" t="s">
        <v>8016</v>
      </c>
      <c r="X3342" s="2" t="s">
        <v>3851</v>
      </c>
      <c r="Y3342" s="2">
        <v>33450</v>
      </c>
      <c r="Z3342" s="19" t="str">
        <f>HYPERLINK("https://ssdweb.co/ssdweb/hd/Vision360.html?d=925542741&amp;zoomslide=1&amp;z=1925542741&amp;ISCONFIRM=0","VIDEO")</f>
        <v>VIDEO</v>
      </c>
      <c r="AA3342" s="19" t="str">
        <f>HYPERLINK("https://ssdweb.co/ssdweb/CERTH/622461220.pdf","CERTI")</f>
        <v>CERTI</v>
      </c>
    </row>
    <row r="3343" spans="1:27" ht="15" x14ac:dyDescent="0.25">
      <c r="A3343" s="2">
        <v>3338</v>
      </c>
      <c r="B3343" s="39">
        <v>924590296</v>
      </c>
      <c r="C3343" s="28" t="str">
        <f>HYPERLINK("https://pld.live/RapDetail.aspx?STONELIST=924590296","DNA")</f>
        <v>DNA</v>
      </c>
      <c r="D3343" s="18" t="s">
        <v>3658</v>
      </c>
      <c r="E3343" s="18" t="s">
        <v>2186</v>
      </c>
      <c r="F3343" s="2" t="s">
        <v>7987</v>
      </c>
      <c r="G3343" s="2" t="s">
        <v>7023</v>
      </c>
      <c r="H3343" s="14">
        <v>2.2200000000000002</v>
      </c>
      <c r="I3343" s="2" t="s">
        <v>6587</v>
      </c>
      <c r="J3343" s="2" t="s">
        <v>5144</v>
      </c>
      <c r="K3343" s="2" t="s">
        <v>1452</v>
      </c>
      <c r="L3343" s="2" t="s">
        <v>5221</v>
      </c>
      <c r="M3343" s="2" t="s">
        <v>5221</v>
      </c>
      <c r="N3343" s="2" t="s">
        <v>2317</v>
      </c>
      <c r="O3343" s="14">
        <v>13000</v>
      </c>
      <c r="P3343" s="14">
        <v>99.15</v>
      </c>
      <c r="Q3343" s="14">
        <v>110.5</v>
      </c>
      <c r="R3343" s="14">
        <v>245.31</v>
      </c>
      <c r="S3343" s="2" t="s">
        <v>5078</v>
      </c>
      <c r="T3343" s="2">
        <v>1.2</v>
      </c>
      <c r="U3343" s="2">
        <v>66.599999999999994</v>
      </c>
      <c r="V3343" s="2">
        <v>61</v>
      </c>
      <c r="W3343" s="2" t="s">
        <v>7862</v>
      </c>
      <c r="X3343" s="2" t="s">
        <v>7053</v>
      </c>
      <c r="Y3343" s="2">
        <v>28860</v>
      </c>
      <c r="Z3343" s="19" t="str">
        <f>HYPERLINK("https://ssdweb.co/ssdweb/hd/Vision360.html?d=924590296&amp;zoomslide=1&amp;z=1924590296&amp;ISCONFIRM=0","VIDEO")</f>
        <v>VIDEO</v>
      </c>
      <c r="AA3343" s="19" t="str">
        <f>HYPERLINK("https://ssdweb.co/ssdweb/CERTH/600304748.pdf","CERTI")</f>
        <v>CERTI</v>
      </c>
    </row>
    <row r="3344" spans="1:27" ht="15" x14ac:dyDescent="0.25">
      <c r="A3344" s="2">
        <v>3339</v>
      </c>
      <c r="B3344" s="39">
        <v>831010126</v>
      </c>
      <c r="C3344" s="28" t="str">
        <f>HYPERLINK("https://pld.live/RapDetail.aspx?STONELIST=831010126","DNA")</f>
        <v>DNA</v>
      </c>
      <c r="D3344" s="18" t="s">
        <v>3658</v>
      </c>
      <c r="E3344" s="18" t="s">
        <v>5128</v>
      </c>
      <c r="F3344" s="2" t="s">
        <v>5597</v>
      </c>
      <c r="G3344" s="2" t="s">
        <v>7023</v>
      </c>
      <c r="H3344" s="14">
        <v>2.2000000000000002</v>
      </c>
      <c r="I3344" s="2" t="s">
        <v>267</v>
      </c>
      <c r="J3344" s="2" t="s">
        <v>5144</v>
      </c>
      <c r="K3344" s="2" t="s">
        <v>1452</v>
      </c>
      <c r="L3344" s="2" t="s">
        <v>5221</v>
      </c>
      <c r="M3344" s="2" t="s">
        <v>5221</v>
      </c>
      <c r="N3344" s="2" t="s">
        <v>2317</v>
      </c>
      <c r="O3344" s="14">
        <v>16000</v>
      </c>
      <c r="P3344" s="14">
        <v>98.5</v>
      </c>
      <c r="Q3344" s="14">
        <v>240</v>
      </c>
      <c r="R3344" s="14">
        <v>528</v>
      </c>
      <c r="S3344" s="2" t="s">
        <v>4718</v>
      </c>
      <c r="T3344" s="2">
        <v>1.22</v>
      </c>
      <c r="U3344" s="2">
        <v>66.400000000000006</v>
      </c>
      <c r="V3344" s="2">
        <v>61</v>
      </c>
      <c r="W3344" s="2" t="s">
        <v>7862</v>
      </c>
      <c r="X3344" s="2" t="s">
        <v>7053</v>
      </c>
      <c r="Y3344" s="2">
        <v>35200</v>
      </c>
      <c r="Z3344" s="19" t="str">
        <f>HYPERLINK("https://ssdweb.co/ssdweb/hd/Vision360.html?d=831010126&amp;zoomslide=1&amp;z=1831010126&amp;ISCONFIRM=0","VIDEO")</f>
        <v>VIDEO</v>
      </c>
      <c r="AA3344" s="19" t="str">
        <f>HYPERLINK("https://ssdweb.co/ssdweb/CERTH/6451397650.pdf","CERTI")</f>
        <v>CERTI</v>
      </c>
    </row>
    <row r="3345" spans="1:27" ht="15" x14ac:dyDescent="0.25">
      <c r="A3345" s="2">
        <v>3340</v>
      </c>
      <c r="B3345" s="39">
        <v>926150111</v>
      </c>
      <c r="C3345" s="28" t="str">
        <f>HYPERLINK("https://pld.live/RapDetail.aspx?STONELIST=926150111","DNA")</f>
        <v>DNA</v>
      </c>
      <c r="D3345" s="18" t="s">
        <v>3658</v>
      </c>
      <c r="E3345" s="18" t="s">
        <v>2186</v>
      </c>
      <c r="F3345" s="2" t="s">
        <v>7987</v>
      </c>
      <c r="G3345" s="2" t="s">
        <v>7023</v>
      </c>
      <c r="H3345" s="14">
        <v>2.12</v>
      </c>
      <c r="I3345" s="2" t="s">
        <v>4699</v>
      </c>
      <c r="J3345" s="2" t="s">
        <v>5144</v>
      </c>
      <c r="K3345" s="2" t="s">
        <v>1452</v>
      </c>
      <c r="L3345" s="2" t="s">
        <v>5221</v>
      </c>
      <c r="M3345" s="2" t="s">
        <v>5221</v>
      </c>
      <c r="N3345" s="2" t="s">
        <v>2317</v>
      </c>
      <c r="O3345" s="14">
        <v>14000</v>
      </c>
      <c r="P3345" s="14">
        <v>99.16</v>
      </c>
      <c r="Q3345" s="14">
        <v>117.6</v>
      </c>
      <c r="R3345" s="14">
        <v>249.31</v>
      </c>
      <c r="S3345" s="2" t="s">
        <v>2975</v>
      </c>
      <c r="T3345" s="2">
        <v>1.2</v>
      </c>
      <c r="U3345" s="2">
        <v>63.7</v>
      </c>
      <c r="V3345" s="2">
        <v>61</v>
      </c>
      <c r="W3345" s="2" t="s">
        <v>7862</v>
      </c>
      <c r="X3345" s="2" t="s">
        <v>3851</v>
      </c>
      <c r="Y3345" s="2">
        <v>29680</v>
      </c>
      <c r="Z3345" s="19" t="str">
        <f>HYPERLINK("https://ssdweb.co/ssdweb/hd/Vision360.html?d=926150111&amp;zoomslide=1&amp;z=1926150111&amp;ISCONFIRM=0","VIDEO")</f>
        <v>VIDEO</v>
      </c>
      <c r="AA3345" s="19" t="str">
        <f>HYPERLINK("https://ssdweb.co/ssdweb/CERTH/635427020.pdf","CERTI")</f>
        <v>CERTI</v>
      </c>
    </row>
    <row r="3346" spans="1:27" ht="15" x14ac:dyDescent="0.25">
      <c r="A3346" s="2">
        <v>3341</v>
      </c>
      <c r="B3346" s="39">
        <v>926071605</v>
      </c>
      <c r="C3346" s="28" t="str">
        <f>HYPERLINK("https://pld.live/RapDetail.aspx?STONELIST=926071605","DNA")</f>
        <v>DNA</v>
      </c>
      <c r="D3346" s="18" t="s">
        <v>3658</v>
      </c>
      <c r="E3346" s="18" t="s">
        <v>5128</v>
      </c>
      <c r="F3346" s="2" t="s">
        <v>7987</v>
      </c>
      <c r="G3346" s="2" t="s">
        <v>7023</v>
      </c>
      <c r="H3346" s="14">
        <v>2.11</v>
      </c>
      <c r="I3346" s="2" t="s">
        <v>267</v>
      </c>
      <c r="J3346" s="2" t="s">
        <v>3942</v>
      </c>
      <c r="K3346" s="2" t="s">
        <v>1452</v>
      </c>
      <c r="L3346" s="2" t="s">
        <v>5221</v>
      </c>
      <c r="M3346" s="2" t="s">
        <v>5221</v>
      </c>
      <c r="N3346" s="2" t="s">
        <v>2317</v>
      </c>
      <c r="O3346" s="14">
        <v>18500</v>
      </c>
      <c r="P3346" s="14">
        <v>99.11</v>
      </c>
      <c r="Q3346" s="14">
        <v>164.65</v>
      </c>
      <c r="R3346" s="14">
        <v>347.41</v>
      </c>
      <c r="S3346" s="2" t="s">
        <v>3803</v>
      </c>
      <c r="T3346" s="2">
        <v>1.19</v>
      </c>
      <c r="U3346" s="2">
        <v>67</v>
      </c>
      <c r="V3346" s="2">
        <v>63</v>
      </c>
      <c r="W3346" s="2" t="s">
        <v>7862</v>
      </c>
      <c r="X3346" s="2" t="s">
        <v>3851</v>
      </c>
      <c r="Y3346" s="2">
        <v>39035</v>
      </c>
      <c r="Z3346" s="19" t="str">
        <f>HYPERLINK("https://ssdweb.co/ssdweb/hd/Vision360.html?d=926071605&amp;zoomslide=1&amp;z=1926071605&amp;ISCONFIRM=0","VIDEO")</f>
        <v>VIDEO</v>
      </c>
      <c r="AA3346" s="19" t="str">
        <f>HYPERLINK("https://ssdweb.co/ssdweb/CERTH/631430414.pdf","CERTI")</f>
        <v>CERTI</v>
      </c>
    </row>
    <row r="3347" spans="1:27" ht="15" x14ac:dyDescent="0.25">
      <c r="A3347" s="2">
        <v>3342</v>
      </c>
      <c r="B3347" s="39">
        <v>926020776</v>
      </c>
      <c r="C3347" s="28" t="str">
        <f>HYPERLINK("https://pld.live/RapDetail.aspx?STONELIST=926020776","DNA")</f>
        <v>DNA</v>
      </c>
      <c r="D3347" s="18" t="s">
        <v>3658</v>
      </c>
      <c r="E3347" s="18" t="s">
        <v>5128</v>
      </c>
      <c r="F3347" s="2" t="s">
        <v>7987</v>
      </c>
      <c r="G3347" s="2" t="s">
        <v>7023</v>
      </c>
      <c r="H3347" s="14">
        <v>2.11</v>
      </c>
      <c r="I3347" s="2" t="s">
        <v>267</v>
      </c>
      <c r="J3347" s="2" t="s">
        <v>5144</v>
      </c>
      <c r="K3347" s="2" t="s">
        <v>1452</v>
      </c>
      <c r="L3347" s="2" t="s">
        <v>5221</v>
      </c>
      <c r="M3347" s="2" t="s">
        <v>5221</v>
      </c>
      <c r="N3347" s="2" t="s">
        <v>2317</v>
      </c>
      <c r="O3347" s="14">
        <v>16000</v>
      </c>
      <c r="P3347" s="14">
        <v>99.13</v>
      </c>
      <c r="Q3347" s="14">
        <v>139.19999999999999</v>
      </c>
      <c r="R3347" s="14">
        <v>293.70999999999998</v>
      </c>
      <c r="S3347" s="2" t="s">
        <v>4652</v>
      </c>
      <c r="T3347" s="2">
        <v>1.2</v>
      </c>
      <c r="U3347" s="2">
        <v>66.7</v>
      </c>
      <c r="V3347" s="2">
        <v>62</v>
      </c>
      <c r="W3347" s="2" t="s">
        <v>7862</v>
      </c>
      <c r="X3347" s="2" t="s">
        <v>3851</v>
      </c>
      <c r="Y3347" s="2">
        <v>33760</v>
      </c>
      <c r="Z3347" s="19" t="str">
        <f>HYPERLINK("https://ssdweb.co/ssdweb/hd/Vision360.html?d=926020776&amp;zoomslide=1&amp;z=1926020776&amp;ISCONFIRM=0","VIDEO")</f>
        <v>VIDEO</v>
      </c>
      <c r="AA3347" s="19" t="str">
        <f>HYPERLINK("https://ssdweb.co/ssdweb/CERTH/631430238.pdf","CERTI")</f>
        <v>CERTI</v>
      </c>
    </row>
    <row r="3348" spans="1:27" ht="15" x14ac:dyDescent="0.25">
      <c r="A3348" s="2">
        <v>3343</v>
      </c>
      <c r="B3348" s="39">
        <v>925981288</v>
      </c>
      <c r="C3348" s="28" t="str">
        <f>HYPERLINK("https://pld.live/RapDetail.aspx?STONELIST=925981288","DNA")</f>
        <v>DNA</v>
      </c>
      <c r="D3348" s="18" t="s">
        <v>3658</v>
      </c>
      <c r="E3348" s="18" t="s">
        <v>5128</v>
      </c>
      <c r="F3348" s="2" t="s">
        <v>7987</v>
      </c>
      <c r="G3348" s="2" t="s">
        <v>7023</v>
      </c>
      <c r="H3348" s="14">
        <v>2.11</v>
      </c>
      <c r="I3348" s="2" t="s">
        <v>4761</v>
      </c>
      <c r="J3348" s="2" t="s">
        <v>6555</v>
      </c>
      <c r="K3348" s="2" t="s">
        <v>1452</v>
      </c>
      <c r="L3348" s="2" t="s">
        <v>5221</v>
      </c>
      <c r="M3348" s="2" t="s">
        <v>5221</v>
      </c>
      <c r="N3348" s="2" t="s">
        <v>2317</v>
      </c>
      <c r="O3348" s="14">
        <v>18500</v>
      </c>
      <c r="P3348" s="14">
        <v>98.65</v>
      </c>
      <c r="Q3348" s="14">
        <v>249.75</v>
      </c>
      <c r="R3348" s="14">
        <v>526.97</v>
      </c>
      <c r="S3348" s="2" t="s">
        <v>4219</v>
      </c>
      <c r="T3348" s="2">
        <v>1.21</v>
      </c>
      <c r="U3348" s="2">
        <v>65.3</v>
      </c>
      <c r="V3348" s="2">
        <v>59</v>
      </c>
      <c r="W3348" s="2" t="s">
        <v>7862</v>
      </c>
      <c r="X3348" s="2" t="s">
        <v>3851</v>
      </c>
      <c r="Y3348" s="2">
        <v>39035</v>
      </c>
      <c r="Z3348" s="19" t="str">
        <f>HYPERLINK("https://ssdweb.co/ssdweb/hd/Vision360.html?d=925981288&amp;zoomslide=1&amp;z=1925981288&amp;ISCONFIRM=0","VIDEO")</f>
        <v>VIDEO</v>
      </c>
      <c r="AA3348" s="19" t="str">
        <f>HYPERLINK("https://ssdweb.co/ssdweb/CERTH/631464182.pdf","CERTI")</f>
        <v>CERTI</v>
      </c>
    </row>
    <row r="3349" spans="1:27" ht="15" x14ac:dyDescent="0.25">
      <c r="A3349" s="2">
        <v>3344</v>
      </c>
      <c r="B3349" s="39">
        <v>831020705</v>
      </c>
      <c r="C3349" s="28" t="str">
        <f>HYPERLINK("https://pld.live/RapDetail.aspx?STONELIST=831020705","DNA")</f>
        <v>DNA</v>
      </c>
      <c r="D3349" s="18" t="s">
        <v>3658</v>
      </c>
      <c r="E3349" s="18" t="s">
        <v>2186</v>
      </c>
      <c r="F3349" s="2" t="s">
        <v>7987</v>
      </c>
      <c r="G3349" s="2" t="s">
        <v>7023</v>
      </c>
      <c r="H3349" s="14">
        <v>2.11</v>
      </c>
      <c r="I3349" s="2" t="s">
        <v>4699</v>
      </c>
      <c r="J3349" s="2" t="s">
        <v>5144</v>
      </c>
      <c r="K3349" s="2" t="s">
        <v>1452</v>
      </c>
      <c r="L3349" s="2" t="s">
        <v>5221</v>
      </c>
      <c r="M3349" s="2" t="s">
        <v>5221</v>
      </c>
      <c r="N3349" s="2" t="s">
        <v>2317</v>
      </c>
      <c r="O3349" s="14">
        <v>14000</v>
      </c>
      <c r="P3349" s="14">
        <v>99.18</v>
      </c>
      <c r="Q3349" s="14">
        <v>114.8</v>
      </c>
      <c r="R3349" s="14">
        <v>242.23</v>
      </c>
      <c r="S3349" s="2" t="s">
        <v>1437</v>
      </c>
      <c r="T3349" s="2">
        <v>1.35</v>
      </c>
      <c r="U3349" s="2">
        <v>64.8</v>
      </c>
      <c r="V3349" s="2">
        <v>63</v>
      </c>
      <c r="W3349" s="2" t="s">
        <v>7862</v>
      </c>
      <c r="X3349" s="2" t="s">
        <v>3851</v>
      </c>
      <c r="Y3349" s="2">
        <v>29540</v>
      </c>
      <c r="Z3349" s="19" t="str">
        <f>HYPERLINK("https://ssdweb.co/ssdweb/hd/Vision360.html?d=831020705&amp;zoomslide=1&amp;z=1831020705&amp;ISCONFIRM=0","VIDEO")</f>
        <v>VIDEO</v>
      </c>
      <c r="AA3349" s="19" t="str">
        <f>HYPERLINK("https://ssdweb.co/ssdweb/CERTH/598378432.pdf","CERTI")</f>
        <v>CERTI</v>
      </c>
    </row>
    <row r="3350" spans="1:27" ht="15" x14ac:dyDescent="0.25">
      <c r="A3350" s="2">
        <v>3345</v>
      </c>
      <c r="B3350" s="39">
        <v>923700298</v>
      </c>
      <c r="C3350" s="28" t="str">
        <f>HYPERLINK("https://pld.live/RapDetail.aspx?STONELIST=923700298","DNA")</f>
        <v>DNA</v>
      </c>
      <c r="D3350" s="18" t="s">
        <v>3658</v>
      </c>
      <c r="E3350" s="18" t="s">
        <v>2186</v>
      </c>
      <c r="F3350" s="2" t="s">
        <v>7987</v>
      </c>
      <c r="G3350" s="2" t="s">
        <v>7023</v>
      </c>
      <c r="H3350" s="14">
        <v>2.11</v>
      </c>
      <c r="I3350" s="2" t="s">
        <v>1505</v>
      </c>
      <c r="J3350" s="2" t="s">
        <v>13</v>
      </c>
      <c r="K3350" s="2" t="s">
        <v>1452</v>
      </c>
      <c r="L3350" s="2" t="s">
        <v>5221</v>
      </c>
      <c r="M3350" s="2" t="s">
        <v>5221</v>
      </c>
      <c r="N3350" s="2" t="s">
        <v>2317</v>
      </c>
      <c r="O3350" s="14">
        <v>11500</v>
      </c>
      <c r="P3350" s="14">
        <v>99.04</v>
      </c>
      <c r="Q3350" s="14">
        <v>110.4</v>
      </c>
      <c r="R3350" s="14">
        <v>232.94</v>
      </c>
      <c r="S3350" s="2" t="s">
        <v>4367</v>
      </c>
      <c r="T3350" s="2">
        <v>1.29</v>
      </c>
      <c r="U3350" s="2">
        <v>66.400000000000006</v>
      </c>
      <c r="V3350" s="2">
        <v>59.5</v>
      </c>
      <c r="W3350" s="2" t="s">
        <v>7862</v>
      </c>
      <c r="X3350" s="2" t="s">
        <v>3851</v>
      </c>
      <c r="Y3350" s="2">
        <v>24265</v>
      </c>
      <c r="Z3350" s="19" t="str">
        <f>HYPERLINK("https://ssdweb.co/ssdweb/hd/Vision360.html?d=923700298&amp;zoomslide=1&amp;z=1923700298&amp;ISCONFIRM=0","VIDEO")</f>
        <v>VIDEO</v>
      </c>
      <c r="AA3350" s="19" t="str">
        <f>HYPERLINK("https://ssdweb.co/ssdweb/CERTH/563203769.pdf","CERTI")</f>
        <v>CERTI</v>
      </c>
    </row>
    <row r="3351" spans="1:27" ht="15" x14ac:dyDescent="0.25">
      <c r="A3351" s="2">
        <v>3346</v>
      </c>
      <c r="B3351" s="39">
        <v>924730237</v>
      </c>
      <c r="C3351" s="28" t="str">
        <f>HYPERLINK("https://pld.live/RapDetail.aspx?STONELIST=924730237","DNA")</f>
        <v>DNA</v>
      </c>
      <c r="D3351" s="18" t="s">
        <v>3658</v>
      </c>
      <c r="E3351" s="18" t="s">
        <v>5128</v>
      </c>
      <c r="F3351" s="2" t="s">
        <v>7987</v>
      </c>
      <c r="G3351" s="2" t="s">
        <v>7023</v>
      </c>
      <c r="H3351" s="14">
        <v>2.09</v>
      </c>
      <c r="I3351" s="2" t="s">
        <v>267</v>
      </c>
      <c r="J3351" s="2" t="s">
        <v>444</v>
      </c>
      <c r="K3351" s="2" t="s">
        <v>1452</v>
      </c>
      <c r="L3351" s="2" t="s">
        <v>5221</v>
      </c>
      <c r="M3351" s="2" t="s">
        <v>5221</v>
      </c>
      <c r="N3351" s="2" t="s">
        <v>2317</v>
      </c>
      <c r="O3351" s="14">
        <v>13500</v>
      </c>
      <c r="P3351" s="14">
        <v>99.07</v>
      </c>
      <c r="Q3351" s="14">
        <v>125.55</v>
      </c>
      <c r="R3351" s="14">
        <v>262.39999999999998</v>
      </c>
      <c r="S3351" s="2" t="s">
        <v>4995</v>
      </c>
      <c r="T3351" s="2">
        <v>1.2</v>
      </c>
      <c r="U3351" s="2">
        <v>66.900000000000006</v>
      </c>
      <c r="V3351" s="2">
        <v>61</v>
      </c>
      <c r="W3351" s="2" t="s">
        <v>7862</v>
      </c>
      <c r="X3351" s="2" t="s">
        <v>7053</v>
      </c>
      <c r="Y3351" s="2">
        <v>28215</v>
      </c>
      <c r="Z3351" s="19" t="str">
        <f>HYPERLINK("https://ssdweb.co/ssdweb/hd/Vision360.html?d=924730237&amp;zoomslide=1&amp;z=1924730237&amp;ISCONFIRM=0","VIDEO")</f>
        <v>VIDEO</v>
      </c>
      <c r="AA3351" s="19" t="str">
        <f>HYPERLINK("https://ssdweb.co/ssdweb/CERTH/600304740.pdf","CERTI")</f>
        <v>CERTI</v>
      </c>
    </row>
    <row r="3352" spans="1:27" ht="15" x14ac:dyDescent="0.25">
      <c r="A3352" s="2">
        <v>3347</v>
      </c>
      <c r="B3352" s="39">
        <v>925981260</v>
      </c>
      <c r="C3352" s="28" t="str">
        <f>HYPERLINK("https://pld.live/RapDetail.aspx?STONELIST=925981260","DNA")</f>
        <v>DNA</v>
      </c>
      <c r="D3352" s="18" t="s">
        <v>3658</v>
      </c>
      <c r="E3352" s="18" t="s">
        <v>5128</v>
      </c>
      <c r="F3352" s="2" t="s">
        <v>7987</v>
      </c>
      <c r="G3352" s="2" t="s">
        <v>7023</v>
      </c>
      <c r="H3352" s="14">
        <v>2.09</v>
      </c>
      <c r="I3352" s="2" t="s">
        <v>4761</v>
      </c>
      <c r="J3352" s="2" t="s">
        <v>13</v>
      </c>
      <c r="K3352" s="2" t="s">
        <v>1452</v>
      </c>
      <c r="L3352" s="2" t="s">
        <v>5221</v>
      </c>
      <c r="M3352" s="2" t="s">
        <v>5221</v>
      </c>
      <c r="N3352" s="2" t="s">
        <v>2317</v>
      </c>
      <c r="O3352" s="14">
        <v>16000</v>
      </c>
      <c r="P3352" s="14">
        <v>99.22</v>
      </c>
      <c r="Q3352" s="14">
        <v>124.8</v>
      </c>
      <c r="R3352" s="14">
        <v>260.83</v>
      </c>
      <c r="S3352" s="2" t="s">
        <v>7278</v>
      </c>
      <c r="T3352" s="2">
        <v>1.27</v>
      </c>
      <c r="U3352" s="2">
        <v>64.400000000000006</v>
      </c>
      <c r="V3352" s="2">
        <v>62</v>
      </c>
      <c r="W3352" s="2" t="s">
        <v>7862</v>
      </c>
      <c r="X3352" s="2" t="s">
        <v>3851</v>
      </c>
      <c r="Y3352" s="2">
        <v>33440</v>
      </c>
      <c r="Z3352" s="19" t="str">
        <f>HYPERLINK("https://ssdweb.co/ssdweb/hd/Vision360.html?d=925981260&amp;zoomslide=1&amp;z=1925981260&amp;ISCONFIRM=0","VIDEO")</f>
        <v>VIDEO</v>
      </c>
      <c r="AA3352" s="19" t="str">
        <f>HYPERLINK("https://ssdweb.co/ssdweb/CERTH/631430236.pdf","CERTI")</f>
        <v>CERTI</v>
      </c>
    </row>
    <row r="3353" spans="1:27" ht="15" x14ac:dyDescent="0.25">
      <c r="A3353" s="2">
        <v>3348</v>
      </c>
      <c r="B3353" s="39">
        <v>924590290</v>
      </c>
      <c r="C3353" s="28" t="str">
        <f>HYPERLINK("https://pld.live/RapDetail.aspx?STONELIST=924590290","DNA")</f>
        <v>DNA</v>
      </c>
      <c r="D3353" s="18" t="s">
        <v>3658</v>
      </c>
      <c r="E3353" s="18" t="s">
        <v>2186</v>
      </c>
      <c r="F3353" s="2" t="s">
        <v>7987</v>
      </c>
      <c r="G3353" s="2" t="s">
        <v>7023</v>
      </c>
      <c r="H3353" s="14">
        <v>2.09</v>
      </c>
      <c r="I3353" s="2" t="s">
        <v>4761</v>
      </c>
      <c r="J3353" s="2" t="s">
        <v>5144</v>
      </c>
      <c r="K3353" s="2" t="s">
        <v>1452</v>
      </c>
      <c r="L3353" s="2" t="s">
        <v>5221</v>
      </c>
      <c r="M3353" s="2" t="s">
        <v>5221</v>
      </c>
      <c r="N3353" s="2" t="s">
        <v>2317</v>
      </c>
      <c r="O3353" s="14">
        <v>15000</v>
      </c>
      <c r="P3353" s="14">
        <v>99.2</v>
      </c>
      <c r="Q3353" s="14">
        <v>120</v>
      </c>
      <c r="R3353" s="14">
        <v>250.8</v>
      </c>
      <c r="S3353" s="2" t="s">
        <v>3940</v>
      </c>
      <c r="T3353" s="2">
        <v>1.35</v>
      </c>
      <c r="U3353" s="2">
        <v>66</v>
      </c>
      <c r="V3353" s="2">
        <v>59</v>
      </c>
      <c r="W3353" s="2" t="s">
        <v>7862</v>
      </c>
      <c r="X3353" s="2" t="s">
        <v>3851</v>
      </c>
      <c r="Y3353" s="2">
        <v>31350</v>
      </c>
      <c r="Z3353" s="19" t="str">
        <f>HYPERLINK("https://ssdweb.co/ssdweb/hd/Vision360.html?d=924590290&amp;zoomslide=1&amp;z=1924590290&amp;ISCONFIRM=0","VIDEO")</f>
        <v>VIDEO</v>
      </c>
      <c r="AA3353" s="19" t="str">
        <f>HYPERLINK("https://ssdweb.co/ssdweb/CERTH/600346128.pdf","CERTI")</f>
        <v>CERTI</v>
      </c>
    </row>
    <row r="3354" spans="1:27" ht="15" x14ac:dyDescent="0.25">
      <c r="A3354" s="2">
        <v>3349</v>
      </c>
      <c r="B3354" s="39">
        <v>925981142</v>
      </c>
      <c r="C3354" s="28" t="str">
        <f>HYPERLINK("https://pld.live/RapDetail.aspx?STONELIST=925981142","DNA")</f>
        <v>DNA</v>
      </c>
      <c r="D3354" s="18" t="s">
        <v>3658</v>
      </c>
      <c r="E3354" s="18" t="s">
        <v>5128</v>
      </c>
      <c r="F3354" s="2" t="s">
        <v>5597</v>
      </c>
      <c r="G3354" s="2" t="s">
        <v>7023</v>
      </c>
      <c r="H3354" s="14">
        <v>2.06</v>
      </c>
      <c r="I3354" s="2" t="s">
        <v>267</v>
      </c>
      <c r="J3354" s="2" t="s">
        <v>5144</v>
      </c>
      <c r="K3354" s="2" t="s">
        <v>1452</v>
      </c>
      <c r="L3354" s="2" t="s">
        <v>5221</v>
      </c>
      <c r="M3354" s="2" t="s">
        <v>5221</v>
      </c>
      <c r="N3354" s="2" t="s">
        <v>2317</v>
      </c>
      <c r="O3354" s="14">
        <v>16000</v>
      </c>
      <c r="P3354" s="14">
        <v>98.5</v>
      </c>
      <c r="Q3354" s="14">
        <v>240</v>
      </c>
      <c r="R3354" s="14">
        <v>494.4</v>
      </c>
      <c r="S3354" s="2" t="s">
        <v>4120</v>
      </c>
      <c r="T3354" s="2">
        <v>1.22</v>
      </c>
      <c r="U3354" s="2">
        <v>66.3</v>
      </c>
      <c r="V3354" s="2">
        <v>62</v>
      </c>
      <c r="W3354" s="2" t="s">
        <v>7862</v>
      </c>
      <c r="X3354" s="2" t="s">
        <v>7053</v>
      </c>
      <c r="Y3354" s="2">
        <v>32960</v>
      </c>
      <c r="Z3354" s="19" t="str">
        <f>HYPERLINK("https://ssdweb.co/ssdweb/hd/Vision360.html?d=925981142&amp;zoomslide=1&amp;z=1925981142&amp;ISCONFIRM=0","VIDEO")</f>
        <v>VIDEO</v>
      </c>
      <c r="AA3354" s="19" t="str">
        <f>HYPERLINK("https://ssdweb.co/ssdweb/CERTH/7493087669.pdf","CERTI")</f>
        <v>CERTI</v>
      </c>
    </row>
    <row r="3355" spans="1:27" ht="15" x14ac:dyDescent="0.25">
      <c r="A3355" s="2">
        <v>3350</v>
      </c>
      <c r="B3355" s="39">
        <v>925981264</v>
      </c>
      <c r="C3355" s="28" t="str">
        <f>HYPERLINK("https://pld.live/RapDetail.aspx?STONELIST=925981264","DNA")</f>
        <v>DNA</v>
      </c>
      <c r="D3355" s="18" t="s">
        <v>3658</v>
      </c>
      <c r="E3355" s="18" t="s">
        <v>5128</v>
      </c>
      <c r="F3355" s="2" t="s">
        <v>7987</v>
      </c>
      <c r="G3355" s="2" t="s">
        <v>7023</v>
      </c>
      <c r="H3355" s="14">
        <v>2.06</v>
      </c>
      <c r="I3355" s="2" t="s">
        <v>4761</v>
      </c>
      <c r="J3355" s="2" t="s">
        <v>13</v>
      </c>
      <c r="K3355" s="2" t="s">
        <v>1452</v>
      </c>
      <c r="L3355" s="2" t="s">
        <v>5221</v>
      </c>
      <c r="M3355" s="2" t="s">
        <v>5221</v>
      </c>
      <c r="N3355" s="2" t="s">
        <v>2317</v>
      </c>
      <c r="O3355" s="14">
        <v>16000</v>
      </c>
      <c r="P3355" s="14">
        <v>99.22</v>
      </c>
      <c r="Q3355" s="14">
        <v>124.8</v>
      </c>
      <c r="R3355" s="14">
        <v>257.08999999999997</v>
      </c>
      <c r="S3355" s="2" t="s">
        <v>4863</v>
      </c>
      <c r="T3355" s="2">
        <v>1.2</v>
      </c>
      <c r="U3355" s="2">
        <v>66.400000000000006</v>
      </c>
      <c r="V3355" s="2">
        <v>59</v>
      </c>
      <c r="W3355" s="2" t="s">
        <v>7862</v>
      </c>
      <c r="X3355" s="2" t="s">
        <v>3851</v>
      </c>
      <c r="Y3355" s="2">
        <v>32960</v>
      </c>
      <c r="Z3355" s="19" t="str">
        <f>HYPERLINK("https://ssdweb.co/ssdweb/hd/Vision360.html?d=925981264&amp;zoomslide=1&amp;z=1925981264&amp;ISCONFIRM=0","VIDEO")</f>
        <v>VIDEO</v>
      </c>
      <c r="AA3355" s="19" t="str">
        <f>HYPERLINK("https://ssdweb.co/ssdweb/CERTH/631430159.pdf","CERTI")</f>
        <v>CERTI</v>
      </c>
    </row>
    <row r="3356" spans="1:27" ht="15" x14ac:dyDescent="0.25">
      <c r="A3356" s="2">
        <v>3351</v>
      </c>
      <c r="B3356" s="39">
        <v>831010836</v>
      </c>
      <c r="C3356" s="28" t="str">
        <f>HYPERLINK("https://pld.live/RapDetail.aspx?STONELIST=831010836","DNA")</f>
        <v>DNA</v>
      </c>
      <c r="D3356" s="18" t="s">
        <v>3658</v>
      </c>
      <c r="E3356" s="18" t="s">
        <v>5128</v>
      </c>
      <c r="F3356" s="2" t="s">
        <v>7987</v>
      </c>
      <c r="G3356" s="2" t="s">
        <v>7023</v>
      </c>
      <c r="H3356" s="14">
        <v>2.06</v>
      </c>
      <c r="I3356" s="2" t="s">
        <v>6587</v>
      </c>
      <c r="J3356" s="2" t="s">
        <v>5144</v>
      </c>
      <c r="K3356" s="2" t="s">
        <v>1452</v>
      </c>
      <c r="L3356" s="2" t="s">
        <v>5221</v>
      </c>
      <c r="M3356" s="2" t="s">
        <v>5221</v>
      </c>
      <c r="N3356" s="2" t="s">
        <v>2317</v>
      </c>
      <c r="O3356" s="14">
        <v>13000</v>
      </c>
      <c r="P3356" s="14">
        <v>99.17</v>
      </c>
      <c r="Q3356" s="14">
        <v>107.9</v>
      </c>
      <c r="R3356" s="14">
        <v>222.27</v>
      </c>
      <c r="S3356" s="2" t="s">
        <v>2318</v>
      </c>
      <c r="T3356" s="2">
        <v>1.2</v>
      </c>
      <c r="U3356" s="2">
        <v>66.8</v>
      </c>
      <c r="V3356" s="2">
        <v>62</v>
      </c>
      <c r="W3356" s="2" t="s">
        <v>4336</v>
      </c>
      <c r="X3356" s="2" t="s">
        <v>3851</v>
      </c>
      <c r="Y3356" s="2">
        <v>26780</v>
      </c>
      <c r="Z3356" s="19" t="str">
        <f>HYPERLINK("https://ssdweb.co/ssdweb/hd/Vision360.html?d=831010836&amp;zoomslide=1&amp;z=1831010836&amp;ISCONFIRM=0","VIDEO")</f>
        <v>VIDEO</v>
      </c>
      <c r="AA3356" s="19" t="str">
        <f>HYPERLINK("https://ssdweb.co/ssdweb/CERTH/601323381.pdf","CERTI")</f>
        <v>CERTI</v>
      </c>
    </row>
    <row r="3357" spans="1:27" ht="15" x14ac:dyDescent="0.25">
      <c r="A3357" s="2">
        <v>3352</v>
      </c>
      <c r="B3357" s="39">
        <v>925971129</v>
      </c>
      <c r="C3357" s="28" t="str">
        <f>HYPERLINK("https://pld.live/RapDetail.aspx?STONELIST=925971129","DNA")</f>
        <v>DNA</v>
      </c>
      <c r="D3357" s="18" t="s">
        <v>3658</v>
      </c>
      <c r="E3357" s="18" t="s">
        <v>5128</v>
      </c>
      <c r="F3357" s="2" t="s">
        <v>7987</v>
      </c>
      <c r="G3357" s="2" t="s">
        <v>7023</v>
      </c>
      <c r="H3357" s="14">
        <v>2.0499999999999998</v>
      </c>
      <c r="I3357" s="2" t="s">
        <v>267</v>
      </c>
      <c r="J3357" s="2" t="s">
        <v>13</v>
      </c>
      <c r="K3357" s="2" t="s">
        <v>1452</v>
      </c>
      <c r="L3357" s="2" t="s">
        <v>5221</v>
      </c>
      <c r="M3357" s="2" t="s">
        <v>5221</v>
      </c>
      <c r="N3357" s="2" t="s">
        <v>2317</v>
      </c>
      <c r="O3357" s="14">
        <v>17500</v>
      </c>
      <c r="P3357" s="14">
        <v>99.17</v>
      </c>
      <c r="Q3357" s="14">
        <v>145.25</v>
      </c>
      <c r="R3357" s="14">
        <v>297.76</v>
      </c>
      <c r="S3357" s="2" t="s">
        <v>1826</v>
      </c>
      <c r="T3357" s="2">
        <v>1.21</v>
      </c>
      <c r="U3357" s="2">
        <v>64.3</v>
      </c>
      <c r="V3357" s="2">
        <v>60</v>
      </c>
      <c r="W3357" s="2" t="s">
        <v>7862</v>
      </c>
      <c r="X3357" s="2" t="s">
        <v>3851</v>
      </c>
      <c r="Y3357" s="2">
        <v>35875</v>
      </c>
      <c r="Z3357" s="19" t="str">
        <f>HYPERLINK("https://ssdweb.co/ssdweb/hd/Vision360.html?d=925971129&amp;zoomslide=1&amp;z=1925971129&amp;ISCONFIRM=0","VIDEO")</f>
        <v>VIDEO</v>
      </c>
      <c r="AA3357" s="19" t="str">
        <f>HYPERLINK("https://ssdweb.co/ssdweb/CERTH/629453107.pdf","CERTI")</f>
        <v>CERTI</v>
      </c>
    </row>
    <row r="3358" spans="1:27" ht="15" x14ac:dyDescent="0.25">
      <c r="A3358" s="2">
        <v>3353</v>
      </c>
      <c r="B3358" s="39">
        <v>926101053</v>
      </c>
      <c r="C3358" s="28" t="str">
        <f>HYPERLINK("https://pld.live/RapDetail.aspx?STONELIST=926101053","DNA")</f>
        <v>DNA</v>
      </c>
      <c r="D3358" s="18" t="s">
        <v>3658</v>
      </c>
      <c r="E3358" s="18" t="s">
        <v>5128</v>
      </c>
      <c r="F3358" s="2" t="s">
        <v>7987</v>
      </c>
      <c r="G3358" s="2" t="s">
        <v>7023</v>
      </c>
      <c r="H3358" s="14">
        <v>2.0499999999999998</v>
      </c>
      <c r="I3358" s="2" t="s">
        <v>267</v>
      </c>
      <c r="J3358" s="2" t="s">
        <v>13</v>
      </c>
      <c r="K3358" s="2" t="s">
        <v>1452</v>
      </c>
      <c r="L3358" s="2" t="s">
        <v>5221</v>
      </c>
      <c r="M3358" s="2" t="s">
        <v>5221</v>
      </c>
      <c r="N3358" s="2" t="s">
        <v>2317</v>
      </c>
      <c r="O3358" s="14">
        <v>17500</v>
      </c>
      <c r="P3358" s="14">
        <v>99.17</v>
      </c>
      <c r="Q3358" s="14">
        <v>145.25</v>
      </c>
      <c r="R3358" s="14">
        <v>297.76</v>
      </c>
      <c r="S3358" s="2" t="s">
        <v>1222</v>
      </c>
      <c r="T3358" s="2">
        <v>1.2</v>
      </c>
      <c r="U3358" s="2">
        <v>67.5</v>
      </c>
      <c r="V3358" s="2">
        <v>63</v>
      </c>
      <c r="W3358" s="2" t="s">
        <v>7862</v>
      </c>
      <c r="X3358" s="2" t="s">
        <v>3851</v>
      </c>
      <c r="Y3358" s="2">
        <v>35875</v>
      </c>
      <c r="Z3358" s="19" t="str">
        <f>HYPERLINK("https://ssdweb.co/ssdweb/hd/Vision360.html?d=926101053&amp;zoomslide=1&amp;z=1926101053&amp;ISCONFIRM=0","VIDEO")</f>
        <v>VIDEO</v>
      </c>
      <c r="AA3358" s="19" t="str">
        <f>HYPERLINK("https://ssdweb.co/ssdweb/CERTH/632488289.pdf","CERTI")</f>
        <v>CERTI</v>
      </c>
    </row>
    <row r="3359" spans="1:27" ht="15" x14ac:dyDescent="0.25">
      <c r="A3359" s="2">
        <v>3354</v>
      </c>
      <c r="B3359" s="39">
        <v>926170478</v>
      </c>
      <c r="C3359" s="28" t="str">
        <f>HYPERLINK("https://pld.live/RapDetail.aspx?STONELIST=926170478","DNA")</f>
        <v>DNA</v>
      </c>
      <c r="D3359" s="18" t="s">
        <v>3658</v>
      </c>
      <c r="E3359" s="18" t="s">
        <v>5128</v>
      </c>
      <c r="F3359" s="2" t="s">
        <v>7987</v>
      </c>
      <c r="G3359" s="2" t="s">
        <v>7023</v>
      </c>
      <c r="H3359" s="14">
        <v>2.0499999999999998</v>
      </c>
      <c r="I3359" s="2" t="s">
        <v>267</v>
      </c>
      <c r="J3359" s="2" t="s">
        <v>5144</v>
      </c>
      <c r="K3359" s="2" t="s">
        <v>1452</v>
      </c>
      <c r="L3359" s="2" t="s">
        <v>5221</v>
      </c>
      <c r="M3359" s="2" t="s">
        <v>5221</v>
      </c>
      <c r="N3359" s="2" t="s">
        <v>2317</v>
      </c>
      <c r="O3359" s="14">
        <v>16000</v>
      </c>
      <c r="P3359" s="14">
        <v>99.13</v>
      </c>
      <c r="Q3359" s="14">
        <v>139.19999999999999</v>
      </c>
      <c r="R3359" s="14">
        <v>285.36</v>
      </c>
      <c r="S3359" s="2" t="s">
        <v>3312</v>
      </c>
      <c r="T3359" s="2">
        <v>1.2</v>
      </c>
      <c r="U3359" s="2">
        <v>67.5</v>
      </c>
      <c r="V3359" s="2">
        <v>62</v>
      </c>
      <c r="W3359" s="2" t="s">
        <v>7862</v>
      </c>
      <c r="X3359" s="2" t="s">
        <v>3851</v>
      </c>
      <c r="Y3359" s="2">
        <v>32800</v>
      </c>
      <c r="Z3359" s="19" t="str">
        <f>HYPERLINK("https://ssdweb.co/ssdweb/hd/Vision360.html?d=926170478&amp;zoomslide=1&amp;z=1926170478&amp;ISCONFIRM=0","VIDEO")</f>
        <v>VIDEO</v>
      </c>
      <c r="AA3359" s="19" t="str">
        <f>HYPERLINK("https://ssdweb.co/ssdweb/CERTH/633474082.pdf","CERTI")</f>
        <v>CERTI</v>
      </c>
    </row>
    <row r="3360" spans="1:27" ht="15" x14ac:dyDescent="0.25">
      <c r="A3360" s="2">
        <v>3355</v>
      </c>
      <c r="B3360" s="39">
        <v>926171029</v>
      </c>
      <c r="C3360" s="28" t="str">
        <f>HYPERLINK("https://pld.live/RapDetail.aspx?STONELIST=926171029","DNA")</f>
        <v>DNA</v>
      </c>
      <c r="D3360" s="18" t="s">
        <v>3658</v>
      </c>
      <c r="E3360" s="18" t="s">
        <v>5128</v>
      </c>
      <c r="F3360" s="2" t="s">
        <v>7987</v>
      </c>
      <c r="G3360" s="2" t="s">
        <v>7023</v>
      </c>
      <c r="H3360" s="14">
        <v>2.0499999999999998</v>
      </c>
      <c r="I3360" s="2" t="s">
        <v>6587</v>
      </c>
      <c r="J3360" s="2" t="s">
        <v>3942</v>
      </c>
      <c r="K3360" s="2" t="s">
        <v>1452</v>
      </c>
      <c r="L3360" s="2" t="s">
        <v>5221</v>
      </c>
      <c r="M3360" s="2" t="s">
        <v>5221</v>
      </c>
      <c r="N3360" s="2" t="s">
        <v>2317</v>
      </c>
      <c r="O3360" s="14">
        <v>15000</v>
      </c>
      <c r="P3360" s="14">
        <v>99.16</v>
      </c>
      <c r="Q3360" s="14">
        <v>126</v>
      </c>
      <c r="R3360" s="14">
        <v>258.3</v>
      </c>
      <c r="S3360" s="2" t="s">
        <v>6312</v>
      </c>
      <c r="T3360" s="2">
        <v>1.2</v>
      </c>
      <c r="U3360" s="2">
        <v>67.599999999999994</v>
      </c>
      <c r="V3360" s="2">
        <v>61</v>
      </c>
      <c r="W3360" s="2" t="s">
        <v>4336</v>
      </c>
      <c r="X3360" s="2" t="s">
        <v>3851</v>
      </c>
      <c r="Y3360" s="2">
        <v>30750</v>
      </c>
      <c r="Z3360" s="19" t="str">
        <f>HYPERLINK("https://ssdweb.co/ssdweb/hd/Vision360.html?d=926171029&amp;zoomslide=1&amp;z=1926171029&amp;ISCONFIRM=0","VIDEO")</f>
        <v>VIDEO</v>
      </c>
      <c r="AA3360" s="19" t="str">
        <f>HYPERLINK("https://ssdweb.co/ssdweb/CERTH/636430074.pdf","CERTI")</f>
        <v>CERTI</v>
      </c>
    </row>
    <row r="3361" spans="1:27" ht="15" x14ac:dyDescent="0.25">
      <c r="A3361" s="2">
        <v>3356</v>
      </c>
      <c r="B3361" s="39">
        <v>926100888</v>
      </c>
      <c r="C3361" s="28" t="str">
        <f>HYPERLINK("https://pld.live/RapDetail.aspx?STONELIST=926100888","DNA")</f>
        <v>DNA</v>
      </c>
      <c r="D3361" s="18" t="s">
        <v>3658</v>
      </c>
      <c r="E3361" s="18" t="s">
        <v>5128</v>
      </c>
      <c r="F3361" s="2" t="s">
        <v>7987</v>
      </c>
      <c r="G3361" s="2" t="s">
        <v>7023</v>
      </c>
      <c r="H3361" s="14">
        <v>2.04</v>
      </c>
      <c r="I3361" s="2" t="s">
        <v>4761</v>
      </c>
      <c r="J3361" s="2" t="s">
        <v>3942</v>
      </c>
      <c r="K3361" s="2" t="s">
        <v>1452</v>
      </c>
      <c r="L3361" s="2" t="s">
        <v>5221</v>
      </c>
      <c r="M3361" s="2" t="s">
        <v>5221</v>
      </c>
      <c r="N3361" s="2" t="s">
        <v>2317</v>
      </c>
      <c r="O3361" s="14">
        <v>17000</v>
      </c>
      <c r="P3361" s="14">
        <v>99.12</v>
      </c>
      <c r="Q3361" s="14">
        <v>149.6</v>
      </c>
      <c r="R3361" s="14">
        <v>305.18</v>
      </c>
      <c r="S3361" s="2" t="s">
        <v>2000</v>
      </c>
      <c r="T3361" s="2">
        <v>1.2</v>
      </c>
      <c r="U3361" s="2">
        <v>67.3</v>
      </c>
      <c r="V3361" s="2">
        <v>63</v>
      </c>
      <c r="W3361" s="2" t="s">
        <v>7862</v>
      </c>
      <c r="X3361" s="2" t="s">
        <v>3851</v>
      </c>
      <c r="Y3361" s="2">
        <v>34680</v>
      </c>
      <c r="Z3361" s="19" t="str">
        <f>HYPERLINK("https://ssdweb.co/ssdweb/hd/Vision360.html?d=926100888&amp;zoomslide=1&amp;z=1926100888&amp;ISCONFIRM=0","VIDEO")</f>
        <v>VIDEO</v>
      </c>
      <c r="AA3361" s="19" t="str">
        <f>HYPERLINK("https://ssdweb.co/ssdweb/CERTH/631464305.pdf","CERTI")</f>
        <v>CERTI</v>
      </c>
    </row>
    <row r="3362" spans="1:27" ht="15" x14ac:dyDescent="0.25">
      <c r="A3362" s="2">
        <v>3357</v>
      </c>
      <c r="B3362" s="39">
        <v>925961168</v>
      </c>
      <c r="C3362" s="28" t="str">
        <f>HYPERLINK("https://pld.live/RapDetail.aspx?STONELIST=925961168","DNA")</f>
        <v>DNA</v>
      </c>
      <c r="D3362" s="18" t="s">
        <v>3658</v>
      </c>
      <c r="E3362" s="18" t="s">
        <v>5128</v>
      </c>
      <c r="F3362" s="2" t="s">
        <v>7987</v>
      </c>
      <c r="G3362" s="2" t="s">
        <v>7023</v>
      </c>
      <c r="H3362" s="14">
        <v>2.04</v>
      </c>
      <c r="I3362" s="2" t="s">
        <v>4761</v>
      </c>
      <c r="J3362" s="2" t="s">
        <v>13</v>
      </c>
      <c r="K3362" s="2" t="s">
        <v>1452</v>
      </c>
      <c r="L3362" s="2" t="s">
        <v>5221</v>
      </c>
      <c r="M3362" s="2" t="s">
        <v>5221</v>
      </c>
      <c r="N3362" s="2" t="s">
        <v>2317</v>
      </c>
      <c r="O3362" s="14">
        <v>16000</v>
      </c>
      <c r="P3362" s="14">
        <v>99.22</v>
      </c>
      <c r="Q3362" s="14">
        <v>124.8</v>
      </c>
      <c r="R3362" s="14">
        <v>254.59</v>
      </c>
      <c r="S3362" s="2" t="s">
        <v>5673</v>
      </c>
      <c r="T3362" s="2">
        <v>1.2</v>
      </c>
      <c r="U3362" s="2">
        <v>66.5</v>
      </c>
      <c r="V3362" s="2">
        <v>61</v>
      </c>
      <c r="W3362" s="2" t="s">
        <v>7862</v>
      </c>
      <c r="X3362" s="2" t="s">
        <v>3851</v>
      </c>
      <c r="Y3362" s="2">
        <v>32640</v>
      </c>
      <c r="Z3362" s="19" t="str">
        <f>HYPERLINK("https://ssdweb.co/ssdweb/hd/Vision360.html?d=925961168&amp;zoomslide=1&amp;z=1925961168&amp;ISCONFIRM=0","VIDEO")</f>
        <v>VIDEO</v>
      </c>
      <c r="AA3362" s="19" t="str">
        <f>HYPERLINK("https://ssdweb.co/ssdweb/CERTH/629453336.pdf","CERTI")</f>
        <v>CERTI</v>
      </c>
    </row>
    <row r="3363" spans="1:27" ht="15" x14ac:dyDescent="0.25">
      <c r="A3363" s="2">
        <v>3358</v>
      </c>
      <c r="B3363" s="39">
        <v>925551993</v>
      </c>
      <c r="C3363" s="28" t="str">
        <f>HYPERLINK("https://pld.live/RapDetail.aspx?STONELIST=925551993","DNA")</f>
        <v>DNA</v>
      </c>
      <c r="D3363" s="18" t="s">
        <v>3658</v>
      </c>
      <c r="E3363" s="18" t="s">
        <v>5128</v>
      </c>
      <c r="F3363" s="2" t="s">
        <v>7987</v>
      </c>
      <c r="G3363" s="2" t="s">
        <v>7023</v>
      </c>
      <c r="H3363" s="14">
        <v>2.04</v>
      </c>
      <c r="I3363" s="2" t="s">
        <v>4761</v>
      </c>
      <c r="J3363" s="2" t="s">
        <v>13</v>
      </c>
      <c r="K3363" s="2" t="s">
        <v>1452</v>
      </c>
      <c r="L3363" s="2" t="s">
        <v>5221</v>
      </c>
      <c r="M3363" s="2" t="s">
        <v>5221</v>
      </c>
      <c r="N3363" s="2" t="s">
        <v>2317</v>
      </c>
      <c r="O3363" s="14">
        <v>16000</v>
      </c>
      <c r="P3363" s="14">
        <v>99.22</v>
      </c>
      <c r="Q3363" s="14">
        <v>124.8</v>
      </c>
      <c r="R3363" s="14">
        <v>254.59</v>
      </c>
      <c r="S3363" s="2" t="s">
        <v>3612</v>
      </c>
      <c r="T3363" s="2">
        <v>1.19</v>
      </c>
      <c r="U3363" s="2">
        <v>65.099999999999994</v>
      </c>
      <c r="V3363" s="2">
        <v>60</v>
      </c>
      <c r="W3363" s="2" t="s">
        <v>7862</v>
      </c>
      <c r="X3363" s="2" t="s">
        <v>3851</v>
      </c>
      <c r="Y3363" s="2">
        <v>32640</v>
      </c>
      <c r="Z3363" s="19" t="str">
        <f>HYPERLINK("https://ssdweb.co/ssdweb/hd/Vision360.html?d=925551993&amp;zoomslide=1&amp;z=1925551993&amp;ISCONFIRM=0","VIDEO")</f>
        <v>VIDEO</v>
      </c>
      <c r="AA3363" s="19" t="str">
        <f>HYPERLINK("https://ssdweb.co/ssdweb/CERTH/621498056.pdf","CERTI")</f>
        <v>CERTI</v>
      </c>
    </row>
    <row r="3364" spans="1:27" ht="15" x14ac:dyDescent="0.25">
      <c r="A3364" s="2">
        <v>3359</v>
      </c>
      <c r="B3364" s="39">
        <v>831020669</v>
      </c>
      <c r="C3364" s="28" t="str">
        <f>HYPERLINK("https://pld.live/RapDetail.aspx?STONELIST=831020669","DNA")</f>
        <v>DNA</v>
      </c>
      <c r="D3364" s="18" t="s">
        <v>3658</v>
      </c>
      <c r="E3364" s="18" t="s">
        <v>2186</v>
      </c>
      <c r="F3364" s="2" t="s">
        <v>7987</v>
      </c>
      <c r="G3364" s="2" t="s">
        <v>7023</v>
      </c>
      <c r="H3364" s="14">
        <v>2.04</v>
      </c>
      <c r="I3364" s="2" t="s">
        <v>4699</v>
      </c>
      <c r="J3364" s="2" t="s">
        <v>13</v>
      </c>
      <c r="K3364" s="2" t="s">
        <v>1452</v>
      </c>
      <c r="L3364" s="2" t="s">
        <v>5221</v>
      </c>
      <c r="M3364" s="2" t="s">
        <v>5221</v>
      </c>
      <c r="N3364" s="2" t="s">
        <v>2317</v>
      </c>
      <c r="O3364" s="14">
        <v>15000</v>
      </c>
      <c r="P3364" s="14">
        <v>99.2</v>
      </c>
      <c r="Q3364" s="14">
        <v>120</v>
      </c>
      <c r="R3364" s="14">
        <v>244.8</v>
      </c>
      <c r="S3364" s="2" t="s">
        <v>4257</v>
      </c>
      <c r="T3364" s="2">
        <v>1.38</v>
      </c>
      <c r="U3364" s="2">
        <v>67.5</v>
      </c>
      <c r="V3364" s="2">
        <v>63.5</v>
      </c>
      <c r="W3364" s="2" t="s">
        <v>7862</v>
      </c>
      <c r="X3364" s="2" t="s">
        <v>3851</v>
      </c>
      <c r="Y3364" s="2">
        <v>30600</v>
      </c>
      <c r="Z3364" s="19" t="str">
        <f>HYPERLINK("https://ssdweb.co/ssdweb/hd/Vision360.html?d=831020669&amp;zoomslide=1&amp;z=1831020669&amp;ISCONFIRM=0","VIDEO")</f>
        <v>VIDEO</v>
      </c>
      <c r="AA3364" s="19" t="str">
        <f>HYPERLINK("https://ssdweb.co/ssdweb/CERTH/536277864.pdf","CERTI")</f>
        <v>CERTI</v>
      </c>
    </row>
    <row r="3365" spans="1:27" ht="15" x14ac:dyDescent="0.25">
      <c r="A3365" s="2">
        <v>3360</v>
      </c>
      <c r="B3365" s="39">
        <v>926170082</v>
      </c>
      <c r="C3365" s="28" t="str">
        <f>HYPERLINK("https://pld.live/RapDetail.aspx?STONELIST=926170082","DNA")</f>
        <v>DNA</v>
      </c>
      <c r="D3365" s="18" t="s">
        <v>3658</v>
      </c>
      <c r="E3365" s="18" t="s">
        <v>5128</v>
      </c>
      <c r="F3365" s="2" t="s">
        <v>7987</v>
      </c>
      <c r="G3365" s="2" t="s">
        <v>7023</v>
      </c>
      <c r="H3365" s="14">
        <v>2.04</v>
      </c>
      <c r="I3365" s="2" t="s">
        <v>6587</v>
      </c>
      <c r="J3365" s="2" t="s">
        <v>13</v>
      </c>
      <c r="K3365" s="2" t="s">
        <v>1452</v>
      </c>
      <c r="L3365" s="2" t="s">
        <v>5221</v>
      </c>
      <c r="M3365" s="2" t="s">
        <v>5221</v>
      </c>
      <c r="N3365" s="2" t="s">
        <v>2317</v>
      </c>
      <c r="O3365" s="14">
        <v>14000</v>
      </c>
      <c r="P3365" s="14">
        <v>99.17</v>
      </c>
      <c r="Q3365" s="14">
        <v>116.2</v>
      </c>
      <c r="R3365" s="14">
        <v>237.05</v>
      </c>
      <c r="S3365" s="2" t="s">
        <v>411</v>
      </c>
      <c r="T3365" s="2">
        <v>1.2</v>
      </c>
      <c r="U3365" s="2">
        <v>67.5</v>
      </c>
      <c r="V3365" s="2">
        <v>61</v>
      </c>
      <c r="W3365" s="2" t="s">
        <v>4336</v>
      </c>
      <c r="X3365" s="2" t="s">
        <v>3851</v>
      </c>
      <c r="Y3365" s="2">
        <v>28560</v>
      </c>
      <c r="Z3365" s="19" t="str">
        <f>HYPERLINK("https://ssdweb.co/ssdweb/hd/Vision360.html?d=926170082&amp;zoomslide=1&amp;z=1926170082&amp;ISCONFIRM=0","VIDEO")</f>
        <v>VIDEO</v>
      </c>
      <c r="AA3365" s="19" t="str">
        <f>HYPERLINK("https://ssdweb.co/ssdweb/CERTH/632449633.pdf","CERTI")</f>
        <v>CERTI</v>
      </c>
    </row>
    <row r="3366" spans="1:27" ht="15" x14ac:dyDescent="0.25">
      <c r="A3366" s="2">
        <v>3361</v>
      </c>
      <c r="B3366" s="39">
        <v>831010835</v>
      </c>
      <c r="C3366" s="28" t="str">
        <f>HYPERLINK("https://pld.live/RapDetail.aspx?STONELIST=831010835","DNA")</f>
        <v>DNA</v>
      </c>
      <c r="D3366" s="18" t="s">
        <v>3658</v>
      </c>
      <c r="E3366" s="18" t="s">
        <v>5128</v>
      </c>
      <c r="F3366" s="2" t="s">
        <v>7987</v>
      </c>
      <c r="G3366" s="2" t="s">
        <v>7023</v>
      </c>
      <c r="H3366" s="14">
        <v>2.04</v>
      </c>
      <c r="I3366" s="2" t="s">
        <v>6587</v>
      </c>
      <c r="J3366" s="2" t="s">
        <v>5144</v>
      </c>
      <c r="K3366" s="2" t="s">
        <v>1452</v>
      </c>
      <c r="L3366" s="2" t="s">
        <v>5221</v>
      </c>
      <c r="M3366" s="2" t="s">
        <v>5221</v>
      </c>
      <c r="N3366" s="2" t="s">
        <v>2317</v>
      </c>
      <c r="O3366" s="14">
        <v>13000</v>
      </c>
      <c r="P3366" s="14">
        <v>99.17</v>
      </c>
      <c r="Q3366" s="14">
        <v>107.9</v>
      </c>
      <c r="R3366" s="14">
        <v>220.12</v>
      </c>
      <c r="S3366" s="2" t="s">
        <v>2893</v>
      </c>
      <c r="T3366" s="2">
        <v>1.18</v>
      </c>
      <c r="U3366" s="2">
        <v>67.3</v>
      </c>
      <c r="V3366" s="2">
        <v>63</v>
      </c>
      <c r="W3366" s="2" t="s">
        <v>4336</v>
      </c>
      <c r="X3366" s="2" t="s">
        <v>3851</v>
      </c>
      <c r="Y3366" s="2">
        <v>26520</v>
      </c>
      <c r="Z3366" s="19" t="str">
        <f>HYPERLINK("https://ssdweb.co/ssdweb/hd/Vision360.html?d=831010835&amp;zoomslide=1&amp;z=1831010835&amp;ISCONFIRM=0","VIDEO")</f>
        <v>VIDEO</v>
      </c>
      <c r="AA3366" s="19" t="str">
        <f>HYPERLINK("https://ssdweb.co/ssdweb/CERTH/601323379.pdf","CERTI")</f>
        <v>CERTI</v>
      </c>
    </row>
    <row r="3367" spans="1:27" ht="15" x14ac:dyDescent="0.25">
      <c r="A3367" s="2">
        <v>3362</v>
      </c>
      <c r="B3367" s="39">
        <v>925971308</v>
      </c>
      <c r="C3367" s="28" t="str">
        <f>HYPERLINK("https://pld.live/RapDetail.aspx?STONELIST=925971308","DNA")</f>
        <v>DNA</v>
      </c>
      <c r="D3367" s="18" t="s">
        <v>3658</v>
      </c>
      <c r="E3367" s="18" t="s">
        <v>5128</v>
      </c>
      <c r="F3367" s="2" t="s">
        <v>7987</v>
      </c>
      <c r="G3367" s="2" t="s">
        <v>7023</v>
      </c>
      <c r="H3367" s="14">
        <v>2.0299999999999998</v>
      </c>
      <c r="I3367" s="2" t="s">
        <v>267</v>
      </c>
      <c r="J3367" s="2" t="s">
        <v>13</v>
      </c>
      <c r="K3367" s="2" t="s">
        <v>1452</v>
      </c>
      <c r="L3367" s="2" t="s">
        <v>5221</v>
      </c>
      <c r="M3367" s="2" t="s">
        <v>5221</v>
      </c>
      <c r="N3367" s="2" t="s">
        <v>2317</v>
      </c>
      <c r="O3367" s="14">
        <v>17500</v>
      </c>
      <c r="P3367" s="14">
        <v>99.17</v>
      </c>
      <c r="Q3367" s="14">
        <v>145.25</v>
      </c>
      <c r="R3367" s="14">
        <v>294.86</v>
      </c>
      <c r="S3367" s="2" t="s">
        <v>2159</v>
      </c>
      <c r="T3367" s="2">
        <v>1.21</v>
      </c>
      <c r="U3367" s="2">
        <v>67.400000000000006</v>
      </c>
      <c r="V3367" s="2">
        <v>62</v>
      </c>
      <c r="W3367" s="2" t="s">
        <v>7862</v>
      </c>
      <c r="X3367" s="2" t="s">
        <v>3851</v>
      </c>
      <c r="Y3367" s="2">
        <v>35525</v>
      </c>
      <c r="Z3367" s="19" t="str">
        <f>HYPERLINK("https://ssdweb.co/ssdweb/hd/Vision360.html?d=925971308&amp;zoomslide=1&amp;z=1925971308&amp;ISCONFIRM=0","VIDEO")</f>
        <v>VIDEO</v>
      </c>
      <c r="AA3367" s="19" t="str">
        <f>HYPERLINK("https://ssdweb.co/ssdweb/CERTH/630447524.pdf","CERTI")</f>
        <v>CERTI</v>
      </c>
    </row>
    <row r="3368" spans="1:27" ht="15" x14ac:dyDescent="0.25">
      <c r="A3368" s="2">
        <v>3363</v>
      </c>
      <c r="B3368" s="39">
        <v>926170735</v>
      </c>
      <c r="C3368" s="28" t="str">
        <f>HYPERLINK("https://pld.live/RapDetail.aspx?STONELIST=926170735","DNA")</f>
        <v>DNA</v>
      </c>
      <c r="D3368" s="18" t="s">
        <v>3658</v>
      </c>
      <c r="E3368" s="18" t="s">
        <v>5128</v>
      </c>
      <c r="F3368" s="2" t="s">
        <v>7987</v>
      </c>
      <c r="G3368" s="2" t="s">
        <v>7023</v>
      </c>
      <c r="H3368" s="14">
        <v>2.0299999999999998</v>
      </c>
      <c r="I3368" s="2" t="s">
        <v>267</v>
      </c>
      <c r="J3368" s="2" t="s">
        <v>13</v>
      </c>
      <c r="K3368" s="2" t="s">
        <v>1452</v>
      </c>
      <c r="L3368" s="2" t="s">
        <v>5221</v>
      </c>
      <c r="M3368" s="2" t="s">
        <v>5221</v>
      </c>
      <c r="N3368" s="2" t="s">
        <v>2317</v>
      </c>
      <c r="O3368" s="14">
        <v>17500</v>
      </c>
      <c r="P3368" s="14">
        <v>99.17</v>
      </c>
      <c r="Q3368" s="14">
        <v>145.25</v>
      </c>
      <c r="R3368" s="14">
        <v>294.86</v>
      </c>
      <c r="S3368" s="2" t="s">
        <v>5271</v>
      </c>
      <c r="T3368" s="2">
        <v>1.2</v>
      </c>
      <c r="U3368" s="2">
        <v>67.2</v>
      </c>
      <c r="V3368" s="2">
        <v>60</v>
      </c>
      <c r="W3368" s="2" t="s">
        <v>7862</v>
      </c>
      <c r="X3368" s="2" t="s">
        <v>3851</v>
      </c>
      <c r="Y3368" s="2">
        <v>35525</v>
      </c>
      <c r="Z3368" s="19" t="str">
        <f>HYPERLINK("https://ssdweb.co/ssdweb/hd/Vision360.html?d=926170735&amp;zoomslide=1&amp;z=1926170735&amp;ISCONFIRM=0","VIDEO")</f>
        <v>VIDEO</v>
      </c>
      <c r="AA3368" s="19" t="str">
        <f>HYPERLINK("https://ssdweb.co/ssdweb/CERTH/633490551.pdf","CERTI")</f>
        <v>CERTI</v>
      </c>
    </row>
    <row r="3369" spans="1:27" ht="15" x14ac:dyDescent="0.25">
      <c r="A3369" s="2">
        <v>3364</v>
      </c>
      <c r="B3369" s="39">
        <v>926020796</v>
      </c>
      <c r="C3369" s="28" t="str">
        <f>HYPERLINK("https://pld.live/RapDetail.aspx?STONELIST=926020796","DNA")</f>
        <v>DNA</v>
      </c>
      <c r="D3369" s="18" t="s">
        <v>3658</v>
      </c>
      <c r="E3369" s="18" t="s">
        <v>5128</v>
      </c>
      <c r="F3369" s="2" t="s">
        <v>7987</v>
      </c>
      <c r="G3369" s="2" t="s">
        <v>7023</v>
      </c>
      <c r="H3369" s="14">
        <v>2.02</v>
      </c>
      <c r="I3369" s="2" t="s">
        <v>267</v>
      </c>
      <c r="J3369" s="2" t="s">
        <v>6555</v>
      </c>
      <c r="K3369" s="2" t="s">
        <v>1452</v>
      </c>
      <c r="L3369" s="2" t="s">
        <v>5221</v>
      </c>
      <c r="M3369" s="2" t="s">
        <v>5221</v>
      </c>
      <c r="N3369" s="2" t="s">
        <v>2317</v>
      </c>
      <c r="O3369" s="14">
        <v>20000</v>
      </c>
      <c r="P3369" s="14">
        <v>98.58</v>
      </c>
      <c r="Q3369" s="14">
        <v>284</v>
      </c>
      <c r="R3369" s="14">
        <v>573.67999999999995</v>
      </c>
      <c r="S3369" s="2" t="s">
        <v>1553</v>
      </c>
      <c r="T3369" s="2">
        <v>1.2</v>
      </c>
      <c r="U3369" s="2">
        <v>68.099999999999994</v>
      </c>
      <c r="V3369" s="2">
        <v>62</v>
      </c>
      <c r="W3369" s="2" t="s">
        <v>7862</v>
      </c>
      <c r="X3369" s="2" t="s">
        <v>3851</v>
      </c>
      <c r="Y3369" s="2">
        <v>40400</v>
      </c>
      <c r="Z3369" s="19" t="str">
        <f>HYPERLINK("https://ssdweb.co/ssdweb/hd/Vision360.html?d=926020796&amp;zoomslide=1&amp;z=1926020796&amp;ISCONFIRM=0","VIDEO")</f>
        <v>VIDEO</v>
      </c>
      <c r="AA3369" s="19" t="str">
        <f>HYPERLINK("https://ssdweb.co/ssdweb/CERTH/631430253.pdf","CERTI")</f>
        <v>CERTI</v>
      </c>
    </row>
    <row r="3370" spans="1:27" ht="15" x14ac:dyDescent="0.25">
      <c r="A3370" s="2">
        <v>3365</v>
      </c>
      <c r="B3370" s="39">
        <v>925981281</v>
      </c>
      <c r="C3370" s="28" t="str">
        <f>HYPERLINK("https://pld.live/RapDetail.aspx?STONELIST=925981281","DNA")</f>
        <v>DNA</v>
      </c>
      <c r="D3370" s="18" t="s">
        <v>3658</v>
      </c>
      <c r="E3370" s="18" t="s">
        <v>5128</v>
      </c>
      <c r="F3370" s="2" t="s">
        <v>7987</v>
      </c>
      <c r="G3370" s="2" t="s">
        <v>7023</v>
      </c>
      <c r="H3370" s="14">
        <v>2.02</v>
      </c>
      <c r="I3370" s="2" t="s">
        <v>4761</v>
      </c>
      <c r="J3370" s="2" t="s">
        <v>6555</v>
      </c>
      <c r="K3370" s="2" t="s">
        <v>1452</v>
      </c>
      <c r="L3370" s="2" t="s">
        <v>5221</v>
      </c>
      <c r="M3370" s="2" t="s">
        <v>5221</v>
      </c>
      <c r="N3370" s="2" t="s">
        <v>2317</v>
      </c>
      <c r="O3370" s="14">
        <v>18500</v>
      </c>
      <c r="P3370" s="14">
        <v>98.66</v>
      </c>
      <c r="Q3370" s="14">
        <v>247.9</v>
      </c>
      <c r="R3370" s="14">
        <v>500.76</v>
      </c>
      <c r="S3370" s="2" t="s">
        <v>2547</v>
      </c>
      <c r="T3370" s="2">
        <v>1.21</v>
      </c>
      <c r="U3370" s="2">
        <v>67.5</v>
      </c>
      <c r="V3370" s="2">
        <v>60</v>
      </c>
      <c r="W3370" s="2" t="s">
        <v>4336</v>
      </c>
      <c r="X3370" s="2" t="s">
        <v>3851</v>
      </c>
      <c r="Y3370" s="2">
        <v>37370</v>
      </c>
      <c r="Z3370" s="19" t="str">
        <f>HYPERLINK("https://ssdweb.co/ssdweb/hd/Vision360.html?d=925981281&amp;zoomslide=1&amp;z=1925981281&amp;ISCONFIRM=0","VIDEO")</f>
        <v>VIDEO</v>
      </c>
      <c r="AA3370" s="19" t="str">
        <f>HYPERLINK("https://ssdweb.co/ssdweb/CERTH/631464175.pdf","CERTI")</f>
        <v>CERTI</v>
      </c>
    </row>
    <row r="3371" spans="1:27" ht="15" x14ac:dyDescent="0.25">
      <c r="A3371" s="2">
        <v>3366</v>
      </c>
      <c r="B3371" s="39">
        <v>926041283</v>
      </c>
      <c r="C3371" s="28" t="str">
        <f>HYPERLINK("https://pld.live/RapDetail.aspx?STONELIST=926041283","DNA")</f>
        <v>DNA</v>
      </c>
      <c r="D3371" s="18" t="s">
        <v>3658</v>
      </c>
      <c r="E3371" s="18" t="s">
        <v>5128</v>
      </c>
      <c r="F3371" s="2" t="s">
        <v>7987</v>
      </c>
      <c r="G3371" s="2" t="s">
        <v>7023</v>
      </c>
      <c r="H3371" s="14">
        <v>2.02</v>
      </c>
      <c r="I3371" s="2" t="s">
        <v>4761</v>
      </c>
      <c r="J3371" s="2" t="s">
        <v>3942</v>
      </c>
      <c r="K3371" s="2" t="s">
        <v>1452</v>
      </c>
      <c r="L3371" s="2" t="s">
        <v>5221</v>
      </c>
      <c r="M3371" s="2" t="s">
        <v>5221</v>
      </c>
      <c r="N3371" s="2" t="s">
        <v>2317</v>
      </c>
      <c r="O3371" s="14">
        <v>17000</v>
      </c>
      <c r="P3371" s="14">
        <v>99.12</v>
      </c>
      <c r="Q3371" s="14">
        <v>149.6</v>
      </c>
      <c r="R3371" s="14">
        <v>302.19</v>
      </c>
      <c r="S3371" s="2" t="s">
        <v>5427</v>
      </c>
      <c r="T3371" s="2">
        <v>1.21</v>
      </c>
      <c r="U3371" s="2">
        <v>66.599999999999994</v>
      </c>
      <c r="V3371" s="2">
        <v>62</v>
      </c>
      <c r="W3371" s="2" t="s">
        <v>7862</v>
      </c>
      <c r="X3371" s="2" t="s">
        <v>3851</v>
      </c>
      <c r="Y3371" s="2">
        <v>34340</v>
      </c>
      <c r="Z3371" s="19" t="str">
        <f>HYPERLINK("https://ssdweb.co/ssdweb/hd/Vision360.html?d=926041283&amp;zoomslide=1&amp;z=1926041283&amp;ISCONFIRM=0","VIDEO")</f>
        <v>VIDEO</v>
      </c>
      <c r="AA3371" s="19" t="str">
        <f>HYPERLINK("https://ssdweb.co/ssdweb/CERTH/631464204.pdf","CERTI")</f>
        <v>CERTI</v>
      </c>
    </row>
    <row r="3372" spans="1:27" ht="15" x14ac:dyDescent="0.25">
      <c r="A3372" s="2">
        <v>3367</v>
      </c>
      <c r="B3372" s="39">
        <v>926170928</v>
      </c>
      <c r="C3372" s="28" t="str">
        <f>HYPERLINK("https://pld.live/RapDetail.aspx?STONELIST=926170928","DNA")</f>
        <v>DNA</v>
      </c>
      <c r="D3372" s="18" t="s">
        <v>3658</v>
      </c>
      <c r="E3372" s="18" t="s">
        <v>5128</v>
      </c>
      <c r="F3372" s="2" t="s">
        <v>7987</v>
      </c>
      <c r="G3372" s="2" t="s">
        <v>7023</v>
      </c>
      <c r="H3372" s="14">
        <v>2.02</v>
      </c>
      <c r="I3372" s="2" t="s">
        <v>4761</v>
      </c>
      <c r="J3372" s="2" t="s">
        <v>3942</v>
      </c>
      <c r="K3372" s="2" t="s">
        <v>1452</v>
      </c>
      <c r="L3372" s="2" t="s">
        <v>5221</v>
      </c>
      <c r="M3372" s="2" t="s">
        <v>5221</v>
      </c>
      <c r="N3372" s="2" t="s">
        <v>2317</v>
      </c>
      <c r="O3372" s="14">
        <v>17000</v>
      </c>
      <c r="P3372" s="14">
        <v>99.12</v>
      </c>
      <c r="Q3372" s="14">
        <v>149.6</v>
      </c>
      <c r="R3372" s="14">
        <v>302.19</v>
      </c>
      <c r="S3372" s="2" t="s">
        <v>1198</v>
      </c>
      <c r="T3372" s="2">
        <v>1.2</v>
      </c>
      <c r="U3372" s="2">
        <v>66.8</v>
      </c>
      <c r="V3372" s="2">
        <v>62</v>
      </c>
      <c r="W3372" s="2" t="s">
        <v>7862</v>
      </c>
      <c r="X3372" s="2" t="s">
        <v>3851</v>
      </c>
      <c r="Y3372" s="2">
        <v>34340</v>
      </c>
      <c r="Z3372" s="19" t="str">
        <f>HYPERLINK("https://ssdweb.co/ssdweb/hd/Vision360.html?d=926170928&amp;zoomslide=1&amp;z=1926170928&amp;ISCONFIRM=0","VIDEO")</f>
        <v>VIDEO</v>
      </c>
      <c r="AA3372" s="19" t="str">
        <f>HYPERLINK("https://ssdweb.co/ssdweb/CERTH/633431942.pdf","CERTI")</f>
        <v>CERTI</v>
      </c>
    </row>
    <row r="3373" spans="1:27" ht="15" x14ac:dyDescent="0.25">
      <c r="A3373" s="2">
        <v>3368</v>
      </c>
      <c r="B3373" s="39">
        <v>925542733</v>
      </c>
      <c r="C3373" s="28" t="str">
        <f>HYPERLINK("https://pld.live/RapDetail.aspx?STONELIST=925542733","DNA")</f>
        <v>DNA</v>
      </c>
      <c r="D3373" s="18" t="s">
        <v>3658</v>
      </c>
      <c r="E3373" s="18" t="s">
        <v>5128</v>
      </c>
      <c r="F3373" s="2" t="s">
        <v>7987</v>
      </c>
      <c r="G3373" s="2" t="s">
        <v>7023</v>
      </c>
      <c r="H3373" s="14">
        <v>2.02</v>
      </c>
      <c r="I3373" s="2" t="s">
        <v>4761</v>
      </c>
      <c r="J3373" s="2" t="s">
        <v>13</v>
      </c>
      <c r="K3373" s="2" t="s">
        <v>1452</v>
      </c>
      <c r="L3373" s="2" t="s">
        <v>5221</v>
      </c>
      <c r="M3373" s="2" t="s">
        <v>5221</v>
      </c>
      <c r="N3373" s="2" t="s">
        <v>2317</v>
      </c>
      <c r="O3373" s="14">
        <v>16000</v>
      </c>
      <c r="P3373" s="14">
        <v>99.22</v>
      </c>
      <c r="Q3373" s="14">
        <v>124.8</v>
      </c>
      <c r="R3373" s="14">
        <v>252.1</v>
      </c>
      <c r="S3373" s="2" t="s">
        <v>4664</v>
      </c>
      <c r="T3373" s="2">
        <v>1.18</v>
      </c>
      <c r="U3373" s="2">
        <v>68.599999999999994</v>
      </c>
      <c r="V3373" s="2">
        <v>61</v>
      </c>
      <c r="W3373" s="2" t="s">
        <v>7862</v>
      </c>
      <c r="X3373" s="2" t="s">
        <v>3851</v>
      </c>
      <c r="Y3373" s="2">
        <v>32320</v>
      </c>
      <c r="Z3373" s="19" t="str">
        <f>HYPERLINK("https://ssdweb.co/ssdweb/hd/Vision360.html?d=925542733&amp;zoomslide=1&amp;z=1925542733&amp;ISCONFIRM=0","VIDEO")</f>
        <v>VIDEO</v>
      </c>
      <c r="AA3373" s="19" t="str">
        <f>HYPERLINK("https://ssdweb.co/ssdweb/CERTH/621448159.pdf","CERTI")</f>
        <v>CERTI</v>
      </c>
    </row>
    <row r="3374" spans="1:27" ht="15" x14ac:dyDescent="0.25">
      <c r="A3374" s="2">
        <v>3369</v>
      </c>
      <c r="B3374" s="39">
        <v>926101587</v>
      </c>
      <c r="C3374" s="28" t="str">
        <f>HYPERLINK("https://pld.live/RapDetail.aspx?STONELIST=926101587","DNA")</f>
        <v>DNA</v>
      </c>
      <c r="D3374" s="18" t="s">
        <v>3658</v>
      </c>
      <c r="E3374" s="18" t="s">
        <v>5128</v>
      </c>
      <c r="F3374" s="2" t="s">
        <v>7987</v>
      </c>
      <c r="G3374" s="2" t="s">
        <v>7023</v>
      </c>
      <c r="H3374" s="14">
        <v>2.0099999999999998</v>
      </c>
      <c r="I3374" s="2" t="s">
        <v>267</v>
      </c>
      <c r="J3374" s="2" t="s">
        <v>6555</v>
      </c>
      <c r="K3374" s="2" t="s">
        <v>1452</v>
      </c>
      <c r="L3374" s="2" t="s">
        <v>5221</v>
      </c>
      <c r="M3374" s="2" t="s">
        <v>5221</v>
      </c>
      <c r="N3374" s="2" t="s">
        <v>2317</v>
      </c>
      <c r="O3374" s="14">
        <v>20000</v>
      </c>
      <c r="P3374" s="14">
        <v>98.58</v>
      </c>
      <c r="Q3374" s="14">
        <v>284</v>
      </c>
      <c r="R3374" s="14">
        <v>570.84</v>
      </c>
      <c r="S3374" s="2" t="s">
        <v>7508</v>
      </c>
      <c r="T3374" s="2">
        <v>1.2</v>
      </c>
      <c r="U3374" s="2">
        <v>67.7</v>
      </c>
      <c r="V3374" s="2">
        <v>62</v>
      </c>
      <c r="W3374" s="2" t="s">
        <v>7862</v>
      </c>
      <c r="X3374" s="2" t="s">
        <v>3851</v>
      </c>
      <c r="Y3374" s="2">
        <v>40200</v>
      </c>
      <c r="Z3374" s="19" t="str">
        <f>HYPERLINK("https://ssdweb.co/ssdweb/hd/Vision360.html?d=926101587&amp;zoomslide=1&amp;z=1926101587&amp;ISCONFIRM=0","VIDEO")</f>
        <v>VIDEO</v>
      </c>
      <c r="AA3374" s="19" t="str">
        <f>HYPERLINK("https://ssdweb.co/ssdweb/CERTH/632421491.pdf","CERTI")</f>
        <v>CERTI</v>
      </c>
    </row>
    <row r="3375" spans="1:27" ht="15" x14ac:dyDescent="0.25">
      <c r="A3375" s="2">
        <v>3370</v>
      </c>
      <c r="B3375" s="39">
        <v>923570758</v>
      </c>
      <c r="C3375" s="28" t="str">
        <f>HYPERLINK("https://pld.live/RapDetail.aspx?STONELIST=923570758","DNA")</f>
        <v>DNA</v>
      </c>
      <c r="D3375" s="18" t="s">
        <v>3658</v>
      </c>
      <c r="E3375" s="18" t="s">
        <v>5128</v>
      </c>
      <c r="F3375" s="2" t="s">
        <v>5597</v>
      </c>
      <c r="G3375" s="2" t="s">
        <v>7023</v>
      </c>
      <c r="H3375" s="14">
        <v>2.0099999999999998</v>
      </c>
      <c r="I3375" s="2" t="s">
        <v>267</v>
      </c>
      <c r="J3375" s="2" t="s">
        <v>6555</v>
      </c>
      <c r="K3375" s="2" t="s">
        <v>1452</v>
      </c>
      <c r="L3375" s="2" t="s">
        <v>5221</v>
      </c>
      <c r="M3375" s="2" t="s">
        <v>5721</v>
      </c>
      <c r="N3375" s="2" t="s">
        <v>2317</v>
      </c>
      <c r="O3375" s="14">
        <v>20000</v>
      </c>
      <c r="P3375" s="14">
        <v>98.09</v>
      </c>
      <c r="Q3375" s="14">
        <v>382</v>
      </c>
      <c r="R3375" s="14">
        <v>767.82</v>
      </c>
      <c r="S3375" s="2" t="s">
        <v>6782</v>
      </c>
      <c r="T3375" s="2">
        <v>1.28</v>
      </c>
      <c r="U3375" s="2">
        <v>63.6</v>
      </c>
      <c r="V3375" s="2">
        <v>62</v>
      </c>
      <c r="W3375" s="2" t="s">
        <v>7862</v>
      </c>
      <c r="X3375" s="2" t="s">
        <v>7053</v>
      </c>
      <c r="Y3375" s="2">
        <v>40200</v>
      </c>
      <c r="Z3375" s="19" t="str">
        <f>HYPERLINK("https://ssdweb.co/ssdweb/hd/Vision360.html?d=923570758&amp;zoomslide=1&amp;z=1923570758&amp;ISCONFIRM=0","VIDEO")</f>
        <v>VIDEO</v>
      </c>
      <c r="AA3375" s="19" t="str">
        <f>HYPERLINK("https://ssdweb.co/ssdweb/CERTH/6451208353.pdf","CERTI")</f>
        <v>CERTI</v>
      </c>
    </row>
    <row r="3376" spans="1:27" ht="15" x14ac:dyDescent="0.25">
      <c r="A3376" s="2">
        <v>3371</v>
      </c>
      <c r="B3376" s="39">
        <v>926171467</v>
      </c>
      <c r="C3376" s="28" t="str">
        <f>HYPERLINK("https://pld.live/RapDetail.aspx?STONELIST=926171467","DNA")</f>
        <v>DNA</v>
      </c>
      <c r="D3376" s="18" t="s">
        <v>3658</v>
      </c>
      <c r="E3376" s="18" t="s">
        <v>5128</v>
      </c>
      <c r="F3376" s="2" t="s">
        <v>7987</v>
      </c>
      <c r="G3376" s="2" t="s">
        <v>7023</v>
      </c>
      <c r="H3376" s="14">
        <v>2.0099999999999998</v>
      </c>
      <c r="I3376" s="2" t="s">
        <v>267</v>
      </c>
      <c r="J3376" s="2" t="s">
        <v>13</v>
      </c>
      <c r="K3376" s="2" t="s">
        <v>1452</v>
      </c>
      <c r="L3376" s="2" t="s">
        <v>5221</v>
      </c>
      <c r="M3376" s="2" t="s">
        <v>5221</v>
      </c>
      <c r="N3376" s="2" t="s">
        <v>2317</v>
      </c>
      <c r="O3376" s="14">
        <v>17500</v>
      </c>
      <c r="P3376" s="14">
        <v>99.15</v>
      </c>
      <c r="Q3376" s="14">
        <v>148.75</v>
      </c>
      <c r="R3376" s="14">
        <v>298.99</v>
      </c>
      <c r="S3376" s="2" t="s">
        <v>4471</v>
      </c>
      <c r="T3376" s="2">
        <v>1.22</v>
      </c>
      <c r="U3376" s="2">
        <v>66</v>
      </c>
      <c r="V3376" s="2">
        <v>60</v>
      </c>
      <c r="W3376" s="2" t="s">
        <v>7862</v>
      </c>
      <c r="X3376" s="2" t="s">
        <v>3851</v>
      </c>
      <c r="Y3376" s="2">
        <v>35175</v>
      </c>
      <c r="Z3376" s="19" t="str">
        <f>HYPERLINK("https://ssdweb.co/ssdweb/hd/Vision360.html?d=926171467&amp;zoomslide=1&amp;z=1926171467&amp;ISCONFIRM=0","VIDEO")</f>
        <v>VIDEO</v>
      </c>
      <c r="AA3376" s="19" t="str">
        <f>HYPERLINK("https://ssdweb.co/ssdweb/CERTH/635426928.pdf","CERTI")</f>
        <v>CERTI</v>
      </c>
    </row>
    <row r="3377" spans="1:27" ht="15" x14ac:dyDescent="0.25">
      <c r="A3377" s="2">
        <v>3372</v>
      </c>
      <c r="B3377" s="39">
        <v>923520438</v>
      </c>
      <c r="C3377" s="28" t="str">
        <f>HYPERLINK("https://pld.live/RapDetail.aspx?STONELIST=923520438","DNA")</f>
        <v>DNA</v>
      </c>
      <c r="D3377" s="18" t="s">
        <v>3658</v>
      </c>
      <c r="E3377" s="18" t="s">
        <v>5128</v>
      </c>
      <c r="F3377" s="2" t="s">
        <v>5597</v>
      </c>
      <c r="G3377" s="2" t="s">
        <v>7023</v>
      </c>
      <c r="H3377" s="14">
        <v>2.0099999999999998</v>
      </c>
      <c r="I3377" s="2" t="s">
        <v>267</v>
      </c>
      <c r="J3377" s="2" t="s">
        <v>5144</v>
      </c>
      <c r="K3377" s="2" t="s">
        <v>1452</v>
      </c>
      <c r="L3377" s="2" t="s">
        <v>5221</v>
      </c>
      <c r="M3377" s="2" t="s">
        <v>5721</v>
      </c>
      <c r="N3377" s="2" t="s">
        <v>2317</v>
      </c>
      <c r="O3377" s="14">
        <v>16000</v>
      </c>
      <c r="P3377" s="14">
        <v>98.51</v>
      </c>
      <c r="Q3377" s="14">
        <v>238.4</v>
      </c>
      <c r="R3377" s="14">
        <v>479.18</v>
      </c>
      <c r="S3377" s="2" t="s">
        <v>3324</v>
      </c>
      <c r="T3377" s="2">
        <v>1.2</v>
      </c>
      <c r="U3377" s="2">
        <v>66.900000000000006</v>
      </c>
      <c r="V3377" s="2">
        <v>59</v>
      </c>
      <c r="W3377" s="2" t="s">
        <v>7862</v>
      </c>
      <c r="X3377" s="2" t="s">
        <v>7053</v>
      </c>
      <c r="Y3377" s="2">
        <v>32160</v>
      </c>
      <c r="Z3377" s="19" t="str">
        <f>HYPERLINK("https://ssdweb.co/ssdweb/hd/Vision360.html?d=923520438&amp;zoomslide=1&amp;z=1923520438&amp;ISCONFIRM=0","VIDEO")</f>
        <v>VIDEO</v>
      </c>
      <c r="AA3377" s="19" t="str">
        <f>HYPERLINK("https://ssdweb.co/ssdweb/CERTH/2457343903.pdf","CERTI")</f>
        <v>CERTI</v>
      </c>
    </row>
    <row r="3378" spans="1:27" ht="15" x14ac:dyDescent="0.25">
      <c r="A3378" s="2">
        <v>3373</v>
      </c>
      <c r="B3378" s="39">
        <v>831010834</v>
      </c>
      <c r="C3378" s="28" t="str">
        <f>HYPERLINK("https://pld.live/RapDetail.aspx?STONELIST=831010834","DNA")</f>
        <v>DNA</v>
      </c>
      <c r="D3378" s="18" t="s">
        <v>3658</v>
      </c>
      <c r="E3378" s="18" t="s">
        <v>5128</v>
      </c>
      <c r="F3378" s="2" t="s">
        <v>7987</v>
      </c>
      <c r="G3378" s="2" t="s">
        <v>7023</v>
      </c>
      <c r="H3378" s="14">
        <v>2.0099999999999998</v>
      </c>
      <c r="I3378" s="2" t="s">
        <v>4761</v>
      </c>
      <c r="J3378" s="2" t="s">
        <v>13</v>
      </c>
      <c r="K3378" s="2" t="s">
        <v>1452</v>
      </c>
      <c r="L3378" s="2" t="s">
        <v>5221</v>
      </c>
      <c r="M3378" s="2" t="s">
        <v>5221</v>
      </c>
      <c r="N3378" s="2" t="s">
        <v>2317</v>
      </c>
      <c r="O3378" s="14">
        <v>16000</v>
      </c>
      <c r="P3378" s="14">
        <v>99.2</v>
      </c>
      <c r="Q3378" s="14">
        <v>128</v>
      </c>
      <c r="R3378" s="14">
        <v>257.27999999999997</v>
      </c>
      <c r="S3378" s="2" t="s">
        <v>4089</v>
      </c>
      <c r="T3378" s="2">
        <v>1.2</v>
      </c>
      <c r="U3378" s="2">
        <v>67.099999999999994</v>
      </c>
      <c r="V3378" s="2">
        <v>63</v>
      </c>
      <c r="W3378" s="2" t="s">
        <v>4336</v>
      </c>
      <c r="X3378" s="2" t="s">
        <v>7053</v>
      </c>
      <c r="Y3378" s="2">
        <v>32160</v>
      </c>
      <c r="Z3378" s="19" t="str">
        <f>HYPERLINK("https://ssdweb.co/ssdweb/hd/Vision360.html?d=831010834&amp;zoomslide=1&amp;z=1831010834&amp;ISCONFIRM=0","VIDEO")</f>
        <v>VIDEO</v>
      </c>
      <c r="AA3378" s="19" t="str">
        <f>HYPERLINK("https://ssdweb.co/ssdweb/CERTH/600304714.pdf","CERTI")</f>
        <v>CERTI</v>
      </c>
    </row>
    <row r="3379" spans="1:27" ht="15" x14ac:dyDescent="0.25">
      <c r="A3379" s="2">
        <v>3374</v>
      </c>
      <c r="B3379" s="39">
        <v>923600474</v>
      </c>
      <c r="C3379" s="28" t="str">
        <f>HYPERLINK("https://pld.live/RapDetail.aspx?STONELIST=923600474","DNA")</f>
        <v>DNA</v>
      </c>
      <c r="D3379" s="18" t="s">
        <v>3658</v>
      </c>
      <c r="E3379" s="18" t="s">
        <v>5128</v>
      </c>
      <c r="F3379" s="2" t="s">
        <v>7987</v>
      </c>
      <c r="G3379" s="2" t="s">
        <v>7023</v>
      </c>
      <c r="H3379" s="14">
        <v>2.0099999999999998</v>
      </c>
      <c r="I3379" s="2" t="s">
        <v>4761</v>
      </c>
      <c r="J3379" s="2" t="s">
        <v>444</v>
      </c>
      <c r="K3379" s="2" t="s">
        <v>1452</v>
      </c>
      <c r="L3379" s="2" t="s">
        <v>5221</v>
      </c>
      <c r="M3379" s="2" t="s">
        <v>5221</v>
      </c>
      <c r="N3379" s="2" t="s">
        <v>2317</v>
      </c>
      <c r="O3379" s="14">
        <v>12500</v>
      </c>
      <c r="P3379" s="14">
        <v>99.08</v>
      </c>
      <c r="Q3379" s="14">
        <v>115</v>
      </c>
      <c r="R3379" s="14">
        <v>231.15</v>
      </c>
      <c r="S3379" s="2" t="s">
        <v>2352</v>
      </c>
      <c r="T3379" s="2">
        <v>1.18</v>
      </c>
      <c r="U3379" s="2">
        <v>67.400000000000006</v>
      </c>
      <c r="V3379" s="2">
        <v>62.5</v>
      </c>
      <c r="W3379" s="2" t="s">
        <v>7862</v>
      </c>
      <c r="X3379" s="2" t="s">
        <v>3851</v>
      </c>
      <c r="Y3379" s="2">
        <v>25125</v>
      </c>
      <c r="Z3379" s="19" t="str">
        <f>HYPERLINK("https://ssdweb.co/ssdweb/hd/Vision360.html?d=923600474&amp;zoomslide=1&amp;z=1923600474&amp;ISCONFIRM=0","VIDEO")</f>
        <v>VIDEO</v>
      </c>
      <c r="AA3379" s="19" t="str">
        <f>HYPERLINK("https://ssdweb.co/ssdweb/CERTH/560233972.pdf","CERTI")</f>
        <v>CERTI</v>
      </c>
    </row>
    <row r="3380" spans="1:27" ht="15" x14ac:dyDescent="0.25">
      <c r="A3380" s="2">
        <v>3375</v>
      </c>
      <c r="B3380" s="39">
        <v>925542754</v>
      </c>
      <c r="C3380" s="28" t="str">
        <f>HYPERLINK("https://pld.live/RapDetail.aspx?STONELIST=925542754","DNA")</f>
        <v>DNA</v>
      </c>
      <c r="D3380" s="18" t="s">
        <v>3658</v>
      </c>
      <c r="E3380" s="18" t="s">
        <v>5128</v>
      </c>
      <c r="F3380" s="2" t="s">
        <v>7987</v>
      </c>
      <c r="G3380" s="2" t="s">
        <v>7023</v>
      </c>
      <c r="H3380" s="14">
        <v>2.0099999999999998</v>
      </c>
      <c r="I3380" s="2" t="s">
        <v>4699</v>
      </c>
      <c r="J3380" s="2" t="s">
        <v>3942</v>
      </c>
      <c r="K3380" s="2" t="s">
        <v>1452</v>
      </c>
      <c r="L3380" s="2" t="s">
        <v>5221</v>
      </c>
      <c r="M3380" s="2" t="s">
        <v>5221</v>
      </c>
      <c r="N3380" s="2" t="s">
        <v>2317</v>
      </c>
      <c r="O3380" s="14">
        <v>16000</v>
      </c>
      <c r="P3380" s="14">
        <v>99.11</v>
      </c>
      <c r="Q3380" s="14">
        <v>142.4</v>
      </c>
      <c r="R3380" s="14">
        <v>286.22000000000003</v>
      </c>
      <c r="S3380" s="2" t="s">
        <v>5498</v>
      </c>
      <c r="T3380" s="2">
        <v>1.2</v>
      </c>
      <c r="U3380" s="2">
        <v>67</v>
      </c>
      <c r="V3380" s="2">
        <v>62</v>
      </c>
      <c r="W3380" s="2" t="s">
        <v>4336</v>
      </c>
      <c r="X3380" s="2" t="s">
        <v>3851</v>
      </c>
      <c r="Y3380" s="2">
        <v>32160</v>
      </c>
      <c r="Z3380" s="19" t="str">
        <f>HYPERLINK("https://ssdweb.co/ssdweb/hd/Vision360.html?d=925542754&amp;zoomslide=1&amp;z=1925542754&amp;ISCONFIRM=0","VIDEO")</f>
        <v>VIDEO</v>
      </c>
      <c r="AA3380" s="19" t="str">
        <f>HYPERLINK("https://ssdweb.co/ssdweb/CERTH/622499894.pdf","CERTI")</f>
        <v>CERTI</v>
      </c>
    </row>
    <row r="3381" spans="1:27" ht="15" x14ac:dyDescent="0.25">
      <c r="A3381" s="2">
        <v>3376</v>
      </c>
      <c r="B3381" s="39">
        <v>926041304</v>
      </c>
      <c r="C3381" s="28" t="str">
        <f>HYPERLINK("https://pld.live/RapDetail.aspx?STONELIST=926041304","DNA")</f>
        <v>DNA</v>
      </c>
      <c r="D3381" s="18" t="s">
        <v>3658</v>
      </c>
      <c r="E3381" s="18" t="s">
        <v>5128</v>
      </c>
      <c r="F3381" s="2" t="s">
        <v>7987</v>
      </c>
      <c r="G3381" s="2" t="s">
        <v>7023</v>
      </c>
      <c r="H3381" s="14">
        <v>2.0099999999999998</v>
      </c>
      <c r="I3381" s="2" t="s">
        <v>4699</v>
      </c>
      <c r="J3381" s="2" t="s">
        <v>13</v>
      </c>
      <c r="K3381" s="2" t="s">
        <v>1452</v>
      </c>
      <c r="L3381" s="2" t="s">
        <v>5221</v>
      </c>
      <c r="M3381" s="2" t="s">
        <v>5221</v>
      </c>
      <c r="N3381" s="2" t="s">
        <v>2317</v>
      </c>
      <c r="O3381" s="14">
        <v>15000</v>
      </c>
      <c r="P3381" s="14">
        <v>99.13</v>
      </c>
      <c r="Q3381" s="14">
        <v>130.5</v>
      </c>
      <c r="R3381" s="14">
        <v>262.31</v>
      </c>
      <c r="S3381" s="2" t="s">
        <v>1291</v>
      </c>
      <c r="T3381" s="2">
        <v>1.2</v>
      </c>
      <c r="U3381" s="2">
        <v>66</v>
      </c>
      <c r="V3381" s="2">
        <v>62</v>
      </c>
      <c r="W3381" s="2" t="s">
        <v>4336</v>
      </c>
      <c r="X3381" s="2" t="s">
        <v>3851</v>
      </c>
      <c r="Y3381" s="2">
        <v>30150</v>
      </c>
      <c r="Z3381" s="19" t="str">
        <f>HYPERLINK("https://ssdweb.co/ssdweb/hd/Vision360.html?d=926041304&amp;zoomslide=1&amp;z=1926041304&amp;ISCONFIRM=0","VIDEO")</f>
        <v>VIDEO</v>
      </c>
      <c r="AA3381" s="19" t="str">
        <f>HYPERLINK("https://ssdweb.co/ssdweb/CERTH/632488366.pdf","CERTI")</f>
        <v>CERTI</v>
      </c>
    </row>
    <row r="3382" spans="1:27" ht="15" x14ac:dyDescent="0.25">
      <c r="A3382" s="2">
        <v>3377</v>
      </c>
      <c r="B3382" s="39">
        <v>926020815</v>
      </c>
      <c r="C3382" s="28" t="str">
        <f>HYPERLINK("https://pld.live/RapDetail.aspx?STONELIST=926020815","DNA")</f>
        <v>DNA</v>
      </c>
      <c r="D3382" s="18" t="s">
        <v>3658</v>
      </c>
      <c r="E3382" s="18" t="s">
        <v>5128</v>
      </c>
      <c r="F3382" s="2" t="s">
        <v>7987</v>
      </c>
      <c r="G3382" s="2" t="s">
        <v>7023</v>
      </c>
      <c r="H3382" s="14">
        <v>2</v>
      </c>
      <c r="I3382" s="2" t="s">
        <v>267</v>
      </c>
      <c r="J3382" s="2" t="s">
        <v>3942</v>
      </c>
      <c r="K3382" s="2" t="s">
        <v>1452</v>
      </c>
      <c r="L3382" s="2" t="s">
        <v>5221</v>
      </c>
      <c r="M3382" s="2" t="s">
        <v>5221</v>
      </c>
      <c r="N3382" s="2" t="s">
        <v>2317</v>
      </c>
      <c r="O3382" s="14">
        <v>18500</v>
      </c>
      <c r="P3382" s="14">
        <v>99.11</v>
      </c>
      <c r="Q3382" s="14">
        <v>164.65</v>
      </c>
      <c r="R3382" s="14">
        <v>329.3</v>
      </c>
      <c r="S3382" s="2" t="s">
        <v>4823</v>
      </c>
      <c r="T3382" s="2">
        <v>1.2</v>
      </c>
      <c r="U3382" s="2">
        <v>65.5</v>
      </c>
      <c r="V3382" s="2">
        <v>63</v>
      </c>
      <c r="W3382" s="2" t="s">
        <v>7862</v>
      </c>
      <c r="X3382" s="2" t="s">
        <v>3851</v>
      </c>
      <c r="Y3382" s="2">
        <v>37000</v>
      </c>
      <c r="Z3382" s="19" t="str">
        <f>HYPERLINK("https://ssdweb.co/ssdweb/hd/Vision360.html?d=926020815&amp;zoomslide=1&amp;z=1926020815&amp;ISCONFIRM=0","VIDEO")</f>
        <v>VIDEO</v>
      </c>
      <c r="AA3382" s="19" t="str">
        <f>HYPERLINK("https://ssdweb.co/ssdweb/CERTH/632488363.pdf","CERTI")</f>
        <v>CERTI</v>
      </c>
    </row>
    <row r="3383" spans="1:27" ht="15" x14ac:dyDescent="0.25">
      <c r="A3383" s="2">
        <v>3378</v>
      </c>
      <c r="B3383" s="39">
        <v>925360415</v>
      </c>
      <c r="C3383" s="28" t="str">
        <f>HYPERLINK("https://pld.live/RapDetail.aspx?STONELIST=925360415","DNA")</f>
        <v>DNA</v>
      </c>
      <c r="D3383" s="18" t="s">
        <v>3658</v>
      </c>
      <c r="E3383" s="18" t="s">
        <v>5128</v>
      </c>
      <c r="F3383" s="2" t="s">
        <v>7987</v>
      </c>
      <c r="G3383" s="2" t="s">
        <v>7023</v>
      </c>
      <c r="H3383" s="14">
        <v>2</v>
      </c>
      <c r="I3383" s="2" t="s">
        <v>267</v>
      </c>
      <c r="J3383" s="2" t="s">
        <v>444</v>
      </c>
      <c r="K3383" s="2" t="s">
        <v>1452</v>
      </c>
      <c r="L3383" s="2" t="s">
        <v>5221</v>
      </c>
      <c r="M3383" s="2" t="s">
        <v>5221</v>
      </c>
      <c r="N3383" s="2" t="s">
        <v>2317</v>
      </c>
      <c r="O3383" s="14">
        <v>13500</v>
      </c>
      <c r="P3383" s="14">
        <v>99.07</v>
      </c>
      <c r="Q3383" s="14">
        <v>125.55</v>
      </c>
      <c r="R3383" s="14">
        <v>251.1</v>
      </c>
      <c r="S3383" s="2" t="s">
        <v>6254</v>
      </c>
      <c r="T3383" s="2">
        <v>1.18</v>
      </c>
      <c r="U3383" s="2">
        <v>68.5</v>
      </c>
      <c r="V3383" s="2">
        <v>62</v>
      </c>
      <c r="W3383" s="2" t="s">
        <v>7862</v>
      </c>
      <c r="X3383" s="2" t="s">
        <v>3851</v>
      </c>
      <c r="Y3383" s="2">
        <v>27000</v>
      </c>
      <c r="Z3383" s="19" t="str">
        <f>HYPERLINK("https://ssdweb.co/ssdweb/hd/Vision360.html?d=925360415&amp;zoomslide=1&amp;z=1925360415&amp;ISCONFIRM=0","VIDEO")</f>
        <v>VIDEO</v>
      </c>
      <c r="AA3383" s="19" t="str">
        <f>HYPERLINK("https://ssdweb.co/ssdweb/CERTH/621475743.pdf","CERTI")</f>
        <v>CERTI</v>
      </c>
    </row>
    <row r="3384" spans="1:27" ht="15" x14ac:dyDescent="0.25">
      <c r="A3384" s="2">
        <v>3379</v>
      </c>
      <c r="B3384" s="39">
        <v>831010664</v>
      </c>
      <c r="C3384" s="28" t="str">
        <f>HYPERLINK("https://pld.live/RapDetail.aspx?STONELIST=831010664","DNA")</f>
        <v>DNA</v>
      </c>
      <c r="D3384" s="18" t="s">
        <v>3658</v>
      </c>
      <c r="E3384" s="18" t="s">
        <v>5128</v>
      </c>
      <c r="F3384" s="2" t="s">
        <v>7987</v>
      </c>
      <c r="G3384" s="2" t="s">
        <v>7023</v>
      </c>
      <c r="H3384" s="14">
        <v>2</v>
      </c>
      <c r="I3384" s="2" t="s">
        <v>4761</v>
      </c>
      <c r="J3384" s="2" t="s">
        <v>3942</v>
      </c>
      <c r="K3384" s="2" t="s">
        <v>1452</v>
      </c>
      <c r="L3384" s="2" t="s">
        <v>5221</v>
      </c>
      <c r="M3384" s="2" t="s">
        <v>5221</v>
      </c>
      <c r="N3384" s="2" t="s">
        <v>2317</v>
      </c>
      <c r="O3384" s="14">
        <v>17000</v>
      </c>
      <c r="P3384" s="14">
        <v>99.13</v>
      </c>
      <c r="Q3384" s="14">
        <v>147.9</v>
      </c>
      <c r="R3384" s="14">
        <v>295.8</v>
      </c>
      <c r="S3384" s="2" t="s">
        <v>6894</v>
      </c>
      <c r="T3384" s="2">
        <v>1.2</v>
      </c>
      <c r="U3384" s="2">
        <v>66.400000000000006</v>
      </c>
      <c r="V3384" s="2">
        <v>63</v>
      </c>
      <c r="W3384" s="2" t="s">
        <v>4336</v>
      </c>
      <c r="X3384" s="2" t="s">
        <v>3851</v>
      </c>
      <c r="Y3384" s="2">
        <v>34000</v>
      </c>
      <c r="Z3384" s="19" t="str">
        <f>HYPERLINK("https://ssdweb.co/ssdweb/hd/Vision360.html?d=831010664&amp;zoomslide=1&amp;z=1831010664&amp;ISCONFIRM=0","VIDEO")</f>
        <v>VIDEO</v>
      </c>
      <c r="AA3384" s="19" t="str">
        <f>HYPERLINK("https://ssdweb.co/ssdweb/CERTH/631430162.pdf","CERTI")</f>
        <v>CERTI</v>
      </c>
    </row>
    <row r="3385" spans="1:27" ht="15" x14ac:dyDescent="0.25">
      <c r="A3385" s="2">
        <v>3380</v>
      </c>
      <c r="B3385" s="39">
        <v>831020704</v>
      </c>
      <c r="C3385" s="28" t="str">
        <f>HYPERLINK("https://pld.live/RapDetail.aspx?STONELIST=831020704","DNA")</f>
        <v>DNA</v>
      </c>
      <c r="D3385" s="18" t="s">
        <v>3658</v>
      </c>
      <c r="E3385" s="18" t="s">
        <v>2186</v>
      </c>
      <c r="F3385" s="2" t="s">
        <v>7987</v>
      </c>
      <c r="G3385" s="2" t="s">
        <v>7023</v>
      </c>
      <c r="H3385" s="14">
        <v>2</v>
      </c>
      <c r="I3385" s="2" t="s">
        <v>6587</v>
      </c>
      <c r="J3385" s="2" t="s">
        <v>5144</v>
      </c>
      <c r="K3385" s="2" t="s">
        <v>1452</v>
      </c>
      <c r="L3385" s="2" t="s">
        <v>5221</v>
      </c>
      <c r="M3385" s="2" t="s">
        <v>5221</v>
      </c>
      <c r="N3385" s="2" t="s">
        <v>2317</v>
      </c>
      <c r="O3385" s="14">
        <v>13000</v>
      </c>
      <c r="P3385" s="14">
        <v>99.15</v>
      </c>
      <c r="Q3385" s="14">
        <v>110.5</v>
      </c>
      <c r="R3385" s="14">
        <v>221</v>
      </c>
      <c r="S3385" s="2" t="s">
        <v>4078</v>
      </c>
      <c r="T3385" s="2">
        <v>1.2</v>
      </c>
      <c r="U3385" s="2">
        <v>68.599999999999994</v>
      </c>
      <c r="V3385" s="2">
        <v>60</v>
      </c>
      <c r="W3385" s="2" t="s">
        <v>7862</v>
      </c>
      <c r="X3385" s="2" t="s">
        <v>3851</v>
      </c>
      <c r="Y3385" s="2">
        <v>26000</v>
      </c>
      <c r="Z3385" s="19" t="str">
        <f>HYPERLINK("https://ssdweb.co/ssdweb/hd/Vision360.html?d=831020704&amp;zoomslide=1&amp;z=1831020704&amp;ISCONFIRM=0","VIDEO")</f>
        <v>VIDEO</v>
      </c>
      <c r="AA3385" s="19" t="str">
        <f>HYPERLINK("https://ssdweb.co/ssdweb/CERTH/598366466.pdf","CERTI")</f>
        <v>CERTI</v>
      </c>
    </row>
    <row r="3386" spans="1:27" ht="15" x14ac:dyDescent="0.25">
      <c r="A3386" s="2">
        <v>3381</v>
      </c>
      <c r="B3386" s="39">
        <v>831020693</v>
      </c>
      <c r="C3386" s="28" t="str">
        <f>HYPERLINK("https://pld.live/RapDetail.aspx?STONELIST=831020693","DNA")</f>
        <v>DNA</v>
      </c>
      <c r="D3386" s="18" t="s">
        <v>3658</v>
      </c>
      <c r="E3386" s="18" t="s">
        <v>2186</v>
      </c>
      <c r="F3386" s="2" t="s">
        <v>7987</v>
      </c>
      <c r="G3386" s="2" t="s">
        <v>7023</v>
      </c>
      <c r="H3386" s="14">
        <v>2</v>
      </c>
      <c r="I3386" s="2" t="s">
        <v>6587</v>
      </c>
      <c r="J3386" s="2" t="s">
        <v>5144</v>
      </c>
      <c r="K3386" s="2" t="s">
        <v>1452</v>
      </c>
      <c r="L3386" s="2" t="s">
        <v>5221</v>
      </c>
      <c r="M3386" s="2" t="s">
        <v>5221</v>
      </c>
      <c r="N3386" s="2" t="s">
        <v>2317</v>
      </c>
      <c r="O3386" s="14">
        <v>13000</v>
      </c>
      <c r="P3386" s="14">
        <v>99.15</v>
      </c>
      <c r="Q3386" s="14">
        <v>110.5</v>
      </c>
      <c r="R3386" s="14">
        <v>221</v>
      </c>
      <c r="S3386" s="2" t="s">
        <v>248</v>
      </c>
      <c r="T3386" s="2">
        <v>1.2</v>
      </c>
      <c r="U3386" s="2">
        <v>66.599999999999994</v>
      </c>
      <c r="V3386" s="2">
        <v>62</v>
      </c>
      <c r="W3386" s="2" t="s">
        <v>7862</v>
      </c>
      <c r="X3386" s="2" t="s">
        <v>3851</v>
      </c>
      <c r="Y3386" s="2">
        <v>26000</v>
      </c>
      <c r="Z3386" s="19" t="str">
        <f>HYPERLINK("https://ssdweb.co/ssdweb/hd/Vision360.html?d=831020693&amp;zoomslide=1&amp;z=1831020693&amp;ISCONFIRM=0","VIDEO")</f>
        <v>VIDEO</v>
      </c>
      <c r="AA3386" s="19" t="str">
        <f>HYPERLINK("https://ssdweb.co/ssdweb/CERTH/592362612.pdf","CERTI")</f>
        <v>CERTI</v>
      </c>
    </row>
    <row r="3387" spans="1:27" ht="15" x14ac:dyDescent="0.25">
      <c r="A3387" s="2">
        <v>3382</v>
      </c>
      <c r="B3387" s="39">
        <v>831020703</v>
      </c>
      <c r="C3387" s="28" t="str">
        <f>HYPERLINK("https://pld.live/RapDetail.aspx?STONELIST=831020703","DNA")</f>
        <v>DNA</v>
      </c>
      <c r="D3387" s="18" t="s">
        <v>3658</v>
      </c>
      <c r="E3387" s="18" t="s">
        <v>2186</v>
      </c>
      <c r="F3387" s="2" t="s">
        <v>7987</v>
      </c>
      <c r="G3387" s="2" t="s">
        <v>7023</v>
      </c>
      <c r="H3387" s="14">
        <v>2</v>
      </c>
      <c r="I3387" s="2" t="s">
        <v>6587</v>
      </c>
      <c r="J3387" s="2" t="s">
        <v>444</v>
      </c>
      <c r="K3387" s="2" t="s">
        <v>1452</v>
      </c>
      <c r="L3387" s="2" t="s">
        <v>5221</v>
      </c>
      <c r="M3387" s="2" t="s">
        <v>5221</v>
      </c>
      <c r="N3387" s="2" t="s">
        <v>2317</v>
      </c>
      <c r="O3387" s="14">
        <v>10700</v>
      </c>
      <c r="P3387" s="14">
        <v>99.04</v>
      </c>
      <c r="Q3387" s="14">
        <v>102.72</v>
      </c>
      <c r="R3387" s="14">
        <v>205.44</v>
      </c>
      <c r="S3387" s="2" t="s">
        <v>1610</v>
      </c>
      <c r="T3387" s="2">
        <v>1.18</v>
      </c>
      <c r="U3387" s="2">
        <v>68.7</v>
      </c>
      <c r="V3387" s="2">
        <v>60</v>
      </c>
      <c r="W3387" s="2" t="s">
        <v>8016</v>
      </c>
      <c r="X3387" s="2" t="s">
        <v>3851</v>
      </c>
      <c r="Y3387" s="2">
        <v>21400</v>
      </c>
      <c r="Z3387" s="19" t="str">
        <f>HYPERLINK("https://ssdweb.co/ssdweb/hd/Vision360.html?d=831020703&amp;zoomslide=1&amp;z=1831020703&amp;ISCONFIRM=0","VIDEO")</f>
        <v>VIDEO</v>
      </c>
      <c r="AA3387" s="19" t="str">
        <f>HYPERLINK("https://ssdweb.co/ssdweb/CERTH/563299639.pdf","CERTI")</f>
        <v>CERTI</v>
      </c>
    </row>
    <row r="3388" spans="1:27" ht="15" x14ac:dyDescent="0.25">
      <c r="A3388" s="2">
        <v>3383</v>
      </c>
      <c r="B3388" s="39">
        <v>926171103</v>
      </c>
      <c r="C3388" s="28" t="str">
        <f>HYPERLINK("https://pld.live/RapDetail.aspx?STONELIST=926171103","DNA")</f>
        <v>DNA</v>
      </c>
      <c r="D3388" s="18" t="s">
        <v>5313</v>
      </c>
      <c r="E3388" s="18" t="s">
        <v>5128</v>
      </c>
      <c r="F3388" s="2" t="s">
        <v>7987</v>
      </c>
      <c r="G3388" s="2" t="s">
        <v>7023</v>
      </c>
      <c r="H3388" s="14">
        <v>1.89</v>
      </c>
      <c r="I3388" s="2" t="s">
        <v>4761</v>
      </c>
      <c r="J3388" s="2" t="s">
        <v>3942</v>
      </c>
      <c r="K3388" s="2" t="s">
        <v>1452</v>
      </c>
      <c r="L3388" s="2" t="s">
        <v>5221</v>
      </c>
      <c r="M3388" s="2" t="s">
        <v>5221</v>
      </c>
      <c r="N3388" s="2" t="s">
        <v>2317</v>
      </c>
      <c r="O3388" s="14">
        <v>11600</v>
      </c>
      <c r="P3388" s="14">
        <v>98.91</v>
      </c>
      <c r="Q3388" s="14">
        <v>126.44</v>
      </c>
      <c r="R3388" s="14">
        <v>238.97</v>
      </c>
      <c r="S3388" s="2" t="s">
        <v>363</v>
      </c>
      <c r="T3388" s="2">
        <v>1.2</v>
      </c>
      <c r="U3388" s="2">
        <v>66.7</v>
      </c>
      <c r="V3388" s="2">
        <v>61</v>
      </c>
      <c r="W3388" s="2" t="s">
        <v>4336</v>
      </c>
      <c r="X3388" s="2" t="s">
        <v>3851</v>
      </c>
      <c r="Y3388" s="2">
        <v>21924</v>
      </c>
      <c r="Z3388" s="19" t="str">
        <f>HYPERLINK("https://ssdweb.co/ssdweb/hd/Vision360.html?d=926171103&amp;zoomslide=1&amp;z=1926171103&amp;ISCONFIRM=0","VIDEO")</f>
        <v>VIDEO</v>
      </c>
      <c r="AA3388" s="19" t="str">
        <f>HYPERLINK("https://ssdweb.co/ssdweb/CERTH/634472316.pdf","CERTI")</f>
        <v>CERTI</v>
      </c>
    </row>
    <row r="3389" spans="1:27" ht="15" x14ac:dyDescent="0.25">
      <c r="A3389" s="2">
        <v>3384</v>
      </c>
      <c r="B3389" s="39">
        <v>924410244</v>
      </c>
      <c r="C3389" s="28" t="str">
        <f>HYPERLINK("https://pld.live/RapDetail.aspx?STONELIST=924410244","DNA")</f>
        <v>DNA</v>
      </c>
      <c r="D3389" s="18" t="s">
        <v>5313</v>
      </c>
      <c r="E3389" s="18" t="s">
        <v>2186</v>
      </c>
      <c r="F3389" s="2" t="s">
        <v>7987</v>
      </c>
      <c r="G3389" s="2" t="s">
        <v>7023</v>
      </c>
      <c r="H3389" s="14">
        <v>1.87</v>
      </c>
      <c r="I3389" s="2" t="s">
        <v>4761</v>
      </c>
      <c r="J3389" s="2" t="s">
        <v>5144</v>
      </c>
      <c r="K3389" s="2" t="s">
        <v>1452</v>
      </c>
      <c r="L3389" s="2" t="s">
        <v>5221</v>
      </c>
      <c r="M3389" s="2" t="s">
        <v>5221</v>
      </c>
      <c r="N3389" s="2" t="s">
        <v>2317</v>
      </c>
      <c r="O3389" s="14">
        <v>9300</v>
      </c>
      <c r="P3389" s="14">
        <v>98.81</v>
      </c>
      <c r="Q3389" s="14">
        <v>110.67</v>
      </c>
      <c r="R3389" s="14">
        <v>206.95</v>
      </c>
      <c r="S3389" s="2" t="s">
        <v>635</v>
      </c>
      <c r="T3389" s="2">
        <v>1.21</v>
      </c>
      <c r="U3389" s="2">
        <v>63.8</v>
      </c>
      <c r="V3389" s="2">
        <v>62</v>
      </c>
      <c r="W3389" s="2" t="s">
        <v>7862</v>
      </c>
      <c r="X3389" s="2" t="s">
        <v>3851</v>
      </c>
      <c r="Y3389" s="2">
        <v>17391</v>
      </c>
      <c r="Z3389" s="19" t="str">
        <f>HYPERLINK("https://ssdweb.co/ssdweb/hd/Vision360.html?d=924410244&amp;zoomslide=1&amp;z=1924410244&amp;ISCONFIRM=0","VIDEO")</f>
        <v>VIDEO</v>
      </c>
      <c r="AA3389" s="19" t="str">
        <f>HYPERLINK("https://ssdweb.co/ssdweb/CERTH/592361045.pdf","CERTI")</f>
        <v>CERTI</v>
      </c>
    </row>
    <row r="3390" spans="1:27" ht="15" x14ac:dyDescent="0.25">
      <c r="A3390" s="2">
        <v>3385</v>
      </c>
      <c r="B3390" s="39">
        <v>925521773</v>
      </c>
      <c r="C3390" s="28" t="str">
        <f>HYPERLINK("https://pld.live/RapDetail.aspx?STONELIST=925521773","DNA")</f>
        <v>DNA</v>
      </c>
      <c r="D3390" s="18" t="s">
        <v>5313</v>
      </c>
      <c r="E3390" s="18" t="s">
        <v>5128</v>
      </c>
      <c r="F3390" s="2" t="s">
        <v>7987</v>
      </c>
      <c r="G3390" s="2" t="s">
        <v>7023</v>
      </c>
      <c r="H3390" s="14">
        <v>1.87</v>
      </c>
      <c r="I3390" s="2" t="s">
        <v>4699</v>
      </c>
      <c r="J3390" s="2" t="s">
        <v>5144</v>
      </c>
      <c r="K3390" s="2" t="s">
        <v>1452</v>
      </c>
      <c r="L3390" s="2" t="s">
        <v>5221</v>
      </c>
      <c r="M3390" s="2" t="s">
        <v>5221</v>
      </c>
      <c r="N3390" s="2" t="s">
        <v>2317</v>
      </c>
      <c r="O3390" s="14">
        <v>8800</v>
      </c>
      <c r="P3390" s="14">
        <v>98.8</v>
      </c>
      <c r="Q3390" s="14">
        <v>105.6</v>
      </c>
      <c r="R3390" s="14">
        <v>197.47</v>
      </c>
      <c r="S3390" s="2" t="s">
        <v>3644</v>
      </c>
      <c r="T3390" s="2">
        <v>1.2</v>
      </c>
      <c r="U3390" s="2">
        <v>66.599999999999994</v>
      </c>
      <c r="V3390" s="2">
        <v>61</v>
      </c>
      <c r="W3390" s="2" t="s">
        <v>7862</v>
      </c>
      <c r="X3390" s="2" t="s">
        <v>3851</v>
      </c>
      <c r="Y3390" s="2">
        <v>16456</v>
      </c>
      <c r="Z3390" s="19" t="str">
        <f>HYPERLINK("https://ssdweb.co/ssdweb/hd/Vision360.html?d=925521773&amp;zoomslide=1&amp;z=1925521773&amp;ISCONFIRM=0","VIDEO")</f>
        <v>VIDEO</v>
      </c>
      <c r="AA3390" s="19" t="str">
        <f>HYPERLINK("https://ssdweb.co/ssdweb/CERTH/619453360.pdf","CERTI")</f>
        <v>CERTI</v>
      </c>
    </row>
    <row r="3391" spans="1:27" ht="15" x14ac:dyDescent="0.25">
      <c r="A3391" s="2">
        <v>3386</v>
      </c>
      <c r="B3391" s="39">
        <v>926071606</v>
      </c>
      <c r="C3391" s="28" t="str">
        <f>HYPERLINK("https://pld.live/RapDetail.aspx?STONELIST=926071606","DNA")</f>
        <v>DNA</v>
      </c>
      <c r="D3391" s="18" t="s">
        <v>5313</v>
      </c>
      <c r="E3391" s="18" t="s">
        <v>5128</v>
      </c>
      <c r="F3391" s="2" t="s">
        <v>7987</v>
      </c>
      <c r="G3391" s="2" t="s">
        <v>7023</v>
      </c>
      <c r="H3391" s="14">
        <v>1.85</v>
      </c>
      <c r="I3391" s="2" t="s">
        <v>267</v>
      </c>
      <c r="J3391" s="2" t="s">
        <v>3942</v>
      </c>
      <c r="K3391" s="2" t="s">
        <v>1452</v>
      </c>
      <c r="L3391" s="2" t="s">
        <v>5221</v>
      </c>
      <c r="M3391" s="2" t="s">
        <v>5221</v>
      </c>
      <c r="N3391" s="2" t="s">
        <v>2317</v>
      </c>
      <c r="O3391" s="14">
        <v>12500</v>
      </c>
      <c r="P3391" s="14">
        <v>98.86</v>
      </c>
      <c r="Q3391" s="14">
        <v>142.5</v>
      </c>
      <c r="R3391" s="14">
        <v>263.63</v>
      </c>
      <c r="S3391" s="2" t="s">
        <v>4397</v>
      </c>
      <c r="T3391" s="2">
        <v>1.2</v>
      </c>
      <c r="U3391" s="2">
        <v>65.099999999999994</v>
      </c>
      <c r="V3391" s="2">
        <v>59</v>
      </c>
      <c r="W3391" s="2" t="s">
        <v>7862</v>
      </c>
      <c r="X3391" s="2" t="s">
        <v>3851</v>
      </c>
      <c r="Y3391" s="2">
        <v>23125</v>
      </c>
      <c r="Z3391" s="19" t="str">
        <f>HYPERLINK("https://ssdweb.co/ssdweb/hd/Vision360.html?d=926071606&amp;zoomslide=1&amp;z=1926071606&amp;ISCONFIRM=0","VIDEO")</f>
        <v>VIDEO</v>
      </c>
      <c r="AA3391" s="19" t="str">
        <f>HYPERLINK("https://ssdweb.co/ssdweb/CERTH/631430415.pdf","CERTI")</f>
        <v>CERTI</v>
      </c>
    </row>
    <row r="3392" spans="1:27" ht="15" x14ac:dyDescent="0.25">
      <c r="A3392" s="2">
        <v>3387</v>
      </c>
      <c r="B3392" s="39">
        <v>926100971</v>
      </c>
      <c r="C3392" s="28" t="str">
        <f>HYPERLINK("https://pld.live/RapDetail.aspx?STONELIST=926100971","DNA")</f>
        <v>DNA</v>
      </c>
      <c r="D3392" s="18" t="s">
        <v>5313</v>
      </c>
      <c r="E3392" s="18" t="s">
        <v>5128</v>
      </c>
      <c r="F3392" s="2" t="s">
        <v>7987</v>
      </c>
      <c r="G3392" s="2" t="s">
        <v>7023</v>
      </c>
      <c r="H3392" s="14">
        <v>1.83</v>
      </c>
      <c r="I3392" s="2" t="s">
        <v>4761</v>
      </c>
      <c r="J3392" s="2" t="s">
        <v>13</v>
      </c>
      <c r="K3392" s="2" t="s">
        <v>1452</v>
      </c>
      <c r="L3392" s="2" t="s">
        <v>5221</v>
      </c>
      <c r="M3392" s="2" t="s">
        <v>5221</v>
      </c>
      <c r="N3392" s="2" t="s">
        <v>2317</v>
      </c>
      <c r="O3392" s="14">
        <v>10800</v>
      </c>
      <c r="P3392" s="14">
        <v>98.93</v>
      </c>
      <c r="Q3392" s="14">
        <v>115.56</v>
      </c>
      <c r="R3392" s="14">
        <v>211.47</v>
      </c>
      <c r="S3392" s="2" t="s">
        <v>5152</v>
      </c>
      <c r="T3392" s="2">
        <v>1.21</v>
      </c>
      <c r="U3392" s="2">
        <v>65</v>
      </c>
      <c r="V3392" s="2">
        <v>61</v>
      </c>
      <c r="W3392" s="2" t="s">
        <v>4336</v>
      </c>
      <c r="X3392" s="2" t="s">
        <v>3851</v>
      </c>
      <c r="Y3392" s="2">
        <v>19764</v>
      </c>
      <c r="Z3392" s="19" t="str">
        <f>HYPERLINK("https://ssdweb.co/ssdweb/hd/Vision360.html?d=926100971&amp;zoomslide=1&amp;z=1926100971&amp;ISCONFIRM=0","VIDEO")</f>
        <v>VIDEO</v>
      </c>
      <c r="AA3392" s="19" t="str">
        <f>HYPERLINK("https://ssdweb.co/ssdweb/CERTH/632488333.pdf","CERTI")</f>
        <v>CERTI</v>
      </c>
    </row>
    <row r="3393" spans="1:27" ht="15" x14ac:dyDescent="0.25">
      <c r="A3393" s="2">
        <v>3388</v>
      </c>
      <c r="B3393" s="39">
        <v>926071887</v>
      </c>
      <c r="C3393" s="28" t="str">
        <f>HYPERLINK("https://pld.live/RapDetail.aspx?STONELIST=926071887","DNA")</f>
        <v>DNA</v>
      </c>
      <c r="D3393" s="18" t="s">
        <v>5313</v>
      </c>
      <c r="E3393" s="18" t="s">
        <v>5128</v>
      </c>
      <c r="F3393" s="2" t="s">
        <v>7987</v>
      </c>
      <c r="G3393" s="2" t="s">
        <v>7023</v>
      </c>
      <c r="H3393" s="14">
        <v>1.81</v>
      </c>
      <c r="I3393" s="2" t="s">
        <v>267</v>
      </c>
      <c r="J3393" s="2" t="s">
        <v>13</v>
      </c>
      <c r="K3393" s="2" t="s">
        <v>1452</v>
      </c>
      <c r="L3393" s="2" t="s">
        <v>5221</v>
      </c>
      <c r="M3393" s="2" t="s">
        <v>5221</v>
      </c>
      <c r="N3393" s="2" t="s">
        <v>2317</v>
      </c>
      <c r="O3393" s="14">
        <v>11600</v>
      </c>
      <c r="P3393" s="14">
        <v>98.91</v>
      </c>
      <c r="Q3393" s="14">
        <v>126.44</v>
      </c>
      <c r="R3393" s="14">
        <v>228.86</v>
      </c>
      <c r="S3393" s="2" t="s">
        <v>5804</v>
      </c>
      <c r="T3393" s="2">
        <v>1.21</v>
      </c>
      <c r="U3393" s="2">
        <v>67.5</v>
      </c>
      <c r="V3393" s="2">
        <v>62</v>
      </c>
      <c r="W3393" s="2" t="s">
        <v>7862</v>
      </c>
      <c r="X3393" s="2" t="s">
        <v>3851</v>
      </c>
      <c r="Y3393" s="2">
        <v>20996</v>
      </c>
      <c r="Z3393" s="19" t="str">
        <f>HYPERLINK("https://ssdweb.co/ssdweb/hd/Vision360.html?d=926071887&amp;zoomslide=1&amp;z=1926071887&amp;ISCONFIRM=0","VIDEO")</f>
        <v>VIDEO</v>
      </c>
      <c r="AA3393" s="19" t="str">
        <f>HYPERLINK("https://ssdweb.co/ssdweb/CERTH/632488340.pdf","CERTI")</f>
        <v>CERTI</v>
      </c>
    </row>
    <row r="3394" spans="1:27" ht="15" x14ac:dyDescent="0.25">
      <c r="A3394" s="2">
        <v>3389</v>
      </c>
      <c r="B3394" s="39">
        <v>831010851</v>
      </c>
      <c r="C3394" s="28" t="str">
        <f>HYPERLINK("https://pld.live/RapDetail.aspx?STONELIST=831010851","DNA")</f>
        <v>DNA</v>
      </c>
      <c r="D3394" s="18" t="s">
        <v>5313</v>
      </c>
      <c r="E3394" s="18" t="s">
        <v>5128</v>
      </c>
      <c r="F3394" s="2" t="s">
        <v>7987</v>
      </c>
      <c r="G3394" s="2" t="s">
        <v>7023</v>
      </c>
      <c r="H3394" s="14">
        <v>1.78</v>
      </c>
      <c r="I3394" s="2" t="s">
        <v>267</v>
      </c>
      <c r="J3394" s="2" t="s">
        <v>13</v>
      </c>
      <c r="K3394" s="2" t="s">
        <v>1452</v>
      </c>
      <c r="L3394" s="2" t="s">
        <v>5221</v>
      </c>
      <c r="M3394" s="2" t="s">
        <v>5221</v>
      </c>
      <c r="N3394" s="2" t="s">
        <v>2317</v>
      </c>
      <c r="O3394" s="14">
        <v>11600</v>
      </c>
      <c r="P3394" s="14">
        <v>98.9</v>
      </c>
      <c r="Q3394" s="14">
        <v>127.6</v>
      </c>
      <c r="R3394" s="14">
        <v>227.13</v>
      </c>
      <c r="S3394" s="2" t="s">
        <v>4309</v>
      </c>
      <c r="T3394" s="2">
        <v>1.2</v>
      </c>
      <c r="U3394" s="2">
        <v>67.599999999999994</v>
      </c>
      <c r="V3394" s="2">
        <v>60</v>
      </c>
      <c r="W3394" s="2" t="s">
        <v>7862</v>
      </c>
      <c r="X3394" s="2" t="s">
        <v>3851</v>
      </c>
      <c r="Y3394" s="2">
        <v>20648</v>
      </c>
      <c r="Z3394" s="19" t="str">
        <f>HYPERLINK("https://ssdweb.co/ssdweb/hd/Vision360.html?d=831010851&amp;zoomslide=1&amp;z=1831010851&amp;ISCONFIRM=0","VIDEO")</f>
        <v>VIDEO</v>
      </c>
      <c r="AA3394" s="19" t="str">
        <f>HYPERLINK("https://ssdweb.co/ssdweb/CERTH/620469798.pdf","CERTI")</f>
        <v>CERTI</v>
      </c>
    </row>
    <row r="3395" spans="1:27" ht="15" x14ac:dyDescent="0.25">
      <c r="A3395" s="2">
        <v>3390</v>
      </c>
      <c r="B3395" s="39">
        <v>831010850</v>
      </c>
      <c r="C3395" s="28" t="str">
        <f>HYPERLINK("https://pld.live/RapDetail.aspx?STONELIST=831010850","DNA")</f>
        <v>DNA</v>
      </c>
      <c r="D3395" s="18" t="s">
        <v>5313</v>
      </c>
      <c r="E3395" s="18" t="s">
        <v>5128</v>
      </c>
      <c r="F3395" s="2" t="s">
        <v>7987</v>
      </c>
      <c r="G3395" s="2" t="s">
        <v>7023</v>
      </c>
      <c r="H3395" s="14">
        <v>1.76</v>
      </c>
      <c r="I3395" s="2" t="s">
        <v>4761</v>
      </c>
      <c r="J3395" s="2" t="s">
        <v>13</v>
      </c>
      <c r="K3395" s="2" t="s">
        <v>1452</v>
      </c>
      <c r="L3395" s="2" t="s">
        <v>5221</v>
      </c>
      <c r="M3395" s="2" t="s">
        <v>5221</v>
      </c>
      <c r="N3395" s="2" t="s">
        <v>2317</v>
      </c>
      <c r="O3395" s="14">
        <v>10800</v>
      </c>
      <c r="P3395" s="14">
        <v>98.88</v>
      </c>
      <c r="Q3395" s="14">
        <v>120.96</v>
      </c>
      <c r="R3395" s="14">
        <v>212.89</v>
      </c>
      <c r="S3395" s="2" t="s">
        <v>7985</v>
      </c>
      <c r="T3395" s="2">
        <v>1.2</v>
      </c>
      <c r="U3395" s="2">
        <v>67.2</v>
      </c>
      <c r="V3395" s="2">
        <v>61</v>
      </c>
      <c r="W3395" s="2" t="s">
        <v>7862</v>
      </c>
      <c r="X3395" s="2" t="s">
        <v>3851</v>
      </c>
      <c r="Y3395" s="2">
        <v>19008</v>
      </c>
      <c r="Z3395" s="19" t="str">
        <f>HYPERLINK("https://ssdweb.co/ssdweb/hd/Vision360.html?d=831010850&amp;zoomslide=1&amp;z=1831010850&amp;ISCONFIRM=0","VIDEO")</f>
        <v>VIDEO</v>
      </c>
      <c r="AA3395" s="19" t="str">
        <f>HYPERLINK("https://ssdweb.co/ssdweb/CERTH/620403142.pdf","CERTI")</f>
        <v>CERTI</v>
      </c>
    </row>
    <row r="3396" spans="1:27" ht="15" x14ac:dyDescent="0.25">
      <c r="A3396" s="2">
        <v>3391</v>
      </c>
      <c r="B3396" s="39">
        <v>925521912</v>
      </c>
      <c r="C3396" s="28" t="str">
        <f>HYPERLINK("https://pld.live/RapDetail.aspx?STONELIST=925521912","DNA")</f>
        <v>DNA</v>
      </c>
      <c r="D3396" s="18" t="s">
        <v>5313</v>
      </c>
      <c r="E3396" s="18" t="s">
        <v>5128</v>
      </c>
      <c r="F3396" s="2" t="s">
        <v>7987</v>
      </c>
      <c r="G3396" s="2" t="s">
        <v>7023</v>
      </c>
      <c r="H3396" s="14">
        <v>1.75</v>
      </c>
      <c r="I3396" s="2" t="s">
        <v>4761</v>
      </c>
      <c r="J3396" s="2" t="s">
        <v>13</v>
      </c>
      <c r="K3396" s="2" t="s">
        <v>1452</v>
      </c>
      <c r="L3396" s="2" t="s">
        <v>5221</v>
      </c>
      <c r="M3396" s="2" t="s">
        <v>5221</v>
      </c>
      <c r="N3396" s="2" t="s">
        <v>2317</v>
      </c>
      <c r="O3396" s="14">
        <v>10800</v>
      </c>
      <c r="P3396" s="14">
        <v>98.88</v>
      </c>
      <c r="Q3396" s="14">
        <v>120.96</v>
      </c>
      <c r="R3396" s="14">
        <v>211.68</v>
      </c>
      <c r="S3396" s="2" t="s">
        <v>960</v>
      </c>
      <c r="T3396" s="2">
        <v>1.2</v>
      </c>
      <c r="U3396" s="2">
        <v>65.7</v>
      </c>
      <c r="V3396" s="2">
        <v>58</v>
      </c>
      <c r="W3396" s="2" t="s">
        <v>7862</v>
      </c>
      <c r="X3396" s="2" t="s">
        <v>7053</v>
      </c>
      <c r="Y3396" s="2">
        <v>18900</v>
      </c>
      <c r="Z3396" s="19" t="str">
        <f>HYPERLINK("https://ssdweb.co/ssdweb/hd/Vision360.html?d=925521912&amp;zoomslide=1&amp;z=1925521912&amp;ISCONFIRM=0","VIDEO")</f>
        <v>VIDEO</v>
      </c>
      <c r="AA3396" s="19" t="str">
        <f>HYPERLINK("https://ssdweb.co/ssdweb/CERTH/619469727.pdf","CERTI")</f>
        <v>CERTI</v>
      </c>
    </row>
    <row r="3397" spans="1:27" ht="15" x14ac:dyDescent="0.25">
      <c r="A3397" s="2">
        <v>3392</v>
      </c>
      <c r="B3397" s="39">
        <v>925542650</v>
      </c>
      <c r="C3397" s="28" t="str">
        <f>HYPERLINK("https://pld.live/RapDetail.aspx?STONELIST=925542650","DNA")</f>
        <v>DNA</v>
      </c>
      <c r="D3397" s="18" t="s">
        <v>5313</v>
      </c>
      <c r="E3397" s="18" t="s">
        <v>5128</v>
      </c>
      <c r="F3397" s="2" t="s">
        <v>7987</v>
      </c>
      <c r="G3397" s="2" t="s">
        <v>7023</v>
      </c>
      <c r="H3397" s="14">
        <v>1.74</v>
      </c>
      <c r="I3397" s="2" t="s">
        <v>267</v>
      </c>
      <c r="J3397" s="2" t="s">
        <v>13</v>
      </c>
      <c r="K3397" s="2" t="s">
        <v>1452</v>
      </c>
      <c r="L3397" s="2" t="s">
        <v>5221</v>
      </c>
      <c r="M3397" s="2" t="s">
        <v>5221</v>
      </c>
      <c r="N3397" s="2" t="s">
        <v>2317</v>
      </c>
      <c r="O3397" s="14">
        <v>11600</v>
      </c>
      <c r="P3397" s="14">
        <v>98.9</v>
      </c>
      <c r="Q3397" s="14">
        <v>127.6</v>
      </c>
      <c r="R3397" s="14">
        <v>222.02</v>
      </c>
      <c r="S3397" s="2" t="s">
        <v>1851</v>
      </c>
      <c r="T3397" s="2">
        <v>1.22</v>
      </c>
      <c r="U3397" s="2">
        <v>65.900000000000006</v>
      </c>
      <c r="V3397" s="2">
        <v>60</v>
      </c>
      <c r="W3397" s="2" t="s">
        <v>7862</v>
      </c>
      <c r="X3397" s="2" t="s">
        <v>3851</v>
      </c>
      <c r="Y3397" s="2">
        <v>20184</v>
      </c>
      <c r="Z3397" s="19" t="str">
        <f>HYPERLINK("https://ssdweb.co/ssdweb/hd/Vision360.html?d=925542650&amp;zoomslide=1&amp;z=1925542650&amp;ISCONFIRM=0","VIDEO")</f>
        <v>VIDEO</v>
      </c>
      <c r="AA3397" s="19" t="str">
        <f>HYPERLINK("https://ssdweb.co/ssdweb/CERTH/620449043.pdf","CERTI")</f>
        <v>CERTI</v>
      </c>
    </row>
    <row r="3398" spans="1:27" ht="15" x14ac:dyDescent="0.25">
      <c r="A3398" s="2">
        <v>3393</v>
      </c>
      <c r="B3398" s="39">
        <v>926101119</v>
      </c>
      <c r="C3398" s="28" t="str">
        <f>HYPERLINK("https://pld.live/RapDetail.aspx?STONELIST=926101119","DNA")</f>
        <v>DNA</v>
      </c>
      <c r="D3398" s="18" t="s">
        <v>5313</v>
      </c>
      <c r="E3398" s="18" t="s">
        <v>5128</v>
      </c>
      <c r="F3398" s="2" t="s">
        <v>7987</v>
      </c>
      <c r="G3398" s="2" t="s">
        <v>7023</v>
      </c>
      <c r="H3398" s="14">
        <v>1.74</v>
      </c>
      <c r="I3398" s="2" t="s">
        <v>4761</v>
      </c>
      <c r="J3398" s="2" t="s">
        <v>3942</v>
      </c>
      <c r="K3398" s="2" t="s">
        <v>1452</v>
      </c>
      <c r="L3398" s="2" t="s">
        <v>5221</v>
      </c>
      <c r="M3398" s="2" t="s">
        <v>5221</v>
      </c>
      <c r="N3398" s="2" t="s">
        <v>2317</v>
      </c>
      <c r="O3398" s="14">
        <v>11600</v>
      </c>
      <c r="P3398" s="14">
        <v>98.81</v>
      </c>
      <c r="Q3398" s="14">
        <v>138.04</v>
      </c>
      <c r="R3398" s="14">
        <v>240.19</v>
      </c>
      <c r="S3398" s="2" t="s">
        <v>2093</v>
      </c>
      <c r="T3398" s="2">
        <v>1.2</v>
      </c>
      <c r="U3398" s="2">
        <v>64.3</v>
      </c>
      <c r="V3398" s="2">
        <v>60</v>
      </c>
      <c r="W3398" s="2" t="s">
        <v>7862</v>
      </c>
      <c r="X3398" s="2" t="s">
        <v>3851</v>
      </c>
      <c r="Y3398" s="2">
        <v>20184</v>
      </c>
      <c r="Z3398" s="19" t="str">
        <f>HYPERLINK("https://ssdweb.co/ssdweb/hd/Vision360.html?d=926101119&amp;zoomslide=1&amp;z=1926101119&amp;ISCONFIRM=0","VIDEO")</f>
        <v>VIDEO</v>
      </c>
      <c r="AA3398" s="19" t="str">
        <f>HYPERLINK("https://ssdweb.co/ssdweb/CERTH/632488308.pdf","CERTI")</f>
        <v>CERTI</v>
      </c>
    </row>
    <row r="3399" spans="1:27" ht="15" x14ac:dyDescent="0.25">
      <c r="A3399" s="2">
        <v>3394</v>
      </c>
      <c r="B3399" s="39">
        <v>831010849</v>
      </c>
      <c r="C3399" s="28" t="str">
        <f>HYPERLINK("https://pld.live/RapDetail.aspx?STONELIST=831010849","DNA")</f>
        <v>DNA</v>
      </c>
      <c r="D3399" s="18" t="s">
        <v>5313</v>
      </c>
      <c r="E3399" s="18" t="s">
        <v>5128</v>
      </c>
      <c r="F3399" s="2" t="s">
        <v>7987</v>
      </c>
      <c r="G3399" s="2" t="s">
        <v>7023</v>
      </c>
      <c r="H3399" s="14">
        <v>1.73</v>
      </c>
      <c r="I3399" s="2" t="s">
        <v>267</v>
      </c>
      <c r="J3399" s="2" t="s">
        <v>13</v>
      </c>
      <c r="K3399" s="2" t="s">
        <v>1452</v>
      </c>
      <c r="L3399" s="2" t="s">
        <v>5221</v>
      </c>
      <c r="M3399" s="2" t="s">
        <v>5221</v>
      </c>
      <c r="N3399" s="2" t="s">
        <v>2317</v>
      </c>
      <c r="O3399" s="14">
        <v>11600</v>
      </c>
      <c r="P3399" s="14">
        <v>98.9</v>
      </c>
      <c r="Q3399" s="14">
        <v>127.6</v>
      </c>
      <c r="R3399" s="14">
        <v>220.75</v>
      </c>
      <c r="S3399" s="2" t="s">
        <v>1306</v>
      </c>
      <c r="T3399" s="2">
        <v>1.27</v>
      </c>
      <c r="U3399" s="2">
        <v>65.8</v>
      </c>
      <c r="V3399" s="2">
        <v>62</v>
      </c>
      <c r="W3399" s="2" t="s">
        <v>7862</v>
      </c>
      <c r="X3399" s="2" t="s">
        <v>3851</v>
      </c>
      <c r="Y3399" s="2">
        <v>20068</v>
      </c>
      <c r="Z3399" s="19" t="str">
        <f>HYPERLINK("https://ssdweb.co/ssdweb/hd/Vision360.html?d=831010849&amp;zoomslide=1&amp;z=1831010849&amp;ISCONFIRM=0","VIDEO")</f>
        <v>VIDEO</v>
      </c>
      <c r="AA3399" s="19" t="str">
        <f>HYPERLINK("https://ssdweb.co/ssdweb/CERTH/621448158.pdf","CERTI")</f>
        <v>CERTI</v>
      </c>
    </row>
    <row r="3400" spans="1:27" ht="15" x14ac:dyDescent="0.25">
      <c r="A3400" s="2">
        <v>3395</v>
      </c>
      <c r="B3400" s="39">
        <v>925971281</v>
      </c>
      <c r="C3400" s="28" t="str">
        <f>HYPERLINK("https://pld.live/RapDetail.aspx?STONELIST=925971281","DNA")</f>
        <v>DNA</v>
      </c>
      <c r="D3400" s="18" t="s">
        <v>5313</v>
      </c>
      <c r="E3400" s="18" t="s">
        <v>5128</v>
      </c>
      <c r="F3400" s="2" t="s">
        <v>7987</v>
      </c>
      <c r="G3400" s="2" t="s">
        <v>7023</v>
      </c>
      <c r="H3400" s="14">
        <v>1.72</v>
      </c>
      <c r="I3400" s="2" t="s">
        <v>267</v>
      </c>
      <c r="J3400" s="2" t="s">
        <v>3942</v>
      </c>
      <c r="K3400" s="2" t="s">
        <v>1452</v>
      </c>
      <c r="L3400" s="2" t="s">
        <v>5221</v>
      </c>
      <c r="M3400" s="2" t="s">
        <v>5221</v>
      </c>
      <c r="N3400" s="2" t="s">
        <v>2317</v>
      </c>
      <c r="O3400" s="14">
        <v>12500</v>
      </c>
      <c r="P3400" s="14">
        <v>98.86</v>
      </c>
      <c r="Q3400" s="14">
        <v>142.5</v>
      </c>
      <c r="R3400" s="14">
        <v>245.1</v>
      </c>
      <c r="S3400" s="2" t="s">
        <v>610</v>
      </c>
      <c r="T3400" s="2">
        <v>1.2</v>
      </c>
      <c r="U3400" s="2">
        <v>66.900000000000006</v>
      </c>
      <c r="V3400" s="2">
        <v>60</v>
      </c>
      <c r="W3400" s="2" t="s">
        <v>7862</v>
      </c>
      <c r="X3400" s="2" t="s">
        <v>3851</v>
      </c>
      <c r="Y3400" s="2">
        <v>21500</v>
      </c>
      <c r="Z3400" s="19" t="str">
        <f>HYPERLINK("https://ssdweb.co/ssdweb/hd/Vision360.html?d=925971281&amp;zoomslide=1&amp;z=1925971281&amp;ISCONFIRM=0","VIDEO")</f>
        <v>VIDEO</v>
      </c>
      <c r="AA3400" s="19" t="str">
        <f>HYPERLINK("https://ssdweb.co/ssdweb/CERTH/629497454.pdf","CERTI")</f>
        <v>CERTI</v>
      </c>
    </row>
    <row r="3401" spans="1:27" ht="15" x14ac:dyDescent="0.25">
      <c r="A3401" s="2">
        <v>3396</v>
      </c>
      <c r="B3401" s="39">
        <v>923600467</v>
      </c>
      <c r="C3401" s="28" t="str">
        <f>HYPERLINK("https://pld.live/RapDetail.aspx?STONELIST=923600467","DNA")</f>
        <v>DNA</v>
      </c>
      <c r="D3401" s="18" t="s">
        <v>5313</v>
      </c>
      <c r="E3401" s="18" t="s">
        <v>5128</v>
      </c>
      <c r="F3401" s="2" t="s">
        <v>5597</v>
      </c>
      <c r="G3401" s="2" t="s">
        <v>7023</v>
      </c>
      <c r="H3401" s="14">
        <v>1.71</v>
      </c>
      <c r="I3401" s="2" t="s">
        <v>267</v>
      </c>
      <c r="J3401" s="2" t="s">
        <v>13</v>
      </c>
      <c r="K3401" s="2" t="s">
        <v>1452</v>
      </c>
      <c r="L3401" s="2" t="s">
        <v>5221</v>
      </c>
      <c r="M3401" s="2" t="s">
        <v>5721</v>
      </c>
      <c r="N3401" s="2" t="s">
        <v>2317</v>
      </c>
      <c r="O3401" s="14">
        <v>11600</v>
      </c>
      <c r="P3401" s="14">
        <v>98.25</v>
      </c>
      <c r="Q3401" s="14">
        <v>203</v>
      </c>
      <c r="R3401" s="14">
        <v>347.13</v>
      </c>
      <c r="S3401" s="2" t="s">
        <v>5688</v>
      </c>
      <c r="T3401" s="2">
        <v>1.18</v>
      </c>
      <c r="U3401" s="2">
        <v>67.3</v>
      </c>
      <c r="V3401" s="2">
        <v>60</v>
      </c>
      <c r="W3401" s="2" t="s">
        <v>7862</v>
      </c>
      <c r="X3401" s="2" t="s">
        <v>7053</v>
      </c>
      <c r="Y3401" s="2">
        <v>19836</v>
      </c>
      <c r="Z3401" s="19" t="str">
        <f>HYPERLINK("https://ssdweb.co/ssdweb/hd/Vision360.html?d=923600467&amp;zoomslide=1&amp;z=1923600467&amp;ISCONFIRM=0","VIDEO")</f>
        <v>VIDEO</v>
      </c>
      <c r="AA3401" s="19" t="str">
        <f>HYPERLINK("https://ssdweb.co/ssdweb/CERTH/5453396965.pdf","CERTI")</f>
        <v>CERTI</v>
      </c>
    </row>
    <row r="3402" spans="1:27" ht="15" x14ac:dyDescent="0.25">
      <c r="A3402" s="2">
        <v>3397</v>
      </c>
      <c r="B3402" s="39">
        <v>926071609</v>
      </c>
      <c r="C3402" s="28" t="str">
        <f>HYPERLINK("https://pld.live/RapDetail.aspx?STONELIST=926071609","DNA")</f>
        <v>DNA</v>
      </c>
      <c r="D3402" s="18" t="s">
        <v>5313</v>
      </c>
      <c r="E3402" s="18" t="s">
        <v>5128</v>
      </c>
      <c r="F3402" s="2" t="s">
        <v>7987</v>
      </c>
      <c r="G3402" s="2" t="s">
        <v>7023</v>
      </c>
      <c r="H3402" s="14">
        <v>1.7</v>
      </c>
      <c r="I3402" s="2" t="s">
        <v>4761</v>
      </c>
      <c r="J3402" s="2" t="s">
        <v>3942</v>
      </c>
      <c r="K3402" s="2" t="s">
        <v>1452</v>
      </c>
      <c r="L3402" s="2" t="s">
        <v>5221</v>
      </c>
      <c r="M3402" s="2" t="s">
        <v>5221</v>
      </c>
      <c r="N3402" s="2" t="s">
        <v>2317</v>
      </c>
      <c r="O3402" s="14">
        <v>11600</v>
      </c>
      <c r="P3402" s="14">
        <v>98.82</v>
      </c>
      <c r="Q3402" s="14">
        <v>136.88</v>
      </c>
      <c r="R3402" s="14">
        <v>232.7</v>
      </c>
      <c r="S3402" s="2" t="s">
        <v>1862</v>
      </c>
      <c r="T3402" s="2">
        <v>1.2</v>
      </c>
      <c r="U3402" s="2">
        <v>66.900000000000006</v>
      </c>
      <c r="V3402" s="2">
        <v>61</v>
      </c>
      <c r="W3402" s="2" t="s">
        <v>4336</v>
      </c>
      <c r="X3402" s="2" t="s">
        <v>3851</v>
      </c>
      <c r="Y3402" s="2">
        <v>19720</v>
      </c>
      <c r="Z3402" s="19" t="str">
        <f>HYPERLINK("https://ssdweb.co/ssdweb/hd/Vision360.html?d=926071609&amp;zoomslide=1&amp;z=1926071609&amp;ISCONFIRM=0","VIDEO")</f>
        <v>VIDEO</v>
      </c>
      <c r="AA3402" s="19" t="str">
        <f>HYPERLINK("https://ssdweb.co/ssdweb/CERTH/631430408.pdf","CERTI")</f>
        <v>CERTI</v>
      </c>
    </row>
    <row r="3403" spans="1:27" ht="15" x14ac:dyDescent="0.25">
      <c r="A3403" s="2">
        <v>3398</v>
      </c>
      <c r="B3403" s="39">
        <v>831010128</v>
      </c>
      <c r="C3403" s="28" t="str">
        <f>HYPERLINK("https://pld.live/RapDetail.aspx?STONELIST=831010128","DNA")</f>
        <v>DNA</v>
      </c>
      <c r="D3403" s="18" t="s">
        <v>5313</v>
      </c>
      <c r="E3403" s="18" t="s">
        <v>5128</v>
      </c>
      <c r="F3403" s="2" t="s">
        <v>5597</v>
      </c>
      <c r="G3403" s="2" t="s">
        <v>7023</v>
      </c>
      <c r="H3403" s="14">
        <v>1.7</v>
      </c>
      <c r="I3403" s="2" t="s">
        <v>4761</v>
      </c>
      <c r="J3403" s="2" t="s">
        <v>3942</v>
      </c>
      <c r="K3403" s="2" t="s">
        <v>1452</v>
      </c>
      <c r="L3403" s="2" t="s">
        <v>5221</v>
      </c>
      <c r="M3403" s="2" t="s">
        <v>5721</v>
      </c>
      <c r="N3403" s="2" t="s">
        <v>2317</v>
      </c>
      <c r="O3403" s="14">
        <v>11600</v>
      </c>
      <c r="P3403" s="14">
        <v>98.23</v>
      </c>
      <c r="Q3403" s="14">
        <v>205.32</v>
      </c>
      <c r="R3403" s="14">
        <v>349.04</v>
      </c>
      <c r="S3403" s="2" t="s">
        <v>6576</v>
      </c>
      <c r="T3403" s="2">
        <v>1.18</v>
      </c>
      <c r="U3403" s="2">
        <v>68.400000000000006</v>
      </c>
      <c r="V3403" s="2">
        <v>64</v>
      </c>
      <c r="W3403" s="2" t="s">
        <v>7862</v>
      </c>
      <c r="X3403" s="2" t="s">
        <v>7053</v>
      </c>
      <c r="Y3403" s="2">
        <v>19720</v>
      </c>
      <c r="Z3403" s="19" t="str">
        <f>HYPERLINK("https://ssdweb.co/ssdweb/hd/Vision360.html?d=831010128&amp;zoomslide=1&amp;z=1831010128&amp;ISCONFIRM=0","VIDEO")</f>
        <v>VIDEO</v>
      </c>
      <c r="AA3403" s="19" t="str">
        <f>HYPERLINK("https://ssdweb.co/ssdweb/CERTH/6451396997.pdf","CERTI")</f>
        <v>CERTI</v>
      </c>
    </row>
    <row r="3404" spans="1:27" ht="15" x14ac:dyDescent="0.25">
      <c r="A3404" s="2">
        <v>3399</v>
      </c>
      <c r="B3404" s="39">
        <v>925551905</v>
      </c>
      <c r="C3404" s="28" t="str">
        <f>HYPERLINK("https://pld.live/RapDetail.aspx?STONELIST=925551905","DNA")</f>
        <v>DNA</v>
      </c>
      <c r="D3404" s="18" t="s">
        <v>5313</v>
      </c>
      <c r="E3404" s="18" t="s">
        <v>5128</v>
      </c>
      <c r="F3404" s="2" t="s">
        <v>7987</v>
      </c>
      <c r="G3404" s="2" t="s">
        <v>7023</v>
      </c>
      <c r="H3404" s="14">
        <v>1.7</v>
      </c>
      <c r="I3404" s="2" t="s">
        <v>4761</v>
      </c>
      <c r="J3404" s="2" t="s">
        <v>13</v>
      </c>
      <c r="K3404" s="2" t="s">
        <v>1452</v>
      </c>
      <c r="L3404" s="2" t="s">
        <v>5221</v>
      </c>
      <c r="M3404" s="2" t="s">
        <v>5221</v>
      </c>
      <c r="N3404" s="2" t="s">
        <v>2317</v>
      </c>
      <c r="O3404" s="14">
        <v>10800</v>
      </c>
      <c r="P3404" s="14">
        <v>98.88</v>
      </c>
      <c r="Q3404" s="14">
        <v>120.96</v>
      </c>
      <c r="R3404" s="14">
        <v>205.63</v>
      </c>
      <c r="S3404" s="2" t="s">
        <v>7634</v>
      </c>
      <c r="T3404" s="2">
        <v>1.21</v>
      </c>
      <c r="U3404" s="2">
        <v>67.3</v>
      </c>
      <c r="V3404" s="2">
        <v>62</v>
      </c>
      <c r="W3404" s="2" t="s">
        <v>7862</v>
      </c>
      <c r="X3404" s="2" t="s">
        <v>7053</v>
      </c>
      <c r="Y3404" s="2">
        <v>18360</v>
      </c>
      <c r="Z3404" s="19" t="str">
        <f>HYPERLINK("https://ssdweb.co/ssdweb/hd/Vision360.html?d=925551905&amp;zoomslide=1&amp;z=1925551905&amp;ISCONFIRM=0","VIDEO")</f>
        <v>VIDEO</v>
      </c>
      <c r="AA3404" s="19" t="str">
        <f>HYPERLINK("https://ssdweb.co/ssdweb/CERTH/620449061.pdf","CERTI")</f>
        <v>CERTI</v>
      </c>
    </row>
    <row r="3405" spans="1:27" ht="15" x14ac:dyDescent="0.25">
      <c r="A3405" s="2">
        <v>3400</v>
      </c>
      <c r="B3405" s="39">
        <v>926020801</v>
      </c>
      <c r="C3405" s="28" t="str">
        <f>HYPERLINK("https://pld.live/RapDetail.aspx?STONELIST=926020801","DNA")</f>
        <v>DNA</v>
      </c>
      <c r="D3405" s="18" t="s">
        <v>5313</v>
      </c>
      <c r="E3405" s="18" t="s">
        <v>5128</v>
      </c>
      <c r="F3405" s="2" t="s">
        <v>7987</v>
      </c>
      <c r="G3405" s="2" t="s">
        <v>7023</v>
      </c>
      <c r="H3405" s="14">
        <v>1.7</v>
      </c>
      <c r="I3405" s="2" t="s">
        <v>4761</v>
      </c>
      <c r="J3405" s="2" t="s">
        <v>13</v>
      </c>
      <c r="K3405" s="2" t="s">
        <v>1452</v>
      </c>
      <c r="L3405" s="2" t="s">
        <v>5221</v>
      </c>
      <c r="M3405" s="2" t="s">
        <v>5221</v>
      </c>
      <c r="N3405" s="2" t="s">
        <v>2317</v>
      </c>
      <c r="O3405" s="14">
        <v>10800</v>
      </c>
      <c r="P3405" s="14">
        <v>98.86</v>
      </c>
      <c r="Q3405" s="14">
        <v>123.12</v>
      </c>
      <c r="R3405" s="14">
        <v>209.3</v>
      </c>
      <c r="S3405" s="2" t="s">
        <v>44</v>
      </c>
      <c r="T3405" s="2">
        <v>1.21</v>
      </c>
      <c r="U3405" s="2">
        <v>67.2</v>
      </c>
      <c r="V3405" s="2">
        <v>62</v>
      </c>
      <c r="W3405" s="2" t="s">
        <v>7862</v>
      </c>
      <c r="X3405" s="2" t="s">
        <v>3851</v>
      </c>
      <c r="Y3405" s="2">
        <v>18360</v>
      </c>
      <c r="Z3405" s="19" t="str">
        <f>HYPERLINK("https://ssdweb.co/ssdweb/hd/Vision360.html?d=926020801&amp;zoomslide=1&amp;z=1926020801&amp;ISCONFIRM=0","VIDEO")</f>
        <v>VIDEO</v>
      </c>
      <c r="AA3405" s="19" t="str">
        <f>HYPERLINK("https://ssdweb.co/ssdweb/CERTH/631430209.pdf","CERTI")</f>
        <v>CERTI</v>
      </c>
    </row>
    <row r="3406" spans="1:27" ht="15" x14ac:dyDescent="0.25">
      <c r="A3406" s="2">
        <v>3401</v>
      </c>
      <c r="B3406" s="39">
        <v>924410797</v>
      </c>
      <c r="C3406" s="28" t="str">
        <f>HYPERLINK("https://pld.live/RapDetail.aspx?STONELIST=924410797","DNA")</f>
        <v>DNA</v>
      </c>
      <c r="D3406" s="18" t="s">
        <v>711</v>
      </c>
      <c r="E3406" s="18" t="s">
        <v>2186</v>
      </c>
      <c r="F3406" s="2" t="s">
        <v>7987</v>
      </c>
      <c r="G3406" s="2" t="s">
        <v>7023</v>
      </c>
      <c r="H3406" s="14">
        <v>1.68</v>
      </c>
      <c r="I3406" s="2" t="s">
        <v>4699</v>
      </c>
      <c r="J3406" s="2" t="s">
        <v>5144</v>
      </c>
      <c r="K3406" s="2" t="s">
        <v>1452</v>
      </c>
      <c r="L3406" s="2" t="s">
        <v>5221</v>
      </c>
      <c r="M3406" s="2" t="s">
        <v>5221</v>
      </c>
      <c r="N3406" s="2" t="s">
        <v>2317</v>
      </c>
      <c r="O3406" s="14">
        <v>8800</v>
      </c>
      <c r="P3406" s="14">
        <v>98.75</v>
      </c>
      <c r="Q3406" s="14">
        <v>110</v>
      </c>
      <c r="R3406" s="14">
        <v>184.8</v>
      </c>
      <c r="S3406" s="2" t="s">
        <v>2917</v>
      </c>
      <c r="T3406" s="2">
        <v>1.3</v>
      </c>
      <c r="U3406" s="2">
        <v>64.900000000000006</v>
      </c>
      <c r="V3406" s="2">
        <v>61</v>
      </c>
      <c r="W3406" s="2" t="s">
        <v>7862</v>
      </c>
      <c r="X3406" s="2" t="s">
        <v>3851</v>
      </c>
      <c r="Y3406" s="2">
        <v>14784</v>
      </c>
      <c r="Z3406" s="19" t="str">
        <f>HYPERLINK("https://ssdweb.co/ssdweb/hd/Vision360.html?d=924410797&amp;zoomslide=1&amp;z=1924410797&amp;ISCONFIRM=0","VIDEO")</f>
        <v>VIDEO</v>
      </c>
      <c r="AA3406" s="19" t="str">
        <f>HYPERLINK("https://ssdweb.co/ssdweb/CERTH/597387031.pdf","CERTI")</f>
        <v>CERTI</v>
      </c>
    </row>
    <row r="3407" spans="1:27" ht="15" x14ac:dyDescent="0.25">
      <c r="A3407" s="2">
        <v>3402</v>
      </c>
      <c r="B3407" s="39">
        <v>926170797</v>
      </c>
      <c r="C3407" s="28" t="str">
        <f>HYPERLINK("https://pld.live/RapDetail.aspx?STONELIST=926170797","DNA")</f>
        <v>DNA</v>
      </c>
      <c r="D3407" s="18" t="s">
        <v>711</v>
      </c>
      <c r="E3407" s="18" t="s">
        <v>5128</v>
      </c>
      <c r="F3407" s="2" t="s">
        <v>7987</v>
      </c>
      <c r="G3407" s="2" t="s">
        <v>7023</v>
      </c>
      <c r="H3407" s="14">
        <v>1.67</v>
      </c>
      <c r="I3407" s="2" t="s">
        <v>267</v>
      </c>
      <c r="J3407" s="2" t="s">
        <v>3942</v>
      </c>
      <c r="K3407" s="2" t="s">
        <v>1452</v>
      </c>
      <c r="L3407" s="2" t="s">
        <v>5221</v>
      </c>
      <c r="M3407" s="2" t="s">
        <v>5221</v>
      </c>
      <c r="N3407" s="2" t="s">
        <v>2317</v>
      </c>
      <c r="O3407" s="14">
        <v>12500</v>
      </c>
      <c r="P3407" s="14">
        <v>99.02</v>
      </c>
      <c r="Q3407" s="14">
        <v>122.5</v>
      </c>
      <c r="R3407" s="14">
        <v>204.58</v>
      </c>
      <c r="S3407" s="2" t="s">
        <v>7925</v>
      </c>
      <c r="T3407" s="2">
        <v>1.2</v>
      </c>
      <c r="U3407" s="2">
        <v>64.400000000000006</v>
      </c>
      <c r="V3407" s="2">
        <v>62</v>
      </c>
      <c r="W3407" s="2" t="s">
        <v>7862</v>
      </c>
      <c r="X3407" s="2" t="s">
        <v>3851</v>
      </c>
      <c r="Y3407" s="2">
        <v>20875</v>
      </c>
      <c r="Z3407" s="19" t="str">
        <f>HYPERLINK("https://ssdweb.co/ssdweb/hd/Vision360.html?d=926170797&amp;zoomslide=1&amp;z=1926170797&amp;ISCONFIRM=0","VIDEO")</f>
        <v>VIDEO</v>
      </c>
      <c r="AA3407" s="19" t="str">
        <f>HYPERLINK("https://ssdweb.co/ssdweb/CERTH/633490578.pdf","CERTI")</f>
        <v>CERTI</v>
      </c>
    </row>
    <row r="3408" spans="1:27" ht="15" x14ac:dyDescent="0.25">
      <c r="A3408" s="2">
        <v>3403</v>
      </c>
      <c r="B3408" s="39">
        <v>926171474</v>
      </c>
      <c r="C3408" s="28" t="str">
        <f>HYPERLINK("https://pld.live/RapDetail.aspx?STONELIST=926171474","DNA")</f>
        <v>DNA</v>
      </c>
      <c r="D3408" s="18" t="s">
        <v>711</v>
      </c>
      <c r="E3408" s="18" t="s">
        <v>5128</v>
      </c>
      <c r="F3408" s="2" t="s">
        <v>7987</v>
      </c>
      <c r="G3408" s="2" t="s">
        <v>7023</v>
      </c>
      <c r="H3408" s="14">
        <v>1.65</v>
      </c>
      <c r="I3408" s="2" t="s">
        <v>4761</v>
      </c>
      <c r="J3408" s="2" t="s">
        <v>13</v>
      </c>
      <c r="K3408" s="2" t="s">
        <v>1452</v>
      </c>
      <c r="L3408" s="2" t="s">
        <v>5221</v>
      </c>
      <c r="M3408" s="2" t="s">
        <v>5221</v>
      </c>
      <c r="N3408" s="2" t="s">
        <v>2317</v>
      </c>
      <c r="O3408" s="14">
        <v>10800</v>
      </c>
      <c r="P3408" s="14">
        <v>98.9</v>
      </c>
      <c r="Q3408" s="14">
        <v>118.8</v>
      </c>
      <c r="R3408" s="14">
        <v>196.02</v>
      </c>
      <c r="S3408" s="2" t="s">
        <v>6213</v>
      </c>
      <c r="T3408" s="2">
        <v>1.2</v>
      </c>
      <c r="U3408" s="2">
        <v>66.599999999999994</v>
      </c>
      <c r="V3408" s="2">
        <v>60</v>
      </c>
      <c r="W3408" s="2" t="s">
        <v>7862</v>
      </c>
      <c r="X3408" s="2" t="s">
        <v>3851</v>
      </c>
      <c r="Y3408" s="2">
        <v>17820</v>
      </c>
      <c r="Z3408" s="19" t="str">
        <f>HYPERLINK("https://ssdweb.co/ssdweb/hd/Vision360.html?d=926171474&amp;zoomslide=1&amp;z=1926171474&amp;ISCONFIRM=0","VIDEO")</f>
        <v>VIDEO</v>
      </c>
      <c r="AA3408" s="19" t="str">
        <f>HYPERLINK("https://ssdweb.co/ssdweb/CERTH/635426931.pdf","CERTI")</f>
        <v>CERTI</v>
      </c>
    </row>
    <row r="3409" spans="1:27" ht="15" x14ac:dyDescent="0.25">
      <c r="A3409" s="2">
        <v>3404</v>
      </c>
      <c r="B3409" s="39">
        <v>926600029</v>
      </c>
      <c r="C3409" s="28" t="str">
        <f>HYPERLINK("https://pld.live/RapDetail.aspx?STONELIST=926600029","DNA")</f>
        <v>DNA</v>
      </c>
      <c r="D3409" s="18" t="s">
        <v>711</v>
      </c>
      <c r="E3409" s="18" t="s">
        <v>2186</v>
      </c>
      <c r="F3409" s="2" t="s">
        <v>7987</v>
      </c>
      <c r="G3409" s="2" t="s">
        <v>7023</v>
      </c>
      <c r="H3409" s="14">
        <v>1.65</v>
      </c>
      <c r="I3409" s="2" t="s">
        <v>1066</v>
      </c>
      <c r="J3409" s="2" t="s">
        <v>13</v>
      </c>
      <c r="K3409" s="2" t="s">
        <v>1452</v>
      </c>
      <c r="L3409" s="2" t="s">
        <v>5221</v>
      </c>
      <c r="M3409" s="2" t="s">
        <v>5221</v>
      </c>
      <c r="N3409" s="2" t="s">
        <v>924</v>
      </c>
      <c r="O3409" s="14">
        <v>3200</v>
      </c>
      <c r="P3409" s="14">
        <v>89.38</v>
      </c>
      <c r="Q3409" s="14">
        <v>339.84</v>
      </c>
      <c r="R3409" s="14">
        <v>560.74</v>
      </c>
      <c r="S3409" s="2" t="s">
        <v>4971</v>
      </c>
      <c r="T3409" s="2">
        <v>1.25</v>
      </c>
      <c r="U3409" s="2">
        <v>66.2</v>
      </c>
      <c r="V3409" s="2">
        <v>60</v>
      </c>
      <c r="W3409" s="2" t="s">
        <v>7862</v>
      </c>
      <c r="X3409" s="2" t="s">
        <v>7053</v>
      </c>
      <c r="Y3409" s="2">
        <v>5280</v>
      </c>
      <c r="Z3409" s="19" t="str">
        <f>HYPERLINK("https://ssdweb.co/ssdweb/hd/Vision360.html?d=926600029&amp;zoomslide=1&amp;z=1926600029&amp;ISCONFIRM=0","VIDEO")</f>
        <v>VIDEO</v>
      </c>
      <c r="AA3409" s="19" t="str">
        <f>HYPERLINK("https://ssdweb.co/ssdweb/CERTH/651455407.pdf","CERTI")</f>
        <v>CERTI</v>
      </c>
    </row>
    <row r="3410" spans="1:27" ht="15" x14ac:dyDescent="0.25">
      <c r="A3410" s="2">
        <v>3405</v>
      </c>
      <c r="B3410" s="39">
        <v>926071903</v>
      </c>
      <c r="C3410" s="28" t="str">
        <f>HYPERLINK("https://pld.live/RapDetail.aspx?STONELIST=926071903","DNA")</f>
        <v>DNA</v>
      </c>
      <c r="D3410" s="18" t="s">
        <v>711</v>
      </c>
      <c r="E3410" s="18" t="s">
        <v>5128</v>
      </c>
      <c r="F3410" s="2" t="s">
        <v>7987</v>
      </c>
      <c r="G3410" s="2" t="s">
        <v>7023</v>
      </c>
      <c r="H3410" s="14">
        <v>1.64</v>
      </c>
      <c r="I3410" s="2" t="s">
        <v>267</v>
      </c>
      <c r="J3410" s="2" t="s">
        <v>3942</v>
      </c>
      <c r="K3410" s="2" t="s">
        <v>1452</v>
      </c>
      <c r="L3410" s="2" t="s">
        <v>5221</v>
      </c>
      <c r="M3410" s="2" t="s">
        <v>5221</v>
      </c>
      <c r="N3410" s="2" t="s">
        <v>2317</v>
      </c>
      <c r="O3410" s="14">
        <v>12500</v>
      </c>
      <c r="P3410" s="14">
        <v>99.02</v>
      </c>
      <c r="Q3410" s="14">
        <v>122.5</v>
      </c>
      <c r="R3410" s="14">
        <v>200.9</v>
      </c>
      <c r="S3410" s="2" t="s">
        <v>1386</v>
      </c>
      <c r="T3410" s="2">
        <v>1.2</v>
      </c>
      <c r="U3410" s="2">
        <v>66.099999999999994</v>
      </c>
      <c r="V3410" s="2">
        <v>62</v>
      </c>
      <c r="W3410" s="2" t="s">
        <v>7862</v>
      </c>
      <c r="X3410" s="2" t="s">
        <v>3851</v>
      </c>
      <c r="Y3410" s="2">
        <v>20500</v>
      </c>
      <c r="Z3410" s="19" t="str">
        <f>HYPERLINK("https://ssdweb.co/ssdweb/hd/Vision360.html?d=926071903&amp;zoomslide=1&amp;z=1926071903&amp;ISCONFIRM=0","VIDEO")</f>
        <v>VIDEO</v>
      </c>
      <c r="AA3410" s="19" t="str">
        <f>HYPERLINK("https://ssdweb.co/ssdweb/CERTH/632488298.pdf","CERTI")</f>
        <v>CERTI</v>
      </c>
    </row>
    <row r="3411" spans="1:27" ht="15" x14ac:dyDescent="0.25">
      <c r="A3411" s="2">
        <v>3406</v>
      </c>
      <c r="B3411" s="39">
        <v>926201146</v>
      </c>
      <c r="C3411" s="28" t="str">
        <f>HYPERLINK("https://pld.live/RapDetail.aspx?STONELIST=926201146","DNA")</f>
        <v>DNA</v>
      </c>
      <c r="D3411" s="18" t="s">
        <v>711</v>
      </c>
      <c r="E3411" s="18" t="s">
        <v>5128</v>
      </c>
      <c r="F3411" s="2" t="s">
        <v>7987</v>
      </c>
      <c r="G3411" s="2" t="s">
        <v>7023</v>
      </c>
      <c r="H3411" s="14">
        <v>1.63</v>
      </c>
      <c r="I3411" s="2" t="s">
        <v>267</v>
      </c>
      <c r="J3411" s="2" t="s">
        <v>6555</v>
      </c>
      <c r="K3411" s="2" t="s">
        <v>1452</v>
      </c>
      <c r="L3411" s="2" t="s">
        <v>5221</v>
      </c>
      <c r="M3411" s="2" t="s">
        <v>5221</v>
      </c>
      <c r="N3411" s="2" t="s">
        <v>2317</v>
      </c>
      <c r="O3411" s="14">
        <v>13200</v>
      </c>
      <c r="P3411" s="14">
        <v>98.77</v>
      </c>
      <c r="Q3411" s="14">
        <v>162.36000000000001</v>
      </c>
      <c r="R3411" s="14">
        <v>264.64999999999998</v>
      </c>
      <c r="S3411" s="2" t="s">
        <v>7306</v>
      </c>
      <c r="T3411" s="2">
        <v>1.2</v>
      </c>
      <c r="U3411" s="2">
        <v>64</v>
      </c>
      <c r="V3411" s="2">
        <v>60</v>
      </c>
      <c r="W3411" s="2" t="s">
        <v>7862</v>
      </c>
      <c r="X3411" s="2" t="s">
        <v>3851</v>
      </c>
      <c r="Y3411" s="2">
        <v>21516</v>
      </c>
      <c r="Z3411" s="19" t="str">
        <f>HYPERLINK("https://ssdweb.co/ssdweb/hd/Vision360.html?d=926201146&amp;zoomslide=1&amp;z=1926201146&amp;ISCONFIRM=0","VIDEO")</f>
        <v>VIDEO</v>
      </c>
      <c r="AA3411" s="19" t="str">
        <f>HYPERLINK("https://ssdweb.co/ssdweb/CERTH/638463218.pdf","CERTI")</f>
        <v>CERTI</v>
      </c>
    </row>
    <row r="3412" spans="1:27" ht="15" x14ac:dyDescent="0.25">
      <c r="A3412" s="2">
        <v>3407</v>
      </c>
      <c r="B3412" s="39">
        <v>922190101</v>
      </c>
      <c r="C3412" s="28" t="str">
        <f>HYPERLINK("https://pld.live/RapDetail.aspx?STONELIST=922190101","DNA")</f>
        <v>DNA</v>
      </c>
      <c r="D3412" s="18" t="s">
        <v>711</v>
      </c>
      <c r="E3412" s="18" t="s">
        <v>5128</v>
      </c>
      <c r="F3412" s="2" t="s">
        <v>5597</v>
      </c>
      <c r="G3412" s="2" t="s">
        <v>7023</v>
      </c>
      <c r="H3412" s="14">
        <v>1.63</v>
      </c>
      <c r="I3412" s="2" t="s">
        <v>267</v>
      </c>
      <c r="J3412" s="2" t="s">
        <v>5144</v>
      </c>
      <c r="K3412" s="2" t="s">
        <v>1452</v>
      </c>
      <c r="L3412" s="2" t="s">
        <v>5221</v>
      </c>
      <c r="M3412" s="2" t="s">
        <v>5721</v>
      </c>
      <c r="N3412" s="2" t="s">
        <v>2317</v>
      </c>
      <c r="O3412" s="14">
        <v>9900</v>
      </c>
      <c r="P3412" s="14">
        <v>97.98</v>
      </c>
      <c r="Q3412" s="14">
        <v>199.98</v>
      </c>
      <c r="R3412" s="14">
        <v>325.97000000000003</v>
      </c>
      <c r="S3412" s="2" t="s">
        <v>1952</v>
      </c>
      <c r="T3412" s="2">
        <v>1.2</v>
      </c>
      <c r="U3412" s="2">
        <v>66.599999999999994</v>
      </c>
      <c r="V3412" s="2">
        <v>63</v>
      </c>
      <c r="W3412" s="2" t="s">
        <v>7862</v>
      </c>
      <c r="X3412" s="2" t="s">
        <v>7053</v>
      </c>
      <c r="Y3412" s="2">
        <v>16137</v>
      </c>
      <c r="Z3412" s="19" t="str">
        <f>HYPERLINK("https://ssdweb.co/ssdweb/hd/Vision360.html?d=922190101&amp;zoomslide=1&amp;z=1922190101&amp;ISCONFIRM=0","VIDEO")</f>
        <v>VIDEO</v>
      </c>
      <c r="AA3412" s="19" t="str">
        <f>HYPERLINK("https://ssdweb.co/ssdweb/CERTH/1429255990.pdf","CERTI")</f>
        <v>CERTI</v>
      </c>
    </row>
    <row r="3413" spans="1:27" ht="15" x14ac:dyDescent="0.25">
      <c r="A3413" s="2">
        <v>3408</v>
      </c>
      <c r="B3413" s="39">
        <v>831010790</v>
      </c>
      <c r="C3413" s="28" t="str">
        <f>HYPERLINK("https://pld.live/RapDetail.aspx?STONELIST=831010790","DNA")</f>
        <v>DNA</v>
      </c>
      <c r="D3413" s="18" t="s">
        <v>711</v>
      </c>
      <c r="E3413" s="18" t="s">
        <v>5128</v>
      </c>
      <c r="F3413" s="2" t="s">
        <v>7987</v>
      </c>
      <c r="G3413" s="2" t="s">
        <v>7023</v>
      </c>
      <c r="H3413" s="14">
        <v>1.62</v>
      </c>
      <c r="I3413" s="2" t="s">
        <v>4761</v>
      </c>
      <c r="J3413" s="2" t="s">
        <v>5144</v>
      </c>
      <c r="K3413" s="2" t="s">
        <v>1452</v>
      </c>
      <c r="L3413" s="2" t="s">
        <v>5221</v>
      </c>
      <c r="M3413" s="2" t="s">
        <v>5221</v>
      </c>
      <c r="N3413" s="2" t="s">
        <v>2317</v>
      </c>
      <c r="O3413" s="14">
        <v>9300</v>
      </c>
      <c r="P3413" s="14">
        <v>98.78</v>
      </c>
      <c r="Q3413" s="14">
        <v>113.46</v>
      </c>
      <c r="R3413" s="14">
        <v>183.81</v>
      </c>
      <c r="S3413" s="2" t="s">
        <v>101</v>
      </c>
      <c r="T3413" s="2">
        <v>1.21</v>
      </c>
      <c r="U3413" s="2">
        <v>67.2</v>
      </c>
      <c r="V3413" s="2">
        <v>59.5</v>
      </c>
      <c r="W3413" s="2" t="s">
        <v>7862</v>
      </c>
      <c r="X3413" s="2" t="s">
        <v>3851</v>
      </c>
      <c r="Y3413" s="2">
        <v>15066</v>
      </c>
      <c r="Z3413" s="19" t="str">
        <f>HYPERLINK("https://ssdweb.co/ssdweb/hd/Vision360.html?d=831010790&amp;zoomslide=1&amp;z=1831010790&amp;ISCONFIRM=0","VIDEO")</f>
        <v>VIDEO</v>
      </c>
      <c r="AA3413" s="19" t="str">
        <f>HYPERLINK("https://ssdweb.co/ssdweb/CERTH/567357137.pdf","CERTI")</f>
        <v>CERTI</v>
      </c>
    </row>
    <row r="3414" spans="1:27" ht="15" x14ac:dyDescent="0.25">
      <c r="A3414" s="2">
        <v>3409</v>
      </c>
      <c r="B3414" s="39">
        <v>926171076</v>
      </c>
      <c r="C3414" s="28" t="str">
        <f>HYPERLINK("https://pld.live/RapDetail.aspx?STONELIST=926171076","DNA")</f>
        <v>DNA</v>
      </c>
      <c r="D3414" s="18" t="s">
        <v>711</v>
      </c>
      <c r="E3414" s="18" t="s">
        <v>5128</v>
      </c>
      <c r="F3414" s="2" t="s">
        <v>7987</v>
      </c>
      <c r="G3414" s="2" t="s">
        <v>7023</v>
      </c>
      <c r="H3414" s="14">
        <v>1.61</v>
      </c>
      <c r="I3414" s="2" t="s">
        <v>267</v>
      </c>
      <c r="J3414" s="2" t="s">
        <v>3942</v>
      </c>
      <c r="K3414" s="2" t="s">
        <v>1452</v>
      </c>
      <c r="L3414" s="2" t="s">
        <v>5221</v>
      </c>
      <c r="M3414" s="2" t="s">
        <v>5221</v>
      </c>
      <c r="N3414" s="2" t="s">
        <v>2317</v>
      </c>
      <c r="O3414" s="14">
        <v>12500</v>
      </c>
      <c r="P3414" s="14">
        <v>99.02</v>
      </c>
      <c r="Q3414" s="14">
        <v>122.5</v>
      </c>
      <c r="R3414" s="14">
        <v>197.23</v>
      </c>
      <c r="S3414" s="2" t="s">
        <v>6340</v>
      </c>
      <c r="T3414" s="2">
        <v>1.23</v>
      </c>
      <c r="U3414" s="2">
        <v>64.599999999999994</v>
      </c>
      <c r="V3414" s="2">
        <v>60</v>
      </c>
      <c r="W3414" s="2" t="s">
        <v>7862</v>
      </c>
      <c r="X3414" s="2" t="s">
        <v>3851</v>
      </c>
      <c r="Y3414" s="2">
        <v>20125</v>
      </c>
      <c r="Z3414" s="19" t="str">
        <f>HYPERLINK("https://ssdweb.co/ssdweb/hd/Vision360.html?d=926171076&amp;zoomslide=1&amp;z=1926171076&amp;ISCONFIRM=0","VIDEO")</f>
        <v>VIDEO</v>
      </c>
      <c r="AA3414" s="19" t="str">
        <f>HYPERLINK("https://ssdweb.co/ssdweb/CERTH/633432002.pdf","CERTI")</f>
        <v>CERTI</v>
      </c>
    </row>
    <row r="3415" spans="1:27" ht="15" x14ac:dyDescent="0.25">
      <c r="A3415" s="2">
        <v>3410</v>
      </c>
      <c r="B3415" s="39">
        <v>925521283</v>
      </c>
      <c r="C3415" s="28" t="str">
        <f>HYPERLINK("https://pld.live/RapDetail.aspx?STONELIST=925521283","DNA")</f>
        <v>DNA</v>
      </c>
      <c r="D3415" s="18" t="s">
        <v>711</v>
      </c>
      <c r="E3415" s="18" t="s">
        <v>5128</v>
      </c>
      <c r="F3415" s="2" t="s">
        <v>7987</v>
      </c>
      <c r="G3415" s="2" t="s">
        <v>7023</v>
      </c>
      <c r="H3415" s="14">
        <v>1.59</v>
      </c>
      <c r="I3415" s="2" t="s">
        <v>4761</v>
      </c>
      <c r="J3415" s="2" t="s">
        <v>3942</v>
      </c>
      <c r="K3415" s="2" t="s">
        <v>1452</v>
      </c>
      <c r="L3415" s="2" t="s">
        <v>5221</v>
      </c>
      <c r="M3415" s="2" t="s">
        <v>5221</v>
      </c>
      <c r="N3415" s="2" t="s">
        <v>2317</v>
      </c>
      <c r="O3415" s="14">
        <v>11600</v>
      </c>
      <c r="P3415" s="14">
        <v>98.97</v>
      </c>
      <c r="Q3415" s="14">
        <v>119.48</v>
      </c>
      <c r="R3415" s="14">
        <v>189.97</v>
      </c>
      <c r="S3415" s="2" t="s">
        <v>1825</v>
      </c>
      <c r="T3415" s="2">
        <v>1.22</v>
      </c>
      <c r="U3415" s="2">
        <v>65.3</v>
      </c>
      <c r="V3415" s="2">
        <v>59</v>
      </c>
      <c r="W3415" s="2" t="s">
        <v>7862</v>
      </c>
      <c r="X3415" s="2" t="s">
        <v>3851</v>
      </c>
      <c r="Y3415" s="2">
        <v>18444</v>
      </c>
      <c r="Z3415" s="19" t="str">
        <f>HYPERLINK("https://ssdweb.co/ssdweb/hd/Vision360.html?d=925521283&amp;zoomslide=1&amp;z=1925521283&amp;ISCONFIRM=0","VIDEO")</f>
        <v>VIDEO</v>
      </c>
      <c r="AA3415" s="19" t="str">
        <f>HYPERLINK("https://ssdweb.co/ssdweb/CERTH/618480891.pdf","CERTI")</f>
        <v>CERTI</v>
      </c>
    </row>
    <row r="3416" spans="1:27" ht="15" x14ac:dyDescent="0.25">
      <c r="A3416" s="2">
        <v>3411</v>
      </c>
      <c r="B3416" s="39">
        <v>831010848</v>
      </c>
      <c r="C3416" s="28" t="str">
        <f>HYPERLINK("https://pld.live/RapDetail.aspx?STONELIST=831010848","DNA")</f>
        <v>DNA</v>
      </c>
      <c r="D3416" s="18" t="s">
        <v>711</v>
      </c>
      <c r="E3416" s="18" t="s">
        <v>5128</v>
      </c>
      <c r="F3416" s="2" t="s">
        <v>7987</v>
      </c>
      <c r="G3416" s="2" t="s">
        <v>7023</v>
      </c>
      <c r="H3416" s="14">
        <v>1.59</v>
      </c>
      <c r="I3416" s="2" t="s">
        <v>4761</v>
      </c>
      <c r="J3416" s="2" t="s">
        <v>13</v>
      </c>
      <c r="K3416" s="2" t="s">
        <v>1452</v>
      </c>
      <c r="L3416" s="2" t="s">
        <v>5221</v>
      </c>
      <c r="M3416" s="2" t="s">
        <v>5221</v>
      </c>
      <c r="N3416" s="2" t="s">
        <v>2317</v>
      </c>
      <c r="O3416" s="14">
        <v>10800</v>
      </c>
      <c r="P3416" s="14">
        <v>98.92</v>
      </c>
      <c r="Q3416" s="14">
        <v>116.64</v>
      </c>
      <c r="R3416" s="14">
        <v>185.46</v>
      </c>
      <c r="S3416" s="2" t="s">
        <v>6054</v>
      </c>
      <c r="T3416" s="2">
        <v>1.21</v>
      </c>
      <c r="U3416" s="2">
        <v>67.7</v>
      </c>
      <c r="V3416" s="2">
        <v>62</v>
      </c>
      <c r="W3416" s="2" t="s">
        <v>7862</v>
      </c>
      <c r="X3416" s="2" t="s">
        <v>7053</v>
      </c>
      <c r="Y3416" s="2">
        <v>17172</v>
      </c>
      <c r="Z3416" s="19" t="str">
        <f>HYPERLINK("https://ssdweb.co/ssdweb/hd/Vision360.html?d=831010848&amp;zoomslide=1&amp;z=1831010848&amp;ISCONFIRM=0","VIDEO")</f>
        <v>VIDEO</v>
      </c>
      <c r="AA3416" s="19" t="str">
        <f>HYPERLINK("https://ssdweb.co/ssdweb/CERTH/619469730.pdf","CERTI")</f>
        <v>CERTI</v>
      </c>
    </row>
    <row r="3417" spans="1:27" ht="15" x14ac:dyDescent="0.25">
      <c r="A3417" s="2">
        <v>3412</v>
      </c>
      <c r="B3417" s="39">
        <v>831010789</v>
      </c>
      <c r="C3417" s="28" t="str">
        <f>HYPERLINK("https://pld.live/RapDetail.aspx?STONELIST=831010789","DNA")</f>
        <v>DNA</v>
      </c>
      <c r="D3417" s="18" t="s">
        <v>711</v>
      </c>
      <c r="E3417" s="18" t="s">
        <v>5128</v>
      </c>
      <c r="F3417" s="2" t="s">
        <v>7987</v>
      </c>
      <c r="G3417" s="2" t="s">
        <v>7023</v>
      </c>
      <c r="H3417" s="14">
        <v>1.59</v>
      </c>
      <c r="I3417" s="2" t="s">
        <v>4761</v>
      </c>
      <c r="J3417" s="2" t="s">
        <v>5144</v>
      </c>
      <c r="K3417" s="2" t="s">
        <v>1452</v>
      </c>
      <c r="L3417" s="2" t="s">
        <v>5221</v>
      </c>
      <c r="M3417" s="2" t="s">
        <v>5221</v>
      </c>
      <c r="N3417" s="2" t="s">
        <v>2317</v>
      </c>
      <c r="O3417" s="14">
        <v>9300</v>
      </c>
      <c r="P3417" s="14">
        <v>98.78</v>
      </c>
      <c r="Q3417" s="14">
        <v>113.46</v>
      </c>
      <c r="R3417" s="14">
        <v>180.4</v>
      </c>
      <c r="S3417" s="2" t="s">
        <v>1798</v>
      </c>
      <c r="T3417" s="2">
        <v>1.21</v>
      </c>
      <c r="U3417" s="2">
        <v>63.7</v>
      </c>
      <c r="V3417" s="2">
        <v>60</v>
      </c>
      <c r="W3417" s="2" t="s">
        <v>7862</v>
      </c>
      <c r="X3417" s="2" t="s">
        <v>3851</v>
      </c>
      <c r="Y3417" s="2">
        <v>14787</v>
      </c>
      <c r="Z3417" s="19" t="str">
        <f>HYPERLINK("https://ssdweb.co/ssdweb/hd/Vision360.html?d=831010789&amp;zoomslide=1&amp;z=1831010789&amp;ISCONFIRM=0","VIDEO")</f>
        <v>VIDEO</v>
      </c>
      <c r="AA3417" s="19" t="str">
        <f>HYPERLINK("https://ssdweb.co/ssdweb/CERTH/567343087.pdf","CERTI")</f>
        <v>CERTI</v>
      </c>
    </row>
    <row r="3418" spans="1:27" ht="15" x14ac:dyDescent="0.25">
      <c r="A3418" s="2">
        <v>3413</v>
      </c>
      <c r="B3418" s="39">
        <v>925542699</v>
      </c>
      <c r="C3418" s="28" t="str">
        <f>HYPERLINK("https://pld.live/RapDetail.aspx?STONELIST=925542699","DNA")</f>
        <v>DNA</v>
      </c>
      <c r="D3418" s="18" t="s">
        <v>711</v>
      </c>
      <c r="E3418" s="18" t="s">
        <v>5128</v>
      </c>
      <c r="F3418" s="2" t="s">
        <v>7987</v>
      </c>
      <c r="G3418" s="2" t="s">
        <v>7023</v>
      </c>
      <c r="H3418" s="14">
        <v>1.58</v>
      </c>
      <c r="I3418" s="2" t="s">
        <v>267</v>
      </c>
      <c r="J3418" s="2" t="s">
        <v>3942</v>
      </c>
      <c r="K3418" s="2" t="s">
        <v>1452</v>
      </c>
      <c r="L3418" s="2" t="s">
        <v>5221</v>
      </c>
      <c r="M3418" s="2" t="s">
        <v>5221</v>
      </c>
      <c r="N3418" s="2" t="s">
        <v>2317</v>
      </c>
      <c r="O3418" s="14">
        <v>12500</v>
      </c>
      <c r="P3418" s="14">
        <v>99.03</v>
      </c>
      <c r="Q3418" s="14">
        <v>121.25</v>
      </c>
      <c r="R3418" s="14">
        <v>191.58</v>
      </c>
      <c r="S3418" s="2" t="s">
        <v>7582</v>
      </c>
      <c r="T3418" s="2">
        <v>1.2</v>
      </c>
      <c r="U3418" s="2">
        <v>64.400000000000006</v>
      </c>
      <c r="V3418" s="2">
        <v>62</v>
      </c>
      <c r="W3418" s="2" t="s">
        <v>7862</v>
      </c>
      <c r="X3418" s="2" t="s">
        <v>3851</v>
      </c>
      <c r="Y3418" s="2">
        <v>19750</v>
      </c>
      <c r="Z3418" s="19" t="str">
        <f>HYPERLINK("https://ssdweb.co/ssdweb/hd/Vision360.html?d=925542699&amp;zoomslide=1&amp;z=1925542699&amp;ISCONFIRM=0","VIDEO")</f>
        <v>VIDEO</v>
      </c>
      <c r="AA3418" s="19" t="str">
        <f>HYPERLINK("https://ssdweb.co/ssdweb/CERTH/621475717.pdf","CERTI")</f>
        <v>CERTI</v>
      </c>
    </row>
    <row r="3419" spans="1:27" ht="15" x14ac:dyDescent="0.25">
      <c r="A3419" s="2">
        <v>3414</v>
      </c>
      <c r="B3419" s="39">
        <v>926171504</v>
      </c>
      <c r="C3419" s="28" t="str">
        <f>HYPERLINK("https://pld.live/RapDetail.aspx?STONELIST=926171504","DNA")</f>
        <v>DNA</v>
      </c>
      <c r="D3419" s="18" t="s">
        <v>711</v>
      </c>
      <c r="E3419" s="18" t="s">
        <v>5128</v>
      </c>
      <c r="F3419" s="2" t="s">
        <v>7987</v>
      </c>
      <c r="G3419" s="2" t="s">
        <v>7023</v>
      </c>
      <c r="H3419" s="14">
        <v>1.58</v>
      </c>
      <c r="I3419" s="2" t="s">
        <v>267</v>
      </c>
      <c r="J3419" s="2" t="s">
        <v>13</v>
      </c>
      <c r="K3419" s="2" t="s">
        <v>1452</v>
      </c>
      <c r="L3419" s="2" t="s">
        <v>5221</v>
      </c>
      <c r="M3419" s="2" t="s">
        <v>5221</v>
      </c>
      <c r="N3419" s="2" t="s">
        <v>2317</v>
      </c>
      <c r="O3419" s="14">
        <v>11600</v>
      </c>
      <c r="P3419" s="14">
        <v>98.97</v>
      </c>
      <c r="Q3419" s="14">
        <v>119.48</v>
      </c>
      <c r="R3419" s="14">
        <v>188.78</v>
      </c>
      <c r="S3419" s="2" t="s">
        <v>5399</v>
      </c>
      <c r="T3419" s="2">
        <v>1.2</v>
      </c>
      <c r="U3419" s="2">
        <v>67</v>
      </c>
      <c r="V3419" s="2">
        <v>60</v>
      </c>
      <c r="W3419" s="2" t="s">
        <v>7862</v>
      </c>
      <c r="X3419" s="2" t="s">
        <v>3851</v>
      </c>
      <c r="Y3419" s="2">
        <v>18328</v>
      </c>
      <c r="Z3419" s="19" t="str">
        <f>HYPERLINK("https://ssdweb.co/ssdweb/hd/Vision360.html?d=926171504&amp;zoomslide=1&amp;z=1926171504&amp;ISCONFIRM=0","VIDEO")</f>
        <v>VIDEO</v>
      </c>
      <c r="AA3419" s="19" t="str">
        <f>HYPERLINK("https://ssdweb.co/ssdweb/CERTH/635423904.pdf","CERTI")</f>
        <v>CERTI</v>
      </c>
    </row>
    <row r="3420" spans="1:27" ht="15" x14ac:dyDescent="0.25">
      <c r="A3420" s="2">
        <v>3415</v>
      </c>
      <c r="B3420" s="39">
        <v>925542606</v>
      </c>
      <c r="C3420" s="28" t="str">
        <f>HYPERLINK("https://pld.live/RapDetail.aspx?STONELIST=925542606","DNA")</f>
        <v>DNA</v>
      </c>
      <c r="D3420" s="18" t="s">
        <v>711</v>
      </c>
      <c r="E3420" s="18" t="s">
        <v>5128</v>
      </c>
      <c r="F3420" s="2" t="s">
        <v>7987</v>
      </c>
      <c r="G3420" s="2" t="s">
        <v>7023</v>
      </c>
      <c r="H3420" s="14">
        <v>1.57</v>
      </c>
      <c r="I3420" s="2" t="s">
        <v>4761</v>
      </c>
      <c r="J3420" s="2" t="s">
        <v>3942</v>
      </c>
      <c r="K3420" s="2" t="s">
        <v>1452</v>
      </c>
      <c r="L3420" s="2" t="s">
        <v>5221</v>
      </c>
      <c r="M3420" s="2" t="s">
        <v>5221</v>
      </c>
      <c r="N3420" s="2" t="s">
        <v>2317</v>
      </c>
      <c r="O3420" s="14">
        <v>11600</v>
      </c>
      <c r="P3420" s="14">
        <v>98.97</v>
      </c>
      <c r="Q3420" s="14">
        <v>119.48</v>
      </c>
      <c r="R3420" s="14">
        <v>187.58</v>
      </c>
      <c r="S3420" s="2" t="s">
        <v>4880</v>
      </c>
      <c r="T3420" s="2">
        <v>1.2</v>
      </c>
      <c r="U3420" s="2">
        <v>67.2</v>
      </c>
      <c r="V3420" s="2">
        <v>62</v>
      </c>
      <c r="W3420" s="2" t="s">
        <v>7862</v>
      </c>
      <c r="X3420" s="2" t="s">
        <v>3851</v>
      </c>
      <c r="Y3420" s="2">
        <v>18212</v>
      </c>
      <c r="Z3420" s="19" t="str">
        <f>HYPERLINK("https://ssdweb.co/ssdweb/hd/Vision360.html?d=925542606&amp;zoomslide=1&amp;z=1925542606&amp;ISCONFIRM=0","VIDEO")</f>
        <v>VIDEO</v>
      </c>
      <c r="AA3420" s="19" t="str">
        <f>HYPERLINK("https://ssdweb.co/ssdweb/CERTH/620403212.pdf","CERTI")</f>
        <v>CERTI</v>
      </c>
    </row>
    <row r="3421" spans="1:27" ht="15" x14ac:dyDescent="0.25">
      <c r="A3421" s="2">
        <v>3416</v>
      </c>
      <c r="B3421" s="39">
        <v>924610399</v>
      </c>
      <c r="C3421" s="28" t="str">
        <f>HYPERLINK("https://pld.live/RapDetail.aspx?STONELIST=924610399","DNA")</f>
        <v>DNA</v>
      </c>
      <c r="D3421" s="18" t="s">
        <v>711</v>
      </c>
      <c r="E3421" s="18" t="s">
        <v>5128</v>
      </c>
      <c r="F3421" s="2" t="s">
        <v>7987</v>
      </c>
      <c r="G3421" s="2" t="s">
        <v>7023</v>
      </c>
      <c r="H3421" s="14">
        <v>1.57</v>
      </c>
      <c r="I3421" s="2" t="s">
        <v>4761</v>
      </c>
      <c r="J3421" s="2" t="s">
        <v>5144</v>
      </c>
      <c r="K3421" s="2" t="s">
        <v>1452</v>
      </c>
      <c r="L3421" s="2" t="s">
        <v>5221</v>
      </c>
      <c r="M3421" s="2" t="s">
        <v>5221</v>
      </c>
      <c r="N3421" s="2" t="s">
        <v>2317</v>
      </c>
      <c r="O3421" s="14">
        <v>9300</v>
      </c>
      <c r="P3421" s="14">
        <v>98.78</v>
      </c>
      <c r="Q3421" s="14">
        <v>113.46</v>
      </c>
      <c r="R3421" s="14">
        <v>178.13</v>
      </c>
      <c r="S3421" s="2" t="s">
        <v>6765</v>
      </c>
      <c r="T3421" s="2">
        <v>1.2</v>
      </c>
      <c r="U3421" s="2">
        <v>67.400000000000006</v>
      </c>
      <c r="V3421" s="2">
        <v>60</v>
      </c>
      <c r="W3421" s="2" t="s">
        <v>7862</v>
      </c>
      <c r="X3421" s="2" t="s">
        <v>3851</v>
      </c>
      <c r="Y3421" s="2">
        <v>14601</v>
      </c>
      <c r="Z3421" s="19" t="str">
        <f>HYPERLINK("https://ssdweb.co/ssdweb/hd/Vision360.html?d=924610399&amp;zoomslide=1&amp;z=1924610399&amp;ISCONFIRM=0","VIDEO")</f>
        <v>VIDEO</v>
      </c>
      <c r="AA3421" s="19" t="str">
        <f>HYPERLINK("https://ssdweb.co/ssdweb/CERTH/598373898.pdf","CERTI")</f>
        <v>CERTI</v>
      </c>
    </row>
    <row r="3422" spans="1:27" ht="15" x14ac:dyDescent="0.25">
      <c r="A3422" s="2">
        <v>3417</v>
      </c>
      <c r="B3422" s="39">
        <v>821115148</v>
      </c>
      <c r="C3422" s="28" t="str">
        <f>HYPERLINK("https://pld.live/RapDetail.aspx?STONELIST=821115148","DNA")</f>
        <v>DNA</v>
      </c>
      <c r="D3422" s="18" t="s">
        <v>711</v>
      </c>
      <c r="E3422" s="18" t="s">
        <v>2186</v>
      </c>
      <c r="F3422" s="2" t="s">
        <v>7987</v>
      </c>
      <c r="G3422" s="2" t="s">
        <v>7023</v>
      </c>
      <c r="H3422" s="14">
        <v>1.57</v>
      </c>
      <c r="I3422" s="2" t="s">
        <v>4699</v>
      </c>
      <c r="J3422" s="2" t="s">
        <v>3942</v>
      </c>
      <c r="K3422" s="2" t="s">
        <v>1452</v>
      </c>
      <c r="L3422" s="2" t="s">
        <v>5221</v>
      </c>
      <c r="M3422" s="2" t="s">
        <v>5221</v>
      </c>
      <c r="N3422" s="2" t="s">
        <v>2317</v>
      </c>
      <c r="O3422" s="14">
        <v>10800</v>
      </c>
      <c r="P3422" s="14">
        <v>98.9</v>
      </c>
      <c r="Q3422" s="14">
        <v>118.8</v>
      </c>
      <c r="R3422" s="14">
        <v>186.52</v>
      </c>
      <c r="S3422" s="2" t="s">
        <v>5967</v>
      </c>
      <c r="T3422" s="2">
        <v>1.23</v>
      </c>
      <c r="U3422" s="2">
        <v>64.400000000000006</v>
      </c>
      <c r="V3422" s="2">
        <v>62</v>
      </c>
      <c r="W3422" s="2" t="s">
        <v>7862</v>
      </c>
      <c r="X3422" s="2" t="s">
        <v>3851</v>
      </c>
      <c r="Y3422" s="2">
        <v>16956</v>
      </c>
      <c r="Z3422" s="19" t="str">
        <f>HYPERLINK("https://ssdweb.co/ssdweb/hd/Vision360.html?d=821115148&amp;zoomslide=1&amp;z=1821115148&amp;ISCONFIRM=0","VIDEO")</f>
        <v>VIDEO</v>
      </c>
      <c r="AA3422" s="19" t="str">
        <f>HYPERLINK("https://ssdweb.co/ssdweb/CERTH/629442417.pdf","CERTI")</f>
        <v>CERTI</v>
      </c>
    </row>
    <row r="3423" spans="1:27" ht="15" x14ac:dyDescent="0.25">
      <c r="A3423" s="2">
        <v>3418</v>
      </c>
      <c r="B3423" s="39">
        <v>925981280</v>
      </c>
      <c r="C3423" s="28" t="str">
        <f>HYPERLINK("https://pld.live/RapDetail.aspx?STONELIST=925981280","DNA")</f>
        <v>DNA</v>
      </c>
      <c r="D3423" s="18" t="s">
        <v>711</v>
      </c>
      <c r="E3423" s="18" t="s">
        <v>5128</v>
      </c>
      <c r="F3423" s="2" t="s">
        <v>7987</v>
      </c>
      <c r="G3423" s="2" t="s">
        <v>7023</v>
      </c>
      <c r="H3423" s="14">
        <v>1.56</v>
      </c>
      <c r="I3423" s="2" t="s">
        <v>267</v>
      </c>
      <c r="J3423" s="2" t="s">
        <v>3942</v>
      </c>
      <c r="K3423" s="2" t="s">
        <v>1452</v>
      </c>
      <c r="L3423" s="2" t="s">
        <v>5221</v>
      </c>
      <c r="M3423" s="2" t="s">
        <v>5221</v>
      </c>
      <c r="N3423" s="2" t="s">
        <v>2317</v>
      </c>
      <c r="O3423" s="14">
        <v>12500</v>
      </c>
      <c r="P3423" s="14">
        <v>99.02</v>
      </c>
      <c r="Q3423" s="14">
        <v>122.5</v>
      </c>
      <c r="R3423" s="14">
        <v>191.1</v>
      </c>
      <c r="S3423" s="2" t="s">
        <v>4316</v>
      </c>
      <c r="T3423" s="2">
        <v>1.2</v>
      </c>
      <c r="U3423" s="2">
        <v>65.5</v>
      </c>
      <c r="V3423" s="2">
        <v>61</v>
      </c>
      <c r="W3423" s="2" t="s">
        <v>7862</v>
      </c>
      <c r="X3423" s="2" t="s">
        <v>3851</v>
      </c>
      <c r="Y3423" s="2">
        <v>19500</v>
      </c>
      <c r="Z3423" s="19" t="str">
        <f>HYPERLINK("https://ssdweb.co/ssdweb/hd/Vision360.html?d=925981280&amp;zoomslide=1&amp;z=1925981280&amp;ISCONFIRM=0","VIDEO")</f>
        <v>VIDEO</v>
      </c>
      <c r="AA3423" s="19" t="str">
        <f>HYPERLINK("https://ssdweb.co/ssdweb/CERTH/631464174.pdf","CERTI")</f>
        <v>CERTI</v>
      </c>
    </row>
    <row r="3424" spans="1:27" ht="15" x14ac:dyDescent="0.25">
      <c r="A3424" s="2">
        <v>3419</v>
      </c>
      <c r="B3424" s="39">
        <v>926171477</v>
      </c>
      <c r="C3424" s="28" t="str">
        <f>HYPERLINK("https://pld.live/RapDetail.aspx?STONELIST=926171477","DNA")</f>
        <v>DNA</v>
      </c>
      <c r="D3424" s="18" t="s">
        <v>711</v>
      </c>
      <c r="E3424" s="18" t="s">
        <v>5128</v>
      </c>
      <c r="F3424" s="2" t="s">
        <v>7987</v>
      </c>
      <c r="G3424" s="2" t="s">
        <v>7023</v>
      </c>
      <c r="H3424" s="14">
        <v>1.56</v>
      </c>
      <c r="I3424" s="2" t="s">
        <v>267</v>
      </c>
      <c r="J3424" s="2" t="s">
        <v>13</v>
      </c>
      <c r="K3424" s="2" t="s">
        <v>1452</v>
      </c>
      <c r="L3424" s="2" t="s">
        <v>5721</v>
      </c>
      <c r="M3424" s="2" t="s">
        <v>5221</v>
      </c>
      <c r="N3424" s="2" t="s">
        <v>2317</v>
      </c>
      <c r="O3424" s="14">
        <v>11600</v>
      </c>
      <c r="P3424" s="14">
        <v>98.97</v>
      </c>
      <c r="Q3424" s="14">
        <v>119.48</v>
      </c>
      <c r="R3424" s="14">
        <v>186.39</v>
      </c>
      <c r="S3424" s="2" t="s">
        <v>3055</v>
      </c>
      <c r="T3424" s="2">
        <v>1.2</v>
      </c>
      <c r="U3424" s="2">
        <v>66.900000000000006</v>
      </c>
      <c r="V3424" s="2">
        <v>62</v>
      </c>
      <c r="W3424" s="2" t="s">
        <v>7862</v>
      </c>
      <c r="X3424" s="2" t="s">
        <v>3851</v>
      </c>
      <c r="Y3424" s="2">
        <v>18096</v>
      </c>
      <c r="Z3424" s="19" t="str">
        <f>HYPERLINK("https://ssdweb.co/ssdweb/hd/Vision360.html?d=926171477&amp;zoomslide=1&amp;z=1926171477&amp;ISCONFIRM=0","VIDEO")</f>
        <v>VIDEO</v>
      </c>
      <c r="AA3424" s="19" t="str">
        <f>HYPERLINK("https://ssdweb.co/ssdweb/CERTH/635423901.pdf","CERTI")</f>
        <v>CERTI</v>
      </c>
    </row>
    <row r="3425" spans="1:27" ht="15" x14ac:dyDescent="0.25">
      <c r="A3425" s="2">
        <v>3420</v>
      </c>
      <c r="B3425" s="39">
        <v>831010481</v>
      </c>
      <c r="C3425" s="28" t="str">
        <f>HYPERLINK("https://pld.live/RapDetail.aspx?STONELIST=831010481","DNA")</f>
        <v>DNA</v>
      </c>
      <c r="D3425" s="18" t="s">
        <v>711</v>
      </c>
      <c r="E3425" s="18" t="s">
        <v>5128</v>
      </c>
      <c r="F3425" s="2" t="s">
        <v>7987</v>
      </c>
      <c r="G3425" s="2" t="s">
        <v>7023</v>
      </c>
      <c r="H3425" s="14">
        <v>1.56</v>
      </c>
      <c r="I3425" s="2" t="s">
        <v>267</v>
      </c>
      <c r="J3425" s="2" t="s">
        <v>444</v>
      </c>
      <c r="K3425" s="2" t="s">
        <v>1452</v>
      </c>
      <c r="L3425" s="2" t="s">
        <v>5221</v>
      </c>
      <c r="M3425" s="2" t="s">
        <v>5221</v>
      </c>
      <c r="N3425" s="2" t="s">
        <v>2317</v>
      </c>
      <c r="O3425" s="14">
        <v>8100</v>
      </c>
      <c r="P3425" s="14">
        <v>98.6</v>
      </c>
      <c r="Q3425" s="14">
        <v>113.4</v>
      </c>
      <c r="R3425" s="14">
        <v>176.9</v>
      </c>
      <c r="S3425" s="2" t="s">
        <v>4327</v>
      </c>
      <c r="T3425" s="2">
        <v>1.26</v>
      </c>
      <c r="U3425" s="2">
        <v>67.400000000000006</v>
      </c>
      <c r="V3425" s="2">
        <v>63</v>
      </c>
      <c r="W3425" s="2" t="s">
        <v>7862</v>
      </c>
      <c r="X3425" s="2" t="s">
        <v>3851</v>
      </c>
      <c r="Y3425" s="2">
        <v>12636</v>
      </c>
      <c r="Z3425" s="19" t="str">
        <f>HYPERLINK("https://ssdweb.co/ssdweb/hd/Vision360.html?d=831010481&amp;zoomslide=1&amp;z=1831010481&amp;ISCONFIRM=0","VIDEO")</f>
        <v>VIDEO</v>
      </c>
      <c r="AA3425" s="19" t="str">
        <f>HYPERLINK("https://ssdweb.co/ssdweb/CERTH/551208492.pdf","CERTI")</f>
        <v>CERTI</v>
      </c>
    </row>
    <row r="3426" spans="1:27" ht="15" x14ac:dyDescent="0.25">
      <c r="A3426" s="2">
        <v>3421</v>
      </c>
      <c r="B3426" s="39">
        <v>925802054</v>
      </c>
      <c r="C3426" s="28" t="str">
        <f>HYPERLINK("https://pld.live/RapDetail.aspx?STONELIST=925802054","DNA")</f>
        <v>DNA</v>
      </c>
      <c r="D3426" s="18" t="s">
        <v>711</v>
      </c>
      <c r="E3426" s="18" t="s">
        <v>5128</v>
      </c>
      <c r="F3426" s="2" t="s">
        <v>7987</v>
      </c>
      <c r="G3426" s="2" t="s">
        <v>7023</v>
      </c>
      <c r="H3426" s="14">
        <v>1.56</v>
      </c>
      <c r="I3426" s="2" t="s">
        <v>4761</v>
      </c>
      <c r="J3426" s="2" t="s">
        <v>3942</v>
      </c>
      <c r="K3426" s="2" t="s">
        <v>1452</v>
      </c>
      <c r="L3426" s="2" t="s">
        <v>5221</v>
      </c>
      <c r="M3426" s="2" t="s">
        <v>5221</v>
      </c>
      <c r="N3426" s="2" t="s">
        <v>2317</v>
      </c>
      <c r="O3426" s="14">
        <v>11600</v>
      </c>
      <c r="P3426" s="14">
        <v>98.97</v>
      </c>
      <c r="Q3426" s="14">
        <v>119.48</v>
      </c>
      <c r="R3426" s="14">
        <v>186.39</v>
      </c>
      <c r="S3426" s="2" t="s">
        <v>203</v>
      </c>
      <c r="T3426" s="2">
        <v>1.2</v>
      </c>
      <c r="U3426" s="2">
        <v>63.6</v>
      </c>
      <c r="V3426" s="2">
        <v>63</v>
      </c>
      <c r="W3426" s="2" t="s">
        <v>7862</v>
      </c>
      <c r="X3426" s="2" t="s">
        <v>3851</v>
      </c>
      <c r="Y3426" s="2">
        <v>18096</v>
      </c>
      <c r="Z3426" s="19" t="str">
        <f>HYPERLINK("https://ssdweb.co/ssdweb/hd/Vision360.html?d=925802054&amp;zoomslide=1&amp;z=1925802054&amp;ISCONFIRM=0","VIDEO")</f>
        <v>VIDEO</v>
      </c>
      <c r="AA3426" s="19" t="str">
        <f>HYPERLINK("https://ssdweb.co/ssdweb/CERTH/627410451.pdf","CERTI")</f>
        <v>CERTI</v>
      </c>
    </row>
    <row r="3427" spans="1:27" ht="15" x14ac:dyDescent="0.25">
      <c r="A3427" s="2">
        <v>3422</v>
      </c>
      <c r="B3427" s="39">
        <v>926071718</v>
      </c>
      <c r="C3427" s="28" t="str">
        <f>HYPERLINK("https://pld.live/RapDetail.aspx?STONELIST=926071718","DNA")</f>
        <v>DNA</v>
      </c>
      <c r="D3427" s="18" t="s">
        <v>711</v>
      </c>
      <c r="E3427" s="18" t="s">
        <v>5128</v>
      </c>
      <c r="F3427" s="2" t="s">
        <v>7987</v>
      </c>
      <c r="G3427" s="2" t="s">
        <v>7023</v>
      </c>
      <c r="H3427" s="14">
        <v>1.56</v>
      </c>
      <c r="I3427" s="2" t="s">
        <v>4761</v>
      </c>
      <c r="J3427" s="2" t="s">
        <v>3942</v>
      </c>
      <c r="K3427" s="2" t="s">
        <v>1452</v>
      </c>
      <c r="L3427" s="2" t="s">
        <v>5221</v>
      </c>
      <c r="M3427" s="2" t="s">
        <v>5221</v>
      </c>
      <c r="N3427" s="2" t="s">
        <v>2317</v>
      </c>
      <c r="O3427" s="14">
        <v>11600</v>
      </c>
      <c r="P3427" s="14">
        <v>98.96</v>
      </c>
      <c r="Q3427" s="14">
        <v>120.64</v>
      </c>
      <c r="R3427" s="14">
        <v>188.2</v>
      </c>
      <c r="S3427" s="2" t="s">
        <v>3621</v>
      </c>
      <c r="T3427" s="2">
        <v>1.2</v>
      </c>
      <c r="U3427" s="2">
        <v>67.3</v>
      </c>
      <c r="V3427" s="2">
        <v>62</v>
      </c>
      <c r="W3427" s="2" t="s">
        <v>7862</v>
      </c>
      <c r="X3427" s="2" t="s">
        <v>3851</v>
      </c>
      <c r="Y3427" s="2">
        <v>18096</v>
      </c>
      <c r="Z3427" s="19" t="str">
        <f>HYPERLINK("https://ssdweb.co/ssdweb/hd/Vision360.html?d=926071718&amp;zoomslide=1&amp;z=1926071718&amp;ISCONFIRM=0","VIDEO")</f>
        <v>VIDEO</v>
      </c>
      <c r="AA3427" s="19" t="str">
        <f>HYPERLINK("https://ssdweb.co/ssdweb/CERTH/631464098.pdf","CERTI")</f>
        <v>CERTI</v>
      </c>
    </row>
    <row r="3428" spans="1:27" ht="15" x14ac:dyDescent="0.25">
      <c r="A3428" s="2">
        <v>3423</v>
      </c>
      <c r="B3428" s="39">
        <v>831010816</v>
      </c>
      <c r="C3428" s="28" t="str">
        <f>HYPERLINK("https://pld.live/RapDetail.aspx?STONELIST=831010816","DNA")</f>
        <v>DNA</v>
      </c>
      <c r="D3428" s="18" t="s">
        <v>711</v>
      </c>
      <c r="E3428" s="18" t="s">
        <v>5128</v>
      </c>
      <c r="F3428" s="2" t="s">
        <v>7987</v>
      </c>
      <c r="G3428" s="2" t="s">
        <v>7023</v>
      </c>
      <c r="H3428" s="14">
        <v>1.56</v>
      </c>
      <c r="I3428" s="2" t="s">
        <v>4699</v>
      </c>
      <c r="J3428" s="2" t="s">
        <v>3942</v>
      </c>
      <c r="K3428" s="2" t="s">
        <v>1452</v>
      </c>
      <c r="L3428" s="2" t="s">
        <v>5221</v>
      </c>
      <c r="M3428" s="2" t="s">
        <v>5221</v>
      </c>
      <c r="N3428" s="2" t="s">
        <v>2317</v>
      </c>
      <c r="O3428" s="14">
        <v>10800</v>
      </c>
      <c r="P3428" s="14">
        <v>98.92</v>
      </c>
      <c r="Q3428" s="14">
        <v>116.64</v>
      </c>
      <c r="R3428" s="14">
        <v>181.96</v>
      </c>
      <c r="S3428" s="2" t="s">
        <v>352</v>
      </c>
      <c r="T3428" s="2">
        <v>1.21</v>
      </c>
      <c r="U3428" s="2">
        <v>63.4</v>
      </c>
      <c r="V3428" s="2">
        <v>63</v>
      </c>
      <c r="W3428" s="2" t="s">
        <v>7862</v>
      </c>
      <c r="X3428" s="2" t="s">
        <v>3851</v>
      </c>
      <c r="Y3428" s="2">
        <v>16848</v>
      </c>
      <c r="Z3428" s="19" t="str">
        <f>HYPERLINK("https://ssdweb.co/ssdweb/hd/Vision360.html?d=831010816&amp;zoomslide=1&amp;z=1831010816&amp;ISCONFIRM=0","VIDEO")</f>
        <v>VIDEO</v>
      </c>
      <c r="AA3428" s="19" t="str">
        <f>HYPERLINK("https://ssdweb.co/ssdweb/CERTH/589311810.pdf","CERTI")</f>
        <v>CERTI</v>
      </c>
    </row>
    <row r="3429" spans="1:27" ht="15" x14ac:dyDescent="0.25">
      <c r="A3429" s="2">
        <v>3424</v>
      </c>
      <c r="B3429" s="39">
        <v>926071743</v>
      </c>
      <c r="C3429" s="28" t="str">
        <f>HYPERLINK("https://pld.live/RapDetail.aspx?STONELIST=926071743","DNA")</f>
        <v>DNA</v>
      </c>
      <c r="D3429" s="18" t="s">
        <v>711</v>
      </c>
      <c r="E3429" s="18" t="s">
        <v>5128</v>
      </c>
      <c r="F3429" s="2" t="s">
        <v>7987</v>
      </c>
      <c r="G3429" s="2" t="s">
        <v>7023</v>
      </c>
      <c r="H3429" s="14">
        <v>1.56</v>
      </c>
      <c r="I3429" s="2" t="s">
        <v>4699</v>
      </c>
      <c r="J3429" s="2" t="s">
        <v>3942</v>
      </c>
      <c r="K3429" s="2" t="s">
        <v>1452</v>
      </c>
      <c r="L3429" s="2" t="s">
        <v>5221</v>
      </c>
      <c r="M3429" s="2" t="s">
        <v>5221</v>
      </c>
      <c r="N3429" s="2" t="s">
        <v>2317</v>
      </c>
      <c r="O3429" s="14">
        <v>10800</v>
      </c>
      <c r="P3429" s="14">
        <v>98.93</v>
      </c>
      <c r="Q3429" s="14">
        <v>115.56</v>
      </c>
      <c r="R3429" s="14">
        <v>180.27</v>
      </c>
      <c r="S3429" s="2" t="s">
        <v>5086</v>
      </c>
      <c r="T3429" s="2">
        <v>1.21</v>
      </c>
      <c r="U3429" s="2">
        <v>64.400000000000006</v>
      </c>
      <c r="V3429" s="2">
        <v>59</v>
      </c>
      <c r="W3429" s="2" t="s">
        <v>4336</v>
      </c>
      <c r="X3429" s="2" t="s">
        <v>3851</v>
      </c>
      <c r="Y3429" s="2">
        <v>16848</v>
      </c>
      <c r="Z3429" s="19" t="str">
        <f>HYPERLINK("https://ssdweb.co/ssdweb/hd/Vision360.html?d=926071743&amp;zoomslide=1&amp;z=1926071743&amp;ISCONFIRM=0","VIDEO")</f>
        <v>VIDEO</v>
      </c>
      <c r="AA3429" s="19" t="str">
        <f>HYPERLINK("https://ssdweb.co/ssdweb/CERTH/631464104.pdf","CERTI")</f>
        <v>CERTI</v>
      </c>
    </row>
    <row r="3430" spans="1:27" ht="15" x14ac:dyDescent="0.25">
      <c r="A3430" s="2">
        <v>3425</v>
      </c>
      <c r="B3430" s="39">
        <v>925542718</v>
      </c>
      <c r="C3430" s="28" t="str">
        <f>HYPERLINK("https://pld.live/RapDetail.aspx?STONELIST=925542718","DNA")</f>
        <v>DNA</v>
      </c>
      <c r="D3430" s="18" t="s">
        <v>711</v>
      </c>
      <c r="E3430" s="18" t="s">
        <v>5128</v>
      </c>
      <c r="F3430" s="2" t="s">
        <v>7987</v>
      </c>
      <c r="G3430" s="2" t="s">
        <v>7023</v>
      </c>
      <c r="H3430" s="14">
        <v>1.55</v>
      </c>
      <c r="I3430" s="2" t="s">
        <v>267</v>
      </c>
      <c r="J3430" s="2" t="s">
        <v>13</v>
      </c>
      <c r="K3430" s="2" t="s">
        <v>1452</v>
      </c>
      <c r="L3430" s="2" t="s">
        <v>5221</v>
      </c>
      <c r="M3430" s="2" t="s">
        <v>5221</v>
      </c>
      <c r="N3430" s="2" t="s">
        <v>2317</v>
      </c>
      <c r="O3430" s="14">
        <v>11600</v>
      </c>
      <c r="P3430" s="14">
        <v>98.97</v>
      </c>
      <c r="Q3430" s="14">
        <v>119.48</v>
      </c>
      <c r="R3430" s="14">
        <v>185.19</v>
      </c>
      <c r="S3430" s="2" t="s">
        <v>5193</v>
      </c>
      <c r="T3430" s="2">
        <v>1.2</v>
      </c>
      <c r="U3430" s="2">
        <v>67.599999999999994</v>
      </c>
      <c r="V3430" s="2">
        <v>62</v>
      </c>
      <c r="W3430" s="2" t="s">
        <v>7862</v>
      </c>
      <c r="X3430" s="2" t="s">
        <v>3851</v>
      </c>
      <c r="Y3430" s="2">
        <v>17980</v>
      </c>
      <c r="Z3430" s="19" t="str">
        <f>HYPERLINK("https://ssdweb.co/ssdweb/hd/Vision360.html?d=925542718&amp;zoomslide=1&amp;z=1925542718&amp;ISCONFIRM=0","VIDEO")</f>
        <v>VIDEO</v>
      </c>
      <c r="AA3430" s="19" t="str">
        <f>HYPERLINK("https://ssdweb.co/ssdweb/CERTH/621420344.pdf","CERTI")</f>
        <v>CERTI</v>
      </c>
    </row>
    <row r="3431" spans="1:27" ht="15" x14ac:dyDescent="0.25">
      <c r="A3431" s="2">
        <v>3426</v>
      </c>
      <c r="B3431" s="39">
        <v>925521962</v>
      </c>
      <c r="C3431" s="28" t="str">
        <f>HYPERLINK("https://pld.live/RapDetail.aspx?STONELIST=925521962","DNA")</f>
        <v>DNA</v>
      </c>
      <c r="D3431" s="18" t="s">
        <v>711</v>
      </c>
      <c r="E3431" s="18" t="s">
        <v>5128</v>
      </c>
      <c r="F3431" s="2" t="s">
        <v>7987</v>
      </c>
      <c r="G3431" s="2" t="s">
        <v>7023</v>
      </c>
      <c r="H3431" s="14">
        <v>1.55</v>
      </c>
      <c r="I3431" s="2" t="s">
        <v>4761</v>
      </c>
      <c r="J3431" s="2" t="s">
        <v>13</v>
      </c>
      <c r="K3431" s="2" t="s">
        <v>1452</v>
      </c>
      <c r="L3431" s="2" t="s">
        <v>5221</v>
      </c>
      <c r="M3431" s="2" t="s">
        <v>5221</v>
      </c>
      <c r="N3431" s="2" t="s">
        <v>2317</v>
      </c>
      <c r="O3431" s="14">
        <v>10800</v>
      </c>
      <c r="P3431" s="14">
        <v>98.92</v>
      </c>
      <c r="Q3431" s="14">
        <v>116.64</v>
      </c>
      <c r="R3431" s="14">
        <v>180.79</v>
      </c>
      <c r="S3431" s="2" t="s">
        <v>6764</v>
      </c>
      <c r="T3431" s="2">
        <v>1.2</v>
      </c>
      <c r="U3431" s="2">
        <v>67.2</v>
      </c>
      <c r="V3431" s="2">
        <v>61</v>
      </c>
      <c r="W3431" s="2" t="s">
        <v>7862</v>
      </c>
      <c r="X3431" s="2" t="s">
        <v>3851</v>
      </c>
      <c r="Y3431" s="2">
        <v>16740</v>
      </c>
      <c r="Z3431" s="19" t="str">
        <f>HYPERLINK("https://ssdweb.co/ssdweb/hd/Vision360.html?d=925521962&amp;zoomslide=1&amp;z=1925521962&amp;ISCONFIRM=0","VIDEO")</f>
        <v>VIDEO</v>
      </c>
      <c r="AA3431" s="19" t="str">
        <f>HYPERLINK("https://ssdweb.co/ssdweb/CERTH/620449079.pdf","CERTI")</f>
        <v>CERTI</v>
      </c>
    </row>
    <row r="3432" spans="1:27" ht="15" x14ac:dyDescent="0.25">
      <c r="A3432" s="2">
        <v>3427</v>
      </c>
      <c r="B3432" s="39">
        <v>923540505</v>
      </c>
      <c r="C3432" s="28" t="str">
        <f>HYPERLINK("https://pld.live/RapDetail.aspx?STONELIST=923540505","DNA")</f>
        <v>DNA</v>
      </c>
      <c r="D3432" s="18" t="s">
        <v>711</v>
      </c>
      <c r="E3432" s="18" t="s">
        <v>5128</v>
      </c>
      <c r="F3432" s="2" t="s">
        <v>5597</v>
      </c>
      <c r="G3432" s="2" t="s">
        <v>7023</v>
      </c>
      <c r="H3432" s="14">
        <v>1.55</v>
      </c>
      <c r="I3432" s="2" t="s">
        <v>4761</v>
      </c>
      <c r="J3432" s="2" t="s">
        <v>13</v>
      </c>
      <c r="K3432" s="2" t="s">
        <v>1452</v>
      </c>
      <c r="L3432" s="2" t="s">
        <v>5221</v>
      </c>
      <c r="M3432" s="2" t="s">
        <v>5721</v>
      </c>
      <c r="N3432" s="2" t="s">
        <v>2317</v>
      </c>
      <c r="O3432" s="14">
        <v>10800</v>
      </c>
      <c r="P3432" s="14">
        <v>98.15</v>
      </c>
      <c r="Q3432" s="14">
        <v>199.8</v>
      </c>
      <c r="R3432" s="14">
        <v>309.69</v>
      </c>
      <c r="S3432" s="2" t="s">
        <v>2284</v>
      </c>
      <c r="T3432" s="2">
        <v>1.28</v>
      </c>
      <c r="U3432" s="2">
        <v>67.3</v>
      </c>
      <c r="V3432" s="2">
        <v>60</v>
      </c>
      <c r="W3432" s="2" t="s">
        <v>7862</v>
      </c>
      <c r="X3432" s="2" t="s">
        <v>7053</v>
      </c>
      <c r="Y3432" s="2">
        <v>16740</v>
      </c>
      <c r="Z3432" s="19" t="str">
        <f>HYPERLINK("https://ssdweb.co/ssdweb/hd/Vision360.html?d=923540505&amp;zoomslide=1&amp;z=1923540505&amp;ISCONFIRM=0","VIDEO")</f>
        <v>VIDEO</v>
      </c>
      <c r="AA3432" s="19" t="str">
        <f>HYPERLINK("https://ssdweb.co/ssdweb/CERTH/6451397039.pdf","CERTI")</f>
        <v>CERTI</v>
      </c>
    </row>
    <row r="3433" spans="1:27" ht="15" x14ac:dyDescent="0.25">
      <c r="A3433" s="2">
        <v>3428</v>
      </c>
      <c r="B3433" s="39">
        <v>926030173</v>
      </c>
      <c r="C3433" s="28" t="str">
        <f>HYPERLINK("https://pld.live/RapDetail.aspx?STONELIST=926030173","DNA")</f>
        <v>DNA</v>
      </c>
      <c r="D3433" s="18" t="s">
        <v>711</v>
      </c>
      <c r="E3433" s="18" t="s">
        <v>2186</v>
      </c>
      <c r="F3433" s="2" t="s">
        <v>7987</v>
      </c>
      <c r="G3433" s="2" t="s">
        <v>7023</v>
      </c>
      <c r="H3433" s="14">
        <v>1.55</v>
      </c>
      <c r="I3433" s="2" t="s">
        <v>1505</v>
      </c>
      <c r="J3433" s="2" t="s">
        <v>5144</v>
      </c>
      <c r="K3433" s="2" t="s">
        <v>1452</v>
      </c>
      <c r="L3433" s="2" t="s">
        <v>5221</v>
      </c>
      <c r="M3433" s="2" t="s">
        <v>5221</v>
      </c>
      <c r="N3433" s="2" t="s">
        <v>2317</v>
      </c>
      <c r="O3433" s="14">
        <v>7100</v>
      </c>
      <c r="P3433" s="14">
        <v>98.61</v>
      </c>
      <c r="Q3433" s="14">
        <v>98.69</v>
      </c>
      <c r="R3433" s="14">
        <v>152.97</v>
      </c>
      <c r="S3433" s="2" t="s">
        <v>6735</v>
      </c>
      <c r="T3433" s="2">
        <v>1.33</v>
      </c>
      <c r="U3433" s="2">
        <v>67.3</v>
      </c>
      <c r="V3433" s="2">
        <v>60</v>
      </c>
      <c r="W3433" s="2" t="s">
        <v>7862</v>
      </c>
      <c r="X3433" s="2" t="s">
        <v>3851</v>
      </c>
      <c r="Y3433" s="2">
        <v>11005</v>
      </c>
      <c r="Z3433" s="19" t="str">
        <f>HYPERLINK("https://ssdweb.co/ssdweb/hd/Vision360.html?d=926030173&amp;zoomslide=1&amp;z=1926030173&amp;ISCONFIRM=0","VIDEO")</f>
        <v>VIDEO</v>
      </c>
      <c r="AA3433" s="19" t="str">
        <f>HYPERLINK("https://ssdweb.co/ssdweb/CERTH/631464203.pdf","CERTI")</f>
        <v>CERTI</v>
      </c>
    </row>
    <row r="3434" spans="1:27" ht="15" x14ac:dyDescent="0.25">
      <c r="A3434" s="2">
        <v>3429</v>
      </c>
      <c r="B3434" s="39">
        <v>926071933</v>
      </c>
      <c r="C3434" s="28" t="str">
        <f>HYPERLINK("https://pld.live/RapDetail.aspx?STONELIST=926071933","DNA")</f>
        <v>DNA</v>
      </c>
      <c r="D3434" s="18" t="s">
        <v>711</v>
      </c>
      <c r="E3434" s="18" t="s">
        <v>5128</v>
      </c>
      <c r="F3434" s="2" t="s">
        <v>7987</v>
      </c>
      <c r="G3434" s="2" t="s">
        <v>7023</v>
      </c>
      <c r="H3434" s="14">
        <v>1.54</v>
      </c>
      <c r="I3434" s="2" t="s">
        <v>267</v>
      </c>
      <c r="J3434" s="2" t="s">
        <v>3942</v>
      </c>
      <c r="K3434" s="2" t="s">
        <v>1452</v>
      </c>
      <c r="L3434" s="2" t="s">
        <v>5221</v>
      </c>
      <c r="M3434" s="2" t="s">
        <v>5221</v>
      </c>
      <c r="N3434" s="2" t="s">
        <v>2317</v>
      </c>
      <c r="O3434" s="14">
        <v>12500</v>
      </c>
      <c r="P3434" s="14">
        <v>99.02</v>
      </c>
      <c r="Q3434" s="14">
        <v>122.5</v>
      </c>
      <c r="R3434" s="14">
        <v>188.65</v>
      </c>
      <c r="S3434" s="2" t="s">
        <v>4241</v>
      </c>
      <c r="T3434" s="2">
        <v>1.22</v>
      </c>
      <c r="U3434" s="2">
        <v>68.7</v>
      </c>
      <c r="V3434" s="2">
        <v>61</v>
      </c>
      <c r="W3434" s="2" t="s">
        <v>7862</v>
      </c>
      <c r="X3434" s="2" t="s">
        <v>3851</v>
      </c>
      <c r="Y3434" s="2">
        <v>19250</v>
      </c>
      <c r="Z3434" s="19" t="str">
        <f>HYPERLINK("https://ssdweb.co/ssdweb/hd/Vision360.html?d=926071933&amp;zoomslide=1&amp;z=1926071933&amp;ISCONFIRM=0","VIDEO")</f>
        <v>VIDEO</v>
      </c>
      <c r="AA3434" s="19" t="str">
        <f>HYPERLINK("https://ssdweb.co/ssdweb/CERTH/632403864.pdf","CERTI")</f>
        <v>CERTI</v>
      </c>
    </row>
    <row r="3435" spans="1:27" ht="15" x14ac:dyDescent="0.25">
      <c r="A3435" s="2">
        <v>3430</v>
      </c>
      <c r="B3435" s="39">
        <v>926171082</v>
      </c>
      <c r="C3435" s="28" t="str">
        <f>HYPERLINK("https://pld.live/RapDetail.aspx?STONELIST=926171082","DNA")</f>
        <v>DNA</v>
      </c>
      <c r="D3435" s="18" t="s">
        <v>711</v>
      </c>
      <c r="E3435" s="18" t="s">
        <v>5128</v>
      </c>
      <c r="F3435" s="2" t="s">
        <v>7987</v>
      </c>
      <c r="G3435" s="2" t="s">
        <v>7023</v>
      </c>
      <c r="H3435" s="14">
        <v>1.54</v>
      </c>
      <c r="I3435" s="2" t="s">
        <v>267</v>
      </c>
      <c r="J3435" s="2" t="s">
        <v>13</v>
      </c>
      <c r="K3435" s="2" t="s">
        <v>1452</v>
      </c>
      <c r="L3435" s="2" t="s">
        <v>5221</v>
      </c>
      <c r="M3435" s="2" t="s">
        <v>5221</v>
      </c>
      <c r="N3435" s="2" t="s">
        <v>2317</v>
      </c>
      <c r="O3435" s="14">
        <v>11600</v>
      </c>
      <c r="P3435" s="14">
        <v>98.96</v>
      </c>
      <c r="Q3435" s="14">
        <v>120.64</v>
      </c>
      <c r="R3435" s="14">
        <v>185.79</v>
      </c>
      <c r="S3435" s="2" t="s">
        <v>6020</v>
      </c>
      <c r="T3435" s="2">
        <v>1.3</v>
      </c>
      <c r="U3435" s="2">
        <v>64.400000000000006</v>
      </c>
      <c r="V3435" s="2">
        <v>61</v>
      </c>
      <c r="W3435" s="2" t="s">
        <v>7862</v>
      </c>
      <c r="X3435" s="2" t="s">
        <v>3851</v>
      </c>
      <c r="Y3435" s="2">
        <v>17864</v>
      </c>
      <c r="Z3435" s="19" t="str">
        <f>HYPERLINK("https://ssdweb.co/ssdweb/hd/Vision360.html?d=926171082&amp;zoomslide=1&amp;z=1926171082&amp;ISCONFIRM=0","VIDEO")</f>
        <v>VIDEO</v>
      </c>
      <c r="AA3435" s="19" t="str">
        <f>HYPERLINK("https://ssdweb.co/ssdweb/CERTH/634472366.pdf","CERTI")</f>
        <v>CERTI</v>
      </c>
    </row>
    <row r="3436" spans="1:27" ht="15" x14ac:dyDescent="0.25">
      <c r="A3436" s="2">
        <v>3431</v>
      </c>
      <c r="B3436" s="39">
        <v>925521957</v>
      </c>
      <c r="C3436" s="28" t="str">
        <f>HYPERLINK("https://pld.live/RapDetail.aspx?STONELIST=925521957","DNA")</f>
        <v>DNA</v>
      </c>
      <c r="D3436" s="18" t="s">
        <v>711</v>
      </c>
      <c r="E3436" s="18" t="s">
        <v>5128</v>
      </c>
      <c r="F3436" s="2" t="s">
        <v>7987</v>
      </c>
      <c r="G3436" s="2" t="s">
        <v>7023</v>
      </c>
      <c r="H3436" s="14">
        <v>1.54</v>
      </c>
      <c r="I3436" s="2" t="s">
        <v>4761</v>
      </c>
      <c r="J3436" s="2" t="s">
        <v>3942</v>
      </c>
      <c r="K3436" s="2" t="s">
        <v>1452</v>
      </c>
      <c r="L3436" s="2" t="s">
        <v>5221</v>
      </c>
      <c r="M3436" s="2" t="s">
        <v>5221</v>
      </c>
      <c r="N3436" s="2" t="s">
        <v>2317</v>
      </c>
      <c r="O3436" s="14">
        <v>11600</v>
      </c>
      <c r="P3436" s="14">
        <v>98.97</v>
      </c>
      <c r="Q3436" s="14">
        <v>119.48</v>
      </c>
      <c r="R3436" s="14">
        <v>184</v>
      </c>
      <c r="S3436" s="2" t="s">
        <v>1768</v>
      </c>
      <c r="T3436" s="2">
        <v>1.2</v>
      </c>
      <c r="U3436" s="2">
        <v>66.400000000000006</v>
      </c>
      <c r="V3436" s="2">
        <v>60</v>
      </c>
      <c r="W3436" s="2" t="s">
        <v>7862</v>
      </c>
      <c r="X3436" s="2" t="s">
        <v>3851</v>
      </c>
      <c r="Y3436" s="2">
        <v>17864</v>
      </c>
      <c r="Z3436" s="19" t="str">
        <f>HYPERLINK("https://ssdweb.co/ssdweb/hd/Vision360.html?d=925521957&amp;zoomslide=1&amp;z=1925521957&amp;ISCONFIRM=0","VIDEO")</f>
        <v>VIDEO</v>
      </c>
      <c r="AA3436" s="19" t="str">
        <f>HYPERLINK("https://ssdweb.co/ssdweb/CERTH/620448919.pdf","CERTI")</f>
        <v>CERTI</v>
      </c>
    </row>
    <row r="3437" spans="1:27" ht="15" x14ac:dyDescent="0.25">
      <c r="A3437" s="2">
        <v>3432</v>
      </c>
      <c r="B3437" s="39">
        <v>831010129</v>
      </c>
      <c r="C3437" s="28" t="str">
        <f>HYPERLINK("https://pld.live/RapDetail.aspx?STONELIST=831010129","DNA")</f>
        <v>DNA</v>
      </c>
      <c r="D3437" s="18" t="s">
        <v>711</v>
      </c>
      <c r="E3437" s="18" t="s">
        <v>5128</v>
      </c>
      <c r="F3437" s="2" t="s">
        <v>5597</v>
      </c>
      <c r="G3437" s="2" t="s">
        <v>7023</v>
      </c>
      <c r="H3437" s="14">
        <v>1.54</v>
      </c>
      <c r="I3437" s="2" t="s">
        <v>4761</v>
      </c>
      <c r="J3437" s="2" t="s">
        <v>5144</v>
      </c>
      <c r="K3437" s="2" t="s">
        <v>1452</v>
      </c>
      <c r="L3437" s="2" t="s">
        <v>5221</v>
      </c>
      <c r="M3437" s="2" t="s">
        <v>5721</v>
      </c>
      <c r="N3437" s="2" t="s">
        <v>2317</v>
      </c>
      <c r="O3437" s="14">
        <v>9300</v>
      </c>
      <c r="P3437" s="14">
        <v>97.89</v>
      </c>
      <c r="Q3437" s="14">
        <v>196.23</v>
      </c>
      <c r="R3437" s="14">
        <v>302.19</v>
      </c>
      <c r="S3437" s="2" t="s">
        <v>5621</v>
      </c>
      <c r="T3437" s="2">
        <v>1.18</v>
      </c>
      <c r="U3437" s="2">
        <v>66.3</v>
      </c>
      <c r="V3437" s="2">
        <v>63</v>
      </c>
      <c r="W3437" s="2" t="s">
        <v>7862</v>
      </c>
      <c r="X3437" s="2" t="s">
        <v>7053</v>
      </c>
      <c r="Y3437" s="2">
        <v>14322</v>
      </c>
      <c r="Z3437" s="19" t="str">
        <f>HYPERLINK("https://ssdweb.co/ssdweb/hd/Vision360.html?d=831010129&amp;zoomslide=1&amp;z=1831010129&amp;ISCONFIRM=0","VIDEO")</f>
        <v>VIDEO</v>
      </c>
      <c r="AA3437" s="19" t="str">
        <f>HYPERLINK("https://ssdweb.co/ssdweb/CERTH/6455448331.pdf","CERTI")</f>
        <v>CERTI</v>
      </c>
    </row>
    <row r="3438" spans="1:27" ht="15" x14ac:dyDescent="0.25">
      <c r="A3438" s="2">
        <v>3433</v>
      </c>
      <c r="B3438" s="39">
        <v>925861994</v>
      </c>
      <c r="C3438" s="28" t="str">
        <f>HYPERLINK("https://pld.live/RapDetail.aspx?STONELIST=925861994","DNA")</f>
        <v>DNA</v>
      </c>
      <c r="D3438" s="18" t="s">
        <v>711</v>
      </c>
      <c r="E3438" s="18" t="s">
        <v>5128</v>
      </c>
      <c r="F3438" s="2" t="s">
        <v>7987</v>
      </c>
      <c r="G3438" s="2" t="s">
        <v>7023</v>
      </c>
      <c r="H3438" s="14">
        <v>1.53</v>
      </c>
      <c r="I3438" s="2" t="s">
        <v>267</v>
      </c>
      <c r="J3438" s="2" t="s">
        <v>3942</v>
      </c>
      <c r="K3438" s="2" t="s">
        <v>1452</v>
      </c>
      <c r="L3438" s="2" t="s">
        <v>5221</v>
      </c>
      <c r="M3438" s="2" t="s">
        <v>5221</v>
      </c>
      <c r="N3438" s="2" t="s">
        <v>2317</v>
      </c>
      <c r="O3438" s="14">
        <v>12500</v>
      </c>
      <c r="P3438" s="14">
        <v>99.02</v>
      </c>
      <c r="Q3438" s="14">
        <v>122.5</v>
      </c>
      <c r="R3438" s="14">
        <v>187.43</v>
      </c>
      <c r="S3438" s="2" t="s">
        <v>6925</v>
      </c>
      <c r="T3438" s="2">
        <v>1.21</v>
      </c>
      <c r="U3438" s="2">
        <v>67.2</v>
      </c>
      <c r="V3438" s="2">
        <v>61</v>
      </c>
      <c r="W3438" s="2" t="s">
        <v>7862</v>
      </c>
      <c r="X3438" s="2" t="s">
        <v>3851</v>
      </c>
      <c r="Y3438" s="2">
        <v>19125</v>
      </c>
      <c r="Z3438" s="19" t="str">
        <f>HYPERLINK("https://ssdweb.co/ssdweb/hd/Vision360.html?d=925861994&amp;zoomslide=1&amp;z=1925861994&amp;ISCONFIRM=0","VIDEO")</f>
        <v>VIDEO</v>
      </c>
      <c r="AA3438" s="19" t="str">
        <f>HYPERLINK("https://ssdweb.co/ssdweb/CERTH/628426931.pdf","CERTI")</f>
        <v>CERTI</v>
      </c>
    </row>
    <row r="3439" spans="1:27" ht="15" x14ac:dyDescent="0.25">
      <c r="A3439" s="2">
        <v>3434</v>
      </c>
      <c r="B3439" s="39">
        <v>926171453</v>
      </c>
      <c r="C3439" s="28" t="str">
        <f>HYPERLINK("https://pld.live/RapDetail.aspx?STONELIST=926171453","DNA")</f>
        <v>DNA</v>
      </c>
      <c r="D3439" s="18" t="s">
        <v>711</v>
      </c>
      <c r="E3439" s="18" t="s">
        <v>5128</v>
      </c>
      <c r="F3439" s="2" t="s">
        <v>7987</v>
      </c>
      <c r="G3439" s="2" t="s">
        <v>7023</v>
      </c>
      <c r="H3439" s="14">
        <v>1.53</v>
      </c>
      <c r="I3439" s="2" t="s">
        <v>4761</v>
      </c>
      <c r="J3439" s="2" t="s">
        <v>3942</v>
      </c>
      <c r="K3439" s="2" t="s">
        <v>1452</v>
      </c>
      <c r="L3439" s="2" t="s">
        <v>5221</v>
      </c>
      <c r="M3439" s="2" t="s">
        <v>5221</v>
      </c>
      <c r="N3439" s="2" t="s">
        <v>2317</v>
      </c>
      <c r="O3439" s="14">
        <v>11600</v>
      </c>
      <c r="P3439" s="14">
        <v>98.96</v>
      </c>
      <c r="Q3439" s="14">
        <v>120.64</v>
      </c>
      <c r="R3439" s="14">
        <v>184.58</v>
      </c>
      <c r="S3439" s="2" t="s">
        <v>3690</v>
      </c>
      <c r="T3439" s="2">
        <v>1.22</v>
      </c>
      <c r="U3439" s="2">
        <v>67.400000000000006</v>
      </c>
      <c r="V3439" s="2">
        <v>61</v>
      </c>
      <c r="W3439" s="2" t="s">
        <v>7862</v>
      </c>
      <c r="X3439" s="2" t="s">
        <v>3851</v>
      </c>
      <c r="Y3439" s="2">
        <v>17748</v>
      </c>
      <c r="Z3439" s="19" t="str">
        <f>HYPERLINK("https://ssdweb.co/ssdweb/hd/Vision360.html?d=926171453&amp;zoomslide=1&amp;z=1926171453&amp;ISCONFIRM=0","VIDEO")</f>
        <v>VIDEO</v>
      </c>
      <c r="AA3439" s="19" t="str">
        <f>HYPERLINK("https://ssdweb.co/ssdweb/CERTH/634431395.pdf","CERTI")</f>
        <v>CERTI</v>
      </c>
    </row>
    <row r="3440" spans="1:27" ht="15" x14ac:dyDescent="0.25">
      <c r="A3440" s="2">
        <v>3435</v>
      </c>
      <c r="B3440" s="39">
        <v>831010474</v>
      </c>
      <c r="C3440" s="28" t="str">
        <f>HYPERLINK("https://pld.live/RapDetail.aspx?STONELIST=831010474","DNA")</f>
        <v>DNA</v>
      </c>
      <c r="D3440" s="18" t="s">
        <v>711</v>
      </c>
      <c r="E3440" s="18" t="s">
        <v>5128</v>
      </c>
      <c r="F3440" s="2" t="s">
        <v>7987</v>
      </c>
      <c r="G3440" s="2" t="s">
        <v>7023</v>
      </c>
      <c r="H3440" s="14">
        <v>1.53</v>
      </c>
      <c r="I3440" s="2" t="s">
        <v>4699</v>
      </c>
      <c r="J3440" s="2" t="s">
        <v>3942</v>
      </c>
      <c r="K3440" s="2" t="s">
        <v>1452</v>
      </c>
      <c r="L3440" s="2" t="s">
        <v>5221</v>
      </c>
      <c r="M3440" s="2" t="s">
        <v>5221</v>
      </c>
      <c r="N3440" s="2" t="s">
        <v>2317</v>
      </c>
      <c r="O3440" s="14">
        <v>10800</v>
      </c>
      <c r="P3440" s="14">
        <v>98.9</v>
      </c>
      <c r="Q3440" s="14">
        <v>118.8</v>
      </c>
      <c r="R3440" s="14">
        <v>181.76</v>
      </c>
      <c r="S3440" s="2" t="s">
        <v>3874</v>
      </c>
      <c r="T3440" s="2">
        <v>1.19</v>
      </c>
      <c r="U3440" s="2">
        <v>66.8</v>
      </c>
      <c r="V3440" s="2">
        <v>57</v>
      </c>
      <c r="W3440" s="2" t="s">
        <v>7862</v>
      </c>
      <c r="X3440" s="2" t="s">
        <v>3851</v>
      </c>
      <c r="Y3440" s="2">
        <v>16524</v>
      </c>
      <c r="Z3440" s="19" t="str">
        <f>HYPERLINK("https://ssdweb.co/ssdweb/hd/Vision360.html?d=831010474&amp;zoomslide=1&amp;z=1831010474&amp;ISCONFIRM=0","VIDEO")</f>
        <v>VIDEO</v>
      </c>
      <c r="AA3440" s="19" t="str">
        <f>HYPERLINK("https://ssdweb.co/ssdweb/CERTH/551280710.pdf","CERTI")</f>
        <v>CERTI</v>
      </c>
    </row>
    <row r="3441" spans="1:27" ht="15" x14ac:dyDescent="0.25">
      <c r="A3441" s="2">
        <v>3436</v>
      </c>
      <c r="B3441" s="39">
        <v>821115085</v>
      </c>
      <c r="C3441" s="28" t="str">
        <f>HYPERLINK("https://pld.live/RapDetail.aspx?STONELIST=821115085","DNA")</f>
        <v>DNA</v>
      </c>
      <c r="D3441" s="18" t="s">
        <v>711</v>
      </c>
      <c r="E3441" s="18" t="s">
        <v>2186</v>
      </c>
      <c r="F3441" s="2" t="s">
        <v>7987</v>
      </c>
      <c r="G3441" s="2" t="s">
        <v>7023</v>
      </c>
      <c r="H3441" s="14">
        <v>1.53</v>
      </c>
      <c r="I3441" s="2" t="s">
        <v>4699</v>
      </c>
      <c r="J3441" s="2" t="s">
        <v>3942</v>
      </c>
      <c r="K3441" s="2" t="s">
        <v>1452</v>
      </c>
      <c r="L3441" s="2" t="s">
        <v>5221</v>
      </c>
      <c r="M3441" s="2" t="s">
        <v>5221</v>
      </c>
      <c r="N3441" s="2" t="s">
        <v>2317</v>
      </c>
      <c r="O3441" s="14">
        <v>10800</v>
      </c>
      <c r="P3441" s="14">
        <v>98.9</v>
      </c>
      <c r="Q3441" s="14">
        <v>118.8</v>
      </c>
      <c r="R3441" s="14">
        <v>181.76</v>
      </c>
      <c r="S3441" s="2" t="s">
        <v>5227</v>
      </c>
      <c r="T3441" s="2">
        <v>1.33</v>
      </c>
      <c r="U3441" s="2">
        <v>66.7</v>
      </c>
      <c r="V3441" s="2">
        <v>65</v>
      </c>
      <c r="W3441" s="2" t="s">
        <v>7862</v>
      </c>
      <c r="X3441" s="2" t="s">
        <v>3851</v>
      </c>
      <c r="Y3441" s="2">
        <v>16524</v>
      </c>
      <c r="Z3441" s="19" t="str">
        <f>HYPERLINK("https://ssdweb.co/ssdweb/hd/Vision360.html?d=821115085&amp;zoomslide=1&amp;z=1821115085&amp;ISCONFIRM=0","VIDEO")</f>
        <v>VIDEO</v>
      </c>
      <c r="AA3441" s="19" t="str">
        <f>HYPERLINK("https://ssdweb.co/ssdweb/CERTH/628415755.pdf","CERTI")</f>
        <v>CERTI</v>
      </c>
    </row>
    <row r="3442" spans="1:27" ht="15" x14ac:dyDescent="0.25">
      <c r="A3442" s="2">
        <v>3437</v>
      </c>
      <c r="B3442" s="39">
        <v>926071844</v>
      </c>
      <c r="C3442" s="28" t="str">
        <f>HYPERLINK("https://pld.live/RapDetail.aspx?STONELIST=926071844","DNA")</f>
        <v>DNA</v>
      </c>
      <c r="D3442" s="18" t="s">
        <v>711</v>
      </c>
      <c r="E3442" s="18" t="s">
        <v>5128</v>
      </c>
      <c r="F3442" s="2" t="s">
        <v>7987</v>
      </c>
      <c r="G3442" s="2" t="s">
        <v>7023</v>
      </c>
      <c r="H3442" s="14">
        <v>1.53</v>
      </c>
      <c r="I3442" s="2" t="s">
        <v>4699</v>
      </c>
      <c r="J3442" s="2" t="s">
        <v>3942</v>
      </c>
      <c r="K3442" s="2" t="s">
        <v>1452</v>
      </c>
      <c r="L3442" s="2" t="s">
        <v>5221</v>
      </c>
      <c r="M3442" s="2" t="s">
        <v>5221</v>
      </c>
      <c r="N3442" s="2" t="s">
        <v>2317</v>
      </c>
      <c r="O3442" s="14">
        <v>10800</v>
      </c>
      <c r="P3442" s="14">
        <v>98.9</v>
      </c>
      <c r="Q3442" s="14">
        <v>118.8</v>
      </c>
      <c r="R3442" s="14">
        <v>181.76</v>
      </c>
      <c r="S3442" s="2" t="s">
        <v>2674</v>
      </c>
      <c r="T3442" s="2">
        <v>1.2</v>
      </c>
      <c r="U3442" s="2">
        <v>65</v>
      </c>
      <c r="V3442" s="2">
        <v>60</v>
      </c>
      <c r="W3442" s="2" t="s">
        <v>7862</v>
      </c>
      <c r="X3442" s="2" t="s">
        <v>3851</v>
      </c>
      <c r="Y3442" s="2">
        <v>16524</v>
      </c>
      <c r="Z3442" s="19" t="str">
        <f>HYPERLINK("https://ssdweb.co/ssdweb/hd/Vision360.html?d=926071844&amp;zoomslide=1&amp;z=1926071844&amp;ISCONFIRM=0","VIDEO")</f>
        <v>VIDEO</v>
      </c>
      <c r="AA3442" s="19" t="str">
        <f>HYPERLINK("https://ssdweb.co/ssdweb/CERTH/632488469.pdf","CERTI")</f>
        <v>CERTI</v>
      </c>
    </row>
    <row r="3443" spans="1:27" ht="15" x14ac:dyDescent="0.25">
      <c r="A3443" s="2">
        <v>3438</v>
      </c>
      <c r="B3443" s="39">
        <v>925801968</v>
      </c>
      <c r="C3443" s="28" t="str">
        <f>HYPERLINK("https://pld.live/RapDetail.aspx?STONELIST=925801968","DNA")</f>
        <v>DNA</v>
      </c>
      <c r="D3443" s="18" t="s">
        <v>711</v>
      </c>
      <c r="E3443" s="18" t="s">
        <v>5128</v>
      </c>
      <c r="F3443" s="2" t="s">
        <v>7987</v>
      </c>
      <c r="G3443" s="2" t="s">
        <v>7023</v>
      </c>
      <c r="H3443" s="14">
        <v>1.52</v>
      </c>
      <c r="I3443" s="2" t="s">
        <v>267</v>
      </c>
      <c r="J3443" s="2" t="s">
        <v>3942</v>
      </c>
      <c r="K3443" s="2" t="s">
        <v>1452</v>
      </c>
      <c r="L3443" s="2" t="s">
        <v>5221</v>
      </c>
      <c r="M3443" s="2" t="s">
        <v>5221</v>
      </c>
      <c r="N3443" s="2" t="s">
        <v>2317</v>
      </c>
      <c r="O3443" s="14">
        <v>12500</v>
      </c>
      <c r="P3443" s="14">
        <v>99.03</v>
      </c>
      <c r="Q3443" s="14">
        <v>121.25</v>
      </c>
      <c r="R3443" s="14">
        <v>184.3</v>
      </c>
      <c r="S3443" s="2" t="s">
        <v>4707</v>
      </c>
      <c r="T3443" s="2">
        <v>1.21</v>
      </c>
      <c r="U3443" s="2">
        <v>67.400000000000006</v>
      </c>
      <c r="V3443" s="2">
        <v>62</v>
      </c>
      <c r="W3443" s="2" t="s">
        <v>7862</v>
      </c>
      <c r="X3443" s="2" t="s">
        <v>3851</v>
      </c>
      <c r="Y3443" s="2">
        <v>19000</v>
      </c>
      <c r="Z3443" s="19" t="str">
        <f>HYPERLINK("https://ssdweb.co/ssdweb/hd/Vision360.html?d=925801968&amp;zoomslide=1&amp;z=1925801968&amp;ISCONFIRM=0","VIDEO")</f>
        <v>VIDEO</v>
      </c>
      <c r="AA3443" s="19" t="str">
        <f>HYPERLINK("https://ssdweb.co/ssdweb/CERTH/627497080.pdf","CERTI")</f>
        <v>CERTI</v>
      </c>
    </row>
    <row r="3444" spans="1:27" ht="15" x14ac:dyDescent="0.25">
      <c r="A3444" s="2">
        <v>3439</v>
      </c>
      <c r="B3444" s="39">
        <v>925981253</v>
      </c>
      <c r="C3444" s="28" t="str">
        <f>HYPERLINK("https://pld.live/RapDetail.aspx?STONELIST=925981253","DNA")</f>
        <v>DNA</v>
      </c>
      <c r="D3444" s="18" t="s">
        <v>711</v>
      </c>
      <c r="E3444" s="18" t="s">
        <v>5128</v>
      </c>
      <c r="F3444" s="2" t="s">
        <v>7987</v>
      </c>
      <c r="G3444" s="2" t="s">
        <v>7023</v>
      </c>
      <c r="H3444" s="14">
        <v>1.52</v>
      </c>
      <c r="I3444" s="2" t="s">
        <v>267</v>
      </c>
      <c r="J3444" s="2" t="s">
        <v>3942</v>
      </c>
      <c r="K3444" s="2" t="s">
        <v>1452</v>
      </c>
      <c r="L3444" s="2" t="s">
        <v>5221</v>
      </c>
      <c r="M3444" s="2" t="s">
        <v>5221</v>
      </c>
      <c r="N3444" s="2" t="s">
        <v>2317</v>
      </c>
      <c r="O3444" s="14">
        <v>12500</v>
      </c>
      <c r="P3444" s="14">
        <v>99.02</v>
      </c>
      <c r="Q3444" s="14">
        <v>122.5</v>
      </c>
      <c r="R3444" s="14">
        <v>186.2</v>
      </c>
      <c r="S3444" s="2" t="s">
        <v>3289</v>
      </c>
      <c r="T3444" s="2">
        <v>1.2</v>
      </c>
      <c r="U3444" s="2">
        <v>66.2</v>
      </c>
      <c r="V3444" s="2">
        <v>61</v>
      </c>
      <c r="W3444" s="2" t="s">
        <v>7862</v>
      </c>
      <c r="X3444" s="2" t="s">
        <v>3851</v>
      </c>
      <c r="Y3444" s="2">
        <v>19000</v>
      </c>
      <c r="Z3444" s="19" t="str">
        <f>HYPERLINK("https://ssdweb.co/ssdweb/hd/Vision360.html?d=925981253&amp;zoomslide=1&amp;z=1925981253&amp;ISCONFIRM=0","VIDEO")</f>
        <v>VIDEO</v>
      </c>
      <c r="AA3444" s="19" t="str">
        <f>HYPERLINK("https://ssdweb.co/ssdweb/CERTH/631430231.pdf","CERTI")</f>
        <v>CERTI</v>
      </c>
    </row>
    <row r="3445" spans="1:27" ht="15" x14ac:dyDescent="0.25">
      <c r="A3445" s="2">
        <v>3440</v>
      </c>
      <c r="B3445" s="39">
        <v>925981242</v>
      </c>
      <c r="C3445" s="28" t="str">
        <f>HYPERLINK("https://pld.live/RapDetail.aspx?STONELIST=925981242","DNA")</f>
        <v>DNA</v>
      </c>
      <c r="D3445" s="18" t="s">
        <v>711</v>
      </c>
      <c r="E3445" s="18" t="s">
        <v>5128</v>
      </c>
      <c r="F3445" s="2" t="s">
        <v>7987</v>
      </c>
      <c r="G3445" s="2" t="s">
        <v>7023</v>
      </c>
      <c r="H3445" s="14">
        <v>1.52</v>
      </c>
      <c r="I3445" s="2" t="s">
        <v>267</v>
      </c>
      <c r="J3445" s="2" t="s">
        <v>3942</v>
      </c>
      <c r="K3445" s="2" t="s">
        <v>1452</v>
      </c>
      <c r="L3445" s="2" t="s">
        <v>5221</v>
      </c>
      <c r="M3445" s="2" t="s">
        <v>5221</v>
      </c>
      <c r="N3445" s="2" t="s">
        <v>2317</v>
      </c>
      <c r="O3445" s="14">
        <v>12500</v>
      </c>
      <c r="P3445" s="14">
        <v>99.03</v>
      </c>
      <c r="Q3445" s="14">
        <v>121.25</v>
      </c>
      <c r="R3445" s="14">
        <v>184.3</v>
      </c>
      <c r="S3445" s="2" t="s">
        <v>6244</v>
      </c>
      <c r="T3445" s="2">
        <v>1.2</v>
      </c>
      <c r="U3445" s="2">
        <v>66.3</v>
      </c>
      <c r="V3445" s="2">
        <v>62</v>
      </c>
      <c r="W3445" s="2" t="s">
        <v>4336</v>
      </c>
      <c r="X3445" s="2" t="s">
        <v>3851</v>
      </c>
      <c r="Y3445" s="2">
        <v>19000</v>
      </c>
      <c r="Z3445" s="19" t="str">
        <f>HYPERLINK("https://ssdweb.co/ssdweb/hd/Vision360.html?d=925981242&amp;zoomslide=1&amp;z=1925981242&amp;ISCONFIRM=0","VIDEO")</f>
        <v>VIDEO</v>
      </c>
      <c r="AA3445" s="19" t="str">
        <f>HYPERLINK("https://ssdweb.co/ssdweb/CERTH/631404595.pdf","CERTI")</f>
        <v>CERTI</v>
      </c>
    </row>
    <row r="3446" spans="1:27" ht="15" x14ac:dyDescent="0.25">
      <c r="A3446" s="2">
        <v>3441</v>
      </c>
      <c r="B3446" s="39">
        <v>926171470</v>
      </c>
      <c r="C3446" s="28" t="str">
        <f>HYPERLINK("https://pld.live/RapDetail.aspx?STONELIST=926171470","DNA")</f>
        <v>DNA</v>
      </c>
      <c r="D3446" s="18" t="s">
        <v>711</v>
      </c>
      <c r="E3446" s="18" t="s">
        <v>5128</v>
      </c>
      <c r="F3446" s="2" t="s">
        <v>7987</v>
      </c>
      <c r="G3446" s="2" t="s">
        <v>7023</v>
      </c>
      <c r="H3446" s="14">
        <v>1.52</v>
      </c>
      <c r="I3446" s="2" t="s">
        <v>267</v>
      </c>
      <c r="J3446" s="2" t="s">
        <v>13</v>
      </c>
      <c r="K3446" s="2" t="s">
        <v>1452</v>
      </c>
      <c r="L3446" s="2" t="s">
        <v>5221</v>
      </c>
      <c r="M3446" s="2" t="s">
        <v>5221</v>
      </c>
      <c r="N3446" s="2" t="s">
        <v>2317</v>
      </c>
      <c r="O3446" s="14">
        <v>11600</v>
      </c>
      <c r="P3446" s="14">
        <v>98.96</v>
      </c>
      <c r="Q3446" s="14">
        <v>120.64</v>
      </c>
      <c r="R3446" s="14">
        <v>183.37</v>
      </c>
      <c r="S3446" s="2" t="s">
        <v>14</v>
      </c>
      <c r="T3446" s="2">
        <v>1.27</v>
      </c>
      <c r="U3446" s="2">
        <v>66.599999999999994</v>
      </c>
      <c r="V3446" s="2">
        <v>60</v>
      </c>
      <c r="W3446" s="2" t="s">
        <v>7862</v>
      </c>
      <c r="X3446" s="2" t="s">
        <v>3851</v>
      </c>
      <c r="Y3446" s="2">
        <v>17632</v>
      </c>
      <c r="Z3446" s="19" t="str">
        <f>HYPERLINK("https://ssdweb.co/ssdweb/hd/Vision360.html?d=926171470&amp;zoomslide=1&amp;z=1926171470&amp;ISCONFIRM=0","VIDEO")</f>
        <v>VIDEO</v>
      </c>
      <c r="AA3446" s="19" t="str">
        <f>HYPERLINK("https://ssdweb.co/ssdweb/CERTH/635423900.pdf","CERTI")</f>
        <v>CERTI</v>
      </c>
    </row>
    <row r="3447" spans="1:27" ht="15" x14ac:dyDescent="0.25">
      <c r="A3447" s="2">
        <v>3442</v>
      </c>
      <c r="B3447" s="39">
        <v>831010788</v>
      </c>
      <c r="C3447" s="28" t="str">
        <f>HYPERLINK("https://pld.live/RapDetail.aspx?STONELIST=831010788","DNA")</f>
        <v>DNA</v>
      </c>
      <c r="D3447" s="18" t="s">
        <v>711</v>
      </c>
      <c r="E3447" s="18" t="s">
        <v>5128</v>
      </c>
      <c r="F3447" s="2" t="s">
        <v>7987</v>
      </c>
      <c r="G3447" s="2" t="s">
        <v>7023</v>
      </c>
      <c r="H3447" s="14">
        <v>1.52</v>
      </c>
      <c r="I3447" s="2" t="s">
        <v>267</v>
      </c>
      <c r="J3447" s="2" t="s">
        <v>5144</v>
      </c>
      <c r="K3447" s="2" t="s">
        <v>1452</v>
      </c>
      <c r="L3447" s="2" t="s">
        <v>5221</v>
      </c>
      <c r="M3447" s="2" t="s">
        <v>5221</v>
      </c>
      <c r="N3447" s="2" t="s">
        <v>2317</v>
      </c>
      <c r="O3447" s="14">
        <v>9900</v>
      </c>
      <c r="P3447" s="14">
        <v>98.82</v>
      </c>
      <c r="Q3447" s="14">
        <v>116.82</v>
      </c>
      <c r="R3447" s="14">
        <v>177.57</v>
      </c>
      <c r="S3447" s="2" t="s">
        <v>386</v>
      </c>
      <c r="T3447" s="2">
        <v>1.19</v>
      </c>
      <c r="U3447" s="2">
        <v>64.900000000000006</v>
      </c>
      <c r="V3447" s="2">
        <v>61.5</v>
      </c>
      <c r="W3447" s="2" t="s">
        <v>7862</v>
      </c>
      <c r="X3447" s="2" t="s">
        <v>3851</v>
      </c>
      <c r="Y3447" s="2">
        <v>15048</v>
      </c>
      <c r="Z3447" s="19" t="str">
        <f>HYPERLINK("https://ssdweb.co/ssdweb/hd/Vision360.html?d=831010788&amp;zoomslide=1&amp;z=1831010788&amp;ISCONFIRM=0","VIDEO")</f>
        <v>VIDEO</v>
      </c>
      <c r="AA3447" s="19" t="str">
        <f>HYPERLINK("https://ssdweb.co/ssdweb/CERTH/564371602.pdf","CERTI")</f>
        <v>CERTI</v>
      </c>
    </row>
    <row r="3448" spans="1:27" ht="15" x14ac:dyDescent="0.25">
      <c r="A3448" s="2">
        <v>3443</v>
      </c>
      <c r="B3448" s="39">
        <v>831010475</v>
      </c>
      <c r="C3448" s="28" t="str">
        <f>HYPERLINK("https://pld.live/RapDetail.aspx?STONELIST=831010475","DNA")</f>
        <v>DNA</v>
      </c>
      <c r="D3448" s="18" t="s">
        <v>711</v>
      </c>
      <c r="E3448" s="18" t="s">
        <v>5128</v>
      </c>
      <c r="F3448" s="2" t="s">
        <v>7987</v>
      </c>
      <c r="G3448" s="2" t="s">
        <v>7023</v>
      </c>
      <c r="H3448" s="14">
        <v>1.52</v>
      </c>
      <c r="I3448" s="2" t="s">
        <v>267</v>
      </c>
      <c r="J3448" s="2" t="s">
        <v>5144</v>
      </c>
      <c r="K3448" s="2" t="s">
        <v>1452</v>
      </c>
      <c r="L3448" s="2" t="s">
        <v>5221</v>
      </c>
      <c r="M3448" s="2" t="s">
        <v>5221</v>
      </c>
      <c r="N3448" s="2" t="s">
        <v>2317</v>
      </c>
      <c r="O3448" s="14">
        <v>9900</v>
      </c>
      <c r="P3448" s="14">
        <v>98.82</v>
      </c>
      <c r="Q3448" s="14">
        <v>116.82</v>
      </c>
      <c r="R3448" s="14">
        <v>177.57</v>
      </c>
      <c r="S3448" s="2" t="s">
        <v>1026</v>
      </c>
      <c r="T3448" s="2">
        <v>1.18</v>
      </c>
      <c r="U3448" s="2">
        <v>68.5</v>
      </c>
      <c r="V3448" s="2">
        <v>63</v>
      </c>
      <c r="W3448" s="2" t="s">
        <v>7862</v>
      </c>
      <c r="X3448" s="2" t="s">
        <v>3851</v>
      </c>
      <c r="Y3448" s="2">
        <v>15048</v>
      </c>
      <c r="Z3448" s="19" t="str">
        <f>HYPERLINK("https://ssdweb.co/ssdweb/hd/Vision360.html?d=831010475&amp;zoomslide=1&amp;z=1831010475&amp;ISCONFIRM=0","VIDEO")</f>
        <v>VIDEO</v>
      </c>
      <c r="AA3448" s="19" t="str">
        <f>HYPERLINK("https://ssdweb.co/ssdweb/CERTH/551208496.pdf","CERTI")</f>
        <v>CERTI</v>
      </c>
    </row>
    <row r="3449" spans="1:27" ht="15" x14ac:dyDescent="0.25">
      <c r="A3449" s="2">
        <v>3444</v>
      </c>
      <c r="B3449" s="39">
        <v>831010478</v>
      </c>
      <c r="C3449" s="28" t="str">
        <f>HYPERLINK("https://pld.live/RapDetail.aspx?STONELIST=831010478","DNA")</f>
        <v>DNA</v>
      </c>
      <c r="D3449" s="18" t="s">
        <v>711</v>
      </c>
      <c r="E3449" s="18" t="s">
        <v>5128</v>
      </c>
      <c r="F3449" s="2" t="s">
        <v>7987</v>
      </c>
      <c r="G3449" s="2" t="s">
        <v>7023</v>
      </c>
      <c r="H3449" s="14">
        <v>1.52</v>
      </c>
      <c r="I3449" s="2" t="s">
        <v>267</v>
      </c>
      <c r="J3449" s="2" t="s">
        <v>444</v>
      </c>
      <c r="K3449" s="2" t="s">
        <v>1452</v>
      </c>
      <c r="L3449" s="2" t="s">
        <v>5221</v>
      </c>
      <c r="M3449" s="2" t="s">
        <v>5221</v>
      </c>
      <c r="N3449" s="2" t="s">
        <v>2317</v>
      </c>
      <c r="O3449" s="14">
        <v>8100</v>
      </c>
      <c r="P3449" s="14">
        <v>98.6</v>
      </c>
      <c r="Q3449" s="14">
        <v>113.4</v>
      </c>
      <c r="R3449" s="14">
        <v>172.37</v>
      </c>
      <c r="S3449" s="2" t="s">
        <v>5111</v>
      </c>
      <c r="T3449" s="2">
        <v>1.27</v>
      </c>
      <c r="U3449" s="2">
        <v>66.7</v>
      </c>
      <c r="V3449" s="2">
        <v>59.5</v>
      </c>
      <c r="W3449" s="2" t="s">
        <v>7862</v>
      </c>
      <c r="X3449" s="2" t="s">
        <v>3851</v>
      </c>
      <c r="Y3449" s="2">
        <v>12312</v>
      </c>
      <c r="Z3449" s="19" t="str">
        <f>HYPERLINK("https://ssdweb.co/ssdweb/hd/Vision360.html?d=831010478&amp;zoomslide=1&amp;z=1831010478&amp;ISCONFIRM=0","VIDEO")</f>
        <v>VIDEO</v>
      </c>
      <c r="AA3449" s="19" t="str">
        <f>HYPERLINK("https://ssdweb.co/ssdweb/CERTH/551299006.pdf","CERTI")</f>
        <v>CERTI</v>
      </c>
    </row>
    <row r="3450" spans="1:27" ht="15" x14ac:dyDescent="0.25">
      <c r="A3450" s="2">
        <v>3445</v>
      </c>
      <c r="B3450" s="39">
        <v>926170919</v>
      </c>
      <c r="C3450" s="28" t="str">
        <f>HYPERLINK("https://pld.live/RapDetail.aspx?STONELIST=926170919","DNA")</f>
        <v>DNA</v>
      </c>
      <c r="D3450" s="18" t="s">
        <v>711</v>
      </c>
      <c r="E3450" s="18" t="s">
        <v>5128</v>
      </c>
      <c r="F3450" s="2" t="s">
        <v>7987</v>
      </c>
      <c r="G3450" s="2" t="s">
        <v>7023</v>
      </c>
      <c r="H3450" s="14">
        <v>1.52</v>
      </c>
      <c r="I3450" s="2" t="s">
        <v>4761</v>
      </c>
      <c r="J3450" s="2" t="s">
        <v>3942</v>
      </c>
      <c r="K3450" s="2" t="s">
        <v>1452</v>
      </c>
      <c r="L3450" s="2" t="s">
        <v>5221</v>
      </c>
      <c r="M3450" s="2" t="s">
        <v>5221</v>
      </c>
      <c r="N3450" s="2" t="s">
        <v>2317</v>
      </c>
      <c r="O3450" s="14">
        <v>11600</v>
      </c>
      <c r="P3450" s="14">
        <v>98.96</v>
      </c>
      <c r="Q3450" s="14">
        <v>120.64</v>
      </c>
      <c r="R3450" s="14">
        <v>183.37</v>
      </c>
      <c r="S3450" s="2" t="s">
        <v>1846</v>
      </c>
      <c r="T3450" s="2">
        <v>1.2</v>
      </c>
      <c r="U3450" s="2">
        <v>66.900000000000006</v>
      </c>
      <c r="V3450" s="2">
        <v>60</v>
      </c>
      <c r="W3450" s="2" t="s">
        <v>7862</v>
      </c>
      <c r="X3450" s="2" t="s">
        <v>3851</v>
      </c>
      <c r="Y3450" s="2">
        <v>17632</v>
      </c>
      <c r="Z3450" s="19" t="str">
        <f>HYPERLINK("https://ssdweb.co/ssdweb/hd/Vision360.html?d=926170919&amp;zoomslide=1&amp;z=1926170919&amp;ISCONFIRM=0","VIDEO")</f>
        <v>VIDEO</v>
      </c>
      <c r="AA3450" s="19" t="str">
        <f>HYPERLINK("https://ssdweb.co/ssdweb/CERTH/633490581.pdf","CERTI")</f>
        <v>CERTI</v>
      </c>
    </row>
    <row r="3451" spans="1:27" ht="15" x14ac:dyDescent="0.25">
      <c r="A3451" s="2">
        <v>3446</v>
      </c>
      <c r="B3451" s="39">
        <v>926101229</v>
      </c>
      <c r="C3451" s="28" t="str">
        <f>HYPERLINK("https://pld.live/RapDetail.aspx?STONELIST=926101229","DNA")</f>
        <v>DNA</v>
      </c>
      <c r="D3451" s="18" t="s">
        <v>711</v>
      </c>
      <c r="E3451" s="18" t="s">
        <v>5128</v>
      </c>
      <c r="F3451" s="2" t="s">
        <v>7987</v>
      </c>
      <c r="G3451" s="2" t="s">
        <v>7023</v>
      </c>
      <c r="H3451" s="14">
        <v>1.52</v>
      </c>
      <c r="I3451" s="2" t="s">
        <v>4761</v>
      </c>
      <c r="J3451" s="2" t="s">
        <v>13</v>
      </c>
      <c r="K3451" s="2" t="s">
        <v>1452</v>
      </c>
      <c r="L3451" s="2" t="s">
        <v>5221</v>
      </c>
      <c r="M3451" s="2" t="s">
        <v>5221</v>
      </c>
      <c r="N3451" s="2" t="s">
        <v>2317</v>
      </c>
      <c r="O3451" s="14">
        <v>10800</v>
      </c>
      <c r="P3451" s="14">
        <v>98.9</v>
      </c>
      <c r="Q3451" s="14">
        <v>118.8</v>
      </c>
      <c r="R3451" s="14">
        <v>180.58</v>
      </c>
      <c r="S3451" s="2" t="s">
        <v>4104</v>
      </c>
      <c r="T3451" s="2">
        <v>1.2</v>
      </c>
      <c r="U3451" s="2">
        <v>66.7</v>
      </c>
      <c r="V3451" s="2">
        <v>62</v>
      </c>
      <c r="W3451" s="2" t="s">
        <v>7862</v>
      </c>
      <c r="X3451" s="2" t="s">
        <v>3851</v>
      </c>
      <c r="Y3451" s="2">
        <v>16416</v>
      </c>
      <c r="Z3451" s="19" t="str">
        <f>HYPERLINK("https://ssdweb.co/ssdweb/hd/Vision360.html?d=926101229&amp;zoomslide=1&amp;z=1926101229&amp;ISCONFIRM=0","VIDEO")</f>
        <v>VIDEO</v>
      </c>
      <c r="AA3451" s="19" t="str">
        <f>HYPERLINK("https://ssdweb.co/ssdweb/CERTH/632421510.pdf","CERTI")</f>
        <v>CERTI</v>
      </c>
    </row>
    <row r="3452" spans="1:27" ht="15" x14ac:dyDescent="0.25">
      <c r="A3452" s="2">
        <v>3447</v>
      </c>
      <c r="B3452" s="39">
        <v>923600507</v>
      </c>
      <c r="C3452" s="28" t="str">
        <f>HYPERLINK("https://pld.live/RapDetail.aspx?STONELIST=923600507","DNA")</f>
        <v>DNA</v>
      </c>
      <c r="D3452" s="18" t="s">
        <v>711</v>
      </c>
      <c r="E3452" s="18" t="s">
        <v>5128</v>
      </c>
      <c r="F3452" s="2" t="s">
        <v>5597</v>
      </c>
      <c r="G3452" s="2" t="s">
        <v>7023</v>
      </c>
      <c r="H3452" s="14">
        <v>1.52</v>
      </c>
      <c r="I3452" s="2" t="s">
        <v>4761</v>
      </c>
      <c r="J3452" s="2" t="s">
        <v>5144</v>
      </c>
      <c r="K3452" s="2" t="s">
        <v>1452</v>
      </c>
      <c r="L3452" s="2" t="s">
        <v>5221</v>
      </c>
      <c r="M3452" s="2" t="s">
        <v>5721</v>
      </c>
      <c r="N3452" s="2" t="s">
        <v>2317</v>
      </c>
      <c r="O3452" s="14">
        <v>9300</v>
      </c>
      <c r="P3452" s="14">
        <v>97.89</v>
      </c>
      <c r="Q3452" s="14">
        <v>196.23</v>
      </c>
      <c r="R3452" s="14">
        <v>298.27</v>
      </c>
      <c r="S3452" s="2" t="s">
        <v>1759</v>
      </c>
      <c r="T3452" s="2">
        <v>1.28</v>
      </c>
      <c r="U3452" s="2">
        <v>66.900000000000006</v>
      </c>
      <c r="V3452" s="2">
        <v>61</v>
      </c>
      <c r="W3452" s="2" t="s">
        <v>7862</v>
      </c>
      <c r="X3452" s="2" t="s">
        <v>7053</v>
      </c>
      <c r="Y3452" s="2">
        <v>14136</v>
      </c>
      <c r="Z3452" s="19" t="str">
        <f>HYPERLINK("https://ssdweb.co/ssdweb/hd/Vision360.html?d=923600507&amp;zoomslide=1&amp;z=1923600507&amp;ISCONFIRM=0","VIDEO")</f>
        <v>VIDEO</v>
      </c>
      <c r="AA3452" s="19" t="str">
        <f>HYPERLINK("https://ssdweb.co/ssdweb/CERTH/6455528718.pdf","CERTI")</f>
        <v>CERTI</v>
      </c>
    </row>
    <row r="3453" spans="1:27" ht="15" x14ac:dyDescent="0.25">
      <c r="A3453" s="2">
        <v>3448</v>
      </c>
      <c r="B3453" s="39">
        <v>831010815</v>
      </c>
      <c r="C3453" s="28" t="str">
        <f>HYPERLINK("https://pld.live/RapDetail.aspx?STONELIST=831010815","DNA")</f>
        <v>DNA</v>
      </c>
      <c r="D3453" s="18" t="s">
        <v>711</v>
      </c>
      <c r="E3453" s="18" t="s">
        <v>5128</v>
      </c>
      <c r="F3453" s="2" t="s">
        <v>7987</v>
      </c>
      <c r="G3453" s="2" t="s">
        <v>7023</v>
      </c>
      <c r="H3453" s="14">
        <v>1.52</v>
      </c>
      <c r="I3453" s="2" t="s">
        <v>6587</v>
      </c>
      <c r="J3453" s="2" t="s">
        <v>13</v>
      </c>
      <c r="K3453" s="2" t="s">
        <v>1452</v>
      </c>
      <c r="L3453" s="2" t="s">
        <v>5221</v>
      </c>
      <c r="M3453" s="2" t="s">
        <v>5221</v>
      </c>
      <c r="N3453" s="2" t="s">
        <v>2317</v>
      </c>
      <c r="O3453" s="14">
        <v>9300</v>
      </c>
      <c r="P3453" s="14">
        <v>98.82</v>
      </c>
      <c r="Q3453" s="14">
        <v>109.74</v>
      </c>
      <c r="R3453" s="14">
        <v>166.8</v>
      </c>
      <c r="S3453" s="2" t="s">
        <v>6334</v>
      </c>
      <c r="T3453" s="2">
        <v>1.34</v>
      </c>
      <c r="U3453" s="2">
        <v>63.7</v>
      </c>
      <c r="V3453" s="2">
        <v>62</v>
      </c>
      <c r="W3453" s="2" t="s">
        <v>4336</v>
      </c>
      <c r="X3453" s="2" t="s">
        <v>3851</v>
      </c>
      <c r="Y3453" s="2">
        <v>14136</v>
      </c>
      <c r="Z3453" s="19" t="str">
        <f>HYPERLINK("https://ssdweb.co/ssdweb/hd/Vision360.html?d=831010815&amp;zoomslide=1&amp;z=1831010815&amp;ISCONFIRM=0","VIDEO")</f>
        <v>VIDEO</v>
      </c>
      <c r="AA3453" s="19" t="str">
        <f>HYPERLINK("https://ssdweb.co/ssdweb/CERTH/597388374.pdf","CERTI")</f>
        <v>CERTI</v>
      </c>
    </row>
    <row r="3454" spans="1:27" ht="15" x14ac:dyDescent="0.25">
      <c r="A3454" s="2">
        <v>3449</v>
      </c>
      <c r="B3454" s="39">
        <v>923460319</v>
      </c>
      <c r="C3454" s="28" t="str">
        <f>HYPERLINK("https://pld.live/RapDetail.aspx?STONELIST=923460319","DNA")</f>
        <v>DNA</v>
      </c>
      <c r="D3454" s="18" t="s">
        <v>711</v>
      </c>
      <c r="E3454" s="18" t="s">
        <v>2186</v>
      </c>
      <c r="F3454" s="2" t="s">
        <v>5597</v>
      </c>
      <c r="G3454" s="2" t="s">
        <v>7023</v>
      </c>
      <c r="H3454" s="14">
        <v>1.52</v>
      </c>
      <c r="I3454" s="2" t="s">
        <v>1505</v>
      </c>
      <c r="J3454" s="2" t="s">
        <v>3942</v>
      </c>
      <c r="K3454" s="2" t="s">
        <v>1452</v>
      </c>
      <c r="L3454" s="2" t="s">
        <v>5221</v>
      </c>
      <c r="M3454" s="2" t="s">
        <v>5721</v>
      </c>
      <c r="N3454" s="2" t="s">
        <v>2317</v>
      </c>
      <c r="O3454" s="14">
        <v>8400</v>
      </c>
      <c r="P3454" s="14">
        <v>97.77</v>
      </c>
      <c r="Q3454" s="14">
        <v>187.32</v>
      </c>
      <c r="R3454" s="14">
        <v>284.73</v>
      </c>
      <c r="S3454" s="2" t="s">
        <v>965</v>
      </c>
      <c r="T3454" s="2">
        <v>1.47</v>
      </c>
      <c r="U3454" s="2">
        <v>68.099999999999994</v>
      </c>
      <c r="V3454" s="2">
        <v>57</v>
      </c>
      <c r="W3454" s="2" t="s">
        <v>7862</v>
      </c>
      <c r="X3454" s="2" t="s">
        <v>7053</v>
      </c>
      <c r="Y3454" s="2">
        <v>12768</v>
      </c>
      <c r="Z3454" s="19" t="str">
        <f>HYPERLINK("https://ssdweb.co/ssdweb/hd/Vision360.html?d=923460319&amp;zoomslide=1&amp;z=1923460319&amp;ISCONFIRM=0","VIDEO")</f>
        <v>VIDEO</v>
      </c>
      <c r="AA3454" s="19" t="str">
        <f>HYPERLINK("https://ssdweb.co/ssdweb/CERTH/6442867863.pdf","CERTI")</f>
        <v>CERTI</v>
      </c>
    </row>
    <row r="3455" spans="1:27" ht="15" x14ac:dyDescent="0.25">
      <c r="A3455" s="2">
        <v>3450</v>
      </c>
      <c r="B3455" s="39">
        <v>926171466</v>
      </c>
      <c r="C3455" s="28" t="str">
        <f>HYPERLINK("https://pld.live/RapDetail.aspx?STONELIST=926171466","DNA")</f>
        <v>DNA</v>
      </c>
      <c r="D3455" s="18" t="s">
        <v>711</v>
      </c>
      <c r="E3455" s="18" t="s">
        <v>5128</v>
      </c>
      <c r="F3455" s="2" t="s">
        <v>7987</v>
      </c>
      <c r="G3455" s="2" t="s">
        <v>7023</v>
      </c>
      <c r="H3455" s="14">
        <v>1.51</v>
      </c>
      <c r="I3455" s="2" t="s">
        <v>267</v>
      </c>
      <c r="J3455" s="2" t="s">
        <v>6555</v>
      </c>
      <c r="K3455" s="2" t="s">
        <v>1452</v>
      </c>
      <c r="L3455" s="2" t="s">
        <v>5221</v>
      </c>
      <c r="M3455" s="2" t="s">
        <v>5221</v>
      </c>
      <c r="N3455" s="2" t="s">
        <v>2317</v>
      </c>
      <c r="O3455" s="14">
        <v>13200</v>
      </c>
      <c r="P3455" s="14">
        <v>98.77</v>
      </c>
      <c r="Q3455" s="14">
        <v>162.36000000000001</v>
      </c>
      <c r="R3455" s="14">
        <v>245.16</v>
      </c>
      <c r="S3455" s="2" t="s">
        <v>3270</v>
      </c>
      <c r="T3455" s="2">
        <v>1.2</v>
      </c>
      <c r="U3455" s="2">
        <v>67.3</v>
      </c>
      <c r="V3455" s="2">
        <v>60</v>
      </c>
      <c r="W3455" s="2" t="s">
        <v>7862</v>
      </c>
      <c r="X3455" s="2" t="s">
        <v>3851</v>
      </c>
      <c r="Y3455" s="2">
        <v>19932</v>
      </c>
      <c r="Z3455" s="19" t="str">
        <f>HYPERLINK("https://ssdweb.co/ssdweb/hd/Vision360.html?d=926171466&amp;zoomslide=1&amp;z=1926171466&amp;ISCONFIRM=0","VIDEO")</f>
        <v>VIDEO</v>
      </c>
      <c r="AA3455" s="19" t="str">
        <f>HYPERLINK("https://ssdweb.co/ssdweb/CERTH/634431515.pdf","CERTI")</f>
        <v>CERTI</v>
      </c>
    </row>
    <row r="3456" spans="1:27" ht="15" x14ac:dyDescent="0.25">
      <c r="A3456" s="2">
        <v>3451</v>
      </c>
      <c r="B3456" s="39">
        <v>922190084</v>
      </c>
      <c r="C3456" s="28" t="str">
        <f>HYPERLINK("https://pld.live/RapDetail.aspx?STONELIST=922190084","DNA")</f>
        <v>DNA</v>
      </c>
      <c r="D3456" s="18" t="s">
        <v>711</v>
      </c>
      <c r="E3456" s="18" t="s">
        <v>5128</v>
      </c>
      <c r="F3456" s="2" t="s">
        <v>5597</v>
      </c>
      <c r="G3456" s="2" t="s">
        <v>7023</v>
      </c>
      <c r="H3456" s="14">
        <v>1.51</v>
      </c>
      <c r="I3456" s="2" t="s">
        <v>267</v>
      </c>
      <c r="J3456" s="2" t="s">
        <v>444</v>
      </c>
      <c r="K3456" s="2" t="s">
        <v>1452</v>
      </c>
      <c r="L3456" s="2" t="s">
        <v>5221</v>
      </c>
      <c r="M3456" s="2" t="s">
        <v>5221</v>
      </c>
      <c r="N3456" s="2" t="s">
        <v>2317</v>
      </c>
      <c r="O3456" s="14">
        <v>8100</v>
      </c>
      <c r="P3456" s="14">
        <v>97.88</v>
      </c>
      <c r="Q3456" s="14">
        <v>171.72</v>
      </c>
      <c r="R3456" s="14">
        <v>259.3</v>
      </c>
      <c r="S3456" s="2" t="s">
        <v>116</v>
      </c>
      <c r="T3456" s="2">
        <v>1.1499999999999999</v>
      </c>
      <c r="U3456" s="2">
        <v>68.599999999999994</v>
      </c>
      <c r="V3456" s="2">
        <v>62</v>
      </c>
      <c r="W3456" s="2" t="s">
        <v>7862</v>
      </c>
      <c r="X3456" s="2" t="s">
        <v>7053</v>
      </c>
      <c r="Y3456" s="2">
        <v>12231</v>
      </c>
      <c r="Z3456" s="19" t="str">
        <f>HYPERLINK("https://ssdweb.co/ssdweb/hd/Vision360.html?d=922190084&amp;zoomslide=1&amp;z=1922190084&amp;ISCONFIRM=0","VIDEO")</f>
        <v>VIDEO</v>
      </c>
      <c r="AA3456" s="19" t="str">
        <f>HYPERLINK("https://ssdweb.co/ssdweb/CERTH/6425283095.pdf","CERTI")</f>
        <v>CERTI</v>
      </c>
    </row>
    <row r="3457" spans="1:27" ht="15" x14ac:dyDescent="0.25">
      <c r="A3457" s="2">
        <v>3452</v>
      </c>
      <c r="B3457" s="39">
        <v>926171073</v>
      </c>
      <c r="C3457" s="28" t="str">
        <f>HYPERLINK("https://pld.live/RapDetail.aspx?STONELIST=926171073","DNA")</f>
        <v>DNA</v>
      </c>
      <c r="D3457" s="18" t="s">
        <v>711</v>
      </c>
      <c r="E3457" s="18" t="s">
        <v>5128</v>
      </c>
      <c r="F3457" s="2" t="s">
        <v>7987</v>
      </c>
      <c r="G3457" s="2" t="s">
        <v>7023</v>
      </c>
      <c r="H3457" s="14">
        <v>1.51</v>
      </c>
      <c r="I3457" s="2" t="s">
        <v>4761</v>
      </c>
      <c r="J3457" s="2" t="s">
        <v>6555</v>
      </c>
      <c r="K3457" s="2" t="s">
        <v>1452</v>
      </c>
      <c r="L3457" s="2" t="s">
        <v>5221</v>
      </c>
      <c r="M3457" s="2" t="s">
        <v>5221</v>
      </c>
      <c r="N3457" s="2" t="s">
        <v>2317</v>
      </c>
      <c r="O3457" s="14">
        <v>12400</v>
      </c>
      <c r="P3457" s="14">
        <v>98.83</v>
      </c>
      <c r="Q3457" s="14">
        <v>145.08000000000001</v>
      </c>
      <c r="R3457" s="14">
        <v>219.07</v>
      </c>
      <c r="S3457" s="2" t="s">
        <v>1214</v>
      </c>
      <c r="T3457" s="2">
        <v>1.28</v>
      </c>
      <c r="U3457" s="2">
        <v>64.3</v>
      </c>
      <c r="V3457" s="2">
        <v>62</v>
      </c>
      <c r="W3457" s="2" t="s">
        <v>7862</v>
      </c>
      <c r="X3457" s="2" t="s">
        <v>3851</v>
      </c>
      <c r="Y3457" s="2">
        <v>18724</v>
      </c>
      <c r="Z3457" s="19" t="str">
        <f>HYPERLINK("https://ssdweb.co/ssdweb/hd/Vision360.html?d=926171073&amp;zoomslide=1&amp;z=1926171073&amp;ISCONFIRM=0","VIDEO")</f>
        <v>VIDEO</v>
      </c>
      <c r="AA3457" s="19" t="str">
        <f>HYPERLINK("https://ssdweb.co/ssdweb/CERTH/633432001.pdf","CERTI")</f>
        <v>CERTI</v>
      </c>
    </row>
    <row r="3458" spans="1:27" ht="15" x14ac:dyDescent="0.25">
      <c r="A3458" s="2">
        <v>3453</v>
      </c>
      <c r="B3458" s="39">
        <v>924390436</v>
      </c>
      <c r="C3458" s="28" t="str">
        <f>HYPERLINK("https://pld.live/RapDetail.aspx?STONELIST=924390436","DNA")</f>
        <v>DNA</v>
      </c>
      <c r="D3458" s="18" t="s">
        <v>711</v>
      </c>
      <c r="E3458" s="18" t="s">
        <v>5128</v>
      </c>
      <c r="F3458" s="2" t="s">
        <v>7987</v>
      </c>
      <c r="G3458" s="2" t="s">
        <v>7023</v>
      </c>
      <c r="H3458" s="14">
        <v>1.51</v>
      </c>
      <c r="I3458" s="2" t="s">
        <v>4761</v>
      </c>
      <c r="J3458" s="2" t="s">
        <v>3942</v>
      </c>
      <c r="K3458" s="2" t="s">
        <v>1452</v>
      </c>
      <c r="L3458" s="2" t="s">
        <v>5221</v>
      </c>
      <c r="M3458" s="2" t="s">
        <v>5221</v>
      </c>
      <c r="N3458" s="2" t="s">
        <v>2317</v>
      </c>
      <c r="O3458" s="14">
        <v>11600</v>
      </c>
      <c r="P3458" s="14">
        <v>98.97</v>
      </c>
      <c r="Q3458" s="14">
        <v>119.48</v>
      </c>
      <c r="R3458" s="14">
        <v>180.41</v>
      </c>
      <c r="S3458" s="2" t="s">
        <v>6453</v>
      </c>
      <c r="T3458" s="2">
        <v>1.25</v>
      </c>
      <c r="U3458" s="2">
        <v>65.3</v>
      </c>
      <c r="V3458" s="2">
        <v>60</v>
      </c>
      <c r="W3458" s="2" t="s">
        <v>7862</v>
      </c>
      <c r="X3458" s="2" t="s">
        <v>3851</v>
      </c>
      <c r="Y3458" s="2">
        <v>17516</v>
      </c>
      <c r="Z3458" s="19" t="str">
        <f>HYPERLINK("https://ssdweb.co/ssdweb/hd/Vision360.html?d=924390436&amp;zoomslide=1&amp;z=1924390436&amp;ISCONFIRM=0","VIDEO")</f>
        <v>VIDEO</v>
      </c>
      <c r="AA3458" s="19" t="str">
        <f>HYPERLINK("https://ssdweb.co/ssdweb/CERTH/592323432.pdf","CERTI")</f>
        <v>CERTI</v>
      </c>
    </row>
    <row r="3459" spans="1:27" ht="15" x14ac:dyDescent="0.25">
      <c r="A3459" s="2">
        <v>3454</v>
      </c>
      <c r="B3459" s="39">
        <v>831010757</v>
      </c>
      <c r="C3459" s="28" t="str">
        <f>HYPERLINK("https://pld.live/RapDetail.aspx?STONELIST=831010757","DNA")</f>
        <v>DNA</v>
      </c>
      <c r="D3459" s="18" t="s">
        <v>711</v>
      </c>
      <c r="E3459" s="18" t="s">
        <v>5128</v>
      </c>
      <c r="F3459" s="2" t="s">
        <v>7987</v>
      </c>
      <c r="G3459" s="2" t="s">
        <v>7023</v>
      </c>
      <c r="H3459" s="14">
        <v>1.5</v>
      </c>
      <c r="I3459" s="2" t="s">
        <v>267</v>
      </c>
      <c r="J3459" s="2" t="s">
        <v>6555</v>
      </c>
      <c r="K3459" s="2" t="s">
        <v>1452</v>
      </c>
      <c r="L3459" s="2" t="s">
        <v>5221</v>
      </c>
      <c r="M3459" s="2" t="s">
        <v>5221</v>
      </c>
      <c r="N3459" s="2" t="s">
        <v>2317</v>
      </c>
      <c r="O3459" s="14">
        <v>13200</v>
      </c>
      <c r="P3459" s="14">
        <v>98.79</v>
      </c>
      <c r="Q3459" s="14">
        <v>159.72</v>
      </c>
      <c r="R3459" s="14">
        <v>239.58</v>
      </c>
      <c r="S3459" s="2" t="s">
        <v>3333</v>
      </c>
      <c r="T3459" s="2">
        <v>1.21</v>
      </c>
      <c r="U3459" s="2">
        <v>66.599999999999994</v>
      </c>
      <c r="V3459" s="2">
        <v>60</v>
      </c>
      <c r="W3459" s="2" t="s">
        <v>7862</v>
      </c>
      <c r="X3459" s="2" t="s">
        <v>7053</v>
      </c>
      <c r="Y3459" s="2">
        <v>19800</v>
      </c>
      <c r="Z3459" s="19" t="str">
        <f>HYPERLINK("https://ssdweb.co/ssdweb/hd/Vision360.html?d=831010757&amp;zoomslide=1&amp;z=1831010757&amp;ISCONFIRM=0","VIDEO")</f>
        <v>VIDEO</v>
      </c>
      <c r="AA3459" s="19" t="str">
        <f>HYPERLINK("https://ssdweb.co/ssdweb/CERTH/620449022.pdf","CERTI")</f>
        <v>CERTI</v>
      </c>
    </row>
    <row r="3460" spans="1:27" ht="15" x14ac:dyDescent="0.25">
      <c r="A3460" s="2">
        <v>3455</v>
      </c>
      <c r="B3460" s="39">
        <v>925542696</v>
      </c>
      <c r="C3460" s="28" t="str">
        <f>HYPERLINK("https://pld.live/RapDetail.aspx?STONELIST=925542696","DNA")</f>
        <v>DNA</v>
      </c>
      <c r="D3460" s="18" t="s">
        <v>711</v>
      </c>
      <c r="E3460" s="18" t="s">
        <v>5128</v>
      </c>
      <c r="F3460" s="2" t="s">
        <v>7987</v>
      </c>
      <c r="G3460" s="2" t="s">
        <v>7023</v>
      </c>
      <c r="H3460" s="14">
        <v>1.5</v>
      </c>
      <c r="I3460" s="2" t="s">
        <v>267</v>
      </c>
      <c r="J3460" s="2" t="s">
        <v>13</v>
      </c>
      <c r="K3460" s="2" t="s">
        <v>1452</v>
      </c>
      <c r="L3460" s="2" t="s">
        <v>5221</v>
      </c>
      <c r="M3460" s="2" t="s">
        <v>5221</v>
      </c>
      <c r="N3460" s="2" t="s">
        <v>2317</v>
      </c>
      <c r="O3460" s="14">
        <v>11600</v>
      </c>
      <c r="P3460" s="14">
        <v>98.97</v>
      </c>
      <c r="Q3460" s="14">
        <v>119.48</v>
      </c>
      <c r="R3460" s="14">
        <v>179.22</v>
      </c>
      <c r="S3460" s="2" t="s">
        <v>6249</v>
      </c>
      <c r="T3460" s="2">
        <v>1.2</v>
      </c>
      <c r="U3460" s="2">
        <v>67.599999999999994</v>
      </c>
      <c r="V3460" s="2">
        <v>56</v>
      </c>
      <c r="W3460" s="2" t="s">
        <v>7862</v>
      </c>
      <c r="X3460" s="2" t="s">
        <v>3851</v>
      </c>
      <c r="Y3460" s="2">
        <v>17400</v>
      </c>
      <c r="Z3460" s="19" t="str">
        <f>HYPERLINK("https://ssdweb.co/ssdweb/hd/Vision360.html?d=925542696&amp;zoomslide=1&amp;z=1925542696&amp;ISCONFIRM=0","VIDEO")</f>
        <v>VIDEO</v>
      </c>
      <c r="AA3460" s="19" t="str">
        <f>HYPERLINK("https://ssdweb.co/ssdweb/CERTH/620459777.pdf","CERTI")</f>
        <v>CERTI</v>
      </c>
    </row>
    <row r="3461" spans="1:27" ht="15" x14ac:dyDescent="0.25">
      <c r="A3461" s="2">
        <v>3456</v>
      </c>
      <c r="B3461" s="39">
        <v>925621937</v>
      </c>
      <c r="C3461" s="28" t="str">
        <f>HYPERLINK("https://pld.live/RapDetail.aspx?STONELIST=925621937","DNA")</f>
        <v>DNA</v>
      </c>
      <c r="D3461" s="18" t="s">
        <v>711</v>
      </c>
      <c r="E3461" s="18" t="s">
        <v>5128</v>
      </c>
      <c r="F3461" s="2" t="s">
        <v>7987</v>
      </c>
      <c r="G3461" s="2" t="s">
        <v>7023</v>
      </c>
      <c r="H3461" s="14">
        <v>1.5</v>
      </c>
      <c r="I3461" s="2" t="s">
        <v>267</v>
      </c>
      <c r="J3461" s="2" t="s">
        <v>13</v>
      </c>
      <c r="K3461" s="2" t="s">
        <v>1452</v>
      </c>
      <c r="L3461" s="2" t="s">
        <v>5221</v>
      </c>
      <c r="M3461" s="2" t="s">
        <v>5221</v>
      </c>
      <c r="N3461" s="2" t="s">
        <v>2317</v>
      </c>
      <c r="O3461" s="14">
        <v>11600</v>
      </c>
      <c r="P3461" s="14">
        <v>98.97</v>
      </c>
      <c r="Q3461" s="14">
        <v>119.48</v>
      </c>
      <c r="R3461" s="14">
        <v>179.22</v>
      </c>
      <c r="S3461" s="2" t="s">
        <v>2431</v>
      </c>
      <c r="T3461" s="2">
        <v>1.2</v>
      </c>
      <c r="U3461" s="2">
        <v>67.099999999999994</v>
      </c>
      <c r="V3461" s="2">
        <v>61</v>
      </c>
      <c r="W3461" s="2" t="s">
        <v>7862</v>
      </c>
      <c r="X3461" s="2" t="s">
        <v>7053</v>
      </c>
      <c r="Y3461" s="2">
        <v>17400</v>
      </c>
      <c r="Z3461" s="19" t="str">
        <f>HYPERLINK("https://ssdweb.co/ssdweb/hd/Vision360.html?d=925621937&amp;zoomslide=1&amp;z=1925621937&amp;ISCONFIRM=0","VIDEO")</f>
        <v>VIDEO</v>
      </c>
      <c r="AA3461" s="19" t="str">
        <f>HYPERLINK("https://ssdweb.co/ssdweb/CERTH/623449372.pdf","CERTI")</f>
        <v>CERTI</v>
      </c>
    </row>
    <row r="3462" spans="1:27" ht="15" x14ac:dyDescent="0.25">
      <c r="A3462" s="2">
        <v>3457</v>
      </c>
      <c r="B3462" s="39">
        <v>925971226</v>
      </c>
      <c r="C3462" s="28" t="str">
        <f>HYPERLINK("https://pld.live/RapDetail.aspx?STONELIST=925971226","DNA")</f>
        <v>DNA</v>
      </c>
      <c r="D3462" s="18" t="s">
        <v>711</v>
      </c>
      <c r="E3462" s="18" t="s">
        <v>5128</v>
      </c>
      <c r="F3462" s="2" t="s">
        <v>7987</v>
      </c>
      <c r="G3462" s="2" t="s">
        <v>7023</v>
      </c>
      <c r="H3462" s="14">
        <v>1.5</v>
      </c>
      <c r="I3462" s="2" t="s">
        <v>267</v>
      </c>
      <c r="J3462" s="2" t="s">
        <v>13</v>
      </c>
      <c r="K3462" s="2" t="s">
        <v>1452</v>
      </c>
      <c r="L3462" s="2" t="s">
        <v>5221</v>
      </c>
      <c r="M3462" s="2" t="s">
        <v>5221</v>
      </c>
      <c r="N3462" s="2" t="s">
        <v>2317</v>
      </c>
      <c r="O3462" s="14">
        <v>11600</v>
      </c>
      <c r="P3462" s="14">
        <v>98.96</v>
      </c>
      <c r="Q3462" s="14">
        <v>120.64</v>
      </c>
      <c r="R3462" s="14">
        <v>180.96</v>
      </c>
      <c r="S3462" s="2" t="s">
        <v>7296</v>
      </c>
      <c r="T3462" s="2">
        <v>1.2</v>
      </c>
      <c r="U3462" s="2">
        <v>64.5</v>
      </c>
      <c r="V3462" s="2">
        <v>62</v>
      </c>
      <c r="W3462" s="2" t="s">
        <v>7862</v>
      </c>
      <c r="X3462" s="2" t="s">
        <v>3851</v>
      </c>
      <c r="Y3462" s="2">
        <v>17400</v>
      </c>
      <c r="Z3462" s="19" t="str">
        <f>HYPERLINK("https://ssdweb.co/ssdweb/hd/Vision360.html?d=925971226&amp;zoomslide=1&amp;z=1925971226&amp;ISCONFIRM=0","VIDEO")</f>
        <v>VIDEO</v>
      </c>
      <c r="AA3462" s="19" t="str">
        <f>HYPERLINK("https://ssdweb.co/ssdweb/CERTH/629478928.pdf","CERTI")</f>
        <v>CERTI</v>
      </c>
    </row>
    <row r="3463" spans="1:27" ht="15" x14ac:dyDescent="0.25">
      <c r="A3463" s="2">
        <v>3458</v>
      </c>
      <c r="B3463" s="39">
        <v>925160030</v>
      </c>
      <c r="C3463" s="28" t="str">
        <f>HYPERLINK("https://pld.live/RapDetail.aspx?STONELIST=925160030","DNA")</f>
        <v>DNA</v>
      </c>
      <c r="D3463" s="18" t="s">
        <v>711</v>
      </c>
      <c r="E3463" s="18" t="s">
        <v>5128</v>
      </c>
      <c r="F3463" s="2" t="s">
        <v>7987</v>
      </c>
      <c r="G3463" s="2" t="s">
        <v>7023</v>
      </c>
      <c r="H3463" s="14">
        <v>1.5</v>
      </c>
      <c r="I3463" s="2" t="s">
        <v>267</v>
      </c>
      <c r="J3463" s="2" t="s">
        <v>5144</v>
      </c>
      <c r="K3463" s="2" t="s">
        <v>1452</v>
      </c>
      <c r="L3463" s="2" t="s">
        <v>5221</v>
      </c>
      <c r="M3463" s="2" t="s">
        <v>5221</v>
      </c>
      <c r="N3463" s="2" t="s">
        <v>2317</v>
      </c>
      <c r="O3463" s="14">
        <v>9900</v>
      </c>
      <c r="P3463" s="14">
        <v>98.82</v>
      </c>
      <c r="Q3463" s="14">
        <v>116.82</v>
      </c>
      <c r="R3463" s="14">
        <v>175.23</v>
      </c>
      <c r="S3463" s="2" t="s">
        <v>5210</v>
      </c>
      <c r="T3463" s="2">
        <v>1.3</v>
      </c>
      <c r="U3463" s="2">
        <v>65.5</v>
      </c>
      <c r="V3463" s="2">
        <v>61</v>
      </c>
      <c r="W3463" s="2" t="s">
        <v>7862</v>
      </c>
      <c r="X3463" s="2" t="s">
        <v>3851</v>
      </c>
      <c r="Y3463" s="2">
        <v>14850</v>
      </c>
      <c r="Z3463" s="19" t="str">
        <f>HYPERLINK("https://ssdweb.co/ssdweb/hd/Vision360.html?d=925160030&amp;zoomslide=1&amp;z=1925160030&amp;ISCONFIRM=0","VIDEO")</f>
        <v>VIDEO</v>
      </c>
      <c r="AA3463" s="19" t="str">
        <f>HYPERLINK("https://ssdweb.co/ssdweb/CERTH/619453478.pdf","CERTI")</f>
        <v>CERTI</v>
      </c>
    </row>
    <row r="3464" spans="1:27" ht="15" x14ac:dyDescent="0.25">
      <c r="A3464" s="2">
        <v>3459</v>
      </c>
      <c r="B3464" s="39">
        <v>923500229</v>
      </c>
      <c r="C3464" s="28" t="str">
        <f>HYPERLINK("https://pld.live/RapDetail.aspx?STONELIST=923500229","DNA")</f>
        <v>DNA</v>
      </c>
      <c r="D3464" s="18" t="s">
        <v>711</v>
      </c>
      <c r="E3464" s="18" t="s">
        <v>5128</v>
      </c>
      <c r="F3464" s="2" t="s">
        <v>5597</v>
      </c>
      <c r="G3464" s="2" t="s">
        <v>7023</v>
      </c>
      <c r="H3464" s="14">
        <v>1.5</v>
      </c>
      <c r="I3464" s="2" t="s">
        <v>267</v>
      </c>
      <c r="J3464" s="2" t="s">
        <v>444</v>
      </c>
      <c r="K3464" s="2" t="s">
        <v>1452</v>
      </c>
      <c r="L3464" s="2" t="s">
        <v>5221</v>
      </c>
      <c r="M3464" s="2" t="s">
        <v>5221</v>
      </c>
      <c r="N3464" s="2" t="s">
        <v>2317</v>
      </c>
      <c r="O3464" s="14">
        <v>8100</v>
      </c>
      <c r="P3464" s="14">
        <v>97.88</v>
      </c>
      <c r="Q3464" s="14">
        <v>171.72</v>
      </c>
      <c r="R3464" s="14">
        <v>257.58</v>
      </c>
      <c r="S3464" s="2" t="s">
        <v>4168</v>
      </c>
      <c r="T3464" s="2">
        <v>1.19</v>
      </c>
      <c r="U3464" s="2">
        <v>66.2</v>
      </c>
      <c r="V3464" s="2">
        <v>65</v>
      </c>
      <c r="W3464" s="2" t="s">
        <v>7862</v>
      </c>
      <c r="X3464" s="2" t="s">
        <v>7053</v>
      </c>
      <c r="Y3464" s="2">
        <v>12150</v>
      </c>
      <c r="Z3464" s="19" t="str">
        <f>HYPERLINK("https://ssdweb.co/ssdweb/hd/Vision360.html?d=923500229&amp;zoomslide=1&amp;z=1923500229&amp;ISCONFIRM=0","VIDEO")</f>
        <v>VIDEO</v>
      </c>
      <c r="AA3464" s="19" t="str">
        <f>HYPERLINK("https://ssdweb.co/ssdweb/CERTH/2447867887.pdf","CERTI")</f>
        <v>CERTI</v>
      </c>
    </row>
    <row r="3465" spans="1:27" ht="15" x14ac:dyDescent="0.25">
      <c r="A3465" s="2">
        <v>3460</v>
      </c>
      <c r="B3465" s="39">
        <v>923600491</v>
      </c>
      <c r="C3465" s="28" t="str">
        <f>HYPERLINK("https://pld.live/RapDetail.aspx?STONELIST=923600491","DNA")</f>
        <v>DNA</v>
      </c>
      <c r="D3465" s="18" t="s">
        <v>711</v>
      </c>
      <c r="E3465" s="18" t="s">
        <v>5128</v>
      </c>
      <c r="F3465" s="2" t="s">
        <v>7987</v>
      </c>
      <c r="G3465" s="2" t="s">
        <v>7023</v>
      </c>
      <c r="H3465" s="14">
        <v>1.5</v>
      </c>
      <c r="I3465" s="2" t="s">
        <v>267</v>
      </c>
      <c r="J3465" s="2" t="s">
        <v>444</v>
      </c>
      <c r="K3465" s="2" t="s">
        <v>1452</v>
      </c>
      <c r="L3465" s="2" t="s">
        <v>5221</v>
      </c>
      <c r="M3465" s="2" t="s">
        <v>5221</v>
      </c>
      <c r="N3465" s="2" t="s">
        <v>2317</v>
      </c>
      <c r="O3465" s="14">
        <v>8100</v>
      </c>
      <c r="P3465" s="14">
        <v>98.6</v>
      </c>
      <c r="Q3465" s="14">
        <v>113.4</v>
      </c>
      <c r="R3465" s="14">
        <v>170.1</v>
      </c>
      <c r="S3465" s="2" t="s">
        <v>7959</v>
      </c>
      <c r="T3465" s="2">
        <v>1.18</v>
      </c>
      <c r="U3465" s="2">
        <v>68.599999999999994</v>
      </c>
      <c r="V3465" s="2">
        <v>61</v>
      </c>
      <c r="W3465" s="2" t="s">
        <v>7862</v>
      </c>
      <c r="X3465" s="2" t="s">
        <v>3851</v>
      </c>
      <c r="Y3465" s="2">
        <v>12150</v>
      </c>
      <c r="Z3465" s="19" t="str">
        <f>HYPERLINK("https://ssdweb.co/ssdweb/hd/Vision360.html?d=923600491&amp;zoomslide=1&amp;z=1923600491&amp;ISCONFIRM=0","VIDEO")</f>
        <v>VIDEO</v>
      </c>
      <c r="AA3465" s="19" t="str">
        <f>HYPERLINK("https://ssdweb.co/ssdweb/CERTH/560233908.pdf","CERTI")</f>
        <v>CERTI</v>
      </c>
    </row>
    <row r="3466" spans="1:27" ht="15" x14ac:dyDescent="0.25">
      <c r="A3466" s="2">
        <v>3461</v>
      </c>
      <c r="B3466" s="39">
        <v>831010783</v>
      </c>
      <c r="C3466" s="28" t="str">
        <f>HYPERLINK("https://pld.live/RapDetail.aspx?STONELIST=831010783","DNA")</f>
        <v>DNA</v>
      </c>
      <c r="D3466" s="18" t="s">
        <v>711</v>
      </c>
      <c r="E3466" s="18" t="s">
        <v>5128</v>
      </c>
      <c r="F3466" s="2" t="s">
        <v>7987</v>
      </c>
      <c r="G3466" s="2" t="s">
        <v>7023</v>
      </c>
      <c r="H3466" s="14">
        <v>1.5</v>
      </c>
      <c r="I3466" s="2" t="s">
        <v>4761</v>
      </c>
      <c r="J3466" s="2" t="s">
        <v>5144</v>
      </c>
      <c r="K3466" s="2" t="s">
        <v>1452</v>
      </c>
      <c r="L3466" s="2" t="s">
        <v>5221</v>
      </c>
      <c r="M3466" s="2" t="s">
        <v>5221</v>
      </c>
      <c r="N3466" s="2" t="s">
        <v>2317</v>
      </c>
      <c r="O3466" s="14">
        <v>9300</v>
      </c>
      <c r="P3466" s="14">
        <v>98.78</v>
      </c>
      <c r="Q3466" s="14">
        <v>113.46</v>
      </c>
      <c r="R3466" s="14">
        <v>170.19</v>
      </c>
      <c r="S3466" s="2" t="s">
        <v>4034</v>
      </c>
      <c r="T3466" s="2">
        <v>1.33</v>
      </c>
      <c r="U3466" s="2">
        <v>63</v>
      </c>
      <c r="V3466" s="2">
        <v>59</v>
      </c>
      <c r="W3466" s="2" t="s">
        <v>7862</v>
      </c>
      <c r="X3466" s="2" t="s">
        <v>3851</v>
      </c>
      <c r="Y3466" s="2">
        <v>13950</v>
      </c>
      <c r="Z3466" s="19" t="str">
        <f>HYPERLINK("https://ssdweb.co/ssdweb/hd/Vision360.html?d=831010783&amp;zoomslide=1&amp;z=1831010783&amp;ISCONFIRM=0","VIDEO")</f>
        <v>VIDEO</v>
      </c>
      <c r="AA3466" s="19" t="str">
        <f>HYPERLINK("https://ssdweb.co/ssdweb/CERTH/619453470.pdf","CERTI")</f>
        <v>CERTI</v>
      </c>
    </row>
    <row r="3467" spans="1:27" ht="15" x14ac:dyDescent="0.25">
      <c r="A3467" s="2">
        <v>3462</v>
      </c>
      <c r="B3467" s="39">
        <v>926200773</v>
      </c>
      <c r="C3467" s="28" t="str">
        <f>HYPERLINK("https://pld.live/RapDetail.aspx?STONELIST=926200773","DNA")</f>
        <v>DNA</v>
      </c>
      <c r="D3467" s="18" t="s">
        <v>711</v>
      </c>
      <c r="E3467" s="18" t="s">
        <v>5128</v>
      </c>
      <c r="F3467" s="2" t="s">
        <v>7987</v>
      </c>
      <c r="G3467" s="2" t="s">
        <v>7023</v>
      </c>
      <c r="H3467" s="14">
        <v>1.5</v>
      </c>
      <c r="I3467" s="2" t="s">
        <v>4699</v>
      </c>
      <c r="J3467" s="2" t="s">
        <v>3942</v>
      </c>
      <c r="K3467" s="2" t="s">
        <v>1452</v>
      </c>
      <c r="L3467" s="2" t="s">
        <v>5221</v>
      </c>
      <c r="M3467" s="2" t="s">
        <v>5221</v>
      </c>
      <c r="N3467" s="2" t="s">
        <v>2317</v>
      </c>
      <c r="O3467" s="14">
        <v>10800</v>
      </c>
      <c r="P3467" s="14">
        <v>98.9</v>
      </c>
      <c r="Q3467" s="14">
        <v>118.8</v>
      </c>
      <c r="R3467" s="14">
        <v>178.2</v>
      </c>
      <c r="S3467" s="2" t="s">
        <v>4609</v>
      </c>
      <c r="T3467" s="2">
        <v>1.22</v>
      </c>
      <c r="U3467" s="2">
        <v>67.400000000000006</v>
      </c>
      <c r="V3467" s="2">
        <v>60</v>
      </c>
      <c r="W3467" s="2" t="s">
        <v>7862</v>
      </c>
      <c r="X3467" s="2" t="s">
        <v>3851</v>
      </c>
      <c r="Y3467" s="2">
        <v>16200</v>
      </c>
      <c r="Z3467" s="19" t="str">
        <f>HYPERLINK("https://ssdweb.co/ssdweb/hd/Vision360.html?d=926200773&amp;zoomslide=1&amp;z=1926200773&amp;ISCONFIRM=0","VIDEO")</f>
        <v>VIDEO</v>
      </c>
      <c r="AA3467" s="19" t="str">
        <f>HYPERLINK("https://ssdweb.co/ssdweb/CERTH/635426956.pdf","CERTI")</f>
        <v>CERTI</v>
      </c>
    </row>
    <row r="3468" spans="1:27" ht="15" x14ac:dyDescent="0.25">
      <c r="A3468" s="2">
        <v>3463</v>
      </c>
      <c r="B3468" s="39">
        <v>831020087</v>
      </c>
      <c r="C3468" s="28" t="str">
        <f>HYPERLINK("https://pld.live/RapDetail.aspx?STONELIST=831020087","DNA")</f>
        <v>DNA</v>
      </c>
      <c r="D3468" s="18" t="s">
        <v>711</v>
      </c>
      <c r="E3468" s="18" t="s">
        <v>2186</v>
      </c>
      <c r="F3468" s="2" t="s">
        <v>5597</v>
      </c>
      <c r="G3468" s="2" t="s">
        <v>7023</v>
      </c>
      <c r="H3468" s="14">
        <v>1.5</v>
      </c>
      <c r="I3468" s="2" t="s">
        <v>6587</v>
      </c>
      <c r="J3468" s="2" t="s">
        <v>13</v>
      </c>
      <c r="K3468" s="2" t="s">
        <v>1452</v>
      </c>
      <c r="L3468" s="2" t="s">
        <v>5221</v>
      </c>
      <c r="M3468" s="2" t="s">
        <v>5721</v>
      </c>
      <c r="N3468" s="2" t="s">
        <v>2317</v>
      </c>
      <c r="O3468" s="14">
        <v>9300</v>
      </c>
      <c r="P3468" s="14">
        <v>97.96</v>
      </c>
      <c r="Q3468" s="14">
        <v>189.72</v>
      </c>
      <c r="R3468" s="14">
        <v>284.58</v>
      </c>
      <c r="S3468" s="2" t="s">
        <v>5576</v>
      </c>
      <c r="T3468" s="2">
        <v>1.3</v>
      </c>
      <c r="U3468" s="2">
        <v>66.400000000000006</v>
      </c>
      <c r="V3468" s="2">
        <v>62</v>
      </c>
      <c r="W3468" s="2" t="s">
        <v>7862</v>
      </c>
      <c r="X3468" s="2" t="s">
        <v>7053</v>
      </c>
      <c r="Y3468" s="2">
        <v>13950</v>
      </c>
      <c r="Z3468" s="19" t="str">
        <f>HYPERLINK("https://ssdweb.co/ssdweb/hd/Vision360.html?d=831020087&amp;zoomslide=1&amp;z=1831020087&amp;ISCONFIRM=0","VIDEO")</f>
        <v>VIDEO</v>
      </c>
      <c r="AA3468" s="19" t="str">
        <f>HYPERLINK("https://ssdweb.co/ssdweb/CERTH/1449867872.pdf","CERTI")</f>
        <v>CERTI</v>
      </c>
    </row>
    <row r="3469" spans="1:27" ht="15" x14ac:dyDescent="0.25">
      <c r="A3469" s="2">
        <v>3464</v>
      </c>
      <c r="B3469" s="39">
        <v>926100895</v>
      </c>
      <c r="C3469" s="28" t="str">
        <f>HYPERLINK("https://pld.live/RapDetail.aspx?STONELIST=926100895","DNA")</f>
        <v>DNA</v>
      </c>
      <c r="D3469" s="18" t="s">
        <v>5281</v>
      </c>
      <c r="E3469" s="18" t="s">
        <v>5128</v>
      </c>
      <c r="F3469" s="2" t="s">
        <v>7987</v>
      </c>
      <c r="G3469" s="2" t="s">
        <v>7023</v>
      </c>
      <c r="H3469" s="14">
        <v>1.47</v>
      </c>
      <c r="I3469" s="2" t="s">
        <v>267</v>
      </c>
      <c r="J3469" s="2" t="s">
        <v>13</v>
      </c>
      <c r="K3469" s="2" t="s">
        <v>1452</v>
      </c>
      <c r="L3469" s="2" t="s">
        <v>5221</v>
      </c>
      <c r="M3469" s="2" t="s">
        <v>5221</v>
      </c>
      <c r="N3469" s="2" t="s">
        <v>2317</v>
      </c>
      <c r="O3469" s="14">
        <v>6700</v>
      </c>
      <c r="P3469" s="14">
        <v>98.24</v>
      </c>
      <c r="Q3469" s="14">
        <v>117.92</v>
      </c>
      <c r="R3469" s="14">
        <v>173.34</v>
      </c>
      <c r="S3469" s="2" t="s">
        <v>3268</v>
      </c>
      <c r="T3469" s="2">
        <v>1.19</v>
      </c>
      <c r="U3469" s="2">
        <v>66.900000000000006</v>
      </c>
      <c r="V3469" s="2">
        <v>61</v>
      </c>
      <c r="W3469" s="2" t="s">
        <v>7862</v>
      </c>
      <c r="X3469" s="2" t="s">
        <v>3851</v>
      </c>
      <c r="Y3469" s="2">
        <v>9849</v>
      </c>
      <c r="Z3469" s="19" t="str">
        <f>HYPERLINK("https://ssdweb.co/ssdweb/hd/Vision360.html?d=926100895&amp;zoomslide=1&amp;z=1926100895&amp;ISCONFIRM=0","VIDEO")</f>
        <v>VIDEO</v>
      </c>
      <c r="AA3469" s="19" t="str">
        <f>HYPERLINK("https://ssdweb.co/ssdweb/CERTH/631464292.pdf","CERTI")</f>
        <v>CERTI</v>
      </c>
    </row>
    <row r="3470" spans="1:27" ht="15" x14ac:dyDescent="0.25">
      <c r="A3470" s="2">
        <v>3465</v>
      </c>
      <c r="B3470" s="39">
        <v>925930304</v>
      </c>
      <c r="C3470" s="28" t="str">
        <f>HYPERLINK("https://pld.live/RapDetail.aspx?STONELIST=925930304","DNA")</f>
        <v>DNA</v>
      </c>
      <c r="D3470" s="18" t="s">
        <v>5281</v>
      </c>
      <c r="E3470" s="18" t="s">
        <v>2186</v>
      </c>
      <c r="F3470" s="2" t="s">
        <v>7987</v>
      </c>
      <c r="G3470" s="2" t="s">
        <v>7023</v>
      </c>
      <c r="H3470" s="14">
        <v>1.45</v>
      </c>
      <c r="I3470" s="2" t="s">
        <v>267</v>
      </c>
      <c r="J3470" s="2" t="s">
        <v>3942</v>
      </c>
      <c r="K3470" s="2" t="s">
        <v>1452</v>
      </c>
      <c r="L3470" s="2" t="s">
        <v>5221</v>
      </c>
      <c r="M3470" s="2" t="s">
        <v>5221</v>
      </c>
      <c r="N3470" s="2" t="s">
        <v>2317</v>
      </c>
      <c r="O3470" s="14">
        <v>7600</v>
      </c>
      <c r="P3470" s="14">
        <v>98.41</v>
      </c>
      <c r="Q3470" s="14">
        <v>120.84</v>
      </c>
      <c r="R3470" s="14">
        <v>175.22</v>
      </c>
      <c r="S3470" s="2" t="s">
        <v>5386</v>
      </c>
      <c r="T3470" s="2">
        <v>1.2</v>
      </c>
      <c r="U3470" s="2">
        <v>68</v>
      </c>
      <c r="V3470" s="2">
        <v>63</v>
      </c>
      <c r="W3470" s="2" t="s">
        <v>7862</v>
      </c>
      <c r="X3470" s="2" t="s">
        <v>3851</v>
      </c>
      <c r="Y3470" s="2">
        <v>11020</v>
      </c>
      <c r="Z3470" s="19" t="str">
        <f>HYPERLINK("https://ssdweb.co/ssdweb/hd/Vision360.html?d=925930304&amp;zoomslide=1&amp;z=1925930304&amp;ISCONFIRM=0","VIDEO")</f>
        <v>VIDEO</v>
      </c>
      <c r="AA3470" s="19" t="str">
        <f>HYPERLINK("https://ssdweb.co/ssdweb/CERTH/631404619.pdf","CERTI")</f>
        <v>CERTI</v>
      </c>
    </row>
    <row r="3471" spans="1:27" ht="15" x14ac:dyDescent="0.25">
      <c r="A3471" s="2">
        <v>3466</v>
      </c>
      <c r="B3471" s="39">
        <v>831010682</v>
      </c>
      <c r="C3471" s="28" t="str">
        <f>HYPERLINK("https://pld.live/RapDetail.aspx?STONELIST=831010682","DNA")</f>
        <v>DNA</v>
      </c>
      <c r="D3471" s="18" t="s">
        <v>5281</v>
      </c>
      <c r="E3471" s="18" t="s">
        <v>5128</v>
      </c>
      <c r="F3471" s="2" t="s">
        <v>7987</v>
      </c>
      <c r="G3471" s="2" t="s">
        <v>7023</v>
      </c>
      <c r="H3471" s="14">
        <v>1.45</v>
      </c>
      <c r="I3471" s="2" t="s">
        <v>267</v>
      </c>
      <c r="J3471" s="2" t="s">
        <v>13</v>
      </c>
      <c r="K3471" s="2" t="s">
        <v>1452</v>
      </c>
      <c r="L3471" s="2" t="s">
        <v>5221</v>
      </c>
      <c r="M3471" s="2" t="s">
        <v>5221</v>
      </c>
      <c r="N3471" s="2" t="s">
        <v>2317</v>
      </c>
      <c r="O3471" s="14">
        <v>6700</v>
      </c>
      <c r="P3471" s="14">
        <v>98.24</v>
      </c>
      <c r="Q3471" s="14">
        <v>117.92</v>
      </c>
      <c r="R3471" s="14">
        <v>170.98</v>
      </c>
      <c r="S3471" s="2" t="s">
        <v>5100</v>
      </c>
      <c r="T3471" s="2">
        <v>1.27</v>
      </c>
      <c r="U3471" s="2">
        <v>65</v>
      </c>
      <c r="V3471" s="2">
        <v>60</v>
      </c>
      <c r="W3471" s="2" t="s">
        <v>7862</v>
      </c>
      <c r="X3471" s="2" t="s">
        <v>3851</v>
      </c>
      <c r="Y3471" s="2">
        <v>9715</v>
      </c>
      <c r="Z3471" s="19" t="str">
        <f>HYPERLINK("https://ssdweb.co/ssdweb/hd/Vision360.html?d=831010682&amp;zoomslide=1&amp;z=1831010682&amp;ISCONFIRM=0","VIDEO")</f>
        <v>VIDEO</v>
      </c>
      <c r="AA3471" s="19" t="str">
        <f>HYPERLINK("https://ssdweb.co/ssdweb/CERTH/632403854.pdf","CERTI")</f>
        <v>CERTI</v>
      </c>
    </row>
    <row r="3472" spans="1:27" ht="15" x14ac:dyDescent="0.25">
      <c r="A3472" s="2">
        <v>3467</v>
      </c>
      <c r="B3472" s="39">
        <v>926101162</v>
      </c>
      <c r="C3472" s="28" t="str">
        <f>HYPERLINK("https://pld.live/RapDetail.aspx?STONELIST=926101162","DNA")</f>
        <v>DNA</v>
      </c>
      <c r="D3472" s="18" t="s">
        <v>5281</v>
      </c>
      <c r="E3472" s="18" t="s">
        <v>5128</v>
      </c>
      <c r="F3472" s="2" t="s">
        <v>7987</v>
      </c>
      <c r="G3472" s="2" t="s">
        <v>7023</v>
      </c>
      <c r="H3472" s="14">
        <v>1.44</v>
      </c>
      <c r="I3472" s="2" t="s">
        <v>267</v>
      </c>
      <c r="J3472" s="2" t="s">
        <v>3942</v>
      </c>
      <c r="K3472" s="2" t="s">
        <v>1452</v>
      </c>
      <c r="L3472" s="2" t="s">
        <v>5221</v>
      </c>
      <c r="M3472" s="2" t="s">
        <v>5221</v>
      </c>
      <c r="N3472" s="2" t="s">
        <v>2317</v>
      </c>
      <c r="O3472" s="14">
        <v>7600</v>
      </c>
      <c r="P3472" s="14">
        <v>98.41</v>
      </c>
      <c r="Q3472" s="14">
        <v>120.84</v>
      </c>
      <c r="R3472" s="14">
        <v>174.01</v>
      </c>
      <c r="S3472" s="2" t="s">
        <v>3503</v>
      </c>
      <c r="T3472" s="2">
        <v>1.19</v>
      </c>
      <c r="U3472" s="2">
        <v>67.400000000000006</v>
      </c>
      <c r="V3472" s="2">
        <v>61</v>
      </c>
      <c r="W3472" s="2" t="s">
        <v>7862</v>
      </c>
      <c r="X3472" s="2" t="s">
        <v>3851</v>
      </c>
      <c r="Y3472" s="2">
        <v>10944</v>
      </c>
      <c r="Z3472" s="19" t="str">
        <f>HYPERLINK("https://ssdweb.co/ssdweb/hd/Vision360.html?d=926101162&amp;zoomslide=1&amp;z=1926101162&amp;ISCONFIRM=0","VIDEO")</f>
        <v>VIDEO</v>
      </c>
      <c r="AA3472" s="19" t="str">
        <f>HYPERLINK("https://ssdweb.co/ssdweb/CERTH/632488461.pdf","CERTI")</f>
        <v>CERTI</v>
      </c>
    </row>
    <row r="3473" spans="1:27" ht="15" x14ac:dyDescent="0.25">
      <c r="A3473" s="2">
        <v>3468</v>
      </c>
      <c r="B3473" s="39">
        <v>926101155</v>
      </c>
      <c r="C3473" s="28" t="str">
        <f>HYPERLINK("https://pld.live/RapDetail.aspx?STONELIST=926101155","DNA")</f>
        <v>DNA</v>
      </c>
      <c r="D3473" s="18" t="s">
        <v>5281</v>
      </c>
      <c r="E3473" s="18" t="s">
        <v>5128</v>
      </c>
      <c r="F3473" s="2" t="s">
        <v>7987</v>
      </c>
      <c r="G3473" s="2" t="s">
        <v>7023</v>
      </c>
      <c r="H3473" s="14">
        <v>1.43</v>
      </c>
      <c r="I3473" s="2" t="s">
        <v>267</v>
      </c>
      <c r="J3473" s="2" t="s">
        <v>3942</v>
      </c>
      <c r="K3473" s="2" t="s">
        <v>1452</v>
      </c>
      <c r="L3473" s="2" t="s">
        <v>5221</v>
      </c>
      <c r="M3473" s="2" t="s">
        <v>5221</v>
      </c>
      <c r="N3473" s="2" t="s">
        <v>2317</v>
      </c>
      <c r="O3473" s="14">
        <v>7600</v>
      </c>
      <c r="P3473" s="14">
        <v>98.41</v>
      </c>
      <c r="Q3473" s="14">
        <v>120.84</v>
      </c>
      <c r="R3473" s="14">
        <v>172.8</v>
      </c>
      <c r="S3473" s="2" t="s">
        <v>3039</v>
      </c>
      <c r="T3473" s="2">
        <v>1.2</v>
      </c>
      <c r="U3473" s="2">
        <v>66.099999999999994</v>
      </c>
      <c r="V3473" s="2">
        <v>59</v>
      </c>
      <c r="W3473" s="2" t="s">
        <v>7862</v>
      </c>
      <c r="X3473" s="2" t="s">
        <v>3851</v>
      </c>
      <c r="Y3473" s="2">
        <v>10868</v>
      </c>
      <c r="Z3473" s="19" t="str">
        <f>HYPERLINK("https://ssdweb.co/ssdweb/hd/Vision360.html?d=926101155&amp;zoomslide=1&amp;z=1926101155&amp;ISCONFIRM=0","VIDEO")</f>
        <v>VIDEO</v>
      </c>
      <c r="AA3473" s="19" t="str">
        <f>HYPERLINK("https://ssdweb.co/ssdweb/CERTH/632488460.pdf","CERTI")</f>
        <v>CERTI</v>
      </c>
    </row>
    <row r="3474" spans="1:27" ht="15" x14ac:dyDescent="0.25">
      <c r="A3474" s="2">
        <v>3469</v>
      </c>
      <c r="B3474" s="39">
        <v>926101613</v>
      </c>
      <c r="C3474" s="28" t="str">
        <f>HYPERLINK("https://pld.live/RapDetail.aspx?STONELIST=926101613","DNA")</f>
        <v>DNA</v>
      </c>
      <c r="D3474" s="18" t="s">
        <v>5281</v>
      </c>
      <c r="E3474" s="18" t="s">
        <v>5128</v>
      </c>
      <c r="F3474" s="2" t="s">
        <v>7987</v>
      </c>
      <c r="G3474" s="2" t="s">
        <v>7023</v>
      </c>
      <c r="H3474" s="14">
        <v>1.43</v>
      </c>
      <c r="I3474" s="2" t="s">
        <v>267</v>
      </c>
      <c r="J3474" s="2" t="s">
        <v>3942</v>
      </c>
      <c r="K3474" s="2" t="s">
        <v>1452</v>
      </c>
      <c r="L3474" s="2" t="s">
        <v>5221</v>
      </c>
      <c r="M3474" s="2" t="s">
        <v>5221</v>
      </c>
      <c r="N3474" s="2" t="s">
        <v>2317</v>
      </c>
      <c r="O3474" s="14">
        <v>7600</v>
      </c>
      <c r="P3474" s="14">
        <v>98.41</v>
      </c>
      <c r="Q3474" s="14">
        <v>120.84</v>
      </c>
      <c r="R3474" s="14">
        <v>172.8</v>
      </c>
      <c r="S3474" s="2" t="s">
        <v>5813</v>
      </c>
      <c r="T3474" s="2">
        <v>1.24</v>
      </c>
      <c r="U3474" s="2">
        <v>66.5</v>
      </c>
      <c r="V3474" s="2">
        <v>60</v>
      </c>
      <c r="W3474" s="2" t="s">
        <v>7862</v>
      </c>
      <c r="X3474" s="2" t="s">
        <v>3851</v>
      </c>
      <c r="Y3474" s="2">
        <v>10868</v>
      </c>
      <c r="Z3474" s="19" t="str">
        <f>HYPERLINK("https://ssdweb.co/ssdweb/hd/Vision360.html?d=926101613&amp;zoomslide=1&amp;z=1926101613&amp;ISCONFIRM=0","VIDEO")</f>
        <v>VIDEO</v>
      </c>
      <c r="AA3474" s="19" t="str">
        <f>HYPERLINK("https://ssdweb.co/ssdweb/CERTH/632449567.pdf","CERTI")</f>
        <v>CERTI</v>
      </c>
    </row>
    <row r="3475" spans="1:27" ht="15" x14ac:dyDescent="0.25">
      <c r="A3475" s="2">
        <v>3470</v>
      </c>
      <c r="B3475" s="39">
        <v>926101288</v>
      </c>
      <c r="C3475" s="28" t="str">
        <f>HYPERLINK("https://pld.live/RapDetail.aspx?STONELIST=926101288","DNA")</f>
        <v>DNA</v>
      </c>
      <c r="D3475" s="18" t="s">
        <v>5281</v>
      </c>
      <c r="E3475" s="18" t="s">
        <v>5128</v>
      </c>
      <c r="F3475" s="2" t="s">
        <v>7987</v>
      </c>
      <c r="G3475" s="2" t="s">
        <v>7023</v>
      </c>
      <c r="H3475" s="14">
        <v>1.43</v>
      </c>
      <c r="I3475" s="2" t="s">
        <v>4761</v>
      </c>
      <c r="J3475" s="2" t="s">
        <v>13</v>
      </c>
      <c r="K3475" s="2" t="s">
        <v>1452</v>
      </c>
      <c r="L3475" s="2" t="s">
        <v>5221</v>
      </c>
      <c r="M3475" s="2" t="s">
        <v>5221</v>
      </c>
      <c r="N3475" s="2" t="s">
        <v>2317</v>
      </c>
      <c r="O3475" s="14">
        <v>6200</v>
      </c>
      <c r="P3475" s="14">
        <v>98.18</v>
      </c>
      <c r="Q3475" s="14">
        <v>112.84</v>
      </c>
      <c r="R3475" s="14">
        <v>161.36000000000001</v>
      </c>
      <c r="S3475" s="2" t="s">
        <v>963</v>
      </c>
      <c r="T3475" s="2">
        <v>1.23</v>
      </c>
      <c r="U3475" s="2">
        <v>67.2</v>
      </c>
      <c r="V3475" s="2">
        <v>60</v>
      </c>
      <c r="W3475" s="2" t="s">
        <v>7862</v>
      </c>
      <c r="X3475" s="2" t="s">
        <v>3851</v>
      </c>
      <c r="Y3475" s="2">
        <v>8866</v>
      </c>
      <c r="Z3475" s="19" t="str">
        <f>HYPERLINK("https://ssdweb.co/ssdweb/hd/Vision360.html?d=926101288&amp;zoomslide=1&amp;z=1926101288&amp;ISCONFIRM=0","VIDEO")</f>
        <v>VIDEO</v>
      </c>
      <c r="AA3475" s="19" t="str">
        <f>HYPERLINK("https://ssdweb.co/ssdweb/CERTH/632421514.pdf","CERTI")</f>
        <v>CERTI</v>
      </c>
    </row>
    <row r="3476" spans="1:27" ht="15" x14ac:dyDescent="0.25">
      <c r="A3476" s="2">
        <v>3471</v>
      </c>
      <c r="B3476" s="39">
        <v>925961196</v>
      </c>
      <c r="C3476" s="28" t="str">
        <f>HYPERLINK("https://pld.live/RapDetail.aspx?STONELIST=925961196","DNA")</f>
        <v>DNA</v>
      </c>
      <c r="D3476" s="18" t="s">
        <v>5281</v>
      </c>
      <c r="E3476" s="18" t="s">
        <v>5128</v>
      </c>
      <c r="F3476" s="2" t="s">
        <v>7987</v>
      </c>
      <c r="G3476" s="2" t="s">
        <v>7023</v>
      </c>
      <c r="H3476" s="14">
        <v>1.42</v>
      </c>
      <c r="I3476" s="2" t="s">
        <v>267</v>
      </c>
      <c r="J3476" s="2" t="s">
        <v>6555</v>
      </c>
      <c r="K3476" s="2" t="s">
        <v>1452</v>
      </c>
      <c r="L3476" s="2" t="s">
        <v>5221</v>
      </c>
      <c r="M3476" s="2" t="s">
        <v>5221</v>
      </c>
      <c r="N3476" s="2" t="s">
        <v>2317</v>
      </c>
      <c r="O3476" s="14">
        <v>8200</v>
      </c>
      <c r="P3476" s="14">
        <v>98.21</v>
      </c>
      <c r="Q3476" s="14">
        <v>146.78</v>
      </c>
      <c r="R3476" s="14">
        <v>208.43</v>
      </c>
      <c r="S3476" s="2" t="s">
        <v>2678</v>
      </c>
      <c r="T3476" s="2">
        <v>1.35</v>
      </c>
      <c r="U3476" s="2">
        <v>65.900000000000006</v>
      </c>
      <c r="V3476" s="2">
        <v>59</v>
      </c>
      <c r="W3476" s="2" t="s">
        <v>7862</v>
      </c>
      <c r="X3476" s="2" t="s">
        <v>3851</v>
      </c>
      <c r="Y3476" s="2">
        <v>11644</v>
      </c>
      <c r="Z3476" s="19" t="str">
        <f>HYPERLINK("https://ssdweb.co/ssdweb/hd/Vision360.html?d=925961196&amp;zoomslide=1&amp;z=1925961196&amp;ISCONFIRM=0","VIDEO")</f>
        <v>VIDEO</v>
      </c>
      <c r="AA3476" s="19" t="str">
        <f>HYPERLINK("https://ssdweb.co/ssdweb/CERTH/628402016.pdf","CERTI")</f>
        <v>CERTI</v>
      </c>
    </row>
    <row r="3477" spans="1:27" ht="15" x14ac:dyDescent="0.25">
      <c r="A3477" s="2">
        <v>3472</v>
      </c>
      <c r="B3477" s="39">
        <v>926101259</v>
      </c>
      <c r="C3477" s="28" t="str">
        <f>HYPERLINK("https://pld.live/RapDetail.aspx?STONELIST=926101259","DNA")</f>
        <v>DNA</v>
      </c>
      <c r="D3477" s="18" t="s">
        <v>5281</v>
      </c>
      <c r="E3477" s="18" t="s">
        <v>5128</v>
      </c>
      <c r="F3477" s="2" t="s">
        <v>7987</v>
      </c>
      <c r="G3477" s="2" t="s">
        <v>7023</v>
      </c>
      <c r="H3477" s="14">
        <v>1.42</v>
      </c>
      <c r="I3477" s="2" t="s">
        <v>267</v>
      </c>
      <c r="J3477" s="2" t="s">
        <v>6555</v>
      </c>
      <c r="K3477" s="2" t="s">
        <v>1452</v>
      </c>
      <c r="L3477" s="2" t="s">
        <v>5221</v>
      </c>
      <c r="M3477" s="2" t="s">
        <v>5221</v>
      </c>
      <c r="N3477" s="2" t="s">
        <v>2317</v>
      </c>
      <c r="O3477" s="14">
        <v>8200</v>
      </c>
      <c r="P3477" s="14">
        <v>98.21</v>
      </c>
      <c r="Q3477" s="14">
        <v>146.78</v>
      </c>
      <c r="R3477" s="14">
        <v>208.43</v>
      </c>
      <c r="S3477" s="2" t="s">
        <v>308</v>
      </c>
      <c r="T3477" s="2">
        <v>1.21</v>
      </c>
      <c r="U3477" s="2">
        <v>67.2</v>
      </c>
      <c r="V3477" s="2">
        <v>59</v>
      </c>
      <c r="W3477" s="2" t="s">
        <v>7862</v>
      </c>
      <c r="X3477" s="2" t="s">
        <v>3851</v>
      </c>
      <c r="Y3477" s="2">
        <v>11644</v>
      </c>
      <c r="Z3477" s="19" t="str">
        <f>HYPERLINK("https://ssdweb.co/ssdweb/hd/Vision360.html?d=926101259&amp;zoomslide=1&amp;z=1926101259&amp;ISCONFIRM=0","VIDEO")</f>
        <v>VIDEO</v>
      </c>
      <c r="AA3477" s="19" t="str">
        <f>HYPERLINK("https://ssdweb.co/ssdweb/CERTH/632403847.pdf","CERTI")</f>
        <v>CERTI</v>
      </c>
    </row>
    <row r="3478" spans="1:27" ht="15" x14ac:dyDescent="0.25">
      <c r="A3478" s="2">
        <v>3473</v>
      </c>
      <c r="B3478" s="39">
        <v>925961364</v>
      </c>
      <c r="C3478" s="28" t="str">
        <f>HYPERLINK("https://pld.live/RapDetail.aspx?STONELIST=925961364","DNA")</f>
        <v>DNA</v>
      </c>
      <c r="D3478" s="18" t="s">
        <v>5281</v>
      </c>
      <c r="E3478" s="18" t="s">
        <v>5128</v>
      </c>
      <c r="F3478" s="2" t="s">
        <v>7987</v>
      </c>
      <c r="G3478" s="2" t="s">
        <v>7023</v>
      </c>
      <c r="H3478" s="14">
        <v>1.42</v>
      </c>
      <c r="I3478" s="2" t="s">
        <v>267</v>
      </c>
      <c r="J3478" s="2" t="s">
        <v>6555</v>
      </c>
      <c r="K3478" s="2" t="s">
        <v>1452</v>
      </c>
      <c r="L3478" s="2" t="s">
        <v>5221</v>
      </c>
      <c r="M3478" s="2" t="s">
        <v>5221</v>
      </c>
      <c r="N3478" s="2" t="s">
        <v>2317</v>
      </c>
      <c r="O3478" s="14">
        <v>8200</v>
      </c>
      <c r="P3478" s="14">
        <v>98.21</v>
      </c>
      <c r="Q3478" s="14">
        <v>146.78</v>
      </c>
      <c r="R3478" s="14">
        <v>208.43</v>
      </c>
      <c r="S3478" s="2" t="s">
        <v>7014</v>
      </c>
      <c r="T3478" s="2">
        <v>1.22</v>
      </c>
      <c r="U3478" s="2">
        <v>63.3</v>
      </c>
      <c r="V3478" s="2">
        <v>59</v>
      </c>
      <c r="W3478" s="2" t="s">
        <v>7862</v>
      </c>
      <c r="X3478" s="2" t="s">
        <v>3851</v>
      </c>
      <c r="Y3478" s="2">
        <v>11644</v>
      </c>
      <c r="Z3478" s="19" t="str">
        <f>HYPERLINK("https://ssdweb.co/ssdweb/hd/Vision360.html?d=925961364&amp;zoomslide=1&amp;z=1925961364&amp;ISCONFIRM=0","VIDEO")</f>
        <v>VIDEO</v>
      </c>
      <c r="AA3478" s="19" t="str">
        <f>HYPERLINK("https://ssdweb.co/ssdweb/CERTH/630447873.pdf","CERTI")</f>
        <v>CERTI</v>
      </c>
    </row>
    <row r="3479" spans="1:27" ht="15" x14ac:dyDescent="0.25">
      <c r="A3479" s="2">
        <v>3474</v>
      </c>
      <c r="B3479" s="39">
        <v>926171664</v>
      </c>
      <c r="C3479" s="28" t="str">
        <f>HYPERLINK("https://pld.live/RapDetail.aspx?STONELIST=926171664","DNA")</f>
        <v>DNA</v>
      </c>
      <c r="D3479" s="18" t="s">
        <v>5281</v>
      </c>
      <c r="E3479" s="18" t="s">
        <v>5128</v>
      </c>
      <c r="F3479" s="2" t="s">
        <v>7987</v>
      </c>
      <c r="G3479" s="2" t="s">
        <v>7023</v>
      </c>
      <c r="H3479" s="14">
        <v>1.42</v>
      </c>
      <c r="I3479" s="2" t="s">
        <v>4699</v>
      </c>
      <c r="J3479" s="2" t="s">
        <v>5144</v>
      </c>
      <c r="K3479" s="2" t="s">
        <v>1452</v>
      </c>
      <c r="L3479" s="2" t="s">
        <v>5221</v>
      </c>
      <c r="M3479" s="2" t="s">
        <v>5221</v>
      </c>
      <c r="N3479" s="2" t="s">
        <v>2317</v>
      </c>
      <c r="O3479" s="14">
        <v>5100</v>
      </c>
      <c r="P3479" s="14">
        <v>97.94</v>
      </c>
      <c r="Q3479" s="14">
        <v>105.06</v>
      </c>
      <c r="R3479" s="14">
        <v>149.19</v>
      </c>
      <c r="S3479" s="2" t="s">
        <v>3428</v>
      </c>
      <c r="T3479" s="2">
        <v>1.24</v>
      </c>
      <c r="U3479" s="2">
        <v>66.599999999999994</v>
      </c>
      <c r="V3479" s="2">
        <v>61</v>
      </c>
      <c r="W3479" s="2" t="s">
        <v>7862</v>
      </c>
      <c r="X3479" s="2" t="s">
        <v>3851</v>
      </c>
      <c r="Y3479" s="2">
        <v>7242</v>
      </c>
      <c r="Z3479" s="19" t="str">
        <f>HYPERLINK("https://ssdweb.co/ssdweb/hd/Vision360.html?d=926171664&amp;zoomslide=1&amp;z=1926171664&amp;ISCONFIRM=0","VIDEO")</f>
        <v>VIDEO</v>
      </c>
      <c r="AA3479" s="19" t="str">
        <f>HYPERLINK("https://ssdweb.co/ssdweb/CERTH/638463292.pdf","CERTI")</f>
        <v>CERTI</v>
      </c>
    </row>
    <row r="3480" spans="1:27" ht="15" x14ac:dyDescent="0.25">
      <c r="A3480" s="2">
        <v>3475</v>
      </c>
      <c r="B3480" s="39">
        <v>923670177</v>
      </c>
      <c r="C3480" s="28" t="str">
        <f>HYPERLINK("https://pld.live/RapDetail.aspx?STONELIST=923670177","DNA")</f>
        <v>DNA</v>
      </c>
      <c r="D3480" s="18" t="s">
        <v>5281</v>
      </c>
      <c r="E3480" s="18" t="s">
        <v>5128</v>
      </c>
      <c r="F3480" s="2" t="s">
        <v>5597</v>
      </c>
      <c r="G3480" s="2" t="s">
        <v>7023</v>
      </c>
      <c r="H3480" s="14">
        <v>1.41</v>
      </c>
      <c r="I3480" s="2" t="s">
        <v>267</v>
      </c>
      <c r="J3480" s="2" t="s">
        <v>13</v>
      </c>
      <c r="K3480" s="2" t="s">
        <v>1452</v>
      </c>
      <c r="L3480" s="2" t="s">
        <v>5221</v>
      </c>
      <c r="M3480" s="2" t="s">
        <v>5721</v>
      </c>
      <c r="N3480" s="2" t="s">
        <v>2317</v>
      </c>
      <c r="O3480" s="14">
        <v>6700</v>
      </c>
      <c r="P3480" s="14">
        <v>97.4</v>
      </c>
      <c r="Q3480" s="14">
        <v>174.2</v>
      </c>
      <c r="R3480" s="14">
        <v>245.62</v>
      </c>
      <c r="S3480" s="2" t="s">
        <v>3912</v>
      </c>
      <c r="T3480" s="2">
        <v>1.36</v>
      </c>
      <c r="U3480" s="2">
        <v>67.400000000000006</v>
      </c>
      <c r="V3480" s="2">
        <v>59</v>
      </c>
      <c r="W3480" s="2" t="s">
        <v>7862</v>
      </c>
      <c r="X3480" s="2" t="s">
        <v>7053</v>
      </c>
      <c r="Y3480" s="2">
        <v>9447</v>
      </c>
      <c r="Z3480" s="19" t="str">
        <f>HYPERLINK("https://ssdweb.co/ssdweb/hd/Vision360.html?d=923670177&amp;zoomslide=1&amp;z=1923670177&amp;ISCONFIRM=0","VIDEO")</f>
        <v>VIDEO</v>
      </c>
      <c r="AA3480" s="19" t="str">
        <f>HYPERLINK("https://ssdweb.co/ssdweb/CERTH/6451488039.pdf","CERTI")</f>
        <v>CERTI</v>
      </c>
    </row>
    <row r="3481" spans="1:27" ht="15" x14ac:dyDescent="0.25">
      <c r="A3481" s="2">
        <v>3476</v>
      </c>
      <c r="B3481" s="39">
        <v>925521920</v>
      </c>
      <c r="C3481" s="28" t="str">
        <f>HYPERLINK("https://pld.live/RapDetail.aspx?STONELIST=925521920","DNA")</f>
        <v>DNA</v>
      </c>
      <c r="D3481" s="18" t="s">
        <v>5235</v>
      </c>
      <c r="E3481" s="18" t="s">
        <v>5128</v>
      </c>
      <c r="F3481" s="2" t="s">
        <v>7987</v>
      </c>
      <c r="G3481" s="2" t="s">
        <v>7023</v>
      </c>
      <c r="H3481" s="14">
        <v>1.39</v>
      </c>
      <c r="I3481" s="2" t="s">
        <v>267</v>
      </c>
      <c r="J3481" s="2" t="s">
        <v>6555</v>
      </c>
      <c r="K3481" s="2" t="s">
        <v>1452</v>
      </c>
      <c r="L3481" s="2" t="s">
        <v>5221</v>
      </c>
      <c r="M3481" s="2" t="s">
        <v>5221</v>
      </c>
      <c r="N3481" s="2" t="s">
        <v>2317</v>
      </c>
      <c r="O3481" s="14">
        <v>8200</v>
      </c>
      <c r="P3481" s="14">
        <v>98.17</v>
      </c>
      <c r="Q3481" s="14">
        <v>150.06</v>
      </c>
      <c r="R3481" s="14">
        <v>208.58</v>
      </c>
      <c r="S3481" s="2" t="s">
        <v>469</v>
      </c>
      <c r="T3481" s="2">
        <v>1.21</v>
      </c>
      <c r="U3481" s="2">
        <v>66.400000000000006</v>
      </c>
      <c r="V3481" s="2">
        <v>62</v>
      </c>
      <c r="W3481" s="2" t="s">
        <v>7862</v>
      </c>
      <c r="X3481" s="2" t="s">
        <v>3851</v>
      </c>
      <c r="Y3481" s="2">
        <v>11398</v>
      </c>
      <c r="Z3481" s="19" t="str">
        <f>HYPERLINK("https://ssdweb.co/ssdweb/hd/Vision360.html?d=925521920&amp;zoomslide=1&amp;z=1925521920&amp;ISCONFIRM=0","VIDEO")</f>
        <v>VIDEO</v>
      </c>
      <c r="AA3481" s="19" t="str">
        <f>HYPERLINK("https://ssdweb.co/ssdweb/CERTH/620403242.pdf","CERTI")</f>
        <v>CERTI</v>
      </c>
    </row>
    <row r="3482" spans="1:27" ht="15" x14ac:dyDescent="0.25">
      <c r="A3482" s="2">
        <v>3477</v>
      </c>
      <c r="B3482" s="39">
        <v>925080514</v>
      </c>
      <c r="C3482" s="28" t="str">
        <f>HYPERLINK("https://pld.live/RapDetail.aspx?STONELIST=925080514","DNA")</f>
        <v>DNA</v>
      </c>
      <c r="D3482" s="18" t="s">
        <v>5235</v>
      </c>
      <c r="E3482" s="18" t="s">
        <v>5128</v>
      </c>
      <c r="F3482" s="2" t="s">
        <v>7987</v>
      </c>
      <c r="G3482" s="2" t="s">
        <v>7023</v>
      </c>
      <c r="H3482" s="14">
        <v>1.38</v>
      </c>
      <c r="I3482" s="2" t="s">
        <v>267</v>
      </c>
      <c r="J3482" s="2" t="s">
        <v>5144</v>
      </c>
      <c r="K3482" s="2" t="s">
        <v>1452</v>
      </c>
      <c r="L3482" s="2" t="s">
        <v>5221</v>
      </c>
      <c r="M3482" s="2" t="s">
        <v>5221</v>
      </c>
      <c r="N3482" s="2" t="s">
        <v>2317</v>
      </c>
      <c r="O3482" s="14">
        <v>5700</v>
      </c>
      <c r="P3482" s="14">
        <v>98.09</v>
      </c>
      <c r="Q3482" s="14">
        <v>108.87</v>
      </c>
      <c r="R3482" s="14">
        <v>150.24</v>
      </c>
      <c r="S3482" s="2" t="s">
        <v>2977</v>
      </c>
      <c r="T3482" s="2">
        <v>1.2</v>
      </c>
      <c r="U3482" s="2">
        <v>66.5</v>
      </c>
      <c r="V3482" s="2">
        <v>61</v>
      </c>
      <c r="W3482" s="2" t="s">
        <v>7862</v>
      </c>
      <c r="X3482" s="2" t="s">
        <v>3851</v>
      </c>
      <c r="Y3482" s="2">
        <v>7866</v>
      </c>
      <c r="Z3482" s="19" t="str">
        <f>HYPERLINK("https://ssdweb.co/ssdweb/hd/Vision360.html?d=925080514&amp;zoomslide=1&amp;z=1925080514&amp;ISCONFIRM=0","VIDEO")</f>
        <v>VIDEO</v>
      </c>
      <c r="AA3482" s="19" t="str">
        <f>HYPERLINK("https://ssdweb.co/ssdweb/CERTH/613393349.pdf","CERTI")</f>
        <v>CERTI</v>
      </c>
    </row>
    <row r="3483" spans="1:27" ht="15" x14ac:dyDescent="0.25">
      <c r="A3483" s="2">
        <v>3478</v>
      </c>
      <c r="B3483" s="39">
        <v>831010671</v>
      </c>
      <c r="C3483" s="28" t="str">
        <f>HYPERLINK("https://pld.live/RapDetail.aspx?STONELIST=831010671","DNA")</f>
        <v>DNA</v>
      </c>
      <c r="D3483" s="18" t="s">
        <v>5235</v>
      </c>
      <c r="E3483" s="18" t="s">
        <v>5128</v>
      </c>
      <c r="F3483" s="2" t="s">
        <v>7987</v>
      </c>
      <c r="G3483" s="2" t="s">
        <v>7023</v>
      </c>
      <c r="H3483" s="14">
        <v>1.29</v>
      </c>
      <c r="I3483" s="2" t="s">
        <v>267</v>
      </c>
      <c r="J3483" s="2" t="s">
        <v>6555</v>
      </c>
      <c r="K3483" s="2" t="s">
        <v>1452</v>
      </c>
      <c r="L3483" s="2" t="s">
        <v>5221</v>
      </c>
      <c r="M3483" s="2" t="s">
        <v>5221</v>
      </c>
      <c r="N3483" s="2" t="s">
        <v>2317</v>
      </c>
      <c r="O3483" s="14">
        <v>8200</v>
      </c>
      <c r="P3483" s="14">
        <v>98.22</v>
      </c>
      <c r="Q3483" s="14">
        <v>145.96</v>
      </c>
      <c r="R3483" s="14">
        <v>188.29</v>
      </c>
      <c r="S3483" s="2" t="s">
        <v>4224</v>
      </c>
      <c r="T3483" s="2">
        <v>1.2</v>
      </c>
      <c r="U3483" s="2">
        <v>67.099999999999994</v>
      </c>
      <c r="V3483" s="2">
        <v>61</v>
      </c>
      <c r="W3483" s="2" t="s">
        <v>7862</v>
      </c>
      <c r="X3483" s="2" t="s">
        <v>3851</v>
      </c>
      <c r="Y3483" s="2">
        <v>10578</v>
      </c>
      <c r="Z3483" s="19" t="str">
        <f>HYPERLINK("https://ssdweb.co/ssdweb/hd/Vision360.html?d=831010671&amp;zoomslide=1&amp;z=1831010671&amp;ISCONFIRM=0","VIDEO")</f>
        <v>VIDEO</v>
      </c>
      <c r="AA3483" s="19" t="str">
        <f>HYPERLINK("https://ssdweb.co/ssdweb/CERTH/619453485.pdf","CERTI")</f>
        <v>CERTI</v>
      </c>
    </row>
    <row r="3484" spans="1:27" ht="15" x14ac:dyDescent="0.25">
      <c r="A3484" s="2">
        <v>3479</v>
      </c>
      <c r="B3484" s="39">
        <v>925080629</v>
      </c>
      <c r="C3484" s="28" t="str">
        <f>HYPERLINK("https://pld.live/RapDetail.aspx?STONELIST=925080629","DNA")</f>
        <v>DNA</v>
      </c>
      <c r="D3484" s="18" t="s">
        <v>5235</v>
      </c>
      <c r="E3484" s="18" t="s">
        <v>5128</v>
      </c>
      <c r="F3484" s="2" t="s">
        <v>7987</v>
      </c>
      <c r="G3484" s="2" t="s">
        <v>7023</v>
      </c>
      <c r="H3484" s="14">
        <v>1.2</v>
      </c>
      <c r="I3484" s="2" t="s">
        <v>267</v>
      </c>
      <c r="J3484" s="2" t="s">
        <v>6555</v>
      </c>
      <c r="K3484" s="2" t="s">
        <v>1452</v>
      </c>
      <c r="L3484" s="2" t="s">
        <v>5221</v>
      </c>
      <c r="M3484" s="2" t="s">
        <v>5221</v>
      </c>
      <c r="N3484" s="2" t="s">
        <v>2317</v>
      </c>
      <c r="O3484" s="14">
        <v>8200</v>
      </c>
      <c r="P3484" s="14">
        <v>98.22</v>
      </c>
      <c r="Q3484" s="14">
        <v>145.96</v>
      </c>
      <c r="R3484" s="14">
        <v>175.15</v>
      </c>
      <c r="S3484" s="2" t="s">
        <v>2074</v>
      </c>
      <c r="T3484" s="2">
        <v>1.25</v>
      </c>
      <c r="U3484" s="2">
        <v>64.7</v>
      </c>
      <c r="V3484" s="2">
        <v>60</v>
      </c>
      <c r="W3484" s="2" t="s">
        <v>7862</v>
      </c>
      <c r="X3484" s="2" t="s">
        <v>3851</v>
      </c>
      <c r="Y3484" s="2">
        <v>9840</v>
      </c>
      <c r="Z3484" s="19" t="str">
        <f>HYPERLINK("https://ssdweb.co/ssdweb/hd/Vision360.html?d=925080629&amp;zoomslide=1&amp;z=1925080629&amp;ISCONFIRM=0","VIDEO")</f>
        <v>VIDEO</v>
      </c>
      <c r="AA3484" s="19" t="str">
        <f>HYPERLINK("https://ssdweb.co/ssdweb/CERTH/619453487.pdf","CERTI")</f>
        <v>CERTI</v>
      </c>
    </row>
    <row r="3485" spans="1:27" ht="15" x14ac:dyDescent="0.25">
      <c r="A3485" s="2">
        <v>3480</v>
      </c>
      <c r="B3485" s="39">
        <v>831010691</v>
      </c>
      <c r="C3485" s="28" t="str">
        <f>HYPERLINK("https://pld.live/RapDetail.aspx?STONELIST=831010691","DNA")</f>
        <v>DNA</v>
      </c>
      <c r="D3485" s="18" t="s">
        <v>5235</v>
      </c>
      <c r="E3485" s="18" t="s">
        <v>5128</v>
      </c>
      <c r="F3485" s="2" t="s">
        <v>5597</v>
      </c>
      <c r="G3485" s="2" t="s">
        <v>7023</v>
      </c>
      <c r="H3485" s="14">
        <v>1.2</v>
      </c>
      <c r="I3485" s="2" t="s">
        <v>267</v>
      </c>
      <c r="J3485" s="2" t="s">
        <v>13</v>
      </c>
      <c r="K3485" s="2" t="s">
        <v>1452</v>
      </c>
      <c r="L3485" s="2" t="s">
        <v>5221</v>
      </c>
      <c r="M3485" s="2" t="s">
        <v>5721</v>
      </c>
      <c r="N3485" s="2" t="s">
        <v>2317</v>
      </c>
      <c r="O3485" s="14">
        <v>6700</v>
      </c>
      <c r="P3485" s="14">
        <v>97.39</v>
      </c>
      <c r="Q3485" s="14">
        <v>174.87</v>
      </c>
      <c r="R3485" s="14">
        <v>209.84</v>
      </c>
      <c r="S3485" s="2" t="s">
        <v>6395</v>
      </c>
      <c r="T3485" s="2">
        <v>1.22</v>
      </c>
      <c r="U3485" s="2">
        <v>65.599999999999994</v>
      </c>
      <c r="V3485" s="2">
        <v>60</v>
      </c>
      <c r="W3485" s="2" t="s">
        <v>7862</v>
      </c>
      <c r="X3485" s="2" t="s">
        <v>7053</v>
      </c>
      <c r="Y3485" s="2">
        <v>8040</v>
      </c>
      <c r="Z3485" s="19" t="str">
        <f>HYPERLINK("https://ssdweb.co/ssdweb/hd/Vision360.html?d=831010691&amp;zoomslide=1&amp;z=1831010691&amp;ISCONFIRM=0","VIDEO")</f>
        <v>VIDEO</v>
      </c>
      <c r="AA3485" s="19" t="str">
        <f>HYPERLINK("https://ssdweb.co/ssdweb/CERTH/3445972864.pdf","CERTI")</f>
        <v>CERTI</v>
      </c>
    </row>
    <row r="3486" spans="1:27" ht="15" x14ac:dyDescent="0.25">
      <c r="A3486" s="2">
        <v>3481</v>
      </c>
      <c r="B3486" s="39">
        <v>924390407</v>
      </c>
      <c r="C3486" s="28" t="str">
        <f>HYPERLINK("https://pld.live/RapDetail.aspx?STONELIST=924390407","DNA")</f>
        <v>DNA</v>
      </c>
      <c r="D3486" s="18" t="s">
        <v>5235</v>
      </c>
      <c r="E3486" s="18" t="s">
        <v>5128</v>
      </c>
      <c r="F3486" s="2" t="s">
        <v>7987</v>
      </c>
      <c r="G3486" s="2" t="s">
        <v>7023</v>
      </c>
      <c r="H3486" s="14">
        <v>1.2</v>
      </c>
      <c r="I3486" s="2" t="s">
        <v>4761</v>
      </c>
      <c r="J3486" s="2" t="s">
        <v>7032</v>
      </c>
      <c r="K3486" s="2" t="s">
        <v>1452</v>
      </c>
      <c r="L3486" s="2" t="s">
        <v>5221</v>
      </c>
      <c r="M3486" s="2" t="s">
        <v>5221</v>
      </c>
      <c r="N3486" s="2" t="s">
        <v>2317</v>
      </c>
      <c r="O3486" s="14">
        <v>8200</v>
      </c>
      <c r="P3486" s="14">
        <v>97.06</v>
      </c>
      <c r="Q3486" s="14">
        <v>241.08</v>
      </c>
      <c r="R3486" s="14">
        <v>289.3</v>
      </c>
      <c r="S3486" s="2" t="s">
        <v>3534</v>
      </c>
      <c r="T3486" s="2">
        <v>1.21</v>
      </c>
      <c r="U3486" s="2">
        <v>67.3</v>
      </c>
      <c r="V3486" s="2">
        <v>57</v>
      </c>
      <c r="W3486" s="2" t="s">
        <v>7862</v>
      </c>
      <c r="X3486" s="2" t="s">
        <v>3851</v>
      </c>
      <c r="Y3486" s="2">
        <v>9840</v>
      </c>
      <c r="Z3486" s="19" t="str">
        <f>HYPERLINK("https://ssdweb.co/ssdweb/hd/Vision360.html?d=924390407&amp;zoomslide=1&amp;z=1924390407&amp;ISCONFIRM=0","VIDEO")</f>
        <v>VIDEO</v>
      </c>
      <c r="AA3486" s="19" t="str">
        <f>HYPERLINK("https://ssdweb.co/ssdweb/CERTH/591373200.pdf","CERTI")</f>
        <v>CERTI</v>
      </c>
    </row>
    <row r="3487" spans="1:27" ht="15" x14ac:dyDescent="0.25">
      <c r="A3487" s="2">
        <v>3482</v>
      </c>
      <c r="B3487" s="39">
        <v>925360423</v>
      </c>
      <c r="C3487" s="28" t="str">
        <f>HYPERLINK("https://pld.live/RapDetail.aspx?STONELIST=925360423","DNA")</f>
        <v>DNA</v>
      </c>
      <c r="D3487" s="18" t="s">
        <v>3054</v>
      </c>
      <c r="E3487" s="18" t="s">
        <v>5128</v>
      </c>
      <c r="F3487" s="2" t="s">
        <v>7987</v>
      </c>
      <c r="G3487" s="2" t="s">
        <v>7023</v>
      </c>
      <c r="H3487" s="14">
        <v>1.18</v>
      </c>
      <c r="I3487" s="2" t="s">
        <v>4761</v>
      </c>
      <c r="J3487" s="2" t="s">
        <v>13</v>
      </c>
      <c r="K3487" s="2" t="s">
        <v>1452</v>
      </c>
      <c r="L3487" s="2" t="s">
        <v>5221</v>
      </c>
      <c r="M3487" s="2" t="s">
        <v>5221</v>
      </c>
      <c r="N3487" s="2" t="s">
        <v>2317</v>
      </c>
      <c r="O3487" s="14">
        <v>6200</v>
      </c>
      <c r="P3487" s="14">
        <v>98.27</v>
      </c>
      <c r="Q3487" s="14">
        <v>107.26</v>
      </c>
      <c r="R3487" s="14">
        <v>126.57</v>
      </c>
      <c r="S3487" s="2" t="s">
        <v>1985</v>
      </c>
      <c r="T3487" s="2">
        <v>1.34</v>
      </c>
      <c r="U3487" s="2">
        <v>67.2</v>
      </c>
      <c r="V3487" s="2">
        <v>61</v>
      </c>
      <c r="W3487" s="2" t="s">
        <v>7862</v>
      </c>
      <c r="X3487" s="2" t="s">
        <v>3851</v>
      </c>
      <c r="Y3487" s="2">
        <v>7316</v>
      </c>
      <c r="Z3487" s="19" t="str">
        <f>HYPERLINK("https://ssdweb.co/ssdweb/hd/Vision360.html?d=925360423&amp;zoomslide=1&amp;z=1925360423&amp;ISCONFIRM=0","VIDEO")</f>
        <v>VIDEO</v>
      </c>
      <c r="AA3487" s="19" t="str">
        <f>HYPERLINK("https://ssdweb.co/ssdweb/CERTH/621448137.pdf","CERTI")</f>
        <v>CERTI</v>
      </c>
    </row>
    <row r="3488" spans="1:27" ht="15" x14ac:dyDescent="0.25">
      <c r="A3488" s="2">
        <v>3483</v>
      </c>
      <c r="B3488" s="39">
        <v>831010134</v>
      </c>
      <c r="C3488" s="28" t="str">
        <f>HYPERLINK("https://pld.live/RapDetail.aspx?STONELIST=831010134","DNA")</f>
        <v>DNA</v>
      </c>
      <c r="D3488" s="18" t="s">
        <v>3054</v>
      </c>
      <c r="E3488" s="18" t="s">
        <v>5128</v>
      </c>
      <c r="F3488" s="2" t="s">
        <v>5597</v>
      </c>
      <c r="G3488" s="2" t="s">
        <v>7023</v>
      </c>
      <c r="H3488" s="14">
        <v>1.17</v>
      </c>
      <c r="I3488" s="2" t="s">
        <v>267</v>
      </c>
      <c r="J3488" s="2" t="s">
        <v>2613</v>
      </c>
      <c r="K3488" s="2" t="s">
        <v>1452</v>
      </c>
      <c r="L3488" s="2" t="s">
        <v>5221</v>
      </c>
      <c r="M3488" s="2" t="s">
        <v>5221</v>
      </c>
      <c r="N3488" s="2" t="s">
        <v>2317</v>
      </c>
      <c r="O3488" s="14">
        <v>3900</v>
      </c>
      <c r="P3488" s="14">
        <v>96.03</v>
      </c>
      <c r="Q3488" s="14">
        <v>154.83000000000001</v>
      </c>
      <c r="R3488" s="14">
        <v>181.15</v>
      </c>
      <c r="S3488" s="2" t="s">
        <v>57</v>
      </c>
      <c r="T3488" s="2">
        <v>1.19</v>
      </c>
      <c r="U3488" s="2">
        <v>66.099999999999994</v>
      </c>
      <c r="V3488" s="2">
        <v>60</v>
      </c>
      <c r="W3488" s="2" t="s">
        <v>7862</v>
      </c>
      <c r="X3488" s="2" t="s">
        <v>7053</v>
      </c>
      <c r="Y3488" s="2">
        <v>4563</v>
      </c>
      <c r="Z3488" s="19" t="str">
        <f>HYPERLINK("https://ssdweb.co/ssdweb/hd/Vision360.html?d=831010134&amp;zoomslide=1&amp;z=1831010134&amp;ISCONFIRM=0","VIDEO")</f>
        <v>VIDEO</v>
      </c>
      <c r="AA3488" s="19" t="str">
        <f>HYPERLINK("https://ssdweb.co/ssdweb/CERTH/2447478754.pdf","CERTI")</f>
        <v>CERTI</v>
      </c>
    </row>
    <row r="3489" spans="1:27" ht="15" x14ac:dyDescent="0.25">
      <c r="A3489" s="2">
        <v>3484</v>
      </c>
      <c r="B3489" s="39">
        <v>924290524</v>
      </c>
      <c r="C3489" s="28" t="str">
        <f>HYPERLINK("https://pld.live/RapDetail.aspx?STONELIST=924290524","DNA")</f>
        <v>DNA</v>
      </c>
      <c r="D3489" s="18" t="s">
        <v>3054</v>
      </c>
      <c r="E3489" s="18" t="s">
        <v>2186</v>
      </c>
      <c r="F3489" s="2" t="s">
        <v>7987</v>
      </c>
      <c r="G3489" s="2" t="s">
        <v>7023</v>
      </c>
      <c r="H3489" s="14">
        <v>1.1299999999999999</v>
      </c>
      <c r="I3489" s="2" t="s">
        <v>1505</v>
      </c>
      <c r="J3489" s="2" t="s">
        <v>13</v>
      </c>
      <c r="K3489" s="2" t="s">
        <v>1452</v>
      </c>
      <c r="L3489" s="2" t="s">
        <v>5221</v>
      </c>
      <c r="M3489" s="2" t="s">
        <v>5221</v>
      </c>
      <c r="N3489" s="2" t="s">
        <v>2317</v>
      </c>
      <c r="O3489" s="14">
        <v>4600</v>
      </c>
      <c r="P3489" s="14">
        <v>97.8</v>
      </c>
      <c r="Q3489" s="14">
        <v>101.2</v>
      </c>
      <c r="R3489" s="14">
        <v>114.36</v>
      </c>
      <c r="S3489" s="2" t="s">
        <v>2560</v>
      </c>
      <c r="T3489" s="2">
        <v>1.48</v>
      </c>
      <c r="U3489" s="2">
        <v>61.4</v>
      </c>
      <c r="V3489" s="2">
        <v>62</v>
      </c>
      <c r="W3489" s="2" t="s">
        <v>8016</v>
      </c>
      <c r="X3489" s="2" t="s">
        <v>3851</v>
      </c>
      <c r="Y3489" s="2">
        <v>5198</v>
      </c>
      <c r="Z3489" s="19" t="str">
        <f>HYPERLINK("https://ssdweb.co/ssdweb/hd/Vision360.html?d=924290524&amp;zoomslide=1&amp;z=1924290524&amp;ISCONFIRM=0","VIDEO")</f>
        <v>VIDEO</v>
      </c>
      <c r="AA3489" s="19" t="str">
        <f>HYPERLINK("https://ssdweb.co/ssdweb/CERTH/591301329.pdf","CERTI")</f>
        <v>CERTI</v>
      </c>
    </row>
    <row r="3490" spans="1:27" ht="15" x14ac:dyDescent="0.25">
      <c r="A3490" s="2">
        <v>3485</v>
      </c>
      <c r="B3490" s="39">
        <v>926270765</v>
      </c>
      <c r="C3490" s="28" t="str">
        <f>HYPERLINK("https://pld.live/RapDetail.aspx?STONELIST=926270765","DNA")</f>
        <v>DNA</v>
      </c>
      <c r="D3490" s="18" t="s">
        <v>3054</v>
      </c>
      <c r="E3490" s="18" t="s">
        <v>5128</v>
      </c>
      <c r="F3490" s="2" t="s">
        <v>7987</v>
      </c>
      <c r="G3490" s="2" t="s">
        <v>7023</v>
      </c>
      <c r="H3490" s="14">
        <v>1.1200000000000001</v>
      </c>
      <c r="I3490" s="2" t="s">
        <v>4761</v>
      </c>
      <c r="J3490" s="2" t="s">
        <v>3942</v>
      </c>
      <c r="K3490" s="2" t="s">
        <v>1452</v>
      </c>
      <c r="L3490" s="2" t="s">
        <v>5221</v>
      </c>
      <c r="M3490" s="2" t="s">
        <v>5221</v>
      </c>
      <c r="N3490" s="2" t="s">
        <v>2317</v>
      </c>
      <c r="O3490" s="14">
        <v>6900</v>
      </c>
      <c r="P3490" s="14">
        <v>98.39</v>
      </c>
      <c r="Q3490" s="14">
        <v>111.09</v>
      </c>
      <c r="R3490" s="14">
        <v>124.42</v>
      </c>
      <c r="S3490" s="2" t="s">
        <v>466</v>
      </c>
      <c r="T3490" s="2">
        <v>1.25</v>
      </c>
      <c r="U3490" s="2">
        <v>65.400000000000006</v>
      </c>
      <c r="V3490" s="2">
        <v>59</v>
      </c>
      <c r="W3490" s="2" t="s">
        <v>7862</v>
      </c>
      <c r="X3490" s="2" t="s">
        <v>3851</v>
      </c>
      <c r="Y3490" s="2">
        <v>7728</v>
      </c>
      <c r="Z3490" s="19" t="str">
        <f>HYPERLINK("https://ssdweb.co/ssdweb/hd/Vision360.html?d=926270765&amp;zoomslide=1&amp;z=1926270765&amp;ISCONFIRM=0","VIDEO")</f>
        <v>VIDEO</v>
      </c>
      <c r="AA3490" s="19" t="str">
        <f>HYPERLINK("https://ssdweb.co/ssdweb/CERTH/638400126.pdf","CERTI")</f>
        <v>CERTI</v>
      </c>
    </row>
    <row r="3491" spans="1:27" ht="15" x14ac:dyDescent="0.25">
      <c r="A3491" s="2">
        <v>3486</v>
      </c>
      <c r="B3491" s="39">
        <v>926270796</v>
      </c>
      <c r="C3491" s="28" t="str">
        <f>HYPERLINK("https://pld.live/RapDetail.aspx?STONELIST=926270796","DNA")</f>
        <v>DNA</v>
      </c>
      <c r="D3491" s="18" t="s">
        <v>3054</v>
      </c>
      <c r="E3491" s="18" t="s">
        <v>5128</v>
      </c>
      <c r="F3491" s="2" t="s">
        <v>7987</v>
      </c>
      <c r="G3491" s="2" t="s">
        <v>7023</v>
      </c>
      <c r="H3491" s="14">
        <v>1.1100000000000001</v>
      </c>
      <c r="I3491" s="2" t="s">
        <v>4761</v>
      </c>
      <c r="J3491" s="2" t="s">
        <v>13</v>
      </c>
      <c r="K3491" s="2" t="s">
        <v>1452</v>
      </c>
      <c r="L3491" s="2" t="s">
        <v>5221</v>
      </c>
      <c r="M3491" s="2" t="s">
        <v>5221</v>
      </c>
      <c r="N3491" s="2" t="s">
        <v>2317</v>
      </c>
      <c r="O3491" s="14">
        <v>6200</v>
      </c>
      <c r="P3491" s="14">
        <v>98.24</v>
      </c>
      <c r="Q3491" s="14">
        <v>109.12</v>
      </c>
      <c r="R3491" s="14">
        <v>121.12</v>
      </c>
      <c r="S3491" s="2" t="s">
        <v>585</v>
      </c>
      <c r="T3491" s="2">
        <v>1.26</v>
      </c>
      <c r="U3491" s="2">
        <v>64.5</v>
      </c>
      <c r="V3491" s="2">
        <v>61</v>
      </c>
      <c r="W3491" s="2" t="s">
        <v>7862</v>
      </c>
      <c r="X3491" s="2" t="s">
        <v>3851</v>
      </c>
      <c r="Y3491" s="2">
        <v>6882</v>
      </c>
      <c r="Z3491" s="19" t="str">
        <f>HYPERLINK("https://ssdweb.co/ssdweb/hd/Vision360.html?d=926270796&amp;zoomslide=1&amp;z=1926270796&amp;ISCONFIRM=0","VIDEO")</f>
        <v>VIDEO</v>
      </c>
      <c r="AA3491" s="19" t="str">
        <f>HYPERLINK("https://ssdweb.co/ssdweb/CERTH/638463210.pdf","CERTI")</f>
        <v>CERTI</v>
      </c>
    </row>
    <row r="3492" spans="1:27" ht="15" x14ac:dyDescent="0.25">
      <c r="A3492" s="2">
        <v>3487</v>
      </c>
      <c r="B3492" s="39">
        <v>924390414</v>
      </c>
      <c r="C3492" s="28" t="str">
        <f>HYPERLINK("https://pld.live/RapDetail.aspx?STONELIST=924390414","DNA")</f>
        <v>DNA</v>
      </c>
      <c r="D3492" s="18" t="s">
        <v>3054</v>
      </c>
      <c r="E3492" s="18" t="s">
        <v>5128</v>
      </c>
      <c r="F3492" s="2" t="s">
        <v>5597</v>
      </c>
      <c r="G3492" s="2" t="s">
        <v>7023</v>
      </c>
      <c r="H3492" s="14">
        <v>1.1000000000000001</v>
      </c>
      <c r="I3492" s="2" t="s">
        <v>4761</v>
      </c>
      <c r="J3492" s="2" t="s">
        <v>6555</v>
      </c>
      <c r="K3492" s="2" t="s">
        <v>1452</v>
      </c>
      <c r="L3492" s="2" t="s">
        <v>5221</v>
      </c>
      <c r="M3492" s="2" t="s">
        <v>5221</v>
      </c>
      <c r="N3492" s="2" t="s">
        <v>2317</v>
      </c>
      <c r="O3492" s="14">
        <v>7500</v>
      </c>
      <c r="P3492" s="14">
        <v>98.16</v>
      </c>
      <c r="Q3492" s="14">
        <v>138</v>
      </c>
      <c r="R3492" s="14">
        <v>151.80000000000001</v>
      </c>
      <c r="S3492" s="2" t="s">
        <v>514</v>
      </c>
      <c r="T3492" s="2">
        <v>1.2</v>
      </c>
      <c r="U3492" s="2">
        <v>66.2</v>
      </c>
      <c r="V3492" s="2">
        <v>61</v>
      </c>
      <c r="W3492" s="2" t="s">
        <v>7862</v>
      </c>
      <c r="X3492" s="2" t="s">
        <v>7053</v>
      </c>
      <c r="Y3492" s="2">
        <v>8250</v>
      </c>
      <c r="Z3492" s="19" t="str">
        <f>HYPERLINK("https://ssdweb.co/ssdweb/hd/Vision360.html?d=924390414&amp;zoomslide=1&amp;z=1924390414&amp;ISCONFIRM=0","VIDEO")</f>
        <v>VIDEO</v>
      </c>
      <c r="AA3492" s="19" t="str">
        <f>HYPERLINK("https://ssdweb.co/ssdweb/CERTH/2476201458.pdf","CERTI")</f>
        <v>CERTI</v>
      </c>
    </row>
    <row r="3493" spans="1:27" ht="15" x14ac:dyDescent="0.25">
      <c r="A3493" s="2">
        <v>3488</v>
      </c>
      <c r="B3493" s="39">
        <v>926250074</v>
      </c>
      <c r="C3493" s="28" t="str">
        <f>HYPERLINK("https://pld.live/RapDetail.aspx?STONELIST=926250074","DNA")</f>
        <v>DNA</v>
      </c>
      <c r="D3493" s="18" t="s">
        <v>3054</v>
      </c>
      <c r="E3493" s="18" t="s">
        <v>5128</v>
      </c>
      <c r="F3493" s="2" t="s">
        <v>7987</v>
      </c>
      <c r="G3493" s="2" t="s">
        <v>7023</v>
      </c>
      <c r="H3493" s="14">
        <v>1.07</v>
      </c>
      <c r="I3493" s="2" t="s">
        <v>267</v>
      </c>
      <c r="J3493" s="2" t="s">
        <v>13</v>
      </c>
      <c r="K3493" s="2" t="s">
        <v>1452</v>
      </c>
      <c r="L3493" s="2" t="s">
        <v>5221</v>
      </c>
      <c r="M3493" s="2" t="s">
        <v>5221</v>
      </c>
      <c r="N3493" s="2" t="s">
        <v>2317</v>
      </c>
      <c r="O3493" s="14">
        <v>6700</v>
      </c>
      <c r="P3493" s="14">
        <v>98.33</v>
      </c>
      <c r="Q3493" s="14">
        <v>111.89</v>
      </c>
      <c r="R3493" s="14">
        <v>119.72</v>
      </c>
      <c r="S3493" s="2" t="s">
        <v>5660</v>
      </c>
      <c r="T3493" s="2">
        <v>1.2</v>
      </c>
      <c r="U3493" s="2">
        <v>65.900000000000006</v>
      </c>
      <c r="V3493" s="2">
        <v>61</v>
      </c>
      <c r="W3493" s="2" t="s">
        <v>7862</v>
      </c>
      <c r="X3493" s="2" t="s">
        <v>3851</v>
      </c>
      <c r="Y3493" s="2">
        <v>7169</v>
      </c>
      <c r="Z3493" s="19" t="str">
        <f>HYPERLINK("https://ssdweb.co/ssdweb/hd/Vision360.html?d=926250074&amp;zoomslide=1&amp;z=1926250074&amp;ISCONFIRM=0","VIDEO")</f>
        <v>VIDEO</v>
      </c>
      <c r="AA3493" s="19" t="str">
        <f>HYPERLINK("https://ssdweb.co/ssdweb/CERTH/635423975.pdf","CERTI")</f>
        <v>CERTI</v>
      </c>
    </row>
    <row r="3494" spans="1:27" ht="15" x14ac:dyDescent="0.25">
      <c r="A3494" s="2">
        <v>3489</v>
      </c>
      <c r="B3494" s="39">
        <v>926270798</v>
      </c>
      <c r="C3494" s="28" t="str">
        <f>HYPERLINK("https://pld.live/RapDetail.aspx?STONELIST=926270798","DNA")</f>
        <v>DNA</v>
      </c>
      <c r="D3494" s="18" t="s">
        <v>3054</v>
      </c>
      <c r="E3494" s="18" t="s">
        <v>5128</v>
      </c>
      <c r="F3494" s="2" t="s">
        <v>7987</v>
      </c>
      <c r="G3494" s="2" t="s">
        <v>7023</v>
      </c>
      <c r="H3494" s="14">
        <v>1.07</v>
      </c>
      <c r="I3494" s="2" t="s">
        <v>4761</v>
      </c>
      <c r="J3494" s="2" t="s">
        <v>3942</v>
      </c>
      <c r="K3494" s="2" t="s">
        <v>1452</v>
      </c>
      <c r="L3494" s="2" t="s">
        <v>5221</v>
      </c>
      <c r="M3494" s="2" t="s">
        <v>5221</v>
      </c>
      <c r="N3494" s="2" t="s">
        <v>2317</v>
      </c>
      <c r="O3494" s="14">
        <v>6900</v>
      </c>
      <c r="P3494" s="14">
        <v>98.39</v>
      </c>
      <c r="Q3494" s="14">
        <v>111.09</v>
      </c>
      <c r="R3494" s="14">
        <v>118.87</v>
      </c>
      <c r="S3494" s="2" t="s">
        <v>1747</v>
      </c>
      <c r="T3494" s="2">
        <v>1.21</v>
      </c>
      <c r="U3494" s="2">
        <v>66.400000000000006</v>
      </c>
      <c r="V3494" s="2">
        <v>60</v>
      </c>
      <c r="W3494" s="2" t="s">
        <v>7862</v>
      </c>
      <c r="X3494" s="2" t="s">
        <v>3851</v>
      </c>
      <c r="Y3494" s="2">
        <v>7383</v>
      </c>
      <c r="Z3494" s="19" t="str">
        <f>HYPERLINK("https://ssdweb.co/ssdweb/hd/Vision360.html?d=926270798&amp;zoomslide=1&amp;z=1926270798&amp;ISCONFIRM=0","VIDEO")</f>
        <v>VIDEO</v>
      </c>
      <c r="AA3494" s="19" t="str">
        <f>HYPERLINK("https://ssdweb.co/ssdweb/CERTH/638463212.pdf","CERTI")</f>
        <v>CERTI</v>
      </c>
    </row>
    <row r="3495" spans="1:27" ht="15" x14ac:dyDescent="0.25">
      <c r="A3495" s="2">
        <v>3490</v>
      </c>
      <c r="B3495" s="39">
        <v>926270808</v>
      </c>
      <c r="C3495" s="28" t="str">
        <f>HYPERLINK("https://pld.live/RapDetail.aspx?STONELIST=926270808","DNA")</f>
        <v>DNA</v>
      </c>
      <c r="D3495" s="18" t="s">
        <v>3054</v>
      </c>
      <c r="E3495" s="18" t="s">
        <v>5128</v>
      </c>
      <c r="F3495" s="2" t="s">
        <v>7987</v>
      </c>
      <c r="G3495" s="2" t="s">
        <v>7023</v>
      </c>
      <c r="H3495" s="14">
        <v>1.06</v>
      </c>
      <c r="I3495" s="2" t="s">
        <v>4761</v>
      </c>
      <c r="J3495" s="2" t="s">
        <v>13</v>
      </c>
      <c r="K3495" s="2" t="s">
        <v>1452</v>
      </c>
      <c r="L3495" s="2" t="s">
        <v>5221</v>
      </c>
      <c r="M3495" s="2" t="s">
        <v>5221</v>
      </c>
      <c r="N3495" s="2" t="s">
        <v>2317</v>
      </c>
      <c r="O3495" s="14">
        <v>6200</v>
      </c>
      <c r="P3495" s="14">
        <v>98.24</v>
      </c>
      <c r="Q3495" s="14">
        <v>109.12</v>
      </c>
      <c r="R3495" s="14">
        <v>115.67</v>
      </c>
      <c r="S3495" s="2" t="s">
        <v>2435</v>
      </c>
      <c r="T3495" s="2">
        <v>1.2</v>
      </c>
      <c r="U3495" s="2">
        <v>67.400000000000006</v>
      </c>
      <c r="V3495" s="2">
        <v>62</v>
      </c>
      <c r="W3495" s="2" t="s">
        <v>7862</v>
      </c>
      <c r="X3495" s="2" t="s">
        <v>3851</v>
      </c>
      <c r="Y3495" s="2">
        <v>6572</v>
      </c>
      <c r="Z3495" s="19" t="str">
        <f>HYPERLINK("https://ssdweb.co/ssdweb/hd/Vision360.html?d=926270808&amp;zoomslide=1&amp;z=1926270808&amp;ISCONFIRM=0","VIDEO")</f>
        <v>VIDEO</v>
      </c>
      <c r="AA3495" s="19" t="str">
        <f>HYPERLINK("https://ssdweb.co/ssdweb/CERTH/638463321.pdf","CERTI")</f>
        <v>CERTI</v>
      </c>
    </row>
    <row r="3496" spans="1:27" ht="15" x14ac:dyDescent="0.25">
      <c r="A3496" s="2">
        <v>3491</v>
      </c>
      <c r="B3496" s="39">
        <v>921610138</v>
      </c>
      <c r="C3496" s="28" t="str">
        <f>HYPERLINK("https://pld.live/RapDetail.aspx?STONELIST=921610138","DNA")</f>
        <v>DNA</v>
      </c>
      <c r="D3496" s="18" t="s">
        <v>3054</v>
      </c>
      <c r="E3496" s="18" t="s">
        <v>5128</v>
      </c>
      <c r="F3496" s="2" t="s">
        <v>5597</v>
      </c>
      <c r="G3496" s="2" t="s">
        <v>7023</v>
      </c>
      <c r="H3496" s="14">
        <v>1.05</v>
      </c>
      <c r="I3496" s="2" t="s">
        <v>267</v>
      </c>
      <c r="J3496" s="2" t="s">
        <v>3942</v>
      </c>
      <c r="K3496" s="2" t="s">
        <v>1452</v>
      </c>
      <c r="L3496" s="2" t="s">
        <v>5221</v>
      </c>
      <c r="M3496" s="2" t="s">
        <v>5721</v>
      </c>
      <c r="N3496" s="2" t="s">
        <v>2317</v>
      </c>
      <c r="O3496" s="14">
        <v>7600</v>
      </c>
      <c r="P3496" s="14">
        <v>97.59</v>
      </c>
      <c r="Q3496" s="14">
        <v>183.16</v>
      </c>
      <c r="R3496" s="14">
        <v>192.32</v>
      </c>
      <c r="S3496" s="2" t="s">
        <v>1003</v>
      </c>
      <c r="T3496" s="2">
        <v>1.21</v>
      </c>
      <c r="U3496" s="2">
        <v>64.5</v>
      </c>
      <c r="V3496" s="2">
        <v>63</v>
      </c>
      <c r="W3496" s="2" t="s">
        <v>7862</v>
      </c>
      <c r="X3496" s="2" t="s">
        <v>7053</v>
      </c>
      <c r="Y3496" s="2">
        <v>7980</v>
      </c>
      <c r="Z3496" s="19" t="str">
        <f>HYPERLINK("https://ssdweb.co/ssdweb/hd/Vision360.html?d=921610138&amp;zoomslide=1&amp;z=1921610138&amp;ISCONFIRM=0","VIDEO")</f>
        <v>VIDEO</v>
      </c>
      <c r="AA3496" s="19" t="str">
        <f>HYPERLINK("https://ssdweb.co/ssdweb/CERTH/1409392658.pdf","CERTI")</f>
        <v>CERTI</v>
      </c>
    </row>
    <row r="3497" spans="1:27" ht="15" x14ac:dyDescent="0.25">
      <c r="A3497" s="2">
        <v>3492</v>
      </c>
      <c r="B3497" s="39">
        <v>926210869</v>
      </c>
      <c r="C3497" s="28" t="str">
        <f>HYPERLINK("https://pld.live/RapDetail.aspx?STONELIST=926210869","DNA")</f>
        <v>DNA</v>
      </c>
      <c r="D3497" s="18" t="s">
        <v>3054</v>
      </c>
      <c r="E3497" s="18" t="s">
        <v>5128</v>
      </c>
      <c r="F3497" s="2" t="s">
        <v>7987</v>
      </c>
      <c r="G3497" s="2" t="s">
        <v>7023</v>
      </c>
      <c r="H3497" s="14">
        <v>1.05</v>
      </c>
      <c r="I3497" s="2" t="s">
        <v>4761</v>
      </c>
      <c r="J3497" s="2" t="s">
        <v>3942</v>
      </c>
      <c r="K3497" s="2" t="s">
        <v>1452</v>
      </c>
      <c r="L3497" s="2" t="s">
        <v>5221</v>
      </c>
      <c r="M3497" s="2" t="s">
        <v>5221</v>
      </c>
      <c r="N3497" s="2" t="s">
        <v>2317</v>
      </c>
      <c r="O3497" s="14">
        <v>6900</v>
      </c>
      <c r="P3497" s="14">
        <v>98.39</v>
      </c>
      <c r="Q3497" s="14">
        <v>111.09</v>
      </c>
      <c r="R3497" s="14">
        <v>116.64</v>
      </c>
      <c r="S3497" s="2" t="s">
        <v>18</v>
      </c>
      <c r="T3497" s="2">
        <v>1.19</v>
      </c>
      <c r="U3497" s="2">
        <v>68.099999999999994</v>
      </c>
      <c r="V3497" s="2">
        <v>59</v>
      </c>
      <c r="W3497" s="2" t="s">
        <v>7862</v>
      </c>
      <c r="X3497" s="2" t="s">
        <v>3851</v>
      </c>
      <c r="Y3497" s="2">
        <v>7245</v>
      </c>
      <c r="Z3497" s="19" t="str">
        <f>HYPERLINK("https://ssdweb.co/ssdweb/hd/Vision360.html?d=926210869&amp;zoomslide=1&amp;z=1926210869&amp;ISCONFIRM=0","VIDEO")</f>
        <v>VIDEO</v>
      </c>
      <c r="AA3497" s="19" t="str">
        <f>HYPERLINK("https://ssdweb.co/ssdweb/CERTH/635427016.pdf","CERTI")</f>
        <v>CERTI</v>
      </c>
    </row>
    <row r="3498" spans="1:27" ht="15" x14ac:dyDescent="0.25">
      <c r="A3498" s="2">
        <v>3493</v>
      </c>
      <c r="B3498" s="39">
        <v>926270789</v>
      </c>
      <c r="C3498" s="28" t="str">
        <f>HYPERLINK("https://pld.live/RapDetail.aspx?STONELIST=926270789","DNA")</f>
        <v>DNA</v>
      </c>
      <c r="D3498" s="18" t="s">
        <v>3054</v>
      </c>
      <c r="E3498" s="18" t="s">
        <v>5128</v>
      </c>
      <c r="F3498" s="2" t="s">
        <v>7987</v>
      </c>
      <c r="G3498" s="2" t="s">
        <v>7023</v>
      </c>
      <c r="H3498" s="14">
        <v>1.05</v>
      </c>
      <c r="I3498" s="2" t="s">
        <v>4761</v>
      </c>
      <c r="J3498" s="2" t="s">
        <v>3942</v>
      </c>
      <c r="K3498" s="2" t="s">
        <v>1452</v>
      </c>
      <c r="L3498" s="2" t="s">
        <v>5221</v>
      </c>
      <c r="M3498" s="2" t="s">
        <v>5221</v>
      </c>
      <c r="N3498" s="2" t="s">
        <v>2317</v>
      </c>
      <c r="O3498" s="14">
        <v>6900</v>
      </c>
      <c r="P3498" s="14">
        <v>98.39</v>
      </c>
      <c r="Q3498" s="14">
        <v>111.09</v>
      </c>
      <c r="R3498" s="14">
        <v>116.64</v>
      </c>
      <c r="S3498" s="2" t="s">
        <v>7263</v>
      </c>
      <c r="T3498" s="2">
        <v>1.23</v>
      </c>
      <c r="U3498" s="2">
        <v>65.900000000000006</v>
      </c>
      <c r="V3498" s="2">
        <v>58</v>
      </c>
      <c r="W3498" s="2" t="s">
        <v>7862</v>
      </c>
      <c r="X3498" s="2" t="s">
        <v>3851</v>
      </c>
      <c r="Y3498" s="2">
        <v>7245</v>
      </c>
      <c r="Z3498" s="19" t="str">
        <f>HYPERLINK("https://ssdweb.co/ssdweb/hd/Vision360.html?d=926270789&amp;zoomslide=1&amp;z=1926270789&amp;ISCONFIRM=0","VIDEO")</f>
        <v>VIDEO</v>
      </c>
      <c r="AA3498" s="19" t="str">
        <f>HYPERLINK("https://ssdweb.co/ssdweb/CERTH/638463386.pdf","CERTI")</f>
        <v>CERTI</v>
      </c>
    </row>
    <row r="3499" spans="1:27" ht="15" x14ac:dyDescent="0.25">
      <c r="A3499" s="2">
        <v>3494</v>
      </c>
      <c r="B3499" s="39">
        <v>926250073</v>
      </c>
      <c r="C3499" s="28" t="str">
        <f>HYPERLINK("https://pld.live/RapDetail.aspx?STONELIST=926250073","DNA")</f>
        <v>DNA</v>
      </c>
      <c r="D3499" s="18" t="s">
        <v>3054</v>
      </c>
      <c r="E3499" s="18" t="s">
        <v>5128</v>
      </c>
      <c r="F3499" s="2" t="s">
        <v>7987</v>
      </c>
      <c r="G3499" s="2" t="s">
        <v>7023</v>
      </c>
      <c r="H3499" s="14">
        <v>1.05</v>
      </c>
      <c r="I3499" s="2" t="s">
        <v>4761</v>
      </c>
      <c r="J3499" s="2" t="s">
        <v>13</v>
      </c>
      <c r="K3499" s="2" t="s">
        <v>1452</v>
      </c>
      <c r="L3499" s="2" t="s">
        <v>5221</v>
      </c>
      <c r="M3499" s="2" t="s">
        <v>5221</v>
      </c>
      <c r="N3499" s="2" t="s">
        <v>2317</v>
      </c>
      <c r="O3499" s="14">
        <v>6200</v>
      </c>
      <c r="P3499" s="14">
        <v>98.24</v>
      </c>
      <c r="Q3499" s="14">
        <v>109.12</v>
      </c>
      <c r="R3499" s="14">
        <v>114.58</v>
      </c>
      <c r="S3499" s="2" t="s">
        <v>6903</v>
      </c>
      <c r="T3499" s="2">
        <v>1.36</v>
      </c>
      <c r="U3499" s="2">
        <v>65.400000000000006</v>
      </c>
      <c r="V3499" s="2">
        <v>59</v>
      </c>
      <c r="W3499" s="2" t="s">
        <v>7862</v>
      </c>
      <c r="X3499" s="2" t="s">
        <v>3851</v>
      </c>
      <c r="Y3499" s="2">
        <v>6510</v>
      </c>
      <c r="Z3499" s="19" t="str">
        <f>HYPERLINK("https://ssdweb.co/ssdweb/hd/Vision360.html?d=926250073&amp;zoomslide=1&amp;z=1926250073&amp;ISCONFIRM=0","VIDEO")</f>
        <v>VIDEO</v>
      </c>
      <c r="AA3499" s="19" t="str">
        <f>HYPERLINK("https://ssdweb.co/ssdweb/CERTH/635423974.pdf","CERTI")</f>
        <v>CERTI</v>
      </c>
    </row>
    <row r="3500" spans="1:27" ht="15" x14ac:dyDescent="0.25">
      <c r="A3500" s="2">
        <v>3495</v>
      </c>
      <c r="B3500" s="39">
        <v>926270809</v>
      </c>
      <c r="C3500" s="28" t="str">
        <f>HYPERLINK("https://pld.live/RapDetail.aspx?STONELIST=926270809","DNA")</f>
        <v>DNA</v>
      </c>
      <c r="D3500" s="18" t="s">
        <v>3054</v>
      </c>
      <c r="E3500" s="18" t="s">
        <v>5128</v>
      </c>
      <c r="F3500" s="2" t="s">
        <v>7987</v>
      </c>
      <c r="G3500" s="2" t="s">
        <v>7023</v>
      </c>
      <c r="H3500" s="14">
        <v>1.05</v>
      </c>
      <c r="I3500" s="2" t="s">
        <v>4761</v>
      </c>
      <c r="J3500" s="2" t="s">
        <v>13</v>
      </c>
      <c r="K3500" s="2" t="s">
        <v>1452</v>
      </c>
      <c r="L3500" s="2" t="s">
        <v>5221</v>
      </c>
      <c r="M3500" s="2" t="s">
        <v>5221</v>
      </c>
      <c r="N3500" s="2" t="s">
        <v>2317</v>
      </c>
      <c r="O3500" s="14">
        <v>6200</v>
      </c>
      <c r="P3500" s="14">
        <v>98.24</v>
      </c>
      <c r="Q3500" s="14">
        <v>109.12</v>
      </c>
      <c r="R3500" s="14">
        <v>114.58</v>
      </c>
      <c r="S3500" s="2" t="s">
        <v>215</v>
      </c>
      <c r="T3500" s="2">
        <v>1.21</v>
      </c>
      <c r="U3500" s="2">
        <v>67.5</v>
      </c>
      <c r="V3500" s="2">
        <v>62</v>
      </c>
      <c r="W3500" s="2" t="s">
        <v>7862</v>
      </c>
      <c r="X3500" s="2" t="s">
        <v>3851</v>
      </c>
      <c r="Y3500" s="2">
        <v>6510</v>
      </c>
      <c r="Z3500" s="19" t="str">
        <f>HYPERLINK("https://ssdweb.co/ssdweb/hd/Vision360.html?d=926270809&amp;zoomslide=1&amp;z=1926270809&amp;ISCONFIRM=0","VIDEO")</f>
        <v>VIDEO</v>
      </c>
      <c r="AA3500" s="19" t="str">
        <f>HYPERLINK("https://ssdweb.co/ssdweb/CERTH/638463322.pdf","CERTI")</f>
        <v>CERTI</v>
      </c>
    </row>
    <row r="3501" spans="1:27" ht="15" x14ac:dyDescent="0.25">
      <c r="A3501" s="2">
        <v>3496</v>
      </c>
      <c r="B3501" s="39">
        <v>926210858</v>
      </c>
      <c r="C3501" s="28" t="str">
        <f>HYPERLINK("https://pld.live/RapDetail.aspx?STONELIST=926210858","DNA")</f>
        <v>DNA</v>
      </c>
      <c r="D3501" s="18" t="s">
        <v>3054</v>
      </c>
      <c r="E3501" s="18" t="s">
        <v>5128</v>
      </c>
      <c r="F3501" s="2" t="s">
        <v>7987</v>
      </c>
      <c r="G3501" s="2" t="s">
        <v>7023</v>
      </c>
      <c r="H3501" s="14">
        <v>1.04</v>
      </c>
      <c r="I3501" s="2" t="s">
        <v>267</v>
      </c>
      <c r="J3501" s="2" t="s">
        <v>6555</v>
      </c>
      <c r="K3501" s="2" t="s">
        <v>1452</v>
      </c>
      <c r="L3501" s="2" t="s">
        <v>5221</v>
      </c>
      <c r="M3501" s="2" t="s">
        <v>5221</v>
      </c>
      <c r="N3501" s="2" t="s">
        <v>2317</v>
      </c>
      <c r="O3501" s="14">
        <v>8200</v>
      </c>
      <c r="P3501" s="14">
        <v>98.22</v>
      </c>
      <c r="Q3501" s="14">
        <v>145.96</v>
      </c>
      <c r="R3501" s="14">
        <v>151.80000000000001</v>
      </c>
      <c r="S3501" s="2" t="s">
        <v>6901</v>
      </c>
      <c r="T3501" s="2">
        <v>1.29</v>
      </c>
      <c r="U3501" s="2">
        <v>67.2</v>
      </c>
      <c r="V3501" s="2">
        <v>61</v>
      </c>
      <c r="W3501" s="2" t="s">
        <v>7862</v>
      </c>
      <c r="X3501" s="2" t="s">
        <v>3851</v>
      </c>
      <c r="Y3501" s="2">
        <v>8528</v>
      </c>
      <c r="Z3501" s="19" t="str">
        <f>HYPERLINK("https://ssdweb.co/ssdweb/hd/Vision360.html?d=926210858&amp;zoomslide=1&amp;z=1926210858&amp;ISCONFIRM=0","VIDEO")</f>
        <v>VIDEO</v>
      </c>
      <c r="AA3501" s="19" t="str">
        <f>HYPERLINK("https://ssdweb.co/ssdweb/CERTH/635426953.pdf","CERTI")</f>
        <v>CERTI</v>
      </c>
    </row>
    <row r="3502" spans="1:27" ht="15" x14ac:dyDescent="0.25">
      <c r="A3502" s="2">
        <v>3497</v>
      </c>
      <c r="B3502" s="39">
        <v>926270804</v>
      </c>
      <c r="C3502" s="28" t="str">
        <f>HYPERLINK("https://pld.live/RapDetail.aspx?STONELIST=926270804","DNA")</f>
        <v>DNA</v>
      </c>
      <c r="D3502" s="18" t="s">
        <v>3054</v>
      </c>
      <c r="E3502" s="18" t="s">
        <v>5128</v>
      </c>
      <c r="F3502" s="2" t="s">
        <v>7987</v>
      </c>
      <c r="G3502" s="2" t="s">
        <v>7023</v>
      </c>
      <c r="H3502" s="14">
        <v>1.04</v>
      </c>
      <c r="I3502" s="2" t="s">
        <v>267</v>
      </c>
      <c r="J3502" s="2" t="s">
        <v>3942</v>
      </c>
      <c r="K3502" s="2" t="s">
        <v>1452</v>
      </c>
      <c r="L3502" s="2" t="s">
        <v>5221</v>
      </c>
      <c r="M3502" s="2" t="s">
        <v>5221</v>
      </c>
      <c r="N3502" s="2" t="s">
        <v>2317</v>
      </c>
      <c r="O3502" s="14">
        <v>7600</v>
      </c>
      <c r="P3502" s="14">
        <v>98.5</v>
      </c>
      <c r="Q3502" s="14">
        <v>114</v>
      </c>
      <c r="R3502" s="14">
        <v>118.56</v>
      </c>
      <c r="S3502" s="2" t="s">
        <v>1031</v>
      </c>
      <c r="T3502" s="2">
        <v>1.21</v>
      </c>
      <c r="U3502" s="2">
        <v>63.7</v>
      </c>
      <c r="V3502" s="2">
        <v>62</v>
      </c>
      <c r="W3502" s="2" t="s">
        <v>7862</v>
      </c>
      <c r="X3502" s="2" t="s">
        <v>3851</v>
      </c>
      <c r="Y3502" s="2">
        <v>7904</v>
      </c>
      <c r="Z3502" s="19" t="str">
        <f>HYPERLINK("https://ssdweb.co/ssdweb/hd/Vision360.html?d=926270804&amp;zoomslide=1&amp;z=1926270804&amp;ISCONFIRM=0","VIDEO")</f>
        <v>VIDEO</v>
      </c>
      <c r="AA3502" s="19" t="str">
        <f>HYPERLINK("https://ssdweb.co/ssdweb/CERTH/638463318.pdf","CERTI")</f>
        <v>CERTI</v>
      </c>
    </row>
    <row r="3503" spans="1:27" ht="15" x14ac:dyDescent="0.25">
      <c r="A3503" s="2">
        <v>3498</v>
      </c>
      <c r="B3503" s="39">
        <v>926210631</v>
      </c>
      <c r="C3503" s="28" t="str">
        <f>HYPERLINK("https://pld.live/RapDetail.aspx?STONELIST=926210631","DNA")</f>
        <v>DNA</v>
      </c>
      <c r="D3503" s="18" t="s">
        <v>3054</v>
      </c>
      <c r="E3503" s="18" t="s">
        <v>5128</v>
      </c>
      <c r="F3503" s="2" t="s">
        <v>7987</v>
      </c>
      <c r="G3503" s="2" t="s">
        <v>7023</v>
      </c>
      <c r="H3503" s="14">
        <v>1.04</v>
      </c>
      <c r="I3503" s="2" t="s">
        <v>4761</v>
      </c>
      <c r="J3503" s="2" t="s">
        <v>3942</v>
      </c>
      <c r="K3503" s="2" t="s">
        <v>1452</v>
      </c>
      <c r="L3503" s="2" t="s">
        <v>5221</v>
      </c>
      <c r="M3503" s="2" t="s">
        <v>5221</v>
      </c>
      <c r="N3503" s="2" t="s">
        <v>2317</v>
      </c>
      <c r="O3503" s="14">
        <v>6900</v>
      </c>
      <c r="P3503" s="14">
        <v>98.39</v>
      </c>
      <c r="Q3503" s="14">
        <v>111.09</v>
      </c>
      <c r="R3503" s="14">
        <v>115.53</v>
      </c>
      <c r="S3503" s="2" t="s">
        <v>3490</v>
      </c>
      <c r="T3503" s="2">
        <v>1.2</v>
      </c>
      <c r="U3503" s="2">
        <v>68</v>
      </c>
      <c r="V3503" s="2">
        <v>65</v>
      </c>
      <c r="W3503" s="2" t="s">
        <v>7862</v>
      </c>
      <c r="X3503" s="2" t="s">
        <v>3851</v>
      </c>
      <c r="Y3503" s="2">
        <v>7176</v>
      </c>
      <c r="Z3503" s="19" t="str">
        <f>HYPERLINK("https://ssdweb.co/ssdweb/hd/Vision360.html?d=926210631&amp;zoomslide=1&amp;z=1926210631&amp;ISCONFIRM=0","VIDEO")</f>
        <v>VIDEO</v>
      </c>
      <c r="AA3503" s="19" t="str">
        <f>HYPERLINK("https://ssdweb.co/ssdweb/CERTH/635423954.pdf","CERTI")</f>
        <v>CERTI</v>
      </c>
    </row>
    <row r="3504" spans="1:27" ht="15" x14ac:dyDescent="0.25">
      <c r="A3504" s="2">
        <v>3499</v>
      </c>
      <c r="B3504" s="39">
        <v>924410356</v>
      </c>
      <c r="C3504" s="28" t="str">
        <f>HYPERLINK("https://pld.live/RapDetail.aspx?STONELIST=924410356","DNA")</f>
        <v>DNA</v>
      </c>
      <c r="D3504" s="18" t="s">
        <v>3054</v>
      </c>
      <c r="E3504" s="18" t="s">
        <v>2186</v>
      </c>
      <c r="F3504" s="2" t="s">
        <v>5597</v>
      </c>
      <c r="G3504" s="2" t="s">
        <v>7023</v>
      </c>
      <c r="H3504" s="14">
        <v>1.04</v>
      </c>
      <c r="I3504" s="2" t="s">
        <v>4699</v>
      </c>
      <c r="J3504" s="2" t="s">
        <v>5144</v>
      </c>
      <c r="K3504" s="2" t="s">
        <v>1452</v>
      </c>
      <c r="L3504" s="2" t="s">
        <v>5221</v>
      </c>
      <c r="M3504" s="2" t="s">
        <v>5221</v>
      </c>
      <c r="N3504" s="2" t="s">
        <v>2317</v>
      </c>
      <c r="O3504" s="14">
        <v>5100</v>
      </c>
      <c r="P3504" s="14">
        <v>96.82</v>
      </c>
      <c r="Q3504" s="14">
        <v>162.18</v>
      </c>
      <c r="R3504" s="14">
        <v>168.67</v>
      </c>
      <c r="S3504" s="2" t="s">
        <v>3864</v>
      </c>
      <c r="T3504" s="2">
        <v>1.2</v>
      </c>
      <c r="U3504" s="2">
        <v>63.4</v>
      </c>
      <c r="V3504" s="2">
        <v>60</v>
      </c>
      <c r="W3504" s="2" t="s">
        <v>7862</v>
      </c>
      <c r="X3504" s="2" t="s">
        <v>7053</v>
      </c>
      <c r="Y3504" s="2">
        <v>5304</v>
      </c>
      <c r="Z3504" s="19" t="str">
        <f>HYPERLINK("https://ssdweb.co/ssdweb/hd/Vision360.html?d=924410356&amp;zoomslide=1&amp;z=1924410356&amp;ISCONFIRM=0","VIDEO")</f>
        <v>VIDEO</v>
      </c>
      <c r="AA3504" s="19" t="str">
        <f>HYPERLINK("https://ssdweb.co/ssdweb/CERTH/3475259111.pdf","CERTI")</f>
        <v>CERTI</v>
      </c>
    </row>
    <row r="3505" spans="1:27" ht="15" x14ac:dyDescent="0.25">
      <c r="A3505" s="2">
        <v>3500</v>
      </c>
      <c r="B3505" s="39">
        <v>926270806</v>
      </c>
      <c r="C3505" s="28" t="str">
        <f>HYPERLINK("https://pld.live/RapDetail.aspx?STONELIST=926270806","DNA")</f>
        <v>DNA</v>
      </c>
      <c r="D3505" s="18" t="s">
        <v>3054</v>
      </c>
      <c r="E3505" s="18" t="s">
        <v>5128</v>
      </c>
      <c r="F3505" s="2" t="s">
        <v>7987</v>
      </c>
      <c r="G3505" s="2" t="s">
        <v>7023</v>
      </c>
      <c r="H3505" s="14">
        <v>1.03</v>
      </c>
      <c r="I3505" s="2" t="s">
        <v>267</v>
      </c>
      <c r="J3505" s="2" t="s">
        <v>3942</v>
      </c>
      <c r="K3505" s="2" t="s">
        <v>1452</v>
      </c>
      <c r="L3505" s="2" t="s">
        <v>5221</v>
      </c>
      <c r="M3505" s="2" t="s">
        <v>5221</v>
      </c>
      <c r="N3505" s="2" t="s">
        <v>2317</v>
      </c>
      <c r="O3505" s="14">
        <v>7600</v>
      </c>
      <c r="P3505" s="14">
        <v>98.5</v>
      </c>
      <c r="Q3505" s="14">
        <v>114</v>
      </c>
      <c r="R3505" s="14">
        <v>117.42</v>
      </c>
      <c r="S3505" s="2" t="s">
        <v>5464</v>
      </c>
      <c r="T3505" s="2">
        <v>1.27</v>
      </c>
      <c r="U3505" s="2">
        <v>64.8</v>
      </c>
      <c r="V3505" s="2">
        <v>62</v>
      </c>
      <c r="W3505" s="2" t="s">
        <v>7862</v>
      </c>
      <c r="X3505" s="2" t="s">
        <v>3851</v>
      </c>
      <c r="Y3505" s="2">
        <v>7828</v>
      </c>
      <c r="Z3505" s="19" t="str">
        <f>HYPERLINK("https://ssdweb.co/ssdweb/hd/Vision360.html?d=926270806&amp;zoomslide=1&amp;z=1926270806&amp;ISCONFIRM=0","VIDEO")</f>
        <v>VIDEO</v>
      </c>
      <c r="AA3505" s="19" t="str">
        <f>HYPERLINK("https://ssdweb.co/ssdweb/CERTH/638463320.pdf","CERTI")</f>
        <v>CERTI</v>
      </c>
    </row>
    <row r="3506" spans="1:27" ht="15" x14ac:dyDescent="0.25">
      <c r="A3506" s="2">
        <v>3501</v>
      </c>
      <c r="B3506" s="39">
        <v>926270817</v>
      </c>
      <c r="C3506" s="28" t="str">
        <f>HYPERLINK("https://pld.live/RapDetail.aspx?STONELIST=926270817","DNA")</f>
        <v>DNA</v>
      </c>
      <c r="D3506" s="18" t="s">
        <v>3054</v>
      </c>
      <c r="E3506" s="18" t="s">
        <v>5128</v>
      </c>
      <c r="F3506" s="2" t="s">
        <v>7987</v>
      </c>
      <c r="G3506" s="2" t="s">
        <v>7023</v>
      </c>
      <c r="H3506" s="14">
        <v>1.03</v>
      </c>
      <c r="I3506" s="2" t="s">
        <v>267</v>
      </c>
      <c r="J3506" s="2" t="s">
        <v>3942</v>
      </c>
      <c r="K3506" s="2" t="s">
        <v>1452</v>
      </c>
      <c r="L3506" s="2" t="s">
        <v>5221</v>
      </c>
      <c r="M3506" s="2" t="s">
        <v>5221</v>
      </c>
      <c r="N3506" s="2" t="s">
        <v>2317</v>
      </c>
      <c r="O3506" s="14">
        <v>7600</v>
      </c>
      <c r="P3506" s="14">
        <v>98.5</v>
      </c>
      <c r="Q3506" s="14">
        <v>114</v>
      </c>
      <c r="R3506" s="14">
        <v>117.42</v>
      </c>
      <c r="S3506" s="2" t="s">
        <v>144</v>
      </c>
      <c r="T3506" s="2">
        <v>1.26</v>
      </c>
      <c r="U3506" s="2">
        <v>63.3</v>
      </c>
      <c r="V3506" s="2">
        <v>61</v>
      </c>
      <c r="W3506" s="2" t="s">
        <v>7862</v>
      </c>
      <c r="X3506" s="2" t="s">
        <v>3851</v>
      </c>
      <c r="Y3506" s="2">
        <v>7828</v>
      </c>
      <c r="Z3506" s="19" t="str">
        <f>HYPERLINK("https://ssdweb.co/ssdweb/hd/Vision360.html?d=926270817&amp;zoomslide=1&amp;z=1926270817&amp;ISCONFIRM=0","VIDEO")</f>
        <v>VIDEO</v>
      </c>
      <c r="AA3506" s="19" t="str">
        <f>HYPERLINK("https://ssdweb.co/ssdweb/CERTH/638463329.pdf","CERTI")</f>
        <v>CERTI</v>
      </c>
    </row>
    <row r="3507" spans="1:27" ht="15" x14ac:dyDescent="0.25">
      <c r="A3507" s="2">
        <v>3502</v>
      </c>
      <c r="B3507" s="39">
        <v>926250446</v>
      </c>
      <c r="C3507" s="28" t="str">
        <f>HYPERLINK("https://pld.live/RapDetail.aspx?STONELIST=926250446","DNA")</f>
        <v>DNA</v>
      </c>
      <c r="D3507" s="18" t="s">
        <v>3054</v>
      </c>
      <c r="E3507" s="18" t="s">
        <v>5128</v>
      </c>
      <c r="F3507" s="2" t="s">
        <v>7987</v>
      </c>
      <c r="G3507" s="2" t="s">
        <v>7023</v>
      </c>
      <c r="H3507" s="14">
        <v>1.03</v>
      </c>
      <c r="I3507" s="2" t="s">
        <v>267</v>
      </c>
      <c r="J3507" s="2" t="s">
        <v>13</v>
      </c>
      <c r="K3507" s="2" t="s">
        <v>1452</v>
      </c>
      <c r="L3507" s="2" t="s">
        <v>5221</v>
      </c>
      <c r="M3507" s="2" t="s">
        <v>5221</v>
      </c>
      <c r="N3507" s="2" t="s">
        <v>2317</v>
      </c>
      <c r="O3507" s="14">
        <v>6700</v>
      </c>
      <c r="P3507" s="14">
        <v>98.33</v>
      </c>
      <c r="Q3507" s="14">
        <v>111.89</v>
      </c>
      <c r="R3507" s="14">
        <v>115.25</v>
      </c>
      <c r="S3507" s="2" t="s">
        <v>4364</v>
      </c>
      <c r="T3507" s="2">
        <v>1.27</v>
      </c>
      <c r="U3507" s="2">
        <v>67</v>
      </c>
      <c r="V3507" s="2">
        <v>61</v>
      </c>
      <c r="W3507" s="2" t="s">
        <v>7862</v>
      </c>
      <c r="X3507" s="2" t="s">
        <v>3851</v>
      </c>
      <c r="Y3507" s="2">
        <v>6901</v>
      </c>
      <c r="Z3507" s="19" t="str">
        <f>HYPERLINK("https://ssdweb.co/ssdweb/hd/Vision360.html?d=926250446&amp;zoomslide=1&amp;z=1926250446&amp;ISCONFIRM=0","VIDEO")</f>
        <v>VIDEO</v>
      </c>
      <c r="AA3507" s="19" t="str">
        <f>HYPERLINK("https://ssdweb.co/ssdweb/CERTH/638463373.pdf","CERTI")</f>
        <v>CERTI</v>
      </c>
    </row>
    <row r="3508" spans="1:27" ht="15" x14ac:dyDescent="0.25">
      <c r="A3508" s="2">
        <v>3503</v>
      </c>
      <c r="B3508" s="39">
        <v>926250440</v>
      </c>
      <c r="C3508" s="28" t="str">
        <f>HYPERLINK("https://pld.live/RapDetail.aspx?STONELIST=926250440","DNA")</f>
        <v>DNA</v>
      </c>
      <c r="D3508" s="18" t="s">
        <v>3054</v>
      </c>
      <c r="E3508" s="18" t="s">
        <v>5128</v>
      </c>
      <c r="F3508" s="2" t="s">
        <v>7987</v>
      </c>
      <c r="G3508" s="2" t="s">
        <v>7023</v>
      </c>
      <c r="H3508" s="14">
        <v>1.03</v>
      </c>
      <c r="I3508" s="2" t="s">
        <v>267</v>
      </c>
      <c r="J3508" s="2" t="s">
        <v>13</v>
      </c>
      <c r="K3508" s="2" t="s">
        <v>1452</v>
      </c>
      <c r="L3508" s="2" t="s">
        <v>5221</v>
      </c>
      <c r="M3508" s="2" t="s">
        <v>5221</v>
      </c>
      <c r="N3508" s="2" t="s">
        <v>2317</v>
      </c>
      <c r="O3508" s="14">
        <v>6700</v>
      </c>
      <c r="P3508" s="14">
        <v>98.33</v>
      </c>
      <c r="Q3508" s="14">
        <v>111.89</v>
      </c>
      <c r="R3508" s="14">
        <v>115.25</v>
      </c>
      <c r="S3508" s="2" t="s">
        <v>816</v>
      </c>
      <c r="T3508" s="2">
        <v>1.32</v>
      </c>
      <c r="U3508" s="2">
        <v>67.599999999999994</v>
      </c>
      <c r="V3508" s="2">
        <v>60</v>
      </c>
      <c r="W3508" s="2" t="s">
        <v>7862</v>
      </c>
      <c r="X3508" s="2" t="s">
        <v>3851</v>
      </c>
      <c r="Y3508" s="2">
        <v>6901</v>
      </c>
      <c r="Z3508" s="19" t="str">
        <f>HYPERLINK("https://ssdweb.co/ssdweb/hd/Vision360.html?d=926250440&amp;zoomslide=1&amp;z=1926250440&amp;ISCONFIRM=0","VIDEO")</f>
        <v>VIDEO</v>
      </c>
      <c r="AA3508" s="19" t="str">
        <f>HYPERLINK("https://ssdweb.co/ssdweb/CERTH/638463368.pdf","CERTI")</f>
        <v>CERTI</v>
      </c>
    </row>
    <row r="3509" spans="1:27" ht="15" x14ac:dyDescent="0.25">
      <c r="A3509" s="2">
        <v>3504</v>
      </c>
      <c r="B3509" s="39">
        <v>926250107</v>
      </c>
      <c r="C3509" s="28" t="str">
        <f>HYPERLINK("https://pld.live/RapDetail.aspx?STONELIST=926250107","DNA")</f>
        <v>DNA</v>
      </c>
      <c r="D3509" s="18" t="s">
        <v>3054</v>
      </c>
      <c r="E3509" s="18" t="s">
        <v>5128</v>
      </c>
      <c r="F3509" s="2" t="s">
        <v>7987</v>
      </c>
      <c r="G3509" s="2" t="s">
        <v>7023</v>
      </c>
      <c r="H3509" s="14">
        <v>1.03</v>
      </c>
      <c r="I3509" s="2" t="s">
        <v>4761</v>
      </c>
      <c r="J3509" s="2" t="s">
        <v>3942</v>
      </c>
      <c r="K3509" s="2" t="s">
        <v>1452</v>
      </c>
      <c r="L3509" s="2" t="s">
        <v>5221</v>
      </c>
      <c r="M3509" s="2" t="s">
        <v>5221</v>
      </c>
      <c r="N3509" s="2" t="s">
        <v>2317</v>
      </c>
      <c r="O3509" s="14">
        <v>6900</v>
      </c>
      <c r="P3509" s="14">
        <v>98.39</v>
      </c>
      <c r="Q3509" s="14">
        <v>111.09</v>
      </c>
      <c r="R3509" s="14">
        <v>114.42</v>
      </c>
      <c r="S3509" s="2" t="s">
        <v>3531</v>
      </c>
      <c r="T3509" s="2">
        <v>1.22</v>
      </c>
      <c r="U3509" s="2">
        <v>65.3</v>
      </c>
      <c r="V3509" s="2">
        <v>62</v>
      </c>
      <c r="W3509" s="2" t="s">
        <v>7862</v>
      </c>
      <c r="X3509" s="2" t="s">
        <v>3851</v>
      </c>
      <c r="Y3509" s="2">
        <v>7107</v>
      </c>
      <c r="Z3509" s="19" t="str">
        <f>HYPERLINK("https://ssdweb.co/ssdweb/hd/Vision360.html?d=926250107&amp;zoomslide=1&amp;z=1926250107&amp;ISCONFIRM=0","VIDEO")</f>
        <v>VIDEO</v>
      </c>
      <c r="AA3509" s="19" t="str">
        <f>HYPERLINK("https://ssdweb.co/ssdweb/CERTH/638463183.pdf","CERTI")</f>
        <v>CERTI</v>
      </c>
    </row>
    <row r="3510" spans="1:27" ht="15" x14ac:dyDescent="0.25">
      <c r="A3510" s="2">
        <v>3505</v>
      </c>
      <c r="B3510" s="39">
        <v>926250072</v>
      </c>
      <c r="C3510" s="28" t="str">
        <f>HYPERLINK("https://pld.live/RapDetail.aspx?STONELIST=926250072","DNA")</f>
        <v>DNA</v>
      </c>
      <c r="D3510" s="18" t="s">
        <v>3054</v>
      </c>
      <c r="E3510" s="18" t="s">
        <v>5128</v>
      </c>
      <c r="F3510" s="2" t="s">
        <v>7987</v>
      </c>
      <c r="G3510" s="2" t="s">
        <v>7023</v>
      </c>
      <c r="H3510" s="14">
        <v>1.03</v>
      </c>
      <c r="I3510" s="2" t="s">
        <v>4761</v>
      </c>
      <c r="J3510" s="2" t="s">
        <v>3942</v>
      </c>
      <c r="K3510" s="2" t="s">
        <v>1452</v>
      </c>
      <c r="L3510" s="2" t="s">
        <v>5221</v>
      </c>
      <c r="M3510" s="2" t="s">
        <v>5221</v>
      </c>
      <c r="N3510" s="2" t="s">
        <v>2317</v>
      </c>
      <c r="O3510" s="14">
        <v>6900</v>
      </c>
      <c r="P3510" s="14">
        <v>98.39</v>
      </c>
      <c r="Q3510" s="14">
        <v>111.09</v>
      </c>
      <c r="R3510" s="14">
        <v>114.42</v>
      </c>
      <c r="S3510" s="2" t="s">
        <v>789</v>
      </c>
      <c r="T3510" s="2">
        <v>1.2</v>
      </c>
      <c r="U3510" s="2">
        <v>67.2</v>
      </c>
      <c r="V3510" s="2">
        <v>61</v>
      </c>
      <c r="W3510" s="2" t="s">
        <v>7862</v>
      </c>
      <c r="X3510" s="2" t="s">
        <v>3851</v>
      </c>
      <c r="Y3510" s="2">
        <v>7107</v>
      </c>
      <c r="Z3510" s="19" t="str">
        <f>HYPERLINK("https://ssdweb.co/ssdweb/hd/Vision360.html?d=926250072&amp;zoomslide=1&amp;z=1926250072&amp;ISCONFIRM=0","VIDEO")</f>
        <v>VIDEO</v>
      </c>
      <c r="AA3510" s="19" t="str">
        <f>HYPERLINK("https://ssdweb.co/ssdweb/CERTH/635423973.pdf","CERTI")</f>
        <v>CERTI</v>
      </c>
    </row>
    <row r="3511" spans="1:27" ht="15" x14ac:dyDescent="0.25">
      <c r="A3511" s="2">
        <v>3506</v>
      </c>
      <c r="B3511" s="39">
        <v>926210843</v>
      </c>
      <c r="C3511" s="28" t="str">
        <f>HYPERLINK("https://pld.live/RapDetail.aspx?STONELIST=926210843","DNA")</f>
        <v>DNA</v>
      </c>
      <c r="D3511" s="18" t="s">
        <v>3054</v>
      </c>
      <c r="E3511" s="18" t="s">
        <v>5128</v>
      </c>
      <c r="F3511" s="2" t="s">
        <v>7987</v>
      </c>
      <c r="G3511" s="2" t="s">
        <v>7023</v>
      </c>
      <c r="H3511" s="14">
        <v>1.03</v>
      </c>
      <c r="I3511" s="2" t="s">
        <v>4761</v>
      </c>
      <c r="J3511" s="2" t="s">
        <v>13</v>
      </c>
      <c r="K3511" s="2" t="s">
        <v>1452</v>
      </c>
      <c r="L3511" s="2" t="s">
        <v>5221</v>
      </c>
      <c r="M3511" s="2" t="s">
        <v>5221</v>
      </c>
      <c r="N3511" s="2" t="s">
        <v>2317</v>
      </c>
      <c r="O3511" s="14">
        <v>6200</v>
      </c>
      <c r="P3511" s="14">
        <v>98.24</v>
      </c>
      <c r="Q3511" s="14">
        <v>109.12</v>
      </c>
      <c r="R3511" s="14">
        <v>112.39</v>
      </c>
      <c r="S3511" s="2" t="s">
        <v>3713</v>
      </c>
      <c r="T3511" s="2">
        <v>1.25</v>
      </c>
      <c r="U3511" s="2">
        <v>63.7</v>
      </c>
      <c r="V3511" s="2">
        <v>60</v>
      </c>
      <c r="W3511" s="2" t="s">
        <v>7862</v>
      </c>
      <c r="X3511" s="2" t="s">
        <v>3851</v>
      </c>
      <c r="Y3511" s="2">
        <v>6386</v>
      </c>
      <c r="Z3511" s="19" t="str">
        <f>HYPERLINK("https://ssdweb.co/ssdweb/hd/Vision360.html?d=926210843&amp;zoomslide=1&amp;z=1926210843&amp;ISCONFIRM=0","VIDEO")</f>
        <v>VIDEO</v>
      </c>
      <c r="AA3511" s="19" t="str">
        <f>HYPERLINK("https://ssdweb.co/ssdweb/CERTH/635427022.pdf","CERTI")</f>
        <v>CERTI</v>
      </c>
    </row>
    <row r="3512" spans="1:27" ht="15" x14ac:dyDescent="0.25">
      <c r="A3512" s="2">
        <v>3507</v>
      </c>
      <c r="B3512" s="39">
        <v>926210842</v>
      </c>
      <c r="C3512" s="28" t="str">
        <f>HYPERLINK("https://pld.live/RapDetail.aspx?STONELIST=926210842","DNA")</f>
        <v>DNA</v>
      </c>
      <c r="D3512" s="18" t="s">
        <v>3054</v>
      </c>
      <c r="E3512" s="18" t="s">
        <v>5128</v>
      </c>
      <c r="F3512" s="2" t="s">
        <v>7987</v>
      </c>
      <c r="G3512" s="2" t="s">
        <v>7023</v>
      </c>
      <c r="H3512" s="14">
        <v>1.02</v>
      </c>
      <c r="I3512" s="2" t="s">
        <v>267</v>
      </c>
      <c r="J3512" s="2" t="s">
        <v>13</v>
      </c>
      <c r="K3512" s="2" t="s">
        <v>1452</v>
      </c>
      <c r="L3512" s="2" t="s">
        <v>5221</v>
      </c>
      <c r="M3512" s="2" t="s">
        <v>5221</v>
      </c>
      <c r="N3512" s="2" t="s">
        <v>2317</v>
      </c>
      <c r="O3512" s="14">
        <v>6700</v>
      </c>
      <c r="P3512" s="14">
        <v>98.33</v>
      </c>
      <c r="Q3512" s="14">
        <v>111.89</v>
      </c>
      <c r="R3512" s="14">
        <v>114.13</v>
      </c>
      <c r="S3512" s="2" t="s">
        <v>3748</v>
      </c>
      <c r="T3512" s="2">
        <v>1.19</v>
      </c>
      <c r="U3512" s="2">
        <v>66.900000000000006</v>
      </c>
      <c r="V3512" s="2">
        <v>61</v>
      </c>
      <c r="W3512" s="2" t="s">
        <v>7862</v>
      </c>
      <c r="X3512" s="2" t="s">
        <v>3851</v>
      </c>
      <c r="Y3512" s="2">
        <v>6834</v>
      </c>
      <c r="Z3512" s="19" t="str">
        <f>HYPERLINK("https://ssdweb.co/ssdweb/hd/Vision360.html?d=926210842&amp;zoomslide=1&amp;z=1926210842&amp;ISCONFIRM=0","VIDEO")</f>
        <v>VIDEO</v>
      </c>
      <c r="AA3512" s="19" t="str">
        <f>HYPERLINK("https://ssdweb.co/ssdweb/CERTH/635427023.pdf","CERTI")</f>
        <v>CERTI</v>
      </c>
    </row>
    <row r="3513" spans="1:27" ht="15" x14ac:dyDescent="0.25">
      <c r="A3513" s="2">
        <v>3508</v>
      </c>
      <c r="B3513" s="39">
        <v>926210564</v>
      </c>
      <c r="C3513" s="28" t="str">
        <f>HYPERLINK("https://pld.live/RapDetail.aspx?STONELIST=926210564","DNA")</f>
        <v>DNA</v>
      </c>
      <c r="D3513" s="18" t="s">
        <v>3054</v>
      </c>
      <c r="E3513" s="18" t="s">
        <v>5128</v>
      </c>
      <c r="F3513" s="2" t="s">
        <v>7987</v>
      </c>
      <c r="G3513" s="2" t="s">
        <v>7023</v>
      </c>
      <c r="H3513" s="14">
        <v>1.02</v>
      </c>
      <c r="I3513" s="2" t="s">
        <v>4761</v>
      </c>
      <c r="J3513" s="2" t="s">
        <v>13</v>
      </c>
      <c r="K3513" s="2" t="s">
        <v>1452</v>
      </c>
      <c r="L3513" s="2" t="s">
        <v>5221</v>
      </c>
      <c r="M3513" s="2" t="s">
        <v>5221</v>
      </c>
      <c r="N3513" s="2" t="s">
        <v>2317</v>
      </c>
      <c r="O3513" s="14">
        <v>6200</v>
      </c>
      <c r="P3513" s="14">
        <v>98.24</v>
      </c>
      <c r="Q3513" s="14">
        <v>109.12</v>
      </c>
      <c r="R3513" s="14">
        <v>111.3</v>
      </c>
      <c r="S3513" s="2" t="s">
        <v>7806</v>
      </c>
      <c r="T3513" s="2">
        <v>1.22</v>
      </c>
      <c r="U3513" s="2">
        <v>67</v>
      </c>
      <c r="V3513" s="2">
        <v>61</v>
      </c>
      <c r="W3513" s="2" t="s">
        <v>7862</v>
      </c>
      <c r="X3513" s="2" t="s">
        <v>3851</v>
      </c>
      <c r="Y3513" s="2">
        <v>6324</v>
      </c>
      <c r="Z3513" s="19" t="str">
        <f>HYPERLINK("https://ssdweb.co/ssdweb/hd/Vision360.html?d=926210564&amp;zoomslide=1&amp;z=1926210564&amp;ISCONFIRM=0","VIDEO")</f>
        <v>VIDEO</v>
      </c>
      <c r="AA3513" s="19" t="str">
        <f>HYPERLINK("https://ssdweb.co/ssdweb/CERTH/634431522.pdf","CERTI")</f>
        <v>CERTI</v>
      </c>
    </row>
    <row r="3514" spans="1:27" ht="15" x14ac:dyDescent="0.25">
      <c r="A3514" s="2">
        <v>3509</v>
      </c>
      <c r="B3514" s="39">
        <v>926310953</v>
      </c>
      <c r="C3514" s="28" t="str">
        <f>HYPERLINK("https://pld.live/RapDetail.aspx?STONELIST=926310953","DNA")</f>
        <v>DNA</v>
      </c>
      <c r="D3514" s="18" t="s">
        <v>3054</v>
      </c>
      <c r="E3514" s="18" t="s">
        <v>5128</v>
      </c>
      <c r="F3514" s="2" t="s">
        <v>7987</v>
      </c>
      <c r="G3514" s="2" t="s">
        <v>7023</v>
      </c>
      <c r="H3514" s="14">
        <v>1.02</v>
      </c>
      <c r="I3514" s="2" t="s">
        <v>4761</v>
      </c>
      <c r="J3514" s="2" t="s">
        <v>13</v>
      </c>
      <c r="K3514" s="2" t="s">
        <v>1452</v>
      </c>
      <c r="L3514" s="2" t="s">
        <v>5221</v>
      </c>
      <c r="M3514" s="2" t="s">
        <v>5221</v>
      </c>
      <c r="N3514" s="2" t="s">
        <v>2317</v>
      </c>
      <c r="O3514" s="14">
        <v>6200</v>
      </c>
      <c r="P3514" s="14">
        <v>98.24</v>
      </c>
      <c r="Q3514" s="14">
        <v>109.12</v>
      </c>
      <c r="R3514" s="14">
        <v>111.3</v>
      </c>
      <c r="S3514" s="2" t="s">
        <v>318</v>
      </c>
      <c r="T3514" s="2">
        <v>1.2</v>
      </c>
      <c r="U3514" s="2">
        <v>67.599999999999994</v>
      </c>
      <c r="V3514" s="2">
        <v>62</v>
      </c>
      <c r="W3514" s="2" t="s">
        <v>7862</v>
      </c>
      <c r="X3514" s="2" t="s">
        <v>3851</v>
      </c>
      <c r="Y3514" s="2">
        <v>6324</v>
      </c>
      <c r="Z3514" s="19" t="str">
        <f>HYPERLINK("https://ssdweb.co/ssdweb/hd/Vision360.html?d=926310953&amp;zoomslide=1&amp;z=1926310953&amp;ISCONFIRM=0","VIDEO")</f>
        <v>VIDEO</v>
      </c>
      <c r="AA3514" s="19" t="str">
        <f>HYPERLINK("https://ssdweb.co/ssdweb/CERTH/644466878.pdf","CERTI")</f>
        <v>CERTI</v>
      </c>
    </row>
    <row r="3515" spans="1:27" ht="15" x14ac:dyDescent="0.25">
      <c r="A3515" s="2">
        <v>3510</v>
      </c>
      <c r="B3515" s="39">
        <v>926211026</v>
      </c>
      <c r="C3515" s="28" t="str">
        <f>HYPERLINK("https://pld.live/RapDetail.aspx?STONELIST=926211026","DNA")</f>
        <v>DNA</v>
      </c>
      <c r="D3515" s="18" t="s">
        <v>3054</v>
      </c>
      <c r="E3515" s="18" t="s">
        <v>5128</v>
      </c>
      <c r="F3515" s="2" t="s">
        <v>7987</v>
      </c>
      <c r="G3515" s="2" t="s">
        <v>7023</v>
      </c>
      <c r="H3515" s="14">
        <v>1.01</v>
      </c>
      <c r="I3515" s="2" t="s">
        <v>267</v>
      </c>
      <c r="J3515" s="2" t="s">
        <v>6555</v>
      </c>
      <c r="K3515" s="2" t="s">
        <v>1452</v>
      </c>
      <c r="L3515" s="2" t="s">
        <v>5221</v>
      </c>
      <c r="M3515" s="2" t="s">
        <v>5221</v>
      </c>
      <c r="N3515" s="2" t="s">
        <v>2317</v>
      </c>
      <c r="O3515" s="14">
        <v>8200</v>
      </c>
      <c r="P3515" s="14">
        <v>98.22</v>
      </c>
      <c r="Q3515" s="14">
        <v>145.96</v>
      </c>
      <c r="R3515" s="14">
        <v>147.41999999999999</v>
      </c>
      <c r="S3515" s="2" t="s">
        <v>6215</v>
      </c>
      <c r="T3515" s="2">
        <v>1.2</v>
      </c>
      <c r="U3515" s="2">
        <v>69.8</v>
      </c>
      <c r="V3515" s="2">
        <v>57</v>
      </c>
      <c r="W3515" s="2" t="s">
        <v>7862</v>
      </c>
      <c r="X3515" s="2" t="s">
        <v>3851</v>
      </c>
      <c r="Y3515" s="2">
        <v>8282</v>
      </c>
      <c r="Z3515" s="19" t="str">
        <f>HYPERLINK("https://ssdweb.co/ssdweb/hd/Vision360.html?d=926211026&amp;zoomslide=1&amp;z=1926211026&amp;ISCONFIRM=0","VIDEO")</f>
        <v>VIDEO</v>
      </c>
      <c r="AA3515" s="19" t="str">
        <f>HYPERLINK("https://ssdweb.co/ssdweb/CERTH/638463242.pdf","CERTI")</f>
        <v>CERTI</v>
      </c>
    </row>
    <row r="3516" spans="1:27" ht="15" x14ac:dyDescent="0.25">
      <c r="A3516" s="2">
        <v>3511</v>
      </c>
      <c r="B3516" s="39">
        <v>831010802</v>
      </c>
      <c r="C3516" s="28" t="str">
        <f>HYPERLINK("https://pld.live/RapDetail.aspx?STONELIST=831010802","DNA")</f>
        <v>DNA</v>
      </c>
      <c r="D3516" s="18" t="s">
        <v>3054</v>
      </c>
      <c r="E3516" s="18" t="s">
        <v>5128</v>
      </c>
      <c r="F3516" s="2" t="s">
        <v>7987</v>
      </c>
      <c r="G3516" s="2" t="s">
        <v>7023</v>
      </c>
      <c r="H3516" s="14">
        <v>1.01</v>
      </c>
      <c r="I3516" s="2" t="s">
        <v>267</v>
      </c>
      <c r="J3516" s="2" t="s">
        <v>3942</v>
      </c>
      <c r="K3516" s="2" t="s">
        <v>1452</v>
      </c>
      <c r="L3516" s="2" t="s">
        <v>5221</v>
      </c>
      <c r="M3516" s="2" t="s">
        <v>5221</v>
      </c>
      <c r="N3516" s="2" t="s">
        <v>2317</v>
      </c>
      <c r="O3516" s="14">
        <v>7600</v>
      </c>
      <c r="P3516" s="14">
        <v>98.53</v>
      </c>
      <c r="Q3516" s="14">
        <v>111.72</v>
      </c>
      <c r="R3516" s="14">
        <v>112.84</v>
      </c>
      <c r="S3516" s="2" t="s">
        <v>7860</v>
      </c>
      <c r="T3516" s="2">
        <v>1.43</v>
      </c>
      <c r="U3516" s="2">
        <v>68.599999999999994</v>
      </c>
      <c r="V3516" s="2">
        <v>60</v>
      </c>
      <c r="W3516" s="2" t="s">
        <v>7862</v>
      </c>
      <c r="X3516" s="2" t="s">
        <v>3851</v>
      </c>
      <c r="Y3516" s="2">
        <v>7676</v>
      </c>
      <c r="Z3516" s="19" t="str">
        <f>HYPERLINK("https://ssdweb.co/ssdweb/hd/Vision360.html?d=831010802&amp;zoomslide=1&amp;z=1831010802&amp;ISCONFIRM=0","VIDEO")</f>
        <v>VIDEO</v>
      </c>
      <c r="AA3516" s="19" t="str">
        <f>HYPERLINK("https://ssdweb.co/ssdweb/CERTH/591373201.pdf","CERTI")</f>
        <v>CERTI</v>
      </c>
    </row>
    <row r="3517" spans="1:27" ht="15" x14ac:dyDescent="0.25">
      <c r="A3517" s="2">
        <v>3512</v>
      </c>
      <c r="B3517" s="39">
        <v>831010137</v>
      </c>
      <c r="C3517" s="28" t="str">
        <f>HYPERLINK("https://pld.live/RapDetail.aspx?STONELIST=831010137","DNA")</f>
        <v>DNA</v>
      </c>
      <c r="D3517" s="18" t="s">
        <v>3054</v>
      </c>
      <c r="E3517" s="18" t="s">
        <v>5128</v>
      </c>
      <c r="F3517" s="2" t="s">
        <v>5597</v>
      </c>
      <c r="G3517" s="2" t="s">
        <v>7023</v>
      </c>
      <c r="H3517" s="14">
        <v>1.01</v>
      </c>
      <c r="I3517" s="2" t="s">
        <v>267</v>
      </c>
      <c r="J3517" s="2" t="s">
        <v>3942</v>
      </c>
      <c r="K3517" s="2" t="s">
        <v>1452</v>
      </c>
      <c r="L3517" s="2" t="s">
        <v>5221</v>
      </c>
      <c r="M3517" s="2" t="s">
        <v>5721</v>
      </c>
      <c r="N3517" s="2" t="s">
        <v>2317</v>
      </c>
      <c r="O3517" s="14">
        <v>7600</v>
      </c>
      <c r="P3517" s="14">
        <v>97.59</v>
      </c>
      <c r="Q3517" s="14">
        <v>183.16</v>
      </c>
      <c r="R3517" s="14">
        <v>184.99</v>
      </c>
      <c r="S3517" s="2" t="s">
        <v>6521</v>
      </c>
      <c r="T3517" s="2">
        <v>1.24</v>
      </c>
      <c r="U3517" s="2">
        <v>65.400000000000006</v>
      </c>
      <c r="V3517" s="2">
        <v>62</v>
      </c>
      <c r="W3517" s="2" t="s">
        <v>7862</v>
      </c>
      <c r="X3517" s="2" t="s">
        <v>7053</v>
      </c>
      <c r="Y3517" s="2">
        <v>7676</v>
      </c>
      <c r="Z3517" s="19" t="str">
        <f>HYPERLINK("https://ssdweb.co/ssdweb/hd/Vision360.html?d=831010137&amp;zoomslide=1&amp;z=1831010137&amp;ISCONFIRM=0","VIDEO")</f>
        <v>VIDEO</v>
      </c>
      <c r="AA3517" s="19" t="str">
        <f>HYPERLINK("https://ssdweb.co/ssdweb/CERTH/1457208464.pdf","CERTI")</f>
        <v>CERTI</v>
      </c>
    </row>
    <row r="3518" spans="1:27" ht="15" x14ac:dyDescent="0.25">
      <c r="A3518" s="2">
        <v>3513</v>
      </c>
      <c r="B3518" s="39">
        <v>926270818</v>
      </c>
      <c r="C3518" s="28" t="str">
        <f>HYPERLINK("https://pld.live/RapDetail.aspx?STONELIST=926270818","DNA")</f>
        <v>DNA</v>
      </c>
      <c r="D3518" s="18" t="s">
        <v>3054</v>
      </c>
      <c r="E3518" s="18" t="s">
        <v>5128</v>
      </c>
      <c r="F3518" s="2" t="s">
        <v>7987</v>
      </c>
      <c r="G3518" s="2" t="s">
        <v>7023</v>
      </c>
      <c r="H3518" s="14">
        <v>1.01</v>
      </c>
      <c r="I3518" s="2" t="s">
        <v>267</v>
      </c>
      <c r="J3518" s="2" t="s">
        <v>13</v>
      </c>
      <c r="K3518" s="2" t="s">
        <v>1452</v>
      </c>
      <c r="L3518" s="2" t="s">
        <v>5221</v>
      </c>
      <c r="M3518" s="2" t="s">
        <v>5221</v>
      </c>
      <c r="N3518" s="2" t="s">
        <v>2317</v>
      </c>
      <c r="O3518" s="14">
        <v>6700</v>
      </c>
      <c r="P3518" s="14">
        <v>98.33</v>
      </c>
      <c r="Q3518" s="14">
        <v>111.89</v>
      </c>
      <c r="R3518" s="14">
        <v>113.01</v>
      </c>
      <c r="S3518" s="2" t="s">
        <v>6318</v>
      </c>
      <c r="T3518" s="2">
        <v>1.2</v>
      </c>
      <c r="U3518" s="2">
        <v>66.5</v>
      </c>
      <c r="V3518" s="2">
        <v>61</v>
      </c>
      <c r="W3518" s="2" t="s">
        <v>7862</v>
      </c>
      <c r="X3518" s="2" t="s">
        <v>3851</v>
      </c>
      <c r="Y3518" s="2">
        <v>6767</v>
      </c>
      <c r="Z3518" s="19" t="str">
        <f>HYPERLINK("https://ssdweb.co/ssdweb/hd/Vision360.html?d=926270818&amp;zoomslide=1&amp;z=1926270818&amp;ISCONFIRM=0","VIDEO")</f>
        <v>VIDEO</v>
      </c>
      <c r="AA3518" s="19" t="str">
        <f>HYPERLINK("https://ssdweb.co/ssdweb/CERTH/638463330.pdf","CERTI")</f>
        <v>CERTI</v>
      </c>
    </row>
    <row r="3519" spans="1:27" ht="15" x14ac:dyDescent="0.25">
      <c r="A3519" s="2">
        <v>3514</v>
      </c>
      <c r="B3519" s="39">
        <v>926210854</v>
      </c>
      <c r="C3519" s="28" t="str">
        <f>HYPERLINK("https://pld.live/RapDetail.aspx?STONELIST=926210854","DNA")</f>
        <v>DNA</v>
      </c>
      <c r="D3519" s="18" t="s">
        <v>3054</v>
      </c>
      <c r="E3519" s="18" t="s">
        <v>5128</v>
      </c>
      <c r="F3519" s="2" t="s">
        <v>7987</v>
      </c>
      <c r="G3519" s="2" t="s">
        <v>7023</v>
      </c>
      <c r="H3519" s="14">
        <v>1.01</v>
      </c>
      <c r="I3519" s="2" t="s">
        <v>267</v>
      </c>
      <c r="J3519" s="2" t="s">
        <v>13</v>
      </c>
      <c r="K3519" s="2" t="s">
        <v>1452</v>
      </c>
      <c r="L3519" s="2" t="s">
        <v>5221</v>
      </c>
      <c r="M3519" s="2" t="s">
        <v>5221</v>
      </c>
      <c r="N3519" s="2" t="s">
        <v>2317</v>
      </c>
      <c r="O3519" s="14">
        <v>6700</v>
      </c>
      <c r="P3519" s="14">
        <v>98.33</v>
      </c>
      <c r="Q3519" s="14">
        <v>111.89</v>
      </c>
      <c r="R3519" s="14">
        <v>113.01</v>
      </c>
      <c r="S3519" s="2" t="s">
        <v>5170</v>
      </c>
      <c r="T3519" s="2">
        <v>1.2</v>
      </c>
      <c r="U3519" s="2">
        <v>64.5</v>
      </c>
      <c r="V3519" s="2">
        <v>59</v>
      </c>
      <c r="W3519" s="2" t="s">
        <v>7862</v>
      </c>
      <c r="X3519" s="2" t="s">
        <v>3851</v>
      </c>
      <c r="Y3519" s="2">
        <v>6767</v>
      </c>
      <c r="Z3519" s="19" t="str">
        <f>HYPERLINK("https://ssdweb.co/ssdweb/hd/Vision360.html?d=926210854&amp;zoomslide=1&amp;z=1926210854&amp;ISCONFIRM=0","VIDEO")</f>
        <v>VIDEO</v>
      </c>
      <c r="AA3519" s="19" t="str">
        <f>HYPERLINK("https://ssdweb.co/ssdweb/CERTH/635426981.pdf","CERTI")</f>
        <v>CERTI</v>
      </c>
    </row>
    <row r="3520" spans="1:27" ht="15" x14ac:dyDescent="0.25">
      <c r="A3520" s="2">
        <v>3515</v>
      </c>
      <c r="B3520" s="39">
        <v>926210945</v>
      </c>
      <c r="C3520" s="28" t="str">
        <f>HYPERLINK("https://pld.live/RapDetail.aspx?STONELIST=926210945","DNA")</f>
        <v>DNA</v>
      </c>
      <c r="D3520" s="18" t="s">
        <v>3054</v>
      </c>
      <c r="E3520" s="18" t="s">
        <v>5128</v>
      </c>
      <c r="F3520" s="2" t="s">
        <v>7987</v>
      </c>
      <c r="G3520" s="2" t="s">
        <v>7023</v>
      </c>
      <c r="H3520" s="14">
        <v>1.01</v>
      </c>
      <c r="I3520" s="2" t="s">
        <v>267</v>
      </c>
      <c r="J3520" s="2" t="s">
        <v>13</v>
      </c>
      <c r="K3520" s="2" t="s">
        <v>1452</v>
      </c>
      <c r="L3520" s="2" t="s">
        <v>5221</v>
      </c>
      <c r="M3520" s="2" t="s">
        <v>5221</v>
      </c>
      <c r="N3520" s="2" t="s">
        <v>2317</v>
      </c>
      <c r="O3520" s="14">
        <v>6700</v>
      </c>
      <c r="P3520" s="14">
        <v>98.33</v>
      </c>
      <c r="Q3520" s="14">
        <v>111.89</v>
      </c>
      <c r="R3520" s="14">
        <v>113.01</v>
      </c>
      <c r="S3520" s="2" t="s">
        <v>4409</v>
      </c>
      <c r="T3520" s="2">
        <v>1.21</v>
      </c>
      <c r="U3520" s="2">
        <v>66.7</v>
      </c>
      <c r="V3520" s="2">
        <v>60</v>
      </c>
      <c r="W3520" s="2" t="s">
        <v>7862</v>
      </c>
      <c r="X3520" s="2" t="s">
        <v>3851</v>
      </c>
      <c r="Y3520" s="2">
        <v>6767</v>
      </c>
      <c r="Z3520" s="19" t="str">
        <f>HYPERLINK("https://ssdweb.co/ssdweb/hd/Vision360.html?d=926210945&amp;zoomslide=1&amp;z=1926210945&amp;ISCONFIRM=0","VIDEO")</f>
        <v>VIDEO</v>
      </c>
      <c r="AA3520" s="19" t="str">
        <f>HYPERLINK("https://ssdweb.co/ssdweb/CERTH/635423937.pdf","CERTI")</f>
        <v>CERTI</v>
      </c>
    </row>
    <row r="3521" spans="1:27" ht="15" x14ac:dyDescent="0.25">
      <c r="A3521" s="2">
        <v>3516</v>
      </c>
      <c r="B3521" s="39">
        <v>922800554</v>
      </c>
      <c r="C3521" s="28" t="str">
        <f>HYPERLINK("https://pld.live/RapDetail.aspx?STONELIST=922800554","DNA")</f>
        <v>DNA</v>
      </c>
      <c r="D3521" s="18" t="s">
        <v>3054</v>
      </c>
      <c r="E3521" s="18" t="s">
        <v>5128</v>
      </c>
      <c r="F3521" s="2" t="s">
        <v>7987</v>
      </c>
      <c r="G3521" s="2" t="s">
        <v>7023</v>
      </c>
      <c r="H3521" s="14">
        <v>1.01</v>
      </c>
      <c r="I3521" s="2" t="s">
        <v>267</v>
      </c>
      <c r="J3521" s="2" t="s">
        <v>444</v>
      </c>
      <c r="K3521" s="2" t="s">
        <v>1452</v>
      </c>
      <c r="L3521" s="2" t="s">
        <v>5221</v>
      </c>
      <c r="M3521" s="2" t="s">
        <v>5221</v>
      </c>
      <c r="N3521" s="2" t="s">
        <v>2317</v>
      </c>
      <c r="O3521" s="14">
        <v>4600</v>
      </c>
      <c r="P3521" s="14">
        <v>97.76</v>
      </c>
      <c r="Q3521" s="14">
        <v>103.04</v>
      </c>
      <c r="R3521" s="14">
        <v>104.07</v>
      </c>
      <c r="S3521" s="2" t="s">
        <v>5215</v>
      </c>
      <c r="T3521" s="2">
        <v>1.26</v>
      </c>
      <c r="U3521" s="2">
        <v>66.900000000000006</v>
      </c>
      <c r="V3521" s="2">
        <v>62</v>
      </c>
      <c r="W3521" s="2" t="s">
        <v>7862</v>
      </c>
      <c r="X3521" s="2" t="s">
        <v>3851</v>
      </c>
      <c r="Y3521" s="2">
        <v>4646</v>
      </c>
      <c r="Z3521" s="19" t="str">
        <f>HYPERLINK("https://ssdweb.co/ssdweb/hd/Vision360.html?d=922800554&amp;zoomslide=1&amp;z=1922800554&amp;ISCONFIRM=0","VIDEO")</f>
        <v>VIDEO</v>
      </c>
      <c r="AA3521" s="19" t="str">
        <f>HYPERLINK("https://ssdweb.co/ssdweb/CERTH/537215899.pdf","CERTI")</f>
        <v>CERTI</v>
      </c>
    </row>
    <row r="3522" spans="1:27" ht="15" x14ac:dyDescent="0.25">
      <c r="A3522" s="2">
        <v>3517</v>
      </c>
      <c r="B3522" s="39">
        <v>926270908</v>
      </c>
      <c r="C3522" s="28" t="str">
        <f>HYPERLINK("https://pld.live/RapDetail.aspx?STONELIST=926270908","DNA")</f>
        <v>DNA</v>
      </c>
      <c r="D3522" s="18" t="s">
        <v>3054</v>
      </c>
      <c r="E3522" s="18" t="s">
        <v>5128</v>
      </c>
      <c r="F3522" s="2" t="s">
        <v>7987</v>
      </c>
      <c r="G3522" s="2" t="s">
        <v>7023</v>
      </c>
      <c r="H3522" s="14">
        <v>1.01</v>
      </c>
      <c r="I3522" s="2" t="s">
        <v>4761</v>
      </c>
      <c r="J3522" s="2" t="s">
        <v>13</v>
      </c>
      <c r="K3522" s="2" t="s">
        <v>1452</v>
      </c>
      <c r="L3522" s="2" t="s">
        <v>5221</v>
      </c>
      <c r="M3522" s="2" t="s">
        <v>5221</v>
      </c>
      <c r="N3522" s="2" t="s">
        <v>2317</v>
      </c>
      <c r="O3522" s="14">
        <v>6200</v>
      </c>
      <c r="P3522" s="14">
        <v>98.24</v>
      </c>
      <c r="Q3522" s="14">
        <v>109.12</v>
      </c>
      <c r="R3522" s="14">
        <v>110.21</v>
      </c>
      <c r="S3522" s="2" t="s">
        <v>6400</v>
      </c>
      <c r="T3522" s="2">
        <v>1.33</v>
      </c>
      <c r="U3522" s="2">
        <v>63.1</v>
      </c>
      <c r="V3522" s="2">
        <v>59</v>
      </c>
      <c r="W3522" s="2" t="s">
        <v>7862</v>
      </c>
      <c r="X3522" s="2" t="s">
        <v>3851</v>
      </c>
      <c r="Y3522" s="2">
        <v>6262</v>
      </c>
      <c r="Z3522" s="19" t="str">
        <f>HYPERLINK("https://ssdweb.co/ssdweb/hd/Vision360.html?d=926270908&amp;zoomslide=1&amp;z=1926270908&amp;ISCONFIRM=0","VIDEO")</f>
        <v>VIDEO</v>
      </c>
      <c r="AA3522" s="19" t="str">
        <f>HYPERLINK("https://ssdweb.co/ssdweb/CERTH/646472674.pdf","CERTI")</f>
        <v>CERTI</v>
      </c>
    </row>
    <row r="3523" spans="1:27" ht="15" x14ac:dyDescent="0.25">
      <c r="A3523" s="2">
        <v>3518</v>
      </c>
      <c r="B3523" s="39">
        <v>926310843</v>
      </c>
      <c r="C3523" s="28" t="str">
        <f>HYPERLINK("https://pld.live/RapDetail.aspx?STONELIST=926310843","DNA")</f>
        <v>DNA</v>
      </c>
      <c r="D3523" s="18" t="s">
        <v>3054</v>
      </c>
      <c r="E3523" s="18" t="s">
        <v>5128</v>
      </c>
      <c r="F3523" s="2" t="s">
        <v>7987</v>
      </c>
      <c r="G3523" s="2" t="s">
        <v>7023</v>
      </c>
      <c r="H3523" s="14">
        <v>1.01</v>
      </c>
      <c r="I3523" s="2" t="s">
        <v>4699</v>
      </c>
      <c r="J3523" s="2" t="s">
        <v>13</v>
      </c>
      <c r="K3523" s="2" t="s">
        <v>1452</v>
      </c>
      <c r="L3523" s="2" t="s">
        <v>5221</v>
      </c>
      <c r="M3523" s="2" t="s">
        <v>5221</v>
      </c>
      <c r="N3523" s="2" t="s">
        <v>2317</v>
      </c>
      <c r="O3523" s="14">
        <v>5800</v>
      </c>
      <c r="P3523" s="14">
        <v>98.17</v>
      </c>
      <c r="Q3523" s="14">
        <v>106.14</v>
      </c>
      <c r="R3523" s="14">
        <v>107.2</v>
      </c>
      <c r="S3523" s="2" t="s">
        <v>2154</v>
      </c>
      <c r="T3523" s="2">
        <v>1.2</v>
      </c>
      <c r="U3523" s="2">
        <v>66.2</v>
      </c>
      <c r="V3523" s="2">
        <v>61</v>
      </c>
      <c r="W3523" s="2" t="s">
        <v>7862</v>
      </c>
      <c r="X3523" s="2" t="s">
        <v>3851</v>
      </c>
      <c r="Y3523" s="2">
        <v>5858</v>
      </c>
      <c r="Z3523" s="19" t="str">
        <f>HYPERLINK("https://ssdweb.co/ssdweb/hd/Vision360.html?d=926310843&amp;zoomslide=1&amp;z=1926310843&amp;ISCONFIRM=0","VIDEO")</f>
        <v>VIDEO</v>
      </c>
      <c r="AA3523" s="19" t="str">
        <f>HYPERLINK("https://ssdweb.co/ssdweb/CERTH/644472432.pdf","CERTI")</f>
        <v>CERTI</v>
      </c>
    </row>
    <row r="3524" spans="1:27" ht="15" x14ac:dyDescent="0.25">
      <c r="A3524" s="2">
        <v>3519</v>
      </c>
      <c r="B3524" s="39">
        <v>924230619</v>
      </c>
      <c r="C3524" s="28" t="str">
        <f>HYPERLINK("https://pld.live/RapDetail.aspx?STONELIST=924230619","DNA")</f>
        <v>DNA</v>
      </c>
      <c r="D3524" s="18" t="s">
        <v>3054</v>
      </c>
      <c r="E3524" s="18" t="s">
        <v>5128</v>
      </c>
      <c r="F3524" s="2" t="s">
        <v>7987</v>
      </c>
      <c r="G3524" s="2" t="s">
        <v>7023</v>
      </c>
      <c r="H3524" s="14">
        <v>1</v>
      </c>
      <c r="I3524" s="2" t="s">
        <v>267</v>
      </c>
      <c r="J3524" s="2" t="s">
        <v>6555</v>
      </c>
      <c r="K3524" s="2" t="s">
        <v>1452</v>
      </c>
      <c r="L3524" s="2" t="s">
        <v>5221</v>
      </c>
      <c r="M3524" s="2" t="s">
        <v>5221</v>
      </c>
      <c r="N3524" s="2" t="s">
        <v>2317</v>
      </c>
      <c r="O3524" s="14">
        <v>8200</v>
      </c>
      <c r="P3524" s="14">
        <v>98.24</v>
      </c>
      <c r="Q3524" s="14">
        <v>144.32</v>
      </c>
      <c r="R3524" s="14">
        <v>144.32</v>
      </c>
      <c r="S3524" s="2" t="s">
        <v>2632</v>
      </c>
      <c r="T3524" s="2">
        <v>1.19</v>
      </c>
      <c r="U3524" s="2">
        <v>64.5</v>
      </c>
      <c r="V3524" s="2">
        <v>59</v>
      </c>
      <c r="W3524" s="2" t="s">
        <v>7862</v>
      </c>
      <c r="X3524" s="2" t="s">
        <v>3851</v>
      </c>
      <c r="Y3524" s="2">
        <v>8200</v>
      </c>
      <c r="Z3524" s="19" t="str">
        <f>HYPERLINK("https://ssdweb.co/ssdweb/hd/Vision360.html?d=924230619&amp;zoomslide=1&amp;z=1924230619&amp;ISCONFIRM=0","VIDEO")</f>
        <v>VIDEO</v>
      </c>
      <c r="AA3524" s="19" t="str">
        <f>HYPERLINK("https://ssdweb.co/ssdweb/CERTH/581307973.pdf","CERTI")</f>
        <v>CERTI</v>
      </c>
    </row>
    <row r="3525" spans="1:27" ht="15" x14ac:dyDescent="0.25">
      <c r="A3525" s="2">
        <v>3520</v>
      </c>
      <c r="B3525" s="39">
        <v>926510284</v>
      </c>
      <c r="C3525" s="28" t="str">
        <f>HYPERLINK("https://pld.live/RapDetail.aspx?STONELIST=926510284","DNA")</f>
        <v>DNA</v>
      </c>
      <c r="D3525" s="18" t="s">
        <v>3054</v>
      </c>
      <c r="E3525" s="18" t="s">
        <v>5128</v>
      </c>
      <c r="F3525" s="2" t="s">
        <v>7987</v>
      </c>
      <c r="G3525" s="2" t="s">
        <v>7023</v>
      </c>
      <c r="H3525" s="14">
        <v>1</v>
      </c>
      <c r="I3525" s="2" t="s">
        <v>267</v>
      </c>
      <c r="J3525" s="2" t="s">
        <v>13</v>
      </c>
      <c r="K3525" s="2" t="s">
        <v>1452</v>
      </c>
      <c r="L3525" s="2" t="s">
        <v>5221</v>
      </c>
      <c r="M3525" s="2" t="s">
        <v>5221</v>
      </c>
      <c r="N3525" s="2" t="s">
        <v>2317</v>
      </c>
      <c r="O3525" s="14">
        <v>6700</v>
      </c>
      <c r="P3525" s="14">
        <v>98.33</v>
      </c>
      <c r="Q3525" s="14">
        <v>111.89</v>
      </c>
      <c r="R3525" s="14">
        <v>111.89</v>
      </c>
      <c r="S3525" s="2" t="s">
        <v>8038</v>
      </c>
      <c r="T3525" s="2">
        <v>1.22</v>
      </c>
      <c r="U3525" s="2">
        <v>67.2</v>
      </c>
      <c r="V3525" s="2">
        <v>62</v>
      </c>
      <c r="W3525" s="2" t="s">
        <v>7862</v>
      </c>
      <c r="X3525" s="2" t="s">
        <v>3851</v>
      </c>
      <c r="Y3525" s="2">
        <v>6700</v>
      </c>
      <c r="Z3525" s="19" t="str">
        <f>HYPERLINK("https://ssdweb.co/ssdweb/hd/Vision360.html?d=926510284&amp;zoomslide=1&amp;z=1926510284&amp;ISCONFIRM=0","VIDEO")</f>
        <v>VIDEO</v>
      </c>
      <c r="AA3525" s="19" t="str">
        <f>HYPERLINK("https://ssdweb.co/ssdweb/CERTH/646472673.pdf","CERTI")</f>
        <v>CERTI</v>
      </c>
    </row>
    <row r="3526" spans="1:27" ht="15" x14ac:dyDescent="0.25">
      <c r="A3526" s="2">
        <v>3521</v>
      </c>
      <c r="B3526" s="39">
        <v>831010459</v>
      </c>
      <c r="C3526" s="28" t="str">
        <f>HYPERLINK("https://pld.live/RapDetail.aspx?STONELIST=831010459","DNA")</f>
        <v>DNA</v>
      </c>
      <c r="D3526" s="18" t="s">
        <v>3054</v>
      </c>
      <c r="E3526" s="18" t="s">
        <v>5128</v>
      </c>
      <c r="F3526" s="2" t="s">
        <v>7987</v>
      </c>
      <c r="G3526" s="2" t="s">
        <v>7023</v>
      </c>
      <c r="H3526" s="14">
        <v>1</v>
      </c>
      <c r="I3526" s="2" t="s">
        <v>267</v>
      </c>
      <c r="J3526" s="2" t="s">
        <v>13</v>
      </c>
      <c r="K3526" s="2" t="s">
        <v>1452</v>
      </c>
      <c r="L3526" s="2" t="s">
        <v>5221</v>
      </c>
      <c r="M3526" s="2" t="s">
        <v>5221</v>
      </c>
      <c r="N3526" s="2" t="s">
        <v>2317</v>
      </c>
      <c r="O3526" s="14">
        <v>6700</v>
      </c>
      <c r="P3526" s="14">
        <v>98.36</v>
      </c>
      <c r="Q3526" s="14">
        <v>109.88</v>
      </c>
      <c r="R3526" s="14">
        <v>109.88</v>
      </c>
      <c r="S3526" s="2" t="s">
        <v>397</v>
      </c>
      <c r="T3526" s="2">
        <v>1.2</v>
      </c>
      <c r="U3526" s="2">
        <v>65.400000000000006</v>
      </c>
      <c r="V3526" s="2">
        <v>59</v>
      </c>
      <c r="W3526" s="2" t="s">
        <v>7862</v>
      </c>
      <c r="X3526" s="2" t="s">
        <v>3851</v>
      </c>
      <c r="Y3526" s="2">
        <v>6700</v>
      </c>
      <c r="Z3526" s="19" t="str">
        <f>HYPERLINK("https://ssdweb.co/ssdweb/hd/Vision360.html?d=831010459&amp;zoomslide=1&amp;z=1831010459&amp;ISCONFIRM=0","VIDEO")</f>
        <v>VIDEO</v>
      </c>
      <c r="AA3526" s="19" t="str">
        <f>HYPERLINK("https://ssdweb.co/ssdweb/CERTH/592362599.pdf","CERTI")</f>
        <v>CERTI</v>
      </c>
    </row>
    <row r="3527" spans="1:27" ht="15" x14ac:dyDescent="0.25">
      <c r="A3527" s="2">
        <v>3522</v>
      </c>
      <c r="B3527" s="39">
        <v>926210579</v>
      </c>
      <c r="C3527" s="28" t="str">
        <f>HYPERLINK("https://pld.live/RapDetail.aspx?STONELIST=926210579","DNA")</f>
        <v>DNA</v>
      </c>
      <c r="D3527" s="18" t="s">
        <v>3054</v>
      </c>
      <c r="E3527" s="18" t="s">
        <v>5128</v>
      </c>
      <c r="F3527" s="2" t="s">
        <v>7987</v>
      </c>
      <c r="G3527" s="2" t="s">
        <v>7023</v>
      </c>
      <c r="H3527" s="14">
        <v>1</v>
      </c>
      <c r="I3527" s="2" t="s">
        <v>267</v>
      </c>
      <c r="J3527" s="2" t="s">
        <v>13</v>
      </c>
      <c r="K3527" s="2" t="s">
        <v>1452</v>
      </c>
      <c r="L3527" s="2" t="s">
        <v>5221</v>
      </c>
      <c r="M3527" s="2" t="s">
        <v>5221</v>
      </c>
      <c r="N3527" s="2" t="s">
        <v>2317</v>
      </c>
      <c r="O3527" s="14">
        <v>6700</v>
      </c>
      <c r="P3527" s="14">
        <v>98.33</v>
      </c>
      <c r="Q3527" s="14">
        <v>111.89</v>
      </c>
      <c r="R3527" s="14">
        <v>111.89</v>
      </c>
      <c r="S3527" s="2" t="s">
        <v>5634</v>
      </c>
      <c r="T3527" s="2">
        <v>1.2</v>
      </c>
      <c r="U3527" s="2">
        <v>68</v>
      </c>
      <c r="V3527" s="2">
        <v>61</v>
      </c>
      <c r="W3527" s="2" t="s">
        <v>7862</v>
      </c>
      <c r="X3527" s="2" t="s">
        <v>3851</v>
      </c>
      <c r="Y3527" s="2">
        <v>6700</v>
      </c>
      <c r="Z3527" s="19" t="str">
        <f>HYPERLINK("https://ssdweb.co/ssdweb/hd/Vision360.html?d=926210579&amp;zoomslide=1&amp;z=1926210579&amp;ISCONFIRM=0","VIDEO")</f>
        <v>VIDEO</v>
      </c>
      <c r="AA3527" s="19" t="str">
        <f>HYPERLINK("https://ssdweb.co/ssdweb/CERTH/635423921.pdf","CERTI")</f>
        <v>CERTI</v>
      </c>
    </row>
    <row r="3528" spans="1:27" ht="15" x14ac:dyDescent="0.25">
      <c r="A3528" s="2">
        <v>3523</v>
      </c>
      <c r="B3528" s="39">
        <v>926210865</v>
      </c>
      <c r="C3528" s="28" t="str">
        <f>HYPERLINK("https://pld.live/RapDetail.aspx?STONELIST=926210865","DNA")</f>
        <v>DNA</v>
      </c>
      <c r="D3528" s="18" t="s">
        <v>3054</v>
      </c>
      <c r="E3528" s="18" t="s">
        <v>5128</v>
      </c>
      <c r="F3528" s="2" t="s">
        <v>7987</v>
      </c>
      <c r="G3528" s="2" t="s">
        <v>7023</v>
      </c>
      <c r="H3528" s="14">
        <v>1</v>
      </c>
      <c r="I3528" s="2" t="s">
        <v>267</v>
      </c>
      <c r="J3528" s="2" t="s">
        <v>13</v>
      </c>
      <c r="K3528" s="2" t="s">
        <v>1452</v>
      </c>
      <c r="L3528" s="2" t="s">
        <v>5221</v>
      </c>
      <c r="M3528" s="2" t="s">
        <v>5221</v>
      </c>
      <c r="N3528" s="2" t="s">
        <v>2317</v>
      </c>
      <c r="O3528" s="14">
        <v>6700</v>
      </c>
      <c r="P3528" s="14">
        <v>98.33</v>
      </c>
      <c r="Q3528" s="14">
        <v>111.89</v>
      </c>
      <c r="R3528" s="14">
        <v>111.89</v>
      </c>
      <c r="S3528" s="2" t="s">
        <v>549</v>
      </c>
      <c r="T3528" s="2">
        <v>1.22</v>
      </c>
      <c r="U3528" s="2">
        <v>68.2</v>
      </c>
      <c r="V3528" s="2">
        <v>60</v>
      </c>
      <c r="W3528" s="2" t="s">
        <v>7862</v>
      </c>
      <c r="X3528" s="2" t="s">
        <v>3851</v>
      </c>
      <c r="Y3528" s="2">
        <v>6700</v>
      </c>
      <c r="Z3528" s="19" t="str">
        <f>HYPERLINK("https://ssdweb.co/ssdweb/hd/Vision360.html?d=926210865&amp;zoomslide=1&amp;z=1926210865&amp;ISCONFIRM=0","VIDEO")</f>
        <v>VIDEO</v>
      </c>
      <c r="AA3528" s="19" t="str">
        <f>HYPERLINK("https://ssdweb.co/ssdweb/CERTH/635426954.pdf","CERTI")</f>
        <v>CERTI</v>
      </c>
    </row>
    <row r="3529" spans="1:27" ht="15" x14ac:dyDescent="0.25">
      <c r="A3529" s="2">
        <v>3524</v>
      </c>
      <c r="B3529" s="39">
        <v>925280542</v>
      </c>
      <c r="C3529" s="28" t="str">
        <f>HYPERLINK("https://pld.live/RapDetail.aspx?STONELIST=925280542","DNA")</f>
        <v>DNA</v>
      </c>
      <c r="D3529" s="18" t="s">
        <v>3054</v>
      </c>
      <c r="E3529" s="18" t="s">
        <v>5128</v>
      </c>
      <c r="F3529" s="2" t="s">
        <v>7987</v>
      </c>
      <c r="G3529" s="2" t="s">
        <v>7023</v>
      </c>
      <c r="H3529" s="14">
        <v>1</v>
      </c>
      <c r="I3529" s="2" t="s">
        <v>267</v>
      </c>
      <c r="J3529" s="2" t="s">
        <v>5144</v>
      </c>
      <c r="K3529" s="2" t="s">
        <v>1452</v>
      </c>
      <c r="L3529" s="2" t="s">
        <v>5221</v>
      </c>
      <c r="M3529" s="2" t="s">
        <v>5221</v>
      </c>
      <c r="N3529" s="2" t="s">
        <v>2317</v>
      </c>
      <c r="O3529" s="14">
        <v>5700</v>
      </c>
      <c r="P3529" s="14">
        <v>98.14</v>
      </c>
      <c r="Q3529" s="14">
        <v>106.02</v>
      </c>
      <c r="R3529" s="14">
        <v>106.02</v>
      </c>
      <c r="S3529" s="2" t="s">
        <v>1053</v>
      </c>
      <c r="T3529" s="2">
        <v>1.25</v>
      </c>
      <c r="U3529" s="2">
        <v>63.1</v>
      </c>
      <c r="V3529" s="2">
        <v>63</v>
      </c>
      <c r="W3529" s="2" t="s">
        <v>7862</v>
      </c>
      <c r="X3529" s="2" t="s">
        <v>7053</v>
      </c>
      <c r="Y3529" s="2">
        <v>5700</v>
      </c>
      <c r="Z3529" s="19" t="str">
        <f>HYPERLINK("https://ssdweb.co/ssdweb/hd/Vision360.html?d=925280542&amp;zoomslide=1&amp;z=1925280542&amp;ISCONFIRM=0","VIDEO")</f>
        <v>VIDEO</v>
      </c>
      <c r="AA3529" s="19" t="str">
        <f>HYPERLINK("https://ssdweb.co/ssdweb/CERTH/620448965.pdf","CERTI")</f>
        <v>CERTI</v>
      </c>
    </row>
    <row r="3530" spans="1:27" ht="15" x14ac:dyDescent="0.25">
      <c r="A3530" s="2">
        <v>3525</v>
      </c>
      <c r="B3530" s="39">
        <v>926210772</v>
      </c>
      <c r="C3530" s="28" t="str">
        <f>HYPERLINK("https://pld.live/RapDetail.aspx?STONELIST=926210772","DNA")</f>
        <v>DNA</v>
      </c>
      <c r="D3530" s="18" t="s">
        <v>4121</v>
      </c>
      <c r="E3530" s="18" t="s">
        <v>5128</v>
      </c>
      <c r="F3530" s="2" t="s">
        <v>7987</v>
      </c>
      <c r="G3530" s="2" t="s">
        <v>7023</v>
      </c>
      <c r="H3530" s="14">
        <v>0.98</v>
      </c>
      <c r="I3530" s="2" t="s">
        <v>267</v>
      </c>
      <c r="J3530" s="2" t="s">
        <v>3942</v>
      </c>
      <c r="K3530" s="2" t="s">
        <v>1452</v>
      </c>
      <c r="L3530" s="2" t="s">
        <v>5221</v>
      </c>
      <c r="M3530" s="2" t="s">
        <v>5221</v>
      </c>
      <c r="N3530" s="2" t="s">
        <v>2317</v>
      </c>
      <c r="O3530" s="14">
        <v>5600</v>
      </c>
      <c r="P3530" s="14">
        <v>97.93</v>
      </c>
      <c r="Q3530" s="14">
        <v>115.92</v>
      </c>
      <c r="R3530" s="14">
        <v>113.6</v>
      </c>
      <c r="S3530" s="2" t="s">
        <v>1579</v>
      </c>
      <c r="T3530" s="2">
        <v>1.21</v>
      </c>
      <c r="U3530" s="2">
        <v>64.400000000000006</v>
      </c>
      <c r="V3530" s="2">
        <v>63</v>
      </c>
      <c r="W3530" s="2" t="s">
        <v>7862</v>
      </c>
      <c r="X3530" s="2" t="s">
        <v>3851</v>
      </c>
      <c r="Y3530" s="2">
        <v>5488</v>
      </c>
      <c r="Z3530" s="19" t="str">
        <f>HYPERLINK("https://ssdweb.co/ssdweb/hd/Vision360.html?d=926210772&amp;zoomslide=1&amp;z=1926210772&amp;ISCONFIRM=0","VIDEO")</f>
        <v>VIDEO</v>
      </c>
      <c r="AA3530" s="19" t="str">
        <f>HYPERLINK("https://ssdweb.co/ssdweb/CERTH/635427086.pdf","CERTI")</f>
        <v>CERTI</v>
      </c>
    </row>
    <row r="3531" spans="1:27" ht="15" x14ac:dyDescent="0.25">
      <c r="A3531" s="2">
        <v>3526</v>
      </c>
      <c r="B3531" s="39">
        <v>926331550</v>
      </c>
      <c r="C3531" s="28" t="str">
        <f>HYPERLINK("https://pld.live/RapDetail.aspx?STONELIST=926331550","DNA")</f>
        <v>DNA</v>
      </c>
      <c r="D3531" s="18" t="s">
        <v>4121</v>
      </c>
      <c r="E3531" s="18" t="s">
        <v>5128</v>
      </c>
      <c r="F3531" s="2" t="s">
        <v>7987</v>
      </c>
      <c r="G3531" s="2" t="s">
        <v>7023</v>
      </c>
      <c r="H3531" s="14">
        <v>0.97</v>
      </c>
      <c r="I3531" s="2" t="s">
        <v>4761</v>
      </c>
      <c r="J3531" s="2" t="s">
        <v>6555</v>
      </c>
      <c r="K3531" s="2" t="s">
        <v>1452</v>
      </c>
      <c r="L3531" s="2" t="s">
        <v>5221</v>
      </c>
      <c r="M3531" s="2" t="s">
        <v>5221</v>
      </c>
      <c r="N3531" s="2" t="s">
        <v>2317</v>
      </c>
      <c r="O3531" s="14">
        <v>5700</v>
      </c>
      <c r="P3531" s="14">
        <v>97.72</v>
      </c>
      <c r="Q3531" s="14">
        <v>129.96</v>
      </c>
      <c r="R3531" s="14">
        <v>126.06</v>
      </c>
      <c r="S3531" s="2" t="s">
        <v>6490</v>
      </c>
      <c r="T3531" s="2">
        <v>1.2</v>
      </c>
      <c r="U3531" s="2">
        <v>66.8</v>
      </c>
      <c r="V3531" s="2">
        <v>61</v>
      </c>
      <c r="W3531" s="2" t="s">
        <v>7862</v>
      </c>
      <c r="X3531" s="2" t="s">
        <v>3851</v>
      </c>
      <c r="Y3531" s="2">
        <v>5529</v>
      </c>
      <c r="Z3531" s="19" t="str">
        <f>HYPERLINK("https://ssdweb.co/ssdweb/hd/Vision360.html?d=926331550&amp;zoomslide=1&amp;z=1926331550&amp;ISCONFIRM=0","VIDEO")</f>
        <v>VIDEO</v>
      </c>
      <c r="AA3531" s="19" t="str">
        <f>HYPERLINK("https://ssdweb.co/ssdweb/CERTH/644466742.pdf","CERTI")</f>
        <v>CERTI</v>
      </c>
    </row>
    <row r="3532" spans="1:27" ht="15" x14ac:dyDescent="0.25">
      <c r="A3532" s="2">
        <v>3527</v>
      </c>
      <c r="B3532" s="39">
        <v>923570810</v>
      </c>
      <c r="C3532" s="28" t="str">
        <f>HYPERLINK("https://pld.live/RapDetail.aspx?STONELIST=923570810","DNA")</f>
        <v>DNA</v>
      </c>
      <c r="D3532" s="18" t="s">
        <v>2990</v>
      </c>
      <c r="E3532" s="18" t="s">
        <v>5128</v>
      </c>
      <c r="F3532" s="2" t="s">
        <v>7987</v>
      </c>
      <c r="G3532" s="2" t="s">
        <v>7023</v>
      </c>
      <c r="H3532" s="14">
        <v>0.92</v>
      </c>
      <c r="I3532" s="2" t="s">
        <v>267</v>
      </c>
      <c r="J3532" s="2" t="s">
        <v>6555</v>
      </c>
      <c r="K3532" s="2" t="s">
        <v>1452</v>
      </c>
      <c r="L3532" s="2" t="s">
        <v>5221</v>
      </c>
      <c r="M3532" s="2" t="s">
        <v>5221</v>
      </c>
      <c r="N3532" s="2" t="s">
        <v>2317</v>
      </c>
      <c r="O3532" s="14">
        <v>6300</v>
      </c>
      <c r="P3532" s="14">
        <v>97.75</v>
      </c>
      <c r="Q3532" s="14">
        <v>141.75</v>
      </c>
      <c r="R3532" s="14">
        <v>130.41</v>
      </c>
      <c r="S3532" s="2" t="s">
        <v>2876</v>
      </c>
      <c r="T3532" s="2">
        <v>1.18</v>
      </c>
      <c r="U3532" s="2">
        <v>68.400000000000006</v>
      </c>
      <c r="V3532" s="2">
        <v>61.5</v>
      </c>
      <c r="W3532" s="2" t="s">
        <v>7862</v>
      </c>
      <c r="X3532" s="2" t="s">
        <v>3851</v>
      </c>
      <c r="Y3532" s="2">
        <v>5796</v>
      </c>
      <c r="Z3532" s="19" t="str">
        <f>HYPERLINK("https://ssdweb.co/ssdweb/hd/Vision360.html?d=923570810&amp;zoomslide=1&amp;z=1923570810&amp;ISCONFIRM=0","VIDEO")</f>
        <v>VIDEO</v>
      </c>
      <c r="AA3532" s="19" t="str">
        <f>HYPERLINK("https://ssdweb.co/ssdweb/CERTH/557249791.pdf","CERTI")</f>
        <v>CERTI</v>
      </c>
    </row>
    <row r="3533" spans="1:27" ht="15" x14ac:dyDescent="0.25">
      <c r="A3533" s="2">
        <v>3528</v>
      </c>
      <c r="B3533" s="39">
        <v>924700174</v>
      </c>
      <c r="C3533" s="28" t="str">
        <f>HYPERLINK("https://pld.live/RapDetail.aspx?STONELIST=924700174","DNA")</f>
        <v>DNA</v>
      </c>
      <c r="D3533" s="18" t="s">
        <v>2990</v>
      </c>
      <c r="E3533" s="18" t="s">
        <v>5128</v>
      </c>
      <c r="F3533" s="2" t="s">
        <v>7987</v>
      </c>
      <c r="G3533" s="2" t="s">
        <v>7023</v>
      </c>
      <c r="H3533" s="14">
        <v>0.92</v>
      </c>
      <c r="I3533" s="2" t="s">
        <v>4761</v>
      </c>
      <c r="J3533" s="2" t="s">
        <v>13</v>
      </c>
      <c r="K3533" s="2" t="s">
        <v>1452</v>
      </c>
      <c r="L3533" s="2" t="s">
        <v>5221</v>
      </c>
      <c r="M3533" s="2" t="s">
        <v>5221</v>
      </c>
      <c r="N3533" s="2" t="s">
        <v>2317</v>
      </c>
      <c r="O3533" s="14">
        <v>4900</v>
      </c>
      <c r="P3533" s="14">
        <v>97.78</v>
      </c>
      <c r="Q3533" s="14">
        <v>108.78</v>
      </c>
      <c r="R3533" s="14">
        <v>100.08</v>
      </c>
      <c r="S3533" s="2" t="s">
        <v>3841</v>
      </c>
      <c r="T3533" s="2">
        <v>1.33</v>
      </c>
      <c r="U3533" s="2">
        <v>67</v>
      </c>
      <c r="V3533" s="2">
        <v>60</v>
      </c>
      <c r="W3533" s="2" t="s">
        <v>7862</v>
      </c>
      <c r="X3533" s="2" t="s">
        <v>3851</v>
      </c>
      <c r="Y3533" s="2">
        <v>4508</v>
      </c>
      <c r="Z3533" s="19" t="str">
        <f>HYPERLINK("https://ssdweb.co/ssdweb/hd/Vision360.html?d=924700174&amp;zoomslide=1&amp;z=1924700174&amp;ISCONFIRM=0","VIDEO")</f>
        <v>VIDEO</v>
      </c>
      <c r="AA3533" s="19" t="str">
        <f>HYPERLINK("https://ssdweb.co/ssdweb/CERTH/598374172.pdf","CERTI")</f>
        <v>CERTI</v>
      </c>
    </row>
    <row r="3534" spans="1:27" ht="15" x14ac:dyDescent="0.25">
      <c r="A3534" s="2">
        <v>3529</v>
      </c>
      <c r="B3534" s="39">
        <v>924970348</v>
      </c>
      <c r="C3534" s="28" t="str">
        <f>HYPERLINK("https://pld.live/RapDetail.aspx?STONELIST=924970348","DNA")</f>
        <v>DNA</v>
      </c>
      <c r="D3534" s="18" t="s">
        <v>2990</v>
      </c>
      <c r="E3534" s="18" t="s">
        <v>5128</v>
      </c>
      <c r="F3534" s="2" t="s">
        <v>7987</v>
      </c>
      <c r="G3534" s="2" t="s">
        <v>7023</v>
      </c>
      <c r="H3534" s="14">
        <v>0.91</v>
      </c>
      <c r="I3534" s="2" t="s">
        <v>267</v>
      </c>
      <c r="J3534" s="2" t="s">
        <v>13</v>
      </c>
      <c r="K3534" s="2" t="s">
        <v>1452</v>
      </c>
      <c r="L3534" s="2" t="s">
        <v>5221</v>
      </c>
      <c r="M3534" s="2" t="s">
        <v>5221</v>
      </c>
      <c r="N3534" s="2" t="s">
        <v>2317</v>
      </c>
      <c r="O3534" s="14">
        <v>5200</v>
      </c>
      <c r="P3534" s="14">
        <v>97.85</v>
      </c>
      <c r="Q3534" s="14">
        <v>111.8</v>
      </c>
      <c r="R3534" s="14">
        <v>101.74</v>
      </c>
      <c r="S3534" s="2" t="s">
        <v>6776</v>
      </c>
      <c r="T3534" s="2">
        <v>1.18</v>
      </c>
      <c r="U3534" s="2">
        <v>69.2</v>
      </c>
      <c r="V3534" s="2">
        <v>60</v>
      </c>
      <c r="W3534" s="2" t="s">
        <v>7862</v>
      </c>
      <c r="X3534" s="2" t="s">
        <v>3851</v>
      </c>
      <c r="Y3534" s="2">
        <v>4732</v>
      </c>
      <c r="Z3534" s="19" t="str">
        <f>HYPERLINK("https://ssdweb.co/ssdweb/hd/Vision360.html?d=924970348&amp;zoomslide=1&amp;z=1924970348&amp;ISCONFIRM=0","VIDEO")</f>
        <v>VIDEO</v>
      </c>
      <c r="AA3534" s="19" t="str">
        <f>HYPERLINK("https://ssdweb.co/ssdweb/CERTH/607366047.pdf","CERTI")</f>
        <v>CERTI</v>
      </c>
    </row>
    <row r="3535" spans="1:27" ht="15" x14ac:dyDescent="0.25">
      <c r="A3535" s="2">
        <v>3530</v>
      </c>
      <c r="B3535" s="39">
        <v>925280560</v>
      </c>
      <c r="C3535" s="28" t="str">
        <f>HYPERLINK("https://pld.live/RapDetail.aspx?STONELIST=925280560","DNA")</f>
        <v>DNA</v>
      </c>
      <c r="D3535" s="18" t="s">
        <v>2990</v>
      </c>
      <c r="E3535" s="18" t="s">
        <v>5128</v>
      </c>
      <c r="F3535" s="2" t="s">
        <v>7987</v>
      </c>
      <c r="G3535" s="2" t="s">
        <v>7023</v>
      </c>
      <c r="H3535" s="14">
        <v>0.91</v>
      </c>
      <c r="I3535" s="2" t="s">
        <v>267</v>
      </c>
      <c r="J3535" s="2" t="s">
        <v>13</v>
      </c>
      <c r="K3535" s="2" t="s">
        <v>1452</v>
      </c>
      <c r="L3535" s="2" t="s">
        <v>5221</v>
      </c>
      <c r="M3535" s="2" t="s">
        <v>5221</v>
      </c>
      <c r="N3535" s="2" t="s">
        <v>2317</v>
      </c>
      <c r="O3535" s="14">
        <v>5200</v>
      </c>
      <c r="P3535" s="14">
        <v>97.85</v>
      </c>
      <c r="Q3535" s="14">
        <v>111.8</v>
      </c>
      <c r="R3535" s="14">
        <v>101.74</v>
      </c>
      <c r="S3535" s="2" t="s">
        <v>2937</v>
      </c>
      <c r="T3535" s="2">
        <v>1.4</v>
      </c>
      <c r="U3535" s="2">
        <v>67.900000000000006</v>
      </c>
      <c r="V3535" s="2">
        <v>63</v>
      </c>
      <c r="W3535" s="2" t="s">
        <v>7862</v>
      </c>
      <c r="X3535" s="2" t="s">
        <v>3851</v>
      </c>
      <c r="Y3535" s="2">
        <v>4732</v>
      </c>
      <c r="Z3535" s="19" t="str">
        <f>HYPERLINK("https://ssdweb.co/ssdweb/hd/Vision360.html?d=925280560&amp;zoomslide=1&amp;z=1925280560&amp;ISCONFIRM=0","VIDEO")</f>
        <v>VIDEO</v>
      </c>
      <c r="AA3535" s="19" t="str">
        <f>HYPERLINK("https://ssdweb.co/ssdweb/CERTH/623492936.pdf","CERTI")</f>
        <v>CERTI</v>
      </c>
    </row>
    <row r="3536" spans="1:27" ht="15" x14ac:dyDescent="0.25">
      <c r="A3536" s="2">
        <v>3531</v>
      </c>
      <c r="B3536" s="39">
        <v>831020356</v>
      </c>
      <c r="C3536" s="28" t="str">
        <f>HYPERLINK("https://pld.live/RapDetail.aspx?STONELIST=831020356","DNA")</f>
        <v>DNA</v>
      </c>
      <c r="D3536" s="18" t="s">
        <v>2990</v>
      </c>
      <c r="E3536" s="18" t="s">
        <v>2186</v>
      </c>
      <c r="F3536" s="2" t="s">
        <v>7987</v>
      </c>
      <c r="G3536" s="2" t="s">
        <v>7023</v>
      </c>
      <c r="H3536" s="14">
        <v>0.91</v>
      </c>
      <c r="I3536" s="2" t="s">
        <v>4699</v>
      </c>
      <c r="J3536" s="2" t="s">
        <v>5144</v>
      </c>
      <c r="K3536" s="2" t="s">
        <v>1452</v>
      </c>
      <c r="L3536" s="2" t="s">
        <v>5221</v>
      </c>
      <c r="M3536" s="2" t="s">
        <v>5221</v>
      </c>
      <c r="N3536" s="2" t="s">
        <v>2317</v>
      </c>
      <c r="O3536" s="14">
        <v>4000</v>
      </c>
      <c r="P3536" s="14">
        <v>97.4</v>
      </c>
      <c r="Q3536" s="14">
        <v>104</v>
      </c>
      <c r="R3536" s="14">
        <v>94.64</v>
      </c>
      <c r="S3536" s="2" t="s">
        <v>400</v>
      </c>
      <c r="T3536" s="2">
        <v>1.28</v>
      </c>
      <c r="U3536" s="2">
        <v>65.400000000000006</v>
      </c>
      <c r="V3536" s="2">
        <v>60.5</v>
      </c>
      <c r="W3536" s="2" t="s">
        <v>7862</v>
      </c>
      <c r="X3536" s="2" t="s">
        <v>3851</v>
      </c>
      <c r="Y3536" s="2">
        <v>3640</v>
      </c>
      <c r="Z3536" s="19" t="str">
        <f>HYPERLINK("https://ssdweb.co/ssdweb/hd/Vision360.html?d=831020356&amp;zoomslide=1&amp;z=1831020356&amp;ISCONFIRM=0","VIDEO")</f>
        <v>VIDEO</v>
      </c>
      <c r="AA3536" s="19" t="str">
        <f>HYPERLINK("https://ssdweb.co/ssdweb/CERTH/564360200.pdf","CERTI")</f>
        <v>CERTI</v>
      </c>
    </row>
    <row r="3537" spans="1:27" ht="15" x14ac:dyDescent="0.25">
      <c r="A3537" s="2">
        <v>3532</v>
      </c>
      <c r="B3537" s="39">
        <v>922940168</v>
      </c>
      <c r="C3537" s="28" t="str">
        <f>HYPERLINK("https://pld.live/RapDetail.aspx?STONELIST=922940168","DNA")</f>
        <v>DNA</v>
      </c>
      <c r="D3537" s="18" t="s">
        <v>2990</v>
      </c>
      <c r="E3537" s="18" t="s">
        <v>5128</v>
      </c>
      <c r="F3537" s="2" t="s">
        <v>7987</v>
      </c>
      <c r="G3537" s="2" t="s">
        <v>7023</v>
      </c>
      <c r="H3537" s="14">
        <v>0.9</v>
      </c>
      <c r="I3537" s="2" t="s">
        <v>267</v>
      </c>
      <c r="J3537" s="2" t="s">
        <v>444</v>
      </c>
      <c r="K3537" s="2" t="s">
        <v>1452</v>
      </c>
      <c r="L3537" s="2" t="s">
        <v>5221</v>
      </c>
      <c r="M3537" s="2" t="s">
        <v>5221</v>
      </c>
      <c r="N3537" s="2" t="s">
        <v>2317</v>
      </c>
      <c r="O3537" s="14">
        <v>3700</v>
      </c>
      <c r="P3537" s="14">
        <v>97.16</v>
      </c>
      <c r="Q3537" s="14">
        <v>105.08</v>
      </c>
      <c r="R3537" s="14">
        <v>94.57</v>
      </c>
      <c r="S3537" s="2" t="s">
        <v>1231</v>
      </c>
      <c r="T3537" s="2">
        <v>1.17</v>
      </c>
      <c r="U3537" s="2">
        <v>65.400000000000006</v>
      </c>
      <c r="V3537" s="2">
        <v>61</v>
      </c>
      <c r="W3537" s="2" t="s">
        <v>7862</v>
      </c>
      <c r="X3537" s="2" t="s">
        <v>3851</v>
      </c>
      <c r="Y3537" s="2">
        <v>3330</v>
      </c>
      <c r="Z3537" s="19" t="str">
        <f>HYPERLINK("https://ssdweb.co/ssdweb/hd/Vision360.html?d=922940168&amp;zoomslide=1&amp;z=1922940168&amp;ISCONFIRM=0","VIDEO")</f>
        <v>VIDEO</v>
      </c>
      <c r="AA3537" s="19" t="str">
        <f>HYPERLINK("https://ssdweb.co/ssdweb/CERTH/537215835.pdf","CERTI")</f>
        <v>CERTI</v>
      </c>
    </row>
    <row r="3538" spans="1:27" ht="15" x14ac:dyDescent="0.25">
      <c r="A3538" s="2">
        <v>3533</v>
      </c>
      <c r="B3538" s="39">
        <v>926280604</v>
      </c>
      <c r="C3538" s="28" t="str">
        <f>HYPERLINK("https://pld.live/RapDetail.aspx?STONELIST=926280604","DNA")</f>
        <v>DNA</v>
      </c>
      <c r="D3538" s="18" t="s">
        <v>2990</v>
      </c>
      <c r="E3538" s="18" t="s">
        <v>5128</v>
      </c>
      <c r="F3538" s="2" t="s">
        <v>7987</v>
      </c>
      <c r="G3538" s="2" t="s">
        <v>7023</v>
      </c>
      <c r="H3538" s="14">
        <v>0.9</v>
      </c>
      <c r="I3538" s="2" t="s">
        <v>4761</v>
      </c>
      <c r="J3538" s="2" t="s">
        <v>3942</v>
      </c>
      <c r="K3538" s="2" t="s">
        <v>1452</v>
      </c>
      <c r="L3538" s="2" t="s">
        <v>5221</v>
      </c>
      <c r="M3538" s="2" t="s">
        <v>5221</v>
      </c>
      <c r="N3538" s="2" t="s">
        <v>2317</v>
      </c>
      <c r="O3538" s="14">
        <v>5200</v>
      </c>
      <c r="P3538" s="14">
        <v>97.81</v>
      </c>
      <c r="Q3538" s="14">
        <v>113.88</v>
      </c>
      <c r="R3538" s="14">
        <v>102.49</v>
      </c>
      <c r="S3538" s="2" t="s">
        <v>7452</v>
      </c>
      <c r="T3538" s="2">
        <v>1.34</v>
      </c>
      <c r="U3538" s="2">
        <v>66.400000000000006</v>
      </c>
      <c r="V3538" s="2">
        <v>60</v>
      </c>
      <c r="W3538" s="2" t="s">
        <v>7862</v>
      </c>
      <c r="X3538" s="2" t="s">
        <v>3851</v>
      </c>
      <c r="Y3538" s="2">
        <v>4680</v>
      </c>
      <c r="Z3538" s="19" t="str">
        <f>HYPERLINK("https://ssdweb.co/ssdweb/hd/Vision360.html?d=926280604&amp;zoomslide=1&amp;z=1926280604&amp;ISCONFIRM=0","VIDEO")</f>
        <v>VIDEO</v>
      </c>
      <c r="AA3538" s="19" t="str">
        <f>HYPERLINK("https://ssdweb.co/ssdweb/CERTH/638462959.pdf","CERTI")</f>
        <v>CERTI</v>
      </c>
    </row>
    <row r="3539" spans="1:27" ht="15" x14ac:dyDescent="0.25">
      <c r="A3539" s="2">
        <v>3534</v>
      </c>
      <c r="B3539" s="39">
        <v>924690195</v>
      </c>
      <c r="C3539" s="28" t="str">
        <f>HYPERLINK("https://pld.live/RapDetail.aspx?STONELIST=924690195","DNA")</f>
        <v>DNA</v>
      </c>
      <c r="D3539" s="18" t="s">
        <v>2990</v>
      </c>
      <c r="E3539" s="18" t="s">
        <v>5128</v>
      </c>
      <c r="F3539" s="2" t="s">
        <v>7987</v>
      </c>
      <c r="G3539" s="2" t="s">
        <v>7023</v>
      </c>
      <c r="H3539" s="14">
        <v>0.9</v>
      </c>
      <c r="I3539" s="2" t="s">
        <v>4761</v>
      </c>
      <c r="J3539" s="2" t="s">
        <v>13</v>
      </c>
      <c r="K3539" s="2" t="s">
        <v>1452</v>
      </c>
      <c r="L3539" s="2" t="s">
        <v>5221</v>
      </c>
      <c r="M3539" s="2" t="s">
        <v>5221</v>
      </c>
      <c r="N3539" s="2" t="s">
        <v>2317</v>
      </c>
      <c r="O3539" s="14">
        <v>4900</v>
      </c>
      <c r="P3539" s="14">
        <v>97.78</v>
      </c>
      <c r="Q3539" s="14">
        <v>108.78</v>
      </c>
      <c r="R3539" s="14">
        <v>97.9</v>
      </c>
      <c r="S3539" s="2" t="s">
        <v>6653</v>
      </c>
      <c r="T3539" s="2">
        <v>1.37</v>
      </c>
      <c r="U3539" s="2">
        <v>66.7</v>
      </c>
      <c r="V3539" s="2">
        <v>61</v>
      </c>
      <c r="W3539" s="2" t="s">
        <v>7862</v>
      </c>
      <c r="X3539" s="2" t="s">
        <v>3851</v>
      </c>
      <c r="Y3539" s="2">
        <v>4410</v>
      </c>
      <c r="Z3539" s="19" t="str">
        <f>HYPERLINK("https://ssdweb.co/ssdweb/hd/Vision360.html?d=924690195&amp;zoomslide=1&amp;z=1924690195&amp;ISCONFIRM=0","VIDEO")</f>
        <v>VIDEO</v>
      </c>
      <c r="AA3539" s="19" t="str">
        <f>HYPERLINK("https://ssdweb.co/ssdweb/CERTH/598388502.pdf","CERTI")</f>
        <v>CERTI</v>
      </c>
    </row>
    <row r="3540" spans="1:27" ht="15" x14ac:dyDescent="0.25">
      <c r="A3540" s="2">
        <v>3535</v>
      </c>
      <c r="B3540" s="39">
        <v>924390448</v>
      </c>
      <c r="C3540" s="28" t="str">
        <f>HYPERLINK("https://pld.live/RapDetail.aspx?STONELIST=924390448","DNA")</f>
        <v>DNA</v>
      </c>
      <c r="D3540" s="18" t="s">
        <v>2990</v>
      </c>
      <c r="E3540" s="18" t="s">
        <v>5128</v>
      </c>
      <c r="F3540" s="2" t="s">
        <v>7987</v>
      </c>
      <c r="G3540" s="2" t="s">
        <v>7023</v>
      </c>
      <c r="H3540" s="14">
        <v>0.9</v>
      </c>
      <c r="I3540" s="2" t="s">
        <v>4761</v>
      </c>
      <c r="J3540" s="2" t="s">
        <v>13</v>
      </c>
      <c r="K3540" s="2" t="s">
        <v>1452</v>
      </c>
      <c r="L3540" s="2" t="s">
        <v>5221</v>
      </c>
      <c r="M3540" s="2" t="s">
        <v>5221</v>
      </c>
      <c r="N3540" s="2" t="s">
        <v>2317</v>
      </c>
      <c r="O3540" s="14">
        <v>4900</v>
      </c>
      <c r="P3540" s="14">
        <v>97.78</v>
      </c>
      <c r="Q3540" s="14">
        <v>108.78</v>
      </c>
      <c r="R3540" s="14">
        <v>97.9</v>
      </c>
      <c r="S3540" s="2" t="s">
        <v>1484</v>
      </c>
      <c r="T3540" s="2">
        <v>1.42</v>
      </c>
      <c r="U3540" s="2">
        <v>68.900000000000006</v>
      </c>
      <c r="V3540" s="2">
        <v>59</v>
      </c>
      <c r="W3540" s="2" t="s">
        <v>7862</v>
      </c>
      <c r="X3540" s="2" t="s">
        <v>3851</v>
      </c>
      <c r="Y3540" s="2">
        <v>4410</v>
      </c>
      <c r="Z3540" s="19" t="str">
        <f>HYPERLINK("https://ssdweb.co/ssdweb/hd/Vision360.html?d=924390448&amp;zoomslide=1&amp;z=1924390448&amp;ISCONFIRM=0","VIDEO")</f>
        <v>VIDEO</v>
      </c>
      <c r="AA3540" s="19" t="str">
        <f>HYPERLINK("https://ssdweb.co/ssdweb/CERTH/593373088.pdf","CERTI")</f>
        <v>CERTI</v>
      </c>
    </row>
    <row r="3541" spans="1:27" ht="15" x14ac:dyDescent="0.25">
      <c r="A3541" s="2">
        <v>3536</v>
      </c>
      <c r="B3541" s="39">
        <v>923690399</v>
      </c>
      <c r="C3541" s="28" t="str">
        <f>HYPERLINK("https://pld.live/RapDetail.aspx?STONELIST=923690399","DNA")</f>
        <v>DNA</v>
      </c>
      <c r="D3541" s="18" t="s">
        <v>5715</v>
      </c>
      <c r="E3541" s="18" t="s">
        <v>5128</v>
      </c>
      <c r="F3541" s="2" t="s">
        <v>7987</v>
      </c>
      <c r="G3541" s="2" t="s">
        <v>7023</v>
      </c>
      <c r="H3541" s="14">
        <v>0.83</v>
      </c>
      <c r="I3541" s="2" t="s">
        <v>267</v>
      </c>
      <c r="J3541" s="2" t="s">
        <v>5144</v>
      </c>
      <c r="K3541" s="2" t="s">
        <v>1452</v>
      </c>
      <c r="L3541" s="2" t="s">
        <v>5221</v>
      </c>
      <c r="M3541" s="2" t="s">
        <v>5221</v>
      </c>
      <c r="N3541" s="2" t="s">
        <v>2317</v>
      </c>
      <c r="O3541" s="14">
        <v>3400</v>
      </c>
      <c r="P3541" s="14">
        <v>96.18</v>
      </c>
      <c r="Q3541" s="14">
        <v>129.88</v>
      </c>
      <c r="R3541" s="14">
        <v>107.8</v>
      </c>
      <c r="S3541" s="2" t="s">
        <v>1388</v>
      </c>
      <c r="T3541" s="2">
        <v>1.32</v>
      </c>
      <c r="U3541" s="2">
        <v>64.5</v>
      </c>
      <c r="V3541" s="2">
        <v>61</v>
      </c>
      <c r="W3541" s="2" t="s">
        <v>7862</v>
      </c>
      <c r="X3541" s="2" t="s">
        <v>3851</v>
      </c>
      <c r="Y3541" s="2">
        <v>2822</v>
      </c>
      <c r="Z3541" s="19" t="str">
        <f>HYPERLINK("https://ssdweb.co/ssdweb/hd/Vision360.html?d=923690399&amp;zoomslide=1&amp;z=1923690399&amp;ISCONFIRM=0","VIDEO")</f>
        <v>VIDEO</v>
      </c>
      <c r="AA3541" s="19" t="str">
        <f>HYPERLINK("https://ssdweb.co/ssdweb/CERTH/560233829.pdf","CERTI")</f>
        <v>CERTI</v>
      </c>
    </row>
    <row r="3542" spans="1:27" ht="15" x14ac:dyDescent="0.25">
      <c r="A3542" s="2">
        <v>3537</v>
      </c>
      <c r="B3542" s="39">
        <v>923920379</v>
      </c>
      <c r="C3542" s="28" t="str">
        <f>HYPERLINK("https://pld.live/RapDetail.aspx?STONELIST=923920379","DNA")</f>
        <v>DNA</v>
      </c>
      <c r="D3542" s="18" t="s">
        <v>5715</v>
      </c>
      <c r="E3542" s="18" t="s">
        <v>5128</v>
      </c>
      <c r="F3542" s="2" t="s">
        <v>7987</v>
      </c>
      <c r="G3542" s="2" t="s">
        <v>7023</v>
      </c>
      <c r="H3542" s="14">
        <v>0.81</v>
      </c>
      <c r="I3542" s="2" t="s">
        <v>267</v>
      </c>
      <c r="J3542" s="2" t="s">
        <v>444</v>
      </c>
      <c r="K3542" s="2" t="s">
        <v>1452</v>
      </c>
      <c r="L3542" s="2" t="s">
        <v>5221</v>
      </c>
      <c r="M3542" s="2" t="s">
        <v>5221</v>
      </c>
      <c r="N3542" s="2" t="s">
        <v>2317</v>
      </c>
      <c r="O3542" s="14">
        <v>2800</v>
      </c>
      <c r="P3542" s="14">
        <v>95.54</v>
      </c>
      <c r="Q3542" s="14">
        <v>124.88</v>
      </c>
      <c r="R3542" s="14">
        <v>101.15</v>
      </c>
      <c r="S3542" s="2" t="s">
        <v>1313</v>
      </c>
      <c r="T3542" s="2">
        <v>1.2</v>
      </c>
      <c r="U3542" s="2">
        <v>66</v>
      </c>
      <c r="V3542" s="2">
        <v>59.5</v>
      </c>
      <c r="W3542" s="2" t="s">
        <v>7862</v>
      </c>
      <c r="X3542" s="2" t="s">
        <v>3851</v>
      </c>
      <c r="Y3542" s="2">
        <v>2268</v>
      </c>
      <c r="Z3542" s="19" t="str">
        <f>HYPERLINK("https://ssdweb.co/ssdweb/hd/Vision360.html?d=923920379&amp;zoomslide=1&amp;z=1923920379&amp;ISCONFIRM=0","VIDEO")</f>
        <v>VIDEO</v>
      </c>
      <c r="AA3542" s="19" t="str">
        <f>HYPERLINK("https://ssdweb.co/ssdweb/CERTH/570371242.pdf","CERTI")</f>
        <v>CERTI</v>
      </c>
    </row>
    <row r="3543" spans="1:27" ht="15" x14ac:dyDescent="0.25">
      <c r="A3543" s="2">
        <v>3538</v>
      </c>
      <c r="B3543" s="39">
        <v>923920451</v>
      </c>
      <c r="C3543" s="28" t="str">
        <f>HYPERLINK("https://pld.live/RapDetail.aspx?STONELIST=923920451","DNA")</f>
        <v>DNA</v>
      </c>
      <c r="D3543" s="18" t="s">
        <v>5847</v>
      </c>
      <c r="E3543" s="18" t="s">
        <v>5128</v>
      </c>
      <c r="F3543" s="2" t="s">
        <v>7987</v>
      </c>
      <c r="G3543" s="2" t="s">
        <v>7023</v>
      </c>
      <c r="H3543" s="14">
        <v>0.73</v>
      </c>
      <c r="I3543" s="2" t="s">
        <v>4761</v>
      </c>
      <c r="J3543" s="2" t="s">
        <v>3942</v>
      </c>
      <c r="K3543" s="2" t="s">
        <v>1452</v>
      </c>
      <c r="L3543" s="2" t="s">
        <v>5221</v>
      </c>
      <c r="M3543" s="2" t="s">
        <v>5221</v>
      </c>
      <c r="N3543" s="2" t="s">
        <v>2317</v>
      </c>
      <c r="O3543" s="14">
        <v>3800</v>
      </c>
      <c r="P3543" s="14">
        <v>96.34</v>
      </c>
      <c r="Q3543" s="14">
        <v>139.08000000000001</v>
      </c>
      <c r="R3543" s="14">
        <v>101.53</v>
      </c>
      <c r="S3543" s="2" t="s">
        <v>844</v>
      </c>
      <c r="T3543" s="2">
        <v>1.2</v>
      </c>
      <c r="U3543" s="2">
        <v>66.2</v>
      </c>
      <c r="V3543" s="2">
        <v>60.5</v>
      </c>
      <c r="W3543" s="2" t="s">
        <v>7862</v>
      </c>
      <c r="X3543" s="2" t="s">
        <v>3851</v>
      </c>
      <c r="Y3543" s="2">
        <v>2774</v>
      </c>
      <c r="Z3543" s="19" t="str">
        <f>HYPERLINK("https://ssdweb.co/ssdweb/hd/Vision360.html?d=923920451&amp;zoomslide=1&amp;z=1923920451&amp;ISCONFIRM=0","VIDEO")</f>
        <v>VIDEO</v>
      </c>
      <c r="AA3543" s="19" t="str">
        <f>HYPERLINK("https://ssdweb.co/ssdweb/CERTH/572338267.pdf","CERTI")</f>
        <v>CERTI</v>
      </c>
    </row>
    <row r="3544" spans="1:27" ht="15" x14ac:dyDescent="0.25">
      <c r="A3544" s="2">
        <v>3539</v>
      </c>
      <c r="B3544" s="39">
        <v>923870407</v>
      </c>
      <c r="C3544" s="28" t="str">
        <f>HYPERLINK("https://pld.live/RapDetail.aspx?STONELIST=923870407","DNA")</f>
        <v>DNA</v>
      </c>
      <c r="D3544" s="18" t="s">
        <v>5847</v>
      </c>
      <c r="E3544" s="18" t="s">
        <v>5128</v>
      </c>
      <c r="F3544" s="2" t="s">
        <v>7987</v>
      </c>
      <c r="G3544" s="2" t="s">
        <v>7023</v>
      </c>
      <c r="H3544" s="14">
        <v>0.71</v>
      </c>
      <c r="I3544" s="2" t="s">
        <v>267</v>
      </c>
      <c r="J3544" s="2" t="s">
        <v>3942</v>
      </c>
      <c r="K3544" s="2" t="s">
        <v>1452</v>
      </c>
      <c r="L3544" s="2" t="s">
        <v>5221</v>
      </c>
      <c r="M3544" s="2" t="s">
        <v>5221</v>
      </c>
      <c r="N3544" s="2" t="s">
        <v>2317</v>
      </c>
      <c r="O3544" s="14">
        <v>4000</v>
      </c>
      <c r="P3544" s="14">
        <v>96.45</v>
      </c>
      <c r="Q3544" s="14">
        <v>142</v>
      </c>
      <c r="R3544" s="14">
        <v>100.82</v>
      </c>
      <c r="S3544" s="2" t="s">
        <v>4698</v>
      </c>
      <c r="T3544" s="2">
        <v>1.2</v>
      </c>
      <c r="U3544" s="2">
        <v>67.5</v>
      </c>
      <c r="V3544" s="2">
        <v>62.5</v>
      </c>
      <c r="W3544" s="2" t="s">
        <v>7862</v>
      </c>
      <c r="X3544" s="2" t="s">
        <v>3851</v>
      </c>
      <c r="Y3544" s="2">
        <v>2840</v>
      </c>
      <c r="Z3544" s="19" t="str">
        <f>HYPERLINK("https://ssdweb.co/ssdweb/hd/Vision360.html?d=923870407&amp;zoomslide=1&amp;z=1923870407&amp;ISCONFIRM=0","VIDEO")</f>
        <v>VIDEO</v>
      </c>
      <c r="AA3544" s="19" t="str">
        <f>HYPERLINK("https://ssdweb.co/ssdweb/CERTH/569328784.pdf","CERTI")</f>
        <v>CERTI</v>
      </c>
    </row>
    <row r="3545" spans="1:27" ht="15" x14ac:dyDescent="0.25">
      <c r="A3545" s="2">
        <v>3540</v>
      </c>
      <c r="B3545" s="39">
        <v>923920369</v>
      </c>
      <c r="C3545" s="28" t="str">
        <f>HYPERLINK("https://pld.live/RapDetail.aspx?STONELIST=923920369","DNA")</f>
        <v>DNA</v>
      </c>
      <c r="D3545" s="18" t="s">
        <v>5847</v>
      </c>
      <c r="E3545" s="18" t="s">
        <v>5128</v>
      </c>
      <c r="F3545" s="2" t="s">
        <v>7987</v>
      </c>
      <c r="G3545" s="2" t="s">
        <v>7023</v>
      </c>
      <c r="H3545" s="14">
        <v>0.71</v>
      </c>
      <c r="I3545" s="2" t="s">
        <v>267</v>
      </c>
      <c r="J3545" s="2" t="s">
        <v>3942</v>
      </c>
      <c r="K3545" s="2" t="s">
        <v>1452</v>
      </c>
      <c r="L3545" s="2" t="s">
        <v>5221</v>
      </c>
      <c r="M3545" s="2" t="s">
        <v>5221</v>
      </c>
      <c r="N3545" s="2" t="s">
        <v>2317</v>
      </c>
      <c r="O3545" s="14">
        <v>4000</v>
      </c>
      <c r="P3545" s="14">
        <v>96.45</v>
      </c>
      <c r="Q3545" s="14">
        <v>142</v>
      </c>
      <c r="R3545" s="14">
        <v>100.82</v>
      </c>
      <c r="S3545" s="2" t="s">
        <v>3349</v>
      </c>
      <c r="T3545" s="2">
        <v>1.28</v>
      </c>
      <c r="U3545" s="2">
        <v>67.099999999999994</v>
      </c>
      <c r="V3545" s="2">
        <v>60</v>
      </c>
      <c r="W3545" s="2" t="s">
        <v>7862</v>
      </c>
      <c r="X3545" s="2" t="s">
        <v>3851</v>
      </c>
      <c r="Y3545" s="2">
        <v>2840</v>
      </c>
      <c r="Z3545" s="19" t="str">
        <f>HYPERLINK("https://ssdweb.co/ssdweb/hd/Vision360.html?d=923920369&amp;zoomslide=1&amp;z=1923920369&amp;ISCONFIRM=0","VIDEO")</f>
        <v>VIDEO</v>
      </c>
      <c r="AA3545" s="19" t="str">
        <f>HYPERLINK("https://ssdweb.co/ssdweb/CERTH/569328805.pdf","CERTI")</f>
        <v>CERTI</v>
      </c>
    </row>
    <row r="3546" spans="1:27" ht="15" x14ac:dyDescent="0.25">
      <c r="A3546" s="2">
        <v>3541</v>
      </c>
      <c r="B3546" s="39">
        <v>831010220</v>
      </c>
      <c r="C3546" s="28" t="str">
        <f>HYPERLINK("https://pld.live/RapDetail.aspx?STONELIST=831010220","DNA")</f>
        <v>DNA</v>
      </c>
      <c r="D3546" s="18" t="s">
        <v>5847</v>
      </c>
      <c r="E3546" s="18" t="s">
        <v>5128</v>
      </c>
      <c r="F3546" s="2" t="s">
        <v>7987</v>
      </c>
      <c r="G3546" s="2" t="s">
        <v>7023</v>
      </c>
      <c r="H3546" s="14">
        <v>0.71</v>
      </c>
      <c r="I3546" s="2" t="s">
        <v>267</v>
      </c>
      <c r="J3546" s="2" t="s">
        <v>13</v>
      </c>
      <c r="K3546" s="2" t="s">
        <v>1452</v>
      </c>
      <c r="L3546" s="2" t="s">
        <v>5221</v>
      </c>
      <c r="M3546" s="2" t="s">
        <v>5221</v>
      </c>
      <c r="N3546" s="2" t="s">
        <v>2317</v>
      </c>
      <c r="O3546" s="14">
        <v>3700</v>
      </c>
      <c r="P3546" s="14">
        <v>96.3</v>
      </c>
      <c r="Q3546" s="14">
        <v>136.9</v>
      </c>
      <c r="R3546" s="14">
        <v>97.2</v>
      </c>
      <c r="S3546" s="2" t="s">
        <v>6729</v>
      </c>
      <c r="T3546" s="2">
        <v>1.24</v>
      </c>
      <c r="U3546" s="2">
        <v>66.7</v>
      </c>
      <c r="V3546" s="2">
        <v>59</v>
      </c>
      <c r="W3546" s="2" t="s">
        <v>7862</v>
      </c>
      <c r="X3546" s="2" t="s">
        <v>3851</v>
      </c>
      <c r="Y3546" s="2">
        <v>2627</v>
      </c>
      <c r="Z3546" s="19" t="str">
        <f>HYPERLINK("https://ssdweb.co/ssdweb/hd/Vision360.html?d=831010220&amp;zoomslide=1&amp;z=1831010220&amp;ISCONFIRM=0","VIDEO")</f>
        <v>VIDEO</v>
      </c>
      <c r="AA3546" s="19" t="str">
        <f>HYPERLINK("https://ssdweb.co/ssdweb/CERTH/570371503.pdf","CERTI")</f>
        <v>CERTI</v>
      </c>
    </row>
    <row r="3547" spans="1:27" ht="15" x14ac:dyDescent="0.25">
      <c r="A3547" s="2">
        <v>3542</v>
      </c>
      <c r="B3547" s="39">
        <v>923870336</v>
      </c>
      <c r="C3547" s="28" t="str">
        <f>HYPERLINK("https://pld.live/RapDetail.aspx?STONELIST=923870336","DNA")</f>
        <v>DNA</v>
      </c>
      <c r="D3547" s="18" t="s">
        <v>5847</v>
      </c>
      <c r="E3547" s="18" t="s">
        <v>5128</v>
      </c>
      <c r="F3547" s="2" t="s">
        <v>7987</v>
      </c>
      <c r="G3547" s="2" t="s">
        <v>7023</v>
      </c>
      <c r="H3547" s="14">
        <v>0.71</v>
      </c>
      <c r="I3547" s="2" t="s">
        <v>267</v>
      </c>
      <c r="J3547" s="2" t="s">
        <v>444</v>
      </c>
      <c r="K3547" s="2" t="s">
        <v>1452</v>
      </c>
      <c r="L3547" s="2" t="s">
        <v>5221</v>
      </c>
      <c r="M3547" s="2" t="s">
        <v>5221</v>
      </c>
      <c r="N3547" s="2" t="s">
        <v>2317</v>
      </c>
      <c r="O3547" s="14">
        <v>2800</v>
      </c>
      <c r="P3547" s="14">
        <v>95.46</v>
      </c>
      <c r="Q3547" s="14">
        <v>127.12</v>
      </c>
      <c r="R3547" s="14">
        <v>90.26</v>
      </c>
      <c r="S3547" s="2" t="s">
        <v>3406</v>
      </c>
      <c r="T3547" s="2">
        <v>1.19</v>
      </c>
      <c r="U3547" s="2">
        <v>68</v>
      </c>
      <c r="V3547" s="2">
        <v>60</v>
      </c>
      <c r="W3547" s="2" t="s">
        <v>7862</v>
      </c>
      <c r="X3547" s="2" t="s">
        <v>3851</v>
      </c>
      <c r="Y3547" s="2">
        <v>1988</v>
      </c>
      <c r="Z3547" s="19" t="str">
        <f>HYPERLINK("https://ssdweb.co/ssdweb/hd/Vision360.html?d=923870336&amp;zoomslide=1&amp;z=1923870336&amp;ISCONFIRM=0","VIDEO")</f>
        <v>VIDEO</v>
      </c>
      <c r="AA3547" s="19" t="str">
        <f>HYPERLINK("https://ssdweb.co/ssdweb/CERTH/569323117.pdf","CERTI")</f>
        <v>CERTI</v>
      </c>
    </row>
    <row r="3548" spans="1:27" ht="15" x14ac:dyDescent="0.25">
      <c r="A3548" s="2">
        <v>3543</v>
      </c>
      <c r="B3548" s="39">
        <v>922800540</v>
      </c>
      <c r="C3548" s="28" t="str">
        <f>HYPERLINK("https://pld.live/RapDetail.aspx?STONELIST=922800540","DNA")</f>
        <v>DNA</v>
      </c>
      <c r="D3548" s="18" t="s">
        <v>5847</v>
      </c>
      <c r="E3548" s="18" t="s">
        <v>5128</v>
      </c>
      <c r="F3548" s="2" t="s">
        <v>7987</v>
      </c>
      <c r="G3548" s="2" t="s">
        <v>7023</v>
      </c>
      <c r="H3548" s="14">
        <v>0.7</v>
      </c>
      <c r="I3548" s="2" t="s">
        <v>267</v>
      </c>
      <c r="J3548" s="2" t="s">
        <v>6555</v>
      </c>
      <c r="K3548" s="2" t="s">
        <v>1452</v>
      </c>
      <c r="L3548" s="2" t="s">
        <v>5221</v>
      </c>
      <c r="M3548" s="2" t="s">
        <v>5221</v>
      </c>
      <c r="N3548" s="2" t="s">
        <v>2317</v>
      </c>
      <c r="O3548" s="14">
        <v>4300</v>
      </c>
      <c r="P3548" s="14">
        <v>96.12</v>
      </c>
      <c r="Q3548" s="14">
        <v>166.84</v>
      </c>
      <c r="R3548" s="14">
        <v>116.79</v>
      </c>
      <c r="S3548" s="2" t="s">
        <v>2501</v>
      </c>
      <c r="T3548" s="2">
        <v>1.46</v>
      </c>
      <c r="U3548" s="2">
        <v>64.3</v>
      </c>
      <c r="V3548" s="2">
        <v>64</v>
      </c>
      <c r="W3548" s="2" t="s">
        <v>7862</v>
      </c>
      <c r="X3548" s="2" t="s">
        <v>3851</v>
      </c>
      <c r="Y3548" s="2">
        <v>3010</v>
      </c>
      <c r="Z3548" s="19" t="str">
        <f>HYPERLINK("https://ssdweb.co/ssdweb/hd/Vision360.html?d=922800540&amp;zoomslide=1&amp;z=1922800540&amp;ISCONFIRM=0","VIDEO")</f>
        <v>VIDEO</v>
      </c>
      <c r="AA3548" s="19" t="str">
        <f>HYPERLINK("https://ssdweb.co/ssdweb/CERTH/536291649.pdf","CERTI")</f>
        <v>CERTI</v>
      </c>
    </row>
    <row r="3549" spans="1:27" ht="15" x14ac:dyDescent="0.25">
      <c r="A3549" s="2">
        <v>3544</v>
      </c>
      <c r="B3549" s="39">
        <v>923690422</v>
      </c>
      <c r="C3549" s="28" t="str">
        <f>HYPERLINK("https://pld.live/RapDetail.aspx?STONELIST=923690422","DNA")</f>
        <v>DNA</v>
      </c>
      <c r="D3549" s="18" t="s">
        <v>5847</v>
      </c>
      <c r="E3549" s="18" t="s">
        <v>5128</v>
      </c>
      <c r="F3549" s="2" t="s">
        <v>7987</v>
      </c>
      <c r="G3549" s="2" t="s">
        <v>7023</v>
      </c>
      <c r="H3549" s="14">
        <v>0.7</v>
      </c>
      <c r="I3549" s="2" t="s">
        <v>267</v>
      </c>
      <c r="J3549" s="2" t="s">
        <v>13</v>
      </c>
      <c r="K3549" s="2" t="s">
        <v>1452</v>
      </c>
      <c r="L3549" s="2" t="s">
        <v>5221</v>
      </c>
      <c r="M3549" s="2" t="s">
        <v>5221</v>
      </c>
      <c r="N3549" s="2" t="s">
        <v>2317</v>
      </c>
      <c r="O3549" s="14">
        <v>3700</v>
      </c>
      <c r="P3549" s="14">
        <v>96.3</v>
      </c>
      <c r="Q3549" s="14">
        <v>136.9</v>
      </c>
      <c r="R3549" s="14">
        <v>95.83</v>
      </c>
      <c r="S3549" s="2" t="s">
        <v>5273</v>
      </c>
      <c r="T3549" s="2">
        <v>1.47</v>
      </c>
      <c r="U3549" s="2">
        <v>68</v>
      </c>
      <c r="V3549" s="2">
        <v>57.5</v>
      </c>
      <c r="W3549" s="2" t="s">
        <v>7862</v>
      </c>
      <c r="X3549" s="2" t="s">
        <v>3851</v>
      </c>
      <c r="Y3549" s="2">
        <v>2590</v>
      </c>
      <c r="Z3549" s="19" t="str">
        <f>HYPERLINK("https://ssdweb.co/ssdweb/hd/Vision360.html?d=923690422&amp;zoomslide=1&amp;z=1923690422&amp;ISCONFIRM=0","VIDEO")</f>
        <v>VIDEO</v>
      </c>
      <c r="AA3549" s="19" t="str">
        <f>HYPERLINK("https://ssdweb.co/ssdweb/CERTH/561289862.pdf","CERTI")</f>
        <v>CERTI</v>
      </c>
    </row>
    <row r="3550" spans="1:27" ht="15" x14ac:dyDescent="0.25">
      <c r="A3550" s="2">
        <v>3545</v>
      </c>
      <c r="B3550" s="39">
        <v>923870413</v>
      </c>
      <c r="C3550" s="28" t="str">
        <f>HYPERLINK("https://pld.live/RapDetail.aspx?STONELIST=923870413","DNA")</f>
        <v>DNA</v>
      </c>
      <c r="D3550" s="18" t="s">
        <v>5847</v>
      </c>
      <c r="E3550" s="18" t="s">
        <v>5128</v>
      </c>
      <c r="F3550" s="2" t="s">
        <v>7987</v>
      </c>
      <c r="G3550" s="2" t="s">
        <v>7023</v>
      </c>
      <c r="H3550" s="14">
        <v>0.7</v>
      </c>
      <c r="I3550" s="2" t="s">
        <v>267</v>
      </c>
      <c r="J3550" s="2" t="s">
        <v>13</v>
      </c>
      <c r="K3550" s="2" t="s">
        <v>1452</v>
      </c>
      <c r="L3550" s="2" t="s">
        <v>5221</v>
      </c>
      <c r="M3550" s="2" t="s">
        <v>5221</v>
      </c>
      <c r="N3550" s="2" t="s">
        <v>2317</v>
      </c>
      <c r="O3550" s="14">
        <v>3700</v>
      </c>
      <c r="P3550" s="14">
        <v>96.3</v>
      </c>
      <c r="Q3550" s="14">
        <v>136.9</v>
      </c>
      <c r="R3550" s="14">
        <v>95.83</v>
      </c>
      <c r="S3550" s="2" t="s">
        <v>4802</v>
      </c>
      <c r="T3550" s="2">
        <v>1.2</v>
      </c>
      <c r="U3550" s="2">
        <v>68.099999999999994</v>
      </c>
      <c r="V3550" s="2">
        <v>58</v>
      </c>
      <c r="W3550" s="2" t="s">
        <v>7862</v>
      </c>
      <c r="X3550" s="2" t="s">
        <v>3851</v>
      </c>
      <c r="Y3550" s="2">
        <v>2590</v>
      </c>
      <c r="Z3550" s="19" t="str">
        <f>HYPERLINK("https://ssdweb.co/ssdweb/hd/Vision360.html?d=923870413&amp;zoomslide=1&amp;z=1923870413&amp;ISCONFIRM=0","VIDEO")</f>
        <v>VIDEO</v>
      </c>
      <c r="AA3550" s="19" t="str">
        <f>HYPERLINK("https://ssdweb.co/ssdweb/CERTH/569330386.pdf","CERTI")</f>
        <v>CERTI</v>
      </c>
    </row>
    <row r="3551" spans="1:27" ht="15" x14ac:dyDescent="0.25">
      <c r="A3551" s="2">
        <v>3546</v>
      </c>
      <c r="B3551" s="39">
        <v>923920403</v>
      </c>
      <c r="C3551" s="28" t="str">
        <f>HYPERLINK("https://pld.live/RapDetail.aspx?STONELIST=923920403","DNA")</f>
        <v>DNA</v>
      </c>
      <c r="D3551" s="18" t="s">
        <v>5847</v>
      </c>
      <c r="E3551" s="18" t="s">
        <v>5128</v>
      </c>
      <c r="F3551" s="2" t="s">
        <v>7987</v>
      </c>
      <c r="G3551" s="2" t="s">
        <v>7023</v>
      </c>
      <c r="H3551" s="14">
        <v>0.7</v>
      </c>
      <c r="I3551" s="2" t="s">
        <v>267</v>
      </c>
      <c r="J3551" s="2" t="s">
        <v>13</v>
      </c>
      <c r="K3551" s="2" t="s">
        <v>1452</v>
      </c>
      <c r="L3551" s="2" t="s">
        <v>5221</v>
      </c>
      <c r="M3551" s="2" t="s">
        <v>5221</v>
      </c>
      <c r="N3551" s="2" t="s">
        <v>2317</v>
      </c>
      <c r="O3551" s="14">
        <v>3700</v>
      </c>
      <c r="P3551" s="14">
        <v>96.3</v>
      </c>
      <c r="Q3551" s="14">
        <v>136.9</v>
      </c>
      <c r="R3551" s="14">
        <v>95.83</v>
      </c>
      <c r="S3551" s="2" t="s">
        <v>2067</v>
      </c>
      <c r="T3551" s="2">
        <v>1.21</v>
      </c>
      <c r="U3551" s="2">
        <v>66.900000000000006</v>
      </c>
      <c r="V3551" s="2">
        <v>59</v>
      </c>
      <c r="W3551" s="2" t="s">
        <v>7862</v>
      </c>
      <c r="X3551" s="2" t="s">
        <v>3851</v>
      </c>
      <c r="Y3551" s="2">
        <v>2590</v>
      </c>
      <c r="Z3551" s="19" t="str">
        <f>HYPERLINK("https://ssdweb.co/ssdweb/hd/Vision360.html?d=923920403&amp;zoomslide=1&amp;z=1923920403&amp;ISCONFIRM=0","VIDEO")</f>
        <v>VIDEO</v>
      </c>
      <c r="AA3551" s="19" t="str">
        <f>HYPERLINK("https://ssdweb.co/ssdweb/CERTH/570372607.pdf","CERTI")</f>
        <v>CERTI</v>
      </c>
    </row>
    <row r="3552" spans="1:27" ht="15" x14ac:dyDescent="0.25">
      <c r="A3552" s="2">
        <v>3547</v>
      </c>
      <c r="B3552" s="39">
        <v>923730592</v>
      </c>
      <c r="C3552" s="28" t="str">
        <f>HYPERLINK("https://pld.live/RapDetail.aspx?STONELIST=923730592","DNA")</f>
        <v>DNA</v>
      </c>
      <c r="D3552" s="18" t="s">
        <v>5847</v>
      </c>
      <c r="E3552" s="18" t="s">
        <v>5128</v>
      </c>
      <c r="F3552" s="2" t="s">
        <v>7987</v>
      </c>
      <c r="G3552" s="2" t="s">
        <v>7023</v>
      </c>
      <c r="H3552" s="14">
        <v>0.7</v>
      </c>
      <c r="I3552" s="2" t="s">
        <v>267</v>
      </c>
      <c r="J3552" s="2" t="s">
        <v>5144</v>
      </c>
      <c r="K3552" s="2" t="s">
        <v>1452</v>
      </c>
      <c r="L3552" s="2" t="s">
        <v>5221</v>
      </c>
      <c r="M3552" s="2" t="s">
        <v>5221</v>
      </c>
      <c r="N3552" s="2" t="s">
        <v>2317</v>
      </c>
      <c r="O3552" s="14">
        <v>3400</v>
      </c>
      <c r="P3552" s="14">
        <v>96.12</v>
      </c>
      <c r="Q3552" s="14">
        <v>131.91999999999999</v>
      </c>
      <c r="R3552" s="14">
        <v>92.34</v>
      </c>
      <c r="S3552" s="2" t="s">
        <v>7063</v>
      </c>
      <c r="T3552" s="2">
        <v>1.2</v>
      </c>
      <c r="U3552" s="2">
        <v>65.7</v>
      </c>
      <c r="V3552" s="2">
        <v>62</v>
      </c>
      <c r="W3552" s="2" t="s">
        <v>7862</v>
      </c>
      <c r="X3552" s="2" t="s">
        <v>3851</v>
      </c>
      <c r="Y3552" s="2">
        <v>2380</v>
      </c>
      <c r="Z3552" s="19" t="str">
        <f>HYPERLINK("https://ssdweb.co/ssdweb/hd/Vision360.html?d=923730592&amp;zoomslide=1&amp;z=1923730592&amp;ISCONFIRM=0","VIDEO")</f>
        <v>VIDEO</v>
      </c>
      <c r="AA3552" s="19" t="str">
        <f>HYPERLINK("https://ssdweb.co/ssdweb/CERTH/563298085.pdf","CERTI")</f>
        <v>CERTI</v>
      </c>
    </row>
    <row r="3553" spans="1:27" ht="15" x14ac:dyDescent="0.25">
      <c r="A3553" s="2">
        <v>3548</v>
      </c>
      <c r="B3553" s="39">
        <v>831020197</v>
      </c>
      <c r="C3553" s="28" t="str">
        <f>HYPERLINK("https://pld.live/RapDetail.aspx?STONELIST=831020197","DNA")</f>
        <v>DNA</v>
      </c>
      <c r="D3553" s="18" t="s">
        <v>38</v>
      </c>
      <c r="E3553" s="18" t="s">
        <v>2186</v>
      </c>
      <c r="F3553" s="2" t="s">
        <v>5597</v>
      </c>
      <c r="G3553" s="2" t="s">
        <v>1573</v>
      </c>
      <c r="H3553" s="14">
        <v>12.01</v>
      </c>
      <c r="I3553" s="2" t="s">
        <v>4761</v>
      </c>
      <c r="J3553" s="2" t="s">
        <v>5144</v>
      </c>
      <c r="K3553" s="2" t="s">
        <v>1452</v>
      </c>
      <c r="L3553" s="2" t="s">
        <v>5221</v>
      </c>
      <c r="M3553" s="2" t="s">
        <v>5221</v>
      </c>
      <c r="N3553" s="2" t="s">
        <v>2317</v>
      </c>
      <c r="O3553" s="14">
        <v>72500</v>
      </c>
      <c r="P3553" s="14">
        <v>99.03</v>
      </c>
      <c r="Q3553" s="14">
        <v>703.25</v>
      </c>
      <c r="R3553" s="14">
        <v>8446.0300000000007</v>
      </c>
      <c r="S3553" s="2" t="s">
        <v>4135</v>
      </c>
      <c r="T3553" s="2">
        <v>1.45</v>
      </c>
      <c r="U3553" s="2">
        <v>60.3</v>
      </c>
      <c r="V3553" s="2">
        <v>60</v>
      </c>
      <c r="W3553" s="2" t="s">
        <v>7862</v>
      </c>
      <c r="X3553" s="2" t="s">
        <v>471</v>
      </c>
      <c r="Y3553" s="2">
        <v>870725</v>
      </c>
      <c r="Z3553" s="19" t="str">
        <f>HYPERLINK("https://ssdweb.co/ssdweb/hd/Vision360.html?d=831020197&amp;zoomslide=1&amp;z=1831020197&amp;ISCONFIRM=0","VIDEO")</f>
        <v>VIDEO</v>
      </c>
      <c r="AA3553" s="19" t="str">
        <f>HYPERLINK("https://ssdweb.co/ssdweb/CERTH/6227816579.pdf","CERTI")</f>
        <v>CERTI</v>
      </c>
    </row>
    <row r="3554" spans="1:27" ht="15" x14ac:dyDescent="0.25">
      <c r="A3554" s="2">
        <v>3549</v>
      </c>
      <c r="B3554" s="39">
        <v>831020192</v>
      </c>
      <c r="C3554" s="28" t="str">
        <f>HYPERLINK("https://pld.live/RapDetail.aspx?STONELIST=831020192","DNA")</f>
        <v>DNA</v>
      </c>
      <c r="D3554" s="18" t="s">
        <v>1255</v>
      </c>
      <c r="E3554" s="18" t="s">
        <v>2186</v>
      </c>
      <c r="F3554" s="2" t="s">
        <v>5597</v>
      </c>
      <c r="G3554" s="2" t="s">
        <v>1573</v>
      </c>
      <c r="H3554" s="14">
        <v>10.25</v>
      </c>
      <c r="I3554" s="2" t="s">
        <v>4761</v>
      </c>
      <c r="J3554" s="2" t="s">
        <v>13</v>
      </c>
      <c r="K3554" s="2" t="s">
        <v>1452</v>
      </c>
      <c r="L3554" s="2" t="s">
        <v>5221</v>
      </c>
      <c r="M3554" s="2" t="s">
        <v>5221</v>
      </c>
      <c r="N3554" s="2" t="s">
        <v>2317</v>
      </c>
      <c r="O3554" s="14">
        <v>83500</v>
      </c>
      <c r="P3554" s="14">
        <v>99.1</v>
      </c>
      <c r="Q3554" s="14">
        <v>751.5</v>
      </c>
      <c r="R3554" s="14">
        <v>7702.88</v>
      </c>
      <c r="S3554" s="2" t="s">
        <v>1991</v>
      </c>
      <c r="T3554" s="2">
        <v>1.45</v>
      </c>
      <c r="U3554" s="2">
        <v>62.5</v>
      </c>
      <c r="V3554" s="2">
        <v>59</v>
      </c>
      <c r="W3554" s="2" t="s">
        <v>7862</v>
      </c>
      <c r="X3554" s="2" t="s">
        <v>471</v>
      </c>
      <c r="Y3554" s="2">
        <v>855875</v>
      </c>
      <c r="Z3554" s="19" t="str">
        <f>HYPERLINK("https://ssdweb.co/ssdweb/hd/Vision360.html?d=831020192&amp;zoomslide=1&amp;z=1831020192&amp;ISCONFIRM=0","VIDEO")</f>
        <v>VIDEO</v>
      </c>
      <c r="AA3554" s="19" t="str">
        <f>HYPERLINK("https://ssdweb.co/ssdweb/CERTH/6227805705.pdf","CERTI")</f>
        <v>CERTI</v>
      </c>
    </row>
    <row r="3555" spans="1:27" ht="15" x14ac:dyDescent="0.25">
      <c r="A3555" s="2">
        <v>3550</v>
      </c>
      <c r="B3555" s="39">
        <v>831020183</v>
      </c>
      <c r="C3555" s="28" t="str">
        <f>HYPERLINK("https://pld.live/RapDetail.aspx?STONELIST=831020183","DNA")</f>
        <v>DNA</v>
      </c>
      <c r="D3555" s="18" t="s">
        <v>1255</v>
      </c>
      <c r="E3555" s="18" t="s">
        <v>2186</v>
      </c>
      <c r="F3555" s="2" t="s">
        <v>5597</v>
      </c>
      <c r="G3555" s="2" t="s">
        <v>1573</v>
      </c>
      <c r="H3555" s="14">
        <v>10.01</v>
      </c>
      <c r="I3555" s="2" t="s">
        <v>4761</v>
      </c>
      <c r="J3555" s="2" t="s">
        <v>13</v>
      </c>
      <c r="K3555" s="2" t="s">
        <v>1452</v>
      </c>
      <c r="L3555" s="2" t="s">
        <v>5221</v>
      </c>
      <c r="M3555" s="2" t="s">
        <v>5221</v>
      </c>
      <c r="N3555" s="2" t="s">
        <v>2317</v>
      </c>
      <c r="O3555" s="14">
        <v>83500</v>
      </c>
      <c r="P3555" s="14">
        <v>99.1</v>
      </c>
      <c r="Q3555" s="14">
        <v>751.5</v>
      </c>
      <c r="R3555" s="14">
        <v>7522.52</v>
      </c>
      <c r="S3555" s="2" t="s">
        <v>3008</v>
      </c>
      <c r="T3555" s="2">
        <v>1.42</v>
      </c>
      <c r="U3555" s="2">
        <v>62.5</v>
      </c>
      <c r="V3555" s="2">
        <v>64</v>
      </c>
      <c r="W3555" s="2" t="s">
        <v>7862</v>
      </c>
      <c r="X3555" s="2" t="s">
        <v>471</v>
      </c>
      <c r="Y3555" s="2">
        <v>835835</v>
      </c>
      <c r="Z3555" s="19" t="str">
        <f>HYPERLINK("https://ssdweb.co/ssdweb/hd/Vision360.html?d=831020183&amp;zoomslide=1&amp;z=1831020183&amp;ISCONFIRM=0","VIDEO")</f>
        <v>VIDEO</v>
      </c>
      <c r="AA3555" s="19" t="str">
        <f>HYPERLINK("https://ssdweb.co/ssdweb/CERTH/6224805706.pdf","CERTI")</f>
        <v>CERTI</v>
      </c>
    </row>
    <row r="3556" spans="1:27" ht="15" x14ac:dyDescent="0.25">
      <c r="A3556" s="2">
        <v>3551</v>
      </c>
      <c r="B3556" s="39">
        <v>924120050</v>
      </c>
      <c r="C3556" s="28" t="str">
        <f>HYPERLINK("https://pld.live/RapDetail.aspx?STONELIST=924120050","DNA")</f>
        <v>DNA</v>
      </c>
      <c r="D3556" s="18" t="s">
        <v>1255</v>
      </c>
      <c r="E3556" s="18" t="s">
        <v>2186</v>
      </c>
      <c r="F3556" s="2" t="s">
        <v>7987</v>
      </c>
      <c r="G3556" s="2" t="s">
        <v>1573</v>
      </c>
      <c r="H3556" s="14">
        <v>10</v>
      </c>
      <c r="I3556" s="2" t="s">
        <v>4761</v>
      </c>
      <c r="J3556" s="2" t="s">
        <v>13</v>
      </c>
      <c r="K3556" s="2" t="s">
        <v>1452</v>
      </c>
      <c r="L3556" s="2" t="s">
        <v>5221</v>
      </c>
      <c r="M3556" s="2" t="s">
        <v>5221</v>
      </c>
      <c r="N3556" s="2" t="s">
        <v>2317</v>
      </c>
      <c r="O3556" s="14">
        <v>83500</v>
      </c>
      <c r="P3556" s="14">
        <v>99.52</v>
      </c>
      <c r="Q3556" s="14">
        <v>400.8</v>
      </c>
      <c r="R3556" s="14">
        <v>4008</v>
      </c>
      <c r="S3556" s="2" t="s">
        <v>4193</v>
      </c>
      <c r="T3556" s="2">
        <v>1.47</v>
      </c>
      <c r="U3556" s="2">
        <v>64.099999999999994</v>
      </c>
      <c r="V3556" s="2">
        <v>57.5</v>
      </c>
      <c r="W3556" s="2" t="s">
        <v>7862</v>
      </c>
      <c r="X3556" s="2" t="s">
        <v>471</v>
      </c>
      <c r="Y3556" s="2">
        <v>835000</v>
      </c>
      <c r="Z3556" s="19" t="str">
        <f>HYPERLINK("https://ssdweb.co/ssdweb/hd/Vision360.html?d=924120050&amp;zoomslide=1&amp;z=1924120050&amp;ISCONFIRM=0","VIDEO")</f>
        <v>VIDEO</v>
      </c>
      <c r="AA3556" s="19" t="str">
        <f>HYPERLINK("https://ssdweb.co/ssdweb/CERTH/576352797.pdf","CERTI")</f>
        <v>CERTI</v>
      </c>
    </row>
    <row r="3557" spans="1:27" ht="15" x14ac:dyDescent="0.25">
      <c r="A3557" s="2">
        <v>3552</v>
      </c>
      <c r="B3557" s="39">
        <v>925330022</v>
      </c>
      <c r="C3557" s="28" t="str">
        <f>HYPERLINK("https://pld.live/RapDetail.aspx?STONELIST=925330022","DNA")</f>
        <v>DNA</v>
      </c>
      <c r="D3557" s="18" t="s">
        <v>3174</v>
      </c>
      <c r="E3557" s="18" t="s">
        <v>2186</v>
      </c>
      <c r="F3557" s="2" t="s">
        <v>7987</v>
      </c>
      <c r="G3557" s="2" t="s">
        <v>1573</v>
      </c>
      <c r="H3557" s="14">
        <v>5.67</v>
      </c>
      <c r="I3557" s="2" t="s">
        <v>6587</v>
      </c>
      <c r="J3557" s="2" t="s">
        <v>5144</v>
      </c>
      <c r="K3557" s="2" t="s">
        <v>1452</v>
      </c>
      <c r="L3557" s="2" t="s">
        <v>5221</v>
      </c>
      <c r="M3557" s="2" t="s">
        <v>5221</v>
      </c>
      <c r="N3557" s="2" t="s">
        <v>2317</v>
      </c>
      <c r="O3557" s="14">
        <v>36500</v>
      </c>
      <c r="P3557" s="14">
        <v>99.62</v>
      </c>
      <c r="Q3557" s="14">
        <v>138.69999999999999</v>
      </c>
      <c r="R3557" s="14">
        <v>786.43</v>
      </c>
      <c r="S3557" s="2" t="s">
        <v>5274</v>
      </c>
      <c r="T3557" s="2">
        <v>1.44</v>
      </c>
      <c r="U3557" s="2">
        <v>62.3</v>
      </c>
      <c r="V3557" s="2">
        <v>58</v>
      </c>
      <c r="W3557" s="2" t="s">
        <v>7862</v>
      </c>
      <c r="X3557" s="2" t="s">
        <v>471</v>
      </c>
      <c r="Y3557" s="2">
        <v>206955</v>
      </c>
      <c r="Z3557" s="19" t="str">
        <f>HYPERLINK("https://ssdweb.co/ssdweb/hd/Vision360.html?d=925330022&amp;zoomslide=1&amp;z=1925330022&amp;ISCONFIRM=0","VIDEO")</f>
        <v>VIDEO</v>
      </c>
      <c r="AA3557" s="19" t="str">
        <f>HYPERLINK("https://ssdweb.co/ssdweb/CERTH/619453525.pdf","CERTI")</f>
        <v>CERTI</v>
      </c>
    </row>
    <row r="3558" spans="1:27" ht="15" x14ac:dyDescent="0.25">
      <c r="A3558" s="2">
        <v>3553</v>
      </c>
      <c r="B3558" s="39">
        <v>924500078</v>
      </c>
      <c r="C3558" s="28" t="str">
        <f>HYPERLINK("https://pld.live/RapDetail.aspx?STONELIST=924500078","DNA")</f>
        <v>DNA</v>
      </c>
      <c r="D3558" s="18" t="s">
        <v>3174</v>
      </c>
      <c r="E3558" s="18" t="s">
        <v>2186</v>
      </c>
      <c r="F3558" s="2" t="s">
        <v>7987</v>
      </c>
      <c r="G3558" s="2" t="s">
        <v>1573</v>
      </c>
      <c r="H3558" s="14">
        <v>5.62</v>
      </c>
      <c r="I3558" s="2" t="s">
        <v>6587</v>
      </c>
      <c r="J3558" s="2" t="s">
        <v>5144</v>
      </c>
      <c r="K3558" s="2" t="s">
        <v>1452</v>
      </c>
      <c r="L3558" s="2" t="s">
        <v>5221</v>
      </c>
      <c r="M3558" s="2" t="s">
        <v>5221</v>
      </c>
      <c r="N3558" s="2" t="s">
        <v>2317</v>
      </c>
      <c r="O3558" s="14">
        <v>36500</v>
      </c>
      <c r="P3558" s="14">
        <v>99.62</v>
      </c>
      <c r="Q3558" s="14">
        <v>138.69999999999999</v>
      </c>
      <c r="R3558" s="14">
        <v>779.49</v>
      </c>
      <c r="S3558" s="2" t="s">
        <v>4470</v>
      </c>
      <c r="T3558" s="2">
        <v>1.45</v>
      </c>
      <c r="U3558" s="2">
        <v>60</v>
      </c>
      <c r="V3558" s="2">
        <v>61</v>
      </c>
      <c r="W3558" s="2" t="s">
        <v>7862</v>
      </c>
      <c r="X3558" s="2" t="s">
        <v>471</v>
      </c>
      <c r="Y3558" s="2">
        <v>205130</v>
      </c>
      <c r="Z3558" s="19" t="str">
        <f>HYPERLINK("https://ssdweb.co/ssdweb/hd/Vision360.html?d=924500078&amp;zoomslide=1&amp;z=1924500078&amp;ISCONFIRM=0","VIDEO")</f>
        <v>VIDEO</v>
      </c>
      <c r="AA3558" s="19" t="str">
        <f>HYPERLINK("https://ssdweb.co/ssdweb/CERTH/594332718.pdf","CERTI")</f>
        <v>CERTI</v>
      </c>
    </row>
    <row r="3559" spans="1:27" ht="15" x14ac:dyDescent="0.25">
      <c r="A3559" s="2">
        <v>3554</v>
      </c>
      <c r="B3559" s="39">
        <v>925330019</v>
      </c>
      <c r="C3559" s="28" t="str">
        <f>HYPERLINK("https://pld.live/RapDetail.aspx?STONELIST=925330019","DNA")</f>
        <v>DNA</v>
      </c>
      <c r="D3559" s="18" t="s">
        <v>3174</v>
      </c>
      <c r="E3559" s="18" t="s">
        <v>2186</v>
      </c>
      <c r="F3559" s="2" t="s">
        <v>7987</v>
      </c>
      <c r="G3559" s="2" t="s">
        <v>1573</v>
      </c>
      <c r="H3559" s="14">
        <v>5.4</v>
      </c>
      <c r="I3559" s="2" t="s">
        <v>6587</v>
      </c>
      <c r="J3559" s="2" t="s">
        <v>5144</v>
      </c>
      <c r="K3559" s="2" t="s">
        <v>1452</v>
      </c>
      <c r="L3559" s="2" t="s">
        <v>5221</v>
      </c>
      <c r="M3559" s="2" t="s">
        <v>5221</v>
      </c>
      <c r="N3559" s="2" t="s">
        <v>2317</v>
      </c>
      <c r="O3559" s="14">
        <v>36500</v>
      </c>
      <c r="P3559" s="14">
        <v>99.62</v>
      </c>
      <c r="Q3559" s="14">
        <v>138.69999999999999</v>
      </c>
      <c r="R3559" s="14">
        <v>748.98</v>
      </c>
      <c r="S3559" s="2" t="s">
        <v>6322</v>
      </c>
      <c r="T3559" s="2">
        <v>1.42</v>
      </c>
      <c r="U3559" s="2">
        <v>62.4</v>
      </c>
      <c r="V3559" s="2">
        <v>59</v>
      </c>
      <c r="W3559" s="2" t="s">
        <v>7862</v>
      </c>
      <c r="X3559" s="2" t="s">
        <v>471</v>
      </c>
      <c r="Y3559" s="2">
        <v>197100</v>
      </c>
      <c r="Z3559" s="19" t="str">
        <f>HYPERLINK("https://ssdweb.co/ssdweb/hd/Vision360.html?d=925330019&amp;zoomslide=1&amp;z=1925330019&amp;ISCONFIRM=0","VIDEO")</f>
        <v>VIDEO</v>
      </c>
      <c r="AA3559" s="19" t="str">
        <f>HYPERLINK("https://ssdweb.co/ssdweb/CERTH/615370283.pdf","CERTI")</f>
        <v>CERTI</v>
      </c>
    </row>
    <row r="3560" spans="1:27" ht="15" x14ac:dyDescent="0.25">
      <c r="A3560" s="2">
        <v>3555</v>
      </c>
      <c r="B3560" s="39">
        <v>924500105</v>
      </c>
      <c r="C3560" s="28" t="str">
        <f>HYPERLINK("https://pld.live/RapDetail.aspx?STONELIST=924500105","DNA")</f>
        <v>DNA</v>
      </c>
      <c r="D3560" s="18" t="s">
        <v>3174</v>
      </c>
      <c r="E3560" s="18" t="s">
        <v>2186</v>
      </c>
      <c r="F3560" s="2" t="s">
        <v>7987</v>
      </c>
      <c r="G3560" s="2" t="s">
        <v>1573</v>
      </c>
      <c r="H3560" s="14">
        <v>5.33</v>
      </c>
      <c r="I3560" s="2" t="s">
        <v>6587</v>
      </c>
      <c r="J3560" s="2" t="s">
        <v>5144</v>
      </c>
      <c r="K3560" s="2" t="s">
        <v>1452</v>
      </c>
      <c r="L3560" s="2" t="s">
        <v>5221</v>
      </c>
      <c r="M3560" s="2" t="s">
        <v>5221</v>
      </c>
      <c r="N3560" s="2" t="s">
        <v>2317</v>
      </c>
      <c r="O3560" s="14">
        <v>36500</v>
      </c>
      <c r="P3560" s="14">
        <v>99.62</v>
      </c>
      <c r="Q3560" s="14">
        <v>138.69999999999999</v>
      </c>
      <c r="R3560" s="14">
        <v>739.27</v>
      </c>
      <c r="S3560" s="2" t="s">
        <v>6856</v>
      </c>
      <c r="T3560" s="2">
        <v>1.55</v>
      </c>
      <c r="U3560" s="2">
        <v>60.1</v>
      </c>
      <c r="V3560" s="2">
        <v>62</v>
      </c>
      <c r="W3560" s="2" t="s">
        <v>7862</v>
      </c>
      <c r="X3560" s="2" t="s">
        <v>471</v>
      </c>
      <c r="Y3560" s="2">
        <v>194545</v>
      </c>
      <c r="Z3560" s="19" t="str">
        <f>HYPERLINK("https://ssdweb.co/ssdweb/hd/Vision360.html?d=924500105&amp;zoomslide=1&amp;z=1924500105&amp;ISCONFIRM=0","VIDEO")</f>
        <v>VIDEO</v>
      </c>
      <c r="AA3560" s="19" t="str">
        <f>HYPERLINK("https://ssdweb.co/ssdweb/CERTH/595368347.pdf","CERTI")</f>
        <v>CERTI</v>
      </c>
    </row>
    <row r="3561" spans="1:27" ht="15" x14ac:dyDescent="0.25">
      <c r="A3561" s="2">
        <v>3556</v>
      </c>
      <c r="B3561" s="39">
        <v>831020652</v>
      </c>
      <c r="C3561" s="28" t="str">
        <f>HYPERLINK("https://pld.live/RapDetail.aspx?STONELIST=831020652","DNA")</f>
        <v>DNA</v>
      </c>
      <c r="D3561" s="18" t="s">
        <v>3174</v>
      </c>
      <c r="E3561" s="18" t="s">
        <v>2186</v>
      </c>
      <c r="F3561" s="2" t="s">
        <v>7987</v>
      </c>
      <c r="G3561" s="2" t="s">
        <v>1573</v>
      </c>
      <c r="H3561" s="14">
        <v>5.24</v>
      </c>
      <c r="I3561" s="2" t="s">
        <v>4761</v>
      </c>
      <c r="J3561" s="2" t="s">
        <v>13</v>
      </c>
      <c r="K3561" s="2" t="s">
        <v>1452</v>
      </c>
      <c r="L3561" s="2" t="s">
        <v>5221</v>
      </c>
      <c r="M3561" s="2" t="s">
        <v>5221</v>
      </c>
      <c r="N3561" s="2" t="s">
        <v>2317</v>
      </c>
      <c r="O3561" s="14">
        <v>52500</v>
      </c>
      <c r="P3561" s="14">
        <v>99.66</v>
      </c>
      <c r="Q3561" s="14">
        <v>178.5</v>
      </c>
      <c r="R3561" s="14">
        <v>935.34</v>
      </c>
      <c r="S3561" s="2" t="s">
        <v>5845</v>
      </c>
      <c r="T3561" s="2">
        <v>1.45</v>
      </c>
      <c r="U3561" s="2">
        <v>62.3</v>
      </c>
      <c r="V3561" s="2">
        <v>60</v>
      </c>
      <c r="W3561" s="2" t="s">
        <v>7862</v>
      </c>
      <c r="X3561" s="2" t="s">
        <v>471</v>
      </c>
      <c r="Y3561" s="2">
        <v>275100</v>
      </c>
      <c r="Z3561" s="19" t="str">
        <f>HYPERLINK("https://ssdweb.co/ssdweb/hd/Vision360.html?d=831020652&amp;zoomslide=1&amp;z=1831020652&amp;ISCONFIRM=0","VIDEO")</f>
        <v>VIDEO</v>
      </c>
      <c r="AA3561" s="19" t="str">
        <f>HYPERLINK("https://ssdweb.co/ssdweb/CERTH/645459275.pdf","CERTI")</f>
        <v>CERTI</v>
      </c>
    </row>
    <row r="3562" spans="1:27" ht="15" x14ac:dyDescent="0.25">
      <c r="A3562" s="2">
        <v>3557</v>
      </c>
      <c r="B3562" s="39">
        <v>926470395</v>
      </c>
      <c r="C3562" s="28" t="str">
        <f>HYPERLINK("https://pld.live/RapDetail.aspx?STONELIST=926470395","DNA")</f>
        <v>DNA</v>
      </c>
      <c r="D3562" s="18" t="s">
        <v>3174</v>
      </c>
      <c r="E3562" s="18" t="s">
        <v>2186</v>
      </c>
      <c r="F3562" s="2" t="s">
        <v>7987</v>
      </c>
      <c r="G3562" s="2" t="s">
        <v>1573</v>
      </c>
      <c r="H3562" s="14">
        <v>5.24</v>
      </c>
      <c r="I3562" s="2" t="s">
        <v>4699</v>
      </c>
      <c r="J3562" s="2" t="s">
        <v>5144</v>
      </c>
      <c r="K3562" s="2" t="s">
        <v>1452</v>
      </c>
      <c r="L3562" s="2" t="s">
        <v>5221</v>
      </c>
      <c r="M3562" s="2" t="s">
        <v>5221</v>
      </c>
      <c r="N3562" s="2" t="s">
        <v>2317</v>
      </c>
      <c r="O3562" s="14">
        <v>43000</v>
      </c>
      <c r="P3562" s="14">
        <v>99.63</v>
      </c>
      <c r="Q3562" s="14">
        <v>159.1</v>
      </c>
      <c r="R3562" s="14">
        <v>833.68</v>
      </c>
      <c r="S3562" s="2" t="s">
        <v>3513</v>
      </c>
      <c r="T3562" s="2">
        <v>1.54</v>
      </c>
      <c r="U3562" s="2">
        <v>61.8</v>
      </c>
      <c r="V3562" s="2">
        <v>61</v>
      </c>
      <c r="W3562" s="2" t="s">
        <v>7862</v>
      </c>
      <c r="X3562" s="2" t="s">
        <v>471</v>
      </c>
      <c r="Y3562" s="2">
        <v>225320</v>
      </c>
      <c r="Z3562" s="19" t="str">
        <f>HYPERLINK("https://ssdweb.co/ssdweb/hd/Vision360.html?d=926470395&amp;zoomslide=1&amp;z=1926470395&amp;ISCONFIRM=0","VIDEO")</f>
        <v>VIDEO</v>
      </c>
      <c r="AA3562" s="19" t="str">
        <f>HYPERLINK("https://ssdweb.co/ssdweb/CERTH/645459272.pdf","CERTI")</f>
        <v>CERTI</v>
      </c>
    </row>
    <row r="3563" spans="1:27" ht="15" x14ac:dyDescent="0.25">
      <c r="A3563" s="2">
        <v>3558</v>
      </c>
      <c r="B3563" s="39">
        <v>926360352</v>
      </c>
      <c r="C3563" s="28" t="str">
        <f>HYPERLINK("https://pld.live/RapDetail.aspx?STONELIST=926360352","DNA")</f>
        <v>DNA</v>
      </c>
      <c r="D3563" s="18" t="s">
        <v>3174</v>
      </c>
      <c r="E3563" s="18" t="s">
        <v>2186</v>
      </c>
      <c r="F3563" s="2" t="s">
        <v>7987</v>
      </c>
      <c r="G3563" s="2" t="s">
        <v>1573</v>
      </c>
      <c r="H3563" s="14">
        <v>5.23</v>
      </c>
      <c r="I3563" s="2" t="s">
        <v>4761</v>
      </c>
      <c r="J3563" s="2" t="s">
        <v>13</v>
      </c>
      <c r="K3563" s="2" t="s">
        <v>1452</v>
      </c>
      <c r="L3563" s="2" t="s">
        <v>5221</v>
      </c>
      <c r="M3563" s="2" t="s">
        <v>5221</v>
      </c>
      <c r="N3563" s="2" t="s">
        <v>2317</v>
      </c>
      <c r="O3563" s="14">
        <v>52500</v>
      </c>
      <c r="P3563" s="14">
        <v>99.66</v>
      </c>
      <c r="Q3563" s="14">
        <v>178.5</v>
      </c>
      <c r="R3563" s="14">
        <v>933.56</v>
      </c>
      <c r="S3563" s="2" t="s">
        <v>5591</v>
      </c>
      <c r="T3563" s="2">
        <v>1.53</v>
      </c>
      <c r="U3563" s="2">
        <v>58.7</v>
      </c>
      <c r="V3563" s="2">
        <v>64</v>
      </c>
      <c r="W3563" s="2" t="s">
        <v>7862</v>
      </c>
      <c r="X3563" s="2" t="s">
        <v>471</v>
      </c>
      <c r="Y3563" s="2">
        <v>274575</v>
      </c>
      <c r="Z3563" s="19" t="str">
        <f>HYPERLINK("https://ssdweb.co/ssdweb/hd/Vision360.html?d=926360352&amp;zoomslide=1&amp;z=1926360352&amp;ISCONFIRM=0","VIDEO")</f>
        <v>VIDEO</v>
      </c>
      <c r="AA3563" s="19" t="str">
        <f>HYPERLINK("https://ssdweb.co/ssdweb/CERTH/643411088.pdf","CERTI")</f>
        <v>CERTI</v>
      </c>
    </row>
    <row r="3564" spans="1:27" ht="15" x14ac:dyDescent="0.25">
      <c r="A3564" s="2">
        <v>3559</v>
      </c>
      <c r="B3564" s="39">
        <v>926410366</v>
      </c>
      <c r="C3564" s="28" t="str">
        <f>HYPERLINK("https://pld.live/RapDetail.aspx?STONELIST=926410366","DNA")</f>
        <v>DNA</v>
      </c>
      <c r="D3564" s="18" t="s">
        <v>3174</v>
      </c>
      <c r="E3564" s="18" t="s">
        <v>2186</v>
      </c>
      <c r="F3564" s="2" t="s">
        <v>7987</v>
      </c>
      <c r="G3564" s="2" t="s">
        <v>1573</v>
      </c>
      <c r="H3564" s="14">
        <v>5.23</v>
      </c>
      <c r="I3564" s="2" t="s">
        <v>4761</v>
      </c>
      <c r="J3564" s="2" t="s">
        <v>13</v>
      </c>
      <c r="K3564" s="2" t="s">
        <v>1452</v>
      </c>
      <c r="L3564" s="2" t="s">
        <v>5221</v>
      </c>
      <c r="M3564" s="2" t="s">
        <v>5221</v>
      </c>
      <c r="N3564" s="2" t="s">
        <v>2317</v>
      </c>
      <c r="O3564" s="14">
        <v>52500</v>
      </c>
      <c r="P3564" s="14">
        <v>99.66</v>
      </c>
      <c r="Q3564" s="14">
        <v>178.5</v>
      </c>
      <c r="R3564" s="14">
        <v>933.56</v>
      </c>
      <c r="S3564" s="2" t="s">
        <v>6174</v>
      </c>
      <c r="T3564" s="2">
        <v>1.43</v>
      </c>
      <c r="U3564" s="2">
        <v>60.3</v>
      </c>
      <c r="V3564" s="2">
        <v>62</v>
      </c>
      <c r="W3564" s="2" t="s">
        <v>7862</v>
      </c>
      <c r="X3564" s="2" t="s">
        <v>471</v>
      </c>
      <c r="Y3564" s="2">
        <v>274575</v>
      </c>
      <c r="Z3564" s="19" t="str">
        <f>HYPERLINK("https://ssdweb.co/ssdweb/hd/Vision360.html?d=926410366&amp;zoomslide=1&amp;z=1926410366&amp;ISCONFIRM=0","VIDEO")</f>
        <v>VIDEO</v>
      </c>
      <c r="AA3564" s="19" t="str">
        <f>HYPERLINK("https://ssdweb.co/ssdweb/CERTH/644466951.pdf","CERTI")</f>
        <v>CERTI</v>
      </c>
    </row>
    <row r="3565" spans="1:27" ht="15" x14ac:dyDescent="0.25">
      <c r="A3565" s="2">
        <v>3560</v>
      </c>
      <c r="B3565" s="39">
        <v>924510187</v>
      </c>
      <c r="C3565" s="28" t="str">
        <f>HYPERLINK("https://pld.live/RapDetail.aspx?STONELIST=924510187","DNA")</f>
        <v>DNA</v>
      </c>
      <c r="D3565" s="18" t="s">
        <v>3174</v>
      </c>
      <c r="E3565" s="18" t="s">
        <v>2186</v>
      </c>
      <c r="F3565" s="2" t="s">
        <v>7987</v>
      </c>
      <c r="G3565" s="2" t="s">
        <v>1573</v>
      </c>
      <c r="H3565" s="14">
        <v>5.23</v>
      </c>
      <c r="I3565" s="2" t="s">
        <v>1066</v>
      </c>
      <c r="J3565" s="2" t="s">
        <v>5144</v>
      </c>
      <c r="K3565" s="2" t="s">
        <v>1452</v>
      </c>
      <c r="L3565" s="2" t="s">
        <v>5221</v>
      </c>
      <c r="M3565" s="2" t="s">
        <v>5221</v>
      </c>
      <c r="N3565" s="2" t="s">
        <v>924</v>
      </c>
      <c r="O3565" s="14">
        <v>9000</v>
      </c>
      <c r="P3565" s="14">
        <v>95.78</v>
      </c>
      <c r="Q3565" s="14">
        <v>379.8</v>
      </c>
      <c r="R3565" s="14">
        <v>1986.35</v>
      </c>
      <c r="S3565" s="2" t="s">
        <v>2830</v>
      </c>
      <c r="T3565" s="2">
        <v>1.43</v>
      </c>
      <c r="U3565" s="2">
        <v>60.3</v>
      </c>
      <c r="V3565" s="2">
        <v>62</v>
      </c>
      <c r="W3565" s="2" t="s">
        <v>7862</v>
      </c>
      <c r="X3565" s="2" t="s">
        <v>471</v>
      </c>
      <c r="Y3565" s="2">
        <v>47070</v>
      </c>
      <c r="Z3565" s="19" t="str">
        <f>HYPERLINK("https://ssdweb.co/ssdweb/hd/Vision360.html?d=924510187&amp;zoomslide=1&amp;z=1924510187&amp;ISCONFIRM=0","VIDEO")</f>
        <v>VIDEO</v>
      </c>
      <c r="AA3565" s="19" t="str">
        <f>HYPERLINK("https://ssdweb.co/ssdweb/CERTH/651441055.pdf","CERTI")</f>
        <v>CERTI</v>
      </c>
    </row>
    <row r="3566" spans="1:27" ht="15" x14ac:dyDescent="0.25">
      <c r="A3566" s="2">
        <v>3561</v>
      </c>
      <c r="B3566" s="39">
        <v>926410462</v>
      </c>
      <c r="C3566" s="28" t="str">
        <f>HYPERLINK("https://pld.live/RapDetail.aspx?STONELIST=926410462","DNA")</f>
        <v>DNA</v>
      </c>
      <c r="D3566" s="18" t="s">
        <v>3174</v>
      </c>
      <c r="E3566" s="18" t="s">
        <v>2186</v>
      </c>
      <c r="F3566" s="2" t="s">
        <v>7987</v>
      </c>
      <c r="G3566" s="2" t="s">
        <v>1573</v>
      </c>
      <c r="H3566" s="14">
        <v>5.23</v>
      </c>
      <c r="I3566" s="2" t="s">
        <v>6874</v>
      </c>
      <c r="J3566" s="2" t="s">
        <v>13</v>
      </c>
      <c r="K3566" s="2" t="s">
        <v>1452</v>
      </c>
      <c r="L3566" s="2" t="s">
        <v>5221</v>
      </c>
      <c r="M3566" s="2" t="s">
        <v>5221</v>
      </c>
      <c r="N3566" s="2" t="s">
        <v>924</v>
      </c>
      <c r="O3566" s="14">
        <v>9500</v>
      </c>
      <c r="P3566" s="14">
        <v>95.89</v>
      </c>
      <c r="Q3566" s="14">
        <v>390.45</v>
      </c>
      <c r="R3566" s="14">
        <v>2042.05</v>
      </c>
      <c r="S3566" s="2" t="s">
        <v>2654</v>
      </c>
      <c r="T3566" s="2">
        <v>1.45</v>
      </c>
      <c r="U3566" s="2">
        <v>60.8</v>
      </c>
      <c r="V3566" s="2">
        <v>61</v>
      </c>
      <c r="W3566" s="2" t="s">
        <v>7862</v>
      </c>
      <c r="X3566" s="2" t="s">
        <v>471</v>
      </c>
      <c r="Y3566" s="2">
        <v>49685</v>
      </c>
      <c r="Z3566" s="19" t="str">
        <f>HYPERLINK("https://ssdweb.co/ssdweb/hd/Vision360.html?d=926410462&amp;zoomslide=1&amp;z=1926410462&amp;ISCONFIRM=0","VIDEO")</f>
        <v>VIDEO</v>
      </c>
      <c r="AA3566" s="19" t="str">
        <f>HYPERLINK("https://ssdweb.co/ssdweb/CERTH/649412692.pdf","CERTI")</f>
        <v>CERTI</v>
      </c>
    </row>
    <row r="3567" spans="1:27" ht="15" x14ac:dyDescent="0.25">
      <c r="A3567" s="2">
        <v>3562</v>
      </c>
      <c r="B3567" s="39">
        <v>927120108</v>
      </c>
      <c r="C3567" s="28" t="str">
        <f>HYPERLINK("https://pld.live/RapDetail.aspx?STONELIST=927120108","DNA")</f>
        <v>DNA</v>
      </c>
      <c r="D3567" s="18" t="s">
        <v>3174</v>
      </c>
      <c r="E3567" s="18" t="s">
        <v>2186</v>
      </c>
      <c r="F3567" s="2" t="s">
        <v>7987</v>
      </c>
      <c r="G3567" s="2" t="s">
        <v>1573</v>
      </c>
      <c r="H3567" s="14">
        <v>5.21</v>
      </c>
      <c r="I3567" s="2" t="s">
        <v>6587</v>
      </c>
      <c r="J3567" s="2" t="s">
        <v>13</v>
      </c>
      <c r="K3567" s="2" t="s">
        <v>1452</v>
      </c>
      <c r="L3567" s="2" t="s">
        <v>5221</v>
      </c>
      <c r="M3567" s="2" t="s">
        <v>5221</v>
      </c>
      <c r="N3567" s="2" t="s">
        <v>2317</v>
      </c>
      <c r="O3567" s="14">
        <v>42500</v>
      </c>
      <c r="P3567" s="14">
        <v>99.64</v>
      </c>
      <c r="Q3567" s="14">
        <v>153</v>
      </c>
      <c r="R3567" s="14">
        <v>797.13</v>
      </c>
      <c r="S3567" s="2" t="s">
        <v>5412</v>
      </c>
      <c r="T3567" s="2">
        <v>1.41</v>
      </c>
      <c r="U3567" s="2">
        <v>62.3</v>
      </c>
      <c r="V3567" s="2">
        <v>61</v>
      </c>
      <c r="W3567" s="2" t="s">
        <v>7862</v>
      </c>
      <c r="X3567" s="2" t="s">
        <v>471</v>
      </c>
      <c r="Y3567" s="2">
        <v>221425</v>
      </c>
      <c r="Z3567" s="19" t="str">
        <f>HYPERLINK("https://ssdweb.co/ssdweb/hd/Vision360.html?d=927120108&amp;zoomslide=1&amp;z=1927120108&amp;ISCONFIRM=0","VIDEO")</f>
        <v>VIDEO</v>
      </c>
      <c r="AA3567" s="19" t="str">
        <f>HYPERLINK("https://ssdweb.co/ssdweb/CERTH/669458300.pdf","CERTI")</f>
        <v>CERTI</v>
      </c>
    </row>
    <row r="3568" spans="1:27" ht="15" x14ac:dyDescent="0.25">
      <c r="A3568" s="2">
        <v>3563</v>
      </c>
      <c r="B3568" s="39">
        <v>927120156</v>
      </c>
      <c r="C3568" s="28" t="str">
        <f>HYPERLINK("https://pld.live/RapDetail.aspx?STONELIST=927120156","DNA")</f>
        <v>DNA</v>
      </c>
      <c r="D3568" s="18" t="s">
        <v>3174</v>
      </c>
      <c r="E3568" s="18" t="s">
        <v>2186</v>
      </c>
      <c r="F3568" s="2" t="s">
        <v>7987</v>
      </c>
      <c r="G3568" s="2" t="s">
        <v>1573</v>
      </c>
      <c r="H3568" s="14">
        <v>5.21</v>
      </c>
      <c r="I3568" s="2" t="s">
        <v>6845</v>
      </c>
      <c r="J3568" s="2" t="s">
        <v>13</v>
      </c>
      <c r="K3568" s="2" t="s">
        <v>1452</v>
      </c>
      <c r="L3568" s="2" t="s">
        <v>5221</v>
      </c>
      <c r="M3568" s="2" t="s">
        <v>5221</v>
      </c>
      <c r="N3568" s="2" t="s">
        <v>2317</v>
      </c>
      <c r="O3568" s="14">
        <v>9500</v>
      </c>
      <c r="P3568" s="14">
        <v>96.21</v>
      </c>
      <c r="Q3568" s="14">
        <v>360.05</v>
      </c>
      <c r="R3568" s="14">
        <v>1875.86</v>
      </c>
      <c r="S3568" s="2" t="s">
        <v>216</v>
      </c>
      <c r="T3568" s="2">
        <v>1.41</v>
      </c>
      <c r="U3568" s="2">
        <v>60.1</v>
      </c>
      <c r="V3568" s="2">
        <v>62</v>
      </c>
      <c r="W3568" s="2" t="s">
        <v>7862</v>
      </c>
      <c r="X3568" s="2" t="s">
        <v>471</v>
      </c>
      <c r="Y3568" s="2">
        <v>49495</v>
      </c>
      <c r="Z3568" s="19" t="str">
        <f>HYPERLINK("https://ssdweb.co/ssdweb/hd/Vision360.html?d=927120156&amp;zoomslide=1&amp;z=1927120156&amp;ISCONFIRM=0","VIDEO")</f>
        <v>VIDEO</v>
      </c>
      <c r="AA3568" s="19" t="str">
        <f>HYPERLINK("https://ssdweb.co/ssdweb/CERTH/681593699.pdf","CERTI")</f>
        <v>CERTI</v>
      </c>
    </row>
    <row r="3569" spans="1:27" ht="15" x14ac:dyDescent="0.25">
      <c r="A3569" s="2">
        <v>3564</v>
      </c>
      <c r="B3569" s="39">
        <v>926560414</v>
      </c>
      <c r="C3569" s="28" t="str">
        <f>HYPERLINK("https://pld.live/RapDetail.aspx?STONELIST=926560414","DNA")</f>
        <v>DNA</v>
      </c>
      <c r="D3569" s="18" t="s">
        <v>3174</v>
      </c>
      <c r="E3569" s="18" t="s">
        <v>2186</v>
      </c>
      <c r="F3569" s="2" t="s">
        <v>7987</v>
      </c>
      <c r="G3569" s="2" t="s">
        <v>1573</v>
      </c>
      <c r="H3569" s="14">
        <v>5.2</v>
      </c>
      <c r="I3569" s="2" t="s">
        <v>4699</v>
      </c>
      <c r="J3569" s="2" t="s">
        <v>3942</v>
      </c>
      <c r="K3569" s="2" t="s">
        <v>1452</v>
      </c>
      <c r="L3569" s="2" t="s">
        <v>5221</v>
      </c>
      <c r="M3569" s="2" t="s">
        <v>5221</v>
      </c>
      <c r="N3569" s="2" t="s">
        <v>2317</v>
      </c>
      <c r="O3569" s="14">
        <v>51000</v>
      </c>
      <c r="P3569" s="14">
        <v>99.61</v>
      </c>
      <c r="Q3569" s="14">
        <v>198.9</v>
      </c>
      <c r="R3569" s="14">
        <v>1034.28</v>
      </c>
      <c r="S3569" s="2" t="s">
        <v>3684</v>
      </c>
      <c r="T3569" s="2">
        <v>1.44</v>
      </c>
      <c r="U3569" s="2">
        <v>61.4</v>
      </c>
      <c r="V3569" s="2">
        <v>63</v>
      </c>
      <c r="W3569" s="2" t="s">
        <v>7862</v>
      </c>
      <c r="X3569" s="2" t="s">
        <v>471</v>
      </c>
      <c r="Y3569" s="2">
        <v>265200</v>
      </c>
      <c r="Z3569" s="19" t="str">
        <f>HYPERLINK("https://ssdweb.co/ssdweb/hd/Vision360.html?d=926560414&amp;zoomslide=1&amp;z=1926560414&amp;ISCONFIRM=0","VIDEO")</f>
        <v>VIDEO</v>
      </c>
      <c r="AA3569" s="19" t="str">
        <f>HYPERLINK("https://ssdweb.co/ssdweb/CERTH/654491314.pdf","CERTI")</f>
        <v>CERTI</v>
      </c>
    </row>
    <row r="3570" spans="1:27" ht="15" x14ac:dyDescent="0.25">
      <c r="A3570" s="2">
        <v>3565</v>
      </c>
      <c r="B3570" s="39">
        <v>927120107</v>
      </c>
      <c r="C3570" s="28" t="str">
        <f>HYPERLINK("https://pld.live/RapDetail.aspx?STONELIST=927120107","DNA")</f>
        <v>DNA</v>
      </c>
      <c r="D3570" s="18" t="s">
        <v>3174</v>
      </c>
      <c r="E3570" s="18" t="s">
        <v>2186</v>
      </c>
      <c r="F3570" s="2" t="s">
        <v>7987</v>
      </c>
      <c r="G3570" s="2" t="s">
        <v>1573</v>
      </c>
      <c r="H3570" s="14">
        <v>5.2</v>
      </c>
      <c r="I3570" s="2" t="s">
        <v>1505</v>
      </c>
      <c r="J3570" s="2" t="s">
        <v>13</v>
      </c>
      <c r="K3570" s="2" t="s">
        <v>1452</v>
      </c>
      <c r="L3570" s="2" t="s">
        <v>5221</v>
      </c>
      <c r="M3570" s="2" t="s">
        <v>5221</v>
      </c>
      <c r="N3570" s="2" t="s">
        <v>2317</v>
      </c>
      <c r="O3570" s="14">
        <v>33500</v>
      </c>
      <c r="P3570" s="14">
        <v>99.57</v>
      </c>
      <c r="Q3570" s="14">
        <v>144.05000000000001</v>
      </c>
      <c r="R3570" s="14">
        <v>749.06</v>
      </c>
      <c r="S3570" s="2" t="s">
        <v>2812</v>
      </c>
      <c r="T3570" s="2">
        <v>1.44</v>
      </c>
      <c r="U3570" s="2">
        <v>61.7</v>
      </c>
      <c r="V3570" s="2">
        <v>60</v>
      </c>
      <c r="W3570" s="2" t="s">
        <v>7862</v>
      </c>
      <c r="X3570" s="2" t="s">
        <v>471</v>
      </c>
      <c r="Y3570" s="2">
        <v>174200</v>
      </c>
      <c r="Z3570" s="19" t="str">
        <f>HYPERLINK("https://ssdweb.co/ssdweb/hd/Vision360.html?d=927120107&amp;zoomslide=1&amp;z=1927120107&amp;ISCONFIRM=0","VIDEO")</f>
        <v>VIDEO</v>
      </c>
      <c r="AA3570" s="19" t="str">
        <f>HYPERLINK("https://ssdweb.co/ssdweb/CERTH/669458299.pdf","CERTI")</f>
        <v>CERTI</v>
      </c>
    </row>
    <row r="3571" spans="1:27" ht="15" x14ac:dyDescent="0.25">
      <c r="A3571" s="2">
        <v>3566</v>
      </c>
      <c r="B3571" s="39">
        <v>924510212</v>
      </c>
      <c r="C3571" s="28" t="str">
        <f>HYPERLINK("https://pld.live/RapDetail.aspx?STONELIST=924510212","DNA")</f>
        <v>DNA</v>
      </c>
      <c r="D3571" s="18" t="s">
        <v>3174</v>
      </c>
      <c r="E3571" s="18" t="s">
        <v>2186</v>
      </c>
      <c r="F3571" s="2" t="s">
        <v>7987</v>
      </c>
      <c r="G3571" s="2" t="s">
        <v>1573</v>
      </c>
      <c r="H3571" s="14">
        <v>5.18</v>
      </c>
      <c r="I3571" s="2" t="s">
        <v>4699</v>
      </c>
      <c r="J3571" s="2" t="s">
        <v>5144</v>
      </c>
      <c r="K3571" s="2" t="s">
        <v>1452</v>
      </c>
      <c r="L3571" s="2" t="s">
        <v>5221</v>
      </c>
      <c r="M3571" s="2" t="s">
        <v>5221</v>
      </c>
      <c r="N3571" s="2" t="s">
        <v>2317</v>
      </c>
      <c r="O3571" s="14">
        <v>43000</v>
      </c>
      <c r="P3571" s="14">
        <v>99.64</v>
      </c>
      <c r="Q3571" s="14">
        <v>154.80000000000001</v>
      </c>
      <c r="R3571" s="14">
        <v>801.86</v>
      </c>
      <c r="S3571" s="2" t="s">
        <v>7264</v>
      </c>
      <c r="T3571" s="2">
        <v>1.42</v>
      </c>
      <c r="U3571" s="2">
        <v>61.6</v>
      </c>
      <c r="V3571" s="2">
        <v>61</v>
      </c>
      <c r="W3571" s="2" t="s">
        <v>7862</v>
      </c>
      <c r="X3571" s="2" t="s">
        <v>471</v>
      </c>
      <c r="Y3571" s="2">
        <v>222740</v>
      </c>
      <c r="Z3571" s="19" t="str">
        <f>HYPERLINK("https://ssdweb.co/ssdweb/hd/Vision360.html?d=924510212&amp;zoomslide=1&amp;z=1924510212&amp;ISCONFIRM=0","VIDEO")</f>
        <v>VIDEO</v>
      </c>
      <c r="AA3571" s="19" t="str">
        <f>HYPERLINK("https://ssdweb.co/ssdweb/CERTH/598375595.pdf","CERTI")</f>
        <v>CERTI</v>
      </c>
    </row>
    <row r="3572" spans="1:27" ht="15" x14ac:dyDescent="0.25">
      <c r="A3572" s="2">
        <v>3567</v>
      </c>
      <c r="B3572" s="39">
        <v>924510189</v>
      </c>
      <c r="C3572" s="28" t="str">
        <f>HYPERLINK("https://pld.live/RapDetail.aspx?STONELIST=924510189","DNA")</f>
        <v>DNA</v>
      </c>
      <c r="D3572" s="18" t="s">
        <v>3174</v>
      </c>
      <c r="E3572" s="18" t="s">
        <v>2186</v>
      </c>
      <c r="F3572" s="2" t="s">
        <v>7987</v>
      </c>
      <c r="G3572" s="2" t="s">
        <v>1573</v>
      </c>
      <c r="H3572" s="14">
        <v>5.14</v>
      </c>
      <c r="I3572" s="2" t="s">
        <v>1505</v>
      </c>
      <c r="J3572" s="2" t="s">
        <v>13</v>
      </c>
      <c r="K3572" s="2" t="s">
        <v>1452</v>
      </c>
      <c r="L3572" s="2" t="s">
        <v>5221</v>
      </c>
      <c r="M3572" s="2" t="s">
        <v>5221</v>
      </c>
      <c r="N3572" s="2" t="s">
        <v>2317</v>
      </c>
      <c r="O3572" s="14">
        <v>33500</v>
      </c>
      <c r="P3572" s="14">
        <v>99.58</v>
      </c>
      <c r="Q3572" s="14">
        <v>140.69999999999999</v>
      </c>
      <c r="R3572" s="14">
        <v>723.2</v>
      </c>
      <c r="S3572" s="2" t="s">
        <v>3871</v>
      </c>
      <c r="T3572" s="2">
        <v>1.43</v>
      </c>
      <c r="U3572" s="2">
        <v>62</v>
      </c>
      <c r="V3572" s="2">
        <v>61</v>
      </c>
      <c r="W3572" s="2" t="s">
        <v>7862</v>
      </c>
      <c r="X3572" s="2" t="s">
        <v>471</v>
      </c>
      <c r="Y3572" s="2">
        <v>172190</v>
      </c>
      <c r="Z3572" s="19" t="str">
        <f>HYPERLINK("https://ssdweb.co/ssdweb/hd/Vision360.html?d=924510189&amp;zoomslide=1&amp;z=1924510189&amp;ISCONFIRM=0","VIDEO")</f>
        <v>VIDEO</v>
      </c>
      <c r="AA3572" s="19" t="str">
        <f>HYPERLINK("https://ssdweb.co/ssdweb/CERTH/598312929.pdf","CERTI")</f>
        <v>CERTI</v>
      </c>
    </row>
    <row r="3573" spans="1:27" ht="15" x14ac:dyDescent="0.25">
      <c r="A3573" s="2">
        <v>3568</v>
      </c>
      <c r="B3573" s="39">
        <v>924500017</v>
      </c>
      <c r="C3573" s="28" t="str">
        <f>HYPERLINK("https://pld.live/RapDetail.aspx?STONELIST=924500017","DNA")</f>
        <v>DNA</v>
      </c>
      <c r="D3573" s="18" t="s">
        <v>3174</v>
      </c>
      <c r="E3573" s="18" t="s">
        <v>2186</v>
      </c>
      <c r="F3573" s="2" t="s">
        <v>7987</v>
      </c>
      <c r="G3573" s="2" t="s">
        <v>1573</v>
      </c>
      <c r="H3573" s="14">
        <v>5.13</v>
      </c>
      <c r="I3573" s="2" t="s">
        <v>1505</v>
      </c>
      <c r="J3573" s="2" t="s">
        <v>13</v>
      </c>
      <c r="K3573" s="2" t="s">
        <v>1452</v>
      </c>
      <c r="L3573" s="2" t="s">
        <v>5221</v>
      </c>
      <c r="M3573" s="2" t="s">
        <v>5221</v>
      </c>
      <c r="N3573" s="2" t="s">
        <v>2317</v>
      </c>
      <c r="O3573" s="14">
        <v>33500</v>
      </c>
      <c r="P3573" s="14">
        <v>99.59</v>
      </c>
      <c r="Q3573" s="14">
        <v>137.35</v>
      </c>
      <c r="R3573" s="14">
        <v>704.61</v>
      </c>
      <c r="S3573" s="2" t="s">
        <v>6256</v>
      </c>
      <c r="T3573" s="2">
        <v>1.44</v>
      </c>
      <c r="U3573" s="2">
        <v>60.8</v>
      </c>
      <c r="V3573" s="2">
        <v>60</v>
      </c>
      <c r="W3573" s="2" t="s">
        <v>8016</v>
      </c>
      <c r="X3573" s="2" t="s">
        <v>471</v>
      </c>
      <c r="Y3573" s="2">
        <v>171855</v>
      </c>
      <c r="Z3573" s="19" t="str">
        <f>HYPERLINK("https://ssdweb.co/ssdweb/hd/Vision360.html?d=924500017&amp;zoomslide=1&amp;z=1924500017&amp;ISCONFIRM=0","VIDEO")</f>
        <v>VIDEO</v>
      </c>
      <c r="AA3573" s="19" t="str">
        <f>HYPERLINK("https://ssdweb.co/ssdweb/CERTH/592361076.pdf","CERTI")</f>
        <v>CERTI</v>
      </c>
    </row>
    <row r="3574" spans="1:27" ht="15" x14ac:dyDescent="0.25">
      <c r="A3574" s="2">
        <v>3569</v>
      </c>
      <c r="B3574" s="39">
        <v>925690132</v>
      </c>
      <c r="C3574" s="28" t="str">
        <f>HYPERLINK("https://pld.live/RapDetail.aspx?STONELIST=925690132","DNA")</f>
        <v>DNA</v>
      </c>
      <c r="D3574" s="18" t="s">
        <v>3174</v>
      </c>
      <c r="E3574" s="18" t="s">
        <v>2186</v>
      </c>
      <c r="F3574" s="2" t="s">
        <v>7987</v>
      </c>
      <c r="G3574" s="2" t="s">
        <v>1573</v>
      </c>
      <c r="H3574" s="14">
        <v>5.0999999999999996</v>
      </c>
      <c r="I3574" s="2" t="s">
        <v>6874</v>
      </c>
      <c r="J3574" s="2" t="s">
        <v>13</v>
      </c>
      <c r="K3574" s="2" t="s">
        <v>1452</v>
      </c>
      <c r="L3574" s="2" t="s">
        <v>5221</v>
      </c>
      <c r="M3574" s="2" t="s">
        <v>5221</v>
      </c>
      <c r="N3574" s="2" t="s">
        <v>924</v>
      </c>
      <c r="O3574" s="14">
        <v>9500</v>
      </c>
      <c r="P3574" s="14">
        <v>95.89</v>
      </c>
      <c r="Q3574" s="14">
        <v>390.45</v>
      </c>
      <c r="R3574" s="14">
        <v>1991.3</v>
      </c>
      <c r="S3574" s="2" t="s">
        <v>5970</v>
      </c>
      <c r="T3574" s="2">
        <v>1.38</v>
      </c>
      <c r="U3574" s="2">
        <v>62.2</v>
      </c>
      <c r="V3574" s="2">
        <v>60</v>
      </c>
      <c r="W3574" s="2" t="s">
        <v>7862</v>
      </c>
      <c r="X3574" s="2" t="s">
        <v>471</v>
      </c>
      <c r="Y3574" s="2">
        <v>48450</v>
      </c>
      <c r="Z3574" s="19" t="str">
        <f>HYPERLINK("https://ssdweb.co/ssdweb/hd/Vision360.html?d=925690132&amp;zoomslide=1&amp;z=1925690132&amp;ISCONFIRM=0","VIDEO")</f>
        <v>VIDEO</v>
      </c>
      <c r="AA3574" s="19" t="str">
        <f>HYPERLINK("https://ssdweb.co/ssdweb/CERTH/629486076.pdf","CERTI")</f>
        <v>CERTI</v>
      </c>
    </row>
    <row r="3575" spans="1:27" ht="15" x14ac:dyDescent="0.25">
      <c r="A3575" s="2">
        <v>3570</v>
      </c>
      <c r="B3575" s="39">
        <v>925410046</v>
      </c>
      <c r="C3575" s="28" t="str">
        <f>HYPERLINK("https://pld.live/RapDetail.aspx?STONELIST=925410046","DNA")</f>
        <v>DNA</v>
      </c>
      <c r="D3575" s="18" t="s">
        <v>3174</v>
      </c>
      <c r="E3575" s="18" t="s">
        <v>2186</v>
      </c>
      <c r="F3575" s="2" t="s">
        <v>7987</v>
      </c>
      <c r="G3575" s="2" t="s">
        <v>1573</v>
      </c>
      <c r="H3575" s="14">
        <v>5.05</v>
      </c>
      <c r="I3575" s="2" t="s">
        <v>1505</v>
      </c>
      <c r="J3575" s="2" t="s">
        <v>13</v>
      </c>
      <c r="K3575" s="2" t="s">
        <v>1452</v>
      </c>
      <c r="L3575" s="2" t="s">
        <v>5221</v>
      </c>
      <c r="M3575" s="2" t="s">
        <v>5221</v>
      </c>
      <c r="N3575" s="2" t="s">
        <v>2317</v>
      </c>
      <c r="O3575" s="14">
        <v>33500</v>
      </c>
      <c r="P3575" s="14">
        <v>99.58</v>
      </c>
      <c r="Q3575" s="14">
        <v>140.69999999999999</v>
      </c>
      <c r="R3575" s="14">
        <v>710.54</v>
      </c>
      <c r="S3575" s="2" t="s">
        <v>923</v>
      </c>
      <c r="T3575" s="2">
        <v>1.36</v>
      </c>
      <c r="U3575" s="2">
        <v>62</v>
      </c>
      <c r="V3575" s="2">
        <v>61</v>
      </c>
      <c r="W3575" s="2" t="s">
        <v>7862</v>
      </c>
      <c r="X3575" s="2" t="s">
        <v>471</v>
      </c>
      <c r="Y3575" s="2">
        <v>169175</v>
      </c>
      <c r="Z3575" s="19" t="str">
        <f>HYPERLINK("https://ssdweb.co/ssdweb/hd/Vision360.html?d=925410046&amp;zoomslide=1&amp;z=1925410046&amp;ISCONFIRM=0","VIDEO")</f>
        <v>VIDEO</v>
      </c>
      <c r="AA3575" s="19" t="str">
        <f>HYPERLINK("https://ssdweb.co/ssdweb/CERTH/621475827.pdf","CERTI")</f>
        <v>CERTI</v>
      </c>
    </row>
    <row r="3576" spans="1:27" ht="15" x14ac:dyDescent="0.25">
      <c r="A3576" s="2">
        <v>3571</v>
      </c>
      <c r="B3576" s="39">
        <v>941220323</v>
      </c>
      <c r="C3576" s="28" t="str">
        <f>HYPERLINK("https://pld.live/RapDetail.aspx?STONELIST=941220323","DNA")</f>
        <v>DNA</v>
      </c>
      <c r="D3576" s="18" t="s">
        <v>3174</v>
      </c>
      <c r="E3576" s="18" t="s">
        <v>2186</v>
      </c>
      <c r="F3576" s="2" t="s">
        <v>7987</v>
      </c>
      <c r="G3576" s="2" t="s">
        <v>1573</v>
      </c>
      <c r="H3576" s="14">
        <v>5.03</v>
      </c>
      <c r="I3576" s="2" t="s">
        <v>4761</v>
      </c>
      <c r="J3576" s="2" t="s">
        <v>3942</v>
      </c>
      <c r="K3576" s="2" t="s">
        <v>1452</v>
      </c>
      <c r="L3576" s="2" t="s">
        <v>5221</v>
      </c>
      <c r="M3576" s="2" t="s">
        <v>5221</v>
      </c>
      <c r="N3576" s="2" t="s">
        <v>2317</v>
      </c>
      <c r="O3576" s="14">
        <v>55000</v>
      </c>
      <c r="P3576" s="14">
        <v>99.6</v>
      </c>
      <c r="Q3576" s="14">
        <v>220</v>
      </c>
      <c r="R3576" s="14">
        <v>1106.5999999999999</v>
      </c>
      <c r="S3576" s="2" t="s">
        <v>2780</v>
      </c>
      <c r="T3576" s="2">
        <v>1.4</v>
      </c>
      <c r="U3576" s="2">
        <v>62</v>
      </c>
      <c r="V3576" s="2">
        <v>62</v>
      </c>
      <c r="W3576" s="2" t="s">
        <v>7862</v>
      </c>
      <c r="X3576" s="2" t="s">
        <v>471</v>
      </c>
      <c r="Y3576" s="2">
        <v>276650</v>
      </c>
      <c r="Z3576" s="19" t="str">
        <f>HYPERLINK("https://ssdweb.co/ssdweb/hd/Vision360.html?d=941220323&amp;zoomslide=1&amp;z=1941220323&amp;ISCONFIRM=0","VIDEO")</f>
        <v>VIDEO</v>
      </c>
      <c r="AA3576" s="19" t="str">
        <f>HYPERLINK("https://ssdweb.co/ssdweb/CERTH/681594756.pdf","CERTI")</f>
        <v>CERTI</v>
      </c>
    </row>
    <row r="3577" spans="1:27" ht="15" x14ac:dyDescent="0.25">
      <c r="A3577" s="2">
        <v>3572</v>
      </c>
      <c r="B3577" s="39">
        <v>941230316</v>
      </c>
      <c r="C3577" s="28" t="str">
        <f>HYPERLINK("https://pld.live/RapDetail.aspx?STONELIST=941230316","DNA")</f>
        <v>DNA</v>
      </c>
      <c r="D3577" s="18" t="s">
        <v>3174</v>
      </c>
      <c r="E3577" s="18" t="s">
        <v>2186</v>
      </c>
      <c r="F3577" s="2" t="s">
        <v>7987</v>
      </c>
      <c r="G3577" s="2" t="s">
        <v>1573</v>
      </c>
      <c r="H3577" s="14">
        <v>5.03</v>
      </c>
      <c r="I3577" s="2" t="s">
        <v>4761</v>
      </c>
      <c r="J3577" s="2" t="s">
        <v>3942</v>
      </c>
      <c r="K3577" s="2" t="s">
        <v>1452</v>
      </c>
      <c r="L3577" s="2" t="s">
        <v>5221</v>
      </c>
      <c r="M3577" s="2" t="s">
        <v>5221</v>
      </c>
      <c r="N3577" s="2" t="s">
        <v>2317</v>
      </c>
      <c r="O3577" s="14">
        <v>55000</v>
      </c>
      <c r="P3577" s="14">
        <v>99.6</v>
      </c>
      <c r="Q3577" s="14">
        <v>220</v>
      </c>
      <c r="R3577" s="14">
        <v>1106.5999999999999</v>
      </c>
      <c r="S3577" s="2" t="s">
        <v>6537</v>
      </c>
      <c r="T3577" s="2">
        <v>1.42</v>
      </c>
      <c r="U3577" s="2">
        <v>61.3</v>
      </c>
      <c r="V3577" s="2">
        <v>61</v>
      </c>
      <c r="W3577" s="2" t="s">
        <v>7862</v>
      </c>
      <c r="X3577" s="2" t="s">
        <v>471</v>
      </c>
      <c r="Y3577" s="2">
        <v>276650</v>
      </c>
      <c r="Z3577" s="19" t="str">
        <f>HYPERLINK("https://ssdweb.co/ssdweb/hd/Vision360.html?d=941230316&amp;zoomslide=1&amp;z=1941230316&amp;ISCONFIRM=0","VIDEO")</f>
        <v>VIDEO</v>
      </c>
      <c r="AA3577" s="19" t="str">
        <f>HYPERLINK("https://ssdweb.co/ssdweb/CERTH/681594759.pdf","CERTI")</f>
        <v>CERTI</v>
      </c>
    </row>
    <row r="3578" spans="1:27" ht="15" x14ac:dyDescent="0.25">
      <c r="A3578" s="2">
        <v>3573</v>
      </c>
      <c r="B3578" s="39">
        <v>821133250</v>
      </c>
      <c r="C3578" s="28" t="str">
        <f>HYPERLINK("https://pld.live/RapDetail.aspx?STONELIST=821133250","DNA")</f>
        <v>DNA</v>
      </c>
      <c r="D3578" s="18" t="s">
        <v>3174</v>
      </c>
      <c r="E3578" s="18" t="s">
        <v>1253</v>
      </c>
      <c r="F3578" s="2" t="s">
        <v>7987</v>
      </c>
      <c r="G3578" s="2" t="s">
        <v>1573</v>
      </c>
      <c r="H3578" s="14">
        <v>5.03</v>
      </c>
      <c r="I3578" s="2" t="s">
        <v>4699</v>
      </c>
      <c r="J3578" s="2" t="s">
        <v>5144</v>
      </c>
      <c r="K3578" s="2" t="s">
        <v>1452</v>
      </c>
      <c r="L3578" s="2" t="s">
        <v>5221</v>
      </c>
      <c r="M3578" s="2" t="s">
        <v>5221</v>
      </c>
      <c r="N3578" s="2" t="s">
        <v>2317</v>
      </c>
      <c r="O3578" s="14">
        <v>43000</v>
      </c>
      <c r="P3578" s="14">
        <v>99.63</v>
      </c>
      <c r="Q3578" s="14">
        <v>159.1</v>
      </c>
      <c r="R3578" s="14">
        <v>800.27</v>
      </c>
      <c r="S3578" s="2" t="s">
        <v>4980</v>
      </c>
      <c r="T3578" s="2">
        <v>1.42</v>
      </c>
      <c r="U3578" s="2">
        <v>61.7</v>
      </c>
      <c r="V3578" s="2">
        <v>62</v>
      </c>
      <c r="W3578" s="2" t="s">
        <v>7862</v>
      </c>
      <c r="X3578" s="2" t="s">
        <v>471</v>
      </c>
      <c r="Y3578" s="2">
        <v>216290</v>
      </c>
      <c r="Z3578" s="19" t="str">
        <f>HYPERLINK("https://ssdweb.co/ssdweb/hd/Vision360.html?d=821133250&amp;zoomslide=1&amp;z=1821133250&amp;ISCONFIRM=0","VIDEO")</f>
        <v>VIDEO</v>
      </c>
      <c r="AA3578" s="19" t="str">
        <f>HYPERLINK("https://ssdweb.co/ssdweb/CERTH/670484528.pdf","CERTI")</f>
        <v>CERTI</v>
      </c>
    </row>
    <row r="3579" spans="1:27" ht="15" x14ac:dyDescent="0.25">
      <c r="A3579" s="2">
        <v>3574</v>
      </c>
      <c r="B3579" s="39">
        <v>821133274</v>
      </c>
      <c r="C3579" s="28" t="str">
        <f>HYPERLINK("https://pld.live/RapDetail.aspx?STONELIST=821133274","DNA")</f>
        <v>DNA</v>
      </c>
      <c r="D3579" s="18" t="s">
        <v>3174</v>
      </c>
      <c r="E3579" s="18" t="s">
        <v>1253</v>
      </c>
      <c r="F3579" s="2" t="s">
        <v>7987</v>
      </c>
      <c r="G3579" s="2" t="s">
        <v>1573</v>
      </c>
      <c r="H3579" s="14">
        <v>5.0199999999999996</v>
      </c>
      <c r="I3579" s="2" t="s">
        <v>4761</v>
      </c>
      <c r="J3579" s="2" t="s">
        <v>13</v>
      </c>
      <c r="K3579" s="2" t="s">
        <v>1452</v>
      </c>
      <c r="L3579" s="2" t="s">
        <v>5221</v>
      </c>
      <c r="M3579" s="2" t="s">
        <v>5221</v>
      </c>
      <c r="N3579" s="2" t="s">
        <v>2317</v>
      </c>
      <c r="O3579" s="14">
        <v>52500</v>
      </c>
      <c r="P3579" s="14">
        <v>99.66</v>
      </c>
      <c r="Q3579" s="14">
        <v>178.5</v>
      </c>
      <c r="R3579" s="14">
        <v>896.07</v>
      </c>
      <c r="S3579" s="2" t="s">
        <v>4105</v>
      </c>
      <c r="T3579" s="2">
        <v>1.42</v>
      </c>
      <c r="U3579" s="2">
        <v>61.2</v>
      </c>
      <c r="V3579" s="2">
        <v>61</v>
      </c>
      <c r="W3579" s="2" t="s">
        <v>7862</v>
      </c>
      <c r="X3579" s="2" t="s">
        <v>471</v>
      </c>
      <c r="Y3579" s="2">
        <v>263550</v>
      </c>
      <c r="Z3579" s="19" t="str">
        <f>HYPERLINK("https://ssdweb.co/ssdweb/hd/Vision360.html?d=821133274&amp;zoomslide=1&amp;z=1821133274&amp;ISCONFIRM=0","VIDEO")</f>
        <v>VIDEO</v>
      </c>
      <c r="AA3579" s="19" t="str">
        <f>HYPERLINK("https://ssdweb.co/ssdweb/CERTH/670484531.pdf","CERTI")</f>
        <v>CERTI</v>
      </c>
    </row>
    <row r="3580" spans="1:27" ht="15" x14ac:dyDescent="0.25">
      <c r="A3580" s="2">
        <v>3575</v>
      </c>
      <c r="B3580" s="39">
        <v>821133244</v>
      </c>
      <c r="C3580" s="28" t="str">
        <f>HYPERLINK("https://pld.live/RapDetail.aspx?STONELIST=821133244","DNA")</f>
        <v>DNA</v>
      </c>
      <c r="D3580" s="18" t="s">
        <v>3174</v>
      </c>
      <c r="E3580" s="18" t="s">
        <v>1253</v>
      </c>
      <c r="F3580" s="2" t="s">
        <v>7987</v>
      </c>
      <c r="G3580" s="2" t="s">
        <v>1573</v>
      </c>
      <c r="H3580" s="14">
        <v>5.0199999999999996</v>
      </c>
      <c r="I3580" s="2" t="s">
        <v>4761</v>
      </c>
      <c r="J3580" s="2" t="s">
        <v>13</v>
      </c>
      <c r="K3580" s="2" t="s">
        <v>1452</v>
      </c>
      <c r="L3580" s="2" t="s">
        <v>5221</v>
      </c>
      <c r="M3580" s="2" t="s">
        <v>5221</v>
      </c>
      <c r="N3580" s="2" t="s">
        <v>2317</v>
      </c>
      <c r="O3580" s="14">
        <v>52500</v>
      </c>
      <c r="P3580" s="14">
        <v>99.66</v>
      </c>
      <c r="Q3580" s="14">
        <v>178.5</v>
      </c>
      <c r="R3580" s="14">
        <v>896.07</v>
      </c>
      <c r="S3580" s="2" t="s">
        <v>5625</v>
      </c>
      <c r="T3580" s="2">
        <v>1.42</v>
      </c>
      <c r="U3580" s="2">
        <v>61.8</v>
      </c>
      <c r="V3580" s="2">
        <v>61</v>
      </c>
      <c r="W3580" s="2" t="s">
        <v>7862</v>
      </c>
      <c r="X3580" s="2" t="s">
        <v>471</v>
      </c>
      <c r="Y3580" s="2">
        <v>263550</v>
      </c>
      <c r="Z3580" s="19" t="str">
        <f>HYPERLINK("https://ssdweb.co/ssdweb/hd/Vision360.html?d=821133244&amp;zoomslide=1&amp;z=1821133244&amp;ISCONFIRM=0","VIDEO")</f>
        <v>VIDEO</v>
      </c>
      <c r="AA3580" s="19" t="str">
        <f>HYPERLINK("https://ssdweb.co/ssdweb/CERTH/669458291.pdf","CERTI")</f>
        <v>CERTI</v>
      </c>
    </row>
    <row r="3581" spans="1:27" ht="15" x14ac:dyDescent="0.25">
      <c r="A3581" s="2">
        <v>3576</v>
      </c>
      <c r="B3581" s="39">
        <v>926410447</v>
      </c>
      <c r="C3581" s="28" t="str">
        <f>HYPERLINK("https://pld.live/RapDetail.aspx?STONELIST=926410447","DNA")</f>
        <v>DNA</v>
      </c>
      <c r="D3581" s="18" t="s">
        <v>3174</v>
      </c>
      <c r="E3581" s="18" t="s">
        <v>2186</v>
      </c>
      <c r="F3581" s="2" t="s">
        <v>7987</v>
      </c>
      <c r="G3581" s="2" t="s">
        <v>1573</v>
      </c>
      <c r="H3581" s="14">
        <v>5.0199999999999996</v>
      </c>
      <c r="I3581" s="2" t="s">
        <v>4699</v>
      </c>
      <c r="J3581" s="2" t="s">
        <v>5144</v>
      </c>
      <c r="K3581" s="2" t="s">
        <v>1452</v>
      </c>
      <c r="L3581" s="2" t="s">
        <v>5221</v>
      </c>
      <c r="M3581" s="2" t="s">
        <v>5221</v>
      </c>
      <c r="N3581" s="2" t="s">
        <v>2317</v>
      </c>
      <c r="O3581" s="14">
        <v>43000</v>
      </c>
      <c r="P3581" s="14">
        <v>99.63</v>
      </c>
      <c r="Q3581" s="14">
        <v>159.1</v>
      </c>
      <c r="R3581" s="14">
        <v>798.68</v>
      </c>
      <c r="S3581" s="2" t="s">
        <v>4854</v>
      </c>
      <c r="T3581" s="2">
        <v>1.42</v>
      </c>
      <c r="U3581" s="2">
        <v>61.1</v>
      </c>
      <c r="V3581" s="2">
        <v>61</v>
      </c>
      <c r="W3581" s="2" t="s">
        <v>7862</v>
      </c>
      <c r="X3581" s="2" t="s">
        <v>471</v>
      </c>
      <c r="Y3581" s="2">
        <v>215860</v>
      </c>
      <c r="Z3581" s="19" t="str">
        <f>HYPERLINK("https://ssdweb.co/ssdweb/hd/Vision360.html?d=926410447&amp;zoomslide=1&amp;z=1926410447&amp;ISCONFIRM=0","VIDEO")</f>
        <v>VIDEO</v>
      </c>
      <c r="AA3581" s="19" t="str">
        <f>HYPERLINK("https://ssdweb.co/ssdweb/CERTH/645459020.pdf","CERTI")</f>
        <v>CERTI</v>
      </c>
    </row>
    <row r="3582" spans="1:27" ht="15" x14ac:dyDescent="0.25">
      <c r="A3582" s="2">
        <v>3577</v>
      </c>
      <c r="B3582" s="39">
        <v>926360357</v>
      </c>
      <c r="C3582" s="28" t="str">
        <f>HYPERLINK("https://pld.live/RapDetail.aspx?STONELIST=926360357","DNA")</f>
        <v>DNA</v>
      </c>
      <c r="D3582" s="18" t="s">
        <v>3174</v>
      </c>
      <c r="E3582" s="18" t="s">
        <v>2186</v>
      </c>
      <c r="F3582" s="2" t="s">
        <v>7987</v>
      </c>
      <c r="G3582" s="2" t="s">
        <v>1573</v>
      </c>
      <c r="H3582" s="14">
        <v>5.0199999999999996</v>
      </c>
      <c r="I3582" s="2" t="s">
        <v>4699</v>
      </c>
      <c r="J3582" s="2" t="s">
        <v>5144</v>
      </c>
      <c r="K3582" s="2" t="s">
        <v>1452</v>
      </c>
      <c r="L3582" s="2" t="s">
        <v>5221</v>
      </c>
      <c r="M3582" s="2" t="s">
        <v>5221</v>
      </c>
      <c r="N3582" s="2" t="s">
        <v>2317</v>
      </c>
      <c r="O3582" s="14">
        <v>43000</v>
      </c>
      <c r="P3582" s="14">
        <v>99.63</v>
      </c>
      <c r="Q3582" s="14">
        <v>159.1</v>
      </c>
      <c r="R3582" s="14">
        <v>798.68</v>
      </c>
      <c r="S3582" s="2" t="s">
        <v>979</v>
      </c>
      <c r="T3582" s="2">
        <v>1.48</v>
      </c>
      <c r="U3582" s="2">
        <v>61</v>
      </c>
      <c r="V3582" s="2">
        <v>60</v>
      </c>
      <c r="W3582" s="2" t="s">
        <v>7862</v>
      </c>
      <c r="X3582" s="2" t="s">
        <v>471</v>
      </c>
      <c r="Y3582" s="2">
        <v>215860</v>
      </c>
      <c r="Z3582" s="19" t="str">
        <f>HYPERLINK("https://ssdweb.co/ssdweb/hd/Vision360.html?d=926360357&amp;zoomslide=1&amp;z=1926360357&amp;ISCONFIRM=0","VIDEO")</f>
        <v>VIDEO</v>
      </c>
      <c r="AA3582" s="19" t="str">
        <f>HYPERLINK("https://ssdweb.co/ssdweb/CERTH/643411087.pdf","CERTI")</f>
        <v>CERTI</v>
      </c>
    </row>
    <row r="3583" spans="1:27" ht="15" x14ac:dyDescent="0.25">
      <c r="A3583" s="2">
        <v>3578</v>
      </c>
      <c r="B3583" s="39">
        <v>922930174</v>
      </c>
      <c r="C3583" s="28" t="str">
        <f>HYPERLINK("https://pld.live/RapDetail.aspx?STONELIST=922930174","DNA")</f>
        <v>DNA</v>
      </c>
      <c r="D3583" s="18" t="s">
        <v>3174</v>
      </c>
      <c r="E3583" s="18" t="s">
        <v>2186</v>
      </c>
      <c r="F3583" s="2" t="s">
        <v>7987</v>
      </c>
      <c r="G3583" s="2" t="s">
        <v>1573</v>
      </c>
      <c r="H3583" s="14">
        <v>5.0199999999999996</v>
      </c>
      <c r="I3583" s="2" t="s">
        <v>6587</v>
      </c>
      <c r="J3583" s="2" t="s">
        <v>13</v>
      </c>
      <c r="K3583" s="2" t="s">
        <v>1452</v>
      </c>
      <c r="L3583" s="2" t="s">
        <v>5221</v>
      </c>
      <c r="M3583" s="2" t="s">
        <v>5221</v>
      </c>
      <c r="N3583" s="2" t="s">
        <v>2317</v>
      </c>
      <c r="O3583" s="14">
        <v>42500</v>
      </c>
      <c r="P3583" s="14">
        <v>99.65</v>
      </c>
      <c r="Q3583" s="14">
        <v>148.75</v>
      </c>
      <c r="R3583" s="14">
        <v>746.73</v>
      </c>
      <c r="S3583" s="2" t="s">
        <v>3118</v>
      </c>
      <c r="T3583" s="2">
        <v>1.36</v>
      </c>
      <c r="U3583" s="2">
        <v>63.7</v>
      </c>
      <c r="V3583" s="2">
        <v>59</v>
      </c>
      <c r="W3583" s="2" t="s">
        <v>7862</v>
      </c>
      <c r="X3583" s="2" t="s">
        <v>471</v>
      </c>
      <c r="Y3583" s="2">
        <v>213350</v>
      </c>
      <c r="Z3583" s="19" t="str">
        <f>HYPERLINK("https://ssdweb.co/ssdweb/hd/Vision360.html?d=922930174&amp;zoomslide=1&amp;z=1922930174&amp;ISCONFIRM=0","VIDEO")</f>
        <v>VIDEO</v>
      </c>
      <c r="AA3583" s="19" t="str">
        <f>HYPERLINK("https://ssdweb.co/ssdweb/CERTH/536278210.pdf","CERTI")</f>
        <v>CERTI</v>
      </c>
    </row>
    <row r="3584" spans="1:27" ht="15" x14ac:dyDescent="0.25">
      <c r="A3584" s="2">
        <v>3579</v>
      </c>
      <c r="B3584" s="39">
        <v>926410448</v>
      </c>
      <c r="C3584" s="28" t="str">
        <f>HYPERLINK("https://pld.live/RapDetail.aspx?STONELIST=926410448","DNA")</f>
        <v>DNA</v>
      </c>
      <c r="D3584" s="18" t="s">
        <v>3174</v>
      </c>
      <c r="E3584" s="18" t="s">
        <v>2186</v>
      </c>
      <c r="F3584" s="2" t="s">
        <v>7987</v>
      </c>
      <c r="G3584" s="2" t="s">
        <v>1573</v>
      </c>
      <c r="H3584" s="14">
        <v>5.0199999999999996</v>
      </c>
      <c r="I3584" s="2" t="s">
        <v>6587</v>
      </c>
      <c r="J3584" s="2" t="s">
        <v>13</v>
      </c>
      <c r="K3584" s="2" t="s">
        <v>1452</v>
      </c>
      <c r="L3584" s="2" t="s">
        <v>5221</v>
      </c>
      <c r="M3584" s="2" t="s">
        <v>5221</v>
      </c>
      <c r="N3584" s="2" t="s">
        <v>2317</v>
      </c>
      <c r="O3584" s="14">
        <v>42500</v>
      </c>
      <c r="P3584" s="14">
        <v>99.64</v>
      </c>
      <c r="Q3584" s="14">
        <v>153</v>
      </c>
      <c r="R3584" s="14">
        <v>768.06</v>
      </c>
      <c r="S3584" s="2" t="s">
        <v>3805</v>
      </c>
      <c r="T3584" s="2">
        <v>1.45</v>
      </c>
      <c r="U3584" s="2">
        <v>60.2</v>
      </c>
      <c r="V3584" s="2">
        <v>61</v>
      </c>
      <c r="W3584" s="2" t="s">
        <v>7862</v>
      </c>
      <c r="X3584" s="2" t="s">
        <v>471</v>
      </c>
      <c r="Y3584" s="2">
        <v>213350</v>
      </c>
      <c r="Z3584" s="19" t="str">
        <f>HYPERLINK("https://ssdweb.co/ssdweb/hd/Vision360.html?d=926410448&amp;zoomslide=1&amp;z=1926410448&amp;ISCONFIRM=0","VIDEO")</f>
        <v>VIDEO</v>
      </c>
      <c r="AA3584" s="19" t="str">
        <f>HYPERLINK("https://ssdweb.co/ssdweb/CERTH/645459023.pdf","CERTI")</f>
        <v>CERTI</v>
      </c>
    </row>
    <row r="3585" spans="1:27" ht="15" x14ac:dyDescent="0.25">
      <c r="A3585" s="2">
        <v>3580</v>
      </c>
      <c r="B3585" s="39">
        <v>925700296</v>
      </c>
      <c r="C3585" s="28" t="str">
        <f>HYPERLINK("https://pld.live/RapDetail.aspx?STONELIST=925700296","DNA")</f>
        <v>DNA</v>
      </c>
      <c r="D3585" s="18" t="s">
        <v>3174</v>
      </c>
      <c r="E3585" s="18" t="s">
        <v>2186</v>
      </c>
      <c r="F3585" s="2" t="s">
        <v>7987</v>
      </c>
      <c r="G3585" s="2" t="s">
        <v>1573</v>
      </c>
      <c r="H3585" s="14">
        <v>5.0199999999999996</v>
      </c>
      <c r="I3585" s="2" t="s">
        <v>6587</v>
      </c>
      <c r="J3585" s="2" t="s">
        <v>13</v>
      </c>
      <c r="K3585" s="2" t="s">
        <v>1452</v>
      </c>
      <c r="L3585" s="2" t="s">
        <v>5221</v>
      </c>
      <c r="M3585" s="2" t="s">
        <v>5221</v>
      </c>
      <c r="N3585" s="2" t="s">
        <v>2317</v>
      </c>
      <c r="O3585" s="14">
        <v>42500</v>
      </c>
      <c r="P3585" s="14">
        <v>99.65</v>
      </c>
      <c r="Q3585" s="14">
        <v>148.75</v>
      </c>
      <c r="R3585" s="14">
        <v>746.73</v>
      </c>
      <c r="S3585" s="2" t="s">
        <v>1445</v>
      </c>
      <c r="T3585" s="2">
        <v>1.35</v>
      </c>
      <c r="U3585" s="2">
        <v>62.6</v>
      </c>
      <c r="V3585" s="2">
        <v>60</v>
      </c>
      <c r="W3585" s="2" t="s">
        <v>7862</v>
      </c>
      <c r="X3585" s="2" t="s">
        <v>471</v>
      </c>
      <c r="Y3585" s="2">
        <v>213350</v>
      </c>
      <c r="Z3585" s="19" t="str">
        <f>HYPERLINK("https://ssdweb.co/ssdweb/hd/Vision360.html?d=925700296&amp;zoomslide=1&amp;z=1925700296&amp;ISCONFIRM=0","VIDEO")</f>
        <v>VIDEO</v>
      </c>
      <c r="AA3585" s="19" t="str">
        <f>HYPERLINK("https://ssdweb.co/ssdweb/CERTH/627471653.pdf","CERTI")</f>
        <v>CERTI</v>
      </c>
    </row>
    <row r="3586" spans="1:27" ht="15" x14ac:dyDescent="0.25">
      <c r="A3586" s="2">
        <v>3581</v>
      </c>
      <c r="B3586" s="39">
        <v>927120163</v>
      </c>
      <c r="C3586" s="28" t="str">
        <f>HYPERLINK("https://pld.live/RapDetail.aspx?STONELIST=927120163","DNA")</f>
        <v>DNA</v>
      </c>
      <c r="D3586" s="18" t="s">
        <v>3174</v>
      </c>
      <c r="E3586" s="18" t="s">
        <v>2186</v>
      </c>
      <c r="F3586" s="2" t="s">
        <v>7987</v>
      </c>
      <c r="G3586" s="2" t="s">
        <v>1573</v>
      </c>
      <c r="H3586" s="14">
        <v>5.0199999999999996</v>
      </c>
      <c r="I3586" s="2" t="s">
        <v>6587</v>
      </c>
      <c r="J3586" s="2" t="s">
        <v>13</v>
      </c>
      <c r="K3586" s="2" t="s">
        <v>1452</v>
      </c>
      <c r="L3586" s="2" t="s">
        <v>5221</v>
      </c>
      <c r="M3586" s="2" t="s">
        <v>5221</v>
      </c>
      <c r="N3586" s="2" t="s">
        <v>2317</v>
      </c>
      <c r="O3586" s="14">
        <v>42500</v>
      </c>
      <c r="P3586" s="14">
        <v>99.64</v>
      </c>
      <c r="Q3586" s="14">
        <v>153</v>
      </c>
      <c r="R3586" s="14">
        <v>768.06</v>
      </c>
      <c r="S3586" s="2" t="s">
        <v>7693</v>
      </c>
      <c r="T3586" s="2">
        <v>1.4</v>
      </c>
      <c r="U3586" s="2">
        <v>61.5</v>
      </c>
      <c r="V3586" s="2">
        <v>60</v>
      </c>
      <c r="W3586" s="2" t="s">
        <v>7862</v>
      </c>
      <c r="X3586" s="2" t="s">
        <v>471</v>
      </c>
      <c r="Y3586" s="2">
        <v>213350</v>
      </c>
      <c r="Z3586" s="19" t="str">
        <f>HYPERLINK("https://ssdweb.co/ssdweb/hd/Vision360.html?d=927120163&amp;zoomslide=1&amp;z=1927120163&amp;ISCONFIRM=0","VIDEO")</f>
        <v>VIDEO</v>
      </c>
      <c r="AA3586" s="19" t="str">
        <f>HYPERLINK("https://ssdweb.co/ssdweb/CERTH/670445244.pdf","CERTI")</f>
        <v>CERTI</v>
      </c>
    </row>
    <row r="3587" spans="1:27" ht="15" x14ac:dyDescent="0.25">
      <c r="A3587" s="2">
        <v>3582</v>
      </c>
      <c r="B3587" s="39">
        <v>927120109</v>
      </c>
      <c r="C3587" s="28" t="str">
        <f>HYPERLINK("https://pld.live/RapDetail.aspx?STONELIST=927120109","DNA")</f>
        <v>DNA</v>
      </c>
      <c r="D3587" s="18" t="s">
        <v>3174</v>
      </c>
      <c r="E3587" s="18" t="s">
        <v>2186</v>
      </c>
      <c r="F3587" s="2" t="s">
        <v>7987</v>
      </c>
      <c r="G3587" s="2" t="s">
        <v>1573</v>
      </c>
      <c r="H3587" s="14">
        <v>5.0199999999999996</v>
      </c>
      <c r="I3587" s="2" t="s">
        <v>6587</v>
      </c>
      <c r="J3587" s="2" t="s">
        <v>13</v>
      </c>
      <c r="K3587" s="2" t="s">
        <v>1452</v>
      </c>
      <c r="L3587" s="2" t="s">
        <v>5221</v>
      </c>
      <c r="M3587" s="2" t="s">
        <v>5221</v>
      </c>
      <c r="N3587" s="2" t="s">
        <v>2317</v>
      </c>
      <c r="O3587" s="14">
        <v>42500</v>
      </c>
      <c r="P3587" s="14">
        <v>99.64</v>
      </c>
      <c r="Q3587" s="14">
        <v>153</v>
      </c>
      <c r="R3587" s="14">
        <v>768.06</v>
      </c>
      <c r="S3587" s="2" t="s">
        <v>5913</v>
      </c>
      <c r="T3587" s="2">
        <v>1.4</v>
      </c>
      <c r="U3587" s="2">
        <v>60.9</v>
      </c>
      <c r="V3587" s="2">
        <v>61</v>
      </c>
      <c r="W3587" s="2" t="s">
        <v>7862</v>
      </c>
      <c r="X3587" s="2" t="s">
        <v>471</v>
      </c>
      <c r="Y3587" s="2">
        <v>213350</v>
      </c>
      <c r="Z3587" s="19" t="str">
        <f>HYPERLINK("https://ssdweb.co/ssdweb/hd/Vision360.html?d=927120109&amp;zoomslide=1&amp;z=1927120109&amp;ISCONFIRM=0","VIDEO")</f>
        <v>VIDEO</v>
      </c>
      <c r="AA3587" s="19" t="str">
        <f>HYPERLINK("https://ssdweb.co/ssdweb/CERTH/669458301.pdf","CERTI")</f>
        <v>CERTI</v>
      </c>
    </row>
    <row r="3588" spans="1:27" ht="15" x14ac:dyDescent="0.25">
      <c r="A3588" s="2">
        <v>3583</v>
      </c>
      <c r="B3588" s="39">
        <v>927120126</v>
      </c>
      <c r="C3588" s="28" t="str">
        <f>HYPERLINK("https://pld.live/RapDetail.aspx?STONELIST=927120126","DNA")</f>
        <v>DNA</v>
      </c>
      <c r="D3588" s="18" t="s">
        <v>3174</v>
      </c>
      <c r="E3588" s="18" t="s">
        <v>2186</v>
      </c>
      <c r="F3588" s="2" t="s">
        <v>7987</v>
      </c>
      <c r="G3588" s="2" t="s">
        <v>1573</v>
      </c>
      <c r="H3588" s="14">
        <v>5.0199999999999996</v>
      </c>
      <c r="I3588" s="2" t="s">
        <v>6845</v>
      </c>
      <c r="J3588" s="2" t="s">
        <v>13</v>
      </c>
      <c r="K3588" s="2" t="s">
        <v>1452</v>
      </c>
      <c r="L3588" s="2" t="s">
        <v>5221</v>
      </c>
      <c r="M3588" s="2" t="s">
        <v>5221</v>
      </c>
      <c r="N3588" s="2" t="s">
        <v>2317</v>
      </c>
      <c r="O3588" s="14">
        <v>9500</v>
      </c>
      <c r="P3588" s="14">
        <v>96.21</v>
      </c>
      <c r="Q3588" s="14">
        <v>360.05</v>
      </c>
      <c r="R3588" s="14">
        <v>1807.45</v>
      </c>
      <c r="S3588" s="2" t="s">
        <v>78</v>
      </c>
      <c r="T3588" s="2">
        <v>1.4</v>
      </c>
      <c r="U3588" s="2">
        <v>61.5</v>
      </c>
      <c r="V3588" s="2">
        <v>61</v>
      </c>
      <c r="W3588" s="2" t="s">
        <v>7862</v>
      </c>
      <c r="X3588" s="2" t="s">
        <v>471</v>
      </c>
      <c r="Y3588" s="2">
        <v>47690</v>
      </c>
      <c r="Z3588" s="19" t="str">
        <f>HYPERLINK("https://ssdweb.co/ssdweb/hd/Vision360.html?d=927120126&amp;zoomslide=1&amp;z=1927120126&amp;ISCONFIRM=0","VIDEO")</f>
        <v>VIDEO</v>
      </c>
      <c r="AA3588" s="19" t="str">
        <f>HYPERLINK("https://ssdweb.co/ssdweb/CERTH/681593698.pdf","CERTI")</f>
        <v>CERTI</v>
      </c>
    </row>
    <row r="3589" spans="1:27" ht="15" x14ac:dyDescent="0.25">
      <c r="A3589" s="2">
        <v>3584</v>
      </c>
      <c r="B3589" s="39">
        <v>941220174</v>
      </c>
      <c r="C3589" s="28" t="str">
        <f>HYPERLINK("https://pld.live/RapDetail.aspx?STONELIST=941220174","DNA")</f>
        <v>DNA</v>
      </c>
      <c r="D3589" s="18" t="s">
        <v>3174</v>
      </c>
      <c r="E3589" s="18" t="s">
        <v>2186</v>
      </c>
      <c r="F3589" s="2" t="s">
        <v>7987</v>
      </c>
      <c r="G3589" s="2" t="s">
        <v>1573</v>
      </c>
      <c r="H3589" s="14">
        <v>5.01</v>
      </c>
      <c r="I3589" s="2" t="s">
        <v>267</v>
      </c>
      <c r="J3589" s="2" t="s">
        <v>3942</v>
      </c>
      <c r="K3589" s="2" t="s">
        <v>1452</v>
      </c>
      <c r="L3589" s="2" t="s">
        <v>5221</v>
      </c>
      <c r="M3589" s="2" t="s">
        <v>5221</v>
      </c>
      <c r="N3589" s="2" t="s">
        <v>2317</v>
      </c>
      <c r="O3589" s="14">
        <v>60000</v>
      </c>
      <c r="P3589" s="14">
        <v>99.53</v>
      </c>
      <c r="Q3589" s="14">
        <v>282</v>
      </c>
      <c r="R3589" s="14">
        <v>1412.82</v>
      </c>
      <c r="S3589" s="2" t="s">
        <v>2741</v>
      </c>
      <c r="T3589" s="2">
        <v>1.41</v>
      </c>
      <c r="U3589" s="2">
        <v>61.8</v>
      </c>
      <c r="V3589" s="2">
        <v>61</v>
      </c>
      <c r="W3589" s="2" t="s">
        <v>7862</v>
      </c>
      <c r="X3589" s="2" t="s">
        <v>471</v>
      </c>
      <c r="Y3589" s="2">
        <v>300600</v>
      </c>
      <c r="Z3589" s="19" t="str">
        <f>HYPERLINK("https://ssdweb.co/ssdweb/hd/Vision360.html?d=941220174&amp;zoomslide=1&amp;z=1941220174&amp;ISCONFIRM=0","VIDEO")</f>
        <v>VIDEO</v>
      </c>
      <c r="AA3589" s="19" t="str">
        <f>HYPERLINK("https://ssdweb.co/ssdweb/CERTH/678550340.pdf","CERTI")</f>
        <v>CERTI</v>
      </c>
    </row>
    <row r="3590" spans="1:27" ht="15" x14ac:dyDescent="0.25">
      <c r="A3590" s="2">
        <v>3585</v>
      </c>
      <c r="B3590" s="39">
        <v>926410439</v>
      </c>
      <c r="C3590" s="28" t="str">
        <f>HYPERLINK("https://pld.live/RapDetail.aspx?STONELIST=926410439","DNA")</f>
        <v>DNA</v>
      </c>
      <c r="D3590" s="18" t="s">
        <v>3174</v>
      </c>
      <c r="E3590" s="18" t="s">
        <v>2186</v>
      </c>
      <c r="F3590" s="2" t="s">
        <v>7987</v>
      </c>
      <c r="G3590" s="2" t="s">
        <v>1573</v>
      </c>
      <c r="H3590" s="14">
        <v>5.01</v>
      </c>
      <c r="I3590" s="2" t="s">
        <v>4761</v>
      </c>
      <c r="J3590" s="2" t="s">
        <v>13</v>
      </c>
      <c r="K3590" s="2" t="s">
        <v>1452</v>
      </c>
      <c r="L3590" s="2" t="s">
        <v>5221</v>
      </c>
      <c r="M3590" s="2" t="s">
        <v>5221</v>
      </c>
      <c r="N3590" s="2" t="s">
        <v>2317</v>
      </c>
      <c r="O3590" s="14">
        <v>52500</v>
      </c>
      <c r="P3590" s="14">
        <v>99.66</v>
      </c>
      <c r="Q3590" s="14">
        <v>178.5</v>
      </c>
      <c r="R3590" s="14">
        <v>894.29</v>
      </c>
      <c r="S3590" s="2" t="s">
        <v>4629</v>
      </c>
      <c r="T3590" s="2">
        <v>1.4</v>
      </c>
      <c r="U3590" s="2">
        <v>62.4</v>
      </c>
      <c r="V3590" s="2">
        <v>62</v>
      </c>
      <c r="W3590" s="2" t="s">
        <v>7862</v>
      </c>
      <c r="X3590" s="2" t="s">
        <v>471</v>
      </c>
      <c r="Y3590" s="2">
        <v>263025</v>
      </c>
      <c r="Z3590" s="19" t="str">
        <f>HYPERLINK("https://ssdweb.co/ssdweb/hd/Vision360.html?d=926410439&amp;zoomslide=1&amp;z=1926410439&amp;ISCONFIRM=0","VIDEO")</f>
        <v>VIDEO</v>
      </c>
      <c r="AA3590" s="19" t="str">
        <f>HYPERLINK("https://ssdweb.co/ssdweb/CERTH/644442111.pdf","CERTI")</f>
        <v>CERTI</v>
      </c>
    </row>
    <row r="3591" spans="1:27" ht="15" x14ac:dyDescent="0.25">
      <c r="A3591" s="2">
        <v>3586</v>
      </c>
      <c r="B3591" s="39">
        <v>941230764</v>
      </c>
      <c r="C3591" s="28" t="str">
        <f>HYPERLINK("https://pld.live/RapDetail.aspx?STONELIST=941230764","DNA")</f>
        <v>DNA</v>
      </c>
      <c r="D3591" s="18" t="s">
        <v>3174</v>
      </c>
      <c r="E3591" s="18" t="s">
        <v>2186</v>
      </c>
      <c r="F3591" s="2" t="s">
        <v>7987</v>
      </c>
      <c r="G3591" s="2" t="s">
        <v>1573</v>
      </c>
      <c r="H3591" s="14">
        <v>5.01</v>
      </c>
      <c r="I3591" s="2" t="s">
        <v>4761</v>
      </c>
      <c r="J3591" s="2" t="s">
        <v>13</v>
      </c>
      <c r="K3591" s="2" t="s">
        <v>1452</v>
      </c>
      <c r="L3591" s="2" t="s">
        <v>5221</v>
      </c>
      <c r="M3591" s="2" t="s">
        <v>5221</v>
      </c>
      <c r="N3591" s="2" t="s">
        <v>2317</v>
      </c>
      <c r="O3591" s="14">
        <v>52500</v>
      </c>
      <c r="P3591" s="14">
        <v>99.66</v>
      </c>
      <c r="Q3591" s="14">
        <v>178.5</v>
      </c>
      <c r="R3591" s="14">
        <v>894.29</v>
      </c>
      <c r="S3591" s="2" t="s">
        <v>6858</v>
      </c>
      <c r="T3591" s="2">
        <v>1.4</v>
      </c>
      <c r="U3591" s="2">
        <v>61</v>
      </c>
      <c r="V3591" s="2">
        <v>60</v>
      </c>
      <c r="W3591" s="2" t="s">
        <v>7862</v>
      </c>
      <c r="X3591" s="2" t="s">
        <v>471</v>
      </c>
      <c r="Y3591" s="2">
        <v>263025</v>
      </c>
      <c r="Z3591" s="19" t="str">
        <f>HYPERLINK("https://ssdweb.co/ssdweb/hd/Vision360.html?d=941230764&amp;zoomslide=1&amp;z=1941230764&amp;ISCONFIRM=0","VIDEO")</f>
        <v>VIDEO</v>
      </c>
      <c r="AA3591" s="19" t="str">
        <f>HYPERLINK("https://ssdweb.co/ssdweb/CERTH/687591743.pdf","CERTI")</f>
        <v>CERTI</v>
      </c>
    </row>
    <row r="3592" spans="1:27" ht="15" x14ac:dyDescent="0.25">
      <c r="A3592" s="2">
        <v>3587</v>
      </c>
      <c r="B3592" s="39">
        <v>831020690</v>
      </c>
      <c r="C3592" s="28" t="str">
        <f>HYPERLINK("https://pld.live/RapDetail.aspx?STONELIST=831020690","DNA")</f>
        <v>DNA</v>
      </c>
      <c r="D3592" s="18" t="s">
        <v>3174</v>
      </c>
      <c r="E3592" s="18" t="s">
        <v>2186</v>
      </c>
      <c r="F3592" s="2" t="s">
        <v>7987</v>
      </c>
      <c r="G3592" s="2" t="s">
        <v>1573</v>
      </c>
      <c r="H3592" s="14">
        <v>5.01</v>
      </c>
      <c r="I3592" s="2" t="s">
        <v>4699</v>
      </c>
      <c r="J3592" s="2" t="s">
        <v>3942</v>
      </c>
      <c r="K3592" s="2" t="s">
        <v>1452</v>
      </c>
      <c r="L3592" s="2" t="s">
        <v>5221</v>
      </c>
      <c r="M3592" s="2" t="s">
        <v>5221</v>
      </c>
      <c r="N3592" s="2" t="s">
        <v>2317</v>
      </c>
      <c r="O3592" s="14">
        <v>51000</v>
      </c>
      <c r="P3592" s="14">
        <v>99.62</v>
      </c>
      <c r="Q3592" s="14">
        <v>193.8</v>
      </c>
      <c r="R3592" s="14">
        <v>970.94</v>
      </c>
      <c r="S3592" s="2" t="s">
        <v>7892</v>
      </c>
      <c r="T3592" s="2">
        <v>1.37</v>
      </c>
      <c r="U3592" s="2">
        <v>63.4</v>
      </c>
      <c r="V3592" s="2">
        <v>64</v>
      </c>
      <c r="W3592" s="2" t="s">
        <v>8016</v>
      </c>
      <c r="X3592" s="2" t="s">
        <v>471</v>
      </c>
      <c r="Y3592" s="2">
        <v>255510</v>
      </c>
      <c r="Z3592" s="19" t="str">
        <f>HYPERLINK("https://ssdweb.co/ssdweb/hd/Vision360.html?d=831020690&amp;zoomslide=1&amp;z=1831020690&amp;ISCONFIRM=0","VIDEO")</f>
        <v>VIDEO</v>
      </c>
      <c r="AA3592" s="19" t="str">
        <f>HYPERLINK("https://ssdweb.co/ssdweb/CERTH/538277128.pdf","CERTI")</f>
        <v>CERTI</v>
      </c>
    </row>
    <row r="3593" spans="1:27" ht="15" x14ac:dyDescent="0.25">
      <c r="A3593" s="2">
        <v>3588</v>
      </c>
      <c r="B3593" s="39">
        <v>927020714</v>
      </c>
      <c r="C3593" s="28" t="str">
        <f>HYPERLINK("https://pld.live/RapDetail.aspx?STONELIST=927020714","DNA")</f>
        <v>DNA</v>
      </c>
      <c r="D3593" s="18" t="s">
        <v>3174</v>
      </c>
      <c r="E3593" s="18" t="s">
        <v>2186</v>
      </c>
      <c r="F3593" s="2" t="s">
        <v>7987</v>
      </c>
      <c r="G3593" s="2" t="s">
        <v>1573</v>
      </c>
      <c r="H3593" s="14">
        <v>5.01</v>
      </c>
      <c r="I3593" s="2" t="s">
        <v>4699</v>
      </c>
      <c r="J3593" s="2" t="s">
        <v>13</v>
      </c>
      <c r="K3593" s="2" t="s">
        <v>1452</v>
      </c>
      <c r="L3593" s="2" t="s">
        <v>5221</v>
      </c>
      <c r="M3593" s="2" t="s">
        <v>5221</v>
      </c>
      <c r="N3593" s="2" t="s">
        <v>2317</v>
      </c>
      <c r="O3593" s="14">
        <v>48500</v>
      </c>
      <c r="P3593" s="14">
        <v>99.65</v>
      </c>
      <c r="Q3593" s="14">
        <v>169.75</v>
      </c>
      <c r="R3593" s="14">
        <v>850.45</v>
      </c>
      <c r="S3593" s="2" t="s">
        <v>2754</v>
      </c>
      <c r="T3593" s="2">
        <v>1.41</v>
      </c>
      <c r="U3593" s="2">
        <v>61.7</v>
      </c>
      <c r="V3593" s="2">
        <v>60</v>
      </c>
      <c r="W3593" s="2" t="s">
        <v>7862</v>
      </c>
      <c r="X3593" s="2" t="s">
        <v>471</v>
      </c>
      <c r="Y3593" s="2">
        <v>242985</v>
      </c>
      <c r="Z3593" s="19" t="str">
        <f>HYPERLINK("https://ssdweb.co/ssdweb/hd/Vision360.html?d=927020714&amp;zoomslide=1&amp;z=1927020714&amp;ISCONFIRM=0","VIDEO")</f>
        <v>VIDEO</v>
      </c>
      <c r="AA3593" s="19" t="str">
        <f>HYPERLINK("https://ssdweb.co/ssdweb/CERTH/668447824.pdf","CERTI")</f>
        <v>CERTI</v>
      </c>
    </row>
    <row r="3594" spans="1:27" ht="15" x14ac:dyDescent="0.25">
      <c r="A3594" s="2">
        <v>3589</v>
      </c>
      <c r="B3594" s="39">
        <v>926130080</v>
      </c>
      <c r="C3594" s="28" t="str">
        <f>HYPERLINK("https://pld.live/RapDetail.aspx?STONELIST=926130080","DNA")</f>
        <v>DNA</v>
      </c>
      <c r="D3594" s="18" t="s">
        <v>3174</v>
      </c>
      <c r="E3594" s="18" t="s">
        <v>2186</v>
      </c>
      <c r="F3594" s="2" t="s">
        <v>7987</v>
      </c>
      <c r="G3594" s="2" t="s">
        <v>1573</v>
      </c>
      <c r="H3594" s="14">
        <v>5.01</v>
      </c>
      <c r="I3594" s="2" t="s">
        <v>6587</v>
      </c>
      <c r="J3594" s="2" t="s">
        <v>13</v>
      </c>
      <c r="K3594" s="2" t="s">
        <v>1452</v>
      </c>
      <c r="L3594" s="2" t="s">
        <v>5221</v>
      </c>
      <c r="M3594" s="2" t="s">
        <v>5221</v>
      </c>
      <c r="N3594" s="2" t="s">
        <v>2317</v>
      </c>
      <c r="O3594" s="14">
        <v>42500</v>
      </c>
      <c r="P3594" s="14">
        <v>99.65</v>
      </c>
      <c r="Q3594" s="14">
        <v>148.75</v>
      </c>
      <c r="R3594" s="14">
        <v>745.24</v>
      </c>
      <c r="S3594" s="2" t="s">
        <v>5180</v>
      </c>
      <c r="T3594" s="2">
        <v>1.53</v>
      </c>
      <c r="U3594" s="2">
        <v>62.7</v>
      </c>
      <c r="V3594" s="2">
        <v>57</v>
      </c>
      <c r="W3594" s="2" t="s">
        <v>7862</v>
      </c>
      <c r="X3594" s="2" t="s">
        <v>471</v>
      </c>
      <c r="Y3594" s="2">
        <v>212925</v>
      </c>
      <c r="Z3594" s="19" t="str">
        <f>HYPERLINK("https://ssdweb.co/ssdweb/hd/Vision360.html?d=926130080&amp;zoomslide=1&amp;z=1926130080&amp;ISCONFIRM=0","VIDEO")</f>
        <v>VIDEO</v>
      </c>
      <c r="AA3594" s="19" t="str">
        <f>HYPERLINK("https://ssdweb.co/ssdweb/CERTH/633432009.pdf","CERTI")</f>
        <v>CERTI</v>
      </c>
    </row>
    <row r="3595" spans="1:27" ht="15" x14ac:dyDescent="0.25">
      <c r="A3595" s="2">
        <v>3590</v>
      </c>
      <c r="B3595" s="39">
        <v>927120057</v>
      </c>
      <c r="C3595" s="28" t="str">
        <f>HYPERLINK("https://pld.live/RapDetail.aspx?STONELIST=927120057","DNA")</f>
        <v>DNA</v>
      </c>
      <c r="D3595" s="18" t="s">
        <v>3174</v>
      </c>
      <c r="E3595" s="18" t="s">
        <v>2186</v>
      </c>
      <c r="F3595" s="2" t="s">
        <v>7987</v>
      </c>
      <c r="G3595" s="2" t="s">
        <v>1573</v>
      </c>
      <c r="H3595" s="14">
        <v>5.01</v>
      </c>
      <c r="I3595" s="2" t="s">
        <v>6587</v>
      </c>
      <c r="J3595" s="2" t="s">
        <v>13</v>
      </c>
      <c r="K3595" s="2" t="s">
        <v>1452</v>
      </c>
      <c r="L3595" s="2" t="s">
        <v>5221</v>
      </c>
      <c r="M3595" s="2" t="s">
        <v>5221</v>
      </c>
      <c r="N3595" s="2" t="s">
        <v>2317</v>
      </c>
      <c r="O3595" s="14">
        <v>42500</v>
      </c>
      <c r="P3595" s="14">
        <v>99.64</v>
      </c>
      <c r="Q3595" s="14">
        <v>153</v>
      </c>
      <c r="R3595" s="14">
        <v>766.53</v>
      </c>
      <c r="S3595" s="2" t="s">
        <v>5533</v>
      </c>
      <c r="T3595" s="2">
        <v>1.42</v>
      </c>
      <c r="U3595" s="2">
        <v>58.7</v>
      </c>
      <c r="V3595" s="2">
        <v>63</v>
      </c>
      <c r="W3595" s="2" t="s">
        <v>7862</v>
      </c>
      <c r="X3595" s="2" t="s">
        <v>471</v>
      </c>
      <c r="Y3595" s="2">
        <v>212925</v>
      </c>
      <c r="Z3595" s="19" t="str">
        <f>HYPERLINK("https://ssdweb.co/ssdweb/hd/Vision360.html?d=927120057&amp;zoomslide=1&amp;z=1927120057&amp;ISCONFIRM=0","VIDEO")</f>
        <v>VIDEO</v>
      </c>
      <c r="AA3595" s="19" t="str">
        <f>HYPERLINK("https://ssdweb.co/ssdweb/CERTH/668447825.pdf","CERTI")</f>
        <v>CERTI</v>
      </c>
    </row>
    <row r="3596" spans="1:27" ht="15" x14ac:dyDescent="0.25">
      <c r="A3596" s="2">
        <v>3591</v>
      </c>
      <c r="B3596" s="39">
        <v>927120106</v>
      </c>
      <c r="C3596" s="28" t="str">
        <f>HYPERLINK("https://pld.live/RapDetail.aspx?STONELIST=927120106","DNA")</f>
        <v>DNA</v>
      </c>
      <c r="D3596" s="18" t="s">
        <v>3174</v>
      </c>
      <c r="E3596" s="18" t="s">
        <v>2186</v>
      </c>
      <c r="F3596" s="2" t="s">
        <v>7987</v>
      </c>
      <c r="G3596" s="2" t="s">
        <v>1573</v>
      </c>
      <c r="H3596" s="14">
        <v>5.01</v>
      </c>
      <c r="I3596" s="2" t="s">
        <v>6587</v>
      </c>
      <c r="J3596" s="2" t="s">
        <v>13</v>
      </c>
      <c r="K3596" s="2" t="s">
        <v>1452</v>
      </c>
      <c r="L3596" s="2" t="s">
        <v>5221</v>
      </c>
      <c r="M3596" s="2" t="s">
        <v>5221</v>
      </c>
      <c r="N3596" s="2" t="s">
        <v>2317</v>
      </c>
      <c r="O3596" s="14">
        <v>42500</v>
      </c>
      <c r="P3596" s="14">
        <v>99.64</v>
      </c>
      <c r="Q3596" s="14">
        <v>153</v>
      </c>
      <c r="R3596" s="14">
        <v>766.53</v>
      </c>
      <c r="S3596" s="2" t="s">
        <v>4592</v>
      </c>
      <c r="T3596" s="2">
        <v>1.44</v>
      </c>
      <c r="U3596" s="2">
        <v>60.9</v>
      </c>
      <c r="V3596" s="2">
        <v>61</v>
      </c>
      <c r="W3596" s="2" t="s">
        <v>7862</v>
      </c>
      <c r="X3596" s="2" t="s">
        <v>471</v>
      </c>
      <c r="Y3596" s="2">
        <v>212925</v>
      </c>
      <c r="Z3596" s="19" t="str">
        <f>HYPERLINK("https://ssdweb.co/ssdweb/hd/Vision360.html?d=927120106&amp;zoomslide=1&amp;z=1927120106&amp;ISCONFIRM=0","VIDEO")</f>
        <v>VIDEO</v>
      </c>
      <c r="AA3596" s="19" t="str">
        <f>HYPERLINK("https://ssdweb.co/ssdweb/CERTH/671401673.pdf","CERTI")</f>
        <v>CERTI</v>
      </c>
    </row>
    <row r="3597" spans="1:27" ht="15" x14ac:dyDescent="0.25">
      <c r="A3597" s="2">
        <v>3592</v>
      </c>
      <c r="B3597" s="39">
        <v>941230709</v>
      </c>
      <c r="C3597" s="28" t="str">
        <f>HYPERLINK("https://pld.live/RapDetail.aspx?STONELIST=941230709","DNA")</f>
        <v>DNA</v>
      </c>
      <c r="D3597" s="18" t="s">
        <v>3174</v>
      </c>
      <c r="E3597" s="18" t="s">
        <v>2186</v>
      </c>
      <c r="F3597" s="2" t="s">
        <v>7987</v>
      </c>
      <c r="G3597" s="2" t="s">
        <v>1573</v>
      </c>
      <c r="H3597" s="14">
        <v>5</v>
      </c>
      <c r="I3597" s="2" t="s">
        <v>267</v>
      </c>
      <c r="J3597" s="2" t="s">
        <v>3942</v>
      </c>
      <c r="K3597" s="2" t="s">
        <v>1452</v>
      </c>
      <c r="L3597" s="2" t="s">
        <v>5221</v>
      </c>
      <c r="M3597" s="2" t="s">
        <v>5221</v>
      </c>
      <c r="N3597" s="2" t="s">
        <v>2317</v>
      </c>
      <c r="O3597" s="14">
        <v>60000</v>
      </c>
      <c r="P3597" s="14">
        <v>99.53</v>
      </c>
      <c r="Q3597" s="14">
        <v>282</v>
      </c>
      <c r="R3597" s="14">
        <v>1410</v>
      </c>
      <c r="S3597" s="2" t="s">
        <v>1447</v>
      </c>
      <c r="T3597" s="2">
        <v>1.42</v>
      </c>
      <c r="U3597" s="2">
        <v>61.8</v>
      </c>
      <c r="V3597" s="2">
        <v>60</v>
      </c>
      <c r="W3597" s="2" t="s">
        <v>7862</v>
      </c>
      <c r="X3597" s="2" t="s">
        <v>471</v>
      </c>
      <c r="Y3597" s="2">
        <v>300000</v>
      </c>
      <c r="Z3597" s="19" t="str">
        <f>HYPERLINK("https://ssdweb.co/ssdweb/hd/Vision360.html?d=941230709&amp;zoomslide=1&amp;z=1941230709&amp;ISCONFIRM=0","VIDEO")</f>
        <v>VIDEO</v>
      </c>
      <c r="AA3597" s="19" t="str">
        <f>HYPERLINK("https://ssdweb.co/ssdweb/CERTH/691509992.pdf","CERTI")</f>
        <v>CERTI</v>
      </c>
    </row>
    <row r="3598" spans="1:27" ht="15" x14ac:dyDescent="0.25">
      <c r="A3598" s="2">
        <v>3593</v>
      </c>
      <c r="B3598" s="39">
        <v>927110095</v>
      </c>
      <c r="C3598" s="28" t="str">
        <f>HYPERLINK("https://pld.live/RapDetail.aspx?STONELIST=927110095","DNA")</f>
        <v>DNA</v>
      </c>
      <c r="D3598" s="18" t="s">
        <v>3174</v>
      </c>
      <c r="E3598" s="18" t="s">
        <v>2186</v>
      </c>
      <c r="F3598" s="2" t="s">
        <v>7987</v>
      </c>
      <c r="G3598" s="2" t="s">
        <v>1573</v>
      </c>
      <c r="H3598" s="14">
        <v>5</v>
      </c>
      <c r="I3598" s="2" t="s">
        <v>4761</v>
      </c>
      <c r="J3598" s="2" t="s">
        <v>13</v>
      </c>
      <c r="K3598" s="2" t="s">
        <v>1452</v>
      </c>
      <c r="L3598" s="2" t="s">
        <v>5221</v>
      </c>
      <c r="M3598" s="2" t="s">
        <v>5221</v>
      </c>
      <c r="N3598" s="2" t="s">
        <v>2317</v>
      </c>
      <c r="O3598" s="14">
        <v>52500</v>
      </c>
      <c r="P3598" s="14">
        <v>99.66</v>
      </c>
      <c r="Q3598" s="14">
        <v>178.5</v>
      </c>
      <c r="R3598" s="14">
        <v>892.5</v>
      </c>
      <c r="S3598" s="2" t="s">
        <v>2419</v>
      </c>
      <c r="T3598" s="2">
        <v>1.4</v>
      </c>
      <c r="U3598" s="2">
        <v>62.5</v>
      </c>
      <c r="V3598" s="2">
        <v>59</v>
      </c>
      <c r="W3598" s="2" t="s">
        <v>7862</v>
      </c>
      <c r="X3598" s="2" t="s">
        <v>471</v>
      </c>
      <c r="Y3598" s="2">
        <v>262500</v>
      </c>
      <c r="Z3598" s="19" t="str">
        <f>HYPERLINK("https://ssdweb.co/ssdweb/hd/Vision360.html?d=927110095&amp;zoomslide=1&amp;z=1927110095&amp;ISCONFIRM=0","VIDEO")</f>
        <v>VIDEO</v>
      </c>
      <c r="AA3598" s="19" t="str">
        <f>HYPERLINK("https://ssdweb.co/ssdweb/CERTH/671401672.pdf","CERTI")</f>
        <v>CERTI</v>
      </c>
    </row>
    <row r="3599" spans="1:27" ht="15" x14ac:dyDescent="0.25">
      <c r="A3599" s="2">
        <v>3594</v>
      </c>
      <c r="B3599" s="39">
        <v>925410053</v>
      </c>
      <c r="C3599" s="28" t="str">
        <f>HYPERLINK("https://pld.live/RapDetail.aspx?STONELIST=925410053","DNA")</f>
        <v>DNA</v>
      </c>
      <c r="D3599" s="18" t="s">
        <v>3174</v>
      </c>
      <c r="E3599" s="18" t="s">
        <v>2186</v>
      </c>
      <c r="F3599" s="2" t="s">
        <v>7987</v>
      </c>
      <c r="G3599" s="2" t="s">
        <v>1573</v>
      </c>
      <c r="H3599" s="14">
        <v>5</v>
      </c>
      <c r="I3599" s="2" t="s">
        <v>6587</v>
      </c>
      <c r="J3599" s="2" t="s">
        <v>13</v>
      </c>
      <c r="K3599" s="2" t="s">
        <v>1452</v>
      </c>
      <c r="L3599" s="2" t="s">
        <v>5221</v>
      </c>
      <c r="M3599" s="2" t="s">
        <v>5221</v>
      </c>
      <c r="N3599" s="2" t="s">
        <v>2317</v>
      </c>
      <c r="O3599" s="14">
        <v>42500</v>
      </c>
      <c r="P3599" s="14">
        <v>99.65</v>
      </c>
      <c r="Q3599" s="14">
        <v>148.75</v>
      </c>
      <c r="R3599" s="14">
        <v>743.75</v>
      </c>
      <c r="S3599" s="2" t="s">
        <v>1040</v>
      </c>
      <c r="T3599" s="2">
        <v>1.37</v>
      </c>
      <c r="U3599" s="2">
        <v>61.3</v>
      </c>
      <c r="V3599" s="2">
        <v>63</v>
      </c>
      <c r="W3599" s="2" t="s">
        <v>7862</v>
      </c>
      <c r="X3599" s="2" t="s">
        <v>471</v>
      </c>
      <c r="Y3599" s="2">
        <v>212500</v>
      </c>
      <c r="Z3599" s="19" t="str">
        <f>HYPERLINK("https://ssdweb.co/ssdweb/hd/Vision360.html?d=925410053&amp;zoomslide=1&amp;z=1925410053&amp;ISCONFIRM=0","VIDEO")</f>
        <v>VIDEO</v>
      </c>
      <c r="AA3599" s="19" t="str">
        <f>HYPERLINK("https://ssdweb.co/ssdweb/CERTH/623412656.pdf","CERTI")</f>
        <v>CERTI</v>
      </c>
    </row>
    <row r="3600" spans="1:27" ht="15" x14ac:dyDescent="0.25">
      <c r="A3600" s="2">
        <v>3595</v>
      </c>
      <c r="B3600" s="39">
        <v>927120037</v>
      </c>
      <c r="C3600" s="28" t="str">
        <f>HYPERLINK("https://pld.live/RapDetail.aspx?STONELIST=927120037","DNA")</f>
        <v>DNA</v>
      </c>
      <c r="D3600" s="18" t="s">
        <v>3174</v>
      </c>
      <c r="E3600" s="18" t="s">
        <v>2186</v>
      </c>
      <c r="F3600" s="2" t="s">
        <v>7987</v>
      </c>
      <c r="G3600" s="2" t="s">
        <v>1573</v>
      </c>
      <c r="H3600" s="14">
        <v>5</v>
      </c>
      <c r="I3600" s="2" t="s">
        <v>6587</v>
      </c>
      <c r="J3600" s="2" t="s">
        <v>13</v>
      </c>
      <c r="K3600" s="2" t="s">
        <v>1452</v>
      </c>
      <c r="L3600" s="2" t="s">
        <v>5221</v>
      </c>
      <c r="M3600" s="2" t="s">
        <v>5221</v>
      </c>
      <c r="N3600" s="2" t="s">
        <v>2317</v>
      </c>
      <c r="O3600" s="14">
        <v>42500</v>
      </c>
      <c r="P3600" s="14">
        <v>99.64</v>
      </c>
      <c r="Q3600" s="14">
        <v>153</v>
      </c>
      <c r="R3600" s="14">
        <v>765</v>
      </c>
      <c r="S3600" s="2" t="s">
        <v>1765</v>
      </c>
      <c r="T3600" s="2">
        <v>1.41</v>
      </c>
      <c r="U3600" s="2">
        <v>62.9</v>
      </c>
      <c r="V3600" s="2">
        <v>62</v>
      </c>
      <c r="W3600" s="2" t="s">
        <v>7862</v>
      </c>
      <c r="X3600" s="2" t="s">
        <v>471</v>
      </c>
      <c r="Y3600" s="2">
        <v>212500</v>
      </c>
      <c r="Z3600" s="19" t="str">
        <f>HYPERLINK("https://ssdweb.co/ssdweb/hd/Vision360.html?d=927120037&amp;zoomslide=1&amp;z=1927120037&amp;ISCONFIRM=0","VIDEO")</f>
        <v>VIDEO</v>
      </c>
      <c r="AA3600" s="19" t="str">
        <f>HYPERLINK("https://ssdweb.co/ssdweb/CERTH/668437263.pdf","CERTI")</f>
        <v>CERTI</v>
      </c>
    </row>
    <row r="3601" spans="1:27" ht="15" x14ac:dyDescent="0.25">
      <c r="A3601" s="2">
        <v>3596</v>
      </c>
      <c r="B3601" s="39">
        <v>925690168</v>
      </c>
      <c r="C3601" s="28" t="str">
        <f>HYPERLINK("https://pld.live/RapDetail.aspx?STONELIST=925690168","DNA")</f>
        <v>DNA</v>
      </c>
      <c r="D3601" s="18" t="s">
        <v>3174</v>
      </c>
      <c r="E3601" s="18" t="s">
        <v>2186</v>
      </c>
      <c r="F3601" s="2" t="s">
        <v>7987</v>
      </c>
      <c r="G3601" s="2" t="s">
        <v>1573</v>
      </c>
      <c r="H3601" s="14">
        <v>5</v>
      </c>
      <c r="I3601" s="2" t="s">
        <v>6874</v>
      </c>
      <c r="J3601" s="2" t="s">
        <v>13</v>
      </c>
      <c r="K3601" s="2" t="s">
        <v>1452</v>
      </c>
      <c r="L3601" s="2" t="s">
        <v>5221</v>
      </c>
      <c r="M3601" s="2" t="s">
        <v>5221</v>
      </c>
      <c r="N3601" s="2" t="s">
        <v>924</v>
      </c>
      <c r="O3601" s="14">
        <v>9500</v>
      </c>
      <c r="P3601" s="14">
        <v>95.89</v>
      </c>
      <c r="Q3601" s="14">
        <v>390.45</v>
      </c>
      <c r="R3601" s="14">
        <v>1952.25</v>
      </c>
      <c r="S3601" s="2" t="s">
        <v>7409</v>
      </c>
      <c r="T3601" s="2">
        <v>1.51</v>
      </c>
      <c r="U3601" s="2">
        <v>62.4</v>
      </c>
      <c r="V3601" s="2">
        <v>59</v>
      </c>
      <c r="W3601" s="2" t="s">
        <v>7862</v>
      </c>
      <c r="X3601" s="2" t="s">
        <v>471</v>
      </c>
      <c r="Y3601" s="2">
        <v>47500</v>
      </c>
      <c r="Z3601" s="19" t="str">
        <f>HYPERLINK("https://ssdweb.co/ssdweb/hd/Vision360.html?d=925690168&amp;zoomslide=1&amp;z=1925690168&amp;ISCONFIRM=0","VIDEO")</f>
        <v>VIDEO</v>
      </c>
      <c r="AA3601" s="19" t="str">
        <f>HYPERLINK("https://ssdweb.co/ssdweb/CERTH/629486078.pdf","CERTI")</f>
        <v>CERTI</v>
      </c>
    </row>
    <row r="3602" spans="1:27" ht="15" x14ac:dyDescent="0.25">
      <c r="A3602" s="2">
        <v>3597</v>
      </c>
      <c r="B3602" s="39">
        <v>924500098</v>
      </c>
      <c r="C3602" s="28" t="str">
        <f>HYPERLINK("https://pld.live/RapDetail.aspx?STONELIST=924500098","DNA")</f>
        <v>DNA</v>
      </c>
      <c r="D3602" s="18" t="s">
        <v>8111</v>
      </c>
      <c r="E3602" s="18" t="s">
        <v>2186</v>
      </c>
      <c r="F3602" s="2" t="s">
        <v>5597</v>
      </c>
      <c r="G3602" s="2" t="s">
        <v>1573</v>
      </c>
      <c r="H3602" s="14">
        <v>4.66</v>
      </c>
      <c r="I3602" s="2" t="s">
        <v>1505</v>
      </c>
      <c r="J3602" s="2" t="s">
        <v>13</v>
      </c>
      <c r="K3602" s="2" t="s">
        <v>1452</v>
      </c>
      <c r="L3602" s="2" t="s">
        <v>5221</v>
      </c>
      <c r="M3602" s="2" t="s">
        <v>5221</v>
      </c>
      <c r="N3602" s="2" t="s">
        <v>2317</v>
      </c>
      <c r="O3602" s="14">
        <v>25500</v>
      </c>
      <c r="P3602" s="14">
        <v>99.08</v>
      </c>
      <c r="Q3602" s="14">
        <v>234.6</v>
      </c>
      <c r="R3602" s="14">
        <v>1093.24</v>
      </c>
      <c r="S3602" s="2" t="s">
        <v>46</v>
      </c>
      <c r="T3602" s="2">
        <v>1.38</v>
      </c>
      <c r="U3602" s="2">
        <v>62.3</v>
      </c>
      <c r="V3602" s="2">
        <v>60</v>
      </c>
      <c r="W3602" s="2" t="s">
        <v>7862</v>
      </c>
      <c r="X3602" s="2" t="s">
        <v>471</v>
      </c>
      <c r="Y3602" s="2">
        <v>118830</v>
      </c>
      <c r="Z3602" s="19" t="str">
        <f>HYPERLINK("https://ssdweb.co/ssdweb/hd/Vision360.html?d=924500098&amp;zoomslide=1&amp;z=1924500098&amp;ISCONFIRM=0","VIDEO")</f>
        <v>VIDEO</v>
      </c>
      <c r="AA3602" s="19" t="str">
        <f>HYPERLINK("https://ssdweb.co/ssdweb/CERTH/2476330200.pdf","CERTI")</f>
        <v>CERTI</v>
      </c>
    </row>
    <row r="3603" spans="1:27" ht="15" x14ac:dyDescent="0.25">
      <c r="A3603" s="2">
        <v>3598</v>
      </c>
      <c r="B3603" s="39">
        <v>925710145</v>
      </c>
      <c r="C3603" s="28" t="str">
        <f>HYPERLINK("https://pld.live/RapDetail.aspx?STONELIST=925710145","DNA")</f>
        <v>DNA</v>
      </c>
      <c r="D3603" s="18" t="s">
        <v>3134</v>
      </c>
      <c r="E3603" s="18" t="s">
        <v>2186</v>
      </c>
      <c r="F3603" s="2" t="s">
        <v>7987</v>
      </c>
      <c r="G3603" s="2" t="s">
        <v>1573</v>
      </c>
      <c r="H3603" s="14">
        <v>4.28</v>
      </c>
      <c r="I3603" s="2" t="s">
        <v>1505</v>
      </c>
      <c r="J3603" s="2" t="s">
        <v>5144</v>
      </c>
      <c r="K3603" s="2" t="s">
        <v>1452</v>
      </c>
      <c r="L3603" s="2" t="s">
        <v>5221</v>
      </c>
      <c r="M3603" s="2" t="s">
        <v>5221</v>
      </c>
      <c r="N3603" s="2" t="s">
        <v>2317</v>
      </c>
      <c r="O3603" s="14">
        <v>23500</v>
      </c>
      <c r="P3603" s="14">
        <v>99.48</v>
      </c>
      <c r="Q3603" s="14">
        <v>122.2</v>
      </c>
      <c r="R3603" s="14">
        <v>523.02</v>
      </c>
      <c r="S3603" s="2" t="s">
        <v>6444</v>
      </c>
      <c r="T3603" s="2">
        <v>1.39</v>
      </c>
      <c r="U3603" s="2">
        <v>61.7</v>
      </c>
      <c r="V3603" s="2">
        <v>61</v>
      </c>
      <c r="W3603" s="2" t="s">
        <v>8016</v>
      </c>
      <c r="X3603" s="2" t="s">
        <v>471</v>
      </c>
      <c r="Y3603" s="2">
        <v>100580</v>
      </c>
      <c r="Z3603" s="19" t="str">
        <f>HYPERLINK("https://ssdweb.co/ssdweb/hd/Vision360.html?d=925710145&amp;zoomslide=1&amp;z=1925710145&amp;ISCONFIRM=0","VIDEO")</f>
        <v>VIDEO</v>
      </c>
      <c r="AA3603" s="19" t="str">
        <f>HYPERLINK("https://ssdweb.co/ssdweb/CERTH/629497553.pdf","CERTI")</f>
        <v>CERTI</v>
      </c>
    </row>
    <row r="3604" spans="1:27" ht="15" x14ac:dyDescent="0.25">
      <c r="A3604" s="2">
        <v>3599</v>
      </c>
      <c r="B3604" s="39">
        <v>924380486</v>
      </c>
      <c r="C3604" s="28" t="str">
        <f>HYPERLINK("https://pld.live/RapDetail.aspx?STONELIST=924380486","DNA")</f>
        <v>DNA</v>
      </c>
      <c r="D3604" s="18" t="s">
        <v>3134</v>
      </c>
      <c r="E3604" s="18" t="s">
        <v>2186</v>
      </c>
      <c r="F3604" s="2" t="s">
        <v>5597</v>
      </c>
      <c r="G3604" s="2" t="s">
        <v>1573</v>
      </c>
      <c r="H3604" s="14">
        <v>4.26</v>
      </c>
      <c r="I3604" s="2" t="s">
        <v>3722</v>
      </c>
      <c r="J3604" s="2" t="s">
        <v>13</v>
      </c>
      <c r="K3604" s="2" t="s">
        <v>1452</v>
      </c>
      <c r="L3604" s="2" t="s">
        <v>5221</v>
      </c>
      <c r="M3604" s="2" t="s">
        <v>5221</v>
      </c>
      <c r="N3604" s="2" t="s">
        <v>2317</v>
      </c>
      <c r="O3604" s="14">
        <v>20500</v>
      </c>
      <c r="P3604" s="14">
        <v>98.9</v>
      </c>
      <c r="Q3604" s="14">
        <v>225.5</v>
      </c>
      <c r="R3604" s="14">
        <v>960.63</v>
      </c>
      <c r="S3604" s="2" t="s">
        <v>1618</v>
      </c>
      <c r="T3604" s="2">
        <v>1.4</v>
      </c>
      <c r="U3604" s="2">
        <v>60.9</v>
      </c>
      <c r="V3604" s="2">
        <v>60</v>
      </c>
      <c r="W3604" s="2" t="s">
        <v>7862</v>
      </c>
      <c r="X3604" s="2" t="s">
        <v>471</v>
      </c>
      <c r="Y3604" s="2">
        <v>87330</v>
      </c>
      <c r="Z3604" s="19" t="str">
        <f>HYPERLINK("https://ssdweb.co/ssdweb/hd/Vision360.html?d=924380486&amp;zoomslide=1&amp;z=1924380486&amp;ISCONFIRM=0","VIDEO")</f>
        <v>VIDEO</v>
      </c>
      <c r="AA3604" s="19" t="str">
        <f>HYPERLINK("https://ssdweb.co/ssdweb/CERTH/2478259063.pdf","CERTI")</f>
        <v>CERTI</v>
      </c>
    </row>
    <row r="3605" spans="1:27" ht="15" x14ac:dyDescent="0.25">
      <c r="A3605" s="2">
        <v>3600</v>
      </c>
      <c r="B3605" s="39">
        <v>922530032</v>
      </c>
      <c r="C3605" s="28" t="str">
        <f>HYPERLINK("https://pld.live/RapDetail.aspx?STONELIST=922530032","DNA")</f>
        <v>DNA</v>
      </c>
      <c r="D3605" s="18" t="s">
        <v>3134</v>
      </c>
      <c r="E3605" s="18" t="s">
        <v>2186</v>
      </c>
      <c r="F3605" s="2" t="s">
        <v>5597</v>
      </c>
      <c r="G3605" s="2" t="s">
        <v>1573</v>
      </c>
      <c r="H3605" s="14">
        <v>4.1900000000000004</v>
      </c>
      <c r="I3605" s="2" t="s">
        <v>1505</v>
      </c>
      <c r="J3605" s="2" t="s">
        <v>3942</v>
      </c>
      <c r="K3605" s="2" t="s">
        <v>1452</v>
      </c>
      <c r="L3605" s="2" t="s">
        <v>5221</v>
      </c>
      <c r="M3605" s="2" t="s">
        <v>5221</v>
      </c>
      <c r="N3605" s="2" t="s">
        <v>2317</v>
      </c>
      <c r="O3605" s="14">
        <v>27000</v>
      </c>
      <c r="P3605" s="14">
        <v>99</v>
      </c>
      <c r="Q3605" s="14">
        <v>270</v>
      </c>
      <c r="R3605" s="14">
        <v>1131.3</v>
      </c>
      <c r="S3605" s="2" t="s">
        <v>3932</v>
      </c>
      <c r="T3605" s="2">
        <v>1.4</v>
      </c>
      <c r="U3605" s="2">
        <v>62.5</v>
      </c>
      <c r="V3605" s="2">
        <v>60</v>
      </c>
      <c r="W3605" s="2" t="s">
        <v>7862</v>
      </c>
      <c r="X3605" s="2" t="s">
        <v>471</v>
      </c>
      <c r="Y3605" s="2">
        <v>113130</v>
      </c>
      <c r="Z3605" s="19" t="str">
        <f>HYPERLINK("https://ssdweb.co/ssdweb/hd/Vision360.html?d=922530032&amp;zoomslide=1&amp;z=1922530032&amp;ISCONFIRM=0","VIDEO")</f>
        <v>VIDEO</v>
      </c>
      <c r="AA3605" s="19" t="str">
        <f>HYPERLINK("https://ssdweb.co/ssdweb/CERTH/1439085932.pdf","CERTI")</f>
        <v>CERTI</v>
      </c>
    </row>
    <row r="3606" spans="1:27" ht="15" x14ac:dyDescent="0.25">
      <c r="A3606" s="2">
        <v>3601</v>
      </c>
      <c r="B3606" s="39">
        <v>926010236</v>
      </c>
      <c r="C3606" s="28" t="str">
        <f>HYPERLINK("https://pld.live/RapDetail.aspx?STONELIST=926010236","DNA")</f>
        <v>DNA</v>
      </c>
      <c r="D3606" s="18" t="s">
        <v>3134</v>
      </c>
      <c r="E3606" s="18" t="s">
        <v>2186</v>
      </c>
      <c r="F3606" s="2" t="s">
        <v>7987</v>
      </c>
      <c r="G3606" s="2" t="s">
        <v>1573</v>
      </c>
      <c r="H3606" s="14">
        <v>4.09</v>
      </c>
      <c r="I3606" s="2" t="s">
        <v>6587</v>
      </c>
      <c r="J3606" s="2" t="s">
        <v>13</v>
      </c>
      <c r="K3606" s="2" t="s">
        <v>1452</v>
      </c>
      <c r="L3606" s="2" t="s">
        <v>5221</v>
      </c>
      <c r="M3606" s="2" t="s">
        <v>5221</v>
      </c>
      <c r="N3606" s="2" t="s">
        <v>2317</v>
      </c>
      <c r="O3606" s="14">
        <v>30000</v>
      </c>
      <c r="P3606" s="14">
        <v>99.54</v>
      </c>
      <c r="Q3606" s="14">
        <v>138</v>
      </c>
      <c r="R3606" s="14">
        <v>564.41999999999996</v>
      </c>
      <c r="S3606" s="2" t="s">
        <v>2263</v>
      </c>
      <c r="T3606" s="2">
        <v>1.38</v>
      </c>
      <c r="U3606" s="2">
        <v>62.5</v>
      </c>
      <c r="V3606" s="2">
        <v>60</v>
      </c>
      <c r="W3606" s="2" t="s">
        <v>8016</v>
      </c>
      <c r="X3606" s="2" t="s">
        <v>471</v>
      </c>
      <c r="Y3606" s="2">
        <v>122700</v>
      </c>
      <c r="Z3606" s="19" t="str">
        <f>HYPERLINK("https://ssdweb.co/ssdweb/hd/Vision360.html?d=926010236&amp;zoomslide=1&amp;z=1926010236&amp;ISCONFIRM=0","VIDEO")</f>
        <v>VIDEO</v>
      </c>
      <c r="AA3606" s="19" t="str">
        <f>HYPERLINK("https://ssdweb.co/ssdweb/CERTH/631430436.pdf","CERTI")</f>
        <v>CERTI</v>
      </c>
    </row>
    <row r="3607" spans="1:27" ht="15" x14ac:dyDescent="0.25">
      <c r="A3607" s="2">
        <v>3602</v>
      </c>
      <c r="B3607" s="39">
        <v>924380466</v>
      </c>
      <c r="C3607" s="28" t="str">
        <f>HYPERLINK("https://pld.live/RapDetail.aspx?STONELIST=924380466","DNA")</f>
        <v>DNA</v>
      </c>
      <c r="D3607" s="18" t="s">
        <v>3134</v>
      </c>
      <c r="E3607" s="18" t="s">
        <v>2186</v>
      </c>
      <c r="F3607" s="2" t="s">
        <v>7987</v>
      </c>
      <c r="G3607" s="2" t="s">
        <v>1573</v>
      </c>
      <c r="H3607" s="14">
        <v>4.08</v>
      </c>
      <c r="I3607" s="2" t="s">
        <v>3722</v>
      </c>
      <c r="J3607" s="2" t="s">
        <v>5144</v>
      </c>
      <c r="K3607" s="2" t="s">
        <v>1452</v>
      </c>
      <c r="L3607" s="2" t="s">
        <v>5221</v>
      </c>
      <c r="M3607" s="2" t="s">
        <v>5221</v>
      </c>
      <c r="N3607" s="2" t="s">
        <v>2317</v>
      </c>
      <c r="O3607" s="14">
        <v>19000</v>
      </c>
      <c r="P3607" s="14">
        <v>99.38</v>
      </c>
      <c r="Q3607" s="14">
        <v>117.8</v>
      </c>
      <c r="R3607" s="14">
        <v>480.62</v>
      </c>
      <c r="S3607" s="2" t="s">
        <v>3732</v>
      </c>
      <c r="T3607" s="2">
        <v>1.4</v>
      </c>
      <c r="U3607" s="2">
        <v>60.4</v>
      </c>
      <c r="V3607" s="2">
        <v>61</v>
      </c>
      <c r="W3607" s="2" t="s">
        <v>8016</v>
      </c>
      <c r="X3607" s="2" t="s">
        <v>471</v>
      </c>
      <c r="Y3607" s="2">
        <v>77520</v>
      </c>
      <c r="Z3607" s="19" t="str">
        <f>HYPERLINK("https://ssdweb.co/ssdweb/hd/Vision360.html?d=924380466&amp;zoomslide=1&amp;z=1924380466&amp;ISCONFIRM=0","VIDEO")</f>
        <v>VIDEO</v>
      </c>
      <c r="AA3607" s="19" t="str">
        <f>HYPERLINK("https://ssdweb.co/ssdweb/CERTH/592360690.pdf","CERTI")</f>
        <v>CERTI</v>
      </c>
    </row>
    <row r="3608" spans="1:27" ht="15" x14ac:dyDescent="0.25">
      <c r="A3608" s="2">
        <v>3603</v>
      </c>
      <c r="B3608" s="39">
        <v>925630346</v>
      </c>
      <c r="C3608" s="28" t="str">
        <f>HYPERLINK("https://pld.live/RapDetail.aspx?STONELIST=925630346","DNA")</f>
        <v>DNA</v>
      </c>
      <c r="D3608" s="18" t="s">
        <v>3134</v>
      </c>
      <c r="E3608" s="18" t="s">
        <v>2186</v>
      </c>
      <c r="F3608" s="2" t="s">
        <v>7987</v>
      </c>
      <c r="G3608" s="2" t="s">
        <v>1573</v>
      </c>
      <c r="H3608" s="14">
        <v>4.07</v>
      </c>
      <c r="I3608" s="2" t="s">
        <v>1505</v>
      </c>
      <c r="J3608" s="2" t="s">
        <v>13</v>
      </c>
      <c r="K3608" s="2" t="s">
        <v>1452</v>
      </c>
      <c r="L3608" s="2" t="s">
        <v>5221</v>
      </c>
      <c r="M3608" s="2" t="s">
        <v>5221</v>
      </c>
      <c r="N3608" s="2" t="s">
        <v>2317</v>
      </c>
      <c r="O3608" s="14">
        <v>25500</v>
      </c>
      <c r="P3608" s="14">
        <v>99.5</v>
      </c>
      <c r="Q3608" s="14">
        <v>127.5</v>
      </c>
      <c r="R3608" s="14">
        <v>518.92999999999995</v>
      </c>
      <c r="S3608" s="2" t="s">
        <v>3417</v>
      </c>
      <c r="T3608" s="2">
        <v>1.36</v>
      </c>
      <c r="U3608" s="2">
        <v>62.4</v>
      </c>
      <c r="V3608" s="2">
        <v>62</v>
      </c>
      <c r="W3608" s="2" t="s">
        <v>8016</v>
      </c>
      <c r="X3608" s="2" t="s">
        <v>471</v>
      </c>
      <c r="Y3608" s="2">
        <v>103785</v>
      </c>
      <c r="Z3608" s="19" t="str">
        <f>HYPERLINK("https://ssdweb.co/ssdweb/hd/Vision360.html?d=925630346&amp;zoomslide=1&amp;z=1925630346&amp;ISCONFIRM=0","VIDEO")</f>
        <v>VIDEO</v>
      </c>
      <c r="AA3608" s="19" t="str">
        <f>HYPERLINK("https://ssdweb.co/ssdweb/CERTH/623493340.pdf","CERTI")</f>
        <v>CERTI</v>
      </c>
    </row>
    <row r="3609" spans="1:27" ht="15" x14ac:dyDescent="0.25">
      <c r="A3609" s="2">
        <v>3604</v>
      </c>
      <c r="B3609" s="39">
        <v>925560003</v>
      </c>
      <c r="C3609" s="28" t="str">
        <f>HYPERLINK("https://pld.live/RapDetail.aspx?STONELIST=925560003","DNA")</f>
        <v>DNA</v>
      </c>
      <c r="D3609" s="18" t="s">
        <v>3134</v>
      </c>
      <c r="E3609" s="18" t="s">
        <v>2186</v>
      </c>
      <c r="F3609" s="2" t="s">
        <v>7987</v>
      </c>
      <c r="G3609" s="2" t="s">
        <v>1573</v>
      </c>
      <c r="H3609" s="14">
        <v>4.0599999999999996</v>
      </c>
      <c r="I3609" s="2" t="s">
        <v>1505</v>
      </c>
      <c r="J3609" s="2" t="s">
        <v>5144</v>
      </c>
      <c r="K3609" s="2" t="s">
        <v>1452</v>
      </c>
      <c r="L3609" s="2" t="s">
        <v>5221</v>
      </c>
      <c r="M3609" s="2" t="s">
        <v>5221</v>
      </c>
      <c r="N3609" s="2" t="s">
        <v>2317</v>
      </c>
      <c r="O3609" s="14">
        <v>23500</v>
      </c>
      <c r="P3609" s="14">
        <v>99.48</v>
      </c>
      <c r="Q3609" s="14">
        <v>122.2</v>
      </c>
      <c r="R3609" s="14">
        <v>496.13</v>
      </c>
      <c r="S3609" s="2" t="s">
        <v>4244</v>
      </c>
      <c r="T3609" s="2">
        <v>1.37</v>
      </c>
      <c r="U3609" s="2">
        <v>62</v>
      </c>
      <c r="V3609" s="2">
        <v>63</v>
      </c>
      <c r="W3609" s="2" t="s">
        <v>8016</v>
      </c>
      <c r="X3609" s="2" t="s">
        <v>471</v>
      </c>
      <c r="Y3609" s="2">
        <v>95410</v>
      </c>
      <c r="Z3609" s="19" t="str">
        <f>HYPERLINK("https://ssdweb.co/ssdweb/hd/Vision360.html?d=925560003&amp;zoomslide=1&amp;z=1925560003&amp;ISCONFIRM=0","VIDEO")</f>
        <v>VIDEO</v>
      </c>
      <c r="AA3609" s="19" t="str">
        <f>HYPERLINK("https://ssdweb.co/ssdweb/CERTH/620469828.pdf","CERTI")</f>
        <v>CERTI</v>
      </c>
    </row>
    <row r="3610" spans="1:27" ht="15" x14ac:dyDescent="0.25">
      <c r="A3610" s="2">
        <v>3605</v>
      </c>
      <c r="B3610" s="39">
        <v>831020689</v>
      </c>
      <c r="C3610" s="28" t="str">
        <f>HYPERLINK("https://pld.live/RapDetail.aspx?STONELIST=831020689","DNA")</f>
        <v>DNA</v>
      </c>
      <c r="D3610" s="18" t="s">
        <v>3134</v>
      </c>
      <c r="E3610" s="18" t="s">
        <v>2186</v>
      </c>
      <c r="F3610" s="2" t="s">
        <v>7987</v>
      </c>
      <c r="G3610" s="2" t="s">
        <v>1573</v>
      </c>
      <c r="H3610" s="14">
        <v>4.05</v>
      </c>
      <c r="I3610" s="2" t="s">
        <v>6587</v>
      </c>
      <c r="J3610" s="2" t="s">
        <v>13</v>
      </c>
      <c r="K3610" s="2" t="s">
        <v>1452</v>
      </c>
      <c r="L3610" s="2" t="s">
        <v>5221</v>
      </c>
      <c r="M3610" s="2" t="s">
        <v>5221</v>
      </c>
      <c r="N3610" s="2" t="s">
        <v>2317</v>
      </c>
      <c r="O3610" s="14">
        <v>30000</v>
      </c>
      <c r="P3610" s="14">
        <v>99.53</v>
      </c>
      <c r="Q3610" s="14">
        <v>141</v>
      </c>
      <c r="R3610" s="14">
        <v>571.04999999999995</v>
      </c>
      <c r="S3610" s="2" t="s">
        <v>3276</v>
      </c>
      <c r="T3610" s="2">
        <v>1.37</v>
      </c>
      <c r="U3610" s="2">
        <v>63.7</v>
      </c>
      <c r="V3610" s="2">
        <v>63.5</v>
      </c>
      <c r="W3610" s="2" t="s">
        <v>7862</v>
      </c>
      <c r="X3610" s="2" t="s">
        <v>471</v>
      </c>
      <c r="Y3610" s="2">
        <v>121500</v>
      </c>
      <c r="Z3610" s="19" t="str">
        <f>HYPERLINK("https://ssdweb.co/ssdweb/hd/Vision360.html?d=831020689&amp;zoomslide=1&amp;z=1831020689&amp;ISCONFIRM=0","VIDEO")</f>
        <v>VIDEO</v>
      </c>
      <c r="AA3610" s="19" t="str">
        <f>HYPERLINK("https://ssdweb.co/ssdweb/CERTH/537249863.pdf","CERTI")</f>
        <v>CERTI</v>
      </c>
    </row>
    <row r="3611" spans="1:27" ht="15" x14ac:dyDescent="0.25">
      <c r="A3611" s="2">
        <v>3606</v>
      </c>
      <c r="B3611" s="39">
        <v>925700308</v>
      </c>
      <c r="C3611" s="28" t="str">
        <f>HYPERLINK("https://pld.live/RapDetail.aspx?STONELIST=925700308","DNA")</f>
        <v>DNA</v>
      </c>
      <c r="D3611" s="18" t="s">
        <v>3134</v>
      </c>
      <c r="E3611" s="18" t="s">
        <v>2186</v>
      </c>
      <c r="F3611" s="2" t="s">
        <v>7987</v>
      </c>
      <c r="G3611" s="2" t="s">
        <v>1573</v>
      </c>
      <c r="H3611" s="14">
        <v>4.04</v>
      </c>
      <c r="I3611" s="2" t="s">
        <v>1505</v>
      </c>
      <c r="J3611" s="2" t="s">
        <v>3942</v>
      </c>
      <c r="K3611" s="2" t="s">
        <v>1452</v>
      </c>
      <c r="L3611" s="2" t="s">
        <v>5221</v>
      </c>
      <c r="M3611" s="2" t="s">
        <v>5221</v>
      </c>
      <c r="N3611" s="2" t="s">
        <v>2317</v>
      </c>
      <c r="O3611" s="14">
        <v>27000</v>
      </c>
      <c r="P3611" s="14">
        <v>99.48</v>
      </c>
      <c r="Q3611" s="14">
        <v>140.4</v>
      </c>
      <c r="R3611" s="14">
        <v>567.22</v>
      </c>
      <c r="S3611" s="2" t="s">
        <v>7184</v>
      </c>
      <c r="T3611" s="2">
        <v>1.37</v>
      </c>
      <c r="U3611" s="2">
        <v>62.7</v>
      </c>
      <c r="V3611" s="2">
        <v>61</v>
      </c>
      <c r="W3611" s="2" t="s">
        <v>7862</v>
      </c>
      <c r="X3611" s="2" t="s">
        <v>471</v>
      </c>
      <c r="Y3611" s="2">
        <v>109080</v>
      </c>
      <c r="Z3611" s="19" t="str">
        <f>HYPERLINK("https://ssdweb.co/ssdweb/hd/Vision360.html?d=925700308&amp;zoomslide=1&amp;z=1925700308&amp;ISCONFIRM=0","VIDEO")</f>
        <v>VIDEO</v>
      </c>
      <c r="AA3611" s="19" t="str">
        <f>HYPERLINK("https://ssdweb.co/ssdweb/CERTH/627415220.pdf","CERTI")</f>
        <v>CERTI</v>
      </c>
    </row>
    <row r="3612" spans="1:27" ht="15" x14ac:dyDescent="0.25">
      <c r="A3612" s="2">
        <v>3607</v>
      </c>
      <c r="B3612" s="39">
        <v>925930213</v>
      </c>
      <c r="C3612" s="28" t="str">
        <f>HYPERLINK("https://pld.live/RapDetail.aspx?STONELIST=925930213","DNA")</f>
        <v>DNA</v>
      </c>
      <c r="D3612" s="18" t="s">
        <v>3134</v>
      </c>
      <c r="E3612" s="18" t="s">
        <v>2186</v>
      </c>
      <c r="F3612" s="2" t="s">
        <v>5597</v>
      </c>
      <c r="G3612" s="2" t="s">
        <v>1573</v>
      </c>
      <c r="H3612" s="14">
        <v>4.03</v>
      </c>
      <c r="I3612" s="2" t="s">
        <v>267</v>
      </c>
      <c r="J3612" s="2" t="s">
        <v>3942</v>
      </c>
      <c r="K3612" s="2" t="s">
        <v>1452</v>
      </c>
      <c r="L3612" s="2" t="s">
        <v>5221</v>
      </c>
      <c r="M3612" s="2" t="s">
        <v>5221</v>
      </c>
      <c r="N3612" s="2" t="s">
        <v>2317</v>
      </c>
      <c r="O3612" s="14">
        <v>43500</v>
      </c>
      <c r="P3612" s="14">
        <v>98.45</v>
      </c>
      <c r="Q3612" s="14">
        <v>674.25</v>
      </c>
      <c r="R3612" s="14">
        <v>2717.23</v>
      </c>
      <c r="S3612" s="2" t="s">
        <v>5547</v>
      </c>
      <c r="T3612" s="2">
        <v>1.39</v>
      </c>
      <c r="U3612" s="2">
        <v>62.6</v>
      </c>
      <c r="V3612" s="2">
        <v>59</v>
      </c>
      <c r="W3612" s="2" t="s">
        <v>7862</v>
      </c>
      <c r="X3612" s="2" t="s">
        <v>471</v>
      </c>
      <c r="Y3612" s="2">
        <v>175305</v>
      </c>
      <c r="Z3612" s="19" t="str">
        <f>HYPERLINK("https://ssdweb.co/ssdweb/hd/Vision360.html?d=925930213&amp;zoomslide=1&amp;z=1925930213&amp;ISCONFIRM=0","VIDEO")</f>
        <v>VIDEO</v>
      </c>
      <c r="AA3612" s="19" t="str">
        <f>HYPERLINK("https://ssdweb.co/ssdweb/CERTH/6492087587.pdf","CERTI")</f>
        <v>CERTI</v>
      </c>
    </row>
    <row r="3613" spans="1:27" ht="15" x14ac:dyDescent="0.25">
      <c r="A3613" s="2">
        <v>3608</v>
      </c>
      <c r="B3613" s="39">
        <v>821133091</v>
      </c>
      <c r="C3613" s="28" t="str">
        <f>HYPERLINK("https://pld.live/RapDetail.aspx?STONELIST=821133091","DNA")</f>
        <v>DNA</v>
      </c>
      <c r="D3613" s="18" t="s">
        <v>3134</v>
      </c>
      <c r="E3613" s="18" t="s">
        <v>1253</v>
      </c>
      <c r="F3613" s="2" t="s">
        <v>7987</v>
      </c>
      <c r="G3613" s="2" t="s">
        <v>1573</v>
      </c>
      <c r="H3613" s="14">
        <v>4.0199999999999996</v>
      </c>
      <c r="I3613" s="2" t="s">
        <v>4699</v>
      </c>
      <c r="J3613" s="2" t="s">
        <v>13</v>
      </c>
      <c r="K3613" s="2" t="s">
        <v>1452</v>
      </c>
      <c r="L3613" s="2" t="s">
        <v>5221</v>
      </c>
      <c r="M3613" s="2" t="s">
        <v>5221</v>
      </c>
      <c r="N3613" s="2" t="s">
        <v>2317</v>
      </c>
      <c r="O3613" s="14">
        <v>34500</v>
      </c>
      <c r="P3613" s="14">
        <v>99.55</v>
      </c>
      <c r="Q3613" s="14">
        <v>155.25</v>
      </c>
      <c r="R3613" s="14">
        <v>624.11</v>
      </c>
      <c r="S3613" s="2" t="s">
        <v>465</v>
      </c>
      <c r="T3613" s="2">
        <v>1.43</v>
      </c>
      <c r="U3613" s="2">
        <v>61.8</v>
      </c>
      <c r="V3613" s="2">
        <v>58</v>
      </c>
      <c r="W3613" s="2" t="s">
        <v>7862</v>
      </c>
      <c r="X3613" s="2" t="s">
        <v>471</v>
      </c>
      <c r="Y3613" s="2">
        <v>138690</v>
      </c>
      <c r="Z3613" s="19" t="str">
        <f>HYPERLINK("https://ssdweb.co/ssdweb/hd/Vision360.html?d=821133091&amp;zoomslide=1&amp;z=1821133091&amp;ISCONFIRM=0","VIDEO")</f>
        <v>VIDEO</v>
      </c>
      <c r="AA3613" s="19" t="str">
        <f>HYPERLINK("https://ssdweb.co/ssdweb/CERTH/670484526.pdf","CERTI")</f>
        <v>CERTI</v>
      </c>
    </row>
    <row r="3614" spans="1:27" ht="15" x14ac:dyDescent="0.25">
      <c r="A3614" s="2">
        <v>3609</v>
      </c>
      <c r="B3614" s="39">
        <v>925630431</v>
      </c>
      <c r="C3614" s="28" t="str">
        <f>HYPERLINK("https://pld.live/RapDetail.aspx?STONELIST=925630431","DNA")</f>
        <v>DNA</v>
      </c>
      <c r="D3614" s="18" t="s">
        <v>3134</v>
      </c>
      <c r="E3614" s="18" t="s">
        <v>2186</v>
      </c>
      <c r="F3614" s="2" t="s">
        <v>7987</v>
      </c>
      <c r="G3614" s="2" t="s">
        <v>1573</v>
      </c>
      <c r="H3614" s="14">
        <v>4.0199999999999996</v>
      </c>
      <c r="I3614" s="2" t="s">
        <v>6587</v>
      </c>
      <c r="J3614" s="2" t="s">
        <v>5144</v>
      </c>
      <c r="K3614" s="2" t="s">
        <v>1452</v>
      </c>
      <c r="L3614" s="2" t="s">
        <v>5221</v>
      </c>
      <c r="M3614" s="2" t="s">
        <v>5221</v>
      </c>
      <c r="N3614" s="2" t="s">
        <v>2317</v>
      </c>
      <c r="O3614" s="14">
        <v>27500</v>
      </c>
      <c r="P3614" s="14">
        <v>99.51</v>
      </c>
      <c r="Q3614" s="14">
        <v>134.75</v>
      </c>
      <c r="R3614" s="14">
        <v>541.70000000000005</v>
      </c>
      <c r="S3614" s="2" t="s">
        <v>7901</v>
      </c>
      <c r="T3614" s="2">
        <v>1.38</v>
      </c>
      <c r="U3614" s="2">
        <v>62.4</v>
      </c>
      <c r="V3614" s="2">
        <v>61</v>
      </c>
      <c r="W3614" s="2" t="s">
        <v>7862</v>
      </c>
      <c r="X3614" s="2" t="s">
        <v>471</v>
      </c>
      <c r="Y3614" s="2">
        <v>110550</v>
      </c>
      <c r="Z3614" s="19" t="str">
        <f>HYPERLINK("https://ssdweb.co/ssdweb/hd/Vision360.html?d=925630431&amp;zoomslide=1&amp;z=1925630431&amp;ISCONFIRM=0","VIDEO")</f>
        <v>VIDEO</v>
      </c>
      <c r="AA3614" s="19" t="str">
        <f>HYPERLINK("https://ssdweb.co/ssdweb/CERTH/623446250.pdf","CERTI")</f>
        <v>CERTI</v>
      </c>
    </row>
    <row r="3615" spans="1:27" ht="15" x14ac:dyDescent="0.25">
      <c r="A3615" s="2">
        <v>3610</v>
      </c>
      <c r="B3615" s="39">
        <v>925630478</v>
      </c>
      <c r="C3615" s="28" t="str">
        <f>HYPERLINK("https://pld.live/RapDetail.aspx?STONELIST=925630478","DNA")</f>
        <v>DNA</v>
      </c>
      <c r="D3615" s="18" t="s">
        <v>3134</v>
      </c>
      <c r="E3615" s="18" t="s">
        <v>2186</v>
      </c>
      <c r="F3615" s="2" t="s">
        <v>7987</v>
      </c>
      <c r="G3615" s="2" t="s">
        <v>1573</v>
      </c>
      <c r="H3615" s="14">
        <v>4.0199999999999996</v>
      </c>
      <c r="I3615" s="2" t="s">
        <v>1505</v>
      </c>
      <c r="J3615" s="2" t="s">
        <v>13</v>
      </c>
      <c r="K3615" s="2" t="s">
        <v>1452</v>
      </c>
      <c r="L3615" s="2" t="s">
        <v>5221</v>
      </c>
      <c r="M3615" s="2" t="s">
        <v>5221</v>
      </c>
      <c r="N3615" s="2" t="s">
        <v>2317</v>
      </c>
      <c r="O3615" s="14">
        <v>25500</v>
      </c>
      <c r="P3615" s="14">
        <v>99.49</v>
      </c>
      <c r="Q3615" s="14">
        <v>130.05000000000001</v>
      </c>
      <c r="R3615" s="14">
        <v>522.79999999999995</v>
      </c>
      <c r="S3615" s="2" t="s">
        <v>5639</v>
      </c>
      <c r="T3615" s="2">
        <v>1.36</v>
      </c>
      <c r="U3615" s="2">
        <v>60.5</v>
      </c>
      <c r="V3615" s="2">
        <v>61</v>
      </c>
      <c r="W3615" s="2" t="s">
        <v>7862</v>
      </c>
      <c r="X3615" s="2" t="s">
        <v>471</v>
      </c>
      <c r="Y3615" s="2">
        <v>102510</v>
      </c>
      <c r="Z3615" s="19" t="str">
        <f>HYPERLINK("https://ssdweb.co/ssdweb/hd/Vision360.html?d=925630478&amp;zoomslide=1&amp;z=1925630478&amp;ISCONFIRM=0","VIDEO")</f>
        <v>VIDEO</v>
      </c>
      <c r="AA3615" s="19" t="str">
        <f>HYPERLINK("https://ssdweb.co/ssdweb/CERTH/625458059.pdf","CERTI")</f>
        <v>CERTI</v>
      </c>
    </row>
    <row r="3616" spans="1:27" ht="15" x14ac:dyDescent="0.25">
      <c r="A3616" s="2">
        <v>3611</v>
      </c>
      <c r="B3616" s="39">
        <v>925630446</v>
      </c>
      <c r="C3616" s="28" t="str">
        <f>HYPERLINK("https://pld.live/RapDetail.aspx?STONELIST=925630446","DNA")</f>
        <v>DNA</v>
      </c>
      <c r="D3616" s="18" t="s">
        <v>3134</v>
      </c>
      <c r="E3616" s="18" t="s">
        <v>2186</v>
      </c>
      <c r="F3616" s="2" t="s">
        <v>7987</v>
      </c>
      <c r="G3616" s="2" t="s">
        <v>1573</v>
      </c>
      <c r="H3616" s="14">
        <v>4.0199999999999996</v>
      </c>
      <c r="I3616" s="2" t="s">
        <v>6845</v>
      </c>
      <c r="J3616" s="2" t="s">
        <v>13</v>
      </c>
      <c r="K3616" s="2" t="s">
        <v>1452</v>
      </c>
      <c r="L3616" s="2" t="s">
        <v>5221</v>
      </c>
      <c r="M3616" s="2" t="s">
        <v>5221</v>
      </c>
      <c r="N3616" s="2" t="s">
        <v>2317</v>
      </c>
      <c r="O3616" s="14">
        <v>7100</v>
      </c>
      <c r="P3616" s="14">
        <v>96.06</v>
      </c>
      <c r="Q3616" s="14">
        <v>279.74</v>
      </c>
      <c r="R3616" s="14">
        <v>1124.55</v>
      </c>
      <c r="S3616" s="2" t="s">
        <v>5347</v>
      </c>
      <c r="T3616" s="2">
        <v>1.36</v>
      </c>
      <c r="U3616" s="2">
        <v>62.5</v>
      </c>
      <c r="V3616" s="2">
        <v>62</v>
      </c>
      <c r="W3616" s="2" t="s">
        <v>7862</v>
      </c>
      <c r="X3616" s="2" t="s">
        <v>471</v>
      </c>
      <c r="Y3616" s="2">
        <v>28542</v>
      </c>
      <c r="Z3616" s="19" t="str">
        <f>HYPERLINK("https://ssdweb.co/ssdweb/hd/Vision360.html?d=925630446&amp;zoomslide=1&amp;z=1925630446&amp;ISCONFIRM=0","VIDEO")</f>
        <v>VIDEO</v>
      </c>
      <c r="AA3616" s="19" t="str">
        <f>HYPERLINK("https://ssdweb.co/ssdweb/CERTH/631429925.pdf","CERTI")</f>
        <v>CERTI</v>
      </c>
    </row>
    <row r="3617" spans="1:27" ht="15" x14ac:dyDescent="0.25">
      <c r="A3617" s="2">
        <v>3612</v>
      </c>
      <c r="B3617" s="39">
        <v>924470010</v>
      </c>
      <c r="C3617" s="28" t="str">
        <f>HYPERLINK("https://pld.live/RapDetail.aspx?STONELIST=924470010","DNA")</f>
        <v>DNA</v>
      </c>
      <c r="D3617" s="18" t="s">
        <v>3134</v>
      </c>
      <c r="E3617" s="18" t="s">
        <v>2186</v>
      </c>
      <c r="F3617" s="2" t="s">
        <v>7987</v>
      </c>
      <c r="G3617" s="2" t="s">
        <v>1573</v>
      </c>
      <c r="H3617" s="14">
        <v>4.01</v>
      </c>
      <c r="I3617" s="2" t="s">
        <v>3722</v>
      </c>
      <c r="J3617" s="2" t="s">
        <v>13</v>
      </c>
      <c r="K3617" s="2" t="s">
        <v>1452</v>
      </c>
      <c r="L3617" s="2" t="s">
        <v>5221</v>
      </c>
      <c r="M3617" s="2" t="s">
        <v>5221</v>
      </c>
      <c r="N3617" s="2" t="s">
        <v>2317</v>
      </c>
      <c r="O3617" s="14">
        <v>20500</v>
      </c>
      <c r="P3617" s="14">
        <v>99.39</v>
      </c>
      <c r="Q3617" s="14">
        <v>125.05</v>
      </c>
      <c r="R3617" s="14">
        <v>501.45</v>
      </c>
      <c r="S3617" s="2" t="s">
        <v>6170</v>
      </c>
      <c r="T3617" s="2">
        <v>1.36</v>
      </c>
      <c r="U3617" s="2">
        <v>62.7</v>
      </c>
      <c r="V3617" s="2">
        <v>62</v>
      </c>
      <c r="W3617" s="2" t="s">
        <v>7862</v>
      </c>
      <c r="X3617" s="2" t="s">
        <v>471</v>
      </c>
      <c r="Y3617" s="2">
        <v>82205</v>
      </c>
      <c r="Z3617" s="19" t="str">
        <f>HYPERLINK("https://ssdweb.co/ssdweb/hd/Vision360.html?d=924470010&amp;zoomslide=1&amp;z=1924470010&amp;ISCONFIRM=0","VIDEO")</f>
        <v>VIDEO</v>
      </c>
      <c r="AA3617" s="19" t="str">
        <f>HYPERLINK("https://ssdweb.co/ssdweb/CERTH/592362560.pdf","CERTI")</f>
        <v>CERTI</v>
      </c>
    </row>
    <row r="3618" spans="1:27" ht="15" x14ac:dyDescent="0.25">
      <c r="A3618" s="2">
        <v>3613</v>
      </c>
      <c r="B3618" s="39">
        <v>925700321</v>
      </c>
      <c r="C3618" s="28" t="str">
        <f>HYPERLINK("https://pld.live/RapDetail.aspx?STONELIST=925700321","DNA")</f>
        <v>DNA</v>
      </c>
      <c r="D3618" s="18" t="s">
        <v>3134</v>
      </c>
      <c r="E3618" s="18" t="s">
        <v>2186</v>
      </c>
      <c r="F3618" s="2" t="s">
        <v>7987</v>
      </c>
      <c r="G3618" s="2" t="s">
        <v>1573</v>
      </c>
      <c r="H3618" s="14">
        <v>4</v>
      </c>
      <c r="I3618" s="2" t="s">
        <v>6874</v>
      </c>
      <c r="J3618" s="2" t="s">
        <v>13</v>
      </c>
      <c r="K3618" s="2" t="s">
        <v>1452</v>
      </c>
      <c r="L3618" s="2" t="s">
        <v>5221</v>
      </c>
      <c r="M3618" s="2" t="s">
        <v>5221</v>
      </c>
      <c r="N3618" s="2" t="s">
        <v>924</v>
      </c>
      <c r="O3618" s="14">
        <v>7100</v>
      </c>
      <c r="P3618" s="14">
        <v>94.65</v>
      </c>
      <c r="Q3618" s="14">
        <v>379.85</v>
      </c>
      <c r="R3618" s="14">
        <v>1519.4</v>
      </c>
      <c r="S3618" s="2" t="s">
        <v>4801</v>
      </c>
      <c r="T3618" s="2">
        <v>1.35</v>
      </c>
      <c r="U3618" s="2">
        <v>66.599999999999994</v>
      </c>
      <c r="V3618" s="2">
        <v>61</v>
      </c>
      <c r="W3618" s="2" t="s">
        <v>7862</v>
      </c>
      <c r="X3618" s="2" t="s">
        <v>471</v>
      </c>
      <c r="Y3618" s="2">
        <v>28400</v>
      </c>
      <c r="Z3618" s="19" t="str">
        <f>HYPERLINK("https://ssdweb.co/ssdweb/hd/Vision360.html?d=925700321&amp;zoomslide=1&amp;z=1925700321&amp;ISCONFIRM=0","VIDEO")</f>
        <v>VIDEO</v>
      </c>
      <c r="AA3618" s="19" t="str">
        <f>HYPERLINK("https://ssdweb.co/ssdweb/CERTH/631429940.pdf","CERTI")</f>
        <v>CERTI</v>
      </c>
    </row>
    <row r="3619" spans="1:27" ht="15" x14ac:dyDescent="0.25">
      <c r="A3619" s="2">
        <v>3614</v>
      </c>
      <c r="B3619" s="39">
        <v>925350039</v>
      </c>
      <c r="C3619" s="28" t="str">
        <f>HYPERLINK("https://pld.live/RapDetail.aspx?STONELIST=925350039","DNA")</f>
        <v>DNA</v>
      </c>
      <c r="D3619" s="18" t="s">
        <v>3134</v>
      </c>
      <c r="E3619" s="18" t="s">
        <v>2186</v>
      </c>
      <c r="F3619" s="2" t="s">
        <v>7987</v>
      </c>
      <c r="G3619" s="2" t="s">
        <v>1573</v>
      </c>
      <c r="H3619" s="14">
        <v>4</v>
      </c>
      <c r="I3619" s="2" t="s">
        <v>6874</v>
      </c>
      <c r="J3619" s="2" t="s">
        <v>5144</v>
      </c>
      <c r="K3619" s="2" t="s">
        <v>1452</v>
      </c>
      <c r="L3619" s="2" t="s">
        <v>5221</v>
      </c>
      <c r="M3619" s="2" t="s">
        <v>5221</v>
      </c>
      <c r="N3619" s="2" t="s">
        <v>924</v>
      </c>
      <c r="O3619" s="14">
        <v>6800</v>
      </c>
      <c r="P3619" s="14">
        <v>95.15</v>
      </c>
      <c r="Q3619" s="14">
        <v>329.8</v>
      </c>
      <c r="R3619" s="14">
        <v>1319.2</v>
      </c>
      <c r="S3619" s="2" t="s">
        <v>8100</v>
      </c>
      <c r="T3619" s="2">
        <v>1.46</v>
      </c>
      <c r="U3619" s="2">
        <v>62.4</v>
      </c>
      <c r="V3619" s="2">
        <v>61</v>
      </c>
      <c r="W3619" s="2" t="s">
        <v>7862</v>
      </c>
      <c r="X3619" s="2" t="s">
        <v>471</v>
      </c>
      <c r="Y3619" s="2">
        <v>27200</v>
      </c>
      <c r="Z3619" s="19" t="str">
        <f>HYPERLINK("https://ssdweb.co/ssdweb/hd/Vision360.html?d=925350039&amp;zoomslide=1&amp;z=1925350039&amp;ISCONFIRM=0","VIDEO")</f>
        <v>VIDEO</v>
      </c>
      <c r="AA3619" s="19" t="str">
        <f>HYPERLINK("https://ssdweb.co/ssdweb/CERTH/620403066.pdf","CERTI")</f>
        <v>CERTI</v>
      </c>
    </row>
    <row r="3620" spans="1:27" ht="15" x14ac:dyDescent="0.25">
      <c r="A3620" s="2">
        <v>3615</v>
      </c>
      <c r="B3620" s="39">
        <v>924380353</v>
      </c>
      <c r="C3620" s="28" t="str">
        <f>HYPERLINK("https://pld.live/RapDetail.aspx?STONELIST=924380353","DNA")</f>
        <v>DNA</v>
      </c>
      <c r="D3620" s="18" t="s">
        <v>7401</v>
      </c>
      <c r="E3620" s="18" t="s">
        <v>2186</v>
      </c>
      <c r="F3620" s="2" t="s">
        <v>7987</v>
      </c>
      <c r="G3620" s="2" t="s">
        <v>1573</v>
      </c>
      <c r="H3620" s="14">
        <v>3.83</v>
      </c>
      <c r="I3620" s="2" t="s">
        <v>3722</v>
      </c>
      <c r="J3620" s="2" t="s">
        <v>13</v>
      </c>
      <c r="K3620" s="2" t="s">
        <v>1452</v>
      </c>
      <c r="L3620" s="2" t="s">
        <v>5221</v>
      </c>
      <c r="M3620" s="2" t="s">
        <v>5221</v>
      </c>
      <c r="N3620" s="2" t="s">
        <v>2317</v>
      </c>
      <c r="O3620" s="14">
        <v>16500</v>
      </c>
      <c r="P3620" s="14">
        <v>99.3</v>
      </c>
      <c r="Q3620" s="14">
        <v>115.5</v>
      </c>
      <c r="R3620" s="14">
        <v>442.37</v>
      </c>
      <c r="S3620" s="2" t="s">
        <v>5492</v>
      </c>
      <c r="T3620" s="2">
        <v>1.38</v>
      </c>
      <c r="U3620" s="2">
        <v>62.3</v>
      </c>
      <c r="V3620" s="2">
        <v>61</v>
      </c>
      <c r="W3620" s="2" t="s">
        <v>8016</v>
      </c>
      <c r="X3620" s="2" t="s">
        <v>471</v>
      </c>
      <c r="Y3620" s="2">
        <v>63195</v>
      </c>
      <c r="Z3620" s="19" t="str">
        <f>HYPERLINK("https://ssdweb.co/ssdweb/hd/Vision360.html?d=924380353&amp;zoomslide=1&amp;z=1924380353&amp;ISCONFIRM=0","VIDEO")</f>
        <v>VIDEO</v>
      </c>
      <c r="AA3620" s="19" t="str">
        <f>HYPERLINK("https://ssdweb.co/ssdweb/CERTH/591307194.pdf","CERTI")</f>
        <v>CERTI</v>
      </c>
    </row>
    <row r="3621" spans="1:27" ht="15" x14ac:dyDescent="0.25">
      <c r="A3621" s="2">
        <v>3616</v>
      </c>
      <c r="B3621" s="39">
        <v>924380497</v>
      </c>
      <c r="C3621" s="28" t="str">
        <f>HYPERLINK("https://pld.live/RapDetail.aspx?STONELIST=924380497","DNA")</f>
        <v>DNA</v>
      </c>
      <c r="D3621" s="18" t="s">
        <v>7401</v>
      </c>
      <c r="E3621" s="18" t="s">
        <v>2186</v>
      </c>
      <c r="F3621" s="2" t="s">
        <v>5597</v>
      </c>
      <c r="G3621" s="2" t="s">
        <v>1573</v>
      </c>
      <c r="H3621" s="14">
        <v>3.79</v>
      </c>
      <c r="I3621" s="2" t="s">
        <v>6587</v>
      </c>
      <c r="J3621" s="2" t="s">
        <v>444</v>
      </c>
      <c r="K3621" s="2" t="s">
        <v>1452</v>
      </c>
      <c r="L3621" s="2" t="s">
        <v>5221</v>
      </c>
      <c r="M3621" s="2" t="s">
        <v>5221</v>
      </c>
      <c r="N3621" s="2" t="s">
        <v>2317</v>
      </c>
      <c r="O3621" s="14">
        <v>18000</v>
      </c>
      <c r="P3621" s="14">
        <v>98.81</v>
      </c>
      <c r="Q3621" s="14">
        <v>214.2</v>
      </c>
      <c r="R3621" s="14">
        <v>811.82</v>
      </c>
      <c r="S3621" s="2" t="s">
        <v>6947</v>
      </c>
      <c r="T3621" s="2">
        <v>1.38</v>
      </c>
      <c r="U3621" s="2">
        <v>62.5</v>
      </c>
      <c r="V3621" s="2">
        <v>61</v>
      </c>
      <c r="W3621" s="2" t="s">
        <v>7862</v>
      </c>
      <c r="X3621" s="2" t="s">
        <v>471</v>
      </c>
      <c r="Y3621" s="2">
        <v>68220</v>
      </c>
      <c r="Z3621" s="19" t="str">
        <f>HYPERLINK("https://ssdweb.co/ssdweb/hd/Vision360.html?d=924380497&amp;zoomslide=1&amp;z=1924380497&amp;ISCONFIRM=0","VIDEO")</f>
        <v>VIDEO</v>
      </c>
      <c r="AA3621" s="19" t="str">
        <f>HYPERLINK("https://ssdweb.co/ssdweb/CERTH/6475311708.pdf","CERTI")</f>
        <v>CERTI</v>
      </c>
    </row>
    <row r="3622" spans="1:27" ht="15" x14ac:dyDescent="0.25">
      <c r="A3622" s="2">
        <v>3617</v>
      </c>
      <c r="B3622" s="39">
        <v>925630445</v>
      </c>
      <c r="C3622" s="28" t="str">
        <f>HYPERLINK("https://pld.live/RapDetail.aspx?STONELIST=925630445","DNA")</f>
        <v>DNA</v>
      </c>
      <c r="D3622" s="18" t="s">
        <v>7401</v>
      </c>
      <c r="E3622" s="18" t="s">
        <v>2186</v>
      </c>
      <c r="F3622" s="2" t="s">
        <v>7987</v>
      </c>
      <c r="G3622" s="2" t="s">
        <v>1573</v>
      </c>
      <c r="H3622" s="14">
        <v>3.77</v>
      </c>
      <c r="I3622" s="2" t="s">
        <v>6587</v>
      </c>
      <c r="J3622" s="2" t="s">
        <v>13</v>
      </c>
      <c r="K3622" s="2" t="s">
        <v>1452</v>
      </c>
      <c r="L3622" s="2" t="s">
        <v>5221</v>
      </c>
      <c r="M3622" s="2" t="s">
        <v>5221</v>
      </c>
      <c r="N3622" s="2" t="s">
        <v>2317</v>
      </c>
      <c r="O3622" s="14">
        <v>22500</v>
      </c>
      <c r="P3622" s="14">
        <v>99.45</v>
      </c>
      <c r="Q3622" s="14">
        <v>123.75</v>
      </c>
      <c r="R3622" s="14">
        <v>466.54</v>
      </c>
      <c r="S3622" s="2" t="s">
        <v>5278</v>
      </c>
      <c r="T3622" s="2">
        <v>1.4</v>
      </c>
      <c r="U3622" s="2">
        <v>60.2</v>
      </c>
      <c r="V3622" s="2">
        <v>61</v>
      </c>
      <c r="W3622" s="2" t="s">
        <v>8016</v>
      </c>
      <c r="X3622" s="2" t="s">
        <v>471</v>
      </c>
      <c r="Y3622" s="2">
        <v>84825</v>
      </c>
      <c r="Z3622" s="19" t="str">
        <f>HYPERLINK("https://ssdweb.co/ssdweb/hd/Vision360.html?d=925630445&amp;zoomslide=1&amp;z=1925630445&amp;ISCONFIRM=0","VIDEO")</f>
        <v>VIDEO</v>
      </c>
      <c r="AA3622" s="19" t="str">
        <f>HYPERLINK("https://ssdweb.co/ssdweb/CERTH/623493341.pdf","CERTI")</f>
        <v>CERTI</v>
      </c>
    </row>
    <row r="3623" spans="1:27" ht="15" x14ac:dyDescent="0.25">
      <c r="A3623" s="2">
        <v>3618</v>
      </c>
      <c r="B3623" s="39">
        <v>925630453</v>
      </c>
      <c r="C3623" s="28" t="str">
        <f>HYPERLINK("https://pld.live/RapDetail.aspx?STONELIST=925630453","DNA")</f>
        <v>DNA</v>
      </c>
      <c r="D3623" s="18" t="s">
        <v>7401</v>
      </c>
      <c r="E3623" s="18" t="s">
        <v>2186</v>
      </c>
      <c r="F3623" s="2" t="s">
        <v>7987</v>
      </c>
      <c r="G3623" s="2" t="s">
        <v>1573</v>
      </c>
      <c r="H3623" s="14">
        <v>3.76</v>
      </c>
      <c r="I3623" s="2" t="s">
        <v>6587</v>
      </c>
      <c r="J3623" s="2" t="s">
        <v>5144</v>
      </c>
      <c r="K3623" s="2" t="s">
        <v>1452</v>
      </c>
      <c r="L3623" s="2" t="s">
        <v>5221</v>
      </c>
      <c r="M3623" s="2" t="s">
        <v>5221</v>
      </c>
      <c r="N3623" s="2" t="s">
        <v>2317</v>
      </c>
      <c r="O3623" s="14">
        <v>20500</v>
      </c>
      <c r="P3623" s="14">
        <v>99.42</v>
      </c>
      <c r="Q3623" s="14">
        <v>118.9</v>
      </c>
      <c r="R3623" s="14">
        <v>447.06</v>
      </c>
      <c r="S3623" s="2" t="s">
        <v>4271</v>
      </c>
      <c r="T3623" s="2">
        <v>1.44</v>
      </c>
      <c r="U3623" s="2">
        <v>60</v>
      </c>
      <c r="V3623" s="2">
        <v>62</v>
      </c>
      <c r="W3623" s="2" t="s">
        <v>8016</v>
      </c>
      <c r="X3623" s="2" t="s">
        <v>471</v>
      </c>
      <c r="Y3623" s="2">
        <v>77080</v>
      </c>
      <c r="Z3623" s="19" t="str">
        <f>HYPERLINK("https://ssdweb.co/ssdweb/hd/Vision360.html?d=925630453&amp;zoomslide=1&amp;z=1925630453&amp;ISCONFIRM=0","VIDEO")</f>
        <v>VIDEO</v>
      </c>
      <c r="AA3623" s="19" t="str">
        <f>HYPERLINK("https://ssdweb.co/ssdweb/CERTH/624499599.pdf","CERTI")</f>
        <v>CERTI</v>
      </c>
    </row>
    <row r="3624" spans="1:27" ht="15" x14ac:dyDescent="0.25">
      <c r="A3624" s="2">
        <v>3619</v>
      </c>
      <c r="B3624" s="39">
        <v>924930204</v>
      </c>
      <c r="C3624" s="28" t="str">
        <f>HYPERLINK("https://pld.live/RapDetail.aspx?STONELIST=924930204","DNA")</f>
        <v>DNA</v>
      </c>
      <c r="D3624" s="18" t="s">
        <v>7401</v>
      </c>
      <c r="E3624" s="18" t="s">
        <v>2186</v>
      </c>
      <c r="F3624" s="2" t="s">
        <v>7987</v>
      </c>
      <c r="G3624" s="2" t="s">
        <v>1573</v>
      </c>
      <c r="H3624" s="14">
        <v>3.71</v>
      </c>
      <c r="I3624" s="2" t="s">
        <v>1505</v>
      </c>
      <c r="J3624" s="2" t="s">
        <v>13</v>
      </c>
      <c r="K3624" s="2" t="s">
        <v>1452</v>
      </c>
      <c r="L3624" s="2" t="s">
        <v>5221</v>
      </c>
      <c r="M3624" s="2" t="s">
        <v>5221</v>
      </c>
      <c r="N3624" s="2" t="s">
        <v>2317</v>
      </c>
      <c r="O3624" s="14">
        <v>19500</v>
      </c>
      <c r="P3624" s="14">
        <v>99.38</v>
      </c>
      <c r="Q3624" s="14">
        <v>120.9</v>
      </c>
      <c r="R3624" s="14">
        <v>448.54</v>
      </c>
      <c r="S3624" s="2" t="s">
        <v>484</v>
      </c>
      <c r="T3624" s="2">
        <v>1.43</v>
      </c>
      <c r="U3624" s="2">
        <v>60.5</v>
      </c>
      <c r="V3624" s="2">
        <v>62</v>
      </c>
      <c r="W3624" s="2" t="s">
        <v>7862</v>
      </c>
      <c r="X3624" s="2" t="s">
        <v>471</v>
      </c>
      <c r="Y3624" s="2">
        <v>72345</v>
      </c>
      <c r="Z3624" s="19" t="str">
        <f>HYPERLINK("https://ssdweb.co/ssdweb/hd/Vision360.html?d=924930204&amp;zoomslide=1&amp;z=1924930204&amp;ISCONFIRM=0","VIDEO")</f>
        <v>VIDEO</v>
      </c>
      <c r="AA3624" s="19" t="str">
        <f>HYPERLINK("https://ssdweb.co/ssdweb/CERTH/604379500.pdf","CERTI")</f>
        <v>CERTI</v>
      </c>
    </row>
    <row r="3625" spans="1:27" ht="15" x14ac:dyDescent="0.25">
      <c r="A3625" s="2">
        <v>3620</v>
      </c>
      <c r="B3625" s="39">
        <v>925060388</v>
      </c>
      <c r="C3625" s="28" t="str">
        <f>HYPERLINK("https://pld.live/RapDetail.aspx?STONELIST=925060388","DNA")</f>
        <v>DNA</v>
      </c>
      <c r="D3625" s="18" t="s">
        <v>3628</v>
      </c>
      <c r="E3625" s="18" t="s">
        <v>2186</v>
      </c>
      <c r="F3625" s="2" t="s">
        <v>7987</v>
      </c>
      <c r="G3625" s="2" t="s">
        <v>1573</v>
      </c>
      <c r="H3625" s="14">
        <v>3.66</v>
      </c>
      <c r="I3625" s="2" t="s">
        <v>6587</v>
      </c>
      <c r="J3625" s="2" t="s">
        <v>13</v>
      </c>
      <c r="K3625" s="2" t="s">
        <v>1452</v>
      </c>
      <c r="L3625" s="2" t="s">
        <v>5221</v>
      </c>
      <c r="M3625" s="2" t="s">
        <v>5221</v>
      </c>
      <c r="N3625" s="2" t="s">
        <v>2317</v>
      </c>
      <c r="O3625" s="14">
        <v>22500</v>
      </c>
      <c r="P3625" s="14">
        <v>99.45</v>
      </c>
      <c r="Q3625" s="14">
        <v>123.75</v>
      </c>
      <c r="R3625" s="14">
        <v>452.93</v>
      </c>
      <c r="S3625" s="2" t="s">
        <v>2909</v>
      </c>
      <c r="T3625" s="2">
        <v>1.4</v>
      </c>
      <c r="U3625" s="2">
        <v>61.8</v>
      </c>
      <c r="V3625" s="2">
        <v>61</v>
      </c>
      <c r="W3625" s="2" t="s">
        <v>8016</v>
      </c>
      <c r="X3625" s="2" t="s">
        <v>471</v>
      </c>
      <c r="Y3625" s="2">
        <v>82350</v>
      </c>
      <c r="Z3625" s="19" t="str">
        <f>HYPERLINK("https://ssdweb.co/ssdweb/hd/Vision360.html?d=925060388&amp;zoomslide=1&amp;z=1925060388&amp;ISCONFIRM=0","VIDEO")</f>
        <v>VIDEO</v>
      </c>
      <c r="AA3625" s="19" t="str">
        <f>HYPERLINK("https://ssdweb.co/ssdweb/CERTH/611357269.pdf","CERTI")</f>
        <v>CERTI</v>
      </c>
    </row>
    <row r="3626" spans="1:27" ht="15" x14ac:dyDescent="0.25">
      <c r="A3626" s="2">
        <v>3621</v>
      </c>
      <c r="B3626" s="39">
        <v>924930242</v>
      </c>
      <c r="C3626" s="28" t="str">
        <f>HYPERLINK("https://pld.live/RapDetail.aspx?STONELIST=924930242","DNA")</f>
        <v>DNA</v>
      </c>
      <c r="D3626" s="18" t="s">
        <v>3628</v>
      </c>
      <c r="E3626" s="18" t="s">
        <v>2186</v>
      </c>
      <c r="F3626" s="2" t="s">
        <v>7987</v>
      </c>
      <c r="G3626" s="2" t="s">
        <v>1573</v>
      </c>
      <c r="H3626" s="14">
        <v>3.57</v>
      </c>
      <c r="I3626" s="2" t="s">
        <v>1505</v>
      </c>
      <c r="J3626" s="2" t="s">
        <v>5144</v>
      </c>
      <c r="K3626" s="2" t="s">
        <v>1452</v>
      </c>
      <c r="L3626" s="2" t="s">
        <v>5221</v>
      </c>
      <c r="M3626" s="2" t="s">
        <v>5221</v>
      </c>
      <c r="N3626" s="2" t="s">
        <v>2317</v>
      </c>
      <c r="O3626" s="14">
        <v>18000</v>
      </c>
      <c r="P3626" s="14">
        <v>99.36</v>
      </c>
      <c r="Q3626" s="14">
        <v>115.2</v>
      </c>
      <c r="R3626" s="14">
        <v>411.26</v>
      </c>
      <c r="S3626" s="2" t="s">
        <v>4578</v>
      </c>
      <c r="T3626" s="2">
        <v>1.44</v>
      </c>
      <c r="U3626" s="2">
        <v>60.7</v>
      </c>
      <c r="V3626" s="2">
        <v>61</v>
      </c>
      <c r="W3626" s="2" t="s">
        <v>7862</v>
      </c>
      <c r="X3626" s="2" t="s">
        <v>471</v>
      </c>
      <c r="Y3626" s="2">
        <v>64260</v>
      </c>
      <c r="Z3626" s="19" t="str">
        <f>HYPERLINK("https://ssdweb.co/ssdweb/hd/Vision360.html?d=924930242&amp;zoomslide=1&amp;z=1924930242&amp;ISCONFIRM=0","VIDEO")</f>
        <v>VIDEO</v>
      </c>
      <c r="AA3626" s="19" t="str">
        <f>HYPERLINK("https://ssdweb.co/ssdweb/CERTH/604303898.pdf","CERTI")</f>
        <v>CERTI</v>
      </c>
    </row>
    <row r="3627" spans="1:27" ht="15" x14ac:dyDescent="0.25">
      <c r="A3627" s="2">
        <v>3622</v>
      </c>
      <c r="B3627" s="39">
        <v>924950284</v>
      </c>
      <c r="C3627" s="28" t="str">
        <f>HYPERLINK("https://pld.live/RapDetail.aspx?STONELIST=924950284","DNA")</f>
        <v>DNA</v>
      </c>
      <c r="D3627" s="18" t="s">
        <v>3628</v>
      </c>
      <c r="E3627" s="18" t="s">
        <v>2186</v>
      </c>
      <c r="F3627" s="2" t="s">
        <v>7987</v>
      </c>
      <c r="G3627" s="2" t="s">
        <v>1573</v>
      </c>
      <c r="H3627" s="14">
        <v>3.53</v>
      </c>
      <c r="I3627" s="2" t="s">
        <v>1505</v>
      </c>
      <c r="J3627" s="2" t="s">
        <v>13</v>
      </c>
      <c r="K3627" s="2" t="s">
        <v>1452</v>
      </c>
      <c r="L3627" s="2" t="s">
        <v>5221</v>
      </c>
      <c r="M3627" s="2" t="s">
        <v>5221</v>
      </c>
      <c r="N3627" s="2" t="s">
        <v>2317</v>
      </c>
      <c r="O3627" s="14">
        <v>19500</v>
      </c>
      <c r="P3627" s="14">
        <v>99.38</v>
      </c>
      <c r="Q3627" s="14">
        <v>120.9</v>
      </c>
      <c r="R3627" s="14">
        <v>426.78</v>
      </c>
      <c r="S3627" s="2" t="s">
        <v>1744</v>
      </c>
      <c r="T3627" s="2">
        <v>1.38</v>
      </c>
      <c r="U3627" s="2">
        <v>61.1</v>
      </c>
      <c r="V3627" s="2">
        <v>62</v>
      </c>
      <c r="W3627" s="2" t="s">
        <v>7862</v>
      </c>
      <c r="X3627" s="2" t="s">
        <v>471</v>
      </c>
      <c r="Y3627" s="2">
        <v>68835</v>
      </c>
      <c r="Z3627" s="19" t="str">
        <f>HYPERLINK("https://ssdweb.co/ssdweb/hd/Vision360.html?d=924950284&amp;zoomslide=1&amp;z=1924950284&amp;ISCONFIRM=0","VIDEO")</f>
        <v>VIDEO</v>
      </c>
      <c r="AA3627" s="19" t="str">
        <f>HYPERLINK("https://ssdweb.co/ssdweb/CERTH/604303886.pdf","CERTI")</f>
        <v>CERTI</v>
      </c>
    </row>
    <row r="3628" spans="1:27" ht="15" x14ac:dyDescent="0.25">
      <c r="A3628" s="2">
        <v>3623</v>
      </c>
      <c r="B3628" s="39">
        <v>924930253</v>
      </c>
      <c r="C3628" s="28" t="str">
        <f>HYPERLINK("https://pld.live/RapDetail.aspx?STONELIST=924930253","DNA")</f>
        <v>DNA</v>
      </c>
      <c r="D3628" s="18" t="s">
        <v>3628</v>
      </c>
      <c r="E3628" s="18" t="s">
        <v>2186</v>
      </c>
      <c r="F3628" s="2" t="s">
        <v>7987</v>
      </c>
      <c r="G3628" s="2" t="s">
        <v>1573</v>
      </c>
      <c r="H3628" s="14">
        <v>3.5</v>
      </c>
      <c r="I3628" s="2" t="s">
        <v>3722</v>
      </c>
      <c r="J3628" s="2" t="s">
        <v>5144</v>
      </c>
      <c r="K3628" s="2" t="s">
        <v>1452</v>
      </c>
      <c r="L3628" s="2" t="s">
        <v>5221</v>
      </c>
      <c r="M3628" s="2" t="s">
        <v>5221</v>
      </c>
      <c r="N3628" s="2" t="s">
        <v>2317</v>
      </c>
      <c r="O3628" s="14">
        <v>15500</v>
      </c>
      <c r="P3628" s="14">
        <v>99.29</v>
      </c>
      <c r="Q3628" s="14">
        <v>110.05</v>
      </c>
      <c r="R3628" s="14">
        <v>385.18</v>
      </c>
      <c r="S3628" s="2" t="s">
        <v>1811</v>
      </c>
      <c r="T3628" s="2">
        <v>1.44</v>
      </c>
      <c r="U3628" s="2">
        <v>59.9</v>
      </c>
      <c r="V3628" s="2">
        <v>63</v>
      </c>
      <c r="W3628" s="2" t="s">
        <v>7862</v>
      </c>
      <c r="X3628" s="2" t="s">
        <v>471</v>
      </c>
      <c r="Y3628" s="2">
        <v>54250</v>
      </c>
      <c r="Z3628" s="19" t="str">
        <f>HYPERLINK("https://ssdweb.co/ssdweb/hd/Vision360.html?d=924930253&amp;zoomslide=1&amp;z=1924930253&amp;ISCONFIRM=0","VIDEO")</f>
        <v>VIDEO</v>
      </c>
      <c r="AA3628" s="19" t="str">
        <f>HYPERLINK("https://ssdweb.co/ssdweb/CERTH/605330735.pdf","CERTI")</f>
        <v>CERTI</v>
      </c>
    </row>
    <row r="3629" spans="1:27" ht="15" x14ac:dyDescent="0.25">
      <c r="A3629" s="2">
        <v>3624</v>
      </c>
      <c r="B3629" s="39">
        <v>925060293</v>
      </c>
      <c r="C3629" s="28" t="str">
        <f>HYPERLINK("https://pld.live/RapDetail.aspx?STONELIST=925060293","DNA")</f>
        <v>DNA</v>
      </c>
      <c r="D3629" s="18" t="s">
        <v>6469</v>
      </c>
      <c r="E3629" s="18" t="s">
        <v>2186</v>
      </c>
      <c r="F3629" s="2" t="s">
        <v>7987</v>
      </c>
      <c r="G3629" s="2" t="s">
        <v>1573</v>
      </c>
      <c r="H3629" s="14">
        <v>3.46</v>
      </c>
      <c r="I3629" s="2" t="s">
        <v>1505</v>
      </c>
      <c r="J3629" s="2" t="s">
        <v>13</v>
      </c>
      <c r="K3629" s="2" t="s">
        <v>1452</v>
      </c>
      <c r="L3629" s="2" t="s">
        <v>5221</v>
      </c>
      <c r="M3629" s="2" t="s">
        <v>5221</v>
      </c>
      <c r="N3629" s="2" t="s">
        <v>2317</v>
      </c>
      <c r="O3629" s="14">
        <v>19500</v>
      </c>
      <c r="P3629" s="14">
        <v>99.39</v>
      </c>
      <c r="Q3629" s="14">
        <v>118.95</v>
      </c>
      <c r="R3629" s="14">
        <v>411.57</v>
      </c>
      <c r="S3629" s="2" t="s">
        <v>355</v>
      </c>
      <c r="T3629" s="2">
        <v>1.44</v>
      </c>
      <c r="U3629" s="2">
        <v>60.2</v>
      </c>
      <c r="V3629" s="2">
        <v>61</v>
      </c>
      <c r="W3629" s="2" t="s">
        <v>8016</v>
      </c>
      <c r="X3629" s="2" t="s">
        <v>471</v>
      </c>
      <c r="Y3629" s="2">
        <v>67470</v>
      </c>
      <c r="Z3629" s="19" t="str">
        <f>HYPERLINK("https://ssdweb.co/ssdweb/hd/Vision360.html?d=925060293&amp;zoomslide=1&amp;z=1925060293&amp;ISCONFIRM=0","VIDEO")</f>
        <v>VIDEO</v>
      </c>
      <c r="AA3629" s="19" t="str">
        <f>HYPERLINK("https://ssdweb.co/ssdweb/CERTH/610315076.pdf","CERTI")</f>
        <v>CERTI</v>
      </c>
    </row>
    <row r="3630" spans="1:27" ht="15" x14ac:dyDescent="0.25">
      <c r="A3630" s="2">
        <v>3625</v>
      </c>
      <c r="B3630" s="39">
        <v>831020634</v>
      </c>
      <c r="C3630" s="28" t="str">
        <f>HYPERLINK("https://pld.live/RapDetail.aspx?STONELIST=831020634","DNA")</f>
        <v>DNA</v>
      </c>
      <c r="D3630" s="18" t="s">
        <v>6469</v>
      </c>
      <c r="E3630" s="18" t="s">
        <v>2186</v>
      </c>
      <c r="F3630" s="2" t="s">
        <v>7987</v>
      </c>
      <c r="G3630" s="2" t="s">
        <v>1573</v>
      </c>
      <c r="H3630" s="14">
        <v>3.4</v>
      </c>
      <c r="I3630" s="2" t="s">
        <v>4761</v>
      </c>
      <c r="J3630" s="2" t="s">
        <v>13</v>
      </c>
      <c r="K3630" s="2" t="s">
        <v>1452</v>
      </c>
      <c r="L3630" s="2" t="s">
        <v>5221</v>
      </c>
      <c r="M3630" s="2" t="s">
        <v>5221</v>
      </c>
      <c r="N3630" s="2" t="s">
        <v>2317</v>
      </c>
      <c r="O3630" s="14">
        <v>27500</v>
      </c>
      <c r="P3630" s="14">
        <v>99.44</v>
      </c>
      <c r="Q3630" s="14">
        <v>154</v>
      </c>
      <c r="R3630" s="14">
        <v>523.6</v>
      </c>
      <c r="S3630" s="2" t="s">
        <v>5004</v>
      </c>
      <c r="T3630" s="2">
        <v>1.41</v>
      </c>
      <c r="U3630" s="2">
        <v>62.4</v>
      </c>
      <c r="V3630" s="2">
        <v>61</v>
      </c>
      <c r="W3630" s="2" t="s">
        <v>7862</v>
      </c>
      <c r="X3630" s="2" t="s">
        <v>471</v>
      </c>
      <c r="Y3630" s="2">
        <v>93500</v>
      </c>
      <c r="Z3630" s="19" t="str">
        <f>HYPERLINK("https://ssdweb.co/ssdweb/hd/Vision360.html?d=831020634&amp;zoomslide=1&amp;z=1831020634&amp;ISCONFIRM=0","VIDEO")</f>
        <v>VIDEO</v>
      </c>
      <c r="AA3630" s="19" t="str">
        <f>HYPERLINK("https://ssdweb.co/ssdweb/CERTH/644466955.pdf","CERTI")</f>
        <v>CERTI</v>
      </c>
    </row>
    <row r="3631" spans="1:27" ht="15" x14ac:dyDescent="0.25">
      <c r="A3631" s="2">
        <v>3626</v>
      </c>
      <c r="B3631" s="39">
        <v>924510182</v>
      </c>
      <c r="C3631" s="28" t="str">
        <f>HYPERLINK("https://pld.live/RapDetail.aspx?STONELIST=924510182","DNA")</f>
        <v>DNA</v>
      </c>
      <c r="D3631" s="18" t="s">
        <v>6469</v>
      </c>
      <c r="E3631" s="18" t="s">
        <v>2186</v>
      </c>
      <c r="F3631" s="2" t="s">
        <v>7987</v>
      </c>
      <c r="G3631" s="2" t="s">
        <v>1573</v>
      </c>
      <c r="H3631" s="14">
        <v>3.4</v>
      </c>
      <c r="I3631" s="2" t="s">
        <v>1505</v>
      </c>
      <c r="J3631" s="2" t="s">
        <v>13</v>
      </c>
      <c r="K3631" s="2" t="s">
        <v>1452</v>
      </c>
      <c r="L3631" s="2" t="s">
        <v>5221</v>
      </c>
      <c r="M3631" s="2" t="s">
        <v>5221</v>
      </c>
      <c r="N3631" s="2" t="s">
        <v>2317</v>
      </c>
      <c r="O3631" s="14">
        <v>19500</v>
      </c>
      <c r="P3631" s="14">
        <v>99.39</v>
      </c>
      <c r="Q3631" s="14">
        <v>118.95</v>
      </c>
      <c r="R3631" s="14">
        <v>404.43</v>
      </c>
      <c r="S3631" s="2" t="s">
        <v>3854</v>
      </c>
      <c r="T3631" s="2">
        <v>1.44</v>
      </c>
      <c r="U3631" s="2">
        <v>60.3</v>
      </c>
      <c r="V3631" s="2">
        <v>61</v>
      </c>
      <c r="W3631" s="2" t="s">
        <v>8016</v>
      </c>
      <c r="X3631" s="2" t="s">
        <v>471</v>
      </c>
      <c r="Y3631" s="2">
        <v>66300</v>
      </c>
      <c r="Z3631" s="19" t="str">
        <f>HYPERLINK("https://ssdweb.co/ssdweb/hd/Vision360.html?d=924510182&amp;zoomslide=1&amp;z=1924510182&amp;ISCONFIRM=0","VIDEO")</f>
        <v>VIDEO</v>
      </c>
      <c r="AA3631" s="19" t="str">
        <f>HYPERLINK("https://ssdweb.co/ssdweb/CERTH/598312931.pdf","CERTI")</f>
        <v>CERTI</v>
      </c>
    </row>
    <row r="3632" spans="1:27" ht="15" x14ac:dyDescent="0.25">
      <c r="A3632" s="2">
        <v>3627</v>
      </c>
      <c r="B3632" s="39">
        <v>831020567</v>
      </c>
      <c r="C3632" s="28" t="str">
        <f>HYPERLINK("https://pld.live/RapDetail.aspx?STONELIST=831020567","DNA")</f>
        <v>DNA</v>
      </c>
      <c r="D3632" s="18" t="s">
        <v>6469</v>
      </c>
      <c r="E3632" s="18" t="s">
        <v>2186</v>
      </c>
      <c r="F3632" s="2" t="s">
        <v>7987</v>
      </c>
      <c r="G3632" s="2" t="s">
        <v>1573</v>
      </c>
      <c r="H3632" s="14">
        <v>3.39</v>
      </c>
      <c r="I3632" s="2" t="s">
        <v>6587</v>
      </c>
      <c r="J3632" s="2" t="s">
        <v>13</v>
      </c>
      <c r="K3632" s="2" t="s">
        <v>1452</v>
      </c>
      <c r="L3632" s="2" t="s">
        <v>5221</v>
      </c>
      <c r="M3632" s="2" t="s">
        <v>5221</v>
      </c>
      <c r="N3632" s="2" t="s">
        <v>2317</v>
      </c>
      <c r="O3632" s="14">
        <v>22500</v>
      </c>
      <c r="P3632" s="14">
        <v>99.44</v>
      </c>
      <c r="Q3632" s="14">
        <v>126</v>
      </c>
      <c r="R3632" s="14">
        <v>427.14</v>
      </c>
      <c r="S3632" s="2" t="s">
        <v>5501</v>
      </c>
      <c r="T3632" s="2">
        <v>1.39</v>
      </c>
      <c r="U3632" s="2">
        <v>62.3</v>
      </c>
      <c r="V3632" s="2">
        <v>62</v>
      </c>
      <c r="W3632" s="2" t="s">
        <v>7862</v>
      </c>
      <c r="X3632" s="2" t="s">
        <v>471</v>
      </c>
      <c r="Y3632" s="2">
        <v>76275</v>
      </c>
      <c r="Z3632" s="19" t="str">
        <f>HYPERLINK("https://ssdweb.co/ssdweb/hd/Vision360.html?d=831020567&amp;zoomslide=1&amp;z=1831020567&amp;ISCONFIRM=0","VIDEO")</f>
        <v>VIDEO</v>
      </c>
      <c r="AA3632" s="19" t="str">
        <f>HYPERLINK("https://ssdweb.co/ssdweb/CERTH/604303907.pdf","CERTI")</f>
        <v>CERTI</v>
      </c>
    </row>
    <row r="3633" spans="1:27" ht="15" x14ac:dyDescent="0.25">
      <c r="A3633" s="2">
        <v>3628</v>
      </c>
      <c r="B3633" s="39">
        <v>925060311</v>
      </c>
      <c r="C3633" s="28" t="str">
        <f>HYPERLINK("https://pld.live/RapDetail.aspx?STONELIST=925060311","DNA")</f>
        <v>DNA</v>
      </c>
      <c r="D3633" s="18" t="s">
        <v>6469</v>
      </c>
      <c r="E3633" s="18" t="s">
        <v>2186</v>
      </c>
      <c r="F3633" s="2" t="s">
        <v>7987</v>
      </c>
      <c r="G3633" s="2" t="s">
        <v>1573</v>
      </c>
      <c r="H3633" s="14">
        <v>3.34</v>
      </c>
      <c r="I3633" s="2" t="s">
        <v>6587</v>
      </c>
      <c r="J3633" s="2" t="s">
        <v>5144</v>
      </c>
      <c r="K3633" s="2" t="s">
        <v>1452</v>
      </c>
      <c r="L3633" s="2" t="s">
        <v>5221</v>
      </c>
      <c r="M3633" s="2" t="s">
        <v>5221</v>
      </c>
      <c r="N3633" s="2" t="s">
        <v>2317</v>
      </c>
      <c r="O3633" s="14">
        <v>20500</v>
      </c>
      <c r="P3633" s="14">
        <v>99.42</v>
      </c>
      <c r="Q3633" s="14">
        <v>118.9</v>
      </c>
      <c r="R3633" s="14">
        <v>397.13</v>
      </c>
      <c r="S3633" s="2" t="s">
        <v>1530</v>
      </c>
      <c r="T3633" s="2">
        <v>1.42</v>
      </c>
      <c r="U3633" s="2">
        <v>60.7</v>
      </c>
      <c r="V3633" s="2">
        <v>61</v>
      </c>
      <c r="W3633" s="2" t="s">
        <v>8016</v>
      </c>
      <c r="X3633" s="2" t="s">
        <v>471</v>
      </c>
      <c r="Y3633" s="2">
        <v>68470</v>
      </c>
      <c r="Z3633" s="19" t="str">
        <f>HYPERLINK("https://ssdweb.co/ssdweb/hd/Vision360.html?d=925060311&amp;zoomslide=1&amp;z=1925060311&amp;ISCONFIRM=0","VIDEO")</f>
        <v>VIDEO</v>
      </c>
      <c r="AA3633" s="19" t="str">
        <f>HYPERLINK("https://ssdweb.co/ssdweb/CERTH/607357874.pdf","CERTI")</f>
        <v>CERTI</v>
      </c>
    </row>
    <row r="3634" spans="1:27" ht="15" x14ac:dyDescent="0.25">
      <c r="A3634" s="2">
        <v>3629</v>
      </c>
      <c r="B3634" s="39">
        <v>831020642</v>
      </c>
      <c r="C3634" s="28" t="str">
        <f>HYPERLINK("https://pld.live/RapDetail.aspx?STONELIST=831020642","DNA")</f>
        <v>DNA</v>
      </c>
      <c r="D3634" s="18" t="s">
        <v>6469</v>
      </c>
      <c r="E3634" s="18" t="s">
        <v>2186</v>
      </c>
      <c r="F3634" s="2" t="s">
        <v>7987</v>
      </c>
      <c r="G3634" s="2" t="s">
        <v>1573</v>
      </c>
      <c r="H3634" s="14">
        <v>3.31</v>
      </c>
      <c r="I3634" s="2" t="s">
        <v>1505</v>
      </c>
      <c r="J3634" s="2" t="s">
        <v>5144</v>
      </c>
      <c r="K3634" s="2" t="s">
        <v>1452</v>
      </c>
      <c r="L3634" s="2" t="s">
        <v>5221</v>
      </c>
      <c r="M3634" s="2" t="s">
        <v>5221</v>
      </c>
      <c r="N3634" s="2" t="s">
        <v>2317</v>
      </c>
      <c r="O3634" s="14">
        <v>18000</v>
      </c>
      <c r="P3634" s="14">
        <v>99.36</v>
      </c>
      <c r="Q3634" s="14">
        <v>115.2</v>
      </c>
      <c r="R3634" s="14">
        <v>381.31</v>
      </c>
      <c r="S3634" s="2" t="s">
        <v>1490</v>
      </c>
      <c r="T3634" s="2">
        <v>1.38</v>
      </c>
      <c r="U3634" s="2">
        <v>62.5</v>
      </c>
      <c r="V3634" s="2">
        <v>61</v>
      </c>
      <c r="W3634" s="2" t="s">
        <v>7862</v>
      </c>
      <c r="X3634" s="2" t="s">
        <v>471</v>
      </c>
      <c r="Y3634" s="2">
        <v>59580</v>
      </c>
      <c r="Z3634" s="19" t="str">
        <f>HYPERLINK("https://ssdweb.co/ssdweb/hd/Vision360.html?d=831020642&amp;zoomslide=1&amp;z=1831020642&amp;ISCONFIRM=0","VIDEO")</f>
        <v>VIDEO</v>
      </c>
      <c r="AA3634" s="19" t="str">
        <f>HYPERLINK("https://ssdweb.co/ssdweb/CERTH/607345523.pdf","CERTI")</f>
        <v>CERTI</v>
      </c>
    </row>
    <row r="3635" spans="1:27" ht="15" x14ac:dyDescent="0.25">
      <c r="A3635" s="2">
        <v>3630</v>
      </c>
      <c r="B3635" s="39">
        <v>831020560</v>
      </c>
      <c r="C3635" s="28" t="str">
        <f>HYPERLINK("https://pld.live/RapDetail.aspx?STONELIST=831020560","DNA")</f>
        <v>DNA</v>
      </c>
      <c r="D3635" s="18" t="s">
        <v>4563</v>
      </c>
      <c r="E3635" s="18" t="s">
        <v>2186</v>
      </c>
      <c r="F3635" s="2" t="s">
        <v>5597</v>
      </c>
      <c r="G3635" s="2" t="s">
        <v>1573</v>
      </c>
      <c r="H3635" s="14">
        <v>3.28</v>
      </c>
      <c r="I3635" s="2" t="s">
        <v>6587</v>
      </c>
      <c r="J3635" s="2" t="s">
        <v>13</v>
      </c>
      <c r="K3635" s="2" t="s">
        <v>1452</v>
      </c>
      <c r="L3635" s="2" t="s">
        <v>5221</v>
      </c>
      <c r="M3635" s="2" t="s">
        <v>5221</v>
      </c>
      <c r="N3635" s="2" t="s">
        <v>2317</v>
      </c>
      <c r="O3635" s="14">
        <v>22500</v>
      </c>
      <c r="P3635" s="14">
        <v>99</v>
      </c>
      <c r="Q3635" s="14">
        <v>225</v>
      </c>
      <c r="R3635" s="14">
        <v>738</v>
      </c>
      <c r="S3635" s="2" t="s">
        <v>2649</v>
      </c>
      <c r="T3635" s="2">
        <v>1.43</v>
      </c>
      <c r="U3635" s="2">
        <v>62.3</v>
      </c>
      <c r="V3635" s="2">
        <v>61</v>
      </c>
      <c r="W3635" s="2" t="s">
        <v>7862</v>
      </c>
      <c r="X3635" s="2" t="s">
        <v>471</v>
      </c>
      <c r="Y3635" s="2">
        <v>73800</v>
      </c>
      <c r="Z3635" s="19" t="str">
        <f>HYPERLINK("https://ssdweb.co/ssdweb/hd/Vision360.html?d=831020560&amp;zoomslide=1&amp;z=1831020560&amp;ISCONFIRM=0","VIDEO")</f>
        <v>VIDEO</v>
      </c>
      <c r="AA3635" s="19" t="str">
        <f>HYPERLINK("https://ssdweb.co/ssdweb/CERTH/1453595700.pdf","CERTI")</f>
        <v>CERTI</v>
      </c>
    </row>
    <row r="3636" spans="1:27" ht="15" x14ac:dyDescent="0.25">
      <c r="A3636" s="2">
        <v>3631</v>
      </c>
      <c r="B3636" s="39">
        <v>925630398</v>
      </c>
      <c r="C3636" s="28" t="str">
        <f>HYPERLINK("https://pld.live/RapDetail.aspx?STONELIST=925630398","DNA")</f>
        <v>DNA</v>
      </c>
      <c r="D3636" s="18" t="s">
        <v>4563</v>
      </c>
      <c r="E3636" s="18" t="s">
        <v>2186</v>
      </c>
      <c r="F3636" s="2" t="s">
        <v>7987</v>
      </c>
      <c r="G3636" s="2" t="s">
        <v>1573</v>
      </c>
      <c r="H3636" s="14">
        <v>3.28</v>
      </c>
      <c r="I3636" s="2" t="s">
        <v>6587</v>
      </c>
      <c r="J3636" s="2" t="s">
        <v>13</v>
      </c>
      <c r="K3636" s="2" t="s">
        <v>1452</v>
      </c>
      <c r="L3636" s="2" t="s">
        <v>5221</v>
      </c>
      <c r="M3636" s="2" t="s">
        <v>5221</v>
      </c>
      <c r="N3636" s="2" t="s">
        <v>2317</v>
      </c>
      <c r="O3636" s="14">
        <v>22500</v>
      </c>
      <c r="P3636" s="14">
        <v>99.45</v>
      </c>
      <c r="Q3636" s="14">
        <v>123.75</v>
      </c>
      <c r="R3636" s="14">
        <v>405.9</v>
      </c>
      <c r="S3636" s="2" t="s">
        <v>5869</v>
      </c>
      <c r="T3636" s="2">
        <v>1.39</v>
      </c>
      <c r="U3636" s="2">
        <v>60.1</v>
      </c>
      <c r="V3636" s="2">
        <v>61</v>
      </c>
      <c r="W3636" s="2" t="s">
        <v>8016</v>
      </c>
      <c r="X3636" s="2" t="s">
        <v>471</v>
      </c>
      <c r="Y3636" s="2">
        <v>73800</v>
      </c>
      <c r="Z3636" s="19" t="str">
        <f>HYPERLINK("https://ssdweb.co/ssdweb/hd/Vision360.html?d=925630398&amp;zoomslide=1&amp;z=1925630398&amp;ISCONFIRM=0","VIDEO")</f>
        <v>VIDEO</v>
      </c>
      <c r="AA3636" s="19" t="str">
        <f>HYPERLINK("https://ssdweb.co/ssdweb/CERTH/623449430.pdf","CERTI")</f>
        <v>CERTI</v>
      </c>
    </row>
    <row r="3637" spans="1:27" ht="15" x14ac:dyDescent="0.25">
      <c r="A3637" s="2">
        <v>3632</v>
      </c>
      <c r="B3637" s="39">
        <v>926420402</v>
      </c>
      <c r="C3637" s="28" t="str">
        <f>HYPERLINK("https://pld.live/RapDetail.aspx?STONELIST=926420402","DNA")</f>
        <v>DNA</v>
      </c>
      <c r="D3637" s="18" t="s">
        <v>4563</v>
      </c>
      <c r="E3637" s="18" t="s">
        <v>2186</v>
      </c>
      <c r="F3637" s="2" t="s">
        <v>7987</v>
      </c>
      <c r="G3637" s="2" t="s">
        <v>1573</v>
      </c>
      <c r="H3637" s="14">
        <v>3.25</v>
      </c>
      <c r="I3637" s="2" t="s">
        <v>4699</v>
      </c>
      <c r="J3637" s="2" t="s">
        <v>5144</v>
      </c>
      <c r="K3637" s="2" t="s">
        <v>1452</v>
      </c>
      <c r="L3637" s="2" t="s">
        <v>5221</v>
      </c>
      <c r="M3637" s="2" t="s">
        <v>5221</v>
      </c>
      <c r="N3637" s="2" t="s">
        <v>2317</v>
      </c>
      <c r="O3637" s="14">
        <v>22500</v>
      </c>
      <c r="P3637" s="14">
        <v>99.39</v>
      </c>
      <c r="Q3637" s="14">
        <v>137.25</v>
      </c>
      <c r="R3637" s="14">
        <v>446.06</v>
      </c>
      <c r="S3637" s="2" t="s">
        <v>5817</v>
      </c>
      <c r="T3637" s="2">
        <v>1.42</v>
      </c>
      <c r="U3637" s="2">
        <v>61.6</v>
      </c>
      <c r="V3637" s="2">
        <v>59</v>
      </c>
      <c r="W3637" s="2" t="s">
        <v>7862</v>
      </c>
      <c r="X3637" s="2" t="s">
        <v>471</v>
      </c>
      <c r="Y3637" s="2">
        <v>73125</v>
      </c>
      <c r="Z3637" s="19" t="str">
        <f>HYPERLINK("https://ssdweb.co/ssdweb/hd/Vision360.html?d=926420402&amp;zoomslide=1&amp;z=1926420402&amp;ISCONFIRM=0","VIDEO")</f>
        <v>VIDEO</v>
      </c>
      <c r="AA3637" s="19" t="str">
        <f>HYPERLINK("https://ssdweb.co/ssdweb/CERTH/644431971.pdf","CERTI")</f>
        <v>CERTI</v>
      </c>
    </row>
    <row r="3638" spans="1:27" ht="15" x14ac:dyDescent="0.25">
      <c r="A3638" s="2">
        <v>3633</v>
      </c>
      <c r="B3638" s="39">
        <v>925670205</v>
      </c>
      <c r="C3638" s="28" t="str">
        <f>HYPERLINK("https://pld.live/RapDetail.aspx?STONELIST=925670205","DNA")</f>
        <v>DNA</v>
      </c>
      <c r="D3638" s="18" t="s">
        <v>4563</v>
      </c>
      <c r="E3638" s="18" t="s">
        <v>2186</v>
      </c>
      <c r="F3638" s="2" t="s">
        <v>7987</v>
      </c>
      <c r="G3638" s="2" t="s">
        <v>1573</v>
      </c>
      <c r="H3638" s="14">
        <v>3.25</v>
      </c>
      <c r="I3638" s="2" t="s">
        <v>6587</v>
      </c>
      <c r="J3638" s="2" t="s">
        <v>13</v>
      </c>
      <c r="K3638" s="2" t="s">
        <v>1452</v>
      </c>
      <c r="L3638" s="2" t="s">
        <v>5221</v>
      </c>
      <c r="M3638" s="2" t="s">
        <v>5221</v>
      </c>
      <c r="N3638" s="2" t="s">
        <v>2317</v>
      </c>
      <c r="O3638" s="14">
        <v>22500</v>
      </c>
      <c r="P3638" s="14">
        <v>99.45</v>
      </c>
      <c r="Q3638" s="14">
        <v>123.75</v>
      </c>
      <c r="R3638" s="14">
        <v>402.19</v>
      </c>
      <c r="S3638" s="2" t="s">
        <v>904</v>
      </c>
      <c r="T3638" s="2">
        <v>1.38</v>
      </c>
      <c r="U3638" s="2">
        <v>61.7</v>
      </c>
      <c r="V3638" s="2">
        <v>60</v>
      </c>
      <c r="W3638" s="2" t="s">
        <v>8016</v>
      </c>
      <c r="X3638" s="2" t="s">
        <v>471</v>
      </c>
      <c r="Y3638" s="2">
        <v>73125</v>
      </c>
      <c r="Z3638" s="19" t="str">
        <f>HYPERLINK("https://ssdweb.co/ssdweb/hd/Vision360.html?d=925670205&amp;zoomslide=1&amp;z=1925670205&amp;ISCONFIRM=0","VIDEO")</f>
        <v>VIDEO</v>
      </c>
      <c r="AA3638" s="19" t="str">
        <f>HYPERLINK("https://ssdweb.co/ssdweb/CERTH/625432358.pdf","CERTI")</f>
        <v>CERTI</v>
      </c>
    </row>
    <row r="3639" spans="1:27" ht="15" x14ac:dyDescent="0.25">
      <c r="A3639" s="2">
        <v>3634</v>
      </c>
      <c r="B3639" s="39">
        <v>925690175</v>
      </c>
      <c r="C3639" s="28" t="str">
        <f>HYPERLINK("https://pld.live/RapDetail.aspx?STONELIST=925690175","DNA")</f>
        <v>DNA</v>
      </c>
      <c r="D3639" s="18" t="s">
        <v>4563</v>
      </c>
      <c r="E3639" s="18" t="s">
        <v>2186</v>
      </c>
      <c r="F3639" s="2" t="s">
        <v>7987</v>
      </c>
      <c r="G3639" s="2" t="s">
        <v>1573</v>
      </c>
      <c r="H3639" s="14">
        <v>3.25</v>
      </c>
      <c r="I3639" s="2" t="s">
        <v>6587</v>
      </c>
      <c r="J3639" s="2" t="s">
        <v>13</v>
      </c>
      <c r="K3639" s="2" t="s">
        <v>1452</v>
      </c>
      <c r="L3639" s="2" t="s">
        <v>5221</v>
      </c>
      <c r="M3639" s="2" t="s">
        <v>5221</v>
      </c>
      <c r="N3639" s="2" t="s">
        <v>2317</v>
      </c>
      <c r="O3639" s="14">
        <v>22500</v>
      </c>
      <c r="P3639" s="14">
        <v>99.44</v>
      </c>
      <c r="Q3639" s="14">
        <v>126</v>
      </c>
      <c r="R3639" s="14">
        <v>409.5</v>
      </c>
      <c r="S3639" s="2" t="s">
        <v>7283</v>
      </c>
      <c r="T3639" s="2">
        <v>1.38</v>
      </c>
      <c r="U3639" s="2">
        <v>62.4</v>
      </c>
      <c r="V3639" s="2">
        <v>62</v>
      </c>
      <c r="W3639" s="2" t="s">
        <v>7862</v>
      </c>
      <c r="X3639" s="2" t="s">
        <v>471</v>
      </c>
      <c r="Y3639" s="2">
        <v>73125</v>
      </c>
      <c r="Z3639" s="19" t="str">
        <f>HYPERLINK("https://ssdweb.co/ssdweb/hd/Vision360.html?d=925690175&amp;zoomslide=1&amp;z=1925690175&amp;ISCONFIRM=0","VIDEO")</f>
        <v>VIDEO</v>
      </c>
      <c r="AA3639" s="19" t="str">
        <f>HYPERLINK("https://ssdweb.co/ssdweb/CERTH/625432374.pdf","CERTI")</f>
        <v>CERTI</v>
      </c>
    </row>
    <row r="3640" spans="1:27" ht="15" x14ac:dyDescent="0.25">
      <c r="A3640" s="2">
        <v>3635</v>
      </c>
      <c r="B3640" s="39">
        <v>925700285</v>
      </c>
      <c r="C3640" s="28" t="str">
        <f>HYPERLINK("https://pld.live/RapDetail.aspx?STONELIST=925700285","DNA")</f>
        <v>DNA</v>
      </c>
      <c r="D3640" s="18" t="s">
        <v>4563</v>
      </c>
      <c r="E3640" s="18" t="s">
        <v>2186</v>
      </c>
      <c r="F3640" s="2" t="s">
        <v>7987</v>
      </c>
      <c r="G3640" s="2" t="s">
        <v>1573</v>
      </c>
      <c r="H3640" s="14">
        <v>3.25</v>
      </c>
      <c r="I3640" s="2" t="s">
        <v>6587</v>
      </c>
      <c r="J3640" s="2" t="s">
        <v>5144</v>
      </c>
      <c r="K3640" s="2" t="s">
        <v>1452</v>
      </c>
      <c r="L3640" s="2" t="s">
        <v>5221</v>
      </c>
      <c r="M3640" s="2" t="s">
        <v>5221</v>
      </c>
      <c r="N3640" s="2" t="s">
        <v>2317</v>
      </c>
      <c r="O3640" s="14">
        <v>20500</v>
      </c>
      <c r="P3640" s="14">
        <v>99.41</v>
      </c>
      <c r="Q3640" s="14">
        <v>120.95</v>
      </c>
      <c r="R3640" s="14">
        <v>393.09</v>
      </c>
      <c r="S3640" s="2" t="s">
        <v>7389</v>
      </c>
      <c r="T3640" s="2">
        <v>1.4</v>
      </c>
      <c r="U3640" s="2">
        <v>61.7</v>
      </c>
      <c r="V3640" s="2">
        <v>59</v>
      </c>
      <c r="W3640" s="2" t="s">
        <v>7862</v>
      </c>
      <c r="X3640" s="2" t="s">
        <v>471</v>
      </c>
      <c r="Y3640" s="2">
        <v>66625</v>
      </c>
      <c r="Z3640" s="19" t="str">
        <f>HYPERLINK("https://ssdweb.co/ssdweb/hd/Vision360.html?d=925700285&amp;zoomslide=1&amp;z=1925700285&amp;ISCONFIRM=0","VIDEO")</f>
        <v>VIDEO</v>
      </c>
      <c r="AA3640" s="19" t="str">
        <f>HYPERLINK("https://ssdweb.co/ssdweb/CERTH/627474797.pdf","CERTI")</f>
        <v>CERTI</v>
      </c>
    </row>
    <row r="3641" spans="1:27" ht="15" x14ac:dyDescent="0.25">
      <c r="A3641" s="2">
        <v>3636</v>
      </c>
      <c r="B3641" s="39">
        <v>924930131</v>
      </c>
      <c r="C3641" s="28" t="str">
        <f>HYPERLINK("https://pld.live/RapDetail.aspx?STONELIST=924930131","DNA")</f>
        <v>DNA</v>
      </c>
      <c r="D3641" s="18" t="s">
        <v>4563</v>
      </c>
      <c r="E3641" s="18" t="s">
        <v>2186</v>
      </c>
      <c r="F3641" s="2" t="s">
        <v>7987</v>
      </c>
      <c r="G3641" s="2" t="s">
        <v>1573</v>
      </c>
      <c r="H3641" s="14">
        <v>3.25</v>
      </c>
      <c r="I3641" s="2" t="s">
        <v>1505</v>
      </c>
      <c r="J3641" s="2" t="s">
        <v>13</v>
      </c>
      <c r="K3641" s="2" t="s">
        <v>1452</v>
      </c>
      <c r="L3641" s="2" t="s">
        <v>5221</v>
      </c>
      <c r="M3641" s="2" t="s">
        <v>5221</v>
      </c>
      <c r="N3641" s="2" t="s">
        <v>2317</v>
      </c>
      <c r="O3641" s="14">
        <v>19500</v>
      </c>
      <c r="P3641" s="14">
        <v>99.38</v>
      </c>
      <c r="Q3641" s="14">
        <v>120.9</v>
      </c>
      <c r="R3641" s="14">
        <v>392.93</v>
      </c>
      <c r="S3641" s="2" t="s">
        <v>7168</v>
      </c>
      <c r="T3641" s="2">
        <v>1.39</v>
      </c>
      <c r="U3641" s="2">
        <v>61.9</v>
      </c>
      <c r="V3641" s="2">
        <v>60</v>
      </c>
      <c r="W3641" s="2" t="s">
        <v>7862</v>
      </c>
      <c r="X3641" s="2" t="s">
        <v>471</v>
      </c>
      <c r="Y3641" s="2">
        <v>63375</v>
      </c>
      <c r="Z3641" s="19" t="str">
        <f>HYPERLINK("https://ssdweb.co/ssdweb/hd/Vision360.html?d=924930131&amp;zoomslide=1&amp;z=1924930131&amp;ISCONFIRM=0","VIDEO")</f>
        <v>VIDEO</v>
      </c>
      <c r="AA3641" s="19" t="str">
        <f>HYPERLINK("https://ssdweb.co/ssdweb/CERTH/602361385.pdf","CERTI")</f>
        <v>CERTI</v>
      </c>
    </row>
    <row r="3642" spans="1:27" ht="15" x14ac:dyDescent="0.25">
      <c r="A3642" s="2">
        <v>3637</v>
      </c>
      <c r="B3642" s="39">
        <v>925710120</v>
      </c>
      <c r="C3642" s="28" t="str">
        <f>HYPERLINK("https://pld.live/RapDetail.aspx?STONELIST=925710120","DNA")</f>
        <v>DNA</v>
      </c>
      <c r="D3642" s="18" t="s">
        <v>4563</v>
      </c>
      <c r="E3642" s="18" t="s">
        <v>2186</v>
      </c>
      <c r="F3642" s="2" t="s">
        <v>7987</v>
      </c>
      <c r="G3642" s="2" t="s">
        <v>1573</v>
      </c>
      <c r="H3642" s="14">
        <v>3.25</v>
      </c>
      <c r="I3642" s="2" t="s">
        <v>6874</v>
      </c>
      <c r="J3642" s="2" t="s">
        <v>13</v>
      </c>
      <c r="K3642" s="2" t="s">
        <v>1452</v>
      </c>
      <c r="L3642" s="2" t="s">
        <v>5221</v>
      </c>
      <c r="M3642" s="2" t="s">
        <v>5221</v>
      </c>
      <c r="N3642" s="2" t="s">
        <v>924</v>
      </c>
      <c r="O3642" s="14">
        <v>5700</v>
      </c>
      <c r="P3642" s="14">
        <v>93.33</v>
      </c>
      <c r="Q3642" s="14">
        <v>380.19</v>
      </c>
      <c r="R3642" s="14">
        <v>1235.6199999999999</v>
      </c>
      <c r="S3642" s="2" t="s">
        <v>3925</v>
      </c>
      <c r="T3642" s="2">
        <v>1.43</v>
      </c>
      <c r="U3642" s="2">
        <v>61.1</v>
      </c>
      <c r="V3642" s="2">
        <v>64</v>
      </c>
      <c r="W3642" s="2" t="s">
        <v>7862</v>
      </c>
      <c r="X3642" s="2" t="s">
        <v>471</v>
      </c>
      <c r="Y3642" s="2">
        <v>18525</v>
      </c>
      <c r="Z3642" s="19" t="str">
        <f>HYPERLINK("https://ssdweb.co/ssdweb/hd/Vision360.html?d=925710120&amp;zoomslide=1&amp;z=1925710120&amp;ISCONFIRM=0","VIDEO")</f>
        <v>VIDEO</v>
      </c>
      <c r="AA3642" s="19" t="str">
        <f>HYPERLINK("https://ssdweb.co/ssdweb/CERTH/631429941.pdf","CERTI")</f>
        <v>CERTI</v>
      </c>
    </row>
    <row r="3643" spans="1:27" ht="15" x14ac:dyDescent="0.25">
      <c r="A3643" s="2">
        <v>3638</v>
      </c>
      <c r="B3643" s="39">
        <v>926420421</v>
      </c>
      <c r="C3643" s="28" t="str">
        <f>HYPERLINK("https://pld.live/RapDetail.aspx?STONELIST=926420421","DNA")</f>
        <v>DNA</v>
      </c>
      <c r="D3643" s="18" t="s">
        <v>4563</v>
      </c>
      <c r="E3643" s="18" t="s">
        <v>2186</v>
      </c>
      <c r="F3643" s="2" t="s">
        <v>7987</v>
      </c>
      <c r="G3643" s="2" t="s">
        <v>1573</v>
      </c>
      <c r="H3643" s="14">
        <v>3.24</v>
      </c>
      <c r="I3643" s="2" t="s">
        <v>4761</v>
      </c>
      <c r="J3643" s="2" t="s">
        <v>13</v>
      </c>
      <c r="K3643" s="2" t="s">
        <v>1452</v>
      </c>
      <c r="L3643" s="2" t="s">
        <v>5221</v>
      </c>
      <c r="M3643" s="2" t="s">
        <v>5221</v>
      </c>
      <c r="N3643" s="2" t="s">
        <v>2317</v>
      </c>
      <c r="O3643" s="14">
        <v>27500</v>
      </c>
      <c r="P3643" s="14">
        <v>99.44</v>
      </c>
      <c r="Q3643" s="14">
        <v>154</v>
      </c>
      <c r="R3643" s="14">
        <v>498.96</v>
      </c>
      <c r="S3643" s="2" t="s">
        <v>2713</v>
      </c>
      <c r="T3643" s="2">
        <v>1.37</v>
      </c>
      <c r="U3643" s="2">
        <v>60.2</v>
      </c>
      <c r="V3643" s="2">
        <v>60</v>
      </c>
      <c r="W3643" s="2" t="s">
        <v>7862</v>
      </c>
      <c r="X3643" s="2" t="s">
        <v>471</v>
      </c>
      <c r="Y3643" s="2">
        <v>89100</v>
      </c>
      <c r="Z3643" s="19" t="str">
        <f>HYPERLINK("https://ssdweb.co/ssdweb/hd/Vision360.html?d=926420421&amp;zoomslide=1&amp;z=1926420421&amp;ISCONFIRM=0","VIDEO")</f>
        <v>VIDEO</v>
      </c>
      <c r="AA3643" s="19" t="str">
        <f>HYPERLINK("https://ssdweb.co/ssdweb/CERTH/645490557.pdf","CERTI")</f>
        <v>CERTI</v>
      </c>
    </row>
    <row r="3644" spans="1:27" ht="15" x14ac:dyDescent="0.25">
      <c r="A3644" s="2">
        <v>3639</v>
      </c>
      <c r="B3644" s="39">
        <v>926010233</v>
      </c>
      <c r="C3644" s="28" t="str">
        <f>HYPERLINK("https://pld.live/RapDetail.aspx?STONELIST=926010233","DNA")</f>
        <v>DNA</v>
      </c>
      <c r="D3644" s="18" t="s">
        <v>4563</v>
      </c>
      <c r="E3644" s="18" t="s">
        <v>2186</v>
      </c>
      <c r="F3644" s="2" t="s">
        <v>7987</v>
      </c>
      <c r="G3644" s="2" t="s">
        <v>1573</v>
      </c>
      <c r="H3644" s="14">
        <v>3.22</v>
      </c>
      <c r="I3644" s="2" t="s">
        <v>6587</v>
      </c>
      <c r="J3644" s="2" t="s">
        <v>13</v>
      </c>
      <c r="K3644" s="2" t="s">
        <v>1452</v>
      </c>
      <c r="L3644" s="2" t="s">
        <v>5221</v>
      </c>
      <c r="M3644" s="2" t="s">
        <v>5221</v>
      </c>
      <c r="N3644" s="2" t="s">
        <v>2317</v>
      </c>
      <c r="O3644" s="14">
        <v>22500</v>
      </c>
      <c r="P3644" s="14">
        <v>99.44</v>
      </c>
      <c r="Q3644" s="14">
        <v>126</v>
      </c>
      <c r="R3644" s="14">
        <v>405.72</v>
      </c>
      <c r="S3644" s="2" t="s">
        <v>7491</v>
      </c>
      <c r="T3644" s="2">
        <v>1.43</v>
      </c>
      <c r="U3644" s="2">
        <v>60.8</v>
      </c>
      <c r="V3644" s="2">
        <v>61</v>
      </c>
      <c r="W3644" s="2" t="s">
        <v>7862</v>
      </c>
      <c r="X3644" s="2" t="s">
        <v>471</v>
      </c>
      <c r="Y3644" s="2">
        <v>72450</v>
      </c>
      <c r="Z3644" s="19" t="str">
        <f>HYPERLINK("https://ssdweb.co/ssdweb/hd/Vision360.html?d=926010233&amp;zoomslide=1&amp;z=1926010233&amp;ISCONFIRM=0","VIDEO")</f>
        <v>VIDEO</v>
      </c>
      <c r="AA3644" s="19" t="str">
        <f>HYPERLINK("https://ssdweb.co/ssdweb/CERTH/631430435.pdf","CERTI")</f>
        <v>CERTI</v>
      </c>
    </row>
    <row r="3645" spans="1:27" ht="15" x14ac:dyDescent="0.25">
      <c r="A3645" s="2">
        <v>3640</v>
      </c>
      <c r="B3645" s="39">
        <v>924930193</v>
      </c>
      <c r="C3645" s="28" t="str">
        <f>HYPERLINK("https://pld.live/RapDetail.aspx?STONELIST=924930193","DNA")</f>
        <v>DNA</v>
      </c>
      <c r="D3645" s="18" t="s">
        <v>4563</v>
      </c>
      <c r="E3645" s="18" t="s">
        <v>2186</v>
      </c>
      <c r="F3645" s="2" t="s">
        <v>7987</v>
      </c>
      <c r="G3645" s="2" t="s">
        <v>1573</v>
      </c>
      <c r="H3645" s="14">
        <v>3.21</v>
      </c>
      <c r="I3645" s="2" t="s">
        <v>6587</v>
      </c>
      <c r="J3645" s="2" t="s">
        <v>5144</v>
      </c>
      <c r="K3645" s="2" t="s">
        <v>1452</v>
      </c>
      <c r="L3645" s="2" t="s">
        <v>5221</v>
      </c>
      <c r="M3645" s="2" t="s">
        <v>5221</v>
      </c>
      <c r="N3645" s="2" t="s">
        <v>2317</v>
      </c>
      <c r="O3645" s="14">
        <v>20500</v>
      </c>
      <c r="P3645" s="14">
        <v>99.41</v>
      </c>
      <c r="Q3645" s="14">
        <v>120.95</v>
      </c>
      <c r="R3645" s="14">
        <v>388.25</v>
      </c>
      <c r="S3645" s="2" t="s">
        <v>2293</v>
      </c>
      <c r="T3645" s="2">
        <v>1.38</v>
      </c>
      <c r="U3645" s="2">
        <v>62.3</v>
      </c>
      <c r="V3645" s="2">
        <v>60</v>
      </c>
      <c r="W3645" s="2" t="s">
        <v>7862</v>
      </c>
      <c r="X3645" s="2" t="s">
        <v>471</v>
      </c>
      <c r="Y3645" s="2">
        <v>65805</v>
      </c>
      <c r="Z3645" s="19" t="str">
        <f>HYPERLINK("https://ssdweb.co/ssdweb/hd/Vision360.html?d=924930193&amp;zoomslide=1&amp;z=1924930193&amp;ISCONFIRM=0","VIDEO")</f>
        <v>VIDEO</v>
      </c>
      <c r="AA3645" s="19" t="str">
        <f>HYPERLINK("https://ssdweb.co/ssdweb/CERTH/604379499.pdf","CERTI")</f>
        <v>CERTI</v>
      </c>
    </row>
    <row r="3646" spans="1:27" ht="15" x14ac:dyDescent="0.25">
      <c r="A3646" s="2">
        <v>3641</v>
      </c>
      <c r="B3646" s="39">
        <v>926420410</v>
      </c>
      <c r="C3646" s="28" t="str">
        <f>HYPERLINK("https://pld.live/RapDetail.aspx?STONELIST=926420410","DNA")</f>
        <v>DNA</v>
      </c>
      <c r="D3646" s="18" t="s">
        <v>4563</v>
      </c>
      <c r="E3646" s="18" t="s">
        <v>2186</v>
      </c>
      <c r="F3646" s="2" t="s">
        <v>7987</v>
      </c>
      <c r="G3646" s="2" t="s">
        <v>1573</v>
      </c>
      <c r="H3646" s="14">
        <v>3.2</v>
      </c>
      <c r="I3646" s="2" t="s">
        <v>4761</v>
      </c>
      <c r="J3646" s="2" t="s">
        <v>5144</v>
      </c>
      <c r="K3646" s="2" t="s">
        <v>1452</v>
      </c>
      <c r="L3646" s="2" t="s">
        <v>5221</v>
      </c>
      <c r="M3646" s="2" t="s">
        <v>5221</v>
      </c>
      <c r="N3646" s="2" t="s">
        <v>2317</v>
      </c>
      <c r="O3646" s="14">
        <v>24500</v>
      </c>
      <c r="P3646" s="14">
        <v>99.42</v>
      </c>
      <c r="Q3646" s="14">
        <v>142.1</v>
      </c>
      <c r="R3646" s="14">
        <v>454.72</v>
      </c>
      <c r="S3646" s="2" t="s">
        <v>3867</v>
      </c>
      <c r="T3646" s="2">
        <v>1.44</v>
      </c>
      <c r="U3646" s="2">
        <v>59.5</v>
      </c>
      <c r="V3646" s="2">
        <v>61</v>
      </c>
      <c r="W3646" s="2" t="s">
        <v>7862</v>
      </c>
      <c r="X3646" s="2" t="s">
        <v>471</v>
      </c>
      <c r="Y3646" s="2">
        <v>78400</v>
      </c>
      <c r="Z3646" s="19" t="str">
        <f>HYPERLINK("https://ssdweb.co/ssdweb/hd/Vision360.html?d=926420410&amp;zoomslide=1&amp;z=1926420410&amp;ISCONFIRM=0","VIDEO")</f>
        <v>VIDEO</v>
      </c>
      <c r="AA3646" s="19" t="str">
        <f>HYPERLINK("https://ssdweb.co/ssdweb/CERTH/645461941.pdf","CERTI")</f>
        <v>CERTI</v>
      </c>
    </row>
    <row r="3647" spans="1:27" ht="15" x14ac:dyDescent="0.25">
      <c r="A3647" s="2">
        <v>3642</v>
      </c>
      <c r="B3647" s="39">
        <v>925060418</v>
      </c>
      <c r="C3647" s="28" t="str">
        <f>HYPERLINK("https://pld.live/RapDetail.aspx?STONELIST=925060418","DNA")</f>
        <v>DNA</v>
      </c>
      <c r="D3647" s="18" t="s">
        <v>4563</v>
      </c>
      <c r="E3647" s="18" t="s">
        <v>2186</v>
      </c>
      <c r="F3647" s="2" t="s">
        <v>7987</v>
      </c>
      <c r="G3647" s="2" t="s">
        <v>1573</v>
      </c>
      <c r="H3647" s="14">
        <v>3.2</v>
      </c>
      <c r="I3647" s="2" t="s">
        <v>1505</v>
      </c>
      <c r="J3647" s="2" t="s">
        <v>13</v>
      </c>
      <c r="K3647" s="2" t="s">
        <v>1452</v>
      </c>
      <c r="L3647" s="2" t="s">
        <v>5221</v>
      </c>
      <c r="M3647" s="2" t="s">
        <v>5221</v>
      </c>
      <c r="N3647" s="2" t="s">
        <v>2317</v>
      </c>
      <c r="O3647" s="14">
        <v>19500</v>
      </c>
      <c r="P3647" s="14">
        <v>99.38</v>
      </c>
      <c r="Q3647" s="14">
        <v>120.9</v>
      </c>
      <c r="R3647" s="14">
        <v>386.88</v>
      </c>
      <c r="S3647" s="2" t="s">
        <v>3638</v>
      </c>
      <c r="T3647" s="2">
        <v>1.38</v>
      </c>
      <c r="U3647" s="2">
        <v>61.8</v>
      </c>
      <c r="V3647" s="2">
        <v>61</v>
      </c>
      <c r="W3647" s="2" t="s">
        <v>7862</v>
      </c>
      <c r="X3647" s="2" t="s">
        <v>471</v>
      </c>
      <c r="Y3647" s="2">
        <v>62400</v>
      </c>
      <c r="Z3647" s="19" t="str">
        <f>HYPERLINK("https://ssdweb.co/ssdweb/hd/Vision360.html?d=925060418&amp;zoomslide=1&amp;z=1925060418&amp;ISCONFIRM=0","VIDEO")</f>
        <v>VIDEO</v>
      </c>
      <c r="AA3647" s="19" t="str">
        <f>HYPERLINK("https://ssdweb.co/ssdweb/CERTH/612321993.pdf","CERTI")</f>
        <v>CERTI</v>
      </c>
    </row>
    <row r="3648" spans="1:27" ht="15" x14ac:dyDescent="0.25">
      <c r="A3648" s="2">
        <v>3643</v>
      </c>
      <c r="B3648" s="39">
        <v>925570060</v>
      </c>
      <c r="C3648" s="28" t="str">
        <f>HYPERLINK("https://pld.live/RapDetail.aspx?STONELIST=925570060","DNA")</f>
        <v>DNA</v>
      </c>
      <c r="D3648" s="18" t="s">
        <v>4563</v>
      </c>
      <c r="E3648" s="18" t="s">
        <v>2186</v>
      </c>
      <c r="F3648" s="2" t="s">
        <v>7987</v>
      </c>
      <c r="G3648" s="2" t="s">
        <v>1573</v>
      </c>
      <c r="H3648" s="14">
        <v>3.2</v>
      </c>
      <c r="I3648" s="2" t="s">
        <v>1066</v>
      </c>
      <c r="J3648" s="2" t="s">
        <v>13</v>
      </c>
      <c r="K3648" s="2" t="s">
        <v>1452</v>
      </c>
      <c r="L3648" s="2" t="s">
        <v>5221</v>
      </c>
      <c r="M3648" s="2" t="s">
        <v>5221</v>
      </c>
      <c r="N3648" s="2" t="s">
        <v>924</v>
      </c>
      <c r="O3648" s="14">
        <v>5700</v>
      </c>
      <c r="P3648" s="14">
        <v>94.56</v>
      </c>
      <c r="Q3648" s="14">
        <v>310.08</v>
      </c>
      <c r="R3648" s="14">
        <v>992.26</v>
      </c>
      <c r="S3648" s="2" t="s">
        <v>5720</v>
      </c>
      <c r="T3648" s="2">
        <v>1.39</v>
      </c>
      <c r="U3648" s="2">
        <v>62.5</v>
      </c>
      <c r="V3648" s="2">
        <v>61</v>
      </c>
      <c r="W3648" s="2" t="s">
        <v>7862</v>
      </c>
      <c r="X3648" s="2" t="s">
        <v>471</v>
      </c>
      <c r="Y3648" s="2">
        <v>18240</v>
      </c>
      <c r="Z3648" s="19" t="str">
        <f>HYPERLINK("https://ssdweb.co/ssdweb/hd/Vision360.html?d=925570060&amp;zoomslide=1&amp;z=1925570060&amp;ISCONFIRM=0","VIDEO")</f>
        <v>VIDEO</v>
      </c>
      <c r="AA3648" s="19" t="str">
        <f>HYPERLINK("https://ssdweb.co/ssdweb/CERTH/625432420.pdf","CERTI")</f>
        <v>CERTI</v>
      </c>
    </row>
    <row r="3649" spans="1:27" ht="15" x14ac:dyDescent="0.25">
      <c r="A3649" s="2">
        <v>3644</v>
      </c>
      <c r="B3649" s="39">
        <v>922640075</v>
      </c>
      <c r="C3649" s="28" t="str">
        <f>HYPERLINK("https://pld.live/RapDetail.aspx?STONELIST=922640075","DNA")</f>
        <v>DNA</v>
      </c>
      <c r="D3649" s="18" t="s">
        <v>4563</v>
      </c>
      <c r="E3649" s="18" t="s">
        <v>2186</v>
      </c>
      <c r="F3649" s="2" t="s">
        <v>7987</v>
      </c>
      <c r="G3649" s="2" t="s">
        <v>1573</v>
      </c>
      <c r="H3649" s="14">
        <v>3.17</v>
      </c>
      <c r="I3649" s="2" t="s">
        <v>3722</v>
      </c>
      <c r="J3649" s="2" t="s">
        <v>13</v>
      </c>
      <c r="K3649" s="2" t="s">
        <v>1452</v>
      </c>
      <c r="L3649" s="2" t="s">
        <v>5221</v>
      </c>
      <c r="M3649" s="2" t="s">
        <v>5221</v>
      </c>
      <c r="N3649" s="2" t="s">
        <v>2317</v>
      </c>
      <c r="O3649" s="14">
        <v>16500</v>
      </c>
      <c r="P3649" s="14">
        <v>99.32</v>
      </c>
      <c r="Q3649" s="14">
        <v>112.2</v>
      </c>
      <c r="R3649" s="14">
        <v>355.67</v>
      </c>
      <c r="S3649" s="2" t="s">
        <v>4668</v>
      </c>
      <c r="T3649" s="2">
        <v>1.43</v>
      </c>
      <c r="U3649" s="2">
        <v>60.7</v>
      </c>
      <c r="V3649" s="2">
        <v>60</v>
      </c>
      <c r="W3649" s="2" t="s">
        <v>8016</v>
      </c>
      <c r="X3649" s="2" t="s">
        <v>471</v>
      </c>
      <c r="Y3649" s="2">
        <v>52305</v>
      </c>
      <c r="Z3649" s="19" t="str">
        <f>HYPERLINK("https://ssdweb.co/ssdweb/hd/Vision360.html?d=922640075&amp;zoomslide=1&amp;z=1922640075&amp;ISCONFIRM=0","VIDEO")</f>
        <v>VIDEO</v>
      </c>
      <c r="AA3649" s="19" t="str">
        <f>HYPERLINK("https://ssdweb.co/ssdweb/CERTH/532271830.pdf","CERTI")</f>
        <v>CERTI</v>
      </c>
    </row>
    <row r="3650" spans="1:27" ht="15" x14ac:dyDescent="0.25">
      <c r="A3650" s="2">
        <v>3645</v>
      </c>
      <c r="B3650" s="39">
        <v>926050159</v>
      </c>
      <c r="C3650" s="28" t="str">
        <f>HYPERLINK("https://pld.live/RapDetail.aspx?STONELIST=926050159","DNA")</f>
        <v>DNA</v>
      </c>
      <c r="D3650" s="18" t="s">
        <v>4563</v>
      </c>
      <c r="E3650" s="18" t="s">
        <v>2186</v>
      </c>
      <c r="F3650" s="2" t="s">
        <v>7987</v>
      </c>
      <c r="G3650" s="2" t="s">
        <v>1573</v>
      </c>
      <c r="H3650" s="14">
        <v>3.14</v>
      </c>
      <c r="I3650" s="2" t="s">
        <v>4761</v>
      </c>
      <c r="J3650" s="2" t="s">
        <v>13</v>
      </c>
      <c r="K3650" s="2" t="s">
        <v>1452</v>
      </c>
      <c r="L3650" s="2" t="s">
        <v>5221</v>
      </c>
      <c r="M3650" s="2" t="s">
        <v>5221</v>
      </c>
      <c r="N3650" s="2" t="s">
        <v>2317</v>
      </c>
      <c r="O3650" s="14">
        <v>27500</v>
      </c>
      <c r="P3650" s="14">
        <v>99.45</v>
      </c>
      <c r="Q3650" s="14">
        <v>151.25</v>
      </c>
      <c r="R3650" s="14">
        <v>474.93</v>
      </c>
      <c r="S3650" s="2" t="s">
        <v>6509</v>
      </c>
      <c r="T3650" s="2">
        <v>1.41</v>
      </c>
      <c r="U3650" s="2">
        <v>61.6</v>
      </c>
      <c r="V3650" s="2">
        <v>60</v>
      </c>
      <c r="W3650" s="2" t="s">
        <v>7862</v>
      </c>
      <c r="X3650" s="2" t="s">
        <v>471</v>
      </c>
      <c r="Y3650" s="2">
        <v>86350</v>
      </c>
      <c r="Z3650" s="19" t="str">
        <f>HYPERLINK("https://ssdweb.co/ssdweb/hd/Vision360.html?d=926050159&amp;zoomslide=1&amp;z=1926050159&amp;ISCONFIRM=0","VIDEO")</f>
        <v>VIDEO</v>
      </c>
      <c r="AA3650" s="19" t="str">
        <f>HYPERLINK("https://ssdweb.co/ssdweb/CERTH/631430431.pdf","CERTI")</f>
        <v>CERTI</v>
      </c>
    </row>
    <row r="3651" spans="1:27" ht="15" x14ac:dyDescent="0.25">
      <c r="A3651" s="2">
        <v>3646</v>
      </c>
      <c r="B3651" s="39">
        <v>925630430</v>
      </c>
      <c r="C3651" s="28" t="str">
        <f>HYPERLINK("https://pld.live/RapDetail.aspx?STONELIST=925630430","DNA")</f>
        <v>DNA</v>
      </c>
      <c r="D3651" s="18" t="s">
        <v>4563</v>
      </c>
      <c r="E3651" s="18" t="s">
        <v>2186</v>
      </c>
      <c r="F3651" s="2" t="s">
        <v>7987</v>
      </c>
      <c r="G3651" s="2" t="s">
        <v>1573</v>
      </c>
      <c r="H3651" s="14">
        <v>3.12</v>
      </c>
      <c r="I3651" s="2" t="s">
        <v>6587</v>
      </c>
      <c r="J3651" s="2" t="s">
        <v>5144</v>
      </c>
      <c r="K3651" s="2" t="s">
        <v>1452</v>
      </c>
      <c r="L3651" s="2" t="s">
        <v>5221</v>
      </c>
      <c r="M3651" s="2" t="s">
        <v>5221</v>
      </c>
      <c r="N3651" s="2" t="s">
        <v>2317</v>
      </c>
      <c r="O3651" s="14">
        <v>20500</v>
      </c>
      <c r="P3651" s="14">
        <v>99.42</v>
      </c>
      <c r="Q3651" s="14">
        <v>118.9</v>
      </c>
      <c r="R3651" s="14">
        <v>370.97</v>
      </c>
      <c r="S3651" s="2" t="s">
        <v>953</v>
      </c>
      <c r="T3651" s="2">
        <v>1.4</v>
      </c>
      <c r="U3651" s="2">
        <v>62.3</v>
      </c>
      <c r="V3651" s="2">
        <v>62</v>
      </c>
      <c r="W3651" s="2" t="s">
        <v>8016</v>
      </c>
      <c r="X3651" s="2" t="s">
        <v>471</v>
      </c>
      <c r="Y3651" s="2">
        <v>63960</v>
      </c>
      <c r="Z3651" s="19" t="str">
        <f>HYPERLINK("https://ssdweb.co/ssdweb/hd/Vision360.html?d=925630430&amp;zoomslide=1&amp;z=1925630430&amp;ISCONFIRM=0","VIDEO")</f>
        <v>VIDEO</v>
      </c>
      <c r="AA3651" s="19" t="str">
        <f>HYPERLINK("https://ssdweb.co/ssdweb/CERTH/623449438.pdf","CERTI")</f>
        <v>CERTI</v>
      </c>
    </row>
    <row r="3652" spans="1:27" ht="15" x14ac:dyDescent="0.25">
      <c r="A3652" s="2">
        <v>3647</v>
      </c>
      <c r="B3652" s="39">
        <v>925680117</v>
      </c>
      <c r="C3652" s="28" t="str">
        <f>HYPERLINK("https://pld.live/RapDetail.aspx?STONELIST=925680117","DNA")</f>
        <v>DNA</v>
      </c>
      <c r="D3652" s="18" t="s">
        <v>4563</v>
      </c>
      <c r="E3652" s="18" t="s">
        <v>2186</v>
      </c>
      <c r="F3652" s="2" t="s">
        <v>7987</v>
      </c>
      <c r="G3652" s="2" t="s">
        <v>1573</v>
      </c>
      <c r="H3652" s="14">
        <v>3.11</v>
      </c>
      <c r="I3652" s="2" t="s">
        <v>6587</v>
      </c>
      <c r="J3652" s="2" t="s">
        <v>13</v>
      </c>
      <c r="K3652" s="2" t="s">
        <v>1452</v>
      </c>
      <c r="L3652" s="2" t="s">
        <v>5221</v>
      </c>
      <c r="M3652" s="2" t="s">
        <v>5221</v>
      </c>
      <c r="N3652" s="2" t="s">
        <v>2317</v>
      </c>
      <c r="O3652" s="14">
        <v>22500</v>
      </c>
      <c r="P3652" s="14">
        <v>99.44</v>
      </c>
      <c r="Q3652" s="14">
        <v>126</v>
      </c>
      <c r="R3652" s="14">
        <v>391.86</v>
      </c>
      <c r="S3652" s="2" t="s">
        <v>303</v>
      </c>
      <c r="T3652" s="2">
        <v>1.45</v>
      </c>
      <c r="U3652" s="2">
        <v>61.3</v>
      </c>
      <c r="V3652" s="2">
        <v>62</v>
      </c>
      <c r="W3652" s="2" t="s">
        <v>7862</v>
      </c>
      <c r="X3652" s="2" t="s">
        <v>471</v>
      </c>
      <c r="Y3652" s="2">
        <v>69975</v>
      </c>
      <c r="Z3652" s="19" t="str">
        <f>HYPERLINK("https://ssdweb.co/ssdweb/hd/Vision360.html?d=925680117&amp;zoomslide=1&amp;z=1925680117&amp;ISCONFIRM=0","VIDEO")</f>
        <v>VIDEO</v>
      </c>
      <c r="AA3652" s="19" t="str">
        <f>HYPERLINK("https://ssdweb.co/ssdweb/CERTH/625458055.pdf","CERTI")</f>
        <v>CERTI</v>
      </c>
    </row>
    <row r="3653" spans="1:27" ht="15" x14ac:dyDescent="0.25">
      <c r="A3653" s="2">
        <v>3648</v>
      </c>
      <c r="B3653" s="39">
        <v>925700282</v>
      </c>
      <c r="C3653" s="28" t="str">
        <f>HYPERLINK("https://pld.live/RapDetail.aspx?STONELIST=925700282","DNA")</f>
        <v>DNA</v>
      </c>
      <c r="D3653" s="18" t="s">
        <v>4563</v>
      </c>
      <c r="E3653" s="18" t="s">
        <v>2186</v>
      </c>
      <c r="F3653" s="2" t="s">
        <v>7987</v>
      </c>
      <c r="G3653" s="2" t="s">
        <v>1573</v>
      </c>
      <c r="H3653" s="14">
        <v>3.1</v>
      </c>
      <c r="I3653" s="2" t="s">
        <v>6587</v>
      </c>
      <c r="J3653" s="2" t="s">
        <v>3942</v>
      </c>
      <c r="K3653" s="2" t="s">
        <v>1452</v>
      </c>
      <c r="L3653" s="2" t="s">
        <v>5221</v>
      </c>
      <c r="M3653" s="2" t="s">
        <v>5221</v>
      </c>
      <c r="N3653" s="2" t="s">
        <v>2317</v>
      </c>
      <c r="O3653" s="14">
        <v>24500</v>
      </c>
      <c r="P3653" s="14">
        <v>99.43</v>
      </c>
      <c r="Q3653" s="14">
        <v>139.65</v>
      </c>
      <c r="R3653" s="14">
        <v>432.92</v>
      </c>
      <c r="S3653" s="2" t="s">
        <v>819</v>
      </c>
      <c r="T3653" s="2">
        <v>1.38</v>
      </c>
      <c r="U3653" s="2">
        <v>61.6</v>
      </c>
      <c r="V3653" s="2">
        <v>59</v>
      </c>
      <c r="W3653" s="2" t="s">
        <v>7862</v>
      </c>
      <c r="X3653" s="2" t="s">
        <v>471</v>
      </c>
      <c r="Y3653" s="2">
        <v>75950</v>
      </c>
      <c r="Z3653" s="19" t="str">
        <f>HYPERLINK("https://ssdweb.co/ssdweb/hd/Vision360.html?d=925700282&amp;zoomslide=1&amp;z=1925700282&amp;ISCONFIRM=0","VIDEO")</f>
        <v>VIDEO</v>
      </c>
      <c r="AA3653" s="19" t="str">
        <f>HYPERLINK("https://ssdweb.co/ssdweb/CERTH/627474798.pdf","CERTI")</f>
        <v>CERTI</v>
      </c>
    </row>
    <row r="3654" spans="1:27" ht="15" x14ac:dyDescent="0.25">
      <c r="A3654" s="2">
        <v>3649</v>
      </c>
      <c r="B3654" s="39">
        <v>925690198</v>
      </c>
      <c r="C3654" s="28" t="str">
        <f>HYPERLINK("https://pld.live/RapDetail.aspx?STONELIST=925690198","DNA")</f>
        <v>DNA</v>
      </c>
      <c r="D3654" s="18" t="s">
        <v>4563</v>
      </c>
      <c r="E3654" s="18" t="s">
        <v>2186</v>
      </c>
      <c r="F3654" s="2" t="s">
        <v>7987</v>
      </c>
      <c r="G3654" s="2" t="s">
        <v>1573</v>
      </c>
      <c r="H3654" s="14">
        <v>3.1</v>
      </c>
      <c r="I3654" s="2" t="s">
        <v>6587</v>
      </c>
      <c r="J3654" s="2" t="s">
        <v>3942</v>
      </c>
      <c r="K3654" s="2" t="s">
        <v>1452</v>
      </c>
      <c r="L3654" s="2" t="s">
        <v>5221</v>
      </c>
      <c r="M3654" s="2" t="s">
        <v>5221</v>
      </c>
      <c r="N3654" s="2" t="s">
        <v>2317</v>
      </c>
      <c r="O3654" s="14">
        <v>24500</v>
      </c>
      <c r="P3654" s="14">
        <v>99.43</v>
      </c>
      <c r="Q3654" s="14">
        <v>139.65</v>
      </c>
      <c r="R3654" s="14">
        <v>432.92</v>
      </c>
      <c r="S3654" s="2" t="s">
        <v>5888</v>
      </c>
      <c r="T3654" s="2">
        <v>1.39</v>
      </c>
      <c r="U3654" s="2">
        <v>61.6</v>
      </c>
      <c r="V3654" s="2">
        <v>60</v>
      </c>
      <c r="W3654" s="2" t="s">
        <v>7862</v>
      </c>
      <c r="X3654" s="2" t="s">
        <v>471</v>
      </c>
      <c r="Y3654" s="2">
        <v>75950</v>
      </c>
      <c r="Z3654" s="19" t="str">
        <f>HYPERLINK("https://ssdweb.co/ssdweb/hd/Vision360.html?d=925690198&amp;zoomslide=1&amp;z=1925690198&amp;ISCONFIRM=0","VIDEO")</f>
        <v>VIDEO</v>
      </c>
      <c r="AA3654" s="19" t="str">
        <f>HYPERLINK("https://ssdweb.co/ssdweb/CERTH/626457465.pdf","CERTI")</f>
        <v>CERTI</v>
      </c>
    </row>
    <row r="3655" spans="1:27" ht="15" x14ac:dyDescent="0.25">
      <c r="A3655" s="2">
        <v>3650</v>
      </c>
      <c r="B3655" s="39">
        <v>925650064</v>
      </c>
      <c r="C3655" s="28" t="str">
        <f>HYPERLINK("https://pld.live/RapDetail.aspx?STONELIST=925650064","DNA")</f>
        <v>DNA</v>
      </c>
      <c r="D3655" s="18" t="s">
        <v>4563</v>
      </c>
      <c r="E3655" s="18" t="s">
        <v>2186</v>
      </c>
      <c r="F3655" s="2" t="s">
        <v>7987</v>
      </c>
      <c r="G3655" s="2" t="s">
        <v>1573</v>
      </c>
      <c r="H3655" s="14">
        <v>3.1</v>
      </c>
      <c r="I3655" s="2" t="s">
        <v>6587</v>
      </c>
      <c r="J3655" s="2" t="s">
        <v>13</v>
      </c>
      <c r="K3655" s="2" t="s">
        <v>1452</v>
      </c>
      <c r="L3655" s="2" t="s">
        <v>5221</v>
      </c>
      <c r="M3655" s="2" t="s">
        <v>5221</v>
      </c>
      <c r="N3655" s="2" t="s">
        <v>2317</v>
      </c>
      <c r="O3655" s="14">
        <v>22500</v>
      </c>
      <c r="P3655" s="14">
        <v>99.44</v>
      </c>
      <c r="Q3655" s="14">
        <v>126</v>
      </c>
      <c r="R3655" s="14">
        <v>390.6</v>
      </c>
      <c r="S3655" s="2" t="s">
        <v>4649</v>
      </c>
      <c r="T3655" s="2">
        <v>1.44</v>
      </c>
      <c r="U3655" s="2">
        <v>61.5</v>
      </c>
      <c r="V3655" s="2">
        <v>60</v>
      </c>
      <c r="W3655" s="2" t="s">
        <v>7862</v>
      </c>
      <c r="X3655" s="2" t="s">
        <v>471</v>
      </c>
      <c r="Y3655" s="2">
        <v>69750</v>
      </c>
      <c r="Z3655" s="19" t="str">
        <f>HYPERLINK("https://ssdweb.co/ssdweb/hd/Vision360.html?d=925650064&amp;zoomslide=1&amp;z=1925650064&amp;ISCONFIRM=0","VIDEO")</f>
        <v>VIDEO</v>
      </c>
      <c r="AA3655" s="19" t="str">
        <f>HYPERLINK("https://ssdweb.co/ssdweb/CERTH/623493342.pdf","CERTI")</f>
        <v>CERTI</v>
      </c>
    </row>
    <row r="3656" spans="1:27" ht="15" x14ac:dyDescent="0.25">
      <c r="A3656" s="2">
        <v>3651</v>
      </c>
      <c r="B3656" s="39">
        <v>925710213</v>
      </c>
      <c r="C3656" s="28" t="str">
        <f>HYPERLINK("https://pld.live/RapDetail.aspx?STONELIST=925710213","DNA")</f>
        <v>DNA</v>
      </c>
      <c r="D3656" s="18" t="s">
        <v>4563</v>
      </c>
      <c r="E3656" s="18" t="s">
        <v>2186</v>
      </c>
      <c r="F3656" s="2" t="s">
        <v>7987</v>
      </c>
      <c r="G3656" s="2" t="s">
        <v>1573</v>
      </c>
      <c r="H3656" s="14">
        <v>3.1</v>
      </c>
      <c r="I3656" s="2" t="s">
        <v>6587</v>
      </c>
      <c r="J3656" s="2" t="s">
        <v>5144</v>
      </c>
      <c r="K3656" s="2" t="s">
        <v>1452</v>
      </c>
      <c r="L3656" s="2" t="s">
        <v>5221</v>
      </c>
      <c r="M3656" s="2" t="s">
        <v>5221</v>
      </c>
      <c r="N3656" s="2" t="s">
        <v>2317</v>
      </c>
      <c r="O3656" s="14">
        <v>20500</v>
      </c>
      <c r="P3656" s="14">
        <v>99.42</v>
      </c>
      <c r="Q3656" s="14">
        <v>118.9</v>
      </c>
      <c r="R3656" s="14">
        <v>368.59</v>
      </c>
      <c r="S3656" s="2" t="s">
        <v>7911</v>
      </c>
      <c r="T3656" s="2">
        <v>1.39</v>
      </c>
      <c r="U3656" s="2">
        <v>61.8</v>
      </c>
      <c r="V3656" s="2">
        <v>59</v>
      </c>
      <c r="W3656" s="2" t="s">
        <v>8016</v>
      </c>
      <c r="X3656" s="2" t="s">
        <v>471</v>
      </c>
      <c r="Y3656" s="2">
        <v>63550</v>
      </c>
      <c r="Z3656" s="19" t="str">
        <f>HYPERLINK("https://ssdweb.co/ssdweb/hd/Vision360.html?d=925710213&amp;zoomslide=1&amp;z=1925710213&amp;ISCONFIRM=0","VIDEO")</f>
        <v>VIDEO</v>
      </c>
      <c r="AA3656" s="19" t="str">
        <f>HYPERLINK("https://ssdweb.co/ssdweb/CERTH/627431878.pdf","CERTI")</f>
        <v>CERTI</v>
      </c>
    </row>
    <row r="3657" spans="1:27" ht="15" x14ac:dyDescent="0.25">
      <c r="A3657" s="2">
        <v>3652</v>
      </c>
      <c r="B3657" s="39">
        <v>925630407</v>
      </c>
      <c r="C3657" s="28" t="str">
        <f>HYPERLINK("https://pld.live/RapDetail.aspx?STONELIST=925630407","DNA")</f>
        <v>DNA</v>
      </c>
      <c r="D3657" s="18" t="s">
        <v>4563</v>
      </c>
      <c r="E3657" s="18" t="s">
        <v>2186</v>
      </c>
      <c r="F3657" s="2" t="s">
        <v>7987</v>
      </c>
      <c r="G3657" s="2" t="s">
        <v>1573</v>
      </c>
      <c r="H3657" s="14">
        <v>3.1</v>
      </c>
      <c r="I3657" s="2" t="s">
        <v>6587</v>
      </c>
      <c r="J3657" s="2" t="s">
        <v>5144</v>
      </c>
      <c r="K3657" s="2" t="s">
        <v>1452</v>
      </c>
      <c r="L3657" s="2" t="s">
        <v>5221</v>
      </c>
      <c r="M3657" s="2" t="s">
        <v>5221</v>
      </c>
      <c r="N3657" s="2" t="s">
        <v>2317</v>
      </c>
      <c r="O3657" s="14">
        <v>20500</v>
      </c>
      <c r="P3657" s="14">
        <v>99.41</v>
      </c>
      <c r="Q3657" s="14">
        <v>120.95</v>
      </c>
      <c r="R3657" s="14">
        <v>374.95</v>
      </c>
      <c r="S3657" s="2" t="s">
        <v>7680</v>
      </c>
      <c r="T3657" s="2">
        <v>1.44</v>
      </c>
      <c r="U3657" s="2">
        <v>62</v>
      </c>
      <c r="V3657" s="2">
        <v>60</v>
      </c>
      <c r="W3657" s="2" t="s">
        <v>7862</v>
      </c>
      <c r="X3657" s="2" t="s">
        <v>471</v>
      </c>
      <c r="Y3657" s="2">
        <v>63550</v>
      </c>
      <c r="Z3657" s="19" t="str">
        <f>HYPERLINK("https://ssdweb.co/ssdweb/hd/Vision360.html?d=925630407&amp;zoomslide=1&amp;z=1925630407&amp;ISCONFIRM=0","VIDEO")</f>
        <v>VIDEO</v>
      </c>
      <c r="AA3657" s="19" t="str">
        <f>HYPERLINK("https://ssdweb.co/ssdweb/CERTH/623446226.pdf","CERTI")</f>
        <v>CERTI</v>
      </c>
    </row>
    <row r="3658" spans="1:27" ht="15" x14ac:dyDescent="0.25">
      <c r="A3658" s="2">
        <v>3653</v>
      </c>
      <c r="B3658" s="39">
        <v>925710161</v>
      </c>
      <c r="C3658" s="28" t="str">
        <f>HYPERLINK("https://pld.live/RapDetail.aspx?STONELIST=925710161","DNA")</f>
        <v>DNA</v>
      </c>
      <c r="D3658" s="18" t="s">
        <v>4563</v>
      </c>
      <c r="E3658" s="18" t="s">
        <v>2186</v>
      </c>
      <c r="F3658" s="2" t="s">
        <v>7987</v>
      </c>
      <c r="G3658" s="2" t="s">
        <v>1573</v>
      </c>
      <c r="H3658" s="14">
        <v>3.1</v>
      </c>
      <c r="I3658" s="2" t="s">
        <v>1505</v>
      </c>
      <c r="J3658" s="2" t="s">
        <v>13</v>
      </c>
      <c r="K3658" s="2" t="s">
        <v>1452</v>
      </c>
      <c r="L3658" s="2" t="s">
        <v>5221</v>
      </c>
      <c r="M3658" s="2" t="s">
        <v>5221</v>
      </c>
      <c r="N3658" s="2" t="s">
        <v>2317</v>
      </c>
      <c r="O3658" s="14">
        <v>19500</v>
      </c>
      <c r="P3658" s="14">
        <v>99.38</v>
      </c>
      <c r="Q3658" s="14">
        <v>120.9</v>
      </c>
      <c r="R3658" s="14">
        <v>374.79</v>
      </c>
      <c r="S3658" s="2" t="s">
        <v>2060</v>
      </c>
      <c r="T3658" s="2">
        <v>1.43</v>
      </c>
      <c r="U3658" s="2">
        <v>60.8</v>
      </c>
      <c r="V3658" s="2">
        <v>60</v>
      </c>
      <c r="W3658" s="2" t="s">
        <v>7862</v>
      </c>
      <c r="X3658" s="2" t="s">
        <v>471</v>
      </c>
      <c r="Y3658" s="2">
        <v>60450</v>
      </c>
      <c r="Z3658" s="19" t="str">
        <f>HYPERLINK("https://ssdweb.co/ssdweb/hd/Vision360.html?d=925710161&amp;zoomslide=1&amp;z=1925710161&amp;ISCONFIRM=0","VIDEO")</f>
        <v>VIDEO</v>
      </c>
      <c r="AA3658" s="19" t="str">
        <f>HYPERLINK("https://ssdweb.co/ssdweb/CERTH/627471650.pdf","CERTI")</f>
        <v>CERTI</v>
      </c>
    </row>
    <row r="3659" spans="1:27" ht="15" x14ac:dyDescent="0.25">
      <c r="A3659" s="2">
        <v>3654</v>
      </c>
      <c r="B3659" s="39">
        <v>926050307</v>
      </c>
      <c r="C3659" s="28" t="str">
        <f>HYPERLINK("https://pld.live/RapDetail.aspx?STONELIST=926050307","DNA")</f>
        <v>DNA</v>
      </c>
      <c r="D3659" s="18" t="s">
        <v>4563</v>
      </c>
      <c r="E3659" s="18" t="s">
        <v>2186</v>
      </c>
      <c r="F3659" s="2" t="s">
        <v>7987</v>
      </c>
      <c r="G3659" s="2" t="s">
        <v>1573</v>
      </c>
      <c r="H3659" s="14">
        <v>3.1</v>
      </c>
      <c r="I3659" s="2" t="s">
        <v>6845</v>
      </c>
      <c r="J3659" s="2" t="s">
        <v>5144</v>
      </c>
      <c r="K3659" s="2" t="s">
        <v>1452</v>
      </c>
      <c r="L3659" s="2" t="s">
        <v>5221</v>
      </c>
      <c r="M3659" s="2" t="s">
        <v>5221</v>
      </c>
      <c r="N3659" s="2" t="s">
        <v>2317</v>
      </c>
      <c r="O3659" s="14">
        <v>5400</v>
      </c>
      <c r="P3659" s="14">
        <v>95.74</v>
      </c>
      <c r="Q3659" s="14">
        <v>230.04</v>
      </c>
      <c r="R3659" s="14">
        <v>713.12</v>
      </c>
      <c r="S3659" s="2" t="s">
        <v>2312</v>
      </c>
      <c r="T3659" s="2">
        <v>1.38</v>
      </c>
      <c r="U3659" s="2">
        <v>62.5</v>
      </c>
      <c r="V3659" s="2">
        <v>61</v>
      </c>
      <c r="W3659" s="2" t="s">
        <v>7862</v>
      </c>
      <c r="X3659" s="2" t="s">
        <v>471</v>
      </c>
      <c r="Y3659" s="2">
        <v>16740</v>
      </c>
      <c r="Z3659" s="19" t="str">
        <f>HYPERLINK("https://ssdweb.co/ssdweb/hd/Vision360.html?d=926050307&amp;zoomslide=1&amp;z=1926050307&amp;ISCONFIRM=0","VIDEO")</f>
        <v>VIDEO</v>
      </c>
      <c r="AA3659" s="19" t="str">
        <f>HYPERLINK("https://ssdweb.co/ssdweb/CERTH/636470036.pdf","CERTI")</f>
        <v>CERTI</v>
      </c>
    </row>
    <row r="3660" spans="1:27" ht="15" x14ac:dyDescent="0.25">
      <c r="A3660" s="2">
        <v>3655</v>
      </c>
      <c r="B3660" s="39">
        <v>926030101</v>
      </c>
      <c r="C3660" s="28" t="str">
        <f>HYPERLINK("https://pld.live/RapDetail.aspx?STONELIST=926030101","DNA")</f>
        <v>DNA</v>
      </c>
      <c r="D3660" s="18" t="s">
        <v>4563</v>
      </c>
      <c r="E3660" s="18" t="s">
        <v>2186</v>
      </c>
      <c r="F3660" s="2" t="s">
        <v>7987</v>
      </c>
      <c r="G3660" s="2" t="s">
        <v>1573</v>
      </c>
      <c r="H3660" s="14">
        <v>3.1</v>
      </c>
      <c r="I3660" s="2" t="s">
        <v>6874</v>
      </c>
      <c r="J3660" s="2" t="s">
        <v>13</v>
      </c>
      <c r="K3660" s="2" t="s">
        <v>1452</v>
      </c>
      <c r="L3660" s="2" t="s">
        <v>5221</v>
      </c>
      <c r="M3660" s="2" t="s">
        <v>5221</v>
      </c>
      <c r="N3660" s="2" t="s">
        <v>924</v>
      </c>
      <c r="O3660" s="14">
        <v>5700</v>
      </c>
      <c r="P3660" s="14">
        <v>93.51</v>
      </c>
      <c r="Q3660" s="14">
        <v>369.93</v>
      </c>
      <c r="R3660" s="14">
        <v>1146.78</v>
      </c>
      <c r="S3660" s="2" t="s">
        <v>6030</v>
      </c>
      <c r="T3660" s="2">
        <v>1.41</v>
      </c>
      <c r="U3660" s="2">
        <v>62</v>
      </c>
      <c r="V3660" s="2">
        <v>61</v>
      </c>
      <c r="W3660" s="2" t="s">
        <v>7862</v>
      </c>
      <c r="X3660" s="2" t="s">
        <v>471</v>
      </c>
      <c r="Y3660" s="2">
        <v>17670</v>
      </c>
      <c r="Z3660" s="19" t="str">
        <f>HYPERLINK("https://ssdweb.co/ssdweb/hd/Vision360.html?d=926030101&amp;zoomslide=1&amp;z=1926030101&amp;ISCONFIRM=0","VIDEO")</f>
        <v>VIDEO</v>
      </c>
      <c r="AA3660" s="19" t="str">
        <f>HYPERLINK("https://ssdweb.co/ssdweb/CERTH/639406131.pdf","CERTI")</f>
        <v>CERTI</v>
      </c>
    </row>
    <row r="3661" spans="1:27" ht="15" x14ac:dyDescent="0.25">
      <c r="A3661" s="2">
        <v>3656</v>
      </c>
      <c r="B3661" s="39">
        <v>927000651</v>
      </c>
      <c r="C3661" s="28" t="str">
        <f>HYPERLINK("https://pld.live/RapDetail.aspx?STONELIST=927000651","DNA")</f>
        <v>DNA</v>
      </c>
      <c r="D3661" s="18" t="s">
        <v>4563</v>
      </c>
      <c r="E3661" s="18" t="s">
        <v>2186</v>
      </c>
      <c r="F3661" s="2" t="s">
        <v>7987</v>
      </c>
      <c r="G3661" s="2" t="s">
        <v>1573</v>
      </c>
      <c r="H3661" s="14">
        <v>3.09</v>
      </c>
      <c r="I3661" s="2" t="s">
        <v>4761</v>
      </c>
      <c r="J3661" s="2" t="s">
        <v>13</v>
      </c>
      <c r="K3661" s="2" t="s">
        <v>1452</v>
      </c>
      <c r="L3661" s="2" t="s">
        <v>5221</v>
      </c>
      <c r="M3661" s="2" t="s">
        <v>5221</v>
      </c>
      <c r="N3661" s="2" t="s">
        <v>2317</v>
      </c>
      <c r="O3661" s="14">
        <v>27500</v>
      </c>
      <c r="P3661" s="14">
        <v>99.44</v>
      </c>
      <c r="Q3661" s="14">
        <v>154</v>
      </c>
      <c r="R3661" s="14">
        <v>475.86</v>
      </c>
      <c r="S3661" s="2" t="s">
        <v>7913</v>
      </c>
      <c r="T3661" s="2">
        <v>1.38</v>
      </c>
      <c r="U3661" s="2">
        <v>59.6</v>
      </c>
      <c r="V3661" s="2">
        <v>61</v>
      </c>
      <c r="W3661" s="2" t="s">
        <v>7862</v>
      </c>
      <c r="X3661" s="2" t="s">
        <v>471</v>
      </c>
      <c r="Y3661" s="2">
        <v>84975</v>
      </c>
      <c r="Z3661" s="19" t="str">
        <f>HYPERLINK("https://ssdweb.co/ssdweb/hd/Vision360.html?d=927000651&amp;zoomslide=1&amp;z=1927000651&amp;ISCONFIRM=0","VIDEO")</f>
        <v>VIDEO</v>
      </c>
      <c r="AA3661" s="19" t="str">
        <f>HYPERLINK("https://ssdweb.co/ssdweb/CERTH/670484541.pdf","CERTI")</f>
        <v>CERTI</v>
      </c>
    </row>
    <row r="3662" spans="1:27" ht="15" x14ac:dyDescent="0.25">
      <c r="A3662" s="2">
        <v>3657</v>
      </c>
      <c r="B3662" s="39">
        <v>926130113</v>
      </c>
      <c r="C3662" s="28" t="str">
        <f>HYPERLINK("https://pld.live/RapDetail.aspx?STONELIST=926130113","DNA")</f>
        <v>DNA</v>
      </c>
      <c r="D3662" s="18" t="s">
        <v>4563</v>
      </c>
      <c r="E3662" s="18" t="s">
        <v>2186</v>
      </c>
      <c r="F3662" s="2" t="s">
        <v>7987</v>
      </c>
      <c r="G3662" s="2" t="s">
        <v>1573</v>
      </c>
      <c r="H3662" s="14">
        <v>3.09</v>
      </c>
      <c r="I3662" s="2" t="s">
        <v>1505</v>
      </c>
      <c r="J3662" s="2" t="s">
        <v>13</v>
      </c>
      <c r="K3662" s="2" t="s">
        <v>1452</v>
      </c>
      <c r="L3662" s="2" t="s">
        <v>5221</v>
      </c>
      <c r="M3662" s="2" t="s">
        <v>5221</v>
      </c>
      <c r="N3662" s="2" t="s">
        <v>2317</v>
      </c>
      <c r="O3662" s="14">
        <v>19500</v>
      </c>
      <c r="P3662" s="14">
        <v>99.39</v>
      </c>
      <c r="Q3662" s="14">
        <v>118.95</v>
      </c>
      <c r="R3662" s="14">
        <v>367.56</v>
      </c>
      <c r="S3662" s="2" t="s">
        <v>7514</v>
      </c>
      <c r="T3662" s="2">
        <v>1.41</v>
      </c>
      <c r="U3662" s="2">
        <v>60.8</v>
      </c>
      <c r="V3662" s="2">
        <v>61</v>
      </c>
      <c r="W3662" s="2" t="s">
        <v>8016</v>
      </c>
      <c r="X3662" s="2" t="s">
        <v>471</v>
      </c>
      <c r="Y3662" s="2">
        <v>60255</v>
      </c>
      <c r="Z3662" s="19" t="str">
        <f>HYPERLINK("https://ssdweb.co/ssdweb/hd/Vision360.html?d=926130113&amp;zoomslide=1&amp;z=1926130113&amp;ISCONFIRM=0","VIDEO")</f>
        <v>VIDEO</v>
      </c>
      <c r="AA3662" s="19" t="str">
        <f>HYPERLINK("https://ssdweb.co/ssdweb/CERTH/634472391.pdf","CERTI")</f>
        <v>CERTI</v>
      </c>
    </row>
    <row r="3663" spans="1:27" ht="15" x14ac:dyDescent="0.25">
      <c r="A3663" s="2">
        <v>3658</v>
      </c>
      <c r="B3663" s="39">
        <v>926030100</v>
      </c>
      <c r="C3663" s="28" t="str">
        <f>HYPERLINK("https://pld.live/RapDetail.aspx?STONELIST=926030100","DNA")</f>
        <v>DNA</v>
      </c>
      <c r="D3663" s="18" t="s">
        <v>4563</v>
      </c>
      <c r="E3663" s="18" t="s">
        <v>2186</v>
      </c>
      <c r="F3663" s="2" t="s">
        <v>7987</v>
      </c>
      <c r="G3663" s="2" t="s">
        <v>1573</v>
      </c>
      <c r="H3663" s="14">
        <v>3.09</v>
      </c>
      <c r="I3663" s="2" t="s">
        <v>6874</v>
      </c>
      <c r="J3663" s="2" t="s">
        <v>444</v>
      </c>
      <c r="K3663" s="2" t="s">
        <v>1452</v>
      </c>
      <c r="L3663" s="2" t="s">
        <v>5221</v>
      </c>
      <c r="M3663" s="2" t="s">
        <v>5221</v>
      </c>
      <c r="N3663" s="2" t="s">
        <v>924</v>
      </c>
      <c r="O3663" s="14">
        <v>4900</v>
      </c>
      <c r="P3663" s="14">
        <v>93.88</v>
      </c>
      <c r="Q3663" s="14">
        <v>299.88</v>
      </c>
      <c r="R3663" s="14">
        <v>926.63</v>
      </c>
      <c r="S3663" s="2" t="s">
        <v>1875</v>
      </c>
      <c r="T3663" s="2">
        <v>1.38</v>
      </c>
      <c r="U3663" s="2">
        <v>61.7</v>
      </c>
      <c r="V3663" s="2">
        <v>60</v>
      </c>
      <c r="W3663" s="2" t="s">
        <v>7862</v>
      </c>
      <c r="X3663" s="2" t="s">
        <v>471</v>
      </c>
      <c r="Y3663" s="2">
        <v>15141</v>
      </c>
      <c r="Z3663" s="19" t="str">
        <f>HYPERLINK("https://ssdweb.co/ssdweb/hd/Vision360.html?d=926030100&amp;zoomslide=1&amp;z=1926030100&amp;ISCONFIRM=0","VIDEO")</f>
        <v>VIDEO</v>
      </c>
      <c r="AA3663" s="19" t="str">
        <f>HYPERLINK("https://ssdweb.co/ssdweb/CERTH/639406133.pdf","CERTI")</f>
        <v>CERTI</v>
      </c>
    </row>
    <row r="3664" spans="1:27" ht="15" x14ac:dyDescent="0.25">
      <c r="A3664" s="2">
        <v>3659</v>
      </c>
      <c r="B3664" s="39">
        <v>925660226</v>
      </c>
      <c r="C3664" s="28" t="str">
        <f>HYPERLINK("https://pld.live/RapDetail.aspx?STONELIST=925660226","DNA")</f>
        <v>DNA</v>
      </c>
      <c r="D3664" s="18" t="s">
        <v>4563</v>
      </c>
      <c r="E3664" s="18" t="s">
        <v>2186</v>
      </c>
      <c r="F3664" s="2" t="s">
        <v>7987</v>
      </c>
      <c r="G3664" s="2" t="s">
        <v>1573</v>
      </c>
      <c r="H3664" s="14">
        <v>3.07</v>
      </c>
      <c r="I3664" s="2" t="s">
        <v>4699</v>
      </c>
      <c r="J3664" s="2" t="s">
        <v>13</v>
      </c>
      <c r="K3664" s="2" t="s">
        <v>1452</v>
      </c>
      <c r="L3664" s="2" t="s">
        <v>5221</v>
      </c>
      <c r="M3664" s="2" t="s">
        <v>5221</v>
      </c>
      <c r="N3664" s="2" t="s">
        <v>2317</v>
      </c>
      <c r="O3664" s="14">
        <v>25000</v>
      </c>
      <c r="P3664" s="14">
        <v>99.42</v>
      </c>
      <c r="Q3664" s="14">
        <v>145</v>
      </c>
      <c r="R3664" s="14">
        <v>445.15</v>
      </c>
      <c r="S3664" s="2" t="s">
        <v>3252</v>
      </c>
      <c r="T3664" s="2">
        <v>1.36</v>
      </c>
      <c r="U3664" s="2">
        <v>62.4</v>
      </c>
      <c r="V3664" s="2">
        <v>62</v>
      </c>
      <c r="W3664" s="2" t="s">
        <v>7862</v>
      </c>
      <c r="X3664" s="2" t="s">
        <v>471</v>
      </c>
      <c r="Y3664" s="2">
        <v>76750</v>
      </c>
      <c r="Z3664" s="19" t="str">
        <f>HYPERLINK("https://ssdweb.co/ssdweb/hd/Vision360.html?d=925660226&amp;zoomslide=1&amp;z=1925660226&amp;ISCONFIRM=0","VIDEO")</f>
        <v>VIDEO</v>
      </c>
      <c r="AA3664" s="19" t="str">
        <f>HYPERLINK("https://ssdweb.co/ssdweb/CERTH/625432386.pdf","CERTI")</f>
        <v>CERTI</v>
      </c>
    </row>
    <row r="3665" spans="1:27" ht="15" x14ac:dyDescent="0.25">
      <c r="A3665" s="2">
        <v>3660</v>
      </c>
      <c r="B3665" s="39">
        <v>926010227</v>
      </c>
      <c r="C3665" s="28" t="str">
        <f>HYPERLINK("https://pld.live/RapDetail.aspx?STONELIST=926010227","DNA")</f>
        <v>DNA</v>
      </c>
      <c r="D3665" s="18" t="s">
        <v>4563</v>
      </c>
      <c r="E3665" s="18" t="s">
        <v>2186</v>
      </c>
      <c r="F3665" s="2" t="s">
        <v>7987</v>
      </c>
      <c r="G3665" s="2" t="s">
        <v>1573</v>
      </c>
      <c r="H3665" s="14">
        <v>3.07</v>
      </c>
      <c r="I3665" s="2" t="s">
        <v>6587</v>
      </c>
      <c r="J3665" s="2" t="s">
        <v>13</v>
      </c>
      <c r="K3665" s="2" t="s">
        <v>1452</v>
      </c>
      <c r="L3665" s="2" t="s">
        <v>5221</v>
      </c>
      <c r="M3665" s="2" t="s">
        <v>5221</v>
      </c>
      <c r="N3665" s="2" t="s">
        <v>2317</v>
      </c>
      <c r="O3665" s="14">
        <v>22500</v>
      </c>
      <c r="P3665" s="14">
        <v>99.45</v>
      </c>
      <c r="Q3665" s="14">
        <v>123.75</v>
      </c>
      <c r="R3665" s="14">
        <v>379.91</v>
      </c>
      <c r="S3665" s="2" t="s">
        <v>7622</v>
      </c>
      <c r="T3665" s="2">
        <v>1.39</v>
      </c>
      <c r="U3665" s="2">
        <v>62.3</v>
      </c>
      <c r="V3665" s="2">
        <v>60</v>
      </c>
      <c r="W3665" s="2" t="s">
        <v>8016</v>
      </c>
      <c r="X3665" s="2" t="s">
        <v>471</v>
      </c>
      <c r="Y3665" s="2">
        <v>69075</v>
      </c>
      <c r="Z3665" s="19" t="str">
        <f>HYPERLINK("https://ssdweb.co/ssdweb/hd/Vision360.html?d=926010227&amp;zoomslide=1&amp;z=1926010227&amp;ISCONFIRM=0","VIDEO")</f>
        <v>VIDEO</v>
      </c>
      <c r="AA3665" s="19" t="str">
        <f>HYPERLINK("https://ssdweb.co/ssdweb/CERTH/631430434.pdf","CERTI")</f>
        <v>CERTI</v>
      </c>
    </row>
    <row r="3666" spans="1:27" ht="15" x14ac:dyDescent="0.25">
      <c r="A3666" s="2">
        <v>3661</v>
      </c>
      <c r="B3666" s="39">
        <v>925400046</v>
      </c>
      <c r="C3666" s="28" t="str">
        <f>HYPERLINK("https://pld.live/RapDetail.aspx?STONELIST=925400046","DNA")</f>
        <v>DNA</v>
      </c>
      <c r="D3666" s="18" t="s">
        <v>4563</v>
      </c>
      <c r="E3666" s="18" t="s">
        <v>2186</v>
      </c>
      <c r="F3666" s="2" t="s">
        <v>7987</v>
      </c>
      <c r="G3666" s="2" t="s">
        <v>1573</v>
      </c>
      <c r="H3666" s="14">
        <v>3.07</v>
      </c>
      <c r="I3666" s="2" t="s">
        <v>1505</v>
      </c>
      <c r="J3666" s="2" t="s">
        <v>3942</v>
      </c>
      <c r="K3666" s="2" t="s">
        <v>1452</v>
      </c>
      <c r="L3666" s="2" t="s">
        <v>5221</v>
      </c>
      <c r="M3666" s="2" t="s">
        <v>5221</v>
      </c>
      <c r="N3666" s="2" t="s">
        <v>2317</v>
      </c>
      <c r="O3666" s="14">
        <v>21000</v>
      </c>
      <c r="P3666" s="14">
        <v>99.36</v>
      </c>
      <c r="Q3666" s="14">
        <v>134.4</v>
      </c>
      <c r="R3666" s="14">
        <v>412.61</v>
      </c>
      <c r="S3666" s="2" t="s">
        <v>4776</v>
      </c>
      <c r="T3666" s="2">
        <v>1.4</v>
      </c>
      <c r="U3666" s="2">
        <v>60.9</v>
      </c>
      <c r="V3666" s="2">
        <v>61</v>
      </c>
      <c r="W3666" s="2" t="s">
        <v>7862</v>
      </c>
      <c r="X3666" s="2" t="s">
        <v>471</v>
      </c>
      <c r="Y3666" s="2">
        <v>64470</v>
      </c>
      <c r="Z3666" s="19" t="str">
        <f>HYPERLINK("https://ssdweb.co/ssdweb/hd/Vision360.html?d=925400046&amp;zoomslide=1&amp;z=1925400046&amp;ISCONFIRM=0","VIDEO")</f>
        <v>VIDEO</v>
      </c>
      <c r="AA3666" s="19" t="str">
        <f>HYPERLINK("https://ssdweb.co/ssdweb/CERTH/620403279.pdf","CERTI")</f>
        <v>CERTI</v>
      </c>
    </row>
    <row r="3667" spans="1:27" ht="15" x14ac:dyDescent="0.25">
      <c r="A3667" s="2">
        <v>3662</v>
      </c>
      <c r="B3667" s="39">
        <v>925710124</v>
      </c>
      <c r="C3667" s="28" t="str">
        <f>HYPERLINK("https://pld.live/RapDetail.aspx?STONELIST=925710124","DNA")</f>
        <v>DNA</v>
      </c>
      <c r="D3667" s="18" t="s">
        <v>4563</v>
      </c>
      <c r="E3667" s="18" t="s">
        <v>2186</v>
      </c>
      <c r="F3667" s="2" t="s">
        <v>7987</v>
      </c>
      <c r="G3667" s="2" t="s">
        <v>1573</v>
      </c>
      <c r="H3667" s="14">
        <v>3.06</v>
      </c>
      <c r="I3667" s="2" t="s">
        <v>4699</v>
      </c>
      <c r="J3667" s="2" t="s">
        <v>13</v>
      </c>
      <c r="K3667" s="2" t="s">
        <v>1452</v>
      </c>
      <c r="L3667" s="2" t="s">
        <v>5221</v>
      </c>
      <c r="M3667" s="2" t="s">
        <v>5221</v>
      </c>
      <c r="N3667" s="2" t="s">
        <v>2317</v>
      </c>
      <c r="O3667" s="14">
        <v>25000</v>
      </c>
      <c r="P3667" s="14">
        <v>99.42</v>
      </c>
      <c r="Q3667" s="14">
        <v>145</v>
      </c>
      <c r="R3667" s="14">
        <v>443.7</v>
      </c>
      <c r="S3667" s="2" t="s">
        <v>7163</v>
      </c>
      <c r="T3667" s="2">
        <v>1.4</v>
      </c>
      <c r="U3667" s="2">
        <v>61.9</v>
      </c>
      <c r="V3667" s="2">
        <v>60</v>
      </c>
      <c r="W3667" s="2" t="s">
        <v>7862</v>
      </c>
      <c r="X3667" s="2" t="s">
        <v>471</v>
      </c>
      <c r="Y3667" s="2">
        <v>76500</v>
      </c>
      <c r="Z3667" s="19" t="str">
        <f>HYPERLINK("https://ssdweb.co/ssdweb/hd/Vision360.html?d=925710124&amp;zoomslide=1&amp;z=1925710124&amp;ISCONFIRM=0","VIDEO")</f>
        <v>VIDEO</v>
      </c>
      <c r="AA3667" s="19" t="str">
        <f>HYPERLINK("https://ssdweb.co/ssdweb/CERTH/626427707.pdf","CERTI")</f>
        <v>CERTI</v>
      </c>
    </row>
    <row r="3668" spans="1:27" ht="15" x14ac:dyDescent="0.25">
      <c r="A3668" s="2">
        <v>3663</v>
      </c>
      <c r="B3668" s="39">
        <v>925680157</v>
      </c>
      <c r="C3668" s="28" t="str">
        <f>HYPERLINK("https://pld.live/RapDetail.aspx?STONELIST=925680157","DNA")</f>
        <v>DNA</v>
      </c>
      <c r="D3668" s="18" t="s">
        <v>4563</v>
      </c>
      <c r="E3668" s="18" t="s">
        <v>2186</v>
      </c>
      <c r="F3668" s="2" t="s">
        <v>7987</v>
      </c>
      <c r="G3668" s="2" t="s">
        <v>1573</v>
      </c>
      <c r="H3668" s="14">
        <v>3.06</v>
      </c>
      <c r="I3668" s="2" t="s">
        <v>6587</v>
      </c>
      <c r="J3668" s="2" t="s">
        <v>13</v>
      </c>
      <c r="K3668" s="2" t="s">
        <v>1452</v>
      </c>
      <c r="L3668" s="2" t="s">
        <v>5221</v>
      </c>
      <c r="M3668" s="2" t="s">
        <v>5221</v>
      </c>
      <c r="N3668" s="2" t="s">
        <v>2317</v>
      </c>
      <c r="O3668" s="14">
        <v>22500</v>
      </c>
      <c r="P3668" s="14">
        <v>99.44</v>
      </c>
      <c r="Q3668" s="14">
        <v>126</v>
      </c>
      <c r="R3668" s="14">
        <v>385.56</v>
      </c>
      <c r="S3668" s="2" t="s">
        <v>7759</v>
      </c>
      <c r="T3668" s="2">
        <v>1.38</v>
      </c>
      <c r="U3668" s="2">
        <v>61.2</v>
      </c>
      <c r="V3668" s="2">
        <v>62</v>
      </c>
      <c r="W3668" s="2" t="s">
        <v>7862</v>
      </c>
      <c r="X3668" s="2" t="s">
        <v>471</v>
      </c>
      <c r="Y3668" s="2">
        <v>68850</v>
      </c>
      <c r="Z3668" s="19" t="str">
        <f>HYPERLINK("https://ssdweb.co/ssdweb/hd/Vision360.html?d=925680157&amp;zoomslide=1&amp;z=1925680157&amp;ISCONFIRM=0","VIDEO")</f>
        <v>VIDEO</v>
      </c>
      <c r="AA3668" s="19" t="str">
        <f>HYPERLINK("https://ssdweb.co/ssdweb/CERTH/625432366.pdf","CERTI")</f>
        <v>CERTI</v>
      </c>
    </row>
    <row r="3669" spans="1:27" ht="15" x14ac:dyDescent="0.25">
      <c r="A3669" s="2">
        <v>3664</v>
      </c>
      <c r="B3669" s="39">
        <v>925630394</v>
      </c>
      <c r="C3669" s="28" t="str">
        <f>HYPERLINK("https://pld.live/RapDetail.aspx?STONELIST=925630394","DNA")</f>
        <v>DNA</v>
      </c>
      <c r="D3669" s="18" t="s">
        <v>4563</v>
      </c>
      <c r="E3669" s="18" t="s">
        <v>2186</v>
      </c>
      <c r="F3669" s="2" t="s">
        <v>7987</v>
      </c>
      <c r="G3669" s="2" t="s">
        <v>1573</v>
      </c>
      <c r="H3669" s="14">
        <v>3.06</v>
      </c>
      <c r="I3669" s="2" t="s">
        <v>6587</v>
      </c>
      <c r="J3669" s="2" t="s">
        <v>5144</v>
      </c>
      <c r="K3669" s="2" t="s">
        <v>1452</v>
      </c>
      <c r="L3669" s="2" t="s">
        <v>5221</v>
      </c>
      <c r="M3669" s="2" t="s">
        <v>5221</v>
      </c>
      <c r="N3669" s="2" t="s">
        <v>2317</v>
      </c>
      <c r="O3669" s="14">
        <v>20500</v>
      </c>
      <c r="P3669" s="14">
        <v>99.41</v>
      </c>
      <c r="Q3669" s="14">
        <v>120.95</v>
      </c>
      <c r="R3669" s="14">
        <v>370.11</v>
      </c>
      <c r="S3669" s="2" t="s">
        <v>793</v>
      </c>
      <c r="T3669" s="2">
        <v>1.36</v>
      </c>
      <c r="U3669" s="2">
        <v>61.2</v>
      </c>
      <c r="V3669" s="2">
        <v>61</v>
      </c>
      <c r="W3669" s="2" t="s">
        <v>7862</v>
      </c>
      <c r="X3669" s="2" t="s">
        <v>471</v>
      </c>
      <c r="Y3669" s="2">
        <v>62730</v>
      </c>
      <c r="Z3669" s="19" t="str">
        <f>HYPERLINK("https://ssdweb.co/ssdweb/hd/Vision360.html?d=925630394&amp;zoomslide=1&amp;z=1925630394&amp;ISCONFIRM=0","VIDEO")</f>
        <v>VIDEO</v>
      </c>
      <c r="AA3669" s="19" t="str">
        <f>HYPERLINK("https://ssdweb.co/ssdweb/CERTH/623446223.pdf","CERTI")</f>
        <v>CERTI</v>
      </c>
    </row>
    <row r="3670" spans="1:27" ht="15" x14ac:dyDescent="0.25">
      <c r="A3670" s="2">
        <v>3665</v>
      </c>
      <c r="B3670" s="39">
        <v>925630364</v>
      </c>
      <c r="C3670" s="28" t="str">
        <f>HYPERLINK("https://pld.live/RapDetail.aspx?STONELIST=925630364","DNA")</f>
        <v>DNA</v>
      </c>
      <c r="D3670" s="18" t="s">
        <v>4563</v>
      </c>
      <c r="E3670" s="18" t="s">
        <v>2186</v>
      </c>
      <c r="F3670" s="2" t="s">
        <v>7987</v>
      </c>
      <c r="G3670" s="2" t="s">
        <v>1573</v>
      </c>
      <c r="H3670" s="14">
        <v>3.06</v>
      </c>
      <c r="I3670" s="2" t="s">
        <v>1066</v>
      </c>
      <c r="J3670" s="2" t="s">
        <v>13</v>
      </c>
      <c r="K3670" s="2" t="s">
        <v>1452</v>
      </c>
      <c r="L3670" s="2" t="s">
        <v>5221</v>
      </c>
      <c r="M3670" s="2" t="s">
        <v>5221</v>
      </c>
      <c r="N3670" s="2" t="s">
        <v>924</v>
      </c>
      <c r="O3670" s="14">
        <v>5700</v>
      </c>
      <c r="P3670" s="14">
        <v>94.56</v>
      </c>
      <c r="Q3670" s="14">
        <v>310.08</v>
      </c>
      <c r="R3670" s="14">
        <v>948.84</v>
      </c>
      <c r="S3670" s="2" t="s">
        <v>7586</v>
      </c>
      <c r="T3670" s="2">
        <v>1.37</v>
      </c>
      <c r="U3670" s="2">
        <v>62.2</v>
      </c>
      <c r="V3670" s="2">
        <v>59</v>
      </c>
      <c r="W3670" s="2" t="s">
        <v>7862</v>
      </c>
      <c r="X3670" s="2" t="s">
        <v>471</v>
      </c>
      <c r="Y3670" s="2">
        <v>17442</v>
      </c>
      <c r="Z3670" s="19" t="str">
        <f>HYPERLINK("https://ssdweb.co/ssdweb/hd/Vision360.html?d=925630364&amp;zoomslide=1&amp;z=1925630364&amp;ISCONFIRM=0","VIDEO")</f>
        <v>VIDEO</v>
      </c>
      <c r="AA3670" s="19" t="str">
        <f>HYPERLINK("https://ssdweb.co/ssdweb/CERTH/625432425.pdf","CERTI")</f>
        <v>CERTI</v>
      </c>
    </row>
    <row r="3671" spans="1:27" ht="15" x14ac:dyDescent="0.25">
      <c r="A3671" s="2">
        <v>3666</v>
      </c>
      <c r="B3671" s="39">
        <v>821113213</v>
      </c>
      <c r="C3671" s="28" t="str">
        <f>HYPERLINK("https://pld.live/RapDetail.aspx?STONELIST=821113213","DNA")</f>
        <v>DNA</v>
      </c>
      <c r="D3671" s="18" t="s">
        <v>4563</v>
      </c>
      <c r="E3671" s="18" t="s">
        <v>2186</v>
      </c>
      <c r="F3671" s="2" t="s">
        <v>7987</v>
      </c>
      <c r="G3671" s="2" t="s">
        <v>1573</v>
      </c>
      <c r="H3671" s="14">
        <v>3.05</v>
      </c>
      <c r="I3671" s="2" t="s">
        <v>4699</v>
      </c>
      <c r="J3671" s="2" t="s">
        <v>13</v>
      </c>
      <c r="K3671" s="2" t="s">
        <v>1452</v>
      </c>
      <c r="L3671" s="2" t="s">
        <v>5221</v>
      </c>
      <c r="M3671" s="2" t="s">
        <v>5221</v>
      </c>
      <c r="N3671" s="2" t="s">
        <v>2317</v>
      </c>
      <c r="O3671" s="14">
        <v>25000</v>
      </c>
      <c r="P3671" s="14">
        <v>99.42</v>
      </c>
      <c r="Q3671" s="14">
        <v>145</v>
      </c>
      <c r="R3671" s="14">
        <v>442.25</v>
      </c>
      <c r="S3671" s="2" t="s">
        <v>4645</v>
      </c>
      <c r="T3671" s="2">
        <v>1.39</v>
      </c>
      <c r="U3671" s="2">
        <v>61</v>
      </c>
      <c r="V3671" s="2">
        <v>62</v>
      </c>
      <c r="W3671" s="2" t="s">
        <v>7862</v>
      </c>
      <c r="X3671" s="2" t="s">
        <v>471</v>
      </c>
      <c r="Y3671" s="2">
        <v>76250</v>
      </c>
      <c r="Z3671" s="19" t="str">
        <f>HYPERLINK("https://ssdweb.co/ssdweb/hd/Vision360.html?d=821113213&amp;zoomslide=1&amp;z=1821113213&amp;ISCONFIRM=0","VIDEO")</f>
        <v>VIDEO</v>
      </c>
      <c r="AA3671" s="19" t="str">
        <f>HYPERLINK("https://ssdweb.co/ssdweb/CERTH/622486493.pdf","CERTI")</f>
        <v>CERTI</v>
      </c>
    </row>
    <row r="3672" spans="1:27" ht="15" x14ac:dyDescent="0.25">
      <c r="A3672" s="2">
        <v>3667</v>
      </c>
      <c r="B3672" s="39">
        <v>925670203</v>
      </c>
      <c r="C3672" s="28" t="str">
        <f>HYPERLINK("https://pld.live/RapDetail.aspx?STONELIST=925670203","DNA")</f>
        <v>DNA</v>
      </c>
      <c r="D3672" s="18" t="s">
        <v>4563</v>
      </c>
      <c r="E3672" s="18" t="s">
        <v>2186</v>
      </c>
      <c r="F3672" s="2" t="s">
        <v>7987</v>
      </c>
      <c r="G3672" s="2" t="s">
        <v>1573</v>
      </c>
      <c r="H3672" s="14">
        <v>3.05</v>
      </c>
      <c r="I3672" s="2" t="s">
        <v>4699</v>
      </c>
      <c r="J3672" s="2" t="s">
        <v>13</v>
      </c>
      <c r="K3672" s="2" t="s">
        <v>1452</v>
      </c>
      <c r="L3672" s="2" t="s">
        <v>5221</v>
      </c>
      <c r="M3672" s="2" t="s">
        <v>5221</v>
      </c>
      <c r="N3672" s="2" t="s">
        <v>2317</v>
      </c>
      <c r="O3672" s="14">
        <v>25000</v>
      </c>
      <c r="P3672" s="14">
        <v>99.42</v>
      </c>
      <c r="Q3672" s="14">
        <v>145</v>
      </c>
      <c r="R3672" s="14">
        <v>442.25</v>
      </c>
      <c r="S3672" s="2" t="s">
        <v>4264</v>
      </c>
      <c r="T3672" s="2">
        <v>1.36</v>
      </c>
      <c r="U3672" s="2">
        <v>63</v>
      </c>
      <c r="V3672" s="2">
        <v>61</v>
      </c>
      <c r="W3672" s="2" t="s">
        <v>7862</v>
      </c>
      <c r="X3672" s="2" t="s">
        <v>471</v>
      </c>
      <c r="Y3672" s="2">
        <v>76250</v>
      </c>
      <c r="Z3672" s="19" t="str">
        <f>HYPERLINK("https://ssdweb.co/ssdweb/hd/Vision360.html?d=925670203&amp;zoomslide=1&amp;z=1925670203&amp;ISCONFIRM=0","VIDEO")</f>
        <v>VIDEO</v>
      </c>
      <c r="AA3672" s="19" t="str">
        <f>HYPERLINK("https://ssdweb.co/ssdweb/CERTH/625432396.pdf","CERTI")</f>
        <v>CERTI</v>
      </c>
    </row>
    <row r="3673" spans="1:27" ht="15" x14ac:dyDescent="0.25">
      <c r="A3673" s="2">
        <v>3668</v>
      </c>
      <c r="B3673" s="39">
        <v>925810031</v>
      </c>
      <c r="C3673" s="28" t="str">
        <f>HYPERLINK("https://pld.live/RapDetail.aspx?STONELIST=925810031","DNA")</f>
        <v>DNA</v>
      </c>
      <c r="D3673" s="18" t="s">
        <v>4563</v>
      </c>
      <c r="E3673" s="18" t="s">
        <v>2186</v>
      </c>
      <c r="F3673" s="2" t="s">
        <v>7987</v>
      </c>
      <c r="G3673" s="2" t="s">
        <v>1573</v>
      </c>
      <c r="H3673" s="14">
        <v>3.05</v>
      </c>
      <c r="I3673" s="2" t="s">
        <v>6587</v>
      </c>
      <c r="J3673" s="2" t="s">
        <v>13</v>
      </c>
      <c r="K3673" s="2" t="s">
        <v>1452</v>
      </c>
      <c r="L3673" s="2" t="s">
        <v>5221</v>
      </c>
      <c r="M3673" s="2" t="s">
        <v>5221</v>
      </c>
      <c r="N3673" s="2" t="s">
        <v>2317</v>
      </c>
      <c r="O3673" s="14">
        <v>22500</v>
      </c>
      <c r="P3673" s="14">
        <v>99.44</v>
      </c>
      <c r="Q3673" s="14">
        <v>126</v>
      </c>
      <c r="R3673" s="14">
        <v>384.3</v>
      </c>
      <c r="S3673" s="2" t="s">
        <v>3755</v>
      </c>
      <c r="T3673" s="2">
        <v>1.4</v>
      </c>
      <c r="U3673" s="2">
        <v>62.1</v>
      </c>
      <c r="V3673" s="2">
        <v>59</v>
      </c>
      <c r="W3673" s="2" t="s">
        <v>7862</v>
      </c>
      <c r="X3673" s="2" t="s">
        <v>471</v>
      </c>
      <c r="Y3673" s="2">
        <v>68625</v>
      </c>
      <c r="Z3673" s="19" t="str">
        <f>HYPERLINK("https://ssdweb.co/ssdweb/hd/Vision360.html?d=925810031&amp;zoomslide=1&amp;z=1925810031&amp;ISCONFIRM=0","VIDEO")</f>
        <v>VIDEO</v>
      </c>
      <c r="AA3673" s="19" t="str">
        <f>HYPERLINK("https://ssdweb.co/ssdweb/CERTH/624440181.pdf","CERTI")</f>
        <v>CERTI</v>
      </c>
    </row>
    <row r="3674" spans="1:27" ht="15" x14ac:dyDescent="0.25">
      <c r="A3674" s="2">
        <v>3669</v>
      </c>
      <c r="B3674" s="39">
        <v>831020287</v>
      </c>
      <c r="C3674" s="28" t="str">
        <f>HYPERLINK("https://pld.live/RapDetail.aspx?STONELIST=831020287","DNA")</f>
        <v>DNA</v>
      </c>
      <c r="D3674" s="18" t="s">
        <v>4563</v>
      </c>
      <c r="E3674" s="18" t="s">
        <v>2186</v>
      </c>
      <c r="F3674" s="2" t="s">
        <v>5597</v>
      </c>
      <c r="G3674" s="2" t="s">
        <v>1573</v>
      </c>
      <c r="H3674" s="14">
        <v>3.05</v>
      </c>
      <c r="I3674" s="2" t="s">
        <v>6587</v>
      </c>
      <c r="J3674" s="2" t="s">
        <v>13</v>
      </c>
      <c r="K3674" s="2" t="s">
        <v>1452</v>
      </c>
      <c r="L3674" s="2" t="s">
        <v>5221</v>
      </c>
      <c r="M3674" s="2" t="s">
        <v>5221</v>
      </c>
      <c r="N3674" s="2" t="s">
        <v>2317</v>
      </c>
      <c r="O3674" s="14">
        <v>22500</v>
      </c>
      <c r="P3674" s="14">
        <v>98.98</v>
      </c>
      <c r="Q3674" s="14">
        <v>229.5</v>
      </c>
      <c r="R3674" s="14">
        <v>699.98</v>
      </c>
      <c r="S3674" s="2" t="s">
        <v>4441</v>
      </c>
      <c r="T3674" s="2">
        <v>1.39</v>
      </c>
      <c r="U3674" s="2">
        <v>62.5</v>
      </c>
      <c r="V3674" s="2">
        <v>61</v>
      </c>
      <c r="W3674" s="2" t="s">
        <v>7862</v>
      </c>
      <c r="X3674" s="2" t="s">
        <v>471</v>
      </c>
      <c r="Y3674" s="2">
        <v>68625</v>
      </c>
      <c r="Z3674" s="19" t="str">
        <f>HYPERLINK("https://ssdweb.co/ssdweb/hd/Vision360.html?d=831020287&amp;zoomslide=1&amp;z=1831020287&amp;ISCONFIRM=0","VIDEO")</f>
        <v>VIDEO</v>
      </c>
      <c r="AA3674" s="19" t="str">
        <f>HYPERLINK("https://ssdweb.co/ssdweb/CERTH/1473871192.pdf","CERTI")</f>
        <v>CERTI</v>
      </c>
    </row>
    <row r="3675" spans="1:27" ht="15" x14ac:dyDescent="0.25">
      <c r="A3675" s="2">
        <v>3670</v>
      </c>
      <c r="B3675" s="39">
        <v>925710186</v>
      </c>
      <c r="C3675" s="28" t="str">
        <f>HYPERLINK("https://pld.live/RapDetail.aspx?STONELIST=925710186","DNA")</f>
        <v>DNA</v>
      </c>
      <c r="D3675" s="18" t="s">
        <v>4563</v>
      </c>
      <c r="E3675" s="18" t="s">
        <v>2186</v>
      </c>
      <c r="F3675" s="2" t="s">
        <v>7987</v>
      </c>
      <c r="G3675" s="2" t="s">
        <v>1573</v>
      </c>
      <c r="H3675" s="14">
        <v>3.05</v>
      </c>
      <c r="I3675" s="2" t="s">
        <v>6587</v>
      </c>
      <c r="J3675" s="2" t="s">
        <v>13</v>
      </c>
      <c r="K3675" s="2" t="s">
        <v>1452</v>
      </c>
      <c r="L3675" s="2" t="s">
        <v>5221</v>
      </c>
      <c r="M3675" s="2" t="s">
        <v>5221</v>
      </c>
      <c r="N3675" s="2" t="s">
        <v>2317</v>
      </c>
      <c r="O3675" s="14">
        <v>22500</v>
      </c>
      <c r="P3675" s="14">
        <v>99.44</v>
      </c>
      <c r="Q3675" s="14">
        <v>126</v>
      </c>
      <c r="R3675" s="14">
        <v>384.3</v>
      </c>
      <c r="S3675" s="2" t="s">
        <v>7232</v>
      </c>
      <c r="T3675" s="2">
        <v>1.36</v>
      </c>
      <c r="U3675" s="2">
        <v>62.3</v>
      </c>
      <c r="V3675" s="2">
        <v>60</v>
      </c>
      <c r="W3675" s="2" t="s">
        <v>7862</v>
      </c>
      <c r="X3675" s="2" t="s">
        <v>471</v>
      </c>
      <c r="Y3675" s="2">
        <v>68625</v>
      </c>
      <c r="Z3675" s="19" t="str">
        <f>HYPERLINK("https://ssdweb.co/ssdweb/hd/Vision360.html?d=925710186&amp;zoomslide=1&amp;z=1925710186&amp;ISCONFIRM=0","VIDEO")</f>
        <v>VIDEO</v>
      </c>
      <c r="AA3675" s="19" t="str">
        <f>HYPERLINK("https://ssdweb.co/ssdweb/CERTH/627415221.pdf","CERTI")</f>
        <v>CERTI</v>
      </c>
    </row>
    <row r="3676" spans="1:27" ht="15" x14ac:dyDescent="0.25">
      <c r="A3676" s="2">
        <v>3671</v>
      </c>
      <c r="B3676" s="39">
        <v>925690195</v>
      </c>
      <c r="C3676" s="28" t="str">
        <f>HYPERLINK("https://pld.live/RapDetail.aspx?STONELIST=925690195","DNA")</f>
        <v>DNA</v>
      </c>
      <c r="D3676" s="18" t="s">
        <v>4563</v>
      </c>
      <c r="E3676" s="18" t="s">
        <v>2186</v>
      </c>
      <c r="F3676" s="2" t="s">
        <v>7987</v>
      </c>
      <c r="G3676" s="2" t="s">
        <v>1573</v>
      </c>
      <c r="H3676" s="14">
        <v>3.05</v>
      </c>
      <c r="I3676" s="2" t="s">
        <v>1505</v>
      </c>
      <c r="J3676" s="2" t="s">
        <v>13</v>
      </c>
      <c r="K3676" s="2" t="s">
        <v>1452</v>
      </c>
      <c r="L3676" s="2" t="s">
        <v>5221</v>
      </c>
      <c r="M3676" s="2" t="s">
        <v>5221</v>
      </c>
      <c r="N3676" s="2" t="s">
        <v>2317</v>
      </c>
      <c r="O3676" s="14">
        <v>19500</v>
      </c>
      <c r="P3676" s="14">
        <v>99.38</v>
      </c>
      <c r="Q3676" s="14">
        <v>120.9</v>
      </c>
      <c r="R3676" s="14">
        <v>368.75</v>
      </c>
      <c r="S3676" s="2" t="s">
        <v>460</v>
      </c>
      <c r="T3676" s="2">
        <v>1.4</v>
      </c>
      <c r="U3676" s="2">
        <v>61.6</v>
      </c>
      <c r="V3676" s="2">
        <v>62</v>
      </c>
      <c r="W3676" s="2" t="s">
        <v>7862</v>
      </c>
      <c r="X3676" s="2" t="s">
        <v>471</v>
      </c>
      <c r="Y3676" s="2">
        <v>59475</v>
      </c>
      <c r="Z3676" s="19" t="str">
        <f>HYPERLINK("https://ssdweb.co/ssdweb/hd/Vision360.html?d=925690195&amp;zoomslide=1&amp;z=1925690195&amp;ISCONFIRM=0","VIDEO")</f>
        <v>VIDEO</v>
      </c>
      <c r="AA3676" s="19" t="str">
        <f>HYPERLINK("https://ssdweb.co/ssdweb/CERTH/626457464.pdf","CERTI")</f>
        <v>CERTI</v>
      </c>
    </row>
    <row r="3677" spans="1:27" ht="15" x14ac:dyDescent="0.25">
      <c r="A3677" s="2">
        <v>3672</v>
      </c>
      <c r="B3677" s="39">
        <v>925600394</v>
      </c>
      <c r="C3677" s="28" t="str">
        <f>HYPERLINK("https://pld.live/RapDetail.aspx?STONELIST=925600394","DNA")</f>
        <v>DNA</v>
      </c>
      <c r="D3677" s="18" t="s">
        <v>4563</v>
      </c>
      <c r="E3677" s="18" t="s">
        <v>2186</v>
      </c>
      <c r="F3677" s="2" t="s">
        <v>7987</v>
      </c>
      <c r="G3677" s="2" t="s">
        <v>1573</v>
      </c>
      <c r="H3677" s="14">
        <v>3.04</v>
      </c>
      <c r="I3677" s="2" t="s">
        <v>4761</v>
      </c>
      <c r="J3677" s="2" t="s">
        <v>5144</v>
      </c>
      <c r="K3677" s="2" t="s">
        <v>1452</v>
      </c>
      <c r="L3677" s="2" t="s">
        <v>5221</v>
      </c>
      <c r="M3677" s="2" t="s">
        <v>5221</v>
      </c>
      <c r="N3677" s="2" t="s">
        <v>2317</v>
      </c>
      <c r="O3677" s="14">
        <v>24500</v>
      </c>
      <c r="P3677" s="14">
        <v>99.43</v>
      </c>
      <c r="Q3677" s="14">
        <v>139.65</v>
      </c>
      <c r="R3677" s="14">
        <v>424.54</v>
      </c>
      <c r="S3677" s="2" t="s">
        <v>1142</v>
      </c>
      <c r="T3677" s="2">
        <v>1.4</v>
      </c>
      <c r="U3677" s="2">
        <v>63.3</v>
      </c>
      <c r="V3677" s="2">
        <v>63</v>
      </c>
      <c r="W3677" s="2" t="s">
        <v>7862</v>
      </c>
      <c r="X3677" s="2" t="s">
        <v>471</v>
      </c>
      <c r="Y3677" s="2">
        <v>74480</v>
      </c>
      <c r="Z3677" s="19" t="str">
        <f>HYPERLINK("https://ssdweb.co/ssdweb/hd/Vision360.html?d=925600394&amp;zoomslide=1&amp;z=1925600394&amp;ISCONFIRM=0","VIDEO")</f>
        <v>VIDEO</v>
      </c>
      <c r="AA3677" s="19" t="str">
        <f>HYPERLINK("https://ssdweb.co/ssdweb/CERTH/623449461.pdf","CERTI")</f>
        <v>CERTI</v>
      </c>
    </row>
    <row r="3678" spans="1:27" ht="15" x14ac:dyDescent="0.25">
      <c r="A3678" s="2">
        <v>3673</v>
      </c>
      <c r="B3678" s="39">
        <v>925670190</v>
      </c>
      <c r="C3678" s="28" t="str">
        <f>HYPERLINK("https://pld.live/RapDetail.aspx?STONELIST=925670190","DNA")</f>
        <v>DNA</v>
      </c>
      <c r="D3678" s="18" t="s">
        <v>4563</v>
      </c>
      <c r="E3678" s="18" t="s">
        <v>2186</v>
      </c>
      <c r="F3678" s="2" t="s">
        <v>7987</v>
      </c>
      <c r="G3678" s="2" t="s">
        <v>1573</v>
      </c>
      <c r="H3678" s="14">
        <v>3.04</v>
      </c>
      <c r="I3678" s="2" t="s">
        <v>4699</v>
      </c>
      <c r="J3678" s="2" t="s">
        <v>3942</v>
      </c>
      <c r="K3678" s="2" t="s">
        <v>1452</v>
      </c>
      <c r="L3678" s="2" t="s">
        <v>5221</v>
      </c>
      <c r="M3678" s="2" t="s">
        <v>5221</v>
      </c>
      <c r="N3678" s="2" t="s">
        <v>2317</v>
      </c>
      <c r="O3678" s="14">
        <v>27000</v>
      </c>
      <c r="P3678" s="14">
        <v>99.36</v>
      </c>
      <c r="Q3678" s="14">
        <v>172.8</v>
      </c>
      <c r="R3678" s="14">
        <v>525.30999999999995</v>
      </c>
      <c r="S3678" s="2" t="s">
        <v>3672</v>
      </c>
      <c r="T3678" s="2">
        <v>1.44</v>
      </c>
      <c r="U3678" s="2">
        <v>62</v>
      </c>
      <c r="V3678" s="2">
        <v>60</v>
      </c>
      <c r="W3678" s="2" t="s">
        <v>8016</v>
      </c>
      <c r="X3678" s="2" t="s">
        <v>471</v>
      </c>
      <c r="Y3678" s="2">
        <v>82080</v>
      </c>
      <c r="Z3678" s="19" t="str">
        <f>HYPERLINK("https://ssdweb.co/ssdweb/hd/Vision360.html?d=925670190&amp;zoomslide=1&amp;z=1925670190&amp;ISCONFIRM=0","VIDEO")</f>
        <v>VIDEO</v>
      </c>
      <c r="AA3678" s="19" t="str">
        <f>HYPERLINK("https://ssdweb.co/ssdweb/CERTH/625458054.pdf","CERTI")</f>
        <v>CERTI</v>
      </c>
    </row>
    <row r="3679" spans="1:27" ht="15" x14ac:dyDescent="0.25">
      <c r="A3679" s="2">
        <v>3674</v>
      </c>
      <c r="B3679" s="39">
        <v>925630468</v>
      </c>
      <c r="C3679" s="28" t="str">
        <f>HYPERLINK("https://pld.live/RapDetail.aspx?STONELIST=925630468","DNA")</f>
        <v>DNA</v>
      </c>
      <c r="D3679" s="18" t="s">
        <v>4563</v>
      </c>
      <c r="E3679" s="18" t="s">
        <v>2186</v>
      </c>
      <c r="F3679" s="2" t="s">
        <v>7987</v>
      </c>
      <c r="G3679" s="2" t="s">
        <v>1573</v>
      </c>
      <c r="H3679" s="14">
        <v>3.04</v>
      </c>
      <c r="I3679" s="2" t="s">
        <v>6587</v>
      </c>
      <c r="J3679" s="2" t="s">
        <v>3942</v>
      </c>
      <c r="K3679" s="2" t="s">
        <v>1452</v>
      </c>
      <c r="L3679" s="2" t="s">
        <v>5221</v>
      </c>
      <c r="M3679" s="2" t="s">
        <v>5221</v>
      </c>
      <c r="N3679" s="2" t="s">
        <v>2317</v>
      </c>
      <c r="O3679" s="14">
        <v>24500</v>
      </c>
      <c r="P3679" s="14">
        <v>99.44</v>
      </c>
      <c r="Q3679" s="14">
        <v>137.19999999999999</v>
      </c>
      <c r="R3679" s="14">
        <v>417.09</v>
      </c>
      <c r="S3679" s="2" t="s">
        <v>2262</v>
      </c>
      <c r="T3679" s="2">
        <v>1.37</v>
      </c>
      <c r="U3679" s="2">
        <v>62.5</v>
      </c>
      <c r="V3679" s="2">
        <v>61</v>
      </c>
      <c r="W3679" s="2" t="s">
        <v>8016</v>
      </c>
      <c r="X3679" s="2" t="s">
        <v>471</v>
      </c>
      <c r="Y3679" s="2">
        <v>74480</v>
      </c>
      <c r="Z3679" s="19" t="str">
        <f>HYPERLINK("https://ssdweb.co/ssdweb/hd/Vision360.html?d=925630468&amp;zoomslide=1&amp;z=1925630468&amp;ISCONFIRM=0","VIDEO")</f>
        <v>VIDEO</v>
      </c>
      <c r="AA3679" s="19" t="str">
        <f>HYPERLINK("https://ssdweb.co/ssdweb/CERTH/624420628.pdf","CERTI")</f>
        <v>CERTI</v>
      </c>
    </row>
    <row r="3680" spans="1:27" ht="15" x14ac:dyDescent="0.25">
      <c r="A3680" s="2">
        <v>3675</v>
      </c>
      <c r="B3680" s="39">
        <v>925670170</v>
      </c>
      <c r="C3680" s="28" t="str">
        <f>HYPERLINK("https://pld.live/RapDetail.aspx?STONELIST=925670170","DNA")</f>
        <v>DNA</v>
      </c>
      <c r="D3680" s="18" t="s">
        <v>4563</v>
      </c>
      <c r="E3680" s="18" t="s">
        <v>2186</v>
      </c>
      <c r="F3680" s="2" t="s">
        <v>7987</v>
      </c>
      <c r="G3680" s="2" t="s">
        <v>1573</v>
      </c>
      <c r="H3680" s="14">
        <v>3.04</v>
      </c>
      <c r="I3680" s="2" t="s">
        <v>6587</v>
      </c>
      <c r="J3680" s="2" t="s">
        <v>3942</v>
      </c>
      <c r="K3680" s="2" t="s">
        <v>1452</v>
      </c>
      <c r="L3680" s="2" t="s">
        <v>5221</v>
      </c>
      <c r="M3680" s="2" t="s">
        <v>5221</v>
      </c>
      <c r="N3680" s="2" t="s">
        <v>2317</v>
      </c>
      <c r="O3680" s="14">
        <v>24500</v>
      </c>
      <c r="P3680" s="14">
        <v>99.43</v>
      </c>
      <c r="Q3680" s="14">
        <v>139.65</v>
      </c>
      <c r="R3680" s="14">
        <v>424.54</v>
      </c>
      <c r="S3680" s="2" t="s">
        <v>6047</v>
      </c>
      <c r="T3680" s="2">
        <v>1.41</v>
      </c>
      <c r="U3680" s="2">
        <v>62.1</v>
      </c>
      <c r="V3680" s="2">
        <v>60</v>
      </c>
      <c r="W3680" s="2" t="s">
        <v>7862</v>
      </c>
      <c r="X3680" s="2" t="s">
        <v>471</v>
      </c>
      <c r="Y3680" s="2">
        <v>74480</v>
      </c>
      <c r="Z3680" s="19" t="str">
        <f>HYPERLINK("https://ssdweb.co/ssdweb/hd/Vision360.html?d=925670170&amp;zoomslide=1&amp;z=1925670170&amp;ISCONFIRM=0","VIDEO")</f>
        <v>VIDEO</v>
      </c>
      <c r="AA3680" s="19" t="str">
        <f>HYPERLINK("https://ssdweb.co/ssdweb/CERTH/624420633.pdf","CERTI")</f>
        <v>CERTI</v>
      </c>
    </row>
    <row r="3681" spans="1:27" ht="15" x14ac:dyDescent="0.25">
      <c r="A3681" s="2">
        <v>3676</v>
      </c>
      <c r="B3681" s="39">
        <v>925630370</v>
      </c>
      <c r="C3681" s="28" t="str">
        <f>HYPERLINK("https://pld.live/RapDetail.aspx?STONELIST=925630370","DNA")</f>
        <v>DNA</v>
      </c>
      <c r="D3681" s="18" t="s">
        <v>4563</v>
      </c>
      <c r="E3681" s="18" t="s">
        <v>2186</v>
      </c>
      <c r="F3681" s="2" t="s">
        <v>7987</v>
      </c>
      <c r="G3681" s="2" t="s">
        <v>1573</v>
      </c>
      <c r="H3681" s="14">
        <v>3.04</v>
      </c>
      <c r="I3681" s="2" t="s">
        <v>6587</v>
      </c>
      <c r="J3681" s="2" t="s">
        <v>13</v>
      </c>
      <c r="K3681" s="2" t="s">
        <v>1452</v>
      </c>
      <c r="L3681" s="2" t="s">
        <v>5221</v>
      </c>
      <c r="M3681" s="2" t="s">
        <v>5221</v>
      </c>
      <c r="N3681" s="2" t="s">
        <v>2317</v>
      </c>
      <c r="O3681" s="14">
        <v>22500</v>
      </c>
      <c r="P3681" s="14">
        <v>99.45</v>
      </c>
      <c r="Q3681" s="14">
        <v>123.75</v>
      </c>
      <c r="R3681" s="14">
        <v>376.2</v>
      </c>
      <c r="S3681" s="2" t="s">
        <v>1478</v>
      </c>
      <c r="T3681" s="2">
        <v>1.39</v>
      </c>
      <c r="U3681" s="2">
        <v>62.7</v>
      </c>
      <c r="V3681" s="2">
        <v>60</v>
      </c>
      <c r="W3681" s="2" t="s">
        <v>8016</v>
      </c>
      <c r="X3681" s="2" t="s">
        <v>471</v>
      </c>
      <c r="Y3681" s="2">
        <v>68400</v>
      </c>
      <c r="Z3681" s="19" t="str">
        <f>HYPERLINK("https://ssdweb.co/ssdweb/hd/Vision360.html?d=925630370&amp;zoomslide=1&amp;z=1925630370&amp;ISCONFIRM=0","VIDEO")</f>
        <v>VIDEO</v>
      </c>
      <c r="AA3681" s="19" t="str">
        <f>HYPERLINK("https://ssdweb.co/ssdweb/CERTH/622499923.pdf","CERTI")</f>
        <v>CERTI</v>
      </c>
    </row>
    <row r="3682" spans="1:27" ht="15" x14ac:dyDescent="0.25">
      <c r="A3682" s="2">
        <v>3677</v>
      </c>
      <c r="B3682" s="39">
        <v>925680168</v>
      </c>
      <c r="C3682" s="28" t="str">
        <f>HYPERLINK("https://pld.live/RapDetail.aspx?STONELIST=925680168","DNA")</f>
        <v>DNA</v>
      </c>
      <c r="D3682" s="18" t="s">
        <v>4563</v>
      </c>
      <c r="E3682" s="18" t="s">
        <v>2186</v>
      </c>
      <c r="F3682" s="2" t="s">
        <v>7987</v>
      </c>
      <c r="G3682" s="2" t="s">
        <v>1573</v>
      </c>
      <c r="H3682" s="14">
        <v>3.04</v>
      </c>
      <c r="I3682" s="2" t="s">
        <v>6587</v>
      </c>
      <c r="J3682" s="2" t="s">
        <v>13</v>
      </c>
      <c r="K3682" s="2" t="s">
        <v>1452</v>
      </c>
      <c r="L3682" s="2" t="s">
        <v>5221</v>
      </c>
      <c r="M3682" s="2" t="s">
        <v>5221</v>
      </c>
      <c r="N3682" s="2" t="s">
        <v>2317</v>
      </c>
      <c r="O3682" s="14">
        <v>22500</v>
      </c>
      <c r="P3682" s="14">
        <v>99.44</v>
      </c>
      <c r="Q3682" s="14">
        <v>126</v>
      </c>
      <c r="R3682" s="14">
        <v>383.04</v>
      </c>
      <c r="S3682" s="2" t="s">
        <v>4799</v>
      </c>
      <c r="T3682" s="2">
        <v>1.38</v>
      </c>
      <c r="U3682" s="2">
        <v>61.5</v>
      </c>
      <c r="V3682" s="2">
        <v>60</v>
      </c>
      <c r="W3682" s="2" t="s">
        <v>7862</v>
      </c>
      <c r="X3682" s="2" t="s">
        <v>471</v>
      </c>
      <c r="Y3682" s="2">
        <v>68400</v>
      </c>
      <c r="Z3682" s="19" t="str">
        <f>HYPERLINK("https://ssdweb.co/ssdweb/hd/Vision360.html?d=925680168&amp;zoomslide=1&amp;z=1925680168&amp;ISCONFIRM=0","VIDEO")</f>
        <v>VIDEO</v>
      </c>
      <c r="AA3682" s="19" t="str">
        <f>HYPERLINK("https://ssdweb.co/ssdweb/CERTH/626457477.pdf","CERTI")</f>
        <v>CERTI</v>
      </c>
    </row>
    <row r="3683" spans="1:27" ht="15" x14ac:dyDescent="0.25">
      <c r="A3683" s="2">
        <v>3678</v>
      </c>
      <c r="B3683" s="39">
        <v>925680156</v>
      </c>
      <c r="C3683" s="28" t="str">
        <f>HYPERLINK("https://pld.live/RapDetail.aspx?STONELIST=925680156","DNA")</f>
        <v>DNA</v>
      </c>
      <c r="D3683" s="18" t="s">
        <v>4563</v>
      </c>
      <c r="E3683" s="18" t="s">
        <v>2186</v>
      </c>
      <c r="F3683" s="2" t="s">
        <v>7987</v>
      </c>
      <c r="G3683" s="2" t="s">
        <v>1573</v>
      </c>
      <c r="H3683" s="14">
        <v>3.04</v>
      </c>
      <c r="I3683" s="2" t="s">
        <v>6587</v>
      </c>
      <c r="J3683" s="2" t="s">
        <v>13</v>
      </c>
      <c r="K3683" s="2" t="s">
        <v>1452</v>
      </c>
      <c r="L3683" s="2" t="s">
        <v>5221</v>
      </c>
      <c r="M3683" s="2" t="s">
        <v>5221</v>
      </c>
      <c r="N3683" s="2" t="s">
        <v>2317</v>
      </c>
      <c r="O3683" s="14">
        <v>22500</v>
      </c>
      <c r="P3683" s="14">
        <v>99.44</v>
      </c>
      <c r="Q3683" s="14">
        <v>126</v>
      </c>
      <c r="R3683" s="14">
        <v>383.04</v>
      </c>
      <c r="S3683" s="2" t="s">
        <v>5282</v>
      </c>
      <c r="T3683" s="2">
        <v>1.41</v>
      </c>
      <c r="U3683" s="2">
        <v>61.8</v>
      </c>
      <c r="V3683" s="2">
        <v>61</v>
      </c>
      <c r="W3683" s="2" t="s">
        <v>7862</v>
      </c>
      <c r="X3683" s="2" t="s">
        <v>471</v>
      </c>
      <c r="Y3683" s="2">
        <v>68400</v>
      </c>
      <c r="Z3683" s="19" t="str">
        <f>HYPERLINK("https://ssdweb.co/ssdweb/hd/Vision360.html?d=925680156&amp;zoomslide=1&amp;z=1925680156&amp;ISCONFIRM=0","VIDEO")</f>
        <v>VIDEO</v>
      </c>
      <c r="AA3683" s="19" t="str">
        <f>HYPERLINK("https://ssdweb.co/ssdweb/CERTH/625432365.pdf","CERTI")</f>
        <v>CERTI</v>
      </c>
    </row>
    <row r="3684" spans="1:27" ht="15" x14ac:dyDescent="0.25">
      <c r="A3684" s="2">
        <v>3679</v>
      </c>
      <c r="B3684" s="39">
        <v>925690179</v>
      </c>
      <c r="C3684" s="28" t="str">
        <f>HYPERLINK("https://pld.live/RapDetail.aspx?STONELIST=925690179","DNA")</f>
        <v>DNA</v>
      </c>
      <c r="D3684" s="18" t="s">
        <v>4563</v>
      </c>
      <c r="E3684" s="18" t="s">
        <v>2186</v>
      </c>
      <c r="F3684" s="2" t="s">
        <v>7987</v>
      </c>
      <c r="G3684" s="2" t="s">
        <v>1573</v>
      </c>
      <c r="H3684" s="14">
        <v>3.04</v>
      </c>
      <c r="I3684" s="2" t="s">
        <v>1505</v>
      </c>
      <c r="J3684" s="2" t="s">
        <v>13</v>
      </c>
      <c r="K3684" s="2" t="s">
        <v>1452</v>
      </c>
      <c r="L3684" s="2" t="s">
        <v>5221</v>
      </c>
      <c r="M3684" s="2" t="s">
        <v>5221</v>
      </c>
      <c r="N3684" s="2" t="s">
        <v>2317</v>
      </c>
      <c r="O3684" s="14">
        <v>19500</v>
      </c>
      <c r="P3684" s="14">
        <v>99.38</v>
      </c>
      <c r="Q3684" s="14">
        <v>120.9</v>
      </c>
      <c r="R3684" s="14">
        <v>367.54</v>
      </c>
      <c r="S3684" s="2" t="s">
        <v>726</v>
      </c>
      <c r="T3684" s="2">
        <v>1.4</v>
      </c>
      <c r="U3684" s="2">
        <v>61.7</v>
      </c>
      <c r="V3684" s="2">
        <v>62</v>
      </c>
      <c r="W3684" s="2" t="s">
        <v>7862</v>
      </c>
      <c r="X3684" s="2" t="s">
        <v>471</v>
      </c>
      <c r="Y3684" s="2">
        <v>59280</v>
      </c>
      <c r="Z3684" s="19" t="str">
        <f>HYPERLINK("https://ssdweb.co/ssdweb/hd/Vision360.html?d=925690179&amp;zoomslide=1&amp;z=1925690179&amp;ISCONFIRM=0","VIDEO")</f>
        <v>VIDEO</v>
      </c>
      <c r="AA3684" s="19" t="str">
        <f>HYPERLINK("https://ssdweb.co/ssdweb/CERTH/626457463.pdf","CERTI")</f>
        <v>CERTI</v>
      </c>
    </row>
    <row r="3685" spans="1:27" ht="15" x14ac:dyDescent="0.25">
      <c r="A3685" s="2">
        <v>3680</v>
      </c>
      <c r="B3685" s="39">
        <v>925700067</v>
      </c>
      <c r="C3685" s="28" t="str">
        <f>HYPERLINK("https://pld.live/RapDetail.aspx?STONELIST=925700067","DNA")</f>
        <v>DNA</v>
      </c>
      <c r="D3685" s="18" t="s">
        <v>4563</v>
      </c>
      <c r="E3685" s="18" t="s">
        <v>2186</v>
      </c>
      <c r="F3685" s="2" t="s">
        <v>7987</v>
      </c>
      <c r="G3685" s="2" t="s">
        <v>1573</v>
      </c>
      <c r="H3685" s="14">
        <v>3.04</v>
      </c>
      <c r="I3685" s="2" t="s">
        <v>6845</v>
      </c>
      <c r="J3685" s="2" t="s">
        <v>5144</v>
      </c>
      <c r="K3685" s="2" t="s">
        <v>1452</v>
      </c>
      <c r="L3685" s="2" t="s">
        <v>5221</v>
      </c>
      <c r="M3685" s="2" t="s">
        <v>5221</v>
      </c>
      <c r="N3685" s="2" t="s">
        <v>2317</v>
      </c>
      <c r="O3685" s="14">
        <v>5400</v>
      </c>
      <c r="P3685" s="14">
        <v>95.74</v>
      </c>
      <c r="Q3685" s="14">
        <v>230.04</v>
      </c>
      <c r="R3685" s="14">
        <v>699.32</v>
      </c>
      <c r="S3685" s="2" t="s">
        <v>4275</v>
      </c>
      <c r="T3685" s="2">
        <v>1.38</v>
      </c>
      <c r="U3685" s="2">
        <v>62.1</v>
      </c>
      <c r="V3685" s="2">
        <v>60</v>
      </c>
      <c r="W3685" s="2" t="s">
        <v>7862</v>
      </c>
      <c r="X3685" s="2" t="s">
        <v>471</v>
      </c>
      <c r="Y3685" s="2">
        <v>16416</v>
      </c>
      <c r="Z3685" s="19" t="str">
        <f>HYPERLINK("https://ssdweb.co/ssdweb/hd/Vision360.html?d=925700067&amp;zoomslide=1&amp;z=1925700067&amp;ISCONFIRM=0","VIDEO")</f>
        <v>VIDEO</v>
      </c>
      <c r="AA3685" s="19" t="str">
        <f>HYPERLINK("https://ssdweb.co/ssdweb/CERTH/631429928.pdf","CERTI")</f>
        <v>CERTI</v>
      </c>
    </row>
    <row r="3686" spans="1:27" ht="15" x14ac:dyDescent="0.25">
      <c r="A3686" s="2">
        <v>3681</v>
      </c>
      <c r="B3686" s="39">
        <v>925570091</v>
      </c>
      <c r="C3686" s="28" t="str">
        <f>HYPERLINK("https://pld.live/RapDetail.aspx?STONELIST=925570091","DNA")</f>
        <v>DNA</v>
      </c>
      <c r="D3686" s="18" t="s">
        <v>4563</v>
      </c>
      <c r="E3686" s="18" t="s">
        <v>2186</v>
      </c>
      <c r="F3686" s="2" t="s">
        <v>7987</v>
      </c>
      <c r="G3686" s="2" t="s">
        <v>1573</v>
      </c>
      <c r="H3686" s="14">
        <v>3.04</v>
      </c>
      <c r="I3686" s="2" t="s">
        <v>1066</v>
      </c>
      <c r="J3686" s="2" t="s">
        <v>13</v>
      </c>
      <c r="K3686" s="2" t="s">
        <v>1452</v>
      </c>
      <c r="L3686" s="2" t="s">
        <v>5221</v>
      </c>
      <c r="M3686" s="2" t="s">
        <v>5221</v>
      </c>
      <c r="N3686" s="2" t="s">
        <v>924</v>
      </c>
      <c r="O3686" s="14">
        <v>5700</v>
      </c>
      <c r="P3686" s="14">
        <v>94.56</v>
      </c>
      <c r="Q3686" s="14">
        <v>310.08</v>
      </c>
      <c r="R3686" s="14">
        <v>942.64</v>
      </c>
      <c r="S3686" s="2" t="s">
        <v>4165</v>
      </c>
      <c r="T3686" s="2">
        <v>1.38</v>
      </c>
      <c r="U3686" s="2">
        <v>61.9</v>
      </c>
      <c r="V3686" s="2">
        <v>62</v>
      </c>
      <c r="W3686" s="2" t="s">
        <v>7862</v>
      </c>
      <c r="X3686" s="2" t="s">
        <v>471</v>
      </c>
      <c r="Y3686" s="2">
        <v>17328</v>
      </c>
      <c r="Z3686" s="19" t="str">
        <f>HYPERLINK("https://ssdweb.co/ssdweb/hd/Vision360.html?d=925570091&amp;zoomslide=1&amp;z=1925570091&amp;ISCONFIRM=0","VIDEO")</f>
        <v>VIDEO</v>
      </c>
      <c r="AA3686" s="19" t="str">
        <f>HYPERLINK("https://ssdweb.co/ssdweb/CERTH/625432430.pdf","CERTI")</f>
        <v>CERTI</v>
      </c>
    </row>
    <row r="3687" spans="1:27" ht="15" x14ac:dyDescent="0.25">
      <c r="A3687" s="2">
        <v>3682</v>
      </c>
      <c r="B3687" s="39">
        <v>925700287</v>
      </c>
      <c r="C3687" s="28" t="str">
        <f>HYPERLINK("https://pld.live/RapDetail.aspx?STONELIST=925700287","DNA")</f>
        <v>DNA</v>
      </c>
      <c r="D3687" s="18" t="s">
        <v>4563</v>
      </c>
      <c r="E3687" s="18" t="s">
        <v>2186</v>
      </c>
      <c r="F3687" s="2" t="s">
        <v>7987</v>
      </c>
      <c r="G3687" s="2" t="s">
        <v>1573</v>
      </c>
      <c r="H3687" s="14">
        <v>3.04</v>
      </c>
      <c r="I3687" s="2" t="s">
        <v>6874</v>
      </c>
      <c r="J3687" s="2" t="s">
        <v>5144</v>
      </c>
      <c r="K3687" s="2" t="s">
        <v>1452</v>
      </c>
      <c r="L3687" s="2" t="s">
        <v>5221</v>
      </c>
      <c r="M3687" s="2" t="s">
        <v>5221</v>
      </c>
      <c r="N3687" s="2" t="s">
        <v>924</v>
      </c>
      <c r="O3687" s="14">
        <v>5400</v>
      </c>
      <c r="P3687" s="14">
        <v>93.89</v>
      </c>
      <c r="Q3687" s="14">
        <v>329.94</v>
      </c>
      <c r="R3687" s="14">
        <v>1003.02</v>
      </c>
      <c r="S3687" s="2" t="s">
        <v>5560</v>
      </c>
      <c r="T3687" s="2">
        <v>1.42</v>
      </c>
      <c r="U3687" s="2">
        <v>61.4</v>
      </c>
      <c r="V3687" s="2">
        <v>59</v>
      </c>
      <c r="W3687" s="2" t="s">
        <v>7862</v>
      </c>
      <c r="X3687" s="2" t="s">
        <v>471</v>
      </c>
      <c r="Y3687" s="2">
        <v>16416</v>
      </c>
      <c r="Z3687" s="19" t="str">
        <f>HYPERLINK("https://ssdweb.co/ssdweb/hd/Vision360.html?d=925700287&amp;zoomslide=1&amp;z=1925700287&amp;ISCONFIRM=0","VIDEO")</f>
        <v>VIDEO</v>
      </c>
      <c r="AA3687" s="19" t="str">
        <f>HYPERLINK("https://ssdweb.co/ssdweb/CERTH/631429937.pdf","CERTI")</f>
        <v>CERTI</v>
      </c>
    </row>
    <row r="3688" spans="1:27" ht="15" x14ac:dyDescent="0.25">
      <c r="A3688" s="2">
        <v>3683</v>
      </c>
      <c r="B3688" s="39">
        <v>925820255</v>
      </c>
      <c r="C3688" s="28" t="str">
        <f>HYPERLINK("https://pld.live/RapDetail.aspx?STONELIST=925820255","DNA")</f>
        <v>DNA</v>
      </c>
      <c r="D3688" s="18" t="s">
        <v>4563</v>
      </c>
      <c r="E3688" s="18" t="s">
        <v>2186</v>
      </c>
      <c r="F3688" s="2" t="s">
        <v>7987</v>
      </c>
      <c r="G3688" s="2" t="s">
        <v>1573</v>
      </c>
      <c r="H3688" s="14">
        <v>3.03</v>
      </c>
      <c r="I3688" s="2" t="s">
        <v>267</v>
      </c>
      <c r="J3688" s="2" t="s">
        <v>3942</v>
      </c>
      <c r="K3688" s="2" t="s">
        <v>1452</v>
      </c>
      <c r="L3688" s="2" t="s">
        <v>5221</v>
      </c>
      <c r="M3688" s="2" t="s">
        <v>5221</v>
      </c>
      <c r="N3688" s="2" t="s">
        <v>2317</v>
      </c>
      <c r="O3688" s="14">
        <v>32500</v>
      </c>
      <c r="P3688" s="14">
        <v>99.34</v>
      </c>
      <c r="Q3688" s="14">
        <v>214.5</v>
      </c>
      <c r="R3688" s="14">
        <v>649.94000000000005</v>
      </c>
      <c r="S3688" s="2" t="s">
        <v>2251</v>
      </c>
      <c r="T3688" s="2">
        <v>1.43</v>
      </c>
      <c r="U3688" s="2">
        <v>63.2</v>
      </c>
      <c r="V3688" s="2">
        <v>60</v>
      </c>
      <c r="W3688" s="2" t="s">
        <v>7862</v>
      </c>
      <c r="X3688" s="2" t="s">
        <v>471</v>
      </c>
      <c r="Y3688" s="2">
        <v>98475</v>
      </c>
      <c r="Z3688" s="19" t="str">
        <f>HYPERLINK("https://ssdweb.co/ssdweb/hd/Vision360.html?d=925820255&amp;zoomslide=1&amp;z=1925820255&amp;ISCONFIRM=0","VIDEO")</f>
        <v>VIDEO</v>
      </c>
      <c r="AA3688" s="19" t="str">
        <f>HYPERLINK("https://ssdweb.co/ssdweb/CERTH/629432391.pdf","CERTI")</f>
        <v>CERTI</v>
      </c>
    </row>
    <row r="3689" spans="1:27" ht="15" x14ac:dyDescent="0.25">
      <c r="A3689" s="2">
        <v>3684</v>
      </c>
      <c r="B3689" s="39">
        <v>925600046</v>
      </c>
      <c r="C3689" s="28" t="str">
        <f>HYPERLINK("https://pld.live/RapDetail.aspx?STONELIST=925600046","DNA")</f>
        <v>DNA</v>
      </c>
      <c r="D3689" s="18" t="s">
        <v>4563</v>
      </c>
      <c r="E3689" s="18" t="s">
        <v>2186</v>
      </c>
      <c r="F3689" s="2" t="s">
        <v>5597</v>
      </c>
      <c r="G3689" s="2" t="s">
        <v>1573</v>
      </c>
      <c r="H3689" s="14">
        <v>3.03</v>
      </c>
      <c r="I3689" s="2" t="s">
        <v>267</v>
      </c>
      <c r="J3689" s="2" t="s">
        <v>3942</v>
      </c>
      <c r="K3689" s="2" t="s">
        <v>1452</v>
      </c>
      <c r="L3689" s="2" t="s">
        <v>5221</v>
      </c>
      <c r="M3689" s="2" t="s">
        <v>5721</v>
      </c>
      <c r="N3689" s="2" t="s">
        <v>2317</v>
      </c>
      <c r="O3689" s="14">
        <v>32500</v>
      </c>
      <c r="P3689" s="14">
        <v>98.91</v>
      </c>
      <c r="Q3689" s="14">
        <v>354.25</v>
      </c>
      <c r="R3689" s="14">
        <v>1073.3800000000001</v>
      </c>
      <c r="S3689" s="2" t="s">
        <v>7496</v>
      </c>
      <c r="T3689" s="2">
        <v>1.4</v>
      </c>
      <c r="U3689" s="2">
        <v>61.8</v>
      </c>
      <c r="V3689" s="2">
        <v>60</v>
      </c>
      <c r="W3689" s="2" t="s">
        <v>7862</v>
      </c>
      <c r="X3689" s="2" t="s">
        <v>471</v>
      </c>
      <c r="Y3689" s="2">
        <v>98475</v>
      </c>
      <c r="Z3689" s="19" t="str">
        <f>HYPERLINK("https://ssdweb.co/ssdweb/hd/Vision360.html?d=925600046&amp;zoomslide=1&amp;z=1925600046&amp;ISCONFIRM=0","VIDEO")</f>
        <v>VIDEO</v>
      </c>
      <c r="AA3689" s="19" t="str">
        <f>HYPERLINK("https://ssdweb.co/ssdweb/CERTH/2487536977.pdf","CERTI")</f>
        <v>CERTI</v>
      </c>
    </row>
    <row r="3690" spans="1:27" ht="15" x14ac:dyDescent="0.25">
      <c r="A3690" s="2">
        <v>3685</v>
      </c>
      <c r="B3690" s="39">
        <v>926910543</v>
      </c>
      <c r="C3690" s="28" t="str">
        <f>HYPERLINK("https://pld.live/RapDetail.aspx?STONELIST=926910543","DNA")</f>
        <v>DNA</v>
      </c>
      <c r="D3690" s="18" t="s">
        <v>4563</v>
      </c>
      <c r="E3690" s="18" t="s">
        <v>2186</v>
      </c>
      <c r="F3690" s="2" t="s">
        <v>7987</v>
      </c>
      <c r="G3690" s="2" t="s">
        <v>1573</v>
      </c>
      <c r="H3690" s="14">
        <v>3.03</v>
      </c>
      <c r="I3690" s="2" t="s">
        <v>4761</v>
      </c>
      <c r="J3690" s="2" t="s">
        <v>13</v>
      </c>
      <c r="K3690" s="2" t="s">
        <v>1452</v>
      </c>
      <c r="L3690" s="2" t="s">
        <v>5221</v>
      </c>
      <c r="M3690" s="2" t="s">
        <v>5221</v>
      </c>
      <c r="N3690" s="2" t="s">
        <v>2317</v>
      </c>
      <c r="O3690" s="14">
        <v>27500</v>
      </c>
      <c r="P3690" s="14">
        <v>99.44</v>
      </c>
      <c r="Q3690" s="14">
        <v>154</v>
      </c>
      <c r="R3690" s="14">
        <v>466.62</v>
      </c>
      <c r="S3690" s="2" t="s">
        <v>3244</v>
      </c>
      <c r="T3690" s="2">
        <v>1.38</v>
      </c>
      <c r="U3690" s="2">
        <v>62.7</v>
      </c>
      <c r="V3690" s="2">
        <v>60</v>
      </c>
      <c r="W3690" s="2" t="s">
        <v>7862</v>
      </c>
      <c r="X3690" s="2" t="s">
        <v>471</v>
      </c>
      <c r="Y3690" s="2">
        <v>83325</v>
      </c>
      <c r="Z3690" s="19" t="str">
        <f>HYPERLINK("https://ssdweb.co/ssdweb/hd/Vision360.html?d=926910543&amp;zoomslide=1&amp;z=1926910543&amp;ISCONFIRM=0","VIDEO")</f>
        <v>VIDEO</v>
      </c>
      <c r="AA3690" s="19" t="str">
        <f>HYPERLINK("https://ssdweb.co/ssdweb/CERTH/657462958.pdf","CERTI")</f>
        <v>CERTI</v>
      </c>
    </row>
    <row r="3691" spans="1:27" ht="15" x14ac:dyDescent="0.25">
      <c r="A3691" s="2">
        <v>3686</v>
      </c>
      <c r="B3691" s="39">
        <v>925680196</v>
      </c>
      <c r="C3691" s="28" t="str">
        <f>HYPERLINK("https://pld.live/RapDetail.aspx?STONELIST=925680196","DNA")</f>
        <v>DNA</v>
      </c>
      <c r="D3691" s="18" t="s">
        <v>4563</v>
      </c>
      <c r="E3691" s="18" t="s">
        <v>2186</v>
      </c>
      <c r="F3691" s="2" t="s">
        <v>7987</v>
      </c>
      <c r="G3691" s="2" t="s">
        <v>1573</v>
      </c>
      <c r="H3691" s="14">
        <v>3.03</v>
      </c>
      <c r="I3691" s="2" t="s">
        <v>6587</v>
      </c>
      <c r="J3691" s="2" t="s">
        <v>13</v>
      </c>
      <c r="K3691" s="2" t="s">
        <v>1452</v>
      </c>
      <c r="L3691" s="2" t="s">
        <v>5221</v>
      </c>
      <c r="M3691" s="2" t="s">
        <v>5221</v>
      </c>
      <c r="N3691" s="2" t="s">
        <v>2317</v>
      </c>
      <c r="O3691" s="14">
        <v>22500</v>
      </c>
      <c r="P3691" s="14">
        <v>99.44</v>
      </c>
      <c r="Q3691" s="14">
        <v>126</v>
      </c>
      <c r="R3691" s="14">
        <v>381.78</v>
      </c>
      <c r="S3691" s="2" t="s">
        <v>3115</v>
      </c>
      <c r="T3691" s="2">
        <v>1.39</v>
      </c>
      <c r="U3691" s="2">
        <v>62.2</v>
      </c>
      <c r="V3691" s="2">
        <v>61</v>
      </c>
      <c r="W3691" s="2" t="s">
        <v>7862</v>
      </c>
      <c r="X3691" s="2" t="s">
        <v>471</v>
      </c>
      <c r="Y3691" s="2">
        <v>68175</v>
      </c>
      <c r="Z3691" s="19" t="str">
        <f>HYPERLINK("https://ssdweb.co/ssdweb/hd/Vision360.html?d=925680196&amp;zoomslide=1&amp;z=1925680196&amp;ISCONFIRM=0","VIDEO")</f>
        <v>VIDEO</v>
      </c>
      <c r="AA3691" s="19" t="str">
        <f>HYPERLINK("https://ssdweb.co/ssdweb/CERTH/626427716.pdf","CERTI")</f>
        <v>CERTI</v>
      </c>
    </row>
    <row r="3692" spans="1:27" ht="15" x14ac:dyDescent="0.25">
      <c r="A3692" s="2">
        <v>3687</v>
      </c>
      <c r="B3692" s="39">
        <v>925670204</v>
      </c>
      <c r="C3692" s="28" t="str">
        <f>HYPERLINK("https://pld.live/RapDetail.aspx?STONELIST=925670204","DNA")</f>
        <v>DNA</v>
      </c>
      <c r="D3692" s="18" t="s">
        <v>4563</v>
      </c>
      <c r="E3692" s="18" t="s">
        <v>2186</v>
      </c>
      <c r="F3692" s="2" t="s">
        <v>7987</v>
      </c>
      <c r="G3692" s="2" t="s">
        <v>1573</v>
      </c>
      <c r="H3692" s="14">
        <v>3.03</v>
      </c>
      <c r="I3692" s="2" t="s">
        <v>6587</v>
      </c>
      <c r="J3692" s="2" t="s">
        <v>13</v>
      </c>
      <c r="K3692" s="2" t="s">
        <v>1452</v>
      </c>
      <c r="L3692" s="2" t="s">
        <v>5221</v>
      </c>
      <c r="M3692" s="2" t="s">
        <v>5221</v>
      </c>
      <c r="N3692" s="2" t="s">
        <v>2317</v>
      </c>
      <c r="O3692" s="14">
        <v>22500</v>
      </c>
      <c r="P3692" s="14">
        <v>99.44</v>
      </c>
      <c r="Q3692" s="14">
        <v>126</v>
      </c>
      <c r="R3692" s="14">
        <v>381.78</v>
      </c>
      <c r="S3692" s="2" t="s">
        <v>7430</v>
      </c>
      <c r="T3692" s="2">
        <v>1.38</v>
      </c>
      <c r="U3692" s="2">
        <v>61.7</v>
      </c>
      <c r="V3692" s="2">
        <v>61</v>
      </c>
      <c r="W3692" s="2" t="s">
        <v>7862</v>
      </c>
      <c r="X3692" s="2" t="s">
        <v>471</v>
      </c>
      <c r="Y3692" s="2">
        <v>68175</v>
      </c>
      <c r="Z3692" s="19" t="str">
        <f>HYPERLINK("https://ssdweb.co/ssdweb/hd/Vision360.html?d=925670204&amp;zoomslide=1&amp;z=1925670204&amp;ISCONFIRM=0","VIDEO")</f>
        <v>VIDEO</v>
      </c>
      <c r="AA3692" s="19" t="str">
        <f>HYPERLINK("https://ssdweb.co/ssdweb/CERTH/625432397.pdf","CERTI")</f>
        <v>CERTI</v>
      </c>
    </row>
    <row r="3693" spans="1:27" ht="15" x14ac:dyDescent="0.25">
      <c r="A3693" s="2">
        <v>3688</v>
      </c>
      <c r="B3693" s="39">
        <v>925560024</v>
      </c>
      <c r="C3693" s="28" t="str">
        <f>HYPERLINK("https://pld.live/RapDetail.aspx?STONELIST=925560024","DNA")</f>
        <v>DNA</v>
      </c>
      <c r="D3693" s="18" t="s">
        <v>4563</v>
      </c>
      <c r="E3693" s="18" t="s">
        <v>2186</v>
      </c>
      <c r="F3693" s="2" t="s">
        <v>7987</v>
      </c>
      <c r="G3693" s="2" t="s">
        <v>1573</v>
      </c>
      <c r="H3693" s="14">
        <v>3.03</v>
      </c>
      <c r="I3693" s="2" t="s">
        <v>6845</v>
      </c>
      <c r="J3693" s="2" t="s">
        <v>13</v>
      </c>
      <c r="K3693" s="2" t="s">
        <v>1452</v>
      </c>
      <c r="L3693" s="2" t="s">
        <v>5221</v>
      </c>
      <c r="M3693" s="2" t="s">
        <v>5221</v>
      </c>
      <c r="N3693" s="2" t="s">
        <v>2317</v>
      </c>
      <c r="O3693" s="14">
        <v>5700</v>
      </c>
      <c r="P3693" s="14">
        <v>95.09</v>
      </c>
      <c r="Q3693" s="14">
        <v>279.87</v>
      </c>
      <c r="R3693" s="14">
        <v>848.01</v>
      </c>
      <c r="S3693" s="2" t="s">
        <v>6005</v>
      </c>
      <c r="T3693" s="2">
        <v>1.44</v>
      </c>
      <c r="U3693" s="2">
        <v>65.099999999999994</v>
      </c>
      <c r="V3693" s="2">
        <v>63</v>
      </c>
      <c r="W3693" s="2" t="s">
        <v>7862</v>
      </c>
      <c r="X3693" s="2" t="s">
        <v>6126</v>
      </c>
      <c r="Y3693" s="2">
        <v>17271</v>
      </c>
      <c r="Z3693" s="19" t="str">
        <f>HYPERLINK("https://ssdweb.co/ssdweb/hd/Vision360.html?d=925560024&amp;zoomslide=1&amp;z=1925560024&amp;ISCONFIRM=0","VIDEO")</f>
        <v>VIDEO</v>
      </c>
      <c r="AA3693" s="19" t="str">
        <f>HYPERLINK("https://ssdweb.co/ssdweb/CERTH/623449186.pdf","CERTI")</f>
        <v>CERTI</v>
      </c>
    </row>
    <row r="3694" spans="1:27" ht="15" x14ac:dyDescent="0.25">
      <c r="A3694" s="2">
        <v>3689</v>
      </c>
      <c r="B3694" s="39">
        <v>821133298</v>
      </c>
      <c r="C3694" s="28" t="str">
        <f>HYPERLINK("https://pld.live/RapDetail.aspx?STONELIST=821133298","DNA")</f>
        <v>DNA</v>
      </c>
      <c r="D3694" s="18" t="s">
        <v>4563</v>
      </c>
      <c r="E3694" s="18" t="s">
        <v>1253</v>
      </c>
      <c r="F3694" s="2" t="s">
        <v>7987</v>
      </c>
      <c r="G3694" s="2" t="s">
        <v>1573</v>
      </c>
      <c r="H3694" s="14">
        <v>3.02</v>
      </c>
      <c r="I3694" s="2" t="s">
        <v>267</v>
      </c>
      <c r="J3694" s="2" t="s">
        <v>3942</v>
      </c>
      <c r="K3694" s="2" t="s">
        <v>1452</v>
      </c>
      <c r="L3694" s="2" t="s">
        <v>5221</v>
      </c>
      <c r="M3694" s="2" t="s">
        <v>5221</v>
      </c>
      <c r="N3694" s="2" t="s">
        <v>2317</v>
      </c>
      <c r="O3694" s="14">
        <v>32500</v>
      </c>
      <c r="P3694" s="14">
        <v>99.32</v>
      </c>
      <c r="Q3694" s="14">
        <v>221</v>
      </c>
      <c r="R3694" s="14">
        <v>667.42</v>
      </c>
      <c r="S3694" s="2" t="s">
        <v>1100</v>
      </c>
      <c r="T3694" s="2">
        <v>1.44</v>
      </c>
      <c r="U3694" s="2">
        <v>60.1</v>
      </c>
      <c r="V3694" s="2">
        <v>58</v>
      </c>
      <c r="W3694" s="2" t="s">
        <v>7862</v>
      </c>
      <c r="X3694" s="2" t="s">
        <v>471</v>
      </c>
      <c r="Y3694" s="2">
        <v>98150</v>
      </c>
      <c r="Z3694" s="19" t="str">
        <f>HYPERLINK("https://ssdweb.co/ssdweb/hd/Vision360.html?d=821133298&amp;zoomslide=1&amp;z=1821133298&amp;ISCONFIRM=0","VIDEO")</f>
        <v>VIDEO</v>
      </c>
      <c r="AA3694" s="19" t="str">
        <f>HYPERLINK("https://ssdweb.co/ssdweb/CERTH/669458293.pdf","CERTI")</f>
        <v>CERTI</v>
      </c>
    </row>
    <row r="3695" spans="1:27" ht="15" x14ac:dyDescent="0.25">
      <c r="A3695" s="2">
        <v>3690</v>
      </c>
      <c r="B3695" s="39">
        <v>821115897</v>
      </c>
      <c r="C3695" s="28" t="str">
        <f>HYPERLINK("https://pld.live/RapDetail.aspx?STONELIST=821115897","DNA")</f>
        <v>DNA</v>
      </c>
      <c r="D3695" s="18" t="s">
        <v>4563</v>
      </c>
      <c r="E3695" s="18" t="s">
        <v>2186</v>
      </c>
      <c r="F3695" s="2" t="s">
        <v>7987</v>
      </c>
      <c r="G3695" s="2" t="s">
        <v>1573</v>
      </c>
      <c r="H3695" s="14">
        <v>3.02</v>
      </c>
      <c r="I3695" s="2" t="s">
        <v>267</v>
      </c>
      <c r="J3695" s="2" t="s">
        <v>5144</v>
      </c>
      <c r="K3695" s="2" t="s">
        <v>1452</v>
      </c>
      <c r="L3695" s="2" t="s">
        <v>5221</v>
      </c>
      <c r="M3695" s="2" t="s">
        <v>5221</v>
      </c>
      <c r="N3695" s="2" t="s">
        <v>2317</v>
      </c>
      <c r="O3695" s="14">
        <v>27000</v>
      </c>
      <c r="P3695" s="14">
        <v>99.41</v>
      </c>
      <c r="Q3695" s="14">
        <v>159.30000000000001</v>
      </c>
      <c r="R3695" s="14">
        <v>481.09</v>
      </c>
      <c r="S3695" s="2" t="s">
        <v>2521</v>
      </c>
      <c r="T3695" s="2">
        <v>1.42</v>
      </c>
      <c r="U3695" s="2">
        <v>63</v>
      </c>
      <c r="V3695" s="2">
        <v>60</v>
      </c>
      <c r="W3695" s="2" t="s">
        <v>7862</v>
      </c>
      <c r="X3695" s="2" t="s">
        <v>471</v>
      </c>
      <c r="Y3695" s="2">
        <v>81540</v>
      </c>
      <c r="Z3695" s="19" t="str">
        <f>HYPERLINK("https://ssdweb.co/ssdweb/hd/Vision360.html?d=821115897&amp;zoomslide=1&amp;z=1821115897&amp;ISCONFIRM=0","VIDEO")</f>
        <v>VIDEO</v>
      </c>
      <c r="AA3695" s="19" t="str">
        <f>HYPERLINK("https://ssdweb.co/ssdweb/CERTH/654483041.pdf","CERTI")</f>
        <v>CERTI</v>
      </c>
    </row>
    <row r="3696" spans="1:27" ht="15" x14ac:dyDescent="0.25">
      <c r="A3696" s="2">
        <v>3691</v>
      </c>
      <c r="B3696" s="39">
        <v>925580058</v>
      </c>
      <c r="C3696" s="28" t="str">
        <f>HYPERLINK("https://pld.live/RapDetail.aspx?STONELIST=925580058","DNA")</f>
        <v>DNA</v>
      </c>
      <c r="D3696" s="18" t="s">
        <v>4563</v>
      </c>
      <c r="E3696" s="18" t="s">
        <v>2186</v>
      </c>
      <c r="F3696" s="2" t="s">
        <v>7987</v>
      </c>
      <c r="G3696" s="2" t="s">
        <v>1573</v>
      </c>
      <c r="H3696" s="14">
        <v>3.02</v>
      </c>
      <c r="I3696" s="2" t="s">
        <v>4761</v>
      </c>
      <c r="J3696" s="2" t="s">
        <v>13</v>
      </c>
      <c r="K3696" s="2" t="s">
        <v>1452</v>
      </c>
      <c r="L3696" s="2" t="s">
        <v>5221</v>
      </c>
      <c r="M3696" s="2" t="s">
        <v>5221</v>
      </c>
      <c r="N3696" s="2" t="s">
        <v>2317</v>
      </c>
      <c r="O3696" s="14">
        <v>27500</v>
      </c>
      <c r="P3696" s="14">
        <v>99.45</v>
      </c>
      <c r="Q3696" s="14">
        <v>151.25</v>
      </c>
      <c r="R3696" s="14">
        <v>456.78</v>
      </c>
      <c r="S3696" s="2" t="s">
        <v>4674</v>
      </c>
      <c r="T3696" s="2">
        <v>1.38</v>
      </c>
      <c r="U3696" s="2">
        <v>61.8</v>
      </c>
      <c r="V3696" s="2">
        <v>62</v>
      </c>
      <c r="W3696" s="2" t="s">
        <v>7862</v>
      </c>
      <c r="X3696" s="2" t="s">
        <v>471</v>
      </c>
      <c r="Y3696" s="2">
        <v>83050</v>
      </c>
      <c r="Z3696" s="19" t="str">
        <f>HYPERLINK("https://ssdweb.co/ssdweb/hd/Vision360.html?d=925580058&amp;zoomslide=1&amp;z=1925580058&amp;ISCONFIRM=0","VIDEO")</f>
        <v>VIDEO</v>
      </c>
      <c r="AA3696" s="19" t="str">
        <f>HYPERLINK("https://ssdweb.co/ssdweb/CERTH/623446245.pdf","CERTI")</f>
        <v>CERTI</v>
      </c>
    </row>
    <row r="3697" spans="1:27" ht="15" x14ac:dyDescent="0.25">
      <c r="A3697" s="2">
        <v>3692</v>
      </c>
      <c r="B3697" s="39">
        <v>941060537</v>
      </c>
      <c r="C3697" s="28" t="str">
        <f>HYPERLINK("https://pld.live/RapDetail.aspx?STONELIST=941060537","DNA")</f>
        <v>DNA</v>
      </c>
      <c r="D3697" s="18" t="s">
        <v>4563</v>
      </c>
      <c r="E3697" s="18" t="s">
        <v>2186</v>
      </c>
      <c r="F3697" s="2" t="s">
        <v>7987</v>
      </c>
      <c r="G3697" s="2" t="s">
        <v>1573</v>
      </c>
      <c r="H3697" s="14">
        <v>3.02</v>
      </c>
      <c r="I3697" s="2" t="s">
        <v>4761</v>
      </c>
      <c r="J3697" s="2" t="s">
        <v>13</v>
      </c>
      <c r="K3697" s="2" t="s">
        <v>1452</v>
      </c>
      <c r="L3697" s="2" t="s">
        <v>5221</v>
      </c>
      <c r="M3697" s="2" t="s">
        <v>5221</v>
      </c>
      <c r="N3697" s="2" t="s">
        <v>2317</v>
      </c>
      <c r="O3697" s="14">
        <v>27500</v>
      </c>
      <c r="P3697" s="14">
        <v>99.44</v>
      </c>
      <c r="Q3697" s="14">
        <v>154</v>
      </c>
      <c r="R3697" s="14">
        <v>465.08</v>
      </c>
      <c r="S3697" s="2" t="s">
        <v>222</v>
      </c>
      <c r="T3697" s="2">
        <v>1.4</v>
      </c>
      <c r="U3697" s="2">
        <v>60.5</v>
      </c>
      <c r="V3697" s="2">
        <v>61</v>
      </c>
      <c r="W3697" s="2" t="s">
        <v>7862</v>
      </c>
      <c r="X3697" s="2" t="s">
        <v>471</v>
      </c>
      <c r="Y3697" s="2">
        <v>83050</v>
      </c>
      <c r="Z3697" s="19" t="str">
        <f>HYPERLINK("https://ssdweb.co/ssdweb/hd/Vision360.html?d=941060537&amp;zoomslide=1&amp;z=1941060537&amp;ISCONFIRM=0","VIDEO")</f>
        <v>VIDEO</v>
      </c>
      <c r="AA3697" s="19" t="str">
        <f>HYPERLINK("https://ssdweb.co/ssdweb/CERTH/674504131.pdf","CERTI")</f>
        <v>CERTI</v>
      </c>
    </row>
    <row r="3698" spans="1:27" ht="15" x14ac:dyDescent="0.25">
      <c r="A3698" s="2">
        <v>3693</v>
      </c>
      <c r="B3698" s="39">
        <v>941060536</v>
      </c>
      <c r="C3698" s="28" t="str">
        <f>HYPERLINK("https://pld.live/RapDetail.aspx?STONELIST=941060536","DNA")</f>
        <v>DNA</v>
      </c>
      <c r="D3698" s="18" t="s">
        <v>4563</v>
      </c>
      <c r="E3698" s="18" t="s">
        <v>2186</v>
      </c>
      <c r="F3698" s="2" t="s">
        <v>7987</v>
      </c>
      <c r="G3698" s="2" t="s">
        <v>1573</v>
      </c>
      <c r="H3698" s="14">
        <v>3.02</v>
      </c>
      <c r="I3698" s="2" t="s">
        <v>4761</v>
      </c>
      <c r="J3698" s="2" t="s">
        <v>13</v>
      </c>
      <c r="K3698" s="2" t="s">
        <v>1452</v>
      </c>
      <c r="L3698" s="2" t="s">
        <v>5221</v>
      </c>
      <c r="M3698" s="2" t="s">
        <v>5221</v>
      </c>
      <c r="N3698" s="2" t="s">
        <v>2317</v>
      </c>
      <c r="O3698" s="14">
        <v>27500</v>
      </c>
      <c r="P3698" s="14">
        <v>99.44</v>
      </c>
      <c r="Q3698" s="14">
        <v>154</v>
      </c>
      <c r="R3698" s="14">
        <v>465.08</v>
      </c>
      <c r="S3698" s="2" t="s">
        <v>1999</v>
      </c>
      <c r="T3698" s="2">
        <v>1.39</v>
      </c>
      <c r="U3698" s="2">
        <v>60</v>
      </c>
      <c r="V3698" s="2">
        <v>61</v>
      </c>
      <c r="W3698" s="2" t="s">
        <v>7862</v>
      </c>
      <c r="X3698" s="2" t="s">
        <v>471</v>
      </c>
      <c r="Y3698" s="2">
        <v>83050</v>
      </c>
      <c r="Z3698" s="19" t="str">
        <f>HYPERLINK("https://ssdweb.co/ssdweb/hd/Vision360.html?d=941060536&amp;zoomslide=1&amp;z=1941060536&amp;ISCONFIRM=0","VIDEO")</f>
        <v>VIDEO</v>
      </c>
      <c r="AA3698" s="19" t="str">
        <f>HYPERLINK("https://ssdweb.co/ssdweb/CERTH/674504132.pdf","CERTI")</f>
        <v>CERTI</v>
      </c>
    </row>
    <row r="3699" spans="1:27" ht="15" x14ac:dyDescent="0.25">
      <c r="A3699" s="2">
        <v>3694</v>
      </c>
      <c r="B3699" s="39">
        <v>941060528</v>
      </c>
      <c r="C3699" s="28" t="str">
        <f>HYPERLINK("https://pld.live/RapDetail.aspx?STONELIST=941060528","DNA")</f>
        <v>DNA</v>
      </c>
      <c r="D3699" s="18" t="s">
        <v>4563</v>
      </c>
      <c r="E3699" s="18" t="s">
        <v>2186</v>
      </c>
      <c r="F3699" s="2" t="s">
        <v>7987</v>
      </c>
      <c r="G3699" s="2" t="s">
        <v>1573</v>
      </c>
      <c r="H3699" s="14">
        <v>3.02</v>
      </c>
      <c r="I3699" s="2" t="s">
        <v>4761</v>
      </c>
      <c r="J3699" s="2" t="s">
        <v>13</v>
      </c>
      <c r="K3699" s="2" t="s">
        <v>1452</v>
      </c>
      <c r="L3699" s="2" t="s">
        <v>5221</v>
      </c>
      <c r="M3699" s="2" t="s">
        <v>5221</v>
      </c>
      <c r="N3699" s="2" t="s">
        <v>2317</v>
      </c>
      <c r="O3699" s="14">
        <v>27500</v>
      </c>
      <c r="P3699" s="14">
        <v>99.44</v>
      </c>
      <c r="Q3699" s="14">
        <v>154</v>
      </c>
      <c r="R3699" s="14">
        <v>465.08</v>
      </c>
      <c r="S3699" s="2" t="s">
        <v>721</v>
      </c>
      <c r="T3699" s="2">
        <v>1.4</v>
      </c>
      <c r="U3699" s="2">
        <v>61.4</v>
      </c>
      <c r="V3699" s="2">
        <v>58</v>
      </c>
      <c r="W3699" s="2" t="s">
        <v>7862</v>
      </c>
      <c r="X3699" s="2" t="s">
        <v>471</v>
      </c>
      <c r="Y3699" s="2">
        <v>83050</v>
      </c>
      <c r="Z3699" s="19" t="str">
        <f>HYPERLINK("https://ssdweb.co/ssdweb/hd/Vision360.html?d=941060528&amp;zoomslide=1&amp;z=1941060528&amp;ISCONFIRM=0","VIDEO")</f>
        <v>VIDEO</v>
      </c>
      <c r="AA3699" s="19" t="str">
        <f>HYPERLINK("https://ssdweb.co/ssdweb/CERTH/674504133.pdf","CERTI")</f>
        <v>CERTI</v>
      </c>
    </row>
    <row r="3700" spans="1:27" ht="15" x14ac:dyDescent="0.25">
      <c r="A3700" s="2">
        <v>3695</v>
      </c>
      <c r="B3700" s="39">
        <v>927070914</v>
      </c>
      <c r="C3700" s="28" t="str">
        <f>HYPERLINK("https://pld.live/RapDetail.aspx?STONELIST=927070914","DNA")</f>
        <v>DNA</v>
      </c>
      <c r="D3700" s="18" t="s">
        <v>4563</v>
      </c>
      <c r="E3700" s="18" t="s">
        <v>2186</v>
      </c>
      <c r="F3700" s="2" t="s">
        <v>7987</v>
      </c>
      <c r="G3700" s="2" t="s">
        <v>1573</v>
      </c>
      <c r="H3700" s="14">
        <v>3.02</v>
      </c>
      <c r="I3700" s="2" t="s">
        <v>4761</v>
      </c>
      <c r="J3700" s="2" t="s">
        <v>13</v>
      </c>
      <c r="K3700" s="2" t="s">
        <v>1452</v>
      </c>
      <c r="L3700" s="2" t="s">
        <v>5221</v>
      </c>
      <c r="M3700" s="2" t="s">
        <v>5221</v>
      </c>
      <c r="N3700" s="2" t="s">
        <v>2317</v>
      </c>
      <c r="O3700" s="14">
        <v>27500</v>
      </c>
      <c r="P3700" s="14">
        <v>99.44</v>
      </c>
      <c r="Q3700" s="14">
        <v>154</v>
      </c>
      <c r="R3700" s="14">
        <v>465.08</v>
      </c>
      <c r="S3700" s="2" t="s">
        <v>6699</v>
      </c>
      <c r="T3700" s="2">
        <v>1.42</v>
      </c>
      <c r="U3700" s="2">
        <v>60.7</v>
      </c>
      <c r="V3700" s="2">
        <v>60</v>
      </c>
      <c r="W3700" s="2" t="s">
        <v>7862</v>
      </c>
      <c r="X3700" s="2" t="s">
        <v>471</v>
      </c>
      <c r="Y3700" s="2">
        <v>83050</v>
      </c>
      <c r="Z3700" s="19" t="str">
        <f>HYPERLINK("https://ssdweb.co/ssdweb/hd/Vision360.html?d=927070914&amp;zoomslide=1&amp;z=1927070914&amp;ISCONFIRM=0","VIDEO")</f>
        <v>VIDEO</v>
      </c>
      <c r="AA3700" s="19" t="str">
        <f>HYPERLINK("https://ssdweb.co/ssdweb/CERTH/671477267.pdf","CERTI")</f>
        <v>CERTI</v>
      </c>
    </row>
    <row r="3701" spans="1:27" ht="15" x14ac:dyDescent="0.25">
      <c r="A3701" s="2">
        <v>3696</v>
      </c>
      <c r="B3701" s="39">
        <v>941050588</v>
      </c>
      <c r="C3701" s="28" t="str">
        <f>HYPERLINK("https://pld.live/RapDetail.aspx?STONELIST=941050588","DNA")</f>
        <v>DNA</v>
      </c>
      <c r="D3701" s="18" t="s">
        <v>4563</v>
      </c>
      <c r="E3701" s="18" t="s">
        <v>2186</v>
      </c>
      <c r="F3701" s="2" t="s">
        <v>7987</v>
      </c>
      <c r="G3701" s="2" t="s">
        <v>1573</v>
      </c>
      <c r="H3701" s="14">
        <v>3.02</v>
      </c>
      <c r="I3701" s="2" t="s">
        <v>4761</v>
      </c>
      <c r="J3701" s="2" t="s">
        <v>5144</v>
      </c>
      <c r="K3701" s="2" t="s">
        <v>1452</v>
      </c>
      <c r="L3701" s="2" t="s">
        <v>5221</v>
      </c>
      <c r="M3701" s="2" t="s">
        <v>5721</v>
      </c>
      <c r="N3701" s="2" t="s">
        <v>2317</v>
      </c>
      <c r="O3701" s="14">
        <v>24500</v>
      </c>
      <c r="P3701" s="14">
        <v>99.42</v>
      </c>
      <c r="Q3701" s="14">
        <v>142.1</v>
      </c>
      <c r="R3701" s="14">
        <v>429.14</v>
      </c>
      <c r="S3701" s="2" t="s">
        <v>1750</v>
      </c>
      <c r="T3701" s="2">
        <v>1.36</v>
      </c>
      <c r="U3701" s="2">
        <v>62.5</v>
      </c>
      <c r="V3701" s="2">
        <v>60</v>
      </c>
      <c r="W3701" s="2" t="s">
        <v>7862</v>
      </c>
      <c r="X3701" s="2" t="s">
        <v>471</v>
      </c>
      <c r="Y3701" s="2">
        <v>73990</v>
      </c>
      <c r="Z3701" s="19" t="str">
        <f>HYPERLINK("https://ssdweb.co/ssdweb/hd/Vision360.html?d=941050588&amp;zoomslide=1&amp;z=1941050588&amp;ISCONFIRM=0","VIDEO")</f>
        <v>VIDEO</v>
      </c>
      <c r="AA3701" s="19" t="str">
        <f>HYPERLINK("https://ssdweb.co/ssdweb/CERTH/674504127.pdf","CERTI")</f>
        <v>CERTI</v>
      </c>
    </row>
    <row r="3702" spans="1:27" ht="15" x14ac:dyDescent="0.25">
      <c r="A3702" s="2">
        <v>3697</v>
      </c>
      <c r="B3702" s="39">
        <v>927070922</v>
      </c>
      <c r="C3702" s="28" t="str">
        <f>HYPERLINK("https://pld.live/RapDetail.aspx?STONELIST=927070922","DNA")</f>
        <v>DNA</v>
      </c>
      <c r="D3702" s="18" t="s">
        <v>4563</v>
      </c>
      <c r="E3702" s="18" t="s">
        <v>2186</v>
      </c>
      <c r="F3702" s="2" t="s">
        <v>7987</v>
      </c>
      <c r="G3702" s="2" t="s">
        <v>1573</v>
      </c>
      <c r="H3702" s="14">
        <v>3.02</v>
      </c>
      <c r="I3702" s="2" t="s">
        <v>4699</v>
      </c>
      <c r="J3702" s="2" t="s">
        <v>13</v>
      </c>
      <c r="K3702" s="2" t="s">
        <v>1452</v>
      </c>
      <c r="L3702" s="2" t="s">
        <v>5221</v>
      </c>
      <c r="M3702" s="2" t="s">
        <v>5221</v>
      </c>
      <c r="N3702" s="2" t="s">
        <v>2317</v>
      </c>
      <c r="O3702" s="14">
        <v>25000</v>
      </c>
      <c r="P3702" s="14">
        <v>99.4</v>
      </c>
      <c r="Q3702" s="14">
        <v>150</v>
      </c>
      <c r="R3702" s="14">
        <v>453</v>
      </c>
      <c r="S3702" s="2" t="s">
        <v>6551</v>
      </c>
      <c r="T3702" s="2">
        <v>1.39</v>
      </c>
      <c r="U3702" s="2">
        <v>61.9</v>
      </c>
      <c r="V3702" s="2">
        <v>60</v>
      </c>
      <c r="W3702" s="2" t="s">
        <v>7862</v>
      </c>
      <c r="X3702" s="2" t="s">
        <v>471</v>
      </c>
      <c r="Y3702" s="2">
        <v>75500</v>
      </c>
      <c r="Z3702" s="19" t="str">
        <f>HYPERLINK("https://ssdweb.co/ssdweb/hd/Vision360.html?d=927070922&amp;zoomslide=1&amp;z=1927070922&amp;ISCONFIRM=0","VIDEO")</f>
        <v>VIDEO</v>
      </c>
      <c r="AA3702" s="19" t="str">
        <f>HYPERLINK("https://ssdweb.co/ssdweb/CERTH/671477269.pdf","CERTI")</f>
        <v>CERTI</v>
      </c>
    </row>
    <row r="3703" spans="1:27" ht="15" x14ac:dyDescent="0.25">
      <c r="A3703" s="2">
        <v>3698</v>
      </c>
      <c r="B3703" s="39">
        <v>925710092</v>
      </c>
      <c r="C3703" s="28" t="str">
        <f>HYPERLINK("https://pld.live/RapDetail.aspx?STONELIST=925710092","DNA")</f>
        <v>DNA</v>
      </c>
      <c r="D3703" s="18" t="s">
        <v>4563</v>
      </c>
      <c r="E3703" s="18" t="s">
        <v>2186</v>
      </c>
      <c r="F3703" s="2" t="s">
        <v>7987</v>
      </c>
      <c r="G3703" s="2" t="s">
        <v>1573</v>
      </c>
      <c r="H3703" s="14">
        <v>3.02</v>
      </c>
      <c r="I3703" s="2" t="s">
        <v>6587</v>
      </c>
      <c r="J3703" s="2" t="s">
        <v>13</v>
      </c>
      <c r="K3703" s="2" t="s">
        <v>1452</v>
      </c>
      <c r="L3703" s="2" t="s">
        <v>5221</v>
      </c>
      <c r="M3703" s="2" t="s">
        <v>5221</v>
      </c>
      <c r="N3703" s="2" t="s">
        <v>2317</v>
      </c>
      <c r="O3703" s="14">
        <v>22500</v>
      </c>
      <c r="P3703" s="14">
        <v>99.44</v>
      </c>
      <c r="Q3703" s="14">
        <v>126</v>
      </c>
      <c r="R3703" s="14">
        <v>380.52</v>
      </c>
      <c r="S3703" s="2" t="s">
        <v>349</v>
      </c>
      <c r="T3703" s="2">
        <v>1.39</v>
      </c>
      <c r="U3703" s="2">
        <v>62.7</v>
      </c>
      <c r="V3703" s="2">
        <v>59</v>
      </c>
      <c r="W3703" s="2" t="s">
        <v>7862</v>
      </c>
      <c r="X3703" s="2" t="s">
        <v>471</v>
      </c>
      <c r="Y3703" s="2">
        <v>67950</v>
      </c>
      <c r="Z3703" s="19" t="str">
        <f>HYPERLINK("https://ssdweb.co/ssdweb/hd/Vision360.html?d=925710092&amp;zoomslide=1&amp;z=1925710092&amp;ISCONFIRM=0","VIDEO")</f>
        <v>VIDEO</v>
      </c>
      <c r="AA3703" s="19" t="str">
        <f>HYPERLINK("https://ssdweb.co/ssdweb/CERTH/626415027.pdf","CERTI")</f>
        <v>CERTI</v>
      </c>
    </row>
    <row r="3704" spans="1:27" ht="15" x14ac:dyDescent="0.25">
      <c r="A3704" s="2">
        <v>3699</v>
      </c>
      <c r="B3704" s="39">
        <v>925680195</v>
      </c>
      <c r="C3704" s="28" t="str">
        <f>HYPERLINK("https://pld.live/RapDetail.aspx?STONELIST=925680195","DNA")</f>
        <v>DNA</v>
      </c>
      <c r="D3704" s="18" t="s">
        <v>4563</v>
      </c>
      <c r="E3704" s="18" t="s">
        <v>2186</v>
      </c>
      <c r="F3704" s="2" t="s">
        <v>7987</v>
      </c>
      <c r="G3704" s="2" t="s">
        <v>1573</v>
      </c>
      <c r="H3704" s="14">
        <v>3.02</v>
      </c>
      <c r="I3704" s="2" t="s">
        <v>6587</v>
      </c>
      <c r="J3704" s="2" t="s">
        <v>13</v>
      </c>
      <c r="K3704" s="2" t="s">
        <v>1452</v>
      </c>
      <c r="L3704" s="2" t="s">
        <v>5221</v>
      </c>
      <c r="M3704" s="2" t="s">
        <v>5221</v>
      </c>
      <c r="N3704" s="2" t="s">
        <v>2317</v>
      </c>
      <c r="O3704" s="14">
        <v>22500</v>
      </c>
      <c r="P3704" s="14">
        <v>99.44</v>
      </c>
      <c r="Q3704" s="14">
        <v>126</v>
      </c>
      <c r="R3704" s="14">
        <v>380.52</v>
      </c>
      <c r="S3704" s="2" t="s">
        <v>6701</v>
      </c>
      <c r="T3704" s="2">
        <v>1.38</v>
      </c>
      <c r="U3704" s="2">
        <v>61.1</v>
      </c>
      <c r="V3704" s="2">
        <v>62</v>
      </c>
      <c r="W3704" s="2" t="s">
        <v>7862</v>
      </c>
      <c r="X3704" s="2" t="s">
        <v>471</v>
      </c>
      <c r="Y3704" s="2">
        <v>67950</v>
      </c>
      <c r="Z3704" s="19" t="str">
        <f>HYPERLINK("https://ssdweb.co/ssdweb/hd/Vision360.html?d=925680195&amp;zoomslide=1&amp;z=1925680195&amp;ISCONFIRM=0","VIDEO")</f>
        <v>VIDEO</v>
      </c>
      <c r="AA3704" s="19" t="str">
        <f>HYPERLINK("https://ssdweb.co/ssdweb/CERTH/626415020.pdf","CERTI")</f>
        <v>CERTI</v>
      </c>
    </row>
    <row r="3705" spans="1:27" ht="15" x14ac:dyDescent="0.25">
      <c r="A3705" s="2">
        <v>3700</v>
      </c>
      <c r="B3705" s="39">
        <v>925700155</v>
      </c>
      <c r="C3705" s="28" t="str">
        <f>HYPERLINK("https://pld.live/RapDetail.aspx?STONELIST=925700155","DNA")</f>
        <v>DNA</v>
      </c>
      <c r="D3705" s="18" t="s">
        <v>4563</v>
      </c>
      <c r="E3705" s="18" t="s">
        <v>2186</v>
      </c>
      <c r="F3705" s="2" t="s">
        <v>7987</v>
      </c>
      <c r="G3705" s="2" t="s">
        <v>1573</v>
      </c>
      <c r="H3705" s="14">
        <v>3.02</v>
      </c>
      <c r="I3705" s="2" t="s">
        <v>6587</v>
      </c>
      <c r="J3705" s="2" t="s">
        <v>13</v>
      </c>
      <c r="K3705" s="2" t="s">
        <v>1452</v>
      </c>
      <c r="L3705" s="2" t="s">
        <v>5221</v>
      </c>
      <c r="M3705" s="2" t="s">
        <v>5221</v>
      </c>
      <c r="N3705" s="2" t="s">
        <v>2317</v>
      </c>
      <c r="O3705" s="14">
        <v>22500</v>
      </c>
      <c r="P3705" s="14">
        <v>99.44</v>
      </c>
      <c r="Q3705" s="14">
        <v>126</v>
      </c>
      <c r="R3705" s="14">
        <v>380.52</v>
      </c>
      <c r="S3705" s="2" t="s">
        <v>3677</v>
      </c>
      <c r="T3705" s="2">
        <v>1.45</v>
      </c>
      <c r="U3705" s="2">
        <v>60</v>
      </c>
      <c r="V3705" s="2">
        <v>61</v>
      </c>
      <c r="W3705" s="2" t="s">
        <v>7862</v>
      </c>
      <c r="X3705" s="2" t="s">
        <v>471</v>
      </c>
      <c r="Y3705" s="2">
        <v>67950</v>
      </c>
      <c r="Z3705" s="19" t="str">
        <f>HYPERLINK("https://ssdweb.co/ssdweb/hd/Vision360.html?d=925700155&amp;zoomslide=1&amp;z=1925700155&amp;ISCONFIRM=0","VIDEO")</f>
        <v>VIDEO</v>
      </c>
      <c r="AA3705" s="19" t="str">
        <f>HYPERLINK("https://ssdweb.co/ssdweb/CERTH/626457467.pdf","CERTI")</f>
        <v>CERTI</v>
      </c>
    </row>
    <row r="3706" spans="1:27" ht="15" x14ac:dyDescent="0.25">
      <c r="A3706" s="2">
        <v>3701</v>
      </c>
      <c r="B3706" s="39">
        <v>924250739</v>
      </c>
      <c r="C3706" s="28" t="str">
        <f>HYPERLINK("https://pld.live/RapDetail.aspx?STONELIST=924250739","DNA")</f>
        <v>DNA</v>
      </c>
      <c r="D3706" s="18" t="s">
        <v>4563</v>
      </c>
      <c r="E3706" s="18" t="s">
        <v>2186</v>
      </c>
      <c r="F3706" s="2" t="s">
        <v>5597</v>
      </c>
      <c r="G3706" s="2" t="s">
        <v>1573</v>
      </c>
      <c r="H3706" s="14">
        <v>3.02</v>
      </c>
      <c r="I3706" s="2" t="s">
        <v>6587</v>
      </c>
      <c r="J3706" s="2" t="s">
        <v>5144</v>
      </c>
      <c r="K3706" s="2" t="s">
        <v>1452</v>
      </c>
      <c r="L3706" s="2" t="s">
        <v>5221</v>
      </c>
      <c r="M3706" s="2" t="s">
        <v>5221</v>
      </c>
      <c r="N3706" s="2" t="s">
        <v>2317</v>
      </c>
      <c r="O3706" s="14">
        <v>20500</v>
      </c>
      <c r="P3706" s="14">
        <v>98.93</v>
      </c>
      <c r="Q3706" s="14">
        <v>219.35</v>
      </c>
      <c r="R3706" s="14">
        <v>662.44</v>
      </c>
      <c r="S3706" s="2" t="s">
        <v>6287</v>
      </c>
      <c r="T3706" s="2">
        <v>1.38</v>
      </c>
      <c r="U3706" s="2">
        <v>62.5</v>
      </c>
      <c r="V3706" s="2">
        <v>60</v>
      </c>
      <c r="W3706" s="2" t="s">
        <v>7862</v>
      </c>
      <c r="X3706" s="2" t="s">
        <v>471</v>
      </c>
      <c r="Y3706" s="2">
        <v>61910</v>
      </c>
      <c r="Z3706" s="19" t="str">
        <f>HYPERLINK("https://ssdweb.co/ssdweb/hd/Vision360.html?d=924250739&amp;zoomslide=1&amp;z=1924250739&amp;ISCONFIRM=0","VIDEO")</f>
        <v>VIDEO</v>
      </c>
      <c r="AA3706" s="19" t="str">
        <f>HYPERLINK("https://ssdweb.co/ssdweb/CERTH/6462657548.pdf","CERTI")</f>
        <v>CERTI</v>
      </c>
    </row>
    <row r="3707" spans="1:27" ht="15" x14ac:dyDescent="0.25">
      <c r="A3707" s="2">
        <v>3702</v>
      </c>
      <c r="B3707" s="39">
        <v>924250736</v>
      </c>
      <c r="C3707" s="28" t="str">
        <f>HYPERLINK("https://pld.live/RapDetail.aspx?STONELIST=924250736","DNA")</f>
        <v>DNA</v>
      </c>
      <c r="D3707" s="18" t="s">
        <v>4563</v>
      </c>
      <c r="E3707" s="18" t="s">
        <v>2186</v>
      </c>
      <c r="F3707" s="2" t="s">
        <v>5597</v>
      </c>
      <c r="G3707" s="2" t="s">
        <v>1573</v>
      </c>
      <c r="H3707" s="14">
        <v>3.02</v>
      </c>
      <c r="I3707" s="2" t="s">
        <v>6587</v>
      </c>
      <c r="J3707" s="2" t="s">
        <v>5144</v>
      </c>
      <c r="K3707" s="2" t="s">
        <v>1452</v>
      </c>
      <c r="L3707" s="2" t="s">
        <v>5221</v>
      </c>
      <c r="M3707" s="2" t="s">
        <v>5221</v>
      </c>
      <c r="N3707" s="2" t="s">
        <v>2317</v>
      </c>
      <c r="O3707" s="14">
        <v>20500</v>
      </c>
      <c r="P3707" s="14">
        <v>98.93</v>
      </c>
      <c r="Q3707" s="14">
        <v>219.35</v>
      </c>
      <c r="R3707" s="14">
        <v>662.44</v>
      </c>
      <c r="S3707" s="2" t="s">
        <v>3158</v>
      </c>
      <c r="T3707" s="2">
        <v>1.38</v>
      </c>
      <c r="U3707" s="2">
        <v>62.2</v>
      </c>
      <c r="V3707" s="2">
        <v>61</v>
      </c>
      <c r="W3707" s="2" t="s">
        <v>7862</v>
      </c>
      <c r="X3707" s="2" t="s">
        <v>471</v>
      </c>
      <c r="Y3707" s="2">
        <v>61910</v>
      </c>
      <c r="Z3707" s="19" t="str">
        <f>HYPERLINK("https://ssdweb.co/ssdweb/hd/Vision360.html?d=924250736&amp;zoomslide=1&amp;z=1924250736&amp;ISCONFIRM=0","VIDEO")</f>
        <v>VIDEO</v>
      </c>
      <c r="AA3707" s="19" t="str">
        <f>HYPERLINK("https://ssdweb.co/ssdweb/CERTH/6465657565.pdf","CERTI")</f>
        <v>CERTI</v>
      </c>
    </row>
    <row r="3708" spans="1:27" ht="15" x14ac:dyDescent="0.25">
      <c r="A3708" s="2">
        <v>3703</v>
      </c>
      <c r="B3708" s="39">
        <v>924950405</v>
      </c>
      <c r="C3708" s="28" t="str">
        <f>HYPERLINK("https://pld.live/RapDetail.aspx?STONELIST=924950405","DNA")</f>
        <v>DNA</v>
      </c>
      <c r="D3708" s="18" t="s">
        <v>4563</v>
      </c>
      <c r="E3708" s="18" t="s">
        <v>2186</v>
      </c>
      <c r="F3708" s="2" t="s">
        <v>7987</v>
      </c>
      <c r="G3708" s="2" t="s">
        <v>1573</v>
      </c>
      <c r="H3708" s="14">
        <v>3.02</v>
      </c>
      <c r="I3708" s="2" t="s">
        <v>6587</v>
      </c>
      <c r="J3708" s="2" t="s">
        <v>444</v>
      </c>
      <c r="K3708" s="2" t="s">
        <v>1452</v>
      </c>
      <c r="L3708" s="2" t="s">
        <v>5221</v>
      </c>
      <c r="M3708" s="2" t="s">
        <v>5221</v>
      </c>
      <c r="N3708" s="2" t="s">
        <v>2317</v>
      </c>
      <c r="O3708" s="14">
        <v>18000</v>
      </c>
      <c r="P3708" s="14">
        <v>99.36</v>
      </c>
      <c r="Q3708" s="14">
        <v>115.2</v>
      </c>
      <c r="R3708" s="14">
        <v>347.9</v>
      </c>
      <c r="S3708" s="2" t="s">
        <v>5964</v>
      </c>
      <c r="T3708" s="2">
        <v>1.38</v>
      </c>
      <c r="U3708" s="2">
        <v>62</v>
      </c>
      <c r="V3708" s="2">
        <v>62</v>
      </c>
      <c r="W3708" s="2" t="s">
        <v>7862</v>
      </c>
      <c r="X3708" s="2" t="s">
        <v>471</v>
      </c>
      <c r="Y3708" s="2">
        <v>54360</v>
      </c>
      <c r="Z3708" s="19" t="str">
        <f>HYPERLINK("https://ssdweb.co/ssdweb/hd/Vision360.html?d=924950405&amp;zoomslide=1&amp;z=1924950405&amp;ISCONFIRM=0","VIDEO")</f>
        <v>VIDEO</v>
      </c>
      <c r="AA3708" s="19" t="str">
        <f>HYPERLINK("https://ssdweb.co/ssdweb/CERTH/605359962.pdf","CERTI")</f>
        <v>CERTI</v>
      </c>
    </row>
    <row r="3709" spans="1:27" ht="15" x14ac:dyDescent="0.25">
      <c r="A3709" s="2">
        <v>3704</v>
      </c>
      <c r="B3709" s="39">
        <v>926450331</v>
      </c>
      <c r="C3709" s="28" t="str">
        <f>HYPERLINK("https://pld.live/RapDetail.aspx?STONELIST=926450331","DNA")</f>
        <v>DNA</v>
      </c>
      <c r="D3709" s="18" t="s">
        <v>4563</v>
      </c>
      <c r="E3709" s="18" t="s">
        <v>2186</v>
      </c>
      <c r="F3709" s="2" t="s">
        <v>7987</v>
      </c>
      <c r="G3709" s="2" t="s">
        <v>1573</v>
      </c>
      <c r="H3709" s="14">
        <v>3.02</v>
      </c>
      <c r="I3709" s="2" t="s">
        <v>1066</v>
      </c>
      <c r="J3709" s="2" t="s">
        <v>5144</v>
      </c>
      <c r="K3709" s="2" t="s">
        <v>1452</v>
      </c>
      <c r="L3709" s="2" t="s">
        <v>5721</v>
      </c>
      <c r="M3709" s="2" t="s">
        <v>5221</v>
      </c>
      <c r="N3709" s="2" t="s">
        <v>924</v>
      </c>
      <c r="O3709" s="14">
        <v>5400</v>
      </c>
      <c r="P3709" s="14">
        <v>94.81</v>
      </c>
      <c r="Q3709" s="14">
        <v>280.26</v>
      </c>
      <c r="R3709" s="14">
        <v>846.39</v>
      </c>
      <c r="S3709" s="2" t="s">
        <v>1535</v>
      </c>
      <c r="T3709" s="2">
        <v>1.39</v>
      </c>
      <c r="U3709" s="2">
        <v>62</v>
      </c>
      <c r="V3709" s="2">
        <v>61</v>
      </c>
      <c r="W3709" s="2" t="s">
        <v>7862</v>
      </c>
      <c r="X3709" s="2" t="s">
        <v>471</v>
      </c>
      <c r="Y3709" s="2">
        <v>16308</v>
      </c>
      <c r="Z3709" s="19" t="str">
        <f>HYPERLINK("https://ssdweb.co/ssdweb/hd/Vision360.html?d=926450331&amp;zoomslide=1&amp;z=1926450331&amp;ISCONFIRM=0","VIDEO")</f>
        <v>VIDEO</v>
      </c>
      <c r="AA3709" s="19" t="str">
        <f>HYPERLINK("https://ssdweb.co/ssdweb/CERTH/647475699.pdf","CERTI")</f>
        <v>CERTI</v>
      </c>
    </row>
    <row r="3710" spans="1:27" ht="15" x14ac:dyDescent="0.25">
      <c r="A3710" s="2">
        <v>3705</v>
      </c>
      <c r="B3710" s="39">
        <v>925700299</v>
      </c>
      <c r="C3710" s="28" t="str">
        <f>HYPERLINK("https://pld.live/RapDetail.aspx?STONELIST=925700299","DNA")</f>
        <v>DNA</v>
      </c>
      <c r="D3710" s="18" t="s">
        <v>4563</v>
      </c>
      <c r="E3710" s="18" t="s">
        <v>2186</v>
      </c>
      <c r="F3710" s="2" t="s">
        <v>7987</v>
      </c>
      <c r="G3710" s="2" t="s">
        <v>1573</v>
      </c>
      <c r="H3710" s="14">
        <v>3.02</v>
      </c>
      <c r="I3710" s="2" t="s">
        <v>6874</v>
      </c>
      <c r="J3710" s="2" t="s">
        <v>13</v>
      </c>
      <c r="K3710" s="2" t="s">
        <v>1452</v>
      </c>
      <c r="L3710" s="2" t="s">
        <v>5221</v>
      </c>
      <c r="M3710" s="2" t="s">
        <v>5221</v>
      </c>
      <c r="N3710" s="2" t="s">
        <v>924</v>
      </c>
      <c r="O3710" s="14">
        <v>5700</v>
      </c>
      <c r="P3710" s="14">
        <v>93.33</v>
      </c>
      <c r="Q3710" s="14">
        <v>380.19</v>
      </c>
      <c r="R3710" s="14">
        <v>1148.17</v>
      </c>
      <c r="S3710" s="2" t="s">
        <v>888</v>
      </c>
      <c r="T3710" s="2">
        <v>1.36</v>
      </c>
      <c r="U3710" s="2">
        <v>61.1</v>
      </c>
      <c r="V3710" s="2">
        <v>61</v>
      </c>
      <c r="W3710" s="2" t="s">
        <v>7862</v>
      </c>
      <c r="X3710" s="2" t="s">
        <v>471</v>
      </c>
      <c r="Y3710" s="2">
        <v>17214</v>
      </c>
      <c r="Z3710" s="19" t="str">
        <f>HYPERLINK("https://ssdweb.co/ssdweb/hd/Vision360.html?d=925700299&amp;zoomslide=1&amp;z=1925700299&amp;ISCONFIRM=0","VIDEO")</f>
        <v>VIDEO</v>
      </c>
      <c r="AA3710" s="19" t="str">
        <f>HYPERLINK("https://ssdweb.co/ssdweb/CERTH/631429938.pdf","CERTI")</f>
        <v>CERTI</v>
      </c>
    </row>
    <row r="3711" spans="1:27" ht="15" x14ac:dyDescent="0.25">
      <c r="A3711" s="2">
        <v>3706</v>
      </c>
      <c r="B3711" s="39">
        <v>925700283</v>
      </c>
      <c r="C3711" s="28" t="str">
        <f>HYPERLINK("https://pld.live/RapDetail.aspx?STONELIST=925700283","DNA")</f>
        <v>DNA</v>
      </c>
      <c r="D3711" s="18" t="s">
        <v>4563</v>
      </c>
      <c r="E3711" s="18" t="s">
        <v>2186</v>
      </c>
      <c r="F3711" s="2" t="s">
        <v>7987</v>
      </c>
      <c r="G3711" s="2" t="s">
        <v>1573</v>
      </c>
      <c r="H3711" s="14">
        <v>3.02</v>
      </c>
      <c r="I3711" s="2" t="s">
        <v>6874</v>
      </c>
      <c r="J3711" s="2" t="s">
        <v>13</v>
      </c>
      <c r="K3711" s="2" t="s">
        <v>1452</v>
      </c>
      <c r="L3711" s="2" t="s">
        <v>5221</v>
      </c>
      <c r="M3711" s="2" t="s">
        <v>5221</v>
      </c>
      <c r="N3711" s="2" t="s">
        <v>924</v>
      </c>
      <c r="O3711" s="14">
        <v>5700</v>
      </c>
      <c r="P3711" s="14">
        <v>93.33</v>
      </c>
      <c r="Q3711" s="14">
        <v>380.19</v>
      </c>
      <c r="R3711" s="14">
        <v>1148.17</v>
      </c>
      <c r="S3711" s="2" t="s">
        <v>7034</v>
      </c>
      <c r="T3711" s="2">
        <v>1.44</v>
      </c>
      <c r="U3711" s="2">
        <v>62.2</v>
      </c>
      <c r="V3711" s="2">
        <v>61</v>
      </c>
      <c r="W3711" s="2" t="s">
        <v>7862</v>
      </c>
      <c r="X3711" s="2" t="s">
        <v>471</v>
      </c>
      <c r="Y3711" s="2">
        <v>17214</v>
      </c>
      <c r="Z3711" s="19" t="str">
        <f>HYPERLINK("https://ssdweb.co/ssdweb/hd/Vision360.html?d=925700283&amp;zoomslide=1&amp;z=1925700283&amp;ISCONFIRM=0","VIDEO")</f>
        <v>VIDEO</v>
      </c>
      <c r="AA3711" s="19" t="str">
        <f>HYPERLINK("https://ssdweb.co/ssdweb/CERTH/631429930.pdf","CERTI")</f>
        <v>CERTI</v>
      </c>
    </row>
    <row r="3712" spans="1:27" ht="15" x14ac:dyDescent="0.25">
      <c r="A3712" s="2">
        <v>3707</v>
      </c>
      <c r="B3712" s="39">
        <v>925820260</v>
      </c>
      <c r="C3712" s="28" t="str">
        <f>HYPERLINK("https://pld.live/RapDetail.aspx?STONELIST=925820260","DNA")</f>
        <v>DNA</v>
      </c>
      <c r="D3712" s="18" t="s">
        <v>4563</v>
      </c>
      <c r="E3712" s="18" t="s">
        <v>2186</v>
      </c>
      <c r="F3712" s="2" t="s">
        <v>7987</v>
      </c>
      <c r="G3712" s="2" t="s">
        <v>1573</v>
      </c>
      <c r="H3712" s="14">
        <v>3.01</v>
      </c>
      <c r="I3712" s="2" t="s">
        <v>267</v>
      </c>
      <c r="J3712" s="2" t="s">
        <v>13</v>
      </c>
      <c r="K3712" s="2" t="s">
        <v>1452</v>
      </c>
      <c r="L3712" s="2" t="s">
        <v>5221</v>
      </c>
      <c r="M3712" s="2" t="s">
        <v>5221</v>
      </c>
      <c r="N3712" s="2" t="s">
        <v>2317</v>
      </c>
      <c r="O3712" s="14">
        <v>30000</v>
      </c>
      <c r="P3712" s="14">
        <v>99.38</v>
      </c>
      <c r="Q3712" s="14">
        <v>186</v>
      </c>
      <c r="R3712" s="14">
        <v>559.86</v>
      </c>
      <c r="S3712" s="2" t="s">
        <v>3340</v>
      </c>
      <c r="T3712" s="2">
        <v>1.48</v>
      </c>
      <c r="U3712" s="2">
        <v>62.7</v>
      </c>
      <c r="V3712" s="2">
        <v>59</v>
      </c>
      <c r="W3712" s="2" t="s">
        <v>7862</v>
      </c>
      <c r="X3712" s="2" t="s">
        <v>471</v>
      </c>
      <c r="Y3712" s="2">
        <v>90300</v>
      </c>
      <c r="Z3712" s="19" t="str">
        <f>HYPERLINK("https://ssdweb.co/ssdweb/hd/Vision360.html?d=925820260&amp;zoomslide=1&amp;z=1925820260&amp;ISCONFIRM=0","VIDEO")</f>
        <v>VIDEO</v>
      </c>
      <c r="AA3712" s="19" t="str">
        <f>HYPERLINK("https://ssdweb.co/ssdweb/CERTH/629432393.pdf","CERTI")</f>
        <v>CERTI</v>
      </c>
    </row>
    <row r="3713" spans="1:27" ht="15" x14ac:dyDescent="0.25">
      <c r="A3713" s="2">
        <v>3708</v>
      </c>
      <c r="B3713" s="39">
        <v>926420281</v>
      </c>
      <c r="C3713" s="28" t="str">
        <f>HYPERLINK("https://pld.live/RapDetail.aspx?STONELIST=926420281","DNA")</f>
        <v>DNA</v>
      </c>
      <c r="D3713" s="18" t="s">
        <v>4563</v>
      </c>
      <c r="E3713" s="18" t="s">
        <v>2186</v>
      </c>
      <c r="F3713" s="2" t="s">
        <v>7987</v>
      </c>
      <c r="G3713" s="2" t="s">
        <v>1573</v>
      </c>
      <c r="H3713" s="14">
        <v>3.01</v>
      </c>
      <c r="I3713" s="2" t="s">
        <v>4761</v>
      </c>
      <c r="J3713" s="2" t="s">
        <v>13</v>
      </c>
      <c r="K3713" s="2" t="s">
        <v>1452</v>
      </c>
      <c r="L3713" s="2" t="s">
        <v>5221</v>
      </c>
      <c r="M3713" s="2" t="s">
        <v>5221</v>
      </c>
      <c r="N3713" s="2" t="s">
        <v>2317</v>
      </c>
      <c r="O3713" s="14">
        <v>27500</v>
      </c>
      <c r="P3713" s="14">
        <v>99.44</v>
      </c>
      <c r="Q3713" s="14">
        <v>154</v>
      </c>
      <c r="R3713" s="14">
        <v>463.54</v>
      </c>
      <c r="S3713" s="2" t="s">
        <v>584</v>
      </c>
      <c r="T3713" s="2">
        <v>1.43</v>
      </c>
      <c r="U3713" s="2">
        <v>60.9</v>
      </c>
      <c r="V3713" s="2">
        <v>62</v>
      </c>
      <c r="W3713" s="2" t="s">
        <v>7862</v>
      </c>
      <c r="X3713" s="2" t="s">
        <v>471</v>
      </c>
      <c r="Y3713" s="2">
        <v>82775</v>
      </c>
      <c r="Z3713" s="19" t="str">
        <f>HYPERLINK("https://ssdweb.co/ssdweb/hd/Vision360.html?d=926420281&amp;zoomslide=1&amp;z=1926420281&amp;ISCONFIRM=0","VIDEO")</f>
        <v>VIDEO</v>
      </c>
      <c r="AA3713" s="19" t="str">
        <f>HYPERLINK("https://ssdweb.co/ssdweb/CERTH/657462960.pdf","CERTI")</f>
        <v>CERTI</v>
      </c>
    </row>
    <row r="3714" spans="1:27" ht="15" x14ac:dyDescent="0.25">
      <c r="A3714" s="2">
        <v>3709</v>
      </c>
      <c r="B3714" s="39">
        <v>941050585</v>
      </c>
      <c r="C3714" s="28" t="str">
        <f>HYPERLINK("https://pld.live/RapDetail.aspx?STONELIST=941050585","DNA")</f>
        <v>DNA</v>
      </c>
      <c r="D3714" s="18" t="s">
        <v>4563</v>
      </c>
      <c r="E3714" s="18" t="s">
        <v>2186</v>
      </c>
      <c r="F3714" s="2" t="s">
        <v>7987</v>
      </c>
      <c r="G3714" s="2" t="s">
        <v>1573</v>
      </c>
      <c r="H3714" s="14">
        <v>3.01</v>
      </c>
      <c r="I3714" s="2" t="s">
        <v>4761</v>
      </c>
      <c r="J3714" s="2" t="s">
        <v>13</v>
      </c>
      <c r="K3714" s="2" t="s">
        <v>1452</v>
      </c>
      <c r="L3714" s="2" t="s">
        <v>5221</v>
      </c>
      <c r="M3714" s="2" t="s">
        <v>5221</v>
      </c>
      <c r="N3714" s="2" t="s">
        <v>2317</v>
      </c>
      <c r="O3714" s="14">
        <v>27500</v>
      </c>
      <c r="P3714" s="14">
        <v>99.44</v>
      </c>
      <c r="Q3714" s="14">
        <v>154</v>
      </c>
      <c r="R3714" s="14">
        <v>463.54</v>
      </c>
      <c r="S3714" s="2" t="s">
        <v>1559</v>
      </c>
      <c r="T3714" s="2">
        <v>1.4</v>
      </c>
      <c r="U3714" s="2">
        <v>62.5</v>
      </c>
      <c r="V3714" s="2">
        <v>61</v>
      </c>
      <c r="W3714" s="2" t="s">
        <v>7862</v>
      </c>
      <c r="X3714" s="2" t="s">
        <v>471</v>
      </c>
      <c r="Y3714" s="2">
        <v>82775</v>
      </c>
      <c r="Z3714" s="19" t="str">
        <f>HYPERLINK("https://ssdweb.co/ssdweb/hd/Vision360.html?d=941050585&amp;zoomslide=1&amp;z=1941050585&amp;ISCONFIRM=0","VIDEO")</f>
        <v>VIDEO</v>
      </c>
      <c r="AA3714" s="19" t="str">
        <f>HYPERLINK("https://ssdweb.co/ssdweb/CERTH/674504126.pdf","CERTI")</f>
        <v>CERTI</v>
      </c>
    </row>
    <row r="3715" spans="1:27" ht="15" x14ac:dyDescent="0.25">
      <c r="A3715" s="2">
        <v>3710</v>
      </c>
      <c r="B3715" s="39">
        <v>941060540</v>
      </c>
      <c r="C3715" s="28" t="str">
        <f>HYPERLINK("https://pld.live/RapDetail.aspx?STONELIST=941060540","DNA")</f>
        <v>DNA</v>
      </c>
      <c r="D3715" s="18" t="s">
        <v>4563</v>
      </c>
      <c r="E3715" s="18" t="s">
        <v>2186</v>
      </c>
      <c r="F3715" s="2" t="s">
        <v>7987</v>
      </c>
      <c r="G3715" s="2" t="s">
        <v>1573</v>
      </c>
      <c r="H3715" s="14">
        <v>3.01</v>
      </c>
      <c r="I3715" s="2" t="s">
        <v>4761</v>
      </c>
      <c r="J3715" s="2" t="s">
        <v>5144</v>
      </c>
      <c r="K3715" s="2" t="s">
        <v>1452</v>
      </c>
      <c r="L3715" s="2" t="s">
        <v>5221</v>
      </c>
      <c r="M3715" s="2" t="s">
        <v>5221</v>
      </c>
      <c r="N3715" s="2" t="s">
        <v>2317</v>
      </c>
      <c r="O3715" s="14">
        <v>24500</v>
      </c>
      <c r="P3715" s="14">
        <v>99.41</v>
      </c>
      <c r="Q3715" s="14">
        <v>144.55000000000001</v>
      </c>
      <c r="R3715" s="14">
        <v>435.1</v>
      </c>
      <c r="S3715" s="2" t="s">
        <v>2719</v>
      </c>
      <c r="T3715" s="2">
        <v>1.46</v>
      </c>
      <c r="U3715" s="2">
        <v>61.9</v>
      </c>
      <c r="V3715" s="2">
        <v>60</v>
      </c>
      <c r="W3715" s="2" t="s">
        <v>7862</v>
      </c>
      <c r="X3715" s="2" t="s">
        <v>471</v>
      </c>
      <c r="Y3715" s="2">
        <v>73745</v>
      </c>
      <c r="Z3715" s="19" t="str">
        <f>HYPERLINK("https://ssdweb.co/ssdweb/hd/Vision360.html?d=941060540&amp;zoomslide=1&amp;z=1941060540&amp;ISCONFIRM=0","VIDEO")</f>
        <v>VIDEO</v>
      </c>
      <c r="AA3715" s="19" t="str">
        <f>HYPERLINK("https://ssdweb.co/ssdweb/CERTH/674504130.pdf","CERTI")</f>
        <v>CERTI</v>
      </c>
    </row>
    <row r="3716" spans="1:27" ht="15" x14ac:dyDescent="0.25">
      <c r="A3716" s="2">
        <v>3711</v>
      </c>
      <c r="B3716" s="39">
        <v>941060543</v>
      </c>
      <c r="C3716" s="28" t="str">
        <f>HYPERLINK("https://pld.live/RapDetail.aspx?STONELIST=941060543","DNA")</f>
        <v>DNA</v>
      </c>
      <c r="D3716" s="18" t="s">
        <v>4563</v>
      </c>
      <c r="E3716" s="18" t="s">
        <v>2186</v>
      </c>
      <c r="F3716" s="2" t="s">
        <v>7987</v>
      </c>
      <c r="G3716" s="2" t="s">
        <v>1573</v>
      </c>
      <c r="H3716" s="14">
        <v>3.01</v>
      </c>
      <c r="I3716" s="2" t="s">
        <v>4761</v>
      </c>
      <c r="J3716" s="2" t="s">
        <v>5144</v>
      </c>
      <c r="K3716" s="2" t="s">
        <v>1452</v>
      </c>
      <c r="L3716" s="2" t="s">
        <v>5221</v>
      </c>
      <c r="M3716" s="2" t="s">
        <v>5221</v>
      </c>
      <c r="N3716" s="2" t="s">
        <v>2317</v>
      </c>
      <c r="O3716" s="14">
        <v>24500</v>
      </c>
      <c r="P3716" s="14">
        <v>99.41</v>
      </c>
      <c r="Q3716" s="14">
        <v>144.55000000000001</v>
      </c>
      <c r="R3716" s="14">
        <v>435.1</v>
      </c>
      <c r="S3716" s="2" t="s">
        <v>7209</v>
      </c>
      <c r="T3716" s="2">
        <v>1.38</v>
      </c>
      <c r="U3716" s="2">
        <v>60.9</v>
      </c>
      <c r="V3716" s="2">
        <v>61</v>
      </c>
      <c r="W3716" s="2" t="s">
        <v>7862</v>
      </c>
      <c r="X3716" s="2" t="s">
        <v>471</v>
      </c>
      <c r="Y3716" s="2">
        <v>73745</v>
      </c>
      <c r="Z3716" s="19" t="str">
        <f>HYPERLINK("https://ssdweb.co/ssdweb/hd/Vision360.html?d=941060543&amp;zoomslide=1&amp;z=1941060543&amp;ISCONFIRM=0","VIDEO")</f>
        <v>VIDEO</v>
      </c>
      <c r="AA3716" s="19" t="str">
        <f>HYPERLINK("https://ssdweb.co/ssdweb/CERTH/674504137.pdf","CERTI")</f>
        <v>CERTI</v>
      </c>
    </row>
    <row r="3717" spans="1:27" ht="15" x14ac:dyDescent="0.25">
      <c r="A3717" s="2">
        <v>3712</v>
      </c>
      <c r="B3717" s="39">
        <v>927070931</v>
      </c>
      <c r="C3717" s="28" t="str">
        <f>HYPERLINK("https://pld.live/RapDetail.aspx?STONELIST=927070931","DNA")</f>
        <v>DNA</v>
      </c>
      <c r="D3717" s="18" t="s">
        <v>4563</v>
      </c>
      <c r="E3717" s="18" t="s">
        <v>2186</v>
      </c>
      <c r="F3717" s="2" t="s">
        <v>7987</v>
      </c>
      <c r="G3717" s="2" t="s">
        <v>1573</v>
      </c>
      <c r="H3717" s="14">
        <v>3.01</v>
      </c>
      <c r="I3717" s="2" t="s">
        <v>4699</v>
      </c>
      <c r="J3717" s="2" t="s">
        <v>13</v>
      </c>
      <c r="K3717" s="2" t="s">
        <v>1452</v>
      </c>
      <c r="L3717" s="2" t="s">
        <v>5221</v>
      </c>
      <c r="M3717" s="2" t="s">
        <v>5221</v>
      </c>
      <c r="N3717" s="2" t="s">
        <v>2317</v>
      </c>
      <c r="O3717" s="14">
        <v>25000</v>
      </c>
      <c r="P3717" s="14">
        <v>99.4</v>
      </c>
      <c r="Q3717" s="14">
        <v>150</v>
      </c>
      <c r="R3717" s="14">
        <v>451.5</v>
      </c>
      <c r="S3717" s="2" t="s">
        <v>5055</v>
      </c>
      <c r="T3717" s="2">
        <v>1.37</v>
      </c>
      <c r="U3717" s="2">
        <v>62</v>
      </c>
      <c r="V3717" s="2">
        <v>60</v>
      </c>
      <c r="W3717" s="2" t="s">
        <v>7862</v>
      </c>
      <c r="X3717" s="2" t="s">
        <v>471</v>
      </c>
      <c r="Y3717" s="2">
        <v>75250</v>
      </c>
      <c r="Z3717" s="19" t="str">
        <f>HYPERLINK("https://ssdweb.co/ssdweb/hd/Vision360.html?d=927070931&amp;zoomslide=1&amp;z=1927070931&amp;ISCONFIRM=0","VIDEO")</f>
        <v>VIDEO</v>
      </c>
      <c r="AA3717" s="19" t="str">
        <f>HYPERLINK("https://ssdweb.co/ssdweb/CERTH/674504129.pdf","CERTI")</f>
        <v>CERTI</v>
      </c>
    </row>
    <row r="3718" spans="1:27" ht="15" x14ac:dyDescent="0.25">
      <c r="A3718" s="2">
        <v>3713</v>
      </c>
      <c r="B3718" s="39">
        <v>925710166</v>
      </c>
      <c r="C3718" s="28" t="str">
        <f>HYPERLINK("https://pld.live/RapDetail.aspx?STONELIST=925710166","DNA")</f>
        <v>DNA</v>
      </c>
      <c r="D3718" s="18" t="s">
        <v>4563</v>
      </c>
      <c r="E3718" s="18" t="s">
        <v>2186</v>
      </c>
      <c r="F3718" s="2" t="s">
        <v>7987</v>
      </c>
      <c r="G3718" s="2" t="s">
        <v>1573</v>
      </c>
      <c r="H3718" s="14">
        <v>3.01</v>
      </c>
      <c r="I3718" s="2" t="s">
        <v>6587</v>
      </c>
      <c r="J3718" s="2" t="s">
        <v>13</v>
      </c>
      <c r="K3718" s="2" t="s">
        <v>1452</v>
      </c>
      <c r="L3718" s="2" t="s">
        <v>5221</v>
      </c>
      <c r="M3718" s="2" t="s">
        <v>5221</v>
      </c>
      <c r="N3718" s="2" t="s">
        <v>2317</v>
      </c>
      <c r="O3718" s="14">
        <v>22500</v>
      </c>
      <c r="P3718" s="14">
        <v>99.44</v>
      </c>
      <c r="Q3718" s="14">
        <v>126</v>
      </c>
      <c r="R3718" s="14">
        <v>379.26</v>
      </c>
      <c r="S3718" s="2" t="s">
        <v>4848</v>
      </c>
      <c r="T3718" s="2">
        <v>1.36</v>
      </c>
      <c r="U3718" s="2">
        <v>63.2</v>
      </c>
      <c r="V3718" s="2">
        <v>58</v>
      </c>
      <c r="W3718" s="2" t="s">
        <v>7862</v>
      </c>
      <c r="X3718" s="2" t="s">
        <v>471</v>
      </c>
      <c r="Y3718" s="2">
        <v>67725</v>
      </c>
      <c r="Z3718" s="19" t="str">
        <f>HYPERLINK("https://ssdweb.co/ssdweb/hd/Vision360.html?d=925710166&amp;zoomslide=1&amp;z=1925710166&amp;ISCONFIRM=0","VIDEO")</f>
        <v>VIDEO</v>
      </c>
      <c r="AA3718" s="19" t="str">
        <f>HYPERLINK("https://ssdweb.co/ssdweb/CERTH/627474800.pdf","CERTI")</f>
        <v>CERTI</v>
      </c>
    </row>
    <row r="3719" spans="1:27" ht="15" x14ac:dyDescent="0.25">
      <c r="A3719" s="2">
        <v>3714</v>
      </c>
      <c r="B3719" s="39">
        <v>922130081</v>
      </c>
      <c r="C3719" s="28" t="str">
        <f>HYPERLINK("https://pld.live/RapDetail.aspx?STONELIST=922130081","DNA")</f>
        <v>DNA</v>
      </c>
      <c r="D3719" s="18" t="s">
        <v>4563</v>
      </c>
      <c r="E3719" s="18" t="s">
        <v>2186</v>
      </c>
      <c r="F3719" s="2" t="s">
        <v>5597</v>
      </c>
      <c r="G3719" s="2" t="s">
        <v>1573</v>
      </c>
      <c r="H3719" s="14">
        <v>3.01</v>
      </c>
      <c r="I3719" s="2" t="s">
        <v>6587</v>
      </c>
      <c r="J3719" s="2" t="s">
        <v>13</v>
      </c>
      <c r="K3719" s="2" t="s">
        <v>1452</v>
      </c>
      <c r="L3719" s="2" t="s">
        <v>5221</v>
      </c>
      <c r="M3719" s="2" t="s">
        <v>5721</v>
      </c>
      <c r="N3719" s="2" t="s">
        <v>2317</v>
      </c>
      <c r="O3719" s="14">
        <v>22500</v>
      </c>
      <c r="P3719" s="14">
        <v>99.01</v>
      </c>
      <c r="Q3719" s="14">
        <v>222.75</v>
      </c>
      <c r="R3719" s="14">
        <v>670.48</v>
      </c>
      <c r="S3719" s="2" t="s">
        <v>1183</v>
      </c>
      <c r="T3719" s="2">
        <v>1.36</v>
      </c>
      <c r="U3719" s="2">
        <v>63.3</v>
      </c>
      <c r="V3719" s="2">
        <v>62</v>
      </c>
      <c r="W3719" s="2" t="s">
        <v>7862</v>
      </c>
      <c r="X3719" s="2" t="s">
        <v>471</v>
      </c>
      <c r="Y3719" s="2">
        <v>67725</v>
      </c>
      <c r="Z3719" s="19" t="str">
        <f>HYPERLINK("https://ssdweb.co/ssdweb/hd/Vision360.html?d=922130081&amp;zoomslide=1&amp;z=1922130081&amp;ISCONFIRM=0","VIDEO")</f>
        <v>VIDEO</v>
      </c>
      <c r="AA3719" s="19" t="str">
        <f>HYPERLINK("https://ssdweb.co/ssdweb/CERTH/1415872154.pdf","CERTI")</f>
        <v>CERTI</v>
      </c>
    </row>
    <row r="3720" spans="1:27" ht="15" x14ac:dyDescent="0.25">
      <c r="A3720" s="2">
        <v>3715</v>
      </c>
      <c r="B3720" s="39">
        <v>925700168</v>
      </c>
      <c r="C3720" s="28" t="str">
        <f>HYPERLINK("https://pld.live/RapDetail.aspx?STONELIST=925700168","DNA")</f>
        <v>DNA</v>
      </c>
      <c r="D3720" s="18" t="s">
        <v>4563</v>
      </c>
      <c r="E3720" s="18" t="s">
        <v>2186</v>
      </c>
      <c r="F3720" s="2" t="s">
        <v>7987</v>
      </c>
      <c r="G3720" s="2" t="s">
        <v>1573</v>
      </c>
      <c r="H3720" s="14">
        <v>3.01</v>
      </c>
      <c r="I3720" s="2" t="s">
        <v>1505</v>
      </c>
      <c r="J3720" s="2" t="s">
        <v>3942</v>
      </c>
      <c r="K3720" s="2" t="s">
        <v>1452</v>
      </c>
      <c r="L3720" s="2" t="s">
        <v>5221</v>
      </c>
      <c r="M3720" s="2" t="s">
        <v>5221</v>
      </c>
      <c r="N3720" s="2" t="s">
        <v>2317</v>
      </c>
      <c r="O3720" s="14">
        <v>21000</v>
      </c>
      <c r="P3720" s="14">
        <v>99.36</v>
      </c>
      <c r="Q3720" s="14">
        <v>134.4</v>
      </c>
      <c r="R3720" s="14">
        <v>404.54</v>
      </c>
      <c r="S3720" s="2" t="s">
        <v>6744</v>
      </c>
      <c r="T3720" s="2">
        <v>1.36</v>
      </c>
      <c r="U3720" s="2">
        <v>62.8</v>
      </c>
      <c r="V3720" s="2">
        <v>60</v>
      </c>
      <c r="W3720" s="2" t="s">
        <v>7862</v>
      </c>
      <c r="X3720" s="2" t="s">
        <v>471</v>
      </c>
      <c r="Y3720" s="2">
        <v>63210</v>
      </c>
      <c r="Z3720" s="19" t="str">
        <f>HYPERLINK("https://ssdweb.co/ssdweb/hd/Vision360.html?d=925700168&amp;zoomslide=1&amp;z=1925700168&amp;ISCONFIRM=0","VIDEO")</f>
        <v>VIDEO</v>
      </c>
      <c r="AA3720" s="19" t="str">
        <f>HYPERLINK("https://ssdweb.co/ssdweb/CERTH/626466362.pdf","CERTI")</f>
        <v>CERTI</v>
      </c>
    </row>
    <row r="3721" spans="1:27" ht="15" x14ac:dyDescent="0.25">
      <c r="A3721" s="2">
        <v>3716</v>
      </c>
      <c r="B3721" s="39">
        <v>925660224</v>
      </c>
      <c r="C3721" s="28" t="str">
        <f>HYPERLINK("https://pld.live/RapDetail.aspx?STONELIST=925660224","DNA")</f>
        <v>DNA</v>
      </c>
      <c r="D3721" s="18" t="s">
        <v>4563</v>
      </c>
      <c r="E3721" s="18" t="s">
        <v>2186</v>
      </c>
      <c r="F3721" s="2" t="s">
        <v>7987</v>
      </c>
      <c r="G3721" s="2" t="s">
        <v>1573</v>
      </c>
      <c r="H3721" s="14">
        <v>3.01</v>
      </c>
      <c r="I3721" s="2" t="s">
        <v>6845</v>
      </c>
      <c r="J3721" s="2" t="s">
        <v>13</v>
      </c>
      <c r="K3721" s="2" t="s">
        <v>1452</v>
      </c>
      <c r="L3721" s="2" t="s">
        <v>5221</v>
      </c>
      <c r="M3721" s="2" t="s">
        <v>5221</v>
      </c>
      <c r="N3721" s="2" t="s">
        <v>2317</v>
      </c>
      <c r="O3721" s="14">
        <v>5700</v>
      </c>
      <c r="P3721" s="14">
        <v>95.09</v>
      </c>
      <c r="Q3721" s="14">
        <v>279.87</v>
      </c>
      <c r="R3721" s="14">
        <v>842.41</v>
      </c>
      <c r="S3721" s="2" t="s">
        <v>5333</v>
      </c>
      <c r="T3721" s="2">
        <v>1.47</v>
      </c>
      <c r="U3721" s="2">
        <v>60.4</v>
      </c>
      <c r="V3721" s="2">
        <v>62</v>
      </c>
      <c r="W3721" s="2" t="s">
        <v>7862</v>
      </c>
      <c r="X3721" s="2" t="s">
        <v>471</v>
      </c>
      <c r="Y3721" s="2">
        <v>17157</v>
      </c>
      <c r="Z3721" s="19" t="str">
        <f>HYPERLINK("https://ssdweb.co/ssdweb/hd/Vision360.html?d=925660224&amp;zoomslide=1&amp;z=1925660224&amp;ISCONFIRM=0","VIDEO")</f>
        <v>VIDEO</v>
      </c>
      <c r="AA3721" s="19" t="str">
        <f>HYPERLINK("https://ssdweb.co/ssdweb/CERTH/631429927.pdf","CERTI")</f>
        <v>CERTI</v>
      </c>
    </row>
    <row r="3722" spans="1:27" ht="15" x14ac:dyDescent="0.25">
      <c r="A3722" s="2">
        <v>3717</v>
      </c>
      <c r="B3722" s="39">
        <v>925700183</v>
      </c>
      <c r="C3722" s="28" t="str">
        <f>HYPERLINK("https://pld.live/RapDetail.aspx?STONELIST=925700183","DNA")</f>
        <v>DNA</v>
      </c>
      <c r="D3722" s="18" t="s">
        <v>4563</v>
      </c>
      <c r="E3722" s="18" t="s">
        <v>2186</v>
      </c>
      <c r="F3722" s="2" t="s">
        <v>7987</v>
      </c>
      <c r="G3722" s="2" t="s">
        <v>1573</v>
      </c>
      <c r="H3722" s="14">
        <v>3.01</v>
      </c>
      <c r="I3722" s="2" t="s">
        <v>6874</v>
      </c>
      <c r="J3722" s="2" t="s">
        <v>13</v>
      </c>
      <c r="K3722" s="2" t="s">
        <v>1452</v>
      </c>
      <c r="L3722" s="2" t="s">
        <v>5221</v>
      </c>
      <c r="M3722" s="2" t="s">
        <v>5221</v>
      </c>
      <c r="N3722" s="2" t="s">
        <v>924</v>
      </c>
      <c r="O3722" s="14">
        <v>5700</v>
      </c>
      <c r="P3722" s="14">
        <v>93.51</v>
      </c>
      <c r="Q3722" s="14">
        <v>369.93</v>
      </c>
      <c r="R3722" s="14">
        <v>1113.49</v>
      </c>
      <c r="S3722" s="2" t="s">
        <v>5783</v>
      </c>
      <c r="T3722" s="2">
        <v>1.44</v>
      </c>
      <c r="U3722" s="2">
        <v>62.9</v>
      </c>
      <c r="V3722" s="2">
        <v>60</v>
      </c>
      <c r="W3722" s="2" t="s">
        <v>7862</v>
      </c>
      <c r="X3722" s="2" t="s">
        <v>471</v>
      </c>
      <c r="Y3722" s="2">
        <v>17157</v>
      </c>
      <c r="Z3722" s="19" t="str">
        <f>HYPERLINK("https://ssdweb.co/ssdweb/hd/Vision360.html?d=925700183&amp;zoomslide=1&amp;z=1925700183&amp;ISCONFIRM=0","VIDEO")</f>
        <v>VIDEO</v>
      </c>
      <c r="AA3722" s="19" t="str">
        <f>HYPERLINK("https://ssdweb.co/ssdweb/CERTH/629479351.pdf","CERTI")</f>
        <v>CERTI</v>
      </c>
    </row>
    <row r="3723" spans="1:27" ht="15" x14ac:dyDescent="0.25">
      <c r="A3723" s="2">
        <v>3718</v>
      </c>
      <c r="B3723" s="39">
        <v>925700237</v>
      </c>
      <c r="C3723" s="28" t="str">
        <f>HYPERLINK("https://pld.live/RapDetail.aspx?STONELIST=925700237","DNA")</f>
        <v>DNA</v>
      </c>
      <c r="D3723" s="18" t="s">
        <v>4563</v>
      </c>
      <c r="E3723" s="18" t="s">
        <v>2186</v>
      </c>
      <c r="F3723" s="2" t="s">
        <v>7987</v>
      </c>
      <c r="G3723" s="2" t="s">
        <v>1573</v>
      </c>
      <c r="H3723" s="14">
        <v>3.01</v>
      </c>
      <c r="I3723" s="2" t="s">
        <v>6874</v>
      </c>
      <c r="J3723" s="2" t="s">
        <v>5144</v>
      </c>
      <c r="K3723" s="2" t="s">
        <v>1452</v>
      </c>
      <c r="L3723" s="2" t="s">
        <v>5221</v>
      </c>
      <c r="M3723" s="2" t="s">
        <v>5221</v>
      </c>
      <c r="N3723" s="2" t="s">
        <v>924</v>
      </c>
      <c r="O3723" s="14">
        <v>5400</v>
      </c>
      <c r="P3723" s="14">
        <v>93.7</v>
      </c>
      <c r="Q3723" s="14">
        <v>340.2</v>
      </c>
      <c r="R3723" s="14">
        <v>1024</v>
      </c>
      <c r="S3723" s="2" t="s">
        <v>3261</v>
      </c>
      <c r="T3723" s="2">
        <v>1.38</v>
      </c>
      <c r="U3723" s="2">
        <v>62.1</v>
      </c>
      <c r="V3723" s="2">
        <v>59</v>
      </c>
      <c r="W3723" s="2" t="s">
        <v>7862</v>
      </c>
      <c r="X3723" s="2" t="s">
        <v>471</v>
      </c>
      <c r="Y3723" s="2">
        <v>16254</v>
      </c>
      <c r="Z3723" s="19" t="str">
        <f>HYPERLINK("https://ssdweb.co/ssdweb/hd/Vision360.html?d=925700237&amp;zoomslide=1&amp;z=1925700237&amp;ISCONFIRM=0","VIDEO")</f>
        <v>VIDEO</v>
      </c>
      <c r="AA3723" s="19" t="str">
        <f>HYPERLINK("https://ssdweb.co/ssdweb/CERTH/631429929.pdf","CERTI")</f>
        <v>CERTI</v>
      </c>
    </row>
    <row r="3724" spans="1:27" ht="15" x14ac:dyDescent="0.25">
      <c r="A3724" s="2">
        <v>3719</v>
      </c>
      <c r="B3724" s="39">
        <v>925600335</v>
      </c>
      <c r="C3724" s="28" t="str">
        <f>HYPERLINK("https://pld.live/RapDetail.aspx?STONELIST=925600335","DNA")</f>
        <v>DNA</v>
      </c>
      <c r="D3724" s="18" t="s">
        <v>4563</v>
      </c>
      <c r="E3724" s="18" t="s">
        <v>2186</v>
      </c>
      <c r="F3724" s="2" t="s">
        <v>7987</v>
      </c>
      <c r="G3724" s="2" t="s">
        <v>1573</v>
      </c>
      <c r="H3724" s="14">
        <v>3</v>
      </c>
      <c r="I3724" s="2" t="s">
        <v>4761</v>
      </c>
      <c r="J3724" s="2" t="s">
        <v>3942</v>
      </c>
      <c r="K3724" s="2" t="s">
        <v>1452</v>
      </c>
      <c r="L3724" s="2" t="s">
        <v>5221</v>
      </c>
      <c r="M3724" s="2" t="s">
        <v>5221</v>
      </c>
      <c r="N3724" s="2" t="s">
        <v>2317</v>
      </c>
      <c r="O3724" s="14">
        <v>29500</v>
      </c>
      <c r="P3724" s="14">
        <v>99.34</v>
      </c>
      <c r="Q3724" s="14">
        <v>194.7</v>
      </c>
      <c r="R3724" s="14">
        <v>584.1</v>
      </c>
      <c r="S3724" s="2" t="s">
        <v>7718</v>
      </c>
      <c r="T3724" s="2">
        <v>1.37</v>
      </c>
      <c r="U3724" s="2">
        <v>58.9</v>
      </c>
      <c r="V3724" s="2">
        <v>65</v>
      </c>
      <c r="W3724" s="2" t="s">
        <v>7862</v>
      </c>
      <c r="X3724" s="2" t="s">
        <v>471</v>
      </c>
      <c r="Y3724" s="2">
        <v>88500</v>
      </c>
      <c r="Z3724" s="19" t="str">
        <f>HYPERLINK("https://ssdweb.co/ssdweb/hd/Vision360.html?d=925600335&amp;zoomslide=1&amp;z=1925600335&amp;ISCONFIRM=0","VIDEO")</f>
        <v>VIDEO</v>
      </c>
      <c r="AA3724" s="19" t="str">
        <f>HYPERLINK("https://ssdweb.co/ssdweb/CERTH/623446235.pdf","CERTI")</f>
        <v>CERTI</v>
      </c>
    </row>
    <row r="3725" spans="1:27" ht="15" x14ac:dyDescent="0.25">
      <c r="A3725" s="2">
        <v>3720</v>
      </c>
      <c r="B3725" s="39">
        <v>941250683</v>
      </c>
      <c r="C3725" s="28" t="str">
        <f>HYPERLINK("https://pld.live/RapDetail.aspx?STONELIST=941250683","DNA")</f>
        <v>DNA</v>
      </c>
      <c r="D3725" s="18" t="s">
        <v>4563</v>
      </c>
      <c r="E3725" s="18" t="s">
        <v>2186</v>
      </c>
      <c r="F3725" s="2" t="s">
        <v>7987</v>
      </c>
      <c r="G3725" s="2" t="s">
        <v>1573</v>
      </c>
      <c r="H3725" s="14">
        <v>3</v>
      </c>
      <c r="I3725" s="2" t="s">
        <v>4761</v>
      </c>
      <c r="J3725" s="2" t="s">
        <v>13</v>
      </c>
      <c r="K3725" s="2" t="s">
        <v>1452</v>
      </c>
      <c r="L3725" s="2" t="s">
        <v>5221</v>
      </c>
      <c r="M3725" s="2" t="s">
        <v>5721</v>
      </c>
      <c r="N3725" s="2" t="s">
        <v>2317</v>
      </c>
      <c r="O3725" s="14">
        <v>27500</v>
      </c>
      <c r="P3725" s="14">
        <v>99.44</v>
      </c>
      <c r="Q3725" s="14">
        <v>154</v>
      </c>
      <c r="R3725" s="14">
        <v>462</v>
      </c>
      <c r="S3725" s="2" t="s">
        <v>1593</v>
      </c>
      <c r="T3725" s="2">
        <v>1.37</v>
      </c>
      <c r="U3725" s="2">
        <v>63.7</v>
      </c>
      <c r="V3725" s="2">
        <v>56</v>
      </c>
      <c r="W3725" s="2" t="s">
        <v>7862</v>
      </c>
      <c r="X3725" s="2" t="s">
        <v>471</v>
      </c>
      <c r="Y3725" s="2">
        <v>82500</v>
      </c>
      <c r="Z3725" s="19" t="str">
        <f>HYPERLINK("https://ssdweb.co/ssdweb/hd/Vision360.html?d=941250683&amp;zoomslide=1&amp;z=1941250683&amp;ISCONFIRM=0","VIDEO")</f>
        <v>VIDEO</v>
      </c>
      <c r="AA3725" s="19" t="str">
        <f>HYPERLINK("https://ssdweb.co/ssdweb/CERTH/687591744.pdf","CERTI")</f>
        <v>CERTI</v>
      </c>
    </row>
    <row r="3726" spans="1:27" ht="15" x14ac:dyDescent="0.25">
      <c r="A3726" s="2">
        <v>3721</v>
      </c>
      <c r="B3726" s="39">
        <v>925630467</v>
      </c>
      <c r="C3726" s="28" t="str">
        <f>HYPERLINK("https://pld.live/RapDetail.aspx?STONELIST=925630467","DNA")</f>
        <v>DNA</v>
      </c>
      <c r="D3726" s="18" t="s">
        <v>4563</v>
      </c>
      <c r="E3726" s="18" t="s">
        <v>2186</v>
      </c>
      <c r="F3726" s="2" t="s">
        <v>7987</v>
      </c>
      <c r="G3726" s="2" t="s">
        <v>1573</v>
      </c>
      <c r="H3726" s="14">
        <v>3</v>
      </c>
      <c r="I3726" s="2" t="s">
        <v>6587</v>
      </c>
      <c r="J3726" s="2" t="s">
        <v>13</v>
      </c>
      <c r="K3726" s="2" t="s">
        <v>1452</v>
      </c>
      <c r="L3726" s="2" t="s">
        <v>5221</v>
      </c>
      <c r="M3726" s="2" t="s">
        <v>5221</v>
      </c>
      <c r="N3726" s="2" t="s">
        <v>2317</v>
      </c>
      <c r="O3726" s="14">
        <v>22500</v>
      </c>
      <c r="P3726" s="14">
        <v>99.45</v>
      </c>
      <c r="Q3726" s="14">
        <v>123.75</v>
      </c>
      <c r="R3726" s="14">
        <v>371.25</v>
      </c>
      <c r="S3726" s="2" t="s">
        <v>759</v>
      </c>
      <c r="T3726" s="2">
        <v>1.36</v>
      </c>
      <c r="U3726" s="2">
        <v>63.6</v>
      </c>
      <c r="V3726" s="2">
        <v>61</v>
      </c>
      <c r="W3726" s="2" t="s">
        <v>8016</v>
      </c>
      <c r="X3726" s="2" t="s">
        <v>471</v>
      </c>
      <c r="Y3726" s="2">
        <v>67500</v>
      </c>
      <c r="Z3726" s="19" t="str">
        <f>HYPERLINK("https://ssdweb.co/ssdweb/hd/Vision360.html?d=925630467&amp;zoomslide=1&amp;z=1925630467&amp;ISCONFIRM=0","VIDEO")</f>
        <v>VIDEO</v>
      </c>
      <c r="AA3726" s="19" t="str">
        <f>HYPERLINK("https://ssdweb.co/ssdweb/CERTH/624420627.pdf","CERTI")</f>
        <v>CERTI</v>
      </c>
    </row>
    <row r="3727" spans="1:27" ht="15" x14ac:dyDescent="0.25">
      <c r="A3727" s="2">
        <v>3722</v>
      </c>
      <c r="B3727" s="39">
        <v>925670134</v>
      </c>
      <c r="C3727" s="28" t="str">
        <f>HYPERLINK("https://pld.live/RapDetail.aspx?STONELIST=925670134","DNA")</f>
        <v>DNA</v>
      </c>
      <c r="D3727" s="18" t="s">
        <v>4563</v>
      </c>
      <c r="E3727" s="18" t="s">
        <v>2186</v>
      </c>
      <c r="F3727" s="2" t="s">
        <v>7987</v>
      </c>
      <c r="G3727" s="2" t="s">
        <v>1573</v>
      </c>
      <c r="H3727" s="14">
        <v>3</v>
      </c>
      <c r="I3727" s="2" t="s">
        <v>6587</v>
      </c>
      <c r="J3727" s="2" t="s">
        <v>13</v>
      </c>
      <c r="K3727" s="2" t="s">
        <v>1452</v>
      </c>
      <c r="L3727" s="2" t="s">
        <v>5221</v>
      </c>
      <c r="M3727" s="2" t="s">
        <v>5221</v>
      </c>
      <c r="N3727" s="2" t="s">
        <v>2317</v>
      </c>
      <c r="O3727" s="14">
        <v>22500</v>
      </c>
      <c r="P3727" s="14">
        <v>99.44</v>
      </c>
      <c r="Q3727" s="14">
        <v>126</v>
      </c>
      <c r="R3727" s="14">
        <v>378</v>
      </c>
      <c r="S3727" s="2" t="s">
        <v>5582</v>
      </c>
      <c r="T3727" s="2">
        <v>1.38</v>
      </c>
      <c r="U3727" s="2">
        <v>62.4</v>
      </c>
      <c r="V3727" s="2">
        <v>62</v>
      </c>
      <c r="W3727" s="2" t="s">
        <v>7862</v>
      </c>
      <c r="X3727" s="2" t="s">
        <v>471</v>
      </c>
      <c r="Y3727" s="2">
        <v>67500</v>
      </c>
      <c r="Z3727" s="19" t="str">
        <f>HYPERLINK("https://ssdweb.co/ssdweb/hd/Vision360.html?d=925670134&amp;zoomslide=1&amp;z=1925670134&amp;ISCONFIRM=0","VIDEO")</f>
        <v>VIDEO</v>
      </c>
      <c r="AA3727" s="19" t="str">
        <f>HYPERLINK("https://ssdweb.co/ssdweb/CERTH/623493344.pdf","CERTI")</f>
        <v>CERTI</v>
      </c>
    </row>
    <row r="3728" spans="1:27" ht="15" x14ac:dyDescent="0.25">
      <c r="A3728" s="2">
        <v>3723</v>
      </c>
      <c r="B3728" s="39">
        <v>924940310</v>
      </c>
      <c r="C3728" s="28" t="str">
        <f>HYPERLINK("https://pld.live/RapDetail.aspx?STONELIST=924940310","DNA")</f>
        <v>DNA</v>
      </c>
      <c r="D3728" s="18" t="s">
        <v>4563</v>
      </c>
      <c r="E3728" s="18" t="s">
        <v>2186</v>
      </c>
      <c r="F3728" s="2" t="s">
        <v>7987</v>
      </c>
      <c r="G3728" s="2" t="s">
        <v>1573</v>
      </c>
      <c r="H3728" s="14">
        <v>3</v>
      </c>
      <c r="I3728" s="2" t="s">
        <v>1505</v>
      </c>
      <c r="J3728" s="2" t="s">
        <v>13</v>
      </c>
      <c r="K3728" s="2" t="s">
        <v>1452</v>
      </c>
      <c r="L3728" s="2" t="s">
        <v>5221</v>
      </c>
      <c r="M3728" s="2" t="s">
        <v>5221</v>
      </c>
      <c r="N3728" s="2" t="s">
        <v>2317</v>
      </c>
      <c r="O3728" s="14">
        <v>19500</v>
      </c>
      <c r="P3728" s="14">
        <v>99.38</v>
      </c>
      <c r="Q3728" s="14">
        <v>120.9</v>
      </c>
      <c r="R3728" s="14">
        <v>362.7</v>
      </c>
      <c r="S3728" s="2" t="s">
        <v>6237</v>
      </c>
      <c r="T3728" s="2">
        <v>1.35</v>
      </c>
      <c r="U3728" s="2">
        <v>63</v>
      </c>
      <c r="V3728" s="2">
        <v>61</v>
      </c>
      <c r="W3728" s="2" t="s">
        <v>7862</v>
      </c>
      <c r="X3728" s="2" t="s">
        <v>471</v>
      </c>
      <c r="Y3728" s="2">
        <v>58500</v>
      </c>
      <c r="Z3728" s="19" t="str">
        <f>HYPERLINK("https://ssdweb.co/ssdweb/hd/Vision360.html?d=924940310&amp;zoomslide=1&amp;z=1924940310&amp;ISCONFIRM=0","VIDEO")</f>
        <v>VIDEO</v>
      </c>
      <c r="AA3728" s="19" t="str">
        <f>HYPERLINK("https://ssdweb.co/ssdweb/CERTH/606330023.pdf","CERTI")</f>
        <v>CERTI</v>
      </c>
    </row>
    <row r="3729" spans="1:27" ht="15" x14ac:dyDescent="0.25">
      <c r="A3729" s="2">
        <v>3724</v>
      </c>
      <c r="B3729" s="39">
        <v>925630417</v>
      </c>
      <c r="C3729" s="28" t="str">
        <f>HYPERLINK("https://pld.live/RapDetail.aspx?STONELIST=925630417","DNA")</f>
        <v>DNA</v>
      </c>
      <c r="D3729" s="18" t="s">
        <v>4563</v>
      </c>
      <c r="E3729" s="18" t="s">
        <v>2186</v>
      </c>
      <c r="F3729" s="2" t="s">
        <v>7987</v>
      </c>
      <c r="G3729" s="2" t="s">
        <v>1573</v>
      </c>
      <c r="H3729" s="14">
        <v>3</v>
      </c>
      <c r="I3729" s="2" t="s">
        <v>1505</v>
      </c>
      <c r="J3729" s="2" t="s">
        <v>13</v>
      </c>
      <c r="K3729" s="2" t="s">
        <v>1452</v>
      </c>
      <c r="L3729" s="2" t="s">
        <v>5221</v>
      </c>
      <c r="M3729" s="2" t="s">
        <v>5221</v>
      </c>
      <c r="N3729" s="2" t="s">
        <v>2317</v>
      </c>
      <c r="O3729" s="14">
        <v>19500</v>
      </c>
      <c r="P3729" s="14">
        <v>99.39</v>
      </c>
      <c r="Q3729" s="14">
        <v>118.95</v>
      </c>
      <c r="R3729" s="14">
        <v>356.85</v>
      </c>
      <c r="S3729" s="2" t="s">
        <v>1131</v>
      </c>
      <c r="T3729" s="2">
        <v>1.44</v>
      </c>
      <c r="U3729" s="2">
        <v>61.4</v>
      </c>
      <c r="V3729" s="2">
        <v>59</v>
      </c>
      <c r="W3729" s="2" t="s">
        <v>8016</v>
      </c>
      <c r="X3729" s="2" t="s">
        <v>471</v>
      </c>
      <c r="Y3729" s="2">
        <v>58500</v>
      </c>
      <c r="Z3729" s="19" t="str">
        <f>HYPERLINK("https://ssdweb.co/ssdweb/hd/Vision360.html?d=925630417&amp;zoomslide=1&amp;z=1925630417&amp;ISCONFIRM=0","VIDEO")</f>
        <v>VIDEO</v>
      </c>
      <c r="AA3729" s="19" t="str">
        <f>HYPERLINK("https://ssdweb.co/ssdweb/CERTH/623446227.pdf","CERTI")</f>
        <v>CERTI</v>
      </c>
    </row>
    <row r="3730" spans="1:27" ht="15" x14ac:dyDescent="0.25">
      <c r="A3730" s="2">
        <v>3725</v>
      </c>
      <c r="B3730" s="39">
        <v>925710203</v>
      </c>
      <c r="C3730" s="28" t="str">
        <f>HYPERLINK("https://pld.live/RapDetail.aspx?STONELIST=925710203","DNA")</f>
        <v>DNA</v>
      </c>
      <c r="D3730" s="18" t="s">
        <v>4563</v>
      </c>
      <c r="E3730" s="18" t="s">
        <v>2186</v>
      </c>
      <c r="F3730" s="2" t="s">
        <v>7987</v>
      </c>
      <c r="G3730" s="2" t="s">
        <v>1573</v>
      </c>
      <c r="H3730" s="14">
        <v>3</v>
      </c>
      <c r="I3730" s="2" t="s">
        <v>6874</v>
      </c>
      <c r="J3730" s="2" t="s">
        <v>13</v>
      </c>
      <c r="K3730" s="2" t="s">
        <v>1452</v>
      </c>
      <c r="L3730" s="2" t="s">
        <v>5221</v>
      </c>
      <c r="M3730" s="2" t="s">
        <v>5221</v>
      </c>
      <c r="N3730" s="2" t="s">
        <v>924</v>
      </c>
      <c r="O3730" s="14">
        <v>5700</v>
      </c>
      <c r="P3730" s="14">
        <v>93.33</v>
      </c>
      <c r="Q3730" s="14">
        <v>380.19</v>
      </c>
      <c r="R3730" s="14">
        <v>1140.57</v>
      </c>
      <c r="S3730" s="2" t="s">
        <v>2319</v>
      </c>
      <c r="T3730" s="2">
        <v>1.44</v>
      </c>
      <c r="U3730" s="2">
        <v>62.2</v>
      </c>
      <c r="V3730" s="2">
        <v>62</v>
      </c>
      <c r="W3730" s="2" t="s">
        <v>7862</v>
      </c>
      <c r="X3730" s="2" t="s">
        <v>471</v>
      </c>
      <c r="Y3730" s="2">
        <v>17100</v>
      </c>
      <c r="Z3730" s="19" t="str">
        <f>HYPERLINK("https://ssdweb.co/ssdweb/hd/Vision360.html?d=925710203&amp;zoomslide=1&amp;z=1925710203&amp;ISCONFIRM=0","VIDEO")</f>
        <v>VIDEO</v>
      </c>
      <c r="AA3730" s="19" t="str">
        <f>HYPERLINK("https://ssdweb.co/ssdweb/CERTH/631429933.pdf","CERTI")</f>
        <v>CERTI</v>
      </c>
    </row>
    <row r="3731" spans="1:27" ht="15" x14ac:dyDescent="0.25">
      <c r="A3731" s="2">
        <v>3726</v>
      </c>
      <c r="B3731" s="39">
        <v>925060180</v>
      </c>
      <c r="C3731" s="28" t="str">
        <f>HYPERLINK("https://pld.live/RapDetail.aspx?STONELIST=925060180","DNA")</f>
        <v>DNA</v>
      </c>
      <c r="D3731" s="18" t="s">
        <v>4563</v>
      </c>
      <c r="E3731" s="18" t="s">
        <v>2186</v>
      </c>
      <c r="F3731" s="2" t="s">
        <v>7987</v>
      </c>
      <c r="G3731" s="2" t="s">
        <v>1573</v>
      </c>
      <c r="H3731" s="14">
        <v>3</v>
      </c>
      <c r="I3731" s="2" t="s">
        <v>70</v>
      </c>
      <c r="J3731" s="2" t="s">
        <v>5144</v>
      </c>
      <c r="K3731" s="2" t="s">
        <v>1452</v>
      </c>
      <c r="L3731" s="2" t="s">
        <v>5221</v>
      </c>
      <c r="M3731" s="2" t="s">
        <v>5221</v>
      </c>
      <c r="N3731" s="2" t="s">
        <v>924</v>
      </c>
      <c r="O3731" s="14">
        <v>5400</v>
      </c>
      <c r="P3731" s="14">
        <v>93.89</v>
      </c>
      <c r="Q3731" s="14">
        <v>329.94</v>
      </c>
      <c r="R3731" s="14">
        <v>989.82</v>
      </c>
      <c r="S3731" s="2" t="s">
        <v>5394</v>
      </c>
      <c r="T3731" s="2">
        <v>1.46</v>
      </c>
      <c r="U3731" s="2">
        <v>59.1</v>
      </c>
      <c r="V3731" s="2">
        <v>62</v>
      </c>
      <c r="W3731" s="2" t="s">
        <v>7862</v>
      </c>
      <c r="X3731" s="2" t="s">
        <v>471</v>
      </c>
      <c r="Y3731" s="2">
        <v>16200</v>
      </c>
      <c r="Z3731" s="19" t="str">
        <f>HYPERLINK("https://ssdweb.co/ssdweb/hd/Vision360.html?d=925060180&amp;zoomslide=1&amp;z=1925060180&amp;ISCONFIRM=0","VIDEO")</f>
        <v>VIDEO</v>
      </c>
      <c r="AA3731" s="19" t="str">
        <f>HYPERLINK("https://ssdweb.co/ssdweb/CERTH/613350046.pdf","CERTI")</f>
        <v>CERTI</v>
      </c>
    </row>
    <row r="3732" spans="1:27" ht="15" x14ac:dyDescent="0.25">
      <c r="A3732" s="2">
        <v>3727</v>
      </c>
      <c r="B3732" s="39">
        <v>821113672</v>
      </c>
      <c r="C3732" s="28" t="str">
        <f>HYPERLINK("https://pld.live/RapDetail.aspx?STONELIST=821113672","DNA")</f>
        <v>DNA</v>
      </c>
      <c r="D3732" s="18" t="s">
        <v>2694</v>
      </c>
      <c r="E3732" s="18" t="s">
        <v>2186</v>
      </c>
      <c r="F3732" s="2" t="s">
        <v>7987</v>
      </c>
      <c r="G3732" s="2" t="s">
        <v>1573</v>
      </c>
      <c r="H3732" s="14">
        <v>2.98</v>
      </c>
      <c r="I3732" s="2" t="s">
        <v>4699</v>
      </c>
      <c r="J3732" s="2" t="s">
        <v>13</v>
      </c>
      <c r="K3732" s="2" t="s">
        <v>1452</v>
      </c>
      <c r="L3732" s="2" t="s">
        <v>5221</v>
      </c>
      <c r="M3732" s="2" t="s">
        <v>5221</v>
      </c>
      <c r="N3732" s="2" t="s">
        <v>2317</v>
      </c>
      <c r="O3732" s="14">
        <v>15000</v>
      </c>
      <c r="P3732" s="14">
        <v>99.03</v>
      </c>
      <c r="Q3732" s="14">
        <v>145.5</v>
      </c>
      <c r="R3732" s="14">
        <v>433.59</v>
      </c>
      <c r="S3732" s="2" t="s">
        <v>7058</v>
      </c>
      <c r="T3732" s="2">
        <v>1.36</v>
      </c>
      <c r="U3732" s="2">
        <v>60.7</v>
      </c>
      <c r="V3732" s="2">
        <v>62</v>
      </c>
      <c r="W3732" s="2" t="s">
        <v>7862</v>
      </c>
      <c r="X3732" s="2" t="s">
        <v>471</v>
      </c>
      <c r="Y3732" s="2">
        <v>44700</v>
      </c>
      <c r="Z3732" s="19" t="str">
        <f>HYPERLINK("https://ssdweb.co/ssdweb/hd/Vision360.html?d=821113672&amp;zoomslide=1&amp;z=1821113672&amp;ISCONFIRM=0","VIDEO")</f>
        <v>VIDEO</v>
      </c>
      <c r="AA3732" s="19" t="str">
        <f>HYPERLINK("https://ssdweb.co/ssdweb/CERTH/623444890.pdf","CERTI")</f>
        <v>CERTI</v>
      </c>
    </row>
    <row r="3733" spans="1:27" ht="15" x14ac:dyDescent="0.25">
      <c r="A3733" s="2">
        <v>3728</v>
      </c>
      <c r="B3733" s="39">
        <v>831020647</v>
      </c>
      <c r="C3733" s="28" t="str">
        <f>HYPERLINK("https://pld.live/RapDetail.aspx?STONELIST=831020647","DNA")</f>
        <v>DNA</v>
      </c>
      <c r="D3733" s="18" t="s">
        <v>2694</v>
      </c>
      <c r="E3733" s="18" t="s">
        <v>2186</v>
      </c>
      <c r="F3733" s="2" t="s">
        <v>7987</v>
      </c>
      <c r="G3733" s="2" t="s">
        <v>1573</v>
      </c>
      <c r="H3733" s="14">
        <v>2.89</v>
      </c>
      <c r="I3733" s="2" t="s">
        <v>1505</v>
      </c>
      <c r="J3733" s="2" t="s">
        <v>13</v>
      </c>
      <c r="K3733" s="2" t="s">
        <v>1452</v>
      </c>
      <c r="L3733" s="2" t="s">
        <v>5221</v>
      </c>
      <c r="M3733" s="2" t="s">
        <v>5221</v>
      </c>
      <c r="N3733" s="2" t="s">
        <v>2317</v>
      </c>
      <c r="O3733" s="14">
        <v>11500</v>
      </c>
      <c r="P3733" s="14">
        <v>98.96</v>
      </c>
      <c r="Q3733" s="14">
        <v>119.6</v>
      </c>
      <c r="R3733" s="14">
        <v>345.64</v>
      </c>
      <c r="S3733" s="2" t="s">
        <v>2334</v>
      </c>
      <c r="T3733" s="2">
        <v>1.38</v>
      </c>
      <c r="U3733" s="2">
        <v>61.2</v>
      </c>
      <c r="V3733" s="2">
        <v>61</v>
      </c>
      <c r="W3733" s="2" t="s">
        <v>7862</v>
      </c>
      <c r="X3733" s="2" t="s">
        <v>471</v>
      </c>
      <c r="Y3733" s="2">
        <v>33235</v>
      </c>
      <c r="Z3733" s="19" t="str">
        <f>HYPERLINK("https://ssdweb.co/ssdweb/hd/Vision360.html?d=831020647&amp;zoomslide=1&amp;z=1831020647&amp;ISCONFIRM=0","VIDEO")</f>
        <v>VIDEO</v>
      </c>
      <c r="AA3733" s="19" t="str">
        <f>HYPERLINK("https://ssdweb.co/ssdweb/CERTH/620469807.pdf","CERTI")</f>
        <v>CERTI</v>
      </c>
    </row>
    <row r="3734" spans="1:27" ht="15" x14ac:dyDescent="0.25">
      <c r="A3734" s="2">
        <v>3729</v>
      </c>
      <c r="B3734" s="39">
        <v>925570101</v>
      </c>
      <c r="C3734" s="28" t="str">
        <f>HYPERLINK("https://pld.live/RapDetail.aspx?STONELIST=925570101","DNA")</f>
        <v>DNA</v>
      </c>
      <c r="D3734" s="18" t="s">
        <v>2694</v>
      </c>
      <c r="E3734" s="18" t="s">
        <v>2186</v>
      </c>
      <c r="F3734" s="2" t="s">
        <v>7987</v>
      </c>
      <c r="G3734" s="2" t="s">
        <v>1573</v>
      </c>
      <c r="H3734" s="14">
        <v>2.87</v>
      </c>
      <c r="I3734" s="2" t="s">
        <v>6587</v>
      </c>
      <c r="J3734" s="2" t="s">
        <v>5144</v>
      </c>
      <c r="K3734" s="2" t="s">
        <v>1452</v>
      </c>
      <c r="L3734" s="2" t="s">
        <v>5221</v>
      </c>
      <c r="M3734" s="2" t="s">
        <v>5221</v>
      </c>
      <c r="N3734" s="2" t="s">
        <v>2317</v>
      </c>
      <c r="O3734" s="14">
        <v>13000</v>
      </c>
      <c r="P3734" s="14">
        <v>99.08</v>
      </c>
      <c r="Q3734" s="14">
        <v>119.6</v>
      </c>
      <c r="R3734" s="14">
        <v>343.25</v>
      </c>
      <c r="S3734" s="2" t="s">
        <v>4542</v>
      </c>
      <c r="T3734" s="2">
        <v>1.48</v>
      </c>
      <c r="U3734" s="2">
        <v>60.7</v>
      </c>
      <c r="V3734" s="2">
        <v>62</v>
      </c>
      <c r="W3734" s="2" t="s">
        <v>7862</v>
      </c>
      <c r="X3734" s="2" t="s">
        <v>471</v>
      </c>
      <c r="Y3734" s="2">
        <v>37310</v>
      </c>
      <c r="Z3734" s="19" t="str">
        <f>HYPERLINK("https://ssdweb.co/ssdweb/hd/Vision360.html?d=925570101&amp;zoomslide=1&amp;z=1925570101&amp;ISCONFIRM=0","VIDEO")</f>
        <v>VIDEO</v>
      </c>
      <c r="AA3734" s="19" t="str">
        <f>HYPERLINK("https://ssdweb.co/ssdweb/CERTH/623446103.pdf","CERTI")</f>
        <v>CERTI</v>
      </c>
    </row>
    <row r="3735" spans="1:27" ht="15" x14ac:dyDescent="0.25">
      <c r="A3735" s="2">
        <v>3730</v>
      </c>
      <c r="B3735" s="39">
        <v>831020646</v>
      </c>
      <c r="C3735" s="28" t="str">
        <f>HYPERLINK("https://pld.live/RapDetail.aspx?STONELIST=831020646","DNA")</f>
        <v>DNA</v>
      </c>
      <c r="D3735" s="18" t="s">
        <v>2694</v>
      </c>
      <c r="E3735" s="18" t="s">
        <v>2186</v>
      </c>
      <c r="F3735" s="2" t="s">
        <v>7987</v>
      </c>
      <c r="G3735" s="2" t="s">
        <v>1573</v>
      </c>
      <c r="H3735" s="14">
        <v>2.82</v>
      </c>
      <c r="I3735" s="2" t="s">
        <v>1505</v>
      </c>
      <c r="J3735" s="2" t="s">
        <v>13</v>
      </c>
      <c r="K3735" s="2" t="s">
        <v>1452</v>
      </c>
      <c r="L3735" s="2" t="s">
        <v>5221</v>
      </c>
      <c r="M3735" s="2" t="s">
        <v>5221</v>
      </c>
      <c r="N3735" s="2" t="s">
        <v>2317</v>
      </c>
      <c r="O3735" s="14">
        <v>11500</v>
      </c>
      <c r="P3735" s="14">
        <v>98.96</v>
      </c>
      <c r="Q3735" s="14">
        <v>119.6</v>
      </c>
      <c r="R3735" s="14">
        <v>337.27</v>
      </c>
      <c r="S3735" s="2" t="s">
        <v>5757</v>
      </c>
      <c r="T3735" s="2">
        <v>1.38</v>
      </c>
      <c r="U3735" s="2">
        <v>61.1</v>
      </c>
      <c r="V3735" s="2">
        <v>60</v>
      </c>
      <c r="W3735" s="2" t="s">
        <v>7862</v>
      </c>
      <c r="X3735" s="2" t="s">
        <v>471</v>
      </c>
      <c r="Y3735" s="2">
        <v>32430</v>
      </c>
      <c r="Z3735" s="19" t="str">
        <f>HYPERLINK("https://ssdweb.co/ssdweb/hd/Vision360.html?d=831020646&amp;zoomslide=1&amp;z=1831020646&amp;ISCONFIRM=0","VIDEO")</f>
        <v>VIDEO</v>
      </c>
      <c r="AA3735" s="19" t="str">
        <f>HYPERLINK("https://ssdweb.co/ssdweb/CERTH/627474766.pdf","CERTI")</f>
        <v>CERTI</v>
      </c>
    </row>
    <row r="3736" spans="1:27" ht="15" x14ac:dyDescent="0.25">
      <c r="A3736" s="2">
        <v>3731</v>
      </c>
      <c r="B3736" s="39">
        <v>926030149</v>
      </c>
      <c r="C3736" s="28" t="str">
        <f>HYPERLINK("https://pld.live/RapDetail.aspx?STONELIST=926030149","DNA")</f>
        <v>DNA</v>
      </c>
      <c r="D3736" s="18" t="s">
        <v>2694</v>
      </c>
      <c r="E3736" s="18" t="s">
        <v>2186</v>
      </c>
      <c r="F3736" s="2" t="s">
        <v>7987</v>
      </c>
      <c r="G3736" s="2" t="s">
        <v>1573</v>
      </c>
      <c r="H3736" s="14">
        <v>2.71</v>
      </c>
      <c r="I3736" s="2" t="s">
        <v>6874</v>
      </c>
      <c r="J3736" s="2" t="s">
        <v>3942</v>
      </c>
      <c r="K3736" s="2" t="s">
        <v>1452</v>
      </c>
      <c r="L3736" s="2" t="s">
        <v>5221</v>
      </c>
      <c r="M3736" s="2" t="s">
        <v>5221</v>
      </c>
      <c r="N3736" s="2" t="s">
        <v>924</v>
      </c>
      <c r="O3736" s="14">
        <v>4500</v>
      </c>
      <c r="P3736" s="14">
        <v>92.44</v>
      </c>
      <c r="Q3736" s="14">
        <v>340.2</v>
      </c>
      <c r="R3736" s="14">
        <v>921.94</v>
      </c>
      <c r="S3736" s="2" t="s">
        <v>5343</v>
      </c>
      <c r="T3736" s="2">
        <v>1.4</v>
      </c>
      <c r="U3736" s="2">
        <v>61.1</v>
      </c>
      <c r="V3736" s="2">
        <v>59</v>
      </c>
      <c r="W3736" s="2" t="s">
        <v>7862</v>
      </c>
      <c r="X3736" s="2" t="s">
        <v>471</v>
      </c>
      <c r="Y3736" s="2">
        <v>12195</v>
      </c>
      <c r="Z3736" s="19" t="str">
        <f>HYPERLINK("https://ssdweb.co/ssdweb/hd/Vision360.html?d=926030149&amp;zoomslide=1&amp;z=1926030149&amp;ISCONFIRM=0","VIDEO")</f>
        <v>VIDEO</v>
      </c>
      <c r="AA3736" s="19" t="str">
        <f>HYPERLINK("https://ssdweb.co/ssdweb/CERTH/639406141.pdf","CERTI")</f>
        <v>CERTI</v>
      </c>
    </row>
    <row r="3737" spans="1:27" ht="15" x14ac:dyDescent="0.25">
      <c r="A3737" s="2">
        <v>3732</v>
      </c>
      <c r="B3737" s="39">
        <v>941430756</v>
      </c>
      <c r="C3737" s="28" t="str">
        <f>HYPERLINK("https://pld.live/RapDetail.aspx?STONELIST=941430756","DNA")</f>
        <v>DNA</v>
      </c>
      <c r="D3737" s="18" t="s">
        <v>4032</v>
      </c>
      <c r="E3737" s="18" t="s">
        <v>5128</v>
      </c>
      <c r="F3737" s="2" t="s">
        <v>7987</v>
      </c>
      <c r="G3737" s="2" t="s">
        <v>1573</v>
      </c>
      <c r="H3737" s="14">
        <v>2.65</v>
      </c>
      <c r="I3737" s="2" t="s">
        <v>267</v>
      </c>
      <c r="J3737" s="2" t="s">
        <v>6555</v>
      </c>
      <c r="K3737" s="2" t="s">
        <v>1452</v>
      </c>
      <c r="L3737" s="2" t="s">
        <v>5221</v>
      </c>
      <c r="M3737" s="2" t="s">
        <v>5221</v>
      </c>
      <c r="N3737" s="2" t="s">
        <v>2317</v>
      </c>
      <c r="O3737" s="14">
        <v>20000</v>
      </c>
      <c r="P3737" s="14">
        <v>98.3</v>
      </c>
      <c r="Q3737" s="14">
        <v>340</v>
      </c>
      <c r="R3737" s="14">
        <v>901</v>
      </c>
      <c r="S3737" s="2" t="s">
        <v>6189</v>
      </c>
      <c r="T3737" s="2">
        <v>1.38</v>
      </c>
      <c r="U3737" s="2">
        <v>61.8</v>
      </c>
      <c r="V3737" s="2">
        <v>60</v>
      </c>
      <c r="W3737" s="2" t="s">
        <v>7862</v>
      </c>
      <c r="X3737" s="2" t="s">
        <v>471</v>
      </c>
      <c r="Y3737" s="2">
        <v>53000</v>
      </c>
      <c r="Z3737" s="19" t="str">
        <f>HYPERLINK("https://ssdweb.co/ssdweb/hd/Vision360.html?d=941430756&amp;zoomslide=1&amp;z=1941430756&amp;ISCONFIRM=0","VIDEO")</f>
        <v>VIDEO</v>
      </c>
      <c r="AA3737" s="19" t="str">
        <f>HYPERLINK("https://ssdweb.co/ssdweb/CERTH/694508404.pdf","CERTI")</f>
        <v>CERTI</v>
      </c>
    </row>
    <row r="3738" spans="1:27" ht="15" x14ac:dyDescent="0.25">
      <c r="A3738" s="2">
        <v>3733</v>
      </c>
      <c r="B3738" s="39">
        <v>821112908</v>
      </c>
      <c r="C3738" s="28" t="str">
        <f>HYPERLINK("https://pld.live/RapDetail.aspx?STONELIST=821112908","DNA")</f>
        <v>DNA</v>
      </c>
      <c r="D3738" s="18" t="s">
        <v>4032</v>
      </c>
      <c r="E3738" s="18" t="s">
        <v>2186</v>
      </c>
      <c r="F3738" s="2" t="s">
        <v>7987</v>
      </c>
      <c r="G3738" s="2" t="s">
        <v>1573</v>
      </c>
      <c r="H3738" s="14">
        <v>2.62</v>
      </c>
      <c r="I3738" s="2" t="s">
        <v>6587</v>
      </c>
      <c r="J3738" s="2" t="s">
        <v>13</v>
      </c>
      <c r="K3738" s="2" t="s">
        <v>1452</v>
      </c>
      <c r="L3738" s="2" t="s">
        <v>5221</v>
      </c>
      <c r="M3738" s="2" t="s">
        <v>5221</v>
      </c>
      <c r="N3738" s="2" t="s">
        <v>2317</v>
      </c>
      <c r="O3738" s="14">
        <v>14000</v>
      </c>
      <c r="P3738" s="14">
        <v>99.07</v>
      </c>
      <c r="Q3738" s="14">
        <v>130.19999999999999</v>
      </c>
      <c r="R3738" s="14">
        <v>341.12</v>
      </c>
      <c r="S3738" s="2" t="s">
        <v>2673</v>
      </c>
      <c r="T3738" s="2">
        <v>1.39</v>
      </c>
      <c r="U3738" s="2">
        <v>62.8</v>
      </c>
      <c r="V3738" s="2">
        <v>58</v>
      </c>
      <c r="W3738" s="2" t="s">
        <v>7862</v>
      </c>
      <c r="X3738" s="2" t="s">
        <v>471</v>
      </c>
      <c r="Y3738" s="2">
        <v>36680</v>
      </c>
      <c r="Z3738" s="19" t="str">
        <f>HYPERLINK("https://ssdweb.co/ssdweb/hd/Vision360.html?d=821112908&amp;zoomslide=1&amp;z=1821112908&amp;ISCONFIRM=0","VIDEO")</f>
        <v>VIDEO</v>
      </c>
      <c r="AA3738" s="19" t="str">
        <f>HYPERLINK("https://ssdweb.co/ssdweb/CERTH/620461502.pdf","CERTI")</f>
        <v>CERTI</v>
      </c>
    </row>
    <row r="3739" spans="1:27" ht="15" x14ac:dyDescent="0.25">
      <c r="A3739" s="2">
        <v>3734</v>
      </c>
      <c r="B3739" s="39">
        <v>941421123</v>
      </c>
      <c r="C3739" s="28" t="str">
        <f>HYPERLINK("https://pld.live/RapDetail.aspx?STONELIST=941421123","DNA")</f>
        <v>DNA</v>
      </c>
      <c r="D3739" s="18" t="s">
        <v>4032</v>
      </c>
      <c r="E3739" s="18" t="s">
        <v>5128</v>
      </c>
      <c r="F3739" s="2" t="s">
        <v>7987</v>
      </c>
      <c r="G3739" s="2" t="s">
        <v>1573</v>
      </c>
      <c r="H3739" s="14">
        <v>2.58</v>
      </c>
      <c r="I3739" s="2" t="s">
        <v>4761</v>
      </c>
      <c r="J3739" s="2" t="s">
        <v>3942</v>
      </c>
      <c r="K3739" s="2" t="s">
        <v>1452</v>
      </c>
      <c r="L3739" s="2" t="s">
        <v>5221</v>
      </c>
      <c r="M3739" s="2" t="s">
        <v>5221</v>
      </c>
      <c r="N3739" s="2" t="s">
        <v>2317</v>
      </c>
      <c r="O3739" s="14">
        <v>17000</v>
      </c>
      <c r="P3739" s="14">
        <v>99.13</v>
      </c>
      <c r="Q3739" s="14">
        <v>147.9</v>
      </c>
      <c r="R3739" s="14">
        <v>381.58</v>
      </c>
      <c r="S3739" s="2" t="s">
        <v>5894</v>
      </c>
      <c r="T3739" s="2">
        <v>1.38</v>
      </c>
      <c r="U3739" s="2">
        <v>61.7</v>
      </c>
      <c r="V3739" s="2">
        <v>61</v>
      </c>
      <c r="W3739" s="2" t="s">
        <v>4336</v>
      </c>
      <c r="X3739" s="2" t="s">
        <v>471</v>
      </c>
      <c r="Y3739" s="2">
        <v>43860</v>
      </c>
      <c r="Z3739" s="19" t="str">
        <f>HYPERLINK("https://ssdweb.co/ssdweb/hd/Vision360.html?d=941421123&amp;zoomslide=1&amp;z=1941421123&amp;ISCONFIRM=0","VIDEO")</f>
        <v>VIDEO</v>
      </c>
      <c r="AA3739" s="19" t="str">
        <f>HYPERLINK("https://ssdweb.co/ssdweb/CERTH/694508433.pdf","CERTI")</f>
        <v>CERTI</v>
      </c>
    </row>
    <row r="3740" spans="1:27" ht="15" x14ac:dyDescent="0.25">
      <c r="A3740" s="2">
        <v>3735</v>
      </c>
      <c r="B3740" s="39">
        <v>941400587</v>
      </c>
      <c r="C3740" s="28" t="str">
        <f>HYPERLINK("https://pld.live/RapDetail.aspx?STONELIST=941400587","DNA")</f>
        <v>DNA</v>
      </c>
      <c r="D3740" s="18" t="s">
        <v>4032</v>
      </c>
      <c r="E3740" s="18" t="s">
        <v>5128</v>
      </c>
      <c r="F3740" s="2" t="s">
        <v>7987</v>
      </c>
      <c r="G3740" s="2" t="s">
        <v>1573</v>
      </c>
      <c r="H3740" s="14">
        <v>2.5499999999999998</v>
      </c>
      <c r="I3740" s="2" t="s">
        <v>267</v>
      </c>
      <c r="J3740" s="2" t="s">
        <v>7032</v>
      </c>
      <c r="K3740" s="2" t="s">
        <v>1452</v>
      </c>
      <c r="L3740" s="2" t="s">
        <v>5221</v>
      </c>
      <c r="M3740" s="2" t="s">
        <v>5221</v>
      </c>
      <c r="N3740" s="2" t="s">
        <v>2317</v>
      </c>
      <c r="O3740" s="14">
        <v>21500</v>
      </c>
      <c r="P3740" s="14">
        <v>94.65</v>
      </c>
      <c r="Q3740" s="14">
        <v>1150.25</v>
      </c>
      <c r="R3740" s="14">
        <v>2933.14</v>
      </c>
      <c r="S3740" s="2" t="s">
        <v>2743</v>
      </c>
      <c r="T3740" s="2">
        <v>1.39</v>
      </c>
      <c r="U3740" s="2">
        <v>61.1</v>
      </c>
      <c r="V3740" s="2">
        <v>61</v>
      </c>
      <c r="W3740" s="2" t="s">
        <v>7862</v>
      </c>
      <c r="X3740" s="2" t="s">
        <v>471</v>
      </c>
      <c r="Y3740" s="2">
        <v>54825</v>
      </c>
      <c r="Z3740" s="19" t="str">
        <f>HYPERLINK("https://ssdweb.co/ssdweb/hd/Vision360.html?d=941400587&amp;zoomslide=1&amp;z=1941400587&amp;ISCONFIRM=0","VIDEO")</f>
        <v>VIDEO</v>
      </c>
      <c r="AA3740" s="19" t="str">
        <f>HYPERLINK("https://ssdweb.co/ssdweb/CERTH/692534093.pdf","CERTI")</f>
        <v>CERTI</v>
      </c>
    </row>
    <row r="3741" spans="1:27" ht="15" x14ac:dyDescent="0.25">
      <c r="A3741" s="2">
        <v>3736</v>
      </c>
      <c r="B3741" s="39">
        <v>821116109</v>
      </c>
      <c r="C3741" s="28" t="str">
        <f>HYPERLINK("https://pld.live/RapDetail.aspx?STONELIST=821116109","DNA")</f>
        <v>DNA</v>
      </c>
      <c r="D3741" s="18" t="s">
        <v>4032</v>
      </c>
      <c r="E3741" s="18" t="s">
        <v>2186</v>
      </c>
      <c r="F3741" s="2" t="s">
        <v>7987</v>
      </c>
      <c r="G3741" s="2" t="s">
        <v>1573</v>
      </c>
      <c r="H3741" s="14">
        <v>2.5499999999999998</v>
      </c>
      <c r="I3741" s="2" t="s">
        <v>4761</v>
      </c>
      <c r="J3741" s="2" t="s">
        <v>5144</v>
      </c>
      <c r="K3741" s="2" t="s">
        <v>1452</v>
      </c>
      <c r="L3741" s="2" t="s">
        <v>5221</v>
      </c>
      <c r="M3741" s="2" t="s">
        <v>5221</v>
      </c>
      <c r="N3741" s="2" t="s">
        <v>2317</v>
      </c>
      <c r="O3741" s="14">
        <v>15000</v>
      </c>
      <c r="P3741" s="14">
        <v>99.1</v>
      </c>
      <c r="Q3741" s="14">
        <v>135</v>
      </c>
      <c r="R3741" s="14">
        <v>344.25</v>
      </c>
      <c r="S3741" s="2" t="s">
        <v>4086</v>
      </c>
      <c r="T3741" s="2">
        <v>1.43</v>
      </c>
      <c r="U3741" s="2">
        <v>61.5</v>
      </c>
      <c r="V3741" s="2">
        <v>61</v>
      </c>
      <c r="W3741" s="2" t="s">
        <v>7862</v>
      </c>
      <c r="X3741" s="2" t="s">
        <v>471</v>
      </c>
      <c r="Y3741" s="2">
        <v>38250</v>
      </c>
      <c r="Z3741" s="19" t="str">
        <f>HYPERLINK("https://ssdweb.co/ssdweb/hd/Vision360.html?d=821116109&amp;zoomslide=1&amp;z=1821116109&amp;ISCONFIRM=0","VIDEO")</f>
        <v>VIDEO</v>
      </c>
      <c r="AA3741" s="19" t="str">
        <f>HYPERLINK("https://ssdweb.co/ssdweb/CERTH/634425553.pdf","CERTI")</f>
        <v>CERTI</v>
      </c>
    </row>
    <row r="3742" spans="1:27" ht="15" x14ac:dyDescent="0.25">
      <c r="A3742" s="2">
        <v>3737</v>
      </c>
      <c r="B3742" s="39">
        <v>941380435</v>
      </c>
      <c r="C3742" s="28" t="str">
        <f>HYPERLINK("https://pld.live/RapDetail.aspx?STONELIST=941380435","DNA")</f>
        <v>DNA</v>
      </c>
      <c r="D3742" s="18" t="s">
        <v>4032</v>
      </c>
      <c r="E3742" s="18" t="s">
        <v>2186</v>
      </c>
      <c r="F3742" s="2" t="s">
        <v>7987</v>
      </c>
      <c r="G3742" s="2" t="s">
        <v>1573</v>
      </c>
      <c r="H3742" s="14">
        <v>2.54</v>
      </c>
      <c r="I3742" s="2" t="s">
        <v>267</v>
      </c>
      <c r="J3742" s="2" t="s">
        <v>3942</v>
      </c>
      <c r="K3742" s="2" t="s">
        <v>1452</v>
      </c>
      <c r="L3742" s="2" t="s">
        <v>5221</v>
      </c>
      <c r="M3742" s="2" t="s">
        <v>5221</v>
      </c>
      <c r="N3742" s="2" t="s">
        <v>2317</v>
      </c>
      <c r="O3742" s="14">
        <v>18500</v>
      </c>
      <c r="P3742" s="14">
        <v>98.76</v>
      </c>
      <c r="Q3742" s="14">
        <v>229.4</v>
      </c>
      <c r="R3742" s="14">
        <v>582.67999999999995</v>
      </c>
      <c r="S3742" s="2" t="s">
        <v>4772</v>
      </c>
      <c r="T3742" s="2">
        <v>1.45</v>
      </c>
      <c r="U3742" s="2">
        <v>62.5</v>
      </c>
      <c r="V3742" s="2">
        <v>60</v>
      </c>
      <c r="W3742" s="2" t="s">
        <v>7862</v>
      </c>
      <c r="X3742" s="2" t="s">
        <v>471</v>
      </c>
      <c r="Y3742" s="2">
        <v>46990</v>
      </c>
      <c r="Z3742" s="19" t="str">
        <f>HYPERLINK("https://ssdweb.co/ssdweb/hd/Vision360.html?d=941380435&amp;zoomslide=1&amp;z=1941380435&amp;ISCONFIRM=0","VIDEO")</f>
        <v>VIDEO</v>
      </c>
      <c r="AA3742" s="19" t="str">
        <f>HYPERLINK("https://ssdweb.co/ssdweb/CERTH/693519476.pdf","CERTI")</f>
        <v>CERTI</v>
      </c>
    </row>
    <row r="3743" spans="1:27" ht="15" x14ac:dyDescent="0.25">
      <c r="A3743" s="2">
        <v>3738</v>
      </c>
      <c r="B3743" s="39">
        <v>9414301322</v>
      </c>
      <c r="C3743" s="28" t="str">
        <f>HYPERLINK("https://pld.live/RapDetail.aspx?STONELIST=9414301322","DNA")</f>
        <v>DNA</v>
      </c>
      <c r="D3743" s="18" t="s">
        <v>4032</v>
      </c>
      <c r="E3743" s="18" t="s">
        <v>5128</v>
      </c>
      <c r="F3743" s="2" t="s">
        <v>7987</v>
      </c>
      <c r="G3743" s="2" t="s">
        <v>1573</v>
      </c>
      <c r="H3743" s="14">
        <v>2.5099999999999998</v>
      </c>
      <c r="I3743" s="2" t="s">
        <v>267</v>
      </c>
      <c r="J3743" s="2" t="s">
        <v>3942</v>
      </c>
      <c r="K3743" s="2" t="s">
        <v>1452</v>
      </c>
      <c r="L3743" s="2" t="s">
        <v>5221</v>
      </c>
      <c r="M3743" s="2" t="s">
        <v>5221</v>
      </c>
      <c r="N3743" s="2" t="s">
        <v>2317</v>
      </c>
      <c r="O3743" s="14">
        <v>18500</v>
      </c>
      <c r="P3743" s="14">
        <v>98.76</v>
      </c>
      <c r="Q3743" s="14">
        <v>229.4</v>
      </c>
      <c r="R3743" s="14">
        <v>575.79</v>
      </c>
      <c r="S3743" s="2" t="s">
        <v>4517</v>
      </c>
      <c r="T3743" s="2">
        <v>1.38</v>
      </c>
      <c r="U3743" s="2">
        <v>62.4</v>
      </c>
      <c r="V3743" s="2">
        <v>60</v>
      </c>
      <c r="W3743" s="2" t="s">
        <v>7862</v>
      </c>
      <c r="X3743" s="2" t="s">
        <v>471</v>
      </c>
      <c r="Y3743" s="2">
        <v>46435</v>
      </c>
      <c r="Z3743" s="19" t="str">
        <f>HYPERLINK("https://ssdweb.co/ssdweb/hd/Vision360.html?d=9414301322&amp;zoomslide=1&amp;z=19414301322&amp;ISCONFIRM=0","VIDEO")</f>
        <v>VIDEO</v>
      </c>
      <c r="AA3743" s="19" t="str">
        <f>HYPERLINK("https://ssdweb.co/ssdweb/CERTH/694579592.pdf","CERTI")</f>
        <v>CERTI</v>
      </c>
    </row>
    <row r="3744" spans="1:27" ht="15" x14ac:dyDescent="0.25">
      <c r="A3744" s="2">
        <v>3739</v>
      </c>
      <c r="B3744" s="39">
        <v>941360580</v>
      </c>
      <c r="C3744" s="28" t="str">
        <f>HYPERLINK("https://pld.live/RapDetail.aspx?STONELIST=941360580","DNA")</f>
        <v>DNA</v>
      </c>
      <c r="D3744" s="18" t="s">
        <v>4032</v>
      </c>
      <c r="E3744" s="18" t="s">
        <v>2186</v>
      </c>
      <c r="F3744" s="2" t="s">
        <v>7987</v>
      </c>
      <c r="G3744" s="2" t="s">
        <v>1573</v>
      </c>
      <c r="H3744" s="14">
        <v>2.5099999999999998</v>
      </c>
      <c r="I3744" s="2" t="s">
        <v>267</v>
      </c>
      <c r="J3744" s="2" t="s">
        <v>13</v>
      </c>
      <c r="K3744" s="2" t="s">
        <v>1452</v>
      </c>
      <c r="L3744" s="2" t="s">
        <v>5221</v>
      </c>
      <c r="M3744" s="2" t="s">
        <v>5221</v>
      </c>
      <c r="N3744" s="2" t="s">
        <v>2317</v>
      </c>
      <c r="O3744" s="14">
        <v>17500</v>
      </c>
      <c r="P3744" s="14">
        <v>99.03</v>
      </c>
      <c r="Q3744" s="14">
        <v>169.75</v>
      </c>
      <c r="R3744" s="14">
        <v>426.07</v>
      </c>
      <c r="S3744" s="2" t="s">
        <v>751</v>
      </c>
      <c r="T3744" s="2">
        <v>1.43</v>
      </c>
      <c r="U3744" s="2">
        <v>62.5</v>
      </c>
      <c r="V3744" s="2">
        <v>62</v>
      </c>
      <c r="W3744" s="2" t="s">
        <v>7862</v>
      </c>
      <c r="X3744" s="2" t="s">
        <v>471</v>
      </c>
      <c r="Y3744" s="2">
        <v>43925</v>
      </c>
      <c r="Z3744" s="19" t="str">
        <f>HYPERLINK("https://ssdweb.co/ssdweb/hd/Vision360.html?d=941360580&amp;zoomslide=1&amp;z=1941360580&amp;ISCONFIRM=0","VIDEO")</f>
        <v>VIDEO</v>
      </c>
      <c r="AA3744" s="19" t="str">
        <f>HYPERLINK("https://ssdweb.co/ssdweb/CERTH/691509971.pdf","CERTI")</f>
        <v>CERTI</v>
      </c>
    </row>
    <row r="3745" spans="1:27" ht="15" x14ac:dyDescent="0.25">
      <c r="A3745" s="2">
        <v>3740</v>
      </c>
      <c r="B3745" s="39">
        <v>941421269</v>
      </c>
      <c r="C3745" s="28" t="str">
        <f>HYPERLINK("https://pld.live/RapDetail.aspx?STONELIST=941421269","DNA")</f>
        <v>DNA</v>
      </c>
      <c r="D3745" s="18" t="s">
        <v>4032</v>
      </c>
      <c r="E3745" s="18" t="s">
        <v>5128</v>
      </c>
      <c r="F3745" s="2" t="s">
        <v>7987</v>
      </c>
      <c r="G3745" s="2" t="s">
        <v>1573</v>
      </c>
      <c r="H3745" s="14">
        <v>2.5</v>
      </c>
      <c r="I3745" s="2" t="s">
        <v>267</v>
      </c>
      <c r="J3745" s="2" t="s">
        <v>6555</v>
      </c>
      <c r="K3745" s="2" t="s">
        <v>1452</v>
      </c>
      <c r="L3745" s="2" t="s">
        <v>5221</v>
      </c>
      <c r="M3745" s="2" t="s">
        <v>5221</v>
      </c>
      <c r="N3745" s="2" t="s">
        <v>2317</v>
      </c>
      <c r="O3745" s="14">
        <v>20000</v>
      </c>
      <c r="P3745" s="14">
        <v>98.3</v>
      </c>
      <c r="Q3745" s="14">
        <v>340</v>
      </c>
      <c r="R3745" s="14">
        <v>850</v>
      </c>
      <c r="S3745" s="2" t="s">
        <v>5803</v>
      </c>
      <c r="T3745" s="2">
        <v>1.39</v>
      </c>
      <c r="U3745" s="2">
        <v>62.5</v>
      </c>
      <c r="V3745" s="2">
        <v>59</v>
      </c>
      <c r="W3745" s="2" t="s">
        <v>7862</v>
      </c>
      <c r="X3745" s="2" t="s">
        <v>471</v>
      </c>
      <c r="Y3745" s="2">
        <v>50000</v>
      </c>
      <c r="Z3745" s="19" t="str">
        <f>HYPERLINK("https://ssdweb.co/ssdweb/hd/Vision360.html?d=941421269&amp;zoomslide=1&amp;z=1941421269&amp;ISCONFIRM=0","VIDEO")</f>
        <v>VIDEO</v>
      </c>
      <c r="AA3745" s="19" t="str">
        <f>HYPERLINK("https://ssdweb.co/ssdweb/CERTH/692534115.pdf","CERTI")</f>
        <v>CERTI</v>
      </c>
    </row>
    <row r="3746" spans="1:27" ht="15" x14ac:dyDescent="0.25">
      <c r="A3746" s="2">
        <v>3741</v>
      </c>
      <c r="B3746" s="39">
        <v>926010106</v>
      </c>
      <c r="C3746" s="28" t="str">
        <f>HYPERLINK("https://pld.live/RapDetail.aspx?STONELIST=926010106","DNA")</f>
        <v>DNA</v>
      </c>
      <c r="D3746" s="18" t="s">
        <v>5154</v>
      </c>
      <c r="E3746" s="18" t="s">
        <v>2186</v>
      </c>
      <c r="F3746" s="2" t="s">
        <v>7987</v>
      </c>
      <c r="G3746" s="2" t="s">
        <v>1573</v>
      </c>
      <c r="H3746" s="14">
        <v>2.4700000000000002</v>
      </c>
      <c r="I3746" s="2" t="s">
        <v>6874</v>
      </c>
      <c r="J3746" s="2" t="s">
        <v>13</v>
      </c>
      <c r="K3746" s="2" t="s">
        <v>1452</v>
      </c>
      <c r="L3746" s="2" t="s">
        <v>5221</v>
      </c>
      <c r="M3746" s="2" t="s">
        <v>5221</v>
      </c>
      <c r="N3746" s="2" t="s">
        <v>924</v>
      </c>
      <c r="O3746" s="14">
        <v>4300</v>
      </c>
      <c r="P3746" s="14">
        <v>92.09</v>
      </c>
      <c r="Q3746" s="14">
        <v>340.13</v>
      </c>
      <c r="R3746" s="14">
        <v>840.12</v>
      </c>
      <c r="S3746" s="2" t="s">
        <v>2619</v>
      </c>
      <c r="T3746" s="2">
        <v>1.38</v>
      </c>
      <c r="U3746" s="2">
        <v>61.8</v>
      </c>
      <c r="V3746" s="2">
        <v>62</v>
      </c>
      <c r="W3746" s="2" t="s">
        <v>7862</v>
      </c>
      <c r="X3746" s="2" t="s">
        <v>471</v>
      </c>
      <c r="Y3746" s="2">
        <v>10621</v>
      </c>
      <c r="Z3746" s="19" t="str">
        <f>HYPERLINK("https://ssdweb.co/ssdweb/hd/Vision360.html?d=926010106&amp;zoomslide=1&amp;z=1926010106&amp;ISCONFIRM=0","VIDEO")</f>
        <v>VIDEO</v>
      </c>
      <c r="AA3746" s="19" t="str">
        <f>HYPERLINK("https://ssdweb.co/ssdweb/CERTH/639406139.pdf","CERTI")</f>
        <v>CERTI</v>
      </c>
    </row>
    <row r="3747" spans="1:27" ht="15" x14ac:dyDescent="0.25">
      <c r="A3747" s="2">
        <v>3742</v>
      </c>
      <c r="B3747" s="39">
        <v>926010028</v>
      </c>
      <c r="C3747" s="28" t="str">
        <f>HYPERLINK("https://pld.live/RapDetail.aspx?STONELIST=926010028","DNA")</f>
        <v>DNA</v>
      </c>
      <c r="D3747" s="18" t="s">
        <v>5154</v>
      </c>
      <c r="E3747" s="18" t="s">
        <v>2186</v>
      </c>
      <c r="F3747" s="2" t="s">
        <v>7987</v>
      </c>
      <c r="G3747" s="2" t="s">
        <v>1573</v>
      </c>
      <c r="H3747" s="14">
        <v>2.46</v>
      </c>
      <c r="I3747" s="2" t="s">
        <v>6874</v>
      </c>
      <c r="J3747" s="2" t="s">
        <v>13</v>
      </c>
      <c r="K3747" s="2" t="s">
        <v>1452</v>
      </c>
      <c r="L3747" s="2" t="s">
        <v>5221</v>
      </c>
      <c r="M3747" s="2" t="s">
        <v>5221</v>
      </c>
      <c r="N3747" s="2" t="s">
        <v>924</v>
      </c>
      <c r="O3747" s="14">
        <v>4300</v>
      </c>
      <c r="P3747" s="14">
        <v>92.09</v>
      </c>
      <c r="Q3747" s="14">
        <v>340.13</v>
      </c>
      <c r="R3747" s="14">
        <v>836.72</v>
      </c>
      <c r="S3747" s="2" t="s">
        <v>1015</v>
      </c>
      <c r="T3747" s="2">
        <v>1.4</v>
      </c>
      <c r="U3747" s="2">
        <v>61.9</v>
      </c>
      <c r="V3747" s="2">
        <v>62</v>
      </c>
      <c r="W3747" s="2" t="s">
        <v>7862</v>
      </c>
      <c r="X3747" s="2" t="s">
        <v>471</v>
      </c>
      <c r="Y3747" s="2">
        <v>10578</v>
      </c>
      <c r="Z3747" s="19" t="str">
        <f>HYPERLINK("https://ssdweb.co/ssdweb/hd/Vision360.html?d=926010028&amp;zoomslide=1&amp;z=1926010028&amp;ISCONFIRM=0","VIDEO")</f>
        <v>VIDEO</v>
      </c>
      <c r="AA3747" s="19" t="str">
        <f>HYPERLINK("https://ssdweb.co/ssdweb/CERTH/631429914.pdf","CERTI")</f>
        <v>CERTI</v>
      </c>
    </row>
    <row r="3748" spans="1:27" ht="15" x14ac:dyDescent="0.25">
      <c r="A3748" s="2">
        <v>3743</v>
      </c>
      <c r="B3748" s="39">
        <v>925700319</v>
      </c>
      <c r="C3748" s="28" t="str">
        <f>HYPERLINK("https://pld.live/RapDetail.aspx?STONELIST=925700319","DNA")</f>
        <v>DNA</v>
      </c>
      <c r="D3748" s="18" t="s">
        <v>5154</v>
      </c>
      <c r="E3748" s="18" t="s">
        <v>2186</v>
      </c>
      <c r="F3748" s="2" t="s">
        <v>7987</v>
      </c>
      <c r="G3748" s="2" t="s">
        <v>1573</v>
      </c>
      <c r="H3748" s="14">
        <v>2.41</v>
      </c>
      <c r="I3748" s="2" t="s">
        <v>1505</v>
      </c>
      <c r="J3748" s="2" t="s">
        <v>5144</v>
      </c>
      <c r="K3748" s="2" t="s">
        <v>1452</v>
      </c>
      <c r="L3748" s="2" t="s">
        <v>5221</v>
      </c>
      <c r="M3748" s="2" t="s">
        <v>5221</v>
      </c>
      <c r="N3748" s="2" t="s">
        <v>2317</v>
      </c>
      <c r="O3748" s="14">
        <v>11000</v>
      </c>
      <c r="P3748" s="14">
        <v>99.02</v>
      </c>
      <c r="Q3748" s="14">
        <v>107.8</v>
      </c>
      <c r="R3748" s="14">
        <v>259.8</v>
      </c>
      <c r="S3748" s="2" t="s">
        <v>5827</v>
      </c>
      <c r="T3748" s="2">
        <v>1.44</v>
      </c>
      <c r="U3748" s="2">
        <v>62.2</v>
      </c>
      <c r="V3748" s="2">
        <v>58</v>
      </c>
      <c r="W3748" s="2" t="s">
        <v>8016</v>
      </c>
      <c r="X3748" s="2" t="s">
        <v>471</v>
      </c>
      <c r="Y3748" s="2">
        <v>26510</v>
      </c>
      <c r="Z3748" s="19" t="str">
        <f>HYPERLINK("https://ssdweb.co/ssdweb/hd/Vision360.html?d=925700319&amp;zoomslide=1&amp;z=1925700319&amp;ISCONFIRM=0","VIDEO")</f>
        <v>VIDEO</v>
      </c>
      <c r="AA3748" s="19" t="str">
        <f>HYPERLINK("https://ssdweb.co/ssdweb/CERTH/627410455.pdf","CERTI")</f>
        <v>CERTI</v>
      </c>
    </row>
    <row r="3749" spans="1:27" ht="15" x14ac:dyDescent="0.25">
      <c r="A3749" s="2">
        <v>3744</v>
      </c>
      <c r="B3749" s="39">
        <v>925560050</v>
      </c>
      <c r="C3749" s="28" t="str">
        <f>HYPERLINK("https://pld.live/RapDetail.aspx?STONELIST=925560050","DNA")</f>
        <v>DNA</v>
      </c>
      <c r="D3749" s="18" t="s">
        <v>3658</v>
      </c>
      <c r="E3749" s="18" t="s">
        <v>2186</v>
      </c>
      <c r="F3749" s="2" t="s">
        <v>7987</v>
      </c>
      <c r="G3749" s="2" t="s">
        <v>1573</v>
      </c>
      <c r="H3749" s="14">
        <v>2.2799999999999998</v>
      </c>
      <c r="I3749" s="2" t="s">
        <v>6845</v>
      </c>
      <c r="J3749" s="2" t="s">
        <v>13</v>
      </c>
      <c r="K3749" s="2" t="s">
        <v>1452</v>
      </c>
      <c r="L3749" s="2" t="s">
        <v>5221</v>
      </c>
      <c r="M3749" s="2" t="s">
        <v>5221</v>
      </c>
      <c r="N3749" s="2" t="s">
        <v>2317</v>
      </c>
      <c r="O3749" s="14">
        <v>4300</v>
      </c>
      <c r="P3749" s="14">
        <v>94.88</v>
      </c>
      <c r="Q3749" s="14">
        <v>220.16</v>
      </c>
      <c r="R3749" s="14">
        <v>501.96</v>
      </c>
      <c r="S3749" s="2" t="s">
        <v>6579</v>
      </c>
      <c r="T3749" s="2">
        <v>1.45</v>
      </c>
      <c r="U3749" s="2">
        <v>61.4</v>
      </c>
      <c r="V3749" s="2">
        <v>59</v>
      </c>
      <c r="W3749" s="2" t="s">
        <v>7862</v>
      </c>
      <c r="X3749" s="2" t="s">
        <v>471</v>
      </c>
      <c r="Y3749" s="2">
        <v>9804</v>
      </c>
      <c r="Z3749" s="19" t="str">
        <f>HYPERLINK("https://ssdweb.co/ssdweb/hd/Vision360.html?d=925560050&amp;zoomslide=1&amp;z=1925560050&amp;ISCONFIRM=0","VIDEO")</f>
        <v>VIDEO</v>
      </c>
      <c r="AA3749" s="19" t="str">
        <f>HYPERLINK("https://ssdweb.co/ssdweb/CERTH/625432407.pdf","CERTI")</f>
        <v>CERTI</v>
      </c>
    </row>
    <row r="3750" spans="1:27" ht="15" x14ac:dyDescent="0.25">
      <c r="A3750" s="2">
        <v>3745</v>
      </c>
      <c r="B3750" s="39">
        <v>925560098</v>
      </c>
      <c r="C3750" s="28" t="str">
        <f>HYPERLINK("https://pld.live/RapDetail.aspx?STONELIST=925560098","DNA")</f>
        <v>DNA</v>
      </c>
      <c r="D3750" s="18" t="s">
        <v>3658</v>
      </c>
      <c r="E3750" s="18" t="s">
        <v>2186</v>
      </c>
      <c r="F3750" s="2" t="s">
        <v>7987</v>
      </c>
      <c r="G3750" s="2" t="s">
        <v>1573</v>
      </c>
      <c r="H3750" s="14">
        <v>2.2599999999999998</v>
      </c>
      <c r="I3750" s="2" t="s">
        <v>6845</v>
      </c>
      <c r="J3750" s="2" t="s">
        <v>13</v>
      </c>
      <c r="K3750" s="2" t="s">
        <v>1452</v>
      </c>
      <c r="L3750" s="2" t="s">
        <v>5221</v>
      </c>
      <c r="M3750" s="2" t="s">
        <v>5221</v>
      </c>
      <c r="N3750" s="2" t="s">
        <v>2317</v>
      </c>
      <c r="O3750" s="14">
        <v>4300</v>
      </c>
      <c r="P3750" s="14">
        <v>94.88</v>
      </c>
      <c r="Q3750" s="14">
        <v>220.16</v>
      </c>
      <c r="R3750" s="14">
        <v>497.56</v>
      </c>
      <c r="S3750" s="2" t="s">
        <v>5947</v>
      </c>
      <c r="T3750" s="2">
        <v>1.38</v>
      </c>
      <c r="U3750" s="2">
        <v>62.5</v>
      </c>
      <c r="V3750" s="2">
        <v>63</v>
      </c>
      <c r="W3750" s="2" t="s">
        <v>7862</v>
      </c>
      <c r="X3750" s="2" t="s">
        <v>471</v>
      </c>
      <c r="Y3750" s="2">
        <v>9718</v>
      </c>
      <c r="Z3750" s="19" t="str">
        <f>HYPERLINK("https://ssdweb.co/ssdweb/hd/Vision360.html?d=925560098&amp;zoomslide=1&amp;z=1925560098&amp;ISCONFIRM=0","VIDEO")</f>
        <v>VIDEO</v>
      </c>
      <c r="AA3750" s="19" t="str">
        <f>HYPERLINK("https://ssdweb.co/ssdweb/CERTH/625432417.pdf","CERTI")</f>
        <v>CERTI</v>
      </c>
    </row>
    <row r="3751" spans="1:27" ht="15" x14ac:dyDescent="0.25">
      <c r="A3751" s="2">
        <v>3746</v>
      </c>
      <c r="B3751" s="39">
        <v>924380360</v>
      </c>
      <c r="C3751" s="28" t="str">
        <f>HYPERLINK("https://pld.live/RapDetail.aspx?STONELIST=924380360","DNA")</f>
        <v>DNA</v>
      </c>
      <c r="D3751" s="18" t="s">
        <v>3658</v>
      </c>
      <c r="E3751" s="18" t="s">
        <v>2186</v>
      </c>
      <c r="F3751" s="2" t="s">
        <v>7987</v>
      </c>
      <c r="G3751" s="2" t="s">
        <v>1573</v>
      </c>
      <c r="H3751" s="14">
        <v>2.2400000000000002</v>
      </c>
      <c r="I3751" s="2" t="s">
        <v>6587</v>
      </c>
      <c r="J3751" s="2" t="s">
        <v>13</v>
      </c>
      <c r="K3751" s="2" t="s">
        <v>1452</v>
      </c>
      <c r="L3751" s="2" t="s">
        <v>5221</v>
      </c>
      <c r="M3751" s="2" t="s">
        <v>5221</v>
      </c>
      <c r="N3751" s="2" t="s">
        <v>2317</v>
      </c>
      <c r="O3751" s="14">
        <v>14000</v>
      </c>
      <c r="P3751" s="14">
        <v>99.16</v>
      </c>
      <c r="Q3751" s="14">
        <v>117.6</v>
      </c>
      <c r="R3751" s="14">
        <v>263.42</v>
      </c>
      <c r="S3751" s="2" t="s">
        <v>677</v>
      </c>
      <c r="T3751" s="2">
        <v>1.38</v>
      </c>
      <c r="U3751" s="2">
        <v>61.7</v>
      </c>
      <c r="V3751" s="2">
        <v>61</v>
      </c>
      <c r="W3751" s="2" t="s">
        <v>8016</v>
      </c>
      <c r="X3751" s="2" t="s">
        <v>471</v>
      </c>
      <c r="Y3751" s="2">
        <v>31360</v>
      </c>
      <c r="Z3751" s="19" t="str">
        <f>HYPERLINK("https://ssdweb.co/ssdweb/hd/Vision360.html?d=924380360&amp;zoomslide=1&amp;z=1924380360&amp;ISCONFIRM=0","VIDEO")</f>
        <v>VIDEO</v>
      </c>
      <c r="AA3751" s="19" t="str">
        <f>HYPERLINK("https://ssdweb.co/ssdweb/CERTH/591307190.pdf","CERTI")</f>
        <v>CERTI</v>
      </c>
    </row>
    <row r="3752" spans="1:27" ht="15" x14ac:dyDescent="0.25">
      <c r="A3752" s="2">
        <v>3747</v>
      </c>
      <c r="B3752" s="39">
        <v>926010135</v>
      </c>
      <c r="C3752" s="28" t="str">
        <f>HYPERLINK("https://pld.live/RapDetail.aspx?STONELIST=926010135","DNA")</f>
        <v>DNA</v>
      </c>
      <c r="D3752" s="18" t="s">
        <v>3658</v>
      </c>
      <c r="E3752" s="18" t="s">
        <v>2186</v>
      </c>
      <c r="F3752" s="2" t="s">
        <v>7987</v>
      </c>
      <c r="G3752" s="2" t="s">
        <v>1573</v>
      </c>
      <c r="H3752" s="14">
        <v>2.23</v>
      </c>
      <c r="I3752" s="2" t="s">
        <v>6874</v>
      </c>
      <c r="J3752" s="2" t="s">
        <v>13</v>
      </c>
      <c r="K3752" s="2" t="s">
        <v>1452</v>
      </c>
      <c r="L3752" s="2" t="s">
        <v>5221</v>
      </c>
      <c r="M3752" s="2" t="s">
        <v>5221</v>
      </c>
      <c r="N3752" s="2" t="s">
        <v>924</v>
      </c>
      <c r="O3752" s="14">
        <v>4300</v>
      </c>
      <c r="P3752" s="14">
        <v>92.09</v>
      </c>
      <c r="Q3752" s="14">
        <v>340.13</v>
      </c>
      <c r="R3752" s="14">
        <v>758.49</v>
      </c>
      <c r="S3752" s="2" t="s">
        <v>6050</v>
      </c>
      <c r="T3752" s="2">
        <v>1.44</v>
      </c>
      <c r="U3752" s="2">
        <v>61.1</v>
      </c>
      <c r="V3752" s="2">
        <v>61</v>
      </c>
      <c r="W3752" s="2" t="s">
        <v>7862</v>
      </c>
      <c r="X3752" s="2" t="s">
        <v>471</v>
      </c>
      <c r="Y3752" s="2">
        <v>9589</v>
      </c>
      <c r="Z3752" s="19" t="str">
        <f>HYPERLINK("https://ssdweb.co/ssdweb/hd/Vision360.html?d=926010135&amp;zoomslide=1&amp;z=1926010135&amp;ISCONFIRM=0","VIDEO")</f>
        <v>VIDEO</v>
      </c>
      <c r="AA3752" s="19" t="str">
        <f>HYPERLINK("https://ssdweb.co/ssdweb/CERTH/639406146.pdf","CERTI")</f>
        <v>CERTI</v>
      </c>
    </row>
    <row r="3753" spans="1:27" ht="15" x14ac:dyDescent="0.25">
      <c r="A3753" s="2">
        <v>3748</v>
      </c>
      <c r="B3753" s="39">
        <v>926030088</v>
      </c>
      <c r="C3753" s="28" t="str">
        <f>HYPERLINK("https://pld.live/RapDetail.aspx?STONELIST=926030088","DNA")</f>
        <v>DNA</v>
      </c>
      <c r="D3753" s="18" t="s">
        <v>3658</v>
      </c>
      <c r="E3753" s="18" t="s">
        <v>2186</v>
      </c>
      <c r="F3753" s="2" t="s">
        <v>7987</v>
      </c>
      <c r="G3753" s="2" t="s">
        <v>1573</v>
      </c>
      <c r="H3753" s="14">
        <v>2.2200000000000002</v>
      </c>
      <c r="I3753" s="2" t="s">
        <v>6874</v>
      </c>
      <c r="J3753" s="2" t="s">
        <v>13</v>
      </c>
      <c r="K3753" s="2" t="s">
        <v>1452</v>
      </c>
      <c r="L3753" s="2" t="s">
        <v>5221</v>
      </c>
      <c r="M3753" s="2" t="s">
        <v>5221</v>
      </c>
      <c r="N3753" s="2" t="s">
        <v>924</v>
      </c>
      <c r="O3753" s="14">
        <v>4300</v>
      </c>
      <c r="P3753" s="14">
        <v>92.09</v>
      </c>
      <c r="Q3753" s="14">
        <v>340.13</v>
      </c>
      <c r="R3753" s="14">
        <v>755.09</v>
      </c>
      <c r="S3753" s="2" t="s">
        <v>3800</v>
      </c>
      <c r="T3753" s="2">
        <v>1.37</v>
      </c>
      <c r="U3753" s="2">
        <v>61.8</v>
      </c>
      <c r="V3753" s="2">
        <v>59</v>
      </c>
      <c r="W3753" s="2" t="s">
        <v>7862</v>
      </c>
      <c r="X3753" s="2" t="s">
        <v>471</v>
      </c>
      <c r="Y3753" s="2">
        <v>9546</v>
      </c>
      <c r="Z3753" s="19" t="str">
        <f>HYPERLINK("https://ssdweb.co/ssdweb/hd/Vision360.html?d=926030088&amp;zoomslide=1&amp;z=1926030088&amp;ISCONFIRM=0","VIDEO")</f>
        <v>VIDEO</v>
      </c>
      <c r="AA3753" s="19" t="str">
        <f>HYPERLINK("https://ssdweb.co/ssdweb/CERTH/639406143.pdf","CERTI")</f>
        <v>CERTI</v>
      </c>
    </row>
    <row r="3754" spans="1:27" ht="15" x14ac:dyDescent="0.25">
      <c r="A3754" s="2">
        <v>3749</v>
      </c>
      <c r="B3754" s="39">
        <v>925560076</v>
      </c>
      <c r="C3754" s="28" t="str">
        <f>HYPERLINK("https://pld.live/RapDetail.aspx?STONELIST=925560076","DNA")</f>
        <v>DNA</v>
      </c>
      <c r="D3754" s="18" t="s">
        <v>3658</v>
      </c>
      <c r="E3754" s="18" t="s">
        <v>2186</v>
      </c>
      <c r="F3754" s="2" t="s">
        <v>7987</v>
      </c>
      <c r="G3754" s="2" t="s">
        <v>1573</v>
      </c>
      <c r="H3754" s="14">
        <v>2.21</v>
      </c>
      <c r="I3754" s="2" t="s">
        <v>6845</v>
      </c>
      <c r="J3754" s="2" t="s">
        <v>13</v>
      </c>
      <c r="K3754" s="2" t="s">
        <v>1452</v>
      </c>
      <c r="L3754" s="2" t="s">
        <v>5221</v>
      </c>
      <c r="M3754" s="2" t="s">
        <v>5221</v>
      </c>
      <c r="N3754" s="2" t="s">
        <v>2317</v>
      </c>
      <c r="O3754" s="14">
        <v>4300</v>
      </c>
      <c r="P3754" s="14">
        <v>94.88</v>
      </c>
      <c r="Q3754" s="14">
        <v>220.16</v>
      </c>
      <c r="R3754" s="14">
        <v>486.55</v>
      </c>
      <c r="S3754" s="2" t="s">
        <v>3827</v>
      </c>
      <c r="T3754" s="2">
        <v>1.37</v>
      </c>
      <c r="U3754" s="2">
        <v>62.6</v>
      </c>
      <c r="V3754" s="2">
        <v>60</v>
      </c>
      <c r="W3754" s="2" t="s">
        <v>7862</v>
      </c>
      <c r="X3754" s="2" t="s">
        <v>471</v>
      </c>
      <c r="Y3754" s="2">
        <v>9503</v>
      </c>
      <c r="Z3754" s="19" t="str">
        <f>HYPERLINK("https://ssdweb.co/ssdweb/hd/Vision360.html?d=925560076&amp;zoomslide=1&amp;z=1925560076&amp;ISCONFIRM=0","VIDEO")</f>
        <v>VIDEO</v>
      </c>
      <c r="AA3754" s="19" t="str">
        <f>HYPERLINK("https://ssdweb.co/ssdweb/CERTH/625432409.pdf","CERTI")</f>
        <v>CERTI</v>
      </c>
    </row>
    <row r="3755" spans="1:27" ht="15" x14ac:dyDescent="0.25">
      <c r="A3755" s="2">
        <v>3750</v>
      </c>
      <c r="B3755" s="39">
        <v>926060003</v>
      </c>
      <c r="C3755" s="28" t="str">
        <f>HYPERLINK("https://pld.live/RapDetail.aspx?STONELIST=926060003","DNA")</f>
        <v>DNA</v>
      </c>
      <c r="D3755" s="18" t="s">
        <v>3658</v>
      </c>
      <c r="E3755" s="18" t="s">
        <v>2186</v>
      </c>
      <c r="F3755" s="2" t="s">
        <v>7987</v>
      </c>
      <c r="G3755" s="2" t="s">
        <v>1573</v>
      </c>
      <c r="H3755" s="14">
        <v>2.11</v>
      </c>
      <c r="I3755" s="2" t="s">
        <v>7364</v>
      </c>
      <c r="J3755" s="2" t="s">
        <v>13</v>
      </c>
      <c r="K3755" s="2" t="s">
        <v>1452</v>
      </c>
      <c r="L3755" s="2" t="s">
        <v>5221</v>
      </c>
      <c r="M3755" s="2" t="s">
        <v>5221</v>
      </c>
      <c r="N3755" s="2" t="s">
        <v>2317</v>
      </c>
      <c r="O3755" s="14">
        <v>4300</v>
      </c>
      <c r="P3755" s="14">
        <v>96.05</v>
      </c>
      <c r="Q3755" s="14">
        <v>169.85</v>
      </c>
      <c r="R3755" s="14">
        <v>358.38</v>
      </c>
      <c r="S3755" s="2" t="s">
        <v>3944</v>
      </c>
      <c r="T3755" s="2">
        <v>1.45</v>
      </c>
      <c r="U3755" s="2">
        <v>65.099999999999994</v>
      </c>
      <c r="V3755" s="2">
        <v>61</v>
      </c>
      <c r="W3755" s="2" t="s">
        <v>7862</v>
      </c>
      <c r="X3755" s="2" t="s">
        <v>6126</v>
      </c>
      <c r="Y3755" s="2">
        <v>9073</v>
      </c>
      <c r="Z3755" s="19" t="str">
        <f>HYPERLINK("https://ssdweb.co/ssdweb/hd/Vision360.html?d=926060003&amp;zoomslide=1&amp;z=1926060003&amp;ISCONFIRM=0","VIDEO")</f>
        <v>VIDEO</v>
      </c>
      <c r="AA3755" s="19" t="str">
        <f>HYPERLINK("https://ssdweb.co/ssdweb/CERTH/629479328.pdf","CERTI")</f>
        <v>CERTI</v>
      </c>
    </row>
    <row r="3756" spans="1:27" ht="15" x14ac:dyDescent="0.25">
      <c r="A3756" s="2">
        <v>3751</v>
      </c>
      <c r="B3756" s="39">
        <v>927080759</v>
      </c>
      <c r="C3756" s="28" t="str">
        <f>HYPERLINK("https://pld.live/RapDetail.aspx?STONELIST=927080759","DNA")</f>
        <v>DNA</v>
      </c>
      <c r="D3756" s="18" t="s">
        <v>3658</v>
      </c>
      <c r="E3756" s="18" t="s">
        <v>2186</v>
      </c>
      <c r="F3756" s="2" t="s">
        <v>7987</v>
      </c>
      <c r="G3756" s="2" t="s">
        <v>1573</v>
      </c>
      <c r="H3756" s="14">
        <v>2.09</v>
      </c>
      <c r="I3756" s="2" t="s">
        <v>4761</v>
      </c>
      <c r="J3756" s="2" t="s">
        <v>13</v>
      </c>
      <c r="K3756" s="2" t="s">
        <v>1452</v>
      </c>
      <c r="L3756" s="2" t="s">
        <v>5221</v>
      </c>
      <c r="M3756" s="2" t="s">
        <v>5221</v>
      </c>
      <c r="N3756" s="2" t="s">
        <v>2317</v>
      </c>
      <c r="O3756" s="14">
        <v>16000</v>
      </c>
      <c r="P3756" s="14">
        <v>99.09</v>
      </c>
      <c r="Q3756" s="14">
        <v>145.6</v>
      </c>
      <c r="R3756" s="14">
        <v>304.3</v>
      </c>
      <c r="S3756" s="2" t="s">
        <v>700</v>
      </c>
      <c r="T3756" s="2">
        <v>1.38</v>
      </c>
      <c r="U3756" s="2">
        <v>62.3</v>
      </c>
      <c r="V3756" s="2">
        <v>60</v>
      </c>
      <c r="W3756" s="2" t="s">
        <v>7862</v>
      </c>
      <c r="X3756" s="2" t="s">
        <v>471</v>
      </c>
      <c r="Y3756" s="2">
        <v>33440</v>
      </c>
      <c r="Z3756" s="19" t="str">
        <f>HYPERLINK("https://ssdweb.co/ssdweb/hd/Vision360.html?d=927080759&amp;zoomslide=1&amp;z=1927080759&amp;ISCONFIRM=0","VIDEO")</f>
        <v>VIDEO</v>
      </c>
      <c r="AA3756" s="19" t="str">
        <f>HYPERLINK("https://ssdweb.co/ssdweb/CERTH/671477244.pdf","CERTI")</f>
        <v>CERTI</v>
      </c>
    </row>
    <row r="3757" spans="1:27" ht="15" x14ac:dyDescent="0.25">
      <c r="A3757" s="2">
        <v>3752</v>
      </c>
      <c r="B3757" s="39">
        <v>925060347</v>
      </c>
      <c r="C3757" s="28" t="str">
        <f>HYPERLINK("https://pld.live/RapDetail.aspx?STONELIST=925060347","DNA")</f>
        <v>DNA</v>
      </c>
      <c r="D3757" s="18" t="s">
        <v>3658</v>
      </c>
      <c r="E3757" s="18" t="s">
        <v>2186</v>
      </c>
      <c r="F3757" s="2" t="s">
        <v>5597</v>
      </c>
      <c r="G3757" s="2" t="s">
        <v>1573</v>
      </c>
      <c r="H3757" s="14">
        <v>2.09</v>
      </c>
      <c r="I3757" s="2" t="s">
        <v>4699</v>
      </c>
      <c r="J3757" s="2" t="s">
        <v>13</v>
      </c>
      <c r="K3757" s="2" t="s">
        <v>1452</v>
      </c>
      <c r="L3757" s="2" t="s">
        <v>5221</v>
      </c>
      <c r="M3757" s="2" t="s">
        <v>5221</v>
      </c>
      <c r="N3757" s="2" t="s">
        <v>2317</v>
      </c>
      <c r="O3757" s="14">
        <v>15000</v>
      </c>
      <c r="P3757" s="14">
        <v>98.43</v>
      </c>
      <c r="Q3757" s="14">
        <v>235.5</v>
      </c>
      <c r="R3757" s="14">
        <v>492.2</v>
      </c>
      <c r="S3757" s="2" t="s">
        <v>5388</v>
      </c>
      <c r="T3757" s="2">
        <v>1.44</v>
      </c>
      <c r="U3757" s="2">
        <v>60</v>
      </c>
      <c r="V3757" s="2">
        <v>62</v>
      </c>
      <c r="W3757" s="2" t="s">
        <v>7862</v>
      </c>
      <c r="X3757" s="2" t="s">
        <v>471</v>
      </c>
      <c r="Y3757" s="2">
        <v>31350</v>
      </c>
      <c r="Z3757" s="19" t="str">
        <f>HYPERLINK("https://ssdweb.co/ssdweb/hd/Vision360.html?d=925060347&amp;zoomslide=1&amp;z=1925060347&amp;ISCONFIRM=0","VIDEO")</f>
        <v>VIDEO</v>
      </c>
      <c r="AA3757" s="19" t="str">
        <f>HYPERLINK("https://ssdweb.co/ssdweb/CERTH/1488131241.pdf","CERTI")</f>
        <v>CERTI</v>
      </c>
    </row>
    <row r="3758" spans="1:27" ht="15" x14ac:dyDescent="0.25">
      <c r="A3758" s="2">
        <v>3753</v>
      </c>
      <c r="B3758" s="39">
        <v>927110015</v>
      </c>
      <c r="C3758" s="28" t="str">
        <f>HYPERLINK("https://pld.live/RapDetail.aspx?STONELIST=927110015","DNA")</f>
        <v>DNA</v>
      </c>
      <c r="D3758" s="18" t="s">
        <v>3658</v>
      </c>
      <c r="E3758" s="18" t="s">
        <v>2186</v>
      </c>
      <c r="F3758" s="2" t="s">
        <v>7987</v>
      </c>
      <c r="G3758" s="2" t="s">
        <v>1573</v>
      </c>
      <c r="H3758" s="14">
        <v>2.08</v>
      </c>
      <c r="I3758" s="2" t="s">
        <v>267</v>
      </c>
      <c r="J3758" s="2" t="s">
        <v>13</v>
      </c>
      <c r="K3758" s="2" t="s">
        <v>1452</v>
      </c>
      <c r="L3758" s="2" t="s">
        <v>5221</v>
      </c>
      <c r="M3758" s="2" t="s">
        <v>5221</v>
      </c>
      <c r="N3758" s="2" t="s">
        <v>2317</v>
      </c>
      <c r="O3758" s="14">
        <v>17500</v>
      </c>
      <c r="P3758" s="14">
        <v>99.14</v>
      </c>
      <c r="Q3758" s="14">
        <v>150.5</v>
      </c>
      <c r="R3758" s="14">
        <v>313.04000000000002</v>
      </c>
      <c r="S3758" s="2" t="s">
        <v>7268</v>
      </c>
      <c r="T3758" s="2">
        <v>1.44</v>
      </c>
      <c r="U3758" s="2">
        <v>62.2</v>
      </c>
      <c r="V3758" s="2">
        <v>61</v>
      </c>
      <c r="W3758" s="2" t="s">
        <v>7862</v>
      </c>
      <c r="X3758" s="2" t="s">
        <v>471</v>
      </c>
      <c r="Y3758" s="2">
        <v>36400</v>
      </c>
      <c r="Z3758" s="19" t="str">
        <f>HYPERLINK("https://ssdweb.co/ssdweb/hd/Vision360.html?d=927110015&amp;zoomslide=1&amp;z=1927110015&amp;ISCONFIRM=0","VIDEO")</f>
        <v>VIDEO</v>
      </c>
      <c r="AA3758" s="19" t="str">
        <f>HYPERLINK("https://ssdweb.co/ssdweb/CERTH/670484401.pdf","CERTI")</f>
        <v>CERTI</v>
      </c>
    </row>
    <row r="3759" spans="1:27" ht="15" x14ac:dyDescent="0.25">
      <c r="A3759" s="2">
        <v>3754</v>
      </c>
      <c r="B3759" s="39">
        <v>925680138</v>
      </c>
      <c r="C3759" s="28" t="str">
        <f>HYPERLINK("https://pld.live/RapDetail.aspx?STONELIST=925680138","DNA")</f>
        <v>DNA</v>
      </c>
      <c r="D3759" s="18" t="s">
        <v>3658</v>
      </c>
      <c r="E3759" s="18" t="s">
        <v>2186</v>
      </c>
      <c r="F3759" s="2" t="s">
        <v>7987</v>
      </c>
      <c r="G3759" s="2" t="s">
        <v>1573</v>
      </c>
      <c r="H3759" s="14">
        <v>2.08</v>
      </c>
      <c r="I3759" s="2" t="s">
        <v>6874</v>
      </c>
      <c r="J3759" s="2" t="s">
        <v>13</v>
      </c>
      <c r="K3759" s="2" t="s">
        <v>1452</v>
      </c>
      <c r="L3759" s="2" t="s">
        <v>5221</v>
      </c>
      <c r="M3759" s="2" t="s">
        <v>5221</v>
      </c>
      <c r="N3759" s="2" t="s">
        <v>924</v>
      </c>
      <c r="O3759" s="14">
        <v>4300</v>
      </c>
      <c r="P3759" s="14">
        <v>92.09</v>
      </c>
      <c r="Q3759" s="14">
        <v>340.13</v>
      </c>
      <c r="R3759" s="14">
        <v>707.47</v>
      </c>
      <c r="S3759" s="2" t="s">
        <v>1874</v>
      </c>
      <c r="T3759" s="2">
        <v>1.44</v>
      </c>
      <c r="U3759" s="2">
        <v>61.4</v>
      </c>
      <c r="V3759" s="2">
        <v>60</v>
      </c>
      <c r="W3759" s="2" t="s">
        <v>7862</v>
      </c>
      <c r="X3759" s="2" t="s">
        <v>471</v>
      </c>
      <c r="Y3759" s="2">
        <v>8944</v>
      </c>
      <c r="Z3759" s="19" t="str">
        <f>HYPERLINK("https://ssdweb.co/ssdweb/hd/Vision360.html?d=925680138&amp;zoomslide=1&amp;z=1925680138&amp;ISCONFIRM=0","VIDEO")</f>
        <v>VIDEO</v>
      </c>
      <c r="AA3759" s="19" t="str">
        <f>HYPERLINK("https://ssdweb.co/ssdweb/CERTH/629479331.pdf","CERTI")</f>
        <v>CERTI</v>
      </c>
    </row>
    <row r="3760" spans="1:27" ht="15" x14ac:dyDescent="0.25">
      <c r="A3760" s="2">
        <v>3755</v>
      </c>
      <c r="B3760" s="39">
        <v>927070627</v>
      </c>
      <c r="C3760" s="28" t="str">
        <f>HYPERLINK("https://pld.live/RapDetail.aspx?STONELIST=927070627","DNA")</f>
        <v>DNA</v>
      </c>
      <c r="D3760" s="18" t="s">
        <v>3658</v>
      </c>
      <c r="E3760" s="18" t="s">
        <v>2186</v>
      </c>
      <c r="F3760" s="2" t="s">
        <v>7987</v>
      </c>
      <c r="G3760" s="2" t="s">
        <v>1573</v>
      </c>
      <c r="H3760" s="14">
        <v>2.06</v>
      </c>
      <c r="I3760" s="2" t="s">
        <v>4761</v>
      </c>
      <c r="J3760" s="2" t="s">
        <v>6555</v>
      </c>
      <c r="K3760" s="2" t="s">
        <v>1452</v>
      </c>
      <c r="L3760" s="2" t="s">
        <v>5221</v>
      </c>
      <c r="M3760" s="2" t="s">
        <v>5221</v>
      </c>
      <c r="N3760" s="2" t="s">
        <v>2317</v>
      </c>
      <c r="O3760" s="14">
        <v>18500</v>
      </c>
      <c r="P3760" s="14">
        <v>98.59</v>
      </c>
      <c r="Q3760" s="14">
        <v>260.85000000000002</v>
      </c>
      <c r="R3760" s="14">
        <v>537.35</v>
      </c>
      <c r="S3760" s="2" t="s">
        <v>7782</v>
      </c>
      <c r="T3760" s="2">
        <v>1.39</v>
      </c>
      <c r="U3760" s="2">
        <v>62.6</v>
      </c>
      <c r="V3760" s="2">
        <v>62</v>
      </c>
      <c r="W3760" s="2" t="s">
        <v>7862</v>
      </c>
      <c r="X3760" s="2" t="s">
        <v>471</v>
      </c>
      <c r="Y3760" s="2">
        <v>38110</v>
      </c>
      <c r="Z3760" s="19" t="str">
        <f>HYPERLINK("https://ssdweb.co/ssdweb/hd/Vision360.html?d=927070627&amp;zoomslide=1&amp;z=1927070627&amp;ISCONFIRM=0","VIDEO")</f>
        <v>VIDEO</v>
      </c>
      <c r="AA3760" s="19" t="str">
        <f>HYPERLINK("https://ssdweb.co/ssdweb/CERTH/670484364.pdf","CERTI")</f>
        <v>CERTI</v>
      </c>
    </row>
    <row r="3761" spans="1:27" ht="15" x14ac:dyDescent="0.25">
      <c r="A3761" s="2">
        <v>3756</v>
      </c>
      <c r="B3761" s="39">
        <v>941110548</v>
      </c>
      <c r="C3761" s="28" t="str">
        <f>HYPERLINK("https://pld.live/RapDetail.aspx?STONELIST=941110548","DNA")</f>
        <v>DNA</v>
      </c>
      <c r="D3761" s="18" t="s">
        <v>3658</v>
      </c>
      <c r="E3761" s="18" t="s">
        <v>2186</v>
      </c>
      <c r="F3761" s="2" t="s">
        <v>7987</v>
      </c>
      <c r="G3761" s="2" t="s">
        <v>1573</v>
      </c>
      <c r="H3761" s="14">
        <v>2.06</v>
      </c>
      <c r="I3761" s="2" t="s">
        <v>4761</v>
      </c>
      <c r="J3761" s="2" t="s">
        <v>3942</v>
      </c>
      <c r="K3761" s="2" t="s">
        <v>1452</v>
      </c>
      <c r="L3761" s="2" t="s">
        <v>5221</v>
      </c>
      <c r="M3761" s="2" t="s">
        <v>5221</v>
      </c>
      <c r="N3761" s="2" t="s">
        <v>2317</v>
      </c>
      <c r="O3761" s="14">
        <v>17000</v>
      </c>
      <c r="P3761" s="14">
        <v>99.12</v>
      </c>
      <c r="Q3761" s="14">
        <v>149.6</v>
      </c>
      <c r="R3761" s="14">
        <v>308.18</v>
      </c>
      <c r="S3761" s="2" t="s">
        <v>2915</v>
      </c>
      <c r="T3761" s="2">
        <v>1.41</v>
      </c>
      <c r="U3761" s="2">
        <v>61.9</v>
      </c>
      <c r="V3761" s="2">
        <v>62</v>
      </c>
      <c r="W3761" s="2" t="s">
        <v>7862</v>
      </c>
      <c r="X3761" s="2" t="s">
        <v>471</v>
      </c>
      <c r="Y3761" s="2">
        <v>35020</v>
      </c>
      <c r="Z3761" s="19" t="str">
        <f>HYPERLINK("https://ssdweb.co/ssdweb/hd/Vision360.html?d=941110548&amp;zoomslide=1&amp;z=1941110548&amp;ISCONFIRM=0","VIDEO")</f>
        <v>VIDEO</v>
      </c>
      <c r="AA3761" s="19" t="str">
        <f>HYPERLINK("https://ssdweb.co/ssdweb/CERTH/675504677.pdf","CERTI")</f>
        <v>CERTI</v>
      </c>
    </row>
    <row r="3762" spans="1:27" ht="15" x14ac:dyDescent="0.25">
      <c r="A3762" s="2">
        <v>3757</v>
      </c>
      <c r="B3762" s="39">
        <v>925060320</v>
      </c>
      <c r="C3762" s="28" t="str">
        <f>HYPERLINK("https://pld.live/RapDetail.aspx?STONELIST=925060320","DNA")</f>
        <v>DNA</v>
      </c>
      <c r="D3762" s="18" t="s">
        <v>3658</v>
      </c>
      <c r="E3762" s="18" t="s">
        <v>2186</v>
      </c>
      <c r="F3762" s="2" t="s">
        <v>7987</v>
      </c>
      <c r="G3762" s="2" t="s">
        <v>1573</v>
      </c>
      <c r="H3762" s="14">
        <v>2.06</v>
      </c>
      <c r="I3762" s="2" t="s">
        <v>6845</v>
      </c>
      <c r="J3762" s="2" t="s">
        <v>444</v>
      </c>
      <c r="K3762" s="2" t="s">
        <v>1452</v>
      </c>
      <c r="L3762" s="2" t="s">
        <v>5221</v>
      </c>
      <c r="M3762" s="2" t="s">
        <v>5221</v>
      </c>
      <c r="N3762" s="2" t="s">
        <v>2317</v>
      </c>
      <c r="O3762" s="14">
        <v>3900</v>
      </c>
      <c r="P3762" s="14">
        <v>95.13</v>
      </c>
      <c r="Q3762" s="14">
        <v>189.93</v>
      </c>
      <c r="R3762" s="14">
        <v>391.26</v>
      </c>
      <c r="S3762" s="2" t="s">
        <v>1076</v>
      </c>
      <c r="T3762" s="2">
        <v>1.4</v>
      </c>
      <c r="U3762" s="2">
        <v>62.3</v>
      </c>
      <c r="V3762" s="2">
        <v>59</v>
      </c>
      <c r="W3762" s="2" t="s">
        <v>7862</v>
      </c>
      <c r="X3762" s="2" t="s">
        <v>471</v>
      </c>
      <c r="Y3762" s="2">
        <v>8034</v>
      </c>
      <c r="Z3762" s="19" t="str">
        <f>HYPERLINK("https://ssdweb.co/ssdweb/hd/Vision360.html?d=925060320&amp;zoomslide=1&amp;z=1925060320&amp;ISCONFIRM=0","VIDEO")</f>
        <v>VIDEO</v>
      </c>
      <c r="AA3762" s="19" t="str">
        <f>HYPERLINK("https://ssdweb.co/ssdweb/CERTH/613350042.pdf","CERTI")</f>
        <v>CERTI</v>
      </c>
    </row>
    <row r="3763" spans="1:27" ht="15" x14ac:dyDescent="0.25">
      <c r="A3763" s="2">
        <v>3758</v>
      </c>
      <c r="B3763" s="39">
        <v>941431183</v>
      </c>
      <c r="C3763" s="28" t="str">
        <f>HYPERLINK("https://pld.live/RapDetail.aspx?STONELIST=941431183","DNA")</f>
        <v>DNA</v>
      </c>
      <c r="D3763" s="18" t="s">
        <v>3658</v>
      </c>
      <c r="E3763" s="18" t="s">
        <v>5128</v>
      </c>
      <c r="F3763" s="2" t="s">
        <v>7987</v>
      </c>
      <c r="G3763" s="2" t="s">
        <v>1573</v>
      </c>
      <c r="H3763" s="14">
        <v>2.0499999999999998</v>
      </c>
      <c r="I3763" s="2" t="s">
        <v>267</v>
      </c>
      <c r="J3763" s="2" t="s">
        <v>3942</v>
      </c>
      <c r="K3763" s="2" t="s">
        <v>1452</v>
      </c>
      <c r="L3763" s="2" t="s">
        <v>5221</v>
      </c>
      <c r="M3763" s="2" t="s">
        <v>5221</v>
      </c>
      <c r="N3763" s="2" t="s">
        <v>2317</v>
      </c>
      <c r="O3763" s="14">
        <v>18500</v>
      </c>
      <c r="P3763" s="14">
        <v>99.08</v>
      </c>
      <c r="Q3763" s="14">
        <v>170.2</v>
      </c>
      <c r="R3763" s="14">
        <v>348.91</v>
      </c>
      <c r="S3763" s="2" t="s">
        <v>5797</v>
      </c>
      <c r="T3763" s="2">
        <v>1.37</v>
      </c>
      <c r="U3763" s="2">
        <v>62.8</v>
      </c>
      <c r="V3763" s="2">
        <v>60</v>
      </c>
      <c r="W3763" s="2" t="s">
        <v>7862</v>
      </c>
      <c r="X3763" s="2" t="s">
        <v>471</v>
      </c>
      <c r="Y3763" s="2">
        <v>37925</v>
      </c>
      <c r="Z3763" s="19" t="str">
        <f>HYPERLINK("https://ssdweb.co/ssdweb/hd/Vision360.html?d=941431183&amp;zoomslide=1&amp;z=1941431183&amp;ISCONFIRM=0","VIDEO")</f>
        <v>VIDEO</v>
      </c>
      <c r="AA3763" s="19" t="str">
        <f>HYPERLINK("https://ssdweb.co/ssdweb/CERTH/694508445.pdf","CERTI")</f>
        <v>CERTI</v>
      </c>
    </row>
    <row r="3764" spans="1:27" ht="15" x14ac:dyDescent="0.25">
      <c r="A3764" s="2">
        <v>3759</v>
      </c>
      <c r="B3764" s="39">
        <v>925680179</v>
      </c>
      <c r="C3764" s="28" t="str">
        <f>HYPERLINK("https://pld.live/RapDetail.aspx?STONELIST=925680179","DNA")</f>
        <v>DNA</v>
      </c>
      <c r="D3764" s="18" t="s">
        <v>3658</v>
      </c>
      <c r="E3764" s="18" t="s">
        <v>2186</v>
      </c>
      <c r="F3764" s="2" t="s">
        <v>7987</v>
      </c>
      <c r="G3764" s="2" t="s">
        <v>1573</v>
      </c>
      <c r="H3764" s="14">
        <v>2.0499999999999998</v>
      </c>
      <c r="I3764" s="2" t="s">
        <v>6587</v>
      </c>
      <c r="J3764" s="2" t="s">
        <v>13</v>
      </c>
      <c r="K3764" s="2" t="s">
        <v>1452</v>
      </c>
      <c r="L3764" s="2" t="s">
        <v>5221</v>
      </c>
      <c r="M3764" s="2" t="s">
        <v>5221</v>
      </c>
      <c r="N3764" s="2" t="s">
        <v>2317</v>
      </c>
      <c r="O3764" s="14">
        <v>14000</v>
      </c>
      <c r="P3764" s="14">
        <v>99.16</v>
      </c>
      <c r="Q3764" s="14">
        <v>117.6</v>
      </c>
      <c r="R3764" s="14">
        <v>241.08</v>
      </c>
      <c r="S3764" s="2" t="s">
        <v>7390</v>
      </c>
      <c r="T3764" s="2">
        <v>1.39</v>
      </c>
      <c r="U3764" s="2">
        <v>61.4</v>
      </c>
      <c r="V3764" s="2">
        <v>62</v>
      </c>
      <c r="W3764" s="2" t="s">
        <v>8016</v>
      </c>
      <c r="X3764" s="2" t="s">
        <v>471</v>
      </c>
      <c r="Y3764" s="2">
        <v>28700</v>
      </c>
      <c r="Z3764" s="19" t="str">
        <f>HYPERLINK("https://ssdweb.co/ssdweb/hd/Vision360.html?d=925680179&amp;zoomslide=1&amp;z=1925680179&amp;ISCONFIRM=0","VIDEO")</f>
        <v>VIDEO</v>
      </c>
      <c r="AA3764" s="19" t="str">
        <f>HYPERLINK("https://ssdweb.co/ssdweb/CERTH/626457333.pdf","CERTI")</f>
        <v>CERTI</v>
      </c>
    </row>
    <row r="3765" spans="1:27" ht="15" x14ac:dyDescent="0.25">
      <c r="A3765" s="2">
        <v>3760</v>
      </c>
      <c r="B3765" s="39">
        <v>927070174</v>
      </c>
      <c r="C3765" s="28" t="str">
        <f>HYPERLINK("https://pld.live/RapDetail.aspx?STONELIST=927070174","DNA")</f>
        <v>DNA</v>
      </c>
      <c r="D3765" s="18" t="s">
        <v>3658</v>
      </c>
      <c r="E3765" s="18" t="s">
        <v>2186</v>
      </c>
      <c r="F3765" s="2" t="s">
        <v>7987</v>
      </c>
      <c r="G3765" s="2" t="s">
        <v>1573</v>
      </c>
      <c r="H3765" s="14">
        <v>2.04</v>
      </c>
      <c r="I3765" s="2" t="s">
        <v>4761</v>
      </c>
      <c r="J3765" s="2" t="s">
        <v>13</v>
      </c>
      <c r="K3765" s="2" t="s">
        <v>1452</v>
      </c>
      <c r="L3765" s="2" t="s">
        <v>5221</v>
      </c>
      <c r="M3765" s="2" t="s">
        <v>5221</v>
      </c>
      <c r="N3765" s="2" t="s">
        <v>2317</v>
      </c>
      <c r="O3765" s="14">
        <v>16000</v>
      </c>
      <c r="P3765" s="14">
        <v>99.09</v>
      </c>
      <c r="Q3765" s="14">
        <v>145.6</v>
      </c>
      <c r="R3765" s="14">
        <v>297.02</v>
      </c>
      <c r="S3765" s="2" t="s">
        <v>4057</v>
      </c>
      <c r="T3765" s="2">
        <v>1.4</v>
      </c>
      <c r="U3765" s="2">
        <v>63.2</v>
      </c>
      <c r="V3765" s="2">
        <v>61</v>
      </c>
      <c r="W3765" s="2" t="s">
        <v>7862</v>
      </c>
      <c r="X3765" s="2" t="s">
        <v>471</v>
      </c>
      <c r="Y3765" s="2">
        <v>32640</v>
      </c>
      <c r="Z3765" s="19" t="str">
        <f>HYPERLINK("https://ssdweb.co/ssdweb/hd/Vision360.html?d=927070174&amp;zoomslide=1&amp;z=1927070174&amp;ISCONFIRM=0","VIDEO")</f>
        <v>VIDEO</v>
      </c>
      <c r="AA3765" s="19" t="str">
        <f>HYPERLINK("https://ssdweb.co/ssdweb/CERTH/666408436.pdf","CERTI")</f>
        <v>CERTI</v>
      </c>
    </row>
    <row r="3766" spans="1:27" ht="15" x14ac:dyDescent="0.25">
      <c r="A3766" s="2">
        <v>3761</v>
      </c>
      <c r="B3766" s="39">
        <v>831020661</v>
      </c>
      <c r="C3766" s="28" t="str">
        <f>HYPERLINK("https://pld.live/RapDetail.aspx?STONELIST=831020661","DNA")</f>
        <v>DNA</v>
      </c>
      <c r="D3766" s="18" t="s">
        <v>3658</v>
      </c>
      <c r="E3766" s="18" t="s">
        <v>2186</v>
      </c>
      <c r="F3766" s="2" t="s">
        <v>5597</v>
      </c>
      <c r="G3766" s="2" t="s">
        <v>1573</v>
      </c>
      <c r="H3766" s="14">
        <v>2.04</v>
      </c>
      <c r="I3766" s="2" t="s">
        <v>4699</v>
      </c>
      <c r="J3766" s="2" t="s">
        <v>13</v>
      </c>
      <c r="K3766" s="2" t="s">
        <v>1452</v>
      </c>
      <c r="L3766" s="2" t="s">
        <v>5221</v>
      </c>
      <c r="M3766" s="2" t="s">
        <v>5221</v>
      </c>
      <c r="N3766" s="2" t="s">
        <v>2317</v>
      </c>
      <c r="O3766" s="14">
        <v>15000</v>
      </c>
      <c r="P3766" s="14">
        <v>98.47</v>
      </c>
      <c r="Q3766" s="14">
        <v>229.5</v>
      </c>
      <c r="R3766" s="14">
        <v>468.18</v>
      </c>
      <c r="S3766" s="2" t="s">
        <v>7803</v>
      </c>
      <c r="T3766" s="2">
        <v>1.38</v>
      </c>
      <c r="U3766" s="2">
        <v>62.4</v>
      </c>
      <c r="V3766" s="2">
        <v>60</v>
      </c>
      <c r="W3766" s="2" t="s">
        <v>7862</v>
      </c>
      <c r="X3766" s="2" t="s">
        <v>471</v>
      </c>
      <c r="Y3766" s="2">
        <v>30600</v>
      </c>
      <c r="Z3766" s="19" t="str">
        <f>HYPERLINK("https://ssdweb.co/ssdweb/hd/Vision360.html?d=831020661&amp;zoomslide=1&amp;z=1831020661&amp;ISCONFIRM=0","VIDEO")</f>
        <v>VIDEO</v>
      </c>
      <c r="AA3766" s="19" t="str">
        <f>HYPERLINK("https://ssdweb.co/ssdweb/CERTH/6472871528.pdf","CERTI")</f>
        <v>CERTI</v>
      </c>
    </row>
    <row r="3767" spans="1:27" ht="15" x14ac:dyDescent="0.25">
      <c r="A3767" s="2">
        <v>3762</v>
      </c>
      <c r="B3767" s="39">
        <v>927070926</v>
      </c>
      <c r="C3767" s="28" t="str">
        <f>HYPERLINK("https://pld.live/RapDetail.aspx?STONELIST=927070926","DNA")</f>
        <v>DNA</v>
      </c>
      <c r="D3767" s="18" t="s">
        <v>3658</v>
      </c>
      <c r="E3767" s="18" t="s">
        <v>2186</v>
      </c>
      <c r="F3767" s="2" t="s">
        <v>7987</v>
      </c>
      <c r="G3767" s="2" t="s">
        <v>1573</v>
      </c>
      <c r="H3767" s="14">
        <v>2.04</v>
      </c>
      <c r="I3767" s="2" t="s">
        <v>4699</v>
      </c>
      <c r="J3767" s="2" t="s">
        <v>13</v>
      </c>
      <c r="K3767" s="2" t="s">
        <v>1452</v>
      </c>
      <c r="L3767" s="2" t="s">
        <v>5221</v>
      </c>
      <c r="M3767" s="2" t="s">
        <v>5221</v>
      </c>
      <c r="N3767" s="2" t="s">
        <v>2317</v>
      </c>
      <c r="O3767" s="14">
        <v>15000</v>
      </c>
      <c r="P3767" s="14">
        <v>99.07</v>
      </c>
      <c r="Q3767" s="14">
        <v>139.5</v>
      </c>
      <c r="R3767" s="14">
        <v>284.58</v>
      </c>
      <c r="S3767" s="2" t="s">
        <v>1104</v>
      </c>
      <c r="T3767" s="2">
        <v>1.41</v>
      </c>
      <c r="U3767" s="2">
        <v>62.4</v>
      </c>
      <c r="V3767" s="2">
        <v>61</v>
      </c>
      <c r="W3767" s="2" t="s">
        <v>7862</v>
      </c>
      <c r="X3767" s="2" t="s">
        <v>471</v>
      </c>
      <c r="Y3767" s="2">
        <v>30600</v>
      </c>
      <c r="Z3767" s="19" t="str">
        <f>HYPERLINK("https://ssdweb.co/ssdweb/hd/Vision360.html?d=927070926&amp;zoomslide=1&amp;z=1927070926&amp;ISCONFIRM=0","VIDEO")</f>
        <v>VIDEO</v>
      </c>
      <c r="AA3767" s="19" t="str">
        <f>HYPERLINK("https://ssdweb.co/ssdweb/CERTH/671477241.pdf","CERTI")</f>
        <v>CERTI</v>
      </c>
    </row>
    <row r="3768" spans="1:27" ht="15" x14ac:dyDescent="0.25">
      <c r="A3768" s="2">
        <v>3763</v>
      </c>
      <c r="B3768" s="39">
        <v>941421264</v>
      </c>
      <c r="C3768" s="28" t="str">
        <f>HYPERLINK("https://pld.live/RapDetail.aspx?STONELIST=941421264","DNA")</f>
        <v>DNA</v>
      </c>
      <c r="D3768" s="18" t="s">
        <v>3658</v>
      </c>
      <c r="E3768" s="18" t="s">
        <v>5128</v>
      </c>
      <c r="F3768" s="2" t="s">
        <v>7987</v>
      </c>
      <c r="G3768" s="2" t="s">
        <v>1573</v>
      </c>
      <c r="H3768" s="14">
        <v>2.0299999999999998</v>
      </c>
      <c r="I3768" s="2" t="s">
        <v>267</v>
      </c>
      <c r="J3768" s="2" t="s">
        <v>6555</v>
      </c>
      <c r="K3768" s="2" t="s">
        <v>1452</v>
      </c>
      <c r="L3768" s="2" t="s">
        <v>5221</v>
      </c>
      <c r="M3768" s="2" t="s">
        <v>5221</v>
      </c>
      <c r="N3768" s="2" t="s">
        <v>2317</v>
      </c>
      <c r="O3768" s="14">
        <v>20000</v>
      </c>
      <c r="P3768" s="14">
        <v>98.6</v>
      </c>
      <c r="Q3768" s="14">
        <v>280</v>
      </c>
      <c r="R3768" s="14">
        <v>568.4</v>
      </c>
      <c r="S3768" s="2" t="s">
        <v>4050</v>
      </c>
      <c r="T3768" s="2">
        <v>1.41</v>
      </c>
      <c r="U3768" s="2">
        <v>61.8</v>
      </c>
      <c r="V3768" s="2">
        <v>60</v>
      </c>
      <c r="W3768" s="2" t="s">
        <v>7862</v>
      </c>
      <c r="X3768" s="2" t="s">
        <v>471</v>
      </c>
      <c r="Y3768" s="2">
        <v>40600</v>
      </c>
      <c r="Z3768" s="19" t="str">
        <f>HYPERLINK("https://ssdweb.co/ssdweb/hd/Vision360.html?d=941421264&amp;zoomslide=1&amp;z=1941421264&amp;ISCONFIRM=0","VIDEO")</f>
        <v>VIDEO</v>
      </c>
      <c r="AA3768" s="19" t="str">
        <f>HYPERLINK("https://ssdweb.co/ssdweb/CERTH/692534114.pdf","CERTI")</f>
        <v>CERTI</v>
      </c>
    </row>
    <row r="3769" spans="1:27" ht="15" x14ac:dyDescent="0.25">
      <c r="A3769" s="2">
        <v>3764</v>
      </c>
      <c r="B3769" s="39">
        <v>941400537</v>
      </c>
      <c r="C3769" s="28" t="str">
        <f>HYPERLINK("https://pld.live/RapDetail.aspx?STONELIST=941400537","DNA")</f>
        <v>DNA</v>
      </c>
      <c r="D3769" s="18" t="s">
        <v>3658</v>
      </c>
      <c r="E3769" s="18" t="s">
        <v>5128</v>
      </c>
      <c r="F3769" s="2" t="s">
        <v>7987</v>
      </c>
      <c r="G3769" s="2" t="s">
        <v>1573</v>
      </c>
      <c r="H3769" s="14">
        <v>2.0299999999999998</v>
      </c>
      <c r="I3769" s="2" t="s">
        <v>267</v>
      </c>
      <c r="J3769" s="2" t="s">
        <v>6555</v>
      </c>
      <c r="K3769" s="2" t="s">
        <v>1452</v>
      </c>
      <c r="L3769" s="2" t="s">
        <v>5221</v>
      </c>
      <c r="M3769" s="2" t="s">
        <v>5221</v>
      </c>
      <c r="N3769" s="2" t="s">
        <v>2317</v>
      </c>
      <c r="O3769" s="14">
        <v>20000</v>
      </c>
      <c r="P3769" s="14">
        <v>98.6</v>
      </c>
      <c r="Q3769" s="14">
        <v>280</v>
      </c>
      <c r="R3769" s="14">
        <v>568.4</v>
      </c>
      <c r="S3769" s="2" t="s">
        <v>7918</v>
      </c>
      <c r="T3769" s="2">
        <v>1.39</v>
      </c>
      <c r="U3769" s="2">
        <v>62.5</v>
      </c>
      <c r="V3769" s="2">
        <v>62</v>
      </c>
      <c r="W3769" s="2" t="s">
        <v>7862</v>
      </c>
      <c r="X3769" s="2" t="s">
        <v>471</v>
      </c>
      <c r="Y3769" s="2">
        <v>40600</v>
      </c>
      <c r="Z3769" s="19" t="str">
        <f>HYPERLINK("https://ssdweb.co/ssdweb/hd/Vision360.html?d=941400537&amp;zoomslide=1&amp;z=1941400537&amp;ISCONFIRM=0","VIDEO")</f>
        <v>VIDEO</v>
      </c>
      <c r="AA3769" s="19" t="str">
        <f>HYPERLINK("https://ssdweb.co/ssdweb/CERTH/694579550.pdf","CERTI")</f>
        <v>CERTI</v>
      </c>
    </row>
    <row r="3770" spans="1:27" ht="15" x14ac:dyDescent="0.25">
      <c r="A3770" s="2">
        <v>3765</v>
      </c>
      <c r="B3770" s="39">
        <v>941380422</v>
      </c>
      <c r="C3770" s="28" t="str">
        <f>HYPERLINK("https://pld.live/RapDetail.aspx?STONELIST=941380422","DNA")</f>
        <v>DNA</v>
      </c>
      <c r="D3770" s="18" t="s">
        <v>3658</v>
      </c>
      <c r="E3770" s="18" t="s">
        <v>2186</v>
      </c>
      <c r="F3770" s="2" t="s">
        <v>7987</v>
      </c>
      <c r="G3770" s="2" t="s">
        <v>1573</v>
      </c>
      <c r="H3770" s="14">
        <v>2.0299999999999998</v>
      </c>
      <c r="I3770" s="2" t="s">
        <v>267</v>
      </c>
      <c r="J3770" s="2" t="s">
        <v>3942</v>
      </c>
      <c r="K3770" s="2" t="s">
        <v>1452</v>
      </c>
      <c r="L3770" s="2" t="s">
        <v>5221</v>
      </c>
      <c r="M3770" s="2" t="s">
        <v>5221</v>
      </c>
      <c r="N3770" s="2" t="s">
        <v>2317</v>
      </c>
      <c r="O3770" s="14">
        <v>18500</v>
      </c>
      <c r="P3770" s="14">
        <v>99.08</v>
      </c>
      <c r="Q3770" s="14">
        <v>170.2</v>
      </c>
      <c r="R3770" s="14">
        <v>345.51</v>
      </c>
      <c r="S3770" s="2" t="s">
        <v>7929</v>
      </c>
      <c r="T3770" s="2">
        <v>1.41</v>
      </c>
      <c r="U3770" s="2">
        <v>61.2</v>
      </c>
      <c r="V3770" s="2">
        <v>59</v>
      </c>
      <c r="W3770" s="2" t="s">
        <v>7862</v>
      </c>
      <c r="X3770" s="2" t="s">
        <v>471</v>
      </c>
      <c r="Y3770" s="2">
        <v>37555</v>
      </c>
      <c r="Z3770" s="19" t="str">
        <f>HYPERLINK("https://ssdweb.co/ssdweb/hd/Vision360.html?d=941380422&amp;zoomslide=1&amp;z=1941380422&amp;ISCONFIRM=0","VIDEO")</f>
        <v>VIDEO</v>
      </c>
      <c r="AA3770" s="19" t="str">
        <f>HYPERLINK("https://ssdweb.co/ssdweb/CERTH/692534091.pdf","CERTI")</f>
        <v>CERTI</v>
      </c>
    </row>
    <row r="3771" spans="1:27" ht="15" x14ac:dyDescent="0.25">
      <c r="A3771" s="2">
        <v>3766</v>
      </c>
      <c r="B3771" s="39">
        <v>941431254</v>
      </c>
      <c r="C3771" s="28" t="str">
        <f>HYPERLINK("https://pld.live/RapDetail.aspx?STONELIST=941431254","DNA")</f>
        <v>DNA</v>
      </c>
      <c r="D3771" s="18" t="s">
        <v>3658</v>
      </c>
      <c r="E3771" s="18" t="s">
        <v>5128</v>
      </c>
      <c r="F3771" s="2" t="s">
        <v>7987</v>
      </c>
      <c r="G3771" s="2" t="s">
        <v>1573</v>
      </c>
      <c r="H3771" s="14">
        <v>2.0299999999999998</v>
      </c>
      <c r="I3771" s="2" t="s">
        <v>267</v>
      </c>
      <c r="J3771" s="2" t="s">
        <v>3942</v>
      </c>
      <c r="K3771" s="2" t="s">
        <v>1452</v>
      </c>
      <c r="L3771" s="2" t="s">
        <v>5221</v>
      </c>
      <c r="M3771" s="2" t="s">
        <v>5221</v>
      </c>
      <c r="N3771" s="2" t="s">
        <v>2317</v>
      </c>
      <c r="O3771" s="14">
        <v>18500</v>
      </c>
      <c r="P3771" s="14">
        <v>99.08</v>
      </c>
      <c r="Q3771" s="14">
        <v>170.2</v>
      </c>
      <c r="R3771" s="14">
        <v>345.51</v>
      </c>
      <c r="S3771" s="2" t="s">
        <v>4161</v>
      </c>
      <c r="T3771" s="2">
        <v>1.41</v>
      </c>
      <c r="U3771" s="2">
        <v>61.7</v>
      </c>
      <c r="V3771" s="2">
        <v>61</v>
      </c>
      <c r="W3771" s="2" t="s">
        <v>7862</v>
      </c>
      <c r="X3771" s="2" t="s">
        <v>471</v>
      </c>
      <c r="Y3771" s="2">
        <v>37555</v>
      </c>
      <c r="Z3771" s="19" t="str">
        <f>HYPERLINK("https://ssdweb.co/ssdweb/hd/Vision360.html?d=941431254&amp;zoomslide=1&amp;z=1941431254&amp;ISCONFIRM=0","VIDEO")</f>
        <v>VIDEO</v>
      </c>
      <c r="AA3771" s="19" t="str">
        <f>HYPERLINK("https://ssdweb.co/ssdweb/CERTH/692534118.pdf","CERTI")</f>
        <v>CERTI</v>
      </c>
    </row>
    <row r="3772" spans="1:27" ht="15" x14ac:dyDescent="0.25">
      <c r="A3772" s="2">
        <v>3767</v>
      </c>
      <c r="B3772" s="39">
        <v>941421261</v>
      </c>
      <c r="C3772" s="28" t="str">
        <f>HYPERLINK("https://pld.live/RapDetail.aspx?STONELIST=941421261","DNA")</f>
        <v>DNA</v>
      </c>
      <c r="D3772" s="18" t="s">
        <v>3658</v>
      </c>
      <c r="E3772" s="18" t="s">
        <v>5128</v>
      </c>
      <c r="F3772" s="2" t="s">
        <v>7987</v>
      </c>
      <c r="G3772" s="2" t="s">
        <v>1573</v>
      </c>
      <c r="H3772" s="14">
        <v>2.0299999999999998</v>
      </c>
      <c r="I3772" s="2" t="s">
        <v>267</v>
      </c>
      <c r="J3772" s="2" t="s">
        <v>3942</v>
      </c>
      <c r="K3772" s="2" t="s">
        <v>1452</v>
      </c>
      <c r="L3772" s="2" t="s">
        <v>5221</v>
      </c>
      <c r="M3772" s="2" t="s">
        <v>5221</v>
      </c>
      <c r="N3772" s="2" t="s">
        <v>2317</v>
      </c>
      <c r="O3772" s="14">
        <v>18500</v>
      </c>
      <c r="P3772" s="14">
        <v>99.08</v>
      </c>
      <c r="Q3772" s="14">
        <v>170.2</v>
      </c>
      <c r="R3772" s="14">
        <v>345.51</v>
      </c>
      <c r="S3772" s="2" t="s">
        <v>4261</v>
      </c>
      <c r="T3772" s="2">
        <v>1.43</v>
      </c>
      <c r="U3772" s="2">
        <v>60.9</v>
      </c>
      <c r="V3772" s="2">
        <v>59</v>
      </c>
      <c r="W3772" s="2" t="s">
        <v>7862</v>
      </c>
      <c r="X3772" s="2" t="s">
        <v>471</v>
      </c>
      <c r="Y3772" s="2">
        <v>37555</v>
      </c>
      <c r="Z3772" s="19" t="str">
        <f>HYPERLINK("https://ssdweb.co/ssdweb/hd/Vision360.html?d=941421261&amp;zoomslide=1&amp;z=1941421261&amp;ISCONFIRM=0","VIDEO")</f>
        <v>VIDEO</v>
      </c>
      <c r="AA3772" s="19" t="str">
        <f>HYPERLINK("https://ssdweb.co/ssdweb/CERTH/692534096.pdf","CERTI")</f>
        <v>CERTI</v>
      </c>
    </row>
    <row r="3773" spans="1:27" ht="15" x14ac:dyDescent="0.25">
      <c r="A3773" s="2">
        <v>3768</v>
      </c>
      <c r="B3773" s="39">
        <v>9414301314</v>
      </c>
      <c r="C3773" s="28" t="str">
        <f>HYPERLINK("https://pld.live/RapDetail.aspx?STONELIST=9414301314","DNA")</f>
        <v>DNA</v>
      </c>
      <c r="D3773" s="18" t="s">
        <v>3658</v>
      </c>
      <c r="E3773" s="18" t="s">
        <v>5128</v>
      </c>
      <c r="F3773" s="2" t="s">
        <v>7987</v>
      </c>
      <c r="G3773" s="2" t="s">
        <v>1573</v>
      </c>
      <c r="H3773" s="14">
        <v>2.0299999999999998</v>
      </c>
      <c r="I3773" s="2" t="s">
        <v>267</v>
      </c>
      <c r="J3773" s="2" t="s">
        <v>3942</v>
      </c>
      <c r="K3773" s="2" t="s">
        <v>1452</v>
      </c>
      <c r="L3773" s="2" t="s">
        <v>5221</v>
      </c>
      <c r="M3773" s="2" t="s">
        <v>5221</v>
      </c>
      <c r="N3773" s="2" t="s">
        <v>2317</v>
      </c>
      <c r="O3773" s="14">
        <v>18500</v>
      </c>
      <c r="P3773" s="14">
        <v>99.08</v>
      </c>
      <c r="Q3773" s="14">
        <v>170.2</v>
      </c>
      <c r="R3773" s="14">
        <v>345.51</v>
      </c>
      <c r="S3773" s="2" t="s">
        <v>3375</v>
      </c>
      <c r="T3773" s="2">
        <v>1.38</v>
      </c>
      <c r="U3773" s="2">
        <v>62</v>
      </c>
      <c r="V3773" s="2">
        <v>60</v>
      </c>
      <c r="W3773" s="2" t="s">
        <v>7862</v>
      </c>
      <c r="X3773" s="2" t="s">
        <v>471</v>
      </c>
      <c r="Y3773" s="2">
        <v>37555</v>
      </c>
      <c r="Z3773" s="19" t="str">
        <f>HYPERLINK("https://ssdweb.co/ssdweb/hd/Vision360.html?d=9414301314&amp;zoomslide=1&amp;z=19414301314&amp;ISCONFIRM=0","VIDEO")</f>
        <v>VIDEO</v>
      </c>
      <c r="AA3773" s="19" t="str">
        <f>HYPERLINK("https://ssdweb.co/ssdweb/CERTH/694508434.pdf","CERTI")</f>
        <v>CERTI</v>
      </c>
    </row>
    <row r="3774" spans="1:27" ht="15" x14ac:dyDescent="0.25">
      <c r="A3774" s="2">
        <v>3769</v>
      </c>
      <c r="B3774" s="39">
        <v>9413800623</v>
      </c>
      <c r="C3774" s="28" t="str">
        <f>HYPERLINK("https://pld.live/RapDetail.aspx?STONELIST=9413800623","DNA")</f>
        <v>DNA</v>
      </c>
      <c r="D3774" s="18" t="s">
        <v>3658</v>
      </c>
      <c r="E3774" s="18" t="s">
        <v>2186</v>
      </c>
      <c r="F3774" s="2" t="s">
        <v>7987</v>
      </c>
      <c r="G3774" s="2" t="s">
        <v>1573</v>
      </c>
      <c r="H3774" s="14">
        <v>2.0299999999999998</v>
      </c>
      <c r="I3774" s="2" t="s">
        <v>267</v>
      </c>
      <c r="J3774" s="2" t="s">
        <v>13</v>
      </c>
      <c r="K3774" s="2" t="s">
        <v>1452</v>
      </c>
      <c r="L3774" s="2" t="s">
        <v>5221</v>
      </c>
      <c r="M3774" s="2" t="s">
        <v>5221</v>
      </c>
      <c r="N3774" s="2" t="s">
        <v>2317</v>
      </c>
      <c r="O3774" s="14">
        <v>17500</v>
      </c>
      <c r="P3774" s="14">
        <v>99.14</v>
      </c>
      <c r="Q3774" s="14">
        <v>150.5</v>
      </c>
      <c r="R3774" s="14">
        <v>305.52</v>
      </c>
      <c r="S3774" s="2" t="s">
        <v>4365</v>
      </c>
      <c r="T3774" s="2">
        <v>1.39</v>
      </c>
      <c r="U3774" s="2">
        <v>61.5</v>
      </c>
      <c r="V3774" s="2">
        <v>61</v>
      </c>
      <c r="W3774" s="2" t="s">
        <v>7862</v>
      </c>
      <c r="X3774" s="2" t="s">
        <v>471</v>
      </c>
      <c r="Y3774" s="2">
        <v>35525</v>
      </c>
      <c r="Z3774" s="19" t="str">
        <f>HYPERLINK("https://ssdweb.co/ssdweb/hd/Vision360.html?d=9413800623&amp;zoomslide=1&amp;z=19413800623&amp;ISCONFIRM=0","VIDEO")</f>
        <v>VIDEO</v>
      </c>
      <c r="AA3774" s="19" t="str">
        <f>HYPERLINK("https://ssdweb.co/ssdweb/CERTH/694579645.pdf","CERTI")</f>
        <v>CERTI</v>
      </c>
    </row>
    <row r="3775" spans="1:27" ht="15" x14ac:dyDescent="0.25">
      <c r="A3775" s="2">
        <v>3770</v>
      </c>
      <c r="B3775" s="39">
        <v>941400542</v>
      </c>
      <c r="C3775" s="28" t="str">
        <f>HYPERLINK("https://pld.live/RapDetail.aspx?STONELIST=941400542","DNA")</f>
        <v>DNA</v>
      </c>
      <c r="D3775" s="18" t="s">
        <v>3658</v>
      </c>
      <c r="E3775" s="18" t="s">
        <v>5128</v>
      </c>
      <c r="F3775" s="2" t="s">
        <v>7987</v>
      </c>
      <c r="G3775" s="2" t="s">
        <v>1573</v>
      </c>
      <c r="H3775" s="14">
        <v>2.0299999999999998</v>
      </c>
      <c r="I3775" s="2" t="s">
        <v>4761</v>
      </c>
      <c r="J3775" s="2" t="s">
        <v>3942</v>
      </c>
      <c r="K3775" s="2" t="s">
        <v>1452</v>
      </c>
      <c r="L3775" s="2" t="s">
        <v>5221</v>
      </c>
      <c r="M3775" s="2" t="s">
        <v>5221</v>
      </c>
      <c r="N3775" s="2" t="s">
        <v>2317</v>
      </c>
      <c r="O3775" s="14">
        <v>17000</v>
      </c>
      <c r="P3775" s="14">
        <v>99.12</v>
      </c>
      <c r="Q3775" s="14">
        <v>149.6</v>
      </c>
      <c r="R3775" s="14">
        <v>303.69</v>
      </c>
      <c r="S3775" s="2" t="s">
        <v>3127</v>
      </c>
      <c r="T3775" s="2">
        <v>1.38</v>
      </c>
      <c r="U3775" s="2">
        <v>61</v>
      </c>
      <c r="V3775" s="2">
        <v>60</v>
      </c>
      <c r="W3775" s="2" t="s">
        <v>7862</v>
      </c>
      <c r="X3775" s="2" t="s">
        <v>471</v>
      </c>
      <c r="Y3775" s="2">
        <v>34510</v>
      </c>
      <c r="Z3775" s="19" t="str">
        <f>HYPERLINK("https://ssdweb.co/ssdweb/hd/Vision360.html?d=941400542&amp;zoomslide=1&amp;z=1941400542&amp;ISCONFIRM=0","VIDEO")</f>
        <v>VIDEO</v>
      </c>
      <c r="AA3775" s="19" t="str">
        <f>HYPERLINK("https://ssdweb.co/ssdweb/CERTH/694579556.pdf","CERTI")</f>
        <v>CERTI</v>
      </c>
    </row>
    <row r="3776" spans="1:27" ht="15" x14ac:dyDescent="0.25">
      <c r="A3776" s="2">
        <v>3771</v>
      </c>
      <c r="B3776" s="39">
        <v>941400556</v>
      </c>
      <c r="C3776" s="28" t="str">
        <f>HYPERLINK("https://pld.live/RapDetail.aspx?STONELIST=941400556","DNA")</f>
        <v>DNA</v>
      </c>
      <c r="D3776" s="18" t="s">
        <v>3658</v>
      </c>
      <c r="E3776" s="18" t="s">
        <v>5128</v>
      </c>
      <c r="F3776" s="2" t="s">
        <v>7987</v>
      </c>
      <c r="G3776" s="2" t="s">
        <v>1573</v>
      </c>
      <c r="H3776" s="14">
        <v>2.0299999999999998</v>
      </c>
      <c r="I3776" s="2" t="s">
        <v>4761</v>
      </c>
      <c r="J3776" s="2" t="s">
        <v>13</v>
      </c>
      <c r="K3776" s="2" t="s">
        <v>1452</v>
      </c>
      <c r="L3776" s="2" t="s">
        <v>5221</v>
      </c>
      <c r="M3776" s="2" t="s">
        <v>5221</v>
      </c>
      <c r="N3776" s="2" t="s">
        <v>2317</v>
      </c>
      <c r="O3776" s="14">
        <v>16000</v>
      </c>
      <c r="P3776" s="14">
        <v>99.09</v>
      </c>
      <c r="Q3776" s="14">
        <v>145.6</v>
      </c>
      <c r="R3776" s="14">
        <v>295.57</v>
      </c>
      <c r="S3776" s="2" t="s">
        <v>6009</v>
      </c>
      <c r="T3776" s="2">
        <v>1.38</v>
      </c>
      <c r="U3776" s="2">
        <v>61.1</v>
      </c>
      <c r="V3776" s="2">
        <v>61</v>
      </c>
      <c r="W3776" s="2" t="s">
        <v>7862</v>
      </c>
      <c r="X3776" s="2" t="s">
        <v>471</v>
      </c>
      <c r="Y3776" s="2">
        <v>32480</v>
      </c>
      <c r="Z3776" s="19" t="str">
        <f>HYPERLINK("https://ssdweb.co/ssdweb/hd/Vision360.html?d=941400556&amp;zoomslide=1&amp;z=1941400556&amp;ISCONFIRM=0","VIDEO")</f>
        <v>VIDEO</v>
      </c>
      <c r="AA3776" s="19" t="str">
        <f>HYPERLINK("https://ssdweb.co/ssdweb/CERTH/694508432.pdf","CERTI")</f>
        <v>CERTI</v>
      </c>
    </row>
    <row r="3777" spans="1:27" ht="15" x14ac:dyDescent="0.25">
      <c r="A3777" s="2">
        <v>3772</v>
      </c>
      <c r="B3777" s="39">
        <v>941421270</v>
      </c>
      <c r="C3777" s="28" t="str">
        <f>HYPERLINK("https://pld.live/RapDetail.aspx?STONELIST=941421270","DNA")</f>
        <v>DNA</v>
      </c>
      <c r="D3777" s="18" t="s">
        <v>3658</v>
      </c>
      <c r="E3777" s="18" t="s">
        <v>5128</v>
      </c>
      <c r="F3777" s="2" t="s">
        <v>7987</v>
      </c>
      <c r="G3777" s="2" t="s">
        <v>1573</v>
      </c>
      <c r="H3777" s="14">
        <v>2.02</v>
      </c>
      <c r="I3777" s="2" t="s">
        <v>267</v>
      </c>
      <c r="J3777" s="2" t="s">
        <v>7032</v>
      </c>
      <c r="K3777" s="2" t="s">
        <v>1452</v>
      </c>
      <c r="L3777" s="2" t="s">
        <v>5221</v>
      </c>
      <c r="M3777" s="2" t="s">
        <v>5221</v>
      </c>
      <c r="N3777" s="2" t="s">
        <v>2317</v>
      </c>
      <c r="O3777" s="14">
        <v>21500</v>
      </c>
      <c r="P3777" s="14">
        <v>95.58</v>
      </c>
      <c r="Q3777" s="14">
        <v>950.3</v>
      </c>
      <c r="R3777" s="14">
        <v>1919.61</v>
      </c>
      <c r="S3777" s="2" t="s">
        <v>7331</v>
      </c>
      <c r="T3777" s="2">
        <v>1.42</v>
      </c>
      <c r="U3777" s="2">
        <v>62.4</v>
      </c>
      <c r="V3777" s="2">
        <v>61</v>
      </c>
      <c r="W3777" s="2" t="s">
        <v>7862</v>
      </c>
      <c r="X3777" s="2" t="s">
        <v>471</v>
      </c>
      <c r="Y3777" s="2">
        <v>43430</v>
      </c>
      <c r="Z3777" s="19" t="str">
        <f>HYPERLINK("https://ssdweb.co/ssdweb/hd/Vision360.html?d=941421270&amp;zoomslide=1&amp;z=1941421270&amp;ISCONFIRM=0","VIDEO")</f>
        <v>VIDEO</v>
      </c>
      <c r="AA3777" s="19" t="str">
        <f>HYPERLINK("https://ssdweb.co/ssdweb/CERTH/692534116.pdf","CERTI")</f>
        <v>CERTI</v>
      </c>
    </row>
    <row r="3778" spans="1:27" ht="15" x14ac:dyDescent="0.25">
      <c r="A3778" s="2">
        <v>3773</v>
      </c>
      <c r="B3778" s="39">
        <v>941421242</v>
      </c>
      <c r="C3778" s="28" t="str">
        <f>HYPERLINK("https://pld.live/RapDetail.aspx?STONELIST=941421242","DNA")</f>
        <v>DNA</v>
      </c>
      <c r="D3778" s="18" t="s">
        <v>3658</v>
      </c>
      <c r="E3778" s="18" t="s">
        <v>5128</v>
      </c>
      <c r="F3778" s="2" t="s">
        <v>7987</v>
      </c>
      <c r="G3778" s="2" t="s">
        <v>1573</v>
      </c>
      <c r="H3778" s="14">
        <v>2.02</v>
      </c>
      <c r="I3778" s="2" t="s">
        <v>267</v>
      </c>
      <c r="J3778" s="2" t="s">
        <v>6555</v>
      </c>
      <c r="K3778" s="2" t="s">
        <v>1452</v>
      </c>
      <c r="L3778" s="2" t="s">
        <v>5221</v>
      </c>
      <c r="M3778" s="2" t="s">
        <v>5221</v>
      </c>
      <c r="N3778" s="2" t="s">
        <v>2317</v>
      </c>
      <c r="O3778" s="14">
        <v>20000</v>
      </c>
      <c r="P3778" s="14">
        <v>98.6</v>
      </c>
      <c r="Q3778" s="14">
        <v>280</v>
      </c>
      <c r="R3778" s="14">
        <v>565.6</v>
      </c>
      <c r="S3778" s="2" t="s">
        <v>2397</v>
      </c>
      <c r="T3778" s="2">
        <v>1.42</v>
      </c>
      <c r="U3778" s="2">
        <v>60.5</v>
      </c>
      <c r="V3778" s="2">
        <v>60</v>
      </c>
      <c r="W3778" s="2" t="s">
        <v>7862</v>
      </c>
      <c r="X3778" s="2" t="s">
        <v>471</v>
      </c>
      <c r="Y3778" s="2">
        <v>40400</v>
      </c>
      <c r="Z3778" s="19" t="str">
        <f>HYPERLINK("https://ssdweb.co/ssdweb/hd/Vision360.html?d=941421242&amp;zoomslide=1&amp;z=1941421242&amp;ISCONFIRM=0","VIDEO")</f>
        <v>VIDEO</v>
      </c>
      <c r="AA3778" s="19" t="str">
        <f>HYPERLINK("https://ssdweb.co/ssdweb/CERTH/692534094.pdf","CERTI")</f>
        <v>CERTI</v>
      </c>
    </row>
    <row r="3779" spans="1:27" ht="15" x14ac:dyDescent="0.25">
      <c r="A3779" s="2">
        <v>3774</v>
      </c>
      <c r="B3779" s="39">
        <v>9414301328</v>
      </c>
      <c r="C3779" s="28" t="str">
        <f>HYPERLINK("https://pld.live/RapDetail.aspx?STONELIST=9414301328","DNA")</f>
        <v>DNA</v>
      </c>
      <c r="D3779" s="18" t="s">
        <v>3658</v>
      </c>
      <c r="E3779" s="18" t="s">
        <v>5128</v>
      </c>
      <c r="F3779" s="2" t="s">
        <v>7987</v>
      </c>
      <c r="G3779" s="2" t="s">
        <v>1573</v>
      </c>
      <c r="H3779" s="14">
        <v>2.02</v>
      </c>
      <c r="I3779" s="2" t="s">
        <v>267</v>
      </c>
      <c r="J3779" s="2" t="s">
        <v>3942</v>
      </c>
      <c r="K3779" s="2" t="s">
        <v>1452</v>
      </c>
      <c r="L3779" s="2" t="s">
        <v>5221</v>
      </c>
      <c r="M3779" s="2" t="s">
        <v>5221</v>
      </c>
      <c r="N3779" s="2" t="s">
        <v>2317</v>
      </c>
      <c r="O3779" s="14">
        <v>18500</v>
      </c>
      <c r="P3779" s="14">
        <v>99.08</v>
      </c>
      <c r="Q3779" s="14">
        <v>170.2</v>
      </c>
      <c r="R3779" s="14">
        <v>343.8</v>
      </c>
      <c r="S3779" s="2" t="s">
        <v>8037</v>
      </c>
      <c r="T3779" s="2">
        <v>1.38</v>
      </c>
      <c r="U3779" s="2">
        <v>60.6</v>
      </c>
      <c r="V3779" s="2">
        <v>62</v>
      </c>
      <c r="W3779" s="2" t="s">
        <v>7862</v>
      </c>
      <c r="X3779" s="2" t="s">
        <v>471</v>
      </c>
      <c r="Y3779" s="2">
        <v>37370</v>
      </c>
      <c r="Z3779" s="19" t="str">
        <f>HYPERLINK("https://ssdweb.co/ssdweb/hd/Vision360.html?d=9414301328&amp;zoomslide=1&amp;z=19414301328&amp;ISCONFIRM=0","VIDEO")</f>
        <v>VIDEO</v>
      </c>
      <c r="AA3779" s="19" t="str">
        <f>HYPERLINK("https://ssdweb.co/ssdweb/CERTH/694579607.pdf","CERTI")</f>
        <v>CERTI</v>
      </c>
    </row>
    <row r="3780" spans="1:27" ht="15" x14ac:dyDescent="0.25">
      <c r="A3780" s="2">
        <v>3775</v>
      </c>
      <c r="B3780" s="39">
        <v>941110510</v>
      </c>
      <c r="C3780" s="28" t="str">
        <f>HYPERLINK("https://pld.live/RapDetail.aspx?STONELIST=941110510","DNA")</f>
        <v>DNA</v>
      </c>
      <c r="D3780" s="18" t="s">
        <v>3658</v>
      </c>
      <c r="E3780" s="18" t="s">
        <v>2186</v>
      </c>
      <c r="F3780" s="2" t="s">
        <v>7987</v>
      </c>
      <c r="G3780" s="2" t="s">
        <v>1573</v>
      </c>
      <c r="H3780" s="14">
        <v>2.02</v>
      </c>
      <c r="I3780" s="2" t="s">
        <v>267</v>
      </c>
      <c r="J3780" s="2" t="s">
        <v>3942</v>
      </c>
      <c r="K3780" s="2" t="s">
        <v>1452</v>
      </c>
      <c r="L3780" s="2" t="s">
        <v>5221</v>
      </c>
      <c r="M3780" s="2" t="s">
        <v>5221</v>
      </c>
      <c r="N3780" s="2" t="s">
        <v>2317</v>
      </c>
      <c r="O3780" s="14">
        <v>18500</v>
      </c>
      <c r="P3780" s="14">
        <v>99.08</v>
      </c>
      <c r="Q3780" s="14">
        <v>170.2</v>
      </c>
      <c r="R3780" s="14">
        <v>343.8</v>
      </c>
      <c r="S3780" s="2" t="s">
        <v>1486</v>
      </c>
      <c r="T3780" s="2">
        <v>1.39</v>
      </c>
      <c r="U3780" s="2">
        <v>62.5</v>
      </c>
      <c r="V3780" s="2">
        <v>62</v>
      </c>
      <c r="W3780" s="2" t="s">
        <v>7862</v>
      </c>
      <c r="X3780" s="2" t="s">
        <v>471</v>
      </c>
      <c r="Y3780" s="2">
        <v>37370</v>
      </c>
      <c r="Z3780" s="19" t="str">
        <f>HYPERLINK("https://ssdweb.co/ssdweb/hd/Vision360.html?d=941110510&amp;zoomslide=1&amp;z=1941110510&amp;ISCONFIRM=0","VIDEO")</f>
        <v>VIDEO</v>
      </c>
      <c r="AA3780" s="19" t="str">
        <f>HYPERLINK("https://ssdweb.co/ssdweb/CERTH/674532542.pdf","CERTI")</f>
        <v>CERTI</v>
      </c>
    </row>
    <row r="3781" spans="1:27" ht="15" x14ac:dyDescent="0.25">
      <c r="A3781" s="2">
        <v>3776</v>
      </c>
      <c r="B3781" s="39">
        <v>9414201312</v>
      </c>
      <c r="C3781" s="28" t="str">
        <f>HYPERLINK("https://pld.live/RapDetail.aspx?STONELIST=9414201312","DNA")</f>
        <v>DNA</v>
      </c>
      <c r="D3781" s="18" t="s">
        <v>3658</v>
      </c>
      <c r="E3781" s="18" t="s">
        <v>5128</v>
      </c>
      <c r="F3781" s="2" t="s">
        <v>7987</v>
      </c>
      <c r="G3781" s="2" t="s">
        <v>1573</v>
      </c>
      <c r="H3781" s="14">
        <v>2.02</v>
      </c>
      <c r="I3781" s="2" t="s">
        <v>267</v>
      </c>
      <c r="J3781" s="2" t="s">
        <v>3942</v>
      </c>
      <c r="K3781" s="2" t="s">
        <v>1452</v>
      </c>
      <c r="L3781" s="2" t="s">
        <v>5221</v>
      </c>
      <c r="M3781" s="2" t="s">
        <v>5221</v>
      </c>
      <c r="N3781" s="2" t="s">
        <v>2317</v>
      </c>
      <c r="O3781" s="14">
        <v>18500</v>
      </c>
      <c r="P3781" s="14">
        <v>99.08</v>
      </c>
      <c r="Q3781" s="14">
        <v>170.2</v>
      </c>
      <c r="R3781" s="14">
        <v>343.8</v>
      </c>
      <c r="S3781" s="2" t="s">
        <v>4827</v>
      </c>
      <c r="T3781" s="2">
        <v>1.42</v>
      </c>
      <c r="U3781" s="2">
        <v>60.9</v>
      </c>
      <c r="V3781" s="2">
        <v>61</v>
      </c>
      <c r="W3781" s="2" t="s">
        <v>7862</v>
      </c>
      <c r="X3781" s="2" t="s">
        <v>471</v>
      </c>
      <c r="Y3781" s="2">
        <v>37370</v>
      </c>
      <c r="Z3781" s="19" t="str">
        <f>HYPERLINK("https://ssdweb.co/ssdweb/hd/Vision360.html?d=9414201312&amp;zoomslide=1&amp;z=19414201312&amp;ISCONFIRM=0","VIDEO")</f>
        <v>VIDEO</v>
      </c>
      <c r="AA3781" s="19" t="str">
        <f>HYPERLINK("https://ssdweb.co/ssdweb/CERTH/694579586.pdf","CERTI")</f>
        <v>CERTI</v>
      </c>
    </row>
    <row r="3782" spans="1:27" ht="15" x14ac:dyDescent="0.25">
      <c r="A3782" s="2">
        <v>3777</v>
      </c>
      <c r="B3782" s="39">
        <v>941110574</v>
      </c>
      <c r="C3782" s="28" t="str">
        <f>HYPERLINK("https://pld.live/RapDetail.aspx?STONELIST=941110574","DNA")</f>
        <v>DNA</v>
      </c>
      <c r="D3782" s="18" t="s">
        <v>3658</v>
      </c>
      <c r="E3782" s="18" t="s">
        <v>2186</v>
      </c>
      <c r="F3782" s="2" t="s">
        <v>7987</v>
      </c>
      <c r="G3782" s="2" t="s">
        <v>1573</v>
      </c>
      <c r="H3782" s="14">
        <v>2.02</v>
      </c>
      <c r="I3782" s="2" t="s">
        <v>267</v>
      </c>
      <c r="J3782" s="2" t="s">
        <v>3942</v>
      </c>
      <c r="K3782" s="2" t="s">
        <v>1452</v>
      </c>
      <c r="L3782" s="2" t="s">
        <v>5221</v>
      </c>
      <c r="M3782" s="2" t="s">
        <v>5221</v>
      </c>
      <c r="N3782" s="2" t="s">
        <v>2317</v>
      </c>
      <c r="O3782" s="14">
        <v>18500</v>
      </c>
      <c r="P3782" s="14">
        <v>99.08</v>
      </c>
      <c r="Q3782" s="14">
        <v>170.2</v>
      </c>
      <c r="R3782" s="14">
        <v>343.8</v>
      </c>
      <c r="S3782" s="2" t="s">
        <v>683</v>
      </c>
      <c r="T3782" s="2">
        <v>1.4</v>
      </c>
      <c r="U3782" s="2">
        <v>62.3</v>
      </c>
      <c r="V3782" s="2">
        <v>61</v>
      </c>
      <c r="W3782" s="2" t="s">
        <v>7862</v>
      </c>
      <c r="X3782" s="2" t="s">
        <v>471</v>
      </c>
      <c r="Y3782" s="2">
        <v>37370</v>
      </c>
      <c r="Z3782" s="19" t="str">
        <f>HYPERLINK("https://ssdweb.co/ssdweb/hd/Vision360.html?d=941110574&amp;zoomslide=1&amp;z=1941110574&amp;ISCONFIRM=0","VIDEO")</f>
        <v>VIDEO</v>
      </c>
      <c r="AA3782" s="19" t="str">
        <f>HYPERLINK("https://ssdweb.co/ssdweb/CERTH/678550322.pdf","CERTI")</f>
        <v>CERTI</v>
      </c>
    </row>
    <row r="3783" spans="1:27" ht="15" x14ac:dyDescent="0.25">
      <c r="A3783" s="2">
        <v>3778</v>
      </c>
      <c r="B3783" s="39">
        <v>927070167</v>
      </c>
      <c r="C3783" s="28" t="str">
        <f>HYPERLINK("https://pld.live/RapDetail.aspx?STONELIST=927070167","DNA")</f>
        <v>DNA</v>
      </c>
      <c r="D3783" s="18" t="s">
        <v>3658</v>
      </c>
      <c r="E3783" s="18" t="s">
        <v>2186</v>
      </c>
      <c r="F3783" s="2" t="s">
        <v>7987</v>
      </c>
      <c r="G3783" s="2" t="s">
        <v>1573</v>
      </c>
      <c r="H3783" s="14">
        <v>2.02</v>
      </c>
      <c r="I3783" s="2" t="s">
        <v>267</v>
      </c>
      <c r="J3783" s="2" t="s">
        <v>3942</v>
      </c>
      <c r="K3783" s="2" t="s">
        <v>1452</v>
      </c>
      <c r="L3783" s="2" t="s">
        <v>5221</v>
      </c>
      <c r="M3783" s="2" t="s">
        <v>5221</v>
      </c>
      <c r="N3783" s="2" t="s">
        <v>2317</v>
      </c>
      <c r="O3783" s="14">
        <v>18500</v>
      </c>
      <c r="P3783" s="14">
        <v>99.08</v>
      </c>
      <c r="Q3783" s="14">
        <v>170.2</v>
      </c>
      <c r="R3783" s="14">
        <v>343.8</v>
      </c>
      <c r="S3783" s="2" t="s">
        <v>7093</v>
      </c>
      <c r="T3783" s="2">
        <v>1.38</v>
      </c>
      <c r="U3783" s="2">
        <v>62.4</v>
      </c>
      <c r="V3783" s="2">
        <v>63</v>
      </c>
      <c r="W3783" s="2" t="s">
        <v>7862</v>
      </c>
      <c r="X3783" s="2" t="s">
        <v>471</v>
      </c>
      <c r="Y3783" s="2">
        <v>37370</v>
      </c>
      <c r="Z3783" s="19" t="str">
        <f>HYPERLINK("https://ssdweb.co/ssdweb/hd/Vision360.html?d=927070167&amp;zoomslide=1&amp;z=1927070167&amp;ISCONFIRM=0","VIDEO")</f>
        <v>VIDEO</v>
      </c>
      <c r="AA3783" s="19" t="str">
        <f>HYPERLINK("https://ssdweb.co/ssdweb/CERTH/666408428.pdf","CERTI")</f>
        <v>CERTI</v>
      </c>
    </row>
    <row r="3784" spans="1:27" ht="15" x14ac:dyDescent="0.25">
      <c r="A3784" s="2">
        <v>3779</v>
      </c>
      <c r="B3784" s="39">
        <v>941110532</v>
      </c>
      <c r="C3784" s="28" t="str">
        <f>HYPERLINK("https://pld.live/RapDetail.aspx?STONELIST=941110532","DNA")</f>
        <v>DNA</v>
      </c>
      <c r="D3784" s="18" t="s">
        <v>3658</v>
      </c>
      <c r="E3784" s="18" t="s">
        <v>2186</v>
      </c>
      <c r="F3784" s="2" t="s">
        <v>7987</v>
      </c>
      <c r="G3784" s="2" t="s">
        <v>1573</v>
      </c>
      <c r="H3784" s="14">
        <v>2.02</v>
      </c>
      <c r="I3784" s="2" t="s">
        <v>267</v>
      </c>
      <c r="J3784" s="2" t="s">
        <v>13</v>
      </c>
      <c r="K3784" s="2" t="s">
        <v>1452</v>
      </c>
      <c r="L3784" s="2" t="s">
        <v>5221</v>
      </c>
      <c r="M3784" s="2" t="s">
        <v>5221</v>
      </c>
      <c r="N3784" s="2" t="s">
        <v>2317</v>
      </c>
      <c r="O3784" s="14">
        <v>17500</v>
      </c>
      <c r="P3784" s="14">
        <v>99.14</v>
      </c>
      <c r="Q3784" s="14">
        <v>150.5</v>
      </c>
      <c r="R3784" s="14">
        <v>304.01</v>
      </c>
      <c r="S3784" s="2" t="s">
        <v>767</v>
      </c>
      <c r="T3784" s="2">
        <v>1.38</v>
      </c>
      <c r="U3784" s="2">
        <v>61.8</v>
      </c>
      <c r="V3784" s="2">
        <v>60</v>
      </c>
      <c r="W3784" s="2" t="s">
        <v>7862</v>
      </c>
      <c r="X3784" s="2" t="s">
        <v>471</v>
      </c>
      <c r="Y3784" s="2">
        <v>35350</v>
      </c>
      <c r="Z3784" s="19" t="str">
        <f>HYPERLINK("https://ssdweb.co/ssdweb/hd/Vision360.html?d=941110532&amp;zoomslide=1&amp;z=1941110532&amp;ISCONFIRM=0","VIDEO")</f>
        <v>VIDEO</v>
      </c>
      <c r="AA3784" s="19" t="str">
        <f>HYPERLINK("https://ssdweb.co/ssdweb/CERTH/674532586.pdf","CERTI")</f>
        <v>CERTI</v>
      </c>
    </row>
    <row r="3785" spans="1:27" ht="15" x14ac:dyDescent="0.25">
      <c r="A3785" s="2">
        <v>3780</v>
      </c>
      <c r="B3785" s="39">
        <v>941400543</v>
      </c>
      <c r="C3785" s="28" t="str">
        <f>HYPERLINK("https://pld.live/RapDetail.aspx?STONELIST=941400543","DNA")</f>
        <v>DNA</v>
      </c>
      <c r="D3785" s="18" t="s">
        <v>3658</v>
      </c>
      <c r="E3785" s="18" t="s">
        <v>5128</v>
      </c>
      <c r="F3785" s="2" t="s">
        <v>7987</v>
      </c>
      <c r="G3785" s="2" t="s">
        <v>1573</v>
      </c>
      <c r="H3785" s="14">
        <v>2.02</v>
      </c>
      <c r="I3785" s="2" t="s">
        <v>267</v>
      </c>
      <c r="J3785" s="2" t="s">
        <v>13</v>
      </c>
      <c r="K3785" s="2" t="s">
        <v>1452</v>
      </c>
      <c r="L3785" s="2" t="s">
        <v>5221</v>
      </c>
      <c r="M3785" s="2" t="s">
        <v>5221</v>
      </c>
      <c r="N3785" s="2" t="s">
        <v>2317</v>
      </c>
      <c r="O3785" s="14">
        <v>17500</v>
      </c>
      <c r="P3785" s="14">
        <v>99.14</v>
      </c>
      <c r="Q3785" s="14">
        <v>150.5</v>
      </c>
      <c r="R3785" s="14">
        <v>304.01</v>
      </c>
      <c r="S3785" s="2" t="s">
        <v>4016</v>
      </c>
      <c r="T3785" s="2">
        <v>1.38</v>
      </c>
      <c r="U3785" s="2">
        <v>61.3</v>
      </c>
      <c r="V3785" s="2">
        <v>61</v>
      </c>
      <c r="W3785" s="2" t="s">
        <v>7862</v>
      </c>
      <c r="X3785" s="2" t="s">
        <v>471</v>
      </c>
      <c r="Y3785" s="2">
        <v>35350</v>
      </c>
      <c r="Z3785" s="19" t="str">
        <f>HYPERLINK("https://ssdweb.co/ssdweb/hd/Vision360.html?d=941400543&amp;zoomslide=1&amp;z=1941400543&amp;ISCONFIRM=0","VIDEO")</f>
        <v>VIDEO</v>
      </c>
      <c r="AA3785" s="19" t="str">
        <f>HYPERLINK("https://ssdweb.co/ssdweb/CERTH/694579562.pdf","CERTI")</f>
        <v>CERTI</v>
      </c>
    </row>
    <row r="3786" spans="1:27" ht="15" x14ac:dyDescent="0.25">
      <c r="A3786" s="2">
        <v>3781</v>
      </c>
      <c r="B3786" s="39">
        <v>941150080</v>
      </c>
      <c r="C3786" s="28" t="str">
        <f>HYPERLINK("https://pld.live/RapDetail.aspx?STONELIST=941150080","DNA")</f>
        <v>DNA</v>
      </c>
      <c r="D3786" s="18" t="s">
        <v>3658</v>
      </c>
      <c r="E3786" s="18" t="s">
        <v>2186</v>
      </c>
      <c r="F3786" s="2" t="s">
        <v>7987</v>
      </c>
      <c r="G3786" s="2" t="s">
        <v>1573</v>
      </c>
      <c r="H3786" s="14">
        <v>2.02</v>
      </c>
      <c r="I3786" s="2" t="s">
        <v>267</v>
      </c>
      <c r="J3786" s="2" t="s">
        <v>13</v>
      </c>
      <c r="K3786" s="2" t="s">
        <v>1452</v>
      </c>
      <c r="L3786" s="2" t="s">
        <v>5221</v>
      </c>
      <c r="M3786" s="2" t="s">
        <v>5221</v>
      </c>
      <c r="N3786" s="2" t="s">
        <v>2317</v>
      </c>
      <c r="O3786" s="14">
        <v>17500</v>
      </c>
      <c r="P3786" s="14">
        <v>99.14</v>
      </c>
      <c r="Q3786" s="14">
        <v>150.5</v>
      </c>
      <c r="R3786" s="14">
        <v>304.01</v>
      </c>
      <c r="S3786" s="2" t="s">
        <v>7780</v>
      </c>
      <c r="T3786" s="2">
        <v>1.38</v>
      </c>
      <c r="U3786" s="2">
        <v>61.9</v>
      </c>
      <c r="V3786" s="2">
        <v>59</v>
      </c>
      <c r="W3786" s="2" t="s">
        <v>7862</v>
      </c>
      <c r="X3786" s="2" t="s">
        <v>471</v>
      </c>
      <c r="Y3786" s="2">
        <v>35350</v>
      </c>
      <c r="Z3786" s="19" t="str">
        <f>HYPERLINK("https://ssdweb.co/ssdweb/hd/Vision360.html?d=941150080&amp;zoomslide=1&amp;z=1941150080&amp;ISCONFIRM=0","VIDEO")</f>
        <v>VIDEO</v>
      </c>
      <c r="AA3786" s="19" t="str">
        <f>HYPERLINK("https://ssdweb.co/ssdweb/CERTH/675504704.pdf","CERTI")</f>
        <v>CERTI</v>
      </c>
    </row>
    <row r="3787" spans="1:27" ht="15" x14ac:dyDescent="0.25">
      <c r="A3787" s="2">
        <v>3782</v>
      </c>
      <c r="B3787" s="39">
        <v>9414201302</v>
      </c>
      <c r="C3787" s="28" t="str">
        <f>HYPERLINK("https://pld.live/RapDetail.aspx?STONELIST=9414201302","DNA")</f>
        <v>DNA</v>
      </c>
      <c r="D3787" s="18" t="s">
        <v>3658</v>
      </c>
      <c r="E3787" s="18" t="s">
        <v>5128</v>
      </c>
      <c r="F3787" s="2" t="s">
        <v>7987</v>
      </c>
      <c r="G3787" s="2" t="s">
        <v>1573</v>
      </c>
      <c r="H3787" s="14">
        <v>2.02</v>
      </c>
      <c r="I3787" s="2" t="s">
        <v>267</v>
      </c>
      <c r="J3787" s="2" t="s">
        <v>13</v>
      </c>
      <c r="K3787" s="2" t="s">
        <v>1452</v>
      </c>
      <c r="L3787" s="2" t="s">
        <v>5221</v>
      </c>
      <c r="M3787" s="2" t="s">
        <v>5221</v>
      </c>
      <c r="N3787" s="2" t="s">
        <v>2317</v>
      </c>
      <c r="O3787" s="14">
        <v>17500</v>
      </c>
      <c r="P3787" s="14">
        <v>99.14</v>
      </c>
      <c r="Q3787" s="14">
        <v>150.5</v>
      </c>
      <c r="R3787" s="14">
        <v>304.01</v>
      </c>
      <c r="S3787" s="2" t="s">
        <v>1545</v>
      </c>
      <c r="T3787" s="2">
        <v>1.37</v>
      </c>
      <c r="U3787" s="2">
        <v>63.3</v>
      </c>
      <c r="V3787" s="2">
        <v>61</v>
      </c>
      <c r="W3787" s="2" t="s">
        <v>7862</v>
      </c>
      <c r="X3787" s="2" t="s">
        <v>471</v>
      </c>
      <c r="Y3787" s="2">
        <v>35350</v>
      </c>
      <c r="Z3787" s="19" t="str">
        <f>HYPERLINK("https://ssdweb.co/ssdweb/hd/Vision360.html?d=9414201302&amp;zoomslide=1&amp;z=19414201302&amp;ISCONFIRM=0","VIDEO")</f>
        <v>VIDEO</v>
      </c>
      <c r="AA3787" s="19" t="str">
        <f>HYPERLINK("https://ssdweb.co/ssdweb/CERTH/694579574.pdf","CERTI")</f>
        <v>CERTI</v>
      </c>
    </row>
    <row r="3788" spans="1:27" ht="15" x14ac:dyDescent="0.25">
      <c r="A3788" s="2">
        <v>3783</v>
      </c>
      <c r="B3788" s="39">
        <v>927060460</v>
      </c>
      <c r="C3788" s="28" t="str">
        <f>HYPERLINK("https://pld.live/RapDetail.aspx?STONELIST=927060460","DNA")</f>
        <v>DNA</v>
      </c>
      <c r="D3788" s="18" t="s">
        <v>3658</v>
      </c>
      <c r="E3788" s="18" t="s">
        <v>2186</v>
      </c>
      <c r="F3788" s="2" t="s">
        <v>7987</v>
      </c>
      <c r="G3788" s="2" t="s">
        <v>1573</v>
      </c>
      <c r="H3788" s="14">
        <v>2.02</v>
      </c>
      <c r="I3788" s="2" t="s">
        <v>267</v>
      </c>
      <c r="J3788" s="2" t="s">
        <v>13</v>
      </c>
      <c r="K3788" s="2" t="s">
        <v>1452</v>
      </c>
      <c r="L3788" s="2" t="s">
        <v>5221</v>
      </c>
      <c r="M3788" s="2" t="s">
        <v>5221</v>
      </c>
      <c r="N3788" s="2" t="s">
        <v>2317</v>
      </c>
      <c r="O3788" s="14">
        <v>17500</v>
      </c>
      <c r="P3788" s="14">
        <v>99.14</v>
      </c>
      <c r="Q3788" s="14">
        <v>150.5</v>
      </c>
      <c r="R3788" s="14">
        <v>304.01</v>
      </c>
      <c r="S3788" s="2" t="s">
        <v>7949</v>
      </c>
      <c r="T3788" s="2">
        <v>1.4</v>
      </c>
      <c r="U3788" s="2">
        <v>61.9</v>
      </c>
      <c r="V3788" s="2">
        <v>61</v>
      </c>
      <c r="W3788" s="2" t="s">
        <v>7862</v>
      </c>
      <c r="X3788" s="2" t="s">
        <v>471</v>
      </c>
      <c r="Y3788" s="2">
        <v>35350</v>
      </c>
      <c r="Z3788" s="19" t="str">
        <f>HYPERLINK("https://ssdweb.co/ssdweb/hd/Vision360.html?d=927060460&amp;zoomslide=1&amp;z=1927060460&amp;ISCONFIRM=0","VIDEO")</f>
        <v>VIDEO</v>
      </c>
      <c r="AA3788" s="19" t="str">
        <f>HYPERLINK("https://ssdweb.co/ssdweb/CERTH/666408423.pdf","CERTI")</f>
        <v>CERTI</v>
      </c>
    </row>
    <row r="3789" spans="1:27" ht="15" x14ac:dyDescent="0.25">
      <c r="A3789" s="2">
        <v>3784</v>
      </c>
      <c r="B3789" s="39">
        <v>925610485</v>
      </c>
      <c r="C3789" s="28" t="str">
        <f>HYPERLINK("https://pld.live/RapDetail.aspx?STONELIST=925610485","DNA")</f>
        <v>DNA</v>
      </c>
      <c r="D3789" s="18" t="s">
        <v>3658</v>
      </c>
      <c r="E3789" s="18" t="s">
        <v>2186</v>
      </c>
      <c r="F3789" s="2" t="s">
        <v>7987</v>
      </c>
      <c r="G3789" s="2" t="s">
        <v>1573</v>
      </c>
      <c r="H3789" s="14">
        <v>2.02</v>
      </c>
      <c r="I3789" s="2" t="s">
        <v>267</v>
      </c>
      <c r="J3789" s="2" t="s">
        <v>444</v>
      </c>
      <c r="K3789" s="2" t="s">
        <v>1452</v>
      </c>
      <c r="L3789" s="2" t="s">
        <v>5221</v>
      </c>
      <c r="M3789" s="2" t="s">
        <v>5221</v>
      </c>
      <c r="N3789" s="2" t="s">
        <v>2317</v>
      </c>
      <c r="O3789" s="14">
        <v>13500</v>
      </c>
      <c r="P3789" s="14">
        <v>99.07</v>
      </c>
      <c r="Q3789" s="14">
        <v>125.55</v>
      </c>
      <c r="R3789" s="14">
        <v>253.61</v>
      </c>
      <c r="S3789" s="2" t="s">
        <v>40</v>
      </c>
      <c r="T3789" s="2">
        <v>1.38</v>
      </c>
      <c r="U3789" s="2">
        <v>62.7</v>
      </c>
      <c r="V3789" s="2">
        <v>63</v>
      </c>
      <c r="W3789" s="2" t="s">
        <v>7862</v>
      </c>
      <c r="X3789" s="2" t="s">
        <v>471</v>
      </c>
      <c r="Y3789" s="2">
        <v>27270</v>
      </c>
      <c r="Z3789" s="19" t="str">
        <f>HYPERLINK("https://ssdweb.co/ssdweb/hd/Vision360.html?d=925610485&amp;zoomslide=1&amp;z=1925610485&amp;ISCONFIRM=0","VIDEO")</f>
        <v>VIDEO</v>
      </c>
      <c r="AA3789" s="19" t="str">
        <f>HYPERLINK("https://ssdweb.co/ssdweb/CERTH/624420560.pdf","CERTI")</f>
        <v>CERTI</v>
      </c>
    </row>
    <row r="3790" spans="1:27" ht="15" x14ac:dyDescent="0.25">
      <c r="A3790" s="2">
        <v>3785</v>
      </c>
      <c r="B3790" s="39">
        <v>927010694</v>
      </c>
      <c r="C3790" s="28" t="str">
        <f>HYPERLINK("https://pld.live/RapDetail.aspx?STONELIST=927010694","DNA")</f>
        <v>DNA</v>
      </c>
      <c r="D3790" s="18" t="s">
        <v>3658</v>
      </c>
      <c r="E3790" s="18" t="s">
        <v>2186</v>
      </c>
      <c r="F3790" s="2" t="s">
        <v>7987</v>
      </c>
      <c r="G3790" s="2" t="s">
        <v>1573</v>
      </c>
      <c r="H3790" s="14">
        <v>2.02</v>
      </c>
      <c r="I3790" s="2" t="s">
        <v>4761</v>
      </c>
      <c r="J3790" s="2" t="s">
        <v>3942</v>
      </c>
      <c r="K3790" s="2" t="s">
        <v>1452</v>
      </c>
      <c r="L3790" s="2" t="s">
        <v>5221</v>
      </c>
      <c r="M3790" s="2" t="s">
        <v>5221</v>
      </c>
      <c r="N3790" s="2" t="s">
        <v>2317</v>
      </c>
      <c r="O3790" s="14">
        <v>17000</v>
      </c>
      <c r="P3790" s="14">
        <v>99.12</v>
      </c>
      <c r="Q3790" s="14">
        <v>149.6</v>
      </c>
      <c r="R3790" s="14">
        <v>302.19</v>
      </c>
      <c r="S3790" s="2" t="s">
        <v>7090</v>
      </c>
      <c r="T3790" s="2">
        <v>1.39</v>
      </c>
      <c r="U3790" s="2">
        <v>61.8</v>
      </c>
      <c r="V3790" s="2">
        <v>63</v>
      </c>
      <c r="W3790" s="2" t="s">
        <v>7862</v>
      </c>
      <c r="X3790" s="2" t="s">
        <v>471</v>
      </c>
      <c r="Y3790" s="2">
        <v>34340</v>
      </c>
      <c r="Z3790" s="19" t="str">
        <f>HYPERLINK("https://ssdweb.co/ssdweb/hd/Vision360.html?d=927010694&amp;zoomslide=1&amp;z=1927010694&amp;ISCONFIRM=0","VIDEO")</f>
        <v>VIDEO</v>
      </c>
      <c r="AA3790" s="19" t="str">
        <f>HYPERLINK("https://ssdweb.co/ssdweb/CERTH/666408421.pdf","CERTI")</f>
        <v>CERTI</v>
      </c>
    </row>
    <row r="3791" spans="1:27" ht="15" x14ac:dyDescent="0.25">
      <c r="A3791" s="2">
        <v>3786</v>
      </c>
      <c r="B3791" s="39">
        <v>941110476</v>
      </c>
      <c r="C3791" s="28" t="str">
        <f>HYPERLINK("https://pld.live/RapDetail.aspx?STONELIST=941110476","DNA")</f>
        <v>DNA</v>
      </c>
      <c r="D3791" s="18" t="s">
        <v>3658</v>
      </c>
      <c r="E3791" s="18" t="s">
        <v>2186</v>
      </c>
      <c r="F3791" s="2" t="s">
        <v>7987</v>
      </c>
      <c r="G3791" s="2" t="s">
        <v>1573</v>
      </c>
      <c r="H3791" s="14">
        <v>2.02</v>
      </c>
      <c r="I3791" s="2" t="s">
        <v>4761</v>
      </c>
      <c r="J3791" s="2" t="s">
        <v>3942</v>
      </c>
      <c r="K3791" s="2" t="s">
        <v>1452</v>
      </c>
      <c r="L3791" s="2" t="s">
        <v>5221</v>
      </c>
      <c r="M3791" s="2" t="s">
        <v>5221</v>
      </c>
      <c r="N3791" s="2" t="s">
        <v>2317</v>
      </c>
      <c r="O3791" s="14">
        <v>17000</v>
      </c>
      <c r="P3791" s="14">
        <v>99.12</v>
      </c>
      <c r="Q3791" s="14">
        <v>149.6</v>
      </c>
      <c r="R3791" s="14">
        <v>302.19</v>
      </c>
      <c r="S3791" s="2" t="s">
        <v>5297</v>
      </c>
      <c r="T3791" s="2">
        <v>1.4</v>
      </c>
      <c r="U3791" s="2">
        <v>61.8</v>
      </c>
      <c r="V3791" s="2">
        <v>58</v>
      </c>
      <c r="W3791" s="2" t="s">
        <v>7862</v>
      </c>
      <c r="X3791" s="2" t="s">
        <v>471</v>
      </c>
      <c r="Y3791" s="2">
        <v>34340</v>
      </c>
      <c r="Z3791" s="19" t="str">
        <f>HYPERLINK("https://ssdweb.co/ssdweb/hd/Vision360.html?d=941110476&amp;zoomslide=1&amp;z=1941110476&amp;ISCONFIRM=0","VIDEO")</f>
        <v>VIDEO</v>
      </c>
      <c r="AA3791" s="19" t="str">
        <f>HYPERLINK("https://ssdweb.co/ssdweb/CERTH/674532544.pdf","CERTI")</f>
        <v>CERTI</v>
      </c>
    </row>
    <row r="3792" spans="1:27" ht="15" x14ac:dyDescent="0.25">
      <c r="A3792" s="2">
        <v>3787</v>
      </c>
      <c r="B3792" s="39">
        <v>941110518</v>
      </c>
      <c r="C3792" s="28" t="str">
        <f>HYPERLINK("https://pld.live/RapDetail.aspx?STONELIST=941110518","DNA")</f>
        <v>DNA</v>
      </c>
      <c r="D3792" s="18" t="s">
        <v>3658</v>
      </c>
      <c r="E3792" s="18" t="s">
        <v>2186</v>
      </c>
      <c r="F3792" s="2" t="s">
        <v>7987</v>
      </c>
      <c r="G3792" s="2" t="s">
        <v>1573</v>
      </c>
      <c r="H3792" s="14">
        <v>2.02</v>
      </c>
      <c r="I3792" s="2" t="s">
        <v>4761</v>
      </c>
      <c r="J3792" s="2" t="s">
        <v>3942</v>
      </c>
      <c r="K3792" s="2" t="s">
        <v>1452</v>
      </c>
      <c r="L3792" s="2" t="s">
        <v>5221</v>
      </c>
      <c r="M3792" s="2" t="s">
        <v>5221</v>
      </c>
      <c r="N3792" s="2" t="s">
        <v>2317</v>
      </c>
      <c r="O3792" s="14">
        <v>17000</v>
      </c>
      <c r="P3792" s="14">
        <v>99.12</v>
      </c>
      <c r="Q3792" s="14">
        <v>149.6</v>
      </c>
      <c r="R3792" s="14">
        <v>302.19</v>
      </c>
      <c r="S3792" s="2" t="s">
        <v>7943</v>
      </c>
      <c r="T3792" s="2">
        <v>1.42</v>
      </c>
      <c r="U3792" s="2">
        <v>61.5</v>
      </c>
      <c r="V3792" s="2">
        <v>61</v>
      </c>
      <c r="W3792" s="2" t="s">
        <v>7862</v>
      </c>
      <c r="X3792" s="2" t="s">
        <v>471</v>
      </c>
      <c r="Y3792" s="2">
        <v>34340</v>
      </c>
      <c r="Z3792" s="19" t="str">
        <f>HYPERLINK("https://ssdweb.co/ssdweb/hd/Vision360.html?d=941110518&amp;zoomslide=1&amp;z=1941110518&amp;ISCONFIRM=0","VIDEO")</f>
        <v>VIDEO</v>
      </c>
      <c r="AA3792" s="19" t="str">
        <f>HYPERLINK("https://ssdweb.co/ssdweb/CERTH/674532594.pdf","CERTI")</f>
        <v>CERTI</v>
      </c>
    </row>
    <row r="3793" spans="1:27" ht="15" x14ac:dyDescent="0.25">
      <c r="A3793" s="2">
        <v>3788</v>
      </c>
      <c r="B3793" s="39">
        <v>941120573</v>
      </c>
      <c r="C3793" s="28" t="str">
        <f>HYPERLINK("https://pld.live/RapDetail.aspx?STONELIST=941120573","DNA")</f>
        <v>DNA</v>
      </c>
      <c r="D3793" s="18" t="s">
        <v>3658</v>
      </c>
      <c r="E3793" s="18" t="s">
        <v>2186</v>
      </c>
      <c r="F3793" s="2" t="s">
        <v>7987</v>
      </c>
      <c r="G3793" s="2" t="s">
        <v>1573</v>
      </c>
      <c r="H3793" s="14">
        <v>2.02</v>
      </c>
      <c r="I3793" s="2" t="s">
        <v>4761</v>
      </c>
      <c r="J3793" s="2" t="s">
        <v>3942</v>
      </c>
      <c r="K3793" s="2" t="s">
        <v>1452</v>
      </c>
      <c r="L3793" s="2" t="s">
        <v>5221</v>
      </c>
      <c r="M3793" s="2" t="s">
        <v>5221</v>
      </c>
      <c r="N3793" s="2" t="s">
        <v>2317</v>
      </c>
      <c r="O3793" s="14">
        <v>17000</v>
      </c>
      <c r="P3793" s="14">
        <v>99.12</v>
      </c>
      <c r="Q3793" s="14">
        <v>149.6</v>
      </c>
      <c r="R3793" s="14">
        <v>302.19</v>
      </c>
      <c r="S3793" s="2" t="s">
        <v>4740</v>
      </c>
      <c r="T3793" s="2">
        <v>1.38</v>
      </c>
      <c r="U3793" s="2">
        <v>62.7</v>
      </c>
      <c r="V3793" s="2">
        <v>61</v>
      </c>
      <c r="W3793" s="2" t="s">
        <v>7862</v>
      </c>
      <c r="X3793" s="2" t="s">
        <v>471</v>
      </c>
      <c r="Y3793" s="2">
        <v>34340</v>
      </c>
      <c r="Z3793" s="19" t="str">
        <f>HYPERLINK("https://ssdweb.co/ssdweb/hd/Vision360.html?d=941120573&amp;zoomslide=1&amp;z=1941120573&amp;ISCONFIRM=0","VIDEO")</f>
        <v>VIDEO</v>
      </c>
      <c r="AA3793" s="19" t="str">
        <f>HYPERLINK("https://ssdweb.co/ssdweb/CERTH/675504696.pdf","CERTI")</f>
        <v>CERTI</v>
      </c>
    </row>
    <row r="3794" spans="1:27" ht="15" x14ac:dyDescent="0.25">
      <c r="A3794" s="2">
        <v>3789</v>
      </c>
      <c r="B3794" s="39">
        <v>927080257</v>
      </c>
      <c r="C3794" s="28" t="str">
        <f>HYPERLINK("https://pld.live/RapDetail.aspx?STONELIST=927080257","DNA")</f>
        <v>DNA</v>
      </c>
      <c r="D3794" s="18" t="s">
        <v>3658</v>
      </c>
      <c r="E3794" s="18" t="s">
        <v>2186</v>
      </c>
      <c r="F3794" s="2" t="s">
        <v>7987</v>
      </c>
      <c r="G3794" s="2" t="s">
        <v>1573</v>
      </c>
      <c r="H3794" s="14">
        <v>2.02</v>
      </c>
      <c r="I3794" s="2" t="s">
        <v>4761</v>
      </c>
      <c r="J3794" s="2" t="s">
        <v>3942</v>
      </c>
      <c r="K3794" s="2" t="s">
        <v>1452</v>
      </c>
      <c r="L3794" s="2" t="s">
        <v>5221</v>
      </c>
      <c r="M3794" s="2" t="s">
        <v>5221</v>
      </c>
      <c r="N3794" s="2" t="s">
        <v>2317</v>
      </c>
      <c r="O3794" s="14">
        <v>17000</v>
      </c>
      <c r="P3794" s="14">
        <v>99.12</v>
      </c>
      <c r="Q3794" s="14">
        <v>149.6</v>
      </c>
      <c r="R3794" s="14">
        <v>302.19</v>
      </c>
      <c r="S3794" s="2" t="s">
        <v>4314</v>
      </c>
      <c r="T3794" s="2">
        <v>1.4</v>
      </c>
      <c r="U3794" s="2">
        <v>61</v>
      </c>
      <c r="V3794" s="2">
        <v>62</v>
      </c>
      <c r="W3794" s="2" t="s">
        <v>7862</v>
      </c>
      <c r="X3794" s="2" t="s">
        <v>471</v>
      </c>
      <c r="Y3794" s="2">
        <v>34340</v>
      </c>
      <c r="Z3794" s="19" t="str">
        <f>HYPERLINK("https://ssdweb.co/ssdweb/hd/Vision360.html?d=927080257&amp;zoomslide=1&amp;z=1927080257&amp;ISCONFIRM=0","VIDEO")</f>
        <v>VIDEO</v>
      </c>
      <c r="AA3794" s="19" t="str">
        <f>HYPERLINK("https://ssdweb.co/ssdweb/CERTH/666408369.pdf","CERTI")</f>
        <v>CERTI</v>
      </c>
    </row>
    <row r="3795" spans="1:27" ht="15" x14ac:dyDescent="0.25">
      <c r="A3795" s="2">
        <v>3790</v>
      </c>
      <c r="B3795" s="39">
        <v>927080328</v>
      </c>
      <c r="C3795" s="28" t="str">
        <f>HYPERLINK("https://pld.live/RapDetail.aspx?STONELIST=927080328","DNA")</f>
        <v>DNA</v>
      </c>
      <c r="D3795" s="18" t="s">
        <v>3658</v>
      </c>
      <c r="E3795" s="18" t="s">
        <v>2186</v>
      </c>
      <c r="F3795" s="2" t="s">
        <v>7987</v>
      </c>
      <c r="G3795" s="2" t="s">
        <v>1573</v>
      </c>
      <c r="H3795" s="14">
        <v>2.02</v>
      </c>
      <c r="I3795" s="2" t="s">
        <v>4761</v>
      </c>
      <c r="J3795" s="2" t="s">
        <v>3942</v>
      </c>
      <c r="K3795" s="2" t="s">
        <v>1452</v>
      </c>
      <c r="L3795" s="2" t="s">
        <v>5221</v>
      </c>
      <c r="M3795" s="2" t="s">
        <v>5221</v>
      </c>
      <c r="N3795" s="2" t="s">
        <v>2317</v>
      </c>
      <c r="O3795" s="14">
        <v>17000</v>
      </c>
      <c r="P3795" s="14">
        <v>99.12</v>
      </c>
      <c r="Q3795" s="14">
        <v>149.6</v>
      </c>
      <c r="R3795" s="14">
        <v>302.19</v>
      </c>
      <c r="S3795" s="2" t="s">
        <v>4981</v>
      </c>
      <c r="T3795" s="2">
        <v>1.39</v>
      </c>
      <c r="U3795" s="2">
        <v>62</v>
      </c>
      <c r="V3795" s="2">
        <v>61</v>
      </c>
      <c r="W3795" s="2" t="s">
        <v>7862</v>
      </c>
      <c r="X3795" s="2" t="s">
        <v>471</v>
      </c>
      <c r="Y3795" s="2">
        <v>34340</v>
      </c>
      <c r="Z3795" s="19" t="str">
        <f>HYPERLINK("https://ssdweb.co/ssdweb/hd/Vision360.html?d=927080328&amp;zoomslide=1&amp;z=1927080328&amp;ISCONFIRM=0","VIDEO")</f>
        <v>VIDEO</v>
      </c>
      <c r="AA3795" s="19" t="str">
        <f>HYPERLINK("https://ssdweb.co/ssdweb/CERTH/666408433.pdf","CERTI")</f>
        <v>CERTI</v>
      </c>
    </row>
    <row r="3796" spans="1:27" ht="15" x14ac:dyDescent="0.25">
      <c r="A3796" s="2">
        <v>3791</v>
      </c>
      <c r="B3796" s="39">
        <v>941120558</v>
      </c>
      <c r="C3796" s="28" t="str">
        <f>HYPERLINK("https://pld.live/RapDetail.aspx?STONELIST=941120558","DNA")</f>
        <v>DNA</v>
      </c>
      <c r="D3796" s="18" t="s">
        <v>3658</v>
      </c>
      <c r="E3796" s="18" t="s">
        <v>2186</v>
      </c>
      <c r="F3796" s="2" t="s">
        <v>7987</v>
      </c>
      <c r="G3796" s="2" t="s">
        <v>1573</v>
      </c>
      <c r="H3796" s="14">
        <v>2.02</v>
      </c>
      <c r="I3796" s="2" t="s">
        <v>4761</v>
      </c>
      <c r="J3796" s="2" t="s">
        <v>13</v>
      </c>
      <c r="K3796" s="2" t="s">
        <v>1452</v>
      </c>
      <c r="L3796" s="2" t="s">
        <v>5221</v>
      </c>
      <c r="M3796" s="2" t="s">
        <v>5221</v>
      </c>
      <c r="N3796" s="2" t="s">
        <v>2317</v>
      </c>
      <c r="O3796" s="14">
        <v>16000</v>
      </c>
      <c r="P3796" s="14">
        <v>99.09</v>
      </c>
      <c r="Q3796" s="14">
        <v>145.6</v>
      </c>
      <c r="R3796" s="14">
        <v>294.11</v>
      </c>
      <c r="S3796" s="2" t="s">
        <v>4987</v>
      </c>
      <c r="T3796" s="2">
        <v>1.39</v>
      </c>
      <c r="U3796" s="2">
        <v>60.8</v>
      </c>
      <c r="V3796" s="2">
        <v>60</v>
      </c>
      <c r="W3796" s="2" t="s">
        <v>7862</v>
      </c>
      <c r="X3796" s="2" t="s">
        <v>471</v>
      </c>
      <c r="Y3796" s="2">
        <v>32320</v>
      </c>
      <c r="Z3796" s="19" t="str">
        <f>HYPERLINK("https://ssdweb.co/ssdweb/hd/Vision360.html?d=941120558&amp;zoomslide=1&amp;z=1941120558&amp;ISCONFIRM=0","VIDEO")</f>
        <v>VIDEO</v>
      </c>
      <c r="AA3796" s="19" t="str">
        <f>HYPERLINK("https://ssdweb.co/ssdweb/CERTH/675504690.pdf","CERTI")</f>
        <v>CERTI</v>
      </c>
    </row>
    <row r="3797" spans="1:27" ht="15" x14ac:dyDescent="0.25">
      <c r="A3797" s="2">
        <v>3792</v>
      </c>
      <c r="B3797" s="39">
        <v>941421278</v>
      </c>
      <c r="C3797" s="28" t="str">
        <f>HYPERLINK("https://pld.live/RapDetail.aspx?STONELIST=941421278","DNA")</f>
        <v>DNA</v>
      </c>
      <c r="D3797" s="18" t="s">
        <v>3658</v>
      </c>
      <c r="E3797" s="18" t="s">
        <v>5128</v>
      </c>
      <c r="F3797" s="2" t="s">
        <v>7987</v>
      </c>
      <c r="G3797" s="2" t="s">
        <v>1573</v>
      </c>
      <c r="H3797" s="14">
        <v>2.02</v>
      </c>
      <c r="I3797" s="2" t="s">
        <v>4761</v>
      </c>
      <c r="J3797" s="2" t="s">
        <v>13</v>
      </c>
      <c r="K3797" s="2" t="s">
        <v>1452</v>
      </c>
      <c r="L3797" s="2" t="s">
        <v>5221</v>
      </c>
      <c r="M3797" s="2" t="s">
        <v>5221</v>
      </c>
      <c r="N3797" s="2" t="s">
        <v>2317</v>
      </c>
      <c r="O3797" s="14">
        <v>16000</v>
      </c>
      <c r="P3797" s="14">
        <v>99.09</v>
      </c>
      <c r="Q3797" s="14">
        <v>145.6</v>
      </c>
      <c r="R3797" s="14">
        <v>294.11</v>
      </c>
      <c r="S3797" s="2" t="s">
        <v>801</v>
      </c>
      <c r="T3797" s="2">
        <v>1.39</v>
      </c>
      <c r="U3797" s="2">
        <v>62.6</v>
      </c>
      <c r="V3797" s="2">
        <v>60</v>
      </c>
      <c r="W3797" s="2" t="s">
        <v>7862</v>
      </c>
      <c r="X3797" s="2" t="s">
        <v>471</v>
      </c>
      <c r="Y3797" s="2">
        <v>32320</v>
      </c>
      <c r="Z3797" s="19" t="str">
        <f>HYPERLINK("https://ssdweb.co/ssdweb/hd/Vision360.html?d=941421278&amp;zoomslide=1&amp;z=1941421278&amp;ISCONFIRM=0","VIDEO")</f>
        <v>VIDEO</v>
      </c>
      <c r="AA3797" s="19" t="str">
        <f>HYPERLINK("https://ssdweb.co/ssdweb/CERTH/694579580.pdf","CERTI")</f>
        <v>CERTI</v>
      </c>
    </row>
    <row r="3798" spans="1:27" ht="15" x14ac:dyDescent="0.25">
      <c r="A3798" s="2">
        <v>3793</v>
      </c>
      <c r="B3798" s="39">
        <v>927080377</v>
      </c>
      <c r="C3798" s="28" t="str">
        <f>HYPERLINK("https://pld.live/RapDetail.aspx?STONELIST=927080377","DNA")</f>
        <v>DNA</v>
      </c>
      <c r="D3798" s="18" t="s">
        <v>3658</v>
      </c>
      <c r="E3798" s="18" t="s">
        <v>2186</v>
      </c>
      <c r="F3798" s="2" t="s">
        <v>7987</v>
      </c>
      <c r="G3798" s="2" t="s">
        <v>1573</v>
      </c>
      <c r="H3798" s="14">
        <v>2.02</v>
      </c>
      <c r="I3798" s="2" t="s">
        <v>4761</v>
      </c>
      <c r="J3798" s="2" t="s">
        <v>13</v>
      </c>
      <c r="K3798" s="2" t="s">
        <v>1452</v>
      </c>
      <c r="L3798" s="2" t="s">
        <v>5221</v>
      </c>
      <c r="M3798" s="2" t="s">
        <v>5221</v>
      </c>
      <c r="N3798" s="2" t="s">
        <v>2317</v>
      </c>
      <c r="O3798" s="14">
        <v>16000</v>
      </c>
      <c r="P3798" s="14">
        <v>99.09</v>
      </c>
      <c r="Q3798" s="14">
        <v>145.6</v>
      </c>
      <c r="R3798" s="14">
        <v>294.11</v>
      </c>
      <c r="S3798" s="2" t="s">
        <v>992</v>
      </c>
      <c r="T3798" s="2">
        <v>1.39</v>
      </c>
      <c r="U3798" s="2">
        <v>60.9</v>
      </c>
      <c r="V3798" s="2">
        <v>62</v>
      </c>
      <c r="W3798" s="2" t="s">
        <v>7862</v>
      </c>
      <c r="X3798" s="2" t="s">
        <v>471</v>
      </c>
      <c r="Y3798" s="2">
        <v>32320</v>
      </c>
      <c r="Z3798" s="19" t="str">
        <f>HYPERLINK("https://ssdweb.co/ssdweb/hd/Vision360.html?d=927080377&amp;zoomslide=1&amp;z=1927080377&amp;ISCONFIRM=0","VIDEO")</f>
        <v>VIDEO</v>
      </c>
      <c r="AA3798" s="19" t="str">
        <f>HYPERLINK("https://ssdweb.co/ssdweb/CERTH/666408434.pdf","CERTI")</f>
        <v>CERTI</v>
      </c>
    </row>
    <row r="3799" spans="1:27" ht="15" x14ac:dyDescent="0.25">
      <c r="A3799" s="2">
        <v>3794</v>
      </c>
      <c r="B3799" s="39">
        <v>941110521</v>
      </c>
      <c r="C3799" s="28" t="str">
        <f>HYPERLINK("https://pld.live/RapDetail.aspx?STONELIST=941110521","DNA")</f>
        <v>DNA</v>
      </c>
      <c r="D3799" s="18" t="s">
        <v>3658</v>
      </c>
      <c r="E3799" s="18" t="s">
        <v>2186</v>
      </c>
      <c r="F3799" s="2" t="s">
        <v>7987</v>
      </c>
      <c r="G3799" s="2" t="s">
        <v>1573</v>
      </c>
      <c r="H3799" s="14">
        <v>2.02</v>
      </c>
      <c r="I3799" s="2" t="s">
        <v>4761</v>
      </c>
      <c r="J3799" s="2" t="s">
        <v>13</v>
      </c>
      <c r="K3799" s="2" t="s">
        <v>1452</v>
      </c>
      <c r="L3799" s="2" t="s">
        <v>5221</v>
      </c>
      <c r="M3799" s="2" t="s">
        <v>5721</v>
      </c>
      <c r="N3799" s="2" t="s">
        <v>2317</v>
      </c>
      <c r="O3799" s="14">
        <v>16000</v>
      </c>
      <c r="P3799" s="14">
        <v>99.11</v>
      </c>
      <c r="Q3799" s="14">
        <v>142.4</v>
      </c>
      <c r="R3799" s="14">
        <v>287.64999999999998</v>
      </c>
      <c r="S3799" s="2" t="s">
        <v>50</v>
      </c>
      <c r="T3799" s="2">
        <v>1.39</v>
      </c>
      <c r="U3799" s="2">
        <v>60.4</v>
      </c>
      <c r="V3799" s="2">
        <v>63</v>
      </c>
      <c r="W3799" s="2" t="s">
        <v>7862</v>
      </c>
      <c r="X3799" s="2" t="s">
        <v>471</v>
      </c>
      <c r="Y3799" s="2">
        <v>32320</v>
      </c>
      <c r="Z3799" s="19" t="str">
        <f>HYPERLINK("https://ssdweb.co/ssdweb/hd/Vision360.html?d=941110521&amp;zoomslide=1&amp;z=1941110521&amp;ISCONFIRM=0","VIDEO")</f>
        <v>VIDEO</v>
      </c>
      <c r="AA3799" s="19" t="str">
        <f>HYPERLINK("https://ssdweb.co/ssdweb/CERTH/674532591.pdf","CERTI")</f>
        <v>CERTI</v>
      </c>
    </row>
    <row r="3800" spans="1:27" ht="15" x14ac:dyDescent="0.25">
      <c r="A3800" s="2">
        <v>3795</v>
      </c>
      <c r="B3800" s="39">
        <v>927040589</v>
      </c>
      <c r="C3800" s="28" t="str">
        <f>HYPERLINK("https://pld.live/RapDetail.aspx?STONELIST=927040589","DNA")</f>
        <v>DNA</v>
      </c>
      <c r="D3800" s="18" t="s">
        <v>3658</v>
      </c>
      <c r="E3800" s="18" t="s">
        <v>2186</v>
      </c>
      <c r="F3800" s="2" t="s">
        <v>7987</v>
      </c>
      <c r="G3800" s="2" t="s">
        <v>1573</v>
      </c>
      <c r="H3800" s="14">
        <v>2.02</v>
      </c>
      <c r="I3800" s="2" t="s">
        <v>4761</v>
      </c>
      <c r="J3800" s="2" t="s">
        <v>13</v>
      </c>
      <c r="K3800" s="2" t="s">
        <v>1452</v>
      </c>
      <c r="L3800" s="2" t="s">
        <v>5221</v>
      </c>
      <c r="M3800" s="2" t="s">
        <v>5721</v>
      </c>
      <c r="N3800" s="2" t="s">
        <v>2317</v>
      </c>
      <c r="O3800" s="14">
        <v>16000</v>
      </c>
      <c r="P3800" s="14">
        <v>99.11</v>
      </c>
      <c r="Q3800" s="14">
        <v>142.4</v>
      </c>
      <c r="R3800" s="14">
        <v>287.64999999999998</v>
      </c>
      <c r="S3800" s="2" t="s">
        <v>26</v>
      </c>
      <c r="T3800" s="2">
        <v>1.41</v>
      </c>
      <c r="U3800" s="2">
        <v>61.3</v>
      </c>
      <c r="V3800" s="2">
        <v>61</v>
      </c>
      <c r="W3800" s="2" t="s">
        <v>7862</v>
      </c>
      <c r="X3800" s="2" t="s">
        <v>471</v>
      </c>
      <c r="Y3800" s="2">
        <v>32320</v>
      </c>
      <c r="Z3800" s="19" t="str">
        <f>HYPERLINK("https://ssdweb.co/ssdweb/hd/Vision360.html?d=927040589&amp;zoomslide=1&amp;z=1927040589&amp;ISCONFIRM=0","VIDEO")</f>
        <v>VIDEO</v>
      </c>
      <c r="AA3800" s="19" t="str">
        <f>HYPERLINK("https://ssdweb.co/ssdweb/CERTH/667408587.pdf","CERTI")</f>
        <v>CERTI</v>
      </c>
    </row>
    <row r="3801" spans="1:27" ht="15" x14ac:dyDescent="0.25">
      <c r="A3801" s="2">
        <v>3796</v>
      </c>
      <c r="B3801" s="39">
        <v>926990001</v>
      </c>
      <c r="C3801" s="28" t="str">
        <f>HYPERLINK("https://pld.live/RapDetail.aspx?STONELIST=926990001","DNA")</f>
        <v>DNA</v>
      </c>
      <c r="D3801" s="18" t="s">
        <v>3658</v>
      </c>
      <c r="E3801" s="18" t="s">
        <v>2186</v>
      </c>
      <c r="F3801" s="2" t="s">
        <v>7987</v>
      </c>
      <c r="G3801" s="2" t="s">
        <v>1573</v>
      </c>
      <c r="H3801" s="14">
        <v>2.02</v>
      </c>
      <c r="I3801" s="2" t="s">
        <v>4699</v>
      </c>
      <c r="J3801" s="2" t="s">
        <v>3942</v>
      </c>
      <c r="K3801" s="2" t="s">
        <v>1452</v>
      </c>
      <c r="L3801" s="2" t="s">
        <v>5221</v>
      </c>
      <c r="M3801" s="2" t="s">
        <v>5221</v>
      </c>
      <c r="N3801" s="2" t="s">
        <v>2317</v>
      </c>
      <c r="O3801" s="14">
        <v>16000</v>
      </c>
      <c r="P3801" s="14">
        <v>99.09</v>
      </c>
      <c r="Q3801" s="14">
        <v>145.6</v>
      </c>
      <c r="R3801" s="14">
        <v>294.11</v>
      </c>
      <c r="S3801" s="2" t="s">
        <v>6360</v>
      </c>
      <c r="T3801" s="2">
        <v>1.39</v>
      </c>
      <c r="U3801" s="2">
        <v>61.7</v>
      </c>
      <c r="V3801" s="2">
        <v>62</v>
      </c>
      <c r="W3801" s="2" t="s">
        <v>7862</v>
      </c>
      <c r="X3801" s="2" t="s">
        <v>471</v>
      </c>
      <c r="Y3801" s="2">
        <v>32320</v>
      </c>
      <c r="Z3801" s="19" t="str">
        <f>HYPERLINK("https://ssdweb.co/ssdweb/hd/Vision360.html?d=926990001&amp;zoomslide=1&amp;z=1926990001&amp;ISCONFIRM=0","VIDEO")</f>
        <v>VIDEO</v>
      </c>
      <c r="AA3801" s="19" t="str">
        <f>HYPERLINK("https://ssdweb.co/ssdweb/CERTH/671477261.pdf","CERTI")</f>
        <v>CERTI</v>
      </c>
    </row>
    <row r="3802" spans="1:27" ht="15" x14ac:dyDescent="0.25">
      <c r="A3802" s="2">
        <v>3797</v>
      </c>
      <c r="B3802" s="39">
        <v>941120572</v>
      </c>
      <c r="C3802" s="28" t="str">
        <f>HYPERLINK("https://pld.live/RapDetail.aspx?STONELIST=941120572","DNA")</f>
        <v>DNA</v>
      </c>
      <c r="D3802" s="18" t="s">
        <v>3658</v>
      </c>
      <c r="E3802" s="18" t="s">
        <v>2186</v>
      </c>
      <c r="F3802" s="2" t="s">
        <v>7987</v>
      </c>
      <c r="G3802" s="2" t="s">
        <v>1573</v>
      </c>
      <c r="H3802" s="14">
        <v>2.02</v>
      </c>
      <c r="I3802" s="2" t="s">
        <v>4699</v>
      </c>
      <c r="J3802" s="2" t="s">
        <v>3942</v>
      </c>
      <c r="K3802" s="2" t="s">
        <v>1452</v>
      </c>
      <c r="L3802" s="2" t="s">
        <v>5221</v>
      </c>
      <c r="M3802" s="2" t="s">
        <v>5221</v>
      </c>
      <c r="N3802" s="2" t="s">
        <v>2317</v>
      </c>
      <c r="O3802" s="14">
        <v>16000</v>
      </c>
      <c r="P3802" s="14">
        <v>99.09</v>
      </c>
      <c r="Q3802" s="14">
        <v>145.6</v>
      </c>
      <c r="R3802" s="14">
        <v>294.11</v>
      </c>
      <c r="S3802" s="2" t="s">
        <v>2017</v>
      </c>
      <c r="T3802" s="2">
        <v>1.39</v>
      </c>
      <c r="U3802" s="2">
        <v>62.2</v>
      </c>
      <c r="V3802" s="2">
        <v>60</v>
      </c>
      <c r="W3802" s="2" t="s">
        <v>7862</v>
      </c>
      <c r="X3802" s="2" t="s">
        <v>471</v>
      </c>
      <c r="Y3802" s="2">
        <v>32320</v>
      </c>
      <c r="Z3802" s="19" t="str">
        <f>HYPERLINK("https://ssdweb.co/ssdweb/hd/Vision360.html?d=941120572&amp;zoomslide=1&amp;z=1941120572&amp;ISCONFIRM=0","VIDEO")</f>
        <v>VIDEO</v>
      </c>
      <c r="AA3802" s="19" t="str">
        <f>HYPERLINK("https://ssdweb.co/ssdweb/CERTH/675504695.pdf","CERTI")</f>
        <v>CERTI</v>
      </c>
    </row>
    <row r="3803" spans="1:27" ht="15" x14ac:dyDescent="0.25">
      <c r="A3803" s="2">
        <v>3798</v>
      </c>
      <c r="B3803" s="39">
        <v>941431235</v>
      </c>
      <c r="C3803" s="28" t="str">
        <f>HYPERLINK("https://pld.live/RapDetail.aspx?STONELIST=941431235","DNA")</f>
        <v>DNA</v>
      </c>
      <c r="D3803" s="18" t="s">
        <v>3658</v>
      </c>
      <c r="E3803" s="18" t="s">
        <v>5128</v>
      </c>
      <c r="F3803" s="2" t="s">
        <v>7987</v>
      </c>
      <c r="G3803" s="2" t="s">
        <v>1573</v>
      </c>
      <c r="H3803" s="14">
        <v>2.02</v>
      </c>
      <c r="I3803" s="2" t="s">
        <v>4699</v>
      </c>
      <c r="J3803" s="2" t="s">
        <v>3942</v>
      </c>
      <c r="K3803" s="2" t="s">
        <v>1452</v>
      </c>
      <c r="L3803" s="2" t="s">
        <v>5221</v>
      </c>
      <c r="M3803" s="2" t="s">
        <v>5221</v>
      </c>
      <c r="N3803" s="2" t="s">
        <v>2317</v>
      </c>
      <c r="O3803" s="14">
        <v>16000</v>
      </c>
      <c r="P3803" s="14">
        <v>99.09</v>
      </c>
      <c r="Q3803" s="14">
        <v>145.6</v>
      </c>
      <c r="R3803" s="14">
        <v>294.11</v>
      </c>
      <c r="S3803" s="2" t="s">
        <v>7465</v>
      </c>
      <c r="T3803" s="2">
        <v>1.38</v>
      </c>
      <c r="U3803" s="2">
        <v>61.6</v>
      </c>
      <c r="V3803" s="2">
        <v>61</v>
      </c>
      <c r="W3803" s="2" t="s">
        <v>7862</v>
      </c>
      <c r="X3803" s="2" t="s">
        <v>471</v>
      </c>
      <c r="Y3803" s="2">
        <v>32320</v>
      </c>
      <c r="Z3803" s="19" t="str">
        <f>HYPERLINK("https://ssdweb.co/ssdweb/hd/Vision360.html?d=941431235&amp;zoomslide=1&amp;z=1941431235&amp;ISCONFIRM=0","VIDEO")</f>
        <v>VIDEO</v>
      </c>
      <c r="AA3803" s="19" t="str">
        <f>HYPERLINK("https://ssdweb.co/ssdweb/CERTH/692534117.pdf","CERTI")</f>
        <v>CERTI</v>
      </c>
    </row>
    <row r="3804" spans="1:27" ht="15" x14ac:dyDescent="0.25">
      <c r="A3804" s="2">
        <v>3799</v>
      </c>
      <c r="B3804" s="39">
        <v>941100146</v>
      </c>
      <c r="C3804" s="28" t="str">
        <f>HYPERLINK("https://pld.live/RapDetail.aspx?STONELIST=941100146","DNA")</f>
        <v>DNA</v>
      </c>
      <c r="D3804" s="18" t="s">
        <v>3658</v>
      </c>
      <c r="E3804" s="18" t="s">
        <v>2186</v>
      </c>
      <c r="F3804" s="2" t="s">
        <v>7987</v>
      </c>
      <c r="G3804" s="2" t="s">
        <v>1573</v>
      </c>
      <c r="H3804" s="14">
        <v>2.02</v>
      </c>
      <c r="I3804" s="2" t="s">
        <v>4699</v>
      </c>
      <c r="J3804" s="2" t="s">
        <v>3942</v>
      </c>
      <c r="K3804" s="2" t="s">
        <v>1452</v>
      </c>
      <c r="L3804" s="2" t="s">
        <v>5221</v>
      </c>
      <c r="M3804" s="2" t="s">
        <v>5221</v>
      </c>
      <c r="N3804" s="2" t="s">
        <v>2317</v>
      </c>
      <c r="O3804" s="14">
        <v>16000</v>
      </c>
      <c r="P3804" s="14">
        <v>99.09</v>
      </c>
      <c r="Q3804" s="14">
        <v>145.6</v>
      </c>
      <c r="R3804" s="14">
        <v>294.11</v>
      </c>
      <c r="S3804" s="2" t="s">
        <v>3554</v>
      </c>
      <c r="T3804" s="2">
        <v>1.38</v>
      </c>
      <c r="U3804" s="2">
        <v>61.9</v>
      </c>
      <c r="V3804" s="2">
        <v>61</v>
      </c>
      <c r="W3804" s="2" t="s">
        <v>7862</v>
      </c>
      <c r="X3804" s="2" t="s">
        <v>471</v>
      </c>
      <c r="Y3804" s="2">
        <v>32320</v>
      </c>
      <c r="Z3804" s="19" t="str">
        <f>HYPERLINK("https://ssdweb.co/ssdweb/hd/Vision360.html?d=941100146&amp;zoomslide=1&amp;z=1941100146&amp;ISCONFIRM=0","VIDEO")</f>
        <v>VIDEO</v>
      </c>
      <c r="AA3804" s="19" t="str">
        <f>HYPERLINK("https://ssdweb.co/ssdweb/CERTH/671411228.pdf","CERTI")</f>
        <v>CERTI</v>
      </c>
    </row>
    <row r="3805" spans="1:27" ht="15" x14ac:dyDescent="0.25">
      <c r="A3805" s="2">
        <v>3800</v>
      </c>
      <c r="B3805" s="39">
        <v>927040470</v>
      </c>
      <c r="C3805" s="28" t="str">
        <f>HYPERLINK("https://pld.live/RapDetail.aspx?STONELIST=927040470","DNA")</f>
        <v>DNA</v>
      </c>
      <c r="D3805" s="18" t="s">
        <v>3658</v>
      </c>
      <c r="E3805" s="18" t="s">
        <v>2186</v>
      </c>
      <c r="F3805" s="2" t="s">
        <v>7987</v>
      </c>
      <c r="G3805" s="2" t="s">
        <v>1573</v>
      </c>
      <c r="H3805" s="14">
        <v>2.02</v>
      </c>
      <c r="I3805" s="2" t="s">
        <v>4699</v>
      </c>
      <c r="J3805" s="2" t="s">
        <v>3942</v>
      </c>
      <c r="K3805" s="2" t="s">
        <v>1452</v>
      </c>
      <c r="L3805" s="2" t="s">
        <v>5221</v>
      </c>
      <c r="M3805" s="2" t="s">
        <v>5221</v>
      </c>
      <c r="N3805" s="2" t="s">
        <v>2317</v>
      </c>
      <c r="O3805" s="14">
        <v>16000</v>
      </c>
      <c r="P3805" s="14">
        <v>99.09</v>
      </c>
      <c r="Q3805" s="14">
        <v>145.6</v>
      </c>
      <c r="R3805" s="14">
        <v>294.11</v>
      </c>
      <c r="S3805" s="2" t="s">
        <v>1373</v>
      </c>
      <c r="T3805" s="2">
        <v>1.4</v>
      </c>
      <c r="U3805" s="2">
        <v>61.1</v>
      </c>
      <c r="V3805" s="2">
        <v>59</v>
      </c>
      <c r="W3805" s="2" t="s">
        <v>7862</v>
      </c>
      <c r="X3805" s="2" t="s">
        <v>471</v>
      </c>
      <c r="Y3805" s="2">
        <v>32320</v>
      </c>
      <c r="Z3805" s="19" t="str">
        <f>HYPERLINK("https://ssdweb.co/ssdweb/hd/Vision360.html?d=927040470&amp;zoomslide=1&amp;z=1927040470&amp;ISCONFIRM=0","VIDEO")</f>
        <v>VIDEO</v>
      </c>
      <c r="AA3805" s="19" t="str">
        <f>HYPERLINK("https://ssdweb.co/ssdweb/CERTH/666408407.pdf","CERTI")</f>
        <v>CERTI</v>
      </c>
    </row>
    <row r="3806" spans="1:27" ht="15" x14ac:dyDescent="0.25">
      <c r="A3806" s="2">
        <v>3801</v>
      </c>
      <c r="B3806" s="39">
        <v>941120570</v>
      </c>
      <c r="C3806" s="28" t="str">
        <f>HYPERLINK("https://pld.live/RapDetail.aspx?STONELIST=941120570","DNA")</f>
        <v>DNA</v>
      </c>
      <c r="D3806" s="18" t="s">
        <v>3658</v>
      </c>
      <c r="E3806" s="18" t="s">
        <v>2186</v>
      </c>
      <c r="F3806" s="2" t="s">
        <v>7987</v>
      </c>
      <c r="G3806" s="2" t="s">
        <v>1573</v>
      </c>
      <c r="H3806" s="14">
        <v>2.02</v>
      </c>
      <c r="I3806" s="2" t="s">
        <v>4699</v>
      </c>
      <c r="J3806" s="2" t="s">
        <v>13</v>
      </c>
      <c r="K3806" s="2" t="s">
        <v>1452</v>
      </c>
      <c r="L3806" s="2" t="s">
        <v>5221</v>
      </c>
      <c r="M3806" s="2" t="s">
        <v>5221</v>
      </c>
      <c r="N3806" s="2" t="s">
        <v>2317</v>
      </c>
      <c r="O3806" s="14">
        <v>15000</v>
      </c>
      <c r="P3806" s="14">
        <v>99.07</v>
      </c>
      <c r="Q3806" s="14">
        <v>139.5</v>
      </c>
      <c r="R3806" s="14">
        <v>281.79000000000002</v>
      </c>
      <c r="S3806" s="2" t="s">
        <v>7313</v>
      </c>
      <c r="T3806" s="2">
        <v>1.4</v>
      </c>
      <c r="U3806" s="2">
        <v>60.6</v>
      </c>
      <c r="V3806" s="2">
        <v>63</v>
      </c>
      <c r="W3806" s="2" t="s">
        <v>7862</v>
      </c>
      <c r="X3806" s="2" t="s">
        <v>471</v>
      </c>
      <c r="Y3806" s="2">
        <v>30300</v>
      </c>
      <c r="Z3806" s="19" t="str">
        <f>HYPERLINK("https://ssdweb.co/ssdweb/hd/Vision360.html?d=941120570&amp;zoomslide=1&amp;z=1941120570&amp;ISCONFIRM=0","VIDEO")</f>
        <v>VIDEO</v>
      </c>
      <c r="AA3806" s="19" t="str">
        <f>HYPERLINK("https://ssdweb.co/ssdweb/CERTH/675504693.pdf","CERTI")</f>
        <v>CERTI</v>
      </c>
    </row>
    <row r="3807" spans="1:27" ht="15" x14ac:dyDescent="0.25">
      <c r="A3807" s="2">
        <v>3802</v>
      </c>
      <c r="B3807" s="39">
        <v>941120555</v>
      </c>
      <c r="C3807" s="28" t="str">
        <f>HYPERLINK("https://pld.live/RapDetail.aspx?STONELIST=941120555","DNA")</f>
        <v>DNA</v>
      </c>
      <c r="D3807" s="18" t="s">
        <v>3658</v>
      </c>
      <c r="E3807" s="18" t="s">
        <v>2186</v>
      </c>
      <c r="F3807" s="2" t="s">
        <v>7987</v>
      </c>
      <c r="G3807" s="2" t="s">
        <v>1573</v>
      </c>
      <c r="H3807" s="14">
        <v>2.02</v>
      </c>
      <c r="I3807" s="2" t="s">
        <v>6587</v>
      </c>
      <c r="J3807" s="2" t="s">
        <v>13</v>
      </c>
      <c r="K3807" s="2" t="s">
        <v>1452</v>
      </c>
      <c r="L3807" s="2" t="s">
        <v>5221</v>
      </c>
      <c r="M3807" s="2" t="s">
        <v>5221</v>
      </c>
      <c r="N3807" s="2" t="s">
        <v>2317</v>
      </c>
      <c r="O3807" s="14">
        <v>14000</v>
      </c>
      <c r="P3807" s="14">
        <v>99.11</v>
      </c>
      <c r="Q3807" s="14">
        <v>124.6</v>
      </c>
      <c r="R3807" s="14">
        <v>251.69</v>
      </c>
      <c r="S3807" s="2" t="s">
        <v>5421</v>
      </c>
      <c r="T3807" s="2">
        <v>1.41</v>
      </c>
      <c r="U3807" s="2">
        <v>62.1</v>
      </c>
      <c r="V3807" s="2">
        <v>61</v>
      </c>
      <c r="W3807" s="2" t="s">
        <v>7862</v>
      </c>
      <c r="X3807" s="2" t="s">
        <v>471</v>
      </c>
      <c r="Y3807" s="2">
        <v>28280</v>
      </c>
      <c r="Z3807" s="19" t="str">
        <f>HYPERLINK("https://ssdweb.co/ssdweb/hd/Vision360.html?d=941120555&amp;zoomslide=1&amp;z=1941120555&amp;ISCONFIRM=0","VIDEO")</f>
        <v>VIDEO</v>
      </c>
      <c r="AA3807" s="19" t="str">
        <f>HYPERLINK("https://ssdweb.co/ssdweb/CERTH/675504689.pdf","CERTI")</f>
        <v>CERTI</v>
      </c>
    </row>
    <row r="3808" spans="1:27" ht="15" x14ac:dyDescent="0.25">
      <c r="A3808" s="2">
        <v>3803</v>
      </c>
      <c r="B3808" s="39">
        <v>941080484</v>
      </c>
      <c r="C3808" s="28" t="str">
        <f>HYPERLINK("https://pld.live/RapDetail.aspx?STONELIST=941080484","DNA")</f>
        <v>DNA</v>
      </c>
      <c r="D3808" s="18" t="s">
        <v>3658</v>
      </c>
      <c r="E3808" s="18" t="s">
        <v>2186</v>
      </c>
      <c r="F3808" s="2" t="s">
        <v>7987</v>
      </c>
      <c r="G3808" s="2" t="s">
        <v>1573</v>
      </c>
      <c r="H3808" s="14">
        <v>2.02</v>
      </c>
      <c r="I3808" s="2" t="s">
        <v>6587</v>
      </c>
      <c r="J3808" s="2" t="s">
        <v>13</v>
      </c>
      <c r="K3808" s="2" t="s">
        <v>1452</v>
      </c>
      <c r="L3808" s="2" t="s">
        <v>5221</v>
      </c>
      <c r="M3808" s="2" t="s">
        <v>5221</v>
      </c>
      <c r="N3808" s="2" t="s">
        <v>2317</v>
      </c>
      <c r="O3808" s="14">
        <v>14000</v>
      </c>
      <c r="P3808" s="14">
        <v>99.11</v>
      </c>
      <c r="Q3808" s="14">
        <v>124.6</v>
      </c>
      <c r="R3808" s="14">
        <v>251.69</v>
      </c>
      <c r="S3808" s="2" t="s">
        <v>3082</v>
      </c>
      <c r="T3808" s="2">
        <v>1.39</v>
      </c>
      <c r="U3808" s="2">
        <v>62.7</v>
      </c>
      <c r="V3808" s="2">
        <v>59</v>
      </c>
      <c r="W3808" s="2" t="s">
        <v>7862</v>
      </c>
      <c r="X3808" s="2" t="s">
        <v>471</v>
      </c>
      <c r="Y3808" s="2">
        <v>28280</v>
      </c>
      <c r="Z3808" s="19" t="str">
        <f>HYPERLINK("https://ssdweb.co/ssdweb/hd/Vision360.html?d=941080484&amp;zoomslide=1&amp;z=1941080484&amp;ISCONFIRM=0","VIDEO")</f>
        <v>VIDEO</v>
      </c>
      <c r="AA3808" s="19" t="str">
        <f>HYPERLINK("https://ssdweb.co/ssdweb/CERTH/670445236.pdf","CERTI")</f>
        <v>CERTI</v>
      </c>
    </row>
    <row r="3809" spans="1:27" ht="15" x14ac:dyDescent="0.25">
      <c r="A3809" s="2">
        <v>3804</v>
      </c>
      <c r="B3809" s="39">
        <v>941080143</v>
      </c>
      <c r="C3809" s="28" t="str">
        <f>HYPERLINK("https://pld.live/RapDetail.aspx?STONELIST=941080143","DNA")</f>
        <v>DNA</v>
      </c>
      <c r="D3809" s="18" t="s">
        <v>3658</v>
      </c>
      <c r="E3809" s="18" t="s">
        <v>2186</v>
      </c>
      <c r="F3809" s="2" t="s">
        <v>7987</v>
      </c>
      <c r="G3809" s="2" t="s">
        <v>1573</v>
      </c>
      <c r="H3809" s="14">
        <v>2.02</v>
      </c>
      <c r="I3809" s="2" t="s">
        <v>6587</v>
      </c>
      <c r="J3809" s="2" t="s">
        <v>13</v>
      </c>
      <c r="K3809" s="2" t="s">
        <v>1452</v>
      </c>
      <c r="L3809" s="2" t="s">
        <v>5221</v>
      </c>
      <c r="M3809" s="2" t="s">
        <v>5221</v>
      </c>
      <c r="N3809" s="2" t="s">
        <v>2317</v>
      </c>
      <c r="O3809" s="14">
        <v>14000</v>
      </c>
      <c r="P3809" s="14">
        <v>99.11</v>
      </c>
      <c r="Q3809" s="14">
        <v>124.6</v>
      </c>
      <c r="R3809" s="14">
        <v>251.69</v>
      </c>
      <c r="S3809" s="2" t="s">
        <v>738</v>
      </c>
      <c r="T3809" s="2">
        <v>1.4</v>
      </c>
      <c r="U3809" s="2">
        <v>60.2</v>
      </c>
      <c r="V3809" s="2">
        <v>62</v>
      </c>
      <c r="W3809" s="2" t="s">
        <v>7862</v>
      </c>
      <c r="X3809" s="2" t="s">
        <v>471</v>
      </c>
      <c r="Y3809" s="2">
        <v>28280</v>
      </c>
      <c r="Z3809" s="19" t="str">
        <f>HYPERLINK("https://ssdweb.co/ssdweb/hd/Vision360.html?d=941080143&amp;zoomslide=1&amp;z=1941080143&amp;ISCONFIRM=0","VIDEO")</f>
        <v>VIDEO</v>
      </c>
      <c r="AA3809" s="19" t="str">
        <f>HYPERLINK("https://ssdweb.co/ssdweb/CERTH/670445232.pdf","CERTI")</f>
        <v>CERTI</v>
      </c>
    </row>
    <row r="3810" spans="1:27" ht="15" x14ac:dyDescent="0.25">
      <c r="A3810" s="2">
        <v>3805</v>
      </c>
      <c r="B3810" s="39">
        <v>941090165</v>
      </c>
      <c r="C3810" s="28" t="str">
        <f>HYPERLINK("https://pld.live/RapDetail.aspx?STONELIST=941090165","DNA")</f>
        <v>DNA</v>
      </c>
      <c r="D3810" s="18" t="s">
        <v>3658</v>
      </c>
      <c r="E3810" s="18" t="s">
        <v>2186</v>
      </c>
      <c r="F3810" s="2" t="s">
        <v>7987</v>
      </c>
      <c r="G3810" s="2" t="s">
        <v>1573</v>
      </c>
      <c r="H3810" s="14">
        <v>2.02</v>
      </c>
      <c r="I3810" s="2" t="s">
        <v>6587</v>
      </c>
      <c r="J3810" s="2" t="s">
        <v>13</v>
      </c>
      <c r="K3810" s="2" t="s">
        <v>1452</v>
      </c>
      <c r="L3810" s="2" t="s">
        <v>5221</v>
      </c>
      <c r="M3810" s="2" t="s">
        <v>5221</v>
      </c>
      <c r="N3810" s="2" t="s">
        <v>2317</v>
      </c>
      <c r="O3810" s="14">
        <v>14000</v>
      </c>
      <c r="P3810" s="14">
        <v>99.12</v>
      </c>
      <c r="Q3810" s="14">
        <v>123.2</v>
      </c>
      <c r="R3810" s="14">
        <v>248.86</v>
      </c>
      <c r="S3810" s="2" t="s">
        <v>1575</v>
      </c>
      <c r="T3810" s="2">
        <v>1.4</v>
      </c>
      <c r="U3810" s="2">
        <v>61.3</v>
      </c>
      <c r="V3810" s="2">
        <v>59</v>
      </c>
      <c r="W3810" s="2" t="s">
        <v>8016</v>
      </c>
      <c r="X3810" s="2" t="s">
        <v>471</v>
      </c>
      <c r="Y3810" s="2">
        <v>28280</v>
      </c>
      <c r="Z3810" s="19" t="str">
        <f>HYPERLINK("https://ssdweb.co/ssdweb/hd/Vision360.html?d=941090165&amp;zoomslide=1&amp;z=1941090165&amp;ISCONFIRM=0","VIDEO")</f>
        <v>VIDEO</v>
      </c>
      <c r="AA3810" s="19" t="str">
        <f>HYPERLINK("https://ssdweb.co/ssdweb/CERTH/670445237.pdf","CERTI")</f>
        <v>CERTI</v>
      </c>
    </row>
    <row r="3811" spans="1:27" ht="15" x14ac:dyDescent="0.25">
      <c r="A3811" s="2">
        <v>3806</v>
      </c>
      <c r="B3811" s="39">
        <v>941090175</v>
      </c>
      <c r="C3811" s="28" t="str">
        <f>HYPERLINK("https://pld.live/RapDetail.aspx?STONELIST=941090175","DNA")</f>
        <v>DNA</v>
      </c>
      <c r="D3811" s="18" t="s">
        <v>3658</v>
      </c>
      <c r="E3811" s="18" t="s">
        <v>2186</v>
      </c>
      <c r="F3811" s="2" t="s">
        <v>7987</v>
      </c>
      <c r="G3811" s="2" t="s">
        <v>1573</v>
      </c>
      <c r="H3811" s="14">
        <v>2.02</v>
      </c>
      <c r="I3811" s="2" t="s">
        <v>6587</v>
      </c>
      <c r="J3811" s="2" t="s">
        <v>13</v>
      </c>
      <c r="K3811" s="2" t="s">
        <v>1452</v>
      </c>
      <c r="L3811" s="2" t="s">
        <v>5221</v>
      </c>
      <c r="M3811" s="2" t="s">
        <v>5221</v>
      </c>
      <c r="N3811" s="2" t="s">
        <v>2317</v>
      </c>
      <c r="O3811" s="14">
        <v>14000</v>
      </c>
      <c r="P3811" s="14">
        <v>99.11</v>
      </c>
      <c r="Q3811" s="14">
        <v>124.6</v>
      </c>
      <c r="R3811" s="14">
        <v>251.69</v>
      </c>
      <c r="S3811" s="2" t="s">
        <v>277</v>
      </c>
      <c r="T3811" s="2">
        <v>1.42</v>
      </c>
      <c r="U3811" s="2">
        <v>60.3</v>
      </c>
      <c r="V3811" s="2">
        <v>60</v>
      </c>
      <c r="W3811" s="2" t="s">
        <v>7862</v>
      </c>
      <c r="X3811" s="2" t="s">
        <v>471</v>
      </c>
      <c r="Y3811" s="2">
        <v>28280</v>
      </c>
      <c r="Z3811" s="19" t="str">
        <f>HYPERLINK("https://ssdweb.co/ssdweb/hd/Vision360.html?d=941090175&amp;zoomslide=1&amp;z=1941090175&amp;ISCONFIRM=0","VIDEO")</f>
        <v>VIDEO</v>
      </c>
      <c r="AA3811" s="19" t="str">
        <f>HYPERLINK("https://ssdweb.co/ssdweb/CERTH/670445238.pdf","CERTI")</f>
        <v>CERTI</v>
      </c>
    </row>
    <row r="3812" spans="1:27" ht="15" x14ac:dyDescent="0.25">
      <c r="A3812" s="2">
        <v>3807</v>
      </c>
      <c r="B3812" s="39">
        <v>925570103</v>
      </c>
      <c r="C3812" s="28" t="str">
        <f>HYPERLINK("https://pld.live/RapDetail.aspx?STONELIST=925570103","DNA")</f>
        <v>DNA</v>
      </c>
      <c r="D3812" s="18" t="s">
        <v>3658</v>
      </c>
      <c r="E3812" s="18" t="s">
        <v>2186</v>
      </c>
      <c r="F3812" s="2" t="s">
        <v>7987</v>
      </c>
      <c r="G3812" s="2" t="s">
        <v>1573</v>
      </c>
      <c r="H3812" s="14">
        <v>2.02</v>
      </c>
      <c r="I3812" s="2" t="s">
        <v>6845</v>
      </c>
      <c r="J3812" s="2" t="s">
        <v>5144</v>
      </c>
      <c r="K3812" s="2" t="s">
        <v>1452</v>
      </c>
      <c r="L3812" s="2" t="s">
        <v>5221</v>
      </c>
      <c r="M3812" s="2" t="s">
        <v>5221</v>
      </c>
      <c r="N3812" s="2" t="s">
        <v>2317</v>
      </c>
      <c r="O3812" s="14">
        <v>4100</v>
      </c>
      <c r="P3812" s="14">
        <v>94.88</v>
      </c>
      <c r="Q3812" s="14">
        <v>209.92</v>
      </c>
      <c r="R3812" s="14">
        <v>424.04</v>
      </c>
      <c r="S3812" s="2" t="s">
        <v>3620</v>
      </c>
      <c r="T3812" s="2">
        <v>1.39</v>
      </c>
      <c r="U3812" s="2">
        <v>62.5</v>
      </c>
      <c r="V3812" s="2">
        <v>60</v>
      </c>
      <c r="W3812" s="2" t="s">
        <v>7862</v>
      </c>
      <c r="X3812" s="2" t="s">
        <v>471</v>
      </c>
      <c r="Y3812" s="2">
        <v>8282</v>
      </c>
      <c r="Z3812" s="19" t="str">
        <f>HYPERLINK("https://ssdweb.co/ssdweb/hd/Vision360.html?d=925570103&amp;zoomslide=1&amp;z=1925570103&amp;ISCONFIRM=0","VIDEO")</f>
        <v>VIDEO</v>
      </c>
      <c r="AA3812" s="19" t="str">
        <f>HYPERLINK("https://ssdweb.co/ssdweb/CERTH/625432411.pdf","CERTI")</f>
        <v>CERTI</v>
      </c>
    </row>
    <row r="3813" spans="1:27" ht="15" x14ac:dyDescent="0.25">
      <c r="A3813" s="2">
        <v>3808</v>
      </c>
      <c r="B3813" s="39">
        <v>941421260</v>
      </c>
      <c r="C3813" s="28" t="str">
        <f>HYPERLINK("https://pld.live/RapDetail.aspx?STONELIST=941421260","DNA")</f>
        <v>DNA</v>
      </c>
      <c r="D3813" s="18" t="s">
        <v>3658</v>
      </c>
      <c r="E3813" s="18" t="s">
        <v>5128</v>
      </c>
      <c r="F3813" s="2" t="s">
        <v>7987</v>
      </c>
      <c r="G3813" s="2" t="s">
        <v>1573</v>
      </c>
      <c r="H3813" s="14">
        <v>2.0099999999999998</v>
      </c>
      <c r="I3813" s="2" t="s">
        <v>267</v>
      </c>
      <c r="J3813" s="2" t="s">
        <v>6555</v>
      </c>
      <c r="K3813" s="2" t="s">
        <v>1452</v>
      </c>
      <c r="L3813" s="2" t="s">
        <v>5221</v>
      </c>
      <c r="M3813" s="2" t="s">
        <v>5221</v>
      </c>
      <c r="N3813" s="2" t="s">
        <v>2317</v>
      </c>
      <c r="O3813" s="14">
        <v>20000</v>
      </c>
      <c r="P3813" s="14">
        <v>98.6</v>
      </c>
      <c r="Q3813" s="14">
        <v>280</v>
      </c>
      <c r="R3813" s="14">
        <v>562.79999999999995</v>
      </c>
      <c r="S3813" s="2" t="s">
        <v>2938</v>
      </c>
      <c r="T3813" s="2">
        <v>1.38</v>
      </c>
      <c r="U3813" s="2">
        <v>62</v>
      </c>
      <c r="V3813" s="2">
        <v>58</v>
      </c>
      <c r="W3813" s="2" t="s">
        <v>7862</v>
      </c>
      <c r="X3813" s="2" t="s">
        <v>471</v>
      </c>
      <c r="Y3813" s="2">
        <v>40200</v>
      </c>
      <c r="Z3813" s="19" t="str">
        <f>HYPERLINK("https://ssdweb.co/ssdweb/hd/Vision360.html?d=941421260&amp;zoomslide=1&amp;z=1941421260&amp;ISCONFIRM=0","VIDEO")</f>
        <v>VIDEO</v>
      </c>
      <c r="AA3813" s="19" t="str">
        <f>HYPERLINK("https://ssdweb.co/ssdweb/CERTH/692534095.pdf","CERTI")</f>
        <v>CERTI</v>
      </c>
    </row>
    <row r="3814" spans="1:27" ht="15" x14ac:dyDescent="0.25">
      <c r="A3814" s="2">
        <v>3809</v>
      </c>
      <c r="B3814" s="39">
        <v>927080327</v>
      </c>
      <c r="C3814" s="28" t="str">
        <f>HYPERLINK("https://pld.live/RapDetail.aspx?STONELIST=927080327","DNA")</f>
        <v>DNA</v>
      </c>
      <c r="D3814" s="18" t="s">
        <v>3658</v>
      </c>
      <c r="E3814" s="18" t="s">
        <v>2186</v>
      </c>
      <c r="F3814" s="2" t="s">
        <v>7987</v>
      </c>
      <c r="G3814" s="2" t="s">
        <v>1573</v>
      </c>
      <c r="H3814" s="14">
        <v>2.0099999999999998</v>
      </c>
      <c r="I3814" s="2" t="s">
        <v>4761</v>
      </c>
      <c r="J3814" s="2" t="s">
        <v>7032</v>
      </c>
      <c r="K3814" s="2" t="s">
        <v>1452</v>
      </c>
      <c r="L3814" s="2" t="s">
        <v>5221</v>
      </c>
      <c r="M3814" s="2" t="s">
        <v>5221</v>
      </c>
      <c r="N3814" s="2" t="s">
        <v>2317</v>
      </c>
      <c r="O3814" s="14">
        <v>20000</v>
      </c>
      <c r="P3814" s="14">
        <v>96</v>
      </c>
      <c r="Q3814" s="14">
        <v>800</v>
      </c>
      <c r="R3814" s="14">
        <v>1608</v>
      </c>
      <c r="S3814" s="2" t="s">
        <v>4488</v>
      </c>
      <c r="T3814" s="2">
        <v>1.4</v>
      </c>
      <c r="U3814" s="2">
        <v>61.4</v>
      </c>
      <c r="V3814" s="2">
        <v>61</v>
      </c>
      <c r="W3814" s="2" t="s">
        <v>7862</v>
      </c>
      <c r="X3814" s="2" t="s">
        <v>471</v>
      </c>
      <c r="Y3814" s="2">
        <v>40200</v>
      </c>
      <c r="Z3814" s="19" t="str">
        <f>HYPERLINK("https://ssdweb.co/ssdweb/hd/Vision360.html?d=927080327&amp;zoomslide=1&amp;z=1927080327&amp;ISCONFIRM=0","VIDEO")</f>
        <v>VIDEO</v>
      </c>
      <c r="AA3814" s="19" t="str">
        <f>HYPERLINK("https://ssdweb.co/ssdweb/CERTH/666408432.pdf","CERTI")</f>
        <v>CERTI</v>
      </c>
    </row>
    <row r="3815" spans="1:27" ht="15" x14ac:dyDescent="0.25">
      <c r="A3815" s="2">
        <v>3810</v>
      </c>
      <c r="B3815" s="39">
        <v>941120574</v>
      </c>
      <c r="C3815" s="28" t="str">
        <f>HYPERLINK("https://pld.live/RapDetail.aspx?STONELIST=941120574","DNA")</f>
        <v>DNA</v>
      </c>
      <c r="D3815" s="18" t="s">
        <v>3658</v>
      </c>
      <c r="E3815" s="18" t="s">
        <v>2186</v>
      </c>
      <c r="F3815" s="2" t="s">
        <v>7987</v>
      </c>
      <c r="G3815" s="2" t="s">
        <v>1573</v>
      </c>
      <c r="H3815" s="14">
        <v>2.0099999999999998</v>
      </c>
      <c r="I3815" s="2" t="s">
        <v>4761</v>
      </c>
      <c r="J3815" s="2" t="s">
        <v>3942</v>
      </c>
      <c r="K3815" s="2" t="s">
        <v>1452</v>
      </c>
      <c r="L3815" s="2" t="s">
        <v>5221</v>
      </c>
      <c r="M3815" s="2" t="s">
        <v>5221</v>
      </c>
      <c r="N3815" s="2" t="s">
        <v>2317</v>
      </c>
      <c r="O3815" s="14">
        <v>17000</v>
      </c>
      <c r="P3815" s="14">
        <v>99.12</v>
      </c>
      <c r="Q3815" s="14">
        <v>149.6</v>
      </c>
      <c r="R3815" s="14">
        <v>300.7</v>
      </c>
      <c r="S3815" s="2" t="s">
        <v>3506</v>
      </c>
      <c r="T3815" s="2">
        <v>1.39</v>
      </c>
      <c r="U3815" s="2">
        <v>62.2</v>
      </c>
      <c r="V3815" s="2">
        <v>62</v>
      </c>
      <c r="W3815" s="2" t="s">
        <v>7862</v>
      </c>
      <c r="X3815" s="2" t="s">
        <v>471</v>
      </c>
      <c r="Y3815" s="2">
        <v>34170</v>
      </c>
      <c r="Z3815" s="19" t="str">
        <f>HYPERLINK("https://ssdweb.co/ssdweb/hd/Vision360.html?d=941120574&amp;zoomslide=1&amp;z=1941120574&amp;ISCONFIRM=0","VIDEO")</f>
        <v>VIDEO</v>
      </c>
      <c r="AA3815" s="19" t="str">
        <f>HYPERLINK("https://ssdweb.co/ssdweb/CERTH/675504697.pdf","CERTI")</f>
        <v>CERTI</v>
      </c>
    </row>
    <row r="3816" spans="1:27" ht="15" x14ac:dyDescent="0.25">
      <c r="A3816" s="2">
        <v>3811</v>
      </c>
      <c r="B3816" s="39">
        <v>941100177</v>
      </c>
      <c r="C3816" s="28" t="str">
        <f>HYPERLINK("https://pld.live/RapDetail.aspx?STONELIST=941100177","DNA")</f>
        <v>DNA</v>
      </c>
      <c r="D3816" s="18" t="s">
        <v>3658</v>
      </c>
      <c r="E3816" s="18" t="s">
        <v>2186</v>
      </c>
      <c r="F3816" s="2" t="s">
        <v>7987</v>
      </c>
      <c r="G3816" s="2" t="s">
        <v>1573</v>
      </c>
      <c r="H3816" s="14">
        <v>2.0099999999999998</v>
      </c>
      <c r="I3816" s="2" t="s">
        <v>4761</v>
      </c>
      <c r="J3816" s="2" t="s">
        <v>3942</v>
      </c>
      <c r="K3816" s="2" t="s">
        <v>1452</v>
      </c>
      <c r="L3816" s="2" t="s">
        <v>5221</v>
      </c>
      <c r="M3816" s="2" t="s">
        <v>5221</v>
      </c>
      <c r="N3816" s="2" t="s">
        <v>2317</v>
      </c>
      <c r="O3816" s="14">
        <v>17000</v>
      </c>
      <c r="P3816" s="14">
        <v>99.12</v>
      </c>
      <c r="Q3816" s="14">
        <v>149.6</v>
      </c>
      <c r="R3816" s="14">
        <v>300.7</v>
      </c>
      <c r="S3816" s="2" t="s">
        <v>3500</v>
      </c>
      <c r="T3816" s="2">
        <v>1.4</v>
      </c>
      <c r="U3816" s="2">
        <v>61.9</v>
      </c>
      <c r="V3816" s="2">
        <v>60</v>
      </c>
      <c r="W3816" s="2" t="s">
        <v>7862</v>
      </c>
      <c r="X3816" s="2" t="s">
        <v>471</v>
      </c>
      <c r="Y3816" s="2">
        <v>34170</v>
      </c>
      <c r="Z3816" s="19" t="str">
        <f>HYPERLINK("https://ssdweb.co/ssdweb/hd/Vision360.html?d=941100177&amp;zoomslide=1&amp;z=1941100177&amp;ISCONFIRM=0","VIDEO")</f>
        <v>VIDEO</v>
      </c>
      <c r="AA3816" s="19" t="str">
        <f>HYPERLINK("https://ssdweb.co/ssdweb/CERTH/671437438.pdf","CERTI")</f>
        <v>CERTI</v>
      </c>
    </row>
    <row r="3817" spans="1:27" ht="15" x14ac:dyDescent="0.25">
      <c r="A3817" s="2">
        <v>3812</v>
      </c>
      <c r="B3817" s="39">
        <v>927040469</v>
      </c>
      <c r="C3817" s="28" t="str">
        <f>HYPERLINK("https://pld.live/RapDetail.aspx?STONELIST=927040469","DNA")</f>
        <v>DNA</v>
      </c>
      <c r="D3817" s="18" t="s">
        <v>3658</v>
      </c>
      <c r="E3817" s="18" t="s">
        <v>2186</v>
      </c>
      <c r="F3817" s="2" t="s">
        <v>7987</v>
      </c>
      <c r="G3817" s="2" t="s">
        <v>1573</v>
      </c>
      <c r="H3817" s="14">
        <v>2.0099999999999998</v>
      </c>
      <c r="I3817" s="2" t="s">
        <v>4761</v>
      </c>
      <c r="J3817" s="2" t="s">
        <v>3942</v>
      </c>
      <c r="K3817" s="2" t="s">
        <v>1452</v>
      </c>
      <c r="L3817" s="2" t="s">
        <v>5221</v>
      </c>
      <c r="M3817" s="2" t="s">
        <v>5221</v>
      </c>
      <c r="N3817" s="2" t="s">
        <v>2317</v>
      </c>
      <c r="O3817" s="14">
        <v>17000</v>
      </c>
      <c r="P3817" s="14">
        <v>99.12</v>
      </c>
      <c r="Q3817" s="14">
        <v>149.6</v>
      </c>
      <c r="R3817" s="14">
        <v>300.7</v>
      </c>
      <c r="S3817" s="2" t="s">
        <v>7046</v>
      </c>
      <c r="T3817" s="2">
        <v>1.38</v>
      </c>
      <c r="U3817" s="2">
        <v>61.6</v>
      </c>
      <c r="V3817" s="2">
        <v>59</v>
      </c>
      <c r="W3817" s="2" t="s">
        <v>7862</v>
      </c>
      <c r="X3817" s="2" t="s">
        <v>471</v>
      </c>
      <c r="Y3817" s="2">
        <v>34170</v>
      </c>
      <c r="Z3817" s="19" t="str">
        <f>HYPERLINK("https://ssdweb.co/ssdweb/hd/Vision360.html?d=927040469&amp;zoomslide=1&amp;z=1927040469&amp;ISCONFIRM=0","VIDEO")</f>
        <v>VIDEO</v>
      </c>
      <c r="AA3817" s="19" t="str">
        <f>HYPERLINK("https://ssdweb.co/ssdweb/CERTH/666408406.pdf","CERTI")</f>
        <v>CERTI</v>
      </c>
    </row>
    <row r="3818" spans="1:27" ht="15" x14ac:dyDescent="0.25">
      <c r="A3818" s="2">
        <v>3813</v>
      </c>
      <c r="B3818" s="39">
        <v>927070430</v>
      </c>
      <c r="C3818" s="28" t="str">
        <f>HYPERLINK("https://pld.live/RapDetail.aspx?STONELIST=927070430","DNA")</f>
        <v>DNA</v>
      </c>
      <c r="D3818" s="18" t="s">
        <v>3658</v>
      </c>
      <c r="E3818" s="18" t="s">
        <v>2186</v>
      </c>
      <c r="F3818" s="2" t="s">
        <v>7987</v>
      </c>
      <c r="G3818" s="2" t="s">
        <v>1573</v>
      </c>
      <c r="H3818" s="14">
        <v>2.0099999999999998</v>
      </c>
      <c r="I3818" s="2" t="s">
        <v>4761</v>
      </c>
      <c r="J3818" s="2" t="s">
        <v>3942</v>
      </c>
      <c r="K3818" s="2" t="s">
        <v>1452</v>
      </c>
      <c r="L3818" s="2" t="s">
        <v>5221</v>
      </c>
      <c r="M3818" s="2" t="s">
        <v>5721</v>
      </c>
      <c r="N3818" s="2" t="s">
        <v>2317</v>
      </c>
      <c r="O3818" s="14">
        <v>17000</v>
      </c>
      <c r="P3818" s="14">
        <v>99.1</v>
      </c>
      <c r="Q3818" s="14">
        <v>153</v>
      </c>
      <c r="R3818" s="14">
        <v>307.52999999999997</v>
      </c>
      <c r="S3818" s="2" t="s">
        <v>3028</v>
      </c>
      <c r="T3818" s="2">
        <v>1.38</v>
      </c>
      <c r="U3818" s="2">
        <v>63.3</v>
      </c>
      <c r="V3818" s="2">
        <v>59</v>
      </c>
      <c r="W3818" s="2" t="s">
        <v>7862</v>
      </c>
      <c r="X3818" s="2" t="s">
        <v>471</v>
      </c>
      <c r="Y3818" s="2">
        <v>34170</v>
      </c>
      <c r="Z3818" s="19" t="str">
        <f>HYPERLINK("https://ssdweb.co/ssdweb/hd/Vision360.html?d=927070430&amp;zoomslide=1&amp;z=1927070430&amp;ISCONFIRM=0","VIDEO")</f>
        <v>VIDEO</v>
      </c>
      <c r="AA3818" s="19" t="str">
        <f>HYPERLINK("https://ssdweb.co/ssdweb/CERTH/667408585.pdf","CERTI")</f>
        <v>CERTI</v>
      </c>
    </row>
    <row r="3819" spans="1:27" ht="15" x14ac:dyDescent="0.25">
      <c r="A3819" s="2">
        <v>3814</v>
      </c>
      <c r="B3819" s="39">
        <v>941100620</v>
      </c>
      <c r="C3819" s="28" t="str">
        <f>HYPERLINK("https://pld.live/RapDetail.aspx?STONELIST=941100620","DNA")</f>
        <v>DNA</v>
      </c>
      <c r="D3819" s="18" t="s">
        <v>3658</v>
      </c>
      <c r="E3819" s="18" t="s">
        <v>2186</v>
      </c>
      <c r="F3819" s="2" t="s">
        <v>7987</v>
      </c>
      <c r="G3819" s="2" t="s">
        <v>1573</v>
      </c>
      <c r="H3819" s="14">
        <v>2.0099999999999998</v>
      </c>
      <c r="I3819" s="2" t="s">
        <v>4761</v>
      </c>
      <c r="J3819" s="2" t="s">
        <v>13</v>
      </c>
      <c r="K3819" s="2" t="s">
        <v>1452</v>
      </c>
      <c r="L3819" s="2" t="s">
        <v>5221</v>
      </c>
      <c r="M3819" s="2" t="s">
        <v>5221</v>
      </c>
      <c r="N3819" s="2" t="s">
        <v>2317</v>
      </c>
      <c r="O3819" s="14">
        <v>16000</v>
      </c>
      <c r="P3819" s="14">
        <v>99.09</v>
      </c>
      <c r="Q3819" s="14">
        <v>145.6</v>
      </c>
      <c r="R3819" s="14">
        <v>292.66000000000003</v>
      </c>
      <c r="S3819" s="2" t="s">
        <v>2889</v>
      </c>
      <c r="T3819" s="2">
        <v>1.38</v>
      </c>
      <c r="U3819" s="2">
        <v>61.8</v>
      </c>
      <c r="V3819" s="2">
        <v>61</v>
      </c>
      <c r="W3819" s="2" t="s">
        <v>7862</v>
      </c>
      <c r="X3819" s="2" t="s">
        <v>471</v>
      </c>
      <c r="Y3819" s="2">
        <v>32160</v>
      </c>
      <c r="Z3819" s="19" t="str">
        <f>HYPERLINK("https://ssdweb.co/ssdweb/hd/Vision360.html?d=941100620&amp;zoomslide=1&amp;z=1941100620&amp;ISCONFIRM=0","VIDEO")</f>
        <v>VIDEO</v>
      </c>
      <c r="AA3819" s="19" t="str">
        <f>HYPERLINK("https://ssdweb.co/ssdweb/CERTH/674532566.pdf","CERTI")</f>
        <v>CERTI</v>
      </c>
    </row>
    <row r="3820" spans="1:27" ht="15" x14ac:dyDescent="0.25">
      <c r="A3820" s="2">
        <v>3815</v>
      </c>
      <c r="B3820" s="39">
        <v>927070263</v>
      </c>
      <c r="C3820" s="28" t="str">
        <f>HYPERLINK("https://pld.live/RapDetail.aspx?STONELIST=927070263","DNA")</f>
        <v>DNA</v>
      </c>
      <c r="D3820" s="18" t="s">
        <v>3658</v>
      </c>
      <c r="E3820" s="18" t="s">
        <v>2186</v>
      </c>
      <c r="F3820" s="2" t="s">
        <v>7987</v>
      </c>
      <c r="G3820" s="2" t="s">
        <v>1573</v>
      </c>
      <c r="H3820" s="14">
        <v>2.0099999999999998</v>
      </c>
      <c r="I3820" s="2" t="s">
        <v>4761</v>
      </c>
      <c r="J3820" s="2" t="s">
        <v>13</v>
      </c>
      <c r="K3820" s="2" t="s">
        <v>1452</v>
      </c>
      <c r="L3820" s="2" t="s">
        <v>5221</v>
      </c>
      <c r="M3820" s="2" t="s">
        <v>5221</v>
      </c>
      <c r="N3820" s="2" t="s">
        <v>2317</v>
      </c>
      <c r="O3820" s="14">
        <v>16000</v>
      </c>
      <c r="P3820" s="14">
        <v>99.09</v>
      </c>
      <c r="Q3820" s="14">
        <v>145.6</v>
      </c>
      <c r="R3820" s="14">
        <v>292.66000000000003</v>
      </c>
      <c r="S3820" s="2" t="s">
        <v>3566</v>
      </c>
      <c r="T3820" s="2">
        <v>1.39</v>
      </c>
      <c r="U3820" s="2">
        <v>61.1</v>
      </c>
      <c r="V3820" s="2">
        <v>58</v>
      </c>
      <c r="W3820" s="2" t="s">
        <v>7862</v>
      </c>
      <c r="X3820" s="2" t="s">
        <v>471</v>
      </c>
      <c r="Y3820" s="2">
        <v>32160</v>
      </c>
      <c r="Z3820" s="19" t="str">
        <f>HYPERLINK("https://ssdweb.co/ssdweb/hd/Vision360.html?d=927070263&amp;zoomslide=1&amp;z=1927070263&amp;ISCONFIRM=0","VIDEO")</f>
        <v>VIDEO</v>
      </c>
      <c r="AA3820" s="19" t="str">
        <f>HYPERLINK("https://ssdweb.co/ssdweb/CERTH/666408366.pdf","CERTI")</f>
        <v>CERTI</v>
      </c>
    </row>
    <row r="3821" spans="1:27" ht="15" x14ac:dyDescent="0.25">
      <c r="A3821" s="2">
        <v>3816</v>
      </c>
      <c r="B3821" s="39">
        <v>941110522</v>
      </c>
      <c r="C3821" s="28" t="str">
        <f>HYPERLINK("https://pld.live/RapDetail.aspx?STONELIST=941110522","DNA")</f>
        <v>DNA</v>
      </c>
      <c r="D3821" s="18" t="s">
        <v>3658</v>
      </c>
      <c r="E3821" s="18" t="s">
        <v>2186</v>
      </c>
      <c r="F3821" s="2" t="s">
        <v>7987</v>
      </c>
      <c r="G3821" s="2" t="s">
        <v>1573</v>
      </c>
      <c r="H3821" s="14">
        <v>2.0099999999999998</v>
      </c>
      <c r="I3821" s="2" t="s">
        <v>4761</v>
      </c>
      <c r="J3821" s="2" t="s">
        <v>5144</v>
      </c>
      <c r="K3821" s="2" t="s">
        <v>1452</v>
      </c>
      <c r="L3821" s="2" t="s">
        <v>5221</v>
      </c>
      <c r="M3821" s="2" t="s">
        <v>5221</v>
      </c>
      <c r="N3821" s="2" t="s">
        <v>2317</v>
      </c>
      <c r="O3821" s="14">
        <v>15000</v>
      </c>
      <c r="P3821" s="14">
        <v>99.13</v>
      </c>
      <c r="Q3821" s="14">
        <v>130.5</v>
      </c>
      <c r="R3821" s="14">
        <v>262.31</v>
      </c>
      <c r="S3821" s="2" t="s">
        <v>966</v>
      </c>
      <c r="T3821" s="2">
        <v>1.41</v>
      </c>
      <c r="U3821" s="2">
        <v>61.4</v>
      </c>
      <c r="V3821" s="2">
        <v>62</v>
      </c>
      <c r="W3821" s="2" t="s">
        <v>7862</v>
      </c>
      <c r="X3821" s="2" t="s">
        <v>471</v>
      </c>
      <c r="Y3821" s="2">
        <v>30150</v>
      </c>
      <c r="Z3821" s="19" t="str">
        <f>HYPERLINK("https://ssdweb.co/ssdweb/hd/Vision360.html?d=941110522&amp;zoomslide=1&amp;z=1941110522&amp;ISCONFIRM=0","VIDEO")</f>
        <v>VIDEO</v>
      </c>
      <c r="AA3821" s="19" t="str">
        <f>HYPERLINK("https://ssdweb.co/ssdweb/CERTH/674532590.pdf","CERTI")</f>
        <v>CERTI</v>
      </c>
    </row>
    <row r="3822" spans="1:27" ht="15" x14ac:dyDescent="0.25">
      <c r="A3822" s="2">
        <v>3817</v>
      </c>
      <c r="B3822" s="39">
        <v>927060470</v>
      </c>
      <c r="C3822" s="28" t="str">
        <f>HYPERLINK("https://pld.live/RapDetail.aspx?STONELIST=927060470","DNA")</f>
        <v>DNA</v>
      </c>
      <c r="D3822" s="18" t="s">
        <v>3658</v>
      </c>
      <c r="E3822" s="18" t="s">
        <v>2186</v>
      </c>
      <c r="F3822" s="2" t="s">
        <v>7987</v>
      </c>
      <c r="G3822" s="2" t="s">
        <v>1573</v>
      </c>
      <c r="H3822" s="14">
        <v>2.0099999999999998</v>
      </c>
      <c r="I3822" s="2" t="s">
        <v>4761</v>
      </c>
      <c r="J3822" s="2" t="s">
        <v>5144</v>
      </c>
      <c r="K3822" s="2" t="s">
        <v>1452</v>
      </c>
      <c r="L3822" s="2" t="s">
        <v>5221</v>
      </c>
      <c r="M3822" s="2" t="s">
        <v>5221</v>
      </c>
      <c r="N3822" s="2" t="s">
        <v>2317</v>
      </c>
      <c r="O3822" s="14">
        <v>15000</v>
      </c>
      <c r="P3822" s="14">
        <v>99.13</v>
      </c>
      <c r="Q3822" s="14">
        <v>130.5</v>
      </c>
      <c r="R3822" s="14">
        <v>262.31</v>
      </c>
      <c r="S3822" s="2" t="s">
        <v>6221</v>
      </c>
      <c r="T3822" s="2">
        <v>1.38</v>
      </c>
      <c r="U3822" s="2">
        <v>60.8</v>
      </c>
      <c r="V3822" s="2">
        <v>63</v>
      </c>
      <c r="W3822" s="2" t="s">
        <v>7862</v>
      </c>
      <c r="X3822" s="2" t="s">
        <v>471</v>
      </c>
      <c r="Y3822" s="2">
        <v>30150</v>
      </c>
      <c r="Z3822" s="19" t="str">
        <f>HYPERLINK("https://ssdweb.co/ssdweb/hd/Vision360.html?d=927060470&amp;zoomslide=1&amp;z=1927060470&amp;ISCONFIRM=0","VIDEO")</f>
        <v>VIDEO</v>
      </c>
      <c r="AA3822" s="19" t="str">
        <f>HYPERLINK("https://ssdweb.co/ssdweb/CERTH/667408284.pdf","CERTI")</f>
        <v>CERTI</v>
      </c>
    </row>
    <row r="3823" spans="1:27" ht="15" x14ac:dyDescent="0.25">
      <c r="A3823" s="2">
        <v>3818</v>
      </c>
      <c r="B3823" s="39">
        <v>941090650</v>
      </c>
      <c r="C3823" s="28" t="str">
        <f>HYPERLINK("https://pld.live/RapDetail.aspx?STONELIST=941090650","DNA")</f>
        <v>DNA</v>
      </c>
      <c r="D3823" s="18" t="s">
        <v>3658</v>
      </c>
      <c r="E3823" s="18" t="s">
        <v>2186</v>
      </c>
      <c r="F3823" s="2" t="s">
        <v>7987</v>
      </c>
      <c r="G3823" s="2" t="s">
        <v>1573</v>
      </c>
      <c r="H3823" s="14">
        <v>2.0099999999999998</v>
      </c>
      <c r="I3823" s="2" t="s">
        <v>4761</v>
      </c>
      <c r="J3823" s="2" t="s">
        <v>5144</v>
      </c>
      <c r="K3823" s="2" t="s">
        <v>1452</v>
      </c>
      <c r="L3823" s="2" t="s">
        <v>5221</v>
      </c>
      <c r="M3823" s="2" t="s">
        <v>5221</v>
      </c>
      <c r="N3823" s="2" t="s">
        <v>2317</v>
      </c>
      <c r="O3823" s="14">
        <v>15000</v>
      </c>
      <c r="P3823" s="14">
        <v>99.13</v>
      </c>
      <c r="Q3823" s="14">
        <v>130.5</v>
      </c>
      <c r="R3823" s="14">
        <v>262.31</v>
      </c>
      <c r="S3823" s="2" t="s">
        <v>1512</v>
      </c>
      <c r="T3823" s="2">
        <v>1.41</v>
      </c>
      <c r="U3823" s="2">
        <v>62.5</v>
      </c>
      <c r="V3823" s="2">
        <v>61</v>
      </c>
      <c r="W3823" s="2" t="s">
        <v>7862</v>
      </c>
      <c r="X3823" s="2" t="s">
        <v>471</v>
      </c>
      <c r="Y3823" s="2">
        <v>30150</v>
      </c>
      <c r="Z3823" s="19" t="str">
        <f>HYPERLINK("https://ssdweb.co/ssdweb/hd/Vision360.html?d=941090650&amp;zoomslide=1&amp;z=1941090650&amp;ISCONFIRM=0","VIDEO")</f>
        <v>VIDEO</v>
      </c>
      <c r="AA3823" s="19" t="str">
        <f>HYPERLINK("https://ssdweb.co/ssdweb/CERTH/674532547.pdf","CERTI")</f>
        <v>CERTI</v>
      </c>
    </row>
    <row r="3824" spans="1:27" ht="15" x14ac:dyDescent="0.25">
      <c r="A3824" s="2">
        <v>3819</v>
      </c>
      <c r="B3824" s="39">
        <v>926980020</v>
      </c>
      <c r="C3824" s="28" t="str">
        <f>HYPERLINK("https://pld.live/RapDetail.aspx?STONELIST=926980020","DNA")</f>
        <v>DNA</v>
      </c>
      <c r="D3824" s="18" t="s">
        <v>3658</v>
      </c>
      <c r="E3824" s="18" t="s">
        <v>2186</v>
      </c>
      <c r="F3824" s="2" t="s">
        <v>7987</v>
      </c>
      <c r="G3824" s="2" t="s">
        <v>1573</v>
      </c>
      <c r="H3824" s="14">
        <v>2.0099999999999998</v>
      </c>
      <c r="I3824" s="2" t="s">
        <v>4699</v>
      </c>
      <c r="J3824" s="2" t="s">
        <v>3942</v>
      </c>
      <c r="K3824" s="2" t="s">
        <v>1452</v>
      </c>
      <c r="L3824" s="2" t="s">
        <v>5221</v>
      </c>
      <c r="M3824" s="2" t="s">
        <v>5221</v>
      </c>
      <c r="N3824" s="2" t="s">
        <v>2317</v>
      </c>
      <c r="O3824" s="14">
        <v>16000</v>
      </c>
      <c r="P3824" s="14">
        <v>99.09</v>
      </c>
      <c r="Q3824" s="14">
        <v>145.6</v>
      </c>
      <c r="R3824" s="14">
        <v>292.66000000000003</v>
      </c>
      <c r="S3824" s="2" t="s">
        <v>832</v>
      </c>
      <c r="T3824" s="2">
        <v>1.4</v>
      </c>
      <c r="U3824" s="2">
        <v>60.3</v>
      </c>
      <c r="V3824" s="2">
        <v>62</v>
      </c>
      <c r="W3824" s="2" t="s">
        <v>7862</v>
      </c>
      <c r="X3824" s="2" t="s">
        <v>471</v>
      </c>
      <c r="Y3824" s="2">
        <v>32160</v>
      </c>
      <c r="Z3824" s="19" t="str">
        <f>HYPERLINK("https://ssdweb.co/ssdweb/hd/Vision360.html?d=926980020&amp;zoomslide=1&amp;z=1926980020&amp;ISCONFIRM=0","VIDEO")</f>
        <v>VIDEO</v>
      </c>
      <c r="AA3824" s="19" t="str">
        <f>HYPERLINK("https://ssdweb.co/ssdweb/CERTH/671477259.pdf","CERTI")</f>
        <v>CERTI</v>
      </c>
    </row>
    <row r="3825" spans="1:27" ht="15" x14ac:dyDescent="0.25">
      <c r="A3825" s="2">
        <v>3820</v>
      </c>
      <c r="B3825" s="39">
        <v>941100621</v>
      </c>
      <c r="C3825" s="28" t="str">
        <f>HYPERLINK("https://pld.live/RapDetail.aspx?STONELIST=941100621","DNA")</f>
        <v>DNA</v>
      </c>
      <c r="D3825" s="18" t="s">
        <v>3658</v>
      </c>
      <c r="E3825" s="18" t="s">
        <v>2186</v>
      </c>
      <c r="F3825" s="2" t="s">
        <v>7987</v>
      </c>
      <c r="G3825" s="2" t="s">
        <v>1573</v>
      </c>
      <c r="H3825" s="14">
        <v>2.0099999999999998</v>
      </c>
      <c r="I3825" s="2" t="s">
        <v>4699</v>
      </c>
      <c r="J3825" s="2" t="s">
        <v>13</v>
      </c>
      <c r="K3825" s="2" t="s">
        <v>1452</v>
      </c>
      <c r="L3825" s="2" t="s">
        <v>5221</v>
      </c>
      <c r="M3825" s="2" t="s">
        <v>5221</v>
      </c>
      <c r="N3825" s="2" t="s">
        <v>2317</v>
      </c>
      <c r="O3825" s="14">
        <v>15000</v>
      </c>
      <c r="P3825" s="14">
        <v>99.07</v>
      </c>
      <c r="Q3825" s="14">
        <v>139.5</v>
      </c>
      <c r="R3825" s="14">
        <v>280.39999999999998</v>
      </c>
      <c r="S3825" s="2" t="s">
        <v>244</v>
      </c>
      <c r="T3825" s="2">
        <v>1.38</v>
      </c>
      <c r="U3825" s="2">
        <v>62</v>
      </c>
      <c r="V3825" s="2">
        <v>61</v>
      </c>
      <c r="W3825" s="2" t="s">
        <v>7862</v>
      </c>
      <c r="X3825" s="2" t="s">
        <v>471</v>
      </c>
      <c r="Y3825" s="2">
        <v>30150</v>
      </c>
      <c r="Z3825" s="19" t="str">
        <f>HYPERLINK("https://ssdweb.co/ssdweb/hd/Vision360.html?d=941100621&amp;zoomslide=1&amp;z=1941100621&amp;ISCONFIRM=0","VIDEO")</f>
        <v>VIDEO</v>
      </c>
      <c r="AA3825" s="19" t="str">
        <f>HYPERLINK("https://ssdweb.co/ssdweb/CERTH/674532604.pdf","CERTI")</f>
        <v>CERTI</v>
      </c>
    </row>
    <row r="3826" spans="1:27" ht="15" x14ac:dyDescent="0.25">
      <c r="A3826" s="2">
        <v>3821</v>
      </c>
      <c r="B3826" s="39">
        <v>941080139</v>
      </c>
      <c r="C3826" s="28" t="str">
        <f>HYPERLINK("https://pld.live/RapDetail.aspx?STONELIST=941080139","DNA")</f>
        <v>DNA</v>
      </c>
      <c r="D3826" s="18" t="s">
        <v>3658</v>
      </c>
      <c r="E3826" s="18" t="s">
        <v>2186</v>
      </c>
      <c r="F3826" s="2" t="s">
        <v>7987</v>
      </c>
      <c r="G3826" s="2" t="s">
        <v>1573</v>
      </c>
      <c r="H3826" s="14">
        <v>2.0099999999999998</v>
      </c>
      <c r="I3826" s="2" t="s">
        <v>6587</v>
      </c>
      <c r="J3826" s="2" t="s">
        <v>13</v>
      </c>
      <c r="K3826" s="2" t="s">
        <v>1452</v>
      </c>
      <c r="L3826" s="2" t="s">
        <v>5221</v>
      </c>
      <c r="M3826" s="2" t="s">
        <v>5221</v>
      </c>
      <c r="N3826" s="2" t="s">
        <v>2317</v>
      </c>
      <c r="O3826" s="14">
        <v>14000</v>
      </c>
      <c r="P3826" s="14">
        <v>99.11</v>
      </c>
      <c r="Q3826" s="14">
        <v>124.6</v>
      </c>
      <c r="R3826" s="14">
        <v>250.45</v>
      </c>
      <c r="S3826" s="2" t="s">
        <v>1104</v>
      </c>
      <c r="T3826" s="2">
        <v>1.41</v>
      </c>
      <c r="U3826" s="2">
        <v>62.4</v>
      </c>
      <c r="V3826" s="2">
        <v>60</v>
      </c>
      <c r="W3826" s="2" t="s">
        <v>7862</v>
      </c>
      <c r="X3826" s="2" t="s">
        <v>471</v>
      </c>
      <c r="Y3826" s="2">
        <v>28140</v>
      </c>
      <c r="Z3826" s="19" t="str">
        <f>HYPERLINK("https://ssdweb.co/ssdweb/hd/Vision360.html?d=941080139&amp;zoomslide=1&amp;z=1941080139&amp;ISCONFIRM=0","VIDEO")</f>
        <v>VIDEO</v>
      </c>
      <c r="AA3826" s="19" t="str">
        <f>HYPERLINK("https://ssdweb.co/ssdweb/CERTH/670445231.pdf","CERTI")</f>
        <v>CERTI</v>
      </c>
    </row>
    <row r="3827" spans="1:27" ht="15" x14ac:dyDescent="0.25">
      <c r="A3827" s="2">
        <v>3822</v>
      </c>
      <c r="B3827" s="39">
        <v>924950458</v>
      </c>
      <c r="C3827" s="28" t="str">
        <f>HYPERLINK("https://pld.live/RapDetail.aspx?STONELIST=924950458","DNA")</f>
        <v>DNA</v>
      </c>
      <c r="D3827" s="18" t="s">
        <v>3658</v>
      </c>
      <c r="E3827" s="18" t="s">
        <v>2186</v>
      </c>
      <c r="F3827" s="2" t="s">
        <v>7987</v>
      </c>
      <c r="G3827" s="2" t="s">
        <v>1573</v>
      </c>
      <c r="H3827" s="14">
        <v>2.0099999999999998</v>
      </c>
      <c r="I3827" s="2" t="s">
        <v>6845</v>
      </c>
      <c r="J3827" s="2" t="s">
        <v>5144</v>
      </c>
      <c r="K3827" s="2" t="s">
        <v>1452</v>
      </c>
      <c r="L3827" s="2" t="s">
        <v>5221</v>
      </c>
      <c r="M3827" s="2" t="s">
        <v>5221</v>
      </c>
      <c r="N3827" s="2" t="s">
        <v>2317</v>
      </c>
      <c r="O3827" s="14">
        <v>4100</v>
      </c>
      <c r="P3827" s="14">
        <v>95.12</v>
      </c>
      <c r="Q3827" s="14">
        <v>200.08</v>
      </c>
      <c r="R3827" s="14">
        <v>402.16</v>
      </c>
      <c r="S3827" s="2" t="s">
        <v>1970</v>
      </c>
      <c r="T3827" s="2">
        <v>1.38</v>
      </c>
      <c r="U3827" s="2">
        <v>62.5</v>
      </c>
      <c r="V3827" s="2">
        <v>61</v>
      </c>
      <c r="W3827" s="2" t="s">
        <v>7862</v>
      </c>
      <c r="X3827" s="2" t="s">
        <v>471</v>
      </c>
      <c r="Y3827" s="2">
        <v>8241</v>
      </c>
      <c r="Z3827" s="19" t="str">
        <f>HYPERLINK("https://ssdweb.co/ssdweb/hd/Vision360.html?d=924950458&amp;zoomslide=1&amp;z=1924950458&amp;ISCONFIRM=0","VIDEO")</f>
        <v>VIDEO</v>
      </c>
      <c r="AA3827" s="19" t="str">
        <f>HYPERLINK("https://ssdweb.co/ssdweb/CERTH/613350041.pdf","CERTI")</f>
        <v>CERTI</v>
      </c>
    </row>
    <row r="3828" spans="1:27" ht="15" x14ac:dyDescent="0.25">
      <c r="A3828" s="2">
        <v>3823</v>
      </c>
      <c r="B3828" s="39">
        <v>926030147</v>
      </c>
      <c r="C3828" s="28" t="str">
        <f>HYPERLINK("https://pld.live/RapDetail.aspx?STONELIST=926030147","DNA")</f>
        <v>DNA</v>
      </c>
      <c r="D3828" s="18" t="s">
        <v>3658</v>
      </c>
      <c r="E3828" s="18" t="s">
        <v>2186</v>
      </c>
      <c r="F3828" s="2" t="s">
        <v>7987</v>
      </c>
      <c r="G3828" s="2" t="s">
        <v>1573</v>
      </c>
      <c r="H3828" s="14">
        <v>2.0099999999999998</v>
      </c>
      <c r="I3828" s="2" t="s">
        <v>6874</v>
      </c>
      <c r="J3828" s="2" t="s">
        <v>5144</v>
      </c>
      <c r="K3828" s="2" t="s">
        <v>1452</v>
      </c>
      <c r="L3828" s="2" t="s">
        <v>5221</v>
      </c>
      <c r="M3828" s="2" t="s">
        <v>5221</v>
      </c>
      <c r="N3828" s="2" t="s">
        <v>924</v>
      </c>
      <c r="O3828" s="14">
        <v>4100</v>
      </c>
      <c r="P3828" s="14">
        <v>91.95</v>
      </c>
      <c r="Q3828" s="14">
        <v>330.05</v>
      </c>
      <c r="R3828" s="14">
        <v>663.4</v>
      </c>
      <c r="S3828" s="2" t="s">
        <v>848</v>
      </c>
      <c r="T3828" s="2">
        <v>1.37</v>
      </c>
      <c r="U3828" s="2">
        <v>62.7</v>
      </c>
      <c r="V3828" s="2">
        <v>60</v>
      </c>
      <c r="W3828" s="2" t="s">
        <v>7862</v>
      </c>
      <c r="X3828" s="2" t="s">
        <v>471</v>
      </c>
      <c r="Y3828" s="2">
        <v>8241</v>
      </c>
      <c r="Z3828" s="19" t="str">
        <f>HYPERLINK("https://ssdweb.co/ssdweb/hd/Vision360.html?d=926030147&amp;zoomslide=1&amp;z=1926030147&amp;ISCONFIRM=0","VIDEO")</f>
        <v>VIDEO</v>
      </c>
      <c r="AA3828" s="19" t="str">
        <f>HYPERLINK("https://ssdweb.co/ssdweb/CERTH/639406148.pdf","CERTI")</f>
        <v>CERTI</v>
      </c>
    </row>
    <row r="3829" spans="1:27" ht="15" x14ac:dyDescent="0.25">
      <c r="A3829" s="2">
        <v>3824</v>
      </c>
      <c r="B3829" s="39">
        <v>941100581</v>
      </c>
      <c r="C3829" s="28" t="str">
        <f>HYPERLINK("https://pld.live/RapDetail.aspx?STONELIST=941100581","DNA")</f>
        <v>DNA</v>
      </c>
      <c r="D3829" s="18" t="s">
        <v>3658</v>
      </c>
      <c r="E3829" s="18" t="s">
        <v>2186</v>
      </c>
      <c r="F3829" s="2" t="s">
        <v>7987</v>
      </c>
      <c r="G3829" s="2" t="s">
        <v>1573</v>
      </c>
      <c r="H3829" s="14">
        <v>2</v>
      </c>
      <c r="I3829" s="2" t="s">
        <v>267</v>
      </c>
      <c r="J3829" s="2" t="s">
        <v>3942</v>
      </c>
      <c r="K3829" s="2" t="s">
        <v>1452</v>
      </c>
      <c r="L3829" s="2" t="s">
        <v>5221</v>
      </c>
      <c r="M3829" s="2" t="s">
        <v>5221</v>
      </c>
      <c r="N3829" s="2" t="s">
        <v>2317</v>
      </c>
      <c r="O3829" s="14">
        <v>18500</v>
      </c>
      <c r="P3829" s="14">
        <v>99.08</v>
      </c>
      <c r="Q3829" s="14">
        <v>170.2</v>
      </c>
      <c r="R3829" s="14">
        <v>340.4</v>
      </c>
      <c r="S3829" s="2" t="s">
        <v>5127</v>
      </c>
      <c r="T3829" s="2">
        <v>1.38</v>
      </c>
      <c r="U3829" s="2">
        <v>61.6</v>
      </c>
      <c r="V3829" s="2">
        <v>62</v>
      </c>
      <c r="W3829" s="2" t="s">
        <v>7862</v>
      </c>
      <c r="X3829" s="2" t="s">
        <v>471</v>
      </c>
      <c r="Y3829" s="2">
        <v>37000</v>
      </c>
      <c r="Z3829" s="19" t="str">
        <f>HYPERLINK("https://ssdweb.co/ssdweb/hd/Vision360.html?d=941100581&amp;zoomslide=1&amp;z=1941100581&amp;ISCONFIRM=0","VIDEO")</f>
        <v>VIDEO</v>
      </c>
      <c r="AA3829" s="19" t="str">
        <f>HYPERLINK("https://ssdweb.co/ssdweb/CERTH/674532563.pdf","CERTI")</f>
        <v>CERTI</v>
      </c>
    </row>
    <row r="3830" spans="1:27" ht="15" x14ac:dyDescent="0.25">
      <c r="A3830" s="2">
        <v>3825</v>
      </c>
      <c r="B3830" s="39">
        <v>9414301325</v>
      </c>
      <c r="C3830" s="28" t="str">
        <f>HYPERLINK("https://pld.live/RapDetail.aspx?STONELIST=9414301325","DNA")</f>
        <v>DNA</v>
      </c>
      <c r="D3830" s="18" t="s">
        <v>3658</v>
      </c>
      <c r="E3830" s="18" t="s">
        <v>5128</v>
      </c>
      <c r="F3830" s="2" t="s">
        <v>7987</v>
      </c>
      <c r="G3830" s="2" t="s">
        <v>1573</v>
      </c>
      <c r="H3830" s="14">
        <v>2</v>
      </c>
      <c r="I3830" s="2" t="s">
        <v>267</v>
      </c>
      <c r="J3830" s="2" t="s">
        <v>3942</v>
      </c>
      <c r="K3830" s="2" t="s">
        <v>1452</v>
      </c>
      <c r="L3830" s="2" t="s">
        <v>5221</v>
      </c>
      <c r="M3830" s="2" t="s">
        <v>5221</v>
      </c>
      <c r="N3830" s="2" t="s">
        <v>2317</v>
      </c>
      <c r="O3830" s="14">
        <v>18500</v>
      </c>
      <c r="P3830" s="14">
        <v>99.08</v>
      </c>
      <c r="Q3830" s="14">
        <v>170.2</v>
      </c>
      <c r="R3830" s="14">
        <v>340.4</v>
      </c>
      <c r="S3830" s="2" t="s">
        <v>3253</v>
      </c>
      <c r="T3830" s="2">
        <v>1.37</v>
      </c>
      <c r="U3830" s="2">
        <v>62.8</v>
      </c>
      <c r="V3830" s="2">
        <v>60</v>
      </c>
      <c r="W3830" s="2" t="s">
        <v>7862</v>
      </c>
      <c r="X3830" s="2" t="s">
        <v>471</v>
      </c>
      <c r="Y3830" s="2">
        <v>37000</v>
      </c>
      <c r="Z3830" s="19" t="str">
        <f>HYPERLINK("https://ssdweb.co/ssdweb/hd/Vision360.html?d=9414301325&amp;zoomslide=1&amp;z=19414301325&amp;ISCONFIRM=0","VIDEO")</f>
        <v>VIDEO</v>
      </c>
      <c r="AA3830" s="19" t="str">
        <f>HYPERLINK("https://ssdweb.co/ssdweb/CERTH/694579597.pdf","CERTI")</f>
        <v>CERTI</v>
      </c>
    </row>
    <row r="3831" spans="1:27" ht="15" x14ac:dyDescent="0.25">
      <c r="A3831" s="2">
        <v>3826</v>
      </c>
      <c r="B3831" s="39">
        <v>927070135</v>
      </c>
      <c r="C3831" s="28" t="str">
        <f>HYPERLINK("https://pld.live/RapDetail.aspx?STONELIST=927070135","DNA")</f>
        <v>DNA</v>
      </c>
      <c r="D3831" s="18" t="s">
        <v>3658</v>
      </c>
      <c r="E3831" s="18" t="s">
        <v>2186</v>
      </c>
      <c r="F3831" s="2" t="s">
        <v>7987</v>
      </c>
      <c r="G3831" s="2" t="s">
        <v>1573</v>
      </c>
      <c r="H3831" s="14">
        <v>2</v>
      </c>
      <c r="I3831" s="2" t="s">
        <v>267</v>
      </c>
      <c r="J3831" s="2" t="s">
        <v>3942</v>
      </c>
      <c r="K3831" s="2" t="s">
        <v>1452</v>
      </c>
      <c r="L3831" s="2" t="s">
        <v>5221</v>
      </c>
      <c r="M3831" s="2" t="s">
        <v>5221</v>
      </c>
      <c r="N3831" s="2" t="s">
        <v>2317</v>
      </c>
      <c r="O3831" s="14">
        <v>18500</v>
      </c>
      <c r="P3831" s="14">
        <v>99.08</v>
      </c>
      <c r="Q3831" s="14">
        <v>170.2</v>
      </c>
      <c r="R3831" s="14">
        <v>340.4</v>
      </c>
      <c r="S3831" s="2" t="s">
        <v>2522</v>
      </c>
      <c r="T3831" s="2">
        <v>1.39</v>
      </c>
      <c r="U3831" s="2">
        <v>61.7</v>
      </c>
      <c r="V3831" s="2">
        <v>62</v>
      </c>
      <c r="W3831" s="2" t="s">
        <v>7862</v>
      </c>
      <c r="X3831" s="2" t="s">
        <v>471</v>
      </c>
      <c r="Y3831" s="2">
        <v>37000</v>
      </c>
      <c r="Z3831" s="19" t="str">
        <f>HYPERLINK("https://ssdweb.co/ssdweb/hd/Vision360.html?d=927070135&amp;zoomslide=1&amp;z=1927070135&amp;ISCONFIRM=0","VIDEO")</f>
        <v>VIDEO</v>
      </c>
      <c r="AA3831" s="19" t="str">
        <f>HYPERLINK("https://ssdweb.co/ssdweb/CERTH/666408424.pdf","CERTI")</f>
        <v>CERTI</v>
      </c>
    </row>
    <row r="3832" spans="1:27" ht="15" x14ac:dyDescent="0.25">
      <c r="A3832" s="2">
        <v>3827</v>
      </c>
      <c r="B3832" s="39">
        <v>9414201299</v>
      </c>
      <c r="C3832" s="28" t="str">
        <f>HYPERLINK("https://pld.live/RapDetail.aspx?STONELIST=9414201299","DNA")</f>
        <v>DNA</v>
      </c>
      <c r="D3832" s="18" t="s">
        <v>3658</v>
      </c>
      <c r="E3832" s="18" t="s">
        <v>5128</v>
      </c>
      <c r="F3832" s="2" t="s">
        <v>7987</v>
      </c>
      <c r="G3832" s="2" t="s">
        <v>1573</v>
      </c>
      <c r="H3832" s="14">
        <v>2</v>
      </c>
      <c r="I3832" s="2" t="s">
        <v>267</v>
      </c>
      <c r="J3832" s="2" t="s">
        <v>13</v>
      </c>
      <c r="K3832" s="2" t="s">
        <v>1452</v>
      </c>
      <c r="L3832" s="2" t="s">
        <v>5221</v>
      </c>
      <c r="M3832" s="2" t="s">
        <v>5221</v>
      </c>
      <c r="N3832" s="2" t="s">
        <v>2317</v>
      </c>
      <c r="O3832" s="14">
        <v>17500</v>
      </c>
      <c r="P3832" s="14">
        <v>99.14</v>
      </c>
      <c r="Q3832" s="14">
        <v>150.5</v>
      </c>
      <c r="R3832" s="14">
        <v>301</v>
      </c>
      <c r="S3832" s="2" t="s">
        <v>4225</v>
      </c>
      <c r="T3832" s="2">
        <v>1.43</v>
      </c>
      <c r="U3832" s="2">
        <v>63.2</v>
      </c>
      <c r="V3832" s="2">
        <v>57</v>
      </c>
      <c r="W3832" s="2" t="s">
        <v>7862</v>
      </c>
      <c r="X3832" s="2" t="s">
        <v>471</v>
      </c>
      <c r="Y3832" s="2">
        <v>35000</v>
      </c>
      <c r="Z3832" s="19" t="str">
        <f>HYPERLINK("https://ssdweb.co/ssdweb/hd/Vision360.html?d=9414201299&amp;zoomslide=1&amp;z=19414201299&amp;ISCONFIRM=0","VIDEO")</f>
        <v>VIDEO</v>
      </c>
      <c r="AA3832" s="19" t="str">
        <f>HYPERLINK("https://ssdweb.co/ssdweb/CERTH/694579568.pdf","CERTI")</f>
        <v>CERTI</v>
      </c>
    </row>
    <row r="3833" spans="1:27" ht="15" x14ac:dyDescent="0.25">
      <c r="A3833" s="2">
        <v>3828</v>
      </c>
      <c r="B3833" s="39">
        <v>941080857</v>
      </c>
      <c r="C3833" s="28" t="str">
        <f>HYPERLINK("https://pld.live/RapDetail.aspx?STONELIST=941080857","DNA")</f>
        <v>DNA</v>
      </c>
      <c r="D3833" s="18" t="s">
        <v>3658</v>
      </c>
      <c r="E3833" s="18" t="s">
        <v>2186</v>
      </c>
      <c r="F3833" s="2" t="s">
        <v>7987</v>
      </c>
      <c r="G3833" s="2" t="s">
        <v>1573</v>
      </c>
      <c r="H3833" s="14">
        <v>2</v>
      </c>
      <c r="I3833" s="2" t="s">
        <v>267</v>
      </c>
      <c r="J3833" s="2" t="s">
        <v>5144</v>
      </c>
      <c r="K3833" s="2" t="s">
        <v>1452</v>
      </c>
      <c r="L3833" s="2" t="s">
        <v>5221</v>
      </c>
      <c r="M3833" s="2" t="s">
        <v>5221</v>
      </c>
      <c r="N3833" s="2" t="s">
        <v>2317</v>
      </c>
      <c r="O3833" s="14">
        <v>16000</v>
      </c>
      <c r="P3833" s="14">
        <v>99.13</v>
      </c>
      <c r="Q3833" s="14">
        <v>139.19999999999999</v>
      </c>
      <c r="R3833" s="14">
        <v>278.39999999999998</v>
      </c>
      <c r="S3833" s="2" t="s">
        <v>2389</v>
      </c>
      <c r="T3833" s="2">
        <v>1.4</v>
      </c>
      <c r="U3833" s="2">
        <v>60.9</v>
      </c>
      <c r="V3833" s="2">
        <v>62</v>
      </c>
      <c r="W3833" s="2" t="s">
        <v>7862</v>
      </c>
      <c r="X3833" s="2" t="s">
        <v>471</v>
      </c>
      <c r="Y3833" s="2">
        <v>32000</v>
      </c>
      <c r="Z3833" s="19" t="str">
        <f>HYPERLINK("https://ssdweb.co/ssdweb/hd/Vision360.html?d=941080857&amp;zoomslide=1&amp;z=1941080857&amp;ISCONFIRM=0","VIDEO")</f>
        <v>VIDEO</v>
      </c>
      <c r="AA3833" s="19" t="str">
        <f>HYPERLINK("https://ssdweb.co/ssdweb/CERTH/675504658.pdf","CERTI")</f>
        <v>CERTI</v>
      </c>
    </row>
    <row r="3834" spans="1:27" ht="15" x14ac:dyDescent="0.25">
      <c r="A3834" s="2">
        <v>3829</v>
      </c>
      <c r="B3834" s="39">
        <v>927070258</v>
      </c>
      <c r="C3834" s="28" t="str">
        <f>HYPERLINK("https://pld.live/RapDetail.aspx?STONELIST=927070258","DNA")</f>
        <v>DNA</v>
      </c>
      <c r="D3834" s="18" t="s">
        <v>3658</v>
      </c>
      <c r="E3834" s="18" t="s">
        <v>2186</v>
      </c>
      <c r="F3834" s="2" t="s">
        <v>7987</v>
      </c>
      <c r="G3834" s="2" t="s">
        <v>1573</v>
      </c>
      <c r="H3834" s="14">
        <v>2</v>
      </c>
      <c r="I3834" s="2" t="s">
        <v>267</v>
      </c>
      <c r="J3834" s="2" t="s">
        <v>5144</v>
      </c>
      <c r="K3834" s="2" t="s">
        <v>1452</v>
      </c>
      <c r="L3834" s="2" t="s">
        <v>5221</v>
      </c>
      <c r="M3834" s="2" t="s">
        <v>5721</v>
      </c>
      <c r="N3834" s="2" t="s">
        <v>2317</v>
      </c>
      <c r="O3834" s="14">
        <v>16000</v>
      </c>
      <c r="P3834" s="14">
        <v>99.14</v>
      </c>
      <c r="Q3834" s="14">
        <v>137.6</v>
      </c>
      <c r="R3834" s="14">
        <v>275.2</v>
      </c>
      <c r="S3834" s="2" t="s">
        <v>7797</v>
      </c>
      <c r="T3834" s="2">
        <v>1.4</v>
      </c>
      <c r="U3834" s="2">
        <v>61.5</v>
      </c>
      <c r="V3834" s="2">
        <v>61</v>
      </c>
      <c r="W3834" s="2" t="s">
        <v>7862</v>
      </c>
      <c r="X3834" s="2" t="s">
        <v>471</v>
      </c>
      <c r="Y3834" s="2">
        <v>32000</v>
      </c>
      <c r="Z3834" s="19" t="str">
        <f>HYPERLINK("https://ssdweb.co/ssdweb/hd/Vision360.html?d=927070258&amp;zoomslide=1&amp;z=1927070258&amp;ISCONFIRM=0","VIDEO")</f>
        <v>VIDEO</v>
      </c>
      <c r="AA3834" s="19" t="str">
        <f>HYPERLINK("https://ssdweb.co/ssdweb/CERTH/667408590.pdf","CERTI")</f>
        <v>CERTI</v>
      </c>
    </row>
    <row r="3835" spans="1:27" ht="15" x14ac:dyDescent="0.25">
      <c r="A3835" s="2">
        <v>3830</v>
      </c>
      <c r="B3835" s="39">
        <v>941130429</v>
      </c>
      <c r="C3835" s="28" t="str">
        <f>HYPERLINK("https://pld.live/RapDetail.aspx?STONELIST=941130429","DNA")</f>
        <v>DNA</v>
      </c>
      <c r="D3835" s="18" t="s">
        <v>3658</v>
      </c>
      <c r="E3835" s="18" t="s">
        <v>2186</v>
      </c>
      <c r="F3835" s="2" t="s">
        <v>7987</v>
      </c>
      <c r="G3835" s="2" t="s">
        <v>1573</v>
      </c>
      <c r="H3835" s="14">
        <v>2</v>
      </c>
      <c r="I3835" s="2" t="s">
        <v>4761</v>
      </c>
      <c r="J3835" s="2" t="s">
        <v>3942</v>
      </c>
      <c r="K3835" s="2" t="s">
        <v>1452</v>
      </c>
      <c r="L3835" s="2" t="s">
        <v>5221</v>
      </c>
      <c r="M3835" s="2" t="s">
        <v>5221</v>
      </c>
      <c r="N3835" s="2" t="s">
        <v>2317</v>
      </c>
      <c r="O3835" s="14">
        <v>17000</v>
      </c>
      <c r="P3835" s="14">
        <v>99.12</v>
      </c>
      <c r="Q3835" s="14">
        <v>149.6</v>
      </c>
      <c r="R3835" s="14">
        <v>299.2</v>
      </c>
      <c r="S3835" s="2" t="s">
        <v>4814</v>
      </c>
      <c r="T3835" s="2">
        <v>1.39</v>
      </c>
      <c r="U3835" s="2">
        <v>63.3</v>
      </c>
      <c r="V3835" s="2">
        <v>62</v>
      </c>
      <c r="W3835" s="2" t="s">
        <v>7862</v>
      </c>
      <c r="X3835" s="2" t="s">
        <v>471</v>
      </c>
      <c r="Y3835" s="2">
        <v>34000</v>
      </c>
      <c r="Z3835" s="19" t="str">
        <f>HYPERLINK("https://ssdweb.co/ssdweb/hd/Vision360.html?d=941130429&amp;zoomslide=1&amp;z=1941130429&amp;ISCONFIRM=0","VIDEO")</f>
        <v>VIDEO</v>
      </c>
      <c r="AA3835" s="19" t="str">
        <f>HYPERLINK("https://ssdweb.co/ssdweb/CERTH/675504699.pdf","CERTI")</f>
        <v>CERTI</v>
      </c>
    </row>
    <row r="3836" spans="1:27" ht="15" x14ac:dyDescent="0.25">
      <c r="A3836" s="2">
        <v>3831</v>
      </c>
      <c r="B3836" s="39">
        <v>941110523</v>
      </c>
      <c r="C3836" s="28" t="str">
        <f>HYPERLINK("https://pld.live/RapDetail.aspx?STONELIST=941110523","DNA")</f>
        <v>DNA</v>
      </c>
      <c r="D3836" s="18" t="s">
        <v>3658</v>
      </c>
      <c r="E3836" s="18" t="s">
        <v>2186</v>
      </c>
      <c r="F3836" s="2" t="s">
        <v>7987</v>
      </c>
      <c r="G3836" s="2" t="s">
        <v>1573</v>
      </c>
      <c r="H3836" s="14">
        <v>2</v>
      </c>
      <c r="I3836" s="2" t="s">
        <v>4761</v>
      </c>
      <c r="J3836" s="2" t="s">
        <v>3942</v>
      </c>
      <c r="K3836" s="2" t="s">
        <v>1452</v>
      </c>
      <c r="L3836" s="2" t="s">
        <v>5221</v>
      </c>
      <c r="M3836" s="2" t="s">
        <v>5221</v>
      </c>
      <c r="N3836" s="2" t="s">
        <v>2317</v>
      </c>
      <c r="O3836" s="14">
        <v>17000</v>
      </c>
      <c r="P3836" s="14">
        <v>99.12</v>
      </c>
      <c r="Q3836" s="14">
        <v>149.6</v>
      </c>
      <c r="R3836" s="14">
        <v>299.2</v>
      </c>
      <c r="S3836" s="2" t="s">
        <v>694</v>
      </c>
      <c r="T3836" s="2">
        <v>1.4</v>
      </c>
      <c r="U3836" s="2">
        <v>60.6</v>
      </c>
      <c r="V3836" s="2">
        <v>63</v>
      </c>
      <c r="W3836" s="2" t="s">
        <v>7862</v>
      </c>
      <c r="X3836" s="2" t="s">
        <v>471</v>
      </c>
      <c r="Y3836" s="2">
        <v>34000</v>
      </c>
      <c r="Z3836" s="19" t="str">
        <f>HYPERLINK("https://ssdweb.co/ssdweb/hd/Vision360.html?d=941110523&amp;zoomslide=1&amp;z=1941110523&amp;ISCONFIRM=0","VIDEO")</f>
        <v>VIDEO</v>
      </c>
      <c r="AA3836" s="19" t="str">
        <f>HYPERLINK("https://ssdweb.co/ssdweb/CERTH/674532589.pdf","CERTI")</f>
        <v>CERTI</v>
      </c>
    </row>
    <row r="3837" spans="1:27" ht="15" x14ac:dyDescent="0.25">
      <c r="A3837" s="2">
        <v>3832</v>
      </c>
      <c r="B3837" s="39">
        <v>927140409</v>
      </c>
      <c r="C3837" s="28" t="str">
        <f>HYPERLINK("https://pld.live/RapDetail.aspx?STONELIST=927140409","DNA")</f>
        <v>DNA</v>
      </c>
      <c r="D3837" s="18" t="s">
        <v>3658</v>
      </c>
      <c r="E3837" s="18" t="s">
        <v>2186</v>
      </c>
      <c r="F3837" s="2" t="s">
        <v>7987</v>
      </c>
      <c r="G3837" s="2" t="s">
        <v>1573</v>
      </c>
      <c r="H3837" s="14">
        <v>2</v>
      </c>
      <c r="I3837" s="2" t="s">
        <v>4761</v>
      </c>
      <c r="J3837" s="2" t="s">
        <v>3942</v>
      </c>
      <c r="K3837" s="2" t="s">
        <v>1452</v>
      </c>
      <c r="L3837" s="2" t="s">
        <v>5221</v>
      </c>
      <c r="M3837" s="2" t="s">
        <v>5221</v>
      </c>
      <c r="N3837" s="2" t="s">
        <v>2317</v>
      </c>
      <c r="O3837" s="14">
        <v>17000</v>
      </c>
      <c r="P3837" s="14">
        <v>99.12</v>
      </c>
      <c r="Q3837" s="14">
        <v>149.6</v>
      </c>
      <c r="R3837" s="14">
        <v>299.2</v>
      </c>
      <c r="S3837" s="2" t="s">
        <v>2538</v>
      </c>
      <c r="T3837" s="2">
        <v>1.39</v>
      </c>
      <c r="U3837" s="2">
        <v>62.3</v>
      </c>
      <c r="V3837" s="2">
        <v>60</v>
      </c>
      <c r="W3837" s="2" t="s">
        <v>7862</v>
      </c>
      <c r="X3837" s="2" t="s">
        <v>471</v>
      </c>
      <c r="Y3837" s="2">
        <v>34000</v>
      </c>
      <c r="Z3837" s="19" t="str">
        <f>HYPERLINK("https://ssdweb.co/ssdweb/hd/Vision360.html?d=927140409&amp;zoomslide=1&amp;z=1927140409&amp;ISCONFIRM=0","VIDEO")</f>
        <v>VIDEO</v>
      </c>
      <c r="AA3837" s="19" t="str">
        <f>HYPERLINK("https://ssdweb.co/ssdweb/CERTH/671477251.pdf","CERTI")</f>
        <v>CERTI</v>
      </c>
    </row>
    <row r="3838" spans="1:27" ht="15" x14ac:dyDescent="0.25">
      <c r="A3838" s="2">
        <v>3833</v>
      </c>
      <c r="B3838" s="39">
        <v>941130422</v>
      </c>
      <c r="C3838" s="28" t="str">
        <f>HYPERLINK("https://pld.live/RapDetail.aspx?STONELIST=941130422","DNA")</f>
        <v>DNA</v>
      </c>
      <c r="D3838" s="18" t="s">
        <v>3658</v>
      </c>
      <c r="E3838" s="18" t="s">
        <v>2186</v>
      </c>
      <c r="F3838" s="2" t="s">
        <v>7987</v>
      </c>
      <c r="G3838" s="2" t="s">
        <v>1573</v>
      </c>
      <c r="H3838" s="14">
        <v>2</v>
      </c>
      <c r="I3838" s="2" t="s">
        <v>4761</v>
      </c>
      <c r="J3838" s="2" t="s">
        <v>13</v>
      </c>
      <c r="K3838" s="2" t="s">
        <v>1452</v>
      </c>
      <c r="L3838" s="2" t="s">
        <v>5221</v>
      </c>
      <c r="M3838" s="2" t="s">
        <v>5221</v>
      </c>
      <c r="N3838" s="2" t="s">
        <v>2317</v>
      </c>
      <c r="O3838" s="14">
        <v>16000</v>
      </c>
      <c r="P3838" s="14">
        <v>99.09</v>
      </c>
      <c r="Q3838" s="14">
        <v>145.6</v>
      </c>
      <c r="R3838" s="14">
        <v>291.2</v>
      </c>
      <c r="S3838" s="2" t="s">
        <v>3443</v>
      </c>
      <c r="T3838" s="2">
        <v>1.39</v>
      </c>
      <c r="U3838" s="2">
        <v>63.5</v>
      </c>
      <c r="V3838" s="2">
        <v>61</v>
      </c>
      <c r="W3838" s="2" t="s">
        <v>7862</v>
      </c>
      <c r="X3838" s="2" t="s">
        <v>471</v>
      </c>
      <c r="Y3838" s="2">
        <v>32000</v>
      </c>
      <c r="Z3838" s="19" t="str">
        <f>HYPERLINK("https://ssdweb.co/ssdweb/hd/Vision360.html?d=941130422&amp;zoomslide=1&amp;z=1941130422&amp;ISCONFIRM=0","VIDEO")</f>
        <v>VIDEO</v>
      </c>
      <c r="AA3838" s="19" t="str">
        <f>HYPERLINK("https://ssdweb.co/ssdweb/CERTH/675504698.pdf","CERTI")</f>
        <v>CERTI</v>
      </c>
    </row>
    <row r="3839" spans="1:27" ht="15" x14ac:dyDescent="0.25">
      <c r="A3839" s="2">
        <v>3834</v>
      </c>
      <c r="B3839" s="39">
        <v>927080639</v>
      </c>
      <c r="C3839" s="28" t="str">
        <f>HYPERLINK("https://pld.live/RapDetail.aspx?STONELIST=927080639","DNA")</f>
        <v>DNA</v>
      </c>
      <c r="D3839" s="18" t="s">
        <v>3658</v>
      </c>
      <c r="E3839" s="18" t="s">
        <v>2186</v>
      </c>
      <c r="F3839" s="2" t="s">
        <v>7987</v>
      </c>
      <c r="G3839" s="2" t="s">
        <v>1573</v>
      </c>
      <c r="H3839" s="14">
        <v>2</v>
      </c>
      <c r="I3839" s="2" t="s">
        <v>4761</v>
      </c>
      <c r="J3839" s="2" t="s">
        <v>13</v>
      </c>
      <c r="K3839" s="2" t="s">
        <v>1452</v>
      </c>
      <c r="L3839" s="2" t="s">
        <v>5221</v>
      </c>
      <c r="M3839" s="2" t="s">
        <v>5221</v>
      </c>
      <c r="N3839" s="2" t="s">
        <v>2317</v>
      </c>
      <c r="O3839" s="14">
        <v>16000</v>
      </c>
      <c r="P3839" s="14">
        <v>99.09</v>
      </c>
      <c r="Q3839" s="14">
        <v>145.6</v>
      </c>
      <c r="R3839" s="14">
        <v>291.2</v>
      </c>
      <c r="S3839" s="2" t="s">
        <v>6420</v>
      </c>
      <c r="T3839" s="2">
        <v>1.38</v>
      </c>
      <c r="U3839" s="2">
        <v>62.7</v>
      </c>
      <c r="V3839" s="2">
        <v>63</v>
      </c>
      <c r="W3839" s="2" t="s">
        <v>7862</v>
      </c>
      <c r="X3839" s="2" t="s">
        <v>471</v>
      </c>
      <c r="Y3839" s="2">
        <v>32000</v>
      </c>
      <c r="Z3839" s="19" t="str">
        <f>HYPERLINK("https://ssdweb.co/ssdweb/hd/Vision360.html?d=927080639&amp;zoomslide=1&amp;z=1927080639&amp;ISCONFIRM=0","VIDEO")</f>
        <v>VIDEO</v>
      </c>
      <c r="AA3839" s="19" t="str">
        <f>HYPERLINK("https://ssdweb.co/ssdweb/CERTH/665453171.pdf","CERTI")</f>
        <v>CERTI</v>
      </c>
    </row>
    <row r="3840" spans="1:27" ht="15" x14ac:dyDescent="0.25">
      <c r="A3840" s="2">
        <v>3835</v>
      </c>
      <c r="B3840" s="39">
        <v>927080668</v>
      </c>
      <c r="C3840" s="28" t="str">
        <f>HYPERLINK("https://pld.live/RapDetail.aspx?STONELIST=927080668","DNA")</f>
        <v>DNA</v>
      </c>
      <c r="D3840" s="18" t="s">
        <v>3658</v>
      </c>
      <c r="E3840" s="18" t="s">
        <v>2186</v>
      </c>
      <c r="F3840" s="2" t="s">
        <v>7987</v>
      </c>
      <c r="G3840" s="2" t="s">
        <v>1573</v>
      </c>
      <c r="H3840" s="14">
        <v>2</v>
      </c>
      <c r="I3840" s="2" t="s">
        <v>4761</v>
      </c>
      <c r="J3840" s="2" t="s">
        <v>13</v>
      </c>
      <c r="K3840" s="2" t="s">
        <v>1452</v>
      </c>
      <c r="L3840" s="2" t="s">
        <v>5221</v>
      </c>
      <c r="M3840" s="2" t="s">
        <v>5221</v>
      </c>
      <c r="N3840" s="2" t="s">
        <v>2317</v>
      </c>
      <c r="O3840" s="14">
        <v>16000</v>
      </c>
      <c r="P3840" s="14">
        <v>99.09</v>
      </c>
      <c r="Q3840" s="14">
        <v>145.6</v>
      </c>
      <c r="R3840" s="14">
        <v>291.2</v>
      </c>
      <c r="S3840" s="2" t="s">
        <v>1281</v>
      </c>
      <c r="T3840" s="2">
        <v>1.39</v>
      </c>
      <c r="U3840" s="2">
        <v>61.3</v>
      </c>
      <c r="V3840" s="2">
        <v>61</v>
      </c>
      <c r="W3840" s="2" t="s">
        <v>7862</v>
      </c>
      <c r="X3840" s="2" t="s">
        <v>471</v>
      </c>
      <c r="Y3840" s="2">
        <v>32000</v>
      </c>
      <c r="Z3840" s="19" t="str">
        <f>HYPERLINK("https://ssdweb.co/ssdweb/hd/Vision360.html?d=927080668&amp;zoomslide=1&amp;z=1927080668&amp;ISCONFIRM=0","VIDEO")</f>
        <v>VIDEO</v>
      </c>
      <c r="AA3840" s="19" t="str">
        <f>HYPERLINK("https://ssdweb.co/ssdweb/CERTH/665453172.pdf","CERTI")</f>
        <v>CERTI</v>
      </c>
    </row>
    <row r="3841" spans="1:27" ht="15" x14ac:dyDescent="0.25">
      <c r="A3841" s="2">
        <v>3836</v>
      </c>
      <c r="B3841" s="39">
        <v>941110529</v>
      </c>
      <c r="C3841" s="28" t="str">
        <f>HYPERLINK("https://pld.live/RapDetail.aspx?STONELIST=941110529","DNA")</f>
        <v>DNA</v>
      </c>
      <c r="D3841" s="18" t="s">
        <v>3658</v>
      </c>
      <c r="E3841" s="18" t="s">
        <v>2186</v>
      </c>
      <c r="F3841" s="2" t="s">
        <v>7987</v>
      </c>
      <c r="G3841" s="2" t="s">
        <v>1573</v>
      </c>
      <c r="H3841" s="14">
        <v>2</v>
      </c>
      <c r="I3841" s="2" t="s">
        <v>4761</v>
      </c>
      <c r="J3841" s="2" t="s">
        <v>5144</v>
      </c>
      <c r="K3841" s="2" t="s">
        <v>1452</v>
      </c>
      <c r="L3841" s="2" t="s">
        <v>5221</v>
      </c>
      <c r="M3841" s="2" t="s">
        <v>5221</v>
      </c>
      <c r="N3841" s="2" t="s">
        <v>2317</v>
      </c>
      <c r="O3841" s="14">
        <v>15000</v>
      </c>
      <c r="P3841" s="14">
        <v>99.13</v>
      </c>
      <c r="Q3841" s="14">
        <v>130.5</v>
      </c>
      <c r="R3841" s="14">
        <v>261</v>
      </c>
      <c r="S3841" s="2" t="s">
        <v>6593</v>
      </c>
      <c r="T3841" s="2">
        <v>1.41</v>
      </c>
      <c r="U3841" s="2">
        <v>60.7</v>
      </c>
      <c r="V3841" s="2">
        <v>63</v>
      </c>
      <c r="W3841" s="2" t="s">
        <v>7862</v>
      </c>
      <c r="X3841" s="2" t="s">
        <v>471</v>
      </c>
      <c r="Y3841" s="2">
        <v>30000</v>
      </c>
      <c r="Z3841" s="19" t="str">
        <f>HYPERLINK("https://ssdweb.co/ssdweb/hd/Vision360.html?d=941110529&amp;zoomslide=1&amp;z=1941110529&amp;ISCONFIRM=0","VIDEO")</f>
        <v>VIDEO</v>
      </c>
      <c r="AA3841" s="19" t="str">
        <f>HYPERLINK("https://ssdweb.co/ssdweb/CERTH/674532579.pdf","CERTI")</f>
        <v>CERTI</v>
      </c>
    </row>
    <row r="3842" spans="1:27" ht="15" x14ac:dyDescent="0.25">
      <c r="A3842" s="2">
        <v>3837</v>
      </c>
      <c r="B3842" s="39">
        <v>927080714</v>
      </c>
      <c r="C3842" s="28" t="str">
        <f>HYPERLINK("https://pld.live/RapDetail.aspx?STONELIST=927080714","DNA")</f>
        <v>DNA</v>
      </c>
      <c r="D3842" s="18" t="s">
        <v>6675</v>
      </c>
      <c r="E3842" s="18" t="s">
        <v>2186</v>
      </c>
      <c r="F3842" s="2" t="s">
        <v>7987</v>
      </c>
      <c r="G3842" s="2" t="s">
        <v>1573</v>
      </c>
      <c r="H3842" s="14">
        <v>1.92</v>
      </c>
      <c r="I3842" s="2" t="s">
        <v>267</v>
      </c>
      <c r="J3842" s="2" t="s">
        <v>13</v>
      </c>
      <c r="K3842" s="2" t="s">
        <v>1452</v>
      </c>
      <c r="L3842" s="2" t="s">
        <v>5221</v>
      </c>
      <c r="M3842" s="2" t="s">
        <v>5221</v>
      </c>
      <c r="N3842" s="2" t="s">
        <v>2317</v>
      </c>
      <c r="O3842" s="14">
        <v>11600</v>
      </c>
      <c r="P3842" s="14">
        <v>98.71</v>
      </c>
      <c r="Q3842" s="14">
        <v>149.63999999999999</v>
      </c>
      <c r="R3842" s="14">
        <v>287.31</v>
      </c>
      <c r="S3842" s="2" t="s">
        <v>7004</v>
      </c>
      <c r="T3842" s="2">
        <v>1.43</v>
      </c>
      <c r="U3842" s="2">
        <v>63.3</v>
      </c>
      <c r="V3842" s="2">
        <v>60</v>
      </c>
      <c r="W3842" s="2" t="s">
        <v>7862</v>
      </c>
      <c r="X3842" s="2" t="s">
        <v>471</v>
      </c>
      <c r="Y3842" s="2">
        <v>22272</v>
      </c>
      <c r="Z3842" s="19" t="str">
        <f>HYPERLINK("https://ssdweb.co/ssdweb/hd/Vision360.html?d=927080714&amp;zoomslide=1&amp;z=1927080714&amp;ISCONFIRM=0","VIDEO")</f>
        <v>VIDEO</v>
      </c>
      <c r="AA3842" s="19" t="str">
        <f>HYPERLINK("https://ssdweb.co/ssdweb/CERTH/662473906.pdf","CERTI")</f>
        <v>CERTI</v>
      </c>
    </row>
    <row r="3843" spans="1:27" ht="15" x14ac:dyDescent="0.25">
      <c r="A3843" s="2">
        <v>3838</v>
      </c>
      <c r="B3843" s="39">
        <v>925961283</v>
      </c>
      <c r="C3843" s="28" t="str">
        <f>HYPERLINK("https://pld.live/RapDetail.aspx?STONELIST=925961283","DNA")</f>
        <v>DNA</v>
      </c>
      <c r="D3843" s="18" t="s">
        <v>6675</v>
      </c>
      <c r="E3843" s="18" t="s">
        <v>5128</v>
      </c>
      <c r="F3843" s="2" t="s">
        <v>5597</v>
      </c>
      <c r="G3843" s="2" t="s">
        <v>1573</v>
      </c>
      <c r="H3843" s="14">
        <v>1.91</v>
      </c>
      <c r="I3843" s="2" t="s">
        <v>267</v>
      </c>
      <c r="J3843" s="2" t="s">
        <v>5144</v>
      </c>
      <c r="K3843" s="2" t="s">
        <v>1452</v>
      </c>
      <c r="L3843" s="2" t="s">
        <v>5221</v>
      </c>
      <c r="M3843" s="2" t="s">
        <v>5721</v>
      </c>
      <c r="N3843" s="2" t="s">
        <v>2317</v>
      </c>
      <c r="O3843" s="14">
        <v>9900</v>
      </c>
      <c r="P3843" s="14">
        <v>97.34</v>
      </c>
      <c r="Q3843" s="14">
        <v>263.33999999999997</v>
      </c>
      <c r="R3843" s="14">
        <v>502.98</v>
      </c>
      <c r="S3843" s="2" t="s">
        <v>1288</v>
      </c>
      <c r="T3843" s="2">
        <v>1.36</v>
      </c>
      <c r="U3843" s="2">
        <v>61.8</v>
      </c>
      <c r="V3843" s="2">
        <v>59</v>
      </c>
      <c r="W3843" s="2" t="s">
        <v>7862</v>
      </c>
      <c r="X3843" s="2" t="s">
        <v>471</v>
      </c>
      <c r="Y3843" s="2">
        <v>18909</v>
      </c>
      <c r="Z3843" s="19" t="str">
        <f>HYPERLINK("https://ssdweb.co/ssdweb/hd/Vision360.html?d=925961283&amp;zoomslide=1&amp;z=1925961283&amp;ISCONFIRM=0","VIDEO")</f>
        <v>VIDEO</v>
      </c>
      <c r="AA3843" s="19" t="str">
        <f>HYPERLINK("https://ssdweb.co/ssdweb/CERTH/6491087618.pdf","CERTI")</f>
        <v>CERTI</v>
      </c>
    </row>
    <row r="3844" spans="1:27" ht="15" x14ac:dyDescent="0.25">
      <c r="A3844" s="2">
        <v>3839</v>
      </c>
      <c r="B3844" s="39">
        <v>941090245</v>
      </c>
      <c r="C3844" s="28" t="str">
        <f>HYPERLINK("https://pld.live/RapDetail.aspx?STONELIST=941090245","DNA")</f>
        <v>DNA</v>
      </c>
      <c r="D3844" s="18" t="s">
        <v>6675</v>
      </c>
      <c r="E3844" s="18" t="s">
        <v>2186</v>
      </c>
      <c r="F3844" s="2" t="s">
        <v>7987</v>
      </c>
      <c r="G3844" s="2" t="s">
        <v>1573</v>
      </c>
      <c r="H3844" s="14">
        <v>1.9</v>
      </c>
      <c r="I3844" s="2" t="s">
        <v>4761</v>
      </c>
      <c r="J3844" s="2" t="s">
        <v>13</v>
      </c>
      <c r="K3844" s="2" t="s">
        <v>1452</v>
      </c>
      <c r="L3844" s="2" t="s">
        <v>5221</v>
      </c>
      <c r="M3844" s="2" t="s">
        <v>5221</v>
      </c>
      <c r="N3844" s="2" t="s">
        <v>2317</v>
      </c>
      <c r="O3844" s="14">
        <v>10800</v>
      </c>
      <c r="P3844" s="14">
        <v>98.7</v>
      </c>
      <c r="Q3844" s="14">
        <v>140.4</v>
      </c>
      <c r="R3844" s="14">
        <v>266.76</v>
      </c>
      <c r="S3844" s="2" t="s">
        <v>7348</v>
      </c>
      <c r="T3844" s="2">
        <v>1.37</v>
      </c>
      <c r="U3844" s="2">
        <v>63.5</v>
      </c>
      <c r="V3844" s="2">
        <v>60</v>
      </c>
      <c r="W3844" s="2" t="s">
        <v>7862</v>
      </c>
      <c r="X3844" s="2" t="s">
        <v>471</v>
      </c>
      <c r="Y3844" s="2">
        <v>20520</v>
      </c>
      <c r="Z3844" s="19" t="str">
        <f>HYPERLINK("https://ssdweb.co/ssdweb/hd/Vision360.html?d=941090245&amp;zoomslide=1&amp;z=1941090245&amp;ISCONFIRM=0","VIDEO")</f>
        <v>VIDEO</v>
      </c>
      <c r="AA3844" s="19" t="str">
        <f>HYPERLINK("https://ssdweb.co/ssdweb/CERTH/671411233.pdf","CERTI")</f>
        <v>CERTI</v>
      </c>
    </row>
    <row r="3845" spans="1:27" ht="15" x14ac:dyDescent="0.25">
      <c r="A3845" s="2">
        <v>3840</v>
      </c>
      <c r="B3845" s="39">
        <v>927070623</v>
      </c>
      <c r="C3845" s="28" t="str">
        <f>HYPERLINK("https://pld.live/RapDetail.aspx?STONELIST=927070623","DNA")</f>
        <v>DNA</v>
      </c>
      <c r="D3845" s="18" t="s">
        <v>5313</v>
      </c>
      <c r="E3845" s="18" t="s">
        <v>2186</v>
      </c>
      <c r="F3845" s="2" t="s">
        <v>7987</v>
      </c>
      <c r="G3845" s="2" t="s">
        <v>1573</v>
      </c>
      <c r="H3845" s="14">
        <v>1.72</v>
      </c>
      <c r="I3845" s="2" t="s">
        <v>4761</v>
      </c>
      <c r="J3845" s="2" t="s">
        <v>13</v>
      </c>
      <c r="K3845" s="2" t="s">
        <v>1452</v>
      </c>
      <c r="L3845" s="2" t="s">
        <v>5221</v>
      </c>
      <c r="M3845" s="2" t="s">
        <v>5221</v>
      </c>
      <c r="N3845" s="2" t="s">
        <v>2317</v>
      </c>
      <c r="O3845" s="14">
        <v>10800</v>
      </c>
      <c r="P3845" s="14">
        <v>98.8</v>
      </c>
      <c r="Q3845" s="14">
        <v>129.6</v>
      </c>
      <c r="R3845" s="14">
        <v>222.91</v>
      </c>
      <c r="S3845" s="2" t="s">
        <v>1824</v>
      </c>
      <c r="T3845" s="2">
        <v>1.38</v>
      </c>
      <c r="U3845" s="2">
        <v>62.5</v>
      </c>
      <c r="V3845" s="2">
        <v>63</v>
      </c>
      <c r="W3845" s="2" t="s">
        <v>7862</v>
      </c>
      <c r="X3845" s="2" t="s">
        <v>471</v>
      </c>
      <c r="Y3845" s="2">
        <v>18576</v>
      </c>
      <c r="Z3845" s="19" t="str">
        <f>HYPERLINK("https://ssdweb.co/ssdweb/hd/Vision360.html?d=927070623&amp;zoomslide=1&amp;z=1927070623&amp;ISCONFIRM=0","VIDEO")</f>
        <v>VIDEO</v>
      </c>
      <c r="AA3845" s="19" t="str">
        <f>HYPERLINK("https://ssdweb.co/ssdweb/CERTH/670484363.pdf","CERTI")</f>
        <v>CERTI</v>
      </c>
    </row>
    <row r="3846" spans="1:27" ht="15" x14ac:dyDescent="0.25">
      <c r="A3846" s="2">
        <v>3841</v>
      </c>
      <c r="B3846" s="39">
        <v>927060770</v>
      </c>
      <c r="C3846" s="28" t="str">
        <f>HYPERLINK("https://pld.live/RapDetail.aspx?STONELIST=927060770","DNA")</f>
        <v>DNA</v>
      </c>
      <c r="D3846" s="18" t="s">
        <v>5313</v>
      </c>
      <c r="E3846" s="18" t="s">
        <v>2186</v>
      </c>
      <c r="F3846" s="2" t="s">
        <v>7987</v>
      </c>
      <c r="G3846" s="2" t="s">
        <v>1573</v>
      </c>
      <c r="H3846" s="14">
        <v>1.7</v>
      </c>
      <c r="I3846" s="2" t="s">
        <v>4761</v>
      </c>
      <c r="J3846" s="2" t="s">
        <v>3942</v>
      </c>
      <c r="K3846" s="2" t="s">
        <v>1452</v>
      </c>
      <c r="L3846" s="2" t="s">
        <v>5221</v>
      </c>
      <c r="M3846" s="2" t="s">
        <v>5721</v>
      </c>
      <c r="N3846" s="2" t="s">
        <v>2317</v>
      </c>
      <c r="O3846" s="14">
        <v>11600</v>
      </c>
      <c r="P3846" s="14">
        <v>98.85</v>
      </c>
      <c r="Q3846" s="14">
        <v>133.4</v>
      </c>
      <c r="R3846" s="14">
        <v>226.78</v>
      </c>
      <c r="S3846" s="2" t="s">
        <v>1797</v>
      </c>
      <c r="T3846" s="2">
        <v>1.39</v>
      </c>
      <c r="U3846" s="2">
        <v>62.6</v>
      </c>
      <c r="V3846" s="2">
        <v>62</v>
      </c>
      <c r="W3846" s="2" t="s">
        <v>7862</v>
      </c>
      <c r="X3846" s="2" t="s">
        <v>471</v>
      </c>
      <c r="Y3846" s="2">
        <v>19720</v>
      </c>
      <c r="Z3846" s="19" t="str">
        <f>HYPERLINK("https://ssdweb.co/ssdweb/hd/Vision360.html?d=927060770&amp;zoomslide=1&amp;z=1927060770&amp;ISCONFIRM=0","VIDEO")</f>
        <v>VIDEO</v>
      </c>
      <c r="AA3846" s="19" t="str">
        <f>HYPERLINK("https://ssdweb.co/ssdweb/CERTH/662473890.pdf","CERTI")</f>
        <v>CERTI</v>
      </c>
    </row>
    <row r="3847" spans="1:27" ht="15" x14ac:dyDescent="0.25">
      <c r="A3847" s="2">
        <v>3842</v>
      </c>
      <c r="B3847" s="39">
        <v>925360404</v>
      </c>
      <c r="C3847" s="28" t="str">
        <f>HYPERLINK("https://pld.live/RapDetail.aspx?STONELIST=925360404","DNA")</f>
        <v>DNA</v>
      </c>
      <c r="D3847" s="18" t="s">
        <v>5313</v>
      </c>
      <c r="E3847" s="18" t="s">
        <v>5128</v>
      </c>
      <c r="F3847" s="2" t="s">
        <v>7987</v>
      </c>
      <c r="G3847" s="2" t="s">
        <v>1573</v>
      </c>
      <c r="H3847" s="14">
        <v>1.7</v>
      </c>
      <c r="I3847" s="2" t="s">
        <v>4761</v>
      </c>
      <c r="J3847" s="2" t="s">
        <v>444</v>
      </c>
      <c r="K3847" s="2" t="s">
        <v>1452</v>
      </c>
      <c r="L3847" s="2" t="s">
        <v>5221</v>
      </c>
      <c r="M3847" s="2" t="s">
        <v>5221</v>
      </c>
      <c r="N3847" s="2" t="s">
        <v>2317</v>
      </c>
      <c r="O3847" s="14">
        <v>7600</v>
      </c>
      <c r="P3847" s="14">
        <v>98.49</v>
      </c>
      <c r="Q3847" s="14">
        <v>114.76</v>
      </c>
      <c r="R3847" s="14">
        <v>195.09</v>
      </c>
      <c r="S3847" s="2" t="s">
        <v>6522</v>
      </c>
      <c r="T3847" s="2">
        <v>1.37</v>
      </c>
      <c r="U3847" s="2">
        <v>62.2</v>
      </c>
      <c r="V3847" s="2">
        <v>60</v>
      </c>
      <c r="W3847" s="2" t="s">
        <v>7862</v>
      </c>
      <c r="X3847" s="2" t="s">
        <v>471</v>
      </c>
      <c r="Y3847" s="2">
        <v>12920</v>
      </c>
      <c r="Z3847" s="19" t="str">
        <f>HYPERLINK("https://ssdweb.co/ssdweb/hd/Vision360.html?d=925360404&amp;zoomslide=1&amp;z=1925360404&amp;ISCONFIRM=0","VIDEO")</f>
        <v>VIDEO</v>
      </c>
      <c r="AA3847" s="19" t="str">
        <f>HYPERLINK("https://ssdweb.co/ssdweb/CERTH/620448968.pdf","CERTI")</f>
        <v>CERTI</v>
      </c>
    </row>
    <row r="3848" spans="1:27" ht="15" x14ac:dyDescent="0.25">
      <c r="A3848" s="2">
        <v>3843</v>
      </c>
      <c r="B3848" s="39">
        <v>927070633</v>
      </c>
      <c r="C3848" s="28" t="str">
        <f>HYPERLINK("https://pld.live/RapDetail.aspx?STONELIST=927070633","DNA")</f>
        <v>DNA</v>
      </c>
      <c r="D3848" s="18" t="s">
        <v>5313</v>
      </c>
      <c r="E3848" s="18" t="s">
        <v>2186</v>
      </c>
      <c r="F3848" s="2" t="s">
        <v>7987</v>
      </c>
      <c r="G3848" s="2" t="s">
        <v>1573</v>
      </c>
      <c r="H3848" s="14">
        <v>1.7</v>
      </c>
      <c r="I3848" s="2" t="s">
        <v>4699</v>
      </c>
      <c r="J3848" s="2" t="s">
        <v>3942</v>
      </c>
      <c r="K3848" s="2" t="s">
        <v>1452</v>
      </c>
      <c r="L3848" s="2" t="s">
        <v>5221</v>
      </c>
      <c r="M3848" s="2" t="s">
        <v>5221</v>
      </c>
      <c r="N3848" s="2" t="s">
        <v>2317</v>
      </c>
      <c r="O3848" s="14">
        <v>10800</v>
      </c>
      <c r="P3848" s="14">
        <v>98.8</v>
      </c>
      <c r="Q3848" s="14">
        <v>129.6</v>
      </c>
      <c r="R3848" s="14">
        <v>220.32</v>
      </c>
      <c r="S3848" s="2" t="s">
        <v>3669</v>
      </c>
      <c r="T3848" s="2">
        <v>1.39</v>
      </c>
      <c r="U3848" s="2">
        <v>62.4</v>
      </c>
      <c r="V3848" s="2">
        <v>63</v>
      </c>
      <c r="W3848" s="2" t="s">
        <v>7862</v>
      </c>
      <c r="X3848" s="2" t="s">
        <v>471</v>
      </c>
      <c r="Y3848" s="2">
        <v>18360</v>
      </c>
      <c r="Z3848" s="19" t="str">
        <f>HYPERLINK("https://ssdweb.co/ssdweb/hd/Vision360.html?d=927070633&amp;zoomslide=1&amp;z=1927070633&amp;ISCONFIRM=0","VIDEO")</f>
        <v>VIDEO</v>
      </c>
      <c r="AA3848" s="19" t="str">
        <f>HYPERLINK("https://ssdweb.co/ssdweb/CERTH/670484365.pdf","CERTI")</f>
        <v>CERTI</v>
      </c>
    </row>
    <row r="3849" spans="1:27" ht="15" x14ac:dyDescent="0.25">
      <c r="A3849" s="2">
        <v>3844</v>
      </c>
      <c r="B3849" s="39">
        <v>926910145</v>
      </c>
      <c r="C3849" s="28" t="str">
        <f>HYPERLINK("https://pld.live/RapDetail.aspx?STONELIST=926910145","DNA")</f>
        <v>DNA</v>
      </c>
      <c r="D3849" s="18" t="s">
        <v>5313</v>
      </c>
      <c r="E3849" s="18" t="s">
        <v>2186</v>
      </c>
      <c r="F3849" s="2" t="s">
        <v>7987</v>
      </c>
      <c r="G3849" s="2" t="s">
        <v>1573</v>
      </c>
      <c r="H3849" s="14">
        <v>1.7</v>
      </c>
      <c r="I3849" s="2" t="s">
        <v>6587</v>
      </c>
      <c r="J3849" s="2" t="s">
        <v>3942</v>
      </c>
      <c r="K3849" s="2" t="s">
        <v>1452</v>
      </c>
      <c r="L3849" s="2" t="s">
        <v>5221</v>
      </c>
      <c r="M3849" s="2" t="s">
        <v>5221</v>
      </c>
      <c r="N3849" s="2" t="s">
        <v>2317</v>
      </c>
      <c r="O3849" s="14">
        <v>10000</v>
      </c>
      <c r="P3849" s="14">
        <v>98.8</v>
      </c>
      <c r="Q3849" s="14">
        <v>120</v>
      </c>
      <c r="R3849" s="14">
        <v>204</v>
      </c>
      <c r="S3849" s="2" t="s">
        <v>6519</v>
      </c>
      <c r="T3849" s="2">
        <v>1.37</v>
      </c>
      <c r="U3849" s="2">
        <v>62.6</v>
      </c>
      <c r="V3849" s="2">
        <v>62</v>
      </c>
      <c r="W3849" s="2" t="s">
        <v>7862</v>
      </c>
      <c r="X3849" s="2" t="s">
        <v>471</v>
      </c>
      <c r="Y3849" s="2">
        <v>17000</v>
      </c>
      <c r="Z3849" s="19" t="str">
        <f>HYPERLINK("https://ssdweb.co/ssdweb/hd/Vision360.html?d=926910145&amp;zoomslide=1&amp;z=1926910145&amp;ISCONFIRM=0","VIDEO")</f>
        <v>VIDEO</v>
      </c>
      <c r="AA3849" s="19" t="str">
        <f>HYPERLINK("https://ssdweb.co/ssdweb/CERTH/664410009.pdf","CERTI")</f>
        <v>CERTI</v>
      </c>
    </row>
    <row r="3850" spans="1:27" ht="15" x14ac:dyDescent="0.25">
      <c r="A3850" s="2">
        <v>3845</v>
      </c>
      <c r="B3850" s="39">
        <v>925850738</v>
      </c>
      <c r="C3850" s="28" t="str">
        <f>HYPERLINK("https://pld.live/RapDetail.aspx?STONELIST=925850738","DNA")</f>
        <v>DNA</v>
      </c>
      <c r="D3850" s="18" t="s">
        <v>711</v>
      </c>
      <c r="E3850" s="18" t="s">
        <v>5128</v>
      </c>
      <c r="F3850" s="2" t="s">
        <v>7987</v>
      </c>
      <c r="G3850" s="2" t="s">
        <v>1573</v>
      </c>
      <c r="H3850" s="14">
        <v>1.61</v>
      </c>
      <c r="I3850" s="2" t="s">
        <v>267</v>
      </c>
      <c r="J3850" s="2" t="s">
        <v>6555</v>
      </c>
      <c r="K3850" s="2" t="s">
        <v>1452</v>
      </c>
      <c r="L3850" s="2" t="s">
        <v>5221</v>
      </c>
      <c r="M3850" s="2" t="s">
        <v>5221</v>
      </c>
      <c r="N3850" s="2" t="s">
        <v>2317</v>
      </c>
      <c r="O3850" s="14">
        <v>13200</v>
      </c>
      <c r="P3850" s="14">
        <v>98.6</v>
      </c>
      <c r="Q3850" s="14">
        <v>184.8</v>
      </c>
      <c r="R3850" s="14">
        <v>297.52999999999997</v>
      </c>
      <c r="S3850" s="2" t="s">
        <v>3107</v>
      </c>
      <c r="T3850" s="2">
        <v>1.39</v>
      </c>
      <c r="U3850" s="2">
        <v>62.5</v>
      </c>
      <c r="V3850" s="2">
        <v>57</v>
      </c>
      <c r="W3850" s="2" t="s">
        <v>7862</v>
      </c>
      <c r="X3850" s="2" t="s">
        <v>471</v>
      </c>
      <c r="Y3850" s="2">
        <v>21252</v>
      </c>
      <c r="Z3850" s="19" t="str">
        <f>HYPERLINK("https://ssdweb.co/ssdweb/hd/Vision360.html?d=925850738&amp;zoomslide=1&amp;z=1925850738&amp;ISCONFIRM=0","VIDEO")</f>
        <v>VIDEO</v>
      </c>
      <c r="AA3850" s="19" t="str">
        <f>HYPERLINK("https://ssdweb.co/ssdweb/CERTH/627471641.pdf","CERTI")</f>
        <v>CERTI</v>
      </c>
    </row>
    <row r="3851" spans="1:27" ht="15" x14ac:dyDescent="0.25">
      <c r="A3851" s="2">
        <v>3846</v>
      </c>
      <c r="B3851" s="39">
        <v>925970797</v>
      </c>
      <c r="C3851" s="28" t="str">
        <f>HYPERLINK("https://pld.live/RapDetail.aspx?STONELIST=925970797","DNA")</f>
        <v>DNA</v>
      </c>
      <c r="D3851" s="18" t="s">
        <v>711</v>
      </c>
      <c r="E3851" s="18" t="s">
        <v>5128</v>
      </c>
      <c r="F3851" s="2" t="s">
        <v>7987</v>
      </c>
      <c r="G3851" s="2" t="s">
        <v>1573</v>
      </c>
      <c r="H3851" s="14">
        <v>1.61</v>
      </c>
      <c r="I3851" s="2" t="s">
        <v>267</v>
      </c>
      <c r="J3851" s="2" t="s">
        <v>3942</v>
      </c>
      <c r="K3851" s="2" t="s">
        <v>1452</v>
      </c>
      <c r="L3851" s="2" t="s">
        <v>5221</v>
      </c>
      <c r="M3851" s="2" t="s">
        <v>5221</v>
      </c>
      <c r="N3851" s="2" t="s">
        <v>2317</v>
      </c>
      <c r="O3851" s="14">
        <v>12500</v>
      </c>
      <c r="P3851" s="14">
        <v>98.88</v>
      </c>
      <c r="Q3851" s="14">
        <v>140</v>
      </c>
      <c r="R3851" s="14">
        <v>225.4</v>
      </c>
      <c r="S3851" s="2" t="s">
        <v>7370</v>
      </c>
      <c r="T3851" s="2">
        <v>1.38</v>
      </c>
      <c r="U3851" s="2">
        <v>62.3</v>
      </c>
      <c r="V3851" s="2">
        <v>60</v>
      </c>
      <c r="W3851" s="2" t="s">
        <v>7862</v>
      </c>
      <c r="X3851" s="2" t="s">
        <v>471</v>
      </c>
      <c r="Y3851" s="2">
        <v>20125</v>
      </c>
      <c r="Z3851" s="19" t="str">
        <f>HYPERLINK("https://ssdweb.co/ssdweb/hd/Vision360.html?d=925970797&amp;zoomslide=1&amp;z=1925970797&amp;ISCONFIRM=0","VIDEO")</f>
        <v>VIDEO</v>
      </c>
      <c r="AA3851" s="19" t="str">
        <f>HYPERLINK("https://ssdweb.co/ssdweb/CERTH/628427101.pdf","CERTI")</f>
        <v>CERTI</v>
      </c>
    </row>
    <row r="3852" spans="1:27" ht="15" x14ac:dyDescent="0.25">
      <c r="A3852" s="2">
        <v>3847</v>
      </c>
      <c r="B3852" s="39">
        <v>926020685</v>
      </c>
      <c r="C3852" s="28" t="str">
        <f>HYPERLINK("https://pld.live/RapDetail.aspx?STONELIST=926020685","DNA")</f>
        <v>DNA</v>
      </c>
      <c r="D3852" s="18" t="s">
        <v>711</v>
      </c>
      <c r="E3852" s="18" t="s">
        <v>5128</v>
      </c>
      <c r="F3852" s="2" t="s">
        <v>7987</v>
      </c>
      <c r="G3852" s="2" t="s">
        <v>1573</v>
      </c>
      <c r="H3852" s="14">
        <v>1.6</v>
      </c>
      <c r="I3852" s="2" t="s">
        <v>267</v>
      </c>
      <c r="J3852" s="2" t="s">
        <v>3942</v>
      </c>
      <c r="K3852" s="2" t="s">
        <v>1452</v>
      </c>
      <c r="L3852" s="2" t="s">
        <v>5221</v>
      </c>
      <c r="M3852" s="2" t="s">
        <v>5221</v>
      </c>
      <c r="N3852" s="2" t="s">
        <v>2317</v>
      </c>
      <c r="O3852" s="14">
        <v>12500</v>
      </c>
      <c r="P3852" s="14">
        <v>98.88</v>
      </c>
      <c r="Q3852" s="14">
        <v>140</v>
      </c>
      <c r="R3852" s="14">
        <v>224</v>
      </c>
      <c r="S3852" s="2" t="s">
        <v>142</v>
      </c>
      <c r="T3852" s="2">
        <v>1.39</v>
      </c>
      <c r="U3852" s="2">
        <v>61.2</v>
      </c>
      <c r="V3852" s="2">
        <v>60</v>
      </c>
      <c r="W3852" s="2" t="s">
        <v>7862</v>
      </c>
      <c r="X3852" s="2" t="s">
        <v>471</v>
      </c>
      <c r="Y3852" s="2">
        <v>20000</v>
      </c>
      <c r="Z3852" s="19" t="str">
        <f>HYPERLINK("https://ssdweb.co/ssdweb/hd/Vision360.html?d=926020685&amp;zoomslide=1&amp;z=1926020685&amp;ISCONFIRM=0","VIDEO")</f>
        <v>VIDEO</v>
      </c>
      <c r="AA3852" s="19" t="str">
        <f>HYPERLINK("https://ssdweb.co/ssdweb/CERTH/629497400.pdf","CERTI")</f>
        <v>CERTI</v>
      </c>
    </row>
    <row r="3853" spans="1:27" ht="15" x14ac:dyDescent="0.25">
      <c r="A3853" s="2">
        <v>3848</v>
      </c>
      <c r="B3853" s="39">
        <v>926020672</v>
      </c>
      <c r="C3853" s="28" t="str">
        <f>HYPERLINK("https://pld.live/RapDetail.aspx?STONELIST=926020672","DNA")</f>
        <v>DNA</v>
      </c>
      <c r="D3853" s="18" t="s">
        <v>711</v>
      </c>
      <c r="E3853" s="18" t="s">
        <v>5128</v>
      </c>
      <c r="F3853" s="2" t="s">
        <v>7987</v>
      </c>
      <c r="G3853" s="2" t="s">
        <v>1573</v>
      </c>
      <c r="H3853" s="14">
        <v>1.6</v>
      </c>
      <c r="I3853" s="2" t="s">
        <v>267</v>
      </c>
      <c r="J3853" s="2" t="s">
        <v>3942</v>
      </c>
      <c r="K3853" s="2" t="s">
        <v>1452</v>
      </c>
      <c r="L3853" s="2" t="s">
        <v>5221</v>
      </c>
      <c r="M3853" s="2" t="s">
        <v>5221</v>
      </c>
      <c r="N3853" s="2" t="s">
        <v>2317</v>
      </c>
      <c r="O3853" s="14">
        <v>12500</v>
      </c>
      <c r="P3853" s="14">
        <v>98.88</v>
      </c>
      <c r="Q3853" s="14">
        <v>140</v>
      </c>
      <c r="R3853" s="14">
        <v>224</v>
      </c>
      <c r="S3853" s="2" t="s">
        <v>5955</v>
      </c>
      <c r="T3853" s="2">
        <v>1.36</v>
      </c>
      <c r="U3853" s="2">
        <v>62.4</v>
      </c>
      <c r="V3853" s="2">
        <v>61</v>
      </c>
      <c r="W3853" s="2" t="s">
        <v>7862</v>
      </c>
      <c r="X3853" s="2" t="s">
        <v>471</v>
      </c>
      <c r="Y3853" s="2">
        <v>20000</v>
      </c>
      <c r="Z3853" s="19" t="str">
        <f>HYPERLINK("https://ssdweb.co/ssdweb/hd/Vision360.html?d=926020672&amp;zoomslide=1&amp;z=1926020672&amp;ISCONFIRM=0","VIDEO")</f>
        <v>VIDEO</v>
      </c>
      <c r="AA3853" s="19" t="str">
        <f>HYPERLINK("https://ssdweb.co/ssdweb/CERTH/629497501.pdf","CERTI")</f>
        <v>CERTI</v>
      </c>
    </row>
    <row r="3854" spans="1:27" ht="15" x14ac:dyDescent="0.25">
      <c r="A3854" s="2">
        <v>3849</v>
      </c>
      <c r="B3854" s="39">
        <v>926200300</v>
      </c>
      <c r="C3854" s="28" t="str">
        <f>HYPERLINK("https://pld.live/RapDetail.aspx?STONELIST=926200300","DNA")</f>
        <v>DNA</v>
      </c>
      <c r="D3854" s="18" t="s">
        <v>711</v>
      </c>
      <c r="E3854" s="18" t="s">
        <v>5128</v>
      </c>
      <c r="F3854" s="2" t="s">
        <v>7987</v>
      </c>
      <c r="G3854" s="2" t="s">
        <v>1573</v>
      </c>
      <c r="H3854" s="14">
        <v>1.6</v>
      </c>
      <c r="I3854" s="2" t="s">
        <v>267</v>
      </c>
      <c r="J3854" s="2" t="s">
        <v>5144</v>
      </c>
      <c r="K3854" s="2" t="s">
        <v>1452</v>
      </c>
      <c r="L3854" s="2" t="s">
        <v>5221</v>
      </c>
      <c r="M3854" s="2" t="s">
        <v>5221</v>
      </c>
      <c r="N3854" s="2" t="s">
        <v>2317</v>
      </c>
      <c r="O3854" s="14">
        <v>9900</v>
      </c>
      <c r="P3854" s="14">
        <v>98.74</v>
      </c>
      <c r="Q3854" s="14">
        <v>124.74</v>
      </c>
      <c r="R3854" s="14">
        <v>199.58</v>
      </c>
      <c r="S3854" s="2" t="s">
        <v>5446</v>
      </c>
      <c r="T3854" s="2">
        <v>1.36</v>
      </c>
      <c r="U3854" s="2">
        <v>62.9</v>
      </c>
      <c r="V3854" s="2">
        <v>60</v>
      </c>
      <c r="W3854" s="2" t="s">
        <v>7862</v>
      </c>
      <c r="X3854" s="2" t="s">
        <v>471</v>
      </c>
      <c r="Y3854" s="2">
        <v>15840</v>
      </c>
      <c r="Z3854" s="19" t="str">
        <f>HYPERLINK("https://ssdweb.co/ssdweb/hd/Vision360.html?d=926200300&amp;zoomslide=1&amp;z=1926200300&amp;ISCONFIRM=0","VIDEO")</f>
        <v>VIDEO</v>
      </c>
      <c r="AA3854" s="19" t="str">
        <f>HYPERLINK("https://ssdweb.co/ssdweb/CERTH/634472376.pdf","CERTI")</f>
        <v>CERTI</v>
      </c>
    </row>
    <row r="3855" spans="1:27" ht="15" x14ac:dyDescent="0.25">
      <c r="A3855" s="2">
        <v>3850</v>
      </c>
      <c r="B3855" s="39">
        <v>831020677</v>
      </c>
      <c r="C3855" s="28" t="str">
        <f>HYPERLINK("https://pld.live/RapDetail.aspx?STONELIST=831020677","DNA")</f>
        <v>DNA</v>
      </c>
      <c r="D3855" s="18" t="s">
        <v>711</v>
      </c>
      <c r="E3855" s="18" t="s">
        <v>2186</v>
      </c>
      <c r="F3855" s="2" t="s">
        <v>7987</v>
      </c>
      <c r="G3855" s="2" t="s">
        <v>1573</v>
      </c>
      <c r="H3855" s="14">
        <v>1.6</v>
      </c>
      <c r="I3855" s="2" t="s">
        <v>4699</v>
      </c>
      <c r="J3855" s="2" t="s">
        <v>13</v>
      </c>
      <c r="K3855" s="2" t="s">
        <v>1452</v>
      </c>
      <c r="L3855" s="2" t="s">
        <v>5221</v>
      </c>
      <c r="M3855" s="2" t="s">
        <v>5221</v>
      </c>
      <c r="N3855" s="2" t="s">
        <v>2317</v>
      </c>
      <c r="O3855" s="14">
        <v>10200</v>
      </c>
      <c r="P3855" s="14">
        <v>98.84</v>
      </c>
      <c r="Q3855" s="14">
        <v>118.32</v>
      </c>
      <c r="R3855" s="14">
        <v>189.31</v>
      </c>
      <c r="S3855" s="2" t="s">
        <v>962</v>
      </c>
      <c r="T3855" s="2">
        <v>1.39</v>
      </c>
      <c r="U3855" s="2">
        <v>62</v>
      </c>
      <c r="V3855" s="2">
        <v>61</v>
      </c>
      <c r="W3855" s="2" t="s">
        <v>8016</v>
      </c>
      <c r="X3855" s="2" t="s">
        <v>471</v>
      </c>
      <c r="Y3855" s="2">
        <v>16320</v>
      </c>
      <c r="Z3855" s="19" t="str">
        <f>HYPERLINK("https://ssdweb.co/ssdweb/hd/Vision360.html?d=831020677&amp;zoomslide=1&amp;z=1831020677&amp;ISCONFIRM=0","VIDEO")</f>
        <v>VIDEO</v>
      </c>
      <c r="AA3855" s="19" t="str">
        <f>HYPERLINK("https://ssdweb.co/ssdweb/CERTH/583308775.pdf","CERTI")</f>
        <v>CERTI</v>
      </c>
    </row>
    <row r="3856" spans="1:27" ht="15" x14ac:dyDescent="0.25">
      <c r="A3856" s="2">
        <v>3851</v>
      </c>
      <c r="B3856" s="39">
        <v>926200154</v>
      </c>
      <c r="C3856" s="28" t="str">
        <f>HYPERLINK("https://pld.live/RapDetail.aspx?STONELIST=926200154","DNA")</f>
        <v>DNA</v>
      </c>
      <c r="D3856" s="18" t="s">
        <v>711</v>
      </c>
      <c r="E3856" s="18" t="s">
        <v>5128</v>
      </c>
      <c r="F3856" s="2" t="s">
        <v>7987</v>
      </c>
      <c r="G3856" s="2" t="s">
        <v>1573</v>
      </c>
      <c r="H3856" s="14">
        <v>1.59</v>
      </c>
      <c r="I3856" s="2" t="s">
        <v>267</v>
      </c>
      <c r="J3856" s="2" t="s">
        <v>5144</v>
      </c>
      <c r="K3856" s="2" t="s">
        <v>1452</v>
      </c>
      <c r="L3856" s="2" t="s">
        <v>5221</v>
      </c>
      <c r="M3856" s="2" t="s">
        <v>5221</v>
      </c>
      <c r="N3856" s="2" t="s">
        <v>2317</v>
      </c>
      <c r="O3856" s="14">
        <v>9900</v>
      </c>
      <c r="P3856" s="14">
        <v>98.74</v>
      </c>
      <c r="Q3856" s="14">
        <v>124.74</v>
      </c>
      <c r="R3856" s="14">
        <v>198.34</v>
      </c>
      <c r="S3856" s="2" t="s">
        <v>334</v>
      </c>
      <c r="T3856" s="2">
        <v>1.36</v>
      </c>
      <c r="U3856" s="2">
        <v>62.3</v>
      </c>
      <c r="V3856" s="2">
        <v>61</v>
      </c>
      <c r="W3856" s="2" t="s">
        <v>7862</v>
      </c>
      <c r="X3856" s="2" t="s">
        <v>471</v>
      </c>
      <c r="Y3856" s="2">
        <v>15741</v>
      </c>
      <c r="Z3856" s="19" t="str">
        <f>HYPERLINK("https://ssdweb.co/ssdweb/hd/Vision360.html?d=926200154&amp;zoomslide=1&amp;z=1926200154&amp;ISCONFIRM=0","VIDEO")</f>
        <v>VIDEO</v>
      </c>
      <c r="AA3856" s="19" t="str">
        <f>HYPERLINK("https://ssdweb.co/ssdweb/CERTH/634472306.pdf","CERTI")</f>
        <v>CERTI</v>
      </c>
    </row>
    <row r="3857" spans="1:27" ht="15" x14ac:dyDescent="0.25">
      <c r="A3857" s="2">
        <v>3852</v>
      </c>
      <c r="B3857" s="39">
        <v>926171097</v>
      </c>
      <c r="C3857" s="28" t="str">
        <f>HYPERLINK("https://pld.live/RapDetail.aspx?STONELIST=926171097","DNA")</f>
        <v>DNA</v>
      </c>
      <c r="D3857" s="18" t="s">
        <v>711</v>
      </c>
      <c r="E3857" s="18" t="s">
        <v>5128</v>
      </c>
      <c r="F3857" s="2" t="s">
        <v>7987</v>
      </c>
      <c r="G3857" s="2" t="s">
        <v>1573</v>
      </c>
      <c r="H3857" s="14">
        <v>1.59</v>
      </c>
      <c r="I3857" s="2" t="s">
        <v>4761</v>
      </c>
      <c r="J3857" s="2" t="s">
        <v>13</v>
      </c>
      <c r="K3857" s="2" t="s">
        <v>1452</v>
      </c>
      <c r="L3857" s="2" t="s">
        <v>5221</v>
      </c>
      <c r="M3857" s="2" t="s">
        <v>5221</v>
      </c>
      <c r="N3857" s="2" t="s">
        <v>2317</v>
      </c>
      <c r="O3857" s="14">
        <v>10800</v>
      </c>
      <c r="P3857" s="14">
        <v>98.86</v>
      </c>
      <c r="Q3857" s="14">
        <v>123.12</v>
      </c>
      <c r="R3857" s="14">
        <v>195.76</v>
      </c>
      <c r="S3857" s="2" t="s">
        <v>3993</v>
      </c>
      <c r="T3857" s="2">
        <v>1.36</v>
      </c>
      <c r="U3857" s="2">
        <v>63.1</v>
      </c>
      <c r="V3857" s="2">
        <v>60</v>
      </c>
      <c r="W3857" s="2" t="s">
        <v>4336</v>
      </c>
      <c r="X3857" s="2" t="s">
        <v>471</v>
      </c>
      <c r="Y3857" s="2">
        <v>17172</v>
      </c>
      <c r="Z3857" s="19" t="str">
        <f>HYPERLINK("https://ssdweb.co/ssdweb/hd/Vision360.html?d=926171097&amp;zoomslide=1&amp;z=1926171097&amp;ISCONFIRM=0","VIDEO")</f>
        <v>VIDEO</v>
      </c>
      <c r="AA3857" s="19" t="str">
        <f>HYPERLINK("https://ssdweb.co/ssdweb/CERTH/634472330.pdf","CERTI")</f>
        <v>CERTI</v>
      </c>
    </row>
    <row r="3858" spans="1:27" ht="15" x14ac:dyDescent="0.25">
      <c r="A3858" s="2">
        <v>3853</v>
      </c>
      <c r="B3858" s="39">
        <v>926071721</v>
      </c>
      <c r="C3858" s="28" t="str">
        <f>HYPERLINK("https://pld.live/RapDetail.aspx?STONELIST=926071721","DNA")</f>
        <v>DNA</v>
      </c>
      <c r="D3858" s="18" t="s">
        <v>711</v>
      </c>
      <c r="E3858" s="18" t="s">
        <v>5128</v>
      </c>
      <c r="F3858" s="2" t="s">
        <v>7987</v>
      </c>
      <c r="G3858" s="2" t="s">
        <v>1573</v>
      </c>
      <c r="H3858" s="14">
        <v>1.59</v>
      </c>
      <c r="I3858" s="2" t="s">
        <v>4699</v>
      </c>
      <c r="J3858" s="2" t="s">
        <v>6555</v>
      </c>
      <c r="K3858" s="2" t="s">
        <v>1452</v>
      </c>
      <c r="L3858" s="2" t="s">
        <v>5221</v>
      </c>
      <c r="M3858" s="2" t="s">
        <v>5221</v>
      </c>
      <c r="N3858" s="2" t="s">
        <v>2317</v>
      </c>
      <c r="O3858" s="14">
        <v>11500</v>
      </c>
      <c r="P3858" s="14">
        <v>98.7</v>
      </c>
      <c r="Q3858" s="14">
        <v>149.5</v>
      </c>
      <c r="R3858" s="14">
        <v>237.71</v>
      </c>
      <c r="S3858" s="2" t="s">
        <v>944</v>
      </c>
      <c r="T3858" s="2">
        <v>1.39</v>
      </c>
      <c r="U3858" s="2">
        <v>60.8</v>
      </c>
      <c r="V3858" s="2">
        <v>63</v>
      </c>
      <c r="W3858" s="2" t="s">
        <v>7862</v>
      </c>
      <c r="X3858" s="2" t="s">
        <v>471</v>
      </c>
      <c r="Y3858" s="2">
        <v>18285</v>
      </c>
      <c r="Z3858" s="19" t="str">
        <f>HYPERLINK("https://ssdweb.co/ssdweb/hd/Vision360.html?d=926071721&amp;zoomslide=1&amp;z=1926071721&amp;ISCONFIRM=0","VIDEO")</f>
        <v>VIDEO</v>
      </c>
      <c r="AA3858" s="19" t="str">
        <f>HYPERLINK("https://ssdweb.co/ssdweb/CERTH/631464100.pdf","CERTI")</f>
        <v>CERTI</v>
      </c>
    </row>
    <row r="3859" spans="1:27" ht="15" x14ac:dyDescent="0.25">
      <c r="A3859" s="2">
        <v>3854</v>
      </c>
      <c r="B3859" s="39">
        <v>926171069</v>
      </c>
      <c r="C3859" s="28" t="str">
        <f>HYPERLINK("https://pld.live/RapDetail.aspx?STONELIST=926171069","DNA")</f>
        <v>DNA</v>
      </c>
      <c r="D3859" s="18" t="s">
        <v>711</v>
      </c>
      <c r="E3859" s="18" t="s">
        <v>5128</v>
      </c>
      <c r="F3859" s="2" t="s">
        <v>7987</v>
      </c>
      <c r="G3859" s="2" t="s">
        <v>1573</v>
      </c>
      <c r="H3859" s="14">
        <v>1.58</v>
      </c>
      <c r="I3859" s="2" t="s">
        <v>6587</v>
      </c>
      <c r="J3859" s="2" t="s">
        <v>13</v>
      </c>
      <c r="K3859" s="2" t="s">
        <v>1452</v>
      </c>
      <c r="L3859" s="2" t="s">
        <v>5221</v>
      </c>
      <c r="M3859" s="2" t="s">
        <v>5221</v>
      </c>
      <c r="N3859" s="2" t="s">
        <v>2317</v>
      </c>
      <c r="O3859" s="14">
        <v>9300</v>
      </c>
      <c r="P3859" s="14">
        <v>98.84</v>
      </c>
      <c r="Q3859" s="14">
        <v>107.88</v>
      </c>
      <c r="R3859" s="14">
        <v>170.45</v>
      </c>
      <c r="S3859" s="2" t="s">
        <v>2445</v>
      </c>
      <c r="T3859" s="2">
        <v>1.36</v>
      </c>
      <c r="U3859" s="2">
        <v>62.8</v>
      </c>
      <c r="V3859" s="2">
        <v>60</v>
      </c>
      <c r="W3859" s="2" t="s">
        <v>4336</v>
      </c>
      <c r="X3859" s="2" t="s">
        <v>471</v>
      </c>
      <c r="Y3859" s="2">
        <v>14694</v>
      </c>
      <c r="Z3859" s="19" t="str">
        <f>HYPERLINK("https://ssdweb.co/ssdweb/hd/Vision360.html?d=926171069&amp;zoomslide=1&amp;z=1926171069&amp;ISCONFIRM=0","VIDEO")</f>
        <v>VIDEO</v>
      </c>
      <c r="AA3859" s="19" t="str">
        <f>HYPERLINK("https://ssdweb.co/ssdweb/CERTH/633431967.pdf","CERTI")</f>
        <v>CERTI</v>
      </c>
    </row>
    <row r="3860" spans="1:27" ht="15" x14ac:dyDescent="0.25">
      <c r="A3860" s="2">
        <v>3855</v>
      </c>
      <c r="B3860" s="39">
        <v>925851007</v>
      </c>
      <c r="C3860" s="28" t="str">
        <f>HYPERLINK("https://pld.live/RapDetail.aspx?STONELIST=925851007","DNA")</f>
        <v>DNA</v>
      </c>
      <c r="D3860" s="18" t="s">
        <v>711</v>
      </c>
      <c r="E3860" s="18" t="s">
        <v>5128</v>
      </c>
      <c r="F3860" s="2" t="s">
        <v>7987</v>
      </c>
      <c r="G3860" s="2" t="s">
        <v>1573</v>
      </c>
      <c r="H3860" s="14">
        <v>1.57</v>
      </c>
      <c r="I3860" s="2" t="s">
        <v>267</v>
      </c>
      <c r="J3860" s="2" t="s">
        <v>6555</v>
      </c>
      <c r="K3860" s="2" t="s">
        <v>1452</v>
      </c>
      <c r="L3860" s="2" t="s">
        <v>5221</v>
      </c>
      <c r="M3860" s="2" t="s">
        <v>5221</v>
      </c>
      <c r="N3860" s="2" t="s">
        <v>2317</v>
      </c>
      <c r="O3860" s="14">
        <v>13200</v>
      </c>
      <c r="P3860" s="14">
        <v>98.6</v>
      </c>
      <c r="Q3860" s="14">
        <v>184.8</v>
      </c>
      <c r="R3860" s="14">
        <v>290.14</v>
      </c>
      <c r="S3860" s="2" t="s">
        <v>3831</v>
      </c>
      <c r="T3860" s="2">
        <v>1.39</v>
      </c>
      <c r="U3860" s="2">
        <v>61.6</v>
      </c>
      <c r="V3860" s="2">
        <v>59</v>
      </c>
      <c r="W3860" s="2" t="s">
        <v>7862</v>
      </c>
      <c r="X3860" s="2" t="s">
        <v>471</v>
      </c>
      <c r="Y3860" s="2">
        <v>20724</v>
      </c>
      <c r="Z3860" s="19" t="str">
        <f>HYPERLINK("https://ssdweb.co/ssdweb/hd/Vision360.html?d=925851007&amp;zoomslide=1&amp;z=1925851007&amp;ISCONFIRM=0","VIDEO")</f>
        <v>VIDEO</v>
      </c>
      <c r="AA3860" s="19" t="str">
        <f>HYPERLINK("https://ssdweb.co/ssdweb/CERTH/627497042.pdf","CERTI")</f>
        <v>CERTI</v>
      </c>
    </row>
    <row r="3861" spans="1:27" ht="15" x14ac:dyDescent="0.25">
      <c r="A3861" s="2">
        <v>3856</v>
      </c>
      <c r="B3861" s="39">
        <v>925971206</v>
      </c>
      <c r="C3861" s="28" t="str">
        <f>HYPERLINK("https://pld.live/RapDetail.aspx?STONELIST=925971206","DNA")</f>
        <v>DNA</v>
      </c>
      <c r="D3861" s="18" t="s">
        <v>711</v>
      </c>
      <c r="E3861" s="18" t="s">
        <v>5128</v>
      </c>
      <c r="F3861" s="2" t="s">
        <v>7987</v>
      </c>
      <c r="G3861" s="2" t="s">
        <v>1573</v>
      </c>
      <c r="H3861" s="14">
        <v>1.57</v>
      </c>
      <c r="I3861" s="2" t="s">
        <v>267</v>
      </c>
      <c r="J3861" s="2" t="s">
        <v>6555</v>
      </c>
      <c r="K3861" s="2" t="s">
        <v>1452</v>
      </c>
      <c r="L3861" s="2" t="s">
        <v>5221</v>
      </c>
      <c r="M3861" s="2" t="s">
        <v>5221</v>
      </c>
      <c r="N3861" s="2" t="s">
        <v>2317</v>
      </c>
      <c r="O3861" s="14">
        <v>13200</v>
      </c>
      <c r="P3861" s="14">
        <v>98.6</v>
      </c>
      <c r="Q3861" s="14">
        <v>184.8</v>
      </c>
      <c r="R3861" s="14">
        <v>290.14</v>
      </c>
      <c r="S3861" s="2" t="s">
        <v>1977</v>
      </c>
      <c r="T3861" s="2">
        <v>1.38</v>
      </c>
      <c r="U3861" s="2">
        <v>62.2</v>
      </c>
      <c r="V3861" s="2">
        <v>61</v>
      </c>
      <c r="W3861" s="2" t="s">
        <v>7862</v>
      </c>
      <c r="X3861" s="2" t="s">
        <v>471</v>
      </c>
      <c r="Y3861" s="2">
        <v>20724</v>
      </c>
      <c r="Z3861" s="19" t="str">
        <f>HYPERLINK("https://ssdweb.co/ssdweb/hd/Vision360.html?d=925971206&amp;zoomslide=1&amp;z=1925971206&amp;ISCONFIRM=0","VIDEO")</f>
        <v>VIDEO</v>
      </c>
      <c r="AA3861" s="19" t="str">
        <f>HYPERLINK("https://ssdweb.co/ssdweb/CERTH/629479118.pdf","CERTI")</f>
        <v>CERTI</v>
      </c>
    </row>
    <row r="3862" spans="1:27" ht="15" x14ac:dyDescent="0.25">
      <c r="A3862" s="2">
        <v>3857</v>
      </c>
      <c r="B3862" s="39">
        <v>926041297</v>
      </c>
      <c r="C3862" s="28" t="str">
        <f>HYPERLINK("https://pld.live/RapDetail.aspx?STONELIST=926041297","DNA")</f>
        <v>DNA</v>
      </c>
      <c r="D3862" s="18" t="s">
        <v>711</v>
      </c>
      <c r="E3862" s="18" t="s">
        <v>5128</v>
      </c>
      <c r="F3862" s="2" t="s">
        <v>7987</v>
      </c>
      <c r="G3862" s="2" t="s">
        <v>1573</v>
      </c>
      <c r="H3862" s="14">
        <v>1.57</v>
      </c>
      <c r="I3862" s="2" t="s">
        <v>4761</v>
      </c>
      <c r="J3862" s="2" t="s">
        <v>6555</v>
      </c>
      <c r="K3862" s="2" t="s">
        <v>1452</v>
      </c>
      <c r="L3862" s="2" t="s">
        <v>5221</v>
      </c>
      <c r="M3862" s="2" t="s">
        <v>5221</v>
      </c>
      <c r="N3862" s="2" t="s">
        <v>2317</v>
      </c>
      <c r="O3862" s="14">
        <v>12400</v>
      </c>
      <c r="P3862" s="14">
        <v>98.75</v>
      </c>
      <c r="Q3862" s="14">
        <v>155</v>
      </c>
      <c r="R3862" s="14">
        <v>243.35</v>
      </c>
      <c r="S3862" s="2" t="s">
        <v>3013</v>
      </c>
      <c r="T3862" s="2">
        <v>1.38</v>
      </c>
      <c r="U3862" s="2">
        <v>62.2</v>
      </c>
      <c r="V3862" s="2">
        <v>61</v>
      </c>
      <c r="W3862" s="2" t="s">
        <v>7862</v>
      </c>
      <c r="X3862" s="2" t="s">
        <v>471</v>
      </c>
      <c r="Y3862" s="2">
        <v>19468</v>
      </c>
      <c r="Z3862" s="19" t="str">
        <f>HYPERLINK("https://ssdweb.co/ssdweb/hd/Vision360.html?d=926041297&amp;zoomslide=1&amp;z=1926041297&amp;ISCONFIRM=0","VIDEO")</f>
        <v>VIDEO</v>
      </c>
      <c r="AA3862" s="19" t="str">
        <f>HYPERLINK("https://ssdweb.co/ssdweb/CERTH/631464194.pdf","CERTI")</f>
        <v>CERTI</v>
      </c>
    </row>
    <row r="3863" spans="1:27" ht="15" x14ac:dyDescent="0.25">
      <c r="A3863" s="2">
        <v>3858</v>
      </c>
      <c r="B3863" s="39">
        <v>925370285</v>
      </c>
      <c r="C3863" s="28" t="str">
        <f>HYPERLINK("https://pld.live/RapDetail.aspx?STONELIST=925370285","DNA")</f>
        <v>DNA</v>
      </c>
      <c r="D3863" s="18" t="s">
        <v>711</v>
      </c>
      <c r="E3863" s="18" t="s">
        <v>5128</v>
      </c>
      <c r="F3863" s="2" t="s">
        <v>7987</v>
      </c>
      <c r="G3863" s="2" t="s">
        <v>1573</v>
      </c>
      <c r="H3863" s="14">
        <v>1.56</v>
      </c>
      <c r="I3863" s="2" t="s">
        <v>267</v>
      </c>
      <c r="J3863" s="2" t="s">
        <v>6555</v>
      </c>
      <c r="K3863" s="2" t="s">
        <v>1452</v>
      </c>
      <c r="L3863" s="2" t="s">
        <v>5221</v>
      </c>
      <c r="M3863" s="2" t="s">
        <v>5221</v>
      </c>
      <c r="N3863" s="2" t="s">
        <v>2317</v>
      </c>
      <c r="O3863" s="14">
        <v>13200</v>
      </c>
      <c r="P3863" s="14">
        <v>98.6</v>
      </c>
      <c r="Q3863" s="14">
        <v>184.8</v>
      </c>
      <c r="R3863" s="14">
        <v>288.29000000000002</v>
      </c>
      <c r="S3863" s="2" t="s">
        <v>6584</v>
      </c>
      <c r="T3863" s="2">
        <v>1.38</v>
      </c>
      <c r="U3863" s="2">
        <v>61.3</v>
      </c>
      <c r="V3863" s="2">
        <v>61</v>
      </c>
      <c r="W3863" s="2" t="s">
        <v>7862</v>
      </c>
      <c r="X3863" s="2" t="s">
        <v>471</v>
      </c>
      <c r="Y3863" s="2">
        <v>20592</v>
      </c>
      <c r="Z3863" s="19" t="str">
        <f>HYPERLINK("https://ssdweb.co/ssdweb/hd/Vision360.html?d=925370285&amp;zoomslide=1&amp;z=1925370285&amp;ISCONFIRM=0","VIDEO")</f>
        <v>VIDEO</v>
      </c>
      <c r="AA3863" s="19" t="str">
        <f>HYPERLINK("https://ssdweb.co/ssdweb/CERTH/616491782.pdf","CERTI")</f>
        <v>CERTI</v>
      </c>
    </row>
    <row r="3864" spans="1:27" ht="15" x14ac:dyDescent="0.25">
      <c r="A3864" s="2">
        <v>3859</v>
      </c>
      <c r="B3864" s="39">
        <v>925502144</v>
      </c>
      <c r="C3864" s="28" t="str">
        <f>HYPERLINK("https://pld.live/RapDetail.aspx?STONELIST=925502144","DNA")</f>
        <v>DNA</v>
      </c>
      <c r="D3864" s="18" t="s">
        <v>711</v>
      </c>
      <c r="E3864" s="18" t="s">
        <v>5128</v>
      </c>
      <c r="F3864" s="2" t="s">
        <v>7987</v>
      </c>
      <c r="G3864" s="2" t="s">
        <v>1573</v>
      </c>
      <c r="H3864" s="14">
        <v>1.56</v>
      </c>
      <c r="I3864" s="2" t="s">
        <v>267</v>
      </c>
      <c r="J3864" s="2" t="s">
        <v>6555</v>
      </c>
      <c r="K3864" s="2" t="s">
        <v>1452</v>
      </c>
      <c r="L3864" s="2" t="s">
        <v>5221</v>
      </c>
      <c r="M3864" s="2" t="s">
        <v>5221</v>
      </c>
      <c r="N3864" s="2" t="s">
        <v>2317</v>
      </c>
      <c r="O3864" s="14">
        <v>13200</v>
      </c>
      <c r="P3864" s="14">
        <v>98.6</v>
      </c>
      <c r="Q3864" s="14">
        <v>184.8</v>
      </c>
      <c r="R3864" s="14">
        <v>288.29000000000002</v>
      </c>
      <c r="S3864" s="2" t="s">
        <v>1816</v>
      </c>
      <c r="T3864" s="2">
        <v>1.4</v>
      </c>
      <c r="U3864" s="2">
        <v>60.6</v>
      </c>
      <c r="V3864" s="2">
        <v>60</v>
      </c>
      <c r="W3864" s="2" t="s">
        <v>7862</v>
      </c>
      <c r="X3864" s="2" t="s">
        <v>471</v>
      </c>
      <c r="Y3864" s="2">
        <v>20592</v>
      </c>
      <c r="Z3864" s="19" t="str">
        <f>HYPERLINK("https://ssdweb.co/ssdweb/hd/Vision360.html?d=925502144&amp;zoomslide=1&amp;z=1925502144&amp;ISCONFIRM=0","VIDEO")</f>
        <v>VIDEO</v>
      </c>
      <c r="AA3864" s="19" t="str">
        <f>HYPERLINK("https://ssdweb.co/ssdweb/CERTH/617413024.pdf","CERTI")</f>
        <v>CERTI</v>
      </c>
    </row>
    <row r="3865" spans="1:27" ht="15" x14ac:dyDescent="0.25">
      <c r="A3865" s="2">
        <v>3860</v>
      </c>
      <c r="B3865" s="39">
        <v>926041044</v>
      </c>
      <c r="C3865" s="28" t="str">
        <f>HYPERLINK("https://pld.live/RapDetail.aspx?STONELIST=926041044","DNA")</f>
        <v>DNA</v>
      </c>
      <c r="D3865" s="18" t="s">
        <v>711</v>
      </c>
      <c r="E3865" s="18" t="s">
        <v>5128</v>
      </c>
      <c r="F3865" s="2" t="s">
        <v>7987</v>
      </c>
      <c r="G3865" s="2" t="s">
        <v>1573</v>
      </c>
      <c r="H3865" s="14">
        <v>1.56</v>
      </c>
      <c r="I3865" s="2" t="s">
        <v>267</v>
      </c>
      <c r="J3865" s="2" t="s">
        <v>6555</v>
      </c>
      <c r="K3865" s="2" t="s">
        <v>1452</v>
      </c>
      <c r="L3865" s="2" t="s">
        <v>5221</v>
      </c>
      <c r="M3865" s="2" t="s">
        <v>5221</v>
      </c>
      <c r="N3865" s="2" t="s">
        <v>2317</v>
      </c>
      <c r="O3865" s="14">
        <v>13200</v>
      </c>
      <c r="P3865" s="14">
        <v>98.6</v>
      </c>
      <c r="Q3865" s="14">
        <v>184.8</v>
      </c>
      <c r="R3865" s="14">
        <v>288.29000000000002</v>
      </c>
      <c r="S3865" s="2" t="s">
        <v>7214</v>
      </c>
      <c r="T3865" s="2">
        <v>1.36</v>
      </c>
      <c r="U3865" s="2">
        <v>61.7</v>
      </c>
      <c r="V3865" s="2">
        <v>60</v>
      </c>
      <c r="W3865" s="2" t="s">
        <v>7862</v>
      </c>
      <c r="X3865" s="2" t="s">
        <v>471</v>
      </c>
      <c r="Y3865" s="2">
        <v>20592</v>
      </c>
      <c r="Z3865" s="19" t="str">
        <f>HYPERLINK("https://ssdweb.co/ssdweb/hd/Vision360.html?d=926041044&amp;zoomslide=1&amp;z=1926041044&amp;ISCONFIRM=0","VIDEO")</f>
        <v>VIDEO</v>
      </c>
      <c r="AA3865" s="19" t="str">
        <f>HYPERLINK("https://ssdweb.co/ssdweb/CERTH/630447808.pdf","CERTI")</f>
        <v>CERTI</v>
      </c>
    </row>
    <row r="3866" spans="1:27" ht="15" x14ac:dyDescent="0.25">
      <c r="A3866" s="2">
        <v>3861</v>
      </c>
      <c r="B3866" s="39">
        <v>925801938</v>
      </c>
      <c r="C3866" s="28" t="str">
        <f>HYPERLINK("https://pld.live/RapDetail.aspx?STONELIST=925801938","DNA")</f>
        <v>DNA</v>
      </c>
      <c r="D3866" s="18" t="s">
        <v>711</v>
      </c>
      <c r="E3866" s="18" t="s">
        <v>5128</v>
      </c>
      <c r="F3866" s="2" t="s">
        <v>7987</v>
      </c>
      <c r="G3866" s="2" t="s">
        <v>1573</v>
      </c>
      <c r="H3866" s="14">
        <v>1.56</v>
      </c>
      <c r="I3866" s="2" t="s">
        <v>267</v>
      </c>
      <c r="J3866" s="2" t="s">
        <v>5144</v>
      </c>
      <c r="K3866" s="2" t="s">
        <v>1452</v>
      </c>
      <c r="L3866" s="2" t="s">
        <v>5221</v>
      </c>
      <c r="M3866" s="2" t="s">
        <v>5221</v>
      </c>
      <c r="N3866" s="2" t="s">
        <v>2317</v>
      </c>
      <c r="O3866" s="14">
        <v>9900</v>
      </c>
      <c r="P3866" s="14">
        <v>98.74</v>
      </c>
      <c r="Q3866" s="14">
        <v>124.74</v>
      </c>
      <c r="R3866" s="14">
        <v>194.59</v>
      </c>
      <c r="S3866" s="2" t="s">
        <v>7049</v>
      </c>
      <c r="T3866" s="2">
        <v>1.37</v>
      </c>
      <c r="U3866" s="2">
        <v>62.7</v>
      </c>
      <c r="V3866" s="2">
        <v>59</v>
      </c>
      <c r="W3866" s="2" t="s">
        <v>7862</v>
      </c>
      <c r="X3866" s="2" t="s">
        <v>471</v>
      </c>
      <c r="Y3866" s="2">
        <v>15444</v>
      </c>
      <c r="Z3866" s="19" t="str">
        <f>HYPERLINK("https://ssdweb.co/ssdweb/hd/Vision360.html?d=925801938&amp;zoomslide=1&amp;z=1925801938&amp;ISCONFIRM=0","VIDEO")</f>
        <v>VIDEO</v>
      </c>
      <c r="AA3866" s="19" t="str">
        <f>HYPERLINK("https://ssdweb.co/ssdweb/CERTH/627471583.pdf","CERTI")</f>
        <v>CERTI</v>
      </c>
    </row>
    <row r="3867" spans="1:27" ht="15" x14ac:dyDescent="0.25">
      <c r="A3867" s="2">
        <v>3862</v>
      </c>
      <c r="B3867" s="39">
        <v>925540635</v>
      </c>
      <c r="C3867" s="28" t="str">
        <f>HYPERLINK("https://pld.live/RapDetail.aspx?STONELIST=925540635","DNA")</f>
        <v>DNA</v>
      </c>
      <c r="D3867" s="18" t="s">
        <v>711</v>
      </c>
      <c r="E3867" s="18" t="s">
        <v>5128</v>
      </c>
      <c r="F3867" s="2" t="s">
        <v>7987</v>
      </c>
      <c r="G3867" s="2" t="s">
        <v>1573</v>
      </c>
      <c r="H3867" s="14">
        <v>1.55</v>
      </c>
      <c r="I3867" s="2" t="s">
        <v>267</v>
      </c>
      <c r="J3867" s="2" t="s">
        <v>7032</v>
      </c>
      <c r="K3867" s="2" t="s">
        <v>1452</v>
      </c>
      <c r="L3867" s="2" t="s">
        <v>5221</v>
      </c>
      <c r="M3867" s="2" t="s">
        <v>5221</v>
      </c>
      <c r="N3867" s="2" t="s">
        <v>2317</v>
      </c>
      <c r="O3867" s="14">
        <v>14100</v>
      </c>
      <c r="P3867" s="14">
        <v>96.28</v>
      </c>
      <c r="Q3867" s="14">
        <v>524.52</v>
      </c>
      <c r="R3867" s="14">
        <v>813.01</v>
      </c>
      <c r="S3867" s="2" t="s">
        <v>105</v>
      </c>
      <c r="T3867" s="2">
        <v>1.36</v>
      </c>
      <c r="U3867" s="2">
        <v>60.8</v>
      </c>
      <c r="V3867" s="2">
        <v>60</v>
      </c>
      <c r="W3867" s="2" t="s">
        <v>7862</v>
      </c>
      <c r="X3867" s="2" t="s">
        <v>471</v>
      </c>
      <c r="Y3867" s="2">
        <v>21855</v>
      </c>
      <c r="Z3867" s="19" t="str">
        <f>HYPERLINK("https://ssdweb.co/ssdweb/hd/Vision360.html?d=925540635&amp;zoomslide=1&amp;z=1925540635&amp;ISCONFIRM=0","VIDEO")</f>
        <v>VIDEO</v>
      </c>
      <c r="AA3867" s="19" t="str">
        <f>HYPERLINK("https://ssdweb.co/ssdweb/CERTH/617413136.pdf","CERTI")</f>
        <v>CERTI</v>
      </c>
    </row>
    <row r="3868" spans="1:27" ht="15" x14ac:dyDescent="0.25">
      <c r="A3868" s="2">
        <v>3863</v>
      </c>
      <c r="B3868" s="39">
        <v>925851036</v>
      </c>
      <c r="C3868" s="28" t="str">
        <f>HYPERLINK("https://pld.live/RapDetail.aspx?STONELIST=925851036","DNA")</f>
        <v>DNA</v>
      </c>
      <c r="D3868" s="18" t="s">
        <v>711</v>
      </c>
      <c r="E3868" s="18" t="s">
        <v>5128</v>
      </c>
      <c r="F3868" s="2" t="s">
        <v>7987</v>
      </c>
      <c r="G3868" s="2" t="s">
        <v>1573</v>
      </c>
      <c r="H3868" s="14">
        <v>1.55</v>
      </c>
      <c r="I3868" s="2" t="s">
        <v>267</v>
      </c>
      <c r="J3868" s="2" t="s">
        <v>6555</v>
      </c>
      <c r="K3868" s="2" t="s">
        <v>1452</v>
      </c>
      <c r="L3868" s="2" t="s">
        <v>5221</v>
      </c>
      <c r="M3868" s="2" t="s">
        <v>5221</v>
      </c>
      <c r="N3868" s="2" t="s">
        <v>2317</v>
      </c>
      <c r="O3868" s="14">
        <v>13200</v>
      </c>
      <c r="P3868" s="14">
        <v>98.6</v>
      </c>
      <c r="Q3868" s="14">
        <v>184.8</v>
      </c>
      <c r="R3868" s="14">
        <v>286.44</v>
      </c>
      <c r="S3868" s="2" t="s">
        <v>4947</v>
      </c>
      <c r="T3868" s="2">
        <v>1.37</v>
      </c>
      <c r="U3868" s="2">
        <v>61.9</v>
      </c>
      <c r="V3868" s="2">
        <v>60</v>
      </c>
      <c r="W3868" s="2" t="s">
        <v>7862</v>
      </c>
      <c r="X3868" s="2" t="s">
        <v>471</v>
      </c>
      <c r="Y3868" s="2">
        <v>20460</v>
      </c>
      <c r="Z3868" s="19" t="str">
        <f>HYPERLINK("https://ssdweb.co/ssdweb/hd/Vision360.html?d=925851036&amp;zoomslide=1&amp;z=1925851036&amp;ISCONFIRM=0","VIDEO")</f>
        <v>VIDEO</v>
      </c>
      <c r="AA3868" s="19" t="str">
        <f>HYPERLINK("https://ssdweb.co/ssdweb/CERTH/627410518.pdf","CERTI")</f>
        <v>CERTI</v>
      </c>
    </row>
    <row r="3869" spans="1:27" ht="15" x14ac:dyDescent="0.25">
      <c r="A3869" s="2">
        <v>3864</v>
      </c>
      <c r="B3869" s="39">
        <v>925801935</v>
      </c>
      <c r="C3869" s="28" t="str">
        <f>HYPERLINK("https://pld.live/RapDetail.aspx?STONELIST=925801935","DNA")</f>
        <v>DNA</v>
      </c>
      <c r="D3869" s="18" t="s">
        <v>711</v>
      </c>
      <c r="E3869" s="18" t="s">
        <v>5128</v>
      </c>
      <c r="F3869" s="2" t="s">
        <v>7987</v>
      </c>
      <c r="G3869" s="2" t="s">
        <v>1573</v>
      </c>
      <c r="H3869" s="14">
        <v>1.55</v>
      </c>
      <c r="I3869" s="2" t="s">
        <v>267</v>
      </c>
      <c r="J3869" s="2" t="s">
        <v>6555</v>
      </c>
      <c r="K3869" s="2" t="s">
        <v>1452</v>
      </c>
      <c r="L3869" s="2" t="s">
        <v>5221</v>
      </c>
      <c r="M3869" s="2" t="s">
        <v>5221</v>
      </c>
      <c r="N3869" s="2" t="s">
        <v>2317</v>
      </c>
      <c r="O3869" s="14">
        <v>13200</v>
      </c>
      <c r="P3869" s="14">
        <v>98.6</v>
      </c>
      <c r="Q3869" s="14">
        <v>184.8</v>
      </c>
      <c r="R3869" s="14">
        <v>286.44</v>
      </c>
      <c r="S3869" s="2" t="s">
        <v>7285</v>
      </c>
      <c r="T3869" s="2">
        <v>1.38</v>
      </c>
      <c r="U3869" s="2">
        <v>60.3</v>
      </c>
      <c r="V3869" s="2">
        <v>59</v>
      </c>
      <c r="W3869" s="2" t="s">
        <v>7862</v>
      </c>
      <c r="X3869" s="2" t="s">
        <v>471</v>
      </c>
      <c r="Y3869" s="2">
        <v>20460</v>
      </c>
      <c r="Z3869" s="19" t="str">
        <f>HYPERLINK("https://ssdweb.co/ssdweb/hd/Vision360.html?d=925801935&amp;zoomslide=1&amp;z=1925801935&amp;ISCONFIRM=0","VIDEO")</f>
        <v>VIDEO</v>
      </c>
      <c r="AA3869" s="19" t="str">
        <f>HYPERLINK("https://ssdweb.co/ssdweb/CERTH/627474782.pdf","CERTI")</f>
        <v>CERTI</v>
      </c>
    </row>
    <row r="3870" spans="1:27" ht="15" x14ac:dyDescent="0.25">
      <c r="A3870" s="2">
        <v>3865</v>
      </c>
      <c r="B3870" s="39">
        <v>925950628</v>
      </c>
      <c r="C3870" s="28" t="str">
        <f>HYPERLINK("https://pld.live/RapDetail.aspx?STONELIST=925950628","DNA")</f>
        <v>DNA</v>
      </c>
      <c r="D3870" s="18" t="s">
        <v>711</v>
      </c>
      <c r="E3870" s="18" t="s">
        <v>5128</v>
      </c>
      <c r="F3870" s="2" t="s">
        <v>7987</v>
      </c>
      <c r="G3870" s="2" t="s">
        <v>1573</v>
      </c>
      <c r="H3870" s="14">
        <v>1.55</v>
      </c>
      <c r="I3870" s="2" t="s">
        <v>267</v>
      </c>
      <c r="J3870" s="2" t="s">
        <v>6555</v>
      </c>
      <c r="K3870" s="2" t="s">
        <v>1452</v>
      </c>
      <c r="L3870" s="2" t="s">
        <v>5221</v>
      </c>
      <c r="M3870" s="2" t="s">
        <v>5221</v>
      </c>
      <c r="N3870" s="2" t="s">
        <v>2317</v>
      </c>
      <c r="O3870" s="14">
        <v>13200</v>
      </c>
      <c r="P3870" s="14">
        <v>98.6</v>
      </c>
      <c r="Q3870" s="14">
        <v>184.8</v>
      </c>
      <c r="R3870" s="14">
        <v>286.44</v>
      </c>
      <c r="S3870" s="2" t="s">
        <v>1855</v>
      </c>
      <c r="T3870" s="2">
        <v>1.4</v>
      </c>
      <c r="U3870" s="2">
        <v>62.1</v>
      </c>
      <c r="V3870" s="2">
        <v>60</v>
      </c>
      <c r="W3870" s="2" t="s">
        <v>7862</v>
      </c>
      <c r="X3870" s="2" t="s">
        <v>471</v>
      </c>
      <c r="Y3870" s="2">
        <v>20460</v>
      </c>
      <c r="Z3870" s="19" t="str">
        <f>HYPERLINK("https://ssdweb.co/ssdweb/hd/Vision360.html?d=925950628&amp;zoomslide=1&amp;z=1925950628&amp;ISCONFIRM=0","VIDEO")</f>
        <v>VIDEO</v>
      </c>
      <c r="AA3870" s="19" t="str">
        <f>HYPERLINK("https://ssdweb.co/ssdweb/CERTH/627410454.pdf","CERTI")</f>
        <v>CERTI</v>
      </c>
    </row>
    <row r="3871" spans="1:27" ht="15" x14ac:dyDescent="0.25">
      <c r="A3871" s="2">
        <v>3866</v>
      </c>
      <c r="B3871" s="39">
        <v>925861863</v>
      </c>
      <c r="C3871" s="28" t="str">
        <f>HYPERLINK("https://pld.live/RapDetail.aspx?STONELIST=925861863","DNA")</f>
        <v>DNA</v>
      </c>
      <c r="D3871" s="18" t="s">
        <v>711</v>
      </c>
      <c r="E3871" s="18" t="s">
        <v>5128</v>
      </c>
      <c r="F3871" s="2" t="s">
        <v>7987</v>
      </c>
      <c r="G3871" s="2" t="s">
        <v>1573</v>
      </c>
      <c r="H3871" s="14">
        <v>1.55</v>
      </c>
      <c r="I3871" s="2" t="s">
        <v>267</v>
      </c>
      <c r="J3871" s="2" t="s">
        <v>6555</v>
      </c>
      <c r="K3871" s="2" t="s">
        <v>1452</v>
      </c>
      <c r="L3871" s="2" t="s">
        <v>5221</v>
      </c>
      <c r="M3871" s="2" t="s">
        <v>5221</v>
      </c>
      <c r="N3871" s="2" t="s">
        <v>2317</v>
      </c>
      <c r="O3871" s="14">
        <v>13200</v>
      </c>
      <c r="P3871" s="14">
        <v>98.6</v>
      </c>
      <c r="Q3871" s="14">
        <v>184.8</v>
      </c>
      <c r="R3871" s="14">
        <v>286.44</v>
      </c>
      <c r="S3871" s="2" t="s">
        <v>7700</v>
      </c>
      <c r="T3871" s="2">
        <v>1.36</v>
      </c>
      <c r="U3871" s="2">
        <v>62.6</v>
      </c>
      <c r="V3871" s="2">
        <v>59</v>
      </c>
      <c r="W3871" s="2" t="s">
        <v>7862</v>
      </c>
      <c r="X3871" s="2" t="s">
        <v>471</v>
      </c>
      <c r="Y3871" s="2">
        <v>20460</v>
      </c>
      <c r="Z3871" s="19" t="str">
        <f>HYPERLINK("https://ssdweb.co/ssdweb/hd/Vision360.html?d=925861863&amp;zoomslide=1&amp;z=1925861863&amp;ISCONFIRM=0","VIDEO")</f>
        <v>VIDEO</v>
      </c>
      <c r="AA3871" s="19" t="str">
        <f>HYPERLINK("https://ssdweb.co/ssdweb/CERTH/627410475.pdf","CERTI")</f>
        <v>CERTI</v>
      </c>
    </row>
    <row r="3872" spans="1:27" ht="15" x14ac:dyDescent="0.25">
      <c r="A3872" s="2">
        <v>3867</v>
      </c>
      <c r="B3872" s="39">
        <v>925771224</v>
      </c>
      <c r="C3872" s="28" t="str">
        <f>HYPERLINK("https://pld.live/RapDetail.aspx?STONELIST=925771224","DNA")</f>
        <v>DNA</v>
      </c>
      <c r="D3872" s="18" t="s">
        <v>711</v>
      </c>
      <c r="E3872" s="18" t="s">
        <v>5128</v>
      </c>
      <c r="F3872" s="2" t="s">
        <v>7987</v>
      </c>
      <c r="G3872" s="2" t="s">
        <v>1573</v>
      </c>
      <c r="H3872" s="14">
        <v>1.55</v>
      </c>
      <c r="I3872" s="2" t="s">
        <v>267</v>
      </c>
      <c r="J3872" s="2" t="s">
        <v>6555</v>
      </c>
      <c r="K3872" s="2" t="s">
        <v>1452</v>
      </c>
      <c r="L3872" s="2" t="s">
        <v>5221</v>
      </c>
      <c r="M3872" s="2" t="s">
        <v>5221</v>
      </c>
      <c r="N3872" s="2" t="s">
        <v>2317</v>
      </c>
      <c r="O3872" s="14">
        <v>13200</v>
      </c>
      <c r="P3872" s="14">
        <v>98.6</v>
      </c>
      <c r="Q3872" s="14">
        <v>184.8</v>
      </c>
      <c r="R3872" s="14">
        <v>286.44</v>
      </c>
      <c r="S3872" s="2" t="s">
        <v>2279</v>
      </c>
      <c r="T3872" s="2">
        <v>1.38</v>
      </c>
      <c r="U3872" s="2">
        <v>62</v>
      </c>
      <c r="V3872" s="2">
        <v>61</v>
      </c>
      <c r="W3872" s="2" t="s">
        <v>7862</v>
      </c>
      <c r="X3872" s="2" t="s">
        <v>471</v>
      </c>
      <c r="Y3872" s="2">
        <v>20460</v>
      </c>
      <c r="Z3872" s="19" t="str">
        <f>HYPERLINK("https://ssdweb.co/ssdweb/hd/Vision360.html?d=925771224&amp;zoomslide=1&amp;z=1925771224&amp;ISCONFIRM=0","VIDEO")</f>
        <v>VIDEO</v>
      </c>
      <c r="AA3872" s="19" t="str">
        <f>HYPERLINK("https://ssdweb.co/ssdweb/CERTH/626466279.pdf","CERTI")</f>
        <v>CERTI</v>
      </c>
    </row>
    <row r="3873" spans="1:27" ht="15" x14ac:dyDescent="0.25">
      <c r="A3873" s="2">
        <v>3868</v>
      </c>
      <c r="B3873" s="39">
        <v>925771334</v>
      </c>
      <c r="C3873" s="28" t="str">
        <f>HYPERLINK("https://pld.live/RapDetail.aspx?STONELIST=925771334","DNA")</f>
        <v>DNA</v>
      </c>
      <c r="D3873" s="18" t="s">
        <v>711</v>
      </c>
      <c r="E3873" s="18" t="s">
        <v>5128</v>
      </c>
      <c r="F3873" s="2" t="s">
        <v>7987</v>
      </c>
      <c r="G3873" s="2" t="s">
        <v>1573</v>
      </c>
      <c r="H3873" s="14">
        <v>1.55</v>
      </c>
      <c r="I3873" s="2" t="s">
        <v>267</v>
      </c>
      <c r="J3873" s="2" t="s">
        <v>6555</v>
      </c>
      <c r="K3873" s="2" t="s">
        <v>1452</v>
      </c>
      <c r="L3873" s="2" t="s">
        <v>5221</v>
      </c>
      <c r="M3873" s="2" t="s">
        <v>5221</v>
      </c>
      <c r="N3873" s="2" t="s">
        <v>2317</v>
      </c>
      <c r="O3873" s="14">
        <v>13200</v>
      </c>
      <c r="P3873" s="14">
        <v>98.6</v>
      </c>
      <c r="Q3873" s="14">
        <v>184.8</v>
      </c>
      <c r="R3873" s="14">
        <v>286.44</v>
      </c>
      <c r="S3873" s="2" t="s">
        <v>3856</v>
      </c>
      <c r="T3873" s="2">
        <v>1.38</v>
      </c>
      <c r="U3873" s="2">
        <v>62.1</v>
      </c>
      <c r="V3873" s="2">
        <v>59</v>
      </c>
      <c r="W3873" s="2" t="s">
        <v>7862</v>
      </c>
      <c r="X3873" s="2" t="s">
        <v>471</v>
      </c>
      <c r="Y3873" s="2">
        <v>20460</v>
      </c>
      <c r="Z3873" s="19" t="str">
        <f>HYPERLINK("https://ssdweb.co/ssdweb/hd/Vision360.html?d=925771334&amp;zoomslide=1&amp;z=1925771334&amp;ISCONFIRM=0","VIDEO")</f>
        <v>VIDEO</v>
      </c>
      <c r="AA3873" s="19" t="str">
        <f>HYPERLINK("https://ssdweb.co/ssdweb/CERTH/627471559.pdf","CERTI")</f>
        <v>CERTI</v>
      </c>
    </row>
    <row r="3874" spans="1:27" ht="15" x14ac:dyDescent="0.25">
      <c r="A3874" s="2">
        <v>3869</v>
      </c>
      <c r="B3874" s="39">
        <v>925890595</v>
      </c>
      <c r="C3874" s="28" t="str">
        <f>HYPERLINK("https://pld.live/RapDetail.aspx?STONELIST=925890595","DNA")</f>
        <v>DNA</v>
      </c>
      <c r="D3874" s="18" t="s">
        <v>711</v>
      </c>
      <c r="E3874" s="18" t="s">
        <v>5128</v>
      </c>
      <c r="F3874" s="2" t="s">
        <v>7987</v>
      </c>
      <c r="G3874" s="2" t="s">
        <v>1573</v>
      </c>
      <c r="H3874" s="14">
        <v>1.55</v>
      </c>
      <c r="I3874" s="2" t="s">
        <v>267</v>
      </c>
      <c r="J3874" s="2" t="s">
        <v>6555</v>
      </c>
      <c r="K3874" s="2" t="s">
        <v>1452</v>
      </c>
      <c r="L3874" s="2" t="s">
        <v>5221</v>
      </c>
      <c r="M3874" s="2" t="s">
        <v>5221</v>
      </c>
      <c r="N3874" s="2" t="s">
        <v>2317</v>
      </c>
      <c r="O3874" s="14">
        <v>13200</v>
      </c>
      <c r="P3874" s="14">
        <v>98.6</v>
      </c>
      <c r="Q3874" s="14">
        <v>184.8</v>
      </c>
      <c r="R3874" s="14">
        <v>286.44</v>
      </c>
      <c r="S3874" s="2" t="s">
        <v>2515</v>
      </c>
      <c r="T3874" s="2">
        <v>1.38</v>
      </c>
      <c r="U3874" s="2">
        <v>62.5</v>
      </c>
      <c r="V3874" s="2">
        <v>60</v>
      </c>
      <c r="W3874" s="2" t="s">
        <v>7862</v>
      </c>
      <c r="X3874" s="2" t="s">
        <v>471</v>
      </c>
      <c r="Y3874" s="2">
        <v>20460</v>
      </c>
      <c r="Z3874" s="19" t="str">
        <f>HYPERLINK("https://ssdweb.co/ssdweb/hd/Vision360.html?d=925890595&amp;zoomslide=1&amp;z=1925890595&amp;ISCONFIRM=0","VIDEO")</f>
        <v>VIDEO</v>
      </c>
      <c r="AA3874" s="19" t="str">
        <f>HYPERLINK("https://ssdweb.co/ssdweb/CERTH/628427110.pdf","CERTI")</f>
        <v>CERTI</v>
      </c>
    </row>
    <row r="3875" spans="1:27" ht="15" x14ac:dyDescent="0.25">
      <c r="A3875" s="2">
        <v>3870</v>
      </c>
      <c r="B3875" s="39">
        <v>925802023</v>
      </c>
      <c r="C3875" s="28" t="str">
        <f>HYPERLINK("https://pld.live/RapDetail.aspx?STONELIST=925802023","DNA")</f>
        <v>DNA</v>
      </c>
      <c r="D3875" s="18" t="s">
        <v>711</v>
      </c>
      <c r="E3875" s="18" t="s">
        <v>5128</v>
      </c>
      <c r="F3875" s="2" t="s">
        <v>7987</v>
      </c>
      <c r="G3875" s="2" t="s">
        <v>1573</v>
      </c>
      <c r="H3875" s="14">
        <v>1.55</v>
      </c>
      <c r="I3875" s="2" t="s">
        <v>267</v>
      </c>
      <c r="J3875" s="2" t="s">
        <v>6555</v>
      </c>
      <c r="K3875" s="2" t="s">
        <v>1452</v>
      </c>
      <c r="L3875" s="2" t="s">
        <v>5221</v>
      </c>
      <c r="M3875" s="2" t="s">
        <v>5221</v>
      </c>
      <c r="N3875" s="2" t="s">
        <v>2317</v>
      </c>
      <c r="O3875" s="14">
        <v>13200</v>
      </c>
      <c r="P3875" s="14">
        <v>98.6</v>
      </c>
      <c r="Q3875" s="14">
        <v>184.8</v>
      </c>
      <c r="R3875" s="14">
        <v>286.44</v>
      </c>
      <c r="S3875" s="2" t="s">
        <v>5886</v>
      </c>
      <c r="T3875" s="2">
        <v>1.38</v>
      </c>
      <c r="U3875" s="2">
        <v>62.4</v>
      </c>
      <c r="V3875" s="2">
        <v>60</v>
      </c>
      <c r="W3875" s="2" t="s">
        <v>7862</v>
      </c>
      <c r="X3875" s="2" t="s">
        <v>471</v>
      </c>
      <c r="Y3875" s="2">
        <v>20460</v>
      </c>
      <c r="Z3875" s="19" t="str">
        <f>HYPERLINK("https://ssdweb.co/ssdweb/hd/Vision360.html?d=925802023&amp;zoomslide=1&amp;z=1925802023&amp;ISCONFIRM=0","VIDEO")</f>
        <v>VIDEO</v>
      </c>
      <c r="AA3875" s="19" t="str">
        <f>HYPERLINK("https://ssdweb.co/ssdweb/CERTH/627410456.pdf","CERTI")</f>
        <v>CERTI</v>
      </c>
    </row>
    <row r="3876" spans="1:27" ht="15" x14ac:dyDescent="0.25">
      <c r="A3876" s="2">
        <v>3871</v>
      </c>
      <c r="B3876" s="39">
        <v>925731236</v>
      </c>
      <c r="C3876" s="28" t="str">
        <f>HYPERLINK("https://pld.live/RapDetail.aspx?STONELIST=925731236","DNA")</f>
        <v>DNA</v>
      </c>
      <c r="D3876" s="18" t="s">
        <v>711</v>
      </c>
      <c r="E3876" s="18" t="s">
        <v>5128</v>
      </c>
      <c r="F3876" s="2" t="s">
        <v>7987</v>
      </c>
      <c r="G3876" s="2" t="s">
        <v>1573</v>
      </c>
      <c r="H3876" s="14">
        <v>1.55</v>
      </c>
      <c r="I3876" s="2" t="s">
        <v>267</v>
      </c>
      <c r="J3876" s="2" t="s">
        <v>6555</v>
      </c>
      <c r="K3876" s="2" t="s">
        <v>1452</v>
      </c>
      <c r="L3876" s="2" t="s">
        <v>5221</v>
      </c>
      <c r="M3876" s="2" t="s">
        <v>5221</v>
      </c>
      <c r="N3876" s="2" t="s">
        <v>2317</v>
      </c>
      <c r="O3876" s="14">
        <v>13200</v>
      </c>
      <c r="P3876" s="14">
        <v>98.6</v>
      </c>
      <c r="Q3876" s="14">
        <v>184.8</v>
      </c>
      <c r="R3876" s="14">
        <v>286.44</v>
      </c>
      <c r="S3876" s="2" t="s">
        <v>3396</v>
      </c>
      <c r="T3876" s="2">
        <v>1.38</v>
      </c>
      <c r="U3876" s="2">
        <v>61.8</v>
      </c>
      <c r="V3876" s="2">
        <v>58</v>
      </c>
      <c r="W3876" s="2" t="s">
        <v>7862</v>
      </c>
      <c r="X3876" s="2" t="s">
        <v>471</v>
      </c>
      <c r="Y3876" s="2">
        <v>20460</v>
      </c>
      <c r="Z3876" s="19" t="str">
        <f>HYPERLINK("https://ssdweb.co/ssdweb/hd/Vision360.html?d=925731236&amp;zoomslide=1&amp;z=1925731236&amp;ISCONFIRM=0","VIDEO")</f>
        <v>VIDEO</v>
      </c>
      <c r="AA3876" s="19" t="str">
        <f>HYPERLINK("https://ssdweb.co/ssdweb/CERTH/624420547.pdf","CERTI")</f>
        <v>CERTI</v>
      </c>
    </row>
    <row r="3877" spans="1:27" ht="15" x14ac:dyDescent="0.25">
      <c r="A3877" s="2">
        <v>3872</v>
      </c>
      <c r="B3877" s="39">
        <v>821124331</v>
      </c>
      <c r="C3877" s="28" t="str">
        <f>HYPERLINK("https://pld.live/RapDetail.aspx?STONELIST=821124331","DNA")</f>
        <v>DNA</v>
      </c>
      <c r="D3877" s="18" t="s">
        <v>711</v>
      </c>
      <c r="E3877" s="18" t="s">
        <v>5128</v>
      </c>
      <c r="F3877" s="2" t="s">
        <v>7987</v>
      </c>
      <c r="G3877" s="2" t="s">
        <v>1573</v>
      </c>
      <c r="H3877" s="14">
        <v>1.55</v>
      </c>
      <c r="I3877" s="2" t="s">
        <v>267</v>
      </c>
      <c r="J3877" s="2" t="s">
        <v>6555</v>
      </c>
      <c r="K3877" s="2" t="s">
        <v>1452</v>
      </c>
      <c r="L3877" s="2" t="s">
        <v>5221</v>
      </c>
      <c r="M3877" s="2" t="s">
        <v>5221</v>
      </c>
      <c r="N3877" s="2" t="s">
        <v>2317</v>
      </c>
      <c r="O3877" s="14">
        <v>13200</v>
      </c>
      <c r="P3877" s="14">
        <v>98.6</v>
      </c>
      <c r="Q3877" s="14">
        <v>184.8</v>
      </c>
      <c r="R3877" s="14">
        <v>286.44</v>
      </c>
      <c r="S3877" s="2" t="s">
        <v>5549</v>
      </c>
      <c r="T3877" s="2">
        <v>1.38</v>
      </c>
      <c r="U3877" s="2">
        <v>61.3</v>
      </c>
      <c r="V3877" s="2">
        <v>59</v>
      </c>
      <c r="W3877" s="2" t="s">
        <v>7862</v>
      </c>
      <c r="X3877" s="2" t="s">
        <v>471</v>
      </c>
      <c r="Y3877" s="2">
        <v>20460</v>
      </c>
      <c r="Z3877" s="19" t="str">
        <f>HYPERLINK("https://ssdweb.co/ssdweb/hd/Vision360.html?d=821124331&amp;zoomslide=1&amp;z=1821124331&amp;ISCONFIRM=0","VIDEO")</f>
        <v>VIDEO</v>
      </c>
      <c r="AA3877" s="19" t="str">
        <f>HYPERLINK("https://ssdweb.co/ssdweb/CERTH/604389907.pdf","CERTI")</f>
        <v>CERTI</v>
      </c>
    </row>
    <row r="3878" spans="1:27" ht="15" x14ac:dyDescent="0.25">
      <c r="A3878" s="2">
        <v>3873</v>
      </c>
      <c r="B3878" s="39">
        <v>821124330</v>
      </c>
      <c r="C3878" s="28" t="str">
        <f>HYPERLINK("https://pld.live/RapDetail.aspx?STONELIST=821124330","DNA")</f>
        <v>DNA</v>
      </c>
      <c r="D3878" s="18" t="s">
        <v>711</v>
      </c>
      <c r="E3878" s="18" t="s">
        <v>5128</v>
      </c>
      <c r="F3878" s="2" t="s">
        <v>7987</v>
      </c>
      <c r="G3878" s="2" t="s">
        <v>1573</v>
      </c>
      <c r="H3878" s="14">
        <v>1.55</v>
      </c>
      <c r="I3878" s="2" t="s">
        <v>267</v>
      </c>
      <c r="J3878" s="2" t="s">
        <v>6555</v>
      </c>
      <c r="K3878" s="2" t="s">
        <v>1452</v>
      </c>
      <c r="L3878" s="2" t="s">
        <v>5221</v>
      </c>
      <c r="M3878" s="2" t="s">
        <v>5221</v>
      </c>
      <c r="N3878" s="2" t="s">
        <v>2317</v>
      </c>
      <c r="O3878" s="14">
        <v>13200</v>
      </c>
      <c r="P3878" s="14">
        <v>98.6</v>
      </c>
      <c r="Q3878" s="14">
        <v>184.8</v>
      </c>
      <c r="R3878" s="14">
        <v>286.44</v>
      </c>
      <c r="S3878" s="2" t="s">
        <v>6120</v>
      </c>
      <c r="T3878" s="2">
        <v>1.36</v>
      </c>
      <c r="U3878" s="2">
        <v>61.7</v>
      </c>
      <c r="V3878" s="2">
        <v>61</v>
      </c>
      <c r="W3878" s="2" t="s">
        <v>7862</v>
      </c>
      <c r="X3878" s="2" t="s">
        <v>471</v>
      </c>
      <c r="Y3878" s="2">
        <v>20460</v>
      </c>
      <c r="Z3878" s="19" t="str">
        <f>HYPERLINK("https://ssdweb.co/ssdweb/hd/Vision360.html?d=821124330&amp;zoomslide=1&amp;z=1821124330&amp;ISCONFIRM=0","VIDEO")</f>
        <v>VIDEO</v>
      </c>
      <c r="AA3878" s="19" t="str">
        <f>HYPERLINK("https://ssdweb.co/ssdweb/CERTH/604390105.pdf","CERTI")</f>
        <v>CERTI</v>
      </c>
    </row>
    <row r="3879" spans="1:27" ht="15" x14ac:dyDescent="0.25">
      <c r="A3879" s="2">
        <v>3874</v>
      </c>
      <c r="B3879" s="39">
        <v>821124312</v>
      </c>
      <c r="C3879" s="28" t="str">
        <f>HYPERLINK("https://pld.live/RapDetail.aspx?STONELIST=821124312","DNA")</f>
        <v>DNA</v>
      </c>
      <c r="D3879" s="18" t="s">
        <v>711</v>
      </c>
      <c r="E3879" s="18" t="s">
        <v>5128</v>
      </c>
      <c r="F3879" s="2" t="s">
        <v>7987</v>
      </c>
      <c r="G3879" s="2" t="s">
        <v>1573</v>
      </c>
      <c r="H3879" s="14">
        <v>1.55</v>
      </c>
      <c r="I3879" s="2" t="s">
        <v>267</v>
      </c>
      <c r="J3879" s="2" t="s">
        <v>6555</v>
      </c>
      <c r="K3879" s="2" t="s">
        <v>1452</v>
      </c>
      <c r="L3879" s="2" t="s">
        <v>5221</v>
      </c>
      <c r="M3879" s="2" t="s">
        <v>5221</v>
      </c>
      <c r="N3879" s="2" t="s">
        <v>2317</v>
      </c>
      <c r="O3879" s="14">
        <v>13200</v>
      </c>
      <c r="P3879" s="14">
        <v>98.6</v>
      </c>
      <c r="Q3879" s="14">
        <v>184.8</v>
      </c>
      <c r="R3879" s="14">
        <v>286.44</v>
      </c>
      <c r="S3879" s="2" t="s">
        <v>5972</v>
      </c>
      <c r="T3879" s="2">
        <v>1.42</v>
      </c>
      <c r="U3879" s="2">
        <v>61.3</v>
      </c>
      <c r="V3879" s="2">
        <v>58</v>
      </c>
      <c r="W3879" s="2" t="s">
        <v>7862</v>
      </c>
      <c r="X3879" s="2" t="s">
        <v>471</v>
      </c>
      <c r="Y3879" s="2">
        <v>20460</v>
      </c>
      <c r="Z3879" s="19" t="str">
        <f>HYPERLINK("https://ssdweb.co/ssdweb/hd/Vision360.html?d=821124312&amp;zoomslide=1&amp;z=1821124312&amp;ISCONFIRM=0","VIDEO")</f>
        <v>VIDEO</v>
      </c>
      <c r="AA3879" s="19" t="str">
        <f>HYPERLINK("https://ssdweb.co/ssdweb/CERTH/606361666.pdf","CERTI")</f>
        <v>CERTI</v>
      </c>
    </row>
    <row r="3880" spans="1:27" ht="15" x14ac:dyDescent="0.25">
      <c r="A3880" s="2">
        <v>3875</v>
      </c>
      <c r="B3880" s="39">
        <v>821124309</v>
      </c>
      <c r="C3880" s="28" t="str">
        <f>HYPERLINK("https://pld.live/RapDetail.aspx?STONELIST=821124309","DNA")</f>
        <v>DNA</v>
      </c>
      <c r="D3880" s="18" t="s">
        <v>711</v>
      </c>
      <c r="E3880" s="18" t="s">
        <v>5128</v>
      </c>
      <c r="F3880" s="2" t="s">
        <v>7987</v>
      </c>
      <c r="G3880" s="2" t="s">
        <v>1573</v>
      </c>
      <c r="H3880" s="14">
        <v>1.55</v>
      </c>
      <c r="I3880" s="2" t="s">
        <v>267</v>
      </c>
      <c r="J3880" s="2" t="s">
        <v>6555</v>
      </c>
      <c r="K3880" s="2" t="s">
        <v>1452</v>
      </c>
      <c r="L3880" s="2" t="s">
        <v>5221</v>
      </c>
      <c r="M3880" s="2" t="s">
        <v>5221</v>
      </c>
      <c r="N3880" s="2" t="s">
        <v>2317</v>
      </c>
      <c r="O3880" s="14">
        <v>13200</v>
      </c>
      <c r="P3880" s="14">
        <v>98.6</v>
      </c>
      <c r="Q3880" s="14">
        <v>184.8</v>
      </c>
      <c r="R3880" s="14">
        <v>286.44</v>
      </c>
      <c r="S3880" s="2" t="s">
        <v>6655</v>
      </c>
      <c r="T3880" s="2">
        <v>1.37</v>
      </c>
      <c r="U3880" s="2">
        <v>61.4</v>
      </c>
      <c r="V3880" s="2">
        <v>59</v>
      </c>
      <c r="W3880" s="2" t="s">
        <v>7862</v>
      </c>
      <c r="X3880" s="2" t="s">
        <v>471</v>
      </c>
      <c r="Y3880" s="2">
        <v>20460</v>
      </c>
      <c r="Z3880" s="19" t="str">
        <f>HYPERLINK("https://ssdweb.co/ssdweb/hd/Vision360.html?d=821124309&amp;zoomslide=1&amp;z=1821124309&amp;ISCONFIRM=0","VIDEO")</f>
        <v>VIDEO</v>
      </c>
      <c r="AA3880" s="19" t="str">
        <f>HYPERLINK("https://ssdweb.co/ssdweb/CERTH/606361663.pdf","CERTI")</f>
        <v>CERTI</v>
      </c>
    </row>
    <row r="3881" spans="1:27" ht="15" x14ac:dyDescent="0.25">
      <c r="A3881" s="2">
        <v>3876</v>
      </c>
      <c r="B3881" s="39">
        <v>925540499</v>
      </c>
      <c r="C3881" s="28" t="str">
        <f>HYPERLINK("https://pld.live/RapDetail.aspx?STONELIST=925540499","DNA")</f>
        <v>DNA</v>
      </c>
      <c r="D3881" s="18" t="s">
        <v>711</v>
      </c>
      <c r="E3881" s="18" t="s">
        <v>5128</v>
      </c>
      <c r="F3881" s="2" t="s">
        <v>7987</v>
      </c>
      <c r="G3881" s="2" t="s">
        <v>1573</v>
      </c>
      <c r="H3881" s="14">
        <v>1.55</v>
      </c>
      <c r="I3881" s="2" t="s">
        <v>267</v>
      </c>
      <c r="J3881" s="2" t="s">
        <v>6555</v>
      </c>
      <c r="K3881" s="2" t="s">
        <v>1452</v>
      </c>
      <c r="L3881" s="2" t="s">
        <v>5221</v>
      </c>
      <c r="M3881" s="2" t="s">
        <v>5221</v>
      </c>
      <c r="N3881" s="2" t="s">
        <v>2317</v>
      </c>
      <c r="O3881" s="14">
        <v>13200</v>
      </c>
      <c r="P3881" s="14">
        <v>98.6</v>
      </c>
      <c r="Q3881" s="14">
        <v>184.8</v>
      </c>
      <c r="R3881" s="14">
        <v>286.44</v>
      </c>
      <c r="S3881" s="2" t="s">
        <v>7874</v>
      </c>
      <c r="T3881" s="2">
        <v>1.37</v>
      </c>
      <c r="U3881" s="2">
        <v>60.9</v>
      </c>
      <c r="V3881" s="2">
        <v>61</v>
      </c>
      <c r="W3881" s="2" t="s">
        <v>7862</v>
      </c>
      <c r="X3881" s="2" t="s">
        <v>471</v>
      </c>
      <c r="Y3881" s="2">
        <v>20460</v>
      </c>
      <c r="Z3881" s="19" t="str">
        <f>HYPERLINK("https://ssdweb.co/ssdweb/hd/Vision360.html?d=925540499&amp;zoomslide=1&amp;z=1925540499&amp;ISCONFIRM=0","VIDEO")</f>
        <v>VIDEO</v>
      </c>
      <c r="AA3881" s="19" t="str">
        <f>HYPERLINK("https://ssdweb.co/ssdweb/CERTH/617413035.pdf","CERTI")</f>
        <v>CERTI</v>
      </c>
    </row>
    <row r="3882" spans="1:27" ht="15" x14ac:dyDescent="0.25">
      <c r="A3882" s="2">
        <v>3877</v>
      </c>
      <c r="B3882" s="39">
        <v>925621827</v>
      </c>
      <c r="C3882" s="28" t="str">
        <f>HYPERLINK("https://pld.live/RapDetail.aspx?STONELIST=925621827","DNA")</f>
        <v>DNA</v>
      </c>
      <c r="D3882" s="18" t="s">
        <v>711</v>
      </c>
      <c r="E3882" s="18" t="s">
        <v>5128</v>
      </c>
      <c r="F3882" s="2" t="s">
        <v>7987</v>
      </c>
      <c r="G3882" s="2" t="s">
        <v>1573</v>
      </c>
      <c r="H3882" s="14">
        <v>1.55</v>
      </c>
      <c r="I3882" s="2" t="s">
        <v>267</v>
      </c>
      <c r="J3882" s="2" t="s">
        <v>6555</v>
      </c>
      <c r="K3882" s="2" t="s">
        <v>1452</v>
      </c>
      <c r="L3882" s="2" t="s">
        <v>5221</v>
      </c>
      <c r="M3882" s="2" t="s">
        <v>5221</v>
      </c>
      <c r="N3882" s="2" t="s">
        <v>2317</v>
      </c>
      <c r="O3882" s="14">
        <v>13200</v>
      </c>
      <c r="P3882" s="14">
        <v>98.6</v>
      </c>
      <c r="Q3882" s="14">
        <v>184.8</v>
      </c>
      <c r="R3882" s="14">
        <v>286.44</v>
      </c>
      <c r="S3882" s="2" t="s">
        <v>4187</v>
      </c>
      <c r="T3882" s="2">
        <v>1.38</v>
      </c>
      <c r="U3882" s="2">
        <v>61.9</v>
      </c>
      <c r="V3882" s="2">
        <v>60</v>
      </c>
      <c r="W3882" s="2" t="s">
        <v>7862</v>
      </c>
      <c r="X3882" s="2" t="s">
        <v>471</v>
      </c>
      <c r="Y3882" s="2">
        <v>20460</v>
      </c>
      <c r="Z3882" s="19" t="str">
        <f>HYPERLINK("https://ssdweb.co/ssdweb/hd/Vision360.html?d=925621827&amp;zoomslide=1&amp;z=1925621827&amp;ISCONFIRM=0","VIDEO")</f>
        <v>VIDEO</v>
      </c>
      <c r="AA3882" s="19" t="str">
        <f>HYPERLINK("https://ssdweb.co/ssdweb/CERTH/623446118.pdf","CERTI")</f>
        <v>CERTI</v>
      </c>
    </row>
    <row r="3883" spans="1:27" ht="15" x14ac:dyDescent="0.25">
      <c r="A3883" s="2">
        <v>3878</v>
      </c>
      <c r="B3883" s="39">
        <v>925540078</v>
      </c>
      <c r="C3883" s="28" t="str">
        <f>HYPERLINK("https://pld.live/RapDetail.aspx?STONELIST=925540078","DNA")</f>
        <v>DNA</v>
      </c>
      <c r="D3883" s="18" t="s">
        <v>711</v>
      </c>
      <c r="E3883" s="18" t="s">
        <v>5128</v>
      </c>
      <c r="F3883" s="2" t="s">
        <v>7987</v>
      </c>
      <c r="G3883" s="2" t="s">
        <v>1573</v>
      </c>
      <c r="H3883" s="14">
        <v>1.55</v>
      </c>
      <c r="I3883" s="2" t="s">
        <v>267</v>
      </c>
      <c r="J3883" s="2" t="s">
        <v>6555</v>
      </c>
      <c r="K3883" s="2" t="s">
        <v>1452</v>
      </c>
      <c r="L3883" s="2" t="s">
        <v>5221</v>
      </c>
      <c r="M3883" s="2" t="s">
        <v>5221</v>
      </c>
      <c r="N3883" s="2" t="s">
        <v>2317</v>
      </c>
      <c r="O3883" s="14">
        <v>13200</v>
      </c>
      <c r="P3883" s="14">
        <v>98.6</v>
      </c>
      <c r="Q3883" s="14">
        <v>184.8</v>
      </c>
      <c r="R3883" s="14">
        <v>286.44</v>
      </c>
      <c r="S3883" s="2" t="s">
        <v>7233</v>
      </c>
      <c r="T3883" s="2">
        <v>1.38</v>
      </c>
      <c r="U3883" s="2">
        <v>62.4</v>
      </c>
      <c r="V3883" s="2">
        <v>61</v>
      </c>
      <c r="W3883" s="2" t="s">
        <v>7862</v>
      </c>
      <c r="X3883" s="2" t="s">
        <v>471</v>
      </c>
      <c r="Y3883" s="2">
        <v>20460</v>
      </c>
      <c r="Z3883" s="19" t="str">
        <f>HYPERLINK("https://ssdweb.co/ssdweb/hd/Vision360.html?d=925540078&amp;zoomslide=1&amp;z=1925540078&amp;ISCONFIRM=0","VIDEO")</f>
        <v>VIDEO</v>
      </c>
      <c r="AA3883" s="19" t="str">
        <f>HYPERLINK("https://ssdweb.co/ssdweb/CERTH/617476135.pdf","CERTI")</f>
        <v>CERTI</v>
      </c>
    </row>
    <row r="3884" spans="1:27" ht="15" x14ac:dyDescent="0.25">
      <c r="A3884" s="2">
        <v>3879</v>
      </c>
      <c r="B3884" s="39">
        <v>925551496</v>
      </c>
      <c r="C3884" s="28" t="str">
        <f>HYPERLINK("https://pld.live/RapDetail.aspx?STONELIST=925551496","DNA")</f>
        <v>DNA</v>
      </c>
      <c r="D3884" s="18" t="s">
        <v>711</v>
      </c>
      <c r="E3884" s="18" t="s">
        <v>5128</v>
      </c>
      <c r="F3884" s="2" t="s">
        <v>7987</v>
      </c>
      <c r="G3884" s="2" t="s">
        <v>1573</v>
      </c>
      <c r="H3884" s="14">
        <v>1.55</v>
      </c>
      <c r="I3884" s="2" t="s">
        <v>267</v>
      </c>
      <c r="J3884" s="2" t="s">
        <v>6555</v>
      </c>
      <c r="K3884" s="2" t="s">
        <v>1452</v>
      </c>
      <c r="L3884" s="2" t="s">
        <v>5221</v>
      </c>
      <c r="M3884" s="2" t="s">
        <v>5221</v>
      </c>
      <c r="N3884" s="2" t="s">
        <v>2317</v>
      </c>
      <c r="O3884" s="14">
        <v>13200</v>
      </c>
      <c r="P3884" s="14">
        <v>98.6</v>
      </c>
      <c r="Q3884" s="14">
        <v>184.8</v>
      </c>
      <c r="R3884" s="14">
        <v>286.44</v>
      </c>
      <c r="S3884" s="2" t="s">
        <v>2815</v>
      </c>
      <c r="T3884" s="2">
        <v>1.38</v>
      </c>
      <c r="U3884" s="2">
        <v>60.5</v>
      </c>
      <c r="V3884" s="2">
        <v>61</v>
      </c>
      <c r="W3884" s="2" t="s">
        <v>7862</v>
      </c>
      <c r="X3884" s="2" t="s">
        <v>471</v>
      </c>
      <c r="Y3884" s="2">
        <v>20460</v>
      </c>
      <c r="Z3884" s="19" t="str">
        <f>HYPERLINK("https://ssdweb.co/ssdweb/hd/Vision360.html?d=925551496&amp;zoomslide=1&amp;z=1925551496&amp;ISCONFIRM=0","VIDEO")</f>
        <v>VIDEO</v>
      </c>
      <c r="AA3884" s="19" t="str">
        <f>HYPERLINK("https://ssdweb.co/ssdweb/CERTH/619453510.pdf","CERTI")</f>
        <v>CERTI</v>
      </c>
    </row>
    <row r="3885" spans="1:27" ht="15" x14ac:dyDescent="0.25">
      <c r="A3885" s="2">
        <v>3880</v>
      </c>
      <c r="B3885" s="39">
        <v>925551958</v>
      </c>
      <c r="C3885" s="28" t="str">
        <f>HYPERLINK("https://pld.live/RapDetail.aspx?STONELIST=925551958","DNA")</f>
        <v>DNA</v>
      </c>
      <c r="D3885" s="18" t="s">
        <v>711</v>
      </c>
      <c r="E3885" s="18" t="s">
        <v>5128</v>
      </c>
      <c r="F3885" s="2" t="s">
        <v>7987</v>
      </c>
      <c r="G3885" s="2" t="s">
        <v>1573</v>
      </c>
      <c r="H3885" s="14">
        <v>1.55</v>
      </c>
      <c r="I3885" s="2" t="s">
        <v>267</v>
      </c>
      <c r="J3885" s="2" t="s">
        <v>6555</v>
      </c>
      <c r="K3885" s="2" t="s">
        <v>1452</v>
      </c>
      <c r="L3885" s="2" t="s">
        <v>5221</v>
      </c>
      <c r="M3885" s="2" t="s">
        <v>5221</v>
      </c>
      <c r="N3885" s="2" t="s">
        <v>2317</v>
      </c>
      <c r="O3885" s="14">
        <v>13200</v>
      </c>
      <c r="P3885" s="14">
        <v>98.6</v>
      </c>
      <c r="Q3885" s="14">
        <v>184.8</v>
      </c>
      <c r="R3885" s="14">
        <v>286.44</v>
      </c>
      <c r="S3885" s="2" t="s">
        <v>56</v>
      </c>
      <c r="T3885" s="2">
        <v>1.38</v>
      </c>
      <c r="U3885" s="2">
        <v>62</v>
      </c>
      <c r="V3885" s="2">
        <v>60</v>
      </c>
      <c r="W3885" s="2" t="s">
        <v>7862</v>
      </c>
      <c r="X3885" s="2" t="s">
        <v>471</v>
      </c>
      <c r="Y3885" s="2">
        <v>20460</v>
      </c>
      <c r="Z3885" s="19" t="str">
        <f>HYPERLINK("https://ssdweb.co/ssdweb/hd/Vision360.html?d=925551958&amp;zoomslide=1&amp;z=1925551958&amp;ISCONFIRM=0","VIDEO")</f>
        <v>VIDEO</v>
      </c>
      <c r="AA3885" s="19" t="str">
        <f>HYPERLINK("https://ssdweb.co/ssdweb/CERTH/621475779.pdf","CERTI")</f>
        <v>CERTI</v>
      </c>
    </row>
    <row r="3886" spans="1:27" ht="15" x14ac:dyDescent="0.25">
      <c r="A3886" s="2">
        <v>3881</v>
      </c>
      <c r="B3886" s="39">
        <v>925502300</v>
      </c>
      <c r="C3886" s="28" t="str">
        <f>HYPERLINK("https://pld.live/RapDetail.aspx?STONELIST=925502300","DNA")</f>
        <v>DNA</v>
      </c>
      <c r="D3886" s="18" t="s">
        <v>711</v>
      </c>
      <c r="E3886" s="18" t="s">
        <v>5128</v>
      </c>
      <c r="F3886" s="2" t="s">
        <v>7987</v>
      </c>
      <c r="G3886" s="2" t="s">
        <v>1573</v>
      </c>
      <c r="H3886" s="14">
        <v>1.55</v>
      </c>
      <c r="I3886" s="2" t="s">
        <v>267</v>
      </c>
      <c r="J3886" s="2" t="s">
        <v>6555</v>
      </c>
      <c r="K3886" s="2" t="s">
        <v>1452</v>
      </c>
      <c r="L3886" s="2" t="s">
        <v>5221</v>
      </c>
      <c r="M3886" s="2" t="s">
        <v>5221</v>
      </c>
      <c r="N3886" s="2" t="s">
        <v>2317</v>
      </c>
      <c r="O3886" s="14">
        <v>13200</v>
      </c>
      <c r="P3886" s="14">
        <v>98.6</v>
      </c>
      <c r="Q3886" s="14">
        <v>184.8</v>
      </c>
      <c r="R3886" s="14">
        <v>286.44</v>
      </c>
      <c r="S3886" s="2" t="s">
        <v>1417</v>
      </c>
      <c r="T3886" s="2">
        <v>1.4</v>
      </c>
      <c r="U3886" s="2">
        <v>59.6</v>
      </c>
      <c r="V3886" s="2">
        <v>61</v>
      </c>
      <c r="W3886" s="2" t="s">
        <v>7862</v>
      </c>
      <c r="X3886" s="2" t="s">
        <v>471</v>
      </c>
      <c r="Y3886" s="2">
        <v>20460</v>
      </c>
      <c r="Z3886" s="19" t="str">
        <f>HYPERLINK("https://ssdweb.co/ssdweb/hd/Vision360.html?d=925502300&amp;zoomslide=1&amp;z=1925502300&amp;ISCONFIRM=0","VIDEO")</f>
        <v>VIDEO</v>
      </c>
      <c r="AA3886" s="19" t="str">
        <f>HYPERLINK("https://ssdweb.co/ssdweb/CERTH/618439784.pdf","CERTI")</f>
        <v>CERTI</v>
      </c>
    </row>
    <row r="3887" spans="1:27" ht="15" x14ac:dyDescent="0.25">
      <c r="A3887" s="2">
        <v>3882</v>
      </c>
      <c r="B3887" s="39">
        <v>925501956</v>
      </c>
      <c r="C3887" s="28" t="str">
        <f>HYPERLINK("https://pld.live/RapDetail.aspx?STONELIST=925501956","DNA")</f>
        <v>DNA</v>
      </c>
      <c r="D3887" s="18" t="s">
        <v>711</v>
      </c>
      <c r="E3887" s="18" t="s">
        <v>5128</v>
      </c>
      <c r="F3887" s="2" t="s">
        <v>7987</v>
      </c>
      <c r="G3887" s="2" t="s">
        <v>1573</v>
      </c>
      <c r="H3887" s="14">
        <v>1.55</v>
      </c>
      <c r="I3887" s="2" t="s">
        <v>267</v>
      </c>
      <c r="J3887" s="2" t="s">
        <v>6555</v>
      </c>
      <c r="K3887" s="2" t="s">
        <v>1452</v>
      </c>
      <c r="L3887" s="2" t="s">
        <v>5221</v>
      </c>
      <c r="M3887" s="2" t="s">
        <v>5221</v>
      </c>
      <c r="N3887" s="2" t="s">
        <v>2317</v>
      </c>
      <c r="O3887" s="14">
        <v>13200</v>
      </c>
      <c r="P3887" s="14">
        <v>98.6</v>
      </c>
      <c r="Q3887" s="14">
        <v>184.8</v>
      </c>
      <c r="R3887" s="14">
        <v>286.44</v>
      </c>
      <c r="S3887" s="2" t="s">
        <v>4653</v>
      </c>
      <c r="T3887" s="2">
        <v>1.38</v>
      </c>
      <c r="U3887" s="2">
        <v>61.3</v>
      </c>
      <c r="V3887" s="2">
        <v>62</v>
      </c>
      <c r="W3887" s="2" t="s">
        <v>7862</v>
      </c>
      <c r="X3887" s="2" t="s">
        <v>471</v>
      </c>
      <c r="Y3887" s="2">
        <v>20460</v>
      </c>
      <c r="Z3887" s="19" t="str">
        <f>HYPERLINK("https://ssdweb.co/ssdweb/hd/Vision360.html?d=925501956&amp;zoomslide=1&amp;z=1925501956&amp;ISCONFIRM=0","VIDEO")</f>
        <v>VIDEO</v>
      </c>
      <c r="AA3887" s="19" t="str">
        <f>HYPERLINK("https://ssdweb.co/ssdweb/CERTH/617412996.pdf","CERTI")</f>
        <v>CERTI</v>
      </c>
    </row>
    <row r="3888" spans="1:27" ht="15" x14ac:dyDescent="0.25">
      <c r="A3888" s="2">
        <v>3883</v>
      </c>
      <c r="B3888" s="39">
        <v>925500671</v>
      </c>
      <c r="C3888" s="28" t="str">
        <f>HYPERLINK("https://pld.live/RapDetail.aspx?STONELIST=925500671","DNA")</f>
        <v>DNA</v>
      </c>
      <c r="D3888" s="18" t="s">
        <v>711</v>
      </c>
      <c r="E3888" s="18" t="s">
        <v>5128</v>
      </c>
      <c r="F3888" s="2" t="s">
        <v>7987</v>
      </c>
      <c r="G3888" s="2" t="s">
        <v>1573</v>
      </c>
      <c r="H3888" s="14">
        <v>1.55</v>
      </c>
      <c r="I3888" s="2" t="s">
        <v>267</v>
      </c>
      <c r="J3888" s="2" t="s">
        <v>6555</v>
      </c>
      <c r="K3888" s="2" t="s">
        <v>1452</v>
      </c>
      <c r="L3888" s="2" t="s">
        <v>5221</v>
      </c>
      <c r="M3888" s="2" t="s">
        <v>5221</v>
      </c>
      <c r="N3888" s="2" t="s">
        <v>2317</v>
      </c>
      <c r="O3888" s="14">
        <v>13200</v>
      </c>
      <c r="P3888" s="14">
        <v>98.6</v>
      </c>
      <c r="Q3888" s="14">
        <v>184.8</v>
      </c>
      <c r="R3888" s="14">
        <v>286.44</v>
      </c>
      <c r="S3888" s="2" t="s">
        <v>3117</v>
      </c>
      <c r="T3888" s="2">
        <v>1.39</v>
      </c>
      <c r="U3888" s="2">
        <v>60.5</v>
      </c>
      <c r="V3888" s="2">
        <v>62</v>
      </c>
      <c r="W3888" s="2" t="s">
        <v>7862</v>
      </c>
      <c r="X3888" s="2" t="s">
        <v>471</v>
      </c>
      <c r="Y3888" s="2">
        <v>20460</v>
      </c>
      <c r="Z3888" s="19" t="str">
        <f>HYPERLINK("https://ssdweb.co/ssdweb/hd/Vision360.html?d=925500671&amp;zoomslide=1&amp;z=1925500671&amp;ISCONFIRM=0","VIDEO")</f>
        <v>VIDEO</v>
      </c>
      <c r="AA3888" s="19" t="str">
        <f>HYPERLINK("https://ssdweb.co/ssdweb/CERTH/616434316.pdf","CERTI")</f>
        <v>CERTI</v>
      </c>
    </row>
    <row r="3889" spans="1:27" ht="15" x14ac:dyDescent="0.25">
      <c r="A3889" s="2">
        <v>3884</v>
      </c>
      <c r="B3889" s="39">
        <v>925501712</v>
      </c>
      <c r="C3889" s="28" t="str">
        <f>HYPERLINK("https://pld.live/RapDetail.aspx?STONELIST=925501712","DNA")</f>
        <v>DNA</v>
      </c>
      <c r="D3889" s="18" t="s">
        <v>711</v>
      </c>
      <c r="E3889" s="18" t="s">
        <v>5128</v>
      </c>
      <c r="F3889" s="2" t="s">
        <v>7987</v>
      </c>
      <c r="G3889" s="2" t="s">
        <v>1573</v>
      </c>
      <c r="H3889" s="14">
        <v>1.55</v>
      </c>
      <c r="I3889" s="2" t="s">
        <v>267</v>
      </c>
      <c r="J3889" s="2" t="s">
        <v>6555</v>
      </c>
      <c r="K3889" s="2" t="s">
        <v>1452</v>
      </c>
      <c r="L3889" s="2" t="s">
        <v>5221</v>
      </c>
      <c r="M3889" s="2" t="s">
        <v>5221</v>
      </c>
      <c r="N3889" s="2" t="s">
        <v>2317</v>
      </c>
      <c r="O3889" s="14">
        <v>13200</v>
      </c>
      <c r="P3889" s="14">
        <v>98.6</v>
      </c>
      <c r="Q3889" s="14">
        <v>184.8</v>
      </c>
      <c r="R3889" s="14">
        <v>286.44</v>
      </c>
      <c r="S3889" s="2" t="s">
        <v>3731</v>
      </c>
      <c r="T3889" s="2">
        <v>1.4</v>
      </c>
      <c r="U3889" s="2">
        <v>60.1</v>
      </c>
      <c r="V3889" s="2">
        <v>61</v>
      </c>
      <c r="W3889" s="2" t="s">
        <v>7862</v>
      </c>
      <c r="X3889" s="2" t="s">
        <v>471</v>
      </c>
      <c r="Y3889" s="2">
        <v>20460</v>
      </c>
      <c r="Z3889" s="19" t="str">
        <f>HYPERLINK("https://ssdweb.co/ssdweb/hd/Vision360.html?d=925501712&amp;zoomslide=1&amp;z=1925501712&amp;ISCONFIRM=0","VIDEO")</f>
        <v>VIDEO</v>
      </c>
      <c r="AA3889" s="19" t="str">
        <f>HYPERLINK("https://ssdweb.co/ssdweb/CERTH/617485918.pdf","CERTI")</f>
        <v>CERTI</v>
      </c>
    </row>
    <row r="3890" spans="1:27" ht="15" x14ac:dyDescent="0.25">
      <c r="A3890" s="2">
        <v>3885</v>
      </c>
      <c r="B3890" s="39">
        <v>925551759</v>
      </c>
      <c r="C3890" s="28" t="str">
        <f>HYPERLINK("https://pld.live/RapDetail.aspx?STONELIST=925551759","DNA")</f>
        <v>DNA</v>
      </c>
      <c r="D3890" s="18" t="s">
        <v>711</v>
      </c>
      <c r="E3890" s="18" t="s">
        <v>5128</v>
      </c>
      <c r="F3890" s="2" t="s">
        <v>7987</v>
      </c>
      <c r="G3890" s="2" t="s">
        <v>1573</v>
      </c>
      <c r="H3890" s="14">
        <v>1.55</v>
      </c>
      <c r="I3890" s="2" t="s">
        <v>267</v>
      </c>
      <c r="J3890" s="2" t="s">
        <v>6555</v>
      </c>
      <c r="K3890" s="2" t="s">
        <v>1452</v>
      </c>
      <c r="L3890" s="2" t="s">
        <v>5221</v>
      </c>
      <c r="M3890" s="2" t="s">
        <v>5221</v>
      </c>
      <c r="N3890" s="2" t="s">
        <v>2317</v>
      </c>
      <c r="O3890" s="14">
        <v>13200</v>
      </c>
      <c r="P3890" s="14">
        <v>98.6</v>
      </c>
      <c r="Q3890" s="14">
        <v>184.8</v>
      </c>
      <c r="R3890" s="14">
        <v>286.44</v>
      </c>
      <c r="S3890" s="2" t="s">
        <v>4736</v>
      </c>
      <c r="T3890" s="2">
        <v>1.39</v>
      </c>
      <c r="U3890" s="2">
        <v>62.2</v>
      </c>
      <c r="V3890" s="2">
        <v>60</v>
      </c>
      <c r="W3890" s="2" t="s">
        <v>7862</v>
      </c>
      <c r="X3890" s="2" t="s">
        <v>471</v>
      </c>
      <c r="Y3890" s="2">
        <v>20460</v>
      </c>
      <c r="Z3890" s="19" t="str">
        <f>HYPERLINK("https://ssdweb.co/ssdweb/hd/Vision360.html?d=925551759&amp;zoomslide=1&amp;z=1925551759&amp;ISCONFIRM=0","VIDEO")</f>
        <v>VIDEO</v>
      </c>
      <c r="AA3890" s="19" t="str">
        <f>HYPERLINK("https://ssdweb.co/ssdweb/CERTH/619469638.pdf","CERTI")</f>
        <v>CERTI</v>
      </c>
    </row>
    <row r="3891" spans="1:27" ht="15" x14ac:dyDescent="0.25">
      <c r="A3891" s="2">
        <v>3886</v>
      </c>
      <c r="B3891" s="39">
        <v>925722092</v>
      </c>
      <c r="C3891" s="28" t="str">
        <f>HYPERLINK("https://pld.live/RapDetail.aspx?STONELIST=925722092","DNA")</f>
        <v>DNA</v>
      </c>
      <c r="D3891" s="18" t="s">
        <v>711</v>
      </c>
      <c r="E3891" s="18" t="s">
        <v>5128</v>
      </c>
      <c r="F3891" s="2" t="s">
        <v>7987</v>
      </c>
      <c r="G3891" s="2" t="s">
        <v>1573</v>
      </c>
      <c r="H3891" s="14">
        <v>1.55</v>
      </c>
      <c r="I3891" s="2" t="s">
        <v>267</v>
      </c>
      <c r="J3891" s="2" t="s">
        <v>6555</v>
      </c>
      <c r="K3891" s="2" t="s">
        <v>1452</v>
      </c>
      <c r="L3891" s="2" t="s">
        <v>5221</v>
      </c>
      <c r="M3891" s="2" t="s">
        <v>5221</v>
      </c>
      <c r="N3891" s="2" t="s">
        <v>2317</v>
      </c>
      <c r="O3891" s="14">
        <v>13200</v>
      </c>
      <c r="P3891" s="14">
        <v>98.6</v>
      </c>
      <c r="Q3891" s="14">
        <v>184.8</v>
      </c>
      <c r="R3891" s="14">
        <v>286.44</v>
      </c>
      <c r="S3891" s="2" t="s">
        <v>5439</v>
      </c>
      <c r="T3891" s="2">
        <v>1.38</v>
      </c>
      <c r="U3891" s="2">
        <v>62.3</v>
      </c>
      <c r="V3891" s="2">
        <v>62</v>
      </c>
      <c r="W3891" s="2" t="s">
        <v>7862</v>
      </c>
      <c r="X3891" s="2" t="s">
        <v>471</v>
      </c>
      <c r="Y3891" s="2">
        <v>20460</v>
      </c>
      <c r="Z3891" s="19" t="str">
        <f>HYPERLINK("https://ssdweb.co/ssdweb/hd/Vision360.html?d=925722092&amp;zoomslide=1&amp;z=1925722092&amp;ISCONFIRM=0","VIDEO")</f>
        <v>VIDEO</v>
      </c>
      <c r="AA3891" s="19" t="str">
        <f>HYPERLINK("https://ssdweb.co/ssdweb/CERTH/626457330.pdf","CERTI")</f>
        <v>CERTI</v>
      </c>
    </row>
    <row r="3892" spans="1:27" ht="15" x14ac:dyDescent="0.25">
      <c r="A3892" s="2">
        <v>3887</v>
      </c>
      <c r="B3892" s="39">
        <v>925722017</v>
      </c>
      <c r="C3892" s="28" t="str">
        <f>HYPERLINK("https://pld.live/RapDetail.aspx?STONELIST=925722017","DNA")</f>
        <v>DNA</v>
      </c>
      <c r="D3892" s="18" t="s">
        <v>711</v>
      </c>
      <c r="E3892" s="18" t="s">
        <v>5128</v>
      </c>
      <c r="F3892" s="2" t="s">
        <v>7987</v>
      </c>
      <c r="G3892" s="2" t="s">
        <v>1573</v>
      </c>
      <c r="H3892" s="14">
        <v>1.55</v>
      </c>
      <c r="I3892" s="2" t="s">
        <v>267</v>
      </c>
      <c r="J3892" s="2" t="s">
        <v>6555</v>
      </c>
      <c r="K3892" s="2" t="s">
        <v>1452</v>
      </c>
      <c r="L3892" s="2" t="s">
        <v>5221</v>
      </c>
      <c r="M3892" s="2" t="s">
        <v>5221</v>
      </c>
      <c r="N3892" s="2" t="s">
        <v>2317</v>
      </c>
      <c r="O3892" s="14">
        <v>13200</v>
      </c>
      <c r="P3892" s="14">
        <v>98.6</v>
      </c>
      <c r="Q3892" s="14">
        <v>184.8</v>
      </c>
      <c r="R3892" s="14">
        <v>286.44</v>
      </c>
      <c r="S3892" s="2" t="s">
        <v>6268</v>
      </c>
      <c r="T3892" s="2">
        <v>1.36</v>
      </c>
      <c r="U3892" s="2">
        <v>62.8</v>
      </c>
      <c r="V3892" s="2">
        <v>60</v>
      </c>
      <c r="W3892" s="2" t="s">
        <v>7862</v>
      </c>
      <c r="X3892" s="2" t="s">
        <v>471</v>
      </c>
      <c r="Y3892" s="2">
        <v>20460</v>
      </c>
      <c r="Z3892" s="19" t="str">
        <f>HYPERLINK("https://ssdweb.co/ssdweb/hd/Vision360.html?d=925722017&amp;zoomslide=1&amp;z=1925722017&amp;ISCONFIRM=0","VIDEO")</f>
        <v>VIDEO</v>
      </c>
      <c r="AA3892" s="19" t="str">
        <f>HYPERLINK("https://ssdweb.co/ssdweb/CERTH/625457947.pdf","CERTI")</f>
        <v>CERTI</v>
      </c>
    </row>
    <row r="3893" spans="1:27" ht="15" x14ac:dyDescent="0.25">
      <c r="A3893" s="2">
        <v>3888</v>
      </c>
      <c r="B3893" s="39">
        <v>926020699</v>
      </c>
      <c r="C3893" s="28" t="str">
        <f>HYPERLINK("https://pld.live/RapDetail.aspx?STONELIST=926020699","DNA")</f>
        <v>DNA</v>
      </c>
      <c r="D3893" s="18" t="s">
        <v>711</v>
      </c>
      <c r="E3893" s="18" t="s">
        <v>5128</v>
      </c>
      <c r="F3893" s="2" t="s">
        <v>7987</v>
      </c>
      <c r="G3893" s="2" t="s">
        <v>1573</v>
      </c>
      <c r="H3893" s="14">
        <v>1.55</v>
      </c>
      <c r="I3893" s="2" t="s">
        <v>267</v>
      </c>
      <c r="J3893" s="2" t="s">
        <v>6555</v>
      </c>
      <c r="K3893" s="2" t="s">
        <v>1452</v>
      </c>
      <c r="L3893" s="2" t="s">
        <v>5221</v>
      </c>
      <c r="M3893" s="2" t="s">
        <v>5221</v>
      </c>
      <c r="N3893" s="2" t="s">
        <v>2317</v>
      </c>
      <c r="O3893" s="14">
        <v>13200</v>
      </c>
      <c r="P3893" s="14">
        <v>98.6</v>
      </c>
      <c r="Q3893" s="14">
        <v>184.8</v>
      </c>
      <c r="R3893" s="14">
        <v>286.44</v>
      </c>
      <c r="S3893" s="2" t="s">
        <v>4955</v>
      </c>
      <c r="T3893" s="2">
        <v>1.36</v>
      </c>
      <c r="U3893" s="2">
        <v>63.1</v>
      </c>
      <c r="V3893" s="2">
        <v>60</v>
      </c>
      <c r="W3893" s="2" t="s">
        <v>7862</v>
      </c>
      <c r="X3893" s="2" t="s">
        <v>471</v>
      </c>
      <c r="Y3893" s="2">
        <v>20460</v>
      </c>
      <c r="Z3893" s="19" t="str">
        <f>HYPERLINK("https://ssdweb.co/ssdweb/hd/Vision360.html?d=926020699&amp;zoomslide=1&amp;z=1926020699&amp;ISCONFIRM=0","VIDEO")</f>
        <v>VIDEO</v>
      </c>
      <c r="AA3893" s="19" t="str">
        <f>HYPERLINK("https://ssdweb.co/ssdweb/CERTH/630447938.pdf","CERTI")</f>
        <v>CERTI</v>
      </c>
    </row>
    <row r="3894" spans="1:27" ht="15" x14ac:dyDescent="0.25">
      <c r="A3894" s="2">
        <v>3889</v>
      </c>
      <c r="B3894" s="39">
        <v>925542166</v>
      </c>
      <c r="C3894" s="28" t="str">
        <f>HYPERLINK("https://pld.live/RapDetail.aspx?STONELIST=925542166","DNA")</f>
        <v>DNA</v>
      </c>
      <c r="D3894" s="18" t="s">
        <v>711</v>
      </c>
      <c r="E3894" s="18" t="s">
        <v>5128</v>
      </c>
      <c r="F3894" s="2" t="s">
        <v>5597</v>
      </c>
      <c r="G3894" s="2" t="s">
        <v>1573</v>
      </c>
      <c r="H3894" s="14">
        <v>1.55</v>
      </c>
      <c r="I3894" s="2" t="s">
        <v>267</v>
      </c>
      <c r="J3894" s="2" t="s">
        <v>3942</v>
      </c>
      <c r="K3894" s="2" t="s">
        <v>1452</v>
      </c>
      <c r="L3894" s="2" t="s">
        <v>5221</v>
      </c>
      <c r="M3894" s="2" t="s">
        <v>5221</v>
      </c>
      <c r="N3894" s="2" t="s">
        <v>2317</v>
      </c>
      <c r="O3894" s="14">
        <v>12500</v>
      </c>
      <c r="P3894" s="14">
        <v>97.96</v>
      </c>
      <c r="Q3894" s="14">
        <v>255</v>
      </c>
      <c r="R3894" s="14">
        <v>395.25</v>
      </c>
      <c r="S3894" s="2" t="s">
        <v>3376</v>
      </c>
      <c r="T3894" s="2">
        <v>1.39</v>
      </c>
      <c r="U3894" s="2">
        <v>60</v>
      </c>
      <c r="V3894" s="2">
        <v>60</v>
      </c>
      <c r="W3894" s="2" t="s">
        <v>7862</v>
      </c>
      <c r="X3894" s="2" t="s">
        <v>471</v>
      </c>
      <c r="Y3894" s="2">
        <v>19375</v>
      </c>
      <c r="Z3894" s="19" t="str">
        <f>HYPERLINK("https://ssdweb.co/ssdweb/hd/Vision360.html?d=925542166&amp;zoomslide=1&amp;z=1925542166&amp;ISCONFIRM=0","VIDEO")</f>
        <v>VIDEO</v>
      </c>
      <c r="AA3894" s="19" t="str">
        <f>HYPERLINK("https://ssdweb.co/ssdweb/CERTH/1488478964.pdf","CERTI")</f>
        <v>CERTI</v>
      </c>
    </row>
    <row r="3895" spans="1:27" ht="15" x14ac:dyDescent="0.25">
      <c r="A3895" s="2">
        <v>3890</v>
      </c>
      <c r="B3895" s="39">
        <v>925951261</v>
      </c>
      <c r="C3895" s="28" t="str">
        <f>HYPERLINK("https://pld.live/RapDetail.aspx?STONELIST=925951261","DNA")</f>
        <v>DNA</v>
      </c>
      <c r="D3895" s="18" t="s">
        <v>711</v>
      </c>
      <c r="E3895" s="18" t="s">
        <v>5128</v>
      </c>
      <c r="F3895" s="2" t="s">
        <v>5597</v>
      </c>
      <c r="G3895" s="2" t="s">
        <v>1573</v>
      </c>
      <c r="H3895" s="14">
        <v>1.55</v>
      </c>
      <c r="I3895" s="2" t="s">
        <v>267</v>
      </c>
      <c r="J3895" s="2" t="s">
        <v>3942</v>
      </c>
      <c r="K3895" s="2" t="s">
        <v>1452</v>
      </c>
      <c r="L3895" s="2" t="s">
        <v>5221</v>
      </c>
      <c r="M3895" s="2" t="s">
        <v>5721</v>
      </c>
      <c r="N3895" s="2" t="s">
        <v>2317</v>
      </c>
      <c r="O3895" s="14">
        <v>12500</v>
      </c>
      <c r="P3895" s="14">
        <v>97.98</v>
      </c>
      <c r="Q3895" s="14">
        <v>252.5</v>
      </c>
      <c r="R3895" s="14">
        <v>391.38</v>
      </c>
      <c r="S3895" s="2" t="s">
        <v>373</v>
      </c>
      <c r="T3895" s="2">
        <v>1.38</v>
      </c>
      <c r="U3895" s="2">
        <v>60.8</v>
      </c>
      <c r="V3895" s="2">
        <v>61</v>
      </c>
      <c r="W3895" s="2" t="s">
        <v>7862</v>
      </c>
      <c r="X3895" s="2" t="s">
        <v>471</v>
      </c>
      <c r="Y3895" s="2">
        <v>19375</v>
      </c>
      <c r="Z3895" s="19" t="str">
        <f>HYPERLINK("https://ssdweb.co/ssdweb/hd/Vision360.html?d=925951261&amp;zoomslide=1&amp;z=1925951261&amp;ISCONFIRM=0","VIDEO")</f>
        <v>VIDEO</v>
      </c>
      <c r="AA3895" s="19" t="str">
        <f>HYPERLINK("https://ssdweb.co/ssdweb/CERTH/2496087705.pdf","CERTI")</f>
        <v>CERTI</v>
      </c>
    </row>
    <row r="3896" spans="1:27" ht="15" x14ac:dyDescent="0.25">
      <c r="A3896" s="2">
        <v>3891</v>
      </c>
      <c r="B3896" s="39">
        <v>926041157</v>
      </c>
      <c r="C3896" s="28" t="str">
        <f>HYPERLINK("https://pld.live/RapDetail.aspx?STONELIST=926041157","DNA")</f>
        <v>DNA</v>
      </c>
      <c r="D3896" s="18" t="s">
        <v>711</v>
      </c>
      <c r="E3896" s="18" t="s">
        <v>5128</v>
      </c>
      <c r="F3896" s="2" t="s">
        <v>7987</v>
      </c>
      <c r="G3896" s="2" t="s">
        <v>1573</v>
      </c>
      <c r="H3896" s="14">
        <v>1.55</v>
      </c>
      <c r="I3896" s="2" t="s">
        <v>267</v>
      </c>
      <c r="J3896" s="2" t="s">
        <v>5144</v>
      </c>
      <c r="K3896" s="2" t="s">
        <v>1452</v>
      </c>
      <c r="L3896" s="2" t="s">
        <v>5221</v>
      </c>
      <c r="M3896" s="2" t="s">
        <v>5221</v>
      </c>
      <c r="N3896" s="2" t="s">
        <v>2317</v>
      </c>
      <c r="O3896" s="14">
        <v>9900</v>
      </c>
      <c r="P3896" s="14">
        <v>98.74</v>
      </c>
      <c r="Q3896" s="14">
        <v>124.74</v>
      </c>
      <c r="R3896" s="14">
        <v>193.35</v>
      </c>
      <c r="S3896" s="2" t="s">
        <v>421</v>
      </c>
      <c r="T3896" s="2">
        <v>1.37</v>
      </c>
      <c r="U3896" s="2">
        <v>61.6</v>
      </c>
      <c r="V3896" s="2">
        <v>59</v>
      </c>
      <c r="W3896" s="2" t="s">
        <v>7862</v>
      </c>
      <c r="X3896" s="2" t="s">
        <v>471</v>
      </c>
      <c r="Y3896" s="2">
        <v>15345</v>
      </c>
      <c r="Z3896" s="19" t="str">
        <f>HYPERLINK("https://ssdweb.co/ssdweb/hd/Vision360.html?d=926041157&amp;zoomslide=1&amp;z=1926041157&amp;ISCONFIRM=0","VIDEO")</f>
        <v>VIDEO</v>
      </c>
      <c r="AA3896" s="19" t="str">
        <f>HYPERLINK("https://ssdweb.co/ssdweb/CERTH/631404580.pdf","CERTI")</f>
        <v>CERTI</v>
      </c>
    </row>
    <row r="3897" spans="1:27" ht="15" x14ac:dyDescent="0.25">
      <c r="A3897" s="2">
        <v>3892</v>
      </c>
      <c r="B3897" s="39">
        <v>926020641</v>
      </c>
      <c r="C3897" s="28" t="str">
        <f>HYPERLINK("https://pld.live/RapDetail.aspx?STONELIST=926020641","DNA")</f>
        <v>DNA</v>
      </c>
      <c r="D3897" s="18" t="s">
        <v>711</v>
      </c>
      <c r="E3897" s="18" t="s">
        <v>5128</v>
      </c>
      <c r="F3897" s="2" t="s">
        <v>7987</v>
      </c>
      <c r="G3897" s="2" t="s">
        <v>1573</v>
      </c>
      <c r="H3897" s="14">
        <v>1.55</v>
      </c>
      <c r="I3897" s="2" t="s">
        <v>267</v>
      </c>
      <c r="J3897" s="2" t="s">
        <v>5144</v>
      </c>
      <c r="K3897" s="2" t="s">
        <v>1452</v>
      </c>
      <c r="L3897" s="2" t="s">
        <v>5221</v>
      </c>
      <c r="M3897" s="2" t="s">
        <v>5221</v>
      </c>
      <c r="N3897" s="2" t="s">
        <v>2317</v>
      </c>
      <c r="O3897" s="14">
        <v>9900</v>
      </c>
      <c r="P3897" s="14">
        <v>98.74</v>
      </c>
      <c r="Q3897" s="14">
        <v>124.74</v>
      </c>
      <c r="R3897" s="14">
        <v>193.35</v>
      </c>
      <c r="S3897" s="2" t="s">
        <v>7078</v>
      </c>
      <c r="T3897" s="2">
        <v>1.36</v>
      </c>
      <c r="U3897" s="2">
        <v>62.4</v>
      </c>
      <c r="V3897" s="2">
        <v>62</v>
      </c>
      <c r="W3897" s="2" t="s">
        <v>7862</v>
      </c>
      <c r="X3897" s="2" t="s">
        <v>471</v>
      </c>
      <c r="Y3897" s="2">
        <v>15345</v>
      </c>
      <c r="Z3897" s="19" t="str">
        <f>HYPERLINK("https://ssdweb.co/ssdweb/hd/Vision360.html?d=926020641&amp;zoomslide=1&amp;z=1926020641&amp;ISCONFIRM=0","VIDEO")</f>
        <v>VIDEO</v>
      </c>
      <c r="AA3897" s="19" t="str">
        <f>HYPERLINK("https://ssdweb.co/ssdweb/CERTH/629497542.pdf","CERTI")</f>
        <v>CERTI</v>
      </c>
    </row>
    <row r="3898" spans="1:27" ht="15" x14ac:dyDescent="0.25">
      <c r="A3898" s="2">
        <v>3893</v>
      </c>
      <c r="B3898" s="39">
        <v>925500874</v>
      </c>
      <c r="C3898" s="28" t="str">
        <f>HYPERLINK("https://pld.live/RapDetail.aspx?STONELIST=925500874","DNA")</f>
        <v>DNA</v>
      </c>
      <c r="D3898" s="18" t="s">
        <v>711</v>
      </c>
      <c r="E3898" s="18" t="s">
        <v>5128</v>
      </c>
      <c r="F3898" s="2" t="s">
        <v>7987</v>
      </c>
      <c r="G3898" s="2" t="s">
        <v>1573</v>
      </c>
      <c r="H3898" s="14">
        <v>1.55</v>
      </c>
      <c r="I3898" s="2" t="s">
        <v>4761</v>
      </c>
      <c r="J3898" s="2" t="s">
        <v>7032</v>
      </c>
      <c r="K3898" s="2" t="s">
        <v>1452</v>
      </c>
      <c r="L3898" s="2" t="s">
        <v>5221</v>
      </c>
      <c r="M3898" s="2" t="s">
        <v>5221</v>
      </c>
      <c r="N3898" s="2" t="s">
        <v>2317</v>
      </c>
      <c r="O3898" s="14">
        <v>13200</v>
      </c>
      <c r="P3898" s="14">
        <v>97.01</v>
      </c>
      <c r="Q3898" s="14">
        <v>394.68</v>
      </c>
      <c r="R3898" s="14">
        <v>611.75</v>
      </c>
      <c r="S3898" s="2" t="s">
        <v>3873</v>
      </c>
      <c r="T3898" s="2">
        <v>1.36</v>
      </c>
      <c r="U3898" s="2">
        <v>60.7</v>
      </c>
      <c r="V3898" s="2">
        <v>61</v>
      </c>
      <c r="W3898" s="2" t="s">
        <v>7862</v>
      </c>
      <c r="X3898" s="2" t="s">
        <v>471</v>
      </c>
      <c r="Y3898" s="2">
        <v>20460</v>
      </c>
      <c r="Z3898" s="19" t="str">
        <f>HYPERLINK("https://ssdweb.co/ssdweb/hd/Vision360.html?d=925500874&amp;zoomslide=1&amp;z=1925500874&amp;ISCONFIRM=0","VIDEO")</f>
        <v>VIDEO</v>
      </c>
      <c r="AA3898" s="19" t="str">
        <f>HYPERLINK("https://ssdweb.co/ssdweb/CERTH/616434375.pdf","CERTI")</f>
        <v>CERTI</v>
      </c>
    </row>
    <row r="3899" spans="1:27" ht="15" x14ac:dyDescent="0.25">
      <c r="A3899" s="2">
        <v>3894</v>
      </c>
      <c r="B3899" s="39">
        <v>925120197</v>
      </c>
      <c r="C3899" s="28" t="str">
        <f>HYPERLINK("https://pld.live/RapDetail.aspx?STONELIST=925120197","DNA")</f>
        <v>DNA</v>
      </c>
      <c r="D3899" s="18" t="s">
        <v>711</v>
      </c>
      <c r="E3899" s="18" t="s">
        <v>5128</v>
      </c>
      <c r="F3899" s="2" t="s">
        <v>7987</v>
      </c>
      <c r="G3899" s="2" t="s">
        <v>1573</v>
      </c>
      <c r="H3899" s="14">
        <v>1.55</v>
      </c>
      <c r="I3899" s="2" t="s">
        <v>4761</v>
      </c>
      <c r="J3899" s="2" t="s">
        <v>7032</v>
      </c>
      <c r="K3899" s="2" t="s">
        <v>1452</v>
      </c>
      <c r="L3899" s="2" t="s">
        <v>5221</v>
      </c>
      <c r="M3899" s="2" t="s">
        <v>5221</v>
      </c>
      <c r="N3899" s="2" t="s">
        <v>2317</v>
      </c>
      <c r="O3899" s="14">
        <v>13200</v>
      </c>
      <c r="P3899" s="14">
        <v>97.01</v>
      </c>
      <c r="Q3899" s="14">
        <v>394.68</v>
      </c>
      <c r="R3899" s="14">
        <v>611.75</v>
      </c>
      <c r="S3899" s="2" t="s">
        <v>3377</v>
      </c>
      <c r="T3899" s="2">
        <v>1.38</v>
      </c>
      <c r="U3899" s="2">
        <v>62.5</v>
      </c>
      <c r="V3899" s="2">
        <v>60</v>
      </c>
      <c r="W3899" s="2" t="s">
        <v>7862</v>
      </c>
      <c r="X3899" s="2" t="s">
        <v>471</v>
      </c>
      <c r="Y3899" s="2">
        <v>20460</v>
      </c>
      <c r="Z3899" s="19" t="str">
        <f>HYPERLINK("https://ssdweb.co/ssdweb/hd/Vision360.html?d=925120197&amp;zoomslide=1&amp;z=1925120197&amp;ISCONFIRM=0","VIDEO")</f>
        <v>VIDEO</v>
      </c>
      <c r="AA3899" s="19" t="str">
        <f>HYPERLINK("https://ssdweb.co/ssdweb/CERTH/607378484.pdf","CERTI")</f>
        <v>CERTI</v>
      </c>
    </row>
    <row r="3900" spans="1:27" ht="15" x14ac:dyDescent="0.25">
      <c r="A3900" s="2">
        <v>3895</v>
      </c>
      <c r="B3900" s="39">
        <v>925732222</v>
      </c>
      <c r="C3900" s="28" t="str">
        <f>HYPERLINK("https://pld.live/RapDetail.aspx?STONELIST=925732222","DNA")</f>
        <v>DNA</v>
      </c>
      <c r="D3900" s="18" t="s">
        <v>711</v>
      </c>
      <c r="E3900" s="18" t="s">
        <v>5128</v>
      </c>
      <c r="F3900" s="2" t="s">
        <v>7987</v>
      </c>
      <c r="G3900" s="2" t="s">
        <v>1573</v>
      </c>
      <c r="H3900" s="14">
        <v>1.55</v>
      </c>
      <c r="I3900" s="2" t="s">
        <v>4761</v>
      </c>
      <c r="J3900" s="2" t="s">
        <v>6555</v>
      </c>
      <c r="K3900" s="2" t="s">
        <v>1452</v>
      </c>
      <c r="L3900" s="2" t="s">
        <v>5221</v>
      </c>
      <c r="M3900" s="2" t="s">
        <v>5221</v>
      </c>
      <c r="N3900" s="2" t="s">
        <v>2317</v>
      </c>
      <c r="O3900" s="14">
        <v>12400</v>
      </c>
      <c r="P3900" s="14">
        <v>98.75</v>
      </c>
      <c r="Q3900" s="14">
        <v>155</v>
      </c>
      <c r="R3900" s="14">
        <v>240.25</v>
      </c>
      <c r="S3900" s="2" t="s">
        <v>3955</v>
      </c>
      <c r="T3900" s="2">
        <v>1.38</v>
      </c>
      <c r="U3900" s="2">
        <v>62.3</v>
      </c>
      <c r="V3900" s="2">
        <v>60</v>
      </c>
      <c r="W3900" s="2" t="s">
        <v>7862</v>
      </c>
      <c r="X3900" s="2" t="s">
        <v>471</v>
      </c>
      <c r="Y3900" s="2">
        <v>19220</v>
      </c>
      <c r="Z3900" s="19" t="str">
        <f>HYPERLINK("https://ssdweb.co/ssdweb/hd/Vision360.html?d=925732222&amp;zoomslide=1&amp;z=1925732222&amp;ISCONFIRM=0","VIDEO")</f>
        <v>VIDEO</v>
      </c>
      <c r="AA3900" s="19" t="str">
        <f>HYPERLINK("https://ssdweb.co/ssdweb/CERTH/626414892.pdf","CERTI")</f>
        <v>CERTI</v>
      </c>
    </row>
    <row r="3901" spans="1:27" ht="15" x14ac:dyDescent="0.25">
      <c r="A3901" s="2">
        <v>3896</v>
      </c>
      <c r="B3901" s="39">
        <v>925540500</v>
      </c>
      <c r="C3901" s="28" t="str">
        <f>HYPERLINK("https://pld.live/RapDetail.aspx?STONELIST=925540500","DNA")</f>
        <v>DNA</v>
      </c>
      <c r="D3901" s="18" t="s">
        <v>711</v>
      </c>
      <c r="E3901" s="18" t="s">
        <v>5128</v>
      </c>
      <c r="F3901" s="2" t="s">
        <v>7987</v>
      </c>
      <c r="G3901" s="2" t="s">
        <v>1573</v>
      </c>
      <c r="H3901" s="14">
        <v>1.55</v>
      </c>
      <c r="I3901" s="2" t="s">
        <v>4761</v>
      </c>
      <c r="J3901" s="2" t="s">
        <v>6555</v>
      </c>
      <c r="K3901" s="2" t="s">
        <v>1452</v>
      </c>
      <c r="L3901" s="2" t="s">
        <v>5221</v>
      </c>
      <c r="M3901" s="2" t="s">
        <v>5221</v>
      </c>
      <c r="N3901" s="2" t="s">
        <v>2317</v>
      </c>
      <c r="O3901" s="14">
        <v>12400</v>
      </c>
      <c r="P3901" s="14">
        <v>98.75</v>
      </c>
      <c r="Q3901" s="14">
        <v>155</v>
      </c>
      <c r="R3901" s="14">
        <v>240.25</v>
      </c>
      <c r="S3901" s="2" t="s">
        <v>5875</v>
      </c>
      <c r="T3901" s="2">
        <v>1.38</v>
      </c>
      <c r="U3901" s="2">
        <v>62.1</v>
      </c>
      <c r="V3901" s="2">
        <v>61</v>
      </c>
      <c r="W3901" s="2" t="s">
        <v>7862</v>
      </c>
      <c r="X3901" s="2" t="s">
        <v>471</v>
      </c>
      <c r="Y3901" s="2">
        <v>19220</v>
      </c>
      <c r="Z3901" s="19" t="str">
        <f>HYPERLINK("https://ssdweb.co/ssdweb/hd/Vision360.html?d=925540500&amp;zoomslide=1&amp;z=1925540500&amp;ISCONFIRM=0","VIDEO")</f>
        <v>VIDEO</v>
      </c>
      <c r="AA3901" s="19" t="str">
        <f>HYPERLINK("https://ssdweb.co/ssdweb/CERTH/617413036.pdf","CERTI")</f>
        <v>CERTI</v>
      </c>
    </row>
    <row r="3902" spans="1:27" ht="15" x14ac:dyDescent="0.25">
      <c r="A3902" s="2">
        <v>3897</v>
      </c>
      <c r="B3902" s="39">
        <v>925721917</v>
      </c>
      <c r="C3902" s="28" t="str">
        <f>HYPERLINK("https://pld.live/RapDetail.aspx?STONELIST=925721917","DNA")</f>
        <v>DNA</v>
      </c>
      <c r="D3902" s="18" t="s">
        <v>711</v>
      </c>
      <c r="E3902" s="18" t="s">
        <v>5128</v>
      </c>
      <c r="F3902" s="2" t="s">
        <v>7987</v>
      </c>
      <c r="G3902" s="2" t="s">
        <v>1573</v>
      </c>
      <c r="H3902" s="14">
        <v>1.55</v>
      </c>
      <c r="I3902" s="2" t="s">
        <v>4761</v>
      </c>
      <c r="J3902" s="2" t="s">
        <v>6555</v>
      </c>
      <c r="K3902" s="2" t="s">
        <v>1452</v>
      </c>
      <c r="L3902" s="2" t="s">
        <v>5221</v>
      </c>
      <c r="M3902" s="2" t="s">
        <v>5221</v>
      </c>
      <c r="N3902" s="2" t="s">
        <v>2317</v>
      </c>
      <c r="O3902" s="14">
        <v>12400</v>
      </c>
      <c r="P3902" s="14">
        <v>98.75</v>
      </c>
      <c r="Q3902" s="14">
        <v>155</v>
      </c>
      <c r="R3902" s="14">
        <v>240.25</v>
      </c>
      <c r="S3902" s="2" t="s">
        <v>6165</v>
      </c>
      <c r="T3902" s="2">
        <v>1.38</v>
      </c>
      <c r="U3902" s="2">
        <v>61</v>
      </c>
      <c r="V3902" s="2">
        <v>58</v>
      </c>
      <c r="W3902" s="2" t="s">
        <v>7862</v>
      </c>
      <c r="X3902" s="2" t="s">
        <v>471</v>
      </c>
      <c r="Y3902" s="2">
        <v>19220</v>
      </c>
      <c r="Z3902" s="19" t="str">
        <f>HYPERLINK("https://ssdweb.co/ssdweb/hd/Vision360.html?d=925721917&amp;zoomslide=1&amp;z=1925721917&amp;ISCONFIRM=0","VIDEO")</f>
        <v>VIDEO</v>
      </c>
      <c r="AA3902" s="19" t="str">
        <f>HYPERLINK("https://ssdweb.co/ssdweb/CERTH/624440056.pdf","CERTI")</f>
        <v>CERTI</v>
      </c>
    </row>
    <row r="3903" spans="1:27" ht="15" x14ac:dyDescent="0.25">
      <c r="A3903" s="2">
        <v>3898</v>
      </c>
      <c r="B3903" s="39">
        <v>925980907</v>
      </c>
      <c r="C3903" s="28" t="str">
        <f>HYPERLINK("https://pld.live/RapDetail.aspx?STONELIST=925980907","DNA")</f>
        <v>DNA</v>
      </c>
      <c r="D3903" s="18" t="s">
        <v>711</v>
      </c>
      <c r="E3903" s="18" t="s">
        <v>5128</v>
      </c>
      <c r="F3903" s="2" t="s">
        <v>7987</v>
      </c>
      <c r="G3903" s="2" t="s">
        <v>1573</v>
      </c>
      <c r="H3903" s="14">
        <v>1.55</v>
      </c>
      <c r="I3903" s="2" t="s">
        <v>4761</v>
      </c>
      <c r="J3903" s="2" t="s">
        <v>6555</v>
      </c>
      <c r="K3903" s="2" t="s">
        <v>1452</v>
      </c>
      <c r="L3903" s="2" t="s">
        <v>5221</v>
      </c>
      <c r="M3903" s="2" t="s">
        <v>5221</v>
      </c>
      <c r="N3903" s="2" t="s">
        <v>2317</v>
      </c>
      <c r="O3903" s="14">
        <v>12400</v>
      </c>
      <c r="P3903" s="14">
        <v>98.75</v>
      </c>
      <c r="Q3903" s="14">
        <v>155</v>
      </c>
      <c r="R3903" s="14">
        <v>240.25</v>
      </c>
      <c r="S3903" s="2" t="s">
        <v>1412</v>
      </c>
      <c r="T3903" s="2">
        <v>1.38</v>
      </c>
      <c r="U3903" s="2">
        <v>60.7</v>
      </c>
      <c r="V3903" s="2">
        <v>61</v>
      </c>
      <c r="W3903" s="2" t="s">
        <v>7862</v>
      </c>
      <c r="X3903" s="2" t="s">
        <v>471</v>
      </c>
      <c r="Y3903" s="2">
        <v>19220</v>
      </c>
      <c r="Z3903" s="19" t="str">
        <f>HYPERLINK("https://ssdweb.co/ssdweb/hd/Vision360.html?d=925980907&amp;zoomslide=1&amp;z=1925980907&amp;ISCONFIRM=0","VIDEO")</f>
        <v>VIDEO</v>
      </c>
      <c r="AA3903" s="19" t="str">
        <f>HYPERLINK("https://ssdweb.co/ssdweb/CERTH/629453267.pdf","CERTI")</f>
        <v>CERTI</v>
      </c>
    </row>
    <row r="3904" spans="1:27" ht="15" x14ac:dyDescent="0.25">
      <c r="A3904" s="2">
        <v>3899</v>
      </c>
      <c r="B3904" s="39">
        <v>925621685</v>
      </c>
      <c r="C3904" s="28" t="str">
        <f>HYPERLINK("https://pld.live/RapDetail.aspx?STONELIST=925621685","DNA")</f>
        <v>DNA</v>
      </c>
      <c r="D3904" s="18" t="s">
        <v>711</v>
      </c>
      <c r="E3904" s="18" t="s">
        <v>5128</v>
      </c>
      <c r="F3904" s="2" t="s">
        <v>7987</v>
      </c>
      <c r="G3904" s="2" t="s">
        <v>1573</v>
      </c>
      <c r="H3904" s="14">
        <v>1.55</v>
      </c>
      <c r="I3904" s="2" t="s">
        <v>4761</v>
      </c>
      <c r="J3904" s="2" t="s">
        <v>3942</v>
      </c>
      <c r="K3904" s="2" t="s">
        <v>1452</v>
      </c>
      <c r="L3904" s="2" t="s">
        <v>5221</v>
      </c>
      <c r="M3904" s="2" t="s">
        <v>5221</v>
      </c>
      <c r="N3904" s="2" t="s">
        <v>2317</v>
      </c>
      <c r="O3904" s="14">
        <v>11600</v>
      </c>
      <c r="P3904" s="14">
        <v>98.9</v>
      </c>
      <c r="Q3904" s="14">
        <v>127.6</v>
      </c>
      <c r="R3904" s="14">
        <v>197.78</v>
      </c>
      <c r="S3904" s="2" t="s">
        <v>3717</v>
      </c>
      <c r="T3904" s="2">
        <v>1.4</v>
      </c>
      <c r="U3904" s="2">
        <v>60.9</v>
      </c>
      <c r="V3904" s="2">
        <v>61</v>
      </c>
      <c r="W3904" s="2" t="s">
        <v>4336</v>
      </c>
      <c r="X3904" s="2" t="s">
        <v>471</v>
      </c>
      <c r="Y3904" s="2">
        <v>17980</v>
      </c>
      <c r="Z3904" s="19" t="str">
        <f>HYPERLINK("https://ssdweb.co/ssdweb/hd/Vision360.html?d=925621685&amp;zoomslide=1&amp;z=1925621685&amp;ISCONFIRM=0","VIDEO")</f>
        <v>VIDEO</v>
      </c>
      <c r="AA3904" s="19" t="str">
        <f>HYPERLINK("https://ssdweb.co/ssdweb/CERTH/621496767.pdf","CERTI")</f>
        <v>CERTI</v>
      </c>
    </row>
    <row r="3905" spans="1:27" ht="15" x14ac:dyDescent="0.25">
      <c r="A3905" s="2">
        <v>3900</v>
      </c>
      <c r="B3905" s="39">
        <v>925621384</v>
      </c>
      <c r="C3905" s="28" t="str">
        <f>HYPERLINK("https://pld.live/RapDetail.aspx?STONELIST=925621384","DNA")</f>
        <v>DNA</v>
      </c>
      <c r="D3905" s="18" t="s">
        <v>711</v>
      </c>
      <c r="E3905" s="18" t="s">
        <v>5128</v>
      </c>
      <c r="F3905" s="2" t="s">
        <v>5597</v>
      </c>
      <c r="G3905" s="2" t="s">
        <v>1573</v>
      </c>
      <c r="H3905" s="14">
        <v>1.55</v>
      </c>
      <c r="I3905" s="2" t="s">
        <v>4761</v>
      </c>
      <c r="J3905" s="2" t="s">
        <v>3942</v>
      </c>
      <c r="K3905" s="2" t="s">
        <v>1452</v>
      </c>
      <c r="L3905" s="2" t="s">
        <v>5221</v>
      </c>
      <c r="M3905" s="2" t="s">
        <v>5221</v>
      </c>
      <c r="N3905" s="2" t="s">
        <v>2317</v>
      </c>
      <c r="O3905" s="14">
        <v>11600</v>
      </c>
      <c r="P3905" s="14">
        <v>97.89</v>
      </c>
      <c r="Q3905" s="14">
        <v>244.76</v>
      </c>
      <c r="R3905" s="14">
        <v>379.38</v>
      </c>
      <c r="S3905" s="2" t="s">
        <v>4252</v>
      </c>
      <c r="T3905" s="2">
        <v>1.38</v>
      </c>
      <c r="U3905" s="2">
        <v>62.5</v>
      </c>
      <c r="V3905" s="2">
        <v>60</v>
      </c>
      <c r="W3905" s="2" t="s">
        <v>7862</v>
      </c>
      <c r="X3905" s="2" t="s">
        <v>471</v>
      </c>
      <c r="Y3905" s="2">
        <v>17980</v>
      </c>
      <c r="Z3905" s="19" t="str">
        <f>HYPERLINK("https://ssdweb.co/ssdweb/hd/Vision360.html?d=925621384&amp;zoomslide=1&amp;z=1925621384&amp;ISCONFIRM=0","VIDEO")</f>
        <v>VIDEO</v>
      </c>
      <c r="AA3905" s="19" t="str">
        <f>HYPERLINK("https://ssdweb.co/ssdweb/CERTH/7486535645.pdf","CERTI")</f>
        <v>CERTI</v>
      </c>
    </row>
    <row r="3906" spans="1:27" ht="15" x14ac:dyDescent="0.25">
      <c r="A3906" s="2">
        <v>3901</v>
      </c>
      <c r="B3906" s="39">
        <v>925551810</v>
      </c>
      <c r="C3906" s="28" t="str">
        <f>HYPERLINK("https://pld.live/RapDetail.aspx?STONELIST=925551810","DNA")</f>
        <v>DNA</v>
      </c>
      <c r="D3906" s="18" t="s">
        <v>711</v>
      </c>
      <c r="E3906" s="18" t="s">
        <v>5128</v>
      </c>
      <c r="F3906" s="2" t="s">
        <v>7987</v>
      </c>
      <c r="G3906" s="2" t="s">
        <v>1573</v>
      </c>
      <c r="H3906" s="14">
        <v>1.55</v>
      </c>
      <c r="I3906" s="2" t="s">
        <v>4761</v>
      </c>
      <c r="J3906" s="2" t="s">
        <v>3942</v>
      </c>
      <c r="K3906" s="2" t="s">
        <v>1452</v>
      </c>
      <c r="L3906" s="2" t="s">
        <v>5221</v>
      </c>
      <c r="M3906" s="2" t="s">
        <v>5221</v>
      </c>
      <c r="N3906" s="2" t="s">
        <v>2317</v>
      </c>
      <c r="O3906" s="14">
        <v>11600</v>
      </c>
      <c r="P3906" s="14">
        <v>98.9</v>
      </c>
      <c r="Q3906" s="14">
        <v>127.6</v>
      </c>
      <c r="R3906" s="14">
        <v>197.78</v>
      </c>
      <c r="S3906" s="2" t="s">
        <v>5349</v>
      </c>
      <c r="T3906" s="2">
        <v>1.36</v>
      </c>
      <c r="U3906" s="2">
        <v>62.9</v>
      </c>
      <c r="V3906" s="2">
        <v>61</v>
      </c>
      <c r="W3906" s="2" t="s">
        <v>4336</v>
      </c>
      <c r="X3906" s="2" t="s">
        <v>471</v>
      </c>
      <c r="Y3906" s="2">
        <v>17980</v>
      </c>
      <c r="Z3906" s="19" t="str">
        <f>HYPERLINK("https://ssdweb.co/ssdweb/hd/Vision360.html?d=925551810&amp;zoomslide=1&amp;z=1925551810&amp;ISCONFIRM=0","VIDEO")</f>
        <v>VIDEO</v>
      </c>
      <c r="AA3906" s="19" t="str">
        <f>HYPERLINK("https://ssdweb.co/ssdweb/CERTH/619469666.pdf","CERTI")</f>
        <v>CERTI</v>
      </c>
    </row>
    <row r="3907" spans="1:27" ht="15" x14ac:dyDescent="0.25">
      <c r="A3907" s="2">
        <v>3902</v>
      </c>
      <c r="B3907" s="39">
        <v>925981083</v>
      </c>
      <c r="C3907" s="28" t="str">
        <f>HYPERLINK("https://pld.live/RapDetail.aspx?STONELIST=925981083","DNA")</f>
        <v>DNA</v>
      </c>
      <c r="D3907" s="18" t="s">
        <v>711</v>
      </c>
      <c r="E3907" s="18" t="s">
        <v>5128</v>
      </c>
      <c r="F3907" s="2" t="s">
        <v>7987</v>
      </c>
      <c r="G3907" s="2" t="s">
        <v>1573</v>
      </c>
      <c r="H3907" s="14">
        <v>1.55</v>
      </c>
      <c r="I3907" s="2" t="s">
        <v>4761</v>
      </c>
      <c r="J3907" s="2" t="s">
        <v>3942</v>
      </c>
      <c r="K3907" s="2" t="s">
        <v>1452</v>
      </c>
      <c r="L3907" s="2" t="s">
        <v>5221</v>
      </c>
      <c r="M3907" s="2" t="s">
        <v>5221</v>
      </c>
      <c r="N3907" s="2" t="s">
        <v>2317</v>
      </c>
      <c r="O3907" s="14">
        <v>11600</v>
      </c>
      <c r="P3907" s="14">
        <v>98.9</v>
      </c>
      <c r="Q3907" s="14">
        <v>127.6</v>
      </c>
      <c r="R3907" s="14">
        <v>197.78</v>
      </c>
      <c r="S3907" s="2" t="s">
        <v>334</v>
      </c>
      <c r="T3907" s="2">
        <v>1.36</v>
      </c>
      <c r="U3907" s="2">
        <v>62.3</v>
      </c>
      <c r="V3907" s="2">
        <v>60</v>
      </c>
      <c r="W3907" s="2" t="s">
        <v>4336</v>
      </c>
      <c r="X3907" s="2" t="s">
        <v>471</v>
      </c>
      <c r="Y3907" s="2">
        <v>17980</v>
      </c>
      <c r="Z3907" s="19" t="str">
        <f>HYPERLINK("https://ssdweb.co/ssdweb/hd/Vision360.html?d=925981083&amp;zoomslide=1&amp;z=1925981083&amp;ISCONFIRM=0","VIDEO")</f>
        <v>VIDEO</v>
      </c>
      <c r="AA3907" s="19" t="str">
        <f>HYPERLINK("https://ssdweb.co/ssdweb/CERTH/629479151.pdf","CERTI")</f>
        <v>CERTI</v>
      </c>
    </row>
    <row r="3908" spans="1:27" ht="15" x14ac:dyDescent="0.25">
      <c r="A3908" s="2">
        <v>3903</v>
      </c>
      <c r="B3908" s="39">
        <v>925961193</v>
      </c>
      <c r="C3908" s="28" t="str">
        <f>HYPERLINK("https://pld.live/RapDetail.aspx?STONELIST=925961193","DNA")</f>
        <v>DNA</v>
      </c>
      <c r="D3908" s="18" t="s">
        <v>711</v>
      </c>
      <c r="E3908" s="18" t="s">
        <v>5128</v>
      </c>
      <c r="F3908" s="2" t="s">
        <v>7987</v>
      </c>
      <c r="G3908" s="2" t="s">
        <v>1573</v>
      </c>
      <c r="H3908" s="14">
        <v>1.55</v>
      </c>
      <c r="I3908" s="2" t="s">
        <v>4761</v>
      </c>
      <c r="J3908" s="2" t="s">
        <v>13</v>
      </c>
      <c r="K3908" s="2" t="s">
        <v>1452</v>
      </c>
      <c r="L3908" s="2" t="s">
        <v>5221</v>
      </c>
      <c r="M3908" s="2" t="s">
        <v>5221</v>
      </c>
      <c r="N3908" s="2" t="s">
        <v>2317</v>
      </c>
      <c r="O3908" s="14">
        <v>10800</v>
      </c>
      <c r="P3908" s="14">
        <v>98.86</v>
      </c>
      <c r="Q3908" s="14">
        <v>123.12</v>
      </c>
      <c r="R3908" s="14">
        <v>190.84</v>
      </c>
      <c r="S3908" s="2" t="s">
        <v>6430</v>
      </c>
      <c r="T3908" s="2">
        <v>1.38</v>
      </c>
      <c r="U3908" s="2">
        <v>61.6</v>
      </c>
      <c r="V3908" s="2">
        <v>61</v>
      </c>
      <c r="W3908" s="2" t="s">
        <v>4336</v>
      </c>
      <c r="X3908" s="2" t="s">
        <v>471</v>
      </c>
      <c r="Y3908" s="2">
        <v>16740</v>
      </c>
      <c r="Z3908" s="19" t="str">
        <f>HYPERLINK("https://ssdweb.co/ssdweb/hd/Vision360.html?d=925961193&amp;zoomslide=1&amp;z=1925961193&amp;ISCONFIRM=0","VIDEO")</f>
        <v>VIDEO</v>
      </c>
      <c r="AA3908" s="19" t="str">
        <f>HYPERLINK("https://ssdweb.co/ssdweb/CERTH/629453242.pdf","CERTI")</f>
        <v>CERTI</v>
      </c>
    </row>
    <row r="3909" spans="1:27" ht="15" x14ac:dyDescent="0.25">
      <c r="A3909" s="2">
        <v>3904</v>
      </c>
      <c r="B3909" s="39">
        <v>925552023</v>
      </c>
      <c r="C3909" s="28" t="str">
        <f>HYPERLINK("https://pld.live/RapDetail.aspx?STONELIST=925552023","DNA")</f>
        <v>DNA</v>
      </c>
      <c r="D3909" s="18" t="s">
        <v>711</v>
      </c>
      <c r="E3909" s="18" t="s">
        <v>5128</v>
      </c>
      <c r="F3909" s="2" t="s">
        <v>7987</v>
      </c>
      <c r="G3909" s="2" t="s">
        <v>1573</v>
      </c>
      <c r="H3909" s="14">
        <v>1.55</v>
      </c>
      <c r="I3909" s="2" t="s">
        <v>4761</v>
      </c>
      <c r="J3909" s="2" t="s">
        <v>13</v>
      </c>
      <c r="K3909" s="2" t="s">
        <v>1452</v>
      </c>
      <c r="L3909" s="2" t="s">
        <v>5221</v>
      </c>
      <c r="M3909" s="2" t="s">
        <v>5221</v>
      </c>
      <c r="N3909" s="2" t="s">
        <v>2317</v>
      </c>
      <c r="O3909" s="14">
        <v>10800</v>
      </c>
      <c r="P3909" s="14">
        <v>98.86</v>
      </c>
      <c r="Q3909" s="14">
        <v>123.12</v>
      </c>
      <c r="R3909" s="14">
        <v>190.84</v>
      </c>
      <c r="S3909" s="2" t="s">
        <v>4147</v>
      </c>
      <c r="T3909" s="2">
        <v>1.38</v>
      </c>
      <c r="U3909" s="2">
        <v>60.8</v>
      </c>
      <c r="V3909" s="2">
        <v>61</v>
      </c>
      <c r="W3909" s="2" t="s">
        <v>4336</v>
      </c>
      <c r="X3909" s="2" t="s">
        <v>471</v>
      </c>
      <c r="Y3909" s="2">
        <v>16740</v>
      </c>
      <c r="Z3909" s="19" t="str">
        <f>HYPERLINK("https://ssdweb.co/ssdweb/hd/Vision360.html?d=925552023&amp;zoomslide=1&amp;z=1925552023&amp;ISCONFIRM=0","VIDEO")</f>
        <v>VIDEO</v>
      </c>
      <c r="AA3909" s="19" t="str">
        <f>HYPERLINK("https://ssdweb.co/ssdweb/CERTH/623446099.pdf","CERTI")</f>
        <v>CERTI</v>
      </c>
    </row>
    <row r="3910" spans="1:27" ht="15" x14ac:dyDescent="0.25">
      <c r="A3910" s="2">
        <v>3905</v>
      </c>
      <c r="B3910" s="39">
        <v>925521577</v>
      </c>
      <c r="C3910" s="28" t="str">
        <f>HYPERLINK("https://pld.live/RapDetail.aspx?STONELIST=925521577","DNA")</f>
        <v>DNA</v>
      </c>
      <c r="D3910" s="18" t="s">
        <v>711</v>
      </c>
      <c r="E3910" s="18" t="s">
        <v>5128</v>
      </c>
      <c r="F3910" s="2" t="s">
        <v>5597</v>
      </c>
      <c r="G3910" s="2" t="s">
        <v>1573</v>
      </c>
      <c r="H3910" s="14">
        <v>1.55</v>
      </c>
      <c r="I3910" s="2" t="s">
        <v>4761</v>
      </c>
      <c r="J3910" s="2" t="s">
        <v>13</v>
      </c>
      <c r="K3910" s="2" t="s">
        <v>1452</v>
      </c>
      <c r="L3910" s="2" t="s">
        <v>5221</v>
      </c>
      <c r="M3910" s="2" t="s">
        <v>5221</v>
      </c>
      <c r="N3910" s="2" t="s">
        <v>2317</v>
      </c>
      <c r="O3910" s="14">
        <v>10800</v>
      </c>
      <c r="P3910" s="14">
        <v>97.82</v>
      </c>
      <c r="Q3910" s="14">
        <v>235.44</v>
      </c>
      <c r="R3910" s="14">
        <v>364.93</v>
      </c>
      <c r="S3910" s="2" t="s">
        <v>39</v>
      </c>
      <c r="T3910" s="2">
        <v>1.39</v>
      </c>
      <c r="U3910" s="2">
        <v>60.7</v>
      </c>
      <c r="V3910" s="2">
        <v>61</v>
      </c>
      <c r="W3910" s="2" t="s">
        <v>7862</v>
      </c>
      <c r="X3910" s="2" t="s">
        <v>471</v>
      </c>
      <c r="Y3910" s="2">
        <v>16740</v>
      </c>
      <c r="Z3910" s="19" t="str">
        <f>HYPERLINK("https://ssdweb.co/ssdweb/hd/Vision360.html?d=925521577&amp;zoomslide=1&amp;z=1925521577&amp;ISCONFIRM=0","VIDEO")</f>
        <v>VIDEO</v>
      </c>
      <c r="AA3910" s="19" t="str">
        <f>HYPERLINK("https://ssdweb.co/ssdweb/CERTH/7486478968.pdf","CERTI")</f>
        <v>CERTI</v>
      </c>
    </row>
    <row r="3911" spans="1:27" ht="15" x14ac:dyDescent="0.25">
      <c r="A3911" s="2">
        <v>3906</v>
      </c>
      <c r="B3911" s="39">
        <v>925961194</v>
      </c>
      <c r="C3911" s="28" t="str">
        <f>HYPERLINK("https://pld.live/RapDetail.aspx?STONELIST=925961194","DNA")</f>
        <v>DNA</v>
      </c>
      <c r="D3911" s="18" t="s">
        <v>711</v>
      </c>
      <c r="E3911" s="18" t="s">
        <v>5128</v>
      </c>
      <c r="F3911" s="2" t="s">
        <v>7987</v>
      </c>
      <c r="G3911" s="2" t="s">
        <v>1573</v>
      </c>
      <c r="H3911" s="14">
        <v>1.55</v>
      </c>
      <c r="I3911" s="2" t="s">
        <v>4699</v>
      </c>
      <c r="J3911" s="2" t="s">
        <v>3942</v>
      </c>
      <c r="K3911" s="2" t="s">
        <v>1452</v>
      </c>
      <c r="L3911" s="2" t="s">
        <v>5221</v>
      </c>
      <c r="M3911" s="2" t="s">
        <v>5221</v>
      </c>
      <c r="N3911" s="2" t="s">
        <v>2317</v>
      </c>
      <c r="O3911" s="14">
        <v>10800</v>
      </c>
      <c r="P3911" s="14">
        <v>98.84</v>
      </c>
      <c r="Q3911" s="14">
        <v>125.28</v>
      </c>
      <c r="R3911" s="14">
        <v>194.18</v>
      </c>
      <c r="S3911" s="2" t="s">
        <v>4956</v>
      </c>
      <c r="T3911" s="2">
        <v>1.38</v>
      </c>
      <c r="U3911" s="2">
        <v>62.5</v>
      </c>
      <c r="V3911" s="2">
        <v>60</v>
      </c>
      <c r="W3911" s="2" t="s">
        <v>7862</v>
      </c>
      <c r="X3911" s="2" t="s">
        <v>471</v>
      </c>
      <c r="Y3911" s="2">
        <v>16740</v>
      </c>
      <c r="Z3911" s="19" t="str">
        <f>HYPERLINK("https://ssdweb.co/ssdweb/hd/Vision360.html?d=925961194&amp;zoomslide=1&amp;z=1925961194&amp;ISCONFIRM=0","VIDEO")</f>
        <v>VIDEO</v>
      </c>
      <c r="AA3911" s="19" t="str">
        <f>HYPERLINK("https://ssdweb.co/ssdweb/CERTH/629453243.pdf","CERTI")</f>
        <v>CERTI</v>
      </c>
    </row>
    <row r="3912" spans="1:27" ht="15" x14ac:dyDescent="0.25">
      <c r="A3912" s="2">
        <v>3907</v>
      </c>
      <c r="B3912" s="39">
        <v>925621832</v>
      </c>
      <c r="C3912" s="28" t="str">
        <f>HYPERLINK("https://pld.live/RapDetail.aspx?STONELIST=925621832","DNA")</f>
        <v>DNA</v>
      </c>
      <c r="D3912" s="18" t="s">
        <v>711</v>
      </c>
      <c r="E3912" s="18" t="s">
        <v>5128</v>
      </c>
      <c r="F3912" s="2" t="s">
        <v>7987</v>
      </c>
      <c r="G3912" s="2" t="s">
        <v>1573</v>
      </c>
      <c r="H3912" s="14">
        <v>1.55</v>
      </c>
      <c r="I3912" s="2" t="s">
        <v>4699</v>
      </c>
      <c r="J3912" s="2" t="s">
        <v>3942</v>
      </c>
      <c r="K3912" s="2" t="s">
        <v>1452</v>
      </c>
      <c r="L3912" s="2" t="s">
        <v>5221</v>
      </c>
      <c r="M3912" s="2" t="s">
        <v>5221</v>
      </c>
      <c r="N3912" s="2" t="s">
        <v>2317</v>
      </c>
      <c r="O3912" s="14">
        <v>10800</v>
      </c>
      <c r="P3912" s="14">
        <v>98.86</v>
      </c>
      <c r="Q3912" s="14">
        <v>123.12</v>
      </c>
      <c r="R3912" s="14">
        <v>190.84</v>
      </c>
      <c r="S3912" s="2" t="s">
        <v>4831</v>
      </c>
      <c r="T3912" s="2">
        <v>1.36</v>
      </c>
      <c r="U3912" s="2">
        <v>62</v>
      </c>
      <c r="V3912" s="2">
        <v>61</v>
      </c>
      <c r="W3912" s="2" t="s">
        <v>4336</v>
      </c>
      <c r="X3912" s="2" t="s">
        <v>471</v>
      </c>
      <c r="Y3912" s="2">
        <v>16740</v>
      </c>
      <c r="Z3912" s="19" t="str">
        <f>HYPERLINK("https://ssdweb.co/ssdweb/hd/Vision360.html?d=925621832&amp;zoomslide=1&amp;z=1925621832&amp;ISCONFIRM=0","VIDEO")</f>
        <v>VIDEO</v>
      </c>
      <c r="AA3912" s="19" t="str">
        <f>HYPERLINK("https://ssdweb.co/ssdweb/CERTH/623449291.pdf","CERTI")</f>
        <v>CERTI</v>
      </c>
    </row>
    <row r="3913" spans="1:27" ht="15" x14ac:dyDescent="0.25">
      <c r="A3913" s="2">
        <v>3908</v>
      </c>
      <c r="B3913" s="39">
        <v>925621413</v>
      </c>
      <c r="C3913" s="28" t="str">
        <f>HYPERLINK("https://pld.live/RapDetail.aspx?STONELIST=925621413","DNA")</f>
        <v>DNA</v>
      </c>
      <c r="D3913" s="18" t="s">
        <v>711</v>
      </c>
      <c r="E3913" s="18" t="s">
        <v>5128</v>
      </c>
      <c r="F3913" s="2" t="s">
        <v>7987</v>
      </c>
      <c r="G3913" s="2" t="s">
        <v>1573</v>
      </c>
      <c r="H3913" s="14">
        <v>1.55</v>
      </c>
      <c r="I3913" s="2" t="s">
        <v>6587</v>
      </c>
      <c r="J3913" s="2" t="s">
        <v>3942</v>
      </c>
      <c r="K3913" s="2" t="s">
        <v>1452</v>
      </c>
      <c r="L3913" s="2" t="s">
        <v>5221</v>
      </c>
      <c r="M3913" s="2" t="s">
        <v>5221</v>
      </c>
      <c r="N3913" s="2" t="s">
        <v>2317</v>
      </c>
      <c r="O3913" s="14">
        <v>10000</v>
      </c>
      <c r="P3913" s="14">
        <v>98.87</v>
      </c>
      <c r="Q3913" s="14">
        <v>113</v>
      </c>
      <c r="R3913" s="14">
        <v>175.15</v>
      </c>
      <c r="S3913" s="2" t="s">
        <v>3649</v>
      </c>
      <c r="T3913" s="2">
        <v>1.38</v>
      </c>
      <c r="U3913" s="2">
        <v>61.9</v>
      </c>
      <c r="V3913" s="2">
        <v>61</v>
      </c>
      <c r="W3913" s="2" t="s">
        <v>4336</v>
      </c>
      <c r="X3913" s="2" t="s">
        <v>471</v>
      </c>
      <c r="Y3913" s="2">
        <v>15500</v>
      </c>
      <c r="Z3913" s="19" t="str">
        <f>HYPERLINK("https://ssdweb.co/ssdweb/hd/Vision360.html?d=925621413&amp;zoomslide=1&amp;z=1925621413&amp;ISCONFIRM=0","VIDEO")</f>
        <v>VIDEO</v>
      </c>
      <c r="AA3913" s="19" t="str">
        <f>HYPERLINK("https://ssdweb.co/ssdweb/CERTH/620448961.pdf","CERTI")</f>
        <v>CERTI</v>
      </c>
    </row>
    <row r="3914" spans="1:27" ht="15" x14ac:dyDescent="0.25">
      <c r="A3914" s="2">
        <v>3909</v>
      </c>
      <c r="B3914" s="39">
        <v>925521613</v>
      </c>
      <c r="C3914" s="28" t="str">
        <f>HYPERLINK("https://pld.live/RapDetail.aspx?STONELIST=925521613","DNA")</f>
        <v>DNA</v>
      </c>
      <c r="D3914" s="18" t="s">
        <v>711</v>
      </c>
      <c r="E3914" s="18" t="s">
        <v>5128</v>
      </c>
      <c r="F3914" s="2" t="s">
        <v>7987</v>
      </c>
      <c r="G3914" s="2" t="s">
        <v>1573</v>
      </c>
      <c r="H3914" s="14">
        <v>1.55</v>
      </c>
      <c r="I3914" s="2" t="s">
        <v>6587</v>
      </c>
      <c r="J3914" s="2" t="s">
        <v>3942</v>
      </c>
      <c r="K3914" s="2" t="s">
        <v>1452</v>
      </c>
      <c r="L3914" s="2" t="s">
        <v>5221</v>
      </c>
      <c r="M3914" s="2" t="s">
        <v>5221</v>
      </c>
      <c r="N3914" s="2" t="s">
        <v>2317</v>
      </c>
      <c r="O3914" s="14">
        <v>10000</v>
      </c>
      <c r="P3914" s="14">
        <v>98.87</v>
      </c>
      <c r="Q3914" s="14">
        <v>113</v>
      </c>
      <c r="R3914" s="14">
        <v>175.15</v>
      </c>
      <c r="S3914" s="2" t="s">
        <v>392</v>
      </c>
      <c r="T3914" s="2">
        <v>1.38</v>
      </c>
      <c r="U3914" s="2">
        <v>62.1</v>
      </c>
      <c r="V3914" s="2">
        <v>62</v>
      </c>
      <c r="W3914" s="2" t="s">
        <v>4336</v>
      </c>
      <c r="X3914" s="2" t="s">
        <v>471</v>
      </c>
      <c r="Y3914" s="2">
        <v>15500</v>
      </c>
      <c r="Z3914" s="19" t="str">
        <f>HYPERLINK("https://ssdweb.co/ssdweb/hd/Vision360.html?d=925521613&amp;zoomslide=1&amp;z=1925521613&amp;ISCONFIRM=0","VIDEO")</f>
        <v>VIDEO</v>
      </c>
      <c r="AA3914" s="19" t="str">
        <f>HYPERLINK("https://ssdweb.co/ssdweb/CERTH/619424133.pdf","CERTI")</f>
        <v>CERTI</v>
      </c>
    </row>
    <row r="3915" spans="1:27" ht="15" x14ac:dyDescent="0.25">
      <c r="A3915" s="2">
        <v>3910</v>
      </c>
      <c r="B3915" s="39">
        <v>925460021</v>
      </c>
      <c r="C3915" s="28" t="str">
        <f>HYPERLINK("https://pld.live/RapDetail.aspx?STONELIST=925460021","DNA")</f>
        <v>DNA</v>
      </c>
      <c r="D3915" s="18" t="s">
        <v>711</v>
      </c>
      <c r="E3915" s="18" t="s">
        <v>2186</v>
      </c>
      <c r="F3915" s="2" t="s">
        <v>7987</v>
      </c>
      <c r="G3915" s="2" t="s">
        <v>1573</v>
      </c>
      <c r="H3915" s="14">
        <v>1.55</v>
      </c>
      <c r="I3915" s="2" t="s">
        <v>1505</v>
      </c>
      <c r="J3915" s="2" t="s">
        <v>3942</v>
      </c>
      <c r="K3915" s="2" t="s">
        <v>1452</v>
      </c>
      <c r="L3915" s="2" t="s">
        <v>5221</v>
      </c>
      <c r="M3915" s="2" t="s">
        <v>5221</v>
      </c>
      <c r="N3915" s="2" t="s">
        <v>2317</v>
      </c>
      <c r="O3915" s="14">
        <v>8400</v>
      </c>
      <c r="P3915" s="14">
        <v>98.71</v>
      </c>
      <c r="Q3915" s="14">
        <v>108.36</v>
      </c>
      <c r="R3915" s="14">
        <v>167.96</v>
      </c>
      <c r="S3915" s="2" t="s">
        <v>6263</v>
      </c>
      <c r="T3915" s="2">
        <v>1.4</v>
      </c>
      <c r="U3915" s="2">
        <v>59.9</v>
      </c>
      <c r="V3915" s="2">
        <v>62</v>
      </c>
      <c r="W3915" s="2" t="s">
        <v>8016</v>
      </c>
      <c r="X3915" s="2" t="s">
        <v>471</v>
      </c>
      <c r="Y3915" s="2">
        <v>13020</v>
      </c>
      <c r="Z3915" s="19" t="str">
        <f>HYPERLINK("https://ssdweb.co/ssdweb/hd/Vision360.html?d=925460021&amp;zoomslide=1&amp;z=1925460021&amp;ISCONFIRM=0","VIDEO")</f>
        <v>VIDEO</v>
      </c>
      <c r="AA3915" s="19" t="str">
        <f>HYPERLINK("https://ssdweb.co/ssdweb/CERTH/616434424.pdf","CERTI")</f>
        <v>CERTI</v>
      </c>
    </row>
    <row r="3916" spans="1:27" ht="15" x14ac:dyDescent="0.25">
      <c r="A3916" s="2">
        <v>3911</v>
      </c>
      <c r="B3916" s="39">
        <v>831010755</v>
      </c>
      <c r="C3916" s="28" t="str">
        <f>HYPERLINK("https://pld.live/RapDetail.aspx?STONELIST=831010755","DNA")</f>
        <v>DNA</v>
      </c>
      <c r="D3916" s="18" t="s">
        <v>711</v>
      </c>
      <c r="E3916" s="18" t="s">
        <v>5128</v>
      </c>
      <c r="F3916" s="2" t="s">
        <v>7987</v>
      </c>
      <c r="G3916" s="2" t="s">
        <v>1573</v>
      </c>
      <c r="H3916" s="14">
        <v>1.54</v>
      </c>
      <c r="I3916" s="2" t="s">
        <v>267</v>
      </c>
      <c r="J3916" s="2" t="s">
        <v>7032</v>
      </c>
      <c r="K3916" s="2" t="s">
        <v>1452</v>
      </c>
      <c r="L3916" s="2" t="s">
        <v>5221</v>
      </c>
      <c r="M3916" s="2" t="s">
        <v>5221</v>
      </c>
      <c r="N3916" s="2" t="s">
        <v>2317</v>
      </c>
      <c r="O3916" s="14">
        <v>14100</v>
      </c>
      <c r="P3916" s="14">
        <v>96.28</v>
      </c>
      <c r="Q3916" s="14">
        <v>524.52</v>
      </c>
      <c r="R3916" s="14">
        <v>807.76</v>
      </c>
      <c r="S3916" s="2" t="s">
        <v>422</v>
      </c>
      <c r="T3916" s="2">
        <v>1.37</v>
      </c>
      <c r="U3916" s="2">
        <v>62.5</v>
      </c>
      <c r="V3916" s="2">
        <v>62</v>
      </c>
      <c r="W3916" s="2" t="s">
        <v>7862</v>
      </c>
      <c r="X3916" s="2" t="s">
        <v>471</v>
      </c>
      <c r="Y3916" s="2">
        <v>21714</v>
      </c>
      <c r="Z3916" s="19" t="str">
        <f>HYPERLINK("https://ssdweb.co/ssdweb/hd/Vision360.html?d=831010755&amp;zoomslide=1&amp;z=1831010755&amp;ISCONFIRM=0","VIDEO")</f>
        <v>VIDEO</v>
      </c>
      <c r="AA3916" s="19" t="str">
        <f>HYPERLINK("https://ssdweb.co/ssdweb/CERTH/628427051.pdf","CERTI")</f>
        <v>CERTI</v>
      </c>
    </row>
    <row r="3917" spans="1:27" ht="15" x14ac:dyDescent="0.25">
      <c r="A3917" s="2">
        <v>3912</v>
      </c>
      <c r="B3917" s="39">
        <v>925540944</v>
      </c>
      <c r="C3917" s="28" t="str">
        <f>HYPERLINK("https://pld.live/RapDetail.aspx?STONELIST=925540944","DNA")</f>
        <v>DNA</v>
      </c>
      <c r="D3917" s="18" t="s">
        <v>711</v>
      </c>
      <c r="E3917" s="18" t="s">
        <v>5128</v>
      </c>
      <c r="F3917" s="2" t="s">
        <v>7987</v>
      </c>
      <c r="G3917" s="2" t="s">
        <v>1573</v>
      </c>
      <c r="H3917" s="14">
        <v>1.54</v>
      </c>
      <c r="I3917" s="2" t="s">
        <v>267</v>
      </c>
      <c r="J3917" s="2" t="s">
        <v>7032</v>
      </c>
      <c r="K3917" s="2" t="s">
        <v>1452</v>
      </c>
      <c r="L3917" s="2" t="s">
        <v>5221</v>
      </c>
      <c r="M3917" s="2" t="s">
        <v>5221</v>
      </c>
      <c r="N3917" s="2" t="s">
        <v>2317</v>
      </c>
      <c r="O3917" s="14">
        <v>14100</v>
      </c>
      <c r="P3917" s="14">
        <v>96.28</v>
      </c>
      <c r="Q3917" s="14">
        <v>524.52</v>
      </c>
      <c r="R3917" s="14">
        <v>807.76</v>
      </c>
      <c r="S3917" s="2" t="s">
        <v>3917</v>
      </c>
      <c r="T3917" s="2">
        <v>1.36</v>
      </c>
      <c r="U3917" s="2">
        <v>63</v>
      </c>
      <c r="V3917" s="2">
        <v>60</v>
      </c>
      <c r="W3917" s="2" t="s">
        <v>7862</v>
      </c>
      <c r="X3917" s="2" t="s">
        <v>471</v>
      </c>
      <c r="Y3917" s="2">
        <v>21714</v>
      </c>
      <c r="Z3917" s="19" t="str">
        <f>HYPERLINK("https://ssdweb.co/ssdweb/hd/Vision360.html?d=925540944&amp;zoomslide=1&amp;z=1925540944&amp;ISCONFIRM=0","VIDEO")</f>
        <v>VIDEO</v>
      </c>
      <c r="AA3917" s="19" t="str">
        <f>HYPERLINK("https://ssdweb.co/ssdweb/CERTH/618439764.pdf","CERTI")</f>
        <v>CERTI</v>
      </c>
    </row>
    <row r="3918" spans="1:27" ht="15" x14ac:dyDescent="0.25">
      <c r="A3918" s="2">
        <v>3913</v>
      </c>
      <c r="B3918" s="39">
        <v>925771195</v>
      </c>
      <c r="C3918" s="28" t="str">
        <f>HYPERLINK("https://pld.live/RapDetail.aspx?STONELIST=925771195","DNA")</f>
        <v>DNA</v>
      </c>
      <c r="D3918" s="18" t="s">
        <v>711</v>
      </c>
      <c r="E3918" s="18" t="s">
        <v>5128</v>
      </c>
      <c r="F3918" s="2" t="s">
        <v>7987</v>
      </c>
      <c r="G3918" s="2" t="s">
        <v>1573</v>
      </c>
      <c r="H3918" s="14">
        <v>1.54</v>
      </c>
      <c r="I3918" s="2" t="s">
        <v>267</v>
      </c>
      <c r="J3918" s="2" t="s">
        <v>6555</v>
      </c>
      <c r="K3918" s="2" t="s">
        <v>1452</v>
      </c>
      <c r="L3918" s="2" t="s">
        <v>5221</v>
      </c>
      <c r="M3918" s="2" t="s">
        <v>5221</v>
      </c>
      <c r="N3918" s="2" t="s">
        <v>2317</v>
      </c>
      <c r="O3918" s="14">
        <v>13200</v>
      </c>
      <c r="P3918" s="14">
        <v>98.6</v>
      </c>
      <c r="Q3918" s="14">
        <v>184.8</v>
      </c>
      <c r="R3918" s="14">
        <v>284.58999999999997</v>
      </c>
      <c r="S3918" s="2" t="s">
        <v>1378</v>
      </c>
      <c r="T3918" s="2">
        <v>1.36</v>
      </c>
      <c r="U3918" s="2">
        <v>62.4</v>
      </c>
      <c r="V3918" s="2">
        <v>60</v>
      </c>
      <c r="W3918" s="2" t="s">
        <v>7862</v>
      </c>
      <c r="X3918" s="2" t="s">
        <v>471</v>
      </c>
      <c r="Y3918" s="2">
        <v>20328</v>
      </c>
      <c r="Z3918" s="19" t="str">
        <f>HYPERLINK("https://ssdweb.co/ssdweb/hd/Vision360.html?d=925771195&amp;zoomslide=1&amp;z=1925771195&amp;ISCONFIRM=0","VIDEO")</f>
        <v>VIDEO</v>
      </c>
      <c r="AA3918" s="19" t="str">
        <f>HYPERLINK("https://ssdweb.co/ssdweb/CERTH/626466222.pdf","CERTI")</f>
        <v>CERTI</v>
      </c>
    </row>
    <row r="3919" spans="1:27" ht="15" x14ac:dyDescent="0.25">
      <c r="A3919" s="2">
        <v>3914</v>
      </c>
      <c r="B3919" s="39">
        <v>821124335</v>
      </c>
      <c r="C3919" s="28" t="str">
        <f>HYPERLINK("https://pld.live/RapDetail.aspx?STONELIST=821124335","DNA")</f>
        <v>DNA</v>
      </c>
      <c r="D3919" s="18" t="s">
        <v>711</v>
      </c>
      <c r="E3919" s="18" t="s">
        <v>5128</v>
      </c>
      <c r="F3919" s="2" t="s">
        <v>7987</v>
      </c>
      <c r="G3919" s="2" t="s">
        <v>1573</v>
      </c>
      <c r="H3919" s="14">
        <v>1.54</v>
      </c>
      <c r="I3919" s="2" t="s">
        <v>267</v>
      </c>
      <c r="J3919" s="2" t="s">
        <v>6555</v>
      </c>
      <c r="K3919" s="2" t="s">
        <v>1452</v>
      </c>
      <c r="L3919" s="2" t="s">
        <v>5221</v>
      </c>
      <c r="M3919" s="2" t="s">
        <v>5221</v>
      </c>
      <c r="N3919" s="2" t="s">
        <v>2317</v>
      </c>
      <c r="O3919" s="14">
        <v>13200</v>
      </c>
      <c r="P3919" s="14">
        <v>98.6</v>
      </c>
      <c r="Q3919" s="14">
        <v>184.8</v>
      </c>
      <c r="R3919" s="14">
        <v>284.58999999999997</v>
      </c>
      <c r="S3919" s="2" t="s">
        <v>1594</v>
      </c>
      <c r="T3919" s="2">
        <v>1.39</v>
      </c>
      <c r="U3919" s="2">
        <v>61.6</v>
      </c>
      <c r="V3919" s="2">
        <v>58</v>
      </c>
      <c r="W3919" s="2" t="s">
        <v>7862</v>
      </c>
      <c r="X3919" s="2" t="s">
        <v>471</v>
      </c>
      <c r="Y3919" s="2">
        <v>20328</v>
      </c>
      <c r="Z3919" s="19" t="str">
        <f>HYPERLINK("https://ssdweb.co/ssdweb/hd/Vision360.html?d=821124335&amp;zoomslide=1&amp;z=1821124335&amp;ISCONFIRM=0","VIDEO")</f>
        <v>VIDEO</v>
      </c>
      <c r="AA3919" s="19" t="str">
        <f>HYPERLINK("https://ssdweb.co/ssdweb/CERTH/604389895.pdf","CERTI")</f>
        <v>CERTI</v>
      </c>
    </row>
    <row r="3920" spans="1:27" ht="15" x14ac:dyDescent="0.25">
      <c r="A3920" s="2">
        <v>3915</v>
      </c>
      <c r="B3920" s="39">
        <v>821124329</v>
      </c>
      <c r="C3920" s="28" t="str">
        <f>HYPERLINK("https://pld.live/RapDetail.aspx?STONELIST=821124329","DNA")</f>
        <v>DNA</v>
      </c>
      <c r="D3920" s="18" t="s">
        <v>711</v>
      </c>
      <c r="E3920" s="18" t="s">
        <v>5128</v>
      </c>
      <c r="F3920" s="2" t="s">
        <v>7987</v>
      </c>
      <c r="G3920" s="2" t="s">
        <v>1573</v>
      </c>
      <c r="H3920" s="14">
        <v>1.54</v>
      </c>
      <c r="I3920" s="2" t="s">
        <v>267</v>
      </c>
      <c r="J3920" s="2" t="s">
        <v>6555</v>
      </c>
      <c r="K3920" s="2" t="s">
        <v>1452</v>
      </c>
      <c r="L3920" s="2" t="s">
        <v>5221</v>
      </c>
      <c r="M3920" s="2" t="s">
        <v>5221</v>
      </c>
      <c r="N3920" s="2" t="s">
        <v>2317</v>
      </c>
      <c r="O3920" s="14">
        <v>13200</v>
      </c>
      <c r="P3920" s="14">
        <v>98.6</v>
      </c>
      <c r="Q3920" s="14">
        <v>184.8</v>
      </c>
      <c r="R3920" s="14">
        <v>284.58999999999997</v>
      </c>
      <c r="S3920" s="2" t="s">
        <v>3339</v>
      </c>
      <c r="T3920" s="2">
        <v>1.38</v>
      </c>
      <c r="U3920" s="2">
        <v>62.8</v>
      </c>
      <c r="V3920" s="2">
        <v>60</v>
      </c>
      <c r="W3920" s="2" t="s">
        <v>7862</v>
      </c>
      <c r="X3920" s="2" t="s">
        <v>471</v>
      </c>
      <c r="Y3920" s="2">
        <v>20328</v>
      </c>
      <c r="Z3920" s="19" t="str">
        <f>HYPERLINK("https://ssdweb.co/ssdweb/hd/Vision360.html?d=821124329&amp;zoomslide=1&amp;z=1821124329&amp;ISCONFIRM=0","VIDEO")</f>
        <v>VIDEO</v>
      </c>
      <c r="AA3920" s="19" t="str">
        <f>HYPERLINK("https://ssdweb.co/ssdweb/CERTH/604390055.pdf","CERTI")</f>
        <v>CERTI</v>
      </c>
    </row>
    <row r="3921" spans="1:27" ht="15" x14ac:dyDescent="0.25">
      <c r="A3921" s="2">
        <v>3916</v>
      </c>
      <c r="B3921" s="39">
        <v>821124248</v>
      </c>
      <c r="C3921" s="28" t="str">
        <f>HYPERLINK("https://pld.live/RapDetail.aspx?STONELIST=821124248","DNA")</f>
        <v>DNA</v>
      </c>
      <c r="D3921" s="18" t="s">
        <v>711</v>
      </c>
      <c r="E3921" s="18" t="s">
        <v>5128</v>
      </c>
      <c r="F3921" s="2" t="s">
        <v>7987</v>
      </c>
      <c r="G3921" s="2" t="s">
        <v>1573</v>
      </c>
      <c r="H3921" s="14">
        <v>1.54</v>
      </c>
      <c r="I3921" s="2" t="s">
        <v>267</v>
      </c>
      <c r="J3921" s="2" t="s">
        <v>6555</v>
      </c>
      <c r="K3921" s="2" t="s">
        <v>1452</v>
      </c>
      <c r="L3921" s="2" t="s">
        <v>5221</v>
      </c>
      <c r="M3921" s="2" t="s">
        <v>5221</v>
      </c>
      <c r="N3921" s="2" t="s">
        <v>2317</v>
      </c>
      <c r="O3921" s="14">
        <v>13200</v>
      </c>
      <c r="P3921" s="14">
        <v>98.6</v>
      </c>
      <c r="Q3921" s="14">
        <v>184.8</v>
      </c>
      <c r="R3921" s="14">
        <v>284.58999999999997</v>
      </c>
      <c r="S3921" s="2" t="s">
        <v>7908</v>
      </c>
      <c r="T3921" s="2">
        <v>1.38</v>
      </c>
      <c r="U3921" s="2">
        <v>62.3</v>
      </c>
      <c r="V3921" s="2">
        <v>59</v>
      </c>
      <c r="W3921" s="2" t="s">
        <v>7862</v>
      </c>
      <c r="X3921" s="2" t="s">
        <v>471</v>
      </c>
      <c r="Y3921" s="2">
        <v>20328</v>
      </c>
      <c r="Z3921" s="19" t="str">
        <f>HYPERLINK("https://ssdweb.co/ssdweb/hd/Vision360.html?d=821124248&amp;zoomslide=1&amp;z=1821124248&amp;ISCONFIRM=0","VIDEO")</f>
        <v>VIDEO</v>
      </c>
      <c r="AA3921" s="19" t="str">
        <f>HYPERLINK("https://ssdweb.co/ssdweb/CERTH/606361675.pdf","CERTI")</f>
        <v>CERTI</v>
      </c>
    </row>
    <row r="3922" spans="1:27" ht="15" x14ac:dyDescent="0.25">
      <c r="A3922" s="2">
        <v>3917</v>
      </c>
      <c r="B3922" s="39">
        <v>821123366</v>
      </c>
      <c r="C3922" s="28" t="str">
        <f>HYPERLINK("https://pld.live/RapDetail.aspx?STONELIST=821123366","DNA")</f>
        <v>DNA</v>
      </c>
      <c r="D3922" s="18" t="s">
        <v>711</v>
      </c>
      <c r="E3922" s="18" t="s">
        <v>5128</v>
      </c>
      <c r="F3922" s="2" t="s">
        <v>7987</v>
      </c>
      <c r="G3922" s="2" t="s">
        <v>1573</v>
      </c>
      <c r="H3922" s="14">
        <v>1.54</v>
      </c>
      <c r="I3922" s="2" t="s">
        <v>267</v>
      </c>
      <c r="J3922" s="2" t="s">
        <v>6555</v>
      </c>
      <c r="K3922" s="2" t="s">
        <v>1452</v>
      </c>
      <c r="L3922" s="2" t="s">
        <v>5221</v>
      </c>
      <c r="M3922" s="2" t="s">
        <v>5221</v>
      </c>
      <c r="N3922" s="2" t="s">
        <v>2317</v>
      </c>
      <c r="O3922" s="14">
        <v>13200</v>
      </c>
      <c r="P3922" s="14">
        <v>98.6</v>
      </c>
      <c r="Q3922" s="14">
        <v>184.8</v>
      </c>
      <c r="R3922" s="14">
        <v>284.58999999999997</v>
      </c>
      <c r="S3922" s="2" t="s">
        <v>2750</v>
      </c>
      <c r="T3922" s="2">
        <v>1.37</v>
      </c>
      <c r="U3922" s="2">
        <v>61.4</v>
      </c>
      <c r="V3922" s="2">
        <v>60</v>
      </c>
      <c r="W3922" s="2" t="s">
        <v>7862</v>
      </c>
      <c r="X3922" s="2" t="s">
        <v>471</v>
      </c>
      <c r="Y3922" s="2">
        <v>20328</v>
      </c>
      <c r="Z3922" s="19" t="str">
        <f>HYPERLINK("https://ssdweb.co/ssdweb/hd/Vision360.html?d=821123366&amp;zoomslide=1&amp;z=1821123366&amp;ISCONFIRM=0","VIDEO")</f>
        <v>VIDEO</v>
      </c>
      <c r="AA3922" s="19" t="str">
        <f>HYPERLINK("https://ssdweb.co/ssdweb/CERTH/602302321.pdf","CERTI")</f>
        <v>CERTI</v>
      </c>
    </row>
    <row r="3923" spans="1:27" ht="15" x14ac:dyDescent="0.25">
      <c r="A3923" s="2">
        <v>3918</v>
      </c>
      <c r="B3923" s="39">
        <v>821123350</v>
      </c>
      <c r="C3923" s="28" t="str">
        <f>HYPERLINK("https://pld.live/RapDetail.aspx?STONELIST=821123350","DNA")</f>
        <v>DNA</v>
      </c>
      <c r="D3923" s="18" t="s">
        <v>711</v>
      </c>
      <c r="E3923" s="18" t="s">
        <v>5128</v>
      </c>
      <c r="F3923" s="2" t="s">
        <v>7987</v>
      </c>
      <c r="G3923" s="2" t="s">
        <v>1573</v>
      </c>
      <c r="H3923" s="14">
        <v>1.54</v>
      </c>
      <c r="I3923" s="2" t="s">
        <v>267</v>
      </c>
      <c r="J3923" s="2" t="s">
        <v>6555</v>
      </c>
      <c r="K3923" s="2" t="s">
        <v>1452</v>
      </c>
      <c r="L3923" s="2" t="s">
        <v>5221</v>
      </c>
      <c r="M3923" s="2" t="s">
        <v>5221</v>
      </c>
      <c r="N3923" s="2" t="s">
        <v>2317</v>
      </c>
      <c r="O3923" s="14">
        <v>13200</v>
      </c>
      <c r="P3923" s="14">
        <v>98.6</v>
      </c>
      <c r="Q3923" s="14">
        <v>184.8</v>
      </c>
      <c r="R3923" s="14">
        <v>284.58999999999997</v>
      </c>
      <c r="S3923" s="2" t="s">
        <v>4927</v>
      </c>
      <c r="T3923" s="2">
        <v>1.4</v>
      </c>
      <c r="U3923" s="2">
        <v>61.7</v>
      </c>
      <c r="V3923" s="2">
        <v>61</v>
      </c>
      <c r="W3923" s="2" t="s">
        <v>7862</v>
      </c>
      <c r="X3923" s="2" t="s">
        <v>471</v>
      </c>
      <c r="Y3923" s="2">
        <v>20328</v>
      </c>
      <c r="Z3923" s="19" t="str">
        <f>HYPERLINK("https://ssdweb.co/ssdweb/hd/Vision360.html?d=821123350&amp;zoomslide=1&amp;z=1821123350&amp;ISCONFIRM=0","VIDEO")</f>
        <v>VIDEO</v>
      </c>
      <c r="AA3923" s="19" t="str">
        <f>HYPERLINK("https://ssdweb.co/ssdweb/CERTH/602301345.pdf","CERTI")</f>
        <v>CERTI</v>
      </c>
    </row>
    <row r="3924" spans="1:27" ht="15" x14ac:dyDescent="0.25">
      <c r="A3924" s="2">
        <v>3919</v>
      </c>
      <c r="B3924" s="39">
        <v>925120034</v>
      </c>
      <c r="C3924" s="28" t="str">
        <f>HYPERLINK("https://pld.live/RapDetail.aspx?STONELIST=925120034","DNA")</f>
        <v>DNA</v>
      </c>
      <c r="D3924" s="18" t="s">
        <v>711</v>
      </c>
      <c r="E3924" s="18" t="s">
        <v>5128</v>
      </c>
      <c r="F3924" s="2" t="s">
        <v>7987</v>
      </c>
      <c r="G3924" s="2" t="s">
        <v>1573</v>
      </c>
      <c r="H3924" s="14">
        <v>1.54</v>
      </c>
      <c r="I3924" s="2" t="s">
        <v>267</v>
      </c>
      <c r="J3924" s="2" t="s">
        <v>6555</v>
      </c>
      <c r="K3924" s="2" t="s">
        <v>1452</v>
      </c>
      <c r="L3924" s="2" t="s">
        <v>5221</v>
      </c>
      <c r="M3924" s="2" t="s">
        <v>5221</v>
      </c>
      <c r="N3924" s="2" t="s">
        <v>2317</v>
      </c>
      <c r="O3924" s="14">
        <v>13200</v>
      </c>
      <c r="P3924" s="14">
        <v>98.6</v>
      </c>
      <c r="Q3924" s="14">
        <v>184.8</v>
      </c>
      <c r="R3924" s="14">
        <v>284.58999999999997</v>
      </c>
      <c r="S3924" s="2" t="s">
        <v>7747</v>
      </c>
      <c r="T3924" s="2">
        <v>1.38</v>
      </c>
      <c r="U3924" s="2">
        <v>62.3</v>
      </c>
      <c r="V3924" s="2">
        <v>60</v>
      </c>
      <c r="W3924" s="2" t="s">
        <v>7862</v>
      </c>
      <c r="X3924" s="2" t="s">
        <v>471</v>
      </c>
      <c r="Y3924" s="2">
        <v>20328</v>
      </c>
      <c r="Z3924" s="19" t="str">
        <f>HYPERLINK("https://ssdweb.co/ssdweb/hd/Vision360.html?d=925120034&amp;zoomslide=1&amp;z=1925120034&amp;ISCONFIRM=0","VIDEO")</f>
        <v>VIDEO</v>
      </c>
      <c r="AA3924" s="19" t="str">
        <f>HYPERLINK("https://ssdweb.co/ssdweb/CERTH/606318416.pdf","CERTI")</f>
        <v>CERTI</v>
      </c>
    </row>
    <row r="3925" spans="1:27" ht="15" x14ac:dyDescent="0.25">
      <c r="A3925" s="2">
        <v>3920</v>
      </c>
      <c r="B3925" s="39">
        <v>925551783</v>
      </c>
      <c r="C3925" s="28" t="str">
        <f>HYPERLINK("https://pld.live/RapDetail.aspx?STONELIST=925551783","DNA")</f>
        <v>DNA</v>
      </c>
      <c r="D3925" s="18" t="s">
        <v>711</v>
      </c>
      <c r="E3925" s="18" t="s">
        <v>5128</v>
      </c>
      <c r="F3925" s="2" t="s">
        <v>7987</v>
      </c>
      <c r="G3925" s="2" t="s">
        <v>1573</v>
      </c>
      <c r="H3925" s="14">
        <v>1.54</v>
      </c>
      <c r="I3925" s="2" t="s">
        <v>267</v>
      </c>
      <c r="J3925" s="2" t="s">
        <v>6555</v>
      </c>
      <c r="K3925" s="2" t="s">
        <v>1452</v>
      </c>
      <c r="L3925" s="2" t="s">
        <v>5221</v>
      </c>
      <c r="M3925" s="2" t="s">
        <v>5221</v>
      </c>
      <c r="N3925" s="2" t="s">
        <v>2317</v>
      </c>
      <c r="O3925" s="14">
        <v>13200</v>
      </c>
      <c r="P3925" s="14">
        <v>98.6</v>
      </c>
      <c r="Q3925" s="14">
        <v>184.8</v>
      </c>
      <c r="R3925" s="14">
        <v>284.58999999999997</v>
      </c>
      <c r="S3925" s="2" t="s">
        <v>1338</v>
      </c>
      <c r="T3925" s="2">
        <v>1.36</v>
      </c>
      <c r="U3925" s="2">
        <v>62.7</v>
      </c>
      <c r="V3925" s="2">
        <v>60</v>
      </c>
      <c r="W3925" s="2" t="s">
        <v>7862</v>
      </c>
      <c r="X3925" s="2" t="s">
        <v>471</v>
      </c>
      <c r="Y3925" s="2">
        <v>20328</v>
      </c>
      <c r="Z3925" s="19" t="str">
        <f>HYPERLINK("https://ssdweb.co/ssdweb/hd/Vision360.html?d=925551783&amp;zoomslide=1&amp;z=1925551783&amp;ISCONFIRM=0","VIDEO")</f>
        <v>VIDEO</v>
      </c>
      <c r="AA3925" s="19" t="str">
        <f>HYPERLINK("https://ssdweb.co/ssdweb/CERTH/620469747.pdf","CERTI")</f>
        <v>CERTI</v>
      </c>
    </row>
    <row r="3926" spans="1:27" ht="15" x14ac:dyDescent="0.25">
      <c r="A3926" s="2">
        <v>3921</v>
      </c>
      <c r="B3926" s="39">
        <v>925540683</v>
      </c>
      <c r="C3926" s="28" t="str">
        <f>HYPERLINK("https://pld.live/RapDetail.aspx?STONELIST=925540683","DNA")</f>
        <v>DNA</v>
      </c>
      <c r="D3926" s="18" t="s">
        <v>711</v>
      </c>
      <c r="E3926" s="18" t="s">
        <v>5128</v>
      </c>
      <c r="F3926" s="2" t="s">
        <v>7987</v>
      </c>
      <c r="G3926" s="2" t="s">
        <v>1573</v>
      </c>
      <c r="H3926" s="14">
        <v>1.54</v>
      </c>
      <c r="I3926" s="2" t="s">
        <v>267</v>
      </c>
      <c r="J3926" s="2" t="s">
        <v>6555</v>
      </c>
      <c r="K3926" s="2" t="s">
        <v>1452</v>
      </c>
      <c r="L3926" s="2" t="s">
        <v>5221</v>
      </c>
      <c r="M3926" s="2" t="s">
        <v>5221</v>
      </c>
      <c r="N3926" s="2" t="s">
        <v>2317</v>
      </c>
      <c r="O3926" s="14">
        <v>13200</v>
      </c>
      <c r="P3926" s="14">
        <v>98.6</v>
      </c>
      <c r="Q3926" s="14">
        <v>184.8</v>
      </c>
      <c r="R3926" s="14">
        <v>284.58999999999997</v>
      </c>
      <c r="S3926" s="2" t="s">
        <v>6726</v>
      </c>
      <c r="T3926" s="2">
        <v>1.36</v>
      </c>
      <c r="U3926" s="2">
        <v>62.2</v>
      </c>
      <c r="V3926" s="2">
        <v>59</v>
      </c>
      <c r="W3926" s="2" t="s">
        <v>7862</v>
      </c>
      <c r="X3926" s="2" t="s">
        <v>471</v>
      </c>
      <c r="Y3926" s="2">
        <v>20328</v>
      </c>
      <c r="Z3926" s="19" t="str">
        <f>HYPERLINK("https://ssdweb.co/ssdweb/hd/Vision360.html?d=925540683&amp;zoomslide=1&amp;z=1925540683&amp;ISCONFIRM=0","VIDEO")</f>
        <v>VIDEO</v>
      </c>
      <c r="AA3926" s="19" t="str">
        <f>HYPERLINK("https://ssdweb.co/ssdweb/CERTH/618439809.pdf","CERTI")</f>
        <v>CERTI</v>
      </c>
    </row>
    <row r="3927" spans="1:27" ht="15" x14ac:dyDescent="0.25">
      <c r="A3927" s="2">
        <v>3922</v>
      </c>
      <c r="B3927" s="39">
        <v>925501731</v>
      </c>
      <c r="C3927" s="28" t="str">
        <f>HYPERLINK("https://pld.live/RapDetail.aspx?STONELIST=925501731","DNA")</f>
        <v>DNA</v>
      </c>
      <c r="D3927" s="18" t="s">
        <v>711</v>
      </c>
      <c r="E3927" s="18" t="s">
        <v>5128</v>
      </c>
      <c r="F3927" s="2" t="s">
        <v>7987</v>
      </c>
      <c r="G3927" s="2" t="s">
        <v>1573</v>
      </c>
      <c r="H3927" s="14">
        <v>1.54</v>
      </c>
      <c r="I3927" s="2" t="s">
        <v>267</v>
      </c>
      <c r="J3927" s="2" t="s">
        <v>6555</v>
      </c>
      <c r="K3927" s="2" t="s">
        <v>1452</v>
      </c>
      <c r="L3927" s="2" t="s">
        <v>5221</v>
      </c>
      <c r="M3927" s="2" t="s">
        <v>5221</v>
      </c>
      <c r="N3927" s="2" t="s">
        <v>2317</v>
      </c>
      <c r="O3927" s="14">
        <v>13200</v>
      </c>
      <c r="P3927" s="14">
        <v>98.6</v>
      </c>
      <c r="Q3927" s="14">
        <v>184.8</v>
      </c>
      <c r="R3927" s="14">
        <v>284.58999999999997</v>
      </c>
      <c r="S3927" s="2" t="s">
        <v>1945</v>
      </c>
      <c r="T3927" s="2">
        <v>1.36</v>
      </c>
      <c r="U3927" s="2">
        <v>62.4</v>
      </c>
      <c r="V3927" s="2">
        <v>62</v>
      </c>
      <c r="W3927" s="2" t="s">
        <v>7862</v>
      </c>
      <c r="X3927" s="2" t="s">
        <v>471</v>
      </c>
      <c r="Y3927" s="2">
        <v>20328</v>
      </c>
      <c r="Z3927" s="19" t="str">
        <f>HYPERLINK("https://ssdweb.co/ssdweb/hd/Vision360.html?d=925501731&amp;zoomslide=1&amp;z=1925501731&amp;ISCONFIRM=0","VIDEO")</f>
        <v>VIDEO</v>
      </c>
      <c r="AA3927" s="19" t="str">
        <f>HYPERLINK("https://ssdweb.co/ssdweb/CERTH/617485891.pdf","CERTI")</f>
        <v>CERTI</v>
      </c>
    </row>
    <row r="3928" spans="1:27" ht="15" x14ac:dyDescent="0.25">
      <c r="A3928" s="2">
        <v>3923</v>
      </c>
      <c r="B3928" s="39">
        <v>925540171</v>
      </c>
      <c r="C3928" s="28" t="str">
        <f>HYPERLINK("https://pld.live/RapDetail.aspx?STONELIST=925540171","DNA")</f>
        <v>DNA</v>
      </c>
      <c r="D3928" s="18" t="s">
        <v>711</v>
      </c>
      <c r="E3928" s="18" t="s">
        <v>5128</v>
      </c>
      <c r="F3928" s="2" t="s">
        <v>7987</v>
      </c>
      <c r="G3928" s="2" t="s">
        <v>1573</v>
      </c>
      <c r="H3928" s="14">
        <v>1.54</v>
      </c>
      <c r="I3928" s="2" t="s">
        <v>267</v>
      </c>
      <c r="J3928" s="2" t="s">
        <v>6555</v>
      </c>
      <c r="K3928" s="2" t="s">
        <v>1452</v>
      </c>
      <c r="L3928" s="2" t="s">
        <v>5221</v>
      </c>
      <c r="M3928" s="2" t="s">
        <v>5221</v>
      </c>
      <c r="N3928" s="2" t="s">
        <v>2317</v>
      </c>
      <c r="O3928" s="14">
        <v>13200</v>
      </c>
      <c r="P3928" s="14">
        <v>98.6</v>
      </c>
      <c r="Q3928" s="14">
        <v>184.8</v>
      </c>
      <c r="R3928" s="14">
        <v>284.58999999999997</v>
      </c>
      <c r="S3928" s="2" t="s">
        <v>1689</v>
      </c>
      <c r="T3928" s="2">
        <v>1.36</v>
      </c>
      <c r="U3928" s="2">
        <v>59.4</v>
      </c>
      <c r="V3928" s="2">
        <v>62</v>
      </c>
      <c r="W3928" s="2" t="s">
        <v>7862</v>
      </c>
      <c r="X3928" s="2" t="s">
        <v>471</v>
      </c>
      <c r="Y3928" s="2">
        <v>20328</v>
      </c>
      <c r="Z3928" s="19" t="str">
        <f>HYPERLINK("https://ssdweb.co/ssdweb/hd/Vision360.html?d=925540171&amp;zoomslide=1&amp;z=1925540171&amp;ISCONFIRM=0","VIDEO")</f>
        <v>VIDEO</v>
      </c>
      <c r="AA3928" s="19" t="str">
        <f>HYPERLINK("https://ssdweb.co/ssdweb/CERTH/617485876.pdf","CERTI")</f>
        <v>CERTI</v>
      </c>
    </row>
    <row r="3929" spans="1:27" ht="15" x14ac:dyDescent="0.25">
      <c r="A3929" s="2">
        <v>3924</v>
      </c>
      <c r="B3929" s="39">
        <v>925502148</v>
      </c>
      <c r="C3929" s="28" t="str">
        <f>HYPERLINK("https://pld.live/RapDetail.aspx?STONELIST=925502148","DNA")</f>
        <v>DNA</v>
      </c>
      <c r="D3929" s="18" t="s">
        <v>711</v>
      </c>
      <c r="E3929" s="18" t="s">
        <v>5128</v>
      </c>
      <c r="F3929" s="2" t="s">
        <v>7987</v>
      </c>
      <c r="G3929" s="2" t="s">
        <v>1573</v>
      </c>
      <c r="H3929" s="14">
        <v>1.54</v>
      </c>
      <c r="I3929" s="2" t="s">
        <v>267</v>
      </c>
      <c r="J3929" s="2" t="s">
        <v>6555</v>
      </c>
      <c r="K3929" s="2" t="s">
        <v>1452</v>
      </c>
      <c r="L3929" s="2" t="s">
        <v>5221</v>
      </c>
      <c r="M3929" s="2" t="s">
        <v>5221</v>
      </c>
      <c r="N3929" s="2" t="s">
        <v>2317</v>
      </c>
      <c r="O3929" s="14">
        <v>13200</v>
      </c>
      <c r="P3929" s="14">
        <v>98.6</v>
      </c>
      <c r="Q3929" s="14">
        <v>184.8</v>
      </c>
      <c r="R3929" s="14">
        <v>284.58999999999997</v>
      </c>
      <c r="S3929" s="2" t="s">
        <v>4616</v>
      </c>
      <c r="T3929" s="2">
        <v>1.37</v>
      </c>
      <c r="U3929" s="2">
        <v>62.6</v>
      </c>
      <c r="V3929" s="2">
        <v>62</v>
      </c>
      <c r="W3929" s="2" t="s">
        <v>7862</v>
      </c>
      <c r="X3929" s="2" t="s">
        <v>471</v>
      </c>
      <c r="Y3929" s="2">
        <v>20328</v>
      </c>
      <c r="Z3929" s="19" t="str">
        <f>HYPERLINK("https://ssdweb.co/ssdweb/hd/Vision360.html?d=925502148&amp;zoomslide=1&amp;z=1925502148&amp;ISCONFIRM=0","VIDEO")</f>
        <v>VIDEO</v>
      </c>
      <c r="AA3929" s="19" t="str">
        <f>HYPERLINK("https://ssdweb.co/ssdweb/CERTH/617413028.pdf","CERTI")</f>
        <v>CERTI</v>
      </c>
    </row>
    <row r="3930" spans="1:27" ht="15" x14ac:dyDescent="0.25">
      <c r="A3930" s="2">
        <v>3925</v>
      </c>
      <c r="B3930" s="39">
        <v>925620718</v>
      </c>
      <c r="C3930" s="28" t="str">
        <f>HYPERLINK("https://pld.live/RapDetail.aspx?STONELIST=925620718","DNA")</f>
        <v>DNA</v>
      </c>
      <c r="D3930" s="18" t="s">
        <v>711</v>
      </c>
      <c r="E3930" s="18" t="s">
        <v>5128</v>
      </c>
      <c r="F3930" s="2" t="s">
        <v>5597</v>
      </c>
      <c r="G3930" s="2" t="s">
        <v>1573</v>
      </c>
      <c r="H3930" s="14">
        <v>1.54</v>
      </c>
      <c r="I3930" s="2" t="s">
        <v>267</v>
      </c>
      <c r="J3930" s="2" t="s">
        <v>6555</v>
      </c>
      <c r="K3930" s="2" t="s">
        <v>1452</v>
      </c>
      <c r="L3930" s="2" t="s">
        <v>5221</v>
      </c>
      <c r="M3930" s="2" t="s">
        <v>5221</v>
      </c>
      <c r="N3930" s="2" t="s">
        <v>2317</v>
      </c>
      <c r="O3930" s="14">
        <v>13200</v>
      </c>
      <c r="P3930" s="14">
        <v>97.61</v>
      </c>
      <c r="Q3930" s="14">
        <v>315.48</v>
      </c>
      <c r="R3930" s="14">
        <v>485.84</v>
      </c>
      <c r="S3930" s="2" t="s">
        <v>4956</v>
      </c>
      <c r="T3930" s="2">
        <v>1.38</v>
      </c>
      <c r="U3930" s="2">
        <v>62.5</v>
      </c>
      <c r="V3930" s="2">
        <v>61</v>
      </c>
      <c r="W3930" s="2" t="s">
        <v>7862</v>
      </c>
      <c r="X3930" s="2" t="s">
        <v>471</v>
      </c>
      <c r="Y3930" s="2">
        <v>20328</v>
      </c>
      <c r="Z3930" s="19" t="str">
        <f>HYPERLINK("https://ssdweb.co/ssdweb/hd/Vision360.html?d=925620718&amp;zoomslide=1&amp;z=1925620718&amp;ISCONFIRM=0","VIDEO")</f>
        <v>VIDEO</v>
      </c>
      <c r="AA3930" s="19" t="str">
        <f>HYPERLINK("https://ssdweb.co/ssdweb/CERTH/7483496195.pdf","CERTI")</f>
        <v>CERTI</v>
      </c>
    </row>
    <row r="3931" spans="1:27" ht="15" x14ac:dyDescent="0.25">
      <c r="A3931" s="2">
        <v>3926</v>
      </c>
      <c r="B3931" s="39">
        <v>926041253</v>
      </c>
      <c r="C3931" s="28" t="str">
        <f>HYPERLINK("https://pld.live/RapDetail.aspx?STONELIST=926041253","DNA")</f>
        <v>DNA</v>
      </c>
      <c r="D3931" s="18" t="s">
        <v>711</v>
      </c>
      <c r="E3931" s="18" t="s">
        <v>5128</v>
      </c>
      <c r="F3931" s="2" t="s">
        <v>7987</v>
      </c>
      <c r="G3931" s="2" t="s">
        <v>1573</v>
      </c>
      <c r="H3931" s="14">
        <v>1.54</v>
      </c>
      <c r="I3931" s="2" t="s">
        <v>267</v>
      </c>
      <c r="J3931" s="2" t="s">
        <v>6555</v>
      </c>
      <c r="K3931" s="2" t="s">
        <v>1452</v>
      </c>
      <c r="L3931" s="2" t="s">
        <v>5221</v>
      </c>
      <c r="M3931" s="2" t="s">
        <v>5221</v>
      </c>
      <c r="N3931" s="2" t="s">
        <v>2317</v>
      </c>
      <c r="O3931" s="14">
        <v>13200</v>
      </c>
      <c r="P3931" s="14">
        <v>98.6</v>
      </c>
      <c r="Q3931" s="14">
        <v>184.8</v>
      </c>
      <c r="R3931" s="14">
        <v>284.58999999999997</v>
      </c>
      <c r="S3931" s="2" t="s">
        <v>625</v>
      </c>
      <c r="T3931" s="2">
        <v>1.36</v>
      </c>
      <c r="U3931" s="2">
        <v>62.8</v>
      </c>
      <c r="V3931" s="2">
        <v>62</v>
      </c>
      <c r="W3931" s="2" t="s">
        <v>7862</v>
      </c>
      <c r="X3931" s="2" t="s">
        <v>471</v>
      </c>
      <c r="Y3931" s="2">
        <v>20328</v>
      </c>
      <c r="Z3931" s="19" t="str">
        <f>HYPERLINK("https://ssdweb.co/ssdweb/hd/Vision360.html?d=926041253&amp;zoomslide=1&amp;z=1926041253&amp;ISCONFIRM=0","VIDEO")</f>
        <v>VIDEO</v>
      </c>
      <c r="AA3931" s="19" t="str">
        <f>HYPERLINK("https://ssdweb.co/ssdweb/CERTH/631430174.pdf","CERTI")</f>
        <v>CERTI</v>
      </c>
    </row>
    <row r="3932" spans="1:27" ht="15" x14ac:dyDescent="0.25">
      <c r="A3932" s="2">
        <v>3927</v>
      </c>
      <c r="B3932" s="39">
        <v>926071543</v>
      </c>
      <c r="C3932" s="28" t="str">
        <f>HYPERLINK("https://pld.live/RapDetail.aspx?STONELIST=926071543","DNA")</f>
        <v>DNA</v>
      </c>
      <c r="D3932" s="18" t="s">
        <v>711</v>
      </c>
      <c r="E3932" s="18" t="s">
        <v>5128</v>
      </c>
      <c r="F3932" s="2" t="s">
        <v>7987</v>
      </c>
      <c r="G3932" s="2" t="s">
        <v>1573</v>
      </c>
      <c r="H3932" s="14">
        <v>1.54</v>
      </c>
      <c r="I3932" s="2" t="s">
        <v>267</v>
      </c>
      <c r="J3932" s="2" t="s">
        <v>6555</v>
      </c>
      <c r="K3932" s="2" t="s">
        <v>1452</v>
      </c>
      <c r="L3932" s="2" t="s">
        <v>5721</v>
      </c>
      <c r="M3932" s="2" t="s">
        <v>5221</v>
      </c>
      <c r="N3932" s="2" t="s">
        <v>2317</v>
      </c>
      <c r="O3932" s="14">
        <v>13200</v>
      </c>
      <c r="P3932" s="14">
        <v>98.61</v>
      </c>
      <c r="Q3932" s="14">
        <v>183.48</v>
      </c>
      <c r="R3932" s="14">
        <v>282.56</v>
      </c>
      <c r="S3932" s="2" t="s">
        <v>782</v>
      </c>
      <c r="T3932" s="2">
        <v>1.36</v>
      </c>
      <c r="U3932" s="2">
        <v>62.8</v>
      </c>
      <c r="V3932" s="2">
        <v>62</v>
      </c>
      <c r="W3932" s="2" t="s">
        <v>7862</v>
      </c>
      <c r="X3932" s="2" t="s">
        <v>471</v>
      </c>
      <c r="Y3932" s="2">
        <v>20328</v>
      </c>
      <c r="Z3932" s="19" t="str">
        <f>HYPERLINK("https://ssdweb.co/ssdweb/hd/Vision360.html?d=926071543&amp;zoomslide=1&amp;z=1926071543&amp;ISCONFIRM=0","VIDEO")</f>
        <v>VIDEO</v>
      </c>
      <c r="AA3932" s="19" t="str">
        <f>HYPERLINK("https://ssdweb.co/ssdweb/CERTH/631430392.pdf","CERTI")</f>
        <v>CERTI</v>
      </c>
    </row>
    <row r="3933" spans="1:27" ht="15" x14ac:dyDescent="0.25">
      <c r="A3933" s="2">
        <v>3928</v>
      </c>
      <c r="B3933" s="39">
        <v>926100881</v>
      </c>
      <c r="C3933" s="28" t="str">
        <f>HYPERLINK("https://pld.live/RapDetail.aspx?STONELIST=926100881","DNA")</f>
        <v>DNA</v>
      </c>
      <c r="D3933" s="18" t="s">
        <v>711</v>
      </c>
      <c r="E3933" s="18" t="s">
        <v>5128</v>
      </c>
      <c r="F3933" s="2" t="s">
        <v>7987</v>
      </c>
      <c r="G3933" s="2" t="s">
        <v>1573</v>
      </c>
      <c r="H3933" s="14">
        <v>1.54</v>
      </c>
      <c r="I3933" s="2" t="s">
        <v>267</v>
      </c>
      <c r="J3933" s="2" t="s">
        <v>6555</v>
      </c>
      <c r="K3933" s="2" t="s">
        <v>1452</v>
      </c>
      <c r="L3933" s="2" t="s">
        <v>5721</v>
      </c>
      <c r="M3933" s="2" t="s">
        <v>5221</v>
      </c>
      <c r="N3933" s="2" t="s">
        <v>2317</v>
      </c>
      <c r="O3933" s="14">
        <v>13200</v>
      </c>
      <c r="P3933" s="14">
        <v>98.61</v>
      </c>
      <c r="Q3933" s="14">
        <v>183.48</v>
      </c>
      <c r="R3933" s="14">
        <v>282.56</v>
      </c>
      <c r="S3933" s="2" t="s">
        <v>2959</v>
      </c>
      <c r="T3933" s="2">
        <v>1.36</v>
      </c>
      <c r="U3933" s="2">
        <v>62.7</v>
      </c>
      <c r="V3933" s="2">
        <v>62</v>
      </c>
      <c r="W3933" s="2" t="s">
        <v>7862</v>
      </c>
      <c r="X3933" s="2" t="s">
        <v>471</v>
      </c>
      <c r="Y3933" s="2">
        <v>20328</v>
      </c>
      <c r="Z3933" s="19" t="str">
        <f>HYPERLINK("https://ssdweb.co/ssdweb/hd/Vision360.html?d=926100881&amp;zoomslide=1&amp;z=1926100881&amp;ISCONFIRM=0","VIDEO")</f>
        <v>VIDEO</v>
      </c>
      <c r="AA3933" s="19" t="str">
        <f>HYPERLINK("https://ssdweb.co/ssdweb/CERTH/631464300.pdf","CERTI")</f>
        <v>CERTI</v>
      </c>
    </row>
    <row r="3934" spans="1:27" ht="15" x14ac:dyDescent="0.25">
      <c r="A3934" s="2">
        <v>3929</v>
      </c>
      <c r="B3934" s="39">
        <v>925551897</v>
      </c>
      <c r="C3934" s="28" t="str">
        <f>HYPERLINK("https://pld.live/RapDetail.aspx?STONELIST=925551897","DNA")</f>
        <v>DNA</v>
      </c>
      <c r="D3934" s="18" t="s">
        <v>711</v>
      </c>
      <c r="E3934" s="18" t="s">
        <v>5128</v>
      </c>
      <c r="F3934" s="2" t="s">
        <v>5597</v>
      </c>
      <c r="G3934" s="2" t="s">
        <v>1573</v>
      </c>
      <c r="H3934" s="14">
        <v>1.54</v>
      </c>
      <c r="I3934" s="2" t="s">
        <v>267</v>
      </c>
      <c r="J3934" s="2" t="s">
        <v>3942</v>
      </c>
      <c r="K3934" s="2" t="s">
        <v>1452</v>
      </c>
      <c r="L3934" s="2" t="s">
        <v>5221</v>
      </c>
      <c r="M3934" s="2" t="s">
        <v>5221</v>
      </c>
      <c r="N3934" s="2" t="s">
        <v>2317</v>
      </c>
      <c r="O3934" s="14">
        <v>12500</v>
      </c>
      <c r="P3934" s="14">
        <v>97.96</v>
      </c>
      <c r="Q3934" s="14">
        <v>255</v>
      </c>
      <c r="R3934" s="14">
        <v>392.7</v>
      </c>
      <c r="S3934" s="2" t="s">
        <v>7080</v>
      </c>
      <c r="T3934" s="2">
        <v>1.38</v>
      </c>
      <c r="U3934" s="2">
        <v>62.4</v>
      </c>
      <c r="V3934" s="2">
        <v>60</v>
      </c>
      <c r="W3934" s="2" t="s">
        <v>7862</v>
      </c>
      <c r="X3934" s="2" t="s">
        <v>471</v>
      </c>
      <c r="Y3934" s="2">
        <v>19250</v>
      </c>
      <c r="Z3934" s="19" t="str">
        <f>HYPERLINK("https://ssdweb.co/ssdweb/hd/Vision360.html?d=925551897&amp;zoomslide=1&amp;z=1925551897&amp;ISCONFIRM=0","VIDEO")</f>
        <v>VIDEO</v>
      </c>
      <c r="AA3934" s="19" t="str">
        <f>HYPERLINK("https://ssdweb.co/ssdweb/CERTH/7482535867.pdf","CERTI")</f>
        <v>CERTI</v>
      </c>
    </row>
    <row r="3935" spans="1:27" ht="15" x14ac:dyDescent="0.25">
      <c r="A3935" s="2">
        <v>3930</v>
      </c>
      <c r="B3935" s="39">
        <v>925551622</v>
      </c>
      <c r="C3935" s="28" t="str">
        <f>HYPERLINK("https://pld.live/RapDetail.aspx?STONELIST=925551622","DNA")</f>
        <v>DNA</v>
      </c>
      <c r="D3935" s="18" t="s">
        <v>711</v>
      </c>
      <c r="E3935" s="18" t="s">
        <v>5128</v>
      </c>
      <c r="F3935" s="2" t="s">
        <v>5597</v>
      </c>
      <c r="G3935" s="2" t="s">
        <v>1573</v>
      </c>
      <c r="H3935" s="14">
        <v>1.54</v>
      </c>
      <c r="I3935" s="2" t="s">
        <v>267</v>
      </c>
      <c r="J3935" s="2" t="s">
        <v>13</v>
      </c>
      <c r="K3935" s="2" t="s">
        <v>1452</v>
      </c>
      <c r="L3935" s="2" t="s">
        <v>5221</v>
      </c>
      <c r="M3935" s="2" t="s">
        <v>5221</v>
      </c>
      <c r="N3935" s="2" t="s">
        <v>2317</v>
      </c>
      <c r="O3935" s="14">
        <v>11600</v>
      </c>
      <c r="P3935" s="14">
        <v>97.93</v>
      </c>
      <c r="Q3935" s="14">
        <v>240.12</v>
      </c>
      <c r="R3935" s="14">
        <v>369.78</v>
      </c>
      <c r="S3935" s="2" t="s">
        <v>1756</v>
      </c>
      <c r="T3935" s="2">
        <v>1.37</v>
      </c>
      <c r="U3935" s="2">
        <v>63.2</v>
      </c>
      <c r="V3935" s="2">
        <v>63</v>
      </c>
      <c r="W3935" s="2" t="s">
        <v>7862</v>
      </c>
      <c r="X3935" s="2" t="s">
        <v>471</v>
      </c>
      <c r="Y3935" s="2">
        <v>17864</v>
      </c>
      <c r="Z3935" s="19" t="str">
        <f>HYPERLINK("https://ssdweb.co/ssdweb/hd/Vision360.html?d=925551622&amp;zoomslide=1&amp;z=1925551622&amp;ISCONFIRM=0","VIDEO")</f>
        <v>VIDEO</v>
      </c>
      <c r="AA3935" s="19" t="str">
        <f>HYPERLINK("https://ssdweb.co/ssdweb/CERTH/3485487101.pdf","CERTI")</f>
        <v>CERTI</v>
      </c>
    </row>
    <row r="3936" spans="1:27" ht="15" x14ac:dyDescent="0.25">
      <c r="A3936" s="2">
        <v>3931</v>
      </c>
      <c r="B3936" s="39">
        <v>925551641</v>
      </c>
      <c r="C3936" s="28" t="str">
        <f>HYPERLINK("https://pld.live/RapDetail.aspx?STONELIST=925551641","DNA")</f>
        <v>DNA</v>
      </c>
      <c r="D3936" s="18" t="s">
        <v>711</v>
      </c>
      <c r="E3936" s="18" t="s">
        <v>5128</v>
      </c>
      <c r="F3936" s="2" t="s">
        <v>5597</v>
      </c>
      <c r="G3936" s="2" t="s">
        <v>1573</v>
      </c>
      <c r="H3936" s="14">
        <v>1.54</v>
      </c>
      <c r="I3936" s="2" t="s">
        <v>267</v>
      </c>
      <c r="J3936" s="2" t="s">
        <v>13</v>
      </c>
      <c r="K3936" s="2" t="s">
        <v>1452</v>
      </c>
      <c r="L3936" s="2" t="s">
        <v>5221</v>
      </c>
      <c r="M3936" s="2" t="s">
        <v>5221</v>
      </c>
      <c r="N3936" s="2" t="s">
        <v>2317</v>
      </c>
      <c r="O3936" s="14">
        <v>11600</v>
      </c>
      <c r="P3936" s="14">
        <v>97.93</v>
      </c>
      <c r="Q3936" s="14">
        <v>240.12</v>
      </c>
      <c r="R3936" s="14">
        <v>369.78</v>
      </c>
      <c r="S3936" s="2" t="s">
        <v>4693</v>
      </c>
      <c r="T3936" s="2">
        <v>1.36</v>
      </c>
      <c r="U3936" s="2">
        <v>62.9</v>
      </c>
      <c r="V3936" s="2">
        <v>61</v>
      </c>
      <c r="W3936" s="2" t="s">
        <v>7862</v>
      </c>
      <c r="X3936" s="2" t="s">
        <v>471</v>
      </c>
      <c r="Y3936" s="2">
        <v>17864</v>
      </c>
      <c r="Z3936" s="19" t="str">
        <f>HYPERLINK("https://ssdweb.co/ssdweb/hd/Vision360.html?d=925551641&amp;zoomslide=1&amp;z=1925551641&amp;ISCONFIRM=0","VIDEO")</f>
        <v>VIDEO</v>
      </c>
      <c r="AA3936" s="19" t="str">
        <f>HYPERLINK("https://ssdweb.co/ssdweb/CERTH/6482487065.pdf","CERTI")</f>
        <v>CERTI</v>
      </c>
    </row>
    <row r="3937" spans="1:27" ht="15" x14ac:dyDescent="0.25">
      <c r="A3937" s="2">
        <v>3932</v>
      </c>
      <c r="B3937" s="39">
        <v>925971204</v>
      </c>
      <c r="C3937" s="28" t="str">
        <f>HYPERLINK("https://pld.live/RapDetail.aspx?STONELIST=925971204","DNA")</f>
        <v>DNA</v>
      </c>
      <c r="D3937" s="18" t="s">
        <v>711</v>
      </c>
      <c r="E3937" s="18" t="s">
        <v>5128</v>
      </c>
      <c r="F3937" s="2" t="s">
        <v>5597</v>
      </c>
      <c r="G3937" s="2" t="s">
        <v>1573</v>
      </c>
      <c r="H3937" s="14">
        <v>1.54</v>
      </c>
      <c r="I3937" s="2" t="s">
        <v>267</v>
      </c>
      <c r="J3937" s="2" t="s">
        <v>13</v>
      </c>
      <c r="K3937" s="2" t="s">
        <v>1452</v>
      </c>
      <c r="L3937" s="2" t="s">
        <v>5221</v>
      </c>
      <c r="M3937" s="2" t="s">
        <v>5221</v>
      </c>
      <c r="N3937" s="2" t="s">
        <v>2317</v>
      </c>
      <c r="O3937" s="14">
        <v>11600</v>
      </c>
      <c r="P3937" s="14">
        <v>97.93</v>
      </c>
      <c r="Q3937" s="14">
        <v>240.12</v>
      </c>
      <c r="R3937" s="14">
        <v>369.78</v>
      </c>
      <c r="S3937" s="2" t="s">
        <v>733</v>
      </c>
      <c r="T3937" s="2">
        <v>1.4</v>
      </c>
      <c r="U3937" s="2">
        <v>60.5</v>
      </c>
      <c r="V3937" s="2">
        <v>61</v>
      </c>
      <c r="W3937" s="2" t="s">
        <v>7862</v>
      </c>
      <c r="X3937" s="2" t="s">
        <v>471</v>
      </c>
      <c r="Y3937" s="2">
        <v>17864</v>
      </c>
      <c r="Z3937" s="19" t="str">
        <f>HYPERLINK("https://ssdweb.co/ssdweb/hd/Vision360.html?d=925971204&amp;zoomslide=1&amp;z=1925971204&amp;ISCONFIRM=0","VIDEO")</f>
        <v>VIDEO</v>
      </c>
      <c r="AA3937" s="19" t="str">
        <f>HYPERLINK("https://ssdweb.co/ssdweb/CERTH/6492087792.pdf","CERTI")</f>
        <v>CERTI</v>
      </c>
    </row>
    <row r="3938" spans="1:27" ht="15" x14ac:dyDescent="0.25">
      <c r="A3938" s="2">
        <v>3933</v>
      </c>
      <c r="B3938" s="39">
        <v>925501710</v>
      </c>
      <c r="C3938" s="28" t="str">
        <f>HYPERLINK("https://pld.live/RapDetail.aspx?STONELIST=925501710","DNA")</f>
        <v>DNA</v>
      </c>
      <c r="D3938" s="18" t="s">
        <v>711</v>
      </c>
      <c r="E3938" s="18" t="s">
        <v>5128</v>
      </c>
      <c r="F3938" s="2" t="s">
        <v>7987</v>
      </c>
      <c r="G3938" s="2" t="s">
        <v>1573</v>
      </c>
      <c r="H3938" s="14">
        <v>1.54</v>
      </c>
      <c r="I3938" s="2" t="s">
        <v>267</v>
      </c>
      <c r="J3938" s="2" t="s">
        <v>444</v>
      </c>
      <c r="K3938" s="2" t="s">
        <v>1452</v>
      </c>
      <c r="L3938" s="2" t="s">
        <v>5221</v>
      </c>
      <c r="M3938" s="2" t="s">
        <v>5221</v>
      </c>
      <c r="N3938" s="2" t="s">
        <v>2317</v>
      </c>
      <c r="O3938" s="14">
        <v>8100</v>
      </c>
      <c r="P3938" s="14">
        <v>98.52</v>
      </c>
      <c r="Q3938" s="14">
        <v>119.88</v>
      </c>
      <c r="R3938" s="14">
        <v>184.62</v>
      </c>
      <c r="S3938" s="2" t="s">
        <v>6562</v>
      </c>
      <c r="T3938" s="2">
        <v>1.36</v>
      </c>
      <c r="U3938" s="2">
        <v>62.4</v>
      </c>
      <c r="V3938" s="2">
        <v>62</v>
      </c>
      <c r="W3938" s="2" t="s">
        <v>7862</v>
      </c>
      <c r="X3938" s="2" t="s">
        <v>471</v>
      </c>
      <c r="Y3938" s="2">
        <v>12474</v>
      </c>
      <c r="Z3938" s="19" t="str">
        <f>HYPERLINK("https://ssdweb.co/ssdweb/hd/Vision360.html?d=925501710&amp;zoomslide=1&amp;z=1925501710&amp;ISCONFIRM=0","VIDEO")</f>
        <v>VIDEO</v>
      </c>
      <c r="AA3938" s="19" t="str">
        <f>HYPERLINK("https://ssdweb.co/ssdweb/CERTH/617485916.pdf","CERTI")</f>
        <v>CERTI</v>
      </c>
    </row>
    <row r="3939" spans="1:27" ht="15" x14ac:dyDescent="0.25">
      <c r="A3939" s="2">
        <v>3934</v>
      </c>
      <c r="B3939" s="39">
        <v>821124353</v>
      </c>
      <c r="C3939" s="28" t="str">
        <f>HYPERLINK("https://pld.live/RapDetail.aspx?STONELIST=821124353","DNA")</f>
        <v>DNA</v>
      </c>
      <c r="D3939" s="18" t="s">
        <v>711</v>
      </c>
      <c r="E3939" s="18" t="s">
        <v>5128</v>
      </c>
      <c r="F3939" s="2" t="s">
        <v>7987</v>
      </c>
      <c r="G3939" s="2" t="s">
        <v>1573</v>
      </c>
      <c r="H3939" s="14">
        <v>1.54</v>
      </c>
      <c r="I3939" s="2" t="s">
        <v>4761</v>
      </c>
      <c r="J3939" s="2" t="s">
        <v>7032</v>
      </c>
      <c r="K3939" s="2" t="s">
        <v>1452</v>
      </c>
      <c r="L3939" s="2" t="s">
        <v>5221</v>
      </c>
      <c r="M3939" s="2" t="s">
        <v>5221</v>
      </c>
      <c r="N3939" s="2" t="s">
        <v>2317</v>
      </c>
      <c r="O3939" s="14">
        <v>13200</v>
      </c>
      <c r="P3939" s="14">
        <v>97.01</v>
      </c>
      <c r="Q3939" s="14">
        <v>394.68</v>
      </c>
      <c r="R3939" s="14">
        <v>607.80999999999995</v>
      </c>
      <c r="S3939" s="2" t="s">
        <v>3654</v>
      </c>
      <c r="T3939" s="2">
        <v>1.39</v>
      </c>
      <c r="U3939" s="2">
        <v>61.5</v>
      </c>
      <c r="V3939" s="2">
        <v>61</v>
      </c>
      <c r="W3939" s="2" t="s">
        <v>7862</v>
      </c>
      <c r="X3939" s="2" t="s">
        <v>471</v>
      </c>
      <c r="Y3939" s="2">
        <v>20328</v>
      </c>
      <c r="Z3939" s="19" t="str">
        <f>HYPERLINK("https://ssdweb.co/ssdweb/hd/Vision360.html?d=821124353&amp;zoomslide=1&amp;z=1821124353&amp;ISCONFIRM=0","VIDEO")</f>
        <v>VIDEO</v>
      </c>
      <c r="AA3939" s="19" t="str">
        <f>HYPERLINK("https://ssdweb.co/ssdweb/CERTH/606361624.pdf","CERTI")</f>
        <v>CERTI</v>
      </c>
    </row>
    <row r="3940" spans="1:27" ht="15" x14ac:dyDescent="0.25">
      <c r="A3940" s="2">
        <v>3935</v>
      </c>
      <c r="B3940" s="39">
        <v>821121400</v>
      </c>
      <c r="C3940" s="28" t="str">
        <f>HYPERLINK("https://pld.live/RapDetail.aspx?STONELIST=821121400","DNA")</f>
        <v>DNA</v>
      </c>
      <c r="D3940" s="18" t="s">
        <v>711</v>
      </c>
      <c r="E3940" s="18" t="s">
        <v>5128</v>
      </c>
      <c r="F3940" s="2" t="s">
        <v>7987</v>
      </c>
      <c r="G3940" s="2" t="s">
        <v>1573</v>
      </c>
      <c r="H3940" s="14">
        <v>1.54</v>
      </c>
      <c r="I3940" s="2" t="s">
        <v>4761</v>
      </c>
      <c r="J3940" s="2" t="s">
        <v>7032</v>
      </c>
      <c r="K3940" s="2" t="s">
        <v>1452</v>
      </c>
      <c r="L3940" s="2" t="s">
        <v>5221</v>
      </c>
      <c r="M3940" s="2" t="s">
        <v>5221</v>
      </c>
      <c r="N3940" s="2" t="s">
        <v>2317</v>
      </c>
      <c r="O3940" s="14">
        <v>13200</v>
      </c>
      <c r="P3940" s="14">
        <v>97.01</v>
      </c>
      <c r="Q3940" s="14">
        <v>394.68</v>
      </c>
      <c r="R3940" s="14">
        <v>607.80999999999995</v>
      </c>
      <c r="S3940" s="2" t="s">
        <v>2196</v>
      </c>
      <c r="T3940" s="2">
        <v>1.41</v>
      </c>
      <c r="U3940" s="2">
        <v>61.1</v>
      </c>
      <c r="V3940" s="2">
        <v>60</v>
      </c>
      <c r="W3940" s="2" t="s">
        <v>7862</v>
      </c>
      <c r="X3940" s="2" t="s">
        <v>471</v>
      </c>
      <c r="Y3940" s="2">
        <v>20328</v>
      </c>
      <c r="Z3940" s="19" t="str">
        <f>HYPERLINK("https://ssdweb.co/ssdweb/hd/Vision360.html?d=821121400&amp;zoomslide=1&amp;z=1821121400&amp;ISCONFIRM=0","VIDEO")</f>
        <v>VIDEO</v>
      </c>
      <c r="AA3940" s="19" t="str">
        <f>HYPERLINK("https://ssdweb.co/ssdweb/CERTH/591350982.pdf","CERTI")</f>
        <v>CERTI</v>
      </c>
    </row>
    <row r="3941" spans="1:27" ht="15" x14ac:dyDescent="0.25">
      <c r="A3941" s="2">
        <v>3936</v>
      </c>
      <c r="B3941" s="39">
        <v>925771282</v>
      </c>
      <c r="C3941" s="28" t="str">
        <f>HYPERLINK("https://pld.live/RapDetail.aspx?STONELIST=925771282","DNA")</f>
        <v>DNA</v>
      </c>
      <c r="D3941" s="18" t="s">
        <v>711</v>
      </c>
      <c r="E3941" s="18" t="s">
        <v>5128</v>
      </c>
      <c r="F3941" s="2" t="s">
        <v>7987</v>
      </c>
      <c r="G3941" s="2" t="s">
        <v>1573</v>
      </c>
      <c r="H3941" s="14">
        <v>1.54</v>
      </c>
      <c r="I3941" s="2" t="s">
        <v>4761</v>
      </c>
      <c r="J3941" s="2" t="s">
        <v>6555</v>
      </c>
      <c r="K3941" s="2" t="s">
        <v>1452</v>
      </c>
      <c r="L3941" s="2" t="s">
        <v>5221</v>
      </c>
      <c r="M3941" s="2" t="s">
        <v>5221</v>
      </c>
      <c r="N3941" s="2" t="s">
        <v>2317</v>
      </c>
      <c r="O3941" s="14">
        <v>12400</v>
      </c>
      <c r="P3941" s="14">
        <v>98.75</v>
      </c>
      <c r="Q3941" s="14">
        <v>155</v>
      </c>
      <c r="R3941" s="14">
        <v>238.7</v>
      </c>
      <c r="S3941" s="2" t="s">
        <v>6532</v>
      </c>
      <c r="T3941" s="2">
        <v>1.4</v>
      </c>
      <c r="U3941" s="2">
        <v>60.7</v>
      </c>
      <c r="V3941" s="2">
        <v>62</v>
      </c>
      <c r="W3941" s="2" t="s">
        <v>7862</v>
      </c>
      <c r="X3941" s="2" t="s">
        <v>471</v>
      </c>
      <c r="Y3941" s="2">
        <v>19096</v>
      </c>
      <c r="Z3941" s="19" t="str">
        <f>HYPERLINK("https://ssdweb.co/ssdweb/hd/Vision360.html?d=925771282&amp;zoomslide=1&amp;z=1925771282&amp;ISCONFIRM=0","VIDEO")</f>
        <v>VIDEO</v>
      </c>
      <c r="AA3941" s="19" t="str">
        <f>HYPERLINK("https://ssdweb.co/ssdweb/CERTH/626427546.pdf","CERTI")</f>
        <v>CERTI</v>
      </c>
    </row>
    <row r="3942" spans="1:27" ht="15" x14ac:dyDescent="0.25">
      <c r="A3942" s="2">
        <v>3937</v>
      </c>
      <c r="B3942" s="39">
        <v>925850809</v>
      </c>
      <c r="C3942" s="28" t="str">
        <f>HYPERLINK("https://pld.live/RapDetail.aspx?STONELIST=925850809","DNA")</f>
        <v>DNA</v>
      </c>
      <c r="D3942" s="18" t="s">
        <v>711</v>
      </c>
      <c r="E3942" s="18" t="s">
        <v>5128</v>
      </c>
      <c r="F3942" s="2" t="s">
        <v>7987</v>
      </c>
      <c r="G3942" s="2" t="s">
        <v>1573</v>
      </c>
      <c r="H3942" s="14">
        <v>1.54</v>
      </c>
      <c r="I3942" s="2" t="s">
        <v>4761</v>
      </c>
      <c r="J3942" s="2" t="s">
        <v>6555</v>
      </c>
      <c r="K3942" s="2" t="s">
        <v>1452</v>
      </c>
      <c r="L3942" s="2" t="s">
        <v>5221</v>
      </c>
      <c r="M3942" s="2" t="s">
        <v>5221</v>
      </c>
      <c r="N3942" s="2" t="s">
        <v>2317</v>
      </c>
      <c r="O3942" s="14">
        <v>12400</v>
      </c>
      <c r="P3942" s="14">
        <v>98.75</v>
      </c>
      <c r="Q3942" s="14">
        <v>155</v>
      </c>
      <c r="R3942" s="14">
        <v>238.7</v>
      </c>
      <c r="S3942" s="2" t="s">
        <v>1632</v>
      </c>
      <c r="T3942" s="2">
        <v>1.37</v>
      </c>
      <c r="U3942" s="2">
        <v>61.1</v>
      </c>
      <c r="V3942" s="2">
        <v>59</v>
      </c>
      <c r="W3942" s="2" t="s">
        <v>7862</v>
      </c>
      <c r="X3942" s="2" t="s">
        <v>471</v>
      </c>
      <c r="Y3942" s="2">
        <v>19096</v>
      </c>
      <c r="Z3942" s="19" t="str">
        <f>HYPERLINK("https://ssdweb.co/ssdweb/hd/Vision360.html?d=925850809&amp;zoomslide=1&amp;z=1925850809&amp;ISCONFIRM=0","VIDEO")</f>
        <v>VIDEO</v>
      </c>
      <c r="AA3942" s="19" t="str">
        <f>HYPERLINK("https://ssdweb.co/ssdweb/CERTH/627474741.pdf","CERTI")</f>
        <v>CERTI</v>
      </c>
    </row>
    <row r="3943" spans="1:27" ht="15" x14ac:dyDescent="0.25">
      <c r="A3943" s="2">
        <v>3938</v>
      </c>
      <c r="B3943" s="39">
        <v>925501492</v>
      </c>
      <c r="C3943" s="28" t="str">
        <f>HYPERLINK("https://pld.live/RapDetail.aspx?STONELIST=925501492","DNA")</f>
        <v>DNA</v>
      </c>
      <c r="D3943" s="18" t="s">
        <v>711</v>
      </c>
      <c r="E3943" s="18" t="s">
        <v>5128</v>
      </c>
      <c r="F3943" s="2" t="s">
        <v>7987</v>
      </c>
      <c r="G3943" s="2" t="s">
        <v>1573</v>
      </c>
      <c r="H3943" s="14">
        <v>1.54</v>
      </c>
      <c r="I3943" s="2" t="s">
        <v>4761</v>
      </c>
      <c r="J3943" s="2" t="s">
        <v>6555</v>
      </c>
      <c r="K3943" s="2" t="s">
        <v>1452</v>
      </c>
      <c r="L3943" s="2" t="s">
        <v>5221</v>
      </c>
      <c r="M3943" s="2" t="s">
        <v>5221</v>
      </c>
      <c r="N3943" s="2" t="s">
        <v>2317</v>
      </c>
      <c r="O3943" s="14">
        <v>12400</v>
      </c>
      <c r="P3943" s="14">
        <v>98.77</v>
      </c>
      <c r="Q3943" s="14">
        <v>152.52000000000001</v>
      </c>
      <c r="R3943" s="14">
        <v>234.88</v>
      </c>
      <c r="S3943" s="2" t="s">
        <v>4395</v>
      </c>
      <c r="T3943" s="2">
        <v>1.36</v>
      </c>
      <c r="U3943" s="2">
        <v>60.7</v>
      </c>
      <c r="V3943" s="2">
        <v>62</v>
      </c>
      <c r="W3943" s="2" t="s">
        <v>4336</v>
      </c>
      <c r="X3943" s="2" t="s">
        <v>471</v>
      </c>
      <c r="Y3943" s="2">
        <v>19096</v>
      </c>
      <c r="Z3943" s="19" t="str">
        <f>HYPERLINK("https://ssdweb.co/ssdweb/hd/Vision360.html?d=925501492&amp;zoomslide=1&amp;z=1925501492&amp;ISCONFIRM=0","VIDEO")</f>
        <v>VIDEO</v>
      </c>
      <c r="AA3943" s="19" t="str">
        <f>HYPERLINK("https://ssdweb.co/ssdweb/CERTH/617476051.pdf","CERTI")</f>
        <v>CERTI</v>
      </c>
    </row>
    <row r="3944" spans="1:27" ht="15" x14ac:dyDescent="0.25">
      <c r="A3944" s="2">
        <v>3939</v>
      </c>
      <c r="B3944" s="39">
        <v>926071657</v>
      </c>
      <c r="C3944" s="28" t="str">
        <f>HYPERLINK("https://pld.live/RapDetail.aspx?STONELIST=926071657","DNA")</f>
        <v>DNA</v>
      </c>
      <c r="D3944" s="18" t="s">
        <v>711</v>
      </c>
      <c r="E3944" s="18" t="s">
        <v>5128</v>
      </c>
      <c r="F3944" s="2" t="s">
        <v>7987</v>
      </c>
      <c r="G3944" s="2" t="s">
        <v>1573</v>
      </c>
      <c r="H3944" s="14">
        <v>1.54</v>
      </c>
      <c r="I3944" s="2" t="s">
        <v>4761</v>
      </c>
      <c r="J3944" s="2" t="s">
        <v>6555</v>
      </c>
      <c r="K3944" s="2" t="s">
        <v>1452</v>
      </c>
      <c r="L3944" s="2" t="s">
        <v>5221</v>
      </c>
      <c r="M3944" s="2" t="s">
        <v>5221</v>
      </c>
      <c r="N3944" s="2" t="s">
        <v>2317</v>
      </c>
      <c r="O3944" s="14">
        <v>12400</v>
      </c>
      <c r="P3944" s="14">
        <v>98.75</v>
      </c>
      <c r="Q3944" s="14">
        <v>155</v>
      </c>
      <c r="R3944" s="14">
        <v>238.7</v>
      </c>
      <c r="S3944" s="2" t="s">
        <v>587</v>
      </c>
      <c r="T3944" s="2">
        <v>1.36</v>
      </c>
      <c r="U3944" s="2">
        <v>62</v>
      </c>
      <c r="V3944" s="2">
        <v>61</v>
      </c>
      <c r="W3944" s="2" t="s">
        <v>7862</v>
      </c>
      <c r="X3944" s="2" t="s">
        <v>471</v>
      </c>
      <c r="Y3944" s="2">
        <v>19096</v>
      </c>
      <c r="Z3944" s="19" t="str">
        <f>HYPERLINK("https://ssdweb.co/ssdweb/hd/Vision360.html?d=926071657&amp;zoomslide=1&amp;z=1926071657&amp;ISCONFIRM=0","VIDEO")</f>
        <v>VIDEO</v>
      </c>
      <c r="AA3944" s="19" t="str">
        <f>HYPERLINK("https://ssdweb.co/ssdweb/CERTH/631430417.pdf","CERTI")</f>
        <v>CERTI</v>
      </c>
    </row>
    <row r="3945" spans="1:27" ht="15" x14ac:dyDescent="0.25">
      <c r="A3945" s="2">
        <v>3940</v>
      </c>
      <c r="B3945" s="39">
        <v>925861878</v>
      </c>
      <c r="C3945" s="28" t="str">
        <f>HYPERLINK("https://pld.live/RapDetail.aspx?STONELIST=925861878","DNA")</f>
        <v>DNA</v>
      </c>
      <c r="D3945" s="18" t="s">
        <v>711</v>
      </c>
      <c r="E3945" s="18" t="s">
        <v>5128</v>
      </c>
      <c r="F3945" s="2" t="s">
        <v>7987</v>
      </c>
      <c r="G3945" s="2" t="s">
        <v>1573</v>
      </c>
      <c r="H3945" s="14">
        <v>1.54</v>
      </c>
      <c r="I3945" s="2" t="s">
        <v>4761</v>
      </c>
      <c r="J3945" s="2" t="s">
        <v>3942</v>
      </c>
      <c r="K3945" s="2" t="s">
        <v>1452</v>
      </c>
      <c r="L3945" s="2" t="s">
        <v>5221</v>
      </c>
      <c r="M3945" s="2" t="s">
        <v>5221</v>
      </c>
      <c r="N3945" s="2" t="s">
        <v>2317</v>
      </c>
      <c r="O3945" s="14">
        <v>11600</v>
      </c>
      <c r="P3945" s="14">
        <v>98.88</v>
      </c>
      <c r="Q3945" s="14">
        <v>129.91999999999999</v>
      </c>
      <c r="R3945" s="14">
        <v>200.08</v>
      </c>
      <c r="S3945" s="2" t="s">
        <v>3368</v>
      </c>
      <c r="T3945" s="2">
        <v>1.38</v>
      </c>
      <c r="U3945" s="2">
        <v>61.3</v>
      </c>
      <c r="V3945" s="2">
        <v>61</v>
      </c>
      <c r="W3945" s="2" t="s">
        <v>7862</v>
      </c>
      <c r="X3945" s="2" t="s">
        <v>471</v>
      </c>
      <c r="Y3945" s="2">
        <v>17864</v>
      </c>
      <c r="Z3945" s="19" t="str">
        <f>HYPERLINK("https://ssdweb.co/ssdweb/hd/Vision360.html?d=925861878&amp;zoomslide=1&amp;z=1925861878&amp;ISCONFIRM=0","VIDEO")</f>
        <v>VIDEO</v>
      </c>
      <c r="AA3945" s="19" t="str">
        <f>HYPERLINK("https://ssdweb.co/ssdweb/CERTH/627431806.pdf","CERTI")</f>
        <v>CERTI</v>
      </c>
    </row>
    <row r="3946" spans="1:27" ht="15" x14ac:dyDescent="0.25">
      <c r="A3946" s="2">
        <v>3941</v>
      </c>
      <c r="B3946" s="39">
        <v>925721808</v>
      </c>
      <c r="C3946" s="28" t="str">
        <f>HYPERLINK("https://pld.live/RapDetail.aspx?STONELIST=925721808","DNA")</f>
        <v>DNA</v>
      </c>
      <c r="D3946" s="18" t="s">
        <v>711</v>
      </c>
      <c r="E3946" s="18" t="s">
        <v>5128</v>
      </c>
      <c r="F3946" s="2" t="s">
        <v>7987</v>
      </c>
      <c r="G3946" s="2" t="s">
        <v>1573</v>
      </c>
      <c r="H3946" s="14">
        <v>1.54</v>
      </c>
      <c r="I3946" s="2" t="s">
        <v>4761</v>
      </c>
      <c r="J3946" s="2" t="s">
        <v>3942</v>
      </c>
      <c r="K3946" s="2" t="s">
        <v>1452</v>
      </c>
      <c r="L3946" s="2" t="s">
        <v>5221</v>
      </c>
      <c r="M3946" s="2" t="s">
        <v>5221</v>
      </c>
      <c r="N3946" s="2" t="s">
        <v>2317</v>
      </c>
      <c r="O3946" s="14">
        <v>11600</v>
      </c>
      <c r="P3946" s="14">
        <v>98.88</v>
      </c>
      <c r="Q3946" s="14">
        <v>129.91999999999999</v>
      </c>
      <c r="R3946" s="14">
        <v>200.08</v>
      </c>
      <c r="S3946" s="2" t="s">
        <v>1018</v>
      </c>
      <c r="T3946" s="2">
        <v>1.39</v>
      </c>
      <c r="U3946" s="2">
        <v>61.2</v>
      </c>
      <c r="V3946" s="2">
        <v>61</v>
      </c>
      <c r="W3946" s="2" t="s">
        <v>7862</v>
      </c>
      <c r="X3946" s="2" t="s">
        <v>471</v>
      </c>
      <c r="Y3946" s="2">
        <v>17864</v>
      </c>
      <c r="Z3946" s="19" t="str">
        <f>HYPERLINK("https://ssdweb.co/ssdweb/hd/Vision360.html?d=925721808&amp;zoomslide=1&amp;z=1925721808&amp;ISCONFIRM=0","VIDEO")</f>
        <v>VIDEO</v>
      </c>
      <c r="AA3946" s="19" t="str">
        <f>HYPERLINK("https://ssdweb.co/ssdweb/CERTH/623493229.pdf","CERTI")</f>
        <v>CERTI</v>
      </c>
    </row>
    <row r="3947" spans="1:27" ht="15" x14ac:dyDescent="0.25">
      <c r="A3947" s="2">
        <v>3942</v>
      </c>
      <c r="B3947" s="39">
        <v>926171098</v>
      </c>
      <c r="C3947" s="28" t="str">
        <f>HYPERLINK("https://pld.live/RapDetail.aspx?STONELIST=926171098","DNA")</f>
        <v>DNA</v>
      </c>
      <c r="D3947" s="18" t="s">
        <v>711</v>
      </c>
      <c r="E3947" s="18" t="s">
        <v>5128</v>
      </c>
      <c r="F3947" s="2" t="s">
        <v>7987</v>
      </c>
      <c r="G3947" s="2" t="s">
        <v>1573</v>
      </c>
      <c r="H3947" s="14">
        <v>1.54</v>
      </c>
      <c r="I3947" s="2" t="s">
        <v>4761</v>
      </c>
      <c r="J3947" s="2" t="s">
        <v>3942</v>
      </c>
      <c r="K3947" s="2" t="s">
        <v>1452</v>
      </c>
      <c r="L3947" s="2" t="s">
        <v>5221</v>
      </c>
      <c r="M3947" s="2" t="s">
        <v>5221</v>
      </c>
      <c r="N3947" s="2" t="s">
        <v>2317</v>
      </c>
      <c r="O3947" s="14">
        <v>11600</v>
      </c>
      <c r="P3947" s="14">
        <v>98.9</v>
      </c>
      <c r="Q3947" s="14">
        <v>127.6</v>
      </c>
      <c r="R3947" s="14">
        <v>196.5</v>
      </c>
      <c r="S3947" s="2" t="s">
        <v>2532</v>
      </c>
      <c r="T3947" s="2">
        <v>1.36</v>
      </c>
      <c r="U3947" s="2">
        <v>62.7</v>
      </c>
      <c r="V3947" s="2">
        <v>61</v>
      </c>
      <c r="W3947" s="2" t="s">
        <v>4336</v>
      </c>
      <c r="X3947" s="2" t="s">
        <v>471</v>
      </c>
      <c r="Y3947" s="2">
        <v>17864</v>
      </c>
      <c r="Z3947" s="19" t="str">
        <f>HYPERLINK("https://ssdweb.co/ssdweb/hd/Vision360.html?d=926171098&amp;zoomslide=1&amp;z=1926171098&amp;ISCONFIRM=0","VIDEO")</f>
        <v>VIDEO</v>
      </c>
      <c r="AA3947" s="19" t="str">
        <f>HYPERLINK("https://ssdweb.co/ssdweb/CERTH/634472311.pdf","CERTI")</f>
        <v>CERTI</v>
      </c>
    </row>
    <row r="3948" spans="1:27" ht="15" x14ac:dyDescent="0.25">
      <c r="A3948" s="2">
        <v>3943</v>
      </c>
      <c r="B3948" s="39">
        <v>925501608</v>
      </c>
      <c r="C3948" s="28" t="str">
        <f>HYPERLINK("https://pld.live/RapDetail.aspx?STONELIST=925501608","DNA")</f>
        <v>DNA</v>
      </c>
      <c r="D3948" s="18" t="s">
        <v>711</v>
      </c>
      <c r="E3948" s="18" t="s">
        <v>5128</v>
      </c>
      <c r="F3948" s="2" t="s">
        <v>7987</v>
      </c>
      <c r="G3948" s="2" t="s">
        <v>1573</v>
      </c>
      <c r="H3948" s="14">
        <v>1.54</v>
      </c>
      <c r="I3948" s="2" t="s">
        <v>4699</v>
      </c>
      <c r="J3948" s="2" t="s">
        <v>6555</v>
      </c>
      <c r="K3948" s="2" t="s">
        <v>1452</v>
      </c>
      <c r="L3948" s="2" t="s">
        <v>5221</v>
      </c>
      <c r="M3948" s="2" t="s">
        <v>5221</v>
      </c>
      <c r="N3948" s="2" t="s">
        <v>2317</v>
      </c>
      <c r="O3948" s="14">
        <v>11500</v>
      </c>
      <c r="P3948" s="14">
        <v>98.7</v>
      </c>
      <c r="Q3948" s="14">
        <v>149.5</v>
      </c>
      <c r="R3948" s="14">
        <v>230.23</v>
      </c>
      <c r="S3948" s="2" t="s">
        <v>2207</v>
      </c>
      <c r="T3948" s="2">
        <v>1.39</v>
      </c>
      <c r="U3948" s="2">
        <v>60.8</v>
      </c>
      <c r="V3948" s="2">
        <v>62</v>
      </c>
      <c r="W3948" s="2" t="s">
        <v>7862</v>
      </c>
      <c r="X3948" s="2" t="s">
        <v>471</v>
      </c>
      <c r="Y3948" s="2">
        <v>17710</v>
      </c>
      <c r="Z3948" s="19" t="str">
        <f>HYPERLINK("https://ssdweb.co/ssdweb/hd/Vision360.html?d=925501608&amp;zoomslide=1&amp;z=1925501608&amp;ISCONFIRM=0","VIDEO")</f>
        <v>VIDEO</v>
      </c>
      <c r="AA3948" s="19" t="str">
        <f>HYPERLINK("https://ssdweb.co/ssdweb/CERTH/617485935.pdf","CERTI")</f>
        <v>CERTI</v>
      </c>
    </row>
    <row r="3949" spans="1:27" ht="15" x14ac:dyDescent="0.25">
      <c r="A3949" s="2">
        <v>3944</v>
      </c>
      <c r="B3949" s="39">
        <v>925861757</v>
      </c>
      <c r="C3949" s="28" t="str">
        <f>HYPERLINK("https://pld.live/RapDetail.aspx?STONELIST=925861757","DNA")</f>
        <v>DNA</v>
      </c>
      <c r="D3949" s="18" t="s">
        <v>711</v>
      </c>
      <c r="E3949" s="18" t="s">
        <v>5128</v>
      </c>
      <c r="F3949" s="2" t="s">
        <v>7987</v>
      </c>
      <c r="G3949" s="2" t="s">
        <v>1573</v>
      </c>
      <c r="H3949" s="14">
        <v>1.53</v>
      </c>
      <c r="I3949" s="2" t="s">
        <v>267</v>
      </c>
      <c r="J3949" s="2" t="s">
        <v>6555</v>
      </c>
      <c r="K3949" s="2" t="s">
        <v>1452</v>
      </c>
      <c r="L3949" s="2" t="s">
        <v>5221</v>
      </c>
      <c r="M3949" s="2" t="s">
        <v>5221</v>
      </c>
      <c r="N3949" s="2" t="s">
        <v>2317</v>
      </c>
      <c r="O3949" s="14">
        <v>13200</v>
      </c>
      <c r="P3949" s="14">
        <v>98.6</v>
      </c>
      <c r="Q3949" s="14">
        <v>184.8</v>
      </c>
      <c r="R3949" s="14">
        <v>282.74</v>
      </c>
      <c r="S3949" s="2" t="s">
        <v>5049</v>
      </c>
      <c r="T3949" s="2">
        <v>1.36</v>
      </c>
      <c r="U3949" s="2">
        <v>62.1</v>
      </c>
      <c r="V3949" s="2">
        <v>62</v>
      </c>
      <c r="W3949" s="2" t="s">
        <v>7862</v>
      </c>
      <c r="X3949" s="2" t="s">
        <v>471</v>
      </c>
      <c r="Y3949" s="2">
        <v>20196</v>
      </c>
      <c r="Z3949" s="19" t="str">
        <f>HYPERLINK("https://ssdweb.co/ssdweb/hd/Vision360.html?d=925861757&amp;zoomslide=1&amp;z=1925861757&amp;ISCONFIRM=0","VIDEO")</f>
        <v>VIDEO</v>
      </c>
      <c r="AA3949" s="19" t="str">
        <f>HYPERLINK("https://ssdweb.co/ssdweb/CERTH/627410504.pdf","CERTI")</f>
        <v>CERTI</v>
      </c>
    </row>
    <row r="3950" spans="1:27" ht="15" x14ac:dyDescent="0.25">
      <c r="A3950" s="2">
        <v>3945</v>
      </c>
      <c r="B3950" s="39">
        <v>925960789</v>
      </c>
      <c r="C3950" s="28" t="str">
        <f>HYPERLINK("https://pld.live/RapDetail.aspx?STONELIST=925960789","DNA")</f>
        <v>DNA</v>
      </c>
      <c r="D3950" s="18" t="s">
        <v>711</v>
      </c>
      <c r="E3950" s="18" t="s">
        <v>5128</v>
      </c>
      <c r="F3950" s="2" t="s">
        <v>7987</v>
      </c>
      <c r="G3950" s="2" t="s">
        <v>1573</v>
      </c>
      <c r="H3950" s="14">
        <v>1.53</v>
      </c>
      <c r="I3950" s="2" t="s">
        <v>267</v>
      </c>
      <c r="J3950" s="2" t="s">
        <v>6555</v>
      </c>
      <c r="K3950" s="2" t="s">
        <v>1452</v>
      </c>
      <c r="L3950" s="2" t="s">
        <v>5221</v>
      </c>
      <c r="M3950" s="2" t="s">
        <v>5221</v>
      </c>
      <c r="N3950" s="2" t="s">
        <v>2317</v>
      </c>
      <c r="O3950" s="14">
        <v>13200</v>
      </c>
      <c r="P3950" s="14">
        <v>98.6</v>
      </c>
      <c r="Q3950" s="14">
        <v>184.8</v>
      </c>
      <c r="R3950" s="14">
        <v>282.74</v>
      </c>
      <c r="S3950" s="2" t="s">
        <v>1368</v>
      </c>
      <c r="T3950" s="2">
        <v>1.39</v>
      </c>
      <c r="U3950" s="2">
        <v>61.5</v>
      </c>
      <c r="V3950" s="2">
        <v>60</v>
      </c>
      <c r="W3950" s="2" t="s">
        <v>7862</v>
      </c>
      <c r="X3950" s="2" t="s">
        <v>471</v>
      </c>
      <c r="Y3950" s="2">
        <v>20196</v>
      </c>
      <c r="Z3950" s="19" t="str">
        <f>HYPERLINK("https://ssdweb.co/ssdweb/hd/Vision360.html?d=925960789&amp;zoomslide=1&amp;z=1925960789&amp;ISCONFIRM=0","VIDEO")</f>
        <v>VIDEO</v>
      </c>
      <c r="AA3950" s="19" t="str">
        <f>HYPERLINK("https://ssdweb.co/ssdweb/CERTH/628463191.pdf","CERTI")</f>
        <v>CERTI</v>
      </c>
    </row>
    <row r="3951" spans="1:27" ht="15" x14ac:dyDescent="0.25">
      <c r="A3951" s="2">
        <v>3946</v>
      </c>
      <c r="B3951" s="39">
        <v>821124339</v>
      </c>
      <c r="C3951" s="28" t="str">
        <f>HYPERLINK("https://pld.live/RapDetail.aspx?STONELIST=821124339","DNA")</f>
        <v>DNA</v>
      </c>
      <c r="D3951" s="18" t="s">
        <v>711</v>
      </c>
      <c r="E3951" s="18" t="s">
        <v>5128</v>
      </c>
      <c r="F3951" s="2" t="s">
        <v>7987</v>
      </c>
      <c r="G3951" s="2" t="s">
        <v>1573</v>
      </c>
      <c r="H3951" s="14">
        <v>1.53</v>
      </c>
      <c r="I3951" s="2" t="s">
        <v>267</v>
      </c>
      <c r="J3951" s="2" t="s">
        <v>6555</v>
      </c>
      <c r="K3951" s="2" t="s">
        <v>1452</v>
      </c>
      <c r="L3951" s="2" t="s">
        <v>5221</v>
      </c>
      <c r="M3951" s="2" t="s">
        <v>5221</v>
      </c>
      <c r="N3951" s="2" t="s">
        <v>2317</v>
      </c>
      <c r="O3951" s="14">
        <v>13200</v>
      </c>
      <c r="P3951" s="14">
        <v>98.6</v>
      </c>
      <c r="Q3951" s="14">
        <v>184.8</v>
      </c>
      <c r="R3951" s="14">
        <v>282.74</v>
      </c>
      <c r="S3951" s="2" t="s">
        <v>4496</v>
      </c>
      <c r="T3951" s="2">
        <v>1.36</v>
      </c>
      <c r="U3951" s="2">
        <v>62.9</v>
      </c>
      <c r="V3951" s="2">
        <v>58</v>
      </c>
      <c r="W3951" s="2" t="s">
        <v>7862</v>
      </c>
      <c r="X3951" s="2" t="s">
        <v>471</v>
      </c>
      <c r="Y3951" s="2">
        <v>20196</v>
      </c>
      <c r="Z3951" s="19" t="str">
        <f>HYPERLINK("https://ssdweb.co/ssdweb/hd/Vision360.html?d=821124339&amp;zoomslide=1&amp;z=1821124339&amp;ISCONFIRM=0","VIDEO")</f>
        <v>VIDEO</v>
      </c>
      <c r="AA3951" s="19" t="str">
        <f>HYPERLINK("https://ssdweb.co/ssdweb/CERTH/604390143.pdf","CERTI")</f>
        <v>CERTI</v>
      </c>
    </row>
    <row r="3952" spans="1:27" ht="15" x14ac:dyDescent="0.25">
      <c r="A3952" s="2">
        <v>3947</v>
      </c>
      <c r="B3952" s="39">
        <v>821124325</v>
      </c>
      <c r="C3952" s="28" t="str">
        <f>HYPERLINK("https://pld.live/RapDetail.aspx?STONELIST=821124325","DNA")</f>
        <v>DNA</v>
      </c>
      <c r="D3952" s="18" t="s">
        <v>711</v>
      </c>
      <c r="E3952" s="18" t="s">
        <v>5128</v>
      </c>
      <c r="F3952" s="2" t="s">
        <v>7987</v>
      </c>
      <c r="G3952" s="2" t="s">
        <v>1573</v>
      </c>
      <c r="H3952" s="14">
        <v>1.53</v>
      </c>
      <c r="I3952" s="2" t="s">
        <v>267</v>
      </c>
      <c r="J3952" s="2" t="s">
        <v>6555</v>
      </c>
      <c r="K3952" s="2" t="s">
        <v>1452</v>
      </c>
      <c r="L3952" s="2" t="s">
        <v>5221</v>
      </c>
      <c r="M3952" s="2" t="s">
        <v>5221</v>
      </c>
      <c r="N3952" s="2" t="s">
        <v>2317</v>
      </c>
      <c r="O3952" s="14">
        <v>13200</v>
      </c>
      <c r="P3952" s="14">
        <v>98.6</v>
      </c>
      <c r="Q3952" s="14">
        <v>184.8</v>
      </c>
      <c r="R3952" s="14">
        <v>282.74</v>
      </c>
      <c r="S3952" s="2" t="s">
        <v>4844</v>
      </c>
      <c r="T3952" s="2">
        <v>1.37</v>
      </c>
      <c r="U3952" s="2">
        <v>61.5</v>
      </c>
      <c r="V3952" s="2">
        <v>58</v>
      </c>
      <c r="W3952" s="2" t="s">
        <v>7862</v>
      </c>
      <c r="X3952" s="2" t="s">
        <v>471</v>
      </c>
      <c r="Y3952" s="2">
        <v>20196</v>
      </c>
      <c r="Z3952" s="19" t="str">
        <f>HYPERLINK("https://ssdweb.co/ssdweb/hd/Vision360.html?d=821124325&amp;zoomslide=1&amp;z=1821124325&amp;ISCONFIRM=0","VIDEO")</f>
        <v>VIDEO</v>
      </c>
      <c r="AA3952" s="19" t="str">
        <f>HYPERLINK("https://ssdweb.co/ssdweb/CERTH/602303017.pdf","CERTI")</f>
        <v>CERTI</v>
      </c>
    </row>
    <row r="3953" spans="1:27" ht="15" x14ac:dyDescent="0.25">
      <c r="A3953" s="2">
        <v>3948</v>
      </c>
      <c r="B3953" s="39">
        <v>821124317</v>
      </c>
      <c r="C3953" s="28" t="str">
        <f>HYPERLINK("https://pld.live/RapDetail.aspx?STONELIST=821124317","DNA")</f>
        <v>DNA</v>
      </c>
      <c r="D3953" s="18" t="s">
        <v>711</v>
      </c>
      <c r="E3953" s="18" t="s">
        <v>5128</v>
      </c>
      <c r="F3953" s="2" t="s">
        <v>7987</v>
      </c>
      <c r="G3953" s="2" t="s">
        <v>1573</v>
      </c>
      <c r="H3953" s="14">
        <v>1.53</v>
      </c>
      <c r="I3953" s="2" t="s">
        <v>267</v>
      </c>
      <c r="J3953" s="2" t="s">
        <v>6555</v>
      </c>
      <c r="K3953" s="2" t="s">
        <v>1452</v>
      </c>
      <c r="L3953" s="2" t="s">
        <v>5221</v>
      </c>
      <c r="M3953" s="2" t="s">
        <v>5221</v>
      </c>
      <c r="N3953" s="2" t="s">
        <v>2317</v>
      </c>
      <c r="O3953" s="14">
        <v>13200</v>
      </c>
      <c r="P3953" s="14">
        <v>98.6</v>
      </c>
      <c r="Q3953" s="14">
        <v>184.8</v>
      </c>
      <c r="R3953" s="14">
        <v>282.74</v>
      </c>
      <c r="S3953" s="2" t="s">
        <v>5569</v>
      </c>
      <c r="T3953" s="2">
        <v>1.39</v>
      </c>
      <c r="U3953" s="2">
        <v>61.1</v>
      </c>
      <c r="V3953" s="2">
        <v>58</v>
      </c>
      <c r="W3953" s="2" t="s">
        <v>7862</v>
      </c>
      <c r="X3953" s="2" t="s">
        <v>471</v>
      </c>
      <c r="Y3953" s="2">
        <v>20196</v>
      </c>
      <c r="Z3953" s="19" t="str">
        <f>HYPERLINK("https://ssdweb.co/ssdweb/hd/Vision360.html?d=821124317&amp;zoomslide=1&amp;z=1821124317&amp;ISCONFIRM=0","VIDEO")</f>
        <v>VIDEO</v>
      </c>
      <c r="AA3953" s="19" t="str">
        <f>HYPERLINK("https://ssdweb.co/ssdweb/CERTH/602302676.pdf","CERTI")</f>
        <v>CERTI</v>
      </c>
    </row>
    <row r="3954" spans="1:27" ht="15" x14ac:dyDescent="0.25">
      <c r="A3954" s="2">
        <v>3949</v>
      </c>
      <c r="B3954" s="39">
        <v>821124355</v>
      </c>
      <c r="C3954" s="28" t="str">
        <f>HYPERLINK("https://pld.live/RapDetail.aspx?STONELIST=821124355","DNA")</f>
        <v>DNA</v>
      </c>
      <c r="D3954" s="18" t="s">
        <v>711</v>
      </c>
      <c r="E3954" s="18" t="s">
        <v>5128</v>
      </c>
      <c r="F3954" s="2" t="s">
        <v>7987</v>
      </c>
      <c r="G3954" s="2" t="s">
        <v>1573</v>
      </c>
      <c r="H3954" s="14">
        <v>1.53</v>
      </c>
      <c r="I3954" s="2" t="s">
        <v>267</v>
      </c>
      <c r="J3954" s="2" t="s">
        <v>6555</v>
      </c>
      <c r="K3954" s="2" t="s">
        <v>1452</v>
      </c>
      <c r="L3954" s="2" t="s">
        <v>5221</v>
      </c>
      <c r="M3954" s="2" t="s">
        <v>5221</v>
      </c>
      <c r="N3954" s="2" t="s">
        <v>2317</v>
      </c>
      <c r="O3954" s="14">
        <v>13200</v>
      </c>
      <c r="P3954" s="14">
        <v>98.6</v>
      </c>
      <c r="Q3954" s="14">
        <v>184.8</v>
      </c>
      <c r="R3954" s="14">
        <v>282.74</v>
      </c>
      <c r="S3954" s="2" t="s">
        <v>7194</v>
      </c>
      <c r="T3954" s="2">
        <v>1.41</v>
      </c>
      <c r="U3954" s="2">
        <v>62.7</v>
      </c>
      <c r="V3954" s="2">
        <v>60</v>
      </c>
      <c r="W3954" s="2" t="s">
        <v>7862</v>
      </c>
      <c r="X3954" s="2" t="s">
        <v>471</v>
      </c>
      <c r="Y3954" s="2">
        <v>20196</v>
      </c>
      <c r="Z3954" s="19" t="str">
        <f>HYPERLINK("https://ssdweb.co/ssdweb/hd/Vision360.html?d=821124355&amp;zoomslide=1&amp;z=1821124355&amp;ISCONFIRM=0","VIDEO")</f>
        <v>VIDEO</v>
      </c>
      <c r="AA3954" s="19" t="str">
        <f>HYPERLINK("https://ssdweb.co/ssdweb/CERTH/605383831.pdf","CERTI")</f>
        <v>CERTI</v>
      </c>
    </row>
    <row r="3955" spans="1:27" ht="15" x14ac:dyDescent="0.25">
      <c r="A3955" s="2">
        <v>3950</v>
      </c>
      <c r="B3955" s="39">
        <v>821123954</v>
      </c>
      <c r="C3955" s="28" t="str">
        <f>HYPERLINK("https://pld.live/RapDetail.aspx?STONELIST=821123954","DNA")</f>
        <v>DNA</v>
      </c>
      <c r="D3955" s="18" t="s">
        <v>711</v>
      </c>
      <c r="E3955" s="18" t="s">
        <v>5128</v>
      </c>
      <c r="F3955" s="2" t="s">
        <v>7987</v>
      </c>
      <c r="G3955" s="2" t="s">
        <v>1573</v>
      </c>
      <c r="H3955" s="14">
        <v>1.53</v>
      </c>
      <c r="I3955" s="2" t="s">
        <v>267</v>
      </c>
      <c r="J3955" s="2" t="s">
        <v>6555</v>
      </c>
      <c r="K3955" s="2" t="s">
        <v>1452</v>
      </c>
      <c r="L3955" s="2" t="s">
        <v>5221</v>
      </c>
      <c r="M3955" s="2" t="s">
        <v>5221</v>
      </c>
      <c r="N3955" s="2" t="s">
        <v>2317</v>
      </c>
      <c r="O3955" s="14">
        <v>13200</v>
      </c>
      <c r="P3955" s="14">
        <v>98.6</v>
      </c>
      <c r="Q3955" s="14">
        <v>184.8</v>
      </c>
      <c r="R3955" s="14">
        <v>282.74</v>
      </c>
      <c r="S3955" s="2" t="s">
        <v>3893</v>
      </c>
      <c r="T3955" s="2">
        <v>1.4</v>
      </c>
      <c r="U3955" s="2">
        <v>63</v>
      </c>
      <c r="V3955" s="2">
        <v>58</v>
      </c>
      <c r="W3955" s="2" t="s">
        <v>7862</v>
      </c>
      <c r="X3955" s="2" t="s">
        <v>471</v>
      </c>
      <c r="Y3955" s="2">
        <v>20196</v>
      </c>
      <c r="Z3955" s="19" t="str">
        <f>HYPERLINK("https://ssdweb.co/ssdweb/hd/Vision360.html?d=821123954&amp;zoomslide=1&amp;z=1821123954&amp;ISCONFIRM=0","VIDEO")</f>
        <v>VIDEO</v>
      </c>
      <c r="AA3955" s="19" t="str">
        <f>HYPERLINK("https://ssdweb.co/ssdweb/CERTH/604389847.pdf","CERTI")</f>
        <v>CERTI</v>
      </c>
    </row>
    <row r="3956" spans="1:27" ht="15" x14ac:dyDescent="0.25">
      <c r="A3956" s="2">
        <v>3951</v>
      </c>
      <c r="B3956" s="39">
        <v>925540286</v>
      </c>
      <c r="C3956" s="28" t="str">
        <f>HYPERLINK("https://pld.live/RapDetail.aspx?STONELIST=925540286","DNA")</f>
        <v>DNA</v>
      </c>
      <c r="D3956" s="18" t="s">
        <v>711</v>
      </c>
      <c r="E3956" s="18" t="s">
        <v>5128</v>
      </c>
      <c r="F3956" s="2" t="s">
        <v>7987</v>
      </c>
      <c r="G3956" s="2" t="s">
        <v>1573</v>
      </c>
      <c r="H3956" s="14">
        <v>1.53</v>
      </c>
      <c r="I3956" s="2" t="s">
        <v>267</v>
      </c>
      <c r="J3956" s="2" t="s">
        <v>6555</v>
      </c>
      <c r="K3956" s="2" t="s">
        <v>1452</v>
      </c>
      <c r="L3956" s="2" t="s">
        <v>5221</v>
      </c>
      <c r="M3956" s="2" t="s">
        <v>5221</v>
      </c>
      <c r="N3956" s="2" t="s">
        <v>2317</v>
      </c>
      <c r="O3956" s="14">
        <v>13200</v>
      </c>
      <c r="P3956" s="14">
        <v>98.6</v>
      </c>
      <c r="Q3956" s="14">
        <v>184.8</v>
      </c>
      <c r="R3956" s="14">
        <v>282.74</v>
      </c>
      <c r="S3956" s="2" t="s">
        <v>7458</v>
      </c>
      <c r="T3956" s="2">
        <v>1.36</v>
      </c>
      <c r="U3956" s="2">
        <v>62.2</v>
      </c>
      <c r="V3956" s="2">
        <v>60</v>
      </c>
      <c r="W3956" s="2" t="s">
        <v>7862</v>
      </c>
      <c r="X3956" s="2" t="s">
        <v>471</v>
      </c>
      <c r="Y3956" s="2">
        <v>20196</v>
      </c>
      <c r="Z3956" s="19" t="str">
        <f>HYPERLINK("https://ssdweb.co/ssdweb/hd/Vision360.html?d=925540286&amp;zoomslide=1&amp;z=1925540286&amp;ISCONFIRM=0","VIDEO")</f>
        <v>VIDEO</v>
      </c>
      <c r="AA3956" s="19" t="str">
        <f>HYPERLINK("https://ssdweb.co/ssdweb/CERTH/617413091.pdf","CERTI")</f>
        <v>CERTI</v>
      </c>
    </row>
    <row r="3957" spans="1:27" ht="15" x14ac:dyDescent="0.25">
      <c r="A3957" s="2">
        <v>3952</v>
      </c>
      <c r="B3957" s="39">
        <v>925521940</v>
      </c>
      <c r="C3957" s="28" t="str">
        <f>HYPERLINK("https://pld.live/RapDetail.aspx?STONELIST=925521940","DNA")</f>
        <v>DNA</v>
      </c>
      <c r="D3957" s="18" t="s">
        <v>711</v>
      </c>
      <c r="E3957" s="18" t="s">
        <v>5128</v>
      </c>
      <c r="F3957" s="2" t="s">
        <v>7987</v>
      </c>
      <c r="G3957" s="2" t="s">
        <v>1573</v>
      </c>
      <c r="H3957" s="14">
        <v>1.53</v>
      </c>
      <c r="I3957" s="2" t="s">
        <v>267</v>
      </c>
      <c r="J3957" s="2" t="s">
        <v>6555</v>
      </c>
      <c r="K3957" s="2" t="s">
        <v>1452</v>
      </c>
      <c r="L3957" s="2" t="s">
        <v>5221</v>
      </c>
      <c r="M3957" s="2" t="s">
        <v>5221</v>
      </c>
      <c r="N3957" s="2" t="s">
        <v>2317</v>
      </c>
      <c r="O3957" s="14">
        <v>13200</v>
      </c>
      <c r="P3957" s="14">
        <v>98.6</v>
      </c>
      <c r="Q3957" s="14">
        <v>184.8</v>
      </c>
      <c r="R3957" s="14">
        <v>282.74</v>
      </c>
      <c r="S3957" s="2" t="s">
        <v>482</v>
      </c>
      <c r="T3957" s="2">
        <v>1.38</v>
      </c>
      <c r="U3957" s="2">
        <v>60.6</v>
      </c>
      <c r="V3957" s="2">
        <v>61</v>
      </c>
      <c r="W3957" s="2" t="s">
        <v>7862</v>
      </c>
      <c r="X3957" s="2" t="s">
        <v>471</v>
      </c>
      <c r="Y3957" s="2">
        <v>20196</v>
      </c>
      <c r="Z3957" s="19" t="str">
        <f>HYPERLINK("https://ssdweb.co/ssdweb/hd/Vision360.html?d=925521940&amp;zoomslide=1&amp;z=1925521940&amp;ISCONFIRM=0","VIDEO")</f>
        <v>VIDEO</v>
      </c>
      <c r="AA3957" s="19" t="str">
        <f>HYPERLINK("https://ssdweb.co/ssdweb/CERTH/620403156.pdf","CERTI")</f>
        <v>CERTI</v>
      </c>
    </row>
    <row r="3958" spans="1:27" ht="15" x14ac:dyDescent="0.25">
      <c r="A3958" s="2">
        <v>3953</v>
      </c>
      <c r="B3958" s="39">
        <v>925520475</v>
      </c>
      <c r="C3958" s="28" t="str">
        <f>HYPERLINK("https://pld.live/RapDetail.aspx?STONELIST=925520475","DNA")</f>
        <v>DNA</v>
      </c>
      <c r="D3958" s="18" t="s">
        <v>711</v>
      </c>
      <c r="E3958" s="18" t="s">
        <v>5128</v>
      </c>
      <c r="F3958" s="2" t="s">
        <v>7987</v>
      </c>
      <c r="G3958" s="2" t="s">
        <v>1573</v>
      </c>
      <c r="H3958" s="14">
        <v>1.53</v>
      </c>
      <c r="I3958" s="2" t="s">
        <v>267</v>
      </c>
      <c r="J3958" s="2" t="s">
        <v>6555</v>
      </c>
      <c r="K3958" s="2" t="s">
        <v>1452</v>
      </c>
      <c r="L3958" s="2" t="s">
        <v>5221</v>
      </c>
      <c r="M3958" s="2" t="s">
        <v>5221</v>
      </c>
      <c r="N3958" s="2" t="s">
        <v>2317</v>
      </c>
      <c r="O3958" s="14">
        <v>13200</v>
      </c>
      <c r="P3958" s="14">
        <v>98.6</v>
      </c>
      <c r="Q3958" s="14">
        <v>184.8</v>
      </c>
      <c r="R3958" s="14">
        <v>282.74</v>
      </c>
      <c r="S3958" s="2" t="s">
        <v>6549</v>
      </c>
      <c r="T3958" s="2">
        <v>1.36</v>
      </c>
      <c r="U3958" s="2">
        <v>60.2</v>
      </c>
      <c r="V3958" s="2">
        <v>58</v>
      </c>
      <c r="W3958" s="2" t="s">
        <v>7862</v>
      </c>
      <c r="X3958" s="2" t="s">
        <v>471</v>
      </c>
      <c r="Y3958" s="2">
        <v>20196</v>
      </c>
      <c r="Z3958" s="19" t="str">
        <f>HYPERLINK("https://ssdweb.co/ssdweb/hd/Vision360.html?d=925520475&amp;zoomslide=1&amp;z=1925520475&amp;ISCONFIRM=0","VIDEO")</f>
        <v>VIDEO</v>
      </c>
      <c r="AA3958" s="19" t="str">
        <f>HYPERLINK("https://ssdweb.co/ssdweb/CERTH/617485874.pdf","CERTI")</f>
        <v>CERTI</v>
      </c>
    </row>
    <row r="3959" spans="1:27" ht="15" x14ac:dyDescent="0.25">
      <c r="A3959" s="2">
        <v>3954</v>
      </c>
      <c r="B3959" s="39">
        <v>926040963</v>
      </c>
      <c r="C3959" s="28" t="str">
        <f>HYPERLINK("https://pld.live/RapDetail.aspx?STONELIST=926040963","DNA")</f>
        <v>DNA</v>
      </c>
      <c r="D3959" s="18" t="s">
        <v>711</v>
      </c>
      <c r="E3959" s="18" t="s">
        <v>5128</v>
      </c>
      <c r="F3959" s="2" t="s">
        <v>7987</v>
      </c>
      <c r="G3959" s="2" t="s">
        <v>1573</v>
      </c>
      <c r="H3959" s="14">
        <v>1.53</v>
      </c>
      <c r="I3959" s="2" t="s">
        <v>267</v>
      </c>
      <c r="J3959" s="2" t="s">
        <v>6555</v>
      </c>
      <c r="K3959" s="2" t="s">
        <v>1452</v>
      </c>
      <c r="L3959" s="2" t="s">
        <v>5221</v>
      </c>
      <c r="M3959" s="2" t="s">
        <v>5221</v>
      </c>
      <c r="N3959" s="2" t="s">
        <v>2317</v>
      </c>
      <c r="O3959" s="14">
        <v>13200</v>
      </c>
      <c r="P3959" s="14">
        <v>98.6</v>
      </c>
      <c r="Q3959" s="14">
        <v>184.8</v>
      </c>
      <c r="R3959" s="14">
        <v>282.74</v>
      </c>
      <c r="S3959" s="2" t="s">
        <v>2258</v>
      </c>
      <c r="T3959" s="2">
        <v>1.36</v>
      </c>
      <c r="U3959" s="2">
        <v>63</v>
      </c>
      <c r="V3959" s="2">
        <v>63</v>
      </c>
      <c r="W3959" s="2" t="s">
        <v>7862</v>
      </c>
      <c r="X3959" s="2" t="s">
        <v>471</v>
      </c>
      <c r="Y3959" s="2">
        <v>20196</v>
      </c>
      <c r="Z3959" s="19" t="str">
        <f>HYPERLINK("https://ssdweb.co/ssdweb/hd/Vision360.html?d=926040963&amp;zoomslide=1&amp;z=1926040963&amp;ISCONFIRM=0","VIDEO")</f>
        <v>VIDEO</v>
      </c>
      <c r="AA3959" s="19" t="str">
        <f>HYPERLINK("https://ssdweb.co/ssdweb/CERTH/630447925.pdf","CERTI")</f>
        <v>CERTI</v>
      </c>
    </row>
    <row r="3960" spans="1:27" ht="15" x14ac:dyDescent="0.25">
      <c r="A3960" s="2">
        <v>3955</v>
      </c>
      <c r="B3960" s="39">
        <v>926100767</v>
      </c>
      <c r="C3960" s="28" t="str">
        <f>HYPERLINK("https://pld.live/RapDetail.aspx?STONELIST=926100767","DNA")</f>
        <v>DNA</v>
      </c>
      <c r="D3960" s="18" t="s">
        <v>711</v>
      </c>
      <c r="E3960" s="18" t="s">
        <v>5128</v>
      </c>
      <c r="F3960" s="2" t="s">
        <v>7987</v>
      </c>
      <c r="G3960" s="2" t="s">
        <v>1573</v>
      </c>
      <c r="H3960" s="14">
        <v>1.53</v>
      </c>
      <c r="I3960" s="2" t="s">
        <v>267</v>
      </c>
      <c r="J3960" s="2" t="s">
        <v>6555</v>
      </c>
      <c r="K3960" s="2" t="s">
        <v>1452</v>
      </c>
      <c r="L3960" s="2" t="s">
        <v>5221</v>
      </c>
      <c r="M3960" s="2" t="s">
        <v>5221</v>
      </c>
      <c r="N3960" s="2" t="s">
        <v>2317</v>
      </c>
      <c r="O3960" s="14">
        <v>13200</v>
      </c>
      <c r="P3960" s="14">
        <v>98.6</v>
      </c>
      <c r="Q3960" s="14">
        <v>184.8</v>
      </c>
      <c r="R3960" s="14">
        <v>282.74</v>
      </c>
      <c r="S3960" s="2" t="s">
        <v>5489</v>
      </c>
      <c r="T3960" s="2">
        <v>1.36</v>
      </c>
      <c r="U3960" s="2">
        <v>62.9</v>
      </c>
      <c r="V3960" s="2">
        <v>61</v>
      </c>
      <c r="W3960" s="2" t="s">
        <v>7862</v>
      </c>
      <c r="X3960" s="2" t="s">
        <v>471</v>
      </c>
      <c r="Y3960" s="2">
        <v>20196</v>
      </c>
      <c r="Z3960" s="19" t="str">
        <f>HYPERLINK("https://ssdweb.co/ssdweb/hd/Vision360.html?d=926100767&amp;zoomslide=1&amp;z=1926100767&amp;ISCONFIRM=0","VIDEO")</f>
        <v>VIDEO</v>
      </c>
      <c r="AA3960" s="19" t="str">
        <f>HYPERLINK("https://ssdweb.co/ssdweb/CERTH/631430178.pdf","CERTI")</f>
        <v>CERTI</v>
      </c>
    </row>
    <row r="3961" spans="1:27" ht="15" x14ac:dyDescent="0.25">
      <c r="A3961" s="2">
        <v>3956</v>
      </c>
      <c r="B3961" s="39">
        <v>924740033</v>
      </c>
      <c r="C3961" s="28" t="str">
        <f>HYPERLINK("https://pld.live/RapDetail.aspx?STONELIST=924740033","DNA")</f>
        <v>DNA</v>
      </c>
      <c r="D3961" s="18" t="s">
        <v>711</v>
      </c>
      <c r="E3961" s="18" t="s">
        <v>5128</v>
      </c>
      <c r="F3961" s="2" t="s">
        <v>5597</v>
      </c>
      <c r="G3961" s="2" t="s">
        <v>1573</v>
      </c>
      <c r="H3961" s="14">
        <v>1.53</v>
      </c>
      <c r="I3961" s="2" t="s">
        <v>267</v>
      </c>
      <c r="J3961" s="2" t="s">
        <v>3942</v>
      </c>
      <c r="K3961" s="2" t="s">
        <v>1452</v>
      </c>
      <c r="L3961" s="2" t="s">
        <v>5221</v>
      </c>
      <c r="M3961" s="2" t="s">
        <v>5221</v>
      </c>
      <c r="N3961" s="2" t="s">
        <v>2317</v>
      </c>
      <c r="O3961" s="14">
        <v>12500</v>
      </c>
      <c r="P3961" s="14">
        <v>97.96</v>
      </c>
      <c r="Q3961" s="14">
        <v>255</v>
      </c>
      <c r="R3961" s="14">
        <v>390.15</v>
      </c>
      <c r="S3961" s="2" t="s">
        <v>7525</v>
      </c>
      <c r="T3961" s="2">
        <v>1.38</v>
      </c>
      <c r="U3961" s="2">
        <v>62.3</v>
      </c>
      <c r="V3961" s="2">
        <v>61</v>
      </c>
      <c r="W3961" s="2" t="s">
        <v>7862</v>
      </c>
      <c r="X3961" s="2" t="s">
        <v>471</v>
      </c>
      <c r="Y3961" s="2">
        <v>19125</v>
      </c>
      <c r="Z3961" s="19" t="str">
        <f>HYPERLINK("https://ssdweb.co/ssdweb/hd/Vision360.html?d=924740033&amp;zoomslide=1&amp;z=1924740033&amp;ISCONFIRM=0","VIDEO")</f>
        <v>VIDEO</v>
      </c>
      <c r="AA3961" s="19" t="str">
        <f>HYPERLINK("https://ssdweb.co/ssdweb/CERTH/5476520679.pdf","CERTI")</f>
        <v>CERTI</v>
      </c>
    </row>
    <row r="3962" spans="1:27" ht="15" x14ac:dyDescent="0.25">
      <c r="A3962" s="2">
        <v>3957</v>
      </c>
      <c r="B3962" s="39">
        <v>925960669</v>
      </c>
      <c r="C3962" s="28" t="str">
        <f>HYPERLINK("https://pld.live/RapDetail.aspx?STONELIST=925960669","DNA")</f>
        <v>DNA</v>
      </c>
      <c r="D3962" s="18" t="s">
        <v>711</v>
      </c>
      <c r="E3962" s="18" t="s">
        <v>5128</v>
      </c>
      <c r="F3962" s="2" t="s">
        <v>7987</v>
      </c>
      <c r="G3962" s="2" t="s">
        <v>1573</v>
      </c>
      <c r="H3962" s="14">
        <v>1.53</v>
      </c>
      <c r="I3962" s="2" t="s">
        <v>267</v>
      </c>
      <c r="J3962" s="2" t="s">
        <v>5144</v>
      </c>
      <c r="K3962" s="2" t="s">
        <v>1452</v>
      </c>
      <c r="L3962" s="2" t="s">
        <v>5221</v>
      </c>
      <c r="M3962" s="2" t="s">
        <v>5221</v>
      </c>
      <c r="N3962" s="2" t="s">
        <v>2317</v>
      </c>
      <c r="O3962" s="14">
        <v>9900</v>
      </c>
      <c r="P3962" s="14">
        <v>98.74</v>
      </c>
      <c r="Q3962" s="14">
        <v>124.74</v>
      </c>
      <c r="R3962" s="14">
        <v>190.85</v>
      </c>
      <c r="S3962" s="2" t="s">
        <v>4920</v>
      </c>
      <c r="T3962" s="2">
        <v>1.48</v>
      </c>
      <c r="U3962" s="2">
        <v>60.3</v>
      </c>
      <c r="V3962" s="2">
        <v>59</v>
      </c>
      <c r="W3962" s="2" t="s">
        <v>7862</v>
      </c>
      <c r="X3962" s="2" t="s">
        <v>471</v>
      </c>
      <c r="Y3962" s="2">
        <v>15147</v>
      </c>
      <c r="Z3962" s="19" t="str">
        <f>HYPERLINK("https://ssdweb.co/ssdweb/hd/Vision360.html?d=925960669&amp;zoomslide=1&amp;z=1925960669&amp;ISCONFIRM=0","VIDEO")</f>
        <v>VIDEO</v>
      </c>
      <c r="AA3962" s="19" t="str">
        <f>HYPERLINK("https://ssdweb.co/ssdweb/CERTH/628463280.pdf","CERTI")</f>
        <v>CERTI</v>
      </c>
    </row>
    <row r="3963" spans="1:27" ht="15" x14ac:dyDescent="0.25">
      <c r="A3963" s="2">
        <v>3958</v>
      </c>
      <c r="B3963" s="39">
        <v>925621744</v>
      </c>
      <c r="C3963" s="28" t="str">
        <f>HYPERLINK("https://pld.live/RapDetail.aspx?STONELIST=925621744","DNA")</f>
        <v>DNA</v>
      </c>
      <c r="D3963" s="18" t="s">
        <v>711</v>
      </c>
      <c r="E3963" s="18" t="s">
        <v>5128</v>
      </c>
      <c r="F3963" s="2" t="s">
        <v>7987</v>
      </c>
      <c r="G3963" s="2" t="s">
        <v>1573</v>
      </c>
      <c r="H3963" s="14">
        <v>1.53</v>
      </c>
      <c r="I3963" s="2" t="s">
        <v>267</v>
      </c>
      <c r="J3963" s="2" t="s">
        <v>5144</v>
      </c>
      <c r="K3963" s="2" t="s">
        <v>1452</v>
      </c>
      <c r="L3963" s="2" t="s">
        <v>5221</v>
      </c>
      <c r="M3963" s="2" t="s">
        <v>5221</v>
      </c>
      <c r="N3963" s="2" t="s">
        <v>2317</v>
      </c>
      <c r="O3963" s="14">
        <v>9900</v>
      </c>
      <c r="P3963" s="14">
        <v>98.74</v>
      </c>
      <c r="Q3963" s="14">
        <v>124.74</v>
      </c>
      <c r="R3963" s="14">
        <v>190.85</v>
      </c>
      <c r="S3963" s="2" t="s">
        <v>5330</v>
      </c>
      <c r="T3963" s="2">
        <v>1.38</v>
      </c>
      <c r="U3963" s="2">
        <v>62.3</v>
      </c>
      <c r="V3963" s="2">
        <v>62</v>
      </c>
      <c r="W3963" s="2" t="s">
        <v>7862</v>
      </c>
      <c r="X3963" s="2" t="s">
        <v>471</v>
      </c>
      <c r="Y3963" s="2">
        <v>15147</v>
      </c>
      <c r="Z3963" s="19" t="str">
        <f>HYPERLINK("https://ssdweb.co/ssdweb/hd/Vision360.html?d=925621744&amp;zoomslide=1&amp;z=1925621744&amp;ISCONFIRM=0","VIDEO")</f>
        <v>VIDEO</v>
      </c>
      <c r="AA3963" s="19" t="str">
        <f>HYPERLINK("https://ssdweb.co/ssdweb/CERTH/621496751.pdf","CERTI")</f>
        <v>CERTI</v>
      </c>
    </row>
    <row r="3964" spans="1:27" ht="15" x14ac:dyDescent="0.25">
      <c r="A3964" s="2">
        <v>3959</v>
      </c>
      <c r="B3964" s="39">
        <v>925621629</v>
      </c>
      <c r="C3964" s="28" t="str">
        <f>HYPERLINK("https://pld.live/RapDetail.aspx?STONELIST=925621629","DNA")</f>
        <v>DNA</v>
      </c>
      <c r="D3964" s="18" t="s">
        <v>711</v>
      </c>
      <c r="E3964" s="18" t="s">
        <v>5128</v>
      </c>
      <c r="F3964" s="2" t="s">
        <v>5597</v>
      </c>
      <c r="G3964" s="2" t="s">
        <v>1573</v>
      </c>
      <c r="H3964" s="14">
        <v>1.53</v>
      </c>
      <c r="I3964" s="2" t="s">
        <v>267</v>
      </c>
      <c r="J3964" s="2" t="s">
        <v>5144</v>
      </c>
      <c r="K3964" s="2" t="s">
        <v>1452</v>
      </c>
      <c r="L3964" s="2" t="s">
        <v>5221</v>
      </c>
      <c r="M3964" s="2" t="s">
        <v>5221</v>
      </c>
      <c r="N3964" s="2" t="s">
        <v>2317</v>
      </c>
      <c r="O3964" s="14">
        <v>9900</v>
      </c>
      <c r="P3964" s="14">
        <v>97.63</v>
      </c>
      <c r="Q3964" s="14">
        <v>234.63</v>
      </c>
      <c r="R3964" s="14">
        <v>358.98</v>
      </c>
      <c r="S3964" s="2" t="s">
        <v>601</v>
      </c>
      <c r="T3964" s="2">
        <v>1.36</v>
      </c>
      <c r="U3964" s="2">
        <v>62.7</v>
      </c>
      <c r="V3964" s="2">
        <v>63</v>
      </c>
      <c r="W3964" s="2" t="s">
        <v>7862</v>
      </c>
      <c r="X3964" s="2" t="s">
        <v>471</v>
      </c>
      <c r="Y3964" s="2">
        <v>15147</v>
      </c>
      <c r="Z3964" s="19" t="str">
        <f>HYPERLINK("https://ssdweb.co/ssdweb/hd/Vision360.html?d=925621629&amp;zoomslide=1&amp;z=1925621629&amp;ISCONFIRM=0","VIDEO")</f>
        <v>VIDEO</v>
      </c>
      <c r="AA3964" s="19" t="str">
        <f>HYPERLINK("https://ssdweb.co/ssdweb/CERTH/3485540654.pdf","CERTI")</f>
        <v>CERTI</v>
      </c>
    </row>
    <row r="3965" spans="1:27" ht="15" x14ac:dyDescent="0.25">
      <c r="A3965" s="2">
        <v>3960</v>
      </c>
      <c r="B3965" s="39">
        <v>925981010</v>
      </c>
      <c r="C3965" s="28" t="str">
        <f>HYPERLINK("https://pld.live/RapDetail.aspx?STONELIST=925981010","DNA")</f>
        <v>DNA</v>
      </c>
      <c r="D3965" s="18" t="s">
        <v>711</v>
      </c>
      <c r="E3965" s="18" t="s">
        <v>5128</v>
      </c>
      <c r="F3965" s="2" t="s">
        <v>7987</v>
      </c>
      <c r="G3965" s="2" t="s">
        <v>1573</v>
      </c>
      <c r="H3965" s="14">
        <v>1.53</v>
      </c>
      <c r="I3965" s="2" t="s">
        <v>267</v>
      </c>
      <c r="J3965" s="2" t="s">
        <v>5144</v>
      </c>
      <c r="K3965" s="2" t="s">
        <v>1452</v>
      </c>
      <c r="L3965" s="2" t="s">
        <v>5221</v>
      </c>
      <c r="M3965" s="2" t="s">
        <v>5221</v>
      </c>
      <c r="N3965" s="2" t="s">
        <v>2317</v>
      </c>
      <c r="O3965" s="14">
        <v>9900</v>
      </c>
      <c r="P3965" s="14">
        <v>98.74</v>
      </c>
      <c r="Q3965" s="14">
        <v>124.74</v>
      </c>
      <c r="R3965" s="14">
        <v>190.85</v>
      </c>
      <c r="S3965" s="2" t="s">
        <v>6415</v>
      </c>
      <c r="T3965" s="2">
        <v>1.38</v>
      </c>
      <c r="U3965" s="2">
        <v>60.8</v>
      </c>
      <c r="V3965" s="2">
        <v>62</v>
      </c>
      <c r="W3965" s="2" t="s">
        <v>7862</v>
      </c>
      <c r="X3965" s="2" t="s">
        <v>471</v>
      </c>
      <c r="Y3965" s="2">
        <v>15147</v>
      </c>
      <c r="Z3965" s="19" t="str">
        <f>HYPERLINK("https://ssdweb.co/ssdweb/hd/Vision360.html?d=925981010&amp;zoomslide=1&amp;z=1925981010&amp;ISCONFIRM=0","VIDEO")</f>
        <v>VIDEO</v>
      </c>
      <c r="AA3965" s="19" t="str">
        <f>HYPERLINK("https://ssdweb.co/ssdweb/CERTH/629453019.pdf","CERTI")</f>
        <v>CERTI</v>
      </c>
    </row>
    <row r="3966" spans="1:27" ht="15" x14ac:dyDescent="0.25">
      <c r="A3966" s="2">
        <v>3961</v>
      </c>
      <c r="B3966" s="39">
        <v>926100883</v>
      </c>
      <c r="C3966" s="28" t="str">
        <f>HYPERLINK("https://pld.live/RapDetail.aspx?STONELIST=926100883","DNA")</f>
        <v>DNA</v>
      </c>
      <c r="D3966" s="18" t="s">
        <v>711</v>
      </c>
      <c r="E3966" s="18" t="s">
        <v>5128</v>
      </c>
      <c r="F3966" s="2" t="s">
        <v>7987</v>
      </c>
      <c r="G3966" s="2" t="s">
        <v>1573</v>
      </c>
      <c r="H3966" s="14">
        <v>1.53</v>
      </c>
      <c r="I3966" s="2" t="s">
        <v>267</v>
      </c>
      <c r="J3966" s="2" t="s">
        <v>5144</v>
      </c>
      <c r="K3966" s="2" t="s">
        <v>1452</v>
      </c>
      <c r="L3966" s="2" t="s">
        <v>5221</v>
      </c>
      <c r="M3966" s="2" t="s">
        <v>5221</v>
      </c>
      <c r="N3966" s="2" t="s">
        <v>2317</v>
      </c>
      <c r="O3966" s="14">
        <v>9900</v>
      </c>
      <c r="P3966" s="14">
        <v>98.74</v>
      </c>
      <c r="Q3966" s="14">
        <v>124.74</v>
      </c>
      <c r="R3966" s="14">
        <v>190.85</v>
      </c>
      <c r="S3966" s="2" t="s">
        <v>7074</v>
      </c>
      <c r="T3966" s="2">
        <v>1.36</v>
      </c>
      <c r="U3966" s="2">
        <v>63.7</v>
      </c>
      <c r="V3966" s="2">
        <v>61</v>
      </c>
      <c r="W3966" s="2" t="s">
        <v>7862</v>
      </c>
      <c r="X3966" s="2" t="s">
        <v>471</v>
      </c>
      <c r="Y3966" s="2">
        <v>15147</v>
      </c>
      <c r="Z3966" s="19" t="str">
        <f>HYPERLINK("https://ssdweb.co/ssdweb/hd/Vision360.html?d=926100883&amp;zoomslide=1&amp;z=1926100883&amp;ISCONFIRM=0","VIDEO")</f>
        <v>VIDEO</v>
      </c>
      <c r="AA3966" s="19" t="str">
        <f>HYPERLINK("https://ssdweb.co/ssdweb/CERTH/631464301.pdf","CERTI")</f>
        <v>CERTI</v>
      </c>
    </row>
    <row r="3967" spans="1:27" ht="15" x14ac:dyDescent="0.25">
      <c r="A3967" s="2">
        <v>3962</v>
      </c>
      <c r="B3967" s="39">
        <v>821124316</v>
      </c>
      <c r="C3967" s="28" t="str">
        <f>HYPERLINK("https://pld.live/RapDetail.aspx?STONELIST=821124316","DNA")</f>
        <v>DNA</v>
      </c>
      <c r="D3967" s="18" t="s">
        <v>711</v>
      </c>
      <c r="E3967" s="18" t="s">
        <v>5128</v>
      </c>
      <c r="F3967" s="2" t="s">
        <v>7987</v>
      </c>
      <c r="G3967" s="2" t="s">
        <v>1573</v>
      </c>
      <c r="H3967" s="14">
        <v>1.53</v>
      </c>
      <c r="I3967" s="2" t="s">
        <v>4761</v>
      </c>
      <c r="J3967" s="2" t="s">
        <v>6555</v>
      </c>
      <c r="K3967" s="2" t="s">
        <v>1452</v>
      </c>
      <c r="L3967" s="2" t="s">
        <v>5221</v>
      </c>
      <c r="M3967" s="2" t="s">
        <v>5221</v>
      </c>
      <c r="N3967" s="2" t="s">
        <v>2317</v>
      </c>
      <c r="O3967" s="14">
        <v>12400</v>
      </c>
      <c r="P3967" s="14">
        <v>98.75</v>
      </c>
      <c r="Q3967" s="14">
        <v>155</v>
      </c>
      <c r="R3967" s="14">
        <v>237.15</v>
      </c>
      <c r="S3967" s="2" t="s">
        <v>4946</v>
      </c>
      <c r="T3967" s="2">
        <v>1.41</v>
      </c>
      <c r="U3967" s="2">
        <v>61</v>
      </c>
      <c r="V3967" s="2">
        <v>56</v>
      </c>
      <c r="W3967" s="2" t="s">
        <v>7862</v>
      </c>
      <c r="X3967" s="2" t="s">
        <v>471</v>
      </c>
      <c r="Y3967" s="2">
        <v>18972</v>
      </c>
      <c r="Z3967" s="19" t="str">
        <f>HYPERLINK("https://ssdweb.co/ssdweb/hd/Vision360.html?d=821124316&amp;zoomslide=1&amp;z=1821124316&amp;ISCONFIRM=0","VIDEO")</f>
        <v>VIDEO</v>
      </c>
      <c r="AA3967" s="19" t="str">
        <f>HYPERLINK("https://ssdweb.co/ssdweb/CERTH/598305302.pdf","CERTI")</f>
        <v>CERTI</v>
      </c>
    </row>
    <row r="3968" spans="1:27" ht="15" x14ac:dyDescent="0.25">
      <c r="A3968" s="2">
        <v>3963</v>
      </c>
      <c r="B3968" s="39">
        <v>925860923</v>
      </c>
      <c r="C3968" s="28" t="str">
        <f>HYPERLINK("https://pld.live/RapDetail.aspx?STONELIST=925860923","DNA")</f>
        <v>DNA</v>
      </c>
      <c r="D3968" s="18" t="s">
        <v>711</v>
      </c>
      <c r="E3968" s="18" t="s">
        <v>5128</v>
      </c>
      <c r="F3968" s="2" t="s">
        <v>7987</v>
      </c>
      <c r="G3968" s="2" t="s">
        <v>1573</v>
      </c>
      <c r="H3968" s="14">
        <v>1.53</v>
      </c>
      <c r="I3968" s="2" t="s">
        <v>4761</v>
      </c>
      <c r="J3968" s="2" t="s">
        <v>3942</v>
      </c>
      <c r="K3968" s="2" t="s">
        <v>1452</v>
      </c>
      <c r="L3968" s="2" t="s">
        <v>5221</v>
      </c>
      <c r="M3968" s="2" t="s">
        <v>5221</v>
      </c>
      <c r="N3968" s="2" t="s">
        <v>2317</v>
      </c>
      <c r="O3968" s="14">
        <v>11600</v>
      </c>
      <c r="P3968" s="14">
        <v>98.88</v>
      </c>
      <c r="Q3968" s="14">
        <v>129.91999999999999</v>
      </c>
      <c r="R3968" s="14">
        <v>198.78</v>
      </c>
      <c r="S3968" s="2" t="s">
        <v>3505</v>
      </c>
      <c r="T3968" s="2">
        <v>1.37</v>
      </c>
      <c r="U3968" s="2">
        <v>63.1</v>
      </c>
      <c r="V3968" s="2">
        <v>59</v>
      </c>
      <c r="W3968" s="2" t="s">
        <v>7862</v>
      </c>
      <c r="X3968" s="2" t="s">
        <v>471</v>
      </c>
      <c r="Y3968" s="2">
        <v>17748</v>
      </c>
      <c r="Z3968" s="19" t="str">
        <f>HYPERLINK("https://ssdweb.co/ssdweb/hd/Vision360.html?d=925860923&amp;zoomslide=1&amp;z=1925860923&amp;ISCONFIRM=0","VIDEO")</f>
        <v>VIDEO</v>
      </c>
      <c r="AA3968" s="19" t="str">
        <f>HYPERLINK("https://ssdweb.co/ssdweb/CERTH/626499164.pdf","CERTI")</f>
        <v>CERTI</v>
      </c>
    </row>
    <row r="3969" spans="1:27" ht="15" x14ac:dyDescent="0.25">
      <c r="A3969" s="2">
        <v>3964</v>
      </c>
      <c r="B3969" s="39">
        <v>925971247</v>
      </c>
      <c r="C3969" s="28" t="str">
        <f>HYPERLINK("https://pld.live/RapDetail.aspx?STONELIST=925971247","DNA")</f>
        <v>DNA</v>
      </c>
      <c r="D3969" s="18" t="s">
        <v>711</v>
      </c>
      <c r="E3969" s="18" t="s">
        <v>5128</v>
      </c>
      <c r="F3969" s="2" t="s">
        <v>7987</v>
      </c>
      <c r="G3969" s="2" t="s">
        <v>1573</v>
      </c>
      <c r="H3969" s="14">
        <v>1.53</v>
      </c>
      <c r="I3969" s="2" t="s">
        <v>4761</v>
      </c>
      <c r="J3969" s="2" t="s">
        <v>3942</v>
      </c>
      <c r="K3969" s="2" t="s">
        <v>1452</v>
      </c>
      <c r="L3969" s="2" t="s">
        <v>5221</v>
      </c>
      <c r="M3969" s="2" t="s">
        <v>5221</v>
      </c>
      <c r="N3969" s="2" t="s">
        <v>2317</v>
      </c>
      <c r="O3969" s="14">
        <v>11600</v>
      </c>
      <c r="P3969" s="14">
        <v>98.9</v>
      </c>
      <c r="Q3969" s="14">
        <v>127.6</v>
      </c>
      <c r="R3969" s="14">
        <v>195.23</v>
      </c>
      <c r="S3969" s="2" t="s">
        <v>4132</v>
      </c>
      <c r="T3969" s="2">
        <v>1.36</v>
      </c>
      <c r="U3969" s="2">
        <v>62.7</v>
      </c>
      <c r="V3969" s="2">
        <v>58</v>
      </c>
      <c r="W3969" s="2" t="s">
        <v>4336</v>
      </c>
      <c r="X3969" s="2" t="s">
        <v>471</v>
      </c>
      <c r="Y3969" s="2">
        <v>17748</v>
      </c>
      <c r="Z3969" s="19" t="str">
        <f>HYPERLINK("https://ssdweb.co/ssdweb/hd/Vision360.html?d=925971247&amp;zoomslide=1&amp;z=1925971247&amp;ISCONFIRM=0","VIDEO")</f>
        <v>VIDEO</v>
      </c>
      <c r="AA3969" s="19" t="str">
        <f>HYPERLINK("https://ssdweb.co/ssdweb/CERTH/629479067.pdf","CERTI")</f>
        <v>CERTI</v>
      </c>
    </row>
    <row r="3970" spans="1:27" ht="15" x14ac:dyDescent="0.25">
      <c r="A3970" s="2">
        <v>3965</v>
      </c>
      <c r="B3970" s="39">
        <v>925270536</v>
      </c>
      <c r="C3970" s="28" t="str">
        <f>HYPERLINK("https://pld.live/RapDetail.aspx?STONELIST=925270536","DNA")</f>
        <v>DNA</v>
      </c>
      <c r="D3970" s="18" t="s">
        <v>711</v>
      </c>
      <c r="E3970" s="18" t="s">
        <v>5128</v>
      </c>
      <c r="F3970" s="2" t="s">
        <v>7987</v>
      </c>
      <c r="G3970" s="2" t="s">
        <v>1573</v>
      </c>
      <c r="H3970" s="14">
        <v>1.53</v>
      </c>
      <c r="I3970" s="2" t="s">
        <v>4761</v>
      </c>
      <c r="J3970" s="2" t="s">
        <v>5144</v>
      </c>
      <c r="K3970" s="2" t="s">
        <v>1452</v>
      </c>
      <c r="L3970" s="2" t="s">
        <v>5221</v>
      </c>
      <c r="M3970" s="2" t="s">
        <v>5221</v>
      </c>
      <c r="N3970" s="2" t="s">
        <v>2317</v>
      </c>
      <c r="O3970" s="14">
        <v>9300</v>
      </c>
      <c r="P3970" s="14">
        <v>98.71</v>
      </c>
      <c r="Q3970" s="14">
        <v>119.97</v>
      </c>
      <c r="R3970" s="14">
        <v>183.55</v>
      </c>
      <c r="S3970" s="2" t="s">
        <v>3636</v>
      </c>
      <c r="T3970" s="2">
        <v>1.4</v>
      </c>
      <c r="U3970" s="2">
        <v>61</v>
      </c>
      <c r="V3970" s="2">
        <v>62</v>
      </c>
      <c r="W3970" s="2" t="s">
        <v>7862</v>
      </c>
      <c r="X3970" s="2" t="s">
        <v>471</v>
      </c>
      <c r="Y3970" s="2">
        <v>14229</v>
      </c>
      <c r="Z3970" s="19" t="str">
        <f>HYPERLINK("https://ssdweb.co/ssdweb/hd/Vision360.html?d=925270536&amp;zoomslide=1&amp;z=1925270536&amp;ISCONFIRM=0","VIDEO")</f>
        <v>VIDEO</v>
      </c>
      <c r="AA3970" s="19" t="str">
        <f>HYPERLINK("https://ssdweb.co/ssdweb/CERTH/619427294.pdf","CERTI")</f>
        <v>CERTI</v>
      </c>
    </row>
    <row r="3971" spans="1:27" ht="15" x14ac:dyDescent="0.25">
      <c r="A3971" s="2">
        <v>3966</v>
      </c>
      <c r="B3971" s="39">
        <v>926200294</v>
      </c>
      <c r="C3971" s="28" t="str">
        <f>HYPERLINK("https://pld.live/RapDetail.aspx?STONELIST=926200294","DNA")</f>
        <v>DNA</v>
      </c>
      <c r="D3971" s="18" t="s">
        <v>711</v>
      </c>
      <c r="E3971" s="18" t="s">
        <v>5128</v>
      </c>
      <c r="F3971" s="2" t="s">
        <v>7987</v>
      </c>
      <c r="G3971" s="2" t="s">
        <v>1573</v>
      </c>
      <c r="H3971" s="14">
        <v>1.53</v>
      </c>
      <c r="I3971" s="2" t="s">
        <v>4699</v>
      </c>
      <c r="J3971" s="2" t="s">
        <v>6555</v>
      </c>
      <c r="K3971" s="2" t="s">
        <v>1452</v>
      </c>
      <c r="L3971" s="2" t="s">
        <v>5221</v>
      </c>
      <c r="M3971" s="2" t="s">
        <v>5221</v>
      </c>
      <c r="N3971" s="2" t="s">
        <v>2317</v>
      </c>
      <c r="O3971" s="14">
        <v>11500</v>
      </c>
      <c r="P3971" s="14">
        <v>98.71</v>
      </c>
      <c r="Q3971" s="14">
        <v>148.35</v>
      </c>
      <c r="R3971" s="14">
        <v>226.98</v>
      </c>
      <c r="S3971" s="2" t="s">
        <v>4852</v>
      </c>
      <c r="T3971" s="2">
        <v>1.35</v>
      </c>
      <c r="U3971" s="2">
        <v>62.6</v>
      </c>
      <c r="V3971" s="2">
        <v>60</v>
      </c>
      <c r="W3971" s="2" t="s">
        <v>4336</v>
      </c>
      <c r="X3971" s="2" t="s">
        <v>471</v>
      </c>
      <c r="Y3971" s="2">
        <v>17595</v>
      </c>
      <c r="Z3971" s="19" t="str">
        <f>HYPERLINK("https://ssdweb.co/ssdweb/hd/Vision360.html?d=926200294&amp;zoomslide=1&amp;z=1926200294&amp;ISCONFIRM=0","VIDEO")</f>
        <v>VIDEO</v>
      </c>
      <c r="AA3971" s="19" t="str">
        <f>HYPERLINK("https://ssdweb.co/ssdweb/CERTH/634472309.pdf","CERTI")</f>
        <v>CERTI</v>
      </c>
    </row>
    <row r="3972" spans="1:27" ht="15" x14ac:dyDescent="0.25">
      <c r="A3972" s="2">
        <v>3967</v>
      </c>
      <c r="B3972" s="39">
        <v>925801153</v>
      </c>
      <c r="C3972" s="28" t="str">
        <f>HYPERLINK("https://pld.live/RapDetail.aspx?STONELIST=925801153","DNA")</f>
        <v>DNA</v>
      </c>
      <c r="D3972" s="18" t="s">
        <v>711</v>
      </c>
      <c r="E3972" s="18" t="s">
        <v>5128</v>
      </c>
      <c r="F3972" s="2" t="s">
        <v>7987</v>
      </c>
      <c r="G3972" s="2" t="s">
        <v>1573</v>
      </c>
      <c r="H3972" s="14">
        <v>1.53</v>
      </c>
      <c r="I3972" s="2" t="s">
        <v>6587</v>
      </c>
      <c r="J3972" s="2" t="s">
        <v>3942</v>
      </c>
      <c r="K3972" s="2" t="s">
        <v>1452</v>
      </c>
      <c r="L3972" s="2" t="s">
        <v>5221</v>
      </c>
      <c r="M3972" s="2" t="s">
        <v>5221</v>
      </c>
      <c r="N3972" s="2" t="s">
        <v>2317</v>
      </c>
      <c r="O3972" s="14">
        <v>10000</v>
      </c>
      <c r="P3972" s="14">
        <v>98.87</v>
      </c>
      <c r="Q3972" s="14">
        <v>113</v>
      </c>
      <c r="R3972" s="14">
        <v>172.89</v>
      </c>
      <c r="S3972" s="2" t="s">
        <v>4811</v>
      </c>
      <c r="T3972" s="2">
        <v>1.38</v>
      </c>
      <c r="U3972" s="2">
        <v>62.2</v>
      </c>
      <c r="V3972" s="2">
        <v>62</v>
      </c>
      <c r="W3972" s="2" t="s">
        <v>4336</v>
      </c>
      <c r="X3972" s="2" t="s">
        <v>471</v>
      </c>
      <c r="Y3972" s="2">
        <v>15300</v>
      </c>
      <c r="Z3972" s="19" t="str">
        <f>HYPERLINK("https://ssdweb.co/ssdweb/hd/Vision360.html?d=925801153&amp;zoomslide=1&amp;z=1925801153&amp;ISCONFIRM=0","VIDEO")</f>
        <v>VIDEO</v>
      </c>
      <c r="AA3972" s="19" t="str">
        <f>HYPERLINK("https://ssdweb.co/ssdweb/CERTH/626457450.pdf","CERTI")</f>
        <v>CERTI</v>
      </c>
    </row>
    <row r="3973" spans="1:27" ht="15" x14ac:dyDescent="0.25">
      <c r="A3973" s="2">
        <v>3968</v>
      </c>
      <c r="B3973" s="39">
        <v>925700186</v>
      </c>
      <c r="C3973" s="28" t="str">
        <f>HYPERLINK("https://pld.live/RapDetail.aspx?STONELIST=925700186","DNA")</f>
        <v>DNA</v>
      </c>
      <c r="D3973" s="18" t="s">
        <v>711</v>
      </c>
      <c r="E3973" s="18" t="s">
        <v>2186</v>
      </c>
      <c r="F3973" s="2" t="s">
        <v>7987</v>
      </c>
      <c r="G3973" s="2" t="s">
        <v>1573</v>
      </c>
      <c r="H3973" s="14">
        <v>1.53</v>
      </c>
      <c r="I3973" s="2" t="s">
        <v>6587</v>
      </c>
      <c r="J3973" s="2" t="s">
        <v>3942</v>
      </c>
      <c r="K3973" s="2" t="s">
        <v>1452</v>
      </c>
      <c r="L3973" s="2" t="s">
        <v>5221</v>
      </c>
      <c r="M3973" s="2" t="s">
        <v>5221</v>
      </c>
      <c r="N3973" s="2" t="s">
        <v>2317</v>
      </c>
      <c r="O3973" s="14">
        <v>10000</v>
      </c>
      <c r="P3973" s="14">
        <v>98.87</v>
      </c>
      <c r="Q3973" s="14">
        <v>113</v>
      </c>
      <c r="R3973" s="14">
        <v>172.89</v>
      </c>
      <c r="S3973" s="2" t="s">
        <v>5808</v>
      </c>
      <c r="T3973" s="2">
        <v>1.53</v>
      </c>
      <c r="U3973" s="2">
        <v>60.5</v>
      </c>
      <c r="V3973" s="2">
        <v>61</v>
      </c>
      <c r="W3973" s="2" t="s">
        <v>8016</v>
      </c>
      <c r="X3973" s="2" t="s">
        <v>471</v>
      </c>
      <c r="Y3973" s="2">
        <v>15300</v>
      </c>
      <c r="Z3973" s="19" t="str">
        <f>HYPERLINK("https://ssdweb.co/ssdweb/hd/Vision360.html?d=925700186&amp;zoomslide=1&amp;z=1925700186&amp;ISCONFIRM=0","VIDEO")</f>
        <v>VIDEO</v>
      </c>
      <c r="AA3973" s="19" t="str">
        <f>HYPERLINK("https://ssdweb.co/ssdweb/CERTH/626466272.pdf","CERTI")</f>
        <v>CERTI</v>
      </c>
    </row>
    <row r="3974" spans="1:27" ht="15" x14ac:dyDescent="0.25">
      <c r="A3974" s="2">
        <v>3969</v>
      </c>
      <c r="B3974" s="39">
        <v>821124350</v>
      </c>
      <c r="C3974" s="28" t="str">
        <f>HYPERLINK("https://pld.live/RapDetail.aspx?STONELIST=821124350","DNA")</f>
        <v>DNA</v>
      </c>
      <c r="D3974" s="18" t="s">
        <v>711</v>
      </c>
      <c r="E3974" s="18" t="s">
        <v>5128</v>
      </c>
      <c r="F3974" s="2" t="s">
        <v>7987</v>
      </c>
      <c r="G3974" s="2" t="s">
        <v>1573</v>
      </c>
      <c r="H3974" s="14">
        <v>1.52</v>
      </c>
      <c r="I3974" s="2" t="s">
        <v>267</v>
      </c>
      <c r="J3974" s="2" t="s">
        <v>7032</v>
      </c>
      <c r="K3974" s="2" t="s">
        <v>1452</v>
      </c>
      <c r="L3974" s="2" t="s">
        <v>5221</v>
      </c>
      <c r="M3974" s="2" t="s">
        <v>5221</v>
      </c>
      <c r="N3974" s="2" t="s">
        <v>2317</v>
      </c>
      <c r="O3974" s="14">
        <v>14100</v>
      </c>
      <c r="P3974" s="14">
        <v>96.28</v>
      </c>
      <c r="Q3974" s="14">
        <v>524.52</v>
      </c>
      <c r="R3974" s="14">
        <v>797.27</v>
      </c>
      <c r="S3974" s="2" t="s">
        <v>2337</v>
      </c>
      <c r="T3974" s="2">
        <v>1.37</v>
      </c>
      <c r="U3974" s="2">
        <v>63.1</v>
      </c>
      <c r="V3974" s="2">
        <v>60</v>
      </c>
      <c r="W3974" s="2" t="s">
        <v>7862</v>
      </c>
      <c r="X3974" s="2" t="s">
        <v>471</v>
      </c>
      <c r="Y3974" s="2">
        <v>21432</v>
      </c>
      <c r="Z3974" s="19" t="str">
        <f>HYPERLINK("https://ssdweb.co/ssdweb/hd/Vision360.html?d=821124350&amp;zoomslide=1&amp;z=1821124350&amp;ISCONFIRM=0","VIDEO")</f>
        <v>VIDEO</v>
      </c>
      <c r="AA3974" s="19" t="str">
        <f>HYPERLINK("https://ssdweb.co/ssdweb/CERTH/606361725.pdf","CERTI")</f>
        <v>CERTI</v>
      </c>
    </row>
    <row r="3975" spans="1:27" ht="15" x14ac:dyDescent="0.25">
      <c r="A3975" s="2">
        <v>3970</v>
      </c>
      <c r="B3975" s="39">
        <v>821124289</v>
      </c>
      <c r="C3975" s="28" t="str">
        <f>HYPERLINK("https://pld.live/RapDetail.aspx?STONELIST=821124289","DNA")</f>
        <v>DNA</v>
      </c>
      <c r="D3975" s="18" t="s">
        <v>711</v>
      </c>
      <c r="E3975" s="18" t="s">
        <v>5128</v>
      </c>
      <c r="F3975" s="2" t="s">
        <v>7987</v>
      </c>
      <c r="G3975" s="2" t="s">
        <v>1573</v>
      </c>
      <c r="H3975" s="14">
        <v>1.52</v>
      </c>
      <c r="I3975" s="2" t="s">
        <v>267</v>
      </c>
      <c r="J3975" s="2" t="s">
        <v>6555</v>
      </c>
      <c r="K3975" s="2" t="s">
        <v>1452</v>
      </c>
      <c r="L3975" s="2" t="s">
        <v>5221</v>
      </c>
      <c r="M3975" s="2" t="s">
        <v>5221</v>
      </c>
      <c r="N3975" s="2" t="s">
        <v>2317</v>
      </c>
      <c r="O3975" s="14">
        <v>13200</v>
      </c>
      <c r="P3975" s="14">
        <v>98.6</v>
      </c>
      <c r="Q3975" s="14">
        <v>184.8</v>
      </c>
      <c r="R3975" s="14">
        <v>280.89999999999998</v>
      </c>
      <c r="S3975" s="2" t="s">
        <v>243</v>
      </c>
      <c r="T3975" s="2">
        <v>1.4</v>
      </c>
      <c r="U3975" s="2">
        <v>63</v>
      </c>
      <c r="V3975" s="2">
        <v>59</v>
      </c>
      <c r="W3975" s="2" t="s">
        <v>7862</v>
      </c>
      <c r="X3975" s="2" t="s">
        <v>471</v>
      </c>
      <c r="Y3975" s="2">
        <v>20064</v>
      </c>
      <c r="Z3975" s="19" t="str">
        <f>HYPERLINK("https://ssdweb.co/ssdweb/hd/Vision360.html?d=821124289&amp;zoomslide=1&amp;z=1821124289&amp;ISCONFIRM=0","VIDEO")</f>
        <v>VIDEO</v>
      </c>
      <c r="AA3975" s="19" t="str">
        <f>HYPERLINK("https://ssdweb.co/ssdweb/CERTH/606361635.pdf","CERTI")</f>
        <v>CERTI</v>
      </c>
    </row>
    <row r="3976" spans="1:27" ht="15" x14ac:dyDescent="0.25">
      <c r="A3976" s="2">
        <v>3971</v>
      </c>
      <c r="B3976" s="39">
        <v>821124321</v>
      </c>
      <c r="C3976" s="28" t="str">
        <f>HYPERLINK("https://pld.live/RapDetail.aspx?STONELIST=821124321","DNA")</f>
        <v>DNA</v>
      </c>
      <c r="D3976" s="18" t="s">
        <v>711</v>
      </c>
      <c r="E3976" s="18" t="s">
        <v>5128</v>
      </c>
      <c r="F3976" s="2" t="s">
        <v>7987</v>
      </c>
      <c r="G3976" s="2" t="s">
        <v>1573</v>
      </c>
      <c r="H3976" s="14">
        <v>1.52</v>
      </c>
      <c r="I3976" s="2" t="s">
        <v>267</v>
      </c>
      <c r="J3976" s="2" t="s">
        <v>6555</v>
      </c>
      <c r="K3976" s="2" t="s">
        <v>1452</v>
      </c>
      <c r="L3976" s="2" t="s">
        <v>5221</v>
      </c>
      <c r="M3976" s="2" t="s">
        <v>5221</v>
      </c>
      <c r="N3976" s="2" t="s">
        <v>2317</v>
      </c>
      <c r="O3976" s="14">
        <v>13200</v>
      </c>
      <c r="P3976" s="14">
        <v>98.6</v>
      </c>
      <c r="Q3976" s="14">
        <v>184.8</v>
      </c>
      <c r="R3976" s="14">
        <v>280.89999999999998</v>
      </c>
      <c r="S3976" s="2" t="s">
        <v>5341</v>
      </c>
      <c r="T3976" s="2">
        <v>1.38</v>
      </c>
      <c r="U3976" s="2">
        <v>62.2</v>
      </c>
      <c r="V3976" s="2">
        <v>59</v>
      </c>
      <c r="W3976" s="2" t="s">
        <v>7862</v>
      </c>
      <c r="X3976" s="2" t="s">
        <v>471</v>
      </c>
      <c r="Y3976" s="2">
        <v>20064</v>
      </c>
      <c r="Z3976" s="19" t="str">
        <f>HYPERLINK("https://ssdweb.co/ssdweb/hd/Vision360.html?d=821124321&amp;zoomslide=1&amp;z=1821124321&amp;ISCONFIRM=0","VIDEO")</f>
        <v>VIDEO</v>
      </c>
      <c r="AA3976" s="19" t="str">
        <f>HYPERLINK("https://ssdweb.co/ssdweb/CERTH/602303032.pdf","CERTI")</f>
        <v>CERTI</v>
      </c>
    </row>
    <row r="3977" spans="1:27" ht="15" x14ac:dyDescent="0.25">
      <c r="A3977" s="2">
        <v>3972</v>
      </c>
      <c r="B3977" s="39">
        <v>925540261</v>
      </c>
      <c r="C3977" s="28" t="str">
        <f>HYPERLINK("https://pld.live/RapDetail.aspx?STONELIST=925540261","DNA")</f>
        <v>DNA</v>
      </c>
      <c r="D3977" s="18" t="s">
        <v>711</v>
      </c>
      <c r="E3977" s="18" t="s">
        <v>5128</v>
      </c>
      <c r="F3977" s="2" t="s">
        <v>7987</v>
      </c>
      <c r="G3977" s="2" t="s">
        <v>1573</v>
      </c>
      <c r="H3977" s="14">
        <v>1.52</v>
      </c>
      <c r="I3977" s="2" t="s">
        <v>267</v>
      </c>
      <c r="J3977" s="2" t="s">
        <v>6555</v>
      </c>
      <c r="K3977" s="2" t="s">
        <v>1452</v>
      </c>
      <c r="L3977" s="2" t="s">
        <v>5221</v>
      </c>
      <c r="M3977" s="2" t="s">
        <v>5221</v>
      </c>
      <c r="N3977" s="2" t="s">
        <v>2317</v>
      </c>
      <c r="O3977" s="14">
        <v>13200</v>
      </c>
      <c r="P3977" s="14">
        <v>98.6</v>
      </c>
      <c r="Q3977" s="14">
        <v>184.8</v>
      </c>
      <c r="R3977" s="14">
        <v>280.89999999999998</v>
      </c>
      <c r="S3977" s="2" t="s">
        <v>5595</v>
      </c>
      <c r="T3977" s="2">
        <v>1.36</v>
      </c>
      <c r="U3977" s="2">
        <v>62.9</v>
      </c>
      <c r="V3977" s="2">
        <v>63</v>
      </c>
      <c r="W3977" s="2" t="s">
        <v>7862</v>
      </c>
      <c r="X3977" s="2" t="s">
        <v>471</v>
      </c>
      <c r="Y3977" s="2">
        <v>20064</v>
      </c>
      <c r="Z3977" s="19" t="str">
        <f>HYPERLINK("https://ssdweb.co/ssdweb/hd/Vision360.html?d=925540261&amp;zoomslide=1&amp;z=1925540261&amp;ISCONFIRM=0","VIDEO")</f>
        <v>VIDEO</v>
      </c>
      <c r="AA3977" s="19" t="str">
        <f>HYPERLINK("https://ssdweb.co/ssdweb/CERTH/617413090.pdf","CERTI")</f>
        <v>CERTI</v>
      </c>
    </row>
    <row r="3978" spans="1:27" ht="15" x14ac:dyDescent="0.25">
      <c r="A3978" s="2">
        <v>3973</v>
      </c>
      <c r="B3978" s="39">
        <v>926350465</v>
      </c>
      <c r="C3978" s="28" t="str">
        <f>HYPERLINK("https://pld.live/RapDetail.aspx?STONELIST=926350465","DNA")</f>
        <v>DNA</v>
      </c>
      <c r="D3978" s="18" t="s">
        <v>711</v>
      </c>
      <c r="E3978" s="18" t="s">
        <v>5128</v>
      </c>
      <c r="F3978" s="2" t="s">
        <v>7987</v>
      </c>
      <c r="G3978" s="2" t="s">
        <v>1573</v>
      </c>
      <c r="H3978" s="14">
        <v>1.52</v>
      </c>
      <c r="I3978" s="2" t="s">
        <v>267</v>
      </c>
      <c r="J3978" s="2" t="s">
        <v>6555</v>
      </c>
      <c r="K3978" s="2" t="s">
        <v>1452</v>
      </c>
      <c r="L3978" s="2" t="s">
        <v>5221</v>
      </c>
      <c r="M3978" s="2" t="s">
        <v>5221</v>
      </c>
      <c r="N3978" s="2" t="s">
        <v>2317</v>
      </c>
      <c r="O3978" s="14">
        <v>13200</v>
      </c>
      <c r="P3978" s="14">
        <v>98.58</v>
      </c>
      <c r="Q3978" s="14">
        <v>187.44</v>
      </c>
      <c r="R3978" s="14">
        <v>284.91000000000003</v>
      </c>
      <c r="S3978" s="2" t="s">
        <v>4180</v>
      </c>
      <c r="T3978" s="2">
        <v>1.38</v>
      </c>
      <c r="U3978" s="2">
        <v>62.1</v>
      </c>
      <c r="V3978" s="2">
        <v>60</v>
      </c>
      <c r="W3978" s="2" t="s">
        <v>7862</v>
      </c>
      <c r="X3978" s="2" t="s">
        <v>471</v>
      </c>
      <c r="Y3978" s="2">
        <v>20064</v>
      </c>
      <c r="Z3978" s="19" t="str">
        <f>HYPERLINK("https://ssdweb.co/ssdweb/hd/Vision360.html?d=926350465&amp;zoomslide=1&amp;z=1926350465&amp;ISCONFIRM=0","VIDEO")</f>
        <v>VIDEO</v>
      </c>
      <c r="AA3978" s="19" t="str">
        <f>HYPERLINK("https://ssdweb.co/ssdweb/CERTH/640419158.pdf","CERTI")</f>
        <v>CERTI</v>
      </c>
    </row>
    <row r="3979" spans="1:27" ht="15" x14ac:dyDescent="0.25">
      <c r="A3979" s="2">
        <v>3974</v>
      </c>
      <c r="B3979" s="39">
        <v>926020697</v>
      </c>
      <c r="C3979" s="28" t="str">
        <f>HYPERLINK("https://pld.live/RapDetail.aspx?STONELIST=926020697","DNA")</f>
        <v>DNA</v>
      </c>
      <c r="D3979" s="18" t="s">
        <v>711</v>
      </c>
      <c r="E3979" s="18" t="s">
        <v>5128</v>
      </c>
      <c r="F3979" s="2" t="s">
        <v>7987</v>
      </c>
      <c r="G3979" s="2" t="s">
        <v>1573</v>
      </c>
      <c r="H3979" s="14">
        <v>1.52</v>
      </c>
      <c r="I3979" s="2" t="s">
        <v>267</v>
      </c>
      <c r="J3979" s="2" t="s">
        <v>6555</v>
      </c>
      <c r="K3979" s="2" t="s">
        <v>1452</v>
      </c>
      <c r="L3979" s="2" t="s">
        <v>5221</v>
      </c>
      <c r="M3979" s="2" t="s">
        <v>5221</v>
      </c>
      <c r="N3979" s="2" t="s">
        <v>2317</v>
      </c>
      <c r="O3979" s="14">
        <v>13200</v>
      </c>
      <c r="P3979" s="14">
        <v>98.6</v>
      </c>
      <c r="Q3979" s="14">
        <v>184.8</v>
      </c>
      <c r="R3979" s="14">
        <v>280.89999999999998</v>
      </c>
      <c r="S3979" s="2" t="s">
        <v>6919</v>
      </c>
      <c r="T3979" s="2">
        <v>1.4</v>
      </c>
      <c r="U3979" s="2">
        <v>62.4</v>
      </c>
      <c r="V3979" s="2">
        <v>61</v>
      </c>
      <c r="W3979" s="2" t="s">
        <v>7862</v>
      </c>
      <c r="X3979" s="2" t="s">
        <v>471</v>
      </c>
      <c r="Y3979" s="2">
        <v>20064</v>
      </c>
      <c r="Z3979" s="19" t="str">
        <f>HYPERLINK("https://ssdweb.co/ssdweb/hd/Vision360.html?d=926020697&amp;zoomslide=1&amp;z=1926020697&amp;ISCONFIRM=0","VIDEO")</f>
        <v>VIDEO</v>
      </c>
      <c r="AA3979" s="19" t="str">
        <f>HYPERLINK("https://ssdweb.co/ssdweb/CERTH/629497392.pdf","CERTI")</f>
        <v>CERTI</v>
      </c>
    </row>
    <row r="3980" spans="1:27" ht="15" x14ac:dyDescent="0.25">
      <c r="A3980" s="2">
        <v>3975</v>
      </c>
      <c r="B3980" s="39">
        <v>926170916</v>
      </c>
      <c r="C3980" s="28" t="str">
        <f>HYPERLINK("https://pld.live/RapDetail.aspx?STONELIST=926170916","DNA")</f>
        <v>DNA</v>
      </c>
      <c r="D3980" s="18" t="s">
        <v>711</v>
      </c>
      <c r="E3980" s="18" t="s">
        <v>5128</v>
      </c>
      <c r="F3980" s="2" t="s">
        <v>7987</v>
      </c>
      <c r="G3980" s="2" t="s">
        <v>1573</v>
      </c>
      <c r="H3980" s="14">
        <v>1.52</v>
      </c>
      <c r="I3980" s="2" t="s">
        <v>267</v>
      </c>
      <c r="J3980" s="2" t="s">
        <v>5144</v>
      </c>
      <c r="K3980" s="2" t="s">
        <v>1452</v>
      </c>
      <c r="L3980" s="2" t="s">
        <v>5221</v>
      </c>
      <c r="M3980" s="2" t="s">
        <v>5221</v>
      </c>
      <c r="N3980" s="2" t="s">
        <v>2317</v>
      </c>
      <c r="O3980" s="14">
        <v>9900</v>
      </c>
      <c r="P3980" s="14">
        <v>98.74</v>
      </c>
      <c r="Q3980" s="14">
        <v>124.74</v>
      </c>
      <c r="R3980" s="14">
        <v>189.6</v>
      </c>
      <c r="S3980" s="2" t="s">
        <v>8044</v>
      </c>
      <c r="T3980" s="2">
        <v>1.37</v>
      </c>
      <c r="U3980" s="2">
        <v>61.4</v>
      </c>
      <c r="V3980" s="2">
        <v>58</v>
      </c>
      <c r="W3980" s="2" t="s">
        <v>7862</v>
      </c>
      <c r="X3980" s="2" t="s">
        <v>471</v>
      </c>
      <c r="Y3980" s="2">
        <v>15048</v>
      </c>
      <c r="Z3980" s="19" t="str">
        <f>HYPERLINK("https://ssdweb.co/ssdweb/hd/Vision360.html?d=926170916&amp;zoomslide=1&amp;z=1926170916&amp;ISCONFIRM=0","VIDEO")</f>
        <v>VIDEO</v>
      </c>
      <c r="AA3980" s="19" t="str">
        <f>HYPERLINK("https://ssdweb.co/ssdweb/CERTH/633490580.pdf","CERTI")</f>
        <v>CERTI</v>
      </c>
    </row>
    <row r="3981" spans="1:27" ht="15" x14ac:dyDescent="0.25">
      <c r="A3981" s="2">
        <v>3976</v>
      </c>
      <c r="B3981" s="39">
        <v>925621581</v>
      </c>
      <c r="C3981" s="28" t="str">
        <f>HYPERLINK("https://pld.live/RapDetail.aspx?STONELIST=925621581","DNA")</f>
        <v>DNA</v>
      </c>
      <c r="D3981" s="18" t="s">
        <v>711</v>
      </c>
      <c r="E3981" s="18" t="s">
        <v>5128</v>
      </c>
      <c r="F3981" s="2" t="s">
        <v>7987</v>
      </c>
      <c r="G3981" s="2" t="s">
        <v>1573</v>
      </c>
      <c r="H3981" s="14">
        <v>1.52</v>
      </c>
      <c r="I3981" s="2" t="s">
        <v>4761</v>
      </c>
      <c r="J3981" s="2" t="s">
        <v>6555</v>
      </c>
      <c r="K3981" s="2" t="s">
        <v>1452</v>
      </c>
      <c r="L3981" s="2" t="s">
        <v>5221</v>
      </c>
      <c r="M3981" s="2" t="s">
        <v>5221</v>
      </c>
      <c r="N3981" s="2" t="s">
        <v>2317</v>
      </c>
      <c r="O3981" s="14">
        <v>12400</v>
      </c>
      <c r="P3981" s="14">
        <v>98.75</v>
      </c>
      <c r="Q3981" s="14">
        <v>155</v>
      </c>
      <c r="R3981" s="14">
        <v>235.6</v>
      </c>
      <c r="S3981" s="2" t="s">
        <v>1366</v>
      </c>
      <c r="T3981" s="2">
        <v>1.38</v>
      </c>
      <c r="U3981" s="2">
        <v>62.5</v>
      </c>
      <c r="V3981" s="2">
        <v>62</v>
      </c>
      <c r="W3981" s="2" t="s">
        <v>7862</v>
      </c>
      <c r="X3981" s="2" t="s">
        <v>471</v>
      </c>
      <c r="Y3981" s="2">
        <v>18848</v>
      </c>
      <c r="Z3981" s="19" t="str">
        <f>HYPERLINK("https://ssdweb.co/ssdweb/hd/Vision360.html?d=925621581&amp;zoomslide=1&amp;z=1925621581&amp;ISCONFIRM=0","VIDEO")</f>
        <v>VIDEO</v>
      </c>
      <c r="AA3981" s="19" t="str">
        <f>HYPERLINK("https://ssdweb.co/ssdweb/CERTH/621475729.pdf","CERTI")</f>
        <v>CERTI</v>
      </c>
    </row>
    <row r="3982" spans="1:27" ht="15" x14ac:dyDescent="0.25">
      <c r="A3982" s="2">
        <v>3977</v>
      </c>
      <c r="B3982" s="39">
        <v>925540327</v>
      </c>
      <c r="C3982" s="28" t="str">
        <f>HYPERLINK("https://pld.live/RapDetail.aspx?STONELIST=925540327","DNA")</f>
        <v>DNA</v>
      </c>
      <c r="D3982" s="18" t="s">
        <v>711</v>
      </c>
      <c r="E3982" s="18" t="s">
        <v>5128</v>
      </c>
      <c r="F3982" s="2" t="s">
        <v>7987</v>
      </c>
      <c r="G3982" s="2" t="s">
        <v>1573</v>
      </c>
      <c r="H3982" s="14">
        <v>1.52</v>
      </c>
      <c r="I3982" s="2" t="s">
        <v>4761</v>
      </c>
      <c r="J3982" s="2" t="s">
        <v>6555</v>
      </c>
      <c r="K3982" s="2" t="s">
        <v>1452</v>
      </c>
      <c r="L3982" s="2" t="s">
        <v>5221</v>
      </c>
      <c r="M3982" s="2" t="s">
        <v>5221</v>
      </c>
      <c r="N3982" s="2" t="s">
        <v>2317</v>
      </c>
      <c r="O3982" s="14">
        <v>12400</v>
      </c>
      <c r="P3982" s="14">
        <v>98.75</v>
      </c>
      <c r="Q3982" s="14">
        <v>155</v>
      </c>
      <c r="R3982" s="14">
        <v>235.6</v>
      </c>
      <c r="S3982" s="2" t="s">
        <v>4208</v>
      </c>
      <c r="T3982" s="2">
        <v>1.36</v>
      </c>
      <c r="U3982" s="2">
        <v>61.9</v>
      </c>
      <c r="V3982" s="2">
        <v>61</v>
      </c>
      <c r="W3982" s="2" t="s">
        <v>7862</v>
      </c>
      <c r="X3982" s="2" t="s">
        <v>471</v>
      </c>
      <c r="Y3982" s="2">
        <v>18848</v>
      </c>
      <c r="Z3982" s="19" t="str">
        <f>HYPERLINK("https://ssdweb.co/ssdweb/hd/Vision360.html?d=925540327&amp;zoomslide=1&amp;z=1925540327&amp;ISCONFIRM=0","VIDEO")</f>
        <v>VIDEO</v>
      </c>
      <c r="AA3982" s="19" t="str">
        <f>HYPERLINK("https://ssdweb.co/ssdweb/CERTH/617413032.pdf","CERTI")</f>
        <v>CERTI</v>
      </c>
    </row>
    <row r="3983" spans="1:27" ht="15" x14ac:dyDescent="0.25">
      <c r="A3983" s="2">
        <v>3978</v>
      </c>
      <c r="B3983" s="39">
        <v>926170782</v>
      </c>
      <c r="C3983" s="28" t="str">
        <f>HYPERLINK("https://pld.live/RapDetail.aspx?STONELIST=926170782","DNA")</f>
        <v>DNA</v>
      </c>
      <c r="D3983" s="18" t="s">
        <v>711</v>
      </c>
      <c r="E3983" s="18" t="s">
        <v>5128</v>
      </c>
      <c r="F3983" s="2" t="s">
        <v>7987</v>
      </c>
      <c r="G3983" s="2" t="s">
        <v>1573</v>
      </c>
      <c r="H3983" s="14">
        <v>1.52</v>
      </c>
      <c r="I3983" s="2" t="s">
        <v>4761</v>
      </c>
      <c r="J3983" s="2" t="s">
        <v>6555</v>
      </c>
      <c r="K3983" s="2" t="s">
        <v>1452</v>
      </c>
      <c r="L3983" s="2" t="s">
        <v>5221</v>
      </c>
      <c r="M3983" s="2" t="s">
        <v>5221</v>
      </c>
      <c r="N3983" s="2" t="s">
        <v>2317</v>
      </c>
      <c r="O3983" s="14">
        <v>12400</v>
      </c>
      <c r="P3983" s="14">
        <v>98.75</v>
      </c>
      <c r="Q3983" s="14">
        <v>155</v>
      </c>
      <c r="R3983" s="14">
        <v>235.6</v>
      </c>
      <c r="S3983" s="2" t="s">
        <v>7841</v>
      </c>
      <c r="T3983" s="2">
        <v>1.35</v>
      </c>
      <c r="U3983" s="2">
        <v>62.7</v>
      </c>
      <c r="V3983" s="2">
        <v>60</v>
      </c>
      <c r="W3983" s="2" t="s">
        <v>7862</v>
      </c>
      <c r="X3983" s="2" t="s">
        <v>471</v>
      </c>
      <c r="Y3983" s="2">
        <v>18848</v>
      </c>
      <c r="Z3983" s="19" t="str">
        <f>HYPERLINK("https://ssdweb.co/ssdweb/hd/Vision360.html?d=926170782&amp;zoomslide=1&amp;z=1926170782&amp;ISCONFIRM=0","VIDEO")</f>
        <v>VIDEO</v>
      </c>
      <c r="AA3983" s="19" t="str">
        <f>HYPERLINK("https://ssdweb.co/ssdweb/CERTH/633490555.pdf","CERTI")</f>
        <v>CERTI</v>
      </c>
    </row>
    <row r="3984" spans="1:27" ht="15" x14ac:dyDescent="0.25">
      <c r="A3984" s="2">
        <v>3979</v>
      </c>
      <c r="B3984" s="39">
        <v>925862085</v>
      </c>
      <c r="C3984" s="28" t="str">
        <f>HYPERLINK("https://pld.live/RapDetail.aspx?STONELIST=925862085","DNA")</f>
        <v>DNA</v>
      </c>
      <c r="D3984" s="18" t="s">
        <v>711</v>
      </c>
      <c r="E3984" s="18" t="s">
        <v>5128</v>
      </c>
      <c r="F3984" s="2" t="s">
        <v>7987</v>
      </c>
      <c r="G3984" s="2" t="s">
        <v>1573</v>
      </c>
      <c r="H3984" s="14">
        <v>1.52</v>
      </c>
      <c r="I3984" s="2" t="s">
        <v>4761</v>
      </c>
      <c r="J3984" s="2" t="s">
        <v>3942</v>
      </c>
      <c r="K3984" s="2" t="s">
        <v>1452</v>
      </c>
      <c r="L3984" s="2" t="s">
        <v>5221</v>
      </c>
      <c r="M3984" s="2" t="s">
        <v>5221</v>
      </c>
      <c r="N3984" s="2" t="s">
        <v>2317</v>
      </c>
      <c r="O3984" s="14">
        <v>11600</v>
      </c>
      <c r="P3984" s="14">
        <v>98.88</v>
      </c>
      <c r="Q3984" s="14">
        <v>129.91999999999999</v>
      </c>
      <c r="R3984" s="14">
        <v>197.48</v>
      </c>
      <c r="S3984" s="2" t="s">
        <v>5900</v>
      </c>
      <c r="T3984" s="2">
        <v>1.44</v>
      </c>
      <c r="U3984" s="2">
        <v>60.1</v>
      </c>
      <c r="V3984" s="2">
        <v>60</v>
      </c>
      <c r="W3984" s="2" t="s">
        <v>7862</v>
      </c>
      <c r="X3984" s="2" t="s">
        <v>471</v>
      </c>
      <c r="Y3984" s="2">
        <v>17632</v>
      </c>
      <c r="Z3984" s="19" t="str">
        <f>HYPERLINK("https://ssdweb.co/ssdweb/hd/Vision360.html?d=925862085&amp;zoomslide=1&amp;z=1925862085&amp;ISCONFIRM=0","VIDEO")</f>
        <v>VIDEO</v>
      </c>
      <c r="AA3984" s="19" t="str">
        <f>HYPERLINK("https://ssdweb.co/ssdweb/CERTH/629453279.pdf","CERTI")</f>
        <v>CERTI</v>
      </c>
    </row>
    <row r="3985" spans="1:27" ht="15" x14ac:dyDescent="0.25">
      <c r="A3985" s="2">
        <v>3980</v>
      </c>
      <c r="B3985" s="39">
        <v>925981180</v>
      </c>
      <c r="C3985" s="28" t="str">
        <f>HYPERLINK("https://pld.live/RapDetail.aspx?STONELIST=925981180","DNA")</f>
        <v>DNA</v>
      </c>
      <c r="D3985" s="18" t="s">
        <v>711</v>
      </c>
      <c r="E3985" s="18" t="s">
        <v>5128</v>
      </c>
      <c r="F3985" s="2" t="s">
        <v>7987</v>
      </c>
      <c r="G3985" s="2" t="s">
        <v>1573</v>
      </c>
      <c r="H3985" s="14">
        <v>1.52</v>
      </c>
      <c r="I3985" s="2" t="s">
        <v>4761</v>
      </c>
      <c r="J3985" s="2" t="s">
        <v>3942</v>
      </c>
      <c r="K3985" s="2" t="s">
        <v>1452</v>
      </c>
      <c r="L3985" s="2" t="s">
        <v>5221</v>
      </c>
      <c r="M3985" s="2" t="s">
        <v>5221</v>
      </c>
      <c r="N3985" s="2" t="s">
        <v>2317</v>
      </c>
      <c r="O3985" s="14">
        <v>11600</v>
      </c>
      <c r="P3985" s="14">
        <v>98.88</v>
      </c>
      <c r="Q3985" s="14">
        <v>129.91999999999999</v>
      </c>
      <c r="R3985" s="14">
        <v>197.48</v>
      </c>
      <c r="S3985" s="2" t="s">
        <v>6801</v>
      </c>
      <c r="T3985" s="2">
        <v>1.38</v>
      </c>
      <c r="U3985" s="2">
        <v>60.8</v>
      </c>
      <c r="V3985" s="2">
        <v>60</v>
      </c>
      <c r="W3985" s="2" t="s">
        <v>7862</v>
      </c>
      <c r="X3985" s="2" t="s">
        <v>471</v>
      </c>
      <c r="Y3985" s="2">
        <v>17632</v>
      </c>
      <c r="Z3985" s="19" t="str">
        <f>HYPERLINK("https://ssdweb.co/ssdweb/hd/Vision360.html?d=925981180&amp;zoomslide=1&amp;z=1925981180&amp;ISCONFIRM=0","VIDEO")</f>
        <v>VIDEO</v>
      </c>
      <c r="AA3985" s="19" t="str">
        <f>HYPERLINK("https://ssdweb.co/ssdweb/CERTH/629497439.pdf","CERTI")</f>
        <v>CERTI</v>
      </c>
    </row>
    <row r="3986" spans="1:27" ht="15" x14ac:dyDescent="0.25">
      <c r="A3986" s="2">
        <v>3981</v>
      </c>
      <c r="B3986" s="39">
        <v>821113712</v>
      </c>
      <c r="C3986" s="28" t="str">
        <f>HYPERLINK("https://pld.live/RapDetail.aspx?STONELIST=821113712","DNA")</f>
        <v>DNA</v>
      </c>
      <c r="D3986" s="18" t="s">
        <v>711</v>
      </c>
      <c r="E3986" s="18" t="s">
        <v>2186</v>
      </c>
      <c r="F3986" s="2" t="s">
        <v>7987</v>
      </c>
      <c r="G3986" s="2" t="s">
        <v>1573</v>
      </c>
      <c r="H3986" s="14">
        <v>1.52</v>
      </c>
      <c r="I3986" s="2" t="s">
        <v>4761</v>
      </c>
      <c r="J3986" s="2" t="s">
        <v>5144</v>
      </c>
      <c r="K3986" s="2" t="s">
        <v>1452</v>
      </c>
      <c r="L3986" s="2" t="s">
        <v>5221</v>
      </c>
      <c r="M3986" s="2" t="s">
        <v>5221</v>
      </c>
      <c r="N3986" s="2" t="s">
        <v>2317</v>
      </c>
      <c r="O3986" s="14">
        <v>9300</v>
      </c>
      <c r="P3986" s="14">
        <v>98.71</v>
      </c>
      <c r="Q3986" s="14">
        <v>119.97</v>
      </c>
      <c r="R3986" s="14">
        <v>182.35</v>
      </c>
      <c r="S3986" s="2" t="s">
        <v>7939</v>
      </c>
      <c r="T3986" s="2">
        <v>1.36</v>
      </c>
      <c r="U3986" s="2">
        <v>63.2</v>
      </c>
      <c r="V3986" s="2">
        <v>63</v>
      </c>
      <c r="W3986" s="2" t="s">
        <v>7862</v>
      </c>
      <c r="X3986" s="2" t="s">
        <v>471</v>
      </c>
      <c r="Y3986" s="2">
        <v>14136</v>
      </c>
      <c r="Z3986" s="19" t="str">
        <f>HYPERLINK("https://ssdweb.co/ssdweb/hd/Vision360.html?d=821113712&amp;zoomslide=1&amp;z=1821113712&amp;ISCONFIRM=0","VIDEO")</f>
        <v>VIDEO</v>
      </c>
      <c r="AA3986" s="19" t="str">
        <f>HYPERLINK("https://ssdweb.co/ssdweb/CERTH/623433621.pdf","CERTI")</f>
        <v>CERTI</v>
      </c>
    </row>
    <row r="3987" spans="1:27" ht="15" x14ac:dyDescent="0.25">
      <c r="A3987" s="2">
        <v>3982</v>
      </c>
      <c r="B3987" s="39">
        <v>926171472</v>
      </c>
      <c r="C3987" s="28" t="str">
        <f>HYPERLINK("https://pld.live/RapDetail.aspx?STONELIST=926171472","DNA")</f>
        <v>DNA</v>
      </c>
      <c r="D3987" s="18" t="s">
        <v>711</v>
      </c>
      <c r="E3987" s="18" t="s">
        <v>5128</v>
      </c>
      <c r="F3987" s="2" t="s">
        <v>7987</v>
      </c>
      <c r="G3987" s="2" t="s">
        <v>1573</v>
      </c>
      <c r="H3987" s="14">
        <v>1.52</v>
      </c>
      <c r="I3987" s="2" t="s">
        <v>4761</v>
      </c>
      <c r="J3987" s="2" t="s">
        <v>5144</v>
      </c>
      <c r="K3987" s="2" t="s">
        <v>1452</v>
      </c>
      <c r="L3987" s="2" t="s">
        <v>5221</v>
      </c>
      <c r="M3987" s="2" t="s">
        <v>5221</v>
      </c>
      <c r="N3987" s="2" t="s">
        <v>2317</v>
      </c>
      <c r="O3987" s="14">
        <v>9300</v>
      </c>
      <c r="P3987" s="14">
        <v>98.71</v>
      </c>
      <c r="Q3987" s="14">
        <v>119.97</v>
      </c>
      <c r="R3987" s="14">
        <v>182.35</v>
      </c>
      <c r="S3987" s="2" t="s">
        <v>2944</v>
      </c>
      <c r="T3987" s="2">
        <v>1.36</v>
      </c>
      <c r="U3987" s="2">
        <v>62.6</v>
      </c>
      <c r="V3987" s="2">
        <v>59</v>
      </c>
      <c r="W3987" s="2" t="s">
        <v>7862</v>
      </c>
      <c r="X3987" s="2" t="s">
        <v>471</v>
      </c>
      <c r="Y3987" s="2">
        <v>14136</v>
      </c>
      <c r="Z3987" s="19" t="str">
        <f>HYPERLINK("https://ssdweb.co/ssdweb/hd/Vision360.html?d=926171472&amp;zoomslide=1&amp;z=1926171472&amp;ISCONFIRM=0","VIDEO")</f>
        <v>VIDEO</v>
      </c>
      <c r="AA3987" s="19" t="str">
        <f>HYPERLINK("https://ssdweb.co/ssdweb/CERTH/635426930.pdf","CERTI")</f>
        <v>CERTI</v>
      </c>
    </row>
    <row r="3988" spans="1:27" ht="15" x14ac:dyDescent="0.25">
      <c r="A3988" s="2">
        <v>3983</v>
      </c>
      <c r="B3988" s="39">
        <v>925980347</v>
      </c>
      <c r="C3988" s="28" t="str">
        <f>HYPERLINK("https://pld.live/RapDetail.aspx?STONELIST=925980347","DNA")</f>
        <v>DNA</v>
      </c>
      <c r="D3988" s="18" t="s">
        <v>711</v>
      </c>
      <c r="E3988" s="18" t="s">
        <v>5128</v>
      </c>
      <c r="F3988" s="2" t="s">
        <v>7987</v>
      </c>
      <c r="G3988" s="2" t="s">
        <v>1573</v>
      </c>
      <c r="H3988" s="14">
        <v>1.52</v>
      </c>
      <c r="I3988" s="2" t="s">
        <v>4699</v>
      </c>
      <c r="J3988" s="2" t="s">
        <v>7032</v>
      </c>
      <c r="K3988" s="2" t="s">
        <v>1452</v>
      </c>
      <c r="L3988" s="2" t="s">
        <v>5221</v>
      </c>
      <c r="M3988" s="2" t="s">
        <v>5221</v>
      </c>
      <c r="N3988" s="2" t="s">
        <v>2317</v>
      </c>
      <c r="O3988" s="14">
        <v>12300</v>
      </c>
      <c r="P3988" s="14">
        <v>96.95</v>
      </c>
      <c r="Q3988" s="14">
        <v>375.15</v>
      </c>
      <c r="R3988" s="14">
        <v>570.23</v>
      </c>
      <c r="S3988" s="2" t="s">
        <v>5620</v>
      </c>
      <c r="T3988" s="2">
        <v>1.38</v>
      </c>
      <c r="U3988" s="2">
        <v>62.3</v>
      </c>
      <c r="V3988" s="2">
        <v>60</v>
      </c>
      <c r="W3988" s="2" t="s">
        <v>7862</v>
      </c>
      <c r="X3988" s="2" t="s">
        <v>471</v>
      </c>
      <c r="Y3988" s="2">
        <v>18696</v>
      </c>
      <c r="Z3988" s="19" t="str">
        <f>HYPERLINK("https://ssdweb.co/ssdweb/hd/Vision360.html?d=925980347&amp;zoomslide=1&amp;z=1925980347&amp;ISCONFIRM=0","VIDEO")</f>
        <v>VIDEO</v>
      </c>
      <c r="AA3988" s="19" t="str">
        <f>HYPERLINK("https://ssdweb.co/ssdweb/CERTH/628463134.pdf","CERTI")</f>
        <v>CERTI</v>
      </c>
    </row>
    <row r="3989" spans="1:27" ht="15" x14ac:dyDescent="0.25">
      <c r="A3989" s="2">
        <v>3984</v>
      </c>
      <c r="B3989" s="39">
        <v>925551816</v>
      </c>
      <c r="C3989" s="28" t="str">
        <f>HYPERLINK("https://pld.live/RapDetail.aspx?STONELIST=925551816","DNA")</f>
        <v>DNA</v>
      </c>
      <c r="D3989" s="18" t="s">
        <v>711</v>
      </c>
      <c r="E3989" s="18" t="s">
        <v>5128</v>
      </c>
      <c r="F3989" s="2" t="s">
        <v>7987</v>
      </c>
      <c r="G3989" s="2" t="s">
        <v>1573</v>
      </c>
      <c r="H3989" s="14">
        <v>1.52</v>
      </c>
      <c r="I3989" s="2" t="s">
        <v>6587</v>
      </c>
      <c r="J3989" s="2" t="s">
        <v>3942</v>
      </c>
      <c r="K3989" s="2" t="s">
        <v>1452</v>
      </c>
      <c r="L3989" s="2" t="s">
        <v>5221</v>
      </c>
      <c r="M3989" s="2" t="s">
        <v>5221</v>
      </c>
      <c r="N3989" s="2" t="s">
        <v>2317</v>
      </c>
      <c r="O3989" s="14">
        <v>10000</v>
      </c>
      <c r="P3989" s="14">
        <v>98.85</v>
      </c>
      <c r="Q3989" s="14">
        <v>115</v>
      </c>
      <c r="R3989" s="14">
        <v>174.8</v>
      </c>
      <c r="S3989" s="2" t="s">
        <v>1067</v>
      </c>
      <c r="T3989" s="2">
        <v>1.38</v>
      </c>
      <c r="U3989" s="2">
        <v>62.3</v>
      </c>
      <c r="V3989" s="2">
        <v>61</v>
      </c>
      <c r="W3989" s="2" t="s">
        <v>7862</v>
      </c>
      <c r="X3989" s="2" t="s">
        <v>471</v>
      </c>
      <c r="Y3989" s="2">
        <v>15200</v>
      </c>
      <c r="Z3989" s="19" t="str">
        <f>HYPERLINK("https://ssdweb.co/ssdweb/hd/Vision360.html?d=925551816&amp;zoomslide=1&amp;z=1925551816&amp;ISCONFIRM=0","VIDEO")</f>
        <v>VIDEO</v>
      </c>
      <c r="AA3989" s="19" t="str">
        <f>HYPERLINK("https://ssdweb.co/ssdweb/CERTH/619469668.pdf","CERTI")</f>
        <v>CERTI</v>
      </c>
    </row>
    <row r="3990" spans="1:27" ht="15" x14ac:dyDescent="0.25">
      <c r="A3990" s="2">
        <v>3985</v>
      </c>
      <c r="B3990" s="39">
        <v>925981115</v>
      </c>
      <c r="C3990" s="28" t="str">
        <f>HYPERLINK("https://pld.live/RapDetail.aspx?STONELIST=925981115","DNA")</f>
        <v>DNA</v>
      </c>
      <c r="D3990" s="18" t="s">
        <v>711</v>
      </c>
      <c r="E3990" s="18" t="s">
        <v>5128</v>
      </c>
      <c r="F3990" s="2" t="s">
        <v>7987</v>
      </c>
      <c r="G3990" s="2" t="s">
        <v>1573</v>
      </c>
      <c r="H3990" s="14">
        <v>1.52</v>
      </c>
      <c r="I3990" s="2" t="s">
        <v>6587</v>
      </c>
      <c r="J3990" s="2" t="s">
        <v>5144</v>
      </c>
      <c r="K3990" s="2" t="s">
        <v>1452</v>
      </c>
      <c r="L3990" s="2" t="s">
        <v>5221</v>
      </c>
      <c r="M3990" s="2" t="s">
        <v>5221</v>
      </c>
      <c r="N3990" s="2" t="s">
        <v>2317</v>
      </c>
      <c r="O3990" s="14">
        <v>8200</v>
      </c>
      <c r="P3990" s="14">
        <v>98.72</v>
      </c>
      <c r="Q3990" s="14">
        <v>104.96</v>
      </c>
      <c r="R3990" s="14">
        <v>159.54</v>
      </c>
      <c r="S3990" s="2" t="s">
        <v>6727</v>
      </c>
      <c r="T3990" s="2">
        <v>1.37</v>
      </c>
      <c r="U3990" s="2">
        <v>62.2</v>
      </c>
      <c r="V3990" s="2">
        <v>60</v>
      </c>
      <c r="W3990" s="2" t="s">
        <v>7862</v>
      </c>
      <c r="X3990" s="2" t="s">
        <v>471</v>
      </c>
      <c r="Y3990" s="2">
        <v>12464</v>
      </c>
      <c r="Z3990" s="19" t="str">
        <f>HYPERLINK("https://ssdweb.co/ssdweb/hd/Vision360.html?d=925981115&amp;zoomslide=1&amp;z=1925981115&amp;ISCONFIRM=0","VIDEO")</f>
        <v>VIDEO</v>
      </c>
      <c r="AA3990" s="19" t="str">
        <f>HYPERLINK("https://ssdweb.co/ssdweb/CERTH/629479332.pdf","CERTI")</f>
        <v>CERTI</v>
      </c>
    </row>
    <row r="3991" spans="1:27" ht="15" x14ac:dyDescent="0.25">
      <c r="A3991" s="2">
        <v>3986</v>
      </c>
      <c r="B3991" s="39">
        <v>925771294</v>
      </c>
      <c r="C3991" s="28" t="str">
        <f>HYPERLINK("https://pld.live/RapDetail.aspx?STONELIST=925771294","DNA")</f>
        <v>DNA</v>
      </c>
      <c r="D3991" s="18" t="s">
        <v>711</v>
      </c>
      <c r="E3991" s="18" t="s">
        <v>5128</v>
      </c>
      <c r="F3991" s="2" t="s">
        <v>7987</v>
      </c>
      <c r="G3991" s="2" t="s">
        <v>1573</v>
      </c>
      <c r="H3991" s="14">
        <v>1.51</v>
      </c>
      <c r="I3991" s="2" t="s">
        <v>267</v>
      </c>
      <c r="J3991" s="2" t="s">
        <v>6555</v>
      </c>
      <c r="K3991" s="2" t="s">
        <v>1452</v>
      </c>
      <c r="L3991" s="2" t="s">
        <v>5221</v>
      </c>
      <c r="M3991" s="2" t="s">
        <v>5221</v>
      </c>
      <c r="N3991" s="2" t="s">
        <v>2317</v>
      </c>
      <c r="O3991" s="14">
        <v>13200</v>
      </c>
      <c r="P3991" s="14">
        <v>98.6</v>
      </c>
      <c r="Q3991" s="14">
        <v>184.8</v>
      </c>
      <c r="R3991" s="14">
        <v>279.05</v>
      </c>
      <c r="S3991" s="2" t="s">
        <v>6413</v>
      </c>
      <c r="T3991" s="2">
        <v>1.38</v>
      </c>
      <c r="U3991" s="2">
        <v>62.3</v>
      </c>
      <c r="V3991" s="2">
        <v>60</v>
      </c>
      <c r="W3991" s="2" t="s">
        <v>7862</v>
      </c>
      <c r="X3991" s="2" t="s">
        <v>471</v>
      </c>
      <c r="Y3991" s="2">
        <v>19932</v>
      </c>
      <c r="Z3991" s="19" t="str">
        <f>HYPERLINK("https://ssdweb.co/ssdweb/hd/Vision360.html?d=925771294&amp;zoomslide=1&amp;z=1925771294&amp;ISCONFIRM=0","VIDEO")</f>
        <v>VIDEO</v>
      </c>
      <c r="AA3991" s="19" t="str">
        <f>HYPERLINK("https://ssdweb.co/ssdweb/CERTH/626427535.pdf","CERTI")</f>
        <v>CERTI</v>
      </c>
    </row>
    <row r="3992" spans="1:27" ht="15" x14ac:dyDescent="0.25">
      <c r="A3992" s="2">
        <v>3987</v>
      </c>
      <c r="B3992" s="39">
        <v>925801806</v>
      </c>
      <c r="C3992" s="28" t="str">
        <f>HYPERLINK("https://pld.live/RapDetail.aspx?STONELIST=925801806","DNA")</f>
        <v>DNA</v>
      </c>
      <c r="D3992" s="18" t="s">
        <v>711</v>
      </c>
      <c r="E3992" s="18" t="s">
        <v>5128</v>
      </c>
      <c r="F3992" s="2" t="s">
        <v>7987</v>
      </c>
      <c r="G3992" s="2" t="s">
        <v>1573</v>
      </c>
      <c r="H3992" s="14">
        <v>1.51</v>
      </c>
      <c r="I3992" s="2" t="s">
        <v>267</v>
      </c>
      <c r="J3992" s="2" t="s">
        <v>6555</v>
      </c>
      <c r="K3992" s="2" t="s">
        <v>1452</v>
      </c>
      <c r="L3992" s="2" t="s">
        <v>5221</v>
      </c>
      <c r="M3992" s="2" t="s">
        <v>5221</v>
      </c>
      <c r="N3992" s="2" t="s">
        <v>2317</v>
      </c>
      <c r="O3992" s="14">
        <v>13200</v>
      </c>
      <c r="P3992" s="14">
        <v>98.6</v>
      </c>
      <c r="Q3992" s="14">
        <v>184.8</v>
      </c>
      <c r="R3992" s="14">
        <v>279.05</v>
      </c>
      <c r="S3992" s="2" t="s">
        <v>7722</v>
      </c>
      <c r="T3992" s="2">
        <v>1.36</v>
      </c>
      <c r="U3992" s="2">
        <v>62.2</v>
      </c>
      <c r="V3992" s="2">
        <v>60</v>
      </c>
      <c r="W3992" s="2" t="s">
        <v>7862</v>
      </c>
      <c r="X3992" s="2" t="s">
        <v>471</v>
      </c>
      <c r="Y3992" s="2">
        <v>19932</v>
      </c>
      <c r="Z3992" s="19" t="str">
        <f>HYPERLINK("https://ssdweb.co/ssdweb/hd/Vision360.html?d=925801806&amp;zoomslide=1&amp;z=1925801806&amp;ISCONFIRM=0","VIDEO")</f>
        <v>VIDEO</v>
      </c>
      <c r="AA3992" s="19" t="str">
        <f>HYPERLINK("https://ssdweb.co/ssdweb/CERTH/626499169.pdf","CERTI")</f>
        <v>CERTI</v>
      </c>
    </row>
    <row r="3993" spans="1:27" ht="15" x14ac:dyDescent="0.25">
      <c r="A3993" s="2">
        <v>3988</v>
      </c>
      <c r="B3993" s="39">
        <v>925771190</v>
      </c>
      <c r="C3993" s="28" t="str">
        <f>HYPERLINK("https://pld.live/RapDetail.aspx?STONELIST=925771190","DNA")</f>
        <v>DNA</v>
      </c>
      <c r="D3993" s="18" t="s">
        <v>711</v>
      </c>
      <c r="E3993" s="18" t="s">
        <v>5128</v>
      </c>
      <c r="F3993" s="2" t="s">
        <v>7987</v>
      </c>
      <c r="G3993" s="2" t="s">
        <v>1573</v>
      </c>
      <c r="H3993" s="14">
        <v>1.51</v>
      </c>
      <c r="I3993" s="2" t="s">
        <v>267</v>
      </c>
      <c r="J3993" s="2" t="s">
        <v>6555</v>
      </c>
      <c r="K3993" s="2" t="s">
        <v>1452</v>
      </c>
      <c r="L3993" s="2" t="s">
        <v>5221</v>
      </c>
      <c r="M3993" s="2" t="s">
        <v>5221</v>
      </c>
      <c r="N3993" s="2" t="s">
        <v>2317</v>
      </c>
      <c r="O3993" s="14">
        <v>13200</v>
      </c>
      <c r="P3993" s="14">
        <v>98.6</v>
      </c>
      <c r="Q3993" s="14">
        <v>184.8</v>
      </c>
      <c r="R3993" s="14">
        <v>279.05</v>
      </c>
      <c r="S3993" s="2" t="s">
        <v>6181</v>
      </c>
      <c r="T3993" s="2">
        <v>1.35</v>
      </c>
      <c r="U3993" s="2">
        <v>62.7</v>
      </c>
      <c r="V3993" s="2">
        <v>62</v>
      </c>
      <c r="W3993" s="2" t="s">
        <v>7862</v>
      </c>
      <c r="X3993" s="2" t="s">
        <v>471</v>
      </c>
      <c r="Y3993" s="2">
        <v>19932</v>
      </c>
      <c r="Z3993" s="19" t="str">
        <f>HYPERLINK("https://ssdweb.co/ssdweb/hd/Vision360.html?d=925771190&amp;zoomslide=1&amp;z=1925771190&amp;ISCONFIRM=0","VIDEO")</f>
        <v>VIDEO</v>
      </c>
      <c r="AA3993" s="19" t="str">
        <f>HYPERLINK("https://ssdweb.co/ssdweb/CERTH/626466217.pdf","CERTI")</f>
        <v>CERTI</v>
      </c>
    </row>
    <row r="3994" spans="1:27" ht="15" x14ac:dyDescent="0.25">
      <c r="A3994" s="2">
        <v>3989</v>
      </c>
      <c r="B3994" s="39">
        <v>925732103</v>
      </c>
      <c r="C3994" s="28" t="str">
        <f>HYPERLINK("https://pld.live/RapDetail.aspx?STONELIST=925732103","DNA")</f>
        <v>DNA</v>
      </c>
      <c r="D3994" s="18" t="s">
        <v>711</v>
      </c>
      <c r="E3994" s="18" t="s">
        <v>5128</v>
      </c>
      <c r="F3994" s="2" t="s">
        <v>7987</v>
      </c>
      <c r="G3994" s="2" t="s">
        <v>1573</v>
      </c>
      <c r="H3994" s="14">
        <v>1.51</v>
      </c>
      <c r="I3994" s="2" t="s">
        <v>267</v>
      </c>
      <c r="J3994" s="2" t="s">
        <v>6555</v>
      </c>
      <c r="K3994" s="2" t="s">
        <v>1452</v>
      </c>
      <c r="L3994" s="2" t="s">
        <v>5221</v>
      </c>
      <c r="M3994" s="2" t="s">
        <v>5221</v>
      </c>
      <c r="N3994" s="2" t="s">
        <v>2317</v>
      </c>
      <c r="O3994" s="14">
        <v>13200</v>
      </c>
      <c r="P3994" s="14">
        <v>98.6</v>
      </c>
      <c r="Q3994" s="14">
        <v>184.8</v>
      </c>
      <c r="R3994" s="14">
        <v>279.05</v>
      </c>
      <c r="S3994" s="2" t="s">
        <v>95</v>
      </c>
      <c r="T3994" s="2">
        <v>1.36</v>
      </c>
      <c r="U3994" s="2">
        <v>63</v>
      </c>
      <c r="V3994" s="2">
        <v>59</v>
      </c>
      <c r="W3994" s="2" t="s">
        <v>7862</v>
      </c>
      <c r="X3994" s="2" t="s">
        <v>471</v>
      </c>
      <c r="Y3994" s="2">
        <v>19932</v>
      </c>
      <c r="Z3994" s="19" t="str">
        <f>HYPERLINK("https://ssdweb.co/ssdweb/hd/Vision360.html?d=925732103&amp;zoomslide=1&amp;z=1925732103&amp;ISCONFIRM=0","VIDEO")</f>
        <v>VIDEO</v>
      </c>
      <c r="AA3994" s="19" t="str">
        <f>HYPERLINK("https://ssdweb.co/ssdweb/CERTH/626457405.pdf","CERTI")</f>
        <v>CERTI</v>
      </c>
    </row>
    <row r="3995" spans="1:27" ht="15" x14ac:dyDescent="0.25">
      <c r="A3995" s="2">
        <v>3990</v>
      </c>
      <c r="B3995" s="39">
        <v>925850816</v>
      </c>
      <c r="C3995" s="28" t="str">
        <f>HYPERLINK("https://pld.live/RapDetail.aspx?STONELIST=925850816","DNA")</f>
        <v>DNA</v>
      </c>
      <c r="D3995" s="18" t="s">
        <v>711</v>
      </c>
      <c r="E3995" s="18" t="s">
        <v>5128</v>
      </c>
      <c r="F3995" s="2" t="s">
        <v>7987</v>
      </c>
      <c r="G3995" s="2" t="s">
        <v>1573</v>
      </c>
      <c r="H3995" s="14">
        <v>1.51</v>
      </c>
      <c r="I3995" s="2" t="s">
        <v>267</v>
      </c>
      <c r="J3995" s="2" t="s">
        <v>6555</v>
      </c>
      <c r="K3995" s="2" t="s">
        <v>1452</v>
      </c>
      <c r="L3995" s="2" t="s">
        <v>5221</v>
      </c>
      <c r="M3995" s="2" t="s">
        <v>5221</v>
      </c>
      <c r="N3995" s="2" t="s">
        <v>2317</v>
      </c>
      <c r="O3995" s="14">
        <v>13200</v>
      </c>
      <c r="P3995" s="14">
        <v>98.6</v>
      </c>
      <c r="Q3995" s="14">
        <v>184.8</v>
      </c>
      <c r="R3995" s="14">
        <v>279.05</v>
      </c>
      <c r="S3995" s="2" t="s">
        <v>2095</v>
      </c>
      <c r="T3995" s="2">
        <v>1.38</v>
      </c>
      <c r="U3995" s="2">
        <v>60.9</v>
      </c>
      <c r="V3995" s="2">
        <v>57</v>
      </c>
      <c r="W3995" s="2" t="s">
        <v>7862</v>
      </c>
      <c r="X3995" s="2" t="s">
        <v>471</v>
      </c>
      <c r="Y3995" s="2">
        <v>19932</v>
      </c>
      <c r="Z3995" s="19" t="str">
        <f>HYPERLINK("https://ssdweb.co/ssdweb/hd/Vision360.html?d=925850816&amp;zoomslide=1&amp;z=1925850816&amp;ISCONFIRM=0","VIDEO")</f>
        <v>VIDEO</v>
      </c>
      <c r="AA3995" s="19" t="str">
        <f>HYPERLINK("https://ssdweb.co/ssdweb/CERTH/627471639.pdf","CERTI")</f>
        <v>CERTI</v>
      </c>
    </row>
    <row r="3996" spans="1:27" ht="15" x14ac:dyDescent="0.25">
      <c r="A3996" s="2">
        <v>3991</v>
      </c>
      <c r="B3996" s="39">
        <v>821124361</v>
      </c>
      <c r="C3996" s="28" t="str">
        <f>HYPERLINK("https://pld.live/RapDetail.aspx?STONELIST=821124361","DNA")</f>
        <v>DNA</v>
      </c>
      <c r="D3996" s="18" t="s">
        <v>711</v>
      </c>
      <c r="E3996" s="18" t="s">
        <v>5128</v>
      </c>
      <c r="F3996" s="2" t="s">
        <v>7987</v>
      </c>
      <c r="G3996" s="2" t="s">
        <v>1573</v>
      </c>
      <c r="H3996" s="14">
        <v>1.51</v>
      </c>
      <c r="I3996" s="2" t="s">
        <v>267</v>
      </c>
      <c r="J3996" s="2" t="s">
        <v>6555</v>
      </c>
      <c r="K3996" s="2" t="s">
        <v>1452</v>
      </c>
      <c r="L3996" s="2" t="s">
        <v>5221</v>
      </c>
      <c r="M3996" s="2" t="s">
        <v>5221</v>
      </c>
      <c r="N3996" s="2" t="s">
        <v>2317</v>
      </c>
      <c r="O3996" s="14">
        <v>13200</v>
      </c>
      <c r="P3996" s="14">
        <v>98.6</v>
      </c>
      <c r="Q3996" s="14">
        <v>184.8</v>
      </c>
      <c r="R3996" s="14">
        <v>279.05</v>
      </c>
      <c r="S3996" s="2" t="s">
        <v>3033</v>
      </c>
      <c r="T3996" s="2">
        <v>1.37</v>
      </c>
      <c r="U3996" s="2">
        <v>62.1</v>
      </c>
      <c r="V3996" s="2">
        <v>62</v>
      </c>
      <c r="W3996" s="2" t="s">
        <v>7862</v>
      </c>
      <c r="X3996" s="2" t="s">
        <v>471</v>
      </c>
      <c r="Y3996" s="2">
        <v>19932</v>
      </c>
      <c r="Z3996" s="19" t="str">
        <f>HYPERLINK("https://ssdweb.co/ssdweb/hd/Vision360.html?d=821124361&amp;zoomslide=1&amp;z=1821124361&amp;ISCONFIRM=0","VIDEO")</f>
        <v>VIDEO</v>
      </c>
      <c r="AA3996" s="19" t="str">
        <f>HYPERLINK("https://ssdweb.co/ssdweb/CERTH/603360139.pdf","CERTI")</f>
        <v>CERTI</v>
      </c>
    </row>
    <row r="3997" spans="1:27" ht="15" x14ac:dyDescent="0.25">
      <c r="A3997" s="2">
        <v>3992</v>
      </c>
      <c r="B3997" s="39">
        <v>821124369</v>
      </c>
      <c r="C3997" s="28" t="str">
        <f>HYPERLINK("https://pld.live/RapDetail.aspx?STONELIST=821124369","DNA")</f>
        <v>DNA</v>
      </c>
      <c r="D3997" s="18" t="s">
        <v>711</v>
      </c>
      <c r="E3997" s="18" t="s">
        <v>5128</v>
      </c>
      <c r="F3997" s="2" t="s">
        <v>7987</v>
      </c>
      <c r="G3997" s="2" t="s">
        <v>1573</v>
      </c>
      <c r="H3997" s="14">
        <v>1.51</v>
      </c>
      <c r="I3997" s="2" t="s">
        <v>267</v>
      </c>
      <c r="J3997" s="2" t="s">
        <v>6555</v>
      </c>
      <c r="K3997" s="2" t="s">
        <v>1452</v>
      </c>
      <c r="L3997" s="2" t="s">
        <v>5221</v>
      </c>
      <c r="M3997" s="2" t="s">
        <v>5221</v>
      </c>
      <c r="N3997" s="2" t="s">
        <v>2317</v>
      </c>
      <c r="O3997" s="14">
        <v>13200</v>
      </c>
      <c r="P3997" s="14">
        <v>98.6</v>
      </c>
      <c r="Q3997" s="14">
        <v>184.8</v>
      </c>
      <c r="R3997" s="14">
        <v>279.05</v>
      </c>
      <c r="S3997" s="2" t="s">
        <v>2593</v>
      </c>
      <c r="T3997" s="2">
        <v>1.37</v>
      </c>
      <c r="U3997" s="2">
        <v>62.1</v>
      </c>
      <c r="V3997" s="2">
        <v>61</v>
      </c>
      <c r="W3997" s="2" t="s">
        <v>7862</v>
      </c>
      <c r="X3997" s="2" t="s">
        <v>471</v>
      </c>
      <c r="Y3997" s="2">
        <v>19932</v>
      </c>
      <c r="Z3997" s="19" t="str">
        <f>HYPERLINK("https://ssdweb.co/ssdweb/hd/Vision360.html?d=821124369&amp;zoomslide=1&amp;z=1821124369&amp;ISCONFIRM=0","VIDEO")</f>
        <v>VIDEO</v>
      </c>
      <c r="AA3997" s="19" t="str">
        <f>HYPERLINK("https://ssdweb.co/ssdweb/CERTH/606362034.pdf","CERTI")</f>
        <v>CERTI</v>
      </c>
    </row>
    <row r="3998" spans="1:27" ht="15" x14ac:dyDescent="0.25">
      <c r="A3998" s="2">
        <v>3993</v>
      </c>
      <c r="B3998" s="39">
        <v>925722076</v>
      </c>
      <c r="C3998" s="28" t="str">
        <f>HYPERLINK("https://pld.live/RapDetail.aspx?STONELIST=925722076","DNA")</f>
        <v>DNA</v>
      </c>
      <c r="D3998" s="18" t="s">
        <v>711</v>
      </c>
      <c r="E3998" s="18" t="s">
        <v>5128</v>
      </c>
      <c r="F3998" s="2" t="s">
        <v>7987</v>
      </c>
      <c r="G3998" s="2" t="s">
        <v>1573</v>
      </c>
      <c r="H3998" s="14">
        <v>1.51</v>
      </c>
      <c r="I3998" s="2" t="s">
        <v>267</v>
      </c>
      <c r="J3998" s="2" t="s">
        <v>6555</v>
      </c>
      <c r="K3998" s="2" t="s">
        <v>1452</v>
      </c>
      <c r="L3998" s="2" t="s">
        <v>5221</v>
      </c>
      <c r="M3998" s="2" t="s">
        <v>5221</v>
      </c>
      <c r="N3998" s="2" t="s">
        <v>2317</v>
      </c>
      <c r="O3998" s="14">
        <v>13200</v>
      </c>
      <c r="P3998" s="14">
        <v>98.6</v>
      </c>
      <c r="Q3998" s="14">
        <v>184.8</v>
      </c>
      <c r="R3998" s="14">
        <v>279.05</v>
      </c>
      <c r="S3998" s="2" t="s">
        <v>6865</v>
      </c>
      <c r="T3998" s="2">
        <v>1.37</v>
      </c>
      <c r="U3998" s="2">
        <v>62.4</v>
      </c>
      <c r="V3998" s="2">
        <v>62</v>
      </c>
      <c r="W3998" s="2" t="s">
        <v>7862</v>
      </c>
      <c r="X3998" s="2" t="s">
        <v>471</v>
      </c>
      <c r="Y3998" s="2">
        <v>19932</v>
      </c>
      <c r="Z3998" s="19" t="str">
        <f>HYPERLINK("https://ssdweb.co/ssdweb/hd/Vision360.html?d=925722076&amp;zoomslide=1&amp;z=1925722076&amp;ISCONFIRM=0","VIDEO")</f>
        <v>VIDEO</v>
      </c>
      <c r="AA3998" s="19" t="str">
        <f>HYPERLINK("https://ssdweb.co/ssdweb/CERTH/625432246.pdf","CERTI")</f>
        <v>CERTI</v>
      </c>
    </row>
    <row r="3999" spans="1:27" ht="15" x14ac:dyDescent="0.25">
      <c r="A3999" s="2">
        <v>3994</v>
      </c>
      <c r="B3999" s="39">
        <v>926041290</v>
      </c>
      <c r="C3999" s="28" t="str">
        <f>HYPERLINK("https://pld.live/RapDetail.aspx?STONELIST=926041290","DNA")</f>
        <v>DNA</v>
      </c>
      <c r="D3999" s="18" t="s">
        <v>711</v>
      </c>
      <c r="E3999" s="18" t="s">
        <v>5128</v>
      </c>
      <c r="F3999" s="2" t="s">
        <v>7987</v>
      </c>
      <c r="G3999" s="2" t="s">
        <v>1573</v>
      </c>
      <c r="H3999" s="14">
        <v>1.51</v>
      </c>
      <c r="I3999" s="2" t="s">
        <v>267</v>
      </c>
      <c r="J3999" s="2" t="s">
        <v>6555</v>
      </c>
      <c r="K3999" s="2" t="s">
        <v>1452</v>
      </c>
      <c r="L3999" s="2" t="s">
        <v>5221</v>
      </c>
      <c r="M3999" s="2" t="s">
        <v>5221</v>
      </c>
      <c r="N3999" s="2" t="s">
        <v>2317</v>
      </c>
      <c r="O3999" s="14">
        <v>13200</v>
      </c>
      <c r="P3999" s="14">
        <v>98.6</v>
      </c>
      <c r="Q3999" s="14">
        <v>184.8</v>
      </c>
      <c r="R3999" s="14">
        <v>279.05</v>
      </c>
      <c r="S3999" s="2" t="s">
        <v>6896</v>
      </c>
      <c r="T3999" s="2">
        <v>1.36</v>
      </c>
      <c r="U3999" s="2">
        <v>63.3</v>
      </c>
      <c r="V3999" s="2">
        <v>57</v>
      </c>
      <c r="W3999" s="2" t="s">
        <v>7862</v>
      </c>
      <c r="X3999" s="2" t="s">
        <v>471</v>
      </c>
      <c r="Y3999" s="2">
        <v>19932</v>
      </c>
      <c r="Z3999" s="19" t="str">
        <f>HYPERLINK("https://ssdweb.co/ssdweb/hd/Vision360.html?d=926041290&amp;zoomslide=1&amp;z=1926041290&amp;ISCONFIRM=0","VIDEO")</f>
        <v>VIDEO</v>
      </c>
      <c r="AA3999" s="19" t="str">
        <f>HYPERLINK("https://ssdweb.co/ssdweb/CERTH/631464190.pdf","CERTI")</f>
        <v>CERTI</v>
      </c>
    </row>
    <row r="4000" spans="1:27" ht="15" x14ac:dyDescent="0.25">
      <c r="A4000" s="2">
        <v>3995</v>
      </c>
      <c r="B4000" s="39">
        <v>925971262</v>
      </c>
      <c r="C4000" s="28" t="str">
        <f>HYPERLINK("https://pld.live/RapDetail.aspx?STONELIST=925971262","DNA")</f>
        <v>DNA</v>
      </c>
      <c r="D4000" s="18" t="s">
        <v>711</v>
      </c>
      <c r="E4000" s="18" t="s">
        <v>5128</v>
      </c>
      <c r="F4000" s="2" t="s">
        <v>5597</v>
      </c>
      <c r="G4000" s="2" t="s">
        <v>1573</v>
      </c>
      <c r="H4000" s="14">
        <v>1.51</v>
      </c>
      <c r="I4000" s="2" t="s">
        <v>267</v>
      </c>
      <c r="J4000" s="2" t="s">
        <v>6555</v>
      </c>
      <c r="K4000" s="2" t="s">
        <v>1452</v>
      </c>
      <c r="L4000" s="2" t="s">
        <v>5221</v>
      </c>
      <c r="M4000" s="2" t="s">
        <v>5221</v>
      </c>
      <c r="N4000" s="2" t="s">
        <v>2317</v>
      </c>
      <c r="O4000" s="14">
        <v>13200</v>
      </c>
      <c r="P4000" s="14">
        <v>97.61</v>
      </c>
      <c r="Q4000" s="14">
        <v>315.48</v>
      </c>
      <c r="R4000" s="14">
        <v>476.37</v>
      </c>
      <c r="S4000" s="2" t="s">
        <v>3708</v>
      </c>
      <c r="T4000" s="2">
        <v>1.38</v>
      </c>
      <c r="U4000" s="2">
        <v>62.5</v>
      </c>
      <c r="V4000" s="2">
        <v>59</v>
      </c>
      <c r="W4000" s="2" t="s">
        <v>7862</v>
      </c>
      <c r="X4000" s="2" t="s">
        <v>471</v>
      </c>
      <c r="Y4000" s="2">
        <v>19932</v>
      </c>
      <c r="Z4000" s="19" t="str">
        <f>HYPERLINK("https://ssdweb.co/ssdweb/hd/Vision360.html?d=925971262&amp;zoomslide=1&amp;z=1925971262&amp;ISCONFIRM=0","VIDEO")</f>
        <v>VIDEO</v>
      </c>
      <c r="AA4000" s="19" t="str">
        <f>HYPERLINK("https://ssdweb.co/ssdweb/CERTH/6495087650.pdf","CERTI")</f>
        <v>CERTI</v>
      </c>
    </row>
    <row r="4001" spans="1:27" ht="15" x14ac:dyDescent="0.25">
      <c r="A4001" s="2">
        <v>3996</v>
      </c>
      <c r="B4001" s="39">
        <v>925971115</v>
      </c>
      <c r="C4001" s="28" t="str">
        <f>HYPERLINK("https://pld.live/RapDetail.aspx?STONELIST=925971115","DNA")</f>
        <v>DNA</v>
      </c>
      <c r="D4001" s="18" t="s">
        <v>711</v>
      </c>
      <c r="E4001" s="18" t="s">
        <v>5128</v>
      </c>
      <c r="F4001" s="2" t="s">
        <v>7987</v>
      </c>
      <c r="G4001" s="2" t="s">
        <v>1573</v>
      </c>
      <c r="H4001" s="14">
        <v>1.51</v>
      </c>
      <c r="I4001" s="2" t="s">
        <v>267</v>
      </c>
      <c r="J4001" s="2" t="s">
        <v>6555</v>
      </c>
      <c r="K4001" s="2" t="s">
        <v>1452</v>
      </c>
      <c r="L4001" s="2" t="s">
        <v>5221</v>
      </c>
      <c r="M4001" s="2" t="s">
        <v>5221</v>
      </c>
      <c r="N4001" s="2" t="s">
        <v>2317</v>
      </c>
      <c r="O4001" s="14">
        <v>13200</v>
      </c>
      <c r="P4001" s="14">
        <v>98.6</v>
      </c>
      <c r="Q4001" s="14">
        <v>184.8</v>
      </c>
      <c r="R4001" s="14">
        <v>279.05</v>
      </c>
      <c r="S4001" s="2" t="s">
        <v>171</v>
      </c>
      <c r="T4001" s="2">
        <v>1.36</v>
      </c>
      <c r="U4001" s="2">
        <v>63.6</v>
      </c>
      <c r="V4001" s="2">
        <v>60</v>
      </c>
      <c r="W4001" s="2" t="s">
        <v>7862</v>
      </c>
      <c r="X4001" s="2" t="s">
        <v>471</v>
      </c>
      <c r="Y4001" s="2">
        <v>19932</v>
      </c>
      <c r="Z4001" s="19" t="str">
        <f>HYPERLINK("https://ssdweb.co/ssdweb/hd/Vision360.html?d=925971115&amp;zoomslide=1&amp;z=1925971115&amp;ISCONFIRM=0","VIDEO")</f>
        <v>VIDEO</v>
      </c>
      <c r="AA4001" s="19" t="str">
        <f>HYPERLINK("https://ssdweb.co/ssdweb/CERTH/629453440.pdf","CERTI")</f>
        <v>CERTI</v>
      </c>
    </row>
    <row r="4002" spans="1:27" ht="15" x14ac:dyDescent="0.25">
      <c r="A4002" s="2">
        <v>3997</v>
      </c>
      <c r="B4002" s="39">
        <v>925971022</v>
      </c>
      <c r="C4002" s="28" t="str">
        <f>HYPERLINK("https://pld.live/RapDetail.aspx?STONELIST=925971022","DNA")</f>
        <v>DNA</v>
      </c>
      <c r="D4002" s="18" t="s">
        <v>711</v>
      </c>
      <c r="E4002" s="18" t="s">
        <v>5128</v>
      </c>
      <c r="F4002" s="2" t="s">
        <v>7987</v>
      </c>
      <c r="G4002" s="2" t="s">
        <v>1573</v>
      </c>
      <c r="H4002" s="14">
        <v>1.51</v>
      </c>
      <c r="I4002" s="2" t="s">
        <v>267</v>
      </c>
      <c r="J4002" s="2" t="s">
        <v>6555</v>
      </c>
      <c r="K4002" s="2" t="s">
        <v>1452</v>
      </c>
      <c r="L4002" s="2" t="s">
        <v>5221</v>
      </c>
      <c r="M4002" s="2" t="s">
        <v>5221</v>
      </c>
      <c r="N4002" s="2" t="s">
        <v>2317</v>
      </c>
      <c r="O4002" s="14">
        <v>13200</v>
      </c>
      <c r="P4002" s="14">
        <v>98.6</v>
      </c>
      <c r="Q4002" s="14">
        <v>184.8</v>
      </c>
      <c r="R4002" s="14">
        <v>279.05</v>
      </c>
      <c r="S4002" s="2" t="s">
        <v>158</v>
      </c>
      <c r="T4002" s="2">
        <v>1.36</v>
      </c>
      <c r="U4002" s="2">
        <v>63.1</v>
      </c>
      <c r="V4002" s="2">
        <v>59</v>
      </c>
      <c r="W4002" s="2" t="s">
        <v>7862</v>
      </c>
      <c r="X4002" s="2" t="s">
        <v>471</v>
      </c>
      <c r="Y4002" s="2">
        <v>19932</v>
      </c>
      <c r="Z4002" s="19" t="str">
        <f>HYPERLINK("https://ssdweb.co/ssdweb/hd/Vision360.html?d=925971022&amp;zoomslide=1&amp;z=1925971022&amp;ISCONFIRM=0","VIDEO")</f>
        <v>VIDEO</v>
      </c>
      <c r="AA4002" s="19" t="str">
        <f>HYPERLINK("https://ssdweb.co/ssdweb/CERTH/629453436.pdf","CERTI")</f>
        <v>CERTI</v>
      </c>
    </row>
    <row r="4003" spans="1:27" ht="15" x14ac:dyDescent="0.25">
      <c r="A4003" s="2">
        <v>3998</v>
      </c>
      <c r="B4003" s="39">
        <v>926101035</v>
      </c>
      <c r="C4003" s="28" t="str">
        <f>HYPERLINK("https://pld.live/RapDetail.aspx?STONELIST=926101035","DNA")</f>
        <v>DNA</v>
      </c>
      <c r="D4003" s="18" t="s">
        <v>711</v>
      </c>
      <c r="E4003" s="18" t="s">
        <v>5128</v>
      </c>
      <c r="F4003" s="2" t="s">
        <v>7987</v>
      </c>
      <c r="G4003" s="2" t="s">
        <v>1573</v>
      </c>
      <c r="H4003" s="14">
        <v>1.51</v>
      </c>
      <c r="I4003" s="2" t="s">
        <v>267</v>
      </c>
      <c r="J4003" s="2" t="s">
        <v>6555</v>
      </c>
      <c r="K4003" s="2" t="s">
        <v>1452</v>
      </c>
      <c r="L4003" s="2" t="s">
        <v>5221</v>
      </c>
      <c r="M4003" s="2" t="s">
        <v>5221</v>
      </c>
      <c r="N4003" s="2" t="s">
        <v>2317</v>
      </c>
      <c r="O4003" s="14">
        <v>13200</v>
      </c>
      <c r="P4003" s="14">
        <v>98.6</v>
      </c>
      <c r="Q4003" s="14">
        <v>184.8</v>
      </c>
      <c r="R4003" s="14">
        <v>279.05</v>
      </c>
      <c r="S4003" s="2" t="s">
        <v>6883</v>
      </c>
      <c r="T4003" s="2">
        <v>1.36</v>
      </c>
      <c r="U4003" s="2">
        <v>63</v>
      </c>
      <c r="V4003" s="2">
        <v>60</v>
      </c>
      <c r="W4003" s="2" t="s">
        <v>7862</v>
      </c>
      <c r="X4003" s="2" t="s">
        <v>471</v>
      </c>
      <c r="Y4003" s="2">
        <v>19932</v>
      </c>
      <c r="Z4003" s="19" t="str">
        <f>HYPERLINK("https://ssdweb.co/ssdweb/hd/Vision360.html?d=926101035&amp;zoomslide=1&amp;z=1926101035&amp;ISCONFIRM=0","VIDEO")</f>
        <v>VIDEO</v>
      </c>
      <c r="AA4003" s="19" t="str">
        <f>HYPERLINK("https://ssdweb.co/ssdweb/CERTH/632488334.pdf","CERTI")</f>
        <v>CERTI</v>
      </c>
    </row>
    <row r="4004" spans="1:27" ht="15" x14ac:dyDescent="0.25">
      <c r="A4004" s="2">
        <v>3999</v>
      </c>
      <c r="B4004" s="39">
        <v>925732212</v>
      </c>
      <c r="C4004" s="28" t="str">
        <f>HYPERLINK("https://pld.live/RapDetail.aspx?STONELIST=925732212","DNA")</f>
        <v>DNA</v>
      </c>
      <c r="D4004" s="18" t="s">
        <v>711</v>
      </c>
      <c r="E4004" s="18" t="s">
        <v>5128</v>
      </c>
      <c r="F4004" s="2" t="s">
        <v>7987</v>
      </c>
      <c r="G4004" s="2" t="s">
        <v>1573</v>
      </c>
      <c r="H4004" s="14">
        <v>1.51</v>
      </c>
      <c r="I4004" s="2" t="s">
        <v>267</v>
      </c>
      <c r="J4004" s="2" t="s">
        <v>3942</v>
      </c>
      <c r="K4004" s="2" t="s">
        <v>1452</v>
      </c>
      <c r="L4004" s="2" t="s">
        <v>5221</v>
      </c>
      <c r="M4004" s="2" t="s">
        <v>5221</v>
      </c>
      <c r="N4004" s="2" t="s">
        <v>2317</v>
      </c>
      <c r="O4004" s="14">
        <v>12500</v>
      </c>
      <c r="P4004" s="14">
        <v>98.88</v>
      </c>
      <c r="Q4004" s="14">
        <v>140</v>
      </c>
      <c r="R4004" s="14">
        <v>211.4</v>
      </c>
      <c r="S4004" s="2" t="s">
        <v>871</v>
      </c>
      <c r="T4004" s="2">
        <v>1.38</v>
      </c>
      <c r="U4004" s="2">
        <v>61.4</v>
      </c>
      <c r="V4004" s="2">
        <v>60</v>
      </c>
      <c r="W4004" s="2" t="s">
        <v>7862</v>
      </c>
      <c r="X4004" s="2" t="s">
        <v>471</v>
      </c>
      <c r="Y4004" s="2">
        <v>18875</v>
      </c>
      <c r="Z4004" s="19" t="str">
        <f>HYPERLINK("https://ssdweb.co/ssdweb/hd/Vision360.html?d=925732212&amp;zoomslide=1&amp;z=1925732212&amp;ISCONFIRM=0","VIDEO")</f>
        <v>VIDEO</v>
      </c>
      <c r="AA4004" s="19" t="str">
        <f>HYPERLINK("https://ssdweb.co/ssdweb/CERTH/626466349.pdf","CERTI")</f>
        <v>CERTI</v>
      </c>
    </row>
    <row r="4005" spans="1:27" ht="15" x14ac:dyDescent="0.25">
      <c r="A4005" s="2">
        <v>4000</v>
      </c>
      <c r="B4005" s="39">
        <v>831010769</v>
      </c>
      <c r="C4005" s="28" t="str">
        <f>HYPERLINK("https://pld.live/RapDetail.aspx?STONELIST=831010769","DNA")</f>
        <v>DNA</v>
      </c>
      <c r="D4005" s="18" t="s">
        <v>711</v>
      </c>
      <c r="E4005" s="18" t="s">
        <v>5128</v>
      </c>
      <c r="F4005" s="2" t="s">
        <v>7987</v>
      </c>
      <c r="G4005" s="2" t="s">
        <v>1573</v>
      </c>
      <c r="H4005" s="14">
        <v>1.51</v>
      </c>
      <c r="I4005" s="2" t="s">
        <v>267</v>
      </c>
      <c r="J4005" s="2" t="s">
        <v>3942</v>
      </c>
      <c r="K4005" s="2" t="s">
        <v>1452</v>
      </c>
      <c r="L4005" s="2" t="s">
        <v>5221</v>
      </c>
      <c r="M4005" s="2" t="s">
        <v>5221</v>
      </c>
      <c r="N4005" s="2" t="s">
        <v>2317</v>
      </c>
      <c r="O4005" s="14">
        <v>12500</v>
      </c>
      <c r="P4005" s="14">
        <v>98.88</v>
      </c>
      <c r="Q4005" s="14">
        <v>140</v>
      </c>
      <c r="R4005" s="14">
        <v>211.4</v>
      </c>
      <c r="S4005" s="2" t="s">
        <v>947</v>
      </c>
      <c r="T4005" s="2">
        <v>1.38</v>
      </c>
      <c r="U4005" s="2">
        <v>61.3</v>
      </c>
      <c r="V4005" s="2">
        <v>60</v>
      </c>
      <c r="W4005" s="2" t="s">
        <v>7862</v>
      </c>
      <c r="X4005" s="2" t="s">
        <v>471</v>
      </c>
      <c r="Y4005" s="2">
        <v>18875</v>
      </c>
      <c r="Z4005" s="19" t="str">
        <f>HYPERLINK("https://ssdweb.co/ssdweb/hd/Vision360.html?d=831010769&amp;zoomslide=1&amp;z=1831010769&amp;ISCONFIRM=0","VIDEO")</f>
        <v>VIDEO</v>
      </c>
      <c r="AA4005" s="19" t="str">
        <f>HYPERLINK("https://ssdweb.co/ssdweb/CERTH/620448908.pdf","CERTI")</f>
        <v>CERTI</v>
      </c>
    </row>
    <row r="4006" spans="1:27" ht="15" x14ac:dyDescent="0.25">
      <c r="A4006" s="2">
        <v>4001</v>
      </c>
      <c r="B4006" s="39">
        <v>925721250</v>
      </c>
      <c r="C4006" s="28" t="str">
        <f>HYPERLINK("https://pld.live/RapDetail.aspx?STONELIST=925721250","DNA")</f>
        <v>DNA</v>
      </c>
      <c r="D4006" s="18" t="s">
        <v>711</v>
      </c>
      <c r="E4006" s="18" t="s">
        <v>5128</v>
      </c>
      <c r="F4006" s="2" t="s">
        <v>7987</v>
      </c>
      <c r="G4006" s="2" t="s">
        <v>1573</v>
      </c>
      <c r="H4006" s="14">
        <v>1.51</v>
      </c>
      <c r="I4006" s="2" t="s">
        <v>267</v>
      </c>
      <c r="J4006" s="2" t="s">
        <v>3942</v>
      </c>
      <c r="K4006" s="2" t="s">
        <v>1452</v>
      </c>
      <c r="L4006" s="2" t="s">
        <v>5221</v>
      </c>
      <c r="M4006" s="2" t="s">
        <v>5221</v>
      </c>
      <c r="N4006" s="2" t="s">
        <v>2317</v>
      </c>
      <c r="O4006" s="14">
        <v>12500</v>
      </c>
      <c r="P4006" s="14">
        <v>98.88</v>
      </c>
      <c r="Q4006" s="14">
        <v>140</v>
      </c>
      <c r="R4006" s="14">
        <v>211.4</v>
      </c>
      <c r="S4006" s="2" t="s">
        <v>2606</v>
      </c>
      <c r="T4006" s="2">
        <v>1.38</v>
      </c>
      <c r="U4006" s="2">
        <v>62.4</v>
      </c>
      <c r="V4006" s="2">
        <v>60</v>
      </c>
      <c r="W4006" s="2" t="s">
        <v>7862</v>
      </c>
      <c r="X4006" s="2" t="s">
        <v>471</v>
      </c>
      <c r="Y4006" s="2">
        <v>18875</v>
      </c>
      <c r="Z4006" s="19" t="str">
        <f>HYPERLINK("https://ssdweb.co/ssdweb/hd/Vision360.html?d=925721250&amp;zoomslide=1&amp;z=1925721250&amp;ISCONFIRM=0","VIDEO")</f>
        <v>VIDEO</v>
      </c>
      <c r="AA4006" s="19" t="str">
        <f>HYPERLINK("https://ssdweb.co/ssdweb/CERTH/623446168.pdf","CERTI")</f>
        <v>CERTI</v>
      </c>
    </row>
    <row r="4007" spans="1:27" ht="15" x14ac:dyDescent="0.25">
      <c r="A4007" s="2">
        <v>4002</v>
      </c>
      <c r="B4007" s="39">
        <v>926041278</v>
      </c>
      <c r="C4007" s="28" t="str">
        <f>HYPERLINK("https://pld.live/RapDetail.aspx?STONELIST=926041278","DNA")</f>
        <v>DNA</v>
      </c>
      <c r="D4007" s="18" t="s">
        <v>711</v>
      </c>
      <c r="E4007" s="18" t="s">
        <v>5128</v>
      </c>
      <c r="F4007" s="2" t="s">
        <v>7987</v>
      </c>
      <c r="G4007" s="2" t="s">
        <v>1573</v>
      </c>
      <c r="H4007" s="14">
        <v>1.51</v>
      </c>
      <c r="I4007" s="2" t="s">
        <v>267</v>
      </c>
      <c r="J4007" s="2" t="s">
        <v>3942</v>
      </c>
      <c r="K4007" s="2" t="s">
        <v>1452</v>
      </c>
      <c r="L4007" s="2" t="s">
        <v>5221</v>
      </c>
      <c r="M4007" s="2" t="s">
        <v>5221</v>
      </c>
      <c r="N4007" s="2" t="s">
        <v>2317</v>
      </c>
      <c r="O4007" s="14">
        <v>12500</v>
      </c>
      <c r="P4007" s="14">
        <v>98.88</v>
      </c>
      <c r="Q4007" s="14">
        <v>140</v>
      </c>
      <c r="R4007" s="14">
        <v>211.4</v>
      </c>
      <c r="S4007" s="2" t="s">
        <v>2684</v>
      </c>
      <c r="T4007" s="2">
        <v>1.37</v>
      </c>
      <c r="U4007" s="2">
        <v>63</v>
      </c>
      <c r="V4007" s="2">
        <v>58</v>
      </c>
      <c r="W4007" s="2" t="s">
        <v>7862</v>
      </c>
      <c r="X4007" s="2" t="s">
        <v>471</v>
      </c>
      <c r="Y4007" s="2">
        <v>18875</v>
      </c>
      <c r="Z4007" s="19" t="str">
        <f>HYPERLINK("https://ssdweb.co/ssdweb/hd/Vision360.html?d=926041278&amp;zoomslide=1&amp;z=1926041278&amp;ISCONFIRM=0","VIDEO")</f>
        <v>VIDEO</v>
      </c>
      <c r="AA4007" s="19" t="str">
        <f>HYPERLINK("https://ssdweb.co/ssdweb/CERTH/631430277.pdf","CERTI")</f>
        <v>CERTI</v>
      </c>
    </row>
    <row r="4008" spans="1:27" ht="15" x14ac:dyDescent="0.25">
      <c r="A4008" s="2">
        <v>4003</v>
      </c>
      <c r="B4008" s="39">
        <v>925981075</v>
      </c>
      <c r="C4008" s="28" t="str">
        <f>HYPERLINK("https://pld.live/RapDetail.aspx?STONELIST=925981075","DNA")</f>
        <v>DNA</v>
      </c>
      <c r="D4008" s="18" t="s">
        <v>711</v>
      </c>
      <c r="E4008" s="18" t="s">
        <v>5128</v>
      </c>
      <c r="F4008" s="2" t="s">
        <v>7987</v>
      </c>
      <c r="G4008" s="2" t="s">
        <v>1573</v>
      </c>
      <c r="H4008" s="14">
        <v>1.51</v>
      </c>
      <c r="I4008" s="2" t="s">
        <v>267</v>
      </c>
      <c r="J4008" s="2" t="s">
        <v>3942</v>
      </c>
      <c r="K4008" s="2" t="s">
        <v>1452</v>
      </c>
      <c r="L4008" s="2" t="s">
        <v>5221</v>
      </c>
      <c r="M4008" s="2" t="s">
        <v>5221</v>
      </c>
      <c r="N4008" s="2" t="s">
        <v>2317</v>
      </c>
      <c r="O4008" s="14">
        <v>12500</v>
      </c>
      <c r="P4008" s="14">
        <v>98.88</v>
      </c>
      <c r="Q4008" s="14">
        <v>140</v>
      </c>
      <c r="R4008" s="14">
        <v>211.4</v>
      </c>
      <c r="S4008" s="2" t="s">
        <v>3990</v>
      </c>
      <c r="T4008" s="2">
        <v>1.37</v>
      </c>
      <c r="U4008" s="2">
        <v>63.3</v>
      </c>
      <c r="V4008" s="2">
        <v>62</v>
      </c>
      <c r="W4008" s="2" t="s">
        <v>7862</v>
      </c>
      <c r="X4008" s="2" t="s">
        <v>471</v>
      </c>
      <c r="Y4008" s="2">
        <v>18875</v>
      </c>
      <c r="Z4008" s="19" t="str">
        <f>HYPERLINK("https://ssdweb.co/ssdweb/hd/Vision360.html?d=925981075&amp;zoomslide=1&amp;z=1925981075&amp;ISCONFIRM=0","VIDEO")</f>
        <v>VIDEO</v>
      </c>
      <c r="AA4008" s="19" t="str">
        <f>HYPERLINK("https://ssdweb.co/ssdweb/CERTH/629478988.pdf","CERTI")</f>
        <v>CERTI</v>
      </c>
    </row>
    <row r="4009" spans="1:27" ht="15" x14ac:dyDescent="0.25">
      <c r="A4009" s="2">
        <v>4004</v>
      </c>
      <c r="B4009" s="39">
        <v>925980942</v>
      </c>
      <c r="C4009" s="28" t="str">
        <f>HYPERLINK("https://pld.live/RapDetail.aspx?STONELIST=925980942","DNA")</f>
        <v>DNA</v>
      </c>
      <c r="D4009" s="18" t="s">
        <v>711</v>
      </c>
      <c r="E4009" s="18" t="s">
        <v>5128</v>
      </c>
      <c r="F4009" s="2" t="s">
        <v>7987</v>
      </c>
      <c r="G4009" s="2" t="s">
        <v>1573</v>
      </c>
      <c r="H4009" s="14">
        <v>1.51</v>
      </c>
      <c r="I4009" s="2" t="s">
        <v>267</v>
      </c>
      <c r="J4009" s="2" t="s">
        <v>3942</v>
      </c>
      <c r="K4009" s="2" t="s">
        <v>1452</v>
      </c>
      <c r="L4009" s="2" t="s">
        <v>5221</v>
      </c>
      <c r="M4009" s="2" t="s">
        <v>5221</v>
      </c>
      <c r="N4009" s="2" t="s">
        <v>2317</v>
      </c>
      <c r="O4009" s="14">
        <v>12500</v>
      </c>
      <c r="P4009" s="14">
        <v>98.88</v>
      </c>
      <c r="Q4009" s="14">
        <v>140</v>
      </c>
      <c r="R4009" s="14">
        <v>211.4</v>
      </c>
      <c r="S4009" s="2" t="s">
        <v>3667</v>
      </c>
      <c r="T4009" s="2">
        <v>1.38</v>
      </c>
      <c r="U4009" s="2">
        <v>62</v>
      </c>
      <c r="V4009" s="2">
        <v>60</v>
      </c>
      <c r="W4009" s="2" t="s">
        <v>7862</v>
      </c>
      <c r="X4009" s="2" t="s">
        <v>471</v>
      </c>
      <c r="Y4009" s="2">
        <v>18875</v>
      </c>
      <c r="Z4009" s="19" t="str">
        <f>HYPERLINK("https://ssdweb.co/ssdweb/hd/Vision360.html?d=925980942&amp;zoomslide=1&amp;z=1925980942&amp;ISCONFIRM=0","VIDEO")</f>
        <v>VIDEO</v>
      </c>
      <c r="AA4009" s="19" t="str">
        <f>HYPERLINK("https://ssdweb.co/ssdweb/CERTH/629453017.pdf","CERTI")</f>
        <v>CERTI</v>
      </c>
    </row>
    <row r="4010" spans="1:27" ht="15" x14ac:dyDescent="0.25">
      <c r="A4010" s="2">
        <v>4005</v>
      </c>
      <c r="B4010" s="39">
        <v>925971280</v>
      </c>
      <c r="C4010" s="28" t="str">
        <f>HYPERLINK("https://pld.live/RapDetail.aspx?STONELIST=925971280","DNA")</f>
        <v>DNA</v>
      </c>
      <c r="D4010" s="18" t="s">
        <v>711</v>
      </c>
      <c r="E4010" s="18" t="s">
        <v>5128</v>
      </c>
      <c r="F4010" s="2" t="s">
        <v>7987</v>
      </c>
      <c r="G4010" s="2" t="s">
        <v>1573</v>
      </c>
      <c r="H4010" s="14">
        <v>1.51</v>
      </c>
      <c r="I4010" s="2" t="s">
        <v>267</v>
      </c>
      <c r="J4010" s="2" t="s">
        <v>3942</v>
      </c>
      <c r="K4010" s="2" t="s">
        <v>1452</v>
      </c>
      <c r="L4010" s="2" t="s">
        <v>5221</v>
      </c>
      <c r="M4010" s="2" t="s">
        <v>5221</v>
      </c>
      <c r="N4010" s="2" t="s">
        <v>2317</v>
      </c>
      <c r="O4010" s="14">
        <v>12500</v>
      </c>
      <c r="P4010" s="14">
        <v>98.88</v>
      </c>
      <c r="Q4010" s="14">
        <v>140</v>
      </c>
      <c r="R4010" s="14">
        <v>211.4</v>
      </c>
      <c r="S4010" s="2" t="s">
        <v>7512</v>
      </c>
      <c r="T4010" s="2">
        <v>1.37</v>
      </c>
      <c r="U4010" s="2">
        <v>60.6</v>
      </c>
      <c r="V4010" s="2">
        <v>63</v>
      </c>
      <c r="W4010" s="2" t="s">
        <v>7862</v>
      </c>
      <c r="X4010" s="2" t="s">
        <v>471</v>
      </c>
      <c r="Y4010" s="2">
        <v>18875</v>
      </c>
      <c r="Z4010" s="19" t="str">
        <f>HYPERLINK("https://ssdweb.co/ssdweb/hd/Vision360.html?d=925971280&amp;zoomslide=1&amp;z=1925971280&amp;ISCONFIRM=0","VIDEO")</f>
        <v>VIDEO</v>
      </c>
      <c r="AA4010" s="19" t="str">
        <f>HYPERLINK("https://ssdweb.co/ssdweb/CERTH/630447795.pdf","CERTI")</f>
        <v>CERTI</v>
      </c>
    </row>
    <row r="4011" spans="1:27" ht="15" x14ac:dyDescent="0.25">
      <c r="A4011" s="2">
        <v>4006</v>
      </c>
      <c r="B4011" s="39">
        <v>925521317</v>
      </c>
      <c r="C4011" s="28" t="str">
        <f>HYPERLINK("https://pld.live/RapDetail.aspx?STONELIST=925521317","DNA")</f>
        <v>DNA</v>
      </c>
      <c r="D4011" s="18" t="s">
        <v>711</v>
      </c>
      <c r="E4011" s="18" t="s">
        <v>5128</v>
      </c>
      <c r="F4011" s="2" t="s">
        <v>5597</v>
      </c>
      <c r="G4011" s="2" t="s">
        <v>1573</v>
      </c>
      <c r="H4011" s="14">
        <v>1.51</v>
      </c>
      <c r="I4011" s="2" t="s">
        <v>267</v>
      </c>
      <c r="J4011" s="2" t="s">
        <v>3942</v>
      </c>
      <c r="K4011" s="2" t="s">
        <v>1452</v>
      </c>
      <c r="L4011" s="2" t="s">
        <v>5221</v>
      </c>
      <c r="M4011" s="2" t="s">
        <v>5721</v>
      </c>
      <c r="N4011" s="2" t="s">
        <v>2317</v>
      </c>
      <c r="O4011" s="14">
        <v>12500</v>
      </c>
      <c r="P4011" s="14">
        <v>97.98</v>
      </c>
      <c r="Q4011" s="14">
        <v>252.5</v>
      </c>
      <c r="R4011" s="14">
        <v>381.28</v>
      </c>
      <c r="S4011" s="2" t="s">
        <v>5840</v>
      </c>
      <c r="T4011" s="2">
        <v>1.36</v>
      </c>
      <c r="U4011" s="2">
        <v>62.5</v>
      </c>
      <c r="V4011" s="2">
        <v>61</v>
      </c>
      <c r="W4011" s="2" t="s">
        <v>7862</v>
      </c>
      <c r="X4011" s="2" t="s">
        <v>471</v>
      </c>
      <c r="Y4011" s="2">
        <v>18875</v>
      </c>
      <c r="Z4011" s="19" t="str">
        <f>HYPERLINK("https://ssdweb.co/ssdweb/hd/Vision360.html?d=925521317&amp;zoomslide=1&amp;z=1925521317&amp;ISCONFIRM=0","VIDEO")</f>
        <v>VIDEO</v>
      </c>
      <c r="AA4011" s="19" t="str">
        <f>HYPERLINK("https://ssdweb.co/ssdweb/CERTH/2486437495.pdf","CERTI")</f>
        <v>CERTI</v>
      </c>
    </row>
    <row r="4012" spans="1:27" ht="15" x14ac:dyDescent="0.25">
      <c r="A4012" s="2">
        <v>4007</v>
      </c>
      <c r="B4012" s="39">
        <v>926200091</v>
      </c>
      <c r="C4012" s="28" t="str">
        <f>HYPERLINK("https://pld.live/RapDetail.aspx?STONELIST=926200091","DNA")</f>
        <v>DNA</v>
      </c>
      <c r="D4012" s="18" t="s">
        <v>711</v>
      </c>
      <c r="E4012" s="18" t="s">
        <v>5128</v>
      </c>
      <c r="F4012" s="2" t="s">
        <v>7987</v>
      </c>
      <c r="G4012" s="2" t="s">
        <v>1573</v>
      </c>
      <c r="H4012" s="14">
        <v>1.51</v>
      </c>
      <c r="I4012" s="2" t="s">
        <v>267</v>
      </c>
      <c r="J4012" s="2" t="s">
        <v>13</v>
      </c>
      <c r="K4012" s="2" t="s">
        <v>1452</v>
      </c>
      <c r="L4012" s="2" t="s">
        <v>5221</v>
      </c>
      <c r="M4012" s="2" t="s">
        <v>5221</v>
      </c>
      <c r="N4012" s="2" t="s">
        <v>2317</v>
      </c>
      <c r="O4012" s="14">
        <v>11600</v>
      </c>
      <c r="P4012" s="14">
        <v>98.88</v>
      </c>
      <c r="Q4012" s="14">
        <v>129.91999999999999</v>
      </c>
      <c r="R4012" s="14">
        <v>196.18</v>
      </c>
      <c r="S4012" s="2" t="s">
        <v>2184</v>
      </c>
      <c r="T4012" s="2">
        <v>1.37</v>
      </c>
      <c r="U4012" s="2">
        <v>61.9</v>
      </c>
      <c r="V4012" s="2">
        <v>62</v>
      </c>
      <c r="W4012" s="2" t="s">
        <v>7862</v>
      </c>
      <c r="X4012" s="2" t="s">
        <v>471</v>
      </c>
      <c r="Y4012" s="2">
        <v>17516</v>
      </c>
      <c r="Z4012" s="19" t="str">
        <f>HYPERLINK("https://ssdweb.co/ssdweb/hd/Vision360.html?d=926200091&amp;zoomslide=1&amp;z=1926200091&amp;ISCONFIRM=0","VIDEO")</f>
        <v>VIDEO</v>
      </c>
      <c r="AA4012" s="19" t="str">
        <f>HYPERLINK("https://ssdweb.co/ssdweb/CERTH/634472302.pdf","CERTI")</f>
        <v>CERTI</v>
      </c>
    </row>
    <row r="4013" spans="1:27" ht="15" x14ac:dyDescent="0.25">
      <c r="A4013" s="2">
        <v>4008</v>
      </c>
      <c r="B4013" s="39">
        <v>926071066</v>
      </c>
      <c r="C4013" s="28" t="str">
        <f>HYPERLINK("https://pld.live/RapDetail.aspx?STONELIST=926071066","DNA")</f>
        <v>DNA</v>
      </c>
      <c r="D4013" s="18" t="s">
        <v>711</v>
      </c>
      <c r="E4013" s="18" t="s">
        <v>5128</v>
      </c>
      <c r="F4013" s="2" t="s">
        <v>7987</v>
      </c>
      <c r="G4013" s="2" t="s">
        <v>1573</v>
      </c>
      <c r="H4013" s="14">
        <v>1.51</v>
      </c>
      <c r="I4013" s="2" t="s">
        <v>267</v>
      </c>
      <c r="J4013" s="2" t="s">
        <v>13</v>
      </c>
      <c r="K4013" s="2" t="s">
        <v>1452</v>
      </c>
      <c r="L4013" s="2" t="s">
        <v>5221</v>
      </c>
      <c r="M4013" s="2" t="s">
        <v>5221</v>
      </c>
      <c r="N4013" s="2" t="s">
        <v>2317</v>
      </c>
      <c r="O4013" s="14">
        <v>11600</v>
      </c>
      <c r="P4013" s="14">
        <v>98.88</v>
      </c>
      <c r="Q4013" s="14">
        <v>129.91999999999999</v>
      </c>
      <c r="R4013" s="14">
        <v>196.18</v>
      </c>
      <c r="S4013" s="2" t="s">
        <v>6920</v>
      </c>
      <c r="T4013" s="2">
        <v>1.37</v>
      </c>
      <c r="U4013" s="2">
        <v>63.3</v>
      </c>
      <c r="V4013" s="2">
        <v>61</v>
      </c>
      <c r="W4013" s="2" t="s">
        <v>7862</v>
      </c>
      <c r="X4013" s="2" t="s">
        <v>471</v>
      </c>
      <c r="Y4013" s="2">
        <v>17516</v>
      </c>
      <c r="Z4013" s="19" t="str">
        <f>HYPERLINK("https://ssdweb.co/ssdweb/hd/Vision360.html?d=926071066&amp;zoomslide=1&amp;z=1926071066&amp;ISCONFIRM=0","VIDEO")</f>
        <v>VIDEO</v>
      </c>
      <c r="AA4013" s="19" t="str">
        <f>HYPERLINK("https://ssdweb.co/ssdweb/CERTH/631404613.pdf","CERTI")</f>
        <v>CERTI</v>
      </c>
    </row>
    <row r="4014" spans="1:27" ht="15" x14ac:dyDescent="0.25">
      <c r="A4014" s="2">
        <v>4009</v>
      </c>
      <c r="B4014" s="39">
        <v>926101041</v>
      </c>
      <c r="C4014" s="28" t="str">
        <f>HYPERLINK("https://pld.live/RapDetail.aspx?STONELIST=926101041","DNA")</f>
        <v>DNA</v>
      </c>
      <c r="D4014" s="18" t="s">
        <v>711</v>
      </c>
      <c r="E4014" s="18" t="s">
        <v>5128</v>
      </c>
      <c r="F4014" s="2" t="s">
        <v>7987</v>
      </c>
      <c r="G4014" s="2" t="s">
        <v>1573</v>
      </c>
      <c r="H4014" s="14">
        <v>1.51</v>
      </c>
      <c r="I4014" s="2" t="s">
        <v>267</v>
      </c>
      <c r="J4014" s="2" t="s">
        <v>13</v>
      </c>
      <c r="K4014" s="2" t="s">
        <v>1452</v>
      </c>
      <c r="L4014" s="2" t="s">
        <v>5221</v>
      </c>
      <c r="M4014" s="2" t="s">
        <v>5221</v>
      </c>
      <c r="N4014" s="2" t="s">
        <v>2317</v>
      </c>
      <c r="O4014" s="14">
        <v>11600</v>
      </c>
      <c r="P4014" s="14">
        <v>98.88</v>
      </c>
      <c r="Q4014" s="14">
        <v>129.91999999999999</v>
      </c>
      <c r="R4014" s="14">
        <v>196.18</v>
      </c>
      <c r="S4014" s="2" t="s">
        <v>2833</v>
      </c>
      <c r="T4014" s="2">
        <v>1.38</v>
      </c>
      <c r="U4014" s="2">
        <v>62</v>
      </c>
      <c r="V4014" s="2">
        <v>62</v>
      </c>
      <c r="W4014" s="2" t="s">
        <v>7862</v>
      </c>
      <c r="X4014" s="2" t="s">
        <v>471</v>
      </c>
      <c r="Y4014" s="2">
        <v>17516</v>
      </c>
      <c r="Z4014" s="19" t="str">
        <f>HYPERLINK("https://ssdweb.co/ssdweb/hd/Vision360.html?d=926101041&amp;zoomslide=1&amp;z=1926101041&amp;ISCONFIRM=0","VIDEO")</f>
        <v>VIDEO</v>
      </c>
      <c r="AA4014" s="19" t="str">
        <f>HYPERLINK("https://ssdweb.co/ssdweb/CERTH/632488287.pdf","CERTI")</f>
        <v>CERTI</v>
      </c>
    </row>
    <row r="4015" spans="1:27" ht="15" x14ac:dyDescent="0.25">
      <c r="A4015" s="2">
        <v>4010</v>
      </c>
      <c r="B4015" s="39">
        <v>925801452</v>
      </c>
      <c r="C4015" s="28" t="str">
        <f>HYPERLINK("https://pld.live/RapDetail.aspx?STONELIST=925801452","DNA")</f>
        <v>DNA</v>
      </c>
      <c r="D4015" s="18" t="s">
        <v>711</v>
      </c>
      <c r="E4015" s="18" t="s">
        <v>5128</v>
      </c>
      <c r="F4015" s="2" t="s">
        <v>7987</v>
      </c>
      <c r="G4015" s="2" t="s">
        <v>1573</v>
      </c>
      <c r="H4015" s="14">
        <v>1.51</v>
      </c>
      <c r="I4015" s="2" t="s">
        <v>267</v>
      </c>
      <c r="J4015" s="2" t="s">
        <v>5144</v>
      </c>
      <c r="K4015" s="2" t="s">
        <v>1452</v>
      </c>
      <c r="L4015" s="2" t="s">
        <v>5221</v>
      </c>
      <c r="M4015" s="2" t="s">
        <v>5221</v>
      </c>
      <c r="N4015" s="2" t="s">
        <v>2317</v>
      </c>
      <c r="O4015" s="14">
        <v>9900</v>
      </c>
      <c r="P4015" s="14">
        <v>98.74</v>
      </c>
      <c r="Q4015" s="14">
        <v>124.74</v>
      </c>
      <c r="R4015" s="14">
        <v>188.36</v>
      </c>
      <c r="S4015" s="2" t="s">
        <v>6027</v>
      </c>
      <c r="T4015" s="2">
        <v>1.37</v>
      </c>
      <c r="U4015" s="2">
        <v>62.7</v>
      </c>
      <c r="V4015" s="2">
        <v>63</v>
      </c>
      <c r="W4015" s="2" t="s">
        <v>7862</v>
      </c>
      <c r="X4015" s="2" t="s">
        <v>471</v>
      </c>
      <c r="Y4015" s="2">
        <v>14949</v>
      </c>
      <c r="Z4015" s="19" t="str">
        <f>HYPERLINK("https://ssdweb.co/ssdweb/hd/Vision360.html?d=925801452&amp;zoomslide=1&amp;z=1925801452&amp;ISCONFIRM=0","VIDEO")</f>
        <v>VIDEO</v>
      </c>
      <c r="AA4015" s="19" t="str">
        <f>HYPERLINK("https://ssdweb.co/ssdweb/CERTH/626466296.pdf","CERTI")</f>
        <v>CERTI</v>
      </c>
    </row>
    <row r="4016" spans="1:27" ht="15" x14ac:dyDescent="0.25">
      <c r="A4016" s="2">
        <v>4011</v>
      </c>
      <c r="B4016" s="39">
        <v>925541515</v>
      </c>
      <c r="C4016" s="28" t="str">
        <f>HYPERLINK("https://pld.live/RapDetail.aspx?STONELIST=925541515","DNA")</f>
        <v>DNA</v>
      </c>
      <c r="D4016" s="18" t="s">
        <v>711</v>
      </c>
      <c r="E4016" s="18" t="s">
        <v>5128</v>
      </c>
      <c r="F4016" s="2" t="s">
        <v>5597</v>
      </c>
      <c r="G4016" s="2" t="s">
        <v>1573</v>
      </c>
      <c r="H4016" s="14">
        <v>1.51</v>
      </c>
      <c r="I4016" s="2" t="s">
        <v>267</v>
      </c>
      <c r="J4016" s="2" t="s">
        <v>5144</v>
      </c>
      <c r="K4016" s="2" t="s">
        <v>1452</v>
      </c>
      <c r="L4016" s="2" t="s">
        <v>5221</v>
      </c>
      <c r="M4016" s="2" t="s">
        <v>5221</v>
      </c>
      <c r="N4016" s="2" t="s">
        <v>2317</v>
      </c>
      <c r="O4016" s="14">
        <v>9900</v>
      </c>
      <c r="P4016" s="14">
        <v>97.63</v>
      </c>
      <c r="Q4016" s="14">
        <v>234.63</v>
      </c>
      <c r="R4016" s="14">
        <v>354.29</v>
      </c>
      <c r="S4016" s="2" t="s">
        <v>3967</v>
      </c>
      <c r="T4016" s="2">
        <v>1.36</v>
      </c>
      <c r="U4016" s="2">
        <v>62.4</v>
      </c>
      <c r="V4016" s="2">
        <v>61</v>
      </c>
      <c r="W4016" s="2" t="s">
        <v>7862</v>
      </c>
      <c r="X4016" s="2" t="s">
        <v>471</v>
      </c>
      <c r="Y4016" s="2">
        <v>14949</v>
      </c>
      <c r="Z4016" s="19" t="str">
        <f>HYPERLINK("https://ssdweb.co/ssdweb/hd/Vision360.html?d=925541515&amp;zoomslide=1&amp;z=1925541515&amp;ISCONFIRM=0","VIDEO")</f>
        <v>VIDEO</v>
      </c>
      <c r="AA4016" s="19" t="str">
        <f>HYPERLINK("https://ssdweb.co/ssdweb/CERTH/2486437501.pdf","CERTI")</f>
        <v>CERTI</v>
      </c>
    </row>
    <row r="4017" spans="1:27" ht="15" x14ac:dyDescent="0.25">
      <c r="A4017" s="2">
        <v>4012</v>
      </c>
      <c r="B4017" s="39">
        <v>926071731</v>
      </c>
      <c r="C4017" s="28" t="str">
        <f>HYPERLINK("https://pld.live/RapDetail.aspx?STONELIST=926071731","DNA")</f>
        <v>DNA</v>
      </c>
      <c r="D4017" s="18" t="s">
        <v>711</v>
      </c>
      <c r="E4017" s="18" t="s">
        <v>5128</v>
      </c>
      <c r="F4017" s="2" t="s">
        <v>7987</v>
      </c>
      <c r="G4017" s="2" t="s">
        <v>1573</v>
      </c>
      <c r="H4017" s="14">
        <v>1.51</v>
      </c>
      <c r="I4017" s="2" t="s">
        <v>267</v>
      </c>
      <c r="J4017" s="2" t="s">
        <v>5144</v>
      </c>
      <c r="K4017" s="2" t="s">
        <v>1452</v>
      </c>
      <c r="L4017" s="2" t="s">
        <v>5221</v>
      </c>
      <c r="M4017" s="2" t="s">
        <v>5221</v>
      </c>
      <c r="N4017" s="2" t="s">
        <v>2317</v>
      </c>
      <c r="O4017" s="14">
        <v>9900</v>
      </c>
      <c r="P4017" s="14">
        <v>98.74</v>
      </c>
      <c r="Q4017" s="14">
        <v>124.74</v>
      </c>
      <c r="R4017" s="14">
        <v>188.36</v>
      </c>
      <c r="S4017" s="2" t="s">
        <v>6377</v>
      </c>
      <c r="T4017" s="2">
        <v>1.37</v>
      </c>
      <c r="U4017" s="2">
        <v>63.3</v>
      </c>
      <c r="V4017" s="2">
        <v>61</v>
      </c>
      <c r="W4017" s="2" t="s">
        <v>7862</v>
      </c>
      <c r="X4017" s="2" t="s">
        <v>471</v>
      </c>
      <c r="Y4017" s="2">
        <v>14949</v>
      </c>
      <c r="Z4017" s="19" t="str">
        <f>HYPERLINK("https://ssdweb.co/ssdweb/hd/Vision360.html?d=926071731&amp;zoomslide=1&amp;z=1926071731&amp;ISCONFIRM=0","VIDEO")</f>
        <v>VIDEO</v>
      </c>
      <c r="AA4017" s="19" t="str">
        <f>HYPERLINK("https://ssdweb.co/ssdweb/CERTH/631464101.pdf","CERTI")</f>
        <v>CERTI</v>
      </c>
    </row>
    <row r="4018" spans="1:27" ht="15" x14ac:dyDescent="0.25">
      <c r="A4018" s="2">
        <v>4013</v>
      </c>
      <c r="B4018" s="39">
        <v>923540447</v>
      </c>
      <c r="C4018" s="28" t="str">
        <f>HYPERLINK("https://pld.live/RapDetail.aspx?STONELIST=923540447","DNA")</f>
        <v>DNA</v>
      </c>
      <c r="D4018" s="18" t="s">
        <v>711</v>
      </c>
      <c r="E4018" s="18" t="s">
        <v>5128</v>
      </c>
      <c r="F4018" s="2" t="s">
        <v>7987</v>
      </c>
      <c r="G4018" s="2" t="s">
        <v>1573</v>
      </c>
      <c r="H4018" s="14">
        <v>1.51</v>
      </c>
      <c r="I4018" s="2" t="s">
        <v>267</v>
      </c>
      <c r="J4018" s="2" t="s">
        <v>444</v>
      </c>
      <c r="K4018" s="2" t="s">
        <v>1452</v>
      </c>
      <c r="L4018" s="2" t="s">
        <v>5221</v>
      </c>
      <c r="M4018" s="2" t="s">
        <v>5221</v>
      </c>
      <c r="N4018" s="2" t="s">
        <v>2317</v>
      </c>
      <c r="O4018" s="14">
        <v>8100</v>
      </c>
      <c r="P4018" s="14">
        <v>98.52</v>
      </c>
      <c r="Q4018" s="14">
        <v>119.88</v>
      </c>
      <c r="R4018" s="14">
        <v>181.02</v>
      </c>
      <c r="S4018" s="2" t="s">
        <v>2120</v>
      </c>
      <c r="T4018" s="2">
        <v>1.47</v>
      </c>
      <c r="U4018" s="2">
        <v>63.3</v>
      </c>
      <c r="V4018" s="2">
        <v>61</v>
      </c>
      <c r="W4018" s="2" t="s">
        <v>7862</v>
      </c>
      <c r="X4018" s="2" t="s">
        <v>471</v>
      </c>
      <c r="Y4018" s="2">
        <v>12231</v>
      </c>
      <c r="Z4018" s="19" t="str">
        <f>HYPERLINK("https://ssdweb.co/ssdweb/hd/Vision360.html?d=923540447&amp;zoomslide=1&amp;z=1923540447&amp;ISCONFIRM=0","VIDEO")</f>
        <v>VIDEO</v>
      </c>
      <c r="AA4018" s="19" t="str">
        <f>HYPERLINK("https://ssdweb.co/ssdweb/CERTH/555266953.pdf","CERTI")</f>
        <v>CERTI</v>
      </c>
    </row>
    <row r="4019" spans="1:27" ht="15" x14ac:dyDescent="0.25">
      <c r="A4019" s="2">
        <v>4014</v>
      </c>
      <c r="B4019" s="39">
        <v>925961120</v>
      </c>
      <c r="C4019" s="28" t="str">
        <f>HYPERLINK("https://pld.live/RapDetail.aspx?STONELIST=925961120","DNA")</f>
        <v>DNA</v>
      </c>
      <c r="D4019" s="18" t="s">
        <v>711</v>
      </c>
      <c r="E4019" s="18" t="s">
        <v>5128</v>
      </c>
      <c r="F4019" s="2" t="s">
        <v>7987</v>
      </c>
      <c r="G4019" s="2" t="s">
        <v>1573</v>
      </c>
      <c r="H4019" s="14">
        <v>1.51</v>
      </c>
      <c r="I4019" s="2" t="s">
        <v>267</v>
      </c>
      <c r="J4019" s="2" t="s">
        <v>444</v>
      </c>
      <c r="K4019" s="2" t="s">
        <v>1452</v>
      </c>
      <c r="L4019" s="2" t="s">
        <v>5221</v>
      </c>
      <c r="M4019" s="2" t="s">
        <v>5221</v>
      </c>
      <c r="N4019" s="2" t="s">
        <v>2317</v>
      </c>
      <c r="O4019" s="14">
        <v>8100</v>
      </c>
      <c r="P4019" s="14">
        <v>98.52</v>
      </c>
      <c r="Q4019" s="14">
        <v>119.88</v>
      </c>
      <c r="R4019" s="14">
        <v>181.02</v>
      </c>
      <c r="S4019" s="2" t="s">
        <v>7428</v>
      </c>
      <c r="T4019" s="2">
        <v>1.37</v>
      </c>
      <c r="U4019" s="2">
        <v>62.6</v>
      </c>
      <c r="V4019" s="2">
        <v>59</v>
      </c>
      <c r="W4019" s="2" t="s">
        <v>7862</v>
      </c>
      <c r="X4019" s="2" t="s">
        <v>471</v>
      </c>
      <c r="Y4019" s="2">
        <v>12231</v>
      </c>
      <c r="Z4019" s="19" t="str">
        <f>HYPERLINK("https://ssdweb.co/ssdweb/hd/Vision360.html?d=925961120&amp;zoomslide=1&amp;z=1925961120&amp;ISCONFIRM=0","VIDEO")</f>
        <v>VIDEO</v>
      </c>
      <c r="AA4019" s="19" t="str">
        <f>HYPERLINK("https://ssdweb.co/ssdweb/CERTH/629453419.pdf","CERTI")</f>
        <v>CERTI</v>
      </c>
    </row>
    <row r="4020" spans="1:27" ht="15" x14ac:dyDescent="0.25">
      <c r="A4020" s="2">
        <v>4015</v>
      </c>
      <c r="B4020" s="39">
        <v>924750156</v>
      </c>
      <c r="C4020" s="28" t="str">
        <f>HYPERLINK("https://pld.live/RapDetail.aspx?STONELIST=924750156","DNA")</f>
        <v>DNA</v>
      </c>
      <c r="D4020" s="18" t="s">
        <v>711</v>
      </c>
      <c r="E4020" s="18" t="s">
        <v>5128</v>
      </c>
      <c r="F4020" s="2" t="s">
        <v>7987</v>
      </c>
      <c r="G4020" s="2" t="s">
        <v>1573</v>
      </c>
      <c r="H4020" s="14">
        <v>1.51</v>
      </c>
      <c r="I4020" s="2" t="s">
        <v>4761</v>
      </c>
      <c r="J4020" s="2" t="s">
        <v>7032</v>
      </c>
      <c r="K4020" s="2" t="s">
        <v>1452</v>
      </c>
      <c r="L4020" s="2" t="s">
        <v>5221</v>
      </c>
      <c r="M4020" s="2" t="s">
        <v>5221</v>
      </c>
      <c r="N4020" s="2" t="s">
        <v>2317</v>
      </c>
      <c r="O4020" s="14">
        <v>13200</v>
      </c>
      <c r="P4020" s="14">
        <v>97.02</v>
      </c>
      <c r="Q4020" s="14">
        <v>393.36</v>
      </c>
      <c r="R4020" s="14">
        <v>593.97</v>
      </c>
      <c r="S4020" s="2" t="s">
        <v>1578</v>
      </c>
      <c r="T4020" s="2">
        <v>1.38</v>
      </c>
      <c r="U4020" s="2">
        <v>62.1</v>
      </c>
      <c r="V4020" s="2">
        <v>61</v>
      </c>
      <c r="W4020" s="2" t="s">
        <v>4336</v>
      </c>
      <c r="X4020" s="2" t="s">
        <v>471</v>
      </c>
      <c r="Y4020" s="2">
        <v>19932</v>
      </c>
      <c r="Z4020" s="19" t="str">
        <f>HYPERLINK("https://ssdweb.co/ssdweb/hd/Vision360.html?d=924750156&amp;zoomslide=1&amp;z=1924750156&amp;ISCONFIRM=0","VIDEO")</f>
        <v>VIDEO</v>
      </c>
      <c r="AA4020" s="19" t="str">
        <f>HYPERLINK("https://ssdweb.co/ssdweb/CERTH/598374212.pdf","CERTI")</f>
        <v>CERTI</v>
      </c>
    </row>
    <row r="4021" spans="1:27" ht="15" x14ac:dyDescent="0.25">
      <c r="A4021" s="2">
        <v>4016</v>
      </c>
      <c r="B4021" s="39">
        <v>821125139</v>
      </c>
      <c r="C4021" s="28" t="str">
        <f>HYPERLINK("https://pld.live/RapDetail.aspx?STONELIST=821125139","DNA")</f>
        <v>DNA</v>
      </c>
      <c r="D4021" s="18" t="s">
        <v>711</v>
      </c>
      <c r="E4021" s="18" t="s">
        <v>5128</v>
      </c>
      <c r="F4021" s="2" t="s">
        <v>7987</v>
      </c>
      <c r="G4021" s="2" t="s">
        <v>1573</v>
      </c>
      <c r="H4021" s="14">
        <v>1.51</v>
      </c>
      <c r="I4021" s="2" t="s">
        <v>4761</v>
      </c>
      <c r="J4021" s="2" t="s">
        <v>7032</v>
      </c>
      <c r="K4021" s="2" t="s">
        <v>1452</v>
      </c>
      <c r="L4021" s="2" t="s">
        <v>5221</v>
      </c>
      <c r="M4021" s="2" t="s">
        <v>5221</v>
      </c>
      <c r="N4021" s="2" t="s">
        <v>2317</v>
      </c>
      <c r="O4021" s="14">
        <v>13200</v>
      </c>
      <c r="P4021" s="14">
        <v>97.01</v>
      </c>
      <c r="Q4021" s="14">
        <v>394.68</v>
      </c>
      <c r="R4021" s="14">
        <v>595.97</v>
      </c>
      <c r="S4021" s="2" t="s">
        <v>3316</v>
      </c>
      <c r="T4021" s="2">
        <v>1.37</v>
      </c>
      <c r="U4021" s="2">
        <v>63.4</v>
      </c>
      <c r="V4021" s="2">
        <v>59</v>
      </c>
      <c r="W4021" s="2" t="s">
        <v>7862</v>
      </c>
      <c r="X4021" s="2" t="s">
        <v>471</v>
      </c>
      <c r="Y4021" s="2">
        <v>19932</v>
      </c>
      <c r="Z4021" s="19" t="str">
        <f>HYPERLINK("https://ssdweb.co/ssdweb/hd/Vision360.html?d=821125139&amp;zoomslide=1&amp;z=1821125139&amp;ISCONFIRM=0","VIDEO")</f>
        <v>VIDEO</v>
      </c>
      <c r="AA4021" s="19" t="str">
        <f>HYPERLINK("https://ssdweb.co/ssdweb/CERTH/604390459.pdf","CERTI")</f>
        <v>CERTI</v>
      </c>
    </row>
    <row r="4022" spans="1:27" ht="15" x14ac:dyDescent="0.25">
      <c r="A4022" s="2">
        <v>4017</v>
      </c>
      <c r="B4022" s="39">
        <v>926071699</v>
      </c>
      <c r="C4022" s="28" t="str">
        <f>HYPERLINK("https://pld.live/RapDetail.aspx?STONELIST=926071699","DNA")</f>
        <v>DNA</v>
      </c>
      <c r="D4022" s="18" t="s">
        <v>711</v>
      </c>
      <c r="E4022" s="18" t="s">
        <v>5128</v>
      </c>
      <c r="F4022" s="2" t="s">
        <v>7987</v>
      </c>
      <c r="G4022" s="2" t="s">
        <v>1573</v>
      </c>
      <c r="H4022" s="14">
        <v>1.51</v>
      </c>
      <c r="I4022" s="2" t="s">
        <v>4761</v>
      </c>
      <c r="J4022" s="2" t="s">
        <v>6555</v>
      </c>
      <c r="K4022" s="2" t="s">
        <v>1452</v>
      </c>
      <c r="L4022" s="2" t="s">
        <v>5221</v>
      </c>
      <c r="M4022" s="2" t="s">
        <v>5221</v>
      </c>
      <c r="N4022" s="2" t="s">
        <v>2317</v>
      </c>
      <c r="O4022" s="14">
        <v>12400</v>
      </c>
      <c r="P4022" s="14">
        <v>98.75</v>
      </c>
      <c r="Q4022" s="14">
        <v>155</v>
      </c>
      <c r="R4022" s="14">
        <v>234.05</v>
      </c>
      <c r="S4022" s="2" t="s">
        <v>5922</v>
      </c>
      <c r="T4022" s="2">
        <v>1.36</v>
      </c>
      <c r="U4022" s="2">
        <v>62.2</v>
      </c>
      <c r="V4022" s="2">
        <v>61</v>
      </c>
      <c r="W4022" s="2" t="s">
        <v>7862</v>
      </c>
      <c r="X4022" s="2" t="s">
        <v>471</v>
      </c>
      <c r="Y4022" s="2">
        <v>18724</v>
      </c>
      <c r="Z4022" s="19" t="str">
        <f>HYPERLINK("https://ssdweb.co/ssdweb/hd/Vision360.html?d=926071699&amp;zoomslide=1&amp;z=1926071699&amp;ISCONFIRM=0","VIDEO")</f>
        <v>VIDEO</v>
      </c>
      <c r="AA4022" s="19" t="str">
        <f>HYPERLINK("https://ssdweb.co/ssdweb/CERTH/631464094.pdf","CERTI")</f>
        <v>CERTI</v>
      </c>
    </row>
    <row r="4023" spans="1:27" ht="15" x14ac:dyDescent="0.25">
      <c r="A4023" s="2">
        <v>4018</v>
      </c>
      <c r="B4023" s="39">
        <v>926200723</v>
      </c>
      <c r="C4023" s="28" t="str">
        <f>HYPERLINK("https://pld.live/RapDetail.aspx?STONELIST=926200723","DNA")</f>
        <v>DNA</v>
      </c>
      <c r="D4023" s="18" t="s">
        <v>711</v>
      </c>
      <c r="E4023" s="18" t="s">
        <v>5128</v>
      </c>
      <c r="F4023" s="2" t="s">
        <v>7987</v>
      </c>
      <c r="G4023" s="2" t="s">
        <v>1573</v>
      </c>
      <c r="H4023" s="14">
        <v>1.51</v>
      </c>
      <c r="I4023" s="2" t="s">
        <v>4761</v>
      </c>
      <c r="J4023" s="2" t="s">
        <v>3942</v>
      </c>
      <c r="K4023" s="2" t="s">
        <v>1452</v>
      </c>
      <c r="L4023" s="2" t="s">
        <v>5221</v>
      </c>
      <c r="M4023" s="2" t="s">
        <v>5221</v>
      </c>
      <c r="N4023" s="2" t="s">
        <v>2317</v>
      </c>
      <c r="O4023" s="14">
        <v>11600</v>
      </c>
      <c r="P4023" s="14">
        <v>98.88</v>
      </c>
      <c r="Q4023" s="14">
        <v>129.91999999999999</v>
      </c>
      <c r="R4023" s="14">
        <v>196.18</v>
      </c>
      <c r="S4023" s="2" t="s">
        <v>7303</v>
      </c>
      <c r="T4023" s="2">
        <v>1.38</v>
      </c>
      <c r="U4023" s="2">
        <v>58.9</v>
      </c>
      <c r="V4023" s="2">
        <v>63</v>
      </c>
      <c r="W4023" s="2" t="s">
        <v>7862</v>
      </c>
      <c r="X4023" s="2" t="s">
        <v>471</v>
      </c>
      <c r="Y4023" s="2">
        <v>17516</v>
      </c>
      <c r="Z4023" s="19" t="str">
        <f>HYPERLINK("https://ssdweb.co/ssdweb/hd/Vision360.html?d=926200723&amp;zoomslide=1&amp;z=1926200723&amp;ISCONFIRM=0","VIDEO")</f>
        <v>VIDEO</v>
      </c>
      <c r="AA4023" s="19" t="str">
        <f>HYPERLINK("https://ssdweb.co/ssdweb/CERTH/634431490.pdf","CERTI")</f>
        <v>CERTI</v>
      </c>
    </row>
    <row r="4024" spans="1:27" ht="15" x14ac:dyDescent="0.25">
      <c r="A4024" s="2">
        <v>4019</v>
      </c>
      <c r="B4024" s="39">
        <v>926171298</v>
      </c>
      <c r="C4024" s="28" t="str">
        <f>HYPERLINK("https://pld.live/RapDetail.aspx?STONELIST=926171298","DNA")</f>
        <v>DNA</v>
      </c>
      <c r="D4024" s="18" t="s">
        <v>711</v>
      </c>
      <c r="E4024" s="18" t="s">
        <v>5128</v>
      </c>
      <c r="F4024" s="2" t="s">
        <v>7987</v>
      </c>
      <c r="G4024" s="2" t="s">
        <v>1573</v>
      </c>
      <c r="H4024" s="14">
        <v>1.51</v>
      </c>
      <c r="I4024" s="2" t="s">
        <v>4761</v>
      </c>
      <c r="J4024" s="2" t="s">
        <v>3942</v>
      </c>
      <c r="K4024" s="2" t="s">
        <v>1452</v>
      </c>
      <c r="L4024" s="2" t="s">
        <v>5221</v>
      </c>
      <c r="M4024" s="2" t="s">
        <v>5221</v>
      </c>
      <c r="N4024" s="2" t="s">
        <v>2317</v>
      </c>
      <c r="O4024" s="14">
        <v>11600</v>
      </c>
      <c r="P4024" s="14">
        <v>98.88</v>
      </c>
      <c r="Q4024" s="14">
        <v>129.91999999999999</v>
      </c>
      <c r="R4024" s="14">
        <v>196.18</v>
      </c>
      <c r="S4024" s="2" t="s">
        <v>4140</v>
      </c>
      <c r="T4024" s="2">
        <v>1.37</v>
      </c>
      <c r="U4024" s="2">
        <v>62.1</v>
      </c>
      <c r="V4024" s="2">
        <v>61</v>
      </c>
      <c r="W4024" s="2" t="s">
        <v>7862</v>
      </c>
      <c r="X4024" s="2" t="s">
        <v>471</v>
      </c>
      <c r="Y4024" s="2">
        <v>17516</v>
      </c>
      <c r="Z4024" s="19" t="str">
        <f>HYPERLINK("https://ssdweb.co/ssdweb/hd/Vision360.html?d=926171298&amp;zoomslide=1&amp;z=1926171298&amp;ISCONFIRM=0","VIDEO")</f>
        <v>VIDEO</v>
      </c>
      <c r="AA4024" s="19" t="str">
        <f>HYPERLINK("https://ssdweb.co/ssdweb/CERTH/634431437.pdf","CERTI")</f>
        <v>CERTI</v>
      </c>
    </row>
    <row r="4025" spans="1:27" ht="15" x14ac:dyDescent="0.25">
      <c r="A4025" s="2">
        <v>4020</v>
      </c>
      <c r="B4025" s="39">
        <v>941120579</v>
      </c>
      <c r="C4025" s="28" t="str">
        <f>HYPERLINK("https://pld.live/RapDetail.aspx?STONELIST=941120579","DNA")</f>
        <v>DNA</v>
      </c>
      <c r="D4025" s="18" t="s">
        <v>711</v>
      </c>
      <c r="E4025" s="18" t="s">
        <v>2186</v>
      </c>
      <c r="F4025" s="2" t="s">
        <v>7987</v>
      </c>
      <c r="G4025" s="2" t="s">
        <v>1573</v>
      </c>
      <c r="H4025" s="14">
        <v>1.51</v>
      </c>
      <c r="I4025" s="2" t="s">
        <v>4761</v>
      </c>
      <c r="J4025" s="2" t="s">
        <v>3942</v>
      </c>
      <c r="K4025" s="2" t="s">
        <v>1452</v>
      </c>
      <c r="L4025" s="2" t="s">
        <v>5221</v>
      </c>
      <c r="M4025" s="2" t="s">
        <v>5721</v>
      </c>
      <c r="N4025" s="2" t="s">
        <v>2317</v>
      </c>
      <c r="O4025" s="14">
        <v>11600</v>
      </c>
      <c r="P4025" s="14">
        <v>98.85</v>
      </c>
      <c r="Q4025" s="14">
        <v>133.4</v>
      </c>
      <c r="R4025" s="14">
        <v>201.43</v>
      </c>
      <c r="S4025" s="2" t="s">
        <v>5865</v>
      </c>
      <c r="T4025" s="2">
        <v>1.39</v>
      </c>
      <c r="U4025" s="2">
        <v>62.9</v>
      </c>
      <c r="V4025" s="2">
        <v>59</v>
      </c>
      <c r="W4025" s="2" t="s">
        <v>7862</v>
      </c>
      <c r="X4025" s="2" t="s">
        <v>471</v>
      </c>
      <c r="Y4025" s="2">
        <v>17516</v>
      </c>
      <c r="Z4025" s="19" t="str">
        <f>HYPERLINK("https://ssdweb.co/ssdweb/hd/Vision360.html?d=941120579&amp;zoomslide=1&amp;z=1941120579&amp;ISCONFIRM=0","VIDEO")</f>
        <v>VIDEO</v>
      </c>
      <c r="AA4025" s="19" t="str">
        <f>HYPERLINK("https://ssdweb.co/ssdweb/CERTH/678550313.pdf","CERTI")</f>
        <v>CERTI</v>
      </c>
    </row>
    <row r="4026" spans="1:27" ht="15" x14ac:dyDescent="0.25">
      <c r="A4026" s="2">
        <v>4021</v>
      </c>
      <c r="B4026" s="39">
        <v>925961324</v>
      </c>
      <c r="C4026" s="28" t="str">
        <f>HYPERLINK("https://pld.live/RapDetail.aspx?STONELIST=925961324","DNA")</f>
        <v>DNA</v>
      </c>
      <c r="D4026" s="18" t="s">
        <v>711</v>
      </c>
      <c r="E4026" s="18" t="s">
        <v>5128</v>
      </c>
      <c r="F4026" s="2" t="s">
        <v>5597</v>
      </c>
      <c r="G4026" s="2" t="s">
        <v>1573</v>
      </c>
      <c r="H4026" s="14">
        <v>1.51</v>
      </c>
      <c r="I4026" s="2" t="s">
        <v>4761</v>
      </c>
      <c r="J4026" s="2" t="s">
        <v>3942</v>
      </c>
      <c r="K4026" s="2" t="s">
        <v>1452</v>
      </c>
      <c r="L4026" s="2" t="s">
        <v>5221</v>
      </c>
      <c r="M4026" s="2" t="s">
        <v>5721</v>
      </c>
      <c r="N4026" s="2" t="s">
        <v>2317</v>
      </c>
      <c r="O4026" s="14">
        <v>11600</v>
      </c>
      <c r="P4026" s="14">
        <v>97.91</v>
      </c>
      <c r="Q4026" s="14">
        <v>242.44</v>
      </c>
      <c r="R4026" s="14">
        <v>366.08</v>
      </c>
      <c r="S4026" s="2" t="s">
        <v>7581</v>
      </c>
      <c r="T4026" s="2">
        <v>1.38</v>
      </c>
      <c r="U4026" s="2">
        <v>63.1</v>
      </c>
      <c r="V4026" s="2">
        <v>61</v>
      </c>
      <c r="W4026" s="2" t="s">
        <v>7862</v>
      </c>
      <c r="X4026" s="2" t="s">
        <v>471</v>
      </c>
      <c r="Y4026" s="2">
        <v>17516</v>
      </c>
      <c r="Z4026" s="19" t="str">
        <f>HYPERLINK("https://ssdweb.co/ssdweb/hd/Vision360.html?d=925961324&amp;zoomslide=1&amp;z=1925961324&amp;ISCONFIRM=0","VIDEO")</f>
        <v>VIDEO</v>
      </c>
      <c r="AA4026" s="19" t="str">
        <f>HYPERLINK("https://ssdweb.co/ssdweb/CERTH/7496087572.pdf","CERTI")</f>
        <v>CERTI</v>
      </c>
    </row>
    <row r="4027" spans="1:27" ht="15" x14ac:dyDescent="0.25">
      <c r="A4027" s="2">
        <v>4022</v>
      </c>
      <c r="B4027" s="39">
        <v>926200782</v>
      </c>
      <c r="C4027" s="28" t="str">
        <f>HYPERLINK("https://pld.live/RapDetail.aspx?STONELIST=926200782","DNA")</f>
        <v>DNA</v>
      </c>
      <c r="D4027" s="18" t="s">
        <v>711</v>
      </c>
      <c r="E4027" s="18" t="s">
        <v>5128</v>
      </c>
      <c r="F4027" s="2" t="s">
        <v>7987</v>
      </c>
      <c r="G4027" s="2" t="s">
        <v>1573</v>
      </c>
      <c r="H4027" s="14">
        <v>1.51</v>
      </c>
      <c r="I4027" s="2" t="s">
        <v>4761</v>
      </c>
      <c r="J4027" s="2" t="s">
        <v>13</v>
      </c>
      <c r="K4027" s="2" t="s">
        <v>1452</v>
      </c>
      <c r="L4027" s="2" t="s">
        <v>5221</v>
      </c>
      <c r="M4027" s="2" t="s">
        <v>5221</v>
      </c>
      <c r="N4027" s="2" t="s">
        <v>2317</v>
      </c>
      <c r="O4027" s="14">
        <v>10800</v>
      </c>
      <c r="P4027" s="14">
        <v>98.86</v>
      </c>
      <c r="Q4027" s="14">
        <v>123.12</v>
      </c>
      <c r="R4027" s="14">
        <v>185.91</v>
      </c>
      <c r="S4027" s="2" t="s">
        <v>4230</v>
      </c>
      <c r="T4027" s="2">
        <v>1.36</v>
      </c>
      <c r="U4027" s="2">
        <v>61.3</v>
      </c>
      <c r="V4027" s="2">
        <v>62</v>
      </c>
      <c r="W4027" s="2" t="s">
        <v>4336</v>
      </c>
      <c r="X4027" s="2" t="s">
        <v>471</v>
      </c>
      <c r="Y4027" s="2">
        <v>16308</v>
      </c>
      <c r="Z4027" s="19" t="str">
        <f>HYPERLINK("https://ssdweb.co/ssdweb/hd/Vision360.html?d=926200782&amp;zoomslide=1&amp;z=1926200782&amp;ISCONFIRM=0","VIDEO")</f>
        <v>VIDEO</v>
      </c>
      <c r="AA4027" s="19" t="str">
        <f>HYPERLINK("https://ssdweb.co/ssdweb/CERTH/635426982.pdf","CERTI")</f>
        <v>CERTI</v>
      </c>
    </row>
    <row r="4028" spans="1:27" ht="15" x14ac:dyDescent="0.25">
      <c r="A4028" s="2">
        <v>4023</v>
      </c>
      <c r="B4028" s="39">
        <v>941200045</v>
      </c>
      <c r="C4028" s="28" t="str">
        <f>HYPERLINK("https://pld.live/RapDetail.aspx?STONELIST=941200045","DNA")</f>
        <v>DNA</v>
      </c>
      <c r="D4028" s="18" t="s">
        <v>711</v>
      </c>
      <c r="E4028" s="18" t="s">
        <v>2186</v>
      </c>
      <c r="F4028" s="2" t="s">
        <v>7987</v>
      </c>
      <c r="G4028" s="2" t="s">
        <v>1573</v>
      </c>
      <c r="H4028" s="14">
        <v>1.51</v>
      </c>
      <c r="I4028" s="2" t="s">
        <v>4761</v>
      </c>
      <c r="J4028" s="2" t="s">
        <v>13</v>
      </c>
      <c r="K4028" s="2" t="s">
        <v>1452</v>
      </c>
      <c r="L4028" s="2" t="s">
        <v>5221</v>
      </c>
      <c r="M4028" s="2" t="s">
        <v>5221</v>
      </c>
      <c r="N4028" s="2" t="s">
        <v>2317</v>
      </c>
      <c r="O4028" s="14">
        <v>10800</v>
      </c>
      <c r="P4028" s="14">
        <v>98.8</v>
      </c>
      <c r="Q4028" s="14">
        <v>129.6</v>
      </c>
      <c r="R4028" s="14">
        <v>195.7</v>
      </c>
      <c r="S4028" s="2" t="s">
        <v>1909</v>
      </c>
      <c r="T4028" s="2">
        <v>1.4</v>
      </c>
      <c r="U4028" s="2">
        <v>62.5</v>
      </c>
      <c r="V4028" s="2">
        <v>61</v>
      </c>
      <c r="W4028" s="2" t="s">
        <v>7862</v>
      </c>
      <c r="X4028" s="2" t="s">
        <v>471</v>
      </c>
      <c r="Y4028" s="2">
        <v>16308</v>
      </c>
      <c r="Z4028" s="19" t="str">
        <f>HYPERLINK("https://ssdweb.co/ssdweb/hd/Vision360.html?d=941200045&amp;zoomslide=1&amp;z=1941200045&amp;ISCONFIRM=0","VIDEO")</f>
        <v>VIDEO</v>
      </c>
      <c r="AA4028" s="19" t="str">
        <f>HYPERLINK("https://ssdweb.co/ssdweb/CERTH/678550315.pdf","CERTI")</f>
        <v>CERTI</v>
      </c>
    </row>
    <row r="4029" spans="1:27" ht="15" x14ac:dyDescent="0.25">
      <c r="A4029" s="2">
        <v>4024</v>
      </c>
      <c r="B4029" s="39">
        <v>926071554</v>
      </c>
      <c r="C4029" s="28" t="str">
        <f>HYPERLINK("https://pld.live/RapDetail.aspx?STONELIST=926071554","DNA")</f>
        <v>DNA</v>
      </c>
      <c r="D4029" s="18" t="s">
        <v>711</v>
      </c>
      <c r="E4029" s="18" t="s">
        <v>5128</v>
      </c>
      <c r="F4029" s="2" t="s">
        <v>7987</v>
      </c>
      <c r="G4029" s="2" t="s">
        <v>1573</v>
      </c>
      <c r="H4029" s="14">
        <v>1.51</v>
      </c>
      <c r="I4029" s="2" t="s">
        <v>4761</v>
      </c>
      <c r="J4029" s="2" t="s">
        <v>13</v>
      </c>
      <c r="K4029" s="2" t="s">
        <v>1452</v>
      </c>
      <c r="L4029" s="2" t="s">
        <v>5221</v>
      </c>
      <c r="M4029" s="2" t="s">
        <v>5221</v>
      </c>
      <c r="N4029" s="2" t="s">
        <v>2317</v>
      </c>
      <c r="O4029" s="14">
        <v>10800</v>
      </c>
      <c r="P4029" s="14">
        <v>98.84</v>
      </c>
      <c r="Q4029" s="14">
        <v>125.28</v>
      </c>
      <c r="R4029" s="14">
        <v>189.17</v>
      </c>
      <c r="S4029" s="2" t="s">
        <v>582</v>
      </c>
      <c r="T4029" s="2">
        <v>1.39</v>
      </c>
      <c r="U4029" s="2">
        <v>62</v>
      </c>
      <c r="V4029" s="2">
        <v>61</v>
      </c>
      <c r="W4029" s="2" t="s">
        <v>7862</v>
      </c>
      <c r="X4029" s="2" t="s">
        <v>471</v>
      </c>
      <c r="Y4029" s="2">
        <v>16308</v>
      </c>
      <c r="Z4029" s="19" t="str">
        <f>HYPERLINK("https://ssdweb.co/ssdweb/hd/Vision360.html?d=926071554&amp;zoomslide=1&amp;z=1926071554&amp;ISCONFIRM=0","VIDEO")</f>
        <v>VIDEO</v>
      </c>
      <c r="AA4029" s="19" t="str">
        <f>HYPERLINK("https://ssdweb.co/ssdweb/CERTH/631430396.pdf","CERTI")</f>
        <v>CERTI</v>
      </c>
    </row>
    <row r="4030" spans="1:27" ht="15" x14ac:dyDescent="0.25">
      <c r="A4030" s="2">
        <v>4025</v>
      </c>
      <c r="B4030" s="39">
        <v>925981054</v>
      </c>
      <c r="C4030" s="28" t="str">
        <f>HYPERLINK("https://pld.live/RapDetail.aspx?STONELIST=925981054","DNA")</f>
        <v>DNA</v>
      </c>
      <c r="D4030" s="18" t="s">
        <v>711</v>
      </c>
      <c r="E4030" s="18" t="s">
        <v>5128</v>
      </c>
      <c r="F4030" s="2" t="s">
        <v>7987</v>
      </c>
      <c r="G4030" s="2" t="s">
        <v>1573</v>
      </c>
      <c r="H4030" s="14">
        <v>1.51</v>
      </c>
      <c r="I4030" s="2" t="s">
        <v>4699</v>
      </c>
      <c r="J4030" s="2" t="s">
        <v>7032</v>
      </c>
      <c r="K4030" s="2" t="s">
        <v>1452</v>
      </c>
      <c r="L4030" s="2" t="s">
        <v>5221</v>
      </c>
      <c r="M4030" s="2" t="s">
        <v>5221</v>
      </c>
      <c r="N4030" s="2" t="s">
        <v>2317</v>
      </c>
      <c r="O4030" s="14">
        <v>12300</v>
      </c>
      <c r="P4030" s="14">
        <v>96.95</v>
      </c>
      <c r="Q4030" s="14">
        <v>375.15</v>
      </c>
      <c r="R4030" s="14">
        <v>566.48</v>
      </c>
      <c r="S4030" s="2" t="s">
        <v>2084</v>
      </c>
      <c r="T4030" s="2">
        <v>1.39</v>
      </c>
      <c r="U4030" s="2">
        <v>62.2</v>
      </c>
      <c r="V4030" s="2">
        <v>60</v>
      </c>
      <c r="W4030" s="2" t="s">
        <v>7862</v>
      </c>
      <c r="X4030" s="2" t="s">
        <v>471</v>
      </c>
      <c r="Y4030" s="2">
        <v>18573</v>
      </c>
      <c r="Z4030" s="19" t="str">
        <f>HYPERLINK("https://ssdweb.co/ssdweb/hd/Vision360.html?d=925981054&amp;zoomslide=1&amp;z=1925981054&amp;ISCONFIRM=0","VIDEO")</f>
        <v>VIDEO</v>
      </c>
      <c r="AA4030" s="19" t="str">
        <f>HYPERLINK("https://ssdweb.co/ssdweb/CERTH/629478991.pdf","CERTI")</f>
        <v>CERTI</v>
      </c>
    </row>
    <row r="4031" spans="1:27" ht="15" x14ac:dyDescent="0.25">
      <c r="A4031" s="2">
        <v>4026</v>
      </c>
      <c r="B4031" s="39">
        <v>925620695</v>
      </c>
      <c r="C4031" s="28" t="str">
        <f>HYPERLINK("https://pld.live/RapDetail.aspx?STONELIST=925620695","DNA")</f>
        <v>DNA</v>
      </c>
      <c r="D4031" s="18" t="s">
        <v>711</v>
      </c>
      <c r="E4031" s="18" t="s">
        <v>5128</v>
      </c>
      <c r="F4031" s="2" t="s">
        <v>7987</v>
      </c>
      <c r="G4031" s="2" t="s">
        <v>1573</v>
      </c>
      <c r="H4031" s="14">
        <v>1.51</v>
      </c>
      <c r="I4031" s="2" t="s">
        <v>4699</v>
      </c>
      <c r="J4031" s="2" t="s">
        <v>3942</v>
      </c>
      <c r="K4031" s="2" t="s">
        <v>1452</v>
      </c>
      <c r="L4031" s="2" t="s">
        <v>5221</v>
      </c>
      <c r="M4031" s="2" t="s">
        <v>5221</v>
      </c>
      <c r="N4031" s="2" t="s">
        <v>2317</v>
      </c>
      <c r="O4031" s="14">
        <v>10800</v>
      </c>
      <c r="P4031" s="14">
        <v>98.86</v>
      </c>
      <c r="Q4031" s="14">
        <v>123.12</v>
      </c>
      <c r="R4031" s="14">
        <v>185.91</v>
      </c>
      <c r="S4031" s="2" t="s">
        <v>7686</v>
      </c>
      <c r="T4031" s="2">
        <v>1.36</v>
      </c>
      <c r="U4031" s="2">
        <v>62.8</v>
      </c>
      <c r="V4031" s="2">
        <v>61</v>
      </c>
      <c r="W4031" s="2" t="s">
        <v>4336</v>
      </c>
      <c r="X4031" s="2" t="s">
        <v>471</v>
      </c>
      <c r="Y4031" s="2">
        <v>16308</v>
      </c>
      <c r="Z4031" s="19" t="str">
        <f>HYPERLINK("https://ssdweb.co/ssdweb/hd/Vision360.html?d=925620695&amp;zoomslide=1&amp;z=1925620695&amp;ISCONFIRM=0","VIDEO")</f>
        <v>VIDEO</v>
      </c>
      <c r="AA4031" s="19" t="str">
        <f>HYPERLINK("https://ssdweb.co/ssdweb/CERTH/619469687.pdf","CERTI")</f>
        <v>CERTI</v>
      </c>
    </row>
    <row r="4032" spans="1:27" ht="15" x14ac:dyDescent="0.25">
      <c r="A4032" s="2">
        <v>4027</v>
      </c>
      <c r="B4032" s="39">
        <v>925551887</v>
      </c>
      <c r="C4032" s="28" t="str">
        <f>HYPERLINK("https://pld.live/RapDetail.aspx?STONELIST=925551887","DNA")</f>
        <v>DNA</v>
      </c>
      <c r="D4032" s="18" t="s">
        <v>711</v>
      </c>
      <c r="E4032" s="18" t="s">
        <v>5128</v>
      </c>
      <c r="F4032" s="2" t="s">
        <v>7987</v>
      </c>
      <c r="G4032" s="2" t="s">
        <v>1573</v>
      </c>
      <c r="H4032" s="14">
        <v>1.51</v>
      </c>
      <c r="I4032" s="2" t="s">
        <v>4699</v>
      </c>
      <c r="J4032" s="2" t="s">
        <v>3942</v>
      </c>
      <c r="K4032" s="2" t="s">
        <v>1452</v>
      </c>
      <c r="L4032" s="2" t="s">
        <v>5221</v>
      </c>
      <c r="M4032" s="2" t="s">
        <v>5221</v>
      </c>
      <c r="N4032" s="2" t="s">
        <v>2317</v>
      </c>
      <c r="O4032" s="14">
        <v>10800</v>
      </c>
      <c r="P4032" s="14">
        <v>98.84</v>
      </c>
      <c r="Q4032" s="14">
        <v>125.28</v>
      </c>
      <c r="R4032" s="14">
        <v>189.17</v>
      </c>
      <c r="S4032" s="2" t="s">
        <v>7762</v>
      </c>
      <c r="T4032" s="2">
        <v>1.37</v>
      </c>
      <c r="U4032" s="2">
        <v>62.4</v>
      </c>
      <c r="V4032" s="2">
        <v>63</v>
      </c>
      <c r="W4032" s="2" t="s">
        <v>7862</v>
      </c>
      <c r="X4032" s="2" t="s">
        <v>471</v>
      </c>
      <c r="Y4032" s="2">
        <v>16308</v>
      </c>
      <c r="Z4032" s="19" t="str">
        <f>HYPERLINK("https://ssdweb.co/ssdweb/hd/Vision360.html?d=925551887&amp;zoomslide=1&amp;z=1925551887&amp;ISCONFIRM=0","VIDEO")</f>
        <v>VIDEO</v>
      </c>
      <c r="AA4032" s="19" t="str">
        <f>HYPERLINK("https://ssdweb.co/ssdweb/CERTH/620448923.pdf","CERTI")</f>
        <v>CERTI</v>
      </c>
    </row>
    <row r="4033" spans="1:27" ht="15" x14ac:dyDescent="0.25">
      <c r="A4033" s="2">
        <v>4028</v>
      </c>
      <c r="B4033" s="39">
        <v>925961371</v>
      </c>
      <c r="C4033" s="28" t="str">
        <f>HYPERLINK("https://pld.live/RapDetail.aspx?STONELIST=925961371","DNA")</f>
        <v>DNA</v>
      </c>
      <c r="D4033" s="18" t="s">
        <v>711</v>
      </c>
      <c r="E4033" s="18" t="s">
        <v>5128</v>
      </c>
      <c r="F4033" s="2" t="s">
        <v>7987</v>
      </c>
      <c r="G4033" s="2" t="s">
        <v>1573</v>
      </c>
      <c r="H4033" s="14">
        <v>1.51</v>
      </c>
      <c r="I4033" s="2" t="s">
        <v>6587</v>
      </c>
      <c r="J4033" s="2" t="s">
        <v>3942</v>
      </c>
      <c r="K4033" s="2" t="s">
        <v>1452</v>
      </c>
      <c r="L4033" s="2" t="s">
        <v>5221</v>
      </c>
      <c r="M4033" s="2" t="s">
        <v>5221</v>
      </c>
      <c r="N4033" s="2" t="s">
        <v>2317</v>
      </c>
      <c r="O4033" s="14">
        <v>10000</v>
      </c>
      <c r="P4033" s="14">
        <v>98.87</v>
      </c>
      <c r="Q4033" s="14">
        <v>113</v>
      </c>
      <c r="R4033" s="14">
        <v>170.63</v>
      </c>
      <c r="S4033" s="2" t="s">
        <v>3708</v>
      </c>
      <c r="T4033" s="2">
        <v>1.38</v>
      </c>
      <c r="U4033" s="2">
        <v>62.4</v>
      </c>
      <c r="V4033" s="2">
        <v>61</v>
      </c>
      <c r="W4033" s="2" t="s">
        <v>8016</v>
      </c>
      <c r="X4033" s="2" t="s">
        <v>471</v>
      </c>
      <c r="Y4033" s="2">
        <v>15100</v>
      </c>
      <c r="Z4033" s="19" t="str">
        <f>HYPERLINK("https://ssdweb.co/ssdweb/hd/Vision360.html?d=925961371&amp;zoomslide=1&amp;z=1925961371&amp;ISCONFIRM=0","VIDEO")</f>
        <v>VIDEO</v>
      </c>
      <c r="AA4033" s="19" t="str">
        <f>HYPERLINK("https://ssdweb.co/ssdweb/CERTH/630447519.pdf","CERTI")</f>
        <v>CERTI</v>
      </c>
    </row>
    <row r="4034" spans="1:27" ht="15" x14ac:dyDescent="0.25">
      <c r="A4034" s="2">
        <v>4029</v>
      </c>
      <c r="B4034" s="39">
        <v>926041141</v>
      </c>
      <c r="C4034" s="28" t="str">
        <f>HYPERLINK("https://pld.live/RapDetail.aspx?STONELIST=926041141","DNA")</f>
        <v>DNA</v>
      </c>
      <c r="D4034" s="18" t="s">
        <v>711</v>
      </c>
      <c r="E4034" s="18" t="s">
        <v>5128</v>
      </c>
      <c r="F4034" s="2" t="s">
        <v>7987</v>
      </c>
      <c r="G4034" s="2" t="s">
        <v>1573</v>
      </c>
      <c r="H4034" s="14">
        <v>1.5</v>
      </c>
      <c r="I4034" s="2" t="s">
        <v>267</v>
      </c>
      <c r="J4034" s="2" t="s">
        <v>7032</v>
      </c>
      <c r="K4034" s="2" t="s">
        <v>1452</v>
      </c>
      <c r="L4034" s="2" t="s">
        <v>5221</v>
      </c>
      <c r="M4034" s="2" t="s">
        <v>5221</v>
      </c>
      <c r="N4034" s="2" t="s">
        <v>2317</v>
      </c>
      <c r="O4034" s="14">
        <v>14100</v>
      </c>
      <c r="P4034" s="14">
        <v>96.28</v>
      </c>
      <c r="Q4034" s="14">
        <v>524.52</v>
      </c>
      <c r="R4034" s="14">
        <v>786.78</v>
      </c>
      <c r="S4034" s="2" t="s">
        <v>4613</v>
      </c>
      <c r="T4034" s="2">
        <v>1.36</v>
      </c>
      <c r="U4034" s="2">
        <v>62.7</v>
      </c>
      <c r="V4034" s="2">
        <v>60</v>
      </c>
      <c r="W4034" s="2" t="s">
        <v>7862</v>
      </c>
      <c r="X4034" s="2" t="s">
        <v>471</v>
      </c>
      <c r="Y4034" s="2">
        <v>21150</v>
      </c>
      <c r="Z4034" s="19" t="str">
        <f>HYPERLINK("https://ssdweb.co/ssdweb/hd/Vision360.html?d=926041141&amp;zoomslide=1&amp;z=1926041141&amp;ISCONFIRM=0","VIDEO")</f>
        <v>VIDEO</v>
      </c>
      <c r="AA4034" s="19" t="str">
        <f>HYPERLINK("https://ssdweb.co/ssdweb/CERTH/631404509.pdf","CERTI")</f>
        <v>CERTI</v>
      </c>
    </row>
    <row r="4035" spans="1:27" ht="15" x14ac:dyDescent="0.25">
      <c r="A4035" s="2">
        <v>4030</v>
      </c>
      <c r="B4035" s="39">
        <v>925861897</v>
      </c>
      <c r="C4035" s="28" t="str">
        <f>HYPERLINK("https://pld.live/RapDetail.aspx?STONELIST=925861897","DNA")</f>
        <v>DNA</v>
      </c>
      <c r="D4035" s="18" t="s">
        <v>711</v>
      </c>
      <c r="E4035" s="18" t="s">
        <v>5128</v>
      </c>
      <c r="F4035" s="2" t="s">
        <v>7987</v>
      </c>
      <c r="G4035" s="2" t="s">
        <v>1573</v>
      </c>
      <c r="H4035" s="14">
        <v>1.5</v>
      </c>
      <c r="I4035" s="2" t="s">
        <v>267</v>
      </c>
      <c r="J4035" s="2" t="s">
        <v>6555</v>
      </c>
      <c r="K4035" s="2" t="s">
        <v>1452</v>
      </c>
      <c r="L4035" s="2" t="s">
        <v>5221</v>
      </c>
      <c r="M4035" s="2" t="s">
        <v>5221</v>
      </c>
      <c r="N4035" s="2" t="s">
        <v>2317</v>
      </c>
      <c r="O4035" s="14">
        <v>13200</v>
      </c>
      <c r="P4035" s="14">
        <v>98.6</v>
      </c>
      <c r="Q4035" s="14">
        <v>184.8</v>
      </c>
      <c r="R4035" s="14">
        <v>277.2</v>
      </c>
      <c r="S4035" s="2" t="s">
        <v>4721</v>
      </c>
      <c r="T4035" s="2">
        <v>1.36</v>
      </c>
      <c r="U4035" s="2">
        <v>63.4</v>
      </c>
      <c r="V4035" s="2">
        <v>58</v>
      </c>
      <c r="W4035" s="2" t="s">
        <v>7862</v>
      </c>
      <c r="X4035" s="2" t="s">
        <v>471</v>
      </c>
      <c r="Y4035" s="2">
        <v>19800</v>
      </c>
      <c r="Z4035" s="19" t="str">
        <f>HYPERLINK("https://ssdweb.co/ssdweb/hd/Vision360.html?d=925861897&amp;zoomslide=1&amp;z=1925861897&amp;ISCONFIRM=0","VIDEO")</f>
        <v>VIDEO</v>
      </c>
      <c r="AA4035" s="19" t="str">
        <f>HYPERLINK("https://ssdweb.co/ssdweb/CERTH/627410557.pdf","CERTI")</f>
        <v>CERTI</v>
      </c>
    </row>
    <row r="4036" spans="1:27" ht="15" x14ac:dyDescent="0.25">
      <c r="A4036" s="2">
        <v>4031</v>
      </c>
      <c r="B4036" s="39">
        <v>925861666</v>
      </c>
      <c r="C4036" s="28" t="str">
        <f>HYPERLINK("https://pld.live/RapDetail.aspx?STONELIST=925861666","DNA")</f>
        <v>DNA</v>
      </c>
      <c r="D4036" s="18" t="s">
        <v>711</v>
      </c>
      <c r="E4036" s="18" t="s">
        <v>5128</v>
      </c>
      <c r="F4036" s="2" t="s">
        <v>7987</v>
      </c>
      <c r="G4036" s="2" t="s">
        <v>1573</v>
      </c>
      <c r="H4036" s="14">
        <v>1.5</v>
      </c>
      <c r="I4036" s="2" t="s">
        <v>267</v>
      </c>
      <c r="J4036" s="2" t="s">
        <v>6555</v>
      </c>
      <c r="K4036" s="2" t="s">
        <v>1452</v>
      </c>
      <c r="L4036" s="2" t="s">
        <v>5221</v>
      </c>
      <c r="M4036" s="2" t="s">
        <v>5221</v>
      </c>
      <c r="N4036" s="2" t="s">
        <v>2317</v>
      </c>
      <c r="O4036" s="14">
        <v>13200</v>
      </c>
      <c r="P4036" s="14">
        <v>98.6</v>
      </c>
      <c r="Q4036" s="14">
        <v>184.8</v>
      </c>
      <c r="R4036" s="14">
        <v>277.2</v>
      </c>
      <c r="S4036" s="2" t="s">
        <v>3946</v>
      </c>
      <c r="T4036" s="2">
        <v>1.38</v>
      </c>
      <c r="U4036" s="2">
        <v>62.1</v>
      </c>
      <c r="V4036" s="2">
        <v>61</v>
      </c>
      <c r="W4036" s="2" t="s">
        <v>7862</v>
      </c>
      <c r="X4036" s="2" t="s">
        <v>471</v>
      </c>
      <c r="Y4036" s="2">
        <v>19800</v>
      </c>
      <c r="Z4036" s="19" t="str">
        <f>HYPERLINK("https://ssdweb.co/ssdweb/hd/Vision360.html?d=925861666&amp;zoomslide=1&amp;z=1925861666&amp;ISCONFIRM=0","VIDEO")</f>
        <v>VIDEO</v>
      </c>
      <c r="AA4036" s="19" t="str">
        <f>HYPERLINK("https://ssdweb.co/ssdweb/CERTH/627410501.pdf","CERTI")</f>
        <v>CERTI</v>
      </c>
    </row>
    <row r="4037" spans="1:27" ht="15" x14ac:dyDescent="0.25">
      <c r="A4037" s="2">
        <v>4032</v>
      </c>
      <c r="B4037" s="39">
        <v>925861420</v>
      </c>
      <c r="C4037" s="28" t="str">
        <f>HYPERLINK("https://pld.live/RapDetail.aspx?STONELIST=925861420","DNA")</f>
        <v>DNA</v>
      </c>
      <c r="D4037" s="18" t="s">
        <v>711</v>
      </c>
      <c r="E4037" s="18" t="s">
        <v>5128</v>
      </c>
      <c r="F4037" s="2" t="s">
        <v>7987</v>
      </c>
      <c r="G4037" s="2" t="s">
        <v>1573</v>
      </c>
      <c r="H4037" s="14">
        <v>1.5</v>
      </c>
      <c r="I4037" s="2" t="s">
        <v>267</v>
      </c>
      <c r="J4037" s="2" t="s">
        <v>6555</v>
      </c>
      <c r="K4037" s="2" t="s">
        <v>1452</v>
      </c>
      <c r="L4037" s="2" t="s">
        <v>5221</v>
      </c>
      <c r="M4037" s="2" t="s">
        <v>5221</v>
      </c>
      <c r="N4037" s="2" t="s">
        <v>2317</v>
      </c>
      <c r="O4037" s="14">
        <v>13200</v>
      </c>
      <c r="P4037" s="14">
        <v>98.6</v>
      </c>
      <c r="Q4037" s="14">
        <v>184.8</v>
      </c>
      <c r="R4037" s="14">
        <v>277.2</v>
      </c>
      <c r="S4037" s="2" t="s">
        <v>3928</v>
      </c>
      <c r="T4037" s="2">
        <v>1.38</v>
      </c>
      <c r="U4037" s="2">
        <v>62.5</v>
      </c>
      <c r="V4037" s="2">
        <v>61</v>
      </c>
      <c r="W4037" s="2" t="s">
        <v>7862</v>
      </c>
      <c r="X4037" s="2" t="s">
        <v>471</v>
      </c>
      <c r="Y4037" s="2">
        <v>19800</v>
      </c>
      <c r="Z4037" s="19" t="str">
        <f>HYPERLINK("https://ssdweb.co/ssdweb/hd/Vision360.html?d=925861420&amp;zoomslide=1&amp;z=1925861420&amp;ISCONFIRM=0","VIDEO")</f>
        <v>VIDEO</v>
      </c>
      <c r="AA4037" s="19" t="str">
        <f>HYPERLINK("https://ssdweb.co/ssdweb/CERTH/627497045.pdf","CERTI")</f>
        <v>CERTI</v>
      </c>
    </row>
    <row r="4038" spans="1:27" ht="15" x14ac:dyDescent="0.25">
      <c r="A4038" s="2">
        <v>4033</v>
      </c>
      <c r="B4038" s="39">
        <v>925732086</v>
      </c>
      <c r="C4038" s="28" t="str">
        <f>HYPERLINK("https://pld.live/RapDetail.aspx?STONELIST=925732086","DNA")</f>
        <v>DNA</v>
      </c>
      <c r="D4038" s="18" t="s">
        <v>711</v>
      </c>
      <c r="E4038" s="18" t="s">
        <v>5128</v>
      </c>
      <c r="F4038" s="2" t="s">
        <v>7987</v>
      </c>
      <c r="G4038" s="2" t="s">
        <v>1573</v>
      </c>
      <c r="H4038" s="14">
        <v>1.5</v>
      </c>
      <c r="I4038" s="2" t="s">
        <v>267</v>
      </c>
      <c r="J4038" s="2" t="s">
        <v>6555</v>
      </c>
      <c r="K4038" s="2" t="s">
        <v>1452</v>
      </c>
      <c r="L4038" s="2" t="s">
        <v>5221</v>
      </c>
      <c r="M4038" s="2" t="s">
        <v>5221</v>
      </c>
      <c r="N4038" s="2" t="s">
        <v>2317</v>
      </c>
      <c r="O4038" s="14">
        <v>13200</v>
      </c>
      <c r="P4038" s="14">
        <v>98.6</v>
      </c>
      <c r="Q4038" s="14">
        <v>184.8</v>
      </c>
      <c r="R4038" s="14">
        <v>277.2</v>
      </c>
      <c r="S4038" s="2" t="s">
        <v>4817</v>
      </c>
      <c r="T4038" s="2">
        <v>1.36</v>
      </c>
      <c r="U4038" s="2">
        <v>62.6</v>
      </c>
      <c r="V4038" s="2">
        <v>61</v>
      </c>
      <c r="W4038" s="2" t="s">
        <v>7862</v>
      </c>
      <c r="X4038" s="2" t="s">
        <v>471</v>
      </c>
      <c r="Y4038" s="2">
        <v>19800</v>
      </c>
      <c r="Z4038" s="19" t="str">
        <f>HYPERLINK("https://ssdweb.co/ssdweb/hd/Vision360.html?d=925732086&amp;zoomslide=1&amp;z=1925732086&amp;ISCONFIRM=0","VIDEO")</f>
        <v>VIDEO</v>
      </c>
      <c r="AA4038" s="19" t="str">
        <f>HYPERLINK("https://ssdweb.co/ssdweb/CERTH/626457285.pdf","CERTI")</f>
        <v>CERTI</v>
      </c>
    </row>
    <row r="4039" spans="1:27" ht="15" x14ac:dyDescent="0.25">
      <c r="A4039" s="2">
        <v>4034</v>
      </c>
      <c r="B4039" s="39">
        <v>821125737</v>
      </c>
      <c r="C4039" s="28" t="str">
        <f>HYPERLINK("https://pld.live/RapDetail.aspx?STONELIST=821125737","DNA")</f>
        <v>DNA</v>
      </c>
      <c r="D4039" s="18" t="s">
        <v>711</v>
      </c>
      <c r="E4039" s="18" t="s">
        <v>5128</v>
      </c>
      <c r="F4039" s="2" t="s">
        <v>7987</v>
      </c>
      <c r="G4039" s="2" t="s">
        <v>1573</v>
      </c>
      <c r="H4039" s="14">
        <v>1.5</v>
      </c>
      <c r="I4039" s="2" t="s">
        <v>267</v>
      </c>
      <c r="J4039" s="2" t="s">
        <v>6555</v>
      </c>
      <c r="K4039" s="2" t="s">
        <v>1452</v>
      </c>
      <c r="L4039" s="2" t="s">
        <v>5221</v>
      </c>
      <c r="M4039" s="2" t="s">
        <v>5221</v>
      </c>
      <c r="N4039" s="2" t="s">
        <v>2317</v>
      </c>
      <c r="O4039" s="14">
        <v>13200</v>
      </c>
      <c r="P4039" s="14">
        <v>98.6</v>
      </c>
      <c r="Q4039" s="14">
        <v>184.8</v>
      </c>
      <c r="R4039" s="14">
        <v>277.2</v>
      </c>
      <c r="S4039" s="2" t="s">
        <v>2128</v>
      </c>
      <c r="T4039" s="2">
        <v>1.39</v>
      </c>
      <c r="U4039" s="2">
        <v>59.8</v>
      </c>
      <c r="V4039" s="2">
        <v>61</v>
      </c>
      <c r="W4039" s="2" t="s">
        <v>7862</v>
      </c>
      <c r="X4039" s="2" t="s">
        <v>471</v>
      </c>
      <c r="Y4039" s="2">
        <v>19800</v>
      </c>
      <c r="Z4039" s="19" t="str">
        <f>HYPERLINK("https://ssdweb.co/ssdweb/hd/Vision360.html?d=821125737&amp;zoomslide=1&amp;z=1821125737&amp;ISCONFIRM=0","VIDEO")</f>
        <v>VIDEO</v>
      </c>
      <c r="AA4039" s="19" t="str">
        <f>HYPERLINK("https://ssdweb.co/ssdweb/CERTH/615350838.pdf","CERTI")</f>
        <v>CERTI</v>
      </c>
    </row>
    <row r="4040" spans="1:27" ht="15" x14ac:dyDescent="0.25">
      <c r="A4040" s="2">
        <v>4035</v>
      </c>
      <c r="B4040" s="39">
        <v>925551847</v>
      </c>
      <c r="C4040" s="28" t="str">
        <f>HYPERLINK("https://pld.live/RapDetail.aspx?STONELIST=925551847","DNA")</f>
        <v>DNA</v>
      </c>
      <c r="D4040" s="18" t="s">
        <v>711</v>
      </c>
      <c r="E4040" s="18" t="s">
        <v>5128</v>
      </c>
      <c r="F4040" s="2" t="s">
        <v>7987</v>
      </c>
      <c r="G4040" s="2" t="s">
        <v>1573</v>
      </c>
      <c r="H4040" s="14">
        <v>1.5</v>
      </c>
      <c r="I4040" s="2" t="s">
        <v>267</v>
      </c>
      <c r="J4040" s="2" t="s">
        <v>6555</v>
      </c>
      <c r="K4040" s="2" t="s">
        <v>1452</v>
      </c>
      <c r="L4040" s="2" t="s">
        <v>5221</v>
      </c>
      <c r="M4040" s="2" t="s">
        <v>5221</v>
      </c>
      <c r="N4040" s="2" t="s">
        <v>2317</v>
      </c>
      <c r="O4040" s="14">
        <v>13200</v>
      </c>
      <c r="P4040" s="14">
        <v>98.6</v>
      </c>
      <c r="Q4040" s="14">
        <v>184.8</v>
      </c>
      <c r="R4040" s="14">
        <v>277.2</v>
      </c>
      <c r="S4040" s="2" t="s">
        <v>4210</v>
      </c>
      <c r="T4040" s="2">
        <v>1.36</v>
      </c>
      <c r="U4040" s="2">
        <v>63.2</v>
      </c>
      <c r="V4040" s="2">
        <v>60</v>
      </c>
      <c r="W4040" s="2" t="s">
        <v>7862</v>
      </c>
      <c r="X4040" s="2" t="s">
        <v>471</v>
      </c>
      <c r="Y4040" s="2">
        <v>19800</v>
      </c>
      <c r="Z4040" s="19" t="str">
        <f>HYPERLINK("https://ssdweb.co/ssdweb/hd/Vision360.html?d=925551847&amp;zoomslide=1&amp;z=1925551847&amp;ISCONFIRM=0","VIDEO")</f>
        <v>VIDEO</v>
      </c>
      <c r="AA4040" s="19" t="str">
        <f>HYPERLINK("https://ssdweb.co/ssdweb/CERTH/620403123.pdf","CERTI")</f>
        <v>CERTI</v>
      </c>
    </row>
    <row r="4041" spans="1:27" ht="15" x14ac:dyDescent="0.25">
      <c r="A4041" s="2">
        <v>4036</v>
      </c>
      <c r="B4041" s="39">
        <v>926071549</v>
      </c>
      <c r="C4041" s="28" t="str">
        <f>HYPERLINK("https://pld.live/RapDetail.aspx?STONELIST=926071549","DNA")</f>
        <v>DNA</v>
      </c>
      <c r="D4041" s="18" t="s">
        <v>711</v>
      </c>
      <c r="E4041" s="18" t="s">
        <v>5128</v>
      </c>
      <c r="F4041" s="2" t="s">
        <v>7987</v>
      </c>
      <c r="G4041" s="2" t="s">
        <v>1573</v>
      </c>
      <c r="H4041" s="14">
        <v>1.5</v>
      </c>
      <c r="I4041" s="2" t="s">
        <v>267</v>
      </c>
      <c r="J4041" s="2" t="s">
        <v>6555</v>
      </c>
      <c r="K4041" s="2" t="s">
        <v>1452</v>
      </c>
      <c r="L4041" s="2" t="s">
        <v>5221</v>
      </c>
      <c r="M4041" s="2" t="s">
        <v>5221</v>
      </c>
      <c r="N4041" s="2" t="s">
        <v>2317</v>
      </c>
      <c r="O4041" s="14">
        <v>13200</v>
      </c>
      <c r="P4041" s="14">
        <v>98.6</v>
      </c>
      <c r="Q4041" s="14">
        <v>184.8</v>
      </c>
      <c r="R4041" s="14">
        <v>277.2</v>
      </c>
      <c r="S4041" s="2" t="s">
        <v>4456</v>
      </c>
      <c r="T4041" s="2">
        <v>1.36</v>
      </c>
      <c r="U4041" s="2">
        <v>63</v>
      </c>
      <c r="V4041" s="2">
        <v>56</v>
      </c>
      <c r="W4041" s="2" t="s">
        <v>7862</v>
      </c>
      <c r="X4041" s="2" t="s">
        <v>471</v>
      </c>
      <c r="Y4041" s="2">
        <v>19800</v>
      </c>
      <c r="Z4041" s="19" t="str">
        <f>HYPERLINK("https://ssdweb.co/ssdweb/hd/Vision360.html?d=926071549&amp;zoomslide=1&amp;z=1926071549&amp;ISCONFIRM=0","VIDEO")</f>
        <v>VIDEO</v>
      </c>
      <c r="AA4041" s="19" t="str">
        <f>HYPERLINK("https://ssdweb.co/ssdweb/CERTH/631430394.pdf","CERTI")</f>
        <v>CERTI</v>
      </c>
    </row>
    <row r="4042" spans="1:27" ht="15" x14ac:dyDescent="0.25">
      <c r="A4042" s="2">
        <v>4037</v>
      </c>
      <c r="B4042" s="39">
        <v>925981233</v>
      </c>
      <c r="C4042" s="28" t="str">
        <f>HYPERLINK("https://pld.live/RapDetail.aspx?STONELIST=925981233","DNA")</f>
        <v>DNA</v>
      </c>
      <c r="D4042" s="18" t="s">
        <v>711</v>
      </c>
      <c r="E4042" s="18" t="s">
        <v>5128</v>
      </c>
      <c r="F4042" s="2" t="s">
        <v>7987</v>
      </c>
      <c r="G4042" s="2" t="s">
        <v>1573</v>
      </c>
      <c r="H4042" s="14">
        <v>1.5</v>
      </c>
      <c r="I4042" s="2" t="s">
        <v>267</v>
      </c>
      <c r="J4042" s="2" t="s">
        <v>6555</v>
      </c>
      <c r="K4042" s="2" t="s">
        <v>1452</v>
      </c>
      <c r="L4042" s="2" t="s">
        <v>5221</v>
      </c>
      <c r="M4042" s="2" t="s">
        <v>5221</v>
      </c>
      <c r="N4042" s="2" t="s">
        <v>2317</v>
      </c>
      <c r="O4042" s="14">
        <v>13200</v>
      </c>
      <c r="P4042" s="14">
        <v>98.6</v>
      </c>
      <c r="Q4042" s="14">
        <v>184.8</v>
      </c>
      <c r="R4042" s="14">
        <v>277.2</v>
      </c>
      <c r="S4042" s="2" t="s">
        <v>377</v>
      </c>
      <c r="T4042" s="2">
        <v>1.36</v>
      </c>
      <c r="U4042" s="2">
        <v>62.7</v>
      </c>
      <c r="V4042" s="2">
        <v>60</v>
      </c>
      <c r="W4042" s="2" t="s">
        <v>7862</v>
      </c>
      <c r="X4042" s="2" t="s">
        <v>471</v>
      </c>
      <c r="Y4042" s="2">
        <v>19800</v>
      </c>
      <c r="Z4042" s="19" t="str">
        <f>HYPERLINK("https://ssdweb.co/ssdweb/hd/Vision360.html?d=925981233&amp;zoomslide=1&amp;z=1925981233&amp;ISCONFIRM=0","VIDEO")</f>
        <v>VIDEO</v>
      </c>
      <c r="AA4042" s="19" t="str">
        <f>HYPERLINK("https://ssdweb.co/ssdweb/CERTH/631404461.pdf","CERTI")</f>
        <v>CERTI</v>
      </c>
    </row>
    <row r="4043" spans="1:27" ht="15" x14ac:dyDescent="0.25">
      <c r="A4043" s="2">
        <v>4038</v>
      </c>
      <c r="B4043" s="39">
        <v>925801646</v>
      </c>
      <c r="C4043" s="28" t="str">
        <f>HYPERLINK("https://pld.live/RapDetail.aspx?STONELIST=925801646","DNA")</f>
        <v>DNA</v>
      </c>
      <c r="D4043" s="18" t="s">
        <v>711</v>
      </c>
      <c r="E4043" s="18" t="s">
        <v>5128</v>
      </c>
      <c r="F4043" s="2" t="s">
        <v>7987</v>
      </c>
      <c r="G4043" s="2" t="s">
        <v>1573</v>
      </c>
      <c r="H4043" s="14">
        <v>1.5</v>
      </c>
      <c r="I4043" s="2" t="s">
        <v>267</v>
      </c>
      <c r="J4043" s="2" t="s">
        <v>3942</v>
      </c>
      <c r="K4043" s="2" t="s">
        <v>1452</v>
      </c>
      <c r="L4043" s="2" t="s">
        <v>5221</v>
      </c>
      <c r="M4043" s="2" t="s">
        <v>5221</v>
      </c>
      <c r="N4043" s="2" t="s">
        <v>2317</v>
      </c>
      <c r="O4043" s="14">
        <v>12500</v>
      </c>
      <c r="P4043" s="14">
        <v>98.88</v>
      </c>
      <c r="Q4043" s="14">
        <v>140</v>
      </c>
      <c r="R4043" s="14">
        <v>210</v>
      </c>
      <c r="S4043" s="2" t="s">
        <v>3711</v>
      </c>
      <c r="T4043" s="2">
        <v>1.35</v>
      </c>
      <c r="U4043" s="2">
        <v>63.1</v>
      </c>
      <c r="V4043" s="2">
        <v>60</v>
      </c>
      <c r="W4043" s="2" t="s">
        <v>7862</v>
      </c>
      <c r="X4043" s="2" t="s">
        <v>471</v>
      </c>
      <c r="Y4043" s="2">
        <v>18750</v>
      </c>
      <c r="Z4043" s="19" t="str">
        <f>HYPERLINK("https://ssdweb.co/ssdweb/hd/Vision360.html?d=925801646&amp;zoomslide=1&amp;z=1925801646&amp;ISCONFIRM=0","VIDEO")</f>
        <v>VIDEO</v>
      </c>
      <c r="AA4043" s="19" t="str">
        <f>HYPERLINK("https://ssdweb.co/ssdweb/CERTH/626427466.pdf","CERTI")</f>
        <v>CERTI</v>
      </c>
    </row>
    <row r="4044" spans="1:27" ht="15" x14ac:dyDescent="0.25">
      <c r="A4044" s="2">
        <v>4039</v>
      </c>
      <c r="B4044" s="39">
        <v>925801696</v>
      </c>
      <c r="C4044" s="28" t="str">
        <f>HYPERLINK("https://pld.live/RapDetail.aspx?STONELIST=925801696","DNA")</f>
        <v>DNA</v>
      </c>
      <c r="D4044" s="18" t="s">
        <v>711</v>
      </c>
      <c r="E4044" s="18" t="s">
        <v>5128</v>
      </c>
      <c r="F4044" s="2" t="s">
        <v>7987</v>
      </c>
      <c r="G4044" s="2" t="s">
        <v>1573</v>
      </c>
      <c r="H4044" s="14">
        <v>1.5</v>
      </c>
      <c r="I4044" s="2" t="s">
        <v>267</v>
      </c>
      <c r="J4044" s="2" t="s">
        <v>3942</v>
      </c>
      <c r="K4044" s="2" t="s">
        <v>1452</v>
      </c>
      <c r="L4044" s="2" t="s">
        <v>5221</v>
      </c>
      <c r="M4044" s="2" t="s">
        <v>5221</v>
      </c>
      <c r="N4044" s="2" t="s">
        <v>2317</v>
      </c>
      <c r="O4044" s="14">
        <v>12500</v>
      </c>
      <c r="P4044" s="14">
        <v>98.88</v>
      </c>
      <c r="Q4044" s="14">
        <v>140</v>
      </c>
      <c r="R4044" s="14">
        <v>210</v>
      </c>
      <c r="S4044" s="2" t="s">
        <v>1168</v>
      </c>
      <c r="T4044" s="2">
        <v>1.38</v>
      </c>
      <c r="U4044" s="2">
        <v>60.5</v>
      </c>
      <c r="V4044" s="2">
        <v>61</v>
      </c>
      <c r="W4044" s="2" t="s">
        <v>7862</v>
      </c>
      <c r="X4044" s="2" t="s">
        <v>471</v>
      </c>
      <c r="Y4044" s="2">
        <v>18750</v>
      </c>
      <c r="Z4044" s="19" t="str">
        <f>HYPERLINK("https://ssdweb.co/ssdweb/hd/Vision360.html?d=925801696&amp;zoomslide=1&amp;z=1925801696&amp;ISCONFIRM=0","VIDEO")</f>
        <v>VIDEO</v>
      </c>
      <c r="AA4044" s="19" t="str">
        <f>HYPERLINK("https://ssdweb.co/ssdweb/CERTH/626427503.pdf","CERTI")</f>
        <v>CERTI</v>
      </c>
    </row>
    <row r="4045" spans="1:27" ht="15" x14ac:dyDescent="0.25">
      <c r="A4045" s="2">
        <v>4040</v>
      </c>
      <c r="B4045" s="39">
        <v>925851170</v>
      </c>
      <c r="C4045" s="28" t="str">
        <f>HYPERLINK("https://pld.live/RapDetail.aspx?STONELIST=925851170","DNA")</f>
        <v>DNA</v>
      </c>
      <c r="D4045" s="18" t="s">
        <v>711</v>
      </c>
      <c r="E4045" s="18" t="s">
        <v>5128</v>
      </c>
      <c r="F4045" s="2" t="s">
        <v>7987</v>
      </c>
      <c r="G4045" s="2" t="s">
        <v>1573</v>
      </c>
      <c r="H4045" s="14">
        <v>1.5</v>
      </c>
      <c r="I4045" s="2" t="s">
        <v>267</v>
      </c>
      <c r="J4045" s="2" t="s">
        <v>3942</v>
      </c>
      <c r="K4045" s="2" t="s">
        <v>1452</v>
      </c>
      <c r="L4045" s="2" t="s">
        <v>5221</v>
      </c>
      <c r="M4045" s="2" t="s">
        <v>5221</v>
      </c>
      <c r="N4045" s="2" t="s">
        <v>2317</v>
      </c>
      <c r="O4045" s="14">
        <v>12500</v>
      </c>
      <c r="P4045" s="14">
        <v>98.88</v>
      </c>
      <c r="Q4045" s="14">
        <v>140</v>
      </c>
      <c r="R4045" s="14">
        <v>210</v>
      </c>
      <c r="S4045" s="2" t="s">
        <v>5774</v>
      </c>
      <c r="T4045" s="2">
        <v>1.48</v>
      </c>
      <c r="U4045" s="2">
        <v>60.9</v>
      </c>
      <c r="V4045" s="2">
        <v>64</v>
      </c>
      <c r="W4045" s="2" t="s">
        <v>7862</v>
      </c>
      <c r="X4045" s="2" t="s">
        <v>471</v>
      </c>
      <c r="Y4045" s="2">
        <v>18750</v>
      </c>
      <c r="Z4045" s="19" t="str">
        <f>HYPERLINK("https://ssdweb.co/ssdweb/hd/Vision360.html?d=925851170&amp;zoomslide=1&amp;z=1925851170&amp;ISCONFIRM=0","VIDEO")</f>
        <v>VIDEO</v>
      </c>
      <c r="AA4045" s="19" t="str">
        <f>HYPERLINK("https://ssdweb.co/ssdweb/CERTH/627431740.pdf","CERTI")</f>
        <v>CERTI</v>
      </c>
    </row>
    <row r="4046" spans="1:27" ht="15" x14ac:dyDescent="0.25">
      <c r="A4046" s="2">
        <v>4041</v>
      </c>
      <c r="B4046" s="39">
        <v>925732293</v>
      </c>
      <c r="C4046" s="28" t="str">
        <f>HYPERLINK("https://pld.live/RapDetail.aspx?STONELIST=925732293","DNA")</f>
        <v>DNA</v>
      </c>
      <c r="D4046" s="18" t="s">
        <v>711</v>
      </c>
      <c r="E4046" s="18" t="s">
        <v>5128</v>
      </c>
      <c r="F4046" s="2" t="s">
        <v>7987</v>
      </c>
      <c r="G4046" s="2" t="s">
        <v>1573</v>
      </c>
      <c r="H4046" s="14">
        <v>1.5</v>
      </c>
      <c r="I4046" s="2" t="s">
        <v>267</v>
      </c>
      <c r="J4046" s="2" t="s">
        <v>3942</v>
      </c>
      <c r="K4046" s="2" t="s">
        <v>1452</v>
      </c>
      <c r="L4046" s="2" t="s">
        <v>5221</v>
      </c>
      <c r="M4046" s="2" t="s">
        <v>5221</v>
      </c>
      <c r="N4046" s="2" t="s">
        <v>2317</v>
      </c>
      <c r="O4046" s="14">
        <v>12500</v>
      </c>
      <c r="P4046" s="14">
        <v>98.88</v>
      </c>
      <c r="Q4046" s="14">
        <v>140</v>
      </c>
      <c r="R4046" s="14">
        <v>210</v>
      </c>
      <c r="S4046" s="2" t="s">
        <v>7763</v>
      </c>
      <c r="T4046" s="2">
        <v>1.39</v>
      </c>
      <c r="U4046" s="2">
        <v>61.3</v>
      </c>
      <c r="V4046" s="2">
        <v>60</v>
      </c>
      <c r="W4046" s="2" t="s">
        <v>7862</v>
      </c>
      <c r="X4046" s="2" t="s">
        <v>471</v>
      </c>
      <c r="Y4046" s="2">
        <v>18750</v>
      </c>
      <c r="Z4046" s="19" t="str">
        <f>HYPERLINK("https://ssdweb.co/ssdweb/hd/Vision360.html?d=925732293&amp;zoomslide=1&amp;z=1925732293&amp;ISCONFIRM=0","VIDEO")</f>
        <v>VIDEO</v>
      </c>
      <c r="AA4046" s="19" t="str">
        <f>HYPERLINK("https://ssdweb.co/ssdweb/CERTH/627497103.pdf","CERTI")</f>
        <v>CERTI</v>
      </c>
    </row>
    <row r="4047" spans="1:27" ht="15" x14ac:dyDescent="0.25">
      <c r="A4047" s="2">
        <v>4042</v>
      </c>
      <c r="B4047" s="39">
        <v>925732157</v>
      </c>
      <c r="C4047" s="28" t="str">
        <f>HYPERLINK("https://pld.live/RapDetail.aspx?STONELIST=925732157","DNA")</f>
        <v>DNA</v>
      </c>
      <c r="D4047" s="18" t="s">
        <v>711</v>
      </c>
      <c r="E4047" s="18" t="s">
        <v>5128</v>
      </c>
      <c r="F4047" s="2" t="s">
        <v>7987</v>
      </c>
      <c r="G4047" s="2" t="s">
        <v>1573</v>
      </c>
      <c r="H4047" s="14">
        <v>1.5</v>
      </c>
      <c r="I4047" s="2" t="s">
        <v>267</v>
      </c>
      <c r="J4047" s="2" t="s">
        <v>3942</v>
      </c>
      <c r="K4047" s="2" t="s">
        <v>1452</v>
      </c>
      <c r="L4047" s="2" t="s">
        <v>5221</v>
      </c>
      <c r="M4047" s="2" t="s">
        <v>5221</v>
      </c>
      <c r="N4047" s="2" t="s">
        <v>2317</v>
      </c>
      <c r="O4047" s="14">
        <v>12500</v>
      </c>
      <c r="P4047" s="14">
        <v>98.88</v>
      </c>
      <c r="Q4047" s="14">
        <v>140</v>
      </c>
      <c r="R4047" s="14">
        <v>210</v>
      </c>
      <c r="S4047" s="2" t="s">
        <v>3110</v>
      </c>
      <c r="T4047" s="2">
        <v>1.38</v>
      </c>
      <c r="U4047" s="2">
        <v>62</v>
      </c>
      <c r="V4047" s="2">
        <v>60</v>
      </c>
      <c r="W4047" s="2" t="s">
        <v>7862</v>
      </c>
      <c r="X4047" s="2" t="s">
        <v>471</v>
      </c>
      <c r="Y4047" s="2">
        <v>18750</v>
      </c>
      <c r="Z4047" s="19" t="str">
        <f>HYPERLINK("https://ssdweb.co/ssdweb/hd/Vision360.html?d=925732157&amp;zoomslide=1&amp;z=1925732157&amp;ISCONFIRM=0","VIDEO")</f>
        <v>VIDEO</v>
      </c>
      <c r="AA4047" s="19" t="str">
        <f>HYPERLINK("https://ssdweb.co/ssdweb/CERTH/626457311.pdf","CERTI")</f>
        <v>CERTI</v>
      </c>
    </row>
    <row r="4048" spans="1:27" ht="15" x14ac:dyDescent="0.25">
      <c r="A4048" s="2">
        <v>4043</v>
      </c>
      <c r="B4048" s="39">
        <v>925732167</v>
      </c>
      <c r="C4048" s="28" t="str">
        <f>HYPERLINK("https://pld.live/RapDetail.aspx?STONELIST=925732167","DNA")</f>
        <v>DNA</v>
      </c>
      <c r="D4048" s="18" t="s">
        <v>711</v>
      </c>
      <c r="E4048" s="18" t="s">
        <v>5128</v>
      </c>
      <c r="F4048" s="2" t="s">
        <v>7987</v>
      </c>
      <c r="G4048" s="2" t="s">
        <v>1573</v>
      </c>
      <c r="H4048" s="14">
        <v>1.5</v>
      </c>
      <c r="I4048" s="2" t="s">
        <v>267</v>
      </c>
      <c r="J4048" s="2" t="s">
        <v>3942</v>
      </c>
      <c r="K4048" s="2" t="s">
        <v>1452</v>
      </c>
      <c r="L4048" s="2" t="s">
        <v>5221</v>
      </c>
      <c r="M4048" s="2" t="s">
        <v>5221</v>
      </c>
      <c r="N4048" s="2" t="s">
        <v>2317</v>
      </c>
      <c r="O4048" s="14">
        <v>12500</v>
      </c>
      <c r="P4048" s="14">
        <v>98.88</v>
      </c>
      <c r="Q4048" s="14">
        <v>140</v>
      </c>
      <c r="R4048" s="14">
        <v>210</v>
      </c>
      <c r="S4048" s="2" t="s">
        <v>5905</v>
      </c>
      <c r="T4048" s="2">
        <v>1.4</v>
      </c>
      <c r="U4048" s="2">
        <v>60.2</v>
      </c>
      <c r="V4048" s="2">
        <v>63</v>
      </c>
      <c r="W4048" s="2" t="s">
        <v>7862</v>
      </c>
      <c r="X4048" s="2" t="s">
        <v>471</v>
      </c>
      <c r="Y4048" s="2">
        <v>18750</v>
      </c>
      <c r="Z4048" s="19" t="str">
        <f>HYPERLINK("https://ssdweb.co/ssdweb/hd/Vision360.html?d=925732167&amp;zoomslide=1&amp;z=1925732167&amp;ISCONFIRM=0","VIDEO")</f>
        <v>VIDEO</v>
      </c>
      <c r="AA4048" s="19" t="str">
        <f>HYPERLINK("https://ssdweb.co/ssdweb/CERTH/626457298.pdf","CERTI")</f>
        <v>CERTI</v>
      </c>
    </row>
    <row r="4049" spans="1:27" ht="15" x14ac:dyDescent="0.25">
      <c r="A4049" s="2">
        <v>4044</v>
      </c>
      <c r="B4049" s="39">
        <v>925861562</v>
      </c>
      <c r="C4049" s="28" t="str">
        <f>HYPERLINK("https://pld.live/RapDetail.aspx?STONELIST=925861562","DNA")</f>
        <v>DNA</v>
      </c>
      <c r="D4049" s="18" t="s">
        <v>711</v>
      </c>
      <c r="E4049" s="18" t="s">
        <v>5128</v>
      </c>
      <c r="F4049" s="2" t="s">
        <v>7987</v>
      </c>
      <c r="G4049" s="2" t="s">
        <v>1573</v>
      </c>
      <c r="H4049" s="14">
        <v>1.5</v>
      </c>
      <c r="I4049" s="2" t="s">
        <v>267</v>
      </c>
      <c r="J4049" s="2" t="s">
        <v>3942</v>
      </c>
      <c r="K4049" s="2" t="s">
        <v>1452</v>
      </c>
      <c r="L4049" s="2" t="s">
        <v>5221</v>
      </c>
      <c r="M4049" s="2" t="s">
        <v>5221</v>
      </c>
      <c r="N4049" s="2" t="s">
        <v>2317</v>
      </c>
      <c r="O4049" s="14">
        <v>12500</v>
      </c>
      <c r="P4049" s="14">
        <v>98.88</v>
      </c>
      <c r="Q4049" s="14">
        <v>140</v>
      </c>
      <c r="R4049" s="14">
        <v>210</v>
      </c>
      <c r="S4049" s="2" t="s">
        <v>4979</v>
      </c>
      <c r="T4049" s="2">
        <v>1.39</v>
      </c>
      <c r="U4049" s="2">
        <v>62.8</v>
      </c>
      <c r="V4049" s="2">
        <v>59</v>
      </c>
      <c r="W4049" s="2" t="s">
        <v>7862</v>
      </c>
      <c r="X4049" s="2" t="s">
        <v>471</v>
      </c>
      <c r="Y4049" s="2">
        <v>18750</v>
      </c>
      <c r="Z4049" s="19" t="str">
        <f>HYPERLINK("https://ssdweb.co/ssdweb/hd/Vision360.html?d=925861562&amp;zoomslide=1&amp;z=1925861562&amp;ISCONFIRM=0","VIDEO")</f>
        <v>VIDEO</v>
      </c>
      <c r="AA4049" s="19" t="str">
        <f>HYPERLINK("https://ssdweb.co/ssdweb/CERTH/627415186.pdf","CERTI")</f>
        <v>CERTI</v>
      </c>
    </row>
    <row r="4050" spans="1:27" ht="15" x14ac:dyDescent="0.25">
      <c r="A4050" s="2">
        <v>4045</v>
      </c>
      <c r="B4050" s="39">
        <v>925731979</v>
      </c>
      <c r="C4050" s="28" t="str">
        <f>HYPERLINK("https://pld.live/RapDetail.aspx?STONELIST=925731979","DNA")</f>
        <v>DNA</v>
      </c>
      <c r="D4050" s="18" t="s">
        <v>711</v>
      </c>
      <c r="E4050" s="18" t="s">
        <v>5128</v>
      </c>
      <c r="F4050" s="2" t="s">
        <v>7987</v>
      </c>
      <c r="G4050" s="2" t="s">
        <v>1573</v>
      </c>
      <c r="H4050" s="14">
        <v>1.5</v>
      </c>
      <c r="I4050" s="2" t="s">
        <v>267</v>
      </c>
      <c r="J4050" s="2" t="s">
        <v>3942</v>
      </c>
      <c r="K4050" s="2" t="s">
        <v>1452</v>
      </c>
      <c r="L4050" s="2" t="s">
        <v>5221</v>
      </c>
      <c r="M4050" s="2" t="s">
        <v>5221</v>
      </c>
      <c r="N4050" s="2" t="s">
        <v>2317</v>
      </c>
      <c r="O4050" s="14">
        <v>12500</v>
      </c>
      <c r="P4050" s="14">
        <v>98.88</v>
      </c>
      <c r="Q4050" s="14">
        <v>140</v>
      </c>
      <c r="R4050" s="14">
        <v>210</v>
      </c>
      <c r="S4050" s="2" t="s">
        <v>3411</v>
      </c>
      <c r="T4050" s="2">
        <v>1.38</v>
      </c>
      <c r="U4050" s="2">
        <v>62.5</v>
      </c>
      <c r="V4050" s="2">
        <v>62</v>
      </c>
      <c r="W4050" s="2" t="s">
        <v>7862</v>
      </c>
      <c r="X4050" s="2" t="s">
        <v>471</v>
      </c>
      <c r="Y4050" s="2">
        <v>18750</v>
      </c>
      <c r="Z4050" s="19" t="str">
        <f>HYPERLINK("https://ssdweb.co/ssdweb/hd/Vision360.html?d=925731979&amp;zoomslide=1&amp;z=1925731979&amp;ISCONFIRM=0","VIDEO")</f>
        <v>VIDEO</v>
      </c>
      <c r="AA4050" s="19" t="str">
        <f>HYPERLINK("https://ssdweb.co/ssdweb/CERTH/625432316.pdf","CERTI")</f>
        <v>CERTI</v>
      </c>
    </row>
    <row r="4051" spans="1:27" ht="15" x14ac:dyDescent="0.25">
      <c r="A4051" s="2">
        <v>4046</v>
      </c>
      <c r="B4051" s="39">
        <v>925861660</v>
      </c>
      <c r="C4051" s="28" t="str">
        <f>HYPERLINK("https://pld.live/RapDetail.aspx?STONELIST=925861660","DNA")</f>
        <v>DNA</v>
      </c>
      <c r="D4051" s="18" t="s">
        <v>711</v>
      </c>
      <c r="E4051" s="18" t="s">
        <v>5128</v>
      </c>
      <c r="F4051" s="2" t="s">
        <v>7987</v>
      </c>
      <c r="G4051" s="2" t="s">
        <v>1573</v>
      </c>
      <c r="H4051" s="14">
        <v>1.5</v>
      </c>
      <c r="I4051" s="2" t="s">
        <v>267</v>
      </c>
      <c r="J4051" s="2" t="s">
        <v>3942</v>
      </c>
      <c r="K4051" s="2" t="s">
        <v>1452</v>
      </c>
      <c r="L4051" s="2" t="s">
        <v>5221</v>
      </c>
      <c r="M4051" s="2" t="s">
        <v>5221</v>
      </c>
      <c r="N4051" s="2" t="s">
        <v>2317</v>
      </c>
      <c r="O4051" s="14">
        <v>12500</v>
      </c>
      <c r="P4051" s="14">
        <v>98.88</v>
      </c>
      <c r="Q4051" s="14">
        <v>140</v>
      </c>
      <c r="R4051" s="14">
        <v>210</v>
      </c>
      <c r="S4051" s="2" t="s">
        <v>5588</v>
      </c>
      <c r="T4051" s="2">
        <v>1.38</v>
      </c>
      <c r="U4051" s="2">
        <v>63</v>
      </c>
      <c r="V4051" s="2">
        <v>59</v>
      </c>
      <c r="W4051" s="2" t="s">
        <v>7862</v>
      </c>
      <c r="X4051" s="2" t="s">
        <v>471</v>
      </c>
      <c r="Y4051" s="2">
        <v>18750</v>
      </c>
      <c r="Z4051" s="19" t="str">
        <f>HYPERLINK("https://ssdweb.co/ssdweb/hd/Vision360.html?d=925861660&amp;zoomslide=1&amp;z=1925861660&amp;ISCONFIRM=0","VIDEO")</f>
        <v>VIDEO</v>
      </c>
      <c r="AA4051" s="19" t="str">
        <f>HYPERLINK("https://ssdweb.co/ssdweb/CERTH/627431751.pdf","CERTI")</f>
        <v>CERTI</v>
      </c>
    </row>
    <row r="4052" spans="1:27" ht="15" x14ac:dyDescent="0.25">
      <c r="A4052" s="2">
        <v>4047</v>
      </c>
      <c r="B4052" s="39">
        <v>925890487</v>
      </c>
      <c r="C4052" s="28" t="str">
        <f>HYPERLINK("https://pld.live/RapDetail.aspx?STONELIST=925890487","DNA")</f>
        <v>DNA</v>
      </c>
      <c r="D4052" s="18" t="s">
        <v>711</v>
      </c>
      <c r="E4052" s="18" t="s">
        <v>5128</v>
      </c>
      <c r="F4052" s="2" t="s">
        <v>7987</v>
      </c>
      <c r="G4052" s="2" t="s">
        <v>1573</v>
      </c>
      <c r="H4052" s="14">
        <v>1.5</v>
      </c>
      <c r="I4052" s="2" t="s">
        <v>267</v>
      </c>
      <c r="J4052" s="2" t="s">
        <v>3942</v>
      </c>
      <c r="K4052" s="2" t="s">
        <v>1452</v>
      </c>
      <c r="L4052" s="2" t="s">
        <v>5221</v>
      </c>
      <c r="M4052" s="2" t="s">
        <v>5221</v>
      </c>
      <c r="N4052" s="2" t="s">
        <v>2317</v>
      </c>
      <c r="O4052" s="14">
        <v>12500</v>
      </c>
      <c r="P4052" s="14">
        <v>98.88</v>
      </c>
      <c r="Q4052" s="14">
        <v>140</v>
      </c>
      <c r="R4052" s="14">
        <v>210</v>
      </c>
      <c r="S4052" s="2" t="s">
        <v>463</v>
      </c>
      <c r="T4052" s="2">
        <v>1.38</v>
      </c>
      <c r="U4052" s="2">
        <v>62.3</v>
      </c>
      <c r="V4052" s="2">
        <v>55</v>
      </c>
      <c r="W4052" s="2" t="s">
        <v>7862</v>
      </c>
      <c r="X4052" s="2" t="s">
        <v>471</v>
      </c>
      <c r="Y4052" s="2">
        <v>18750</v>
      </c>
      <c r="Z4052" s="19" t="str">
        <f>HYPERLINK("https://ssdweb.co/ssdweb/hd/Vision360.html?d=925890487&amp;zoomslide=1&amp;z=1925890487&amp;ISCONFIRM=0","VIDEO")</f>
        <v>VIDEO</v>
      </c>
      <c r="AA4052" s="19" t="str">
        <f>HYPERLINK("https://ssdweb.co/ssdweb/CERTH/627431767.pdf","CERTI")</f>
        <v>CERTI</v>
      </c>
    </row>
    <row r="4053" spans="1:27" ht="15" x14ac:dyDescent="0.25">
      <c r="A4053" s="2">
        <v>4048</v>
      </c>
      <c r="B4053" s="39">
        <v>925802072</v>
      </c>
      <c r="C4053" s="28" t="str">
        <f>HYPERLINK("https://pld.live/RapDetail.aspx?STONELIST=925802072","DNA")</f>
        <v>DNA</v>
      </c>
      <c r="D4053" s="18" t="s">
        <v>711</v>
      </c>
      <c r="E4053" s="18" t="s">
        <v>5128</v>
      </c>
      <c r="F4053" s="2" t="s">
        <v>7987</v>
      </c>
      <c r="G4053" s="2" t="s">
        <v>1573</v>
      </c>
      <c r="H4053" s="14">
        <v>1.5</v>
      </c>
      <c r="I4053" s="2" t="s">
        <v>267</v>
      </c>
      <c r="J4053" s="2" t="s">
        <v>3942</v>
      </c>
      <c r="K4053" s="2" t="s">
        <v>1452</v>
      </c>
      <c r="L4053" s="2" t="s">
        <v>5221</v>
      </c>
      <c r="M4053" s="2" t="s">
        <v>5221</v>
      </c>
      <c r="N4053" s="2" t="s">
        <v>2317</v>
      </c>
      <c r="O4053" s="14">
        <v>12500</v>
      </c>
      <c r="P4053" s="14">
        <v>98.88</v>
      </c>
      <c r="Q4053" s="14">
        <v>140</v>
      </c>
      <c r="R4053" s="14">
        <v>210</v>
      </c>
      <c r="S4053" s="2" t="s">
        <v>4163</v>
      </c>
      <c r="T4053" s="2">
        <v>1.38</v>
      </c>
      <c r="U4053" s="2">
        <v>62.2</v>
      </c>
      <c r="V4053" s="2">
        <v>59</v>
      </c>
      <c r="W4053" s="2" t="s">
        <v>7862</v>
      </c>
      <c r="X4053" s="2" t="s">
        <v>471</v>
      </c>
      <c r="Y4053" s="2">
        <v>18750</v>
      </c>
      <c r="Z4053" s="19" t="str">
        <f>HYPERLINK("https://ssdweb.co/ssdweb/hd/Vision360.html?d=925802072&amp;zoomslide=1&amp;z=1925802072&amp;ISCONFIRM=0","VIDEO")</f>
        <v>VIDEO</v>
      </c>
      <c r="AA4053" s="19" t="str">
        <f>HYPERLINK("https://ssdweb.co/ssdweb/CERTH/628427073.pdf","CERTI")</f>
        <v>CERTI</v>
      </c>
    </row>
    <row r="4054" spans="1:27" ht="15" x14ac:dyDescent="0.25">
      <c r="A4054" s="2">
        <v>4049</v>
      </c>
      <c r="B4054" s="39">
        <v>925801852</v>
      </c>
      <c r="C4054" s="28" t="str">
        <f>HYPERLINK("https://pld.live/RapDetail.aspx?STONELIST=925801852","DNA")</f>
        <v>DNA</v>
      </c>
      <c r="D4054" s="18" t="s">
        <v>711</v>
      </c>
      <c r="E4054" s="18" t="s">
        <v>5128</v>
      </c>
      <c r="F4054" s="2" t="s">
        <v>7987</v>
      </c>
      <c r="G4054" s="2" t="s">
        <v>1573</v>
      </c>
      <c r="H4054" s="14">
        <v>1.5</v>
      </c>
      <c r="I4054" s="2" t="s">
        <v>267</v>
      </c>
      <c r="J4054" s="2" t="s">
        <v>3942</v>
      </c>
      <c r="K4054" s="2" t="s">
        <v>1452</v>
      </c>
      <c r="L4054" s="2" t="s">
        <v>5221</v>
      </c>
      <c r="M4054" s="2" t="s">
        <v>5221</v>
      </c>
      <c r="N4054" s="2" t="s">
        <v>2317</v>
      </c>
      <c r="O4054" s="14">
        <v>12500</v>
      </c>
      <c r="P4054" s="14">
        <v>98.88</v>
      </c>
      <c r="Q4054" s="14">
        <v>140</v>
      </c>
      <c r="R4054" s="14">
        <v>210</v>
      </c>
      <c r="S4054" s="2" t="s">
        <v>4288</v>
      </c>
      <c r="T4054" s="2">
        <v>1.38</v>
      </c>
      <c r="U4054" s="2">
        <v>61.4</v>
      </c>
      <c r="V4054" s="2">
        <v>57</v>
      </c>
      <c r="W4054" s="2" t="s">
        <v>7862</v>
      </c>
      <c r="X4054" s="2" t="s">
        <v>471</v>
      </c>
      <c r="Y4054" s="2">
        <v>18750</v>
      </c>
      <c r="Z4054" s="19" t="str">
        <f>HYPERLINK("https://ssdweb.co/ssdweb/hd/Vision360.html?d=925801852&amp;zoomslide=1&amp;z=1925801852&amp;ISCONFIRM=0","VIDEO")</f>
        <v>VIDEO</v>
      </c>
      <c r="AA4054" s="19" t="str">
        <f>HYPERLINK("https://ssdweb.co/ssdweb/CERTH/627471573.pdf","CERTI")</f>
        <v>CERTI</v>
      </c>
    </row>
    <row r="4055" spans="1:27" ht="15" x14ac:dyDescent="0.25">
      <c r="A4055" s="2">
        <v>4050</v>
      </c>
      <c r="B4055" s="39">
        <v>925861809</v>
      </c>
      <c r="C4055" s="28" t="str">
        <f>HYPERLINK("https://pld.live/RapDetail.aspx?STONELIST=925861809","DNA")</f>
        <v>DNA</v>
      </c>
      <c r="D4055" s="18" t="s">
        <v>711</v>
      </c>
      <c r="E4055" s="18" t="s">
        <v>5128</v>
      </c>
      <c r="F4055" s="2" t="s">
        <v>7987</v>
      </c>
      <c r="G4055" s="2" t="s">
        <v>1573</v>
      </c>
      <c r="H4055" s="14">
        <v>1.5</v>
      </c>
      <c r="I4055" s="2" t="s">
        <v>267</v>
      </c>
      <c r="J4055" s="2" t="s">
        <v>3942</v>
      </c>
      <c r="K4055" s="2" t="s">
        <v>1452</v>
      </c>
      <c r="L4055" s="2" t="s">
        <v>5221</v>
      </c>
      <c r="M4055" s="2" t="s">
        <v>5221</v>
      </c>
      <c r="N4055" s="2" t="s">
        <v>2317</v>
      </c>
      <c r="O4055" s="14">
        <v>12500</v>
      </c>
      <c r="P4055" s="14">
        <v>98.88</v>
      </c>
      <c r="Q4055" s="14">
        <v>140</v>
      </c>
      <c r="R4055" s="14">
        <v>210</v>
      </c>
      <c r="S4055" s="2" t="s">
        <v>6860</v>
      </c>
      <c r="T4055" s="2">
        <v>1.38</v>
      </c>
      <c r="U4055" s="2">
        <v>62</v>
      </c>
      <c r="V4055" s="2">
        <v>58</v>
      </c>
      <c r="W4055" s="2" t="s">
        <v>7862</v>
      </c>
      <c r="X4055" s="2" t="s">
        <v>471</v>
      </c>
      <c r="Y4055" s="2">
        <v>18750</v>
      </c>
      <c r="Z4055" s="19" t="str">
        <f>HYPERLINK("https://ssdweb.co/ssdweb/hd/Vision360.html?d=925861809&amp;zoomslide=1&amp;z=1925861809&amp;ISCONFIRM=0","VIDEO")</f>
        <v>VIDEO</v>
      </c>
      <c r="AA4055" s="19" t="str">
        <f>HYPERLINK("https://ssdweb.co/ssdweb/CERTH/627410473.pdf","CERTI")</f>
        <v>CERTI</v>
      </c>
    </row>
    <row r="4056" spans="1:27" ht="15" x14ac:dyDescent="0.25">
      <c r="A4056" s="2">
        <v>4051</v>
      </c>
      <c r="B4056" s="39">
        <v>925802039</v>
      </c>
      <c r="C4056" s="28" t="str">
        <f>HYPERLINK("https://pld.live/RapDetail.aspx?STONELIST=925802039","DNA")</f>
        <v>DNA</v>
      </c>
      <c r="D4056" s="18" t="s">
        <v>711</v>
      </c>
      <c r="E4056" s="18" t="s">
        <v>5128</v>
      </c>
      <c r="F4056" s="2" t="s">
        <v>7987</v>
      </c>
      <c r="G4056" s="2" t="s">
        <v>1573</v>
      </c>
      <c r="H4056" s="14">
        <v>1.5</v>
      </c>
      <c r="I4056" s="2" t="s">
        <v>267</v>
      </c>
      <c r="J4056" s="2" t="s">
        <v>3942</v>
      </c>
      <c r="K4056" s="2" t="s">
        <v>1452</v>
      </c>
      <c r="L4056" s="2" t="s">
        <v>5221</v>
      </c>
      <c r="M4056" s="2" t="s">
        <v>5221</v>
      </c>
      <c r="N4056" s="2" t="s">
        <v>2317</v>
      </c>
      <c r="O4056" s="14">
        <v>12500</v>
      </c>
      <c r="P4056" s="14">
        <v>98.88</v>
      </c>
      <c r="Q4056" s="14">
        <v>140</v>
      </c>
      <c r="R4056" s="14">
        <v>210</v>
      </c>
      <c r="S4056" s="2" t="s">
        <v>6410</v>
      </c>
      <c r="T4056" s="2">
        <v>1.4</v>
      </c>
      <c r="U4056" s="2">
        <v>62.5</v>
      </c>
      <c r="V4056" s="2">
        <v>61</v>
      </c>
      <c r="W4056" s="2" t="s">
        <v>7862</v>
      </c>
      <c r="X4056" s="2" t="s">
        <v>471</v>
      </c>
      <c r="Y4056" s="2">
        <v>18750</v>
      </c>
      <c r="Z4056" s="19" t="str">
        <f>HYPERLINK("https://ssdweb.co/ssdweb/hd/Vision360.html?d=925802039&amp;zoomslide=1&amp;z=1925802039&amp;ISCONFIRM=0","VIDEO")</f>
        <v>VIDEO</v>
      </c>
      <c r="AA4056" s="19" t="str">
        <f>HYPERLINK("https://ssdweb.co/ssdweb/CERTH/627431848.pdf","CERTI")</f>
        <v>CERTI</v>
      </c>
    </row>
    <row r="4057" spans="1:27" ht="15" x14ac:dyDescent="0.25">
      <c r="A4057" s="2">
        <v>4052</v>
      </c>
      <c r="B4057" s="39">
        <v>925802009</v>
      </c>
      <c r="C4057" s="28" t="str">
        <f>HYPERLINK("https://pld.live/RapDetail.aspx?STONELIST=925802009","DNA")</f>
        <v>DNA</v>
      </c>
      <c r="D4057" s="18" t="s">
        <v>711</v>
      </c>
      <c r="E4057" s="18" t="s">
        <v>5128</v>
      </c>
      <c r="F4057" s="2" t="s">
        <v>7987</v>
      </c>
      <c r="G4057" s="2" t="s">
        <v>1573</v>
      </c>
      <c r="H4057" s="14">
        <v>1.5</v>
      </c>
      <c r="I4057" s="2" t="s">
        <v>267</v>
      </c>
      <c r="J4057" s="2" t="s">
        <v>3942</v>
      </c>
      <c r="K4057" s="2" t="s">
        <v>1452</v>
      </c>
      <c r="L4057" s="2" t="s">
        <v>5221</v>
      </c>
      <c r="M4057" s="2" t="s">
        <v>5221</v>
      </c>
      <c r="N4057" s="2" t="s">
        <v>2317</v>
      </c>
      <c r="O4057" s="14">
        <v>12500</v>
      </c>
      <c r="P4057" s="14">
        <v>98.88</v>
      </c>
      <c r="Q4057" s="14">
        <v>140</v>
      </c>
      <c r="R4057" s="14">
        <v>210</v>
      </c>
      <c r="S4057" s="2" t="s">
        <v>7083</v>
      </c>
      <c r="T4057" s="2">
        <v>1.38</v>
      </c>
      <c r="U4057" s="2">
        <v>59.6</v>
      </c>
      <c r="V4057" s="2">
        <v>58</v>
      </c>
      <c r="W4057" s="2" t="s">
        <v>7862</v>
      </c>
      <c r="X4057" s="2" t="s">
        <v>471</v>
      </c>
      <c r="Y4057" s="2">
        <v>18750</v>
      </c>
      <c r="Z4057" s="19" t="str">
        <f>HYPERLINK("https://ssdweb.co/ssdweb/hd/Vision360.html?d=925802009&amp;zoomslide=1&amp;z=1925802009&amp;ISCONFIRM=0","VIDEO")</f>
        <v>VIDEO</v>
      </c>
      <c r="AA4057" s="19" t="str">
        <f>HYPERLINK("https://ssdweb.co/ssdweb/CERTH/627415183.pdf","CERTI")</f>
        <v>CERTI</v>
      </c>
    </row>
    <row r="4058" spans="1:27" ht="15" x14ac:dyDescent="0.25">
      <c r="A4058" s="2">
        <v>4053</v>
      </c>
      <c r="B4058" s="39">
        <v>925951251</v>
      </c>
      <c r="C4058" s="28" t="str">
        <f>HYPERLINK("https://pld.live/RapDetail.aspx?STONELIST=925951251","DNA")</f>
        <v>DNA</v>
      </c>
      <c r="D4058" s="18" t="s">
        <v>711</v>
      </c>
      <c r="E4058" s="18" t="s">
        <v>5128</v>
      </c>
      <c r="F4058" s="2" t="s">
        <v>7987</v>
      </c>
      <c r="G4058" s="2" t="s">
        <v>1573</v>
      </c>
      <c r="H4058" s="14">
        <v>1.5</v>
      </c>
      <c r="I4058" s="2" t="s">
        <v>267</v>
      </c>
      <c r="J4058" s="2" t="s">
        <v>3942</v>
      </c>
      <c r="K4058" s="2" t="s">
        <v>1452</v>
      </c>
      <c r="L4058" s="2" t="s">
        <v>5221</v>
      </c>
      <c r="M4058" s="2" t="s">
        <v>5221</v>
      </c>
      <c r="N4058" s="2" t="s">
        <v>2317</v>
      </c>
      <c r="O4058" s="14">
        <v>12500</v>
      </c>
      <c r="P4058" s="14">
        <v>98.88</v>
      </c>
      <c r="Q4058" s="14">
        <v>140</v>
      </c>
      <c r="R4058" s="14">
        <v>210</v>
      </c>
      <c r="S4058" s="2" t="s">
        <v>7865</v>
      </c>
      <c r="T4058" s="2">
        <v>1.38</v>
      </c>
      <c r="U4058" s="2">
        <v>60.8</v>
      </c>
      <c r="V4058" s="2">
        <v>60</v>
      </c>
      <c r="W4058" s="2" t="s">
        <v>7862</v>
      </c>
      <c r="X4058" s="2" t="s">
        <v>471</v>
      </c>
      <c r="Y4058" s="2">
        <v>18750</v>
      </c>
      <c r="Z4058" s="19" t="str">
        <f>HYPERLINK("https://ssdweb.co/ssdweb/hd/Vision360.html?d=925951251&amp;zoomslide=1&amp;z=1925951251&amp;ISCONFIRM=0","VIDEO")</f>
        <v>VIDEO</v>
      </c>
      <c r="AA4058" s="19" t="str">
        <f>HYPERLINK("https://ssdweb.co/ssdweb/CERTH/629478939.pdf","CERTI")</f>
        <v>CERTI</v>
      </c>
    </row>
    <row r="4059" spans="1:27" ht="15" x14ac:dyDescent="0.25">
      <c r="A4059" s="2">
        <v>4054</v>
      </c>
      <c r="B4059" s="39">
        <v>925721963</v>
      </c>
      <c r="C4059" s="28" t="str">
        <f>HYPERLINK("https://pld.live/RapDetail.aspx?STONELIST=925721963","DNA")</f>
        <v>DNA</v>
      </c>
      <c r="D4059" s="18" t="s">
        <v>711</v>
      </c>
      <c r="E4059" s="18" t="s">
        <v>5128</v>
      </c>
      <c r="F4059" s="2" t="s">
        <v>7987</v>
      </c>
      <c r="G4059" s="2" t="s">
        <v>1573</v>
      </c>
      <c r="H4059" s="14">
        <v>1.5</v>
      </c>
      <c r="I4059" s="2" t="s">
        <v>267</v>
      </c>
      <c r="J4059" s="2" t="s">
        <v>3942</v>
      </c>
      <c r="K4059" s="2" t="s">
        <v>1452</v>
      </c>
      <c r="L4059" s="2" t="s">
        <v>5221</v>
      </c>
      <c r="M4059" s="2" t="s">
        <v>5221</v>
      </c>
      <c r="N4059" s="2" t="s">
        <v>2317</v>
      </c>
      <c r="O4059" s="14">
        <v>12500</v>
      </c>
      <c r="P4059" s="14">
        <v>98.88</v>
      </c>
      <c r="Q4059" s="14">
        <v>140</v>
      </c>
      <c r="R4059" s="14">
        <v>210</v>
      </c>
      <c r="S4059" s="2" t="s">
        <v>914</v>
      </c>
      <c r="T4059" s="2">
        <v>1.39</v>
      </c>
      <c r="U4059" s="2">
        <v>62</v>
      </c>
      <c r="V4059" s="2">
        <v>56</v>
      </c>
      <c r="W4059" s="2" t="s">
        <v>7862</v>
      </c>
      <c r="X4059" s="2" t="s">
        <v>471</v>
      </c>
      <c r="Y4059" s="2">
        <v>18750</v>
      </c>
      <c r="Z4059" s="19" t="str">
        <f>HYPERLINK("https://ssdweb.co/ssdweb/hd/Vision360.html?d=925721963&amp;zoomslide=1&amp;z=1925721963&amp;ISCONFIRM=0","VIDEO")</f>
        <v>VIDEO</v>
      </c>
      <c r="AA4059" s="19" t="str">
        <f>HYPERLINK("https://ssdweb.co/ssdweb/CERTH/624420571.pdf","CERTI")</f>
        <v>CERTI</v>
      </c>
    </row>
    <row r="4060" spans="1:27" ht="15" x14ac:dyDescent="0.25">
      <c r="A4060" s="2">
        <v>4055</v>
      </c>
      <c r="B4060" s="39">
        <v>925621900</v>
      </c>
      <c r="C4060" s="28" t="str">
        <f>HYPERLINK("https://pld.live/RapDetail.aspx?STONELIST=925621900","DNA")</f>
        <v>DNA</v>
      </c>
      <c r="D4060" s="18" t="s">
        <v>711</v>
      </c>
      <c r="E4060" s="18" t="s">
        <v>5128</v>
      </c>
      <c r="F4060" s="2" t="s">
        <v>7987</v>
      </c>
      <c r="G4060" s="2" t="s">
        <v>1573</v>
      </c>
      <c r="H4060" s="14">
        <v>1.5</v>
      </c>
      <c r="I4060" s="2" t="s">
        <v>267</v>
      </c>
      <c r="J4060" s="2" t="s">
        <v>3942</v>
      </c>
      <c r="K4060" s="2" t="s">
        <v>1452</v>
      </c>
      <c r="L4060" s="2" t="s">
        <v>5221</v>
      </c>
      <c r="M4060" s="2" t="s">
        <v>5221</v>
      </c>
      <c r="N4060" s="2" t="s">
        <v>2317</v>
      </c>
      <c r="O4060" s="14">
        <v>12500</v>
      </c>
      <c r="P4060" s="14">
        <v>98.88</v>
      </c>
      <c r="Q4060" s="14">
        <v>140</v>
      </c>
      <c r="R4060" s="14">
        <v>210</v>
      </c>
      <c r="S4060" s="2" t="s">
        <v>656</v>
      </c>
      <c r="T4060" s="2">
        <v>1.39</v>
      </c>
      <c r="U4060" s="2">
        <v>60.3</v>
      </c>
      <c r="V4060" s="2">
        <v>61</v>
      </c>
      <c r="W4060" s="2" t="s">
        <v>7862</v>
      </c>
      <c r="X4060" s="2" t="s">
        <v>471</v>
      </c>
      <c r="Y4060" s="2">
        <v>18750</v>
      </c>
      <c r="Z4060" s="19" t="str">
        <f>HYPERLINK("https://ssdweb.co/ssdweb/hd/Vision360.html?d=925621900&amp;zoomslide=1&amp;z=1925621900&amp;ISCONFIRM=0","VIDEO")</f>
        <v>VIDEO</v>
      </c>
      <c r="AA4060" s="19" t="str">
        <f>HYPERLINK("https://ssdweb.co/ssdweb/CERTH/623446056.pdf","CERTI")</f>
        <v>CERTI</v>
      </c>
    </row>
    <row r="4061" spans="1:27" ht="15" x14ac:dyDescent="0.25">
      <c r="A4061" s="2">
        <v>4056</v>
      </c>
      <c r="B4061" s="39">
        <v>925721175</v>
      </c>
      <c r="C4061" s="28" t="str">
        <f>HYPERLINK("https://pld.live/RapDetail.aspx?STONELIST=925721175","DNA")</f>
        <v>DNA</v>
      </c>
      <c r="D4061" s="18" t="s">
        <v>711</v>
      </c>
      <c r="E4061" s="18" t="s">
        <v>5128</v>
      </c>
      <c r="F4061" s="2" t="s">
        <v>7987</v>
      </c>
      <c r="G4061" s="2" t="s">
        <v>1573</v>
      </c>
      <c r="H4061" s="14">
        <v>1.5</v>
      </c>
      <c r="I4061" s="2" t="s">
        <v>267</v>
      </c>
      <c r="J4061" s="2" t="s">
        <v>3942</v>
      </c>
      <c r="K4061" s="2" t="s">
        <v>1452</v>
      </c>
      <c r="L4061" s="2" t="s">
        <v>5221</v>
      </c>
      <c r="M4061" s="2" t="s">
        <v>5221</v>
      </c>
      <c r="N4061" s="2" t="s">
        <v>2317</v>
      </c>
      <c r="O4061" s="14">
        <v>12500</v>
      </c>
      <c r="P4061" s="14">
        <v>98.88</v>
      </c>
      <c r="Q4061" s="14">
        <v>140</v>
      </c>
      <c r="R4061" s="14">
        <v>210</v>
      </c>
      <c r="S4061" s="2" t="s">
        <v>6114</v>
      </c>
      <c r="T4061" s="2">
        <v>1.39</v>
      </c>
      <c r="U4061" s="2">
        <v>60</v>
      </c>
      <c r="V4061" s="2">
        <v>59</v>
      </c>
      <c r="W4061" s="2" t="s">
        <v>7862</v>
      </c>
      <c r="X4061" s="2" t="s">
        <v>471</v>
      </c>
      <c r="Y4061" s="2">
        <v>18750</v>
      </c>
      <c r="Z4061" s="19" t="str">
        <f>HYPERLINK("https://ssdweb.co/ssdweb/hd/Vision360.html?d=925721175&amp;zoomslide=1&amp;z=1925721175&amp;ISCONFIRM=0","VIDEO")</f>
        <v>VIDEO</v>
      </c>
      <c r="AA4061" s="19" t="str">
        <f>HYPERLINK("https://ssdweb.co/ssdweb/CERTH/623446167.pdf","CERTI")</f>
        <v>CERTI</v>
      </c>
    </row>
    <row r="4062" spans="1:27" ht="15" x14ac:dyDescent="0.25">
      <c r="A4062" s="2">
        <v>4057</v>
      </c>
      <c r="B4062" s="39">
        <v>926100612</v>
      </c>
      <c r="C4062" s="28" t="str">
        <f>HYPERLINK("https://pld.live/RapDetail.aspx?STONELIST=926100612","DNA")</f>
        <v>DNA</v>
      </c>
      <c r="D4062" s="18" t="s">
        <v>711</v>
      </c>
      <c r="E4062" s="18" t="s">
        <v>5128</v>
      </c>
      <c r="F4062" s="2" t="s">
        <v>7987</v>
      </c>
      <c r="G4062" s="2" t="s">
        <v>1573</v>
      </c>
      <c r="H4062" s="14">
        <v>1.5</v>
      </c>
      <c r="I4062" s="2" t="s">
        <v>267</v>
      </c>
      <c r="J4062" s="2" t="s">
        <v>3942</v>
      </c>
      <c r="K4062" s="2" t="s">
        <v>1452</v>
      </c>
      <c r="L4062" s="2" t="s">
        <v>5221</v>
      </c>
      <c r="M4062" s="2" t="s">
        <v>5221</v>
      </c>
      <c r="N4062" s="2" t="s">
        <v>2317</v>
      </c>
      <c r="O4062" s="14">
        <v>12500</v>
      </c>
      <c r="P4062" s="14">
        <v>98.88</v>
      </c>
      <c r="Q4062" s="14">
        <v>140</v>
      </c>
      <c r="R4062" s="14">
        <v>210</v>
      </c>
      <c r="S4062" s="2" t="s">
        <v>1828</v>
      </c>
      <c r="T4062" s="2">
        <v>1.38</v>
      </c>
      <c r="U4062" s="2">
        <v>61.2</v>
      </c>
      <c r="V4062" s="2">
        <v>62</v>
      </c>
      <c r="W4062" s="2" t="s">
        <v>7862</v>
      </c>
      <c r="X4062" s="2" t="s">
        <v>471</v>
      </c>
      <c r="Y4062" s="2">
        <v>18750</v>
      </c>
      <c r="Z4062" s="19" t="str">
        <f>HYPERLINK("https://ssdweb.co/ssdweb/hd/Vision360.html?d=926100612&amp;zoomslide=1&amp;z=1926100612&amp;ISCONFIRM=0","VIDEO")</f>
        <v>VIDEO</v>
      </c>
      <c r="AA4062" s="19" t="str">
        <f>HYPERLINK("https://ssdweb.co/ssdweb/CERTH/631430352.pdf","CERTI")</f>
        <v>CERTI</v>
      </c>
    </row>
    <row r="4063" spans="1:27" ht="15" x14ac:dyDescent="0.25">
      <c r="A4063" s="2">
        <v>4058</v>
      </c>
      <c r="B4063" s="39">
        <v>925971166</v>
      </c>
      <c r="C4063" s="28" t="str">
        <f>HYPERLINK("https://pld.live/RapDetail.aspx?STONELIST=925971166","DNA")</f>
        <v>DNA</v>
      </c>
      <c r="D4063" s="18" t="s">
        <v>711</v>
      </c>
      <c r="E4063" s="18" t="s">
        <v>5128</v>
      </c>
      <c r="F4063" s="2" t="s">
        <v>7987</v>
      </c>
      <c r="G4063" s="2" t="s">
        <v>1573</v>
      </c>
      <c r="H4063" s="14">
        <v>1.5</v>
      </c>
      <c r="I4063" s="2" t="s">
        <v>267</v>
      </c>
      <c r="J4063" s="2" t="s">
        <v>3942</v>
      </c>
      <c r="K4063" s="2" t="s">
        <v>1452</v>
      </c>
      <c r="L4063" s="2" t="s">
        <v>5221</v>
      </c>
      <c r="M4063" s="2" t="s">
        <v>5221</v>
      </c>
      <c r="N4063" s="2" t="s">
        <v>2317</v>
      </c>
      <c r="O4063" s="14">
        <v>12500</v>
      </c>
      <c r="P4063" s="14">
        <v>98.88</v>
      </c>
      <c r="Q4063" s="14">
        <v>140</v>
      </c>
      <c r="R4063" s="14">
        <v>210</v>
      </c>
      <c r="S4063" s="2" t="s">
        <v>5236</v>
      </c>
      <c r="T4063" s="2">
        <v>1.38</v>
      </c>
      <c r="U4063" s="2">
        <v>62.3</v>
      </c>
      <c r="V4063" s="2">
        <v>58</v>
      </c>
      <c r="W4063" s="2" t="s">
        <v>7862</v>
      </c>
      <c r="X4063" s="2" t="s">
        <v>471</v>
      </c>
      <c r="Y4063" s="2">
        <v>18750</v>
      </c>
      <c r="Z4063" s="19" t="str">
        <f>HYPERLINK("https://ssdweb.co/ssdweb/hd/Vision360.html?d=925971166&amp;zoomslide=1&amp;z=1925971166&amp;ISCONFIRM=0","VIDEO")</f>
        <v>VIDEO</v>
      </c>
      <c r="AA4063" s="19" t="str">
        <f>HYPERLINK("https://ssdweb.co/ssdweb/CERTH/629479000.pdf","CERTI")</f>
        <v>CERTI</v>
      </c>
    </row>
    <row r="4064" spans="1:27" ht="15" x14ac:dyDescent="0.25">
      <c r="A4064" s="2">
        <v>4059</v>
      </c>
      <c r="B4064" s="39">
        <v>926041294</v>
      </c>
      <c r="C4064" s="28" t="str">
        <f>HYPERLINK("https://pld.live/RapDetail.aspx?STONELIST=926041294","DNA")</f>
        <v>DNA</v>
      </c>
      <c r="D4064" s="18" t="s">
        <v>711</v>
      </c>
      <c r="E4064" s="18" t="s">
        <v>5128</v>
      </c>
      <c r="F4064" s="2" t="s">
        <v>7987</v>
      </c>
      <c r="G4064" s="2" t="s">
        <v>1573</v>
      </c>
      <c r="H4064" s="14">
        <v>1.5</v>
      </c>
      <c r="I4064" s="2" t="s">
        <v>267</v>
      </c>
      <c r="J4064" s="2" t="s">
        <v>3942</v>
      </c>
      <c r="K4064" s="2" t="s">
        <v>1452</v>
      </c>
      <c r="L4064" s="2" t="s">
        <v>5221</v>
      </c>
      <c r="M4064" s="2" t="s">
        <v>5221</v>
      </c>
      <c r="N4064" s="2" t="s">
        <v>2317</v>
      </c>
      <c r="O4064" s="14">
        <v>12500</v>
      </c>
      <c r="P4064" s="14">
        <v>98.88</v>
      </c>
      <c r="Q4064" s="14">
        <v>140</v>
      </c>
      <c r="R4064" s="14">
        <v>210</v>
      </c>
      <c r="S4064" s="2" t="s">
        <v>8064</v>
      </c>
      <c r="T4064" s="2">
        <v>1.36</v>
      </c>
      <c r="U4064" s="2">
        <v>62.5</v>
      </c>
      <c r="V4064" s="2">
        <v>63</v>
      </c>
      <c r="W4064" s="2" t="s">
        <v>7862</v>
      </c>
      <c r="X4064" s="2" t="s">
        <v>471</v>
      </c>
      <c r="Y4064" s="2">
        <v>18750</v>
      </c>
      <c r="Z4064" s="19" t="str">
        <f>HYPERLINK("https://ssdweb.co/ssdweb/hd/Vision360.html?d=926041294&amp;zoomslide=1&amp;z=1926041294&amp;ISCONFIRM=0","VIDEO")</f>
        <v>VIDEO</v>
      </c>
      <c r="AA4064" s="19" t="str">
        <f>HYPERLINK("https://ssdweb.co/ssdweb/CERTH/631464192.pdf","CERTI")</f>
        <v>CERTI</v>
      </c>
    </row>
    <row r="4065" spans="1:27" ht="15" x14ac:dyDescent="0.25">
      <c r="A4065" s="2">
        <v>4060</v>
      </c>
      <c r="B4065" s="39">
        <v>926171207</v>
      </c>
      <c r="C4065" s="28" t="str">
        <f>HYPERLINK("https://pld.live/RapDetail.aspx?STONELIST=926171207","DNA")</f>
        <v>DNA</v>
      </c>
      <c r="D4065" s="18" t="s">
        <v>711</v>
      </c>
      <c r="E4065" s="18" t="s">
        <v>5128</v>
      </c>
      <c r="F4065" s="2" t="s">
        <v>7987</v>
      </c>
      <c r="G4065" s="2" t="s">
        <v>1573</v>
      </c>
      <c r="H4065" s="14">
        <v>1.5</v>
      </c>
      <c r="I4065" s="2" t="s">
        <v>267</v>
      </c>
      <c r="J4065" s="2" t="s">
        <v>3942</v>
      </c>
      <c r="K4065" s="2" t="s">
        <v>1452</v>
      </c>
      <c r="L4065" s="2" t="s">
        <v>5221</v>
      </c>
      <c r="M4065" s="2" t="s">
        <v>5221</v>
      </c>
      <c r="N4065" s="2" t="s">
        <v>2317</v>
      </c>
      <c r="O4065" s="14">
        <v>12500</v>
      </c>
      <c r="P4065" s="14">
        <v>98.88</v>
      </c>
      <c r="Q4065" s="14">
        <v>140</v>
      </c>
      <c r="R4065" s="14">
        <v>210</v>
      </c>
      <c r="S4065" s="2" t="s">
        <v>7271</v>
      </c>
      <c r="T4065" s="2">
        <v>1.38</v>
      </c>
      <c r="U4065" s="2">
        <v>63.2</v>
      </c>
      <c r="V4065" s="2">
        <v>63</v>
      </c>
      <c r="W4065" s="2" t="s">
        <v>7862</v>
      </c>
      <c r="X4065" s="2" t="s">
        <v>471</v>
      </c>
      <c r="Y4065" s="2">
        <v>18750</v>
      </c>
      <c r="Z4065" s="19" t="str">
        <f>HYPERLINK("https://ssdweb.co/ssdweb/hd/Vision360.html?d=926171207&amp;zoomslide=1&amp;z=1926171207&amp;ISCONFIRM=0","VIDEO")</f>
        <v>VIDEO</v>
      </c>
      <c r="AA4065" s="19" t="str">
        <f>HYPERLINK("https://ssdweb.co/ssdweb/CERTH/634472382.pdf","CERTI")</f>
        <v>CERTI</v>
      </c>
    </row>
    <row r="4066" spans="1:27" ht="15" x14ac:dyDescent="0.25">
      <c r="A4066" s="2">
        <v>4061</v>
      </c>
      <c r="B4066" s="39">
        <v>925981065</v>
      </c>
      <c r="C4066" s="28" t="str">
        <f>HYPERLINK("https://pld.live/RapDetail.aspx?STONELIST=925981065","DNA")</f>
        <v>DNA</v>
      </c>
      <c r="D4066" s="18" t="s">
        <v>711</v>
      </c>
      <c r="E4066" s="18" t="s">
        <v>5128</v>
      </c>
      <c r="F4066" s="2" t="s">
        <v>5597</v>
      </c>
      <c r="G4066" s="2" t="s">
        <v>1573</v>
      </c>
      <c r="H4066" s="14">
        <v>1.5</v>
      </c>
      <c r="I4066" s="2" t="s">
        <v>267</v>
      </c>
      <c r="J4066" s="2" t="s">
        <v>3942</v>
      </c>
      <c r="K4066" s="2" t="s">
        <v>1452</v>
      </c>
      <c r="L4066" s="2" t="s">
        <v>5221</v>
      </c>
      <c r="M4066" s="2" t="s">
        <v>5721</v>
      </c>
      <c r="N4066" s="2" t="s">
        <v>2317</v>
      </c>
      <c r="O4066" s="14">
        <v>12500</v>
      </c>
      <c r="P4066" s="14">
        <v>97.98</v>
      </c>
      <c r="Q4066" s="14">
        <v>252.5</v>
      </c>
      <c r="R4066" s="14">
        <v>378.75</v>
      </c>
      <c r="S4066" s="2" t="s">
        <v>3679</v>
      </c>
      <c r="T4066" s="2">
        <v>1.38</v>
      </c>
      <c r="U4066" s="2">
        <v>61.5</v>
      </c>
      <c r="V4066" s="2">
        <v>61</v>
      </c>
      <c r="W4066" s="2" t="s">
        <v>7862</v>
      </c>
      <c r="X4066" s="2" t="s">
        <v>471</v>
      </c>
      <c r="Y4066" s="2">
        <v>18750</v>
      </c>
      <c r="Z4066" s="19" t="str">
        <f>HYPERLINK("https://ssdweb.co/ssdweb/hd/Vision360.html?d=925981065&amp;zoomslide=1&amp;z=1925981065&amp;ISCONFIRM=0","VIDEO")</f>
        <v>VIDEO</v>
      </c>
      <c r="AA4066" s="19" t="str">
        <f>HYPERLINK("https://ssdweb.co/ssdweb/CERTH/5493087666.pdf","CERTI")</f>
        <v>CERTI</v>
      </c>
    </row>
    <row r="4067" spans="1:27" ht="15" x14ac:dyDescent="0.25">
      <c r="A4067" s="2">
        <v>4062</v>
      </c>
      <c r="B4067" s="39">
        <v>925961160</v>
      </c>
      <c r="C4067" s="28" t="str">
        <f>HYPERLINK("https://pld.live/RapDetail.aspx?STONELIST=925961160","DNA")</f>
        <v>DNA</v>
      </c>
      <c r="D4067" s="18" t="s">
        <v>711</v>
      </c>
      <c r="E4067" s="18" t="s">
        <v>5128</v>
      </c>
      <c r="F4067" s="2" t="s">
        <v>7987</v>
      </c>
      <c r="G4067" s="2" t="s">
        <v>1573</v>
      </c>
      <c r="H4067" s="14">
        <v>1.5</v>
      </c>
      <c r="I4067" s="2" t="s">
        <v>267</v>
      </c>
      <c r="J4067" s="2" t="s">
        <v>13</v>
      </c>
      <c r="K4067" s="2" t="s">
        <v>1452</v>
      </c>
      <c r="L4067" s="2" t="s">
        <v>5221</v>
      </c>
      <c r="M4067" s="2" t="s">
        <v>5221</v>
      </c>
      <c r="N4067" s="2" t="s">
        <v>2317</v>
      </c>
      <c r="O4067" s="14">
        <v>11600</v>
      </c>
      <c r="P4067" s="14">
        <v>98.88</v>
      </c>
      <c r="Q4067" s="14">
        <v>129.91999999999999</v>
      </c>
      <c r="R4067" s="14">
        <v>194.88</v>
      </c>
      <c r="S4067" s="2" t="s">
        <v>6306</v>
      </c>
      <c r="T4067" s="2">
        <v>1.41</v>
      </c>
      <c r="U4067" s="2">
        <v>62.6</v>
      </c>
      <c r="V4067" s="2">
        <v>60</v>
      </c>
      <c r="W4067" s="2" t="s">
        <v>7862</v>
      </c>
      <c r="X4067" s="2" t="s">
        <v>471</v>
      </c>
      <c r="Y4067" s="2">
        <v>17400</v>
      </c>
      <c r="Z4067" s="19" t="str">
        <f>HYPERLINK("https://ssdweb.co/ssdweb/hd/Vision360.html?d=925961160&amp;zoomslide=1&amp;z=1925961160&amp;ISCONFIRM=0","VIDEO")</f>
        <v>VIDEO</v>
      </c>
      <c r="AA4067" s="19" t="str">
        <f>HYPERLINK("https://ssdweb.co/ssdweb/CERTH/629453038.pdf","CERTI")</f>
        <v>CERTI</v>
      </c>
    </row>
    <row r="4068" spans="1:27" ht="15" x14ac:dyDescent="0.25">
      <c r="A4068" s="2">
        <v>4063</v>
      </c>
      <c r="B4068" s="39">
        <v>925961270</v>
      </c>
      <c r="C4068" s="28" t="str">
        <f>HYPERLINK("https://pld.live/RapDetail.aspx?STONELIST=925961270","DNA")</f>
        <v>DNA</v>
      </c>
      <c r="D4068" s="18" t="s">
        <v>711</v>
      </c>
      <c r="E4068" s="18" t="s">
        <v>5128</v>
      </c>
      <c r="F4068" s="2" t="s">
        <v>7987</v>
      </c>
      <c r="G4068" s="2" t="s">
        <v>1573</v>
      </c>
      <c r="H4068" s="14">
        <v>1.5</v>
      </c>
      <c r="I4068" s="2" t="s">
        <v>267</v>
      </c>
      <c r="J4068" s="2" t="s">
        <v>13</v>
      </c>
      <c r="K4068" s="2" t="s">
        <v>1452</v>
      </c>
      <c r="L4068" s="2" t="s">
        <v>5221</v>
      </c>
      <c r="M4068" s="2" t="s">
        <v>5221</v>
      </c>
      <c r="N4068" s="2" t="s">
        <v>2317</v>
      </c>
      <c r="O4068" s="14">
        <v>11600</v>
      </c>
      <c r="P4068" s="14">
        <v>98.88</v>
      </c>
      <c r="Q4068" s="14">
        <v>129.91999999999999</v>
      </c>
      <c r="R4068" s="14">
        <v>194.88</v>
      </c>
      <c r="S4068" s="2" t="s">
        <v>7821</v>
      </c>
      <c r="T4068" s="2">
        <v>1.38</v>
      </c>
      <c r="U4068" s="2">
        <v>61.3</v>
      </c>
      <c r="V4068" s="2">
        <v>57</v>
      </c>
      <c r="W4068" s="2" t="s">
        <v>7862</v>
      </c>
      <c r="X4068" s="2" t="s">
        <v>471</v>
      </c>
      <c r="Y4068" s="2">
        <v>17400</v>
      </c>
      <c r="Z4068" s="19" t="str">
        <f>HYPERLINK("https://ssdweb.co/ssdweb/hd/Vision360.html?d=925961270&amp;zoomslide=1&amp;z=1925961270&amp;ISCONFIRM=0","VIDEO")</f>
        <v>VIDEO</v>
      </c>
      <c r="AA4068" s="19" t="str">
        <f>HYPERLINK("https://ssdweb.co/ssdweb/CERTH/629479058.pdf","CERTI")</f>
        <v>CERTI</v>
      </c>
    </row>
    <row r="4069" spans="1:27" ht="15" x14ac:dyDescent="0.25">
      <c r="A4069" s="2">
        <v>4064</v>
      </c>
      <c r="B4069" s="39">
        <v>926200741</v>
      </c>
      <c r="C4069" s="28" t="str">
        <f>HYPERLINK("https://pld.live/RapDetail.aspx?STONELIST=926200741","DNA")</f>
        <v>DNA</v>
      </c>
      <c r="D4069" s="18" t="s">
        <v>711</v>
      </c>
      <c r="E4069" s="18" t="s">
        <v>5128</v>
      </c>
      <c r="F4069" s="2" t="s">
        <v>7987</v>
      </c>
      <c r="G4069" s="2" t="s">
        <v>1573</v>
      </c>
      <c r="H4069" s="14">
        <v>1.5</v>
      </c>
      <c r="I4069" s="2" t="s">
        <v>267</v>
      </c>
      <c r="J4069" s="2" t="s">
        <v>13</v>
      </c>
      <c r="K4069" s="2" t="s">
        <v>1452</v>
      </c>
      <c r="L4069" s="2" t="s">
        <v>5221</v>
      </c>
      <c r="M4069" s="2" t="s">
        <v>5221</v>
      </c>
      <c r="N4069" s="2" t="s">
        <v>2317</v>
      </c>
      <c r="O4069" s="14">
        <v>11600</v>
      </c>
      <c r="P4069" s="14">
        <v>98.88</v>
      </c>
      <c r="Q4069" s="14">
        <v>129.91999999999999</v>
      </c>
      <c r="R4069" s="14">
        <v>194.88</v>
      </c>
      <c r="S4069" s="2" t="s">
        <v>5339</v>
      </c>
      <c r="T4069" s="2">
        <v>1.37</v>
      </c>
      <c r="U4069" s="2">
        <v>61.2</v>
      </c>
      <c r="V4069" s="2">
        <v>62</v>
      </c>
      <c r="W4069" s="2" t="s">
        <v>7862</v>
      </c>
      <c r="X4069" s="2" t="s">
        <v>471</v>
      </c>
      <c r="Y4069" s="2">
        <v>17400</v>
      </c>
      <c r="Z4069" s="19" t="str">
        <f>HYPERLINK("https://ssdweb.co/ssdweb/hd/Vision360.html?d=926200741&amp;zoomslide=1&amp;z=1926200741&amp;ISCONFIRM=0","VIDEO")</f>
        <v>VIDEO</v>
      </c>
      <c r="AA4069" s="19" t="str">
        <f>HYPERLINK("https://ssdweb.co/ssdweb/CERTH/634431407.pdf","CERTI")</f>
        <v>CERTI</v>
      </c>
    </row>
    <row r="4070" spans="1:27" ht="15" x14ac:dyDescent="0.25">
      <c r="A4070" s="2">
        <v>4065</v>
      </c>
      <c r="B4070" s="39">
        <v>926200720</v>
      </c>
      <c r="C4070" s="28" t="str">
        <f>HYPERLINK("https://pld.live/RapDetail.aspx?STONELIST=926200720","DNA")</f>
        <v>DNA</v>
      </c>
      <c r="D4070" s="18" t="s">
        <v>711</v>
      </c>
      <c r="E4070" s="18" t="s">
        <v>5128</v>
      </c>
      <c r="F4070" s="2" t="s">
        <v>7987</v>
      </c>
      <c r="G4070" s="2" t="s">
        <v>1573</v>
      </c>
      <c r="H4070" s="14">
        <v>1.5</v>
      </c>
      <c r="I4070" s="2" t="s">
        <v>267</v>
      </c>
      <c r="J4070" s="2" t="s">
        <v>13</v>
      </c>
      <c r="K4070" s="2" t="s">
        <v>1452</v>
      </c>
      <c r="L4070" s="2" t="s">
        <v>5221</v>
      </c>
      <c r="M4070" s="2" t="s">
        <v>5221</v>
      </c>
      <c r="N4070" s="2" t="s">
        <v>2317</v>
      </c>
      <c r="O4070" s="14">
        <v>11600</v>
      </c>
      <c r="P4070" s="14">
        <v>98.88</v>
      </c>
      <c r="Q4070" s="14">
        <v>129.91999999999999</v>
      </c>
      <c r="R4070" s="14">
        <v>194.88</v>
      </c>
      <c r="S4070" s="2" t="s">
        <v>3369</v>
      </c>
      <c r="T4070" s="2">
        <v>1.38</v>
      </c>
      <c r="U4070" s="2">
        <v>62.4</v>
      </c>
      <c r="V4070" s="2">
        <v>62</v>
      </c>
      <c r="W4070" s="2" t="s">
        <v>7862</v>
      </c>
      <c r="X4070" s="2" t="s">
        <v>471</v>
      </c>
      <c r="Y4070" s="2">
        <v>17400</v>
      </c>
      <c r="Z4070" s="19" t="str">
        <f>HYPERLINK("https://ssdweb.co/ssdweb/hd/Vision360.html?d=926200720&amp;zoomslide=1&amp;z=1926200720&amp;ISCONFIRM=0","VIDEO")</f>
        <v>VIDEO</v>
      </c>
      <c r="AA4070" s="19" t="str">
        <f>HYPERLINK("https://ssdweb.co/ssdweb/CERTH/634431487.pdf","CERTI")</f>
        <v>CERTI</v>
      </c>
    </row>
    <row r="4071" spans="1:27" ht="15" x14ac:dyDescent="0.25">
      <c r="A4071" s="2">
        <v>4066</v>
      </c>
      <c r="B4071" s="39">
        <v>925521955</v>
      </c>
      <c r="C4071" s="28" t="str">
        <f>HYPERLINK("https://pld.live/RapDetail.aspx?STONELIST=925521955","DNA")</f>
        <v>DNA</v>
      </c>
      <c r="D4071" s="18" t="s">
        <v>711</v>
      </c>
      <c r="E4071" s="18" t="s">
        <v>5128</v>
      </c>
      <c r="F4071" s="2" t="s">
        <v>5597</v>
      </c>
      <c r="G4071" s="2" t="s">
        <v>1573</v>
      </c>
      <c r="H4071" s="14">
        <v>1.5</v>
      </c>
      <c r="I4071" s="2" t="s">
        <v>267</v>
      </c>
      <c r="J4071" s="2" t="s">
        <v>13</v>
      </c>
      <c r="K4071" s="2" t="s">
        <v>1452</v>
      </c>
      <c r="L4071" s="2" t="s">
        <v>5221</v>
      </c>
      <c r="M4071" s="2" t="s">
        <v>5221</v>
      </c>
      <c r="N4071" s="2" t="s">
        <v>2317</v>
      </c>
      <c r="O4071" s="14">
        <v>11600</v>
      </c>
      <c r="P4071" s="14">
        <v>97.93</v>
      </c>
      <c r="Q4071" s="14">
        <v>240.12</v>
      </c>
      <c r="R4071" s="14">
        <v>360.18</v>
      </c>
      <c r="S4071" s="2" t="s">
        <v>6998</v>
      </c>
      <c r="T4071" s="2">
        <v>1.38</v>
      </c>
      <c r="U4071" s="2">
        <v>62.4</v>
      </c>
      <c r="V4071" s="2">
        <v>60</v>
      </c>
      <c r="W4071" s="2" t="s">
        <v>7862</v>
      </c>
      <c r="X4071" s="2" t="s">
        <v>471</v>
      </c>
      <c r="Y4071" s="2">
        <v>17400</v>
      </c>
      <c r="Z4071" s="19" t="str">
        <f>HYPERLINK("https://ssdweb.co/ssdweb/hd/Vision360.html?d=925521955&amp;zoomslide=1&amp;z=1925521955&amp;ISCONFIRM=0","VIDEO")</f>
        <v>VIDEO</v>
      </c>
      <c r="AA4071" s="19" t="str">
        <f>HYPERLINK("https://ssdweb.co/ssdweb/CERTH/1483535863.pdf","CERTI")</f>
        <v>CERTI</v>
      </c>
    </row>
    <row r="4072" spans="1:27" ht="15" x14ac:dyDescent="0.25">
      <c r="A4072" s="2">
        <v>4067</v>
      </c>
      <c r="B4072" s="39">
        <v>925971325</v>
      </c>
      <c r="C4072" s="28" t="str">
        <f>HYPERLINK("https://pld.live/RapDetail.aspx?STONELIST=925971325","DNA")</f>
        <v>DNA</v>
      </c>
      <c r="D4072" s="18" t="s">
        <v>711</v>
      </c>
      <c r="E4072" s="18" t="s">
        <v>5128</v>
      </c>
      <c r="F4072" s="2" t="s">
        <v>7987</v>
      </c>
      <c r="G4072" s="2" t="s">
        <v>1573</v>
      </c>
      <c r="H4072" s="14">
        <v>1.5</v>
      </c>
      <c r="I4072" s="2" t="s">
        <v>267</v>
      </c>
      <c r="J4072" s="2" t="s">
        <v>13</v>
      </c>
      <c r="K4072" s="2" t="s">
        <v>1452</v>
      </c>
      <c r="L4072" s="2" t="s">
        <v>5221</v>
      </c>
      <c r="M4072" s="2" t="s">
        <v>5221</v>
      </c>
      <c r="N4072" s="2" t="s">
        <v>2317</v>
      </c>
      <c r="O4072" s="14">
        <v>11600</v>
      </c>
      <c r="P4072" s="14">
        <v>98.88</v>
      </c>
      <c r="Q4072" s="14">
        <v>129.91999999999999</v>
      </c>
      <c r="R4072" s="14">
        <v>194.88</v>
      </c>
      <c r="S4072" s="2" t="s">
        <v>234</v>
      </c>
      <c r="T4072" s="2">
        <v>1.39</v>
      </c>
      <c r="U4072" s="2">
        <v>61.6</v>
      </c>
      <c r="V4072" s="2">
        <v>58</v>
      </c>
      <c r="W4072" s="2" t="s">
        <v>7862</v>
      </c>
      <c r="X4072" s="2" t="s">
        <v>471</v>
      </c>
      <c r="Y4072" s="2">
        <v>17400</v>
      </c>
      <c r="Z4072" s="19" t="str">
        <f>HYPERLINK("https://ssdweb.co/ssdweb/hd/Vision360.html?d=925971325&amp;zoomslide=1&amp;z=1925971325&amp;ISCONFIRM=0","VIDEO")</f>
        <v>VIDEO</v>
      </c>
      <c r="AA4072" s="19" t="str">
        <f>HYPERLINK("https://ssdweb.co/ssdweb/CERTH/631430382.pdf","CERTI")</f>
        <v>CERTI</v>
      </c>
    </row>
    <row r="4073" spans="1:27" ht="15" x14ac:dyDescent="0.25">
      <c r="A4073" s="2">
        <v>4068</v>
      </c>
      <c r="B4073" s="39">
        <v>926041021</v>
      </c>
      <c r="C4073" s="28" t="str">
        <f>HYPERLINK("https://pld.live/RapDetail.aspx?STONELIST=926041021","DNA")</f>
        <v>DNA</v>
      </c>
      <c r="D4073" s="18" t="s">
        <v>711</v>
      </c>
      <c r="E4073" s="18" t="s">
        <v>5128</v>
      </c>
      <c r="F4073" s="2" t="s">
        <v>7987</v>
      </c>
      <c r="G4073" s="2" t="s">
        <v>1573</v>
      </c>
      <c r="H4073" s="14">
        <v>1.5</v>
      </c>
      <c r="I4073" s="2" t="s">
        <v>267</v>
      </c>
      <c r="J4073" s="2" t="s">
        <v>13</v>
      </c>
      <c r="K4073" s="2" t="s">
        <v>1452</v>
      </c>
      <c r="L4073" s="2" t="s">
        <v>5221</v>
      </c>
      <c r="M4073" s="2" t="s">
        <v>5221</v>
      </c>
      <c r="N4073" s="2" t="s">
        <v>2317</v>
      </c>
      <c r="O4073" s="14">
        <v>11600</v>
      </c>
      <c r="P4073" s="14">
        <v>98.88</v>
      </c>
      <c r="Q4073" s="14">
        <v>129.91999999999999</v>
      </c>
      <c r="R4073" s="14">
        <v>194.88</v>
      </c>
      <c r="S4073" s="2" t="s">
        <v>7748</v>
      </c>
      <c r="T4073" s="2">
        <v>1.38</v>
      </c>
      <c r="U4073" s="2">
        <v>62.2</v>
      </c>
      <c r="V4073" s="2">
        <v>61</v>
      </c>
      <c r="W4073" s="2" t="s">
        <v>7862</v>
      </c>
      <c r="X4073" s="2" t="s">
        <v>471</v>
      </c>
      <c r="Y4073" s="2">
        <v>17400</v>
      </c>
      <c r="Z4073" s="19" t="str">
        <f>HYPERLINK("https://ssdweb.co/ssdweb/hd/Vision360.html?d=926041021&amp;zoomslide=1&amp;z=1926041021&amp;ISCONFIRM=0","VIDEO")</f>
        <v>VIDEO</v>
      </c>
      <c r="AA4073" s="19" t="str">
        <f>HYPERLINK("https://ssdweb.co/ssdweb/CERTH/630447815.pdf","CERTI")</f>
        <v>CERTI</v>
      </c>
    </row>
    <row r="4074" spans="1:27" ht="15" x14ac:dyDescent="0.25">
      <c r="A4074" s="2">
        <v>4069</v>
      </c>
      <c r="B4074" s="39">
        <v>926071487</v>
      </c>
      <c r="C4074" s="28" t="str">
        <f>HYPERLINK("https://pld.live/RapDetail.aspx?STONELIST=926071487","DNA")</f>
        <v>DNA</v>
      </c>
      <c r="D4074" s="18" t="s">
        <v>711</v>
      </c>
      <c r="E4074" s="18" t="s">
        <v>5128</v>
      </c>
      <c r="F4074" s="2" t="s">
        <v>7987</v>
      </c>
      <c r="G4074" s="2" t="s">
        <v>1573</v>
      </c>
      <c r="H4074" s="14">
        <v>1.5</v>
      </c>
      <c r="I4074" s="2" t="s">
        <v>267</v>
      </c>
      <c r="J4074" s="2" t="s">
        <v>13</v>
      </c>
      <c r="K4074" s="2" t="s">
        <v>1452</v>
      </c>
      <c r="L4074" s="2" t="s">
        <v>5221</v>
      </c>
      <c r="M4074" s="2" t="s">
        <v>5221</v>
      </c>
      <c r="N4074" s="2" t="s">
        <v>2317</v>
      </c>
      <c r="O4074" s="14">
        <v>11600</v>
      </c>
      <c r="P4074" s="14">
        <v>98.88</v>
      </c>
      <c r="Q4074" s="14">
        <v>129.91999999999999</v>
      </c>
      <c r="R4074" s="14">
        <v>194.88</v>
      </c>
      <c r="S4074" s="2" t="s">
        <v>6761</v>
      </c>
      <c r="T4074" s="2">
        <v>1.37</v>
      </c>
      <c r="U4074" s="2">
        <v>61.6</v>
      </c>
      <c r="V4074" s="2">
        <v>61</v>
      </c>
      <c r="W4074" s="2" t="s">
        <v>7862</v>
      </c>
      <c r="X4074" s="2" t="s">
        <v>471</v>
      </c>
      <c r="Y4074" s="2">
        <v>17400</v>
      </c>
      <c r="Z4074" s="19" t="str">
        <f>HYPERLINK("https://ssdweb.co/ssdweb/hd/Vision360.html?d=926071487&amp;zoomslide=1&amp;z=1926071487&amp;ISCONFIRM=0","VIDEO")</f>
        <v>VIDEO</v>
      </c>
      <c r="AA4074" s="19" t="str">
        <f>HYPERLINK("https://ssdweb.co/ssdweb/CERTH/631430309.pdf","CERTI")</f>
        <v>CERTI</v>
      </c>
    </row>
    <row r="4075" spans="1:27" ht="15" x14ac:dyDescent="0.25">
      <c r="A4075" s="2">
        <v>4070</v>
      </c>
      <c r="B4075" s="39">
        <v>926171079</v>
      </c>
      <c r="C4075" s="28" t="str">
        <f>HYPERLINK("https://pld.live/RapDetail.aspx?STONELIST=926171079","DNA")</f>
        <v>DNA</v>
      </c>
      <c r="D4075" s="18" t="s">
        <v>711</v>
      </c>
      <c r="E4075" s="18" t="s">
        <v>5128</v>
      </c>
      <c r="F4075" s="2" t="s">
        <v>7987</v>
      </c>
      <c r="G4075" s="2" t="s">
        <v>1573</v>
      </c>
      <c r="H4075" s="14">
        <v>1.5</v>
      </c>
      <c r="I4075" s="2" t="s">
        <v>267</v>
      </c>
      <c r="J4075" s="2" t="s">
        <v>13</v>
      </c>
      <c r="K4075" s="2" t="s">
        <v>1452</v>
      </c>
      <c r="L4075" s="2" t="s">
        <v>5221</v>
      </c>
      <c r="M4075" s="2" t="s">
        <v>5221</v>
      </c>
      <c r="N4075" s="2" t="s">
        <v>2317</v>
      </c>
      <c r="O4075" s="14">
        <v>11600</v>
      </c>
      <c r="P4075" s="14">
        <v>98.88</v>
      </c>
      <c r="Q4075" s="14">
        <v>129.91999999999999</v>
      </c>
      <c r="R4075" s="14">
        <v>194.88</v>
      </c>
      <c r="S4075" s="2" t="s">
        <v>2465</v>
      </c>
      <c r="T4075" s="2">
        <v>1.39</v>
      </c>
      <c r="U4075" s="2">
        <v>59.2</v>
      </c>
      <c r="V4075" s="2">
        <v>63</v>
      </c>
      <c r="W4075" s="2" t="s">
        <v>7862</v>
      </c>
      <c r="X4075" s="2" t="s">
        <v>471</v>
      </c>
      <c r="Y4075" s="2">
        <v>17400</v>
      </c>
      <c r="Z4075" s="19" t="str">
        <f>HYPERLINK("https://ssdweb.co/ssdweb/hd/Vision360.html?d=926171079&amp;zoomslide=1&amp;z=1926171079&amp;ISCONFIRM=0","VIDEO")</f>
        <v>VIDEO</v>
      </c>
      <c r="AA4075" s="19" t="str">
        <f>HYPERLINK("https://ssdweb.co/ssdweb/CERTH/633432005.pdf","CERTI")</f>
        <v>CERTI</v>
      </c>
    </row>
    <row r="4076" spans="1:27" ht="15" x14ac:dyDescent="0.25">
      <c r="A4076" s="2">
        <v>4071</v>
      </c>
      <c r="B4076" s="39">
        <v>925722064</v>
      </c>
      <c r="C4076" s="28" t="str">
        <f>HYPERLINK("https://pld.live/RapDetail.aspx?STONELIST=925722064","DNA")</f>
        <v>DNA</v>
      </c>
      <c r="D4076" s="18" t="s">
        <v>711</v>
      </c>
      <c r="E4076" s="18" t="s">
        <v>5128</v>
      </c>
      <c r="F4076" s="2" t="s">
        <v>7987</v>
      </c>
      <c r="G4076" s="2" t="s">
        <v>1573</v>
      </c>
      <c r="H4076" s="14">
        <v>1.5</v>
      </c>
      <c r="I4076" s="2" t="s">
        <v>267</v>
      </c>
      <c r="J4076" s="2" t="s">
        <v>13</v>
      </c>
      <c r="K4076" s="2" t="s">
        <v>1452</v>
      </c>
      <c r="L4076" s="2" t="s">
        <v>5221</v>
      </c>
      <c r="M4076" s="2" t="s">
        <v>5221</v>
      </c>
      <c r="N4076" s="2" t="s">
        <v>2317</v>
      </c>
      <c r="O4076" s="14">
        <v>11600</v>
      </c>
      <c r="P4076" s="14">
        <v>98.88</v>
      </c>
      <c r="Q4076" s="14">
        <v>129.91999999999999</v>
      </c>
      <c r="R4076" s="14">
        <v>194.88</v>
      </c>
      <c r="S4076" s="2" t="s">
        <v>4781</v>
      </c>
      <c r="T4076" s="2">
        <v>1.37</v>
      </c>
      <c r="U4076" s="2">
        <v>63.3</v>
      </c>
      <c r="V4076" s="2">
        <v>63</v>
      </c>
      <c r="W4076" s="2" t="s">
        <v>7862</v>
      </c>
      <c r="X4076" s="2" t="s">
        <v>471</v>
      </c>
      <c r="Y4076" s="2">
        <v>17400</v>
      </c>
      <c r="Z4076" s="19" t="str">
        <f>HYPERLINK("https://ssdweb.co/ssdweb/hd/Vision360.html?d=925722064&amp;zoomslide=1&amp;z=1925722064&amp;ISCONFIRM=0","VIDEO")</f>
        <v>VIDEO</v>
      </c>
      <c r="AA4076" s="19" t="str">
        <f>HYPERLINK("https://ssdweb.co/ssdweb/CERTH/625432355.pdf","CERTI")</f>
        <v>CERTI</v>
      </c>
    </row>
    <row r="4077" spans="1:27" ht="15" x14ac:dyDescent="0.25">
      <c r="A4077" s="2">
        <v>4072</v>
      </c>
      <c r="B4077" s="39">
        <v>925722029</v>
      </c>
      <c r="C4077" s="28" t="str">
        <f>HYPERLINK("https://pld.live/RapDetail.aspx?STONELIST=925722029","DNA")</f>
        <v>DNA</v>
      </c>
      <c r="D4077" s="18" t="s">
        <v>711</v>
      </c>
      <c r="E4077" s="18" t="s">
        <v>5128</v>
      </c>
      <c r="F4077" s="2" t="s">
        <v>7987</v>
      </c>
      <c r="G4077" s="2" t="s">
        <v>1573</v>
      </c>
      <c r="H4077" s="14">
        <v>1.5</v>
      </c>
      <c r="I4077" s="2" t="s">
        <v>267</v>
      </c>
      <c r="J4077" s="2" t="s">
        <v>13</v>
      </c>
      <c r="K4077" s="2" t="s">
        <v>1452</v>
      </c>
      <c r="L4077" s="2" t="s">
        <v>5221</v>
      </c>
      <c r="M4077" s="2" t="s">
        <v>5221</v>
      </c>
      <c r="N4077" s="2" t="s">
        <v>2317</v>
      </c>
      <c r="O4077" s="14">
        <v>11600</v>
      </c>
      <c r="P4077" s="14">
        <v>98.88</v>
      </c>
      <c r="Q4077" s="14">
        <v>129.91999999999999</v>
      </c>
      <c r="R4077" s="14">
        <v>194.88</v>
      </c>
      <c r="S4077" s="2" t="s">
        <v>374</v>
      </c>
      <c r="T4077" s="2">
        <v>1.38</v>
      </c>
      <c r="U4077" s="2">
        <v>60.3</v>
      </c>
      <c r="V4077" s="2">
        <v>61</v>
      </c>
      <c r="W4077" s="2" t="s">
        <v>7862</v>
      </c>
      <c r="X4077" s="2" t="s">
        <v>471</v>
      </c>
      <c r="Y4077" s="2">
        <v>17400</v>
      </c>
      <c r="Z4077" s="19" t="str">
        <f>HYPERLINK("https://ssdweb.co/ssdweb/hd/Vision360.html?d=925722029&amp;zoomslide=1&amp;z=1925722029&amp;ISCONFIRM=0","VIDEO")</f>
        <v>VIDEO</v>
      </c>
      <c r="AA4077" s="19" t="str">
        <f>HYPERLINK("https://ssdweb.co/ssdweb/CERTH/625457915.pdf","CERTI")</f>
        <v>CERTI</v>
      </c>
    </row>
    <row r="4078" spans="1:27" ht="15" x14ac:dyDescent="0.25">
      <c r="A4078" s="2">
        <v>4073</v>
      </c>
      <c r="B4078" s="39">
        <v>925521848</v>
      </c>
      <c r="C4078" s="28" t="str">
        <f>HYPERLINK("https://pld.live/RapDetail.aspx?STONELIST=925521848","DNA")</f>
        <v>DNA</v>
      </c>
      <c r="D4078" s="18" t="s">
        <v>711</v>
      </c>
      <c r="E4078" s="18" t="s">
        <v>5128</v>
      </c>
      <c r="F4078" s="2" t="s">
        <v>5597</v>
      </c>
      <c r="G4078" s="2" t="s">
        <v>1573</v>
      </c>
      <c r="H4078" s="14">
        <v>1.5</v>
      </c>
      <c r="I4078" s="2" t="s">
        <v>267</v>
      </c>
      <c r="J4078" s="2" t="s">
        <v>13</v>
      </c>
      <c r="K4078" s="2" t="s">
        <v>1452</v>
      </c>
      <c r="L4078" s="2" t="s">
        <v>5221</v>
      </c>
      <c r="M4078" s="2" t="s">
        <v>5721</v>
      </c>
      <c r="N4078" s="2" t="s">
        <v>2317</v>
      </c>
      <c r="O4078" s="14">
        <v>11600</v>
      </c>
      <c r="P4078" s="14">
        <v>97.95</v>
      </c>
      <c r="Q4078" s="14">
        <v>237.8</v>
      </c>
      <c r="R4078" s="14">
        <v>356.7</v>
      </c>
      <c r="S4078" s="2" t="s">
        <v>7544</v>
      </c>
      <c r="T4078" s="2">
        <v>1.37</v>
      </c>
      <c r="U4078" s="2">
        <v>59.6</v>
      </c>
      <c r="V4078" s="2">
        <v>61</v>
      </c>
      <c r="W4078" s="2" t="s">
        <v>7862</v>
      </c>
      <c r="X4078" s="2" t="s">
        <v>471</v>
      </c>
      <c r="Y4078" s="2">
        <v>17400</v>
      </c>
      <c r="Z4078" s="19" t="str">
        <f>HYPERLINK("https://ssdweb.co/ssdweb/hd/Vision360.html?d=925521848&amp;zoomslide=1&amp;z=1925521848&amp;ISCONFIRM=0","VIDEO")</f>
        <v>VIDEO</v>
      </c>
      <c r="AA4078" s="19" t="str">
        <f>HYPERLINK("https://ssdweb.co/ssdweb/CERTH/2484486818.pdf","CERTI")</f>
        <v>CERTI</v>
      </c>
    </row>
    <row r="4079" spans="1:27" ht="15" x14ac:dyDescent="0.25">
      <c r="A4079" s="2">
        <v>4074</v>
      </c>
      <c r="B4079" s="39">
        <v>925541522</v>
      </c>
      <c r="C4079" s="28" t="str">
        <f>HYPERLINK("https://pld.live/RapDetail.aspx?STONELIST=925541522","DNA")</f>
        <v>DNA</v>
      </c>
      <c r="D4079" s="18" t="s">
        <v>711</v>
      </c>
      <c r="E4079" s="18" t="s">
        <v>5128</v>
      </c>
      <c r="F4079" s="2" t="s">
        <v>5597</v>
      </c>
      <c r="G4079" s="2" t="s">
        <v>1573</v>
      </c>
      <c r="H4079" s="14">
        <v>1.5</v>
      </c>
      <c r="I4079" s="2" t="s">
        <v>267</v>
      </c>
      <c r="J4079" s="2" t="s">
        <v>13</v>
      </c>
      <c r="K4079" s="2" t="s">
        <v>1452</v>
      </c>
      <c r="L4079" s="2" t="s">
        <v>5721</v>
      </c>
      <c r="M4079" s="2" t="s">
        <v>5221</v>
      </c>
      <c r="N4079" s="2" t="s">
        <v>2317</v>
      </c>
      <c r="O4079" s="14">
        <v>11600</v>
      </c>
      <c r="P4079" s="14">
        <v>97.95</v>
      </c>
      <c r="Q4079" s="14">
        <v>237.8</v>
      </c>
      <c r="R4079" s="14">
        <v>356.7</v>
      </c>
      <c r="S4079" s="2" t="s">
        <v>6785</v>
      </c>
      <c r="T4079" s="2">
        <v>1.38</v>
      </c>
      <c r="U4079" s="2">
        <v>61.7</v>
      </c>
      <c r="V4079" s="2">
        <v>59</v>
      </c>
      <c r="W4079" s="2" t="s">
        <v>7862</v>
      </c>
      <c r="X4079" s="2" t="s">
        <v>471</v>
      </c>
      <c r="Y4079" s="2">
        <v>17400</v>
      </c>
      <c r="Z4079" s="19" t="str">
        <f>HYPERLINK("https://ssdweb.co/ssdweb/hd/Vision360.html?d=925541522&amp;zoomslide=1&amp;z=1925541522&amp;ISCONFIRM=0","VIDEO")</f>
        <v>VIDEO</v>
      </c>
      <c r="AA4079" s="19" t="str">
        <f>HYPERLINK("https://ssdweb.co/ssdweb/CERTH/3485437534.pdf","CERTI")</f>
        <v>CERTI</v>
      </c>
    </row>
    <row r="4080" spans="1:27" ht="15" x14ac:dyDescent="0.25">
      <c r="A4080" s="2">
        <v>4075</v>
      </c>
      <c r="B4080" s="39">
        <v>925802042</v>
      </c>
      <c r="C4080" s="28" t="str">
        <f>HYPERLINK("https://pld.live/RapDetail.aspx?STONELIST=925802042","DNA")</f>
        <v>DNA</v>
      </c>
      <c r="D4080" s="18" t="s">
        <v>711</v>
      </c>
      <c r="E4080" s="18" t="s">
        <v>5128</v>
      </c>
      <c r="F4080" s="2" t="s">
        <v>7987</v>
      </c>
      <c r="G4080" s="2" t="s">
        <v>1573</v>
      </c>
      <c r="H4080" s="14">
        <v>1.5</v>
      </c>
      <c r="I4080" s="2" t="s">
        <v>267</v>
      </c>
      <c r="J4080" s="2" t="s">
        <v>5144</v>
      </c>
      <c r="K4080" s="2" t="s">
        <v>1452</v>
      </c>
      <c r="L4080" s="2" t="s">
        <v>5221</v>
      </c>
      <c r="M4080" s="2" t="s">
        <v>5221</v>
      </c>
      <c r="N4080" s="2" t="s">
        <v>2317</v>
      </c>
      <c r="O4080" s="14">
        <v>9900</v>
      </c>
      <c r="P4080" s="14">
        <v>98.74</v>
      </c>
      <c r="Q4080" s="14">
        <v>124.74</v>
      </c>
      <c r="R4080" s="14">
        <v>187.11</v>
      </c>
      <c r="S4080" s="2" t="s">
        <v>1774</v>
      </c>
      <c r="T4080" s="2">
        <v>1.4</v>
      </c>
      <c r="U4080" s="2">
        <v>60</v>
      </c>
      <c r="V4080" s="2">
        <v>59</v>
      </c>
      <c r="W4080" s="2" t="s">
        <v>7862</v>
      </c>
      <c r="X4080" s="2" t="s">
        <v>471</v>
      </c>
      <c r="Y4080" s="2">
        <v>14850</v>
      </c>
      <c r="Z4080" s="19" t="str">
        <f>HYPERLINK("https://ssdweb.co/ssdweb/hd/Vision360.html?d=925802042&amp;zoomslide=1&amp;z=1925802042&amp;ISCONFIRM=0","VIDEO")</f>
        <v>VIDEO</v>
      </c>
      <c r="AA4080" s="19" t="str">
        <f>HYPERLINK("https://ssdweb.co/ssdweb/CERTH/627410434.pdf","CERTI")</f>
        <v>CERTI</v>
      </c>
    </row>
    <row r="4081" spans="1:27" ht="15" x14ac:dyDescent="0.25">
      <c r="A4081" s="2">
        <v>4076</v>
      </c>
      <c r="B4081" s="39">
        <v>925551933</v>
      </c>
      <c r="C4081" s="28" t="str">
        <f>HYPERLINK("https://pld.live/RapDetail.aspx?STONELIST=925551933","DNA")</f>
        <v>DNA</v>
      </c>
      <c r="D4081" s="18" t="s">
        <v>711</v>
      </c>
      <c r="E4081" s="18" t="s">
        <v>5128</v>
      </c>
      <c r="F4081" s="2" t="s">
        <v>7987</v>
      </c>
      <c r="G4081" s="2" t="s">
        <v>1573</v>
      </c>
      <c r="H4081" s="14">
        <v>1.5</v>
      </c>
      <c r="I4081" s="2" t="s">
        <v>267</v>
      </c>
      <c r="J4081" s="2" t="s">
        <v>5144</v>
      </c>
      <c r="K4081" s="2" t="s">
        <v>1452</v>
      </c>
      <c r="L4081" s="2" t="s">
        <v>5221</v>
      </c>
      <c r="M4081" s="2" t="s">
        <v>5221</v>
      </c>
      <c r="N4081" s="2" t="s">
        <v>2317</v>
      </c>
      <c r="O4081" s="14">
        <v>9900</v>
      </c>
      <c r="P4081" s="14">
        <v>98.74</v>
      </c>
      <c r="Q4081" s="14">
        <v>124.74</v>
      </c>
      <c r="R4081" s="14">
        <v>187.11</v>
      </c>
      <c r="S4081" s="2" t="s">
        <v>3454</v>
      </c>
      <c r="T4081" s="2">
        <v>1.38</v>
      </c>
      <c r="U4081" s="2">
        <v>60.3</v>
      </c>
      <c r="V4081" s="2">
        <v>60</v>
      </c>
      <c r="W4081" s="2" t="s">
        <v>7862</v>
      </c>
      <c r="X4081" s="2" t="s">
        <v>471</v>
      </c>
      <c r="Y4081" s="2">
        <v>14850</v>
      </c>
      <c r="Z4081" s="19" t="str">
        <f>HYPERLINK("https://ssdweb.co/ssdweb/hd/Vision360.html?d=925551933&amp;zoomslide=1&amp;z=1925551933&amp;ISCONFIRM=0","VIDEO")</f>
        <v>VIDEO</v>
      </c>
      <c r="AA4081" s="19" t="str">
        <f>HYPERLINK("https://ssdweb.co/ssdweb/CERTH/620448905.pdf","CERTI")</f>
        <v>CERTI</v>
      </c>
    </row>
    <row r="4082" spans="1:27" ht="15" x14ac:dyDescent="0.25">
      <c r="A4082" s="2">
        <v>4077</v>
      </c>
      <c r="B4082" s="39">
        <v>926171092</v>
      </c>
      <c r="C4082" s="28" t="str">
        <f>HYPERLINK("https://pld.live/RapDetail.aspx?STONELIST=926171092","DNA")</f>
        <v>DNA</v>
      </c>
      <c r="D4082" s="18" t="s">
        <v>711</v>
      </c>
      <c r="E4082" s="18" t="s">
        <v>5128</v>
      </c>
      <c r="F4082" s="2" t="s">
        <v>7987</v>
      </c>
      <c r="G4082" s="2" t="s">
        <v>1573</v>
      </c>
      <c r="H4082" s="14">
        <v>1.5</v>
      </c>
      <c r="I4082" s="2" t="s">
        <v>267</v>
      </c>
      <c r="J4082" s="2" t="s">
        <v>5144</v>
      </c>
      <c r="K4082" s="2" t="s">
        <v>1452</v>
      </c>
      <c r="L4082" s="2" t="s">
        <v>5221</v>
      </c>
      <c r="M4082" s="2" t="s">
        <v>5221</v>
      </c>
      <c r="N4082" s="2" t="s">
        <v>2317</v>
      </c>
      <c r="O4082" s="14">
        <v>9900</v>
      </c>
      <c r="P4082" s="14">
        <v>98.74</v>
      </c>
      <c r="Q4082" s="14">
        <v>124.74</v>
      </c>
      <c r="R4082" s="14">
        <v>187.11</v>
      </c>
      <c r="S4082" s="2" t="s">
        <v>5924</v>
      </c>
      <c r="T4082" s="2">
        <v>1.38</v>
      </c>
      <c r="U4082" s="2">
        <v>61.9</v>
      </c>
      <c r="V4082" s="2">
        <v>59</v>
      </c>
      <c r="W4082" s="2" t="s">
        <v>7862</v>
      </c>
      <c r="X4082" s="2" t="s">
        <v>471</v>
      </c>
      <c r="Y4082" s="2">
        <v>14850</v>
      </c>
      <c r="Z4082" s="19" t="str">
        <f>HYPERLINK("https://ssdweb.co/ssdweb/hd/Vision360.html?d=926171092&amp;zoomslide=1&amp;z=1926171092&amp;ISCONFIRM=0","VIDEO")</f>
        <v>VIDEO</v>
      </c>
      <c r="AA4082" s="19" t="str">
        <f>HYPERLINK("https://ssdweb.co/ssdweb/CERTH/634472325.pdf","CERTI")</f>
        <v>CERTI</v>
      </c>
    </row>
    <row r="4083" spans="1:27" ht="15" x14ac:dyDescent="0.25">
      <c r="A4083" s="2">
        <v>4078</v>
      </c>
      <c r="B4083" s="39">
        <v>925551917</v>
      </c>
      <c r="C4083" s="28" t="str">
        <f>HYPERLINK("https://pld.live/RapDetail.aspx?STONELIST=925551917","DNA")</f>
        <v>DNA</v>
      </c>
      <c r="D4083" s="18" t="s">
        <v>711</v>
      </c>
      <c r="E4083" s="18" t="s">
        <v>5128</v>
      </c>
      <c r="F4083" s="2" t="s">
        <v>5597</v>
      </c>
      <c r="G4083" s="2" t="s">
        <v>1573</v>
      </c>
      <c r="H4083" s="14">
        <v>1.5</v>
      </c>
      <c r="I4083" s="2" t="s">
        <v>267</v>
      </c>
      <c r="J4083" s="2" t="s">
        <v>5144</v>
      </c>
      <c r="K4083" s="2" t="s">
        <v>1452</v>
      </c>
      <c r="L4083" s="2" t="s">
        <v>5221</v>
      </c>
      <c r="M4083" s="2" t="s">
        <v>5721</v>
      </c>
      <c r="N4083" s="2" t="s">
        <v>2317</v>
      </c>
      <c r="O4083" s="14">
        <v>9900</v>
      </c>
      <c r="P4083" s="14">
        <v>97.65</v>
      </c>
      <c r="Q4083" s="14">
        <v>232.65</v>
      </c>
      <c r="R4083" s="14">
        <v>348.98</v>
      </c>
      <c r="S4083" s="2" t="s">
        <v>7337</v>
      </c>
      <c r="T4083" s="2">
        <v>1.38</v>
      </c>
      <c r="U4083" s="2">
        <v>62.3</v>
      </c>
      <c r="V4083" s="2">
        <v>62</v>
      </c>
      <c r="W4083" s="2" t="s">
        <v>7862</v>
      </c>
      <c r="X4083" s="2" t="s">
        <v>471</v>
      </c>
      <c r="Y4083" s="2">
        <v>14850</v>
      </c>
      <c r="Z4083" s="19" t="str">
        <f>HYPERLINK("https://ssdweb.co/ssdweb/hd/Vision360.html?d=925551917&amp;zoomslide=1&amp;z=1925551917&amp;ISCONFIRM=0","VIDEO")</f>
        <v>VIDEO</v>
      </c>
      <c r="AA4083" s="19" t="str">
        <f>HYPERLINK("https://ssdweb.co/ssdweb/CERTH/7488535659.pdf","CERTI")</f>
        <v>CERTI</v>
      </c>
    </row>
    <row r="4084" spans="1:27" ht="15" x14ac:dyDescent="0.25">
      <c r="A4084" s="2">
        <v>4079</v>
      </c>
      <c r="B4084" s="39">
        <v>831010607</v>
      </c>
      <c r="C4084" s="28" t="str">
        <f>HYPERLINK("https://pld.live/RapDetail.aspx?STONELIST=831010607","DNA")</f>
        <v>DNA</v>
      </c>
      <c r="D4084" s="18" t="s">
        <v>711</v>
      </c>
      <c r="E4084" s="18" t="s">
        <v>5128</v>
      </c>
      <c r="F4084" s="2" t="s">
        <v>7987</v>
      </c>
      <c r="G4084" s="2" t="s">
        <v>1573</v>
      </c>
      <c r="H4084" s="14">
        <v>1.5</v>
      </c>
      <c r="I4084" s="2" t="s">
        <v>267</v>
      </c>
      <c r="J4084" s="2" t="s">
        <v>444</v>
      </c>
      <c r="K4084" s="2" t="s">
        <v>1452</v>
      </c>
      <c r="L4084" s="2" t="s">
        <v>5221</v>
      </c>
      <c r="M4084" s="2" t="s">
        <v>5221</v>
      </c>
      <c r="N4084" s="2" t="s">
        <v>2317</v>
      </c>
      <c r="O4084" s="14">
        <v>8100</v>
      </c>
      <c r="P4084" s="14">
        <v>98.52</v>
      </c>
      <c r="Q4084" s="14">
        <v>119.88</v>
      </c>
      <c r="R4084" s="14">
        <v>179.82</v>
      </c>
      <c r="S4084" s="2" t="s">
        <v>2331</v>
      </c>
      <c r="T4084" s="2">
        <v>1.38</v>
      </c>
      <c r="U4084" s="2">
        <v>61.1</v>
      </c>
      <c r="V4084" s="2">
        <v>61</v>
      </c>
      <c r="W4084" s="2" t="s">
        <v>7862</v>
      </c>
      <c r="X4084" s="2" t="s">
        <v>471</v>
      </c>
      <c r="Y4084" s="2">
        <v>12150</v>
      </c>
      <c r="Z4084" s="19" t="str">
        <f>HYPERLINK("https://ssdweb.co/ssdweb/hd/Vision360.html?d=831010607&amp;zoomslide=1&amp;z=1831010607&amp;ISCONFIRM=0","VIDEO")</f>
        <v>VIDEO</v>
      </c>
      <c r="AA4084" s="19" t="str">
        <f>HYPERLINK("https://ssdweb.co/ssdweb/CERTH/619424076.pdf","CERTI")</f>
        <v>CERTI</v>
      </c>
    </row>
    <row r="4085" spans="1:27" ht="15" x14ac:dyDescent="0.25">
      <c r="A4085" s="2">
        <v>4080</v>
      </c>
      <c r="B4085" s="39">
        <v>925621860</v>
      </c>
      <c r="C4085" s="28" t="str">
        <f>HYPERLINK("https://pld.live/RapDetail.aspx?STONELIST=925621860","DNA")</f>
        <v>DNA</v>
      </c>
      <c r="D4085" s="18" t="s">
        <v>711</v>
      </c>
      <c r="E4085" s="18" t="s">
        <v>5128</v>
      </c>
      <c r="F4085" s="2" t="s">
        <v>7987</v>
      </c>
      <c r="G4085" s="2" t="s">
        <v>1573</v>
      </c>
      <c r="H4085" s="14">
        <v>1.5</v>
      </c>
      <c r="I4085" s="2" t="s">
        <v>267</v>
      </c>
      <c r="J4085" s="2" t="s">
        <v>444</v>
      </c>
      <c r="K4085" s="2" t="s">
        <v>1452</v>
      </c>
      <c r="L4085" s="2" t="s">
        <v>5221</v>
      </c>
      <c r="M4085" s="2" t="s">
        <v>5221</v>
      </c>
      <c r="N4085" s="2" t="s">
        <v>2317</v>
      </c>
      <c r="O4085" s="14">
        <v>8100</v>
      </c>
      <c r="P4085" s="14">
        <v>98.52</v>
      </c>
      <c r="Q4085" s="14">
        <v>119.88</v>
      </c>
      <c r="R4085" s="14">
        <v>179.82</v>
      </c>
      <c r="S4085" s="2" t="s">
        <v>1143</v>
      </c>
      <c r="T4085" s="2">
        <v>1.35</v>
      </c>
      <c r="U4085" s="2">
        <v>63.6</v>
      </c>
      <c r="V4085" s="2">
        <v>59</v>
      </c>
      <c r="W4085" s="2" t="s">
        <v>7862</v>
      </c>
      <c r="X4085" s="2" t="s">
        <v>471</v>
      </c>
      <c r="Y4085" s="2">
        <v>12150</v>
      </c>
      <c r="Z4085" s="19" t="str">
        <f>HYPERLINK("https://ssdweb.co/ssdweb/hd/Vision360.html?d=925621860&amp;zoomslide=1&amp;z=1925621860&amp;ISCONFIRM=0","VIDEO")</f>
        <v>VIDEO</v>
      </c>
      <c r="AA4085" s="19" t="str">
        <f>HYPERLINK("https://ssdweb.co/ssdweb/CERTH/622461240.pdf","CERTI")</f>
        <v>CERTI</v>
      </c>
    </row>
    <row r="4086" spans="1:27" ht="15" x14ac:dyDescent="0.25">
      <c r="A4086" s="2">
        <v>4081</v>
      </c>
      <c r="B4086" s="39">
        <v>925120338</v>
      </c>
      <c r="C4086" s="28" t="str">
        <f>HYPERLINK("https://pld.live/RapDetail.aspx?STONELIST=925120338","DNA")</f>
        <v>DNA</v>
      </c>
      <c r="D4086" s="18" t="s">
        <v>711</v>
      </c>
      <c r="E4086" s="18" t="s">
        <v>5128</v>
      </c>
      <c r="F4086" s="2" t="s">
        <v>7987</v>
      </c>
      <c r="G4086" s="2" t="s">
        <v>1573</v>
      </c>
      <c r="H4086" s="14">
        <v>1.5</v>
      </c>
      <c r="I4086" s="2" t="s">
        <v>267</v>
      </c>
      <c r="J4086" s="2" t="s">
        <v>444</v>
      </c>
      <c r="K4086" s="2" t="s">
        <v>1452</v>
      </c>
      <c r="L4086" s="2" t="s">
        <v>5221</v>
      </c>
      <c r="M4086" s="2" t="s">
        <v>5221</v>
      </c>
      <c r="N4086" s="2" t="s">
        <v>2317</v>
      </c>
      <c r="O4086" s="14">
        <v>8100</v>
      </c>
      <c r="P4086" s="14">
        <v>98.52</v>
      </c>
      <c r="Q4086" s="14">
        <v>119.88</v>
      </c>
      <c r="R4086" s="14">
        <v>179.82</v>
      </c>
      <c r="S4086" s="2" t="s">
        <v>7384</v>
      </c>
      <c r="T4086" s="2">
        <v>1.45</v>
      </c>
      <c r="U4086" s="2">
        <v>62.4</v>
      </c>
      <c r="V4086" s="2">
        <v>58</v>
      </c>
      <c r="W4086" s="2" t="s">
        <v>7862</v>
      </c>
      <c r="X4086" s="2" t="s">
        <v>471</v>
      </c>
      <c r="Y4086" s="2">
        <v>12150</v>
      </c>
      <c r="Z4086" s="19" t="str">
        <f>HYPERLINK("https://ssdweb.co/ssdweb/hd/Vision360.html?d=925120338&amp;zoomslide=1&amp;z=1925120338&amp;ISCONFIRM=0","VIDEO")</f>
        <v>VIDEO</v>
      </c>
      <c r="AA4086" s="19" t="str">
        <f>HYPERLINK("https://ssdweb.co/ssdweb/CERTH/613393329.pdf","CERTI")</f>
        <v>CERTI</v>
      </c>
    </row>
    <row r="4087" spans="1:27" ht="15" x14ac:dyDescent="0.25">
      <c r="A4087" s="2">
        <v>4082</v>
      </c>
      <c r="B4087" s="39">
        <v>925140124</v>
      </c>
      <c r="C4087" s="28" t="str">
        <f>HYPERLINK("https://pld.live/RapDetail.aspx?STONELIST=925140124","DNA")</f>
        <v>DNA</v>
      </c>
      <c r="D4087" s="18" t="s">
        <v>711</v>
      </c>
      <c r="E4087" s="18" t="s">
        <v>5128</v>
      </c>
      <c r="F4087" s="2" t="s">
        <v>7987</v>
      </c>
      <c r="G4087" s="2" t="s">
        <v>1573</v>
      </c>
      <c r="H4087" s="14">
        <v>1.5</v>
      </c>
      <c r="I4087" s="2" t="s">
        <v>4761</v>
      </c>
      <c r="J4087" s="2" t="s">
        <v>7032</v>
      </c>
      <c r="K4087" s="2" t="s">
        <v>1452</v>
      </c>
      <c r="L4087" s="2" t="s">
        <v>5221</v>
      </c>
      <c r="M4087" s="2" t="s">
        <v>5221</v>
      </c>
      <c r="N4087" s="2" t="s">
        <v>2317</v>
      </c>
      <c r="O4087" s="14">
        <v>13200</v>
      </c>
      <c r="P4087" s="14">
        <v>97.01</v>
      </c>
      <c r="Q4087" s="14">
        <v>394.68</v>
      </c>
      <c r="R4087" s="14">
        <v>592.02</v>
      </c>
      <c r="S4087" s="2" t="s">
        <v>2759</v>
      </c>
      <c r="T4087" s="2">
        <v>1.4</v>
      </c>
      <c r="U4087" s="2">
        <v>62.6</v>
      </c>
      <c r="V4087" s="2">
        <v>60</v>
      </c>
      <c r="W4087" s="2" t="s">
        <v>7862</v>
      </c>
      <c r="X4087" s="2" t="s">
        <v>471</v>
      </c>
      <c r="Y4087" s="2">
        <v>19800</v>
      </c>
      <c r="Z4087" s="19" t="str">
        <f>HYPERLINK("https://ssdweb.co/ssdweb/hd/Vision360.html?d=925140124&amp;zoomslide=1&amp;z=1925140124&amp;ISCONFIRM=0","VIDEO")</f>
        <v>VIDEO</v>
      </c>
      <c r="AA4087" s="19" t="str">
        <f>HYPERLINK("https://ssdweb.co/ssdweb/CERTH/607332474.pdf","CERTI")</f>
        <v>CERTI</v>
      </c>
    </row>
    <row r="4088" spans="1:27" ht="15" x14ac:dyDescent="0.25">
      <c r="A4088" s="2">
        <v>4083</v>
      </c>
      <c r="B4088" s="39">
        <v>924610427</v>
      </c>
      <c r="C4088" s="28" t="str">
        <f>HYPERLINK("https://pld.live/RapDetail.aspx?STONELIST=924610427","DNA")</f>
        <v>DNA</v>
      </c>
      <c r="D4088" s="18" t="s">
        <v>711</v>
      </c>
      <c r="E4088" s="18" t="s">
        <v>5128</v>
      </c>
      <c r="F4088" s="2" t="s">
        <v>7987</v>
      </c>
      <c r="G4088" s="2" t="s">
        <v>1573</v>
      </c>
      <c r="H4088" s="14">
        <v>1.5</v>
      </c>
      <c r="I4088" s="2" t="s">
        <v>4761</v>
      </c>
      <c r="J4088" s="2" t="s">
        <v>444</v>
      </c>
      <c r="K4088" s="2" t="s">
        <v>1452</v>
      </c>
      <c r="L4088" s="2" t="s">
        <v>5221</v>
      </c>
      <c r="M4088" s="2" t="s">
        <v>5221</v>
      </c>
      <c r="N4088" s="2" t="s">
        <v>2317</v>
      </c>
      <c r="O4088" s="14">
        <v>7600</v>
      </c>
      <c r="P4088" s="14">
        <v>98.49</v>
      </c>
      <c r="Q4088" s="14">
        <v>114.76</v>
      </c>
      <c r="R4088" s="14">
        <v>172.14</v>
      </c>
      <c r="S4088" s="2" t="s">
        <v>7893</v>
      </c>
      <c r="T4088" s="2">
        <v>1.4</v>
      </c>
      <c r="U4088" s="2">
        <v>62.8</v>
      </c>
      <c r="V4088" s="2">
        <v>56</v>
      </c>
      <c r="W4088" s="2" t="s">
        <v>7862</v>
      </c>
      <c r="X4088" s="2" t="s">
        <v>471</v>
      </c>
      <c r="Y4088" s="2">
        <v>11400</v>
      </c>
      <c r="Z4088" s="19" t="str">
        <f>HYPERLINK("https://ssdweb.co/ssdweb/hd/Vision360.html?d=924610427&amp;zoomslide=1&amp;z=1924610427&amp;ISCONFIRM=0","VIDEO")</f>
        <v>VIDEO</v>
      </c>
      <c r="AA4088" s="19" t="str">
        <f>HYPERLINK("https://ssdweb.co/ssdweb/CERTH/600356305.pdf","CERTI")</f>
        <v>CERTI</v>
      </c>
    </row>
    <row r="4089" spans="1:27" ht="15" x14ac:dyDescent="0.25">
      <c r="A4089" s="2">
        <v>4084</v>
      </c>
      <c r="B4089" s="39">
        <v>925890147</v>
      </c>
      <c r="C4089" s="28" t="str">
        <f>HYPERLINK("https://pld.live/RapDetail.aspx?STONELIST=925890147","DNA")</f>
        <v>DNA</v>
      </c>
      <c r="D4089" s="18" t="s">
        <v>711</v>
      </c>
      <c r="E4089" s="18" t="s">
        <v>5128</v>
      </c>
      <c r="F4089" s="2" t="s">
        <v>7987</v>
      </c>
      <c r="G4089" s="2" t="s">
        <v>1573</v>
      </c>
      <c r="H4089" s="14">
        <v>1.5</v>
      </c>
      <c r="I4089" s="2" t="s">
        <v>4699</v>
      </c>
      <c r="J4089" s="2" t="s">
        <v>6555</v>
      </c>
      <c r="K4089" s="2" t="s">
        <v>1452</v>
      </c>
      <c r="L4089" s="2" t="s">
        <v>5221</v>
      </c>
      <c r="M4089" s="2" t="s">
        <v>5221</v>
      </c>
      <c r="N4089" s="2" t="s">
        <v>2317</v>
      </c>
      <c r="O4089" s="14">
        <v>11500</v>
      </c>
      <c r="P4089" s="14">
        <v>98.7</v>
      </c>
      <c r="Q4089" s="14">
        <v>149.5</v>
      </c>
      <c r="R4089" s="14">
        <v>224.25</v>
      </c>
      <c r="S4089" s="2" t="s">
        <v>4522</v>
      </c>
      <c r="T4089" s="2">
        <v>1.36</v>
      </c>
      <c r="U4089" s="2">
        <v>60.2</v>
      </c>
      <c r="V4089" s="2">
        <v>60</v>
      </c>
      <c r="W4089" s="2" t="s">
        <v>7862</v>
      </c>
      <c r="X4089" s="2" t="s">
        <v>471</v>
      </c>
      <c r="Y4089" s="2">
        <v>17250</v>
      </c>
      <c r="Z4089" s="19" t="str">
        <f>HYPERLINK("https://ssdweb.co/ssdweb/hd/Vision360.html?d=925890147&amp;zoomslide=1&amp;z=1925890147&amp;ISCONFIRM=0","VIDEO")</f>
        <v>VIDEO</v>
      </c>
      <c r="AA4089" s="19" t="str">
        <f>HYPERLINK("https://ssdweb.co/ssdweb/CERTH/627471571.pdf","CERTI")</f>
        <v>CERTI</v>
      </c>
    </row>
    <row r="4090" spans="1:27" ht="15" x14ac:dyDescent="0.25">
      <c r="A4090" s="2">
        <v>4085</v>
      </c>
      <c r="B4090" s="39">
        <v>926200754</v>
      </c>
      <c r="C4090" s="28" t="str">
        <f>HYPERLINK("https://pld.live/RapDetail.aspx?STONELIST=926200754","DNA")</f>
        <v>DNA</v>
      </c>
      <c r="D4090" s="18" t="s">
        <v>711</v>
      </c>
      <c r="E4090" s="18" t="s">
        <v>5128</v>
      </c>
      <c r="F4090" s="2" t="s">
        <v>7987</v>
      </c>
      <c r="G4090" s="2" t="s">
        <v>1573</v>
      </c>
      <c r="H4090" s="14">
        <v>1.5</v>
      </c>
      <c r="I4090" s="2" t="s">
        <v>6587</v>
      </c>
      <c r="J4090" s="2" t="s">
        <v>13</v>
      </c>
      <c r="K4090" s="2" t="s">
        <v>1452</v>
      </c>
      <c r="L4090" s="2" t="s">
        <v>5221</v>
      </c>
      <c r="M4090" s="2" t="s">
        <v>5221</v>
      </c>
      <c r="N4090" s="2" t="s">
        <v>2317</v>
      </c>
      <c r="O4090" s="14">
        <v>9300</v>
      </c>
      <c r="P4090" s="14">
        <v>98.84</v>
      </c>
      <c r="Q4090" s="14">
        <v>107.88</v>
      </c>
      <c r="R4090" s="14">
        <v>161.82</v>
      </c>
      <c r="S4090" s="2" t="s">
        <v>5090</v>
      </c>
      <c r="T4090" s="2">
        <v>1.36</v>
      </c>
      <c r="U4090" s="2">
        <v>62.3</v>
      </c>
      <c r="V4090" s="2">
        <v>61</v>
      </c>
      <c r="W4090" s="2" t="s">
        <v>4336</v>
      </c>
      <c r="X4090" s="2" t="s">
        <v>471</v>
      </c>
      <c r="Y4090" s="2">
        <v>13950</v>
      </c>
      <c r="Z4090" s="19" t="str">
        <f>HYPERLINK("https://ssdweb.co/ssdweb/hd/Vision360.html?d=926200754&amp;zoomslide=1&amp;z=1926200754&amp;ISCONFIRM=0","VIDEO")</f>
        <v>VIDEO</v>
      </c>
      <c r="AA4090" s="19" t="str">
        <f>HYPERLINK("https://ssdweb.co/ssdweb/CERTH/634431459.pdf","CERTI")</f>
        <v>CERTI</v>
      </c>
    </row>
    <row r="4091" spans="1:27" ht="15" x14ac:dyDescent="0.25">
      <c r="A4091" s="2">
        <v>4086</v>
      </c>
      <c r="B4091" s="39">
        <v>821124228</v>
      </c>
      <c r="C4091" s="28" t="str">
        <f>HYPERLINK("https://pld.live/RapDetail.aspx?STONELIST=821124228","DNA")</f>
        <v>DNA</v>
      </c>
      <c r="D4091" s="18" t="s">
        <v>5281</v>
      </c>
      <c r="E4091" s="18" t="s">
        <v>5128</v>
      </c>
      <c r="F4091" s="2" t="s">
        <v>7987</v>
      </c>
      <c r="G4091" s="2" t="s">
        <v>1573</v>
      </c>
      <c r="H4091" s="14">
        <v>1.48</v>
      </c>
      <c r="I4091" s="2" t="s">
        <v>267</v>
      </c>
      <c r="J4091" s="2" t="s">
        <v>6555</v>
      </c>
      <c r="K4091" s="2" t="s">
        <v>1452</v>
      </c>
      <c r="L4091" s="2" t="s">
        <v>5221</v>
      </c>
      <c r="M4091" s="2" t="s">
        <v>5221</v>
      </c>
      <c r="N4091" s="2" t="s">
        <v>2317</v>
      </c>
      <c r="O4091" s="14">
        <v>8200</v>
      </c>
      <c r="P4091" s="14">
        <v>97.87</v>
      </c>
      <c r="Q4091" s="14">
        <v>174.66</v>
      </c>
      <c r="R4091" s="14">
        <v>258.5</v>
      </c>
      <c r="S4091" s="2" t="s">
        <v>5145</v>
      </c>
      <c r="T4091" s="2">
        <v>1.37</v>
      </c>
      <c r="U4091" s="2">
        <v>63.5</v>
      </c>
      <c r="V4091" s="2">
        <v>59</v>
      </c>
      <c r="W4091" s="2" t="s">
        <v>7862</v>
      </c>
      <c r="X4091" s="2" t="s">
        <v>471</v>
      </c>
      <c r="Y4091" s="2">
        <v>12136</v>
      </c>
      <c r="Z4091" s="19" t="str">
        <f>HYPERLINK("https://ssdweb.co/ssdweb/hd/Vision360.html?d=821124228&amp;zoomslide=1&amp;z=1821124228&amp;ISCONFIRM=0","VIDEO")</f>
        <v>VIDEO</v>
      </c>
      <c r="AA4091" s="19" t="str">
        <f>HYPERLINK("https://ssdweb.co/ssdweb/CERTH/606361710.pdf","CERTI")</f>
        <v>CERTI</v>
      </c>
    </row>
    <row r="4092" spans="1:27" ht="15" x14ac:dyDescent="0.25">
      <c r="A4092" s="2">
        <v>4087</v>
      </c>
      <c r="B4092" s="39">
        <v>831010768</v>
      </c>
      <c r="C4092" s="28" t="str">
        <f>HYPERLINK("https://pld.live/RapDetail.aspx?STONELIST=831010768","DNA")</f>
        <v>DNA</v>
      </c>
      <c r="D4092" s="18" t="s">
        <v>5281</v>
      </c>
      <c r="E4092" s="18" t="s">
        <v>5128</v>
      </c>
      <c r="F4092" s="2" t="s">
        <v>7987</v>
      </c>
      <c r="G4092" s="2" t="s">
        <v>1573</v>
      </c>
      <c r="H4092" s="14">
        <v>1.48</v>
      </c>
      <c r="I4092" s="2" t="s">
        <v>267</v>
      </c>
      <c r="J4092" s="2" t="s">
        <v>6555</v>
      </c>
      <c r="K4092" s="2" t="s">
        <v>1452</v>
      </c>
      <c r="L4092" s="2" t="s">
        <v>5221</v>
      </c>
      <c r="M4092" s="2" t="s">
        <v>5221</v>
      </c>
      <c r="N4092" s="2" t="s">
        <v>2317</v>
      </c>
      <c r="O4092" s="14">
        <v>8200</v>
      </c>
      <c r="P4092" s="14">
        <v>97.87</v>
      </c>
      <c r="Q4092" s="14">
        <v>174.66</v>
      </c>
      <c r="R4092" s="14">
        <v>258.5</v>
      </c>
      <c r="S4092" s="2" t="s">
        <v>6512</v>
      </c>
      <c r="T4092" s="2">
        <v>1.4</v>
      </c>
      <c r="U4092" s="2">
        <v>61.1</v>
      </c>
      <c r="V4092" s="2">
        <v>59</v>
      </c>
      <c r="W4092" s="2" t="s">
        <v>7862</v>
      </c>
      <c r="X4092" s="2" t="s">
        <v>471</v>
      </c>
      <c r="Y4092" s="2">
        <v>12136</v>
      </c>
      <c r="Z4092" s="19" t="str">
        <f>HYPERLINK("https://ssdweb.co/ssdweb/hd/Vision360.html?d=831010768&amp;zoomslide=1&amp;z=1831010768&amp;ISCONFIRM=0","VIDEO")</f>
        <v>VIDEO</v>
      </c>
      <c r="AA4092" s="19" t="str">
        <f>HYPERLINK("https://ssdweb.co/ssdweb/CERTH/591344636.pdf","CERTI")</f>
        <v>CERTI</v>
      </c>
    </row>
    <row r="4093" spans="1:27" ht="15" x14ac:dyDescent="0.25">
      <c r="A4093" s="2">
        <v>4088</v>
      </c>
      <c r="B4093" s="39">
        <v>821123508</v>
      </c>
      <c r="C4093" s="28" t="str">
        <f>HYPERLINK("https://pld.live/RapDetail.aspx?STONELIST=821123508","DNA")</f>
        <v>DNA</v>
      </c>
      <c r="D4093" s="18" t="s">
        <v>5281</v>
      </c>
      <c r="E4093" s="18" t="s">
        <v>5128</v>
      </c>
      <c r="F4093" s="2" t="s">
        <v>7987</v>
      </c>
      <c r="G4093" s="2" t="s">
        <v>1573</v>
      </c>
      <c r="H4093" s="14">
        <v>1.47</v>
      </c>
      <c r="I4093" s="2" t="s">
        <v>267</v>
      </c>
      <c r="J4093" s="2" t="s">
        <v>6555</v>
      </c>
      <c r="K4093" s="2" t="s">
        <v>1452</v>
      </c>
      <c r="L4093" s="2" t="s">
        <v>5221</v>
      </c>
      <c r="M4093" s="2" t="s">
        <v>5221</v>
      </c>
      <c r="N4093" s="2" t="s">
        <v>2317</v>
      </c>
      <c r="O4093" s="14">
        <v>8200</v>
      </c>
      <c r="P4093" s="14">
        <v>97.87</v>
      </c>
      <c r="Q4093" s="14">
        <v>174.66</v>
      </c>
      <c r="R4093" s="14">
        <v>256.75</v>
      </c>
      <c r="S4093" s="2" t="s">
        <v>4262</v>
      </c>
      <c r="T4093" s="2">
        <v>1.39</v>
      </c>
      <c r="U4093" s="2">
        <v>62.2</v>
      </c>
      <c r="V4093" s="2">
        <v>59</v>
      </c>
      <c r="W4093" s="2" t="s">
        <v>7862</v>
      </c>
      <c r="X4093" s="2" t="s">
        <v>471</v>
      </c>
      <c r="Y4093" s="2">
        <v>12054</v>
      </c>
      <c r="Z4093" s="19" t="str">
        <f>HYPERLINK("https://ssdweb.co/ssdweb/hd/Vision360.html?d=821123508&amp;zoomslide=1&amp;z=1821123508&amp;ISCONFIRM=0","VIDEO")</f>
        <v>VIDEO</v>
      </c>
      <c r="AA4093" s="19" t="str">
        <f>HYPERLINK("https://ssdweb.co/ssdweb/CERTH/602302539.pdf","CERTI")</f>
        <v>CERTI</v>
      </c>
    </row>
    <row r="4094" spans="1:27" ht="15" x14ac:dyDescent="0.25">
      <c r="A4094" s="2">
        <v>4089</v>
      </c>
      <c r="B4094" s="39">
        <v>821123795</v>
      </c>
      <c r="C4094" s="28" t="str">
        <f>HYPERLINK("https://pld.live/RapDetail.aspx?STONELIST=821123795","DNA")</f>
        <v>DNA</v>
      </c>
      <c r="D4094" s="18" t="s">
        <v>5281</v>
      </c>
      <c r="E4094" s="18" t="s">
        <v>5128</v>
      </c>
      <c r="F4094" s="2" t="s">
        <v>7987</v>
      </c>
      <c r="G4094" s="2" t="s">
        <v>1573</v>
      </c>
      <c r="H4094" s="14">
        <v>1.47</v>
      </c>
      <c r="I4094" s="2" t="s">
        <v>267</v>
      </c>
      <c r="J4094" s="2" t="s">
        <v>6555</v>
      </c>
      <c r="K4094" s="2" t="s">
        <v>1452</v>
      </c>
      <c r="L4094" s="2" t="s">
        <v>5221</v>
      </c>
      <c r="M4094" s="2" t="s">
        <v>5221</v>
      </c>
      <c r="N4094" s="2" t="s">
        <v>2317</v>
      </c>
      <c r="O4094" s="14">
        <v>8200</v>
      </c>
      <c r="P4094" s="14">
        <v>97.87</v>
      </c>
      <c r="Q4094" s="14">
        <v>174.66</v>
      </c>
      <c r="R4094" s="14">
        <v>256.75</v>
      </c>
      <c r="S4094" s="2" t="s">
        <v>6648</v>
      </c>
      <c r="T4094" s="2">
        <v>1.38</v>
      </c>
      <c r="U4094" s="2">
        <v>59.4</v>
      </c>
      <c r="V4094" s="2">
        <v>61</v>
      </c>
      <c r="W4094" s="2" t="s">
        <v>7862</v>
      </c>
      <c r="X4094" s="2" t="s">
        <v>471</v>
      </c>
      <c r="Y4094" s="2">
        <v>12054</v>
      </c>
      <c r="Z4094" s="19" t="str">
        <f>HYPERLINK("https://ssdweb.co/ssdweb/hd/Vision360.html?d=821123795&amp;zoomslide=1&amp;z=1821123795&amp;ISCONFIRM=0","VIDEO")</f>
        <v>VIDEO</v>
      </c>
      <c r="AA4094" s="19" t="str">
        <f>HYPERLINK("https://ssdweb.co/ssdweb/CERTH/602302688.pdf","CERTI")</f>
        <v>CERTI</v>
      </c>
    </row>
    <row r="4095" spans="1:27" ht="15" x14ac:dyDescent="0.25">
      <c r="A4095" s="2">
        <v>4090</v>
      </c>
      <c r="B4095" s="39">
        <v>925801817</v>
      </c>
      <c r="C4095" s="28" t="str">
        <f>HYPERLINK("https://pld.live/RapDetail.aspx?STONELIST=925801817","DNA")</f>
        <v>DNA</v>
      </c>
      <c r="D4095" s="18" t="s">
        <v>5281</v>
      </c>
      <c r="E4095" s="18" t="s">
        <v>5128</v>
      </c>
      <c r="F4095" s="2" t="s">
        <v>7987</v>
      </c>
      <c r="G4095" s="2" t="s">
        <v>1573</v>
      </c>
      <c r="H4095" s="14">
        <v>1.47</v>
      </c>
      <c r="I4095" s="2" t="s">
        <v>267</v>
      </c>
      <c r="J4095" s="2" t="s">
        <v>13</v>
      </c>
      <c r="K4095" s="2" t="s">
        <v>1452</v>
      </c>
      <c r="L4095" s="2" t="s">
        <v>5221</v>
      </c>
      <c r="M4095" s="2" t="s">
        <v>5221</v>
      </c>
      <c r="N4095" s="2" t="s">
        <v>2317</v>
      </c>
      <c r="O4095" s="14">
        <v>6700</v>
      </c>
      <c r="P4095" s="14">
        <v>98.21</v>
      </c>
      <c r="Q4095" s="14">
        <v>119.93</v>
      </c>
      <c r="R4095" s="14">
        <v>176.3</v>
      </c>
      <c r="S4095" s="2" t="s">
        <v>3575</v>
      </c>
      <c r="T4095" s="2">
        <v>1.36</v>
      </c>
      <c r="U4095" s="2">
        <v>63.1</v>
      </c>
      <c r="V4095" s="2">
        <v>58</v>
      </c>
      <c r="W4095" s="2" t="s">
        <v>7862</v>
      </c>
      <c r="X4095" s="2" t="s">
        <v>471</v>
      </c>
      <c r="Y4095" s="2">
        <v>9849</v>
      </c>
      <c r="Z4095" s="19" t="str">
        <f>HYPERLINK("https://ssdweb.co/ssdweb/hd/Vision360.html?d=925801817&amp;zoomslide=1&amp;z=1925801817&amp;ISCONFIRM=0","VIDEO")</f>
        <v>VIDEO</v>
      </c>
      <c r="AA4095" s="19" t="str">
        <f>HYPERLINK("https://ssdweb.co/ssdweb/CERTH/626499181.pdf","CERTI")</f>
        <v>CERTI</v>
      </c>
    </row>
    <row r="4096" spans="1:27" ht="15" x14ac:dyDescent="0.25">
      <c r="A4096" s="2">
        <v>4091</v>
      </c>
      <c r="B4096" s="39">
        <v>926171531</v>
      </c>
      <c r="C4096" s="28" t="str">
        <f>HYPERLINK("https://pld.live/RapDetail.aspx?STONELIST=926171531","DNA")</f>
        <v>DNA</v>
      </c>
      <c r="D4096" s="18" t="s">
        <v>5281</v>
      </c>
      <c r="E4096" s="18" t="s">
        <v>5128</v>
      </c>
      <c r="F4096" s="2" t="s">
        <v>7987</v>
      </c>
      <c r="G4096" s="2" t="s">
        <v>1573</v>
      </c>
      <c r="H4096" s="14">
        <v>1.47</v>
      </c>
      <c r="I4096" s="2" t="s">
        <v>4761</v>
      </c>
      <c r="J4096" s="2" t="s">
        <v>13</v>
      </c>
      <c r="K4096" s="2" t="s">
        <v>1452</v>
      </c>
      <c r="L4096" s="2" t="s">
        <v>5221</v>
      </c>
      <c r="M4096" s="2" t="s">
        <v>5221</v>
      </c>
      <c r="N4096" s="2" t="s">
        <v>2317</v>
      </c>
      <c r="O4096" s="14">
        <v>6200</v>
      </c>
      <c r="P4096" s="14">
        <v>98.15</v>
      </c>
      <c r="Q4096" s="14">
        <v>114.7</v>
      </c>
      <c r="R4096" s="14">
        <v>168.61</v>
      </c>
      <c r="S4096" s="2" t="s">
        <v>6693</v>
      </c>
      <c r="T4096" s="2">
        <v>1.37</v>
      </c>
      <c r="U4096" s="2">
        <v>63</v>
      </c>
      <c r="V4096" s="2">
        <v>61</v>
      </c>
      <c r="W4096" s="2" t="s">
        <v>7862</v>
      </c>
      <c r="X4096" s="2" t="s">
        <v>471</v>
      </c>
      <c r="Y4096" s="2">
        <v>9114</v>
      </c>
      <c r="Z4096" s="19" t="str">
        <f>HYPERLINK("https://ssdweb.co/ssdweb/hd/Vision360.html?d=926171531&amp;zoomslide=1&amp;z=1926171531&amp;ISCONFIRM=0","VIDEO")</f>
        <v>VIDEO</v>
      </c>
      <c r="AA4096" s="19" t="str">
        <f>HYPERLINK("https://ssdweb.co/ssdweb/CERTH/635426921.pdf","CERTI")</f>
        <v>CERTI</v>
      </c>
    </row>
    <row r="4097" spans="1:27" ht="15" x14ac:dyDescent="0.25">
      <c r="A4097" s="2">
        <v>4092</v>
      </c>
      <c r="B4097" s="39">
        <v>927092555</v>
      </c>
      <c r="C4097" s="28" t="str">
        <f>HYPERLINK("https://pld.live/RapDetail.aspx?STONELIST=927092555","DNA")</f>
        <v>DNA</v>
      </c>
      <c r="D4097" s="18" t="s">
        <v>5281</v>
      </c>
      <c r="E4097" s="18" t="s">
        <v>5128</v>
      </c>
      <c r="F4097" s="2" t="s">
        <v>7987</v>
      </c>
      <c r="G4097" s="2" t="s">
        <v>1573</v>
      </c>
      <c r="H4097" s="14">
        <v>1.44</v>
      </c>
      <c r="I4097" s="2" t="s">
        <v>4761</v>
      </c>
      <c r="J4097" s="2" t="s">
        <v>5144</v>
      </c>
      <c r="K4097" s="2" t="s">
        <v>1452</v>
      </c>
      <c r="L4097" s="2" t="s">
        <v>5221</v>
      </c>
      <c r="M4097" s="2" t="s">
        <v>5221</v>
      </c>
      <c r="N4097" s="2" t="s">
        <v>2317</v>
      </c>
      <c r="O4097" s="14">
        <v>5400</v>
      </c>
      <c r="P4097" s="14">
        <v>97.96</v>
      </c>
      <c r="Q4097" s="14">
        <v>110.16</v>
      </c>
      <c r="R4097" s="14">
        <v>158.63</v>
      </c>
      <c r="S4097" s="2" t="s">
        <v>6441</v>
      </c>
      <c r="T4097" s="2">
        <v>1.42</v>
      </c>
      <c r="U4097" s="2">
        <v>61.8</v>
      </c>
      <c r="V4097" s="2">
        <v>61</v>
      </c>
      <c r="W4097" s="2" t="s">
        <v>7862</v>
      </c>
      <c r="X4097" s="2" t="s">
        <v>471</v>
      </c>
      <c r="Y4097" s="2">
        <v>7776</v>
      </c>
      <c r="Z4097" s="19" t="str">
        <f>HYPERLINK("https://ssdweb.co/ssdweb/hd/Vision360.html?d=927092555&amp;zoomslide=1&amp;z=1927092555&amp;ISCONFIRM=0","VIDEO")</f>
        <v>VIDEO</v>
      </c>
      <c r="AA4097" s="19" t="str">
        <f>HYPERLINK("https://ssdweb.co/ssdweb/CERTH/670484400.pdf","CERTI")</f>
        <v>CERTI</v>
      </c>
    </row>
    <row r="4098" spans="1:27" ht="15" x14ac:dyDescent="0.25">
      <c r="A4098" s="2">
        <v>4093</v>
      </c>
      <c r="B4098" s="39">
        <v>927010778</v>
      </c>
      <c r="C4098" s="28" t="str">
        <f>HYPERLINK("https://pld.live/RapDetail.aspx?STONELIST=927010778","DNA")</f>
        <v>DNA</v>
      </c>
      <c r="D4098" s="18" t="s">
        <v>5281</v>
      </c>
      <c r="E4098" s="18" t="s">
        <v>2186</v>
      </c>
      <c r="F4098" s="2" t="s">
        <v>7987</v>
      </c>
      <c r="G4098" s="2" t="s">
        <v>1573</v>
      </c>
      <c r="H4098" s="14">
        <v>1.41</v>
      </c>
      <c r="I4098" s="2" t="s">
        <v>4699</v>
      </c>
      <c r="J4098" s="2" t="s">
        <v>6555</v>
      </c>
      <c r="K4098" s="2" t="s">
        <v>1452</v>
      </c>
      <c r="L4098" s="2" t="s">
        <v>5221</v>
      </c>
      <c r="M4098" s="2" t="s">
        <v>5221</v>
      </c>
      <c r="N4098" s="2" t="s">
        <v>2317</v>
      </c>
      <c r="O4098" s="14">
        <v>6800</v>
      </c>
      <c r="P4098" s="14">
        <v>97.72</v>
      </c>
      <c r="Q4098" s="14">
        <v>155.04</v>
      </c>
      <c r="R4098" s="14">
        <v>218.61</v>
      </c>
      <c r="S4098" s="2" t="s">
        <v>4579</v>
      </c>
      <c r="T4098" s="2">
        <v>1.37</v>
      </c>
      <c r="U4098" s="2">
        <v>62.4</v>
      </c>
      <c r="V4098" s="2">
        <v>60</v>
      </c>
      <c r="W4098" s="2" t="s">
        <v>7862</v>
      </c>
      <c r="X4098" s="2" t="s">
        <v>471</v>
      </c>
      <c r="Y4098" s="2">
        <v>9588</v>
      </c>
      <c r="Z4098" s="19" t="str">
        <f>HYPERLINK("https://ssdweb.co/ssdweb/hd/Vision360.html?d=927010778&amp;zoomslide=1&amp;z=1927010778&amp;ISCONFIRM=0","VIDEO")</f>
        <v>VIDEO</v>
      </c>
      <c r="AA4098" s="19" t="str">
        <f>HYPERLINK("https://ssdweb.co/ssdweb/CERTH/670484469.pdf","CERTI")</f>
        <v>CERTI</v>
      </c>
    </row>
    <row r="4099" spans="1:27" ht="15" x14ac:dyDescent="0.25">
      <c r="A4099" s="2">
        <v>4094</v>
      </c>
      <c r="B4099" s="39">
        <v>926621027</v>
      </c>
      <c r="C4099" s="28" t="str">
        <f>HYPERLINK("https://pld.live/RapDetail.aspx?STONELIST=926621027","DNA")</f>
        <v>DNA</v>
      </c>
      <c r="D4099" s="18" t="s">
        <v>5281</v>
      </c>
      <c r="E4099" s="18" t="s">
        <v>5128</v>
      </c>
      <c r="F4099" s="2" t="s">
        <v>7987</v>
      </c>
      <c r="G4099" s="2" t="s">
        <v>1573</v>
      </c>
      <c r="H4099" s="14">
        <v>1.4</v>
      </c>
      <c r="I4099" s="2" t="s">
        <v>4761</v>
      </c>
      <c r="J4099" s="2" t="s">
        <v>3942</v>
      </c>
      <c r="K4099" s="2" t="s">
        <v>1452</v>
      </c>
      <c r="L4099" s="2" t="s">
        <v>5221</v>
      </c>
      <c r="M4099" s="2" t="s">
        <v>5221</v>
      </c>
      <c r="N4099" s="2" t="s">
        <v>2317</v>
      </c>
      <c r="O4099" s="14">
        <v>6900</v>
      </c>
      <c r="P4099" s="14">
        <v>98.19</v>
      </c>
      <c r="Q4099" s="14">
        <v>124.89</v>
      </c>
      <c r="R4099" s="14">
        <v>174.85</v>
      </c>
      <c r="S4099" s="2" t="s">
        <v>6714</v>
      </c>
      <c r="T4099" s="2">
        <v>1.36</v>
      </c>
      <c r="U4099" s="2">
        <v>63.4</v>
      </c>
      <c r="V4099" s="2">
        <v>59</v>
      </c>
      <c r="W4099" s="2" t="s">
        <v>7862</v>
      </c>
      <c r="X4099" s="2" t="s">
        <v>471</v>
      </c>
      <c r="Y4099" s="2">
        <v>9660</v>
      </c>
      <c r="Z4099" s="19" t="str">
        <f>HYPERLINK("https://ssdweb.co/ssdweb/hd/Vision360.html?d=926621027&amp;zoomslide=1&amp;z=1926621027&amp;ISCONFIRM=0","VIDEO")</f>
        <v>VIDEO</v>
      </c>
      <c r="AA4099" s="19" t="str">
        <f>HYPERLINK("https://ssdweb.co/ssdweb/CERTH/670484437.pdf","CERTI")</f>
        <v>CERTI</v>
      </c>
    </row>
    <row r="4100" spans="1:27" ht="15" x14ac:dyDescent="0.25">
      <c r="A4100" s="2">
        <v>4095</v>
      </c>
      <c r="B4100" s="39">
        <v>927030759</v>
      </c>
      <c r="C4100" s="28" t="str">
        <f>HYPERLINK("https://pld.live/RapDetail.aspx?STONELIST=927030759","DNA")</f>
        <v>DNA</v>
      </c>
      <c r="D4100" s="18" t="s">
        <v>5281</v>
      </c>
      <c r="E4100" s="18" t="s">
        <v>2186</v>
      </c>
      <c r="F4100" s="2" t="s">
        <v>7987</v>
      </c>
      <c r="G4100" s="2" t="s">
        <v>1573</v>
      </c>
      <c r="H4100" s="14">
        <v>1.4</v>
      </c>
      <c r="I4100" s="2" t="s">
        <v>4761</v>
      </c>
      <c r="J4100" s="2" t="s">
        <v>3942</v>
      </c>
      <c r="K4100" s="2" t="s">
        <v>1452</v>
      </c>
      <c r="L4100" s="2" t="s">
        <v>5221</v>
      </c>
      <c r="M4100" s="2" t="s">
        <v>5221</v>
      </c>
      <c r="N4100" s="2" t="s">
        <v>2317</v>
      </c>
      <c r="O4100" s="14">
        <v>6900</v>
      </c>
      <c r="P4100" s="14">
        <v>98.19</v>
      </c>
      <c r="Q4100" s="14">
        <v>124.89</v>
      </c>
      <c r="R4100" s="14">
        <v>174.85</v>
      </c>
      <c r="S4100" s="2" t="s">
        <v>4265</v>
      </c>
      <c r="T4100" s="2">
        <v>1.48</v>
      </c>
      <c r="U4100" s="2">
        <v>62.3</v>
      </c>
      <c r="V4100" s="2">
        <v>67</v>
      </c>
      <c r="W4100" s="2" t="s">
        <v>7862</v>
      </c>
      <c r="X4100" s="2" t="s">
        <v>471</v>
      </c>
      <c r="Y4100" s="2">
        <v>9660</v>
      </c>
      <c r="Z4100" s="19" t="str">
        <f>HYPERLINK("https://ssdweb.co/ssdweb/hd/Vision360.html?d=927030759&amp;zoomslide=1&amp;z=1927030759&amp;ISCONFIRM=0","VIDEO")</f>
        <v>VIDEO</v>
      </c>
      <c r="AA4100" s="19" t="str">
        <f>HYPERLINK("https://ssdweb.co/ssdweb/CERTH/667408299.pdf","CERTI")</f>
        <v>CERTI</v>
      </c>
    </row>
    <row r="4101" spans="1:27" ht="15" x14ac:dyDescent="0.25">
      <c r="A4101" s="2">
        <v>4096</v>
      </c>
      <c r="B4101" s="39">
        <v>927092363</v>
      </c>
      <c r="C4101" s="28" t="str">
        <f>HYPERLINK("https://pld.live/RapDetail.aspx?STONELIST=927092363","DNA")</f>
        <v>DNA</v>
      </c>
      <c r="D4101" s="18" t="s">
        <v>5281</v>
      </c>
      <c r="E4101" s="18" t="s">
        <v>5128</v>
      </c>
      <c r="F4101" s="2" t="s">
        <v>7987</v>
      </c>
      <c r="G4101" s="2" t="s">
        <v>1573</v>
      </c>
      <c r="H4101" s="14">
        <v>1.4</v>
      </c>
      <c r="I4101" s="2" t="s">
        <v>4761</v>
      </c>
      <c r="J4101" s="2" t="s">
        <v>13</v>
      </c>
      <c r="K4101" s="2" t="s">
        <v>1452</v>
      </c>
      <c r="L4101" s="2" t="s">
        <v>5221</v>
      </c>
      <c r="M4101" s="2" t="s">
        <v>5221</v>
      </c>
      <c r="N4101" s="2" t="s">
        <v>2317</v>
      </c>
      <c r="O4101" s="14">
        <v>6200</v>
      </c>
      <c r="P4101" s="14">
        <v>98.06</v>
      </c>
      <c r="Q4101" s="14">
        <v>120.28</v>
      </c>
      <c r="R4101" s="14">
        <v>168.39</v>
      </c>
      <c r="S4101" s="2" t="s">
        <v>4502</v>
      </c>
      <c r="T4101" s="2">
        <v>1.44</v>
      </c>
      <c r="U4101" s="2">
        <v>59.9</v>
      </c>
      <c r="V4101" s="2">
        <v>64</v>
      </c>
      <c r="W4101" s="2" t="s">
        <v>7862</v>
      </c>
      <c r="X4101" s="2" t="s">
        <v>471</v>
      </c>
      <c r="Y4101" s="2">
        <v>8680</v>
      </c>
      <c r="Z4101" s="19" t="str">
        <f>HYPERLINK("https://ssdweb.co/ssdweb/hd/Vision360.html?d=927092363&amp;zoomslide=1&amp;z=1927092363&amp;ISCONFIRM=0","VIDEO")</f>
        <v>VIDEO</v>
      </c>
      <c r="AA4101" s="19" t="str">
        <f>HYPERLINK("https://ssdweb.co/ssdweb/CERTH/670484398.pdf","CERTI")</f>
        <v>CERTI</v>
      </c>
    </row>
    <row r="4102" spans="1:27" ht="15" x14ac:dyDescent="0.25">
      <c r="A4102" s="2">
        <v>4097</v>
      </c>
      <c r="B4102" s="39">
        <v>926621094</v>
      </c>
      <c r="C4102" s="28" t="str">
        <f>HYPERLINK("https://pld.live/RapDetail.aspx?STONELIST=926621094","DNA")</f>
        <v>DNA</v>
      </c>
      <c r="D4102" s="18" t="s">
        <v>5235</v>
      </c>
      <c r="E4102" s="18" t="s">
        <v>5128</v>
      </c>
      <c r="F4102" s="2" t="s">
        <v>7987</v>
      </c>
      <c r="G4102" s="2" t="s">
        <v>1573</v>
      </c>
      <c r="H4102" s="14">
        <v>1.39</v>
      </c>
      <c r="I4102" s="2" t="s">
        <v>4761</v>
      </c>
      <c r="J4102" s="2" t="s">
        <v>3942</v>
      </c>
      <c r="K4102" s="2" t="s">
        <v>1452</v>
      </c>
      <c r="L4102" s="2" t="s">
        <v>5221</v>
      </c>
      <c r="M4102" s="2" t="s">
        <v>5221</v>
      </c>
      <c r="N4102" s="2" t="s">
        <v>2317</v>
      </c>
      <c r="O4102" s="14">
        <v>6900</v>
      </c>
      <c r="P4102" s="14">
        <v>98.19</v>
      </c>
      <c r="Q4102" s="14">
        <v>124.89</v>
      </c>
      <c r="R4102" s="14">
        <v>173.6</v>
      </c>
      <c r="S4102" s="2" t="s">
        <v>2534</v>
      </c>
      <c r="T4102" s="2">
        <v>1.36</v>
      </c>
      <c r="U4102" s="2">
        <v>61.7</v>
      </c>
      <c r="V4102" s="2">
        <v>61</v>
      </c>
      <c r="W4102" s="2" t="s">
        <v>7862</v>
      </c>
      <c r="X4102" s="2" t="s">
        <v>471</v>
      </c>
      <c r="Y4102" s="2">
        <v>9591</v>
      </c>
      <c r="Z4102" s="19" t="str">
        <f>HYPERLINK("https://ssdweb.co/ssdweb/hd/Vision360.html?d=926621094&amp;zoomslide=1&amp;z=1926621094&amp;ISCONFIRM=0","VIDEO")</f>
        <v>VIDEO</v>
      </c>
      <c r="AA4102" s="19" t="str">
        <f>HYPERLINK("https://ssdweb.co/ssdweb/CERTH/670484438.pdf","CERTI")</f>
        <v>CERTI</v>
      </c>
    </row>
    <row r="4103" spans="1:27" ht="15" x14ac:dyDescent="0.25">
      <c r="A4103" s="2">
        <v>4098</v>
      </c>
      <c r="B4103" s="39">
        <v>821114642</v>
      </c>
      <c r="C4103" s="28" t="str">
        <f>HYPERLINK("https://pld.live/RapDetail.aspx?STONELIST=821114642","DNA")</f>
        <v>DNA</v>
      </c>
      <c r="D4103" s="18" t="s">
        <v>5235</v>
      </c>
      <c r="E4103" s="18" t="s">
        <v>2186</v>
      </c>
      <c r="F4103" s="2" t="s">
        <v>7987</v>
      </c>
      <c r="G4103" s="2" t="s">
        <v>1573</v>
      </c>
      <c r="H4103" s="14">
        <v>1.38</v>
      </c>
      <c r="I4103" s="2" t="s">
        <v>6587</v>
      </c>
      <c r="J4103" s="2" t="s">
        <v>13</v>
      </c>
      <c r="K4103" s="2" t="s">
        <v>1452</v>
      </c>
      <c r="L4103" s="2" t="s">
        <v>5221</v>
      </c>
      <c r="M4103" s="2" t="s">
        <v>5221</v>
      </c>
      <c r="N4103" s="2" t="s">
        <v>2317</v>
      </c>
      <c r="O4103" s="14">
        <v>5400</v>
      </c>
      <c r="P4103" s="14">
        <v>98.06</v>
      </c>
      <c r="Q4103" s="14">
        <v>104.76</v>
      </c>
      <c r="R4103" s="14">
        <v>144.57</v>
      </c>
      <c r="S4103" s="2" t="s">
        <v>3051</v>
      </c>
      <c r="T4103" s="2">
        <v>1.43</v>
      </c>
      <c r="U4103" s="2">
        <v>61.9</v>
      </c>
      <c r="V4103" s="2">
        <v>61</v>
      </c>
      <c r="W4103" s="2" t="s">
        <v>7862</v>
      </c>
      <c r="X4103" s="2" t="s">
        <v>471</v>
      </c>
      <c r="Y4103" s="2">
        <v>7452</v>
      </c>
      <c r="Z4103" s="19" t="str">
        <f>HYPERLINK("https://ssdweb.co/ssdweb/hd/Vision360.html?d=821114642&amp;zoomslide=1&amp;z=1821114642&amp;ISCONFIRM=0","VIDEO")</f>
        <v>VIDEO</v>
      </c>
      <c r="AA4103" s="19" t="str">
        <f>HYPERLINK("https://ssdweb.co/ssdweb/CERTH/623407660.pdf","CERTI")</f>
        <v>CERTI</v>
      </c>
    </row>
    <row r="4104" spans="1:27" ht="15" x14ac:dyDescent="0.25">
      <c r="A4104" s="2">
        <v>4099</v>
      </c>
      <c r="B4104" s="39">
        <v>926200912</v>
      </c>
      <c r="C4104" s="28" t="str">
        <f>HYPERLINK("https://pld.live/RapDetail.aspx?STONELIST=926200912","DNA")</f>
        <v>DNA</v>
      </c>
      <c r="D4104" s="18" t="s">
        <v>5235</v>
      </c>
      <c r="E4104" s="18" t="s">
        <v>5128</v>
      </c>
      <c r="F4104" s="2" t="s">
        <v>7987</v>
      </c>
      <c r="G4104" s="2" t="s">
        <v>1573</v>
      </c>
      <c r="H4104" s="14">
        <v>1.31</v>
      </c>
      <c r="I4104" s="2" t="s">
        <v>267</v>
      </c>
      <c r="J4104" s="2" t="s">
        <v>6555</v>
      </c>
      <c r="K4104" s="2" t="s">
        <v>1452</v>
      </c>
      <c r="L4104" s="2" t="s">
        <v>5221</v>
      </c>
      <c r="M4104" s="2" t="s">
        <v>5221</v>
      </c>
      <c r="N4104" s="2" t="s">
        <v>2317</v>
      </c>
      <c r="O4104" s="14">
        <v>8200</v>
      </c>
      <c r="P4104" s="14">
        <v>97.99</v>
      </c>
      <c r="Q4104" s="14">
        <v>164.82</v>
      </c>
      <c r="R4104" s="14">
        <v>215.91</v>
      </c>
      <c r="S4104" s="2" t="s">
        <v>1322</v>
      </c>
      <c r="T4104" s="2">
        <v>1.38</v>
      </c>
      <c r="U4104" s="2">
        <v>62.4</v>
      </c>
      <c r="V4104" s="2">
        <v>60</v>
      </c>
      <c r="W4104" s="2" t="s">
        <v>7862</v>
      </c>
      <c r="X4104" s="2" t="s">
        <v>471</v>
      </c>
      <c r="Y4104" s="2">
        <v>10742</v>
      </c>
      <c r="Z4104" s="19" t="str">
        <f>HYPERLINK("https://ssdweb.co/ssdweb/hd/Vision360.html?d=926200912&amp;zoomslide=1&amp;z=1926200912&amp;ISCONFIRM=0","VIDEO")</f>
        <v>VIDEO</v>
      </c>
      <c r="AA4104" s="19" t="str">
        <f>HYPERLINK("https://ssdweb.co/ssdweb/CERTH/635423938.pdf","CERTI")</f>
        <v>CERTI</v>
      </c>
    </row>
    <row r="4105" spans="1:27" ht="15" x14ac:dyDescent="0.25">
      <c r="A4105" s="2">
        <v>4100</v>
      </c>
      <c r="B4105" s="39">
        <v>925542738</v>
      </c>
      <c r="C4105" s="28" t="str">
        <f>HYPERLINK("https://pld.live/RapDetail.aspx?STONELIST=925542738","DNA")</f>
        <v>DNA</v>
      </c>
      <c r="D4105" s="18" t="s">
        <v>5235</v>
      </c>
      <c r="E4105" s="18" t="s">
        <v>5128</v>
      </c>
      <c r="F4105" s="2" t="s">
        <v>7987</v>
      </c>
      <c r="G4105" s="2" t="s">
        <v>1573</v>
      </c>
      <c r="H4105" s="14">
        <v>1.31</v>
      </c>
      <c r="I4105" s="2" t="s">
        <v>267</v>
      </c>
      <c r="J4105" s="2" t="s">
        <v>13</v>
      </c>
      <c r="K4105" s="2" t="s">
        <v>1452</v>
      </c>
      <c r="L4105" s="2" t="s">
        <v>5221</v>
      </c>
      <c r="M4105" s="2" t="s">
        <v>5221</v>
      </c>
      <c r="N4105" s="2" t="s">
        <v>2317</v>
      </c>
      <c r="O4105" s="14">
        <v>6700</v>
      </c>
      <c r="P4105" s="14">
        <v>98.21</v>
      </c>
      <c r="Q4105" s="14">
        <v>119.93</v>
      </c>
      <c r="R4105" s="14">
        <v>157.11000000000001</v>
      </c>
      <c r="S4105" s="2" t="s">
        <v>4153</v>
      </c>
      <c r="T4105" s="2">
        <v>1.36</v>
      </c>
      <c r="U4105" s="2">
        <v>60.7</v>
      </c>
      <c r="V4105" s="2">
        <v>62</v>
      </c>
      <c r="W4105" s="2" t="s">
        <v>7862</v>
      </c>
      <c r="X4105" s="2" t="s">
        <v>471</v>
      </c>
      <c r="Y4105" s="2">
        <v>8777</v>
      </c>
      <c r="Z4105" s="19" t="str">
        <f>HYPERLINK("https://ssdweb.co/ssdweb/hd/Vision360.html?d=925542738&amp;zoomslide=1&amp;z=1925542738&amp;ISCONFIRM=0","VIDEO")</f>
        <v>VIDEO</v>
      </c>
      <c r="AA4105" s="19" t="str">
        <f>HYPERLINK("https://ssdweb.co/ssdweb/CERTH/621448118.pdf","CERTI")</f>
        <v>CERTI</v>
      </c>
    </row>
    <row r="4106" spans="1:27" ht="15" x14ac:dyDescent="0.25">
      <c r="A4106" s="2">
        <v>4101</v>
      </c>
      <c r="B4106" s="39">
        <v>925130064</v>
      </c>
      <c r="C4106" s="28" t="str">
        <f>HYPERLINK("https://pld.live/RapDetail.aspx?STONELIST=925130064","DNA")</f>
        <v>DNA</v>
      </c>
      <c r="D4106" s="18" t="s">
        <v>5235</v>
      </c>
      <c r="E4106" s="18" t="s">
        <v>5128</v>
      </c>
      <c r="F4106" s="2" t="s">
        <v>7987</v>
      </c>
      <c r="G4106" s="2" t="s">
        <v>1573</v>
      </c>
      <c r="H4106" s="14">
        <v>1.3</v>
      </c>
      <c r="I4106" s="2" t="s">
        <v>4761</v>
      </c>
      <c r="J4106" s="2" t="s">
        <v>3942</v>
      </c>
      <c r="K4106" s="2" t="s">
        <v>1452</v>
      </c>
      <c r="L4106" s="2" t="s">
        <v>5221</v>
      </c>
      <c r="M4106" s="2" t="s">
        <v>5221</v>
      </c>
      <c r="N4106" s="2" t="s">
        <v>2317</v>
      </c>
      <c r="O4106" s="14">
        <v>6900</v>
      </c>
      <c r="P4106" s="14">
        <v>98.29</v>
      </c>
      <c r="Q4106" s="14">
        <v>117.99</v>
      </c>
      <c r="R4106" s="14">
        <v>153.38999999999999</v>
      </c>
      <c r="S4106" s="2" t="s">
        <v>3521</v>
      </c>
      <c r="T4106" s="2">
        <v>1.38</v>
      </c>
      <c r="U4106" s="2">
        <v>61.6</v>
      </c>
      <c r="V4106" s="2">
        <v>59</v>
      </c>
      <c r="W4106" s="2" t="s">
        <v>4336</v>
      </c>
      <c r="X4106" s="2" t="s">
        <v>471</v>
      </c>
      <c r="Y4106" s="2">
        <v>8970</v>
      </c>
      <c r="Z4106" s="19" t="str">
        <f>HYPERLINK("https://ssdweb.co/ssdweb/hd/Vision360.html?d=925130064&amp;zoomslide=1&amp;z=1925130064&amp;ISCONFIRM=0","VIDEO")</f>
        <v>VIDEO</v>
      </c>
      <c r="AA4106" s="19" t="str">
        <f>HYPERLINK("https://ssdweb.co/ssdweb/CERTH/607378410.pdf","CERTI")</f>
        <v>CERTI</v>
      </c>
    </row>
    <row r="4107" spans="1:27" ht="15" x14ac:dyDescent="0.25">
      <c r="A4107" s="2">
        <v>4102</v>
      </c>
      <c r="B4107" s="39">
        <v>925621571</v>
      </c>
      <c r="C4107" s="28" t="str">
        <f>HYPERLINK("https://pld.live/RapDetail.aspx?STONELIST=925621571","DNA")</f>
        <v>DNA</v>
      </c>
      <c r="D4107" s="18" t="s">
        <v>5235</v>
      </c>
      <c r="E4107" s="18" t="s">
        <v>5128</v>
      </c>
      <c r="F4107" s="2" t="s">
        <v>7987</v>
      </c>
      <c r="G4107" s="2" t="s">
        <v>1573</v>
      </c>
      <c r="H4107" s="14">
        <v>1.26</v>
      </c>
      <c r="I4107" s="2" t="s">
        <v>267</v>
      </c>
      <c r="J4107" s="2" t="s">
        <v>13</v>
      </c>
      <c r="K4107" s="2" t="s">
        <v>1452</v>
      </c>
      <c r="L4107" s="2" t="s">
        <v>5221</v>
      </c>
      <c r="M4107" s="2" t="s">
        <v>5221</v>
      </c>
      <c r="N4107" s="2" t="s">
        <v>2317</v>
      </c>
      <c r="O4107" s="14">
        <v>6700</v>
      </c>
      <c r="P4107" s="14">
        <v>98.21</v>
      </c>
      <c r="Q4107" s="14">
        <v>119.93</v>
      </c>
      <c r="R4107" s="14">
        <v>151.11000000000001</v>
      </c>
      <c r="S4107" s="2" t="s">
        <v>7387</v>
      </c>
      <c r="T4107" s="2">
        <v>1.38</v>
      </c>
      <c r="U4107" s="2">
        <v>62.4</v>
      </c>
      <c r="V4107" s="2">
        <v>60</v>
      </c>
      <c r="W4107" s="2" t="s">
        <v>7862</v>
      </c>
      <c r="X4107" s="2" t="s">
        <v>471</v>
      </c>
      <c r="Y4107" s="2">
        <v>8442</v>
      </c>
      <c r="Z4107" s="19" t="str">
        <f>HYPERLINK("https://ssdweb.co/ssdweb/hd/Vision360.html?d=925621571&amp;zoomslide=1&amp;z=1925621571&amp;ISCONFIRM=0","VIDEO")</f>
        <v>VIDEO</v>
      </c>
      <c r="AA4107" s="19" t="str">
        <f>HYPERLINK("https://ssdweb.co/ssdweb/CERTH/620448946.pdf","CERTI")</f>
        <v>CERTI</v>
      </c>
    </row>
    <row r="4108" spans="1:27" ht="15" x14ac:dyDescent="0.25">
      <c r="A4108" s="2">
        <v>4103</v>
      </c>
      <c r="B4108" s="39">
        <v>925140273</v>
      </c>
      <c r="C4108" s="28" t="str">
        <f>HYPERLINK("https://pld.live/RapDetail.aspx?STONELIST=925140273","DNA")</f>
        <v>DNA</v>
      </c>
      <c r="D4108" s="18" t="s">
        <v>5235</v>
      </c>
      <c r="E4108" s="18" t="s">
        <v>5128</v>
      </c>
      <c r="F4108" s="2" t="s">
        <v>7987</v>
      </c>
      <c r="G4108" s="2" t="s">
        <v>1573</v>
      </c>
      <c r="H4108" s="14">
        <v>1.24</v>
      </c>
      <c r="I4108" s="2" t="s">
        <v>267</v>
      </c>
      <c r="J4108" s="2" t="s">
        <v>6555</v>
      </c>
      <c r="K4108" s="2" t="s">
        <v>1452</v>
      </c>
      <c r="L4108" s="2" t="s">
        <v>5221</v>
      </c>
      <c r="M4108" s="2" t="s">
        <v>5221</v>
      </c>
      <c r="N4108" s="2" t="s">
        <v>2317</v>
      </c>
      <c r="O4108" s="14">
        <v>8200</v>
      </c>
      <c r="P4108" s="14">
        <v>97.99</v>
      </c>
      <c r="Q4108" s="14">
        <v>164.82</v>
      </c>
      <c r="R4108" s="14">
        <v>204.38</v>
      </c>
      <c r="S4108" s="2" t="s">
        <v>5548</v>
      </c>
      <c r="T4108" s="2">
        <v>1.38</v>
      </c>
      <c r="U4108" s="2">
        <v>62.3</v>
      </c>
      <c r="V4108" s="2">
        <v>60</v>
      </c>
      <c r="W4108" s="2" t="s">
        <v>7862</v>
      </c>
      <c r="X4108" s="2" t="s">
        <v>471</v>
      </c>
      <c r="Y4108" s="2">
        <v>10168</v>
      </c>
      <c r="Z4108" s="19" t="str">
        <f>HYPERLINK("https://ssdweb.co/ssdweb/hd/Vision360.html?d=925140273&amp;zoomslide=1&amp;z=1925140273&amp;ISCONFIRM=0","VIDEO")</f>
        <v>VIDEO</v>
      </c>
      <c r="AA4108" s="19" t="str">
        <f>HYPERLINK("https://ssdweb.co/ssdweb/CERTH/613349733.pdf","CERTI")</f>
        <v>CERTI</v>
      </c>
    </row>
    <row r="4109" spans="1:27" ht="15" x14ac:dyDescent="0.25">
      <c r="A4109" s="2">
        <v>4104</v>
      </c>
      <c r="B4109" s="39">
        <v>926071832</v>
      </c>
      <c r="C4109" s="28" t="str">
        <f>HYPERLINK("https://pld.live/RapDetail.aspx?STONELIST=926071832","DNA")</f>
        <v>DNA</v>
      </c>
      <c r="D4109" s="18" t="s">
        <v>5235</v>
      </c>
      <c r="E4109" s="18" t="s">
        <v>5128</v>
      </c>
      <c r="F4109" s="2" t="s">
        <v>7987</v>
      </c>
      <c r="G4109" s="2" t="s">
        <v>1573</v>
      </c>
      <c r="H4109" s="14">
        <v>1.24</v>
      </c>
      <c r="I4109" s="2" t="s">
        <v>267</v>
      </c>
      <c r="J4109" s="2" t="s">
        <v>3942</v>
      </c>
      <c r="K4109" s="2" t="s">
        <v>1452</v>
      </c>
      <c r="L4109" s="2" t="s">
        <v>5221</v>
      </c>
      <c r="M4109" s="2" t="s">
        <v>5221</v>
      </c>
      <c r="N4109" s="2" t="s">
        <v>2317</v>
      </c>
      <c r="O4109" s="14">
        <v>7600</v>
      </c>
      <c r="P4109" s="14">
        <v>98.29</v>
      </c>
      <c r="Q4109" s="14">
        <v>129.96</v>
      </c>
      <c r="R4109" s="14">
        <v>161.15</v>
      </c>
      <c r="S4109" s="2" t="s">
        <v>2576</v>
      </c>
      <c r="T4109" s="2">
        <v>1.37</v>
      </c>
      <c r="U4109" s="2">
        <v>62.7</v>
      </c>
      <c r="V4109" s="2">
        <v>63</v>
      </c>
      <c r="W4109" s="2" t="s">
        <v>7862</v>
      </c>
      <c r="X4109" s="2" t="s">
        <v>471</v>
      </c>
      <c r="Y4109" s="2">
        <v>9424</v>
      </c>
      <c r="Z4109" s="19" t="str">
        <f>HYPERLINK("https://ssdweb.co/ssdweb/hd/Vision360.html?d=926071832&amp;zoomslide=1&amp;z=1926071832&amp;ISCONFIRM=0","VIDEO")</f>
        <v>VIDEO</v>
      </c>
      <c r="AA4109" s="19" t="str">
        <f>HYPERLINK("https://ssdweb.co/ssdweb/CERTH/631464031.pdf","CERTI")</f>
        <v>CERTI</v>
      </c>
    </row>
    <row r="4110" spans="1:27" ht="15" x14ac:dyDescent="0.25">
      <c r="A4110" s="2">
        <v>4105</v>
      </c>
      <c r="B4110" s="39">
        <v>926040608</v>
      </c>
      <c r="C4110" s="28" t="str">
        <f>HYPERLINK("https://pld.live/RapDetail.aspx?STONELIST=926040608","DNA")</f>
        <v>DNA</v>
      </c>
      <c r="D4110" s="18" t="s">
        <v>5235</v>
      </c>
      <c r="E4110" s="18" t="s">
        <v>5128</v>
      </c>
      <c r="F4110" s="2" t="s">
        <v>7987</v>
      </c>
      <c r="G4110" s="2" t="s">
        <v>1573</v>
      </c>
      <c r="H4110" s="14">
        <v>1.24</v>
      </c>
      <c r="I4110" s="2" t="s">
        <v>267</v>
      </c>
      <c r="J4110" s="2" t="s">
        <v>3942</v>
      </c>
      <c r="K4110" s="2" t="s">
        <v>1452</v>
      </c>
      <c r="L4110" s="2" t="s">
        <v>5221</v>
      </c>
      <c r="M4110" s="2" t="s">
        <v>5221</v>
      </c>
      <c r="N4110" s="2" t="s">
        <v>2317</v>
      </c>
      <c r="O4110" s="14">
        <v>7600</v>
      </c>
      <c r="P4110" s="14">
        <v>98.29</v>
      </c>
      <c r="Q4110" s="14">
        <v>129.96</v>
      </c>
      <c r="R4110" s="14">
        <v>161.15</v>
      </c>
      <c r="S4110" s="2" t="s">
        <v>3056</v>
      </c>
      <c r="T4110" s="2">
        <v>1.37</v>
      </c>
      <c r="U4110" s="2">
        <v>61.1</v>
      </c>
      <c r="V4110" s="2">
        <v>60</v>
      </c>
      <c r="W4110" s="2" t="s">
        <v>7862</v>
      </c>
      <c r="X4110" s="2" t="s">
        <v>471</v>
      </c>
      <c r="Y4110" s="2">
        <v>9424</v>
      </c>
      <c r="Z4110" s="19" t="str">
        <f>HYPERLINK("https://ssdweb.co/ssdweb/hd/Vision360.html?d=926040608&amp;zoomslide=1&amp;z=1926040608&amp;ISCONFIRM=0","VIDEO")</f>
        <v>VIDEO</v>
      </c>
      <c r="AA4110" s="19" t="str">
        <f>HYPERLINK("https://ssdweb.co/ssdweb/CERTH/629481878.pdf","CERTI")</f>
        <v>CERTI</v>
      </c>
    </row>
    <row r="4111" spans="1:27" ht="15" x14ac:dyDescent="0.25">
      <c r="A4111" s="2">
        <v>4106</v>
      </c>
      <c r="B4111" s="39">
        <v>925861973</v>
      </c>
      <c r="C4111" s="28" t="str">
        <f>HYPERLINK("https://pld.live/RapDetail.aspx?STONELIST=925861973","DNA")</f>
        <v>DNA</v>
      </c>
      <c r="D4111" s="18" t="s">
        <v>5235</v>
      </c>
      <c r="E4111" s="18" t="s">
        <v>5128</v>
      </c>
      <c r="F4111" s="2" t="s">
        <v>7987</v>
      </c>
      <c r="G4111" s="2" t="s">
        <v>1573</v>
      </c>
      <c r="H4111" s="14">
        <v>1.24</v>
      </c>
      <c r="I4111" s="2" t="s">
        <v>267</v>
      </c>
      <c r="J4111" s="2" t="s">
        <v>5144</v>
      </c>
      <c r="K4111" s="2" t="s">
        <v>1452</v>
      </c>
      <c r="L4111" s="2" t="s">
        <v>5221</v>
      </c>
      <c r="M4111" s="2" t="s">
        <v>5221</v>
      </c>
      <c r="N4111" s="2" t="s">
        <v>2317</v>
      </c>
      <c r="O4111" s="14">
        <v>5700</v>
      </c>
      <c r="P4111" s="14">
        <v>97.98</v>
      </c>
      <c r="Q4111" s="14">
        <v>115.14</v>
      </c>
      <c r="R4111" s="14">
        <v>142.77000000000001</v>
      </c>
      <c r="S4111" s="2" t="s">
        <v>2374</v>
      </c>
      <c r="T4111" s="2">
        <v>1.44</v>
      </c>
      <c r="U4111" s="2">
        <v>61.8</v>
      </c>
      <c r="V4111" s="2">
        <v>59</v>
      </c>
      <c r="W4111" s="2" t="s">
        <v>7862</v>
      </c>
      <c r="X4111" s="2" t="s">
        <v>471</v>
      </c>
      <c r="Y4111" s="2">
        <v>7068</v>
      </c>
      <c r="Z4111" s="19" t="str">
        <f>HYPERLINK("https://ssdweb.co/ssdweb/hd/Vision360.html?d=925861973&amp;zoomslide=1&amp;z=1925861973&amp;ISCONFIRM=0","VIDEO")</f>
        <v>VIDEO</v>
      </c>
      <c r="AA4111" s="19" t="str">
        <f>HYPERLINK("https://ssdweb.co/ssdweb/CERTH/628463129.pdf","CERTI")</f>
        <v>CERTI</v>
      </c>
    </row>
    <row r="4112" spans="1:27" ht="15" x14ac:dyDescent="0.25">
      <c r="A4112" s="2">
        <v>4107</v>
      </c>
      <c r="B4112" s="39">
        <v>821115376</v>
      </c>
      <c r="C4112" s="28" t="str">
        <f>HYPERLINK("https://pld.live/RapDetail.aspx?STONELIST=821115376","DNA")</f>
        <v>DNA</v>
      </c>
      <c r="D4112" s="18" t="s">
        <v>5235</v>
      </c>
      <c r="E4112" s="18" t="s">
        <v>2186</v>
      </c>
      <c r="F4112" s="2" t="s">
        <v>7987</v>
      </c>
      <c r="G4112" s="2" t="s">
        <v>1573</v>
      </c>
      <c r="H4112" s="14">
        <v>1.23</v>
      </c>
      <c r="I4112" s="2" t="s">
        <v>4699</v>
      </c>
      <c r="J4112" s="2" t="s">
        <v>3942</v>
      </c>
      <c r="K4112" s="2" t="s">
        <v>1452</v>
      </c>
      <c r="L4112" s="2" t="s">
        <v>5221</v>
      </c>
      <c r="M4112" s="2" t="s">
        <v>5221</v>
      </c>
      <c r="N4112" s="2" t="s">
        <v>2317</v>
      </c>
      <c r="O4112" s="14">
        <v>6400</v>
      </c>
      <c r="P4112" s="14">
        <v>98.2</v>
      </c>
      <c r="Q4112" s="14">
        <v>115.2</v>
      </c>
      <c r="R4112" s="14">
        <v>141.69999999999999</v>
      </c>
      <c r="S4112" s="2" t="s">
        <v>6909</v>
      </c>
      <c r="T4112" s="2">
        <v>1.41</v>
      </c>
      <c r="U4112" s="2">
        <v>61.6</v>
      </c>
      <c r="V4112" s="2">
        <v>60</v>
      </c>
      <c r="W4112" s="2" t="s">
        <v>7862</v>
      </c>
      <c r="X4112" s="2" t="s">
        <v>471</v>
      </c>
      <c r="Y4112" s="2">
        <v>7872</v>
      </c>
      <c r="Z4112" s="19" t="str">
        <f>HYPERLINK("https://ssdweb.co/ssdweb/hd/Vision360.html?d=821115376&amp;zoomslide=1&amp;z=1821115376&amp;ISCONFIRM=0","VIDEO")</f>
        <v>VIDEO</v>
      </c>
      <c r="AA4112" s="19" t="str">
        <f>HYPERLINK("https://ssdweb.co/ssdweb/CERTH/627489547.pdf","CERTI")</f>
        <v>CERTI</v>
      </c>
    </row>
    <row r="4113" spans="1:27" ht="15" x14ac:dyDescent="0.25">
      <c r="A4113" s="2">
        <v>4108</v>
      </c>
      <c r="B4113" s="39">
        <v>926041287</v>
      </c>
      <c r="C4113" s="28" t="str">
        <f>HYPERLINK("https://pld.live/RapDetail.aspx?STONELIST=926041287","DNA")</f>
        <v>DNA</v>
      </c>
      <c r="D4113" s="18" t="s">
        <v>5235</v>
      </c>
      <c r="E4113" s="18" t="s">
        <v>5128</v>
      </c>
      <c r="F4113" s="2" t="s">
        <v>7987</v>
      </c>
      <c r="G4113" s="2" t="s">
        <v>1573</v>
      </c>
      <c r="H4113" s="14">
        <v>1.22</v>
      </c>
      <c r="I4113" s="2" t="s">
        <v>267</v>
      </c>
      <c r="J4113" s="2" t="s">
        <v>13</v>
      </c>
      <c r="K4113" s="2" t="s">
        <v>1452</v>
      </c>
      <c r="L4113" s="2" t="s">
        <v>5221</v>
      </c>
      <c r="M4113" s="2" t="s">
        <v>5221</v>
      </c>
      <c r="N4113" s="2" t="s">
        <v>2317</v>
      </c>
      <c r="O4113" s="14">
        <v>6700</v>
      </c>
      <c r="P4113" s="14">
        <v>98.21</v>
      </c>
      <c r="Q4113" s="14">
        <v>119.93</v>
      </c>
      <c r="R4113" s="14">
        <v>146.31</v>
      </c>
      <c r="S4113" s="2" t="s">
        <v>7927</v>
      </c>
      <c r="T4113" s="2">
        <v>1.38</v>
      </c>
      <c r="U4113" s="2">
        <v>62.3</v>
      </c>
      <c r="V4113" s="2">
        <v>60</v>
      </c>
      <c r="W4113" s="2" t="s">
        <v>7862</v>
      </c>
      <c r="X4113" s="2" t="s">
        <v>471</v>
      </c>
      <c r="Y4113" s="2">
        <v>8174</v>
      </c>
      <c r="Z4113" s="19" t="str">
        <f>HYPERLINK("https://ssdweb.co/ssdweb/hd/Vision360.html?d=926041287&amp;zoomslide=1&amp;z=1926041287&amp;ISCONFIRM=0","VIDEO")</f>
        <v>VIDEO</v>
      </c>
      <c r="AA4113" s="19" t="str">
        <f>HYPERLINK("https://ssdweb.co/ssdweb/CERTH/631464207.pdf","CERTI")</f>
        <v>CERTI</v>
      </c>
    </row>
    <row r="4114" spans="1:27" ht="15" x14ac:dyDescent="0.25">
      <c r="A4114" s="2">
        <v>4109</v>
      </c>
      <c r="B4114" s="39">
        <v>925110281</v>
      </c>
      <c r="C4114" s="28" t="str">
        <f>HYPERLINK("https://pld.live/RapDetail.aspx?STONELIST=925110281","DNA")</f>
        <v>DNA</v>
      </c>
      <c r="D4114" s="18" t="s">
        <v>5235</v>
      </c>
      <c r="E4114" s="18" t="s">
        <v>5128</v>
      </c>
      <c r="F4114" s="2" t="s">
        <v>7987</v>
      </c>
      <c r="G4114" s="2" t="s">
        <v>1573</v>
      </c>
      <c r="H4114" s="14">
        <v>1.22</v>
      </c>
      <c r="I4114" s="2" t="s">
        <v>4761</v>
      </c>
      <c r="J4114" s="2" t="s">
        <v>7032</v>
      </c>
      <c r="K4114" s="2" t="s">
        <v>1452</v>
      </c>
      <c r="L4114" s="2" t="s">
        <v>5221</v>
      </c>
      <c r="M4114" s="2" t="s">
        <v>5221</v>
      </c>
      <c r="N4114" s="2" t="s">
        <v>2317</v>
      </c>
      <c r="O4114" s="14">
        <v>8200</v>
      </c>
      <c r="P4114" s="14">
        <v>96.52</v>
      </c>
      <c r="Q4114" s="14">
        <v>285.36</v>
      </c>
      <c r="R4114" s="14">
        <v>348.14</v>
      </c>
      <c r="S4114" s="2" t="s">
        <v>1384</v>
      </c>
      <c r="T4114" s="2">
        <v>1.43</v>
      </c>
      <c r="U4114" s="2">
        <v>60.7</v>
      </c>
      <c r="V4114" s="2">
        <v>61</v>
      </c>
      <c r="W4114" s="2" t="s">
        <v>7862</v>
      </c>
      <c r="X4114" s="2" t="s">
        <v>471</v>
      </c>
      <c r="Y4114" s="2">
        <v>10004</v>
      </c>
      <c r="Z4114" s="19" t="str">
        <f>HYPERLINK("https://ssdweb.co/ssdweb/hd/Vision360.html?d=925110281&amp;zoomslide=1&amp;z=1925110281&amp;ISCONFIRM=0","VIDEO")</f>
        <v>VIDEO</v>
      </c>
      <c r="AA4114" s="19" t="str">
        <f>HYPERLINK("https://ssdweb.co/ssdweb/CERTH/607378381.pdf","CERTI")</f>
        <v>CERTI</v>
      </c>
    </row>
    <row r="4115" spans="1:27" ht="15" x14ac:dyDescent="0.25">
      <c r="A4115" s="2">
        <v>4110</v>
      </c>
      <c r="B4115" s="39">
        <v>925450160</v>
      </c>
      <c r="C4115" s="28" t="str">
        <f>HYPERLINK("https://pld.live/RapDetail.aspx?STONELIST=925450160","DNA")</f>
        <v>DNA</v>
      </c>
      <c r="D4115" s="18" t="s">
        <v>5235</v>
      </c>
      <c r="E4115" s="18" t="s">
        <v>2186</v>
      </c>
      <c r="F4115" s="2" t="s">
        <v>7987</v>
      </c>
      <c r="G4115" s="2" t="s">
        <v>1573</v>
      </c>
      <c r="H4115" s="14">
        <v>1.22</v>
      </c>
      <c r="I4115" s="2" t="s">
        <v>4761</v>
      </c>
      <c r="J4115" s="2" t="s">
        <v>5144</v>
      </c>
      <c r="K4115" s="2" t="s">
        <v>1452</v>
      </c>
      <c r="L4115" s="2" t="s">
        <v>5221</v>
      </c>
      <c r="M4115" s="2" t="s">
        <v>5221</v>
      </c>
      <c r="N4115" s="2" t="s">
        <v>2317</v>
      </c>
      <c r="O4115" s="14">
        <v>5400</v>
      </c>
      <c r="P4115" s="14">
        <v>97.96</v>
      </c>
      <c r="Q4115" s="14">
        <v>110.16</v>
      </c>
      <c r="R4115" s="14">
        <v>134.4</v>
      </c>
      <c r="S4115" s="2" t="s">
        <v>6258</v>
      </c>
      <c r="T4115" s="2">
        <v>1.4</v>
      </c>
      <c r="U4115" s="2">
        <v>60.8</v>
      </c>
      <c r="V4115" s="2">
        <v>62</v>
      </c>
      <c r="W4115" s="2" t="s">
        <v>7862</v>
      </c>
      <c r="X4115" s="2" t="s">
        <v>471</v>
      </c>
      <c r="Y4115" s="2">
        <v>6588</v>
      </c>
      <c r="Z4115" s="19" t="str">
        <f>HYPERLINK("https://ssdweb.co/ssdweb/hd/Vision360.html?d=925450160&amp;zoomslide=1&amp;z=1925450160&amp;ISCONFIRM=0","VIDEO")</f>
        <v>VIDEO</v>
      </c>
      <c r="AA4115" s="19" t="str">
        <f>HYPERLINK("https://ssdweb.co/ssdweb/CERTH/623493313.pdf","CERTI")</f>
        <v>CERTI</v>
      </c>
    </row>
    <row r="4116" spans="1:27" ht="15" x14ac:dyDescent="0.25">
      <c r="A4116" s="2">
        <v>4111</v>
      </c>
      <c r="B4116" s="39">
        <v>925110383</v>
      </c>
      <c r="C4116" s="28" t="str">
        <f>HYPERLINK("https://pld.live/RapDetail.aspx?STONELIST=925110383","DNA")</f>
        <v>DNA</v>
      </c>
      <c r="D4116" s="18" t="s">
        <v>5235</v>
      </c>
      <c r="E4116" s="18" t="s">
        <v>5128</v>
      </c>
      <c r="F4116" s="2" t="s">
        <v>7987</v>
      </c>
      <c r="G4116" s="2" t="s">
        <v>1573</v>
      </c>
      <c r="H4116" s="14">
        <v>1.21</v>
      </c>
      <c r="I4116" s="2" t="s">
        <v>267</v>
      </c>
      <c r="J4116" s="2" t="s">
        <v>13</v>
      </c>
      <c r="K4116" s="2" t="s">
        <v>1452</v>
      </c>
      <c r="L4116" s="2" t="s">
        <v>5221</v>
      </c>
      <c r="M4116" s="2" t="s">
        <v>5221</v>
      </c>
      <c r="N4116" s="2" t="s">
        <v>2317</v>
      </c>
      <c r="O4116" s="14">
        <v>6700</v>
      </c>
      <c r="P4116" s="14">
        <v>98.21</v>
      </c>
      <c r="Q4116" s="14">
        <v>119.93</v>
      </c>
      <c r="R4116" s="14">
        <v>145.12</v>
      </c>
      <c r="S4116" s="2" t="s">
        <v>4366</v>
      </c>
      <c r="T4116" s="2">
        <v>1.38</v>
      </c>
      <c r="U4116" s="2">
        <v>61.2</v>
      </c>
      <c r="V4116" s="2">
        <v>59</v>
      </c>
      <c r="W4116" s="2" t="s">
        <v>7862</v>
      </c>
      <c r="X4116" s="2" t="s">
        <v>471</v>
      </c>
      <c r="Y4116" s="2">
        <v>8107</v>
      </c>
      <c r="Z4116" s="19" t="str">
        <f>HYPERLINK("https://ssdweb.co/ssdweb/hd/Vision360.html?d=925110383&amp;zoomslide=1&amp;z=1925110383&amp;ISCONFIRM=0","VIDEO")</f>
        <v>VIDEO</v>
      </c>
      <c r="AA4116" s="19" t="str">
        <f>HYPERLINK("https://ssdweb.co/ssdweb/CERTH/611396927.pdf","CERTI")</f>
        <v>CERTI</v>
      </c>
    </row>
    <row r="4117" spans="1:27" ht="15" x14ac:dyDescent="0.25">
      <c r="A4117" s="2">
        <v>4112</v>
      </c>
      <c r="B4117" s="39">
        <v>925110378</v>
      </c>
      <c r="C4117" s="28" t="str">
        <f>HYPERLINK("https://pld.live/RapDetail.aspx?STONELIST=925110378","DNA")</f>
        <v>DNA</v>
      </c>
      <c r="D4117" s="18" t="s">
        <v>5235</v>
      </c>
      <c r="E4117" s="18" t="s">
        <v>5128</v>
      </c>
      <c r="F4117" s="2" t="s">
        <v>7987</v>
      </c>
      <c r="G4117" s="2" t="s">
        <v>1573</v>
      </c>
      <c r="H4117" s="14">
        <v>1.21</v>
      </c>
      <c r="I4117" s="2" t="s">
        <v>4761</v>
      </c>
      <c r="J4117" s="2" t="s">
        <v>3942</v>
      </c>
      <c r="K4117" s="2" t="s">
        <v>1452</v>
      </c>
      <c r="L4117" s="2" t="s">
        <v>5221</v>
      </c>
      <c r="M4117" s="2" t="s">
        <v>5221</v>
      </c>
      <c r="N4117" s="2" t="s">
        <v>2317</v>
      </c>
      <c r="O4117" s="14">
        <v>6900</v>
      </c>
      <c r="P4117" s="14">
        <v>98.26</v>
      </c>
      <c r="Q4117" s="14">
        <v>120.06</v>
      </c>
      <c r="R4117" s="14">
        <v>145.27000000000001</v>
      </c>
      <c r="S4117" s="2" t="s">
        <v>5230</v>
      </c>
      <c r="T4117" s="2">
        <v>1.39</v>
      </c>
      <c r="U4117" s="2">
        <v>62.3</v>
      </c>
      <c r="V4117" s="2">
        <v>59</v>
      </c>
      <c r="W4117" s="2" t="s">
        <v>7862</v>
      </c>
      <c r="X4117" s="2" t="s">
        <v>471</v>
      </c>
      <c r="Y4117" s="2">
        <v>8349</v>
      </c>
      <c r="Z4117" s="19" t="str">
        <f>HYPERLINK("https://ssdweb.co/ssdweb/hd/Vision360.html?d=925110378&amp;zoomslide=1&amp;z=1925110378&amp;ISCONFIRM=0","VIDEO")</f>
        <v>VIDEO</v>
      </c>
      <c r="AA4117" s="19" t="str">
        <f>HYPERLINK("https://ssdweb.co/ssdweb/CERTH/611395901.pdf","CERTI")</f>
        <v>CERTI</v>
      </c>
    </row>
    <row r="4118" spans="1:27" ht="15" x14ac:dyDescent="0.25">
      <c r="A4118" s="2">
        <v>4113</v>
      </c>
      <c r="B4118" s="39">
        <v>925621810</v>
      </c>
      <c r="C4118" s="28" t="str">
        <f>HYPERLINK("https://pld.live/RapDetail.aspx?STONELIST=925621810","DNA")</f>
        <v>DNA</v>
      </c>
      <c r="D4118" s="18" t="s">
        <v>5235</v>
      </c>
      <c r="E4118" s="18" t="s">
        <v>5128</v>
      </c>
      <c r="F4118" s="2" t="s">
        <v>7987</v>
      </c>
      <c r="G4118" s="2" t="s">
        <v>1573</v>
      </c>
      <c r="H4118" s="14">
        <v>1.2</v>
      </c>
      <c r="I4118" s="2" t="s">
        <v>267</v>
      </c>
      <c r="J4118" s="2" t="s">
        <v>3942</v>
      </c>
      <c r="K4118" s="2" t="s">
        <v>1452</v>
      </c>
      <c r="L4118" s="2" t="s">
        <v>5221</v>
      </c>
      <c r="M4118" s="2" t="s">
        <v>5221</v>
      </c>
      <c r="N4118" s="2" t="s">
        <v>2317</v>
      </c>
      <c r="O4118" s="14">
        <v>7600</v>
      </c>
      <c r="P4118" s="14">
        <v>98.29</v>
      </c>
      <c r="Q4118" s="14">
        <v>129.96</v>
      </c>
      <c r="R4118" s="14">
        <v>155.94999999999999</v>
      </c>
      <c r="S4118" s="2" t="s">
        <v>3148</v>
      </c>
      <c r="T4118" s="2">
        <v>1.37</v>
      </c>
      <c r="U4118" s="2">
        <v>62.9</v>
      </c>
      <c r="V4118" s="2">
        <v>61</v>
      </c>
      <c r="W4118" s="2" t="s">
        <v>7862</v>
      </c>
      <c r="X4118" s="2" t="s">
        <v>471</v>
      </c>
      <c r="Y4118" s="2">
        <v>9120</v>
      </c>
      <c r="Z4118" s="19" t="str">
        <f>HYPERLINK("https://ssdweb.co/ssdweb/hd/Vision360.html?d=925621810&amp;zoomslide=1&amp;z=1925621810&amp;ISCONFIRM=0","VIDEO")</f>
        <v>VIDEO</v>
      </c>
      <c r="AA4118" s="19" t="str">
        <f>HYPERLINK("https://ssdweb.co/ssdweb/CERTH/621448164.pdf","CERTI")</f>
        <v>CERTI</v>
      </c>
    </row>
    <row r="4119" spans="1:27" ht="15" x14ac:dyDescent="0.25">
      <c r="A4119" s="2">
        <v>4114</v>
      </c>
      <c r="B4119" s="39">
        <v>925300340</v>
      </c>
      <c r="C4119" s="28" t="str">
        <f>HYPERLINK("https://pld.live/RapDetail.aspx?STONELIST=925300340","DNA")</f>
        <v>DNA</v>
      </c>
      <c r="D4119" s="18" t="s">
        <v>5235</v>
      </c>
      <c r="E4119" s="18" t="s">
        <v>5128</v>
      </c>
      <c r="F4119" s="2" t="s">
        <v>7987</v>
      </c>
      <c r="G4119" s="2" t="s">
        <v>1573</v>
      </c>
      <c r="H4119" s="14">
        <v>1.2</v>
      </c>
      <c r="I4119" s="2" t="s">
        <v>267</v>
      </c>
      <c r="J4119" s="2" t="s">
        <v>3942</v>
      </c>
      <c r="K4119" s="2" t="s">
        <v>1452</v>
      </c>
      <c r="L4119" s="2" t="s">
        <v>5221</v>
      </c>
      <c r="M4119" s="2" t="s">
        <v>5221</v>
      </c>
      <c r="N4119" s="2" t="s">
        <v>2317</v>
      </c>
      <c r="O4119" s="14">
        <v>7600</v>
      </c>
      <c r="P4119" s="14">
        <v>98.29</v>
      </c>
      <c r="Q4119" s="14">
        <v>129.96</v>
      </c>
      <c r="R4119" s="14">
        <v>155.94999999999999</v>
      </c>
      <c r="S4119" s="2" t="s">
        <v>5962</v>
      </c>
      <c r="T4119" s="2">
        <v>1.38</v>
      </c>
      <c r="U4119" s="2">
        <v>60.5</v>
      </c>
      <c r="V4119" s="2">
        <v>58</v>
      </c>
      <c r="W4119" s="2" t="s">
        <v>7862</v>
      </c>
      <c r="X4119" s="2" t="s">
        <v>471</v>
      </c>
      <c r="Y4119" s="2">
        <v>9120</v>
      </c>
      <c r="Z4119" s="19" t="str">
        <f>HYPERLINK("https://ssdweb.co/ssdweb/hd/Vision360.html?d=925300340&amp;zoomslide=1&amp;z=1925300340&amp;ISCONFIRM=0","VIDEO")</f>
        <v>VIDEO</v>
      </c>
      <c r="AA4119" s="19" t="str">
        <f>HYPERLINK("https://ssdweb.co/ssdweb/CERTH/619469710.pdf","CERTI")</f>
        <v>CERTI</v>
      </c>
    </row>
    <row r="4120" spans="1:27" ht="15" x14ac:dyDescent="0.25">
      <c r="A4120" s="2">
        <v>4115</v>
      </c>
      <c r="B4120" s="39">
        <v>925521961</v>
      </c>
      <c r="C4120" s="28" t="str">
        <f>HYPERLINK("https://pld.live/RapDetail.aspx?STONELIST=925521961","DNA")</f>
        <v>DNA</v>
      </c>
      <c r="D4120" s="18" t="s">
        <v>5235</v>
      </c>
      <c r="E4120" s="18" t="s">
        <v>5128</v>
      </c>
      <c r="F4120" s="2" t="s">
        <v>7987</v>
      </c>
      <c r="G4120" s="2" t="s">
        <v>1573</v>
      </c>
      <c r="H4120" s="14">
        <v>1.2</v>
      </c>
      <c r="I4120" s="2" t="s">
        <v>267</v>
      </c>
      <c r="J4120" s="2" t="s">
        <v>3942</v>
      </c>
      <c r="K4120" s="2" t="s">
        <v>1452</v>
      </c>
      <c r="L4120" s="2" t="s">
        <v>5221</v>
      </c>
      <c r="M4120" s="2" t="s">
        <v>5221</v>
      </c>
      <c r="N4120" s="2" t="s">
        <v>2317</v>
      </c>
      <c r="O4120" s="14">
        <v>7600</v>
      </c>
      <c r="P4120" s="14">
        <v>98.29</v>
      </c>
      <c r="Q4120" s="14">
        <v>129.96</v>
      </c>
      <c r="R4120" s="14">
        <v>155.94999999999999</v>
      </c>
      <c r="S4120" s="2" t="s">
        <v>3518</v>
      </c>
      <c r="T4120" s="2">
        <v>1.39</v>
      </c>
      <c r="U4120" s="2">
        <v>62.3</v>
      </c>
      <c r="V4120" s="2">
        <v>56</v>
      </c>
      <c r="W4120" s="2" t="s">
        <v>7862</v>
      </c>
      <c r="X4120" s="2" t="s">
        <v>471</v>
      </c>
      <c r="Y4120" s="2">
        <v>9120</v>
      </c>
      <c r="Z4120" s="19" t="str">
        <f>HYPERLINK("https://ssdweb.co/ssdweb/hd/Vision360.html?d=925521961&amp;zoomslide=1&amp;z=1925521961&amp;ISCONFIRM=0","VIDEO")</f>
        <v>VIDEO</v>
      </c>
      <c r="AA4120" s="19" t="str">
        <f>HYPERLINK("https://ssdweb.co/ssdweb/CERTH/621475810.pdf","CERTI")</f>
        <v>CERTI</v>
      </c>
    </row>
    <row r="4121" spans="1:27" ht="15" x14ac:dyDescent="0.25">
      <c r="A4121" s="2">
        <v>4116</v>
      </c>
      <c r="B4121" s="39">
        <v>926041239</v>
      </c>
      <c r="C4121" s="28" t="str">
        <f>HYPERLINK("https://pld.live/RapDetail.aspx?STONELIST=926041239","DNA")</f>
        <v>DNA</v>
      </c>
      <c r="D4121" s="18" t="s">
        <v>5235</v>
      </c>
      <c r="E4121" s="18" t="s">
        <v>5128</v>
      </c>
      <c r="F4121" s="2" t="s">
        <v>7987</v>
      </c>
      <c r="G4121" s="2" t="s">
        <v>1573</v>
      </c>
      <c r="H4121" s="14">
        <v>1.2</v>
      </c>
      <c r="I4121" s="2" t="s">
        <v>267</v>
      </c>
      <c r="J4121" s="2" t="s">
        <v>3942</v>
      </c>
      <c r="K4121" s="2" t="s">
        <v>1452</v>
      </c>
      <c r="L4121" s="2" t="s">
        <v>5221</v>
      </c>
      <c r="M4121" s="2" t="s">
        <v>5721</v>
      </c>
      <c r="N4121" s="2" t="s">
        <v>2317</v>
      </c>
      <c r="O4121" s="14">
        <v>7600</v>
      </c>
      <c r="P4121" s="14">
        <v>98.32</v>
      </c>
      <c r="Q4121" s="14">
        <v>127.68</v>
      </c>
      <c r="R4121" s="14">
        <v>153.22</v>
      </c>
      <c r="S4121" s="2" t="s">
        <v>5385</v>
      </c>
      <c r="T4121" s="2">
        <v>1.4</v>
      </c>
      <c r="U4121" s="2">
        <v>60.3</v>
      </c>
      <c r="V4121" s="2">
        <v>61</v>
      </c>
      <c r="W4121" s="2" t="s">
        <v>7862</v>
      </c>
      <c r="X4121" s="2" t="s">
        <v>471</v>
      </c>
      <c r="Y4121" s="2">
        <v>9120</v>
      </c>
      <c r="Z4121" s="19" t="str">
        <f>HYPERLINK("https://ssdweb.co/ssdweb/hd/Vision360.html?d=926041239&amp;zoomslide=1&amp;z=1926041239&amp;ISCONFIRM=0","VIDEO")</f>
        <v>VIDEO</v>
      </c>
      <c r="AA4121" s="19" t="str">
        <f>HYPERLINK("https://ssdweb.co/ssdweb/CERTH/631430167.pdf","CERTI")</f>
        <v>CERTI</v>
      </c>
    </row>
    <row r="4122" spans="1:27" ht="15" x14ac:dyDescent="0.25">
      <c r="A4122" s="2">
        <v>4117</v>
      </c>
      <c r="B4122" s="39">
        <v>925140296</v>
      </c>
      <c r="C4122" s="28" t="str">
        <f>HYPERLINK("https://pld.live/RapDetail.aspx?STONELIST=925140296","DNA")</f>
        <v>DNA</v>
      </c>
      <c r="D4122" s="18" t="s">
        <v>5235</v>
      </c>
      <c r="E4122" s="18" t="s">
        <v>5128</v>
      </c>
      <c r="F4122" s="2" t="s">
        <v>7987</v>
      </c>
      <c r="G4122" s="2" t="s">
        <v>1573</v>
      </c>
      <c r="H4122" s="14">
        <v>1.2</v>
      </c>
      <c r="I4122" s="2" t="s">
        <v>267</v>
      </c>
      <c r="J4122" s="2" t="s">
        <v>13</v>
      </c>
      <c r="K4122" s="2" t="s">
        <v>1452</v>
      </c>
      <c r="L4122" s="2" t="s">
        <v>5221</v>
      </c>
      <c r="M4122" s="2" t="s">
        <v>5221</v>
      </c>
      <c r="N4122" s="2" t="s">
        <v>2317</v>
      </c>
      <c r="O4122" s="14">
        <v>6700</v>
      </c>
      <c r="P4122" s="14">
        <v>98.21</v>
      </c>
      <c r="Q4122" s="14">
        <v>119.93</v>
      </c>
      <c r="R4122" s="14">
        <v>143.91999999999999</v>
      </c>
      <c r="S4122" s="2" t="s">
        <v>5325</v>
      </c>
      <c r="T4122" s="2">
        <v>1.38</v>
      </c>
      <c r="U4122" s="2">
        <v>61.9</v>
      </c>
      <c r="V4122" s="2">
        <v>62</v>
      </c>
      <c r="W4122" s="2" t="s">
        <v>7862</v>
      </c>
      <c r="X4122" s="2" t="s">
        <v>471</v>
      </c>
      <c r="Y4122" s="2">
        <v>8040</v>
      </c>
      <c r="Z4122" s="19" t="str">
        <f>HYPERLINK("https://ssdweb.co/ssdweb/hd/Vision360.html?d=925140296&amp;zoomslide=1&amp;z=1925140296&amp;ISCONFIRM=0","VIDEO")</f>
        <v>VIDEO</v>
      </c>
      <c r="AA4122" s="19" t="str">
        <f>HYPERLINK("https://ssdweb.co/ssdweb/CERTH/613393295.pdf","CERTI")</f>
        <v>CERTI</v>
      </c>
    </row>
    <row r="4123" spans="1:27" ht="15" x14ac:dyDescent="0.25">
      <c r="A4123" s="2">
        <v>4118</v>
      </c>
      <c r="B4123" s="39">
        <v>925270554</v>
      </c>
      <c r="C4123" s="28" t="str">
        <f>HYPERLINK("https://pld.live/RapDetail.aspx?STONELIST=925270554","DNA")</f>
        <v>DNA</v>
      </c>
      <c r="D4123" s="18" t="s">
        <v>5235</v>
      </c>
      <c r="E4123" s="18" t="s">
        <v>5128</v>
      </c>
      <c r="F4123" s="2" t="s">
        <v>7987</v>
      </c>
      <c r="G4123" s="2" t="s">
        <v>1573</v>
      </c>
      <c r="H4123" s="14">
        <v>1.2</v>
      </c>
      <c r="I4123" s="2" t="s">
        <v>267</v>
      </c>
      <c r="J4123" s="2" t="s">
        <v>13</v>
      </c>
      <c r="K4123" s="2" t="s">
        <v>1452</v>
      </c>
      <c r="L4123" s="2" t="s">
        <v>5221</v>
      </c>
      <c r="M4123" s="2" t="s">
        <v>5221</v>
      </c>
      <c r="N4123" s="2" t="s">
        <v>2317</v>
      </c>
      <c r="O4123" s="14">
        <v>6700</v>
      </c>
      <c r="P4123" s="14">
        <v>98.21</v>
      </c>
      <c r="Q4123" s="14">
        <v>119.93</v>
      </c>
      <c r="R4123" s="14">
        <v>143.91999999999999</v>
      </c>
      <c r="S4123" s="2" t="s">
        <v>4272</v>
      </c>
      <c r="T4123" s="2">
        <v>1.38</v>
      </c>
      <c r="U4123" s="2">
        <v>60</v>
      </c>
      <c r="V4123" s="2">
        <v>62</v>
      </c>
      <c r="W4123" s="2" t="s">
        <v>7862</v>
      </c>
      <c r="X4123" s="2" t="s">
        <v>471</v>
      </c>
      <c r="Y4123" s="2">
        <v>8040</v>
      </c>
      <c r="Z4123" s="19" t="str">
        <f>HYPERLINK("https://ssdweb.co/ssdweb/hd/Vision360.html?d=925270554&amp;zoomslide=1&amp;z=1925270554&amp;ISCONFIRM=0","VIDEO")</f>
        <v>VIDEO</v>
      </c>
      <c r="AA4123" s="19" t="str">
        <f>HYPERLINK("https://ssdweb.co/ssdweb/CERTH/620403204.pdf","CERTI")</f>
        <v>CERTI</v>
      </c>
    </row>
    <row r="4124" spans="1:27" ht="15" x14ac:dyDescent="0.25">
      <c r="A4124" s="2">
        <v>4119</v>
      </c>
      <c r="B4124" s="39">
        <v>925140306</v>
      </c>
      <c r="C4124" s="28" t="str">
        <f>HYPERLINK("https://pld.live/RapDetail.aspx?STONELIST=925140306","DNA")</f>
        <v>DNA</v>
      </c>
      <c r="D4124" s="18" t="s">
        <v>5235</v>
      </c>
      <c r="E4124" s="18" t="s">
        <v>5128</v>
      </c>
      <c r="F4124" s="2" t="s">
        <v>7987</v>
      </c>
      <c r="G4124" s="2" t="s">
        <v>1573</v>
      </c>
      <c r="H4124" s="14">
        <v>1.2</v>
      </c>
      <c r="I4124" s="2" t="s">
        <v>267</v>
      </c>
      <c r="J4124" s="2" t="s">
        <v>13</v>
      </c>
      <c r="K4124" s="2" t="s">
        <v>1452</v>
      </c>
      <c r="L4124" s="2" t="s">
        <v>5221</v>
      </c>
      <c r="M4124" s="2" t="s">
        <v>5221</v>
      </c>
      <c r="N4124" s="2" t="s">
        <v>2317</v>
      </c>
      <c r="O4124" s="14">
        <v>6700</v>
      </c>
      <c r="P4124" s="14">
        <v>98.21</v>
      </c>
      <c r="Q4124" s="14">
        <v>119.93</v>
      </c>
      <c r="R4124" s="14">
        <v>143.91999999999999</v>
      </c>
      <c r="S4124" s="2" t="s">
        <v>2171</v>
      </c>
      <c r="T4124" s="2">
        <v>1.38</v>
      </c>
      <c r="U4124" s="2">
        <v>62.1</v>
      </c>
      <c r="V4124" s="2">
        <v>62</v>
      </c>
      <c r="W4124" s="2" t="s">
        <v>7862</v>
      </c>
      <c r="X4124" s="2" t="s">
        <v>471</v>
      </c>
      <c r="Y4124" s="2">
        <v>8040</v>
      </c>
      <c r="Z4124" s="19" t="str">
        <f>HYPERLINK("https://ssdweb.co/ssdweb/hd/Vision360.html?d=925140306&amp;zoomslide=1&amp;z=1925140306&amp;ISCONFIRM=0","VIDEO")</f>
        <v>VIDEO</v>
      </c>
      <c r="AA4124" s="19" t="str">
        <f>HYPERLINK("https://ssdweb.co/ssdweb/CERTH/614319485.pdf","CERTI")</f>
        <v>CERTI</v>
      </c>
    </row>
    <row r="4125" spans="1:27" ht="15" x14ac:dyDescent="0.25">
      <c r="A4125" s="2">
        <v>4120</v>
      </c>
      <c r="B4125" s="39">
        <v>925450220</v>
      </c>
      <c r="C4125" s="28" t="str">
        <f>HYPERLINK("https://pld.live/RapDetail.aspx?STONELIST=925450220","DNA")</f>
        <v>DNA</v>
      </c>
      <c r="D4125" s="18" t="s">
        <v>5235</v>
      </c>
      <c r="E4125" s="18" t="s">
        <v>2186</v>
      </c>
      <c r="F4125" s="2" t="s">
        <v>7987</v>
      </c>
      <c r="G4125" s="2" t="s">
        <v>1573</v>
      </c>
      <c r="H4125" s="14">
        <v>1.2</v>
      </c>
      <c r="I4125" s="2" t="s">
        <v>4761</v>
      </c>
      <c r="J4125" s="2" t="s">
        <v>5144</v>
      </c>
      <c r="K4125" s="2" t="s">
        <v>1452</v>
      </c>
      <c r="L4125" s="2" t="s">
        <v>5221</v>
      </c>
      <c r="M4125" s="2" t="s">
        <v>5221</v>
      </c>
      <c r="N4125" s="2" t="s">
        <v>2317</v>
      </c>
      <c r="O4125" s="14">
        <v>5400</v>
      </c>
      <c r="P4125" s="14">
        <v>97.96</v>
      </c>
      <c r="Q4125" s="14">
        <v>110.16</v>
      </c>
      <c r="R4125" s="14">
        <v>132.19</v>
      </c>
      <c r="S4125" s="2" t="s">
        <v>6314</v>
      </c>
      <c r="T4125" s="2">
        <v>1.42</v>
      </c>
      <c r="U4125" s="2">
        <v>62.9</v>
      </c>
      <c r="V4125" s="2">
        <v>62</v>
      </c>
      <c r="W4125" s="2" t="s">
        <v>7862</v>
      </c>
      <c r="X4125" s="2" t="s">
        <v>471</v>
      </c>
      <c r="Y4125" s="2">
        <v>6480</v>
      </c>
      <c r="Z4125" s="19" t="str">
        <f>HYPERLINK("https://ssdweb.co/ssdweb/hd/Vision360.html?d=925450220&amp;zoomslide=1&amp;z=1925450220&amp;ISCONFIRM=0","VIDEO")</f>
        <v>VIDEO</v>
      </c>
      <c r="AA4125" s="19" t="str">
        <f>HYPERLINK("https://ssdweb.co/ssdweb/CERTH/625458011.pdf","CERTI")</f>
        <v>CERTI</v>
      </c>
    </row>
    <row r="4126" spans="1:27" ht="15" x14ac:dyDescent="0.25">
      <c r="A4126" s="2">
        <v>4121</v>
      </c>
      <c r="B4126" s="39">
        <v>925851187</v>
      </c>
      <c r="C4126" s="28" t="str">
        <f>HYPERLINK("https://pld.live/RapDetail.aspx?STONELIST=925851187","DNA")</f>
        <v>DNA</v>
      </c>
      <c r="D4126" s="18" t="s">
        <v>3054</v>
      </c>
      <c r="E4126" s="18" t="s">
        <v>5128</v>
      </c>
      <c r="F4126" s="2" t="s">
        <v>7987</v>
      </c>
      <c r="G4126" s="2" t="s">
        <v>1573</v>
      </c>
      <c r="H4126" s="14">
        <v>1.19</v>
      </c>
      <c r="I4126" s="2" t="s">
        <v>267</v>
      </c>
      <c r="J4126" s="2" t="s">
        <v>13</v>
      </c>
      <c r="K4126" s="2" t="s">
        <v>1452</v>
      </c>
      <c r="L4126" s="2" t="s">
        <v>5221</v>
      </c>
      <c r="M4126" s="2" t="s">
        <v>5221</v>
      </c>
      <c r="N4126" s="2" t="s">
        <v>2317</v>
      </c>
      <c r="O4126" s="14">
        <v>6700</v>
      </c>
      <c r="P4126" s="14">
        <v>98.33</v>
      </c>
      <c r="Q4126" s="14">
        <v>111.89</v>
      </c>
      <c r="R4126" s="14">
        <v>133.15</v>
      </c>
      <c r="S4126" s="2" t="s">
        <v>2985</v>
      </c>
      <c r="T4126" s="2">
        <v>1.39</v>
      </c>
      <c r="U4126" s="2">
        <v>62.9</v>
      </c>
      <c r="V4126" s="2">
        <v>59</v>
      </c>
      <c r="W4126" s="2" t="s">
        <v>7862</v>
      </c>
      <c r="X4126" s="2" t="s">
        <v>471</v>
      </c>
      <c r="Y4126" s="2">
        <v>7973</v>
      </c>
      <c r="Z4126" s="19" t="str">
        <f>HYPERLINK("https://ssdweb.co/ssdweb/hd/Vision360.html?d=925851187&amp;zoomslide=1&amp;z=1925851187&amp;ISCONFIRM=0","VIDEO")</f>
        <v>VIDEO</v>
      </c>
      <c r="AA4126" s="19" t="str">
        <f>HYPERLINK("https://ssdweb.co/ssdweb/CERTH/627431804.pdf","CERTI")</f>
        <v>CERTI</v>
      </c>
    </row>
    <row r="4127" spans="1:27" ht="15" x14ac:dyDescent="0.25">
      <c r="A4127" s="2">
        <v>4122</v>
      </c>
      <c r="B4127" s="39">
        <v>925280474</v>
      </c>
      <c r="C4127" s="28" t="str">
        <f>HYPERLINK("https://pld.live/RapDetail.aspx?STONELIST=925280474","DNA")</f>
        <v>DNA</v>
      </c>
      <c r="D4127" s="18" t="s">
        <v>3054</v>
      </c>
      <c r="E4127" s="18" t="s">
        <v>5128</v>
      </c>
      <c r="F4127" s="2" t="s">
        <v>7987</v>
      </c>
      <c r="G4127" s="2" t="s">
        <v>1573</v>
      </c>
      <c r="H4127" s="14">
        <v>1.19</v>
      </c>
      <c r="I4127" s="2" t="s">
        <v>267</v>
      </c>
      <c r="J4127" s="2" t="s">
        <v>13</v>
      </c>
      <c r="K4127" s="2" t="s">
        <v>1452</v>
      </c>
      <c r="L4127" s="2" t="s">
        <v>5221</v>
      </c>
      <c r="M4127" s="2" t="s">
        <v>5221</v>
      </c>
      <c r="N4127" s="2" t="s">
        <v>2317</v>
      </c>
      <c r="O4127" s="14">
        <v>6700</v>
      </c>
      <c r="P4127" s="14">
        <v>98.33</v>
      </c>
      <c r="Q4127" s="14">
        <v>111.89</v>
      </c>
      <c r="R4127" s="14">
        <v>133.15</v>
      </c>
      <c r="S4127" s="2" t="s">
        <v>4759</v>
      </c>
      <c r="T4127" s="2">
        <v>1.39</v>
      </c>
      <c r="U4127" s="2">
        <v>62.2</v>
      </c>
      <c r="V4127" s="2">
        <v>62</v>
      </c>
      <c r="W4127" s="2" t="s">
        <v>7862</v>
      </c>
      <c r="X4127" s="2" t="s">
        <v>471</v>
      </c>
      <c r="Y4127" s="2">
        <v>7973</v>
      </c>
      <c r="Z4127" s="19" t="str">
        <f>HYPERLINK("https://ssdweb.co/ssdweb/hd/Vision360.html?d=925280474&amp;zoomslide=1&amp;z=1925280474&amp;ISCONFIRM=0","VIDEO")</f>
        <v>VIDEO</v>
      </c>
      <c r="AA4127" s="19" t="str">
        <f>HYPERLINK("https://ssdweb.co/ssdweb/CERTH/617485816.pdf","CERTI")</f>
        <v>CERTI</v>
      </c>
    </row>
    <row r="4128" spans="1:27" ht="15" x14ac:dyDescent="0.25">
      <c r="A4128" s="2">
        <v>4123</v>
      </c>
      <c r="B4128" s="39">
        <v>925450203</v>
      </c>
      <c r="C4128" s="28" t="str">
        <f>HYPERLINK("https://pld.live/RapDetail.aspx?STONELIST=925450203","DNA")</f>
        <v>DNA</v>
      </c>
      <c r="D4128" s="18" t="s">
        <v>3054</v>
      </c>
      <c r="E4128" s="18" t="s">
        <v>2186</v>
      </c>
      <c r="F4128" s="2" t="s">
        <v>7987</v>
      </c>
      <c r="G4128" s="2" t="s">
        <v>1573</v>
      </c>
      <c r="H4128" s="14">
        <v>1.19</v>
      </c>
      <c r="I4128" s="2" t="s">
        <v>4761</v>
      </c>
      <c r="J4128" s="2" t="s">
        <v>13</v>
      </c>
      <c r="K4128" s="2" t="s">
        <v>1452</v>
      </c>
      <c r="L4128" s="2" t="s">
        <v>5221</v>
      </c>
      <c r="M4128" s="2" t="s">
        <v>5221</v>
      </c>
      <c r="N4128" s="2" t="s">
        <v>2317</v>
      </c>
      <c r="O4128" s="14">
        <v>6200</v>
      </c>
      <c r="P4128" s="14">
        <v>98.24</v>
      </c>
      <c r="Q4128" s="14">
        <v>109.12</v>
      </c>
      <c r="R4128" s="14">
        <v>129.85</v>
      </c>
      <c r="S4128" s="2" t="s">
        <v>6060</v>
      </c>
      <c r="T4128" s="2">
        <v>1.39</v>
      </c>
      <c r="U4128" s="2">
        <v>63.7</v>
      </c>
      <c r="V4128" s="2">
        <v>62</v>
      </c>
      <c r="W4128" s="2" t="s">
        <v>7862</v>
      </c>
      <c r="X4128" s="2" t="s">
        <v>471</v>
      </c>
      <c r="Y4128" s="2">
        <v>7378</v>
      </c>
      <c r="Z4128" s="19" t="str">
        <f>HYPERLINK("https://ssdweb.co/ssdweb/hd/Vision360.html?d=925450203&amp;zoomslide=1&amp;z=1925450203&amp;ISCONFIRM=0","VIDEO")</f>
        <v>VIDEO</v>
      </c>
      <c r="AA4128" s="19" t="str">
        <f>HYPERLINK("https://ssdweb.co/ssdweb/CERTH/624440136.pdf","CERTI")</f>
        <v>CERTI</v>
      </c>
    </row>
    <row r="4129" spans="1:27" ht="15" x14ac:dyDescent="0.25">
      <c r="A4129" s="2">
        <v>4124</v>
      </c>
      <c r="B4129" s="39">
        <v>926071745</v>
      </c>
      <c r="C4129" s="28" t="str">
        <f>HYPERLINK("https://pld.live/RapDetail.aspx?STONELIST=926071745","DNA")</f>
        <v>DNA</v>
      </c>
      <c r="D4129" s="18" t="s">
        <v>3054</v>
      </c>
      <c r="E4129" s="18" t="s">
        <v>5128</v>
      </c>
      <c r="F4129" s="2" t="s">
        <v>7987</v>
      </c>
      <c r="G4129" s="2" t="s">
        <v>1573</v>
      </c>
      <c r="H4129" s="14">
        <v>1.1499999999999999</v>
      </c>
      <c r="I4129" s="2" t="s">
        <v>4761</v>
      </c>
      <c r="J4129" s="2" t="s">
        <v>3942</v>
      </c>
      <c r="K4129" s="2" t="s">
        <v>1452</v>
      </c>
      <c r="L4129" s="2" t="s">
        <v>5221</v>
      </c>
      <c r="M4129" s="2" t="s">
        <v>5221</v>
      </c>
      <c r="N4129" s="2" t="s">
        <v>2317</v>
      </c>
      <c r="O4129" s="14">
        <v>6900</v>
      </c>
      <c r="P4129" s="14">
        <v>98.38</v>
      </c>
      <c r="Q4129" s="14">
        <v>111.78</v>
      </c>
      <c r="R4129" s="14">
        <v>128.55000000000001</v>
      </c>
      <c r="S4129" s="2" t="s">
        <v>33</v>
      </c>
      <c r="T4129" s="2">
        <v>1.39</v>
      </c>
      <c r="U4129" s="2">
        <v>62.1</v>
      </c>
      <c r="V4129" s="2">
        <v>60</v>
      </c>
      <c r="W4129" s="2" t="s">
        <v>7862</v>
      </c>
      <c r="X4129" s="2" t="s">
        <v>471</v>
      </c>
      <c r="Y4129" s="2">
        <v>7935</v>
      </c>
      <c r="Z4129" s="19" t="str">
        <f>HYPERLINK("https://ssdweb.co/ssdweb/hd/Vision360.html?d=926071745&amp;zoomslide=1&amp;z=1926071745&amp;ISCONFIRM=0","VIDEO")</f>
        <v>VIDEO</v>
      </c>
      <c r="AA4129" s="19" t="str">
        <f>HYPERLINK("https://ssdweb.co/ssdweb/CERTH/631464106.pdf","CERTI")</f>
        <v>CERTI</v>
      </c>
    </row>
    <row r="4130" spans="1:27" ht="15" x14ac:dyDescent="0.25">
      <c r="A4130" s="2">
        <v>4125</v>
      </c>
      <c r="B4130" s="39">
        <v>926071827</v>
      </c>
      <c r="C4130" s="28" t="str">
        <f>HYPERLINK("https://pld.live/RapDetail.aspx?STONELIST=926071827","DNA")</f>
        <v>DNA</v>
      </c>
      <c r="D4130" s="18" t="s">
        <v>3054</v>
      </c>
      <c r="E4130" s="18" t="s">
        <v>5128</v>
      </c>
      <c r="F4130" s="2" t="s">
        <v>7987</v>
      </c>
      <c r="G4130" s="2" t="s">
        <v>1573</v>
      </c>
      <c r="H4130" s="14">
        <v>1.1399999999999999</v>
      </c>
      <c r="I4130" s="2" t="s">
        <v>4699</v>
      </c>
      <c r="J4130" s="2" t="s">
        <v>3942</v>
      </c>
      <c r="K4130" s="2" t="s">
        <v>1452</v>
      </c>
      <c r="L4130" s="2" t="s">
        <v>5221</v>
      </c>
      <c r="M4130" s="2" t="s">
        <v>5221</v>
      </c>
      <c r="N4130" s="2" t="s">
        <v>2317</v>
      </c>
      <c r="O4130" s="14">
        <v>6400</v>
      </c>
      <c r="P4130" s="14">
        <v>98.3</v>
      </c>
      <c r="Q4130" s="14">
        <v>108.8</v>
      </c>
      <c r="R4130" s="14">
        <v>124.03</v>
      </c>
      <c r="S4130" s="2" t="s">
        <v>433</v>
      </c>
      <c r="T4130" s="2">
        <v>1.41</v>
      </c>
      <c r="U4130" s="2">
        <v>59.1</v>
      </c>
      <c r="V4130" s="2">
        <v>63</v>
      </c>
      <c r="W4130" s="2" t="s">
        <v>4336</v>
      </c>
      <c r="X4130" s="2" t="s">
        <v>471</v>
      </c>
      <c r="Y4130" s="2">
        <v>7296</v>
      </c>
      <c r="Z4130" s="19" t="str">
        <f>HYPERLINK("https://ssdweb.co/ssdweb/hd/Vision360.html?d=926071827&amp;zoomslide=1&amp;z=1926071827&amp;ISCONFIRM=0","VIDEO")</f>
        <v>VIDEO</v>
      </c>
      <c r="AA4130" s="19" t="str">
        <f>HYPERLINK("https://ssdweb.co/ssdweb/CERTH/631464029.pdf","CERTI")</f>
        <v>CERTI</v>
      </c>
    </row>
    <row r="4131" spans="1:27" ht="15" x14ac:dyDescent="0.25">
      <c r="A4131" s="2">
        <v>4126</v>
      </c>
      <c r="B4131" s="39">
        <v>925961150</v>
      </c>
      <c r="C4131" s="28" t="str">
        <f>HYPERLINK("https://pld.live/RapDetail.aspx?STONELIST=925961150","DNA")</f>
        <v>DNA</v>
      </c>
      <c r="D4131" s="18" t="s">
        <v>3054</v>
      </c>
      <c r="E4131" s="18" t="s">
        <v>5128</v>
      </c>
      <c r="F4131" s="2" t="s">
        <v>7987</v>
      </c>
      <c r="G4131" s="2" t="s">
        <v>1573</v>
      </c>
      <c r="H4131" s="14">
        <v>1.1299999999999999</v>
      </c>
      <c r="I4131" s="2" t="s">
        <v>267</v>
      </c>
      <c r="J4131" s="2" t="s">
        <v>13</v>
      </c>
      <c r="K4131" s="2" t="s">
        <v>1452</v>
      </c>
      <c r="L4131" s="2" t="s">
        <v>5221</v>
      </c>
      <c r="M4131" s="2" t="s">
        <v>5221</v>
      </c>
      <c r="N4131" s="2" t="s">
        <v>2317</v>
      </c>
      <c r="O4131" s="14">
        <v>6700</v>
      </c>
      <c r="P4131" s="14">
        <v>98.33</v>
      </c>
      <c r="Q4131" s="14">
        <v>111.89</v>
      </c>
      <c r="R4131" s="14">
        <v>126.44</v>
      </c>
      <c r="S4131" s="2" t="s">
        <v>735</v>
      </c>
      <c r="T4131" s="2">
        <v>1.44</v>
      </c>
      <c r="U4131" s="2">
        <v>62.3</v>
      </c>
      <c r="V4131" s="2">
        <v>60</v>
      </c>
      <c r="W4131" s="2" t="s">
        <v>7862</v>
      </c>
      <c r="X4131" s="2" t="s">
        <v>471</v>
      </c>
      <c r="Y4131" s="2">
        <v>7571</v>
      </c>
      <c r="Z4131" s="19" t="str">
        <f>HYPERLINK("https://ssdweb.co/ssdweb/hd/Vision360.html?d=925961150&amp;zoomslide=1&amp;z=1925961150&amp;ISCONFIRM=0","VIDEO")</f>
        <v>VIDEO</v>
      </c>
      <c r="AA4131" s="19" t="str">
        <f>HYPERLINK("https://ssdweb.co/ssdweb/CERTH/629453036.pdf","CERTI")</f>
        <v>CERTI</v>
      </c>
    </row>
    <row r="4132" spans="1:27" ht="15" x14ac:dyDescent="0.25">
      <c r="A4132" s="2">
        <v>4127</v>
      </c>
      <c r="B4132" s="39">
        <v>926100864</v>
      </c>
      <c r="C4132" s="28" t="str">
        <f>HYPERLINK("https://pld.live/RapDetail.aspx?STONELIST=926100864","DNA")</f>
        <v>DNA</v>
      </c>
      <c r="D4132" s="18" t="s">
        <v>3054</v>
      </c>
      <c r="E4132" s="18" t="s">
        <v>5128</v>
      </c>
      <c r="F4132" s="2" t="s">
        <v>7987</v>
      </c>
      <c r="G4132" s="2" t="s">
        <v>1573</v>
      </c>
      <c r="H4132" s="14">
        <v>1.1299999999999999</v>
      </c>
      <c r="I4132" s="2" t="s">
        <v>4699</v>
      </c>
      <c r="J4132" s="2" t="s">
        <v>3942</v>
      </c>
      <c r="K4132" s="2" t="s">
        <v>1452</v>
      </c>
      <c r="L4132" s="2" t="s">
        <v>5221</v>
      </c>
      <c r="M4132" s="2" t="s">
        <v>5221</v>
      </c>
      <c r="N4132" s="2" t="s">
        <v>2317</v>
      </c>
      <c r="O4132" s="14">
        <v>6400</v>
      </c>
      <c r="P4132" s="14">
        <v>98.3</v>
      </c>
      <c r="Q4132" s="14">
        <v>108.8</v>
      </c>
      <c r="R4132" s="14">
        <v>122.94</v>
      </c>
      <c r="S4132" s="2" t="s">
        <v>6486</v>
      </c>
      <c r="T4132" s="2">
        <v>1.45</v>
      </c>
      <c r="U4132" s="2">
        <v>61.2</v>
      </c>
      <c r="V4132" s="2">
        <v>59</v>
      </c>
      <c r="W4132" s="2" t="s">
        <v>7862</v>
      </c>
      <c r="X4132" s="2" t="s">
        <v>471</v>
      </c>
      <c r="Y4132" s="2">
        <v>7232</v>
      </c>
      <c r="Z4132" s="19" t="str">
        <f>HYPERLINK("https://ssdweb.co/ssdweb/hd/Vision360.html?d=926100864&amp;zoomslide=1&amp;z=1926100864&amp;ISCONFIRM=0","VIDEO")</f>
        <v>VIDEO</v>
      </c>
      <c r="AA4132" s="19" t="str">
        <f>HYPERLINK("https://ssdweb.co/ssdweb/CERTH/631464149.pdf","CERTI")</f>
        <v>CERTI</v>
      </c>
    </row>
    <row r="4133" spans="1:27" ht="15" x14ac:dyDescent="0.25">
      <c r="A4133" s="2">
        <v>4128</v>
      </c>
      <c r="B4133" s="39">
        <v>925950893</v>
      </c>
      <c r="C4133" s="28" t="str">
        <f>HYPERLINK("https://pld.live/RapDetail.aspx?STONELIST=925950893","DNA")</f>
        <v>DNA</v>
      </c>
      <c r="D4133" s="18" t="s">
        <v>3054</v>
      </c>
      <c r="E4133" s="18" t="s">
        <v>5128</v>
      </c>
      <c r="F4133" s="2" t="s">
        <v>7987</v>
      </c>
      <c r="G4133" s="2" t="s">
        <v>1573</v>
      </c>
      <c r="H4133" s="14">
        <v>1.1200000000000001</v>
      </c>
      <c r="I4133" s="2" t="s">
        <v>267</v>
      </c>
      <c r="J4133" s="2" t="s">
        <v>13</v>
      </c>
      <c r="K4133" s="2" t="s">
        <v>1452</v>
      </c>
      <c r="L4133" s="2" t="s">
        <v>5221</v>
      </c>
      <c r="M4133" s="2" t="s">
        <v>5221</v>
      </c>
      <c r="N4133" s="2" t="s">
        <v>2317</v>
      </c>
      <c r="O4133" s="14">
        <v>6700</v>
      </c>
      <c r="P4133" s="14">
        <v>98.33</v>
      </c>
      <c r="Q4133" s="14">
        <v>111.89</v>
      </c>
      <c r="R4133" s="14">
        <v>125.32</v>
      </c>
      <c r="S4133" s="2" t="s">
        <v>7246</v>
      </c>
      <c r="T4133" s="2">
        <v>1.43</v>
      </c>
      <c r="U4133" s="2">
        <v>62.5</v>
      </c>
      <c r="V4133" s="2">
        <v>58</v>
      </c>
      <c r="W4133" s="2" t="s">
        <v>7862</v>
      </c>
      <c r="X4133" s="2" t="s">
        <v>471</v>
      </c>
      <c r="Y4133" s="2">
        <v>7504</v>
      </c>
      <c r="Z4133" s="19" t="str">
        <f>HYPERLINK("https://ssdweb.co/ssdweb/hd/Vision360.html?d=925950893&amp;zoomslide=1&amp;z=1925950893&amp;ISCONFIRM=0","VIDEO")</f>
        <v>VIDEO</v>
      </c>
      <c r="AA4133" s="19" t="str">
        <f>HYPERLINK("https://ssdweb.co/ssdweb/CERTH/628463271.pdf","CERTI")</f>
        <v>CERTI</v>
      </c>
    </row>
    <row r="4134" spans="1:27" ht="15" x14ac:dyDescent="0.25">
      <c r="A4134" s="2">
        <v>4129</v>
      </c>
      <c r="B4134" s="39">
        <v>926040883</v>
      </c>
      <c r="C4134" s="28" t="str">
        <f>HYPERLINK("https://pld.live/RapDetail.aspx?STONELIST=926040883","DNA")</f>
        <v>DNA</v>
      </c>
      <c r="D4134" s="18" t="s">
        <v>3054</v>
      </c>
      <c r="E4134" s="18" t="s">
        <v>5128</v>
      </c>
      <c r="F4134" s="2" t="s">
        <v>7987</v>
      </c>
      <c r="G4134" s="2" t="s">
        <v>1573</v>
      </c>
      <c r="H4134" s="14">
        <v>1.1100000000000001</v>
      </c>
      <c r="I4134" s="2" t="s">
        <v>267</v>
      </c>
      <c r="J4134" s="2" t="s">
        <v>6555</v>
      </c>
      <c r="K4134" s="2" t="s">
        <v>1452</v>
      </c>
      <c r="L4134" s="2" t="s">
        <v>5221</v>
      </c>
      <c r="M4134" s="2" t="s">
        <v>5221</v>
      </c>
      <c r="N4134" s="2" t="s">
        <v>2317</v>
      </c>
      <c r="O4134" s="14">
        <v>8200</v>
      </c>
      <c r="P4134" s="14">
        <v>98.29</v>
      </c>
      <c r="Q4134" s="14">
        <v>140.22</v>
      </c>
      <c r="R4134" s="14">
        <v>155.63999999999999</v>
      </c>
      <c r="S4134" s="2" t="s">
        <v>1963</v>
      </c>
      <c r="T4134" s="2">
        <v>1.4</v>
      </c>
      <c r="U4134" s="2">
        <v>60.1</v>
      </c>
      <c r="V4134" s="2">
        <v>61</v>
      </c>
      <c r="W4134" s="2" t="s">
        <v>7862</v>
      </c>
      <c r="X4134" s="2" t="s">
        <v>471</v>
      </c>
      <c r="Y4134" s="2">
        <v>9102</v>
      </c>
      <c r="Z4134" s="19" t="str">
        <f>HYPERLINK("https://ssdweb.co/ssdweb/hd/Vision360.html?d=926040883&amp;zoomslide=1&amp;z=1926040883&amp;ISCONFIRM=0","VIDEO")</f>
        <v>VIDEO</v>
      </c>
      <c r="AA4134" s="19" t="str">
        <f>HYPERLINK("https://ssdweb.co/ssdweb/CERTH/630447893.pdf","CERTI")</f>
        <v>CERTI</v>
      </c>
    </row>
    <row r="4135" spans="1:27" ht="15" x14ac:dyDescent="0.25">
      <c r="A4135" s="2">
        <v>4130</v>
      </c>
      <c r="B4135" s="39">
        <v>925120371</v>
      </c>
      <c r="C4135" s="28" t="str">
        <f>HYPERLINK("https://pld.live/RapDetail.aspx?STONELIST=925120371","DNA")</f>
        <v>DNA</v>
      </c>
      <c r="D4135" s="18" t="s">
        <v>3054</v>
      </c>
      <c r="E4135" s="18" t="s">
        <v>5128</v>
      </c>
      <c r="F4135" s="2" t="s">
        <v>7987</v>
      </c>
      <c r="G4135" s="2" t="s">
        <v>1573</v>
      </c>
      <c r="H4135" s="14">
        <v>1.1100000000000001</v>
      </c>
      <c r="I4135" s="2" t="s">
        <v>267</v>
      </c>
      <c r="J4135" s="2" t="s">
        <v>3942</v>
      </c>
      <c r="K4135" s="2" t="s">
        <v>1452</v>
      </c>
      <c r="L4135" s="2" t="s">
        <v>5221</v>
      </c>
      <c r="M4135" s="2" t="s">
        <v>5221</v>
      </c>
      <c r="N4135" s="2" t="s">
        <v>2317</v>
      </c>
      <c r="O4135" s="14">
        <v>7600</v>
      </c>
      <c r="P4135" s="14">
        <v>98.49</v>
      </c>
      <c r="Q4135" s="14">
        <v>114.76</v>
      </c>
      <c r="R4135" s="14">
        <v>127.38</v>
      </c>
      <c r="S4135" s="2" t="s">
        <v>7734</v>
      </c>
      <c r="T4135" s="2">
        <v>1.42</v>
      </c>
      <c r="U4135" s="2">
        <v>60.2</v>
      </c>
      <c r="V4135" s="2">
        <v>60</v>
      </c>
      <c r="W4135" s="2" t="s">
        <v>7862</v>
      </c>
      <c r="X4135" s="2" t="s">
        <v>471</v>
      </c>
      <c r="Y4135" s="2">
        <v>8436</v>
      </c>
      <c r="Z4135" s="19" t="str">
        <f>HYPERLINK("https://ssdweb.co/ssdweb/hd/Vision360.html?d=925120371&amp;zoomslide=1&amp;z=1925120371&amp;ISCONFIRM=0","VIDEO")</f>
        <v>VIDEO</v>
      </c>
      <c r="AA4135" s="19" t="str">
        <f>HYPERLINK("https://ssdweb.co/ssdweb/CERTH/615365936.pdf","CERTI")</f>
        <v>CERTI</v>
      </c>
    </row>
    <row r="4136" spans="1:27" ht="15" x14ac:dyDescent="0.25">
      <c r="A4136" s="2">
        <v>4131</v>
      </c>
      <c r="B4136" s="39">
        <v>926170786</v>
      </c>
      <c r="C4136" s="28" t="str">
        <f>HYPERLINK("https://pld.live/RapDetail.aspx?STONELIST=926170786","DNA")</f>
        <v>DNA</v>
      </c>
      <c r="D4136" s="18" t="s">
        <v>3054</v>
      </c>
      <c r="E4136" s="18" t="s">
        <v>5128</v>
      </c>
      <c r="F4136" s="2" t="s">
        <v>7987</v>
      </c>
      <c r="G4136" s="2" t="s">
        <v>1573</v>
      </c>
      <c r="H4136" s="14">
        <v>1.1100000000000001</v>
      </c>
      <c r="I4136" s="2" t="s">
        <v>267</v>
      </c>
      <c r="J4136" s="2" t="s">
        <v>13</v>
      </c>
      <c r="K4136" s="2" t="s">
        <v>1452</v>
      </c>
      <c r="L4136" s="2" t="s">
        <v>5221</v>
      </c>
      <c r="M4136" s="2" t="s">
        <v>5221</v>
      </c>
      <c r="N4136" s="2" t="s">
        <v>2317</v>
      </c>
      <c r="O4136" s="14">
        <v>6700</v>
      </c>
      <c r="P4136" s="14">
        <v>98.33</v>
      </c>
      <c r="Q4136" s="14">
        <v>111.89</v>
      </c>
      <c r="R4136" s="14">
        <v>124.2</v>
      </c>
      <c r="S4136" s="2" t="s">
        <v>5809</v>
      </c>
      <c r="T4136" s="2">
        <v>1.4</v>
      </c>
      <c r="U4136" s="2">
        <v>59.8</v>
      </c>
      <c r="V4136" s="2">
        <v>61</v>
      </c>
      <c r="W4136" s="2" t="s">
        <v>7862</v>
      </c>
      <c r="X4136" s="2" t="s">
        <v>471</v>
      </c>
      <c r="Y4136" s="2">
        <v>7437</v>
      </c>
      <c r="Z4136" s="19" t="str">
        <f>HYPERLINK("https://ssdweb.co/ssdweb/hd/Vision360.html?d=926170786&amp;zoomslide=1&amp;z=1926170786&amp;ISCONFIRM=0","VIDEO")</f>
        <v>VIDEO</v>
      </c>
      <c r="AA4136" s="19" t="str">
        <f>HYPERLINK("https://ssdweb.co/ssdweb/CERTH/633490499.pdf","CERTI")</f>
        <v>CERTI</v>
      </c>
    </row>
    <row r="4137" spans="1:27" ht="15" x14ac:dyDescent="0.25">
      <c r="A4137" s="2">
        <v>4132</v>
      </c>
      <c r="B4137" s="39">
        <v>925732027</v>
      </c>
      <c r="C4137" s="28" t="str">
        <f>HYPERLINK("https://pld.live/RapDetail.aspx?STONELIST=925732027","DNA")</f>
        <v>DNA</v>
      </c>
      <c r="D4137" s="18" t="s">
        <v>3054</v>
      </c>
      <c r="E4137" s="18" t="s">
        <v>5128</v>
      </c>
      <c r="F4137" s="2" t="s">
        <v>7987</v>
      </c>
      <c r="G4137" s="2" t="s">
        <v>1573</v>
      </c>
      <c r="H4137" s="14">
        <v>1.1100000000000001</v>
      </c>
      <c r="I4137" s="2" t="s">
        <v>267</v>
      </c>
      <c r="J4137" s="2" t="s">
        <v>5144</v>
      </c>
      <c r="K4137" s="2" t="s">
        <v>1452</v>
      </c>
      <c r="L4137" s="2" t="s">
        <v>5221</v>
      </c>
      <c r="M4137" s="2" t="s">
        <v>5221</v>
      </c>
      <c r="N4137" s="2" t="s">
        <v>2317</v>
      </c>
      <c r="O4137" s="14">
        <v>5700</v>
      </c>
      <c r="P4137" s="14">
        <v>98.09</v>
      </c>
      <c r="Q4137" s="14">
        <v>108.87</v>
      </c>
      <c r="R4137" s="14">
        <v>120.85</v>
      </c>
      <c r="S4137" s="2" t="s">
        <v>5402</v>
      </c>
      <c r="T4137" s="2">
        <v>1.41</v>
      </c>
      <c r="U4137" s="2">
        <v>61.5</v>
      </c>
      <c r="V4137" s="2">
        <v>60</v>
      </c>
      <c r="W4137" s="2" t="s">
        <v>7862</v>
      </c>
      <c r="X4137" s="2" t="s">
        <v>471</v>
      </c>
      <c r="Y4137" s="2">
        <v>6327</v>
      </c>
      <c r="Z4137" s="19" t="str">
        <f>HYPERLINK("https://ssdweb.co/ssdweb/hd/Vision360.html?d=925732027&amp;zoomslide=1&amp;z=1925732027&amp;ISCONFIRM=0","VIDEO")</f>
        <v>VIDEO</v>
      </c>
      <c r="AA4137" s="19" t="str">
        <f>HYPERLINK("https://ssdweb.co/ssdweb/CERTH/625432292.pdf","CERTI")</f>
        <v>CERTI</v>
      </c>
    </row>
    <row r="4138" spans="1:27" ht="15" x14ac:dyDescent="0.25">
      <c r="A4138" s="2">
        <v>4133</v>
      </c>
      <c r="B4138" s="39">
        <v>831010689</v>
      </c>
      <c r="C4138" s="28" t="str">
        <f>HYPERLINK("https://pld.live/RapDetail.aspx?STONELIST=831010689","DNA")</f>
        <v>DNA</v>
      </c>
      <c r="D4138" s="18" t="s">
        <v>3054</v>
      </c>
      <c r="E4138" s="18" t="s">
        <v>5128</v>
      </c>
      <c r="F4138" s="2" t="s">
        <v>7987</v>
      </c>
      <c r="G4138" s="2" t="s">
        <v>1573</v>
      </c>
      <c r="H4138" s="14">
        <v>1.1100000000000001</v>
      </c>
      <c r="I4138" s="2" t="s">
        <v>267</v>
      </c>
      <c r="J4138" s="2" t="s">
        <v>5144</v>
      </c>
      <c r="K4138" s="2" t="s">
        <v>1452</v>
      </c>
      <c r="L4138" s="2" t="s">
        <v>5221</v>
      </c>
      <c r="M4138" s="2" t="s">
        <v>5221</v>
      </c>
      <c r="N4138" s="2" t="s">
        <v>2317</v>
      </c>
      <c r="O4138" s="14">
        <v>5700</v>
      </c>
      <c r="P4138" s="14">
        <v>98.09</v>
      </c>
      <c r="Q4138" s="14">
        <v>108.87</v>
      </c>
      <c r="R4138" s="14">
        <v>120.85</v>
      </c>
      <c r="S4138" s="2" t="s">
        <v>6022</v>
      </c>
      <c r="T4138" s="2">
        <v>1.45</v>
      </c>
      <c r="U4138" s="2">
        <v>60.6</v>
      </c>
      <c r="V4138" s="2">
        <v>61</v>
      </c>
      <c r="W4138" s="2" t="s">
        <v>7862</v>
      </c>
      <c r="X4138" s="2" t="s">
        <v>471</v>
      </c>
      <c r="Y4138" s="2">
        <v>6327</v>
      </c>
      <c r="Z4138" s="19" t="str">
        <f>HYPERLINK("https://ssdweb.co/ssdweb/hd/Vision360.html?d=831010689&amp;zoomslide=1&amp;z=1831010689&amp;ISCONFIRM=0","VIDEO")</f>
        <v>VIDEO</v>
      </c>
      <c r="AA4138" s="19" t="str">
        <f>HYPERLINK("https://ssdweb.co/ssdweb/CERTH/625432296.pdf","CERTI")</f>
        <v>CERTI</v>
      </c>
    </row>
    <row r="4139" spans="1:27" ht="15" x14ac:dyDescent="0.25">
      <c r="A4139" s="2">
        <v>4134</v>
      </c>
      <c r="B4139" s="39">
        <v>925861060</v>
      </c>
      <c r="C4139" s="28" t="str">
        <f>HYPERLINK("https://pld.live/RapDetail.aspx?STONELIST=925861060","DNA")</f>
        <v>DNA</v>
      </c>
      <c r="D4139" s="18" t="s">
        <v>3054</v>
      </c>
      <c r="E4139" s="18" t="s">
        <v>5128</v>
      </c>
      <c r="F4139" s="2" t="s">
        <v>7987</v>
      </c>
      <c r="G4139" s="2" t="s">
        <v>1573</v>
      </c>
      <c r="H4139" s="14">
        <v>1.1000000000000001</v>
      </c>
      <c r="I4139" s="2" t="s">
        <v>267</v>
      </c>
      <c r="J4139" s="2" t="s">
        <v>6555</v>
      </c>
      <c r="K4139" s="2" t="s">
        <v>1452</v>
      </c>
      <c r="L4139" s="2" t="s">
        <v>5221</v>
      </c>
      <c r="M4139" s="2" t="s">
        <v>5221</v>
      </c>
      <c r="N4139" s="2" t="s">
        <v>2317</v>
      </c>
      <c r="O4139" s="14">
        <v>8200</v>
      </c>
      <c r="P4139" s="14">
        <v>98.29</v>
      </c>
      <c r="Q4139" s="14">
        <v>140.22</v>
      </c>
      <c r="R4139" s="14">
        <v>154.24</v>
      </c>
      <c r="S4139" s="2" t="s">
        <v>2276</v>
      </c>
      <c r="T4139" s="2">
        <v>1.43</v>
      </c>
      <c r="U4139" s="2">
        <v>60.5</v>
      </c>
      <c r="V4139" s="2">
        <v>59</v>
      </c>
      <c r="W4139" s="2" t="s">
        <v>7862</v>
      </c>
      <c r="X4139" s="2" t="s">
        <v>471</v>
      </c>
      <c r="Y4139" s="2">
        <v>9020</v>
      </c>
      <c r="Z4139" s="19" t="str">
        <f>HYPERLINK("https://ssdweb.co/ssdweb/hd/Vision360.html?d=925861060&amp;zoomslide=1&amp;z=1925861060&amp;ISCONFIRM=0","VIDEO")</f>
        <v>VIDEO</v>
      </c>
      <c r="AA4139" s="19" t="str">
        <f>HYPERLINK("https://ssdweb.co/ssdweb/CERTH/627471590.pdf","CERTI")</f>
        <v>CERTI</v>
      </c>
    </row>
    <row r="4140" spans="1:27" ht="15" x14ac:dyDescent="0.25">
      <c r="A4140" s="2">
        <v>4135</v>
      </c>
      <c r="B4140" s="39">
        <v>925140244</v>
      </c>
      <c r="C4140" s="28" t="str">
        <f>HYPERLINK("https://pld.live/RapDetail.aspx?STONELIST=925140244","DNA")</f>
        <v>DNA</v>
      </c>
      <c r="D4140" s="18" t="s">
        <v>3054</v>
      </c>
      <c r="E4140" s="18" t="s">
        <v>5128</v>
      </c>
      <c r="F4140" s="2" t="s">
        <v>7987</v>
      </c>
      <c r="G4140" s="2" t="s">
        <v>1573</v>
      </c>
      <c r="H4140" s="14">
        <v>1.1000000000000001</v>
      </c>
      <c r="I4140" s="2" t="s">
        <v>267</v>
      </c>
      <c r="J4140" s="2" t="s">
        <v>6555</v>
      </c>
      <c r="K4140" s="2" t="s">
        <v>1452</v>
      </c>
      <c r="L4140" s="2" t="s">
        <v>5221</v>
      </c>
      <c r="M4140" s="2" t="s">
        <v>5221</v>
      </c>
      <c r="N4140" s="2" t="s">
        <v>2317</v>
      </c>
      <c r="O4140" s="14">
        <v>8200</v>
      </c>
      <c r="P4140" s="14">
        <v>98.29</v>
      </c>
      <c r="Q4140" s="14">
        <v>140.22</v>
      </c>
      <c r="R4140" s="14">
        <v>154.24</v>
      </c>
      <c r="S4140" s="2" t="s">
        <v>2572</v>
      </c>
      <c r="T4140" s="2">
        <v>1.38</v>
      </c>
      <c r="U4140" s="2">
        <v>61</v>
      </c>
      <c r="V4140" s="2">
        <v>60</v>
      </c>
      <c r="W4140" s="2" t="s">
        <v>7862</v>
      </c>
      <c r="X4140" s="2" t="s">
        <v>471</v>
      </c>
      <c r="Y4140" s="2">
        <v>9020</v>
      </c>
      <c r="Z4140" s="19" t="str">
        <f>HYPERLINK("https://ssdweb.co/ssdweb/hd/Vision360.html?d=925140244&amp;zoomslide=1&amp;z=1925140244&amp;ISCONFIRM=0","VIDEO")</f>
        <v>VIDEO</v>
      </c>
      <c r="AA4140" s="19" t="str">
        <f>HYPERLINK("https://ssdweb.co/ssdweb/CERTH/611396933.pdf","CERTI")</f>
        <v>CERTI</v>
      </c>
    </row>
    <row r="4141" spans="1:27" ht="15" x14ac:dyDescent="0.25">
      <c r="A4141" s="2">
        <v>4136</v>
      </c>
      <c r="B4141" s="39">
        <v>925980900</v>
      </c>
      <c r="C4141" s="28" t="str">
        <f>HYPERLINK("https://pld.live/RapDetail.aspx?STONELIST=925980900","DNA")</f>
        <v>DNA</v>
      </c>
      <c r="D4141" s="18" t="s">
        <v>3054</v>
      </c>
      <c r="E4141" s="18" t="s">
        <v>5128</v>
      </c>
      <c r="F4141" s="2" t="s">
        <v>7987</v>
      </c>
      <c r="G4141" s="2" t="s">
        <v>1573</v>
      </c>
      <c r="H4141" s="14">
        <v>1.1000000000000001</v>
      </c>
      <c r="I4141" s="2" t="s">
        <v>267</v>
      </c>
      <c r="J4141" s="2" t="s">
        <v>6555</v>
      </c>
      <c r="K4141" s="2" t="s">
        <v>1452</v>
      </c>
      <c r="L4141" s="2" t="s">
        <v>5221</v>
      </c>
      <c r="M4141" s="2" t="s">
        <v>5221</v>
      </c>
      <c r="N4141" s="2" t="s">
        <v>2317</v>
      </c>
      <c r="O4141" s="14">
        <v>8200</v>
      </c>
      <c r="P4141" s="14">
        <v>98.29</v>
      </c>
      <c r="Q4141" s="14">
        <v>140.22</v>
      </c>
      <c r="R4141" s="14">
        <v>154.24</v>
      </c>
      <c r="S4141" s="2" t="s">
        <v>1042</v>
      </c>
      <c r="T4141" s="2">
        <v>1.4</v>
      </c>
      <c r="U4141" s="2">
        <v>60</v>
      </c>
      <c r="V4141" s="2">
        <v>60</v>
      </c>
      <c r="W4141" s="2" t="s">
        <v>7862</v>
      </c>
      <c r="X4141" s="2" t="s">
        <v>471</v>
      </c>
      <c r="Y4141" s="2">
        <v>9020</v>
      </c>
      <c r="Z4141" s="19" t="str">
        <f>HYPERLINK("https://ssdweb.co/ssdweb/hd/Vision360.html?d=925980900&amp;zoomslide=1&amp;z=1925980900&amp;ISCONFIRM=0","VIDEO")</f>
        <v>VIDEO</v>
      </c>
      <c r="AA4141" s="19" t="str">
        <f>HYPERLINK("https://ssdweb.co/ssdweb/CERTH/629453265.pdf","CERTI")</f>
        <v>CERTI</v>
      </c>
    </row>
    <row r="4142" spans="1:27" ht="15" x14ac:dyDescent="0.25">
      <c r="A4142" s="2">
        <v>4137</v>
      </c>
      <c r="B4142" s="39">
        <v>925861584</v>
      </c>
      <c r="C4142" s="28" t="str">
        <f>HYPERLINK("https://pld.live/RapDetail.aspx?STONELIST=925861584","DNA")</f>
        <v>DNA</v>
      </c>
      <c r="D4142" s="18" t="s">
        <v>3054</v>
      </c>
      <c r="E4142" s="18" t="s">
        <v>5128</v>
      </c>
      <c r="F4142" s="2" t="s">
        <v>7987</v>
      </c>
      <c r="G4142" s="2" t="s">
        <v>1573</v>
      </c>
      <c r="H4142" s="14">
        <v>1.1000000000000001</v>
      </c>
      <c r="I4142" s="2" t="s">
        <v>267</v>
      </c>
      <c r="J4142" s="2" t="s">
        <v>3942</v>
      </c>
      <c r="K4142" s="2" t="s">
        <v>1452</v>
      </c>
      <c r="L4142" s="2" t="s">
        <v>5221</v>
      </c>
      <c r="M4142" s="2" t="s">
        <v>5221</v>
      </c>
      <c r="N4142" s="2" t="s">
        <v>2317</v>
      </c>
      <c r="O4142" s="14">
        <v>7600</v>
      </c>
      <c r="P4142" s="14">
        <v>98.49</v>
      </c>
      <c r="Q4142" s="14">
        <v>114.76</v>
      </c>
      <c r="R4142" s="14">
        <v>126.24</v>
      </c>
      <c r="S4142" s="2" t="s">
        <v>6931</v>
      </c>
      <c r="T4142" s="2">
        <v>1.41</v>
      </c>
      <c r="U4142" s="2">
        <v>61.3</v>
      </c>
      <c r="V4142" s="2">
        <v>61</v>
      </c>
      <c r="W4142" s="2" t="s">
        <v>7862</v>
      </c>
      <c r="X4142" s="2" t="s">
        <v>471</v>
      </c>
      <c r="Y4142" s="2">
        <v>8360</v>
      </c>
      <c r="Z4142" s="19" t="str">
        <f>HYPERLINK("https://ssdweb.co/ssdweb/hd/Vision360.html?d=925861584&amp;zoomslide=1&amp;z=1925861584&amp;ISCONFIRM=0","VIDEO")</f>
        <v>VIDEO</v>
      </c>
      <c r="AA4142" s="19" t="str">
        <f>HYPERLINK("https://ssdweb.co/ssdweb/CERTH/627497105.pdf","CERTI")</f>
        <v>CERTI</v>
      </c>
    </row>
    <row r="4143" spans="1:27" ht="15" x14ac:dyDescent="0.25">
      <c r="A4143" s="2">
        <v>4138</v>
      </c>
      <c r="B4143" s="39">
        <v>925950513</v>
      </c>
      <c r="C4143" s="28" t="str">
        <f>HYPERLINK("https://pld.live/RapDetail.aspx?STONELIST=925950513","DNA")</f>
        <v>DNA</v>
      </c>
      <c r="D4143" s="18" t="s">
        <v>3054</v>
      </c>
      <c r="E4143" s="18" t="s">
        <v>5128</v>
      </c>
      <c r="F4143" s="2" t="s">
        <v>7987</v>
      </c>
      <c r="G4143" s="2" t="s">
        <v>1573</v>
      </c>
      <c r="H4143" s="14">
        <v>1.1000000000000001</v>
      </c>
      <c r="I4143" s="2" t="s">
        <v>267</v>
      </c>
      <c r="J4143" s="2" t="s">
        <v>3942</v>
      </c>
      <c r="K4143" s="2" t="s">
        <v>1452</v>
      </c>
      <c r="L4143" s="2" t="s">
        <v>5221</v>
      </c>
      <c r="M4143" s="2" t="s">
        <v>5221</v>
      </c>
      <c r="N4143" s="2" t="s">
        <v>2317</v>
      </c>
      <c r="O4143" s="14">
        <v>7600</v>
      </c>
      <c r="P4143" s="14">
        <v>98.49</v>
      </c>
      <c r="Q4143" s="14">
        <v>114.76</v>
      </c>
      <c r="R4143" s="14">
        <v>126.24</v>
      </c>
      <c r="S4143" s="2" t="s">
        <v>7338</v>
      </c>
      <c r="T4143" s="2">
        <v>1.4</v>
      </c>
      <c r="U4143" s="2">
        <v>61.1</v>
      </c>
      <c r="V4143" s="2">
        <v>58</v>
      </c>
      <c r="W4143" s="2" t="s">
        <v>7862</v>
      </c>
      <c r="X4143" s="2" t="s">
        <v>471</v>
      </c>
      <c r="Y4143" s="2">
        <v>8360</v>
      </c>
      <c r="Z4143" s="19" t="str">
        <f>HYPERLINK("https://ssdweb.co/ssdweb/hd/Vision360.html?d=925950513&amp;zoomslide=1&amp;z=1925950513&amp;ISCONFIRM=0","VIDEO")</f>
        <v>VIDEO</v>
      </c>
      <c r="AA4143" s="19" t="str">
        <f>HYPERLINK("https://ssdweb.co/ssdweb/CERTH/627410453.pdf","CERTI")</f>
        <v>CERTI</v>
      </c>
    </row>
    <row r="4144" spans="1:27" ht="15" x14ac:dyDescent="0.25">
      <c r="A4144" s="2">
        <v>4139</v>
      </c>
      <c r="B4144" s="39">
        <v>926170480</v>
      </c>
      <c r="C4144" s="28" t="str">
        <f>HYPERLINK("https://pld.live/RapDetail.aspx?STONELIST=926170480","DNA")</f>
        <v>DNA</v>
      </c>
      <c r="D4144" s="18" t="s">
        <v>3054</v>
      </c>
      <c r="E4144" s="18" t="s">
        <v>5128</v>
      </c>
      <c r="F4144" s="2" t="s">
        <v>7987</v>
      </c>
      <c r="G4144" s="2" t="s">
        <v>1573</v>
      </c>
      <c r="H4144" s="14">
        <v>1.1000000000000001</v>
      </c>
      <c r="I4144" s="2" t="s">
        <v>267</v>
      </c>
      <c r="J4144" s="2" t="s">
        <v>3942</v>
      </c>
      <c r="K4144" s="2" t="s">
        <v>1452</v>
      </c>
      <c r="L4144" s="2" t="s">
        <v>5221</v>
      </c>
      <c r="M4144" s="2" t="s">
        <v>5221</v>
      </c>
      <c r="N4144" s="2" t="s">
        <v>2317</v>
      </c>
      <c r="O4144" s="14">
        <v>7600</v>
      </c>
      <c r="P4144" s="14">
        <v>98.49</v>
      </c>
      <c r="Q4144" s="14">
        <v>114.76</v>
      </c>
      <c r="R4144" s="14">
        <v>126.24</v>
      </c>
      <c r="S4144" s="2" t="s">
        <v>7256</v>
      </c>
      <c r="T4144" s="2">
        <v>1.39</v>
      </c>
      <c r="U4144" s="2">
        <v>60.4</v>
      </c>
      <c r="V4144" s="2">
        <v>62</v>
      </c>
      <c r="W4144" s="2" t="s">
        <v>7862</v>
      </c>
      <c r="X4144" s="2" t="s">
        <v>471</v>
      </c>
      <c r="Y4144" s="2">
        <v>8360</v>
      </c>
      <c r="Z4144" s="19" t="str">
        <f>HYPERLINK("https://ssdweb.co/ssdweb/hd/Vision360.html?d=926170480&amp;zoomslide=1&amp;z=1926170480&amp;ISCONFIRM=0","VIDEO")</f>
        <v>VIDEO</v>
      </c>
      <c r="AA4144" s="19" t="str">
        <f>HYPERLINK("https://ssdweb.co/ssdweb/CERTH/633474084.pdf","CERTI")</f>
        <v>CERTI</v>
      </c>
    </row>
    <row r="4145" spans="1:27" ht="15" x14ac:dyDescent="0.25">
      <c r="A4145" s="2">
        <v>4140</v>
      </c>
      <c r="B4145" s="39">
        <v>926110404</v>
      </c>
      <c r="C4145" s="28" t="str">
        <f>HYPERLINK("https://pld.live/RapDetail.aspx?STONELIST=926110404","DNA")</f>
        <v>DNA</v>
      </c>
      <c r="D4145" s="18" t="s">
        <v>3054</v>
      </c>
      <c r="E4145" s="18" t="s">
        <v>5128</v>
      </c>
      <c r="F4145" s="2" t="s">
        <v>7987</v>
      </c>
      <c r="G4145" s="2" t="s">
        <v>1573</v>
      </c>
      <c r="H4145" s="14">
        <v>1.1000000000000001</v>
      </c>
      <c r="I4145" s="2" t="s">
        <v>267</v>
      </c>
      <c r="J4145" s="2" t="s">
        <v>3942</v>
      </c>
      <c r="K4145" s="2" t="s">
        <v>1452</v>
      </c>
      <c r="L4145" s="2" t="s">
        <v>5221</v>
      </c>
      <c r="M4145" s="2" t="s">
        <v>5221</v>
      </c>
      <c r="N4145" s="2" t="s">
        <v>2317</v>
      </c>
      <c r="O4145" s="14">
        <v>7600</v>
      </c>
      <c r="P4145" s="14">
        <v>98.49</v>
      </c>
      <c r="Q4145" s="14">
        <v>114.76</v>
      </c>
      <c r="R4145" s="14">
        <v>126.24</v>
      </c>
      <c r="S4145" s="2" t="s">
        <v>6226</v>
      </c>
      <c r="T4145" s="2">
        <v>1.36</v>
      </c>
      <c r="U4145" s="2">
        <v>61.8</v>
      </c>
      <c r="V4145" s="2">
        <v>59</v>
      </c>
      <c r="W4145" s="2" t="s">
        <v>7862</v>
      </c>
      <c r="X4145" s="2" t="s">
        <v>471</v>
      </c>
      <c r="Y4145" s="2">
        <v>8360</v>
      </c>
      <c r="Z4145" s="19" t="str">
        <f>HYPERLINK("https://ssdweb.co/ssdweb/hd/Vision360.html?d=926110404&amp;zoomslide=1&amp;z=1926110404&amp;ISCONFIRM=0","VIDEO")</f>
        <v>VIDEO</v>
      </c>
      <c r="AA4145" s="19" t="str">
        <f>HYPERLINK("https://ssdweb.co/ssdweb/CERTH/632403905.pdf","CERTI")</f>
        <v>CERTI</v>
      </c>
    </row>
    <row r="4146" spans="1:27" ht="15" x14ac:dyDescent="0.25">
      <c r="A4146" s="2">
        <v>4141</v>
      </c>
      <c r="B4146" s="39">
        <v>925940399</v>
      </c>
      <c r="C4146" s="28" t="str">
        <f>HYPERLINK("https://pld.live/RapDetail.aspx?STONELIST=925940399","DNA")</f>
        <v>DNA</v>
      </c>
      <c r="D4146" s="18" t="s">
        <v>3054</v>
      </c>
      <c r="E4146" s="18" t="s">
        <v>5128</v>
      </c>
      <c r="F4146" s="2" t="s">
        <v>7987</v>
      </c>
      <c r="G4146" s="2" t="s">
        <v>1573</v>
      </c>
      <c r="H4146" s="14">
        <v>1.1000000000000001</v>
      </c>
      <c r="I4146" s="2" t="s">
        <v>267</v>
      </c>
      <c r="J4146" s="2" t="s">
        <v>13</v>
      </c>
      <c r="K4146" s="2" t="s">
        <v>1452</v>
      </c>
      <c r="L4146" s="2" t="s">
        <v>5221</v>
      </c>
      <c r="M4146" s="2" t="s">
        <v>5221</v>
      </c>
      <c r="N4146" s="2" t="s">
        <v>2317</v>
      </c>
      <c r="O4146" s="14">
        <v>6700</v>
      </c>
      <c r="P4146" s="14">
        <v>98.33</v>
      </c>
      <c r="Q4146" s="14">
        <v>111.89</v>
      </c>
      <c r="R4146" s="14">
        <v>123.08</v>
      </c>
      <c r="S4146" s="2" t="s">
        <v>8036</v>
      </c>
      <c r="T4146" s="2">
        <v>1.39</v>
      </c>
      <c r="U4146" s="2">
        <v>61.2</v>
      </c>
      <c r="V4146" s="2">
        <v>61</v>
      </c>
      <c r="W4146" s="2" t="s">
        <v>7862</v>
      </c>
      <c r="X4146" s="2" t="s">
        <v>471</v>
      </c>
      <c r="Y4146" s="2">
        <v>7370</v>
      </c>
      <c r="Z4146" s="19" t="str">
        <f>HYPERLINK("https://ssdweb.co/ssdweb/hd/Vision360.html?d=925940399&amp;zoomslide=1&amp;z=1925940399&amp;ISCONFIRM=0","VIDEO")</f>
        <v>VIDEO</v>
      </c>
      <c r="AA4146" s="19" t="str">
        <f>HYPERLINK("https://ssdweb.co/ssdweb/CERTH/628463025.pdf","CERTI")</f>
        <v>CERTI</v>
      </c>
    </row>
    <row r="4147" spans="1:27" ht="15" x14ac:dyDescent="0.25">
      <c r="A4147" s="2">
        <v>4142</v>
      </c>
      <c r="B4147" s="39">
        <v>925722089</v>
      </c>
      <c r="C4147" s="28" t="str">
        <f>HYPERLINK("https://pld.live/RapDetail.aspx?STONELIST=925722089","DNA")</f>
        <v>DNA</v>
      </c>
      <c r="D4147" s="18" t="s">
        <v>3054</v>
      </c>
      <c r="E4147" s="18" t="s">
        <v>5128</v>
      </c>
      <c r="F4147" s="2" t="s">
        <v>7987</v>
      </c>
      <c r="G4147" s="2" t="s">
        <v>1573</v>
      </c>
      <c r="H4147" s="14">
        <v>1.1000000000000001</v>
      </c>
      <c r="I4147" s="2" t="s">
        <v>267</v>
      </c>
      <c r="J4147" s="2" t="s">
        <v>13</v>
      </c>
      <c r="K4147" s="2" t="s">
        <v>1452</v>
      </c>
      <c r="L4147" s="2" t="s">
        <v>5221</v>
      </c>
      <c r="M4147" s="2" t="s">
        <v>5221</v>
      </c>
      <c r="N4147" s="2" t="s">
        <v>2317</v>
      </c>
      <c r="O4147" s="14">
        <v>6700</v>
      </c>
      <c r="P4147" s="14">
        <v>98.33</v>
      </c>
      <c r="Q4147" s="14">
        <v>111.89</v>
      </c>
      <c r="R4147" s="14">
        <v>123.08</v>
      </c>
      <c r="S4147" s="2" t="s">
        <v>4503</v>
      </c>
      <c r="T4147" s="2">
        <v>1.39</v>
      </c>
      <c r="U4147" s="2">
        <v>61.4</v>
      </c>
      <c r="V4147" s="2">
        <v>62</v>
      </c>
      <c r="W4147" s="2" t="s">
        <v>7862</v>
      </c>
      <c r="X4147" s="2" t="s">
        <v>471</v>
      </c>
      <c r="Y4147" s="2">
        <v>7370</v>
      </c>
      <c r="Z4147" s="19" t="str">
        <f>HYPERLINK("https://ssdweb.co/ssdweb/hd/Vision360.html?d=925722089&amp;zoomslide=1&amp;z=1925722089&amp;ISCONFIRM=0","VIDEO")</f>
        <v>VIDEO</v>
      </c>
      <c r="AA4147" s="19" t="str">
        <f>HYPERLINK("https://ssdweb.co/ssdweb/CERTH/626457327.pdf","CERTI")</f>
        <v>CERTI</v>
      </c>
    </row>
    <row r="4148" spans="1:27" ht="15" x14ac:dyDescent="0.25">
      <c r="A4148" s="2">
        <v>4143</v>
      </c>
      <c r="B4148" s="39">
        <v>926170785</v>
      </c>
      <c r="C4148" s="28" t="str">
        <f>HYPERLINK("https://pld.live/RapDetail.aspx?STONELIST=926170785","DNA")</f>
        <v>DNA</v>
      </c>
      <c r="D4148" s="18" t="s">
        <v>3054</v>
      </c>
      <c r="E4148" s="18" t="s">
        <v>5128</v>
      </c>
      <c r="F4148" s="2" t="s">
        <v>7987</v>
      </c>
      <c r="G4148" s="2" t="s">
        <v>1573</v>
      </c>
      <c r="H4148" s="14">
        <v>1.1000000000000001</v>
      </c>
      <c r="I4148" s="2" t="s">
        <v>267</v>
      </c>
      <c r="J4148" s="2" t="s">
        <v>13</v>
      </c>
      <c r="K4148" s="2" t="s">
        <v>1452</v>
      </c>
      <c r="L4148" s="2" t="s">
        <v>5221</v>
      </c>
      <c r="M4148" s="2" t="s">
        <v>5721</v>
      </c>
      <c r="N4148" s="2" t="s">
        <v>2317</v>
      </c>
      <c r="O4148" s="14">
        <v>6700</v>
      </c>
      <c r="P4148" s="14">
        <v>98.33</v>
      </c>
      <c r="Q4148" s="14">
        <v>111.89</v>
      </c>
      <c r="R4148" s="14">
        <v>123.08</v>
      </c>
      <c r="S4148" s="2" t="s">
        <v>7343</v>
      </c>
      <c r="T4148" s="2">
        <v>1.36</v>
      </c>
      <c r="U4148" s="2">
        <v>62.7</v>
      </c>
      <c r="V4148" s="2">
        <v>62</v>
      </c>
      <c r="W4148" s="2" t="s">
        <v>7862</v>
      </c>
      <c r="X4148" s="2" t="s">
        <v>471</v>
      </c>
      <c r="Y4148" s="2">
        <v>7370</v>
      </c>
      <c r="Z4148" s="19" t="str">
        <f>HYPERLINK("https://ssdweb.co/ssdweb/hd/Vision360.html?d=926170785&amp;zoomslide=1&amp;z=1926170785&amp;ISCONFIRM=0","VIDEO")</f>
        <v>VIDEO</v>
      </c>
      <c r="AA4148" s="19" t="str">
        <f>HYPERLINK("https://ssdweb.co/ssdweb/CERTH/633490498.pdf","CERTI")</f>
        <v>CERTI</v>
      </c>
    </row>
    <row r="4149" spans="1:27" ht="15" x14ac:dyDescent="0.25">
      <c r="A4149" s="2">
        <v>4144</v>
      </c>
      <c r="B4149" s="39">
        <v>925450148</v>
      </c>
      <c r="C4149" s="28" t="str">
        <f>HYPERLINK("https://pld.live/RapDetail.aspx?STONELIST=925450148","DNA")</f>
        <v>DNA</v>
      </c>
      <c r="D4149" s="18" t="s">
        <v>3054</v>
      </c>
      <c r="E4149" s="18" t="s">
        <v>2186</v>
      </c>
      <c r="F4149" s="2" t="s">
        <v>7987</v>
      </c>
      <c r="G4149" s="2" t="s">
        <v>1573</v>
      </c>
      <c r="H4149" s="14">
        <v>1.1000000000000001</v>
      </c>
      <c r="I4149" s="2" t="s">
        <v>4761</v>
      </c>
      <c r="J4149" s="2" t="s">
        <v>5144</v>
      </c>
      <c r="K4149" s="2" t="s">
        <v>1452</v>
      </c>
      <c r="L4149" s="2" t="s">
        <v>5221</v>
      </c>
      <c r="M4149" s="2" t="s">
        <v>5221</v>
      </c>
      <c r="N4149" s="2" t="s">
        <v>2317</v>
      </c>
      <c r="O4149" s="14">
        <v>5400</v>
      </c>
      <c r="P4149" s="14">
        <v>98.04</v>
      </c>
      <c r="Q4149" s="14">
        <v>105.84</v>
      </c>
      <c r="R4149" s="14">
        <v>116.42</v>
      </c>
      <c r="S4149" s="2" t="s">
        <v>686</v>
      </c>
      <c r="T4149" s="2">
        <v>1.4</v>
      </c>
      <c r="U4149" s="2">
        <v>61.3</v>
      </c>
      <c r="V4149" s="2">
        <v>61</v>
      </c>
      <c r="W4149" s="2" t="s">
        <v>7862</v>
      </c>
      <c r="X4149" s="2" t="s">
        <v>471</v>
      </c>
      <c r="Y4149" s="2">
        <v>5940</v>
      </c>
      <c r="Z4149" s="19" t="str">
        <f>HYPERLINK("https://ssdweb.co/ssdweb/hd/Vision360.html?d=925450148&amp;zoomslide=1&amp;z=1925450148&amp;ISCONFIRM=0","VIDEO")</f>
        <v>VIDEO</v>
      </c>
      <c r="AA4149" s="19" t="str">
        <f>HYPERLINK("https://ssdweb.co/ssdweb/CERTH/624499707.pdf","CERTI")</f>
        <v>CERTI</v>
      </c>
    </row>
    <row r="4150" spans="1:27" ht="15" x14ac:dyDescent="0.25">
      <c r="A4150" s="2">
        <v>4145</v>
      </c>
      <c r="B4150" s="39">
        <v>925450075</v>
      </c>
      <c r="C4150" s="28" t="str">
        <f>HYPERLINK("https://pld.live/RapDetail.aspx?STONELIST=925450075","DNA")</f>
        <v>DNA</v>
      </c>
      <c r="D4150" s="18" t="s">
        <v>3054</v>
      </c>
      <c r="E4150" s="18" t="s">
        <v>2186</v>
      </c>
      <c r="F4150" s="2" t="s">
        <v>7987</v>
      </c>
      <c r="G4150" s="2" t="s">
        <v>1573</v>
      </c>
      <c r="H4150" s="14">
        <v>1.1000000000000001</v>
      </c>
      <c r="I4150" s="2" t="s">
        <v>4761</v>
      </c>
      <c r="J4150" s="2" t="s">
        <v>5144</v>
      </c>
      <c r="K4150" s="2" t="s">
        <v>1452</v>
      </c>
      <c r="L4150" s="2" t="s">
        <v>5221</v>
      </c>
      <c r="M4150" s="2" t="s">
        <v>5221</v>
      </c>
      <c r="N4150" s="2" t="s">
        <v>2317</v>
      </c>
      <c r="O4150" s="14">
        <v>5400</v>
      </c>
      <c r="P4150" s="14">
        <v>98.04</v>
      </c>
      <c r="Q4150" s="14">
        <v>105.84</v>
      </c>
      <c r="R4150" s="14">
        <v>116.42</v>
      </c>
      <c r="S4150" s="2" t="s">
        <v>7887</v>
      </c>
      <c r="T4150" s="2">
        <v>1.38</v>
      </c>
      <c r="U4150" s="2">
        <v>62.2</v>
      </c>
      <c r="V4150" s="2">
        <v>61</v>
      </c>
      <c r="W4150" s="2" t="s">
        <v>7862</v>
      </c>
      <c r="X4150" s="2" t="s">
        <v>471</v>
      </c>
      <c r="Y4150" s="2">
        <v>5940</v>
      </c>
      <c r="Z4150" s="19" t="str">
        <f>HYPERLINK("https://ssdweb.co/ssdweb/hd/Vision360.html?d=925450075&amp;zoomslide=1&amp;z=1925450075&amp;ISCONFIRM=0","VIDEO")</f>
        <v>VIDEO</v>
      </c>
      <c r="AA4150" s="19" t="str">
        <f>HYPERLINK("https://ssdweb.co/ssdweb/CERTH/618480898.pdf","CERTI")</f>
        <v>CERTI</v>
      </c>
    </row>
    <row r="4151" spans="1:27" ht="15" x14ac:dyDescent="0.25">
      <c r="A4151" s="2">
        <v>4146</v>
      </c>
      <c r="B4151" s="39">
        <v>925722060</v>
      </c>
      <c r="C4151" s="28" t="str">
        <f>HYPERLINK("https://pld.live/RapDetail.aspx?STONELIST=925722060","DNA")</f>
        <v>DNA</v>
      </c>
      <c r="D4151" s="18" t="s">
        <v>3054</v>
      </c>
      <c r="E4151" s="18" t="s">
        <v>5128</v>
      </c>
      <c r="F4151" s="2" t="s">
        <v>7987</v>
      </c>
      <c r="G4151" s="2" t="s">
        <v>1573</v>
      </c>
      <c r="H4151" s="14">
        <v>1.0900000000000001</v>
      </c>
      <c r="I4151" s="2" t="s">
        <v>267</v>
      </c>
      <c r="J4151" s="2" t="s">
        <v>6555</v>
      </c>
      <c r="K4151" s="2" t="s">
        <v>1452</v>
      </c>
      <c r="L4151" s="2" t="s">
        <v>5221</v>
      </c>
      <c r="M4151" s="2" t="s">
        <v>5221</v>
      </c>
      <c r="N4151" s="2" t="s">
        <v>2317</v>
      </c>
      <c r="O4151" s="14">
        <v>8200</v>
      </c>
      <c r="P4151" s="14">
        <v>98.29</v>
      </c>
      <c r="Q4151" s="14">
        <v>140.22</v>
      </c>
      <c r="R4151" s="14">
        <v>152.84</v>
      </c>
      <c r="S4151" s="2" t="s">
        <v>4691</v>
      </c>
      <c r="T4151" s="2">
        <v>1.36</v>
      </c>
      <c r="U4151" s="2">
        <v>62.7</v>
      </c>
      <c r="V4151" s="2">
        <v>62</v>
      </c>
      <c r="W4151" s="2" t="s">
        <v>7862</v>
      </c>
      <c r="X4151" s="2" t="s">
        <v>471</v>
      </c>
      <c r="Y4151" s="2">
        <v>8938</v>
      </c>
      <c r="Z4151" s="19" t="str">
        <f>HYPERLINK("https://ssdweb.co/ssdweb/hd/Vision360.html?d=925722060&amp;zoomslide=1&amp;z=1925722060&amp;ISCONFIRM=0","VIDEO")</f>
        <v>VIDEO</v>
      </c>
      <c r="AA4151" s="19" t="str">
        <f>HYPERLINK("https://ssdweb.co/ssdweb/CERTH/626466267.pdf","CERTI")</f>
        <v>CERTI</v>
      </c>
    </row>
    <row r="4152" spans="1:27" ht="15" x14ac:dyDescent="0.25">
      <c r="A4152" s="2">
        <v>4147</v>
      </c>
      <c r="B4152" s="39">
        <v>925940519</v>
      </c>
      <c r="C4152" s="28" t="str">
        <f>HYPERLINK("https://pld.live/RapDetail.aspx?STONELIST=925940519","DNA")</f>
        <v>DNA</v>
      </c>
      <c r="D4152" s="18" t="s">
        <v>3054</v>
      </c>
      <c r="E4152" s="18" t="s">
        <v>5128</v>
      </c>
      <c r="F4152" s="2" t="s">
        <v>7987</v>
      </c>
      <c r="G4152" s="2" t="s">
        <v>1573</v>
      </c>
      <c r="H4152" s="14">
        <v>1.0900000000000001</v>
      </c>
      <c r="I4152" s="2" t="s">
        <v>267</v>
      </c>
      <c r="J4152" s="2" t="s">
        <v>3942</v>
      </c>
      <c r="K4152" s="2" t="s">
        <v>1452</v>
      </c>
      <c r="L4152" s="2" t="s">
        <v>5221</v>
      </c>
      <c r="M4152" s="2" t="s">
        <v>5221</v>
      </c>
      <c r="N4152" s="2" t="s">
        <v>2317</v>
      </c>
      <c r="O4152" s="14">
        <v>7600</v>
      </c>
      <c r="P4152" s="14">
        <v>98.49</v>
      </c>
      <c r="Q4152" s="14">
        <v>114.76</v>
      </c>
      <c r="R4152" s="14">
        <v>125.09</v>
      </c>
      <c r="S4152" s="2" t="s">
        <v>7172</v>
      </c>
      <c r="T4152" s="2">
        <v>1.37</v>
      </c>
      <c r="U4152" s="2">
        <v>61.4</v>
      </c>
      <c r="V4152" s="2">
        <v>61</v>
      </c>
      <c r="W4152" s="2" t="s">
        <v>7862</v>
      </c>
      <c r="X4152" s="2" t="s">
        <v>471</v>
      </c>
      <c r="Y4152" s="2">
        <v>8284</v>
      </c>
      <c r="Z4152" s="19" t="str">
        <f>HYPERLINK("https://ssdweb.co/ssdweb/hd/Vision360.html?d=925940519&amp;zoomslide=1&amp;z=1925940519&amp;ISCONFIRM=0","VIDEO")</f>
        <v>VIDEO</v>
      </c>
      <c r="AA4152" s="19" t="str">
        <f>HYPERLINK("https://ssdweb.co/ssdweb/CERTH/628463072.pdf","CERTI")</f>
        <v>CERTI</v>
      </c>
    </row>
    <row r="4153" spans="1:27" ht="15" x14ac:dyDescent="0.25">
      <c r="A4153" s="2">
        <v>4148</v>
      </c>
      <c r="B4153" s="39">
        <v>926170794</v>
      </c>
      <c r="C4153" s="28" t="str">
        <f>HYPERLINK("https://pld.live/RapDetail.aspx?STONELIST=926170794","DNA")</f>
        <v>DNA</v>
      </c>
      <c r="D4153" s="18" t="s">
        <v>3054</v>
      </c>
      <c r="E4153" s="18" t="s">
        <v>5128</v>
      </c>
      <c r="F4153" s="2" t="s">
        <v>7987</v>
      </c>
      <c r="G4153" s="2" t="s">
        <v>1573</v>
      </c>
      <c r="H4153" s="14">
        <v>1.0900000000000001</v>
      </c>
      <c r="I4153" s="2" t="s">
        <v>267</v>
      </c>
      <c r="J4153" s="2" t="s">
        <v>3942</v>
      </c>
      <c r="K4153" s="2" t="s">
        <v>1452</v>
      </c>
      <c r="L4153" s="2" t="s">
        <v>5221</v>
      </c>
      <c r="M4153" s="2" t="s">
        <v>5221</v>
      </c>
      <c r="N4153" s="2" t="s">
        <v>2317</v>
      </c>
      <c r="O4153" s="14">
        <v>7600</v>
      </c>
      <c r="P4153" s="14">
        <v>98.49</v>
      </c>
      <c r="Q4153" s="14">
        <v>114.76</v>
      </c>
      <c r="R4153" s="14">
        <v>125.09</v>
      </c>
      <c r="S4153" s="2" t="s">
        <v>7216</v>
      </c>
      <c r="T4153" s="2">
        <v>1.41</v>
      </c>
      <c r="U4153" s="2">
        <v>62</v>
      </c>
      <c r="V4153" s="2">
        <v>62</v>
      </c>
      <c r="W4153" s="2" t="s">
        <v>7862</v>
      </c>
      <c r="X4153" s="2" t="s">
        <v>471</v>
      </c>
      <c r="Y4153" s="2">
        <v>8284</v>
      </c>
      <c r="Z4153" s="19" t="str">
        <f>HYPERLINK("https://ssdweb.co/ssdweb/hd/Vision360.html?d=926170794&amp;zoomslide=1&amp;z=1926170794&amp;ISCONFIRM=0","VIDEO")</f>
        <v>VIDEO</v>
      </c>
      <c r="AA4153" s="19" t="str">
        <f>HYPERLINK("https://ssdweb.co/ssdweb/CERTH/633490507.pdf","CERTI")</f>
        <v>CERTI</v>
      </c>
    </row>
    <row r="4154" spans="1:27" ht="15" x14ac:dyDescent="0.25">
      <c r="A4154" s="2">
        <v>4149</v>
      </c>
      <c r="B4154" s="39">
        <v>926170655</v>
      </c>
      <c r="C4154" s="28" t="str">
        <f>HYPERLINK("https://pld.live/RapDetail.aspx?STONELIST=926170655","DNA")</f>
        <v>DNA</v>
      </c>
      <c r="D4154" s="18" t="s">
        <v>3054</v>
      </c>
      <c r="E4154" s="18" t="s">
        <v>5128</v>
      </c>
      <c r="F4154" s="2" t="s">
        <v>7987</v>
      </c>
      <c r="G4154" s="2" t="s">
        <v>1573</v>
      </c>
      <c r="H4154" s="14">
        <v>1.0900000000000001</v>
      </c>
      <c r="I4154" s="2" t="s">
        <v>267</v>
      </c>
      <c r="J4154" s="2" t="s">
        <v>3942</v>
      </c>
      <c r="K4154" s="2" t="s">
        <v>1452</v>
      </c>
      <c r="L4154" s="2" t="s">
        <v>5221</v>
      </c>
      <c r="M4154" s="2" t="s">
        <v>5221</v>
      </c>
      <c r="N4154" s="2" t="s">
        <v>2317</v>
      </c>
      <c r="O4154" s="14">
        <v>7600</v>
      </c>
      <c r="P4154" s="14">
        <v>98.49</v>
      </c>
      <c r="Q4154" s="14">
        <v>114.76</v>
      </c>
      <c r="R4154" s="14">
        <v>125.09</v>
      </c>
      <c r="S4154" s="2" t="s">
        <v>2473</v>
      </c>
      <c r="T4154" s="2">
        <v>1.43</v>
      </c>
      <c r="U4154" s="2">
        <v>60.2</v>
      </c>
      <c r="V4154" s="2">
        <v>62</v>
      </c>
      <c r="W4154" s="2" t="s">
        <v>7862</v>
      </c>
      <c r="X4154" s="2" t="s">
        <v>471</v>
      </c>
      <c r="Y4154" s="2">
        <v>8284</v>
      </c>
      <c r="Z4154" s="19" t="str">
        <f>HYPERLINK("https://ssdweb.co/ssdweb/hd/Vision360.html?d=926170655&amp;zoomslide=1&amp;z=1926170655&amp;ISCONFIRM=0","VIDEO")</f>
        <v>VIDEO</v>
      </c>
      <c r="AA4154" s="19" t="str">
        <f>HYPERLINK("https://ssdweb.co/ssdweb/CERTH/633474110.pdf","CERTI")</f>
        <v>CERTI</v>
      </c>
    </row>
    <row r="4155" spans="1:27" ht="15" x14ac:dyDescent="0.25">
      <c r="A4155" s="2">
        <v>4150</v>
      </c>
      <c r="B4155" s="39">
        <v>926110942</v>
      </c>
      <c r="C4155" s="28" t="str">
        <f>HYPERLINK("https://pld.live/RapDetail.aspx?STONELIST=926110942","DNA")</f>
        <v>DNA</v>
      </c>
      <c r="D4155" s="18" t="s">
        <v>3054</v>
      </c>
      <c r="E4155" s="18" t="s">
        <v>5128</v>
      </c>
      <c r="F4155" s="2" t="s">
        <v>7987</v>
      </c>
      <c r="G4155" s="2" t="s">
        <v>1573</v>
      </c>
      <c r="H4155" s="14">
        <v>1.0900000000000001</v>
      </c>
      <c r="I4155" s="2" t="s">
        <v>267</v>
      </c>
      <c r="J4155" s="2" t="s">
        <v>3942</v>
      </c>
      <c r="K4155" s="2" t="s">
        <v>1452</v>
      </c>
      <c r="L4155" s="2" t="s">
        <v>5221</v>
      </c>
      <c r="M4155" s="2" t="s">
        <v>5221</v>
      </c>
      <c r="N4155" s="2" t="s">
        <v>2317</v>
      </c>
      <c r="O4155" s="14">
        <v>7600</v>
      </c>
      <c r="P4155" s="14">
        <v>98.49</v>
      </c>
      <c r="Q4155" s="14">
        <v>114.76</v>
      </c>
      <c r="R4155" s="14">
        <v>125.09</v>
      </c>
      <c r="S4155" s="2" t="s">
        <v>3601</v>
      </c>
      <c r="T4155" s="2">
        <v>1.39</v>
      </c>
      <c r="U4155" s="2">
        <v>60.3</v>
      </c>
      <c r="V4155" s="2">
        <v>63</v>
      </c>
      <c r="W4155" s="2" t="s">
        <v>7862</v>
      </c>
      <c r="X4155" s="2" t="s">
        <v>471</v>
      </c>
      <c r="Y4155" s="2">
        <v>8284</v>
      </c>
      <c r="Z4155" s="19" t="str">
        <f>HYPERLINK("https://ssdweb.co/ssdweb/hd/Vision360.html?d=926110942&amp;zoomslide=1&amp;z=1926110942&amp;ISCONFIRM=0","VIDEO")</f>
        <v>VIDEO</v>
      </c>
      <c r="AA4155" s="19" t="str">
        <f>HYPERLINK("https://ssdweb.co/ssdweb/CERTH/632449593.pdf","CERTI")</f>
        <v>CERTI</v>
      </c>
    </row>
    <row r="4156" spans="1:27" ht="15" x14ac:dyDescent="0.25">
      <c r="A4156" s="2">
        <v>4151</v>
      </c>
      <c r="B4156" s="39">
        <v>925732225</v>
      </c>
      <c r="C4156" s="28" t="str">
        <f>HYPERLINK("https://pld.live/RapDetail.aspx?STONELIST=925732225","DNA")</f>
        <v>DNA</v>
      </c>
      <c r="D4156" s="18" t="s">
        <v>3054</v>
      </c>
      <c r="E4156" s="18" t="s">
        <v>5128</v>
      </c>
      <c r="F4156" s="2" t="s">
        <v>7987</v>
      </c>
      <c r="G4156" s="2" t="s">
        <v>1573</v>
      </c>
      <c r="H4156" s="14">
        <v>1.0900000000000001</v>
      </c>
      <c r="I4156" s="2" t="s">
        <v>267</v>
      </c>
      <c r="J4156" s="2" t="s">
        <v>13</v>
      </c>
      <c r="K4156" s="2" t="s">
        <v>1452</v>
      </c>
      <c r="L4156" s="2" t="s">
        <v>5221</v>
      </c>
      <c r="M4156" s="2" t="s">
        <v>5221</v>
      </c>
      <c r="N4156" s="2" t="s">
        <v>2317</v>
      </c>
      <c r="O4156" s="14">
        <v>6700</v>
      </c>
      <c r="P4156" s="14">
        <v>98.33</v>
      </c>
      <c r="Q4156" s="14">
        <v>111.89</v>
      </c>
      <c r="R4156" s="14">
        <v>121.96</v>
      </c>
      <c r="S4156" s="2" t="s">
        <v>4492</v>
      </c>
      <c r="T4156" s="2">
        <v>1.37</v>
      </c>
      <c r="U4156" s="2">
        <v>62.8</v>
      </c>
      <c r="V4156" s="2">
        <v>58</v>
      </c>
      <c r="W4156" s="2" t="s">
        <v>7862</v>
      </c>
      <c r="X4156" s="2" t="s">
        <v>471</v>
      </c>
      <c r="Y4156" s="2">
        <v>7303</v>
      </c>
      <c r="Z4156" s="19" t="str">
        <f>HYPERLINK("https://ssdweb.co/ssdweb/hd/Vision360.html?d=925732225&amp;zoomslide=1&amp;z=1925732225&amp;ISCONFIRM=0","VIDEO")</f>
        <v>VIDEO</v>
      </c>
      <c r="AA4156" s="19" t="str">
        <f>HYPERLINK("https://ssdweb.co/ssdweb/CERTH/626414919.pdf","CERTI")</f>
        <v>CERTI</v>
      </c>
    </row>
    <row r="4157" spans="1:27" ht="15" x14ac:dyDescent="0.25">
      <c r="A4157" s="2">
        <v>4152</v>
      </c>
      <c r="B4157" s="39">
        <v>926041276</v>
      </c>
      <c r="C4157" s="28" t="str">
        <f>HYPERLINK("https://pld.live/RapDetail.aspx?STONELIST=926041276","DNA")</f>
        <v>DNA</v>
      </c>
      <c r="D4157" s="18" t="s">
        <v>3054</v>
      </c>
      <c r="E4157" s="18" t="s">
        <v>5128</v>
      </c>
      <c r="F4157" s="2" t="s">
        <v>7987</v>
      </c>
      <c r="G4157" s="2" t="s">
        <v>1573</v>
      </c>
      <c r="H4157" s="14">
        <v>1.0900000000000001</v>
      </c>
      <c r="I4157" s="2" t="s">
        <v>267</v>
      </c>
      <c r="J4157" s="2" t="s">
        <v>13</v>
      </c>
      <c r="K4157" s="2" t="s">
        <v>1452</v>
      </c>
      <c r="L4157" s="2" t="s">
        <v>5221</v>
      </c>
      <c r="M4157" s="2" t="s">
        <v>5221</v>
      </c>
      <c r="N4157" s="2" t="s">
        <v>2317</v>
      </c>
      <c r="O4157" s="14">
        <v>6700</v>
      </c>
      <c r="P4157" s="14">
        <v>98.33</v>
      </c>
      <c r="Q4157" s="14">
        <v>111.89</v>
      </c>
      <c r="R4157" s="14">
        <v>121.96</v>
      </c>
      <c r="S4157" s="2" t="s">
        <v>3398</v>
      </c>
      <c r="T4157" s="2">
        <v>1.38</v>
      </c>
      <c r="U4157" s="2">
        <v>62</v>
      </c>
      <c r="V4157" s="2">
        <v>61</v>
      </c>
      <c r="W4157" s="2" t="s">
        <v>7862</v>
      </c>
      <c r="X4157" s="2" t="s">
        <v>471</v>
      </c>
      <c r="Y4157" s="2">
        <v>7303</v>
      </c>
      <c r="Z4157" s="19" t="str">
        <f>HYPERLINK("https://ssdweb.co/ssdweb/hd/Vision360.html?d=926041276&amp;zoomslide=1&amp;z=1926041276&amp;ISCONFIRM=0","VIDEO")</f>
        <v>VIDEO</v>
      </c>
      <c r="AA4157" s="19" t="str">
        <f>HYPERLINK("https://ssdweb.co/ssdweb/CERTH/631430295.pdf","CERTI")</f>
        <v>CERTI</v>
      </c>
    </row>
    <row r="4158" spans="1:27" ht="15" x14ac:dyDescent="0.25">
      <c r="A4158" s="2">
        <v>4153</v>
      </c>
      <c r="B4158" s="39">
        <v>926110553</v>
      </c>
      <c r="C4158" s="28" t="str">
        <f>HYPERLINK("https://pld.live/RapDetail.aspx?STONELIST=926110553","DNA")</f>
        <v>DNA</v>
      </c>
      <c r="D4158" s="18" t="s">
        <v>3054</v>
      </c>
      <c r="E4158" s="18" t="s">
        <v>5128</v>
      </c>
      <c r="F4158" s="2" t="s">
        <v>7987</v>
      </c>
      <c r="G4158" s="2" t="s">
        <v>1573</v>
      </c>
      <c r="H4158" s="14">
        <v>1.0900000000000001</v>
      </c>
      <c r="I4158" s="2" t="s">
        <v>267</v>
      </c>
      <c r="J4158" s="2" t="s">
        <v>13</v>
      </c>
      <c r="K4158" s="2" t="s">
        <v>1452</v>
      </c>
      <c r="L4158" s="2" t="s">
        <v>5221</v>
      </c>
      <c r="M4158" s="2" t="s">
        <v>5221</v>
      </c>
      <c r="N4158" s="2" t="s">
        <v>2317</v>
      </c>
      <c r="O4158" s="14">
        <v>6700</v>
      </c>
      <c r="P4158" s="14">
        <v>98.33</v>
      </c>
      <c r="Q4158" s="14">
        <v>111.89</v>
      </c>
      <c r="R4158" s="14">
        <v>121.96</v>
      </c>
      <c r="S4158" s="2" t="s">
        <v>1693</v>
      </c>
      <c r="T4158" s="2">
        <v>1.36</v>
      </c>
      <c r="U4158" s="2">
        <v>62.7</v>
      </c>
      <c r="V4158" s="2">
        <v>61</v>
      </c>
      <c r="W4158" s="2" t="s">
        <v>7862</v>
      </c>
      <c r="X4158" s="2" t="s">
        <v>471</v>
      </c>
      <c r="Y4158" s="2">
        <v>7303</v>
      </c>
      <c r="Z4158" s="19" t="str">
        <f>HYPERLINK("https://ssdweb.co/ssdweb/hd/Vision360.html?d=926110553&amp;zoomslide=1&amp;z=1926110553&amp;ISCONFIRM=0","VIDEO")</f>
        <v>VIDEO</v>
      </c>
      <c r="AA4158" s="19" t="str">
        <f>HYPERLINK("https://ssdweb.co/ssdweb/CERTH/632403931.pdf","CERTI")</f>
        <v>CERTI</v>
      </c>
    </row>
    <row r="4159" spans="1:27" ht="15" x14ac:dyDescent="0.25">
      <c r="A4159" s="2">
        <v>4154</v>
      </c>
      <c r="B4159" s="39">
        <v>926041149</v>
      </c>
      <c r="C4159" s="28" t="str">
        <f>HYPERLINK("https://pld.live/RapDetail.aspx?STONELIST=926041149","DNA")</f>
        <v>DNA</v>
      </c>
      <c r="D4159" s="18" t="s">
        <v>3054</v>
      </c>
      <c r="E4159" s="18" t="s">
        <v>5128</v>
      </c>
      <c r="F4159" s="2" t="s">
        <v>7987</v>
      </c>
      <c r="G4159" s="2" t="s">
        <v>1573</v>
      </c>
      <c r="H4159" s="14">
        <v>1.0900000000000001</v>
      </c>
      <c r="I4159" s="2" t="s">
        <v>267</v>
      </c>
      <c r="J4159" s="2" t="s">
        <v>5144</v>
      </c>
      <c r="K4159" s="2" t="s">
        <v>1452</v>
      </c>
      <c r="L4159" s="2" t="s">
        <v>5221</v>
      </c>
      <c r="M4159" s="2" t="s">
        <v>5221</v>
      </c>
      <c r="N4159" s="2" t="s">
        <v>2317</v>
      </c>
      <c r="O4159" s="14">
        <v>5700</v>
      </c>
      <c r="P4159" s="14">
        <v>98.09</v>
      </c>
      <c r="Q4159" s="14">
        <v>108.87</v>
      </c>
      <c r="R4159" s="14">
        <v>118.67</v>
      </c>
      <c r="S4159" s="2" t="s">
        <v>7972</v>
      </c>
      <c r="T4159" s="2">
        <v>1.39</v>
      </c>
      <c r="U4159" s="2">
        <v>61.1</v>
      </c>
      <c r="V4159" s="2">
        <v>60</v>
      </c>
      <c r="W4159" s="2" t="s">
        <v>7862</v>
      </c>
      <c r="X4159" s="2" t="s">
        <v>471</v>
      </c>
      <c r="Y4159" s="2">
        <v>6213</v>
      </c>
      <c r="Z4159" s="19" t="str">
        <f>HYPERLINK("https://ssdweb.co/ssdweb/hd/Vision360.html?d=926041149&amp;zoomslide=1&amp;z=1926041149&amp;ISCONFIRM=0","VIDEO")</f>
        <v>VIDEO</v>
      </c>
      <c r="AA4159" s="19" t="str">
        <f>HYPERLINK("https://ssdweb.co/ssdweb/CERTH/631404577.pdf","CERTI")</f>
        <v>CERTI</v>
      </c>
    </row>
    <row r="4160" spans="1:27" ht="15" x14ac:dyDescent="0.25">
      <c r="A4160" s="2">
        <v>4155</v>
      </c>
      <c r="B4160" s="39">
        <v>925110306</v>
      </c>
      <c r="C4160" s="28" t="str">
        <f>HYPERLINK("https://pld.live/RapDetail.aspx?STONELIST=925110306","DNA")</f>
        <v>DNA</v>
      </c>
      <c r="D4160" s="18" t="s">
        <v>3054</v>
      </c>
      <c r="E4160" s="18" t="s">
        <v>5128</v>
      </c>
      <c r="F4160" s="2" t="s">
        <v>7987</v>
      </c>
      <c r="G4160" s="2" t="s">
        <v>1573</v>
      </c>
      <c r="H4160" s="14">
        <v>1.0900000000000001</v>
      </c>
      <c r="I4160" s="2" t="s">
        <v>4761</v>
      </c>
      <c r="J4160" s="2" t="s">
        <v>7032</v>
      </c>
      <c r="K4160" s="2" t="s">
        <v>1452</v>
      </c>
      <c r="L4160" s="2" t="s">
        <v>5221</v>
      </c>
      <c r="M4160" s="2" t="s">
        <v>5221</v>
      </c>
      <c r="N4160" s="2" t="s">
        <v>2317</v>
      </c>
      <c r="O4160" s="14">
        <v>8200</v>
      </c>
      <c r="P4160" s="14">
        <v>96.52</v>
      </c>
      <c r="Q4160" s="14">
        <v>285.36</v>
      </c>
      <c r="R4160" s="14">
        <v>311.04000000000002</v>
      </c>
      <c r="S4160" s="2" t="s">
        <v>6446</v>
      </c>
      <c r="T4160" s="2">
        <v>1.39</v>
      </c>
      <c r="U4160" s="2">
        <v>62.6</v>
      </c>
      <c r="V4160" s="2">
        <v>62</v>
      </c>
      <c r="W4160" s="2" t="s">
        <v>7862</v>
      </c>
      <c r="X4160" s="2" t="s">
        <v>471</v>
      </c>
      <c r="Y4160" s="2">
        <v>8938</v>
      </c>
      <c r="Z4160" s="19" t="str">
        <f>HYPERLINK("https://ssdweb.co/ssdweb/hd/Vision360.html?d=925110306&amp;zoomslide=1&amp;z=1925110306&amp;ISCONFIRM=0","VIDEO")</f>
        <v>VIDEO</v>
      </c>
      <c r="AA4160" s="19" t="str">
        <f>HYPERLINK("https://ssdweb.co/ssdweb/CERTH/607378401.pdf","CERTI")</f>
        <v>CERTI</v>
      </c>
    </row>
    <row r="4161" spans="1:27" ht="15" x14ac:dyDescent="0.25">
      <c r="A4161" s="2">
        <v>4156</v>
      </c>
      <c r="B4161" s="39">
        <v>925290374</v>
      </c>
      <c r="C4161" s="28" t="str">
        <f>HYPERLINK("https://pld.live/RapDetail.aspx?STONELIST=925290374","DNA")</f>
        <v>DNA</v>
      </c>
      <c r="D4161" s="18" t="s">
        <v>3054</v>
      </c>
      <c r="E4161" s="18" t="s">
        <v>5128</v>
      </c>
      <c r="F4161" s="2" t="s">
        <v>5597</v>
      </c>
      <c r="G4161" s="2" t="s">
        <v>1573</v>
      </c>
      <c r="H4161" s="14">
        <v>1.0900000000000001</v>
      </c>
      <c r="I4161" s="2" t="s">
        <v>4761</v>
      </c>
      <c r="J4161" s="2" t="s">
        <v>6555</v>
      </c>
      <c r="K4161" s="2" t="s">
        <v>1452</v>
      </c>
      <c r="L4161" s="2" t="s">
        <v>5221</v>
      </c>
      <c r="M4161" s="2" t="s">
        <v>5221</v>
      </c>
      <c r="N4161" s="2" t="s">
        <v>2317</v>
      </c>
      <c r="O4161" s="14">
        <v>7500</v>
      </c>
      <c r="P4161" s="14">
        <v>96.93</v>
      </c>
      <c r="Q4161" s="14">
        <v>230.25</v>
      </c>
      <c r="R4161" s="14">
        <v>250.97</v>
      </c>
      <c r="S4161" s="2" t="s">
        <v>3583</v>
      </c>
      <c r="T4161" s="2">
        <v>1.45</v>
      </c>
      <c r="U4161" s="2">
        <v>60.1</v>
      </c>
      <c r="V4161" s="2">
        <v>60</v>
      </c>
      <c r="W4161" s="2" t="s">
        <v>7862</v>
      </c>
      <c r="X4161" s="2" t="s">
        <v>471</v>
      </c>
      <c r="Y4161" s="2">
        <v>8175</v>
      </c>
      <c r="Z4161" s="19" t="str">
        <f>HYPERLINK("https://ssdweb.co/ssdweb/hd/Vision360.html?d=925290374&amp;zoomslide=1&amp;z=1925290374&amp;ISCONFIRM=0","VIDEO")</f>
        <v>VIDEO</v>
      </c>
      <c r="AA4161" s="19" t="str">
        <f>HYPERLINK("https://ssdweb.co/ssdweb/CERTH/5483279495.pdf","CERTI")</f>
        <v>CERTI</v>
      </c>
    </row>
    <row r="4162" spans="1:27" ht="15" x14ac:dyDescent="0.25">
      <c r="A4162" s="2">
        <v>4157</v>
      </c>
      <c r="B4162" s="39">
        <v>926110297</v>
      </c>
      <c r="C4162" s="28" t="str">
        <f>HYPERLINK("https://pld.live/RapDetail.aspx?STONELIST=926110297","DNA")</f>
        <v>DNA</v>
      </c>
      <c r="D4162" s="18" t="s">
        <v>3054</v>
      </c>
      <c r="E4162" s="18" t="s">
        <v>5128</v>
      </c>
      <c r="F4162" s="2" t="s">
        <v>7987</v>
      </c>
      <c r="G4162" s="2" t="s">
        <v>1573</v>
      </c>
      <c r="H4162" s="14">
        <v>1.0900000000000001</v>
      </c>
      <c r="I4162" s="2" t="s">
        <v>4761</v>
      </c>
      <c r="J4162" s="2" t="s">
        <v>3942</v>
      </c>
      <c r="K4162" s="2" t="s">
        <v>1452</v>
      </c>
      <c r="L4162" s="2" t="s">
        <v>5221</v>
      </c>
      <c r="M4162" s="2" t="s">
        <v>5221</v>
      </c>
      <c r="N4162" s="2" t="s">
        <v>2317</v>
      </c>
      <c r="O4162" s="14">
        <v>6900</v>
      </c>
      <c r="P4162" s="14">
        <v>98.38</v>
      </c>
      <c r="Q4162" s="14">
        <v>111.78</v>
      </c>
      <c r="R4162" s="14">
        <v>121.84</v>
      </c>
      <c r="S4162" s="2" t="s">
        <v>7758</v>
      </c>
      <c r="T4162" s="2">
        <v>1.44</v>
      </c>
      <c r="U4162" s="2">
        <v>60.4</v>
      </c>
      <c r="V4162" s="2">
        <v>61</v>
      </c>
      <c r="W4162" s="2" t="s">
        <v>7862</v>
      </c>
      <c r="X4162" s="2" t="s">
        <v>471</v>
      </c>
      <c r="Y4162" s="2">
        <v>7521</v>
      </c>
      <c r="Z4162" s="19" t="str">
        <f>HYPERLINK("https://ssdweb.co/ssdweb/hd/Vision360.html?d=926110297&amp;zoomslide=1&amp;z=1926110297&amp;ISCONFIRM=0","VIDEO")</f>
        <v>VIDEO</v>
      </c>
      <c r="AA4162" s="19" t="str">
        <f>HYPERLINK("https://ssdweb.co/ssdweb/CERTH/632488499.pdf","CERTI")</f>
        <v>CERTI</v>
      </c>
    </row>
    <row r="4163" spans="1:27" ht="15" x14ac:dyDescent="0.25">
      <c r="A4163" s="2">
        <v>4158</v>
      </c>
      <c r="B4163" s="39">
        <v>926110181</v>
      </c>
      <c r="C4163" s="28" t="str">
        <f>HYPERLINK("https://pld.live/RapDetail.aspx?STONELIST=926110181","DNA")</f>
        <v>DNA</v>
      </c>
      <c r="D4163" s="18" t="s">
        <v>3054</v>
      </c>
      <c r="E4163" s="18" t="s">
        <v>5128</v>
      </c>
      <c r="F4163" s="2" t="s">
        <v>7987</v>
      </c>
      <c r="G4163" s="2" t="s">
        <v>1573</v>
      </c>
      <c r="H4163" s="14">
        <v>1.08</v>
      </c>
      <c r="I4163" s="2" t="s">
        <v>267</v>
      </c>
      <c r="J4163" s="2" t="s">
        <v>6555</v>
      </c>
      <c r="K4163" s="2" t="s">
        <v>1452</v>
      </c>
      <c r="L4163" s="2" t="s">
        <v>5221</v>
      </c>
      <c r="M4163" s="2" t="s">
        <v>5221</v>
      </c>
      <c r="N4163" s="2" t="s">
        <v>2317</v>
      </c>
      <c r="O4163" s="14">
        <v>8200</v>
      </c>
      <c r="P4163" s="14">
        <v>98.29</v>
      </c>
      <c r="Q4163" s="14">
        <v>140.22</v>
      </c>
      <c r="R4163" s="14">
        <v>151.44</v>
      </c>
      <c r="S4163" s="2" t="s">
        <v>1943</v>
      </c>
      <c r="T4163" s="2">
        <v>1.38</v>
      </c>
      <c r="U4163" s="2">
        <v>61.2</v>
      </c>
      <c r="V4163" s="2">
        <v>60</v>
      </c>
      <c r="W4163" s="2" t="s">
        <v>7862</v>
      </c>
      <c r="X4163" s="2" t="s">
        <v>471</v>
      </c>
      <c r="Y4163" s="2">
        <v>8856</v>
      </c>
      <c r="Z4163" s="19" t="str">
        <f>HYPERLINK("https://ssdweb.co/ssdweb/hd/Vision360.html?d=926110181&amp;zoomslide=1&amp;z=1926110181&amp;ISCONFIRM=0","VIDEO")</f>
        <v>VIDEO</v>
      </c>
      <c r="AA4163" s="19" t="str">
        <f>HYPERLINK("https://ssdweb.co/ssdweb/CERTH/632488284.pdf","CERTI")</f>
        <v>CERTI</v>
      </c>
    </row>
    <row r="4164" spans="1:27" ht="15" x14ac:dyDescent="0.25">
      <c r="A4164" s="2">
        <v>4159</v>
      </c>
      <c r="B4164" s="39">
        <v>925861904</v>
      </c>
      <c r="C4164" s="28" t="str">
        <f>HYPERLINK("https://pld.live/RapDetail.aspx?STONELIST=925861904","DNA")</f>
        <v>DNA</v>
      </c>
      <c r="D4164" s="18" t="s">
        <v>3054</v>
      </c>
      <c r="E4164" s="18" t="s">
        <v>5128</v>
      </c>
      <c r="F4164" s="2" t="s">
        <v>7987</v>
      </c>
      <c r="G4164" s="2" t="s">
        <v>1573</v>
      </c>
      <c r="H4164" s="14">
        <v>1.08</v>
      </c>
      <c r="I4164" s="2" t="s">
        <v>267</v>
      </c>
      <c r="J4164" s="2" t="s">
        <v>3942</v>
      </c>
      <c r="K4164" s="2" t="s">
        <v>1452</v>
      </c>
      <c r="L4164" s="2" t="s">
        <v>5221</v>
      </c>
      <c r="M4164" s="2" t="s">
        <v>5221</v>
      </c>
      <c r="N4164" s="2" t="s">
        <v>2317</v>
      </c>
      <c r="O4164" s="14">
        <v>7600</v>
      </c>
      <c r="P4164" s="14">
        <v>98.49</v>
      </c>
      <c r="Q4164" s="14">
        <v>114.76</v>
      </c>
      <c r="R4164" s="14">
        <v>123.94</v>
      </c>
      <c r="S4164" s="2" t="s">
        <v>451</v>
      </c>
      <c r="T4164" s="2">
        <v>1.44</v>
      </c>
      <c r="U4164" s="2">
        <v>60.4</v>
      </c>
      <c r="V4164" s="2">
        <v>62</v>
      </c>
      <c r="W4164" s="2" t="s">
        <v>7862</v>
      </c>
      <c r="X4164" s="2" t="s">
        <v>471</v>
      </c>
      <c r="Y4164" s="2">
        <v>8208</v>
      </c>
      <c r="Z4164" s="19" t="str">
        <f>HYPERLINK("https://ssdweb.co/ssdweb/hd/Vision360.html?d=925861904&amp;zoomslide=1&amp;z=1925861904&amp;ISCONFIRM=0","VIDEO")</f>
        <v>VIDEO</v>
      </c>
      <c r="AA4164" s="19" t="str">
        <f>HYPERLINK("https://ssdweb.co/ssdweb/CERTH/627410558.pdf","CERTI")</f>
        <v>CERTI</v>
      </c>
    </row>
    <row r="4165" spans="1:27" ht="15" x14ac:dyDescent="0.25">
      <c r="A4165" s="2">
        <v>4160</v>
      </c>
      <c r="B4165" s="39">
        <v>926071672</v>
      </c>
      <c r="C4165" s="28" t="str">
        <f>HYPERLINK("https://pld.live/RapDetail.aspx?STONELIST=926071672","DNA")</f>
        <v>DNA</v>
      </c>
      <c r="D4165" s="18" t="s">
        <v>3054</v>
      </c>
      <c r="E4165" s="18" t="s">
        <v>5128</v>
      </c>
      <c r="F4165" s="2" t="s">
        <v>7987</v>
      </c>
      <c r="G4165" s="2" t="s">
        <v>1573</v>
      </c>
      <c r="H4165" s="14">
        <v>1.08</v>
      </c>
      <c r="I4165" s="2" t="s">
        <v>267</v>
      </c>
      <c r="J4165" s="2" t="s">
        <v>3942</v>
      </c>
      <c r="K4165" s="2" t="s">
        <v>1452</v>
      </c>
      <c r="L4165" s="2" t="s">
        <v>5221</v>
      </c>
      <c r="M4165" s="2" t="s">
        <v>5221</v>
      </c>
      <c r="N4165" s="2" t="s">
        <v>2317</v>
      </c>
      <c r="O4165" s="14">
        <v>7600</v>
      </c>
      <c r="P4165" s="14">
        <v>98.49</v>
      </c>
      <c r="Q4165" s="14">
        <v>114.76</v>
      </c>
      <c r="R4165" s="14">
        <v>123.94</v>
      </c>
      <c r="S4165" s="2" t="s">
        <v>1199</v>
      </c>
      <c r="T4165" s="2">
        <v>1.42</v>
      </c>
      <c r="U4165" s="2">
        <v>60.9</v>
      </c>
      <c r="V4165" s="2">
        <v>61</v>
      </c>
      <c r="W4165" s="2" t="s">
        <v>7862</v>
      </c>
      <c r="X4165" s="2" t="s">
        <v>471</v>
      </c>
      <c r="Y4165" s="2">
        <v>8208</v>
      </c>
      <c r="Z4165" s="19" t="str">
        <f>HYPERLINK("https://ssdweb.co/ssdweb/hd/Vision360.html?d=926071672&amp;zoomslide=1&amp;z=1926071672&amp;ISCONFIRM=0","VIDEO")</f>
        <v>VIDEO</v>
      </c>
      <c r="AA4165" s="19" t="str">
        <f>HYPERLINK("https://ssdweb.co/ssdweb/CERTH/631430425.pdf","CERTI")</f>
        <v>CERTI</v>
      </c>
    </row>
    <row r="4166" spans="1:27" ht="15" x14ac:dyDescent="0.25">
      <c r="A4166" s="2">
        <v>4161</v>
      </c>
      <c r="B4166" s="39">
        <v>925971250</v>
      </c>
      <c r="C4166" s="28" t="str">
        <f>HYPERLINK("https://pld.live/RapDetail.aspx?STONELIST=925971250","DNA")</f>
        <v>DNA</v>
      </c>
      <c r="D4166" s="18" t="s">
        <v>3054</v>
      </c>
      <c r="E4166" s="18" t="s">
        <v>5128</v>
      </c>
      <c r="F4166" s="2" t="s">
        <v>7987</v>
      </c>
      <c r="G4166" s="2" t="s">
        <v>1573</v>
      </c>
      <c r="H4166" s="14">
        <v>1.08</v>
      </c>
      <c r="I4166" s="2" t="s">
        <v>267</v>
      </c>
      <c r="J4166" s="2" t="s">
        <v>3942</v>
      </c>
      <c r="K4166" s="2" t="s">
        <v>1452</v>
      </c>
      <c r="L4166" s="2" t="s">
        <v>5221</v>
      </c>
      <c r="M4166" s="2" t="s">
        <v>5221</v>
      </c>
      <c r="N4166" s="2" t="s">
        <v>2317</v>
      </c>
      <c r="O4166" s="14">
        <v>7600</v>
      </c>
      <c r="P4166" s="14">
        <v>98.49</v>
      </c>
      <c r="Q4166" s="14">
        <v>114.76</v>
      </c>
      <c r="R4166" s="14">
        <v>123.94</v>
      </c>
      <c r="S4166" s="2" t="s">
        <v>5338</v>
      </c>
      <c r="T4166" s="2">
        <v>1.36</v>
      </c>
      <c r="U4166" s="2">
        <v>62.5</v>
      </c>
      <c r="V4166" s="2">
        <v>61</v>
      </c>
      <c r="W4166" s="2" t="s">
        <v>7862</v>
      </c>
      <c r="X4166" s="2" t="s">
        <v>471</v>
      </c>
      <c r="Y4166" s="2">
        <v>8208</v>
      </c>
      <c r="Z4166" s="19" t="str">
        <f>HYPERLINK("https://ssdweb.co/ssdweb/hd/Vision360.html?d=925971250&amp;zoomslide=1&amp;z=1925971250&amp;ISCONFIRM=0","VIDEO")</f>
        <v>VIDEO</v>
      </c>
      <c r="AA4166" s="19" t="str">
        <f>HYPERLINK("https://ssdweb.co/ssdweb/CERTH/629481862.pdf","CERTI")</f>
        <v>CERTI</v>
      </c>
    </row>
    <row r="4167" spans="1:27" ht="15" x14ac:dyDescent="0.25">
      <c r="A4167" s="2">
        <v>4162</v>
      </c>
      <c r="B4167" s="39">
        <v>926110868</v>
      </c>
      <c r="C4167" s="28" t="str">
        <f>HYPERLINK("https://pld.live/RapDetail.aspx?STONELIST=926110868","DNA")</f>
        <v>DNA</v>
      </c>
      <c r="D4167" s="18" t="s">
        <v>3054</v>
      </c>
      <c r="E4167" s="18" t="s">
        <v>5128</v>
      </c>
      <c r="F4167" s="2" t="s">
        <v>7987</v>
      </c>
      <c r="G4167" s="2" t="s">
        <v>1573</v>
      </c>
      <c r="H4167" s="14">
        <v>1.08</v>
      </c>
      <c r="I4167" s="2" t="s">
        <v>267</v>
      </c>
      <c r="J4167" s="2" t="s">
        <v>3942</v>
      </c>
      <c r="K4167" s="2" t="s">
        <v>1452</v>
      </c>
      <c r="L4167" s="2" t="s">
        <v>5221</v>
      </c>
      <c r="M4167" s="2" t="s">
        <v>5221</v>
      </c>
      <c r="N4167" s="2" t="s">
        <v>2317</v>
      </c>
      <c r="O4167" s="14">
        <v>7600</v>
      </c>
      <c r="P4167" s="14">
        <v>98.49</v>
      </c>
      <c r="Q4167" s="14">
        <v>114.76</v>
      </c>
      <c r="R4167" s="14">
        <v>123.94</v>
      </c>
      <c r="S4167" s="2" t="s">
        <v>6987</v>
      </c>
      <c r="T4167" s="2">
        <v>1.36</v>
      </c>
      <c r="U4167" s="2">
        <v>62.1</v>
      </c>
      <c r="V4167" s="2">
        <v>62</v>
      </c>
      <c r="W4167" s="2" t="s">
        <v>7862</v>
      </c>
      <c r="X4167" s="2" t="s">
        <v>471</v>
      </c>
      <c r="Y4167" s="2">
        <v>8208</v>
      </c>
      <c r="Z4167" s="19" t="str">
        <f>HYPERLINK("https://ssdweb.co/ssdweb/hd/Vision360.html?d=926110868&amp;zoomslide=1&amp;z=1926110868&amp;ISCONFIRM=0","VIDEO")</f>
        <v>VIDEO</v>
      </c>
      <c r="AA4167" s="19" t="str">
        <f>HYPERLINK("https://ssdweb.co/ssdweb/CERTH/632449610.pdf","CERTI")</f>
        <v>CERTI</v>
      </c>
    </row>
    <row r="4168" spans="1:27" ht="15" x14ac:dyDescent="0.25">
      <c r="A4168" s="2">
        <v>4163</v>
      </c>
      <c r="B4168" s="39">
        <v>926250130</v>
      </c>
      <c r="C4168" s="28" t="str">
        <f>HYPERLINK("https://pld.live/RapDetail.aspx?STONELIST=926250130","DNA")</f>
        <v>DNA</v>
      </c>
      <c r="D4168" s="18" t="s">
        <v>3054</v>
      </c>
      <c r="E4168" s="18" t="s">
        <v>5128</v>
      </c>
      <c r="F4168" s="2" t="s">
        <v>7987</v>
      </c>
      <c r="G4168" s="2" t="s">
        <v>1573</v>
      </c>
      <c r="H4168" s="14">
        <v>1.07</v>
      </c>
      <c r="I4168" s="2" t="s">
        <v>267</v>
      </c>
      <c r="J4168" s="2" t="s">
        <v>6555</v>
      </c>
      <c r="K4168" s="2" t="s">
        <v>1452</v>
      </c>
      <c r="L4168" s="2" t="s">
        <v>5221</v>
      </c>
      <c r="M4168" s="2" t="s">
        <v>5221</v>
      </c>
      <c r="N4168" s="2" t="s">
        <v>2317</v>
      </c>
      <c r="O4168" s="14">
        <v>8200</v>
      </c>
      <c r="P4168" s="14">
        <v>98.26</v>
      </c>
      <c r="Q4168" s="14">
        <v>142.68</v>
      </c>
      <c r="R4168" s="14">
        <v>152.66999999999999</v>
      </c>
      <c r="S4168" s="2" t="s">
        <v>951</v>
      </c>
      <c r="T4168" s="2">
        <v>1.36</v>
      </c>
      <c r="U4168" s="2">
        <v>62.9</v>
      </c>
      <c r="V4168" s="2">
        <v>62</v>
      </c>
      <c r="W4168" s="2" t="s">
        <v>7862</v>
      </c>
      <c r="X4168" s="2" t="s">
        <v>471</v>
      </c>
      <c r="Y4168" s="2">
        <v>8774</v>
      </c>
      <c r="Z4168" s="19" t="str">
        <f>HYPERLINK("https://ssdweb.co/ssdweb/hd/Vision360.html?d=926250130&amp;zoomslide=1&amp;z=1926250130&amp;ISCONFIRM=0","VIDEO")</f>
        <v>VIDEO</v>
      </c>
      <c r="AA4168" s="19" t="str">
        <f>HYPERLINK("https://ssdweb.co/ssdweb/CERTH/638463229.pdf","CERTI")</f>
        <v>CERTI</v>
      </c>
    </row>
    <row r="4169" spans="1:27" ht="15" x14ac:dyDescent="0.25">
      <c r="A4169" s="2">
        <v>4164</v>
      </c>
      <c r="B4169" s="39">
        <v>925851057</v>
      </c>
      <c r="C4169" s="28" t="str">
        <f>HYPERLINK("https://pld.live/RapDetail.aspx?STONELIST=925851057","DNA")</f>
        <v>DNA</v>
      </c>
      <c r="D4169" s="18" t="s">
        <v>3054</v>
      </c>
      <c r="E4169" s="18" t="s">
        <v>5128</v>
      </c>
      <c r="F4169" s="2" t="s">
        <v>7987</v>
      </c>
      <c r="G4169" s="2" t="s">
        <v>1573</v>
      </c>
      <c r="H4169" s="14">
        <v>1.07</v>
      </c>
      <c r="I4169" s="2" t="s">
        <v>267</v>
      </c>
      <c r="J4169" s="2" t="s">
        <v>3942</v>
      </c>
      <c r="K4169" s="2" t="s">
        <v>1452</v>
      </c>
      <c r="L4169" s="2" t="s">
        <v>5221</v>
      </c>
      <c r="M4169" s="2" t="s">
        <v>5221</v>
      </c>
      <c r="N4169" s="2" t="s">
        <v>2317</v>
      </c>
      <c r="O4169" s="14">
        <v>7600</v>
      </c>
      <c r="P4169" s="14">
        <v>98.49</v>
      </c>
      <c r="Q4169" s="14">
        <v>114.76</v>
      </c>
      <c r="R4169" s="14">
        <v>122.79</v>
      </c>
      <c r="S4169" s="2" t="s">
        <v>401</v>
      </c>
      <c r="T4169" s="2">
        <v>1.43</v>
      </c>
      <c r="U4169" s="2">
        <v>62.3</v>
      </c>
      <c r="V4169" s="2">
        <v>60</v>
      </c>
      <c r="W4169" s="2" t="s">
        <v>7862</v>
      </c>
      <c r="X4169" s="2" t="s">
        <v>471</v>
      </c>
      <c r="Y4169" s="2">
        <v>8132</v>
      </c>
      <c r="Z4169" s="19" t="str">
        <f>HYPERLINK("https://ssdweb.co/ssdweb/hd/Vision360.html?d=925851057&amp;zoomslide=1&amp;z=1925851057&amp;ISCONFIRM=0","VIDEO")</f>
        <v>VIDEO</v>
      </c>
      <c r="AA4169" s="19" t="str">
        <f>HYPERLINK("https://ssdweb.co/ssdweb/CERTH/627431790.pdf","CERTI")</f>
        <v>CERTI</v>
      </c>
    </row>
    <row r="4170" spans="1:27" ht="15" x14ac:dyDescent="0.25">
      <c r="A4170" s="2">
        <v>4165</v>
      </c>
      <c r="B4170" s="39">
        <v>926110894</v>
      </c>
      <c r="C4170" s="28" t="str">
        <f>HYPERLINK("https://pld.live/RapDetail.aspx?STONELIST=926110894","DNA")</f>
        <v>DNA</v>
      </c>
      <c r="D4170" s="18" t="s">
        <v>3054</v>
      </c>
      <c r="E4170" s="18" t="s">
        <v>5128</v>
      </c>
      <c r="F4170" s="2" t="s">
        <v>7987</v>
      </c>
      <c r="G4170" s="2" t="s">
        <v>1573</v>
      </c>
      <c r="H4170" s="14">
        <v>1.07</v>
      </c>
      <c r="I4170" s="2" t="s">
        <v>267</v>
      </c>
      <c r="J4170" s="2" t="s">
        <v>3942</v>
      </c>
      <c r="K4170" s="2" t="s">
        <v>1452</v>
      </c>
      <c r="L4170" s="2" t="s">
        <v>5221</v>
      </c>
      <c r="M4170" s="2" t="s">
        <v>5221</v>
      </c>
      <c r="N4170" s="2" t="s">
        <v>2317</v>
      </c>
      <c r="O4170" s="14">
        <v>7600</v>
      </c>
      <c r="P4170" s="14">
        <v>98.49</v>
      </c>
      <c r="Q4170" s="14">
        <v>114.76</v>
      </c>
      <c r="R4170" s="14">
        <v>122.79</v>
      </c>
      <c r="S4170" s="2" t="s">
        <v>4143</v>
      </c>
      <c r="T4170" s="2">
        <v>1.36</v>
      </c>
      <c r="U4170" s="2">
        <v>62.8</v>
      </c>
      <c r="V4170" s="2">
        <v>60</v>
      </c>
      <c r="W4170" s="2" t="s">
        <v>7862</v>
      </c>
      <c r="X4170" s="2" t="s">
        <v>471</v>
      </c>
      <c r="Y4170" s="2">
        <v>8132</v>
      </c>
      <c r="Z4170" s="19" t="str">
        <f>HYPERLINK("https://ssdweb.co/ssdweb/hd/Vision360.html?d=926110894&amp;zoomslide=1&amp;z=1926110894&amp;ISCONFIRM=0","VIDEO")</f>
        <v>VIDEO</v>
      </c>
      <c r="AA4170" s="19" t="str">
        <f>HYPERLINK("https://ssdweb.co/ssdweb/CERTH/632449645.pdf","CERTI")</f>
        <v>CERTI</v>
      </c>
    </row>
    <row r="4171" spans="1:27" ht="15" x14ac:dyDescent="0.25">
      <c r="A4171" s="2">
        <v>4166</v>
      </c>
      <c r="B4171" s="39">
        <v>926071846</v>
      </c>
      <c r="C4171" s="28" t="str">
        <f>HYPERLINK("https://pld.live/RapDetail.aspx?STONELIST=926071846","DNA")</f>
        <v>DNA</v>
      </c>
      <c r="D4171" s="18" t="s">
        <v>3054</v>
      </c>
      <c r="E4171" s="18" t="s">
        <v>5128</v>
      </c>
      <c r="F4171" s="2" t="s">
        <v>7987</v>
      </c>
      <c r="G4171" s="2" t="s">
        <v>1573</v>
      </c>
      <c r="H4171" s="14">
        <v>1.07</v>
      </c>
      <c r="I4171" s="2" t="s">
        <v>267</v>
      </c>
      <c r="J4171" s="2" t="s">
        <v>13</v>
      </c>
      <c r="K4171" s="2" t="s">
        <v>1452</v>
      </c>
      <c r="L4171" s="2" t="s">
        <v>5221</v>
      </c>
      <c r="M4171" s="2" t="s">
        <v>5221</v>
      </c>
      <c r="N4171" s="2" t="s">
        <v>2317</v>
      </c>
      <c r="O4171" s="14">
        <v>6700</v>
      </c>
      <c r="P4171" s="14">
        <v>98.33</v>
      </c>
      <c r="Q4171" s="14">
        <v>111.89</v>
      </c>
      <c r="R4171" s="14">
        <v>119.72</v>
      </c>
      <c r="S4171" s="2" t="s">
        <v>7422</v>
      </c>
      <c r="T4171" s="2">
        <v>1.44</v>
      </c>
      <c r="U4171" s="2">
        <v>61.7</v>
      </c>
      <c r="V4171" s="2">
        <v>60</v>
      </c>
      <c r="W4171" s="2" t="s">
        <v>7862</v>
      </c>
      <c r="X4171" s="2" t="s">
        <v>471</v>
      </c>
      <c r="Y4171" s="2">
        <v>7169</v>
      </c>
      <c r="Z4171" s="19" t="str">
        <f>HYPERLINK("https://ssdweb.co/ssdweb/hd/Vision360.html?d=926071846&amp;zoomslide=1&amp;z=1926071846&amp;ISCONFIRM=0","VIDEO")</f>
        <v>VIDEO</v>
      </c>
      <c r="AA4171" s="19" t="str">
        <f>HYPERLINK("https://ssdweb.co/ssdweb/CERTH/632488470.pdf","CERTI")</f>
        <v>CERTI</v>
      </c>
    </row>
    <row r="4172" spans="1:27" ht="15" x14ac:dyDescent="0.25">
      <c r="A4172" s="2">
        <v>4167</v>
      </c>
      <c r="B4172" s="39">
        <v>923660325</v>
      </c>
      <c r="C4172" s="28" t="str">
        <f>HYPERLINK("https://pld.live/RapDetail.aspx?STONELIST=923660325","DNA")</f>
        <v>DNA</v>
      </c>
      <c r="D4172" s="18" t="s">
        <v>3054</v>
      </c>
      <c r="E4172" s="18" t="s">
        <v>5128</v>
      </c>
      <c r="F4172" s="2" t="s">
        <v>5597</v>
      </c>
      <c r="G4172" s="2" t="s">
        <v>1573</v>
      </c>
      <c r="H4172" s="14">
        <v>1.07</v>
      </c>
      <c r="I4172" s="2" t="s">
        <v>4761</v>
      </c>
      <c r="J4172" s="2" t="s">
        <v>3942</v>
      </c>
      <c r="K4172" s="2" t="s">
        <v>1452</v>
      </c>
      <c r="L4172" s="2" t="s">
        <v>5221</v>
      </c>
      <c r="M4172" s="2" t="s">
        <v>5721</v>
      </c>
      <c r="N4172" s="2" t="s">
        <v>2317</v>
      </c>
      <c r="O4172" s="14">
        <v>6900</v>
      </c>
      <c r="P4172" s="14">
        <v>96.91</v>
      </c>
      <c r="Q4172" s="14">
        <v>213.21</v>
      </c>
      <c r="R4172" s="14">
        <v>228.13</v>
      </c>
      <c r="S4172" s="2" t="s">
        <v>7638</v>
      </c>
      <c r="T4172" s="2">
        <v>1.45</v>
      </c>
      <c r="U4172" s="2">
        <v>62.1</v>
      </c>
      <c r="V4172" s="2">
        <v>59</v>
      </c>
      <c r="W4172" s="2" t="s">
        <v>7862</v>
      </c>
      <c r="X4172" s="2" t="s">
        <v>471</v>
      </c>
      <c r="Y4172" s="2">
        <v>7383</v>
      </c>
      <c r="Z4172" s="19" t="str">
        <f>HYPERLINK("https://ssdweb.co/ssdweb/hd/Vision360.html?d=923660325&amp;zoomslide=1&amp;z=1923660325&amp;ISCONFIRM=0","VIDEO")</f>
        <v>VIDEO</v>
      </c>
      <c r="AA4172" s="19" t="str">
        <f>HYPERLINK("https://ssdweb.co/ssdweb/CERTH/2457448330.pdf","CERTI")</f>
        <v>CERTI</v>
      </c>
    </row>
    <row r="4173" spans="1:27" ht="15" x14ac:dyDescent="0.25">
      <c r="A4173" s="2">
        <v>4168</v>
      </c>
      <c r="B4173" s="39">
        <v>925732001</v>
      </c>
      <c r="C4173" s="28" t="str">
        <f>HYPERLINK("https://pld.live/RapDetail.aspx?STONELIST=925732001","DNA")</f>
        <v>DNA</v>
      </c>
      <c r="D4173" s="18" t="s">
        <v>3054</v>
      </c>
      <c r="E4173" s="18" t="s">
        <v>5128</v>
      </c>
      <c r="F4173" s="2" t="s">
        <v>7987</v>
      </c>
      <c r="G4173" s="2" t="s">
        <v>1573</v>
      </c>
      <c r="H4173" s="14">
        <v>1.06</v>
      </c>
      <c r="I4173" s="2" t="s">
        <v>267</v>
      </c>
      <c r="J4173" s="2" t="s">
        <v>6555</v>
      </c>
      <c r="K4173" s="2" t="s">
        <v>1452</v>
      </c>
      <c r="L4173" s="2" t="s">
        <v>5221</v>
      </c>
      <c r="M4173" s="2" t="s">
        <v>5221</v>
      </c>
      <c r="N4173" s="2" t="s">
        <v>2317</v>
      </c>
      <c r="O4173" s="14">
        <v>8200</v>
      </c>
      <c r="P4173" s="14">
        <v>98.29</v>
      </c>
      <c r="Q4173" s="14">
        <v>140.22</v>
      </c>
      <c r="R4173" s="14">
        <v>148.63</v>
      </c>
      <c r="S4173" s="2" t="s">
        <v>5536</v>
      </c>
      <c r="T4173" s="2">
        <v>1.38</v>
      </c>
      <c r="U4173" s="2">
        <v>62.3</v>
      </c>
      <c r="V4173" s="2">
        <v>61</v>
      </c>
      <c r="W4173" s="2" t="s">
        <v>7862</v>
      </c>
      <c r="X4173" s="2" t="s">
        <v>471</v>
      </c>
      <c r="Y4173" s="2">
        <v>8692</v>
      </c>
      <c r="Z4173" s="19" t="str">
        <f>HYPERLINK("https://ssdweb.co/ssdweb/hd/Vision360.html?d=925732001&amp;zoomslide=1&amp;z=1925732001&amp;ISCONFIRM=0","VIDEO")</f>
        <v>VIDEO</v>
      </c>
      <c r="AA4173" s="19" t="str">
        <f>HYPERLINK("https://ssdweb.co/ssdweb/CERTH/625432321.pdf","CERTI")</f>
        <v>CERTI</v>
      </c>
    </row>
    <row r="4174" spans="1:27" ht="15" x14ac:dyDescent="0.25">
      <c r="A4174" s="2">
        <v>4169</v>
      </c>
      <c r="B4174" s="39">
        <v>925110409</v>
      </c>
      <c r="C4174" s="28" t="str">
        <f>HYPERLINK("https://pld.live/RapDetail.aspx?STONELIST=925110409","DNA")</f>
        <v>DNA</v>
      </c>
      <c r="D4174" s="18" t="s">
        <v>3054</v>
      </c>
      <c r="E4174" s="18" t="s">
        <v>5128</v>
      </c>
      <c r="F4174" s="2" t="s">
        <v>7987</v>
      </c>
      <c r="G4174" s="2" t="s">
        <v>1573</v>
      </c>
      <c r="H4174" s="14">
        <v>1.06</v>
      </c>
      <c r="I4174" s="2" t="s">
        <v>267</v>
      </c>
      <c r="J4174" s="2" t="s">
        <v>6555</v>
      </c>
      <c r="K4174" s="2" t="s">
        <v>1452</v>
      </c>
      <c r="L4174" s="2" t="s">
        <v>5221</v>
      </c>
      <c r="M4174" s="2" t="s">
        <v>5221</v>
      </c>
      <c r="N4174" s="2" t="s">
        <v>2317</v>
      </c>
      <c r="O4174" s="14">
        <v>8200</v>
      </c>
      <c r="P4174" s="14">
        <v>98.29</v>
      </c>
      <c r="Q4174" s="14">
        <v>140.22</v>
      </c>
      <c r="R4174" s="14">
        <v>148.63</v>
      </c>
      <c r="S4174" s="2" t="s">
        <v>3477</v>
      </c>
      <c r="T4174" s="2">
        <v>1.38</v>
      </c>
      <c r="U4174" s="2">
        <v>62.2</v>
      </c>
      <c r="V4174" s="2">
        <v>61</v>
      </c>
      <c r="W4174" s="2" t="s">
        <v>7862</v>
      </c>
      <c r="X4174" s="2" t="s">
        <v>471</v>
      </c>
      <c r="Y4174" s="2">
        <v>8692</v>
      </c>
      <c r="Z4174" s="19" t="str">
        <f>HYPERLINK("https://ssdweb.co/ssdweb/hd/Vision360.html?d=925110409&amp;zoomslide=1&amp;z=1925110409&amp;ISCONFIRM=0","VIDEO")</f>
        <v>VIDEO</v>
      </c>
      <c r="AA4174" s="19" t="str">
        <f>HYPERLINK("https://ssdweb.co/ssdweb/CERTH/613355488.pdf","CERTI")</f>
        <v>CERTI</v>
      </c>
    </row>
    <row r="4175" spans="1:27" ht="15" x14ac:dyDescent="0.25">
      <c r="A4175" s="2">
        <v>4170</v>
      </c>
      <c r="B4175" s="39">
        <v>925830689</v>
      </c>
      <c r="C4175" s="28" t="str">
        <f>HYPERLINK("https://pld.live/RapDetail.aspx?STONELIST=925830689","DNA")</f>
        <v>DNA</v>
      </c>
      <c r="D4175" s="18" t="s">
        <v>3054</v>
      </c>
      <c r="E4175" s="18" t="s">
        <v>5128</v>
      </c>
      <c r="F4175" s="2" t="s">
        <v>7987</v>
      </c>
      <c r="G4175" s="2" t="s">
        <v>1573</v>
      </c>
      <c r="H4175" s="14">
        <v>1.06</v>
      </c>
      <c r="I4175" s="2" t="s">
        <v>267</v>
      </c>
      <c r="J4175" s="2" t="s">
        <v>3942</v>
      </c>
      <c r="K4175" s="2" t="s">
        <v>1452</v>
      </c>
      <c r="L4175" s="2" t="s">
        <v>5221</v>
      </c>
      <c r="M4175" s="2" t="s">
        <v>5221</v>
      </c>
      <c r="N4175" s="2" t="s">
        <v>2317</v>
      </c>
      <c r="O4175" s="14">
        <v>7600</v>
      </c>
      <c r="P4175" s="14">
        <v>98.49</v>
      </c>
      <c r="Q4175" s="14">
        <v>114.76</v>
      </c>
      <c r="R4175" s="14">
        <v>121.65</v>
      </c>
      <c r="S4175" s="2" t="s">
        <v>3017</v>
      </c>
      <c r="T4175" s="2">
        <v>1.38</v>
      </c>
      <c r="U4175" s="2">
        <v>62.7</v>
      </c>
      <c r="V4175" s="2">
        <v>58</v>
      </c>
      <c r="W4175" s="2" t="s">
        <v>7862</v>
      </c>
      <c r="X4175" s="2" t="s">
        <v>471</v>
      </c>
      <c r="Y4175" s="2">
        <v>8056</v>
      </c>
      <c r="Z4175" s="19" t="str">
        <f>HYPERLINK("https://ssdweb.co/ssdweb/hd/Vision360.html?d=925830689&amp;zoomslide=1&amp;z=1925830689&amp;ISCONFIRM=0","VIDEO")</f>
        <v>VIDEO</v>
      </c>
      <c r="AA4175" s="19" t="str">
        <f>HYPERLINK("https://ssdweb.co/ssdweb/CERTH/627473232.pdf","CERTI")</f>
        <v>CERTI</v>
      </c>
    </row>
    <row r="4176" spans="1:27" ht="15" x14ac:dyDescent="0.25">
      <c r="A4176" s="2">
        <v>4171</v>
      </c>
      <c r="B4176" s="39">
        <v>925620871</v>
      </c>
      <c r="C4176" s="28" t="str">
        <f>HYPERLINK("https://pld.live/RapDetail.aspx?STONELIST=925620871","DNA")</f>
        <v>DNA</v>
      </c>
      <c r="D4176" s="18" t="s">
        <v>3054</v>
      </c>
      <c r="E4176" s="18" t="s">
        <v>5128</v>
      </c>
      <c r="F4176" s="2" t="s">
        <v>7987</v>
      </c>
      <c r="G4176" s="2" t="s">
        <v>1573</v>
      </c>
      <c r="H4176" s="14">
        <v>1.06</v>
      </c>
      <c r="I4176" s="2" t="s">
        <v>267</v>
      </c>
      <c r="J4176" s="2" t="s">
        <v>3942</v>
      </c>
      <c r="K4176" s="2" t="s">
        <v>1452</v>
      </c>
      <c r="L4176" s="2" t="s">
        <v>5221</v>
      </c>
      <c r="M4176" s="2" t="s">
        <v>5221</v>
      </c>
      <c r="N4176" s="2" t="s">
        <v>2317</v>
      </c>
      <c r="O4176" s="14">
        <v>7600</v>
      </c>
      <c r="P4176" s="14">
        <v>98.49</v>
      </c>
      <c r="Q4176" s="14">
        <v>114.76</v>
      </c>
      <c r="R4176" s="14">
        <v>121.65</v>
      </c>
      <c r="S4176" s="2" t="s">
        <v>905</v>
      </c>
      <c r="T4176" s="2">
        <v>1.39</v>
      </c>
      <c r="U4176" s="2">
        <v>62</v>
      </c>
      <c r="V4176" s="2">
        <v>60</v>
      </c>
      <c r="W4176" s="2" t="s">
        <v>7862</v>
      </c>
      <c r="X4176" s="2" t="s">
        <v>471</v>
      </c>
      <c r="Y4176" s="2">
        <v>8056</v>
      </c>
      <c r="Z4176" s="19" t="str">
        <f>HYPERLINK("https://ssdweb.co/ssdweb/hd/Vision360.html?d=925620871&amp;zoomslide=1&amp;z=1925620871&amp;ISCONFIRM=0","VIDEO")</f>
        <v>VIDEO</v>
      </c>
      <c r="AA4176" s="19" t="str">
        <f>HYPERLINK("https://ssdweb.co/ssdweb/CERTH/619469692.pdf","CERTI")</f>
        <v>CERTI</v>
      </c>
    </row>
    <row r="4177" spans="1:27" ht="15" x14ac:dyDescent="0.25">
      <c r="A4177" s="2">
        <v>4172</v>
      </c>
      <c r="B4177" s="39">
        <v>925520301</v>
      </c>
      <c r="C4177" s="28" t="str">
        <f>HYPERLINK("https://pld.live/RapDetail.aspx?STONELIST=925520301","DNA")</f>
        <v>DNA</v>
      </c>
      <c r="D4177" s="18" t="s">
        <v>3054</v>
      </c>
      <c r="E4177" s="18" t="s">
        <v>5128</v>
      </c>
      <c r="F4177" s="2" t="s">
        <v>7987</v>
      </c>
      <c r="G4177" s="2" t="s">
        <v>1573</v>
      </c>
      <c r="H4177" s="14">
        <v>1.06</v>
      </c>
      <c r="I4177" s="2" t="s">
        <v>267</v>
      </c>
      <c r="J4177" s="2" t="s">
        <v>3942</v>
      </c>
      <c r="K4177" s="2" t="s">
        <v>1452</v>
      </c>
      <c r="L4177" s="2" t="s">
        <v>5221</v>
      </c>
      <c r="M4177" s="2" t="s">
        <v>5221</v>
      </c>
      <c r="N4177" s="2" t="s">
        <v>2317</v>
      </c>
      <c r="O4177" s="14">
        <v>7600</v>
      </c>
      <c r="P4177" s="14">
        <v>98.49</v>
      </c>
      <c r="Q4177" s="14">
        <v>114.76</v>
      </c>
      <c r="R4177" s="14">
        <v>121.65</v>
      </c>
      <c r="S4177" s="2" t="s">
        <v>2916</v>
      </c>
      <c r="T4177" s="2">
        <v>1.38</v>
      </c>
      <c r="U4177" s="2">
        <v>60.6</v>
      </c>
      <c r="V4177" s="2">
        <v>61</v>
      </c>
      <c r="W4177" s="2" t="s">
        <v>7862</v>
      </c>
      <c r="X4177" s="2" t="s">
        <v>471</v>
      </c>
      <c r="Y4177" s="2">
        <v>8056</v>
      </c>
      <c r="Z4177" s="19" t="str">
        <f>HYPERLINK("https://ssdweb.co/ssdweb/hd/Vision360.html?d=925520301&amp;zoomslide=1&amp;z=1925520301&amp;ISCONFIRM=0","VIDEO")</f>
        <v>VIDEO</v>
      </c>
      <c r="AA4177" s="19" t="str">
        <f>HYPERLINK("https://ssdweb.co/ssdweb/CERTH/617476131.pdf","CERTI")</f>
        <v>CERTI</v>
      </c>
    </row>
    <row r="4178" spans="1:27" ht="15" x14ac:dyDescent="0.25">
      <c r="A4178" s="2">
        <v>4173</v>
      </c>
      <c r="B4178" s="39">
        <v>925510049</v>
      </c>
      <c r="C4178" s="28" t="str">
        <f>HYPERLINK("https://pld.live/RapDetail.aspx?STONELIST=925510049","DNA")</f>
        <v>DNA</v>
      </c>
      <c r="D4178" s="18" t="s">
        <v>3054</v>
      </c>
      <c r="E4178" s="18" t="s">
        <v>2186</v>
      </c>
      <c r="F4178" s="2" t="s">
        <v>7987</v>
      </c>
      <c r="G4178" s="2" t="s">
        <v>1573</v>
      </c>
      <c r="H4178" s="14">
        <v>1.06</v>
      </c>
      <c r="I4178" s="2" t="s">
        <v>267</v>
      </c>
      <c r="J4178" s="2" t="s">
        <v>3942</v>
      </c>
      <c r="K4178" s="2" t="s">
        <v>1452</v>
      </c>
      <c r="L4178" s="2" t="s">
        <v>5221</v>
      </c>
      <c r="M4178" s="2" t="s">
        <v>5221</v>
      </c>
      <c r="N4178" s="2" t="s">
        <v>2317</v>
      </c>
      <c r="O4178" s="14">
        <v>7600</v>
      </c>
      <c r="P4178" s="14">
        <v>98.49</v>
      </c>
      <c r="Q4178" s="14">
        <v>114.76</v>
      </c>
      <c r="R4178" s="14">
        <v>121.65</v>
      </c>
      <c r="S4178" s="2" t="s">
        <v>293</v>
      </c>
      <c r="T4178" s="2">
        <v>1.39</v>
      </c>
      <c r="U4178" s="2">
        <v>60</v>
      </c>
      <c r="V4178" s="2">
        <v>62</v>
      </c>
      <c r="W4178" s="2" t="s">
        <v>7862</v>
      </c>
      <c r="X4178" s="2" t="s">
        <v>471</v>
      </c>
      <c r="Y4178" s="2">
        <v>8056</v>
      </c>
      <c r="Z4178" s="19" t="str">
        <f>HYPERLINK("https://ssdweb.co/ssdweb/hd/Vision360.html?d=925510049&amp;zoomslide=1&amp;z=1925510049&amp;ISCONFIRM=0","VIDEO")</f>
        <v>VIDEO</v>
      </c>
      <c r="AA4178" s="19" t="str">
        <f>HYPERLINK("https://ssdweb.co/ssdweb/CERTH/617413073.pdf","CERTI")</f>
        <v>CERTI</v>
      </c>
    </row>
    <row r="4179" spans="1:27" ht="15" x14ac:dyDescent="0.25">
      <c r="A4179" s="2">
        <v>4174</v>
      </c>
      <c r="B4179" s="39">
        <v>926110294</v>
      </c>
      <c r="C4179" s="28" t="str">
        <f>HYPERLINK("https://pld.live/RapDetail.aspx?STONELIST=926110294","DNA")</f>
        <v>DNA</v>
      </c>
      <c r="D4179" s="18" t="s">
        <v>3054</v>
      </c>
      <c r="E4179" s="18" t="s">
        <v>5128</v>
      </c>
      <c r="F4179" s="2" t="s">
        <v>7987</v>
      </c>
      <c r="G4179" s="2" t="s">
        <v>1573</v>
      </c>
      <c r="H4179" s="14">
        <v>1.06</v>
      </c>
      <c r="I4179" s="2" t="s">
        <v>267</v>
      </c>
      <c r="J4179" s="2" t="s">
        <v>3942</v>
      </c>
      <c r="K4179" s="2" t="s">
        <v>1452</v>
      </c>
      <c r="L4179" s="2" t="s">
        <v>5221</v>
      </c>
      <c r="M4179" s="2" t="s">
        <v>5221</v>
      </c>
      <c r="N4179" s="2" t="s">
        <v>2317</v>
      </c>
      <c r="O4179" s="14">
        <v>7600</v>
      </c>
      <c r="P4179" s="14">
        <v>98.49</v>
      </c>
      <c r="Q4179" s="14">
        <v>114.76</v>
      </c>
      <c r="R4179" s="14">
        <v>121.65</v>
      </c>
      <c r="S4179" s="2" t="s">
        <v>3685</v>
      </c>
      <c r="T4179" s="2">
        <v>1.37</v>
      </c>
      <c r="U4179" s="2">
        <v>62.2</v>
      </c>
      <c r="V4179" s="2">
        <v>60</v>
      </c>
      <c r="W4179" s="2" t="s">
        <v>7862</v>
      </c>
      <c r="X4179" s="2" t="s">
        <v>471</v>
      </c>
      <c r="Y4179" s="2">
        <v>8056</v>
      </c>
      <c r="Z4179" s="19" t="str">
        <f>HYPERLINK("https://ssdweb.co/ssdweb/hd/Vision360.html?d=926110294&amp;zoomslide=1&amp;z=1926110294&amp;ISCONFIRM=0","VIDEO")</f>
        <v>VIDEO</v>
      </c>
      <c r="AA4179" s="19" t="str">
        <f>HYPERLINK("https://ssdweb.co/ssdweb/CERTH/632488456.pdf","CERTI")</f>
        <v>CERTI</v>
      </c>
    </row>
    <row r="4180" spans="1:27" ht="15" x14ac:dyDescent="0.25">
      <c r="A4180" s="2">
        <v>4175</v>
      </c>
      <c r="B4180" s="39">
        <v>925722045</v>
      </c>
      <c r="C4180" s="28" t="str">
        <f>HYPERLINK("https://pld.live/RapDetail.aspx?STONELIST=925722045","DNA")</f>
        <v>DNA</v>
      </c>
      <c r="D4180" s="18" t="s">
        <v>3054</v>
      </c>
      <c r="E4180" s="18" t="s">
        <v>5128</v>
      </c>
      <c r="F4180" s="2" t="s">
        <v>7987</v>
      </c>
      <c r="G4180" s="2" t="s">
        <v>1573</v>
      </c>
      <c r="H4180" s="14">
        <v>1.06</v>
      </c>
      <c r="I4180" s="2" t="s">
        <v>267</v>
      </c>
      <c r="J4180" s="2" t="s">
        <v>3942</v>
      </c>
      <c r="K4180" s="2" t="s">
        <v>1452</v>
      </c>
      <c r="L4180" s="2" t="s">
        <v>5221</v>
      </c>
      <c r="M4180" s="2" t="s">
        <v>5221</v>
      </c>
      <c r="N4180" s="2" t="s">
        <v>2317</v>
      </c>
      <c r="O4180" s="14">
        <v>7600</v>
      </c>
      <c r="P4180" s="14">
        <v>98.49</v>
      </c>
      <c r="Q4180" s="14">
        <v>114.76</v>
      </c>
      <c r="R4180" s="14">
        <v>121.65</v>
      </c>
      <c r="S4180" s="2" t="s">
        <v>4312</v>
      </c>
      <c r="T4180" s="2">
        <v>1.38</v>
      </c>
      <c r="U4180" s="2">
        <v>61.2</v>
      </c>
      <c r="V4180" s="2">
        <v>60</v>
      </c>
      <c r="W4180" s="2" t="s">
        <v>7862</v>
      </c>
      <c r="X4180" s="2" t="s">
        <v>471</v>
      </c>
      <c r="Y4180" s="2">
        <v>8056</v>
      </c>
      <c r="Z4180" s="19" t="str">
        <f>HYPERLINK("https://ssdweb.co/ssdweb/hd/Vision360.html?d=925722045&amp;zoomslide=1&amp;z=1925722045&amp;ISCONFIRM=0","VIDEO")</f>
        <v>VIDEO</v>
      </c>
      <c r="AA4180" s="19" t="str">
        <f>HYPERLINK("https://ssdweb.co/ssdweb/CERTH/626466269.pdf","CERTI")</f>
        <v>CERTI</v>
      </c>
    </row>
    <row r="4181" spans="1:27" ht="15" x14ac:dyDescent="0.25">
      <c r="A4181" s="2">
        <v>4176</v>
      </c>
      <c r="B4181" s="39">
        <v>926171104</v>
      </c>
      <c r="C4181" s="28" t="str">
        <f>HYPERLINK("https://pld.live/RapDetail.aspx?STONELIST=926171104","DNA")</f>
        <v>DNA</v>
      </c>
      <c r="D4181" s="18" t="s">
        <v>3054</v>
      </c>
      <c r="E4181" s="18" t="s">
        <v>5128</v>
      </c>
      <c r="F4181" s="2" t="s">
        <v>7987</v>
      </c>
      <c r="G4181" s="2" t="s">
        <v>1573</v>
      </c>
      <c r="H4181" s="14">
        <v>1.06</v>
      </c>
      <c r="I4181" s="2" t="s">
        <v>267</v>
      </c>
      <c r="J4181" s="2" t="s">
        <v>3942</v>
      </c>
      <c r="K4181" s="2" t="s">
        <v>1452</v>
      </c>
      <c r="L4181" s="2" t="s">
        <v>5221</v>
      </c>
      <c r="M4181" s="2" t="s">
        <v>5221</v>
      </c>
      <c r="N4181" s="2" t="s">
        <v>2317</v>
      </c>
      <c r="O4181" s="14">
        <v>7600</v>
      </c>
      <c r="P4181" s="14">
        <v>98.49</v>
      </c>
      <c r="Q4181" s="14">
        <v>114.76</v>
      </c>
      <c r="R4181" s="14">
        <v>121.65</v>
      </c>
      <c r="S4181" s="2" t="s">
        <v>4527</v>
      </c>
      <c r="T4181" s="2">
        <v>1.36</v>
      </c>
      <c r="U4181" s="2">
        <v>60.6</v>
      </c>
      <c r="V4181" s="2">
        <v>62</v>
      </c>
      <c r="W4181" s="2" t="s">
        <v>7862</v>
      </c>
      <c r="X4181" s="2" t="s">
        <v>471</v>
      </c>
      <c r="Y4181" s="2">
        <v>8056</v>
      </c>
      <c r="Z4181" s="19" t="str">
        <f>HYPERLINK("https://ssdweb.co/ssdweb/hd/Vision360.html?d=926171104&amp;zoomslide=1&amp;z=1926171104&amp;ISCONFIRM=0","VIDEO")</f>
        <v>VIDEO</v>
      </c>
      <c r="AA4181" s="19" t="str">
        <f>HYPERLINK("https://ssdweb.co/ssdweb/CERTH/634472317.pdf","CERTI")</f>
        <v>CERTI</v>
      </c>
    </row>
    <row r="4182" spans="1:27" ht="15" x14ac:dyDescent="0.25">
      <c r="A4182" s="2">
        <v>4177</v>
      </c>
      <c r="B4182" s="39">
        <v>926111207</v>
      </c>
      <c r="C4182" s="28" t="str">
        <f>HYPERLINK("https://pld.live/RapDetail.aspx?STONELIST=926111207","DNA")</f>
        <v>DNA</v>
      </c>
      <c r="D4182" s="18" t="s">
        <v>3054</v>
      </c>
      <c r="E4182" s="18" t="s">
        <v>5128</v>
      </c>
      <c r="F4182" s="2" t="s">
        <v>7987</v>
      </c>
      <c r="G4182" s="2" t="s">
        <v>1573</v>
      </c>
      <c r="H4182" s="14">
        <v>1.06</v>
      </c>
      <c r="I4182" s="2" t="s">
        <v>267</v>
      </c>
      <c r="J4182" s="2" t="s">
        <v>3942</v>
      </c>
      <c r="K4182" s="2" t="s">
        <v>1452</v>
      </c>
      <c r="L4182" s="2" t="s">
        <v>5221</v>
      </c>
      <c r="M4182" s="2" t="s">
        <v>5221</v>
      </c>
      <c r="N4182" s="2" t="s">
        <v>2317</v>
      </c>
      <c r="O4182" s="14">
        <v>7600</v>
      </c>
      <c r="P4182" s="14">
        <v>98.49</v>
      </c>
      <c r="Q4182" s="14">
        <v>114.76</v>
      </c>
      <c r="R4182" s="14">
        <v>121.65</v>
      </c>
      <c r="S4182" s="2" t="s">
        <v>3437</v>
      </c>
      <c r="T4182" s="2">
        <v>1.36</v>
      </c>
      <c r="U4182" s="2">
        <v>62.7</v>
      </c>
      <c r="V4182" s="2">
        <v>61</v>
      </c>
      <c r="W4182" s="2" t="s">
        <v>7862</v>
      </c>
      <c r="X4182" s="2" t="s">
        <v>471</v>
      </c>
      <c r="Y4182" s="2">
        <v>8056</v>
      </c>
      <c r="Z4182" s="19" t="str">
        <f>HYPERLINK("https://ssdweb.co/ssdweb/hd/Vision360.html?d=926111207&amp;zoomslide=1&amp;z=1926111207&amp;ISCONFIRM=0","VIDEO")</f>
        <v>VIDEO</v>
      </c>
      <c r="AA4182" s="19" t="str">
        <f>HYPERLINK("https://ssdweb.co/ssdweb/CERTH/633431993.pdf","CERTI")</f>
        <v>CERTI</v>
      </c>
    </row>
    <row r="4183" spans="1:27" ht="15" x14ac:dyDescent="0.25">
      <c r="A4183" s="2">
        <v>4178</v>
      </c>
      <c r="B4183" s="39">
        <v>926110554</v>
      </c>
      <c r="C4183" s="28" t="str">
        <f>HYPERLINK("https://pld.live/RapDetail.aspx?STONELIST=926110554","DNA")</f>
        <v>DNA</v>
      </c>
      <c r="D4183" s="18" t="s">
        <v>3054</v>
      </c>
      <c r="E4183" s="18" t="s">
        <v>5128</v>
      </c>
      <c r="F4183" s="2" t="s">
        <v>7987</v>
      </c>
      <c r="G4183" s="2" t="s">
        <v>1573</v>
      </c>
      <c r="H4183" s="14">
        <v>1.06</v>
      </c>
      <c r="I4183" s="2" t="s">
        <v>267</v>
      </c>
      <c r="J4183" s="2" t="s">
        <v>3942</v>
      </c>
      <c r="K4183" s="2" t="s">
        <v>1452</v>
      </c>
      <c r="L4183" s="2" t="s">
        <v>5221</v>
      </c>
      <c r="M4183" s="2" t="s">
        <v>5221</v>
      </c>
      <c r="N4183" s="2" t="s">
        <v>2317</v>
      </c>
      <c r="O4183" s="14">
        <v>7600</v>
      </c>
      <c r="P4183" s="14">
        <v>98.49</v>
      </c>
      <c r="Q4183" s="14">
        <v>114.76</v>
      </c>
      <c r="R4183" s="14">
        <v>121.65</v>
      </c>
      <c r="S4183" s="2" t="s">
        <v>3179</v>
      </c>
      <c r="T4183" s="2">
        <v>1.38</v>
      </c>
      <c r="U4183" s="2">
        <v>61.1</v>
      </c>
      <c r="V4183" s="2">
        <v>62</v>
      </c>
      <c r="W4183" s="2" t="s">
        <v>7862</v>
      </c>
      <c r="X4183" s="2" t="s">
        <v>471</v>
      </c>
      <c r="Y4183" s="2">
        <v>8056</v>
      </c>
      <c r="Z4183" s="19" t="str">
        <f>HYPERLINK("https://ssdweb.co/ssdweb/hd/Vision360.html?d=926110554&amp;zoomslide=1&amp;z=1926110554&amp;ISCONFIRM=0","VIDEO")</f>
        <v>VIDEO</v>
      </c>
      <c r="AA4183" s="19" t="str">
        <f>HYPERLINK("https://ssdweb.co/ssdweb/CERTH/632421525.pdf","CERTI")</f>
        <v>CERTI</v>
      </c>
    </row>
    <row r="4184" spans="1:27" ht="15" x14ac:dyDescent="0.25">
      <c r="A4184" s="2">
        <v>4179</v>
      </c>
      <c r="B4184" s="39">
        <v>926040609</v>
      </c>
      <c r="C4184" s="28" t="str">
        <f>HYPERLINK("https://pld.live/RapDetail.aspx?STONELIST=926040609","DNA")</f>
        <v>DNA</v>
      </c>
      <c r="D4184" s="18" t="s">
        <v>3054</v>
      </c>
      <c r="E4184" s="18" t="s">
        <v>5128</v>
      </c>
      <c r="F4184" s="2" t="s">
        <v>7987</v>
      </c>
      <c r="G4184" s="2" t="s">
        <v>1573</v>
      </c>
      <c r="H4184" s="14">
        <v>1.06</v>
      </c>
      <c r="I4184" s="2" t="s">
        <v>267</v>
      </c>
      <c r="J4184" s="2" t="s">
        <v>13</v>
      </c>
      <c r="K4184" s="2" t="s">
        <v>1452</v>
      </c>
      <c r="L4184" s="2" t="s">
        <v>5221</v>
      </c>
      <c r="M4184" s="2" t="s">
        <v>5221</v>
      </c>
      <c r="N4184" s="2" t="s">
        <v>2317</v>
      </c>
      <c r="O4184" s="14">
        <v>6700</v>
      </c>
      <c r="P4184" s="14">
        <v>98.33</v>
      </c>
      <c r="Q4184" s="14">
        <v>111.89</v>
      </c>
      <c r="R4184" s="14">
        <v>118.6</v>
      </c>
      <c r="S4184" s="2" t="s">
        <v>6465</v>
      </c>
      <c r="T4184" s="2">
        <v>1.35</v>
      </c>
      <c r="U4184" s="2">
        <v>62.5</v>
      </c>
      <c r="V4184" s="2">
        <v>60</v>
      </c>
      <c r="W4184" s="2" t="s">
        <v>7862</v>
      </c>
      <c r="X4184" s="2" t="s">
        <v>471</v>
      </c>
      <c r="Y4184" s="2">
        <v>7102</v>
      </c>
      <c r="Z4184" s="19" t="str">
        <f>HYPERLINK("https://ssdweb.co/ssdweb/hd/Vision360.html?d=926040609&amp;zoomslide=1&amp;z=1926040609&amp;ISCONFIRM=0","VIDEO")</f>
        <v>VIDEO</v>
      </c>
      <c r="AA4184" s="19" t="str">
        <f>HYPERLINK("https://ssdweb.co/ssdweb/CERTH/629481881.pdf","CERTI")</f>
        <v>CERTI</v>
      </c>
    </row>
    <row r="4185" spans="1:27" ht="15" x14ac:dyDescent="0.25">
      <c r="A4185" s="2">
        <v>4180</v>
      </c>
      <c r="B4185" s="39">
        <v>925721957</v>
      </c>
      <c r="C4185" s="28" t="str">
        <f>HYPERLINK("https://pld.live/RapDetail.aspx?STONELIST=925721957","DNA")</f>
        <v>DNA</v>
      </c>
      <c r="D4185" s="18" t="s">
        <v>3054</v>
      </c>
      <c r="E4185" s="18" t="s">
        <v>5128</v>
      </c>
      <c r="F4185" s="2" t="s">
        <v>7987</v>
      </c>
      <c r="G4185" s="2" t="s">
        <v>1573</v>
      </c>
      <c r="H4185" s="14">
        <v>1.06</v>
      </c>
      <c r="I4185" s="2" t="s">
        <v>267</v>
      </c>
      <c r="J4185" s="2" t="s">
        <v>13</v>
      </c>
      <c r="K4185" s="2" t="s">
        <v>1452</v>
      </c>
      <c r="L4185" s="2" t="s">
        <v>5221</v>
      </c>
      <c r="M4185" s="2" t="s">
        <v>5221</v>
      </c>
      <c r="N4185" s="2" t="s">
        <v>2317</v>
      </c>
      <c r="O4185" s="14">
        <v>6700</v>
      </c>
      <c r="P4185" s="14">
        <v>98.33</v>
      </c>
      <c r="Q4185" s="14">
        <v>111.89</v>
      </c>
      <c r="R4185" s="14">
        <v>118.6</v>
      </c>
      <c r="S4185" s="2" t="s">
        <v>5906</v>
      </c>
      <c r="T4185" s="2">
        <v>1.39</v>
      </c>
      <c r="U4185" s="2">
        <v>60.4</v>
      </c>
      <c r="V4185" s="2">
        <v>59</v>
      </c>
      <c r="W4185" s="2" t="s">
        <v>7862</v>
      </c>
      <c r="X4185" s="2" t="s">
        <v>471</v>
      </c>
      <c r="Y4185" s="2">
        <v>7102</v>
      </c>
      <c r="Z4185" s="19" t="str">
        <f>HYPERLINK("https://ssdweb.co/ssdweb/hd/Vision360.html?d=925721957&amp;zoomslide=1&amp;z=1925721957&amp;ISCONFIRM=0","VIDEO")</f>
        <v>VIDEO</v>
      </c>
      <c r="AA4185" s="19" t="str">
        <f>HYPERLINK("https://ssdweb.co/ssdweb/CERTH/624440082.pdf","CERTI")</f>
        <v>CERTI</v>
      </c>
    </row>
    <row r="4186" spans="1:27" ht="15" x14ac:dyDescent="0.25">
      <c r="A4186" s="2">
        <v>4181</v>
      </c>
      <c r="B4186" s="39">
        <v>925721752</v>
      </c>
      <c r="C4186" s="28" t="str">
        <f>HYPERLINK("https://pld.live/RapDetail.aspx?STONELIST=925721752","DNA")</f>
        <v>DNA</v>
      </c>
      <c r="D4186" s="18" t="s">
        <v>3054</v>
      </c>
      <c r="E4186" s="18" t="s">
        <v>5128</v>
      </c>
      <c r="F4186" s="2" t="s">
        <v>7987</v>
      </c>
      <c r="G4186" s="2" t="s">
        <v>1573</v>
      </c>
      <c r="H4186" s="14">
        <v>1.06</v>
      </c>
      <c r="I4186" s="2" t="s">
        <v>267</v>
      </c>
      <c r="J4186" s="2" t="s">
        <v>13</v>
      </c>
      <c r="K4186" s="2" t="s">
        <v>1452</v>
      </c>
      <c r="L4186" s="2" t="s">
        <v>5221</v>
      </c>
      <c r="M4186" s="2" t="s">
        <v>5221</v>
      </c>
      <c r="N4186" s="2" t="s">
        <v>2317</v>
      </c>
      <c r="O4186" s="14">
        <v>6700</v>
      </c>
      <c r="P4186" s="14">
        <v>98.33</v>
      </c>
      <c r="Q4186" s="14">
        <v>111.89</v>
      </c>
      <c r="R4186" s="14">
        <v>118.6</v>
      </c>
      <c r="S4186" s="2" t="s">
        <v>431</v>
      </c>
      <c r="T4186" s="2">
        <v>1.38</v>
      </c>
      <c r="U4186" s="2">
        <v>61.9</v>
      </c>
      <c r="V4186" s="2">
        <v>60</v>
      </c>
      <c r="W4186" s="2" t="s">
        <v>7862</v>
      </c>
      <c r="X4186" s="2" t="s">
        <v>471</v>
      </c>
      <c r="Y4186" s="2">
        <v>7102</v>
      </c>
      <c r="Z4186" s="19" t="str">
        <f>HYPERLINK("https://ssdweb.co/ssdweb/hd/Vision360.html?d=925721752&amp;zoomslide=1&amp;z=1925721752&amp;ISCONFIRM=0","VIDEO")</f>
        <v>VIDEO</v>
      </c>
      <c r="AA4186" s="19" t="str">
        <f>HYPERLINK("https://ssdweb.co/ssdweb/CERTH/623493239.pdf","CERTI")</f>
        <v>CERTI</v>
      </c>
    </row>
    <row r="4187" spans="1:27" ht="15" x14ac:dyDescent="0.25">
      <c r="A4187" s="2">
        <v>4182</v>
      </c>
      <c r="B4187" s="39">
        <v>821126918</v>
      </c>
      <c r="C4187" s="28" t="str">
        <f>HYPERLINK("https://pld.live/RapDetail.aspx?STONELIST=821126918","DNA")</f>
        <v>DNA</v>
      </c>
      <c r="D4187" s="18" t="s">
        <v>3054</v>
      </c>
      <c r="E4187" s="18" t="s">
        <v>5128</v>
      </c>
      <c r="F4187" s="2" t="s">
        <v>7987</v>
      </c>
      <c r="G4187" s="2" t="s">
        <v>1573</v>
      </c>
      <c r="H4187" s="14">
        <v>1.06</v>
      </c>
      <c r="I4187" s="2" t="s">
        <v>4761</v>
      </c>
      <c r="J4187" s="2" t="s">
        <v>3942</v>
      </c>
      <c r="K4187" s="2" t="s">
        <v>1452</v>
      </c>
      <c r="L4187" s="2" t="s">
        <v>5221</v>
      </c>
      <c r="M4187" s="2" t="s">
        <v>5221</v>
      </c>
      <c r="N4187" s="2" t="s">
        <v>2317</v>
      </c>
      <c r="O4187" s="14">
        <v>6900</v>
      </c>
      <c r="P4187" s="14">
        <v>98.38</v>
      </c>
      <c r="Q4187" s="14">
        <v>111.78</v>
      </c>
      <c r="R4187" s="14">
        <v>118.49</v>
      </c>
      <c r="S4187" s="2" t="s">
        <v>1167</v>
      </c>
      <c r="T4187" s="2">
        <v>1.4</v>
      </c>
      <c r="U4187" s="2">
        <v>61.6</v>
      </c>
      <c r="V4187" s="2">
        <v>57</v>
      </c>
      <c r="W4187" s="2" t="s">
        <v>7862</v>
      </c>
      <c r="X4187" s="2" t="s">
        <v>471</v>
      </c>
      <c r="Y4187" s="2">
        <v>7314</v>
      </c>
      <c r="Z4187" s="19" t="str">
        <f>HYPERLINK("https://ssdweb.co/ssdweb/hd/Vision360.html?d=821126918&amp;zoomslide=1&amp;z=1821126918&amp;ISCONFIRM=0","VIDEO")</f>
        <v>VIDEO</v>
      </c>
      <c r="AA4187" s="19" t="str">
        <f>HYPERLINK("https://ssdweb.co/ssdweb/CERTH/621410804.pdf","CERTI")</f>
        <v>CERTI</v>
      </c>
    </row>
    <row r="4188" spans="1:27" ht="15" x14ac:dyDescent="0.25">
      <c r="A4188" s="2">
        <v>4183</v>
      </c>
      <c r="B4188" s="39">
        <v>926270799</v>
      </c>
      <c r="C4188" s="28" t="str">
        <f>HYPERLINK("https://pld.live/RapDetail.aspx?STONELIST=926270799","DNA")</f>
        <v>DNA</v>
      </c>
      <c r="D4188" s="18" t="s">
        <v>3054</v>
      </c>
      <c r="E4188" s="18" t="s">
        <v>5128</v>
      </c>
      <c r="F4188" s="2" t="s">
        <v>7987</v>
      </c>
      <c r="G4188" s="2" t="s">
        <v>1573</v>
      </c>
      <c r="H4188" s="14">
        <v>1.06</v>
      </c>
      <c r="I4188" s="2" t="s">
        <v>4761</v>
      </c>
      <c r="J4188" s="2" t="s">
        <v>13</v>
      </c>
      <c r="K4188" s="2" t="s">
        <v>1452</v>
      </c>
      <c r="L4188" s="2" t="s">
        <v>5221</v>
      </c>
      <c r="M4188" s="2" t="s">
        <v>5221</v>
      </c>
      <c r="N4188" s="2" t="s">
        <v>2317</v>
      </c>
      <c r="O4188" s="14">
        <v>6200</v>
      </c>
      <c r="P4188" s="14">
        <v>98.19</v>
      </c>
      <c r="Q4188" s="14">
        <v>112.22</v>
      </c>
      <c r="R4188" s="14">
        <v>118.95</v>
      </c>
      <c r="S4188" s="2" t="s">
        <v>5589</v>
      </c>
      <c r="T4188" s="2">
        <v>1.36</v>
      </c>
      <c r="U4188" s="2">
        <v>63</v>
      </c>
      <c r="V4188" s="2">
        <v>60</v>
      </c>
      <c r="W4188" s="2" t="s">
        <v>7862</v>
      </c>
      <c r="X4188" s="2" t="s">
        <v>471</v>
      </c>
      <c r="Y4188" s="2">
        <v>6572</v>
      </c>
      <c r="Z4188" s="19" t="str">
        <f>HYPERLINK("https://ssdweb.co/ssdweb/hd/Vision360.html?d=926270799&amp;zoomslide=1&amp;z=1926270799&amp;ISCONFIRM=0","VIDEO")</f>
        <v>VIDEO</v>
      </c>
      <c r="AA4188" s="19" t="str">
        <f>HYPERLINK("https://ssdweb.co/ssdweb/CERTH/638463213.pdf","CERTI")</f>
        <v>CERTI</v>
      </c>
    </row>
    <row r="4189" spans="1:27" ht="15" x14ac:dyDescent="0.25">
      <c r="A4189" s="2">
        <v>4184</v>
      </c>
      <c r="B4189" s="39">
        <v>926210068</v>
      </c>
      <c r="C4189" s="28" t="str">
        <f>HYPERLINK("https://pld.live/RapDetail.aspx?STONELIST=926210068","DNA")</f>
        <v>DNA</v>
      </c>
      <c r="D4189" s="18" t="s">
        <v>3054</v>
      </c>
      <c r="E4189" s="18" t="s">
        <v>5128</v>
      </c>
      <c r="F4189" s="2" t="s">
        <v>7987</v>
      </c>
      <c r="G4189" s="2" t="s">
        <v>1573</v>
      </c>
      <c r="H4189" s="14">
        <v>1.06</v>
      </c>
      <c r="I4189" s="2" t="s">
        <v>4761</v>
      </c>
      <c r="J4189" s="2" t="s">
        <v>13</v>
      </c>
      <c r="K4189" s="2" t="s">
        <v>1452</v>
      </c>
      <c r="L4189" s="2" t="s">
        <v>5221</v>
      </c>
      <c r="M4189" s="2" t="s">
        <v>5221</v>
      </c>
      <c r="N4189" s="2" t="s">
        <v>2317</v>
      </c>
      <c r="O4189" s="14">
        <v>6200</v>
      </c>
      <c r="P4189" s="14">
        <v>98.24</v>
      </c>
      <c r="Q4189" s="14">
        <v>109.12</v>
      </c>
      <c r="R4189" s="14">
        <v>115.67</v>
      </c>
      <c r="S4189" s="2" t="s">
        <v>4007</v>
      </c>
      <c r="T4189" s="2">
        <v>1.36</v>
      </c>
      <c r="U4189" s="2">
        <v>62.3</v>
      </c>
      <c r="V4189" s="2">
        <v>59</v>
      </c>
      <c r="W4189" s="2" t="s">
        <v>7862</v>
      </c>
      <c r="X4189" s="2" t="s">
        <v>471</v>
      </c>
      <c r="Y4189" s="2">
        <v>6572</v>
      </c>
      <c r="Z4189" s="19" t="str">
        <f>HYPERLINK("https://ssdweb.co/ssdweb/hd/Vision360.html?d=926210068&amp;zoomslide=1&amp;z=1926210068&amp;ISCONFIRM=0","VIDEO")</f>
        <v>VIDEO</v>
      </c>
      <c r="AA4189" s="19" t="str">
        <f>HYPERLINK("https://ssdweb.co/ssdweb/CERTH/634472380.pdf","CERTI")</f>
        <v>CERTI</v>
      </c>
    </row>
    <row r="4190" spans="1:27" ht="15" x14ac:dyDescent="0.25">
      <c r="A4190" s="2">
        <v>4185</v>
      </c>
      <c r="B4190" s="39">
        <v>926171116</v>
      </c>
      <c r="C4190" s="28" t="str">
        <f>HYPERLINK("https://pld.live/RapDetail.aspx?STONELIST=926171116","DNA")</f>
        <v>DNA</v>
      </c>
      <c r="D4190" s="18" t="s">
        <v>3054</v>
      </c>
      <c r="E4190" s="18" t="s">
        <v>5128</v>
      </c>
      <c r="F4190" s="2" t="s">
        <v>7987</v>
      </c>
      <c r="G4190" s="2" t="s">
        <v>1573</v>
      </c>
      <c r="H4190" s="14">
        <v>1.06</v>
      </c>
      <c r="I4190" s="2" t="s">
        <v>4761</v>
      </c>
      <c r="J4190" s="2" t="s">
        <v>13</v>
      </c>
      <c r="K4190" s="2" t="s">
        <v>1452</v>
      </c>
      <c r="L4190" s="2" t="s">
        <v>5221</v>
      </c>
      <c r="M4190" s="2" t="s">
        <v>5221</v>
      </c>
      <c r="N4190" s="2" t="s">
        <v>2317</v>
      </c>
      <c r="O4190" s="14">
        <v>6200</v>
      </c>
      <c r="P4190" s="14">
        <v>98.24</v>
      </c>
      <c r="Q4190" s="14">
        <v>109.12</v>
      </c>
      <c r="R4190" s="14">
        <v>115.67</v>
      </c>
      <c r="S4190" s="2" t="s">
        <v>7320</v>
      </c>
      <c r="T4190" s="2">
        <v>1.39</v>
      </c>
      <c r="U4190" s="2">
        <v>60.2</v>
      </c>
      <c r="V4190" s="2">
        <v>63</v>
      </c>
      <c r="W4190" s="2" t="s">
        <v>7862</v>
      </c>
      <c r="X4190" s="2" t="s">
        <v>471</v>
      </c>
      <c r="Y4190" s="2">
        <v>6572</v>
      </c>
      <c r="Z4190" s="19" t="str">
        <f>HYPERLINK("https://ssdweb.co/ssdweb/hd/Vision360.html?d=926171116&amp;zoomslide=1&amp;z=1926171116&amp;ISCONFIRM=0","VIDEO")</f>
        <v>VIDEO</v>
      </c>
      <c r="AA4190" s="19" t="str">
        <f>HYPERLINK("https://ssdweb.co/ssdweb/CERTH/634472320.pdf","CERTI")</f>
        <v>CERTI</v>
      </c>
    </row>
    <row r="4191" spans="1:27" ht="15" x14ac:dyDescent="0.25">
      <c r="A4191" s="2">
        <v>4186</v>
      </c>
      <c r="B4191" s="39">
        <v>926111341</v>
      </c>
      <c r="C4191" s="28" t="str">
        <f>HYPERLINK("https://pld.live/RapDetail.aspx?STONELIST=926111341","DNA")</f>
        <v>DNA</v>
      </c>
      <c r="D4191" s="18" t="s">
        <v>3054</v>
      </c>
      <c r="E4191" s="18" t="s">
        <v>5128</v>
      </c>
      <c r="F4191" s="2" t="s">
        <v>7987</v>
      </c>
      <c r="G4191" s="2" t="s">
        <v>1573</v>
      </c>
      <c r="H4191" s="14">
        <v>1.06</v>
      </c>
      <c r="I4191" s="2" t="s">
        <v>4761</v>
      </c>
      <c r="J4191" s="2" t="s">
        <v>13</v>
      </c>
      <c r="K4191" s="2" t="s">
        <v>1452</v>
      </c>
      <c r="L4191" s="2" t="s">
        <v>5221</v>
      </c>
      <c r="M4191" s="2" t="s">
        <v>5221</v>
      </c>
      <c r="N4191" s="2" t="s">
        <v>2317</v>
      </c>
      <c r="O4191" s="14">
        <v>6200</v>
      </c>
      <c r="P4191" s="14">
        <v>98.24</v>
      </c>
      <c r="Q4191" s="14">
        <v>109.12</v>
      </c>
      <c r="R4191" s="14">
        <v>115.67</v>
      </c>
      <c r="S4191" s="2" t="s">
        <v>4356</v>
      </c>
      <c r="T4191" s="2">
        <v>1.38</v>
      </c>
      <c r="U4191" s="2">
        <v>62.5</v>
      </c>
      <c r="V4191" s="2">
        <v>59</v>
      </c>
      <c r="W4191" s="2" t="s">
        <v>7862</v>
      </c>
      <c r="X4191" s="2" t="s">
        <v>471</v>
      </c>
      <c r="Y4191" s="2">
        <v>6572</v>
      </c>
      <c r="Z4191" s="19" t="str">
        <f>HYPERLINK("https://ssdweb.co/ssdweb/hd/Vision360.html?d=926111341&amp;zoomslide=1&amp;z=1926111341&amp;ISCONFIRM=0","VIDEO")</f>
        <v>VIDEO</v>
      </c>
      <c r="AA4191" s="19" t="str">
        <f>HYPERLINK("https://ssdweb.co/ssdweb/CERTH/634431382.pdf","CERTI")</f>
        <v>CERTI</v>
      </c>
    </row>
    <row r="4192" spans="1:27" ht="15" x14ac:dyDescent="0.25">
      <c r="A4192" s="2">
        <v>4187</v>
      </c>
      <c r="B4192" s="39">
        <v>925732207</v>
      </c>
      <c r="C4192" s="28" t="str">
        <f>HYPERLINK("https://pld.live/RapDetail.aspx?STONELIST=925732207","DNA")</f>
        <v>DNA</v>
      </c>
      <c r="D4192" s="18" t="s">
        <v>3054</v>
      </c>
      <c r="E4192" s="18" t="s">
        <v>5128</v>
      </c>
      <c r="F4192" s="2" t="s">
        <v>7987</v>
      </c>
      <c r="G4192" s="2" t="s">
        <v>1573</v>
      </c>
      <c r="H4192" s="14">
        <v>1.05</v>
      </c>
      <c r="I4192" s="2" t="s">
        <v>267</v>
      </c>
      <c r="J4192" s="2" t="s">
        <v>7032</v>
      </c>
      <c r="K4192" s="2" t="s">
        <v>1452</v>
      </c>
      <c r="L4192" s="2" t="s">
        <v>5221</v>
      </c>
      <c r="M4192" s="2" t="s">
        <v>5221</v>
      </c>
      <c r="N4192" s="2" t="s">
        <v>2317</v>
      </c>
      <c r="O4192" s="14">
        <v>9300</v>
      </c>
      <c r="P4192" s="14">
        <v>96.83</v>
      </c>
      <c r="Q4192" s="14">
        <v>294.81</v>
      </c>
      <c r="R4192" s="14">
        <v>309.55</v>
      </c>
      <c r="S4192" s="2" t="s">
        <v>3436</v>
      </c>
      <c r="T4192" s="2">
        <v>1.38</v>
      </c>
      <c r="U4192" s="2">
        <v>61.7</v>
      </c>
      <c r="V4192" s="2">
        <v>62</v>
      </c>
      <c r="W4192" s="2" t="s">
        <v>7862</v>
      </c>
      <c r="X4192" s="2" t="s">
        <v>471</v>
      </c>
      <c r="Y4192" s="2">
        <v>9765</v>
      </c>
      <c r="Z4192" s="19" t="str">
        <f>HYPERLINK("https://ssdweb.co/ssdweb/hd/Vision360.html?d=925732207&amp;zoomslide=1&amp;z=1925732207&amp;ISCONFIRM=0","VIDEO")</f>
        <v>VIDEO</v>
      </c>
      <c r="AA4192" s="19" t="str">
        <f>HYPERLINK("https://ssdweb.co/ssdweb/CERTH/626466317.pdf","CERTI")</f>
        <v>CERTI</v>
      </c>
    </row>
    <row r="4193" spans="1:27" ht="15" x14ac:dyDescent="0.25">
      <c r="A4193" s="2">
        <v>4188</v>
      </c>
      <c r="B4193" s="39">
        <v>925862072</v>
      </c>
      <c r="C4193" s="28" t="str">
        <f>HYPERLINK("https://pld.live/RapDetail.aspx?STONELIST=925862072","DNA")</f>
        <v>DNA</v>
      </c>
      <c r="D4193" s="18" t="s">
        <v>3054</v>
      </c>
      <c r="E4193" s="18" t="s">
        <v>5128</v>
      </c>
      <c r="F4193" s="2" t="s">
        <v>7987</v>
      </c>
      <c r="G4193" s="2" t="s">
        <v>1573</v>
      </c>
      <c r="H4193" s="14">
        <v>1.05</v>
      </c>
      <c r="I4193" s="2" t="s">
        <v>267</v>
      </c>
      <c r="J4193" s="2" t="s">
        <v>6555</v>
      </c>
      <c r="K4193" s="2" t="s">
        <v>1452</v>
      </c>
      <c r="L4193" s="2" t="s">
        <v>5221</v>
      </c>
      <c r="M4193" s="2" t="s">
        <v>5221</v>
      </c>
      <c r="N4193" s="2" t="s">
        <v>2317</v>
      </c>
      <c r="O4193" s="14">
        <v>8200</v>
      </c>
      <c r="P4193" s="14">
        <v>98.29</v>
      </c>
      <c r="Q4193" s="14">
        <v>140.22</v>
      </c>
      <c r="R4193" s="14">
        <v>147.22999999999999</v>
      </c>
      <c r="S4193" s="2" t="s">
        <v>3509</v>
      </c>
      <c r="T4193" s="2">
        <v>1.38</v>
      </c>
      <c r="U4193" s="2">
        <v>59.9</v>
      </c>
      <c r="V4193" s="2">
        <v>60</v>
      </c>
      <c r="W4193" s="2" t="s">
        <v>7862</v>
      </c>
      <c r="X4193" s="2" t="s">
        <v>471</v>
      </c>
      <c r="Y4193" s="2">
        <v>8610</v>
      </c>
      <c r="Z4193" s="19" t="str">
        <f>HYPERLINK("https://ssdweb.co/ssdweb/hd/Vision360.html?d=925862072&amp;zoomslide=1&amp;z=1925862072&amp;ISCONFIRM=0","VIDEO")</f>
        <v>VIDEO</v>
      </c>
      <c r="AA4193" s="19" t="str">
        <f>HYPERLINK("https://ssdweb.co/ssdweb/CERTH/629453435.pdf","CERTI")</f>
        <v>CERTI</v>
      </c>
    </row>
    <row r="4194" spans="1:27" ht="15" x14ac:dyDescent="0.25">
      <c r="A4194" s="2">
        <v>4189</v>
      </c>
      <c r="B4194" s="39">
        <v>925830693</v>
      </c>
      <c r="C4194" s="28" t="str">
        <f>HYPERLINK("https://pld.live/RapDetail.aspx?STONELIST=925830693","DNA")</f>
        <v>DNA</v>
      </c>
      <c r="D4194" s="18" t="s">
        <v>3054</v>
      </c>
      <c r="E4194" s="18" t="s">
        <v>5128</v>
      </c>
      <c r="F4194" s="2" t="s">
        <v>7987</v>
      </c>
      <c r="G4194" s="2" t="s">
        <v>1573</v>
      </c>
      <c r="H4194" s="14">
        <v>1.05</v>
      </c>
      <c r="I4194" s="2" t="s">
        <v>267</v>
      </c>
      <c r="J4194" s="2" t="s">
        <v>6555</v>
      </c>
      <c r="K4194" s="2" t="s">
        <v>1452</v>
      </c>
      <c r="L4194" s="2" t="s">
        <v>5221</v>
      </c>
      <c r="M4194" s="2" t="s">
        <v>5221</v>
      </c>
      <c r="N4194" s="2" t="s">
        <v>2317</v>
      </c>
      <c r="O4194" s="14">
        <v>8200</v>
      </c>
      <c r="P4194" s="14">
        <v>98.29</v>
      </c>
      <c r="Q4194" s="14">
        <v>140.22</v>
      </c>
      <c r="R4194" s="14">
        <v>147.22999999999999</v>
      </c>
      <c r="S4194" s="2" t="s">
        <v>596</v>
      </c>
      <c r="T4194" s="2">
        <v>1.44</v>
      </c>
      <c r="U4194" s="2">
        <v>61.3</v>
      </c>
      <c r="V4194" s="2">
        <v>57</v>
      </c>
      <c r="W4194" s="2" t="s">
        <v>7862</v>
      </c>
      <c r="X4194" s="2" t="s">
        <v>471</v>
      </c>
      <c r="Y4194" s="2">
        <v>8610</v>
      </c>
      <c r="Z4194" s="19" t="str">
        <f>HYPERLINK("https://ssdweb.co/ssdweb/hd/Vision360.html?d=925830693&amp;zoomslide=1&amp;z=1925830693&amp;ISCONFIRM=0","VIDEO")</f>
        <v>VIDEO</v>
      </c>
      <c r="AA4194" s="19" t="str">
        <f>HYPERLINK("https://ssdweb.co/ssdweb/CERTH/627471582.pdf","CERTI")</f>
        <v>CERTI</v>
      </c>
    </row>
    <row r="4195" spans="1:27" ht="15" x14ac:dyDescent="0.25">
      <c r="A4195" s="2">
        <v>4190</v>
      </c>
      <c r="B4195" s="39">
        <v>926291263</v>
      </c>
      <c r="C4195" s="28" t="str">
        <f>HYPERLINK("https://pld.live/RapDetail.aspx?STONELIST=926291263","DNA")</f>
        <v>DNA</v>
      </c>
      <c r="D4195" s="18" t="s">
        <v>3054</v>
      </c>
      <c r="E4195" s="18" t="s">
        <v>5128</v>
      </c>
      <c r="F4195" s="2" t="s">
        <v>7987</v>
      </c>
      <c r="G4195" s="2" t="s">
        <v>1573</v>
      </c>
      <c r="H4195" s="14">
        <v>1.05</v>
      </c>
      <c r="I4195" s="2" t="s">
        <v>267</v>
      </c>
      <c r="J4195" s="2" t="s">
        <v>6555</v>
      </c>
      <c r="K4195" s="2" t="s">
        <v>1452</v>
      </c>
      <c r="L4195" s="2" t="s">
        <v>5221</v>
      </c>
      <c r="M4195" s="2" t="s">
        <v>5221</v>
      </c>
      <c r="N4195" s="2" t="s">
        <v>2317</v>
      </c>
      <c r="O4195" s="14">
        <v>8200</v>
      </c>
      <c r="P4195" s="14">
        <v>98.26</v>
      </c>
      <c r="Q4195" s="14">
        <v>142.68</v>
      </c>
      <c r="R4195" s="14">
        <v>149.81</v>
      </c>
      <c r="S4195" s="2" t="s">
        <v>826</v>
      </c>
      <c r="T4195" s="2">
        <v>1.39</v>
      </c>
      <c r="U4195" s="2">
        <v>61.6</v>
      </c>
      <c r="V4195" s="2">
        <v>62</v>
      </c>
      <c r="W4195" s="2" t="s">
        <v>7862</v>
      </c>
      <c r="X4195" s="2" t="s">
        <v>471</v>
      </c>
      <c r="Y4195" s="2">
        <v>8610</v>
      </c>
      <c r="Z4195" s="19" t="str">
        <f>HYPERLINK("https://ssdweb.co/ssdweb/hd/Vision360.html?d=926291263&amp;zoomslide=1&amp;z=1926291263&amp;ISCONFIRM=0","VIDEO")</f>
        <v>VIDEO</v>
      </c>
      <c r="AA4195" s="19" t="str">
        <f>HYPERLINK("https://ssdweb.co/ssdweb/CERTH/638463161.pdf","CERTI")</f>
        <v>CERTI</v>
      </c>
    </row>
    <row r="4196" spans="1:27" ht="15" x14ac:dyDescent="0.25">
      <c r="A4196" s="2">
        <v>4191</v>
      </c>
      <c r="B4196" s="39">
        <v>925621807</v>
      </c>
      <c r="C4196" s="28" t="str">
        <f>HYPERLINK("https://pld.live/RapDetail.aspx?STONELIST=925621807","DNA")</f>
        <v>DNA</v>
      </c>
      <c r="D4196" s="18" t="s">
        <v>3054</v>
      </c>
      <c r="E4196" s="18" t="s">
        <v>5128</v>
      </c>
      <c r="F4196" s="2" t="s">
        <v>7987</v>
      </c>
      <c r="G4196" s="2" t="s">
        <v>1573</v>
      </c>
      <c r="H4196" s="14">
        <v>1.05</v>
      </c>
      <c r="I4196" s="2" t="s">
        <v>267</v>
      </c>
      <c r="J4196" s="2" t="s">
        <v>6555</v>
      </c>
      <c r="K4196" s="2" t="s">
        <v>1452</v>
      </c>
      <c r="L4196" s="2" t="s">
        <v>5221</v>
      </c>
      <c r="M4196" s="2" t="s">
        <v>5221</v>
      </c>
      <c r="N4196" s="2" t="s">
        <v>2317</v>
      </c>
      <c r="O4196" s="14">
        <v>8200</v>
      </c>
      <c r="P4196" s="14">
        <v>98.29</v>
      </c>
      <c r="Q4196" s="14">
        <v>140.22</v>
      </c>
      <c r="R4196" s="14">
        <v>147.22999999999999</v>
      </c>
      <c r="S4196" s="2" t="s">
        <v>6999</v>
      </c>
      <c r="T4196" s="2">
        <v>1.36</v>
      </c>
      <c r="U4196" s="2">
        <v>59.7</v>
      </c>
      <c r="V4196" s="2">
        <v>61</v>
      </c>
      <c r="W4196" s="2" t="s">
        <v>7862</v>
      </c>
      <c r="X4196" s="2" t="s">
        <v>471</v>
      </c>
      <c r="Y4196" s="2">
        <v>8610</v>
      </c>
      <c r="Z4196" s="19" t="str">
        <f>HYPERLINK("https://ssdweb.co/ssdweb/hd/Vision360.html?d=925621807&amp;zoomslide=1&amp;z=1925621807&amp;ISCONFIRM=0","VIDEO")</f>
        <v>VIDEO</v>
      </c>
      <c r="AA4196" s="19" t="str">
        <f>HYPERLINK("https://ssdweb.co/ssdweb/CERTH/623449399.pdf","CERTI")</f>
        <v>CERTI</v>
      </c>
    </row>
    <row r="4197" spans="1:27" ht="15" x14ac:dyDescent="0.25">
      <c r="A4197" s="2">
        <v>4192</v>
      </c>
      <c r="B4197" s="39">
        <v>925120317</v>
      </c>
      <c r="C4197" s="28" t="str">
        <f>HYPERLINK("https://pld.live/RapDetail.aspx?STONELIST=925120317","DNA")</f>
        <v>DNA</v>
      </c>
      <c r="D4197" s="18" t="s">
        <v>3054</v>
      </c>
      <c r="E4197" s="18" t="s">
        <v>5128</v>
      </c>
      <c r="F4197" s="2" t="s">
        <v>7987</v>
      </c>
      <c r="G4197" s="2" t="s">
        <v>1573</v>
      </c>
      <c r="H4197" s="14">
        <v>1.05</v>
      </c>
      <c r="I4197" s="2" t="s">
        <v>267</v>
      </c>
      <c r="J4197" s="2" t="s">
        <v>6555</v>
      </c>
      <c r="K4197" s="2" t="s">
        <v>1452</v>
      </c>
      <c r="L4197" s="2" t="s">
        <v>5221</v>
      </c>
      <c r="M4197" s="2" t="s">
        <v>5221</v>
      </c>
      <c r="N4197" s="2" t="s">
        <v>2317</v>
      </c>
      <c r="O4197" s="14">
        <v>8200</v>
      </c>
      <c r="P4197" s="14">
        <v>98.29</v>
      </c>
      <c r="Q4197" s="14">
        <v>140.22</v>
      </c>
      <c r="R4197" s="14">
        <v>147.22999999999999</v>
      </c>
      <c r="S4197" s="2" t="s">
        <v>822</v>
      </c>
      <c r="T4197" s="2">
        <v>1.39</v>
      </c>
      <c r="U4197" s="2">
        <v>62</v>
      </c>
      <c r="V4197" s="2">
        <v>59</v>
      </c>
      <c r="W4197" s="2" t="s">
        <v>7862</v>
      </c>
      <c r="X4197" s="2" t="s">
        <v>471</v>
      </c>
      <c r="Y4197" s="2">
        <v>8610</v>
      </c>
      <c r="Z4197" s="19" t="str">
        <f>HYPERLINK("https://ssdweb.co/ssdweb/hd/Vision360.html?d=925120317&amp;zoomslide=1&amp;z=1925120317&amp;ISCONFIRM=0","VIDEO")</f>
        <v>VIDEO</v>
      </c>
      <c r="AA4197" s="19" t="str">
        <f>HYPERLINK("https://ssdweb.co/ssdweb/CERTH/611395886.pdf","CERTI")</f>
        <v>CERTI</v>
      </c>
    </row>
    <row r="4198" spans="1:27" ht="15" x14ac:dyDescent="0.25">
      <c r="A4198" s="2">
        <v>4193</v>
      </c>
      <c r="B4198" s="39">
        <v>925521405</v>
      </c>
      <c r="C4198" s="28" t="str">
        <f>HYPERLINK("https://pld.live/RapDetail.aspx?STONELIST=925521405","DNA")</f>
        <v>DNA</v>
      </c>
      <c r="D4198" s="18" t="s">
        <v>3054</v>
      </c>
      <c r="E4198" s="18" t="s">
        <v>5128</v>
      </c>
      <c r="F4198" s="2" t="s">
        <v>5597</v>
      </c>
      <c r="G4198" s="2" t="s">
        <v>1573</v>
      </c>
      <c r="H4198" s="14">
        <v>1.05</v>
      </c>
      <c r="I4198" s="2" t="s">
        <v>267</v>
      </c>
      <c r="J4198" s="2" t="s">
        <v>6555</v>
      </c>
      <c r="K4198" s="2" t="s">
        <v>1452</v>
      </c>
      <c r="L4198" s="2" t="s">
        <v>5221</v>
      </c>
      <c r="M4198" s="2" t="s">
        <v>5221</v>
      </c>
      <c r="N4198" s="2" t="s">
        <v>2317</v>
      </c>
      <c r="O4198" s="14">
        <v>8200</v>
      </c>
      <c r="P4198" s="14">
        <v>97.01</v>
      </c>
      <c r="Q4198" s="14">
        <v>245.18</v>
      </c>
      <c r="R4198" s="14">
        <v>257.44</v>
      </c>
      <c r="S4198" s="2" t="s">
        <v>3052</v>
      </c>
      <c r="T4198" s="2">
        <v>1.4</v>
      </c>
      <c r="U4198" s="2">
        <v>59.8</v>
      </c>
      <c r="V4198" s="2">
        <v>60</v>
      </c>
      <c r="W4198" s="2" t="s">
        <v>7862</v>
      </c>
      <c r="X4198" s="2" t="s">
        <v>471</v>
      </c>
      <c r="Y4198" s="2">
        <v>8610</v>
      </c>
      <c r="Z4198" s="19" t="str">
        <f>HYPERLINK("https://ssdweb.co/ssdweb/hd/Vision360.html?d=925521405&amp;zoomslide=1&amp;z=1925521405&amp;ISCONFIRM=0","VIDEO")</f>
        <v>VIDEO</v>
      </c>
      <c r="AA4198" s="19" t="str">
        <f>HYPERLINK("https://ssdweb.co/ssdweb/CERTH/2486437471.pdf","CERTI")</f>
        <v>CERTI</v>
      </c>
    </row>
    <row r="4199" spans="1:27" ht="15" x14ac:dyDescent="0.25">
      <c r="A4199" s="2">
        <v>4194</v>
      </c>
      <c r="B4199" s="39">
        <v>925521695</v>
      </c>
      <c r="C4199" s="28" t="str">
        <f>HYPERLINK("https://pld.live/RapDetail.aspx?STONELIST=925521695","DNA")</f>
        <v>DNA</v>
      </c>
      <c r="D4199" s="18" t="s">
        <v>3054</v>
      </c>
      <c r="E4199" s="18" t="s">
        <v>5128</v>
      </c>
      <c r="F4199" s="2" t="s">
        <v>7987</v>
      </c>
      <c r="G4199" s="2" t="s">
        <v>1573</v>
      </c>
      <c r="H4199" s="14">
        <v>1.05</v>
      </c>
      <c r="I4199" s="2" t="s">
        <v>267</v>
      </c>
      <c r="J4199" s="2" t="s">
        <v>6555</v>
      </c>
      <c r="K4199" s="2" t="s">
        <v>1452</v>
      </c>
      <c r="L4199" s="2" t="s">
        <v>5221</v>
      </c>
      <c r="M4199" s="2" t="s">
        <v>5221</v>
      </c>
      <c r="N4199" s="2" t="s">
        <v>2317</v>
      </c>
      <c r="O4199" s="14">
        <v>8200</v>
      </c>
      <c r="P4199" s="14">
        <v>98.29</v>
      </c>
      <c r="Q4199" s="14">
        <v>140.22</v>
      </c>
      <c r="R4199" s="14">
        <v>147.22999999999999</v>
      </c>
      <c r="S4199" s="2" t="s">
        <v>7146</v>
      </c>
      <c r="T4199" s="2">
        <v>1.36</v>
      </c>
      <c r="U4199" s="2">
        <v>60.9</v>
      </c>
      <c r="V4199" s="2">
        <v>61</v>
      </c>
      <c r="W4199" s="2" t="s">
        <v>7862</v>
      </c>
      <c r="X4199" s="2" t="s">
        <v>471</v>
      </c>
      <c r="Y4199" s="2">
        <v>8610</v>
      </c>
      <c r="Z4199" s="19" t="str">
        <f>HYPERLINK("https://ssdweb.co/ssdweb/hd/Vision360.html?d=925521695&amp;zoomslide=1&amp;z=1925521695&amp;ISCONFIRM=0","VIDEO")</f>
        <v>VIDEO</v>
      </c>
      <c r="AA4199" s="19" t="str">
        <f>HYPERLINK("https://ssdweb.co/ssdweb/CERTH/619427242.pdf","CERTI")</f>
        <v>CERTI</v>
      </c>
    </row>
    <row r="4200" spans="1:27" ht="15" x14ac:dyDescent="0.25">
      <c r="A4200" s="2">
        <v>4195</v>
      </c>
      <c r="B4200" s="39">
        <v>925732198</v>
      </c>
      <c r="C4200" s="28" t="str">
        <f>HYPERLINK("https://pld.live/RapDetail.aspx?STONELIST=925732198","DNA")</f>
        <v>DNA</v>
      </c>
      <c r="D4200" s="18" t="s">
        <v>3054</v>
      </c>
      <c r="E4200" s="18" t="s">
        <v>5128</v>
      </c>
      <c r="F4200" s="2" t="s">
        <v>7987</v>
      </c>
      <c r="G4200" s="2" t="s">
        <v>1573</v>
      </c>
      <c r="H4200" s="14">
        <v>1.05</v>
      </c>
      <c r="I4200" s="2" t="s">
        <v>267</v>
      </c>
      <c r="J4200" s="2" t="s">
        <v>3942</v>
      </c>
      <c r="K4200" s="2" t="s">
        <v>1452</v>
      </c>
      <c r="L4200" s="2" t="s">
        <v>5221</v>
      </c>
      <c r="M4200" s="2" t="s">
        <v>5221</v>
      </c>
      <c r="N4200" s="2" t="s">
        <v>2317</v>
      </c>
      <c r="O4200" s="14">
        <v>7600</v>
      </c>
      <c r="P4200" s="14">
        <v>98.49</v>
      </c>
      <c r="Q4200" s="14">
        <v>114.76</v>
      </c>
      <c r="R4200" s="14">
        <v>120.5</v>
      </c>
      <c r="S4200" s="2" t="s">
        <v>5699</v>
      </c>
      <c r="T4200" s="2">
        <v>1.38</v>
      </c>
      <c r="U4200" s="2">
        <v>60.4</v>
      </c>
      <c r="V4200" s="2">
        <v>60</v>
      </c>
      <c r="W4200" s="2" t="s">
        <v>7862</v>
      </c>
      <c r="X4200" s="2" t="s">
        <v>471</v>
      </c>
      <c r="Y4200" s="2">
        <v>7980</v>
      </c>
      <c r="Z4200" s="19" t="str">
        <f>HYPERLINK("https://ssdweb.co/ssdweb/hd/Vision360.html?d=925732198&amp;zoomslide=1&amp;z=1925732198&amp;ISCONFIRM=0","VIDEO")</f>
        <v>VIDEO</v>
      </c>
      <c r="AA4200" s="19" t="str">
        <f>HYPERLINK("https://ssdweb.co/ssdweb/CERTH/626466265.pdf","CERTI")</f>
        <v>CERTI</v>
      </c>
    </row>
    <row r="4201" spans="1:27" ht="15" x14ac:dyDescent="0.25">
      <c r="A4201" s="2">
        <v>4196</v>
      </c>
      <c r="B4201" s="39">
        <v>925732252</v>
      </c>
      <c r="C4201" s="28" t="str">
        <f>HYPERLINK("https://pld.live/RapDetail.aspx?STONELIST=925732252","DNA")</f>
        <v>DNA</v>
      </c>
      <c r="D4201" s="18" t="s">
        <v>3054</v>
      </c>
      <c r="E4201" s="18" t="s">
        <v>5128</v>
      </c>
      <c r="F4201" s="2" t="s">
        <v>7987</v>
      </c>
      <c r="G4201" s="2" t="s">
        <v>1573</v>
      </c>
      <c r="H4201" s="14">
        <v>1.05</v>
      </c>
      <c r="I4201" s="2" t="s">
        <v>267</v>
      </c>
      <c r="J4201" s="2" t="s">
        <v>3942</v>
      </c>
      <c r="K4201" s="2" t="s">
        <v>1452</v>
      </c>
      <c r="L4201" s="2" t="s">
        <v>5221</v>
      </c>
      <c r="M4201" s="2" t="s">
        <v>5221</v>
      </c>
      <c r="N4201" s="2" t="s">
        <v>2317</v>
      </c>
      <c r="O4201" s="14">
        <v>7600</v>
      </c>
      <c r="P4201" s="14">
        <v>98.49</v>
      </c>
      <c r="Q4201" s="14">
        <v>114.76</v>
      </c>
      <c r="R4201" s="14">
        <v>120.5</v>
      </c>
      <c r="S4201" s="2" t="s">
        <v>223</v>
      </c>
      <c r="T4201" s="2">
        <v>1.36</v>
      </c>
      <c r="U4201" s="2">
        <v>61.6</v>
      </c>
      <c r="V4201" s="2">
        <v>61</v>
      </c>
      <c r="W4201" s="2" t="s">
        <v>7862</v>
      </c>
      <c r="X4201" s="2" t="s">
        <v>471</v>
      </c>
      <c r="Y4201" s="2">
        <v>7980</v>
      </c>
      <c r="Z4201" s="19" t="str">
        <f>HYPERLINK("https://ssdweb.co/ssdweb/hd/Vision360.html?d=925732252&amp;zoomslide=1&amp;z=1925732252&amp;ISCONFIRM=0","VIDEO")</f>
        <v>VIDEO</v>
      </c>
      <c r="AA4201" s="19" t="str">
        <f>HYPERLINK("https://ssdweb.co/ssdweb/CERTH/626427578.pdf","CERTI")</f>
        <v>CERTI</v>
      </c>
    </row>
    <row r="4202" spans="1:27" ht="15" x14ac:dyDescent="0.25">
      <c r="A4202" s="2">
        <v>4197</v>
      </c>
      <c r="B4202" s="39">
        <v>925851138</v>
      </c>
      <c r="C4202" s="28" t="str">
        <f>HYPERLINK("https://pld.live/RapDetail.aspx?STONELIST=925851138","DNA")</f>
        <v>DNA</v>
      </c>
      <c r="D4202" s="18" t="s">
        <v>3054</v>
      </c>
      <c r="E4202" s="18" t="s">
        <v>5128</v>
      </c>
      <c r="F4202" s="2" t="s">
        <v>7987</v>
      </c>
      <c r="G4202" s="2" t="s">
        <v>1573</v>
      </c>
      <c r="H4202" s="14">
        <v>1.05</v>
      </c>
      <c r="I4202" s="2" t="s">
        <v>267</v>
      </c>
      <c r="J4202" s="2" t="s">
        <v>3942</v>
      </c>
      <c r="K4202" s="2" t="s">
        <v>1452</v>
      </c>
      <c r="L4202" s="2" t="s">
        <v>5221</v>
      </c>
      <c r="M4202" s="2" t="s">
        <v>5221</v>
      </c>
      <c r="N4202" s="2" t="s">
        <v>2317</v>
      </c>
      <c r="O4202" s="14">
        <v>7600</v>
      </c>
      <c r="P4202" s="14">
        <v>98.49</v>
      </c>
      <c r="Q4202" s="14">
        <v>114.76</v>
      </c>
      <c r="R4202" s="14">
        <v>120.5</v>
      </c>
      <c r="S4202" s="2" t="s">
        <v>919</v>
      </c>
      <c r="T4202" s="2">
        <v>1.43</v>
      </c>
      <c r="U4202" s="2">
        <v>60.2</v>
      </c>
      <c r="V4202" s="2">
        <v>62</v>
      </c>
      <c r="W4202" s="2" t="s">
        <v>7862</v>
      </c>
      <c r="X4202" s="2" t="s">
        <v>471</v>
      </c>
      <c r="Y4202" s="2">
        <v>7980</v>
      </c>
      <c r="Z4202" s="19" t="str">
        <f>HYPERLINK("https://ssdweb.co/ssdweb/hd/Vision360.html?d=925851138&amp;zoomslide=1&amp;z=1925851138&amp;ISCONFIRM=0","VIDEO")</f>
        <v>VIDEO</v>
      </c>
      <c r="AA4202" s="19" t="str">
        <f>HYPERLINK("https://ssdweb.co/ssdweb/CERTH/627431738.pdf","CERTI")</f>
        <v>CERTI</v>
      </c>
    </row>
    <row r="4203" spans="1:27" ht="15" x14ac:dyDescent="0.25">
      <c r="A4203" s="2">
        <v>4198</v>
      </c>
      <c r="B4203" s="39">
        <v>925520514</v>
      </c>
      <c r="C4203" s="28" t="str">
        <f>HYPERLINK("https://pld.live/RapDetail.aspx?STONELIST=925520514","DNA")</f>
        <v>DNA</v>
      </c>
      <c r="D4203" s="18" t="s">
        <v>3054</v>
      </c>
      <c r="E4203" s="18" t="s">
        <v>5128</v>
      </c>
      <c r="F4203" s="2" t="s">
        <v>7987</v>
      </c>
      <c r="G4203" s="2" t="s">
        <v>1573</v>
      </c>
      <c r="H4203" s="14">
        <v>1.05</v>
      </c>
      <c r="I4203" s="2" t="s">
        <v>267</v>
      </c>
      <c r="J4203" s="2" t="s">
        <v>3942</v>
      </c>
      <c r="K4203" s="2" t="s">
        <v>1452</v>
      </c>
      <c r="L4203" s="2" t="s">
        <v>5221</v>
      </c>
      <c r="M4203" s="2" t="s">
        <v>5221</v>
      </c>
      <c r="N4203" s="2" t="s">
        <v>2317</v>
      </c>
      <c r="O4203" s="14">
        <v>7600</v>
      </c>
      <c r="P4203" s="14">
        <v>98.49</v>
      </c>
      <c r="Q4203" s="14">
        <v>114.76</v>
      </c>
      <c r="R4203" s="14">
        <v>120.5</v>
      </c>
      <c r="S4203" s="2" t="s">
        <v>5906</v>
      </c>
      <c r="T4203" s="2">
        <v>1.39</v>
      </c>
      <c r="U4203" s="2">
        <v>60.4</v>
      </c>
      <c r="V4203" s="2">
        <v>62</v>
      </c>
      <c r="W4203" s="2" t="s">
        <v>7862</v>
      </c>
      <c r="X4203" s="2" t="s">
        <v>471</v>
      </c>
      <c r="Y4203" s="2">
        <v>7980</v>
      </c>
      <c r="Z4203" s="19" t="str">
        <f>HYPERLINK("https://ssdweb.co/ssdweb/hd/Vision360.html?d=925520514&amp;zoomslide=1&amp;z=1925520514&amp;ISCONFIRM=0","VIDEO")</f>
        <v>VIDEO</v>
      </c>
      <c r="AA4203" s="19" t="str">
        <f>HYPERLINK("https://ssdweb.co/ssdweb/CERTH/617413062.pdf","CERTI")</f>
        <v>CERTI</v>
      </c>
    </row>
    <row r="4204" spans="1:27" ht="15" x14ac:dyDescent="0.25">
      <c r="A4204" s="2">
        <v>4199</v>
      </c>
      <c r="B4204" s="39">
        <v>925620735</v>
      </c>
      <c r="C4204" s="28" t="str">
        <f>HYPERLINK("https://pld.live/RapDetail.aspx?STONELIST=925620735","DNA")</f>
        <v>DNA</v>
      </c>
      <c r="D4204" s="18" t="s">
        <v>3054</v>
      </c>
      <c r="E4204" s="18" t="s">
        <v>5128</v>
      </c>
      <c r="F4204" s="2" t="s">
        <v>7987</v>
      </c>
      <c r="G4204" s="2" t="s">
        <v>1573</v>
      </c>
      <c r="H4204" s="14">
        <v>1.05</v>
      </c>
      <c r="I4204" s="2" t="s">
        <v>267</v>
      </c>
      <c r="J4204" s="2" t="s">
        <v>3942</v>
      </c>
      <c r="K4204" s="2" t="s">
        <v>1452</v>
      </c>
      <c r="L4204" s="2" t="s">
        <v>5221</v>
      </c>
      <c r="M4204" s="2" t="s">
        <v>5221</v>
      </c>
      <c r="N4204" s="2" t="s">
        <v>2317</v>
      </c>
      <c r="O4204" s="14">
        <v>7600</v>
      </c>
      <c r="P4204" s="14">
        <v>98.49</v>
      </c>
      <c r="Q4204" s="14">
        <v>114.76</v>
      </c>
      <c r="R4204" s="14">
        <v>120.5</v>
      </c>
      <c r="S4204" s="2" t="s">
        <v>467</v>
      </c>
      <c r="T4204" s="2">
        <v>1.38</v>
      </c>
      <c r="U4204" s="2">
        <v>60</v>
      </c>
      <c r="V4204" s="2">
        <v>61</v>
      </c>
      <c r="W4204" s="2" t="s">
        <v>7862</v>
      </c>
      <c r="X4204" s="2" t="s">
        <v>471</v>
      </c>
      <c r="Y4204" s="2">
        <v>7980</v>
      </c>
      <c r="Z4204" s="19" t="str">
        <f>HYPERLINK("https://ssdweb.co/ssdweb/hd/Vision360.html?d=925620735&amp;zoomslide=1&amp;z=1925620735&amp;ISCONFIRM=0","VIDEO")</f>
        <v>VIDEO</v>
      </c>
      <c r="AA4204" s="19" t="str">
        <f>HYPERLINK("https://ssdweb.co/ssdweb/CERTH/619469691.pdf","CERTI")</f>
        <v>CERTI</v>
      </c>
    </row>
    <row r="4205" spans="1:27" ht="15" x14ac:dyDescent="0.25">
      <c r="A4205" s="2">
        <v>4200</v>
      </c>
      <c r="B4205" s="39">
        <v>925621586</v>
      </c>
      <c r="C4205" s="28" t="str">
        <f>HYPERLINK("https://pld.live/RapDetail.aspx?STONELIST=925621586","DNA")</f>
        <v>DNA</v>
      </c>
      <c r="D4205" s="18" t="s">
        <v>3054</v>
      </c>
      <c r="E4205" s="18" t="s">
        <v>5128</v>
      </c>
      <c r="F4205" s="2" t="s">
        <v>7987</v>
      </c>
      <c r="G4205" s="2" t="s">
        <v>1573</v>
      </c>
      <c r="H4205" s="14">
        <v>1.05</v>
      </c>
      <c r="I4205" s="2" t="s">
        <v>267</v>
      </c>
      <c r="J4205" s="2" t="s">
        <v>3942</v>
      </c>
      <c r="K4205" s="2" t="s">
        <v>1452</v>
      </c>
      <c r="L4205" s="2" t="s">
        <v>5221</v>
      </c>
      <c r="M4205" s="2" t="s">
        <v>5221</v>
      </c>
      <c r="N4205" s="2" t="s">
        <v>2317</v>
      </c>
      <c r="O4205" s="14">
        <v>7600</v>
      </c>
      <c r="P4205" s="14">
        <v>98.49</v>
      </c>
      <c r="Q4205" s="14">
        <v>114.76</v>
      </c>
      <c r="R4205" s="14">
        <v>120.5</v>
      </c>
      <c r="S4205" s="2" t="s">
        <v>5812</v>
      </c>
      <c r="T4205" s="2">
        <v>1.39</v>
      </c>
      <c r="U4205" s="2">
        <v>60.8</v>
      </c>
      <c r="V4205" s="2">
        <v>61</v>
      </c>
      <c r="W4205" s="2" t="s">
        <v>7862</v>
      </c>
      <c r="X4205" s="2" t="s">
        <v>471</v>
      </c>
      <c r="Y4205" s="2">
        <v>7980</v>
      </c>
      <c r="Z4205" s="19" t="str">
        <f>HYPERLINK("https://ssdweb.co/ssdweb/hd/Vision360.html?d=925621586&amp;zoomslide=1&amp;z=1925621586&amp;ISCONFIRM=0","VIDEO")</f>
        <v>VIDEO</v>
      </c>
      <c r="AA4205" s="19" t="str">
        <f>HYPERLINK("https://ssdweb.co/ssdweb/CERTH/621475732.pdf","CERTI")</f>
        <v>CERTI</v>
      </c>
    </row>
    <row r="4206" spans="1:27" ht="15" x14ac:dyDescent="0.25">
      <c r="A4206" s="2">
        <v>4201</v>
      </c>
      <c r="B4206" s="39">
        <v>925521935</v>
      </c>
      <c r="C4206" s="28" t="str">
        <f>HYPERLINK("https://pld.live/RapDetail.aspx?STONELIST=925521935","DNA")</f>
        <v>DNA</v>
      </c>
      <c r="D4206" s="18" t="s">
        <v>3054</v>
      </c>
      <c r="E4206" s="18" t="s">
        <v>5128</v>
      </c>
      <c r="F4206" s="2" t="s">
        <v>7987</v>
      </c>
      <c r="G4206" s="2" t="s">
        <v>1573</v>
      </c>
      <c r="H4206" s="14">
        <v>1.05</v>
      </c>
      <c r="I4206" s="2" t="s">
        <v>267</v>
      </c>
      <c r="J4206" s="2" t="s">
        <v>3942</v>
      </c>
      <c r="K4206" s="2" t="s">
        <v>1452</v>
      </c>
      <c r="L4206" s="2" t="s">
        <v>5221</v>
      </c>
      <c r="M4206" s="2" t="s">
        <v>5221</v>
      </c>
      <c r="N4206" s="2" t="s">
        <v>2317</v>
      </c>
      <c r="O4206" s="14">
        <v>7600</v>
      </c>
      <c r="P4206" s="14">
        <v>98.49</v>
      </c>
      <c r="Q4206" s="14">
        <v>114.76</v>
      </c>
      <c r="R4206" s="14">
        <v>120.5</v>
      </c>
      <c r="S4206" s="2" t="s">
        <v>3699</v>
      </c>
      <c r="T4206" s="2">
        <v>1.39</v>
      </c>
      <c r="U4206" s="2">
        <v>62.4</v>
      </c>
      <c r="V4206" s="2">
        <v>63</v>
      </c>
      <c r="W4206" s="2" t="s">
        <v>7862</v>
      </c>
      <c r="X4206" s="2" t="s">
        <v>471</v>
      </c>
      <c r="Y4206" s="2">
        <v>7980</v>
      </c>
      <c r="Z4206" s="19" t="str">
        <f>HYPERLINK("https://ssdweb.co/ssdweb/hd/Vision360.html?d=925521935&amp;zoomslide=1&amp;z=1925521935&amp;ISCONFIRM=0","VIDEO")</f>
        <v>VIDEO</v>
      </c>
      <c r="AA4206" s="19" t="str">
        <f>HYPERLINK("https://ssdweb.co/ssdweb/CERTH/620403154.pdf","CERTI")</f>
        <v>CERTI</v>
      </c>
    </row>
    <row r="4207" spans="1:27" ht="15" x14ac:dyDescent="0.25">
      <c r="A4207" s="2">
        <v>4202</v>
      </c>
      <c r="B4207" s="39">
        <v>926071526</v>
      </c>
      <c r="C4207" s="28" t="str">
        <f>HYPERLINK("https://pld.live/RapDetail.aspx?STONELIST=926071526","DNA")</f>
        <v>DNA</v>
      </c>
      <c r="D4207" s="18" t="s">
        <v>3054</v>
      </c>
      <c r="E4207" s="18" t="s">
        <v>5128</v>
      </c>
      <c r="F4207" s="2" t="s">
        <v>7987</v>
      </c>
      <c r="G4207" s="2" t="s">
        <v>1573</v>
      </c>
      <c r="H4207" s="14">
        <v>1.05</v>
      </c>
      <c r="I4207" s="2" t="s">
        <v>267</v>
      </c>
      <c r="J4207" s="2" t="s">
        <v>3942</v>
      </c>
      <c r="K4207" s="2" t="s">
        <v>1452</v>
      </c>
      <c r="L4207" s="2" t="s">
        <v>5221</v>
      </c>
      <c r="M4207" s="2" t="s">
        <v>5221</v>
      </c>
      <c r="N4207" s="2" t="s">
        <v>2317</v>
      </c>
      <c r="O4207" s="14">
        <v>7600</v>
      </c>
      <c r="P4207" s="14">
        <v>98.49</v>
      </c>
      <c r="Q4207" s="14">
        <v>114.76</v>
      </c>
      <c r="R4207" s="14">
        <v>120.5</v>
      </c>
      <c r="S4207" s="2" t="s">
        <v>398</v>
      </c>
      <c r="T4207" s="2">
        <v>1.44</v>
      </c>
      <c r="U4207" s="2">
        <v>61.3</v>
      </c>
      <c r="V4207" s="2">
        <v>61</v>
      </c>
      <c r="W4207" s="2" t="s">
        <v>7862</v>
      </c>
      <c r="X4207" s="2" t="s">
        <v>471</v>
      </c>
      <c r="Y4207" s="2">
        <v>7980</v>
      </c>
      <c r="Z4207" s="19" t="str">
        <f>HYPERLINK("https://ssdweb.co/ssdweb/hd/Vision360.html?d=926071526&amp;zoomslide=1&amp;z=1926071526&amp;ISCONFIRM=0","VIDEO")</f>
        <v>VIDEO</v>
      </c>
      <c r="AA4207" s="19" t="str">
        <f>HYPERLINK("https://ssdweb.co/ssdweb/CERTH/631430301.pdf","CERTI")</f>
        <v>CERTI</v>
      </c>
    </row>
    <row r="4208" spans="1:27" ht="15" x14ac:dyDescent="0.25">
      <c r="A4208" s="2">
        <v>4203</v>
      </c>
      <c r="B4208" s="39">
        <v>925722042</v>
      </c>
      <c r="C4208" s="28" t="str">
        <f>HYPERLINK("https://pld.live/RapDetail.aspx?STONELIST=925722042","DNA")</f>
        <v>DNA</v>
      </c>
      <c r="D4208" s="18" t="s">
        <v>3054</v>
      </c>
      <c r="E4208" s="18" t="s">
        <v>5128</v>
      </c>
      <c r="F4208" s="2" t="s">
        <v>7987</v>
      </c>
      <c r="G4208" s="2" t="s">
        <v>1573</v>
      </c>
      <c r="H4208" s="14">
        <v>1.05</v>
      </c>
      <c r="I4208" s="2" t="s">
        <v>267</v>
      </c>
      <c r="J4208" s="2" t="s">
        <v>3942</v>
      </c>
      <c r="K4208" s="2" t="s">
        <v>1452</v>
      </c>
      <c r="L4208" s="2" t="s">
        <v>5221</v>
      </c>
      <c r="M4208" s="2" t="s">
        <v>5221</v>
      </c>
      <c r="N4208" s="2" t="s">
        <v>2317</v>
      </c>
      <c r="O4208" s="14">
        <v>7600</v>
      </c>
      <c r="P4208" s="14">
        <v>98.49</v>
      </c>
      <c r="Q4208" s="14">
        <v>114.76</v>
      </c>
      <c r="R4208" s="14">
        <v>120.5</v>
      </c>
      <c r="S4208" s="2" t="s">
        <v>6192</v>
      </c>
      <c r="T4208" s="2">
        <v>1.38</v>
      </c>
      <c r="U4208" s="2">
        <v>61.6</v>
      </c>
      <c r="V4208" s="2">
        <v>61</v>
      </c>
      <c r="W4208" s="2" t="s">
        <v>7862</v>
      </c>
      <c r="X4208" s="2" t="s">
        <v>471</v>
      </c>
      <c r="Y4208" s="2">
        <v>7980</v>
      </c>
      <c r="Z4208" s="19" t="str">
        <f>HYPERLINK("https://ssdweb.co/ssdweb/hd/Vision360.html?d=925722042&amp;zoomslide=1&amp;z=1925722042&amp;ISCONFIRM=0","VIDEO")</f>
        <v>VIDEO</v>
      </c>
      <c r="AA4208" s="19" t="str">
        <f>HYPERLINK("https://ssdweb.co/ssdweb/CERTH/625432342.pdf","CERTI")</f>
        <v>CERTI</v>
      </c>
    </row>
    <row r="4209" spans="1:27" ht="15" x14ac:dyDescent="0.25">
      <c r="A4209" s="2">
        <v>4204</v>
      </c>
      <c r="B4209" s="39">
        <v>926110893</v>
      </c>
      <c r="C4209" s="28" t="str">
        <f>HYPERLINK("https://pld.live/RapDetail.aspx?STONELIST=926110893","DNA")</f>
        <v>DNA</v>
      </c>
      <c r="D4209" s="18" t="s">
        <v>3054</v>
      </c>
      <c r="E4209" s="18" t="s">
        <v>5128</v>
      </c>
      <c r="F4209" s="2" t="s">
        <v>7987</v>
      </c>
      <c r="G4209" s="2" t="s">
        <v>1573</v>
      </c>
      <c r="H4209" s="14">
        <v>1.05</v>
      </c>
      <c r="I4209" s="2" t="s">
        <v>267</v>
      </c>
      <c r="J4209" s="2" t="s">
        <v>3942</v>
      </c>
      <c r="K4209" s="2" t="s">
        <v>1452</v>
      </c>
      <c r="L4209" s="2" t="s">
        <v>5221</v>
      </c>
      <c r="M4209" s="2" t="s">
        <v>5221</v>
      </c>
      <c r="N4209" s="2" t="s">
        <v>2317</v>
      </c>
      <c r="O4209" s="14">
        <v>7600</v>
      </c>
      <c r="P4209" s="14">
        <v>98.49</v>
      </c>
      <c r="Q4209" s="14">
        <v>114.76</v>
      </c>
      <c r="R4209" s="14">
        <v>120.5</v>
      </c>
      <c r="S4209" s="2" t="s">
        <v>146</v>
      </c>
      <c r="T4209" s="2">
        <v>1.36</v>
      </c>
      <c r="U4209" s="2">
        <v>62.1</v>
      </c>
      <c r="V4209" s="2">
        <v>59</v>
      </c>
      <c r="W4209" s="2" t="s">
        <v>7862</v>
      </c>
      <c r="X4209" s="2" t="s">
        <v>471</v>
      </c>
      <c r="Y4209" s="2">
        <v>7980</v>
      </c>
      <c r="Z4209" s="19" t="str">
        <f>HYPERLINK("https://ssdweb.co/ssdweb/hd/Vision360.html?d=926110893&amp;zoomslide=1&amp;z=1926110893&amp;ISCONFIRM=0","VIDEO")</f>
        <v>VIDEO</v>
      </c>
      <c r="AA4209" s="19" t="str">
        <f>HYPERLINK("https://ssdweb.co/ssdweb/CERTH/632449644.pdf","CERTI")</f>
        <v>CERTI</v>
      </c>
    </row>
    <row r="4210" spans="1:27" ht="15" x14ac:dyDescent="0.25">
      <c r="A4210" s="2">
        <v>4205</v>
      </c>
      <c r="B4210" s="39">
        <v>925721683</v>
      </c>
      <c r="C4210" s="28" t="str">
        <f>HYPERLINK("https://pld.live/RapDetail.aspx?STONELIST=925721683","DNA")</f>
        <v>DNA</v>
      </c>
      <c r="D4210" s="18" t="s">
        <v>3054</v>
      </c>
      <c r="E4210" s="18" t="s">
        <v>5128</v>
      </c>
      <c r="F4210" s="2" t="s">
        <v>7987</v>
      </c>
      <c r="G4210" s="2" t="s">
        <v>1573</v>
      </c>
      <c r="H4210" s="14">
        <v>1.05</v>
      </c>
      <c r="I4210" s="2" t="s">
        <v>267</v>
      </c>
      <c r="J4210" s="2" t="s">
        <v>3942</v>
      </c>
      <c r="K4210" s="2" t="s">
        <v>1452</v>
      </c>
      <c r="L4210" s="2" t="s">
        <v>5221</v>
      </c>
      <c r="M4210" s="2" t="s">
        <v>5221</v>
      </c>
      <c r="N4210" s="2" t="s">
        <v>2317</v>
      </c>
      <c r="O4210" s="14">
        <v>7600</v>
      </c>
      <c r="P4210" s="14">
        <v>98.49</v>
      </c>
      <c r="Q4210" s="14">
        <v>114.76</v>
      </c>
      <c r="R4210" s="14">
        <v>120.5</v>
      </c>
      <c r="S4210" s="2" t="s">
        <v>1592</v>
      </c>
      <c r="T4210" s="2">
        <v>1.44</v>
      </c>
      <c r="U4210" s="2">
        <v>61</v>
      </c>
      <c r="V4210" s="2">
        <v>60</v>
      </c>
      <c r="W4210" s="2" t="s">
        <v>7862</v>
      </c>
      <c r="X4210" s="2" t="s">
        <v>471</v>
      </c>
      <c r="Y4210" s="2">
        <v>7980</v>
      </c>
      <c r="Z4210" s="19" t="str">
        <f>HYPERLINK("https://ssdweb.co/ssdweb/hd/Vision360.html?d=925721683&amp;zoomslide=1&amp;z=1925721683&amp;ISCONFIRM=0","VIDEO")</f>
        <v>VIDEO</v>
      </c>
      <c r="AA4210" s="19" t="str">
        <f>HYPERLINK("https://ssdweb.co/ssdweb/CERTH/624499670.pdf","CERTI")</f>
        <v>CERTI</v>
      </c>
    </row>
    <row r="4211" spans="1:27" ht="15" x14ac:dyDescent="0.25">
      <c r="A4211" s="2">
        <v>4206</v>
      </c>
      <c r="B4211" s="39">
        <v>926110403</v>
      </c>
      <c r="C4211" s="28" t="str">
        <f>HYPERLINK("https://pld.live/RapDetail.aspx?STONELIST=926110403","DNA")</f>
        <v>DNA</v>
      </c>
      <c r="D4211" s="18" t="s">
        <v>3054</v>
      </c>
      <c r="E4211" s="18" t="s">
        <v>5128</v>
      </c>
      <c r="F4211" s="2" t="s">
        <v>7987</v>
      </c>
      <c r="G4211" s="2" t="s">
        <v>1573</v>
      </c>
      <c r="H4211" s="14">
        <v>1.05</v>
      </c>
      <c r="I4211" s="2" t="s">
        <v>267</v>
      </c>
      <c r="J4211" s="2" t="s">
        <v>3942</v>
      </c>
      <c r="K4211" s="2" t="s">
        <v>1452</v>
      </c>
      <c r="L4211" s="2" t="s">
        <v>5221</v>
      </c>
      <c r="M4211" s="2" t="s">
        <v>5221</v>
      </c>
      <c r="N4211" s="2" t="s">
        <v>2317</v>
      </c>
      <c r="O4211" s="14">
        <v>7600</v>
      </c>
      <c r="P4211" s="14">
        <v>98.49</v>
      </c>
      <c r="Q4211" s="14">
        <v>114.76</v>
      </c>
      <c r="R4211" s="14">
        <v>120.5</v>
      </c>
      <c r="S4211" s="2" t="s">
        <v>6094</v>
      </c>
      <c r="T4211" s="2">
        <v>1.38</v>
      </c>
      <c r="U4211" s="2">
        <v>61</v>
      </c>
      <c r="V4211" s="2">
        <v>61</v>
      </c>
      <c r="W4211" s="2" t="s">
        <v>7862</v>
      </c>
      <c r="X4211" s="2" t="s">
        <v>471</v>
      </c>
      <c r="Y4211" s="2">
        <v>7980</v>
      </c>
      <c r="Z4211" s="19" t="str">
        <f>HYPERLINK("https://ssdweb.co/ssdweb/hd/Vision360.html?d=926110403&amp;zoomslide=1&amp;z=1926110403&amp;ISCONFIRM=0","VIDEO")</f>
        <v>VIDEO</v>
      </c>
      <c r="AA4211" s="19" t="str">
        <f>HYPERLINK("https://ssdweb.co/ssdweb/CERTH/632403950.pdf","CERTI")</f>
        <v>CERTI</v>
      </c>
    </row>
    <row r="4212" spans="1:27" ht="15" x14ac:dyDescent="0.25">
      <c r="A4212" s="2">
        <v>4207</v>
      </c>
      <c r="B4212" s="39">
        <v>925721730</v>
      </c>
      <c r="C4212" s="28" t="str">
        <f>HYPERLINK("https://pld.live/RapDetail.aspx?STONELIST=925721730","DNA")</f>
        <v>DNA</v>
      </c>
      <c r="D4212" s="18" t="s">
        <v>3054</v>
      </c>
      <c r="E4212" s="18" t="s">
        <v>5128</v>
      </c>
      <c r="F4212" s="2" t="s">
        <v>7987</v>
      </c>
      <c r="G4212" s="2" t="s">
        <v>1573</v>
      </c>
      <c r="H4212" s="14">
        <v>1.05</v>
      </c>
      <c r="I4212" s="2" t="s">
        <v>267</v>
      </c>
      <c r="J4212" s="2" t="s">
        <v>3942</v>
      </c>
      <c r="K4212" s="2" t="s">
        <v>1452</v>
      </c>
      <c r="L4212" s="2" t="s">
        <v>5221</v>
      </c>
      <c r="M4212" s="2" t="s">
        <v>5221</v>
      </c>
      <c r="N4212" s="2" t="s">
        <v>2317</v>
      </c>
      <c r="O4212" s="14">
        <v>7600</v>
      </c>
      <c r="P4212" s="14">
        <v>98.49</v>
      </c>
      <c r="Q4212" s="14">
        <v>114.76</v>
      </c>
      <c r="R4212" s="14">
        <v>120.5</v>
      </c>
      <c r="S4212" s="2" t="s">
        <v>2098</v>
      </c>
      <c r="T4212" s="2">
        <v>1.4</v>
      </c>
      <c r="U4212" s="2">
        <v>59.7</v>
      </c>
      <c r="V4212" s="2">
        <v>60</v>
      </c>
      <c r="W4212" s="2" t="s">
        <v>7862</v>
      </c>
      <c r="X4212" s="2" t="s">
        <v>471</v>
      </c>
      <c r="Y4212" s="2">
        <v>7980</v>
      </c>
      <c r="Z4212" s="19" t="str">
        <f>HYPERLINK("https://ssdweb.co/ssdweb/hd/Vision360.html?d=925721730&amp;zoomslide=1&amp;z=1925721730&amp;ISCONFIRM=0","VIDEO")</f>
        <v>VIDEO</v>
      </c>
      <c r="AA4212" s="19" t="str">
        <f>HYPERLINK("https://ssdweb.co/ssdweb/CERTH/624499696.pdf","CERTI")</f>
        <v>CERTI</v>
      </c>
    </row>
    <row r="4213" spans="1:27" ht="15" x14ac:dyDescent="0.25">
      <c r="A4213" s="2">
        <v>4208</v>
      </c>
      <c r="B4213" s="39">
        <v>821125449</v>
      </c>
      <c r="C4213" s="28" t="str">
        <f>HYPERLINK("https://pld.live/RapDetail.aspx?STONELIST=821125449","DNA")</f>
        <v>DNA</v>
      </c>
      <c r="D4213" s="18" t="s">
        <v>3054</v>
      </c>
      <c r="E4213" s="18" t="s">
        <v>5128</v>
      </c>
      <c r="F4213" s="2" t="s">
        <v>7987</v>
      </c>
      <c r="G4213" s="2" t="s">
        <v>1573</v>
      </c>
      <c r="H4213" s="14">
        <v>1.05</v>
      </c>
      <c r="I4213" s="2" t="s">
        <v>267</v>
      </c>
      <c r="J4213" s="2" t="s">
        <v>13</v>
      </c>
      <c r="K4213" s="2" t="s">
        <v>1452</v>
      </c>
      <c r="L4213" s="2" t="s">
        <v>5221</v>
      </c>
      <c r="M4213" s="2" t="s">
        <v>5221</v>
      </c>
      <c r="N4213" s="2" t="s">
        <v>2317</v>
      </c>
      <c r="O4213" s="14">
        <v>6700</v>
      </c>
      <c r="P4213" s="14">
        <v>98.33</v>
      </c>
      <c r="Q4213" s="14">
        <v>111.89</v>
      </c>
      <c r="R4213" s="14">
        <v>117.48</v>
      </c>
      <c r="S4213" s="2" t="s">
        <v>1370</v>
      </c>
      <c r="T4213" s="2">
        <v>1.37</v>
      </c>
      <c r="U4213" s="2">
        <v>63</v>
      </c>
      <c r="V4213" s="2">
        <v>57</v>
      </c>
      <c r="W4213" s="2" t="s">
        <v>7862</v>
      </c>
      <c r="X4213" s="2" t="s">
        <v>471</v>
      </c>
      <c r="Y4213" s="2">
        <v>7035</v>
      </c>
      <c r="Z4213" s="19" t="str">
        <f>HYPERLINK("https://ssdweb.co/ssdweb/hd/Vision360.html?d=821125449&amp;zoomslide=1&amp;z=1821125449&amp;ISCONFIRM=0","VIDEO")</f>
        <v>VIDEO</v>
      </c>
      <c r="AA4213" s="19" t="str">
        <f>HYPERLINK("https://ssdweb.co/ssdweb/CERTH/616498301.pdf","CERTI")</f>
        <v>CERTI</v>
      </c>
    </row>
    <row r="4214" spans="1:27" ht="15" x14ac:dyDescent="0.25">
      <c r="A4214" s="2">
        <v>4209</v>
      </c>
      <c r="B4214" s="39">
        <v>821126919</v>
      </c>
      <c r="C4214" s="28" t="str">
        <f>HYPERLINK("https://pld.live/RapDetail.aspx?STONELIST=821126919","DNA")</f>
        <v>DNA</v>
      </c>
      <c r="D4214" s="18" t="s">
        <v>3054</v>
      </c>
      <c r="E4214" s="18" t="s">
        <v>5128</v>
      </c>
      <c r="F4214" s="2" t="s">
        <v>7987</v>
      </c>
      <c r="G4214" s="2" t="s">
        <v>1573</v>
      </c>
      <c r="H4214" s="14">
        <v>1.05</v>
      </c>
      <c r="I4214" s="2" t="s">
        <v>267</v>
      </c>
      <c r="J4214" s="2" t="s">
        <v>13</v>
      </c>
      <c r="K4214" s="2" t="s">
        <v>1452</v>
      </c>
      <c r="L4214" s="2" t="s">
        <v>5221</v>
      </c>
      <c r="M4214" s="2" t="s">
        <v>5221</v>
      </c>
      <c r="N4214" s="2" t="s">
        <v>2317</v>
      </c>
      <c r="O4214" s="14">
        <v>6700</v>
      </c>
      <c r="P4214" s="14">
        <v>98.33</v>
      </c>
      <c r="Q4214" s="14">
        <v>111.89</v>
      </c>
      <c r="R4214" s="14">
        <v>117.48</v>
      </c>
      <c r="S4214" s="2" t="s">
        <v>2094</v>
      </c>
      <c r="T4214" s="2">
        <v>1.4</v>
      </c>
      <c r="U4214" s="2">
        <v>60.8</v>
      </c>
      <c r="V4214" s="2">
        <v>62</v>
      </c>
      <c r="W4214" s="2" t="s">
        <v>7862</v>
      </c>
      <c r="X4214" s="2" t="s">
        <v>471</v>
      </c>
      <c r="Y4214" s="2">
        <v>7035</v>
      </c>
      <c r="Z4214" s="19" t="str">
        <f>HYPERLINK("https://ssdweb.co/ssdweb/hd/Vision360.html?d=821126919&amp;zoomslide=1&amp;z=1821126919&amp;ISCONFIRM=0","VIDEO")</f>
        <v>VIDEO</v>
      </c>
      <c r="AA4214" s="19" t="str">
        <f>HYPERLINK("https://ssdweb.co/ssdweb/CERTH/621411117.pdf","CERTI")</f>
        <v>CERTI</v>
      </c>
    </row>
    <row r="4215" spans="1:27" ht="15" x14ac:dyDescent="0.25">
      <c r="A4215" s="2">
        <v>4210</v>
      </c>
      <c r="B4215" s="39">
        <v>821113732</v>
      </c>
      <c r="C4215" s="28" t="str">
        <f>HYPERLINK("https://pld.live/RapDetail.aspx?STONELIST=821113732","DNA")</f>
        <v>DNA</v>
      </c>
      <c r="D4215" s="18" t="s">
        <v>3054</v>
      </c>
      <c r="E4215" s="18" t="s">
        <v>2186</v>
      </c>
      <c r="F4215" s="2" t="s">
        <v>7987</v>
      </c>
      <c r="G4215" s="2" t="s">
        <v>1573</v>
      </c>
      <c r="H4215" s="14">
        <v>1.05</v>
      </c>
      <c r="I4215" s="2" t="s">
        <v>267</v>
      </c>
      <c r="J4215" s="2" t="s">
        <v>13</v>
      </c>
      <c r="K4215" s="2" t="s">
        <v>1452</v>
      </c>
      <c r="L4215" s="2" t="s">
        <v>5221</v>
      </c>
      <c r="M4215" s="2" t="s">
        <v>5221</v>
      </c>
      <c r="N4215" s="2" t="s">
        <v>2317</v>
      </c>
      <c r="O4215" s="14">
        <v>6700</v>
      </c>
      <c r="P4215" s="14">
        <v>98.33</v>
      </c>
      <c r="Q4215" s="14">
        <v>111.89</v>
      </c>
      <c r="R4215" s="14">
        <v>117.48</v>
      </c>
      <c r="S4215" s="2" t="s">
        <v>1627</v>
      </c>
      <c r="T4215" s="2">
        <v>1.36</v>
      </c>
      <c r="U4215" s="2">
        <v>62.2</v>
      </c>
      <c r="V4215" s="2">
        <v>63</v>
      </c>
      <c r="W4215" s="2" t="s">
        <v>7862</v>
      </c>
      <c r="X4215" s="2" t="s">
        <v>471</v>
      </c>
      <c r="Y4215" s="2">
        <v>7035</v>
      </c>
      <c r="Z4215" s="19" t="str">
        <f>HYPERLINK("https://ssdweb.co/ssdweb/hd/Vision360.html?d=821113732&amp;zoomslide=1&amp;z=1821113732&amp;ISCONFIRM=0","VIDEO")</f>
        <v>VIDEO</v>
      </c>
      <c r="AA4215" s="19" t="str">
        <f>HYPERLINK("https://ssdweb.co/ssdweb/CERTH/623433598.pdf","CERTI")</f>
        <v>CERTI</v>
      </c>
    </row>
    <row r="4216" spans="1:27" ht="15" x14ac:dyDescent="0.25">
      <c r="A4216" s="2">
        <v>4211</v>
      </c>
      <c r="B4216" s="39">
        <v>925621373</v>
      </c>
      <c r="C4216" s="28" t="str">
        <f>HYPERLINK("https://pld.live/RapDetail.aspx?STONELIST=925621373","DNA")</f>
        <v>DNA</v>
      </c>
      <c r="D4216" s="18" t="s">
        <v>3054</v>
      </c>
      <c r="E4216" s="18" t="s">
        <v>5128</v>
      </c>
      <c r="F4216" s="2" t="s">
        <v>7987</v>
      </c>
      <c r="G4216" s="2" t="s">
        <v>1573</v>
      </c>
      <c r="H4216" s="14">
        <v>1.05</v>
      </c>
      <c r="I4216" s="2" t="s">
        <v>267</v>
      </c>
      <c r="J4216" s="2" t="s">
        <v>13</v>
      </c>
      <c r="K4216" s="2" t="s">
        <v>1452</v>
      </c>
      <c r="L4216" s="2" t="s">
        <v>5221</v>
      </c>
      <c r="M4216" s="2" t="s">
        <v>5221</v>
      </c>
      <c r="N4216" s="2" t="s">
        <v>2317</v>
      </c>
      <c r="O4216" s="14">
        <v>6700</v>
      </c>
      <c r="P4216" s="14">
        <v>98.33</v>
      </c>
      <c r="Q4216" s="14">
        <v>111.89</v>
      </c>
      <c r="R4216" s="14">
        <v>117.48</v>
      </c>
      <c r="S4216" s="2" t="s">
        <v>2469</v>
      </c>
      <c r="T4216" s="2">
        <v>1.36</v>
      </c>
      <c r="U4216" s="2">
        <v>63.1</v>
      </c>
      <c r="V4216" s="2">
        <v>61</v>
      </c>
      <c r="W4216" s="2" t="s">
        <v>7862</v>
      </c>
      <c r="X4216" s="2" t="s">
        <v>471</v>
      </c>
      <c r="Y4216" s="2">
        <v>7035</v>
      </c>
      <c r="Z4216" s="19" t="str">
        <f>HYPERLINK("https://ssdweb.co/ssdweb/hd/Vision360.html?d=925621373&amp;zoomslide=1&amp;z=1925621373&amp;ISCONFIRM=0","VIDEO")</f>
        <v>VIDEO</v>
      </c>
      <c r="AA4216" s="19" t="str">
        <f>HYPERLINK("https://ssdweb.co/ssdweb/CERTH/620448900.pdf","CERTI")</f>
        <v>CERTI</v>
      </c>
    </row>
    <row r="4217" spans="1:27" ht="15" x14ac:dyDescent="0.25">
      <c r="A4217" s="2">
        <v>4212</v>
      </c>
      <c r="B4217" s="39">
        <v>925520108</v>
      </c>
      <c r="C4217" s="28" t="str">
        <f>HYPERLINK("https://pld.live/RapDetail.aspx?STONELIST=925520108","DNA")</f>
        <v>DNA</v>
      </c>
      <c r="D4217" s="18" t="s">
        <v>3054</v>
      </c>
      <c r="E4217" s="18" t="s">
        <v>5128</v>
      </c>
      <c r="F4217" s="2" t="s">
        <v>7987</v>
      </c>
      <c r="G4217" s="2" t="s">
        <v>1573</v>
      </c>
      <c r="H4217" s="14">
        <v>1.05</v>
      </c>
      <c r="I4217" s="2" t="s">
        <v>267</v>
      </c>
      <c r="J4217" s="2" t="s">
        <v>13</v>
      </c>
      <c r="K4217" s="2" t="s">
        <v>1452</v>
      </c>
      <c r="L4217" s="2" t="s">
        <v>5221</v>
      </c>
      <c r="M4217" s="2" t="s">
        <v>5221</v>
      </c>
      <c r="N4217" s="2" t="s">
        <v>2317</v>
      </c>
      <c r="O4217" s="14">
        <v>6700</v>
      </c>
      <c r="P4217" s="14">
        <v>98.33</v>
      </c>
      <c r="Q4217" s="14">
        <v>111.89</v>
      </c>
      <c r="R4217" s="14">
        <v>117.48</v>
      </c>
      <c r="S4217" s="2" t="s">
        <v>3380</v>
      </c>
      <c r="T4217" s="2">
        <v>1.36</v>
      </c>
      <c r="U4217" s="2">
        <v>62.3</v>
      </c>
      <c r="V4217" s="2">
        <v>58</v>
      </c>
      <c r="W4217" s="2" t="s">
        <v>7862</v>
      </c>
      <c r="X4217" s="2" t="s">
        <v>471</v>
      </c>
      <c r="Y4217" s="2">
        <v>7035</v>
      </c>
      <c r="Z4217" s="19" t="str">
        <f>HYPERLINK("https://ssdweb.co/ssdweb/hd/Vision360.html?d=925520108&amp;zoomslide=1&amp;z=1925520108&amp;ISCONFIRM=0","VIDEO")</f>
        <v>VIDEO</v>
      </c>
      <c r="AA4217" s="19" t="str">
        <f>HYPERLINK("https://ssdweb.co/ssdweb/CERTH/616434426.pdf","CERTI")</f>
        <v>CERTI</v>
      </c>
    </row>
    <row r="4218" spans="1:27" ht="15" x14ac:dyDescent="0.25">
      <c r="A4218" s="2">
        <v>4213</v>
      </c>
      <c r="B4218" s="39">
        <v>925721314</v>
      </c>
      <c r="C4218" s="28" t="str">
        <f>HYPERLINK("https://pld.live/RapDetail.aspx?STONELIST=925721314","DNA")</f>
        <v>DNA</v>
      </c>
      <c r="D4218" s="18" t="s">
        <v>3054</v>
      </c>
      <c r="E4218" s="18" t="s">
        <v>5128</v>
      </c>
      <c r="F4218" s="2" t="s">
        <v>7987</v>
      </c>
      <c r="G4218" s="2" t="s">
        <v>1573</v>
      </c>
      <c r="H4218" s="14">
        <v>1.05</v>
      </c>
      <c r="I4218" s="2" t="s">
        <v>267</v>
      </c>
      <c r="J4218" s="2" t="s">
        <v>13</v>
      </c>
      <c r="K4218" s="2" t="s">
        <v>1452</v>
      </c>
      <c r="L4218" s="2" t="s">
        <v>5221</v>
      </c>
      <c r="M4218" s="2" t="s">
        <v>5221</v>
      </c>
      <c r="N4218" s="2" t="s">
        <v>2317</v>
      </c>
      <c r="O4218" s="14">
        <v>6700</v>
      </c>
      <c r="P4218" s="14">
        <v>98.33</v>
      </c>
      <c r="Q4218" s="14">
        <v>111.89</v>
      </c>
      <c r="R4218" s="14">
        <v>117.48</v>
      </c>
      <c r="S4218" s="2" t="s">
        <v>6498</v>
      </c>
      <c r="T4218" s="2">
        <v>1.38</v>
      </c>
      <c r="U4218" s="2">
        <v>60.8</v>
      </c>
      <c r="V4218" s="2">
        <v>61</v>
      </c>
      <c r="W4218" s="2" t="s">
        <v>7862</v>
      </c>
      <c r="X4218" s="2" t="s">
        <v>471</v>
      </c>
      <c r="Y4218" s="2">
        <v>7035</v>
      </c>
      <c r="Z4218" s="19" t="str">
        <f>HYPERLINK("https://ssdweb.co/ssdweb/hd/Vision360.html?d=925721314&amp;zoomslide=1&amp;z=1925721314&amp;ISCONFIRM=0","VIDEO")</f>
        <v>VIDEO</v>
      </c>
      <c r="AA4218" s="19" t="str">
        <f>HYPERLINK("https://ssdweb.co/ssdweb/CERTH/623446170.pdf","CERTI")</f>
        <v>CERTI</v>
      </c>
    </row>
    <row r="4219" spans="1:27" ht="15" x14ac:dyDescent="0.25">
      <c r="A4219" s="2">
        <v>4214</v>
      </c>
      <c r="B4219" s="39">
        <v>925721940</v>
      </c>
      <c r="C4219" s="28" t="str">
        <f>HYPERLINK("https://pld.live/RapDetail.aspx?STONELIST=925721940","DNA")</f>
        <v>DNA</v>
      </c>
      <c r="D4219" s="18" t="s">
        <v>3054</v>
      </c>
      <c r="E4219" s="18" t="s">
        <v>5128</v>
      </c>
      <c r="F4219" s="2" t="s">
        <v>7987</v>
      </c>
      <c r="G4219" s="2" t="s">
        <v>1573</v>
      </c>
      <c r="H4219" s="14">
        <v>1.05</v>
      </c>
      <c r="I4219" s="2" t="s">
        <v>267</v>
      </c>
      <c r="J4219" s="2" t="s">
        <v>13</v>
      </c>
      <c r="K4219" s="2" t="s">
        <v>1452</v>
      </c>
      <c r="L4219" s="2" t="s">
        <v>5221</v>
      </c>
      <c r="M4219" s="2" t="s">
        <v>5221</v>
      </c>
      <c r="N4219" s="2" t="s">
        <v>2317</v>
      </c>
      <c r="O4219" s="14">
        <v>6700</v>
      </c>
      <c r="P4219" s="14">
        <v>98.33</v>
      </c>
      <c r="Q4219" s="14">
        <v>111.89</v>
      </c>
      <c r="R4219" s="14">
        <v>117.48</v>
      </c>
      <c r="S4219" s="2" t="s">
        <v>325</v>
      </c>
      <c r="T4219" s="2">
        <v>1.38</v>
      </c>
      <c r="U4219" s="2">
        <v>59.9</v>
      </c>
      <c r="V4219" s="2">
        <v>59</v>
      </c>
      <c r="W4219" s="2" t="s">
        <v>7862</v>
      </c>
      <c r="X4219" s="2" t="s">
        <v>471</v>
      </c>
      <c r="Y4219" s="2">
        <v>7035</v>
      </c>
      <c r="Z4219" s="19" t="str">
        <f>HYPERLINK("https://ssdweb.co/ssdweb/hd/Vision360.html?d=925721940&amp;zoomslide=1&amp;z=1925721940&amp;ISCONFIRM=0","VIDEO")</f>
        <v>VIDEO</v>
      </c>
      <c r="AA4219" s="19" t="str">
        <f>HYPERLINK("https://ssdweb.co/ssdweb/CERTH/624420566.pdf","CERTI")</f>
        <v>CERTI</v>
      </c>
    </row>
    <row r="4220" spans="1:27" ht="15" x14ac:dyDescent="0.25">
      <c r="A4220" s="2">
        <v>4215</v>
      </c>
      <c r="B4220" s="39">
        <v>926071662</v>
      </c>
      <c r="C4220" s="28" t="str">
        <f>HYPERLINK("https://pld.live/RapDetail.aspx?STONELIST=926071662","DNA")</f>
        <v>DNA</v>
      </c>
      <c r="D4220" s="18" t="s">
        <v>3054</v>
      </c>
      <c r="E4220" s="18" t="s">
        <v>5128</v>
      </c>
      <c r="F4220" s="2" t="s">
        <v>7987</v>
      </c>
      <c r="G4220" s="2" t="s">
        <v>1573</v>
      </c>
      <c r="H4220" s="14">
        <v>1.05</v>
      </c>
      <c r="I4220" s="2" t="s">
        <v>267</v>
      </c>
      <c r="J4220" s="2" t="s">
        <v>13</v>
      </c>
      <c r="K4220" s="2" t="s">
        <v>1452</v>
      </c>
      <c r="L4220" s="2" t="s">
        <v>5221</v>
      </c>
      <c r="M4220" s="2" t="s">
        <v>5221</v>
      </c>
      <c r="N4220" s="2" t="s">
        <v>2317</v>
      </c>
      <c r="O4220" s="14">
        <v>6700</v>
      </c>
      <c r="P4220" s="14">
        <v>98.33</v>
      </c>
      <c r="Q4220" s="14">
        <v>111.89</v>
      </c>
      <c r="R4220" s="14">
        <v>117.48</v>
      </c>
      <c r="S4220" s="2" t="s">
        <v>6963</v>
      </c>
      <c r="T4220" s="2">
        <v>1.38</v>
      </c>
      <c r="U4220" s="2">
        <v>59.7</v>
      </c>
      <c r="V4220" s="2">
        <v>59</v>
      </c>
      <c r="W4220" s="2" t="s">
        <v>7862</v>
      </c>
      <c r="X4220" s="2" t="s">
        <v>471</v>
      </c>
      <c r="Y4220" s="2">
        <v>7035</v>
      </c>
      <c r="Z4220" s="19" t="str">
        <f>HYPERLINK("https://ssdweb.co/ssdweb/hd/Vision360.html?d=926071662&amp;zoomslide=1&amp;z=1926071662&amp;ISCONFIRM=0","VIDEO")</f>
        <v>VIDEO</v>
      </c>
      <c r="AA4220" s="19" t="str">
        <f>HYPERLINK("https://ssdweb.co/ssdweb/CERTH/631430419.pdf","CERTI")</f>
        <v>CERTI</v>
      </c>
    </row>
    <row r="4221" spans="1:27" ht="15" x14ac:dyDescent="0.25">
      <c r="A4221" s="2">
        <v>4216</v>
      </c>
      <c r="B4221" s="39">
        <v>925551019</v>
      </c>
      <c r="C4221" s="28" t="str">
        <f>HYPERLINK("https://pld.live/RapDetail.aspx?STONELIST=925551019","DNA")</f>
        <v>DNA</v>
      </c>
      <c r="D4221" s="18" t="s">
        <v>3054</v>
      </c>
      <c r="E4221" s="18" t="s">
        <v>5128</v>
      </c>
      <c r="F4221" s="2" t="s">
        <v>7987</v>
      </c>
      <c r="G4221" s="2" t="s">
        <v>1573</v>
      </c>
      <c r="H4221" s="14">
        <v>1.05</v>
      </c>
      <c r="I4221" s="2" t="s">
        <v>267</v>
      </c>
      <c r="J4221" s="2" t="s">
        <v>13</v>
      </c>
      <c r="K4221" s="2" t="s">
        <v>1452</v>
      </c>
      <c r="L4221" s="2" t="s">
        <v>5221</v>
      </c>
      <c r="M4221" s="2" t="s">
        <v>5721</v>
      </c>
      <c r="N4221" s="2" t="s">
        <v>2317</v>
      </c>
      <c r="O4221" s="14">
        <v>6700</v>
      </c>
      <c r="P4221" s="14">
        <v>98.33</v>
      </c>
      <c r="Q4221" s="14">
        <v>111.89</v>
      </c>
      <c r="R4221" s="14">
        <v>117.48</v>
      </c>
      <c r="S4221" s="2" t="s">
        <v>6368</v>
      </c>
      <c r="T4221" s="2">
        <v>1.4</v>
      </c>
      <c r="U4221" s="2">
        <v>61.2</v>
      </c>
      <c r="V4221" s="2">
        <v>60</v>
      </c>
      <c r="W4221" s="2" t="s">
        <v>7862</v>
      </c>
      <c r="X4221" s="2" t="s">
        <v>471</v>
      </c>
      <c r="Y4221" s="2">
        <v>7035</v>
      </c>
      <c r="Z4221" s="19" t="str">
        <f>HYPERLINK("https://ssdweb.co/ssdweb/hd/Vision360.html?d=925551019&amp;zoomslide=1&amp;z=1925551019&amp;ISCONFIRM=0","VIDEO")</f>
        <v>VIDEO</v>
      </c>
      <c r="AA4221" s="19" t="str">
        <f>HYPERLINK("https://ssdweb.co/ssdweb/CERTH/619424063.pdf","CERTI")</f>
        <v>CERTI</v>
      </c>
    </row>
    <row r="4222" spans="1:27" ht="15" x14ac:dyDescent="0.25">
      <c r="A4222" s="2">
        <v>4217</v>
      </c>
      <c r="B4222" s="39">
        <v>925520674</v>
      </c>
      <c r="C4222" s="28" t="str">
        <f>HYPERLINK("https://pld.live/RapDetail.aspx?STONELIST=925520674","DNA")</f>
        <v>DNA</v>
      </c>
      <c r="D4222" s="18" t="s">
        <v>3054</v>
      </c>
      <c r="E4222" s="18" t="s">
        <v>5128</v>
      </c>
      <c r="F4222" s="2" t="s">
        <v>7987</v>
      </c>
      <c r="G4222" s="2" t="s">
        <v>1573</v>
      </c>
      <c r="H4222" s="14">
        <v>1.05</v>
      </c>
      <c r="I4222" s="2" t="s">
        <v>267</v>
      </c>
      <c r="J4222" s="2" t="s">
        <v>5144</v>
      </c>
      <c r="K4222" s="2" t="s">
        <v>1452</v>
      </c>
      <c r="L4222" s="2" t="s">
        <v>5221</v>
      </c>
      <c r="M4222" s="2" t="s">
        <v>5221</v>
      </c>
      <c r="N4222" s="2" t="s">
        <v>2317</v>
      </c>
      <c r="O4222" s="14">
        <v>5700</v>
      </c>
      <c r="P4222" s="14">
        <v>98.09</v>
      </c>
      <c r="Q4222" s="14">
        <v>108.87</v>
      </c>
      <c r="R4222" s="14">
        <v>114.31</v>
      </c>
      <c r="S4222" s="2" t="s">
        <v>2927</v>
      </c>
      <c r="T4222" s="2">
        <v>1.39</v>
      </c>
      <c r="U4222" s="2">
        <v>60.2</v>
      </c>
      <c r="V4222" s="2">
        <v>61</v>
      </c>
      <c r="W4222" s="2" t="s">
        <v>7862</v>
      </c>
      <c r="X4222" s="2" t="s">
        <v>471</v>
      </c>
      <c r="Y4222" s="2">
        <v>5985</v>
      </c>
      <c r="Z4222" s="19" t="str">
        <f>HYPERLINK("https://ssdweb.co/ssdweb/hd/Vision360.html?d=925520674&amp;zoomslide=1&amp;z=1925520674&amp;ISCONFIRM=0","VIDEO")</f>
        <v>VIDEO</v>
      </c>
      <c r="AA4222" s="19" t="str">
        <f>HYPERLINK("https://ssdweb.co/ssdweb/CERTH/617413057.pdf","CERTI")</f>
        <v>CERTI</v>
      </c>
    </row>
    <row r="4223" spans="1:27" ht="15" x14ac:dyDescent="0.25">
      <c r="A4223" s="2">
        <v>4218</v>
      </c>
      <c r="B4223" s="39">
        <v>925520082</v>
      </c>
      <c r="C4223" s="28" t="str">
        <f>HYPERLINK("https://pld.live/RapDetail.aspx?STONELIST=925520082","DNA")</f>
        <v>DNA</v>
      </c>
      <c r="D4223" s="18" t="s">
        <v>3054</v>
      </c>
      <c r="E4223" s="18" t="s">
        <v>5128</v>
      </c>
      <c r="F4223" s="2" t="s">
        <v>7987</v>
      </c>
      <c r="G4223" s="2" t="s">
        <v>1573</v>
      </c>
      <c r="H4223" s="14">
        <v>1.05</v>
      </c>
      <c r="I4223" s="2" t="s">
        <v>4761</v>
      </c>
      <c r="J4223" s="2" t="s">
        <v>7032</v>
      </c>
      <c r="K4223" s="2" t="s">
        <v>1452</v>
      </c>
      <c r="L4223" s="2" t="s">
        <v>5221</v>
      </c>
      <c r="M4223" s="2" t="s">
        <v>5221</v>
      </c>
      <c r="N4223" s="2" t="s">
        <v>2317</v>
      </c>
      <c r="O4223" s="14">
        <v>8200</v>
      </c>
      <c r="P4223" s="14">
        <v>96.52</v>
      </c>
      <c r="Q4223" s="14">
        <v>285.36</v>
      </c>
      <c r="R4223" s="14">
        <v>299.63</v>
      </c>
      <c r="S4223" s="2" t="s">
        <v>599</v>
      </c>
      <c r="T4223" s="2">
        <v>1.37</v>
      </c>
      <c r="U4223" s="2">
        <v>60.1</v>
      </c>
      <c r="V4223" s="2">
        <v>62</v>
      </c>
      <c r="W4223" s="2" t="s">
        <v>7862</v>
      </c>
      <c r="X4223" s="2" t="s">
        <v>471</v>
      </c>
      <c r="Y4223" s="2">
        <v>8610</v>
      </c>
      <c r="Z4223" s="19" t="str">
        <f>HYPERLINK("https://ssdweb.co/ssdweb/hd/Vision360.html?d=925520082&amp;zoomslide=1&amp;z=1925520082&amp;ISCONFIRM=0","VIDEO")</f>
        <v>VIDEO</v>
      </c>
      <c r="AA4223" s="19" t="str">
        <f>HYPERLINK("https://ssdweb.co/ssdweb/CERTH/616434346.pdf","CERTI")</f>
        <v>CERTI</v>
      </c>
    </row>
    <row r="4224" spans="1:27" ht="15" x14ac:dyDescent="0.25">
      <c r="A4224" s="2">
        <v>4219</v>
      </c>
      <c r="B4224" s="39">
        <v>925830687</v>
      </c>
      <c r="C4224" s="28" t="str">
        <f>HYPERLINK("https://pld.live/RapDetail.aspx?STONELIST=925830687","DNA")</f>
        <v>DNA</v>
      </c>
      <c r="D4224" s="18" t="s">
        <v>3054</v>
      </c>
      <c r="E4224" s="18" t="s">
        <v>5128</v>
      </c>
      <c r="F4224" s="2" t="s">
        <v>7987</v>
      </c>
      <c r="G4224" s="2" t="s">
        <v>1573</v>
      </c>
      <c r="H4224" s="14">
        <v>1.05</v>
      </c>
      <c r="I4224" s="2" t="s">
        <v>4761</v>
      </c>
      <c r="J4224" s="2" t="s">
        <v>6555</v>
      </c>
      <c r="K4224" s="2" t="s">
        <v>1452</v>
      </c>
      <c r="L4224" s="2" t="s">
        <v>5221</v>
      </c>
      <c r="M4224" s="2" t="s">
        <v>5221</v>
      </c>
      <c r="N4224" s="2" t="s">
        <v>2317</v>
      </c>
      <c r="O4224" s="14">
        <v>7500</v>
      </c>
      <c r="P4224" s="14">
        <v>98.27</v>
      </c>
      <c r="Q4224" s="14">
        <v>129.75</v>
      </c>
      <c r="R4224" s="14">
        <v>136.24</v>
      </c>
      <c r="S4224" s="2" t="s">
        <v>878</v>
      </c>
      <c r="T4224" s="2">
        <v>1.39</v>
      </c>
      <c r="U4224" s="2">
        <v>62.1</v>
      </c>
      <c r="V4224" s="2">
        <v>57</v>
      </c>
      <c r="W4224" s="2" t="s">
        <v>7862</v>
      </c>
      <c r="X4224" s="2" t="s">
        <v>471</v>
      </c>
      <c r="Y4224" s="2">
        <v>7875</v>
      </c>
      <c r="Z4224" s="19" t="str">
        <f>HYPERLINK("https://ssdweb.co/ssdweb/hd/Vision360.html?d=925830687&amp;zoomslide=1&amp;z=1925830687&amp;ISCONFIRM=0","VIDEO")</f>
        <v>VIDEO</v>
      </c>
      <c r="AA4224" s="19" t="str">
        <f>HYPERLINK("https://ssdweb.co/ssdweb/CERTH/627473236.pdf","CERTI")</f>
        <v>CERTI</v>
      </c>
    </row>
    <row r="4225" spans="1:27" ht="15" x14ac:dyDescent="0.25">
      <c r="A4225" s="2">
        <v>4220</v>
      </c>
      <c r="B4225" s="39">
        <v>821125547</v>
      </c>
      <c r="C4225" s="28" t="str">
        <f>HYPERLINK("https://pld.live/RapDetail.aspx?STONELIST=821125547","DNA")</f>
        <v>DNA</v>
      </c>
      <c r="D4225" s="18" t="s">
        <v>3054</v>
      </c>
      <c r="E4225" s="18" t="s">
        <v>5128</v>
      </c>
      <c r="F4225" s="2" t="s">
        <v>7987</v>
      </c>
      <c r="G4225" s="2" t="s">
        <v>1573</v>
      </c>
      <c r="H4225" s="14">
        <v>1.05</v>
      </c>
      <c r="I4225" s="2" t="s">
        <v>4761</v>
      </c>
      <c r="J4225" s="2" t="s">
        <v>3942</v>
      </c>
      <c r="K4225" s="2" t="s">
        <v>1452</v>
      </c>
      <c r="L4225" s="2" t="s">
        <v>5221</v>
      </c>
      <c r="M4225" s="2" t="s">
        <v>5221</v>
      </c>
      <c r="N4225" s="2" t="s">
        <v>2317</v>
      </c>
      <c r="O4225" s="14">
        <v>6900</v>
      </c>
      <c r="P4225" s="14">
        <v>98.38</v>
      </c>
      <c r="Q4225" s="14">
        <v>111.78</v>
      </c>
      <c r="R4225" s="14">
        <v>117.37</v>
      </c>
      <c r="S4225" s="2" t="s">
        <v>2175</v>
      </c>
      <c r="T4225" s="2">
        <v>1.35</v>
      </c>
      <c r="U4225" s="2">
        <v>63</v>
      </c>
      <c r="V4225" s="2">
        <v>56</v>
      </c>
      <c r="W4225" s="2" t="s">
        <v>7862</v>
      </c>
      <c r="X4225" s="2" t="s">
        <v>471</v>
      </c>
      <c r="Y4225" s="2">
        <v>7245</v>
      </c>
      <c r="Z4225" s="19" t="str">
        <f>HYPERLINK("https://ssdweb.co/ssdweb/hd/Vision360.html?d=821125547&amp;zoomslide=1&amp;z=1821125547&amp;ISCONFIRM=0","VIDEO")</f>
        <v>VIDEO</v>
      </c>
      <c r="AA4225" s="19" t="str">
        <f>HYPERLINK("https://ssdweb.co/ssdweb/CERTH/616497754.pdf","CERTI")</f>
        <v>CERTI</v>
      </c>
    </row>
    <row r="4226" spans="1:27" ht="15" x14ac:dyDescent="0.25">
      <c r="A4226" s="2">
        <v>4221</v>
      </c>
      <c r="B4226" s="39">
        <v>925360384</v>
      </c>
      <c r="C4226" s="28" t="str">
        <f>HYPERLINK("https://pld.live/RapDetail.aspx?STONELIST=925360384","DNA")</f>
        <v>DNA</v>
      </c>
      <c r="D4226" s="18" t="s">
        <v>3054</v>
      </c>
      <c r="E4226" s="18" t="s">
        <v>5128</v>
      </c>
      <c r="F4226" s="2" t="s">
        <v>7987</v>
      </c>
      <c r="G4226" s="2" t="s">
        <v>1573</v>
      </c>
      <c r="H4226" s="14">
        <v>1.05</v>
      </c>
      <c r="I4226" s="2" t="s">
        <v>4761</v>
      </c>
      <c r="J4226" s="2" t="s">
        <v>444</v>
      </c>
      <c r="K4226" s="2" t="s">
        <v>1452</v>
      </c>
      <c r="L4226" s="2" t="s">
        <v>5221</v>
      </c>
      <c r="M4226" s="2" t="s">
        <v>5221</v>
      </c>
      <c r="N4226" s="2" t="s">
        <v>2317</v>
      </c>
      <c r="O4226" s="14">
        <v>4300</v>
      </c>
      <c r="P4226" s="14">
        <v>97.6</v>
      </c>
      <c r="Q4226" s="14">
        <v>103.2</v>
      </c>
      <c r="R4226" s="14">
        <v>108.36</v>
      </c>
      <c r="S4226" s="2" t="s">
        <v>2580</v>
      </c>
      <c r="T4226" s="2">
        <v>1.4</v>
      </c>
      <c r="U4226" s="2">
        <v>60.4</v>
      </c>
      <c r="V4226" s="2">
        <v>62</v>
      </c>
      <c r="W4226" s="2" t="s">
        <v>7862</v>
      </c>
      <c r="X4226" s="2" t="s">
        <v>471</v>
      </c>
      <c r="Y4226" s="2">
        <v>4515</v>
      </c>
      <c r="Z4226" s="19" t="str">
        <f>HYPERLINK("https://ssdweb.co/ssdweb/hd/Vision360.html?d=925360384&amp;zoomslide=1&amp;z=1925360384&amp;ISCONFIRM=0","VIDEO")</f>
        <v>VIDEO</v>
      </c>
      <c r="AA4226" s="19" t="str">
        <f>HYPERLINK("https://ssdweb.co/ssdweb/CERTH/619424079.pdf","CERTI")</f>
        <v>CERTI</v>
      </c>
    </row>
    <row r="4227" spans="1:27" ht="15" x14ac:dyDescent="0.25">
      <c r="A4227" s="2">
        <v>4222</v>
      </c>
      <c r="B4227" s="39">
        <v>924290236</v>
      </c>
      <c r="C4227" s="28" t="str">
        <f>HYPERLINK("https://pld.live/RapDetail.aspx?STONELIST=924290236","DNA")</f>
        <v>DNA</v>
      </c>
      <c r="D4227" s="18" t="s">
        <v>3054</v>
      </c>
      <c r="E4227" s="18" t="s">
        <v>2186</v>
      </c>
      <c r="F4227" s="2" t="s">
        <v>7987</v>
      </c>
      <c r="G4227" s="2" t="s">
        <v>1573</v>
      </c>
      <c r="H4227" s="14">
        <v>1.05</v>
      </c>
      <c r="I4227" s="2" t="s">
        <v>6587</v>
      </c>
      <c r="J4227" s="2" t="s">
        <v>3942</v>
      </c>
      <c r="K4227" s="2" t="s">
        <v>1452</v>
      </c>
      <c r="L4227" s="2" t="s">
        <v>5221</v>
      </c>
      <c r="M4227" s="2" t="s">
        <v>5221</v>
      </c>
      <c r="N4227" s="2" t="s">
        <v>2317</v>
      </c>
      <c r="O4227" s="14">
        <v>5800</v>
      </c>
      <c r="P4227" s="14">
        <v>98.14</v>
      </c>
      <c r="Q4227" s="14">
        <v>107.88</v>
      </c>
      <c r="R4227" s="14">
        <v>113.27</v>
      </c>
      <c r="S4227" s="2" t="s">
        <v>2676</v>
      </c>
      <c r="T4227" s="2">
        <v>1.54</v>
      </c>
      <c r="U4227" s="2">
        <v>60.6</v>
      </c>
      <c r="V4227" s="2">
        <v>61</v>
      </c>
      <c r="W4227" s="2" t="s">
        <v>7862</v>
      </c>
      <c r="X4227" s="2" t="s">
        <v>471</v>
      </c>
      <c r="Y4227" s="2">
        <v>6090</v>
      </c>
      <c r="Z4227" s="19" t="str">
        <f>HYPERLINK("https://ssdweb.co/ssdweb/hd/Vision360.html?d=924290236&amp;zoomslide=1&amp;z=1924290236&amp;ISCONFIRM=0","VIDEO")</f>
        <v>VIDEO</v>
      </c>
      <c r="AA4227" s="19" t="str">
        <f>HYPERLINK("https://ssdweb.co/ssdweb/CERTH/586373163.pdf","CERTI")</f>
        <v>CERTI</v>
      </c>
    </row>
    <row r="4228" spans="1:27" ht="15" x14ac:dyDescent="0.25">
      <c r="A4228" s="2">
        <v>4223</v>
      </c>
      <c r="B4228" s="39">
        <v>925450027</v>
      </c>
      <c r="C4228" s="28" t="str">
        <f>HYPERLINK("https://pld.live/RapDetail.aspx?STONELIST=925450027","DNA")</f>
        <v>DNA</v>
      </c>
      <c r="D4228" s="18" t="s">
        <v>3054</v>
      </c>
      <c r="E4228" s="18" t="s">
        <v>2186</v>
      </c>
      <c r="F4228" s="2" t="s">
        <v>7987</v>
      </c>
      <c r="G4228" s="2" t="s">
        <v>1573</v>
      </c>
      <c r="H4228" s="14">
        <v>1.05</v>
      </c>
      <c r="I4228" s="2" t="s">
        <v>1505</v>
      </c>
      <c r="J4228" s="2" t="s">
        <v>13</v>
      </c>
      <c r="K4228" s="2" t="s">
        <v>1452</v>
      </c>
      <c r="L4228" s="2" t="s">
        <v>5221</v>
      </c>
      <c r="M4228" s="2" t="s">
        <v>5221</v>
      </c>
      <c r="N4228" s="2" t="s">
        <v>2317</v>
      </c>
      <c r="O4228" s="14">
        <v>4600</v>
      </c>
      <c r="P4228" s="14">
        <v>97.87</v>
      </c>
      <c r="Q4228" s="14">
        <v>97.98</v>
      </c>
      <c r="R4228" s="14">
        <v>102.88</v>
      </c>
      <c r="S4228" s="2" t="s">
        <v>4671</v>
      </c>
      <c r="T4228" s="2">
        <v>1.42</v>
      </c>
      <c r="U4228" s="2">
        <v>60.4</v>
      </c>
      <c r="V4228" s="2">
        <v>59</v>
      </c>
      <c r="W4228" s="2" t="s">
        <v>8016</v>
      </c>
      <c r="X4228" s="2" t="s">
        <v>471</v>
      </c>
      <c r="Y4228" s="2">
        <v>4830</v>
      </c>
      <c r="Z4228" s="19" t="str">
        <f>HYPERLINK("https://ssdweb.co/ssdweb/hd/Vision360.html?d=925450027&amp;zoomslide=1&amp;z=1925450027&amp;ISCONFIRM=0","VIDEO")</f>
        <v>VIDEO</v>
      </c>
      <c r="AA4228" s="19" t="str">
        <f>HYPERLINK("https://ssdweb.co/ssdweb/CERTH/617437411.pdf","CERTI")</f>
        <v>CERTI</v>
      </c>
    </row>
    <row r="4229" spans="1:27" ht="15" x14ac:dyDescent="0.25">
      <c r="A4229" s="2">
        <v>4224</v>
      </c>
      <c r="B4229" s="39">
        <v>926270052</v>
      </c>
      <c r="C4229" s="28" t="str">
        <f>HYPERLINK("https://pld.live/RapDetail.aspx?STONELIST=926270052","DNA")</f>
        <v>DNA</v>
      </c>
      <c r="D4229" s="18" t="s">
        <v>3054</v>
      </c>
      <c r="E4229" s="18" t="s">
        <v>5128</v>
      </c>
      <c r="F4229" s="2" t="s">
        <v>7987</v>
      </c>
      <c r="G4229" s="2" t="s">
        <v>1573</v>
      </c>
      <c r="H4229" s="14">
        <v>1.04</v>
      </c>
      <c r="I4229" s="2" t="s">
        <v>267</v>
      </c>
      <c r="J4229" s="2" t="s">
        <v>6555</v>
      </c>
      <c r="K4229" s="2" t="s">
        <v>1452</v>
      </c>
      <c r="L4229" s="2" t="s">
        <v>5221</v>
      </c>
      <c r="M4229" s="2" t="s">
        <v>5221</v>
      </c>
      <c r="N4229" s="2" t="s">
        <v>2317</v>
      </c>
      <c r="O4229" s="14">
        <v>8200</v>
      </c>
      <c r="P4229" s="14">
        <v>98.26</v>
      </c>
      <c r="Q4229" s="14">
        <v>142.68</v>
      </c>
      <c r="R4229" s="14">
        <v>148.38999999999999</v>
      </c>
      <c r="S4229" s="2" t="s">
        <v>3659</v>
      </c>
      <c r="T4229" s="2">
        <v>1.38</v>
      </c>
      <c r="U4229" s="2">
        <v>62.2</v>
      </c>
      <c r="V4229" s="2">
        <v>59</v>
      </c>
      <c r="W4229" s="2" t="s">
        <v>7862</v>
      </c>
      <c r="X4229" s="2" t="s">
        <v>471</v>
      </c>
      <c r="Y4229" s="2">
        <v>8528</v>
      </c>
      <c r="Z4229" s="19" t="str">
        <f>HYPERLINK("https://ssdweb.co/ssdweb/hd/Vision360.html?d=926270052&amp;zoomslide=1&amp;z=1926270052&amp;ISCONFIRM=0","VIDEO")</f>
        <v>VIDEO</v>
      </c>
      <c r="AA4229" s="19" t="str">
        <f>HYPERLINK("https://ssdweb.co/ssdweb/CERTH/638463232.pdf","CERTI")</f>
        <v>CERTI</v>
      </c>
    </row>
    <row r="4230" spans="1:27" ht="15" x14ac:dyDescent="0.25">
      <c r="A4230" s="2">
        <v>4225</v>
      </c>
      <c r="B4230" s="39">
        <v>925280409</v>
      </c>
      <c r="C4230" s="28" t="str">
        <f>HYPERLINK("https://pld.live/RapDetail.aspx?STONELIST=925280409","DNA")</f>
        <v>DNA</v>
      </c>
      <c r="D4230" s="18" t="s">
        <v>3054</v>
      </c>
      <c r="E4230" s="18" t="s">
        <v>5128</v>
      </c>
      <c r="F4230" s="2" t="s">
        <v>7987</v>
      </c>
      <c r="G4230" s="2" t="s">
        <v>1573</v>
      </c>
      <c r="H4230" s="14">
        <v>1.04</v>
      </c>
      <c r="I4230" s="2" t="s">
        <v>267</v>
      </c>
      <c r="J4230" s="2" t="s">
        <v>6555</v>
      </c>
      <c r="K4230" s="2" t="s">
        <v>1452</v>
      </c>
      <c r="L4230" s="2" t="s">
        <v>5221</v>
      </c>
      <c r="M4230" s="2" t="s">
        <v>5221</v>
      </c>
      <c r="N4230" s="2" t="s">
        <v>2317</v>
      </c>
      <c r="O4230" s="14">
        <v>8200</v>
      </c>
      <c r="P4230" s="14">
        <v>98.29</v>
      </c>
      <c r="Q4230" s="14">
        <v>140.22</v>
      </c>
      <c r="R4230" s="14">
        <v>145.83000000000001</v>
      </c>
      <c r="S4230" s="2" t="s">
        <v>6460</v>
      </c>
      <c r="T4230" s="2">
        <v>1.38</v>
      </c>
      <c r="U4230" s="2">
        <v>60.3</v>
      </c>
      <c r="V4230" s="2">
        <v>59</v>
      </c>
      <c r="W4230" s="2" t="s">
        <v>7862</v>
      </c>
      <c r="X4230" s="2" t="s">
        <v>471</v>
      </c>
      <c r="Y4230" s="2">
        <v>8528</v>
      </c>
      <c r="Z4230" s="19" t="str">
        <f>HYPERLINK("https://ssdweb.co/ssdweb/hd/Vision360.html?d=925280409&amp;zoomslide=1&amp;z=1925280409&amp;ISCONFIRM=0","VIDEO")</f>
        <v>VIDEO</v>
      </c>
      <c r="AA4230" s="19" t="str">
        <f>HYPERLINK("https://ssdweb.co/ssdweb/CERTH/615370206.pdf","CERTI")</f>
        <v>CERTI</v>
      </c>
    </row>
    <row r="4231" spans="1:27" ht="15" x14ac:dyDescent="0.25">
      <c r="A4231" s="2">
        <v>4226</v>
      </c>
      <c r="B4231" s="39">
        <v>926291301</v>
      </c>
      <c r="C4231" s="28" t="str">
        <f>HYPERLINK("https://pld.live/RapDetail.aspx?STONELIST=926291301","DNA")</f>
        <v>DNA</v>
      </c>
      <c r="D4231" s="18" t="s">
        <v>3054</v>
      </c>
      <c r="E4231" s="18" t="s">
        <v>5128</v>
      </c>
      <c r="F4231" s="2" t="s">
        <v>7987</v>
      </c>
      <c r="G4231" s="2" t="s">
        <v>1573</v>
      </c>
      <c r="H4231" s="14">
        <v>1.04</v>
      </c>
      <c r="I4231" s="2" t="s">
        <v>267</v>
      </c>
      <c r="J4231" s="2" t="s">
        <v>6555</v>
      </c>
      <c r="K4231" s="2" t="s">
        <v>1452</v>
      </c>
      <c r="L4231" s="2" t="s">
        <v>5221</v>
      </c>
      <c r="M4231" s="2" t="s">
        <v>5221</v>
      </c>
      <c r="N4231" s="2" t="s">
        <v>2317</v>
      </c>
      <c r="O4231" s="14">
        <v>8200</v>
      </c>
      <c r="P4231" s="14">
        <v>98.26</v>
      </c>
      <c r="Q4231" s="14">
        <v>142.68</v>
      </c>
      <c r="R4231" s="14">
        <v>148.38999999999999</v>
      </c>
      <c r="S4231" s="2" t="s">
        <v>6061</v>
      </c>
      <c r="T4231" s="2">
        <v>1.36</v>
      </c>
      <c r="U4231" s="2">
        <v>62.8</v>
      </c>
      <c r="V4231" s="2">
        <v>58</v>
      </c>
      <c r="W4231" s="2" t="s">
        <v>7862</v>
      </c>
      <c r="X4231" s="2" t="s">
        <v>471</v>
      </c>
      <c r="Y4231" s="2">
        <v>8528</v>
      </c>
      <c r="Z4231" s="19" t="str">
        <f>HYPERLINK("https://ssdweb.co/ssdweb/hd/Vision360.html?d=926291301&amp;zoomslide=1&amp;z=1926291301&amp;ISCONFIRM=0","VIDEO")</f>
        <v>VIDEO</v>
      </c>
      <c r="AA4231" s="19" t="str">
        <f>HYPERLINK("https://ssdweb.co/ssdweb/CERTH/638463204.pdf","CERTI")</f>
        <v>CERTI</v>
      </c>
    </row>
    <row r="4232" spans="1:27" ht="15" x14ac:dyDescent="0.25">
      <c r="A4232" s="2">
        <v>4227</v>
      </c>
      <c r="B4232" s="39">
        <v>926071583</v>
      </c>
      <c r="C4232" s="28" t="str">
        <f>HYPERLINK("https://pld.live/RapDetail.aspx?STONELIST=926071583","DNA")</f>
        <v>DNA</v>
      </c>
      <c r="D4232" s="18" t="s">
        <v>3054</v>
      </c>
      <c r="E4232" s="18" t="s">
        <v>5128</v>
      </c>
      <c r="F4232" s="2" t="s">
        <v>7987</v>
      </c>
      <c r="G4232" s="2" t="s">
        <v>1573</v>
      </c>
      <c r="H4232" s="14">
        <v>1.04</v>
      </c>
      <c r="I4232" s="2" t="s">
        <v>267</v>
      </c>
      <c r="J4232" s="2" t="s">
        <v>6555</v>
      </c>
      <c r="K4232" s="2" t="s">
        <v>1452</v>
      </c>
      <c r="L4232" s="2" t="s">
        <v>5221</v>
      </c>
      <c r="M4232" s="2" t="s">
        <v>5221</v>
      </c>
      <c r="N4232" s="2" t="s">
        <v>2317</v>
      </c>
      <c r="O4232" s="14">
        <v>8200</v>
      </c>
      <c r="P4232" s="14">
        <v>98.29</v>
      </c>
      <c r="Q4232" s="14">
        <v>140.22</v>
      </c>
      <c r="R4232" s="14">
        <v>145.83000000000001</v>
      </c>
      <c r="S4232" s="2" t="s">
        <v>2417</v>
      </c>
      <c r="T4232" s="2">
        <v>1.38</v>
      </c>
      <c r="U4232" s="2">
        <v>62.4</v>
      </c>
      <c r="V4232" s="2">
        <v>60</v>
      </c>
      <c r="W4232" s="2" t="s">
        <v>7862</v>
      </c>
      <c r="X4232" s="2" t="s">
        <v>471</v>
      </c>
      <c r="Y4232" s="2">
        <v>8528</v>
      </c>
      <c r="Z4232" s="19" t="str">
        <f>HYPERLINK("https://ssdweb.co/ssdweb/hd/Vision360.html?d=926071583&amp;zoomslide=1&amp;z=1926071583&amp;ISCONFIRM=0","VIDEO")</f>
        <v>VIDEO</v>
      </c>
      <c r="AA4232" s="19" t="str">
        <f>HYPERLINK("https://ssdweb.co/ssdweb/CERTH/631430193.pdf","CERTI")</f>
        <v>CERTI</v>
      </c>
    </row>
    <row r="4233" spans="1:27" ht="15" x14ac:dyDescent="0.25">
      <c r="A4233" s="2">
        <v>4228</v>
      </c>
      <c r="B4233" s="39">
        <v>925721756</v>
      </c>
      <c r="C4233" s="28" t="str">
        <f>HYPERLINK("https://pld.live/RapDetail.aspx?STONELIST=925721756","DNA")</f>
        <v>DNA</v>
      </c>
      <c r="D4233" s="18" t="s">
        <v>3054</v>
      </c>
      <c r="E4233" s="18" t="s">
        <v>5128</v>
      </c>
      <c r="F4233" s="2" t="s">
        <v>7987</v>
      </c>
      <c r="G4233" s="2" t="s">
        <v>1573</v>
      </c>
      <c r="H4233" s="14">
        <v>1.04</v>
      </c>
      <c r="I4233" s="2" t="s">
        <v>267</v>
      </c>
      <c r="J4233" s="2" t="s">
        <v>6555</v>
      </c>
      <c r="K4233" s="2" t="s">
        <v>1452</v>
      </c>
      <c r="L4233" s="2" t="s">
        <v>5221</v>
      </c>
      <c r="M4233" s="2" t="s">
        <v>5221</v>
      </c>
      <c r="N4233" s="2" t="s">
        <v>2317</v>
      </c>
      <c r="O4233" s="14">
        <v>8200</v>
      </c>
      <c r="P4233" s="14">
        <v>98.29</v>
      </c>
      <c r="Q4233" s="14">
        <v>140.22</v>
      </c>
      <c r="R4233" s="14">
        <v>145.83000000000001</v>
      </c>
      <c r="S4233" s="2" t="s">
        <v>7151</v>
      </c>
      <c r="T4233" s="2">
        <v>1.39</v>
      </c>
      <c r="U4233" s="2">
        <v>61.6</v>
      </c>
      <c r="V4233" s="2">
        <v>61</v>
      </c>
      <c r="W4233" s="2" t="s">
        <v>7862</v>
      </c>
      <c r="X4233" s="2" t="s">
        <v>471</v>
      </c>
      <c r="Y4233" s="2">
        <v>8528</v>
      </c>
      <c r="Z4233" s="19" t="str">
        <f>HYPERLINK("https://ssdweb.co/ssdweb/hd/Vision360.html?d=925721756&amp;zoomslide=1&amp;z=1925721756&amp;ISCONFIRM=0","VIDEO")</f>
        <v>VIDEO</v>
      </c>
      <c r="AA4233" s="19" t="str">
        <f>HYPERLINK("https://ssdweb.co/ssdweb/CERTH/624499694.pdf","CERTI")</f>
        <v>CERTI</v>
      </c>
    </row>
    <row r="4234" spans="1:27" ht="15" x14ac:dyDescent="0.25">
      <c r="A4234" s="2">
        <v>4229</v>
      </c>
      <c r="B4234" s="39">
        <v>925621911</v>
      </c>
      <c r="C4234" s="28" t="str">
        <f>HYPERLINK("https://pld.live/RapDetail.aspx?STONELIST=925621911","DNA")</f>
        <v>DNA</v>
      </c>
      <c r="D4234" s="18" t="s">
        <v>3054</v>
      </c>
      <c r="E4234" s="18" t="s">
        <v>5128</v>
      </c>
      <c r="F4234" s="2" t="s">
        <v>5597</v>
      </c>
      <c r="G4234" s="2" t="s">
        <v>1573</v>
      </c>
      <c r="H4234" s="14">
        <v>1.04</v>
      </c>
      <c r="I4234" s="2" t="s">
        <v>267</v>
      </c>
      <c r="J4234" s="2" t="s">
        <v>6555</v>
      </c>
      <c r="K4234" s="2" t="s">
        <v>1452</v>
      </c>
      <c r="L4234" s="2" t="s">
        <v>5221</v>
      </c>
      <c r="M4234" s="2" t="s">
        <v>5721</v>
      </c>
      <c r="N4234" s="2" t="s">
        <v>2317</v>
      </c>
      <c r="O4234" s="14">
        <v>8200</v>
      </c>
      <c r="P4234" s="14">
        <v>97.04</v>
      </c>
      <c r="Q4234" s="14">
        <v>242.72</v>
      </c>
      <c r="R4234" s="14">
        <v>252.43</v>
      </c>
      <c r="S4234" s="2" t="s">
        <v>1448</v>
      </c>
      <c r="T4234" s="2">
        <v>1.4</v>
      </c>
      <c r="U4234" s="2">
        <v>62.1</v>
      </c>
      <c r="V4234" s="2">
        <v>60</v>
      </c>
      <c r="W4234" s="2" t="s">
        <v>7862</v>
      </c>
      <c r="X4234" s="2" t="s">
        <v>471</v>
      </c>
      <c r="Y4234" s="2">
        <v>8528</v>
      </c>
      <c r="Z4234" s="19" t="str">
        <f>HYPERLINK("https://ssdweb.co/ssdweb/hd/Vision360.html?d=925621911&amp;zoomslide=1&amp;z=1925621911&amp;ISCONFIRM=0","VIDEO")</f>
        <v>VIDEO</v>
      </c>
      <c r="AA4234" s="19" t="str">
        <f>HYPERLINK("https://ssdweb.co/ssdweb/CERTH/2486686945.pdf","CERTI")</f>
        <v>CERTI</v>
      </c>
    </row>
    <row r="4235" spans="1:27" ht="15" x14ac:dyDescent="0.25">
      <c r="A4235" s="2">
        <v>4230</v>
      </c>
      <c r="B4235" s="39">
        <v>925861661</v>
      </c>
      <c r="C4235" s="28" t="str">
        <f>HYPERLINK("https://pld.live/RapDetail.aspx?STONELIST=925861661","DNA")</f>
        <v>DNA</v>
      </c>
      <c r="D4235" s="18" t="s">
        <v>3054</v>
      </c>
      <c r="E4235" s="18" t="s">
        <v>5128</v>
      </c>
      <c r="F4235" s="2" t="s">
        <v>7987</v>
      </c>
      <c r="G4235" s="2" t="s">
        <v>1573</v>
      </c>
      <c r="H4235" s="14">
        <v>1.04</v>
      </c>
      <c r="I4235" s="2" t="s">
        <v>267</v>
      </c>
      <c r="J4235" s="2" t="s">
        <v>3942</v>
      </c>
      <c r="K4235" s="2" t="s">
        <v>1452</v>
      </c>
      <c r="L4235" s="2" t="s">
        <v>5221</v>
      </c>
      <c r="M4235" s="2" t="s">
        <v>5221</v>
      </c>
      <c r="N4235" s="2" t="s">
        <v>2317</v>
      </c>
      <c r="O4235" s="14">
        <v>7600</v>
      </c>
      <c r="P4235" s="14">
        <v>98.49</v>
      </c>
      <c r="Q4235" s="14">
        <v>114.76</v>
      </c>
      <c r="R4235" s="14">
        <v>119.35</v>
      </c>
      <c r="S4235" s="2" t="s">
        <v>1019</v>
      </c>
      <c r="T4235" s="2">
        <v>1.44</v>
      </c>
      <c r="U4235" s="2">
        <v>60.2</v>
      </c>
      <c r="V4235" s="2">
        <v>62</v>
      </c>
      <c r="W4235" s="2" t="s">
        <v>7862</v>
      </c>
      <c r="X4235" s="2" t="s">
        <v>471</v>
      </c>
      <c r="Y4235" s="2">
        <v>7904</v>
      </c>
      <c r="Z4235" s="19" t="str">
        <f>HYPERLINK("https://ssdweb.co/ssdweb/hd/Vision360.html?d=925861661&amp;zoomslide=1&amp;z=1925861661&amp;ISCONFIRM=0","VIDEO")</f>
        <v>VIDEO</v>
      </c>
      <c r="AA4235" s="19" t="str">
        <f>HYPERLINK("https://ssdweb.co/ssdweb/CERTH/627410499.pdf","CERTI")</f>
        <v>CERTI</v>
      </c>
    </row>
    <row r="4236" spans="1:27" ht="15" x14ac:dyDescent="0.25">
      <c r="A4236" s="2">
        <v>4231</v>
      </c>
      <c r="B4236" s="39">
        <v>925732220</v>
      </c>
      <c r="C4236" s="28" t="str">
        <f>HYPERLINK("https://pld.live/RapDetail.aspx?STONELIST=925732220","DNA")</f>
        <v>DNA</v>
      </c>
      <c r="D4236" s="18" t="s">
        <v>3054</v>
      </c>
      <c r="E4236" s="18" t="s">
        <v>5128</v>
      </c>
      <c r="F4236" s="2" t="s">
        <v>7987</v>
      </c>
      <c r="G4236" s="2" t="s">
        <v>1573</v>
      </c>
      <c r="H4236" s="14">
        <v>1.04</v>
      </c>
      <c r="I4236" s="2" t="s">
        <v>267</v>
      </c>
      <c r="J4236" s="2" t="s">
        <v>3942</v>
      </c>
      <c r="K4236" s="2" t="s">
        <v>1452</v>
      </c>
      <c r="L4236" s="2" t="s">
        <v>5221</v>
      </c>
      <c r="M4236" s="2" t="s">
        <v>5221</v>
      </c>
      <c r="N4236" s="2" t="s">
        <v>2317</v>
      </c>
      <c r="O4236" s="14">
        <v>7600</v>
      </c>
      <c r="P4236" s="14">
        <v>98.49</v>
      </c>
      <c r="Q4236" s="14">
        <v>114.76</v>
      </c>
      <c r="R4236" s="14">
        <v>119.35</v>
      </c>
      <c r="S4236" s="2" t="s">
        <v>2356</v>
      </c>
      <c r="T4236" s="2">
        <v>1.39</v>
      </c>
      <c r="U4236" s="2">
        <v>61</v>
      </c>
      <c r="V4236" s="2">
        <v>61</v>
      </c>
      <c r="W4236" s="2" t="s">
        <v>7862</v>
      </c>
      <c r="X4236" s="2" t="s">
        <v>471</v>
      </c>
      <c r="Y4236" s="2">
        <v>7904</v>
      </c>
      <c r="Z4236" s="19" t="str">
        <f>HYPERLINK("https://ssdweb.co/ssdweb/hd/Vision360.html?d=925732220&amp;zoomslide=1&amp;z=1925732220&amp;ISCONFIRM=0","VIDEO")</f>
        <v>VIDEO</v>
      </c>
      <c r="AA4236" s="19" t="str">
        <f>HYPERLINK("https://ssdweb.co/ssdweb/CERTH/626414890.pdf","CERTI")</f>
        <v>CERTI</v>
      </c>
    </row>
    <row r="4237" spans="1:27" ht="15" x14ac:dyDescent="0.25">
      <c r="A4237" s="2">
        <v>4232</v>
      </c>
      <c r="B4237" s="39">
        <v>926200803</v>
      </c>
      <c r="C4237" s="28" t="str">
        <f>HYPERLINK("https://pld.live/RapDetail.aspx?STONELIST=926200803","DNA")</f>
        <v>DNA</v>
      </c>
      <c r="D4237" s="18" t="s">
        <v>3054</v>
      </c>
      <c r="E4237" s="18" t="s">
        <v>5128</v>
      </c>
      <c r="F4237" s="2" t="s">
        <v>7987</v>
      </c>
      <c r="G4237" s="2" t="s">
        <v>1573</v>
      </c>
      <c r="H4237" s="14">
        <v>1.04</v>
      </c>
      <c r="I4237" s="2" t="s">
        <v>267</v>
      </c>
      <c r="J4237" s="2" t="s">
        <v>3942</v>
      </c>
      <c r="K4237" s="2" t="s">
        <v>1452</v>
      </c>
      <c r="L4237" s="2" t="s">
        <v>5221</v>
      </c>
      <c r="M4237" s="2" t="s">
        <v>5221</v>
      </c>
      <c r="N4237" s="2" t="s">
        <v>2317</v>
      </c>
      <c r="O4237" s="14">
        <v>7600</v>
      </c>
      <c r="P4237" s="14">
        <v>98.49</v>
      </c>
      <c r="Q4237" s="14">
        <v>114.76</v>
      </c>
      <c r="R4237" s="14">
        <v>119.35</v>
      </c>
      <c r="S4237" s="2" t="s">
        <v>1399</v>
      </c>
      <c r="T4237" s="2">
        <v>1.41</v>
      </c>
      <c r="U4237" s="2">
        <v>59.5</v>
      </c>
      <c r="V4237" s="2">
        <v>60</v>
      </c>
      <c r="W4237" s="2" t="s">
        <v>7862</v>
      </c>
      <c r="X4237" s="2" t="s">
        <v>471</v>
      </c>
      <c r="Y4237" s="2">
        <v>7904</v>
      </c>
      <c r="Z4237" s="19" t="str">
        <f>HYPERLINK("https://ssdweb.co/ssdweb/hd/Vision360.html?d=926200803&amp;zoomslide=1&amp;z=1926200803&amp;ISCONFIRM=0","VIDEO")</f>
        <v>VIDEO</v>
      </c>
      <c r="AA4237" s="19" t="str">
        <f>HYPERLINK("https://ssdweb.co/ssdweb/CERTH/635426974.pdf","CERTI")</f>
        <v>CERTI</v>
      </c>
    </row>
    <row r="4238" spans="1:27" ht="15" x14ac:dyDescent="0.25">
      <c r="A4238" s="2">
        <v>4233</v>
      </c>
      <c r="B4238" s="39">
        <v>926700758</v>
      </c>
      <c r="C4238" s="28" t="str">
        <f>HYPERLINK("https://pld.live/RapDetail.aspx?STONELIST=926700758","DNA")</f>
        <v>DNA</v>
      </c>
      <c r="D4238" s="18" t="s">
        <v>3054</v>
      </c>
      <c r="E4238" s="18" t="s">
        <v>5128</v>
      </c>
      <c r="F4238" s="2" t="s">
        <v>7987</v>
      </c>
      <c r="G4238" s="2" t="s">
        <v>1573</v>
      </c>
      <c r="H4238" s="14">
        <v>1.04</v>
      </c>
      <c r="I4238" s="2" t="s">
        <v>267</v>
      </c>
      <c r="J4238" s="2" t="s">
        <v>3942</v>
      </c>
      <c r="K4238" s="2" t="s">
        <v>1452</v>
      </c>
      <c r="L4238" s="2" t="s">
        <v>5221</v>
      </c>
      <c r="M4238" s="2" t="s">
        <v>5221</v>
      </c>
      <c r="N4238" s="2" t="s">
        <v>2317</v>
      </c>
      <c r="O4238" s="14">
        <v>7600</v>
      </c>
      <c r="P4238" s="14">
        <v>98.45</v>
      </c>
      <c r="Q4238" s="14">
        <v>117.8</v>
      </c>
      <c r="R4238" s="14">
        <v>122.51</v>
      </c>
      <c r="S4238" s="2" t="s">
        <v>1554</v>
      </c>
      <c r="T4238" s="2">
        <v>1.38</v>
      </c>
      <c r="U4238" s="2">
        <v>60.9</v>
      </c>
      <c r="V4238" s="2">
        <v>60</v>
      </c>
      <c r="W4238" s="2" t="s">
        <v>7862</v>
      </c>
      <c r="X4238" s="2" t="s">
        <v>471</v>
      </c>
      <c r="Y4238" s="2">
        <v>7904</v>
      </c>
      <c r="Z4238" s="19" t="str">
        <f>HYPERLINK("https://ssdweb.co/ssdweb/hd/Vision360.html?d=926700758&amp;zoomslide=1&amp;z=1926700758&amp;ISCONFIRM=0","VIDEO")</f>
        <v>VIDEO</v>
      </c>
      <c r="AA4238" s="19" t="str">
        <f>HYPERLINK("https://ssdweb.co/ssdweb/CERTH/656485746.pdf","CERTI")</f>
        <v>CERTI</v>
      </c>
    </row>
    <row r="4239" spans="1:27" ht="15" x14ac:dyDescent="0.25">
      <c r="A4239" s="2">
        <v>4234</v>
      </c>
      <c r="B4239" s="39">
        <v>926270086</v>
      </c>
      <c r="C4239" s="28" t="str">
        <f>HYPERLINK("https://pld.live/RapDetail.aspx?STONELIST=926270086","DNA")</f>
        <v>DNA</v>
      </c>
      <c r="D4239" s="18" t="s">
        <v>3054</v>
      </c>
      <c r="E4239" s="18" t="s">
        <v>5128</v>
      </c>
      <c r="F4239" s="2" t="s">
        <v>7987</v>
      </c>
      <c r="G4239" s="2" t="s">
        <v>1573</v>
      </c>
      <c r="H4239" s="14">
        <v>1.04</v>
      </c>
      <c r="I4239" s="2" t="s">
        <v>267</v>
      </c>
      <c r="J4239" s="2" t="s">
        <v>3942</v>
      </c>
      <c r="K4239" s="2" t="s">
        <v>1452</v>
      </c>
      <c r="L4239" s="2" t="s">
        <v>5221</v>
      </c>
      <c r="M4239" s="2" t="s">
        <v>5221</v>
      </c>
      <c r="N4239" s="2" t="s">
        <v>2317</v>
      </c>
      <c r="O4239" s="14">
        <v>7600</v>
      </c>
      <c r="P4239" s="14">
        <v>98.45</v>
      </c>
      <c r="Q4239" s="14">
        <v>117.8</v>
      </c>
      <c r="R4239" s="14">
        <v>122.51</v>
      </c>
      <c r="S4239" s="2" t="s">
        <v>4451</v>
      </c>
      <c r="T4239" s="2">
        <v>1.39</v>
      </c>
      <c r="U4239" s="2">
        <v>62</v>
      </c>
      <c r="V4239" s="2">
        <v>61</v>
      </c>
      <c r="W4239" s="2" t="s">
        <v>7862</v>
      </c>
      <c r="X4239" s="2" t="s">
        <v>471</v>
      </c>
      <c r="Y4239" s="2">
        <v>7904</v>
      </c>
      <c r="Z4239" s="19" t="str">
        <f>HYPERLINK("https://ssdweb.co/ssdweb/hd/Vision360.html?d=926270086&amp;zoomslide=1&amp;z=1926270086&amp;ISCONFIRM=0","VIDEO")</f>
        <v>VIDEO</v>
      </c>
      <c r="AA4239" s="19" t="str">
        <f>HYPERLINK("https://ssdweb.co/ssdweb/CERTH/638463236.pdf","CERTI")</f>
        <v>CERTI</v>
      </c>
    </row>
    <row r="4240" spans="1:27" ht="15" x14ac:dyDescent="0.25">
      <c r="A4240" s="2">
        <v>4235</v>
      </c>
      <c r="B4240" s="39">
        <v>925520976</v>
      </c>
      <c r="C4240" s="28" t="str">
        <f>HYPERLINK("https://pld.live/RapDetail.aspx?STONELIST=925520976","DNA")</f>
        <v>DNA</v>
      </c>
      <c r="D4240" s="18" t="s">
        <v>3054</v>
      </c>
      <c r="E4240" s="18" t="s">
        <v>5128</v>
      </c>
      <c r="F4240" s="2" t="s">
        <v>7987</v>
      </c>
      <c r="G4240" s="2" t="s">
        <v>1573</v>
      </c>
      <c r="H4240" s="14">
        <v>1.04</v>
      </c>
      <c r="I4240" s="2" t="s">
        <v>267</v>
      </c>
      <c r="J4240" s="2" t="s">
        <v>3942</v>
      </c>
      <c r="K4240" s="2" t="s">
        <v>1452</v>
      </c>
      <c r="L4240" s="2" t="s">
        <v>5221</v>
      </c>
      <c r="M4240" s="2" t="s">
        <v>5221</v>
      </c>
      <c r="N4240" s="2" t="s">
        <v>2317</v>
      </c>
      <c r="O4240" s="14">
        <v>7600</v>
      </c>
      <c r="P4240" s="14">
        <v>98.49</v>
      </c>
      <c r="Q4240" s="14">
        <v>114.76</v>
      </c>
      <c r="R4240" s="14">
        <v>119.35</v>
      </c>
      <c r="S4240" s="2" t="s">
        <v>2058</v>
      </c>
      <c r="T4240" s="2">
        <v>1.36</v>
      </c>
      <c r="U4240" s="2">
        <v>59.2</v>
      </c>
      <c r="V4240" s="2">
        <v>61</v>
      </c>
      <c r="W4240" s="2" t="s">
        <v>7862</v>
      </c>
      <c r="X4240" s="2" t="s">
        <v>471</v>
      </c>
      <c r="Y4240" s="2">
        <v>7904</v>
      </c>
      <c r="Z4240" s="19" t="str">
        <f>HYPERLINK("https://ssdweb.co/ssdweb/hd/Vision360.html?d=925520976&amp;zoomslide=1&amp;z=1925520976&amp;ISCONFIRM=0","VIDEO")</f>
        <v>VIDEO</v>
      </c>
      <c r="AA4240" s="19" t="str">
        <f>HYPERLINK("https://ssdweb.co/ssdweb/CERTH/618439833.pdf","CERTI")</f>
        <v>CERTI</v>
      </c>
    </row>
    <row r="4241" spans="1:27" ht="15" x14ac:dyDescent="0.25">
      <c r="A4241" s="2">
        <v>4236</v>
      </c>
      <c r="B4241" s="39">
        <v>925520405</v>
      </c>
      <c r="C4241" s="28" t="str">
        <f>HYPERLINK("https://pld.live/RapDetail.aspx?STONELIST=925520405","DNA")</f>
        <v>DNA</v>
      </c>
      <c r="D4241" s="18" t="s">
        <v>3054</v>
      </c>
      <c r="E4241" s="18" t="s">
        <v>5128</v>
      </c>
      <c r="F4241" s="2" t="s">
        <v>7987</v>
      </c>
      <c r="G4241" s="2" t="s">
        <v>1573</v>
      </c>
      <c r="H4241" s="14">
        <v>1.04</v>
      </c>
      <c r="I4241" s="2" t="s">
        <v>267</v>
      </c>
      <c r="J4241" s="2" t="s">
        <v>3942</v>
      </c>
      <c r="K4241" s="2" t="s">
        <v>1452</v>
      </c>
      <c r="L4241" s="2" t="s">
        <v>5221</v>
      </c>
      <c r="M4241" s="2" t="s">
        <v>5221</v>
      </c>
      <c r="N4241" s="2" t="s">
        <v>2317</v>
      </c>
      <c r="O4241" s="14">
        <v>7600</v>
      </c>
      <c r="P4241" s="14">
        <v>98.49</v>
      </c>
      <c r="Q4241" s="14">
        <v>114.76</v>
      </c>
      <c r="R4241" s="14">
        <v>119.35</v>
      </c>
      <c r="S4241" s="2" t="s">
        <v>3828</v>
      </c>
      <c r="T4241" s="2">
        <v>1.36</v>
      </c>
      <c r="U4241" s="2">
        <v>62.7</v>
      </c>
      <c r="V4241" s="2">
        <v>61</v>
      </c>
      <c r="W4241" s="2" t="s">
        <v>7862</v>
      </c>
      <c r="X4241" s="2" t="s">
        <v>471</v>
      </c>
      <c r="Y4241" s="2">
        <v>7904</v>
      </c>
      <c r="Z4241" s="19" t="str">
        <f>HYPERLINK("https://ssdweb.co/ssdweb/hd/Vision360.html?d=925520405&amp;zoomslide=1&amp;z=1925520405&amp;ISCONFIRM=0","VIDEO")</f>
        <v>VIDEO</v>
      </c>
      <c r="AA4241" s="19" t="str">
        <f>HYPERLINK("https://ssdweb.co/ssdweb/CERTH/617485864.pdf","CERTI")</f>
        <v>CERTI</v>
      </c>
    </row>
    <row r="4242" spans="1:27" ht="15" x14ac:dyDescent="0.25">
      <c r="A4242" s="2">
        <v>4237</v>
      </c>
      <c r="B4242" s="39">
        <v>925520295</v>
      </c>
      <c r="C4242" s="28" t="str">
        <f>HYPERLINK("https://pld.live/RapDetail.aspx?STONELIST=925520295","DNA")</f>
        <v>DNA</v>
      </c>
      <c r="D4242" s="18" t="s">
        <v>3054</v>
      </c>
      <c r="E4242" s="18" t="s">
        <v>5128</v>
      </c>
      <c r="F4242" s="2" t="s">
        <v>7987</v>
      </c>
      <c r="G4242" s="2" t="s">
        <v>1573</v>
      </c>
      <c r="H4242" s="14">
        <v>1.04</v>
      </c>
      <c r="I4242" s="2" t="s">
        <v>267</v>
      </c>
      <c r="J4242" s="2" t="s">
        <v>3942</v>
      </c>
      <c r="K4242" s="2" t="s">
        <v>1452</v>
      </c>
      <c r="L4242" s="2" t="s">
        <v>5221</v>
      </c>
      <c r="M4242" s="2" t="s">
        <v>5221</v>
      </c>
      <c r="N4242" s="2" t="s">
        <v>2317</v>
      </c>
      <c r="O4242" s="14">
        <v>7600</v>
      </c>
      <c r="P4242" s="14">
        <v>98.49</v>
      </c>
      <c r="Q4242" s="14">
        <v>114.76</v>
      </c>
      <c r="R4242" s="14">
        <v>119.35</v>
      </c>
      <c r="S4242" s="2" t="s">
        <v>1757</v>
      </c>
      <c r="T4242" s="2">
        <v>1.36</v>
      </c>
      <c r="U4242" s="2">
        <v>62.8</v>
      </c>
      <c r="V4242" s="2">
        <v>58</v>
      </c>
      <c r="W4242" s="2" t="s">
        <v>7862</v>
      </c>
      <c r="X4242" s="2" t="s">
        <v>471</v>
      </c>
      <c r="Y4242" s="2">
        <v>7904</v>
      </c>
      <c r="Z4242" s="19" t="str">
        <f>HYPERLINK("https://ssdweb.co/ssdweb/hd/Vision360.html?d=925520295&amp;zoomslide=1&amp;z=1925520295&amp;ISCONFIRM=0","VIDEO")</f>
        <v>VIDEO</v>
      </c>
      <c r="AA4242" s="19" t="str">
        <f>HYPERLINK("https://ssdweb.co/ssdweb/CERTH/617476125.pdf","CERTI")</f>
        <v>CERTI</v>
      </c>
    </row>
    <row r="4243" spans="1:27" ht="15" x14ac:dyDescent="0.25">
      <c r="A4243" s="2">
        <v>4238</v>
      </c>
      <c r="B4243" s="39">
        <v>925521051</v>
      </c>
      <c r="C4243" s="28" t="str">
        <f>HYPERLINK("https://pld.live/RapDetail.aspx?STONELIST=925521051","DNA")</f>
        <v>DNA</v>
      </c>
      <c r="D4243" s="18" t="s">
        <v>3054</v>
      </c>
      <c r="E4243" s="18" t="s">
        <v>5128</v>
      </c>
      <c r="F4243" s="2" t="s">
        <v>7987</v>
      </c>
      <c r="G4243" s="2" t="s">
        <v>1573</v>
      </c>
      <c r="H4243" s="14">
        <v>1.04</v>
      </c>
      <c r="I4243" s="2" t="s">
        <v>267</v>
      </c>
      <c r="J4243" s="2" t="s">
        <v>3942</v>
      </c>
      <c r="K4243" s="2" t="s">
        <v>1452</v>
      </c>
      <c r="L4243" s="2" t="s">
        <v>5221</v>
      </c>
      <c r="M4243" s="2" t="s">
        <v>5221</v>
      </c>
      <c r="N4243" s="2" t="s">
        <v>2317</v>
      </c>
      <c r="O4243" s="14">
        <v>7600</v>
      </c>
      <c r="P4243" s="14">
        <v>98.49</v>
      </c>
      <c r="Q4243" s="14">
        <v>114.76</v>
      </c>
      <c r="R4243" s="14">
        <v>119.35</v>
      </c>
      <c r="S4243" s="2" t="s">
        <v>858</v>
      </c>
      <c r="T4243" s="2">
        <v>1.37</v>
      </c>
      <c r="U4243" s="2">
        <v>58.5</v>
      </c>
      <c r="V4243" s="2">
        <v>61</v>
      </c>
      <c r="W4243" s="2" t="s">
        <v>7862</v>
      </c>
      <c r="X4243" s="2" t="s">
        <v>471</v>
      </c>
      <c r="Y4243" s="2">
        <v>7904</v>
      </c>
      <c r="Z4243" s="19" t="str">
        <f>HYPERLINK("https://ssdweb.co/ssdweb/hd/Vision360.html?d=925521051&amp;zoomslide=1&amp;z=1925521051&amp;ISCONFIRM=0","VIDEO")</f>
        <v>VIDEO</v>
      </c>
      <c r="AA4243" s="19" t="str">
        <f>HYPERLINK("https://ssdweb.co/ssdweb/CERTH/618455214.pdf","CERTI")</f>
        <v>CERTI</v>
      </c>
    </row>
    <row r="4244" spans="1:27" ht="15" x14ac:dyDescent="0.25">
      <c r="A4244" s="2">
        <v>4239</v>
      </c>
      <c r="B4244" s="39">
        <v>925120335</v>
      </c>
      <c r="C4244" s="28" t="str">
        <f>HYPERLINK("https://pld.live/RapDetail.aspx?STONELIST=925120335","DNA")</f>
        <v>DNA</v>
      </c>
      <c r="D4244" s="18" t="s">
        <v>3054</v>
      </c>
      <c r="E4244" s="18" t="s">
        <v>5128</v>
      </c>
      <c r="F4244" s="2" t="s">
        <v>5597</v>
      </c>
      <c r="G4244" s="2" t="s">
        <v>1573</v>
      </c>
      <c r="H4244" s="14">
        <v>1.04</v>
      </c>
      <c r="I4244" s="2" t="s">
        <v>267</v>
      </c>
      <c r="J4244" s="2" t="s">
        <v>3942</v>
      </c>
      <c r="K4244" s="2" t="s">
        <v>1452</v>
      </c>
      <c r="L4244" s="2" t="s">
        <v>5221</v>
      </c>
      <c r="M4244" s="2" t="s">
        <v>5721</v>
      </c>
      <c r="N4244" s="2" t="s">
        <v>2317</v>
      </c>
      <c r="O4244" s="14">
        <v>7600</v>
      </c>
      <c r="P4244" s="14">
        <v>97.13</v>
      </c>
      <c r="Q4244" s="14">
        <v>218.12</v>
      </c>
      <c r="R4244" s="14">
        <v>226.84</v>
      </c>
      <c r="S4244" s="2" t="s">
        <v>7556</v>
      </c>
      <c r="T4244" s="2">
        <v>1.42</v>
      </c>
      <c r="U4244" s="2">
        <v>60</v>
      </c>
      <c r="V4244" s="2">
        <v>61</v>
      </c>
      <c r="W4244" s="2" t="s">
        <v>7862</v>
      </c>
      <c r="X4244" s="2" t="s">
        <v>471</v>
      </c>
      <c r="Y4244" s="2">
        <v>7904</v>
      </c>
      <c r="Z4244" s="19" t="str">
        <f>HYPERLINK("https://ssdweb.co/ssdweb/hd/Vision360.html?d=925120335&amp;zoomslide=1&amp;z=1925120335&amp;ISCONFIRM=0","VIDEO")</f>
        <v>VIDEO</v>
      </c>
      <c r="AA4244" s="19" t="str">
        <f>HYPERLINK("https://ssdweb.co/ssdweb/CERTH/6485224368.pdf","CERTI")</f>
        <v>CERTI</v>
      </c>
    </row>
    <row r="4245" spans="1:27" ht="15" x14ac:dyDescent="0.25">
      <c r="A4245" s="2">
        <v>4240</v>
      </c>
      <c r="B4245" s="39">
        <v>925720517</v>
      </c>
      <c r="C4245" s="28" t="str">
        <f>HYPERLINK("https://pld.live/RapDetail.aspx?STONELIST=925720517","DNA")</f>
        <v>DNA</v>
      </c>
      <c r="D4245" s="18" t="s">
        <v>3054</v>
      </c>
      <c r="E4245" s="18" t="s">
        <v>5128</v>
      </c>
      <c r="F4245" s="2" t="s">
        <v>7987</v>
      </c>
      <c r="G4245" s="2" t="s">
        <v>1573</v>
      </c>
      <c r="H4245" s="14">
        <v>1.04</v>
      </c>
      <c r="I4245" s="2" t="s">
        <v>267</v>
      </c>
      <c r="J4245" s="2" t="s">
        <v>3942</v>
      </c>
      <c r="K4245" s="2" t="s">
        <v>1452</v>
      </c>
      <c r="L4245" s="2" t="s">
        <v>5221</v>
      </c>
      <c r="M4245" s="2" t="s">
        <v>5721</v>
      </c>
      <c r="N4245" s="2" t="s">
        <v>2317</v>
      </c>
      <c r="O4245" s="14">
        <v>7600</v>
      </c>
      <c r="P4245" s="14">
        <v>98.51</v>
      </c>
      <c r="Q4245" s="14">
        <v>113.24</v>
      </c>
      <c r="R4245" s="14">
        <v>117.77</v>
      </c>
      <c r="S4245" s="2" t="s">
        <v>7286</v>
      </c>
      <c r="T4245" s="2">
        <v>1.4</v>
      </c>
      <c r="U4245" s="2">
        <v>61.5</v>
      </c>
      <c r="V4245" s="2">
        <v>59</v>
      </c>
      <c r="W4245" s="2" t="s">
        <v>7862</v>
      </c>
      <c r="X4245" s="2" t="s">
        <v>471</v>
      </c>
      <c r="Y4245" s="2">
        <v>7904</v>
      </c>
      <c r="Z4245" s="19" t="str">
        <f>HYPERLINK("https://ssdweb.co/ssdweb/hd/Vision360.html?d=925720517&amp;zoomslide=1&amp;z=1925720517&amp;ISCONFIRM=0","VIDEO")</f>
        <v>VIDEO</v>
      </c>
      <c r="AA4245" s="19" t="str">
        <f>HYPERLINK("https://ssdweb.co/ssdweb/CERTH/623449337.pdf","CERTI")</f>
        <v>CERTI</v>
      </c>
    </row>
    <row r="4246" spans="1:27" ht="15" x14ac:dyDescent="0.25">
      <c r="A4246" s="2">
        <v>4241</v>
      </c>
      <c r="B4246" s="39">
        <v>925971117</v>
      </c>
      <c r="C4246" s="28" t="str">
        <f>HYPERLINK("https://pld.live/RapDetail.aspx?STONELIST=925971117","DNA")</f>
        <v>DNA</v>
      </c>
      <c r="D4246" s="18" t="s">
        <v>3054</v>
      </c>
      <c r="E4246" s="18" t="s">
        <v>5128</v>
      </c>
      <c r="F4246" s="2" t="s">
        <v>7987</v>
      </c>
      <c r="G4246" s="2" t="s">
        <v>1573</v>
      </c>
      <c r="H4246" s="14">
        <v>1.04</v>
      </c>
      <c r="I4246" s="2" t="s">
        <v>267</v>
      </c>
      <c r="J4246" s="2" t="s">
        <v>3942</v>
      </c>
      <c r="K4246" s="2" t="s">
        <v>1452</v>
      </c>
      <c r="L4246" s="2" t="s">
        <v>5221</v>
      </c>
      <c r="M4246" s="2" t="s">
        <v>5721</v>
      </c>
      <c r="N4246" s="2" t="s">
        <v>2317</v>
      </c>
      <c r="O4246" s="14">
        <v>7600</v>
      </c>
      <c r="P4246" s="14">
        <v>98.51</v>
      </c>
      <c r="Q4246" s="14">
        <v>113.24</v>
      </c>
      <c r="R4246" s="14">
        <v>117.77</v>
      </c>
      <c r="S4246" s="2" t="s">
        <v>2177</v>
      </c>
      <c r="T4246" s="2">
        <v>1.45</v>
      </c>
      <c r="U4246" s="2">
        <v>59.8</v>
      </c>
      <c r="V4246" s="2">
        <v>61</v>
      </c>
      <c r="W4246" s="2" t="s">
        <v>7862</v>
      </c>
      <c r="X4246" s="2" t="s">
        <v>471</v>
      </c>
      <c r="Y4246" s="2">
        <v>7904</v>
      </c>
      <c r="Z4246" s="19" t="str">
        <f>HYPERLINK("https://ssdweb.co/ssdweb/hd/Vision360.html?d=925971117&amp;zoomslide=1&amp;z=1925971117&amp;ISCONFIRM=0","VIDEO")</f>
        <v>VIDEO</v>
      </c>
      <c r="AA4246" s="19" t="str">
        <f>HYPERLINK("https://ssdweb.co/ssdweb/CERTH/629453420.pdf","CERTI")</f>
        <v>CERTI</v>
      </c>
    </row>
    <row r="4247" spans="1:27" ht="15" x14ac:dyDescent="0.25">
      <c r="A4247" s="2">
        <v>4242</v>
      </c>
      <c r="B4247" s="39">
        <v>821125444</v>
      </c>
      <c r="C4247" s="28" t="str">
        <f>HYPERLINK("https://pld.live/RapDetail.aspx?STONELIST=821125444","DNA")</f>
        <v>DNA</v>
      </c>
      <c r="D4247" s="18" t="s">
        <v>3054</v>
      </c>
      <c r="E4247" s="18" t="s">
        <v>5128</v>
      </c>
      <c r="F4247" s="2" t="s">
        <v>7987</v>
      </c>
      <c r="G4247" s="2" t="s">
        <v>1573</v>
      </c>
      <c r="H4247" s="14">
        <v>1.04</v>
      </c>
      <c r="I4247" s="2" t="s">
        <v>267</v>
      </c>
      <c r="J4247" s="2" t="s">
        <v>13</v>
      </c>
      <c r="K4247" s="2" t="s">
        <v>1452</v>
      </c>
      <c r="L4247" s="2" t="s">
        <v>5221</v>
      </c>
      <c r="M4247" s="2" t="s">
        <v>5221</v>
      </c>
      <c r="N4247" s="2" t="s">
        <v>2317</v>
      </c>
      <c r="O4247" s="14">
        <v>6700</v>
      </c>
      <c r="P4247" s="14">
        <v>98.33</v>
      </c>
      <c r="Q4247" s="14">
        <v>111.89</v>
      </c>
      <c r="R4247" s="14">
        <v>116.37</v>
      </c>
      <c r="S4247" s="2" t="s">
        <v>4299</v>
      </c>
      <c r="T4247" s="2">
        <v>1.37</v>
      </c>
      <c r="U4247" s="2">
        <v>62.1</v>
      </c>
      <c r="V4247" s="2">
        <v>59</v>
      </c>
      <c r="W4247" s="2" t="s">
        <v>7862</v>
      </c>
      <c r="X4247" s="2" t="s">
        <v>471</v>
      </c>
      <c r="Y4247" s="2">
        <v>6968</v>
      </c>
      <c r="Z4247" s="19" t="str">
        <f>HYPERLINK("https://ssdweb.co/ssdweb/hd/Vision360.html?d=821125444&amp;zoomslide=1&amp;z=1821125444&amp;ISCONFIRM=0","VIDEO")</f>
        <v>VIDEO</v>
      </c>
      <c r="AA4247" s="19" t="str">
        <f>HYPERLINK("https://ssdweb.co/ssdweb/CERTH/616498342.pdf","CERTI")</f>
        <v>CERTI</v>
      </c>
    </row>
    <row r="4248" spans="1:27" ht="15" x14ac:dyDescent="0.25">
      <c r="A4248" s="2">
        <v>4243</v>
      </c>
      <c r="B4248" s="39">
        <v>925360354</v>
      </c>
      <c r="C4248" s="28" t="str">
        <f>HYPERLINK("https://pld.live/RapDetail.aspx?STONELIST=925360354","DNA")</f>
        <v>DNA</v>
      </c>
      <c r="D4248" s="18" t="s">
        <v>3054</v>
      </c>
      <c r="E4248" s="18" t="s">
        <v>5128</v>
      </c>
      <c r="F4248" s="2" t="s">
        <v>7987</v>
      </c>
      <c r="G4248" s="2" t="s">
        <v>1573</v>
      </c>
      <c r="H4248" s="14">
        <v>1.04</v>
      </c>
      <c r="I4248" s="2" t="s">
        <v>267</v>
      </c>
      <c r="J4248" s="2" t="s">
        <v>13</v>
      </c>
      <c r="K4248" s="2" t="s">
        <v>1452</v>
      </c>
      <c r="L4248" s="2" t="s">
        <v>5221</v>
      </c>
      <c r="M4248" s="2" t="s">
        <v>5221</v>
      </c>
      <c r="N4248" s="2" t="s">
        <v>2317</v>
      </c>
      <c r="O4248" s="14">
        <v>6700</v>
      </c>
      <c r="P4248" s="14">
        <v>98.33</v>
      </c>
      <c r="Q4248" s="14">
        <v>111.89</v>
      </c>
      <c r="R4248" s="14">
        <v>116.37</v>
      </c>
      <c r="S4248" s="2" t="s">
        <v>2913</v>
      </c>
      <c r="T4248" s="2">
        <v>1.4</v>
      </c>
      <c r="U4248" s="2">
        <v>59.5</v>
      </c>
      <c r="V4248" s="2">
        <v>59</v>
      </c>
      <c r="W4248" s="2" t="s">
        <v>7862</v>
      </c>
      <c r="X4248" s="2" t="s">
        <v>471</v>
      </c>
      <c r="Y4248" s="2">
        <v>6968</v>
      </c>
      <c r="Z4248" s="19" t="str">
        <f>HYPERLINK("https://ssdweb.co/ssdweb/hd/Vision360.html?d=925360354&amp;zoomslide=1&amp;z=1925360354&amp;ISCONFIRM=0","VIDEO")</f>
        <v>VIDEO</v>
      </c>
      <c r="AA4248" s="19" t="str">
        <f>HYPERLINK("https://ssdweb.co/ssdweb/CERTH/616434400.pdf","CERTI")</f>
        <v>CERTI</v>
      </c>
    </row>
    <row r="4249" spans="1:27" ht="15" x14ac:dyDescent="0.25">
      <c r="A4249" s="2">
        <v>4244</v>
      </c>
      <c r="B4249" s="39">
        <v>925721998</v>
      </c>
      <c r="C4249" s="28" t="str">
        <f>HYPERLINK("https://pld.live/RapDetail.aspx?STONELIST=925721998","DNA")</f>
        <v>DNA</v>
      </c>
      <c r="D4249" s="18" t="s">
        <v>3054</v>
      </c>
      <c r="E4249" s="18" t="s">
        <v>5128</v>
      </c>
      <c r="F4249" s="2" t="s">
        <v>7987</v>
      </c>
      <c r="G4249" s="2" t="s">
        <v>1573</v>
      </c>
      <c r="H4249" s="14">
        <v>1.04</v>
      </c>
      <c r="I4249" s="2" t="s">
        <v>267</v>
      </c>
      <c r="J4249" s="2" t="s">
        <v>13</v>
      </c>
      <c r="K4249" s="2" t="s">
        <v>1452</v>
      </c>
      <c r="L4249" s="2" t="s">
        <v>5221</v>
      </c>
      <c r="M4249" s="2" t="s">
        <v>5221</v>
      </c>
      <c r="N4249" s="2" t="s">
        <v>2317</v>
      </c>
      <c r="O4249" s="14">
        <v>6700</v>
      </c>
      <c r="P4249" s="14">
        <v>98.33</v>
      </c>
      <c r="Q4249" s="14">
        <v>111.89</v>
      </c>
      <c r="R4249" s="14">
        <v>116.37</v>
      </c>
      <c r="S4249" s="2" t="s">
        <v>3594</v>
      </c>
      <c r="T4249" s="2">
        <v>1.37</v>
      </c>
      <c r="U4249" s="2">
        <v>62.1</v>
      </c>
      <c r="V4249" s="2">
        <v>63</v>
      </c>
      <c r="W4249" s="2" t="s">
        <v>7862</v>
      </c>
      <c r="X4249" s="2" t="s">
        <v>471</v>
      </c>
      <c r="Y4249" s="2">
        <v>6968</v>
      </c>
      <c r="Z4249" s="19" t="str">
        <f>HYPERLINK("https://ssdweb.co/ssdweb/hd/Vision360.html?d=925721998&amp;zoomslide=1&amp;z=1925721998&amp;ISCONFIRM=0","VIDEO")</f>
        <v>VIDEO</v>
      </c>
      <c r="AA4249" s="19" t="str">
        <f>HYPERLINK("https://ssdweb.co/ssdweb/CERTH/625457944.pdf","CERTI")</f>
        <v>CERTI</v>
      </c>
    </row>
    <row r="4250" spans="1:27" ht="15" x14ac:dyDescent="0.25">
      <c r="A4250" s="2">
        <v>4245</v>
      </c>
      <c r="B4250" s="39">
        <v>927092568</v>
      </c>
      <c r="C4250" s="28" t="str">
        <f>HYPERLINK("https://pld.live/RapDetail.aspx?STONELIST=927092568","DNA")</f>
        <v>DNA</v>
      </c>
      <c r="D4250" s="18" t="s">
        <v>3054</v>
      </c>
      <c r="E4250" s="18" t="s">
        <v>5128</v>
      </c>
      <c r="F4250" s="2" t="s">
        <v>7987</v>
      </c>
      <c r="G4250" s="2" t="s">
        <v>1573</v>
      </c>
      <c r="H4250" s="14">
        <v>1.04</v>
      </c>
      <c r="I4250" s="2" t="s">
        <v>267</v>
      </c>
      <c r="J4250" s="2" t="s">
        <v>13</v>
      </c>
      <c r="K4250" s="2" t="s">
        <v>1452</v>
      </c>
      <c r="L4250" s="2" t="s">
        <v>5221</v>
      </c>
      <c r="M4250" s="2" t="s">
        <v>5221</v>
      </c>
      <c r="N4250" s="2" t="s">
        <v>2317</v>
      </c>
      <c r="O4250" s="14">
        <v>6700</v>
      </c>
      <c r="P4250" s="14">
        <v>98.25</v>
      </c>
      <c r="Q4250" s="14">
        <v>117.25</v>
      </c>
      <c r="R4250" s="14">
        <v>121.94</v>
      </c>
      <c r="S4250" s="2" t="s">
        <v>588</v>
      </c>
      <c r="T4250" s="2">
        <v>1.4</v>
      </c>
      <c r="U4250" s="2">
        <v>60.1</v>
      </c>
      <c r="V4250" s="2">
        <v>62</v>
      </c>
      <c r="W4250" s="2" t="s">
        <v>7862</v>
      </c>
      <c r="X4250" s="2" t="s">
        <v>471</v>
      </c>
      <c r="Y4250" s="2">
        <v>6968</v>
      </c>
      <c r="Z4250" s="19" t="str">
        <f>HYPERLINK("https://ssdweb.co/ssdweb/hd/Vision360.html?d=927092568&amp;zoomslide=1&amp;z=1927092568&amp;ISCONFIRM=0","VIDEO")</f>
        <v>VIDEO</v>
      </c>
      <c r="AA4250" s="19" t="str">
        <f>HYPERLINK("https://ssdweb.co/ssdweb/CERTH/675504653.pdf","CERTI")</f>
        <v>CERTI</v>
      </c>
    </row>
    <row r="4251" spans="1:27" ht="15" x14ac:dyDescent="0.25">
      <c r="A4251" s="2">
        <v>4246</v>
      </c>
      <c r="B4251" s="39">
        <v>923570786</v>
      </c>
      <c r="C4251" s="28" t="str">
        <f>HYPERLINK("https://pld.live/RapDetail.aspx?STONELIST=923570786","DNA")</f>
        <v>DNA</v>
      </c>
      <c r="D4251" s="18" t="s">
        <v>3054</v>
      </c>
      <c r="E4251" s="18" t="s">
        <v>5128</v>
      </c>
      <c r="F4251" s="2" t="s">
        <v>5597</v>
      </c>
      <c r="G4251" s="2" t="s">
        <v>1573</v>
      </c>
      <c r="H4251" s="14">
        <v>1.04</v>
      </c>
      <c r="I4251" s="2" t="s">
        <v>267</v>
      </c>
      <c r="J4251" s="2" t="s">
        <v>13</v>
      </c>
      <c r="K4251" s="2" t="s">
        <v>1452</v>
      </c>
      <c r="L4251" s="2" t="s">
        <v>5221</v>
      </c>
      <c r="M4251" s="2" t="s">
        <v>5721</v>
      </c>
      <c r="N4251" s="2" t="s">
        <v>2317</v>
      </c>
      <c r="O4251" s="14">
        <v>6700</v>
      </c>
      <c r="P4251" s="14">
        <v>96.82</v>
      </c>
      <c r="Q4251" s="14">
        <v>213.06</v>
      </c>
      <c r="R4251" s="14">
        <v>221.58</v>
      </c>
      <c r="S4251" s="2" t="s">
        <v>6670</v>
      </c>
      <c r="T4251" s="2">
        <v>1.45</v>
      </c>
      <c r="U4251" s="2">
        <v>60.1</v>
      </c>
      <c r="V4251" s="2">
        <v>60</v>
      </c>
      <c r="W4251" s="2" t="s">
        <v>7862</v>
      </c>
      <c r="X4251" s="2" t="s">
        <v>471</v>
      </c>
      <c r="Y4251" s="2">
        <v>6968</v>
      </c>
      <c r="Z4251" s="19" t="str">
        <f>HYPERLINK("https://ssdweb.co/ssdweb/hd/Vision360.html?d=923570786&amp;zoomslide=1&amp;z=1923570786&amp;ISCONFIRM=0","VIDEO")</f>
        <v>VIDEO</v>
      </c>
      <c r="AA4251" s="19" t="str">
        <f>HYPERLINK("https://ssdweb.co/ssdweb/CERTH/7456301608.pdf","CERTI")</f>
        <v>CERTI</v>
      </c>
    </row>
    <row r="4252" spans="1:27" ht="15" x14ac:dyDescent="0.25">
      <c r="A4252" s="2">
        <v>4247</v>
      </c>
      <c r="B4252" s="39">
        <v>925851039</v>
      </c>
      <c r="C4252" s="28" t="str">
        <f>HYPERLINK("https://pld.live/RapDetail.aspx?STONELIST=925851039","DNA")</f>
        <v>DNA</v>
      </c>
      <c r="D4252" s="18" t="s">
        <v>3054</v>
      </c>
      <c r="E4252" s="18" t="s">
        <v>5128</v>
      </c>
      <c r="F4252" s="2" t="s">
        <v>7987</v>
      </c>
      <c r="G4252" s="2" t="s">
        <v>1573</v>
      </c>
      <c r="H4252" s="14">
        <v>1.04</v>
      </c>
      <c r="I4252" s="2" t="s">
        <v>267</v>
      </c>
      <c r="J4252" s="2" t="s">
        <v>5144</v>
      </c>
      <c r="K4252" s="2" t="s">
        <v>1452</v>
      </c>
      <c r="L4252" s="2" t="s">
        <v>5221</v>
      </c>
      <c r="M4252" s="2" t="s">
        <v>5221</v>
      </c>
      <c r="N4252" s="2" t="s">
        <v>2317</v>
      </c>
      <c r="O4252" s="14">
        <v>5700</v>
      </c>
      <c r="P4252" s="14">
        <v>98.09</v>
      </c>
      <c r="Q4252" s="14">
        <v>108.87</v>
      </c>
      <c r="R4252" s="14">
        <v>113.22</v>
      </c>
      <c r="S4252" s="2" t="s">
        <v>3843</v>
      </c>
      <c r="T4252" s="2">
        <v>1.36</v>
      </c>
      <c r="U4252" s="2">
        <v>61.5</v>
      </c>
      <c r="V4252" s="2">
        <v>60</v>
      </c>
      <c r="W4252" s="2" t="s">
        <v>7862</v>
      </c>
      <c r="X4252" s="2" t="s">
        <v>471</v>
      </c>
      <c r="Y4252" s="2">
        <v>5928</v>
      </c>
      <c r="Z4252" s="19" t="str">
        <f>HYPERLINK("https://ssdweb.co/ssdweb/hd/Vision360.html?d=925851039&amp;zoomslide=1&amp;z=1925851039&amp;ISCONFIRM=0","VIDEO")</f>
        <v>VIDEO</v>
      </c>
      <c r="AA4252" s="19" t="str">
        <f>HYPERLINK("https://ssdweb.co/ssdweb/CERTH/627431783.pdf","CERTI")</f>
        <v>CERTI</v>
      </c>
    </row>
    <row r="4253" spans="1:27" ht="15" x14ac:dyDescent="0.25">
      <c r="A4253" s="2">
        <v>4248</v>
      </c>
      <c r="B4253" s="39">
        <v>831010551</v>
      </c>
      <c r="C4253" s="28" t="str">
        <f>HYPERLINK("https://pld.live/RapDetail.aspx?STONELIST=831010551","DNA")</f>
        <v>DNA</v>
      </c>
      <c r="D4253" s="18" t="s">
        <v>3054</v>
      </c>
      <c r="E4253" s="18" t="s">
        <v>5128</v>
      </c>
      <c r="F4253" s="2" t="s">
        <v>5597</v>
      </c>
      <c r="G4253" s="2" t="s">
        <v>1573</v>
      </c>
      <c r="H4253" s="14">
        <v>1.04</v>
      </c>
      <c r="I4253" s="2" t="s">
        <v>267</v>
      </c>
      <c r="J4253" s="2" t="s">
        <v>5144</v>
      </c>
      <c r="K4253" s="2" t="s">
        <v>1452</v>
      </c>
      <c r="L4253" s="2" t="s">
        <v>5221</v>
      </c>
      <c r="M4253" s="2" t="s">
        <v>5221</v>
      </c>
      <c r="N4253" s="2" t="s">
        <v>2317</v>
      </c>
      <c r="O4253" s="14">
        <v>5700</v>
      </c>
      <c r="P4253" s="14">
        <v>96.58</v>
      </c>
      <c r="Q4253" s="14">
        <v>194.94</v>
      </c>
      <c r="R4253" s="14">
        <v>202.74</v>
      </c>
      <c r="S4253" s="2" t="s">
        <v>8002</v>
      </c>
      <c r="T4253" s="2">
        <v>1.42</v>
      </c>
      <c r="U4253" s="2">
        <v>60.7</v>
      </c>
      <c r="V4253" s="2">
        <v>58</v>
      </c>
      <c r="W4253" s="2" t="s">
        <v>7862</v>
      </c>
      <c r="X4253" s="2" t="s">
        <v>471</v>
      </c>
      <c r="Y4253" s="2">
        <v>5928</v>
      </c>
      <c r="Z4253" s="19" t="str">
        <f>HYPERLINK("https://ssdweb.co/ssdweb/hd/Vision360.html?d=831010551&amp;zoomslide=1&amp;z=1831010551&amp;ISCONFIRM=0","VIDEO")</f>
        <v>VIDEO</v>
      </c>
      <c r="AA4253" s="19" t="str">
        <f>HYPERLINK("https://ssdweb.co/ssdweb/CERTH/7471458584.pdf","CERTI")</f>
        <v>CERTI</v>
      </c>
    </row>
    <row r="4254" spans="1:27" ht="15" x14ac:dyDescent="0.25">
      <c r="A4254" s="2">
        <v>4249</v>
      </c>
      <c r="B4254" s="39">
        <v>926200995</v>
      </c>
      <c r="C4254" s="28" t="str">
        <f>HYPERLINK("https://pld.live/RapDetail.aspx?STONELIST=926200995","DNA")</f>
        <v>DNA</v>
      </c>
      <c r="D4254" s="18" t="s">
        <v>3054</v>
      </c>
      <c r="E4254" s="18" t="s">
        <v>5128</v>
      </c>
      <c r="F4254" s="2" t="s">
        <v>7987</v>
      </c>
      <c r="G4254" s="2" t="s">
        <v>1573</v>
      </c>
      <c r="H4254" s="14">
        <v>1.04</v>
      </c>
      <c r="I4254" s="2" t="s">
        <v>267</v>
      </c>
      <c r="J4254" s="2" t="s">
        <v>5144</v>
      </c>
      <c r="K4254" s="2" t="s">
        <v>1452</v>
      </c>
      <c r="L4254" s="2" t="s">
        <v>5221</v>
      </c>
      <c r="M4254" s="2" t="s">
        <v>5221</v>
      </c>
      <c r="N4254" s="2" t="s">
        <v>2317</v>
      </c>
      <c r="O4254" s="14">
        <v>5700</v>
      </c>
      <c r="P4254" s="14">
        <v>98.09</v>
      </c>
      <c r="Q4254" s="14">
        <v>108.87</v>
      </c>
      <c r="R4254" s="14">
        <v>113.22</v>
      </c>
      <c r="S4254" s="2" t="s">
        <v>3770</v>
      </c>
      <c r="T4254" s="2">
        <v>1.36</v>
      </c>
      <c r="U4254" s="2">
        <v>62.6</v>
      </c>
      <c r="V4254" s="2">
        <v>60</v>
      </c>
      <c r="W4254" s="2" t="s">
        <v>7862</v>
      </c>
      <c r="X4254" s="2" t="s">
        <v>471</v>
      </c>
      <c r="Y4254" s="2">
        <v>5928</v>
      </c>
      <c r="Z4254" s="19" t="str">
        <f>HYPERLINK("https://ssdweb.co/ssdweb/hd/Vision360.html?d=926200995&amp;zoomslide=1&amp;z=1926200995&amp;ISCONFIRM=0","VIDEO")</f>
        <v>VIDEO</v>
      </c>
      <c r="AA4254" s="19" t="str">
        <f>HYPERLINK("https://ssdweb.co/ssdweb/CERTH/635423918.pdf","CERTI")</f>
        <v>CERTI</v>
      </c>
    </row>
    <row r="4255" spans="1:27" ht="15" x14ac:dyDescent="0.25">
      <c r="A4255" s="2">
        <v>4250</v>
      </c>
      <c r="B4255" s="39">
        <v>925521581</v>
      </c>
      <c r="C4255" s="28" t="str">
        <f>HYPERLINK("https://pld.live/RapDetail.aspx?STONELIST=925521581","DNA")</f>
        <v>DNA</v>
      </c>
      <c r="D4255" s="18" t="s">
        <v>3054</v>
      </c>
      <c r="E4255" s="18" t="s">
        <v>5128</v>
      </c>
      <c r="F4255" s="2" t="s">
        <v>7987</v>
      </c>
      <c r="G4255" s="2" t="s">
        <v>1573</v>
      </c>
      <c r="H4255" s="14">
        <v>1.04</v>
      </c>
      <c r="I4255" s="2" t="s">
        <v>267</v>
      </c>
      <c r="J4255" s="2" t="s">
        <v>5144</v>
      </c>
      <c r="K4255" s="2" t="s">
        <v>1452</v>
      </c>
      <c r="L4255" s="2" t="s">
        <v>5221</v>
      </c>
      <c r="M4255" s="2" t="s">
        <v>5221</v>
      </c>
      <c r="N4255" s="2" t="s">
        <v>2317</v>
      </c>
      <c r="O4255" s="14">
        <v>5700</v>
      </c>
      <c r="P4255" s="14">
        <v>98.09</v>
      </c>
      <c r="Q4255" s="14">
        <v>108.87</v>
      </c>
      <c r="R4255" s="14">
        <v>113.22</v>
      </c>
      <c r="S4255" s="2" t="s">
        <v>6841</v>
      </c>
      <c r="T4255" s="2">
        <v>1.4</v>
      </c>
      <c r="U4255" s="2">
        <v>62.5</v>
      </c>
      <c r="V4255" s="2">
        <v>62</v>
      </c>
      <c r="W4255" s="2" t="s">
        <v>7862</v>
      </c>
      <c r="X4255" s="2" t="s">
        <v>471</v>
      </c>
      <c r="Y4255" s="2">
        <v>5928</v>
      </c>
      <c r="Z4255" s="19" t="str">
        <f>HYPERLINK("https://ssdweb.co/ssdweb/hd/Vision360.html?d=925521581&amp;zoomslide=1&amp;z=1925521581&amp;ISCONFIRM=0","VIDEO")</f>
        <v>VIDEO</v>
      </c>
      <c r="AA4255" s="19" t="str">
        <f>HYPERLINK("https://ssdweb.co/ssdweb/CERTH/619424170.pdf","CERTI")</f>
        <v>CERTI</v>
      </c>
    </row>
    <row r="4256" spans="1:27" ht="15" x14ac:dyDescent="0.25">
      <c r="A4256" s="2">
        <v>4251</v>
      </c>
      <c r="B4256" s="39">
        <v>925722044</v>
      </c>
      <c r="C4256" s="28" t="str">
        <f>HYPERLINK("https://pld.live/RapDetail.aspx?STONELIST=925722044","DNA")</f>
        <v>DNA</v>
      </c>
      <c r="D4256" s="18" t="s">
        <v>3054</v>
      </c>
      <c r="E4256" s="18" t="s">
        <v>5128</v>
      </c>
      <c r="F4256" s="2" t="s">
        <v>5597</v>
      </c>
      <c r="G4256" s="2" t="s">
        <v>1573</v>
      </c>
      <c r="H4256" s="14">
        <v>1.04</v>
      </c>
      <c r="I4256" s="2" t="s">
        <v>267</v>
      </c>
      <c r="J4256" s="2" t="s">
        <v>5144</v>
      </c>
      <c r="K4256" s="2" t="s">
        <v>1452</v>
      </c>
      <c r="L4256" s="2" t="s">
        <v>5221</v>
      </c>
      <c r="M4256" s="2" t="s">
        <v>5721</v>
      </c>
      <c r="N4256" s="2" t="s">
        <v>2317</v>
      </c>
      <c r="O4256" s="14">
        <v>5700</v>
      </c>
      <c r="P4256" s="14">
        <v>96.61</v>
      </c>
      <c r="Q4256" s="14">
        <v>193.23</v>
      </c>
      <c r="R4256" s="14">
        <v>200.96</v>
      </c>
      <c r="S4256" s="2" t="s">
        <v>2695</v>
      </c>
      <c r="T4256" s="2">
        <v>1.39</v>
      </c>
      <c r="U4256" s="2">
        <v>60.2</v>
      </c>
      <c r="V4256" s="2">
        <v>62</v>
      </c>
      <c r="W4256" s="2" t="s">
        <v>7862</v>
      </c>
      <c r="X4256" s="2" t="s">
        <v>471</v>
      </c>
      <c r="Y4256" s="2">
        <v>5928</v>
      </c>
      <c r="Z4256" s="19" t="str">
        <f>HYPERLINK("https://ssdweb.co/ssdweb/hd/Vision360.html?d=925722044&amp;zoomslide=1&amp;z=1925722044&amp;ISCONFIRM=0","VIDEO")</f>
        <v>VIDEO</v>
      </c>
      <c r="AA4256" s="19" t="str">
        <f>HYPERLINK("https://ssdweb.co/ssdweb/CERTH/6482805477.pdf","CERTI")</f>
        <v>CERTI</v>
      </c>
    </row>
    <row r="4257" spans="1:27" ht="15" x14ac:dyDescent="0.25">
      <c r="A4257" s="2">
        <v>4252</v>
      </c>
      <c r="B4257" s="39">
        <v>924420288</v>
      </c>
      <c r="C4257" s="28" t="str">
        <f>HYPERLINK("https://pld.live/RapDetail.aspx?STONELIST=924420288","DNA")</f>
        <v>DNA</v>
      </c>
      <c r="D4257" s="18" t="s">
        <v>3054</v>
      </c>
      <c r="E4257" s="18" t="s">
        <v>5128</v>
      </c>
      <c r="F4257" s="2" t="s">
        <v>7987</v>
      </c>
      <c r="G4257" s="2" t="s">
        <v>1573</v>
      </c>
      <c r="H4257" s="14">
        <v>1.04</v>
      </c>
      <c r="I4257" s="2" t="s">
        <v>4761</v>
      </c>
      <c r="J4257" s="2" t="s">
        <v>7032</v>
      </c>
      <c r="K4257" s="2" t="s">
        <v>1452</v>
      </c>
      <c r="L4257" s="2" t="s">
        <v>5221</v>
      </c>
      <c r="M4257" s="2" t="s">
        <v>5221</v>
      </c>
      <c r="N4257" s="2" t="s">
        <v>2317</v>
      </c>
      <c r="O4257" s="14">
        <v>8200</v>
      </c>
      <c r="P4257" s="14">
        <v>96.52</v>
      </c>
      <c r="Q4257" s="14">
        <v>285.36</v>
      </c>
      <c r="R4257" s="14">
        <v>296.77</v>
      </c>
      <c r="S4257" s="2" t="s">
        <v>7030</v>
      </c>
      <c r="T4257" s="2">
        <v>1.38</v>
      </c>
      <c r="U4257" s="2">
        <v>61.5</v>
      </c>
      <c r="V4257" s="2">
        <v>60</v>
      </c>
      <c r="W4257" s="2" t="s">
        <v>7862</v>
      </c>
      <c r="X4257" s="2" t="s">
        <v>471</v>
      </c>
      <c r="Y4257" s="2">
        <v>8528</v>
      </c>
      <c r="Z4257" s="19" t="str">
        <f>HYPERLINK("https://ssdweb.co/ssdweb/hd/Vision360.html?d=924420288&amp;zoomslide=1&amp;z=1924420288&amp;ISCONFIRM=0","VIDEO")</f>
        <v>VIDEO</v>
      </c>
      <c r="AA4257" s="19" t="str">
        <f>HYPERLINK("https://ssdweb.co/ssdweb/CERTH/592323457.pdf","CERTI")</f>
        <v>CERTI</v>
      </c>
    </row>
    <row r="4258" spans="1:27" ht="15" x14ac:dyDescent="0.25">
      <c r="A4258" s="2">
        <v>4253</v>
      </c>
      <c r="B4258" s="39">
        <v>926700733</v>
      </c>
      <c r="C4258" s="28" t="str">
        <f>HYPERLINK("https://pld.live/RapDetail.aspx?STONELIST=926700733","DNA")</f>
        <v>DNA</v>
      </c>
      <c r="D4258" s="18" t="s">
        <v>3054</v>
      </c>
      <c r="E4258" s="18" t="s">
        <v>5128</v>
      </c>
      <c r="F4258" s="2" t="s">
        <v>7987</v>
      </c>
      <c r="G4258" s="2" t="s">
        <v>1573</v>
      </c>
      <c r="H4258" s="14">
        <v>1.04</v>
      </c>
      <c r="I4258" s="2" t="s">
        <v>4761</v>
      </c>
      <c r="J4258" s="2" t="s">
        <v>6555</v>
      </c>
      <c r="K4258" s="2" t="s">
        <v>1452</v>
      </c>
      <c r="L4258" s="2" t="s">
        <v>5221</v>
      </c>
      <c r="M4258" s="2" t="s">
        <v>5221</v>
      </c>
      <c r="N4258" s="2" t="s">
        <v>2317</v>
      </c>
      <c r="O4258" s="14">
        <v>7500</v>
      </c>
      <c r="P4258" s="14">
        <v>98.23</v>
      </c>
      <c r="Q4258" s="14">
        <v>132.75</v>
      </c>
      <c r="R4258" s="14">
        <v>138.06</v>
      </c>
      <c r="S4258" s="2" t="s">
        <v>6403</v>
      </c>
      <c r="T4258" s="2">
        <v>1.39</v>
      </c>
      <c r="U4258" s="2">
        <v>61.9</v>
      </c>
      <c r="V4258" s="2">
        <v>61</v>
      </c>
      <c r="W4258" s="2" t="s">
        <v>7862</v>
      </c>
      <c r="X4258" s="2" t="s">
        <v>471</v>
      </c>
      <c r="Y4258" s="2">
        <v>7800</v>
      </c>
      <c r="Z4258" s="19" t="str">
        <f>HYPERLINK("https://ssdweb.co/ssdweb/hd/Vision360.html?d=926700733&amp;zoomslide=1&amp;z=1926700733&amp;ISCONFIRM=0","VIDEO")</f>
        <v>VIDEO</v>
      </c>
      <c r="AA4258" s="19" t="str">
        <f>HYPERLINK("https://ssdweb.co/ssdweb/CERTH/656485747.pdf","CERTI")</f>
        <v>CERTI</v>
      </c>
    </row>
    <row r="4259" spans="1:27" ht="15" x14ac:dyDescent="0.25">
      <c r="A4259" s="2">
        <v>4254</v>
      </c>
      <c r="B4259" s="39">
        <v>926621090</v>
      </c>
      <c r="C4259" s="28" t="str">
        <f>HYPERLINK("https://pld.live/RapDetail.aspx?STONELIST=926621090","DNA")</f>
        <v>DNA</v>
      </c>
      <c r="D4259" s="18" t="s">
        <v>3054</v>
      </c>
      <c r="E4259" s="18" t="s">
        <v>5128</v>
      </c>
      <c r="F4259" s="2" t="s">
        <v>7987</v>
      </c>
      <c r="G4259" s="2" t="s">
        <v>1573</v>
      </c>
      <c r="H4259" s="14">
        <v>1.04</v>
      </c>
      <c r="I4259" s="2" t="s">
        <v>4761</v>
      </c>
      <c r="J4259" s="2" t="s">
        <v>3942</v>
      </c>
      <c r="K4259" s="2" t="s">
        <v>1452</v>
      </c>
      <c r="L4259" s="2" t="s">
        <v>5221</v>
      </c>
      <c r="M4259" s="2" t="s">
        <v>5221</v>
      </c>
      <c r="N4259" s="2" t="s">
        <v>2317</v>
      </c>
      <c r="O4259" s="14">
        <v>6900</v>
      </c>
      <c r="P4259" s="14">
        <v>98.33</v>
      </c>
      <c r="Q4259" s="14">
        <v>115.23</v>
      </c>
      <c r="R4259" s="14">
        <v>119.84</v>
      </c>
      <c r="S4259" s="2" t="s">
        <v>7870</v>
      </c>
      <c r="T4259" s="2">
        <v>1.41</v>
      </c>
      <c r="U4259" s="2">
        <v>60.8</v>
      </c>
      <c r="V4259" s="2">
        <v>60</v>
      </c>
      <c r="W4259" s="2" t="s">
        <v>7862</v>
      </c>
      <c r="X4259" s="2" t="s">
        <v>471</v>
      </c>
      <c r="Y4259" s="2">
        <v>7176</v>
      </c>
      <c r="Z4259" s="19" t="str">
        <f>HYPERLINK("https://ssdweb.co/ssdweb/hd/Vision360.html?d=926621090&amp;zoomslide=1&amp;z=1926621090&amp;ISCONFIRM=0","VIDEO")</f>
        <v>VIDEO</v>
      </c>
      <c r="AA4259" s="19" t="str">
        <f>HYPERLINK("https://ssdweb.co/ssdweb/CERTH/656485764.pdf","CERTI")</f>
        <v>CERTI</v>
      </c>
    </row>
    <row r="4260" spans="1:27" ht="15" x14ac:dyDescent="0.25">
      <c r="A4260" s="2">
        <v>4255</v>
      </c>
      <c r="B4260" s="39">
        <v>821126869</v>
      </c>
      <c r="C4260" s="28" t="str">
        <f>HYPERLINK("https://pld.live/RapDetail.aspx?STONELIST=821126869","DNA")</f>
        <v>DNA</v>
      </c>
      <c r="D4260" s="18" t="s">
        <v>3054</v>
      </c>
      <c r="E4260" s="18" t="s">
        <v>5128</v>
      </c>
      <c r="F4260" s="2" t="s">
        <v>7987</v>
      </c>
      <c r="G4260" s="2" t="s">
        <v>1573</v>
      </c>
      <c r="H4260" s="14">
        <v>1.04</v>
      </c>
      <c r="I4260" s="2" t="s">
        <v>4761</v>
      </c>
      <c r="J4260" s="2" t="s">
        <v>3942</v>
      </c>
      <c r="K4260" s="2" t="s">
        <v>1452</v>
      </c>
      <c r="L4260" s="2" t="s">
        <v>5221</v>
      </c>
      <c r="M4260" s="2" t="s">
        <v>5221</v>
      </c>
      <c r="N4260" s="2" t="s">
        <v>2317</v>
      </c>
      <c r="O4260" s="14">
        <v>6900</v>
      </c>
      <c r="P4260" s="14">
        <v>98.38</v>
      </c>
      <c r="Q4260" s="14">
        <v>111.78</v>
      </c>
      <c r="R4260" s="14">
        <v>116.25</v>
      </c>
      <c r="S4260" s="2" t="s">
        <v>4842</v>
      </c>
      <c r="T4260" s="2">
        <v>1.37</v>
      </c>
      <c r="U4260" s="2">
        <v>61.2</v>
      </c>
      <c r="V4260" s="2">
        <v>58</v>
      </c>
      <c r="W4260" s="2" t="s">
        <v>7862</v>
      </c>
      <c r="X4260" s="2" t="s">
        <v>471</v>
      </c>
      <c r="Y4260" s="2">
        <v>7176</v>
      </c>
      <c r="Z4260" s="19" t="str">
        <f>HYPERLINK("https://ssdweb.co/ssdweb/hd/Vision360.html?d=821126869&amp;zoomslide=1&amp;z=1821126869&amp;ISCONFIRM=0","VIDEO")</f>
        <v>VIDEO</v>
      </c>
      <c r="AA4260" s="19" t="str">
        <f>HYPERLINK("https://ssdweb.co/ssdweb/CERTH/621411115.pdf","CERTI")</f>
        <v>CERTI</v>
      </c>
    </row>
    <row r="4261" spans="1:27" ht="15" x14ac:dyDescent="0.25">
      <c r="A4261" s="2">
        <v>4256</v>
      </c>
      <c r="B4261" s="39">
        <v>926210600</v>
      </c>
      <c r="C4261" s="28" t="str">
        <f>HYPERLINK("https://pld.live/RapDetail.aspx?STONELIST=926210600","DNA")</f>
        <v>DNA</v>
      </c>
      <c r="D4261" s="18" t="s">
        <v>3054</v>
      </c>
      <c r="E4261" s="18" t="s">
        <v>5128</v>
      </c>
      <c r="F4261" s="2" t="s">
        <v>7987</v>
      </c>
      <c r="G4261" s="2" t="s">
        <v>1573</v>
      </c>
      <c r="H4261" s="14">
        <v>1.04</v>
      </c>
      <c r="I4261" s="2" t="s">
        <v>4761</v>
      </c>
      <c r="J4261" s="2" t="s">
        <v>3942</v>
      </c>
      <c r="K4261" s="2" t="s">
        <v>1452</v>
      </c>
      <c r="L4261" s="2" t="s">
        <v>5221</v>
      </c>
      <c r="M4261" s="2" t="s">
        <v>5221</v>
      </c>
      <c r="N4261" s="2" t="s">
        <v>2317</v>
      </c>
      <c r="O4261" s="14">
        <v>6900</v>
      </c>
      <c r="P4261" s="14">
        <v>98.38</v>
      </c>
      <c r="Q4261" s="14">
        <v>111.78</v>
      </c>
      <c r="R4261" s="14">
        <v>116.25</v>
      </c>
      <c r="S4261" s="2" t="s">
        <v>6167</v>
      </c>
      <c r="T4261" s="2">
        <v>1.4</v>
      </c>
      <c r="U4261" s="2">
        <v>61.7</v>
      </c>
      <c r="V4261" s="2">
        <v>60</v>
      </c>
      <c r="W4261" s="2" t="s">
        <v>7862</v>
      </c>
      <c r="X4261" s="2" t="s">
        <v>471</v>
      </c>
      <c r="Y4261" s="2">
        <v>7176</v>
      </c>
      <c r="Z4261" s="19" t="str">
        <f>HYPERLINK("https://ssdweb.co/ssdweb/hd/Vision360.html?d=926210600&amp;zoomslide=1&amp;z=1926210600&amp;ISCONFIRM=0","VIDEO")</f>
        <v>VIDEO</v>
      </c>
      <c r="AA4261" s="19" t="str">
        <f>HYPERLINK("https://ssdweb.co/ssdweb/CERTH/635426935.pdf","CERTI")</f>
        <v>CERTI</v>
      </c>
    </row>
    <row r="4262" spans="1:27" ht="15" x14ac:dyDescent="0.25">
      <c r="A4262" s="2">
        <v>4257</v>
      </c>
      <c r="B4262" s="39">
        <v>926740922</v>
      </c>
      <c r="C4262" s="28" t="str">
        <f>HYPERLINK("https://pld.live/RapDetail.aspx?STONELIST=926740922","DNA")</f>
        <v>DNA</v>
      </c>
      <c r="D4262" s="18" t="s">
        <v>3054</v>
      </c>
      <c r="E4262" s="18" t="s">
        <v>5128</v>
      </c>
      <c r="F4262" s="2" t="s">
        <v>7987</v>
      </c>
      <c r="G4262" s="2" t="s">
        <v>1573</v>
      </c>
      <c r="H4262" s="14">
        <v>1.04</v>
      </c>
      <c r="I4262" s="2" t="s">
        <v>4761</v>
      </c>
      <c r="J4262" s="2" t="s">
        <v>3942</v>
      </c>
      <c r="K4262" s="2" t="s">
        <v>1452</v>
      </c>
      <c r="L4262" s="2" t="s">
        <v>5221</v>
      </c>
      <c r="M4262" s="2" t="s">
        <v>5221</v>
      </c>
      <c r="N4262" s="2" t="s">
        <v>2317</v>
      </c>
      <c r="O4262" s="14">
        <v>6900</v>
      </c>
      <c r="P4262" s="14">
        <v>98.33</v>
      </c>
      <c r="Q4262" s="14">
        <v>115.23</v>
      </c>
      <c r="R4262" s="14">
        <v>119.84</v>
      </c>
      <c r="S4262" s="2" t="s">
        <v>3927</v>
      </c>
      <c r="T4262" s="2">
        <v>1.39</v>
      </c>
      <c r="U4262" s="2">
        <v>62.1</v>
      </c>
      <c r="V4262" s="2">
        <v>60</v>
      </c>
      <c r="W4262" s="2" t="s">
        <v>7862</v>
      </c>
      <c r="X4262" s="2" t="s">
        <v>471</v>
      </c>
      <c r="Y4262" s="2">
        <v>7176</v>
      </c>
      <c r="Z4262" s="19" t="str">
        <f>HYPERLINK("https://ssdweb.co/ssdweb/hd/Vision360.html?d=926740922&amp;zoomslide=1&amp;z=1926740922&amp;ISCONFIRM=0","VIDEO")</f>
        <v>VIDEO</v>
      </c>
      <c r="AA4262" s="19" t="str">
        <f>HYPERLINK("https://ssdweb.co/ssdweb/CERTH/653451089.pdf","CERTI")</f>
        <v>CERTI</v>
      </c>
    </row>
    <row r="4263" spans="1:27" ht="15" x14ac:dyDescent="0.25">
      <c r="A4263" s="2">
        <v>4258</v>
      </c>
      <c r="B4263" s="39">
        <v>926270813</v>
      </c>
      <c r="C4263" s="28" t="str">
        <f>HYPERLINK("https://pld.live/RapDetail.aspx?STONELIST=926270813","DNA")</f>
        <v>DNA</v>
      </c>
      <c r="D4263" s="18" t="s">
        <v>3054</v>
      </c>
      <c r="E4263" s="18" t="s">
        <v>5128</v>
      </c>
      <c r="F4263" s="2" t="s">
        <v>7987</v>
      </c>
      <c r="G4263" s="2" t="s">
        <v>1573</v>
      </c>
      <c r="H4263" s="14">
        <v>1.04</v>
      </c>
      <c r="I4263" s="2" t="s">
        <v>4761</v>
      </c>
      <c r="J4263" s="2" t="s">
        <v>3942</v>
      </c>
      <c r="K4263" s="2" t="s">
        <v>1452</v>
      </c>
      <c r="L4263" s="2" t="s">
        <v>5221</v>
      </c>
      <c r="M4263" s="2" t="s">
        <v>5721</v>
      </c>
      <c r="N4263" s="2" t="s">
        <v>2317</v>
      </c>
      <c r="O4263" s="14">
        <v>6900</v>
      </c>
      <c r="P4263" s="14">
        <v>98.36</v>
      </c>
      <c r="Q4263" s="14">
        <v>113.16</v>
      </c>
      <c r="R4263" s="14">
        <v>117.69</v>
      </c>
      <c r="S4263" s="2" t="s">
        <v>473</v>
      </c>
      <c r="T4263" s="2">
        <v>1.37</v>
      </c>
      <c r="U4263" s="2">
        <v>62.4</v>
      </c>
      <c r="V4263" s="2">
        <v>61</v>
      </c>
      <c r="W4263" s="2" t="s">
        <v>7862</v>
      </c>
      <c r="X4263" s="2" t="s">
        <v>471</v>
      </c>
      <c r="Y4263" s="2">
        <v>7176</v>
      </c>
      <c r="Z4263" s="19" t="str">
        <f>HYPERLINK("https://ssdweb.co/ssdweb/hd/Vision360.html?d=926270813&amp;zoomslide=1&amp;z=1926270813&amp;ISCONFIRM=0","VIDEO")</f>
        <v>VIDEO</v>
      </c>
      <c r="AA4263" s="19" t="str">
        <f>HYPERLINK("https://ssdweb.co/ssdweb/CERTH/638463325.pdf","CERTI")</f>
        <v>CERTI</v>
      </c>
    </row>
    <row r="4264" spans="1:27" ht="15" x14ac:dyDescent="0.25">
      <c r="A4264" s="2">
        <v>4259</v>
      </c>
      <c r="B4264" s="39">
        <v>925940419</v>
      </c>
      <c r="C4264" s="28" t="str">
        <f>HYPERLINK("https://pld.live/RapDetail.aspx?STONELIST=925940419","DNA")</f>
        <v>DNA</v>
      </c>
      <c r="D4264" s="18" t="s">
        <v>3054</v>
      </c>
      <c r="E4264" s="18" t="s">
        <v>5128</v>
      </c>
      <c r="F4264" s="2" t="s">
        <v>7987</v>
      </c>
      <c r="G4264" s="2" t="s">
        <v>1573</v>
      </c>
      <c r="H4264" s="14">
        <v>1.03</v>
      </c>
      <c r="I4264" s="2" t="s">
        <v>267</v>
      </c>
      <c r="J4264" s="2" t="s">
        <v>6555</v>
      </c>
      <c r="K4264" s="2" t="s">
        <v>1452</v>
      </c>
      <c r="L4264" s="2" t="s">
        <v>5221</v>
      </c>
      <c r="M4264" s="2" t="s">
        <v>5221</v>
      </c>
      <c r="N4264" s="2" t="s">
        <v>2317</v>
      </c>
      <c r="O4264" s="14">
        <v>8200</v>
      </c>
      <c r="P4264" s="14">
        <v>98.29</v>
      </c>
      <c r="Q4264" s="14">
        <v>140.22</v>
      </c>
      <c r="R4264" s="14">
        <v>144.43</v>
      </c>
      <c r="S4264" s="2" t="s">
        <v>745</v>
      </c>
      <c r="T4264" s="2">
        <v>1.38</v>
      </c>
      <c r="U4264" s="2">
        <v>62.5</v>
      </c>
      <c r="V4264" s="2">
        <v>61</v>
      </c>
      <c r="W4264" s="2" t="s">
        <v>7862</v>
      </c>
      <c r="X4264" s="2" t="s">
        <v>471</v>
      </c>
      <c r="Y4264" s="2">
        <v>8446</v>
      </c>
      <c r="Z4264" s="19" t="str">
        <f>HYPERLINK("https://ssdweb.co/ssdweb/hd/Vision360.html?d=925940419&amp;zoomslide=1&amp;z=1925940419&amp;ISCONFIRM=0","VIDEO")</f>
        <v>VIDEO</v>
      </c>
      <c r="AA4264" s="19" t="str">
        <f>HYPERLINK("https://ssdweb.co/ssdweb/CERTH/628463021.pdf","CERTI")</f>
        <v>CERTI</v>
      </c>
    </row>
    <row r="4265" spans="1:27" ht="15" x14ac:dyDescent="0.25">
      <c r="A4265" s="2">
        <v>4260</v>
      </c>
      <c r="B4265" s="39">
        <v>925080499</v>
      </c>
      <c r="C4265" s="28" t="str">
        <f>HYPERLINK("https://pld.live/RapDetail.aspx?STONELIST=925080499","DNA")</f>
        <v>DNA</v>
      </c>
      <c r="D4265" s="18" t="s">
        <v>3054</v>
      </c>
      <c r="E4265" s="18" t="s">
        <v>5128</v>
      </c>
      <c r="F4265" s="2" t="s">
        <v>7987</v>
      </c>
      <c r="G4265" s="2" t="s">
        <v>1573</v>
      </c>
      <c r="H4265" s="14">
        <v>1.03</v>
      </c>
      <c r="I4265" s="2" t="s">
        <v>267</v>
      </c>
      <c r="J4265" s="2" t="s">
        <v>6555</v>
      </c>
      <c r="K4265" s="2" t="s">
        <v>1452</v>
      </c>
      <c r="L4265" s="2" t="s">
        <v>5221</v>
      </c>
      <c r="M4265" s="2" t="s">
        <v>5221</v>
      </c>
      <c r="N4265" s="2" t="s">
        <v>2317</v>
      </c>
      <c r="O4265" s="14">
        <v>8200</v>
      </c>
      <c r="P4265" s="14">
        <v>98.29</v>
      </c>
      <c r="Q4265" s="14">
        <v>140.22</v>
      </c>
      <c r="R4265" s="14">
        <v>144.43</v>
      </c>
      <c r="S4265" s="2" t="s">
        <v>652</v>
      </c>
      <c r="T4265" s="2">
        <v>1.38</v>
      </c>
      <c r="U4265" s="2">
        <v>61.4</v>
      </c>
      <c r="V4265" s="2">
        <v>59</v>
      </c>
      <c r="W4265" s="2" t="s">
        <v>7862</v>
      </c>
      <c r="X4265" s="2" t="s">
        <v>471</v>
      </c>
      <c r="Y4265" s="2">
        <v>8446</v>
      </c>
      <c r="Z4265" s="19" t="str">
        <f>HYPERLINK("https://ssdweb.co/ssdweb/hd/Vision360.html?d=925080499&amp;zoomslide=1&amp;z=1925080499&amp;ISCONFIRM=0","VIDEO")</f>
        <v>VIDEO</v>
      </c>
      <c r="AA4265" s="19" t="str">
        <f>HYPERLINK("https://ssdweb.co/ssdweb/CERTH/613350246.pdf","CERTI")</f>
        <v>CERTI</v>
      </c>
    </row>
    <row r="4266" spans="1:27" ht="15" x14ac:dyDescent="0.25">
      <c r="A4266" s="2">
        <v>4261</v>
      </c>
      <c r="B4266" s="39">
        <v>925140256</v>
      </c>
      <c r="C4266" s="28" t="str">
        <f>HYPERLINK("https://pld.live/RapDetail.aspx?STONELIST=925140256","DNA")</f>
        <v>DNA</v>
      </c>
      <c r="D4266" s="18" t="s">
        <v>3054</v>
      </c>
      <c r="E4266" s="18" t="s">
        <v>5128</v>
      </c>
      <c r="F4266" s="2" t="s">
        <v>7987</v>
      </c>
      <c r="G4266" s="2" t="s">
        <v>1573</v>
      </c>
      <c r="H4266" s="14">
        <v>1.03</v>
      </c>
      <c r="I4266" s="2" t="s">
        <v>267</v>
      </c>
      <c r="J4266" s="2" t="s">
        <v>6555</v>
      </c>
      <c r="K4266" s="2" t="s">
        <v>1452</v>
      </c>
      <c r="L4266" s="2" t="s">
        <v>5221</v>
      </c>
      <c r="M4266" s="2" t="s">
        <v>5221</v>
      </c>
      <c r="N4266" s="2" t="s">
        <v>2317</v>
      </c>
      <c r="O4266" s="14">
        <v>8200</v>
      </c>
      <c r="P4266" s="14">
        <v>98.29</v>
      </c>
      <c r="Q4266" s="14">
        <v>140.22</v>
      </c>
      <c r="R4266" s="14">
        <v>144.43</v>
      </c>
      <c r="S4266" s="2" t="s">
        <v>7157</v>
      </c>
      <c r="T4266" s="2">
        <v>1.38</v>
      </c>
      <c r="U4266" s="2">
        <v>61.8</v>
      </c>
      <c r="V4266" s="2">
        <v>59</v>
      </c>
      <c r="W4266" s="2" t="s">
        <v>7862</v>
      </c>
      <c r="X4266" s="2" t="s">
        <v>471</v>
      </c>
      <c r="Y4266" s="2">
        <v>8446</v>
      </c>
      <c r="Z4266" s="19" t="str">
        <f>HYPERLINK("https://ssdweb.co/ssdweb/hd/Vision360.html?d=925140256&amp;zoomslide=1&amp;z=1925140256&amp;ISCONFIRM=0","VIDEO")</f>
        <v>VIDEO</v>
      </c>
      <c r="AA4266" s="19" t="str">
        <f>HYPERLINK("https://ssdweb.co/ssdweb/CERTH/612322032.pdf","CERTI")</f>
        <v>CERTI</v>
      </c>
    </row>
    <row r="4267" spans="1:27" ht="15" x14ac:dyDescent="0.25">
      <c r="A4267" s="2">
        <v>4262</v>
      </c>
      <c r="B4267" s="39">
        <v>925502459</v>
      </c>
      <c r="C4267" s="28" t="str">
        <f>HYPERLINK("https://pld.live/RapDetail.aspx?STONELIST=925502459","DNA")</f>
        <v>DNA</v>
      </c>
      <c r="D4267" s="18" t="s">
        <v>3054</v>
      </c>
      <c r="E4267" s="18" t="s">
        <v>5128</v>
      </c>
      <c r="F4267" s="2" t="s">
        <v>7987</v>
      </c>
      <c r="G4267" s="2" t="s">
        <v>1573</v>
      </c>
      <c r="H4267" s="14">
        <v>1.03</v>
      </c>
      <c r="I4267" s="2" t="s">
        <v>267</v>
      </c>
      <c r="J4267" s="2" t="s">
        <v>3942</v>
      </c>
      <c r="K4267" s="2" t="s">
        <v>1452</v>
      </c>
      <c r="L4267" s="2" t="s">
        <v>5221</v>
      </c>
      <c r="M4267" s="2" t="s">
        <v>5221</v>
      </c>
      <c r="N4267" s="2" t="s">
        <v>2317</v>
      </c>
      <c r="O4267" s="14">
        <v>7600</v>
      </c>
      <c r="P4267" s="14">
        <v>98.49</v>
      </c>
      <c r="Q4267" s="14">
        <v>114.76</v>
      </c>
      <c r="R4267" s="14">
        <v>118.2</v>
      </c>
      <c r="S4267" s="2" t="s">
        <v>2814</v>
      </c>
      <c r="T4267" s="2">
        <v>1.36</v>
      </c>
      <c r="U4267" s="2">
        <v>61.7</v>
      </c>
      <c r="V4267" s="2">
        <v>61</v>
      </c>
      <c r="W4267" s="2" t="s">
        <v>7862</v>
      </c>
      <c r="X4267" s="2" t="s">
        <v>471</v>
      </c>
      <c r="Y4267" s="2">
        <v>7828</v>
      </c>
      <c r="Z4267" s="19" t="str">
        <f>HYPERLINK("https://ssdweb.co/ssdweb/hd/Vision360.html?d=925502459&amp;zoomslide=1&amp;z=1925502459&amp;ISCONFIRM=0","VIDEO")</f>
        <v>VIDEO</v>
      </c>
      <c r="AA4267" s="19" t="str">
        <f>HYPERLINK("https://ssdweb.co/ssdweb/CERTH/618439718.pdf","CERTI")</f>
        <v>CERTI</v>
      </c>
    </row>
    <row r="4268" spans="1:27" ht="15" x14ac:dyDescent="0.25">
      <c r="A4268" s="2">
        <v>4263</v>
      </c>
      <c r="B4268" s="39">
        <v>926291275</v>
      </c>
      <c r="C4268" s="28" t="str">
        <f>HYPERLINK("https://pld.live/RapDetail.aspx?STONELIST=926291275","DNA")</f>
        <v>DNA</v>
      </c>
      <c r="D4268" s="18" t="s">
        <v>3054</v>
      </c>
      <c r="E4268" s="18" t="s">
        <v>5128</v>
      </c>
      <c r="F4268" s="2" t="s">
        <v>7987</v>
      </c>
      <c r="G4268" s="2" t="s">
        <v>1573</v>
      </c>
      <c r="H4268" s="14">
        <v>1.03</v>
      </c>
      <c r="I4268" s="2" t="s">
        <v>267</v>
      </c>
      <c r="J4268" s="2" t="s">
        <v>3942</v>
      </c>
      <c r="K4268" s="2" t="s">
        <v>1452</v>
      </c>
      <c r="L4268" s="2" t="s">
        <v>5221</v>
      </c>
      <c r="M4268" s="2" t="s">
        <v>5221</v>
      </c>
      <c r="N4268" s="2" t="s">
        <v>2317</v>
      </c>
      <c r="O4268" s="14">
        <v>7600</v>
      </c>
      <c r="P4268" s="14">
        <v>98.45</v>
      </c>
      <c r="Q4268" s="14">
        <v>117.8</v>
      </c>
      <c r="R4268" s="14">
        <v>121.33</v>
      </c>
      <c r="S4268" s="2" t="s">
        <v>5115</v>
      </c>
      <c r="T4268" s="2">
        <v>1.36</v>
      </c>
      <c r="U4268" s="2">
        <v>62.7</v>
      </c>
      <c r="V4268" s="2">
        <v>63</v>
      </c>
      <c r="W4268" s="2" t="s">
        <v>7862</v>
      </c>
      <c r="X4268" s="2" t="s">
        <v>471</v>
      </c>
      <c r="Y4268" s="2">
        <v>7828</v>
      </c>
      <c r="Z4268" s="19" t="str">
        <f>HYPERLINK("https://ssdweb.co/ssdweb/hd/Vision360.html?d=926291275&amp;zoomslide=1&amp;z=1926291275&amp;ISCONFIRM=0","VIDEO")</f>
        <v>VIDEO</v>
      </c>
      <c r="AA4268" s="19" t="str">
        <f>HYPERLINK("https://ssdweb.co/ssdweb/CERTH/638463202.pdf","CERTI")</f>
        <v>CERTI</v>
      </c>
    </row>
    <row r="4269" spans="1:27" ht="15" x14ac:dyDescent="0.25">
      <c r="A4269" s="2">
        <v>4264</v>
      </c>
      <c r="B4269" s="39">
        <v>926110180</v>
      </c>
      <c r="C4269" s="28" t="str">
        <f>HYPERLINK("https://pld.live/RapDetail.aspx?STONELIST=926110180","DNA")</f>
        <v>DNA</v>
      </c>
      <c r="D4269" s="18" t="s">
        <v>3054</v>
      </c>
      <c r="E4269" s="18" t="s">
        <v>5128</v>
      </c>
      <c r="F4269" s="2" t="s">
        <v>7987</v>
      </c>
      <c r="G4269" s="2" t="s">
        <v>1573</v>
      </c>
      <c r="H4269" s="14">
        <v>1.03</v>
      </c>
      <c r="I4269" s="2" t="s">
        <v>267</v>
      </c>
      <c r="J4269" s="2" t="s">
        <v>3942</v>
      </c>
      <c r="K4269" s="2" t="s">
        <v>1452</v>
      </c>
      <c r="L4269" s="2" t="s">
        <v>5221</v>
      </c>
      <c r="M4269" s="2" t="s">
        <v>5221</v>
      </c>
      <c r="N4269" s="2" t="s">
        <v>2317</v>
      </c>
      <c r="O4269" s="14">
        <v>7600</v>
      </c>
      <c r="P4269" s="14">
        <v>98.49</v>
      </c>
      <c r="Q4269" s="14">
        <v>114.76</v>
      </c>
      <c r="R4269" s="14">
        <v>118.2</v>
      </c>
      <c r="S4269" s="2" t="s">
        <v>8054</v>
      </c>
      <c r="T4269" s="2">
        <v>1.39</v>
      </c>
      <c r="U4269" s="2">
        <v>62.2</v>
      </c>
      <c r="V4269" s="2">
        <v>60</v>
      </c>
      <c r="W4269" s="2" t="s">
        <v>7862</v>
      </c>
      <c r="X4269" s="2" t="s">
        <v>471</v>
      </c>
      <c r="Y4269" s="2">
        <v>7828</v>
      </c>
      <c r="Z4269" s="19" t="str">
        <f>HYPERLINK("https://ssdweb.co/ssdweb/hd/Vision360.html?d=926110180&amp;zoomslide=1&amp;z=1926110180&amp;ISCONFIRM=0","VIDEO")</f>
        <v>VIDEO</v>
      </c>
      <c r="AA4269" s="19" t="str">
        <f>HYPERLINK("https://ssdweb.co/ssdweb/CERTH/632488283.pdf","CERTI")</f>
        <v>CERTI</v>
      </c>
    </row>
    <row r="4270" spans="1:27" ht="15" x14ac:dyDescent="0.25">
      <c r="A4270" s="2">
        <v>4265</v>
      </c>
      <c r="B4270" s="39">
        <v>926100568</v>
      </c>
      <c r="C4270" s="28" t="str">
        <f>HYPERLINK("https://pld.live/RapDetail.aspx?STONELIST=926100568","DNA")</f>
        <v>DNA</v>
      </c>
      <c r="D4270" s="18" t="s">
        <v>3054</v>
      </c>
      <c r="E4270" s="18" t="s">
        <v>5128</v>
      </c>
      <c r="F4270" s="2" t="s">
        <v>7987</v>
      </c>
      <c r="G4270" s="2" t="s">
        <v>1573</v>
      </c>
      <c r="H4270" s="14">
        <v>1.03</v>
      </c>
      <c r="I4270" s="2" t="s">
        <v>267</v>
      </c>
      <c r="J4270" s="2" t="s">
        <v>3942</v>
      </c>
      <c r="K4270" s="2" t="s">
        <v>1452</v>
      </c>
      <c r="L4270" s="2" t="s">
        <v>5721</v>
      </c>
      <c r="M4270" s="2" t="s">
        <v>5221</v>
      </c>
      <c r="N4270" s="2" t="s">
        <v>2317</v>
      </c>
      <c r="O4270" s="14">
        <v>7600</v>
      </c>
      <c r="P4270" s="14">
        <v>98.51</v>
      </c>
      <c r="Q4270" s="14">
        <v>113.24</v>
      </c>
      <c r="R4270" s="14">
        <v>116.64</v>
      </c>
      <c r="S4270" s="2" t="s">
        <v>6671</v>
      </c>
      <c r="T4270" s="2">
        <v>1.36</v>
      </c>
      <c r="U4270" s="2">
        <v>62.2</v>
      </c>
      <c r="V4270" s="2">
        <v>62</v>
      </c>
      <c r="W4270" s="2" t="s">
        <v>7862</v>
      </c>
      <c r="X4270" s="2" t="s">
        <v>471</v>
      </c>
      <c r="Y4270" s="2">
        <v>7828</v>
      </c>
      <c r="Z4270" s="19" t="str">
        <f>HYPERLINK("https://ssdweb.co/ssdweb/hd/Vision360.html?d=926100568&amp;zoomslide=1&amp;z=1926100568&amp;ISCONFIRM=0","VIDEO")</f>
        <v>VIDEO</v>
      </c>
      <c r="AA4270" s="19" t="str">
        <f>HYPERLINK("https://ssdweb.co/ssdweb/CERTH/631430081.pdf","CERTI")</f>
        <v>CERTI</v>
      </c>
    </row>
    <row r="4271" spans="1:27" ht="15" x14ac:dyDescent="0.25">
      <c r="A4271" s="2">
        <v>4266</v>
      </c>
      <c r="B4271" s="39">
        <v>925981146</v>
      </c>
      <c r="C4271" s="28" t="str">
        <f>HYPERLINK("https://pld.live/RapDetail.aspx?STONELIST=925981146","DNA")</f>
        <v>DNA</v>
      </c>
      <c r="D4271" s="18" t="s">
        <v>3054</v>
      </c>
      <c r="E4271" s="18" t="s">
        <v>5128</v>
      </c>
      <c r="F4271" s="2" t="s">
        <v>7987</v>
      </c>
      <c r="G4271" s="2" t="s">
        <v>1573</v>
      </c>
      <c r="H4271" s="14">
        <v>1.03</v>
      </c>
      <c r="I4271" s="2" t="s">
        <v>267</v>
      </c>
      <c r="J4271" s="2" t="s">
        <v>13</v>
      </c>
      <c r="K4271" s="2" t="s">
        <v>1452</v>
      </c>
      <c r="L4271" s="2" t="s">
        <v>5221</v>
      </c>
      <c r="M4271" s="2" t="s">
        <v>5221</v>
      </c>
      <c r="N4271" s="2" t="s">
        <v>2317</v>
      </c>
      <c r="O4271" s="14">
        <v>6700</v>
      </c>
      <c r="P4271" s="14">
        <v>98.33</v>
      </c>
      <c r="Q4271" s="14">
        <v>111.89</v>
      </c>
      <c r="R4271" s="14">
        <v>115.25</v>
      </c>
      <c r="S4271" s="2" t="s">
        <v>4961</v>
      </c>
      <c r="T4271" s="2">
        <v>1.36</v>
      </c>
      <c r="U4271" s="2">
        <v>63.3</v>
      </c>
      <c r="V4271" s="2">
        <v>61</v>
      </c>
      <c r="W4271" s="2" t="s">
        <v>7862</v>
      </c>
      <c r="X4271" s="2" t="s">
        <v>471</v>
      </c>
      <c r="Y4271" s="2">
        <v>6901</v>
      </c>
      <c r="Z4271" s="19" t="str">
        <f>HYPERLINK("https://ssdweb.co/ssdweb/hd/Vision360.html?d=925981146&amp;zoomslide=1&amp;z=1925981146&amp;ISCONFIRM=0","VIDEO")</f>
        <v>VIDEO</v>
      </c>
      <c r="AA4271" s="19" t="str">
        <f>HYPERLINK("https://ssdweb.co/ssdweb/CERTH/629481834.pdf","CERTI")</f>
        <v>CERTI</v>
      </c>
    </row>
    <row r="4272" spans="1:27" ht="15" x14ac:dyDescent="0.25">
      <c r="A4272" s="2">
        <v>4267</v>
      </c>
      <c r="B4272" s="39">
        <v>926311035</v>
      </c>
      <c r="C4272" s="28" t="str">
        <f>HYPERLINK("https://pld.live/RapDetail.aspx?STONELIST=926311035","DNA")</f>
        <v>DNA</v>
      </c>
      <c r="D4272" s="18" t="s">
        <v>3054</v>
      </c>
      <c r="E4272" s="18" t="s">
        <v>5128</v>
      </c>
      <c r="F4272" s="2" t="s">
        <v>7987</v>
      </c>
      <c r="G4272" s="2" t="s">
        <v>1573</v>
      </c>
      <c r="H4272" s="14">
        <v>1.03</v>
      </c>
      <c r="I4272" s="2" t="s">
        <v>267</v>
      </c>
      <c r="J4272" s="2" t="s">
        <v>13</v>
      </c>
      <c r="K4272" s="2" t="s">
        <v>1452</v>
      </c>
      <c r="L4272" s="2" t="s">
        <v>5221</v>
      </c>
      <c r="M4272" s="2" t="s">
        <v>5721</v>
      </c>
      <c r="N4272" s="2" t="s">
        <v>2317</v>
      </c>
      <c r="O4272" s="14">
        <v>6700</v>
      </c>
      <c r="P4272" s="14">
        <v>98.31</v>
      </c>
      <c r="Q4272" s="14">
        <v>113.23</v>
      </c>
      <c r="R4272" s="14">
        <v>116.63</v>
      </c>
      <c r="S4272" s="2" t="s">
        <v>7471</v>
      </c>
      <c r="T4272" s="2">
        <v>1.36</v>
      </c>
      <c r="U4272" s="2">
        <v>63.3</v>
      </c>
      <c r="V4272" s="2">
        <v>63</v>
      </c>
      <c r="W4272" s="2" t="s">
        <v>7862</v>
      </c>
      <c r="X4272" s="2" t="s">
        <v>471</v>
      </c>
      <c r="Y4272" s="2">
        <v>6901</v>
      </c>
      <c r="Z4272" s="19" t="str">
        <f>HYPERLINK("https://ssdweb.co/ssdweb/hd/Vision360.html?d=926311035&amp;zoomslide=1&amp;z=1926311035&amp;ISCONFIRM=0","VIDEO")</f>
        <v>VIDEO</v>
      </c>
      <c r="AA4272" s="19" t="str">
        <f>HYPERLINK("https://ssdweb.co/ssdweb/CERTH/660490604.pdf","CERTI")</f>
        <v>CERTI</v>
      </c>
    </row>
    <row r="4273" spans="1:27" ht="15" x14ac:dyDescent="0.25">
      <c r="A4273" s="2">
        <v>4268</v>
      </c>
      <c r="B4273" s="39">
        <v>925510134</v>
      </c>
      <c r="C4273" s="28" t="str">
        <f>HYPERLINK("https://pld.live/RapDetail.aspx?STONELIST=925510134","DNA")</f>
        <v>DNA</v>
      </c>
      <c r="D4273" s="18" t="s">
        <v>3054</v>
      </c>
      <c r="E4273" s="18" t="s">
        <v>2186</v>
      </c>
      <c r="F4273" s="2" t="s">
        <v>5597</v>
      </c>
      <c r="G4273" s="2" t="s">
        <v>1573</v>
      </c>
      <c r="H4273" s="14">
        <v>1.03</v>
      </c>
      <c r="I4273" s="2" t="s">
        <v>267</v>
      </c>
      <c r="J4273" s="2" t="s">
        <v>13</v>
      </c>
      <c r="K4273" s="2" t="s">
        <v>1452</v>
      </c>
      <c r="L4273" s="2" t="s">
        <v>5221</v>
      </c>
      <c r="M4273" s="2" t="s">
        <v>5721</v>
      </c>
      <c r="N4273" s="2" t="s">
        <v>2317</v>
      </c>
      <c r="O4273" s="14">
        <v>6700</v>
      </c>
      <c r="P4273" s="14">
        <v>96.82</v>
      </c>
      <c r="Q4273" s="14">
        <v>213.06</v>
      </c>
      <c r="R4273" s="14">
        <v>219.45</v>
      </c>
      <c r="S4273" s="2" t="s">
        <v>1113</v>
      </c>
      <c r="T4273" s="2">
        <v>1.38</v>
      </c>
      <c r="U4273" s="2">
        <v>60.5</v>
      </c>
      <c r="V4273" s="2">
        <v>60</v>
      </c>
      <c r="W4273" s="2" t="s">
        <v>7862</v>
      </c>
      <c r="X4273" s="2" t="s">
        <v>471</v>
      </c>
      <c r="Y4273" s="2">
        <v>6901</v>
      </c>
      <c r="Z4273" s="19" t="str">
        <f>HYPERLINK("https://ssdweb.co/ssdweb/hd/Vision360.html?d=925510134&amp;zoomslide=1&amp;z=1925510134&amp;ISCONFIRM=0","VIDEO")</f>
        <v>VIDEO</v>
      </c>
      <c r="AA4273" s="19" t="str">
        <f>HYPERLINK("https://ssdweb.co/ssdweb/CERTH/6482407523.pdf","CERTI")</f>
        <v>CERTI</v>
      </c>
    </row>
    <row r="4274" spans="1:27" ht="15" x14ac:dyDescent="0.25">
      <c r="A4274" s="2">
        <v>4269</v>
      </c>
      <c r="B4274" s="39">
        <v>925732264</v>
      </c>
      <c r="C4274" s="28" t="str">
        <f>HYPERLINK("https://pld.live/RapDetail.aspx?STONELIST=925732264","DNA")</f>
        <v>DNA</v>
      </c>
      <c r="D4274" s="18" t="s">
        <v>3054</v>
      </c>
      <c r="E4274" s="18" t="s">
        <v>5128</v>
      </c>
      <c r="F4274" s="2" t="s">
        <v>7987</v>
      </c>
      <c r="G4274" s="2" t="s">
        <v>1573</v>
      </c>
      <c r="H4274" s="14">
        <v>1.03</v>
      </c>
      <c r="I4274" s="2" t="s">
        <v>4761</v>
      </c>
      <c r="J4274" s="2" t="s">
        <v>6555</v>
      </c>
      <c r="K4274" s="2" t="s">
        <v>1452</v>
      </c>
      <c r="L4274" s="2" t="s">
        <v>5221</v>
      </c>
      <c r="M4274" s="2" t="s">
        <v>5221</v>
      </c>
      <c r="N4274" s="2" t="s">
        <v>2317</v>
      </c>
      <c r="O4274" s="14">
        <v>7500</v>
      </c>
      <c r="P4274" s="14">
        <v>98.27</v>
      </c>
      <c r="Q4274" s="14">
        <v>129.75</v>
      </c>
      <c r="R4274" s="14">
        <v>133.63999999999999</v>
      </c>
      <c r="S4274" s="2" t="s">
        <v>5477</v>
      </c>
      <c r="T4274" s="2">
        <v>1.38</v>
      </c>
      <c r="U4274" s="2">
        <v>62.2</v>
      </c>
      <c r="V4274" s="2">
        <v>59</v>
      </c>
      <c r="W4274" s="2" t="s">
        <v>7862</v>
      </c>
      <c r="X4274" s="2" t="s">
        <v>471</v>
      </c>
      <c r="Y4274" s="2">
        <v>7725</v>
      </c>
      <c r="Z4274" s="19" t="str">
        <f>HYPERLINK("https://ssdweb.co/ssdweb/hd/Vision360.html?d=925732264&amp;zoomslide=1&amp;z=1925732264&amp;ISCONFIRM=0","VIDEO")</f>
        <v>VIDEO</v>
      </c>
      <c r="AA4274" s="19" t="str">
        <f>HYPERLINK("https://ssdweb.co/ssdweb/CERTH/626499175.pdf","CERTI")</f>
        <v>CERTI</v>
      </c>
    </row>
    <row r="4275" spans="1:27" ht="15" x14ac:dyDescent="0.25">
      <c r="A4275" s="2">
        <v>4270</v>
      </c>
      <c r="B4275" s="39">
        <v>925830449</v>
      </c>
      <c r="C4275" s="28" t="str">
        <f>HYPERLINK("https://pld.live/RapDetail.aspx?STONELIST=925830449","DNA")</f>
        <v>DNA</v>
      </c>
      <c r="D4275" s="18" t="s">
        <v>3054</v>
      </c>
      <c r="E4275" s="18" t="s">
        <v>5128</v>
      </c>
      <c r="F4275" s="2" t="s">
        <v>7987</v>
      </c>
      <c r="G4275" s="2" t="s">
        <v>1573</v>
      </c>
      <c r="H4275" s="14">
        <v>1.03</v>
      </c>
      <c r="I4275" s="2" t="s">
        <v>4761</v>
      </c>
      <c r="J4275" s="2" t="s">
        <v>3942</v>
      </c>
      <c r="K4275" s="2" t="s">
        <v>1452</v>
      </c>
      <c r="L4275" s="2" t="s">
        <v>5221</v>
      </c>
      <c r="M4275" s="2" t="s">
        <v>5221</v>
      </c>
      <c r="N4275" s="2" t="s">
        <v>2317</v>
      </c>
      <c r="O4275" s="14">
        <v>6900</v>
      </c>
      <c r="P4275" s="14">
        <v>98.38</v>
      </c>
      <c r="Q4275" s="14">
        <v>111.78</v>
      </c>
      <c r="R4275" s="14">
        <v>115.13</v>
      </c>
      <c r="S4275" s="2" t="s">
        <v>4328</v>
      </c>
      <c r="T4275" s="2">
        <v>1.39</v>
      </c>
      <c r="U4275" s="2">
        <v>62.2</v>
      </c>
      <c r="V4275" s="2">
        <v>58</v>
      </c>
      <c r="W4275" s="2" t="s">
        <v>7862</v>
      </c>
      <c r="X4275" s="2" t="s">
        <v>471</v>
      </c>
      <c r="Y4275" s="2">
        <v>7107</v>
      </c>
      <c r="Z4275" s="19" t="str">
        <f>HYPERLINK("https://ssdweb.co/ssdweb/hd/Vision360.html?d=925830449&amp;zoomslide=1&amp;z=1925830449&amp;ISCONFIRM=0","VIDEO")</f>
        <v>VIDEO</v>
      </c>
      <c r="AA4275" s="19" t="str">
        <f>HYPERLINK("https://ssdweb.co/ssdweb/CERTH/626414945.pdf","CERTI")</f>
        <v>CERTI</v>
      </c>
    </row>
    <row r="4276" spans="1:27" ht="15" x14ac:dyDescent="0.25">
      <c r="A4276" s="2">
        <v>4271</v>
      </c>
      <c r="B4276" s="39">
        <v>925830516</v>
      </c>
      <c r="C4276" s="28" t="str">
        <f>HYPERLINK("https://pld.live/RapDetail.aspx?STONELIST=925830516","DNA")</f>
        <v>DNA</v>
      </c>
      <c r="D4276" s="18" t="s">
        <v>3054</v>
      </c>
      <c r="E4276" s="18" t="s">
        <v>5128</v>
      </c>
      <c r="F4276" s="2" t="s">
        <v>7987</v>
      </c>
      <c r="G4276" s="2" t="s">
        <v>1573</v>
      </c>
      <c r="H4276" s="14">
        <v>1.03</v>
      </c>
      <c r="I4276" s="2" t="s">
        <v>4761</v>
      </c>
      <c r="J4276" s="2" t="s">
        <v>3942</v>
      </c>
      <c r="K4276" s="2" t="s">
        <v>1452</v>
      </c>
      <c r="L4276" s="2" t="s">
        <v>5221</v>
      </c>
      <c r="M4276" s="2" t="s">
        <v>5221</v>
      </c>
      <c r="N4276" s="2" t="s">
        <v>2317</v>
      </c>
      <c r="O4276" s="14">
        <v>6900</v>
      </c>
      <c r="P4276" s="14">
        <v>98.38</v>
      </c>
      <c r="Q4276" s="14">
        <v>111.78</v>
      </c>
      <c r="R4276" s="14">
        <v>115.13</v>
      </c>
      <c r="S4276" s="2" t="s">
        <v>2009</v>
      </c>
      <c r="T4276" s="2">
        <v>1.38</v>
      </c>
      <c r="U4276" s="2">
        <v>62.3</v>
      </c>
      <c r="V4276" s="2">
        <v>61</v>
      </c>
      <c r="W4276" s="2" t="s">
        <v>7862</v>
      </c>
      <c r="X4276" s="2" t="s">
        <v>471</v>
      </c>
      <c r="Y4276" s="2">
        <v>7107</v>
      </c>
      <c r="Z4276" s="19" t="str">
        <f>HYPERLINK("https://ssdweb.co/ssdweb/hd/Vision360.html?d=925830516&amp;zoomslide=1&amp;z=1925830516&amp;ISCONFIRM=0","VIDEO")</f>
        <v>VIDEO</v>
      </c>
      <c r="AA4276" s="19" t="str">
        <f>HYPERLINK("https://ssdweb.co/ssdweb/CERTH/626427570.pdf","CERTI")</f>
        <v>CERTI</v>
      </c>
    </row>
    <row r="4277" spans="1:27" ht="15" x14ac:dyDescent="0.25">
      <c r="A4277" s="2">
        <v>4272</v>
      </c>
      <c r="B4277" s="39">
        <v>927010782</v>
      </c>
      <c r="C4277" s="28" t="str">
        <f>HYPERLINK("https://pld.live/RapDetail.aspx?STONELIST=927010782","DNA")</f>
        <v>DNA</v>
      </c>
      <c r="D4277" s="18" t="s">
        <v>3054</v>
      </c>
      <c r="E4277" s="18" t="s">
        <v>2186</v>
      </c>
      <c r="F4277" s="2" t="s">
        <v>7987</v>
      </c>
      <c r="G4277" s="2" t="s">
        <v>1573</v>
      </c>
      <c r="H4277" s="14">
        <v>1.03</v>
      </c>
      <c r="I4277" s="2" t="s">
        <v>4761</v>
      </c>
      <c r="J4277" s="2" t="s">
        <v>3942</v>
      </c>
      <c r="K4277" s="2" t="s">
        <v>1452</v>
      </c>
      <c r="L4277" s="2" t="s">
        <v>5221</v>
      </c>
      <c r="M4277" s="2" t="s">
        <v>5221</v>
      </c>
      <c r="N4277" s="2" t="s">
        <v>2317</v>
      </c>
      <c r="O4277" s="14">
        <v>6900</v>
      </c>
      <c r="P4277" s="14">
        <v>98.3</v>
      </c>
      <c r="Q4277" s="14">
        <v>117.3</v>
      </c>
      <c r="R4277" s="14">
        <v>120.82</v>
      </c>
      <c r="S4277" s="2" t="s">
        <v>5365</v>
      </c>
      <c r="T4277" s="2">
        <v>1.39</v>
      </c>
      <c r="U4277" s="2">
        <v>61.3</v>
      </c>
      <c r="V4277" s="2">
        <v>59</v>
      </c>
      <c r="W4277" s="2" t="s">
        <v>7862</v>
      </c>
      <c r="X4277" s="2" t="s">
        <v>471</v>
      </c>
      <c r="Y4277" s="2">
        <v>7107</v>
      </c>
      <c r="Z4277" s="19" t="str">
        <f>HYPERLINK("https://ssdweb.co/ssdweb/hd/Vision360.html?d=927010782&amp;zoomslide=1&amp;z=1927010782&amp;ISCONFIRM=0","VIDEO")</f>
        <v>VIDEO</v>
      </c>
      <c r="AA4277" s="19" t="str">
        <f>HYPERLINK("https://ssdweb.co/ssdweb/CERTH/670484471.pdf","CERTI")</f>
        <v>CERTI</v>
      </c>
    </row>
    <row r="4278" spans="1:27" ht="15" x14ac:dyDescent="0.25">
      <c r="A4278" s="2">
        <v>4273</v>
      </c>
      <c r="B4278" s="39">
        <v>926291346</v>
      </c>
      <c r="C4278" s="28" t="str">
        <f>HYPERLINK("https://pld.live/RapDetail.aspx?STONELIST=926291346","DNA")</f>
        <v>DNA</v>
      </c>
      <c r="D4278" s="18" t="s">
        <v>3054</v>
      </c>
      <c r="E4278" s="18" t="s">
        <v>5128</v>
      </c>
      <c r="F4278" s="2" t="s">
        <v>7987</v>
      </c>
      <c r="G4278" s="2" t="s">
        <v>1573</v>
      </c>
      <c r="H4278" s="14">
        <v>1.03</v>
      </c>
      <c r="I4278" s="2" t="s">
        <v>4761</v>
      </c>
      <c r="J4278" s="2" t="s">
        <v>3942</v>
      </c>
      <c r="K4278" s="2" t="s">
        <v>1452</v>
      </c>
      <c r="L4278" s="2" t="s">
        <v>5221</v>
      </c>
      <c r="M4278" s="2" t="s">
        <v>5221</v>
      </c>
      <c r="N4278" s="2" t="s">
        <v>2317</v>
      </c>
      <c r="O4278" s="14">
        <v>6900</v>
      </c>
      <c r="P4278" s="14">
        <v>98.33</v>
      </c>
      <c r="Q4278" s="14">
        <v>115.23</v>
      </c>
      <c r="R4278" s="14">
        <v>118.69</v>
      </c>
      <c r="S4278" s="2" t="s">
        <v>6397</v>
      </c>
      <c r="T4278" s="2">
        <v>1.37</v>
      </c>
      <c r="U4278" s="2">
        <v>62.9</v>
      </c>
      <c r="V4278" s="2">
        <v>62</v>
      </c>
      <c r="W4278" s="2" t="s">
        <v>7862</v>
      </c>
      <c r="X4278" s="2" t="s">
        <v>471</v>
      </c>
      <c r="Y4278" s="2">
        <v>7107</v>
      </c>
      <c r="Z4278" s="19" t="str">
        <f>HYPERLINK("https://ssdweb.co/ssdweb/hd/Vision360.html?d=926291346&amp;zoomslide=1&amp;z=1926291346&amp;ISCONFIRM=0","VIDEO")</f>
        <v>VIDEO</v>
      </c>
      <c r="AA4278" s="19" t="str">
        <f>HYPERLINK("https://ssdweb.co/ssdweb/CERTH/660490598.pdf","CERTI")</f>
        <v>CERTI</v>
      </c>
    </row>
    <row r="4279" spans="1:27" ht="15" x14ac:dyDescent="0.25">
      <c r="A4279" s="2">
        <v>4274</v>
      </c>
      <c r="B4279" s="39">
        <v>821113589</v>
      </c>
      <c r="C4279" s="28" t="str">
        <f>HYPERLINK("https://pld.live/RapDetail.aspx?STONELIST=821113589","DNA")</f>
        <v>DNA</v>
      </c>
      <c r="D4279" s="18" t="s">
        <v>3054</v>
      </c>
      <c r="E4279" s="18" t="s">
        <v>2186</v>
      </c>
      <c r="F4279" s="2" t="s">
        <v>7987</v>
      </c>
      <c r="G4279" s="2" t="s">
        <v>1573</v>
      </c>
      <c r="H4279" s="14">
        <v>1.03</v>
      </c>
      <c r="I4279" s="2" t="s">
        <v>4761</v>
      </c>
      <c r="J4279" s="2" t="s">
        <v>5144</v>
      </c>
      <c r="K4279" s="2" t="s">
        <v>1452</v>
      </c>
      <c r="L4279" s="2" t="s">
        <v>5221</v>
      </c>
      <c r="M4279" s="2" t="s">
        <v>5221</v>
      </c>
      <c r="N4279" s="2" t="s">
        <v>2317</v>
      </c>
      <c r="O4279" s="14">
        <v>5400</v>
      </c>
      <c r="P4279" s="14">
        <v>98.04</v>
      </c>
      <c r="Q4279" s="14">
        <v>105.84</v>
      </c>
      <c r="R4279" s="14">
        <v>109.02</v>
      </c>
      <c r="S4279" s="2" t="s">
        <v>7398</v>
      </c>
      <c r="T4279" s="2">
        <v>1.36</v>
      </c>
      <c r="U4279" s="2">
        <v>62.9</v>
      </c>
      <c r="V4279" s="2">
        <v>61</v>
      </c>
      <c r="W4279" s="2" t="s">
        <v>7862</v>
      </c>
      <c r="X4279" s="2" t="s">
        <v>471</v>
      </c>
      <c r="Y4279" s="2">
        <v>5562</v>
      </c>
      <c r="Z4279" s="19" t="str">
        <f>HYPERLINK("https://ssdweb.co/ssdweb/hd/Vision360.html?d=821113589&amp;zoomslide=1&amp;z=1821113589&amp;ISCONFIRM=0","VIDEO")</f>
        <v>VIDEO</v>
      </c>
      <c r="AA4279" s="19" t="str">
        <f>HYPERLINK("https://ssdweb.co/ssdweb/CERTH/619435820.pdf","CERTI")</f>
        <v>CERTI</v>
      </c>
    </row>
    <row r="4280" spans="1:27" ht="15" x14ac:dyDescent="0.25">
      <c r="A4280" s="2">
        <v>4275</v>
      </c>
      <c r="B4280" s="39">
        <v>926030135</v>
      </c>
      <c r="C4280" s="28" t="str">
        <f>HYPERLINK("https://pld.live/RapDetail.aspx?STONELIST=926030135","DNA")</f>
        <v>DNA</v>
      </c>
      <c r="D4280" s="18" t="s">
        <v>3054</v>
      </c>
      <c r="E4280" s="18" t="s">
        <v>2186</v>
      </c>
      <c r="F4280" s="2" t="s">
        <v>7987</v>
      </c>
      <c r="G4280" s="2" t="s">
        <v>1573</v>
      </c>
      <c r="H4280" s="14">
        <v>1.03</v>
      </c>
      <c r="I4280" s="2" t="s">
        <v>1505</v>
      </c>
      <c r="J4280" s="2" t="s">
        <v>3942</v>
      </c>
      <c r="K4280" s="2" t="s">
        <v>1452</v>
      </c>
      <c r="L4280" s="2" t="s">
        <v>5221</v>
      </c>
      <c r="M4280" s="2" t="s">
        <v>5221</v>
      </c>
      <c r="N4280" s="2" t="s">
        <v>2317</v>
      </c>
      <c r="O4280" s="14">
        <v>4900</v>
      </c>
      <c r="P4280" s="14">
        <v>97.86</v>
      </c>
      <c r="Q4280" s="14">
        <v>104.86</v>
      </c>
      <c r="R4280" s="14">
        <v>108.01</v>
      </c>
      <c r="S4280" s="2" t="s">
        <v>182</v>
      </c>
      <c r="T4280" s="2">
        <v>1.38</v>
      </c>
      <c r="U4280" s="2">
        <v>61.2</v>
      </c>
      <c r="V4280" s="2">
        <v>62</v>
      </c>
      <c r="W4280" s="2" t="s">
        <v>7862</v>
      </c>
      <c r="X4280" s="2" t="s">
        <v>471</v>
      </c>
      <c r="Y4280" s="2">
        <v>5047</v>
      </c>
      <c r="Z4280" s="19" t="str">
        <f>HYPERLINK("https://ssdweb.co/ssdweb/hd/Vision360.html?d=926030135&amp;zoomslide=1&amp;z=1926030135&amp;ISCONFIRM=0","VIDEO")</f>
        <v>VIDEO</v>
      </c>
      <c r="AA4280" s="19" t="str">
        <f>HYPERLINK("https://ssdweb.co/ssdweb/CERTH/631429877.pdf","CERTI")</f>
        <v>CERTI</v>
      </c>
    </row>
    <row r="4281" spans="1:27" ht="15" x14ac:dyDescent="0.25">
      <c r="A4281" s="2">
        <v>4276</v>
      </c>
      <c r="B4281" s="39">
        <v>926270120</v>
      </c>
      <c r="C4281" s="28" t="str">
        <f>HYPERLINK("https://pld.live/RapDetail.aspx?STONELIST=926270120","DNA")</f>
        <v>DNA</v>
      </c>
      <c r="D4281" s="18" t="s">
        <v>3054</v>
      </c>
      <c r="E4281" s="18" t="s">
        <v>5128</v>
      </c>
      <c r="F4281" s="2" t="s">
        <v>7987</v>
      </c>
      <c r="G4281" s="2" t="s">
        <v>1573</v>
      </c>
      <c r="H4281" s="14">
        <v>1.02</v>
      </c>
      <c r="I4281" s="2" t="s">
        <v>267</v>
      </c>
      <c r="J4281" s="2" t="s">
        <v>6555</v>
      </c>
      <c r="K4281" s="2" t="s">
        <v>1452</v>
      </c>
      <c r="L4281" s="2" t="s">
        <v>5221</v>
      </c>
      <c r="M4281" s="2" t="s">
        <v>5221</v>
      </c>
      <c r="N4281" s="2" t="s">
        <v>2317</v>
      </c>
      <c r="O4281" s="14">
        <v>8200</v>
      </c>
      <c r="P4281" s="14">
        <v>98.26</v>
      </c>
      <c r="Q4281" s="14">
        <v>142.68</v>
      </c>
      <c r="R4281" s="14">
        <v>145.53</v>
      </c>
      <c r="S4281" s="2" t="s">
        <v>2174</v>
      </c>
      <c r="T4281" s="2">
        <v>1.36</v>
      </c>
      <c r="U4281" s="2">
        <v>62.8</v>
      </c>
      <c r="V4281" s="2">
        <v>59</v>
      </c>
      <c r="W4281" s="2" t="s">
        <v>7862</v>
      </c>
      <c r="X4281" s="2" t="s">
        <v>471</v>
      </c>
      <c r="Y4281" s="2">
        <v>8364</v>
      </c>
      <c r="Z4281" s="19" t="str">
        <f>HYPERLINK("https://ssdweb.co/ssdweb/hd/Vision360.html?d=926270120&amp;zoomslide=1&amp;z=1926270120&amp;ISCONFIRM=0","VIDEO")</f>
        <v>VIDEO</v>
      </c>
      <c r="AA4281" s="19" t="str">
        <f>HYPERLINK("https://ssdweb.co/ssdweb/CERTH/638463348.pdf","CERTI")</f>
        <v>CERTI</v>
      </c>
    </row>
    <row r="4282" spans="1:27" ht="15" x14ac:dyDescent="0.25">
      <c r="A4282" s="2">
        <v>4277</v>
      </c>
      <c r="B4282" s="39">
        <v>925110414</v>
      </c>
      <c r="C4282" s="28" t="str">
        <f>HYPERLINK("https://pld.live/RapDetail.aspx?STONELIST=925110414","DNA")</f>
        <v>DNA</v>
      </c>
      <c r="D4282" s="18" t="s">
        <v>3054</v>
      </c>
      <c r="E4282" s="18" t="s">
        <v>5128</v>
      </c>
      <c r="F4282" s="2" t="s">
        <v>7987</v>
      </c>
      <c r="G4282" s="2" t="s">
        <v>1573</v>
      </c>
      <c r="H4282" s="14">
        <v>1.02</v>
      </c>
      <c r="I4282" s="2" t="s">
        <v>267</v>
      </c>
      <c r="J4282" s="2" t="s">
        <v>6555</v>
      </c>
      <c r="K4282" s="2" t="s">
        <v>1452</v>
      </c>
      <c r="L4282" s="2" t="s">
        <v>5221</v>
      </c>
      <c r="M4282" s="2" t="s">
        <v>5221</v>
      </c>
      <c r="N4282" s="2" t="s">
        <v>2317</v>
      </c>
      <c r="O4282" s="14">
        <v>8200</v>
      </c>
      <c r="P4282" s="14">
        <v>98.29</v>
      </c>
      <c r="Q4282" s="14">
        <v>140.22</v>
      </c>
      <c r="R4282" s="14">
        <v>143.02000000000001</v>
      </c>
      <c r="S4282" s="2" t="s">
        <v>6613</v>
      </c>
      <c r="T4282" s="2">
        <v>1.38</v>
      </c>
      <c r="U4282" s="2">
        <v>62.3</v>
      </c>
      <c r="V4282" s="2">
        <v>61</v>
      </c>
      <c r="W4282" s="2" t="s">
        <v>7862</v>
      </c>
      <c r="X4282" s="2" t="s">
        <v>471</v>
      </c>
      <c r="Y4282" s="2">
        <v>8364</v>
      </c>
      <c r="Z4282" s="19" t="str">
        <f>HYPERLINK("https://ssdweb.co/ssdweb/hd/Vision360.html?d=925110414&amp;zoomslide=1&amp;z=1925110414&amp;ISCONFIRM=0","VIDEO")</f>
        <v>VIDEO</v>
      </c>
      <c r="AA4282" s="19" t="str">
        <f>HYPERLINK("https://ssdweb.co/ssdweb/CERTH/613355493.pdf","CERTI")</f>
        <v>CERTI</v>
      </c>
    </row>
    <row r="4283" spans="1:27" ht="15" x14ac:dyDescent="0.25">
      <c r="A4283" s="2">
        <v>4278</v>
      </c>
      <c r="B4283" s="39">
        <v>927092591</v>
      </c>
      <c r="C4283" s="28" t="str">
        <f>HYPERLINK("https://pld.live/RapDetail.aspx?STONELIST=927092591","DNA")</f>
        <v>DNA</v>
      </c>
      <c r="D4283" s="18" t="s">
        <v>3054</v>
      </c>
      <c r="E4283" s="18" t="s">
        <v>5128</v>
      </c>
      <c r="F4283" s="2" t="s">
        <v>7987</v>
      </c>
      <c r="G4283" s="2" t="s">
        <v>1573</v>
      </c>
      <c r="H4283" s="14">
        <v>1.02</v>
      </c>
      <c r="I4283" s="2" t="s">
        <v>267</v>
      </c>
      <c r="J4283" s="2" t="s">
        <v>6555</v>
      </c>
      <c r="K4283" s="2" t="s">
        <v>1452</v>
      </c>
      <c r="L4283" s="2" t="s">
        <v>5221</v>
      </c>
      <c r="M4283" s="2" t="s">
        <v>5221</v>
      </c>
      <c r="N4283" s="2" t="s">
        <v>2317</v>
      </c>
      <c r="O4283" s="14">
        <v>8200</v>
      </c>
      <c r="P4283" s="14">
        <v>98.23</v>
      </c>
      <c r="Q4283" s="14">
        <v>145.13999999999999</v>
      </c>
      <c r="R4283" s="14">
        <v>148.04</v>
      </c>
      <c r="S4283" s="2" t="s">
        <v>7585</v>
      </c>
      <c r="T4283" s="2">
        <v>1.41</v>
      </c>
      <c r="U4283" s="2">
        <v>61.2</v>
      </c>
      <c r="V4283" s="2">
        <v>59</v>
      </c>
      <c r="W4283" s="2" t="s">
        <v>7862</v>
      </c>
      <c r="X4283" s="2" t="s">
        <v>471</v>
      </c>
      <c r="Y4283" s="2">
        <v>8364</v>
      </c>
      <c r="Z4283" s="19" t="str">
        <f>HYPERLINK("https://ssdweb.co/ssdweb/hd/Vision360.html?d=927092591&amp;zoomslide=1&amp;z=1927092591&amp;ISCONFIRM=0","VIDEO")</f>
        <v>VIDEO</v>
      </c>
      <c r="AA4283" s="19" t="str">
        <f>HYPERLINK("https://ssdweb.co/ssdweb/CERTH/671411237.pdf","CERTI")</f>
        <v>CERTI</v>
      </c>
    </row>
    <row r="4284" spans="1:27" ht="15" x14ac:dyDescent="0.25">
      <c r="A4284" s="2">
        <v>4279</v>
      </c>
      <c r="B4284" s="39">
        <v>927092207</v>
      </c>
      <c r="C4284" s="28" t="str">
        <f>HYPERLINK("https://pld.live/RapDetail.aspx?STONELIST=927092207","DNA")</f>
        <v>DNA</v>
      </c>
      <c r="D4284" s="18" t="s">
        <v>3054</v>
      </c>
      <c r="E4284" s="18" t="s">
        <v>5128</v>
      </c>
      <c r="F4284" s="2" t="s">
        <v>7987</v>
      </c>
      <c r="G4284" s="2" t="s">
        <v>1573</v>
      </c>
      <c r="H4284" s="14">
        <v>1.02</v>
      </c>
      <c r="I4284" s="2" t="s">
        <v>267</v>
      </c>
      <c r="J4284" s="2" t="s">
        <v>6555</v>
      </c>
      <c r="K4284" s="2" t="s">
        <v>1452</v>
      </c>
      <c r="L4284" s="2" t="s">
        <v>5221</v>
      </c>
      <c r="M4284" s="2" t="s">
        <v>5221</v>
      </c>
      <c r="N4284" s="2" t="s">
        <v>2317</v>
      </c>
      <c r="O4284" s="14">
        <v>8200</v>
      </c>
      <c r="P4284" s="14">
        <v>98.23</v>
      </c>
      <c r="Q4284" s="14">
        <v>145.13999999999999</v>
      </c>
      <c r="R4284" s="14">
        <v>148.04</v>
      </c>
      <c r="S4284" s="2" t="s">
        <v>3597</v>
      </c>
      <c r="T4284" s="2">
        <v>1.39</v>
      </c>
      <c r="U4284" s="2">
        <v>60.1</v>
      </c>
      <c r="V4284" s="2">
        <v>59</v>
      </c>
      <c r="W4284" s="2" t="s">
        <v>7862</v>
      </c>
      <c r="X4284" s="2" t="s">
        <v>471</v>
      </c>
      <c r="Y4284" s="2">
        <v>8364</v>
      </c>
      <c r="Z4284" s="19" t="str">
        <f>HYPERLINK("https://ssdweb.co/ssdweb/hd/Vision360.html?d=927092207&amp;zoomslide=1&amp;z=1927092207&amp;ISCONFIRM=0","VIDEO")</f>
        <v>VIDEO</v>
      </c>
      <c r="AA4284" s="19" t="str">
        <f>HYPERLINK("https://ssdweb.co/ssdweb/CERTH/667408257.pdf","CERTI")</f>
        <v>CERTI</v>
      </c>
    </row>
    <row r="4285" spans="1:27" ht="15" x14ac:dyDescent="0.25">
      <c r="A4285" s="2">
        <v>4280</v>
      </c>
      <c r="B4285" s="39">
        <v>925760619</v>
      </c>
      <c r="C4285" s="28" t="str">
        <f>HYPERLINK("https://pld.live/RapDetail.aspx?STONELIST=925760619","DNA")</f>
        <v>DNA</v>
      </c>
      <c r="D4285" s="18" t="s">
        <v>3054</v>
      </c>
      <c r="E4285" s="18" t="s">
        <v>5128</v>
      </c>
      <c r="F4285" s="2" t="s">
        <v>7987</v>
      </c>
      <c r="G4285" s="2" t="s">
        <v>1573</v>
      </c>
      <c r="H4285" s="14">
        <v>1.02</v>
      </c>
      <c r="I4285" s="2" t="s">
        <v>267</v>
      </c>
      <c r="J4285" s="2" t="s">
        <v>3942</v>
      </c>
      <c r="K4285" s="2" t="s">
        <v>1452</v>
      </c>
      <c r="L4285" s="2" t="s">
        <v>5221</v>
      </c>
      <c r="M4285" s="2" t="s">
        <v>5221</v>
      </c>
      <c r="N4285" s="2" t="s">
        <v>2317</v>
      </c>
      <c r="O4285" s="14">
        <v>7600</v>
      </c>
      <c r="P4285" s="14">
        <v>98.49</v>
      </c>
      <c r="Q4285" s="14">
        <v>114.76</v>
      </c>
      <c r="R4285" s="14">
        <v>117.06</v>
      </c>
      <c r="S4285" s="2" t="s">
        <v>7688</v>
      </c>
      <c r="T4285" s="2">
        <v>1.4</v>
      </c>
      <c r="U4285" s="2">
        <v>60.8</v>
      </c>
      <c r="V4285" s="2">
        <v>61</v>
      </c>
      <c r="W4285" s="2" t="s">
        <v>7862</v>
      </c>
      <c r="X4285" s="2" t="s">
        <v>471</v>
      </c>
      <c r="Y4285" s="2">
        <v>7752</v>
      </c>
      <c r="Z4285" s="19" t="str">
        <f>HYPERLINK("https://ssdweb.co/ssdweb/hd/Vision360.html?d=925760619&amp;zoomslide=1&amp;z=1925760619&amp;ISCONFIRM=0","VIDEO")</f>
        <v>VIDEO</v>
      </c>
      <c r="AA4285" s="19" t="str">
        <f>HYPERLINK("https://ssdweb.co/ssdweb/CERTH/626457299.pdf","CERTI")</f>
        <v>CERTI</v>
      </c>
    </row>
    <row r="4286" spans="1:27" ht="15" x14ac:dyDescent="0.25">
      <c r="A4286" s="2">
        <v>4281</v>
      </c>
      <c r="B4286" s="39">
        <v>926960839</v>
      </c>
      <c r="C4286" s="28" t="str">
        <f>HYPERLINK("https://pld.live/RapDetail.aspx?STONELIST=926960839","DNA")</f>
        <v>DNA</v>
      </c>
      <c r="D4286" s="18" t="s">
        <v>3054</v>
      </c>
      <c r="E4286" s="18" t="s">
        <v>5128</v>
      </c>
      <c r="F4286" s="2" t="s">
        <v>7987</v>
      </c>
      <c r="G4286" s="2" t="s">
        <v>1573</v>
      </c>
      <c r="H4286" s="14">
        <v>1.02</v>
      </c>
      <c r="I4286" s="2" t="s">
        <v>267</v>
      </c>
      <c r="J4286" s="2" t="s">
        <v>3942</v>
      </c>
      <c r="K4286" s="2" t="s">
        <v>1452</v>
      </c>
      <c r="L4286" s="2" t="s">
        <v>5221</v>
      </c>
      <c r="M4286" s="2" t="s">
        <v>5221</v>
      </c>
      <c r="N4286" s="2" t="s">
        <v>2317</v>
      </c>
      <c r="O4286" s="14">
        <v>7600</v>
      </c>
      <c r="P4286" s="14">
        <v>98.42</v>
      </c>
      <c r="Q4286" s="14">
        <v>120.08</v>
      </c>
      <c r="R4286" s="14">
        <v>122.48</v>
      </c>
      <c r="S4286" s="2" t="s">
        <v>3451</v>
      </c>
      <c r="T4286" s="2">
        <v>1.41</v>
      </c>
      <c r="U4286" s="2">
        <v>62.4</v>
      </c>
      <c r="V4286" s="2">
        <v>61</v>
      </c>
      <c r="W4286" s="2" t="s">
        <v>7862</v>
      </c>
      <c r="X4286" s="2" t="s">
        <v>471</v>
      </c>
      <c r="Y4286" s="2">
        <v>7752</v>
      </c>
      <c r="Z4286" s="19" t="str">
        <f>HYPERLINK("https://ssdweb.co/ssdweb/hd/Vision360.html?d=926960839&amp;zoomslide=1&amp;z=1926960839&amp;ISCONFIRM=0","VIDEO")</f>
        <v>VIDEO</v>
      </c>
      <c r="AA4286" s="19" t="str">
        <f>HYPERLINK("https://ssdweb.co/ssdweb/CERTH/670484381.pdf","CERTI")</f>
        <v>CERTI</v>
      </c>
    </row>
    <row r="4287" spans="1:27" ht="15" x14ac:dyDescent="0.25">
      <c r="A4287" s="2">
        <v>4282</v>
      </c>
      <c r="B4287" s="39">
        <v>926700822</v>
      </c>
      <c r="C4287" s="28" t="str">
        <f>HYPERLINK("https://pld.live/RapDetail.aspx?STONELIST=926700822","DNA")</f>
        <v>DNA</v>
      </c>
      <c r="D4287" s="18" t="s">
        <v>3054</v>
      </c>
      <c r="E4287" s="18" t="s">
        <v>5128</v>
      </c>
      <c r="F4287" s="2" t="s">
        <v>7987</v>
      </c>
      <c r="G4287" s="2" t="s">
        <v>1573</v>
      </c>
      <c r="H4287" s="14">
        <v>1.02</v>
      </c>
      <c r="I4287" s="2" t="s">
        <v>267</v>
      </c>
      <c r="J4287" s="2" t="s">
        <v>3942</v>
      </c>
      <c r="K4287" s="2" t="s">
        <v>1452</v>
      </c>
      <c r="L4287" s="2" t="s">
        <v>5221</v>
      </c>
      <c r="M4287" s="2" t="s">
        <v>5221</v>
      </c>
      <c r="N4287" s="2" t="s">
        <v>2317</v>
      </c>
      <c r="O4287" s="14">
        <v>7600</v>
      </c>
      <c r="P4287" s="14">
        <v>98.45</v>
      </c>
      <c r="Q4287" s="14">
        <v>117.8</v>
      </c>
      <c r="R4287" s="14">
        <v>120.16</v>
      </c>
      <c r="S4287" s="2" t="s">
        <v>2244</v>
      </c>
      <c r="T4287" s="2">
        <v>1.38</v>
      </c>
      <c r="U4287" s="2">
        <v>61.3</v>
      </c>
      <c r="V4287" s="2">
        <v>62</v>
      </c>
      <c r="W4287" s="2" t="s">
        <v>7862</v>
      </c>
      <c r="X4287" s="2" t="s">
        <v>471</v>
      </c>
      <c r="Y4287" s="2">
        <v>7752</v>
      </c>
      <c r="Z4287" s="19" t="str">
        <f>HYPERLINK("https://ssdweb.co/ssdweb/hd/Vision360.html?d=926700822&amp;zoomslide=1&amp;z=1926700822&amp;ISCONFIRM=0","VIDEO")</f>
        <v>VIDEO</v>
      </c>
      <c r="AA4287" s="19" t="str">
        <f>HYPERLINK("https://ssdweb.co/ssdweb/CERTH/656485755.pdf","CERTI")</f>
        <v>CERTI</v>
      </c>
    </row>
    <row r="4288" spans="1:27" ht="15" x14ac:dyDescent="0.25">
      <c r="A4288" s="2">
        <v>4283</v>
      </c>
      <c r="B4288" s="39">
        <v>926740895</v>
      </c>
      <c r="C4288" s="28" t="str">
        <f>HYPERLINK("https://pld.live/RapDetail.aspx?STONELIST=926740895","DNA")</f>
        <v>DNA</v>
      </c>
      <c r="D4288" s="18" t="s">
        <v>3054</v>
      </c>
      <c r="E4288" s="18" t="s">
        <v>5128</v>
      </c>
      <c r="F4288" s="2" t="s">
        <v>7987</v>
      </c>
      <c r="G4288" s="2" t="s">
        <v>1573</v>
      </c>
      <c r="H4288" s="14">
        <v>1.02</v>
      </c>
      <c r="I4288" s="2" t="s">
        <v>267</v>
      </c>
      <c r="J4288" s="2" t="s">
        <v>3942</v>
      </c>
      <c r="K4288" s="2" t="s">
        <v>1452</v>
      </c>
      <c r="L4288" s="2" t="s">
        <v>5221</v>
      </c>
      <c r="M4288" s="2" t="s">
        <v>5221</v>
      </c>
      <c r="N4288" s="2" t="s">
        <v>2317</v>
      </c>
      <c r="O4288" s="14">
        <v>7600</v>
      </c>
      <c r="P4288" s="14">
        <v>98.45</v>
      </c>
      <c r="Q4288" s="14">
        <v>117.8</v>
      </c>
      <c r="R4288" s="14">
        <v>120.16</v>
      </c>
      <c r="S4288" s="2" t="s">
        <v>3838</v>
      </c>
      <c r="T4288" s="2">
        <v>1.38</v>
      </c>
      <c r="U4288" s="2">
        <v>61.8</v>
      </c>
      <c r="V4288" s="2">
        <v>61</v>
      </c>
      <c r="W4288" s="2" t="s">
        <v>7862</v>
      </c>
      <c r="X4288" s="2" t="s">
        <v>471</v>
      </c>
      <c r="Y4288" s="2">
        <v>7752</v>
      </c>
      <c r="Z4288" s="19" t="str">
        <f>HYPERLINK("https://ssdweb.co/ssdweb/hd/Vision360.html?d=926740895&amp;zoomslide=1&amp;z=1926740895&amp;ISCONFIRM=0","VIDEO")</f>
        <v>VIDEO</v>
      </c>
      <c r="AA4288" s="19" t="str">
        <f>HYPERLINK("https://ssdweb.co/ssdweb/CERTH/656485743.pdf","CERTI")</f>
        <v>CERTI</v>
      </c>
    </row>
    <row r="4289" spans="1:27" ht="15" x14ac:dyDescent="0.25">
      <c r="A4289" s="2">
        <v>4284</v>
      </c>
      <c r="B4289" s="39">
        <v>941220083</v>
      </c>
      <c r="C4289" s="28" t="str">
        <f>HYPERLINK("https://pld.live/RapDetail.aspx?STONELIST=941220083","DNA")</f>
        <v>DNA</v>
      </c>
      <c r="D4289" s="18" t="s">
        <v>3054</v>
      </c>
      <c r="E4289" s="18" t="s">
        <v>2186</v>
      </c>
      <c r="F4289" s="2" t="s">
        <v>7987</v>
      </c>
      <c r="G4289" s="2" t="s">
        <v>1573</v>
      </c>
      <c r="H4289" s="14">
        <v>1.02</v>
      </c>
      <c r="I4289" s="2" t="s">
        <v>267</v>
      </c>
      <c r="J4289" s="2" t="s">
        <v>3942</v>
      </c>
      <c r="K4289" s="2" t="s">
        <v>1452</v>
      </c>
      <c r="L4289" s="2" t="s">
        <v>5221</v>
      </c>
      <c r="M4289" s="2" t="s">
        <v>5221</v>
      </c>
      <c r="N4289" s="2" t="s">
        <v>2317</v>
      </c>
      <c r="O4289" s="14">
        <v>7600</v>
      </c>
      <c r="P4289" s="14">
        <v>98.42</v>
      </c>
      <c r="Q4289" s="14">
        <v>120.08</v>
      </c>
      <c r="R4289" s="14">
        <v>122.48</v>
      </c>
      <c r="S4289" s="2" t="s">
        <v>1302</v>
      </c>
      <c r="T4289" s="2">
        <v>1.4</v>
      </c>
      <c r="U4289" s="2">
        <v>62.3</v>
      </c>
      <c r="V4289" s="2">
        <v>61</v>
      </c>
      <c r="W4289" s="2" t="s">
        <v>7862</v>
      </c>
      <c r="X4289" s="2" t="s">
        <v>471</v>
      </c>
      <c r="Y4289" s="2">
        <v>7752</v>
      </c>
      <c r="Z4289" s="19" t="str">
        <f>HYPERLINK("https://ssdweb.co/ssdweb/hd/Vision360.html?d=941220083&amp;zoomslide=1&amp;z=1941220083&amp;ISCONFIRM=0","VIDEO")</f>
        <v>VIDEO</v>
      </c>
      <c r="AA4289" s="19" t="str">
        <f>HYPERLINK("https://ssdweb.co/ssdweb/CERTH/678564528.pdf","CERTI")</f>
        <v>CERTI</v>
      </c>
    </row>
    <row r="4290" spans="1:27" ht="15" x14ac:dyDescent="0.25">
      <c r="A4290" s="2">
        <v>4285</v>
      </c>
      <c r="B4290" s="39">
        <v>927030541</v>
      </c>
      <c r="C4290" s="28" t="str">
        <f>HYPERLINK("https://pld.live/RapDetail.aspx?STONELIST=927030541","DNA")</f>
        <v>DNA</v>
      </c>
      <c r="D4290" s="18" t="s">
        <v>3054</v>
      </c>
      <c r="E4290" s="18" t="s">
        <v>2186</v>
      </c>
      <c r="F4290" s="2" t="s">
        <v>7987</v>
      </c>
      <c r="G4290" s="2" t="s">
        <v>1573</v>
      </c>
      <c r="H4290" s="14">
        <v>1.02</v>
      </c>
      <c r="I4290" s="2" t="s">
        <v>267</v>
      </c>
      <c r="J4290" s="2" t="s">
        <v>3942</v>
      </c>
      <c r="K4290" s="2" t="s">
        <v>1452</v>
      </c>
      <c r="L4290" s="2" t="s">
        <v>5221</v>
      </c>
      <c r="M4290" s="2" t="s">
        <v>5221</v>
      </c>
      <c r="N4290" s="2" t="s">
        <v>2317</v>
      </c>
      <c r="O4290" s="14">
        <v>7600</v>
      </c>
      <c r="P4290" s="14">
        <v>98.42</v>
      </c>
      <c r="Q4290" s="14">
        <v>120.08</v>
      </c>
      <c r="R4290" s="14">
        <v>122.48</v>
      </c>
      <c r="S4290" s="2" t="s">
        <v>3193</v>
      </c>
      <c r="T4290" s="2">
        <v>1.41</v>
      </c>
      <c r="U4290" s="2">
        <v>60.8</v>
      </c>
      <c r="V4290" s="2">
        <v>61</v>
      </c>
      <c r="W4290" s="2" t="s">
        <v>7862</v>
      </c>
      <c r="X4290" s="2" t="s">
        <v>471</v>
      </c>
      <c r="Y4290" s="2">
        <v>7752</v>
      </c>
      <c r="Z4290" s="19" t="str">
        <f>HYPERLINK("https://ssdweb.co/ssdweb/hd/Vision360.html?d=927030541&amp;zoomslide=1&amp;z=1927030541&amp;ISCONFIRM=0","VIDEO")</f>
        <v>VIDEO</v>
      </c>
      <c r="AA4290" s="19" t="str">
        <f>HYPERLINK("https://ssdweb.co/ssdweb/CERTH/670484475.pdf","CERTI")</f>
        <v>CERTI</v>
      </c>
    </row>
    <row r="4291" spans="1:27" ht="15" x14ac:dyDescent="0.25">
      <c r="A4291" s="2">
        <v>4286</v>
      </c>
      <c r="B4291" s="39">
        <v>927092230</v>
      </c>
      <c r="C4291" s="28" t="str">
        <f>HYPERLINK("https://pld.live/RapDetail.aspx?STONELIST=927092230","DNA")</f>
        <v>DNA</v>
      </c>
      <c r="D4291" s="18" t="s">
        <v>3054</v>
      </c>
      <c r="E4291" s="18" t="s">
        <v>5128</v>
      </c>
      <c r="F4291" s="2" t="s">
        <v>7987</v>
      </c>
      <c r="G4291" s="2" t="s">
        <v>1573</v>
      </c>
      <c r="H4291" s="14">
        <v>1.02</v>
      </c>
      <c r="I4291" s="2" t="s">
        <v>267</v>
      </c>
      <c r="J4291" s="2" t="s">
        <v>3942</v>
      </c>
      <c r="K4291" s="2" t="s">
        <v>1452</v>
      </c>
      <c r="L4291" s="2" t="s">
        <v>5221</v>
      </c>
      <c r="M4291" s="2" t="s">
        <v>5221</v>
      </c>
      <c r="N4291" s="2" t="s">
        <v>2317</v>
      </c>
      <c r="O4291" s="14">
        <v>7600</v>
      </c>
      <c r="P4291" s="14">
        <v>98.42</v>
      </c>
      <c r="Q4291" s="14">
        <v>120.08</v>
      </c>
      <c r="R4291" s="14">
        <v>122.48</v>
      </c>
      <c r="S4291" s="2" t="s">
        <v>890</v>
      </c>
      <c r="T4291" s="2">
        <v>1.41</v>
      </c>
      <c r="U4291" s="2">
        <v>59.9</v>
      </c>
      <c r="V4291" s="2">
        <v>62</v>
      </c>
      <c r="W4291" s="2" t="s">
        <v>7862</v>
      </c>
      <c r="X4291" s="2" t="s">
        <v>471</v>
      </c>
      <c r="Y4291" s="2">
        <v>7752</v>
      </c>
      <c r="Z4291" s="19" t="str">
        <f>HYPERLINK("https://ssdweb.co/ssdweb/hd/Vision360.html?d=927092230&amp;zoomslide=1&amp;z=1927092230&amp;ISCONFIRM=0","VIDEO")</f>
        <v>VIDEO</v>
      </c>
      <c r="AA4291" s="19" t="str">
        <f>HYPERLINK("https://ssdweb.co/ssdweb/CERTH/667408265.pdf","CERTI")</f>
        <v>CERTI</v>
      </c>
    </row>
    <row r="4292" spans="1:27" ht="15" x14ac:dyDescent="0.25">
      <c r="A4292" s="2">
        <v>4287</v>
      </c>
      <c r="B4292" s="39">
        <v>925721624</v>
      </c>
      <c r="C4292" s="28" t="str">
        <f>HYPERLINK("https://pld.live/RapDetail.aspx?STONELIST=925721624","DNA")</f>
        <v>DNA</v>
      </c>
      <c r="D4292" s="18" t="s">
        <v>3054</v>
      </c>
      <c r="E4292" s="18" t="s">
        <v>5128</v>
      </c>
      <c r="F4292" s="2" t="s">
        <v>7987</v>
      </c>
      <c r="G4292" s="2" t="s">
        <v>1573</v>
      </c>
      <c r="H4292" s="14">
        <v>1.02</v>
      </c>
      <c r="I4292" s="2" t="s">
        <v>267</v>
      </c>
      <c r="J4292" s="2" t="s">
        <v>3942</v>
      </c>
      <c r="K4292" s="2" t="s">
        <v>1452</v>
      </c>
      <c r="L4292" s="2" t="s">
        <v>5221</v>
      </c>
      <c r="M4292" s="2" t="s">
        <v>5221</v>
      </c>
      <c r="N4292" s="2" t="s">
        <v>2317</v>
      </c>
      <c r="O4292" s="14">
        <v>7600</v>
      </c>
      <c r="P4292" s="14">
        <v>98.49</v>
      </c>
      <c r="Q4292" s="14">
        <v>114.76</v>
      </c>
      <c r="R4292" s="14">
        <v>117.06</v>
      </c>
      <c r="S4292" s="2" t="s">
        <v>4248</v>
      </c>
      <c r="T4292" s="2">
        <v>1.39</v>
      </c>
      <c r="U4292" s="2">
        <v>62.5</v>
      </c>
      <c r="V4292" s="2">
        <v>62</v>
      </c>
      <c r="W4292" s="2" t="s">
        <v>7862</v>
      </c>
      <c r="X4292" s="2" t="s">
        <v>471</v>
      </c>
      <c r="Y4292" s="2">
        <v>7752</v>
      </c>
      <c r="Z4292" s="19" t="str">
        <f>HYPERLINK("https://ssdweb.co/ssdweb/hd/Vision360.html?d=925721624&amp;zoomslide=1&amp;z=1925721624&amp;ISCONFIRM=0","VIDEO")</f>
        <v>VIDEO</v>
      </c>
      <c r="AA4292" s="19" t="str">
        <f>HYPERLINK("https://ssdweb.co/ssdweb/CERTH/623493280.pdf","CERTI")</f>
        <v>CERTI</v>
      </c>
    </row>
    <row r="4293" spans="1:27" ht="15" x14ac:dyDescent="0.25">
      <c r="A4293" s="2">
        <v>4288</v>
      </c>
      <c r="B4293" s="39">
        <v>927152518</v>
      </c>
      <c r="C4293" s="28" t="str">
        <f>HYPERLINK("https://pld.live/RapDetail.aspx?STONELIST=927152518","DNA")</f>
        <v>DNA</v>
      </c>
      <c r="D4293" s="18" t="s">
        <v>3054</v>
      </c>
      <c r="E4293" s="18" t="s">
        <v>5128</v>
      </c>
      <c r="F4293" s="2" t="s">
        <v>7987</v>
      </c>
      <c r="G4293" s="2" t="s">
        <v>1573</v>
      </c>
      <c r="H4293" s="14">
        <v>1.02</v>
      </c>
      <c r="I4293" s="2" t="s">
        <v>267</v>
      </c>
      <c r="J4293" s="2" t="s">
        <v>3942</v>
      </c>
      <c r="K4293" s="2" t="s">
        <v>1452</v>
      </c>
      <c r="L4293" s="2" t="s">
        <v>5221</v>
      </c>
      <c r="M4293" s="2" t="s">
        <v>5221</v>
      </c>
      <c r="N4293" s="2" t="s">
        <v>2317</v>
      </c>
      <c r="O4293" s="14">
        <v>7600</v>
      </c>
      <c r="P4293" s="14">
        <v>98.42</v>
      </c>
      <c r="Q4293" s="14">
        <v>120.08</v>
      </c>
      <c r="R4293" s="14">
        <v>122.48</v>
      </c>
      <c r="S4293" s="2" t="s">
        <v>1771</v>
      </c>
      <c r="T4293" s="2">
        <v>1.45</v>
      </c>
      <c r="U4293" s="2">
        <v>60</v>
      </c>
      <c r="V4293" s="2">
        <v>61</v>
      </c>
      <c r="W4293" s="2" t="s">
        <v>7862</v>
      </c>
      <c r="X4293" s="2" t="s">
        <v>471</v>
      </c>
      <c r="Y4293" s="2">
        <v>7752</v>
      </c>
      <c r="Z4293" s="19" t="str">
        <f>HYPERLINK("https://ssdweb.co/ssdweb/hd/Vision360.html?d=927152518&amp;zoomslide=1&amp;z=1927152518&amp;ISCONFIRM=0","VIDEO")</f>
        <v>VIDEO</v>
      </c>
      <c r="AA4293" s="19" t="str">
        <f>HYPERLINK("https://ssdweb.co/ssdweb/CERTH/669458283.pdf","CERTI")</f>
        <v>CERTI</v>
      </c>
    </row>
    <row r="4294" spans="1:27" ht="15" x14ac:dyDescent="0.25">
      <c r="A4294" s="2">
        <v>4289</v>
      </c>
      <c r="B4294" s="39">
        <v>926110133</v>
      </c>
      <c r="C4294" s="28" t="str">
        <f>HYPERLINK("https://pld.live/RapDetail.aspx?STONELIST=926110133","DNA")</f>
        <v>DNA</v>
      </c>
      <c r="D4294" s="18" t="s">
        <v>3054</v>
      </c>
      <c r="E4294" s="18" t="s">
        <v>5128</v>
      </c>
      <c r="F4294" s="2" t="s">
        <v>7987</v>
      </c>
      <c r="G4294" s="2" t="s">
        <v>1573</v>
      </c>
      <c r="H4294" s="14">
        <v>1.02</v>
      </c>
      <c r="I4294" s="2" t="s">
        <v>267</v>
      </c>
      <c r="J4294" s="2" t="s">
        <v>3942</v>
      </c>
      <c r="K4294" s="2" t="s">
        <v>1452</v>
      </c>
      <c r="L4294" s="2" t="s">
        <v>5221</v>
      </c>
      <c r="M4294" s="2" t="s">
        <v>5221</v>
      </c>
      <c r="N4294" s="2" t="s">
        <v>2317</v>
      </c>
      <c r="O4294" s="14">
        <v>7600</v>
      </c>
      <c r="P4294" s="14">
        <v>98.49</v>
      </c>
      <c r="Q4294" s="14">
        <v>114.76</v>
      </c>
      <c r="R4294" s="14">
        <v>117.06</v>
      </c>
      <c r="S4294" s="2" t="s">
        <v>5358</v>
      </c>
      <c r="T4294" s="2">
        <v>1.36</v>
      </c>
      <c r="U4294" s="2">
        <v>63.2</v>
      </c>
      <c r="V4294" s="2">
        <v>63</v>
      </c>
      <c r="W4294" s="2" t="s">
        <v>7862</v>
      </c>
      <c r="X4294" s="2" t="s">
        <v>471</v>
      </c>
      <c r="Y4294" s="2">
        <v>7752</v>
      </c>
      <c r="Z4294" s="19" t="str">
        <f>HYPERLINK("https://ssdweb.co/ssdweb/hd/Vision360.html?d=926110133&amp;zoomslide=1&amp;z=1926110133&amp;ISCONFIRM=0","VIDEO")</f>
        <v>VIDEO</v>
      </c>
      <c r="AA4294" s="19" t="str">
        <f>HYPERLINK("https://ssdweb.co/ssdweb/CERTH/631464162.pdf","CERTI")</f>
        <v>CERTI</v>
      </c>
    </row>
    <row r="4295" spans="1:27" ht="15" x14ac:dyDescent="0.25">
      <c r="A4295" s="2">
        <v>4290</v>
      </c>
      <c r="B4295" s="39">
        <v>926110140</v>
      </c>
      <c r="C4295" s="28" t="str">
        <f>HYPERLINK("https://pld.live/RapDetail.aspx?STONELIST=926110140","DNA")</f>
        <v>DNA</v>
      </c>
      <c r="D4295" s="18" t="s">
        <v>3054</v>
      </c>
      <c r="E4295" s="18" t="s">
        <v>5128</v>
      </c>
      <c r="F4295" s="2" t="s">
        <v>7987</v>
      </c>
      <c r="G4295" s="2" t="s">
        <v>1573</v>
      </c>
      <c r="H4295" s="14">
        <v>1.02</v>
      </c>
      <c r="I4295" s="2" t="s">
        <v>267</v>
      </c>
      <c r="J4295" s="2" t="s">
        <v>3942</v>
      </c>
      <c r="K4295" s="2" t="s">
        <v>1452</v>
      </c>
      <c r="L4295" s="2" t="s">
        <v>5221</v>
      </c>
      <c r="M4295" s="2" t="s">
        <v>5221</v>
      </c>
      <c r="N4295" s="2" t="s">
        <v>2317</v>
      </c>
      <c r="O4295" s="14">
        <v>7600</v>
      </c>
      <c r="P4295" s="14">
        <v>98.49</v>
      </c>
      <c r="Q4295" s="14">
        <v>114.76</v>
      </c>
      <c r="R4295" s="14">
        <v>117.06</v>
      </c>
      <c r="S4295" s="2" t="s">
        <v>723</v>
      </c>
      <c r="T4295" s="2">
        <v>1.35</v>
      </c>
      <c r="U4295" s="2">
        <v>62.2</v>
      </c>
      <c r="V4295" s="2">
        <v>59</v>
      </c>
      <c r="W4295" s="2" t="s">
        <v>7862</v>
      </c>
      <c r="X4295" s="2" t="s">
        <v>471</v>
      </c>
      <c r="Y4295" s="2">
        <v>7752</v>
      </c>
      <c r="Z4295" s="19" t="str">
        <f>HYPERLINK("https://ssdweb.co/ssdweb/hd/Vision360.html?d=926110140&amp;zoomslide=1&amp;z=1926110140&amp;ISCONFIRM=0","VIDEO")</f>
        <v>VIDEO</v>
      </c>
      <c r="AA4295" s="19" t="str">
        <f>HYPERLINK("https://ssdweb.co/ssdweb/CERTH/631464167.pdf","CERTI")</f>
        <v>CERTI</v>
      </c>
    </row>
    <row r="4296" spans="1:27" ht="15" x14ac:dyDescent="0.25">
      <c r="A4296" s="2">
        <v>4291</v>
      </c>
      <c r="B4296" s="39">
        <v>927092226</v>
      </c>
      <c r="C4296" s="28" t="str">
        <f>HYPERLINK("https://pld.live/RapDetail.aspx?STONELIST=927092226","DNA")</f>
        <v>DNA</v>
      </c>
      <c r="D4296" s="18" t="s">
        <v>3054</v>
      </c>
      <c r="E4296" s="18" t="s">
        <v>5128</v>
      </c>
      <c r="F4296" s="2" t="s">
        <v>7987</v>
      </c>
      <c r="G4296" s="2" t="s">
        <v>1573</v>
      </c>
      <c r="H4296" s="14">
        <v>1.02</v>
      </c>
      <c r="I4296" s="2" t="s">
        <v>267</v>
      </c>
      <c r="J4296" s="2" t="s">
        <v>3942</v>
      </c>
      <c r="K4296" s="2" t="s">
        <v>1452</v>
      </c>
      <c r="L4296" s="2" t="s">
        <v>5221</v>
      </c>
      <c r="M4296" s="2" t="s">
        <v>5221</v>
      </c>
      <c r="N4296" s="2" t="s">
        <v>2317</v>
      </c>
      <c r="O4296" s="14">
        <v>7600</v>
      </c>
      <c r="P4296" s="14">
        <v>98.42</v>
      </c>
      <c r="Q4296" s="14">
        <v>120.08</v>
      </c>
      <c r="R4296" s="14">
        <v>122.48</v>
      </c>
      <c r="S4296" s="2" t="s">
        <v>5794</v>
      </c>
      <c r="T4296" s="2">
        <v>1.41</v>
      </c>
      <c r="U4296" s="2">
        <v>60.3</v>
      </c>
      <c r="V4296" s="2">
        <v>61</v>
      </c>
      <c r="W4296" s="2" t="s">
        <v>7862</v>
      </c>
      <c r="X4296" s="2" t="s">
        <v>471</v>
      </c>
      <c r="Y4296" s="2">
        <v>7752</v>
      </c>
      <c r="Z4296" s="19" t="str">
        <f>HYPERLINK("https://ssdweb.co/ssdweb/hd/Vision360.html?d=927092226&amp;zoomslide=1&amp;z=1927092226&amp;ISCONFIRM=0","VIDEO")</f>
        <v>VIDEO</v>
      </c>
      <c r="AA4296" s="19" t="str">
        <f>HYPERLINK("https://ssdweb.co/ssdweb/CERTH/667408264.pdf","CERTI")</f>
        <v>CERTI</v>
      </c>
    </row>
    <row r="4297" spans="1:27" ht="15" x14ac:dyDescent="0.25">
      <c r="A4297" s="2">
        <v>4292</v>
      </c>
      <c r="B4297" s="39">
        <v>927101196</v>
      </c>
      <c r="C4297" s="28" t="str">
        <f>HYPERLINK("https://pld.live/RapDetail.aspx?STONELIST=927101196","DNA")</f>
        <v>DNA</v>
      </c>
      <c r="D4297" s="18" t="s">
        <v>3054</v>
      </c>
      <c r="E4297" s="18" t="s">
        <v>5128</v>
      </c>
      <c r="F4297" s="2" t="s">
        <v>7987</v>
      </c>
      <c r="G4297" s="2" t="s">
        <v>1573</v>
      </c>
      <c r="H4297" s="14">
        <v>1.02</v>
      </c>
      <c r="I4297" s="2" t="s">
        <v>267</v>
      </c>
      <c r="J4297" s="2" t="s">
        <v>3942</v>
      </c>
      <c r="K4297" s="2" t="s">
        <v>1452</v>
      </c>
      <c r="L4297" s="2" t="s">
        <v>5221</v>
      </c>
      <c r="M4297" s="2" t="s">
        <v>5221</v>
      </c>
      <c r="N4297" s="2" t="s">
        <v>2317</v>
      </c>
      <c r="O4297" s="14">
        <v>7600</v>
      </c>
      <c r="P4297" s="14">
        <v>98.42</v>
      </c>
      <c r="Q4297" s="14">
        <v>120.08</v>
      </c>
      <c r="R4297" s="14">
        <v>122.48</v>
      </c>
      <c r="S4297" s="2" t="s">
        <v>2225</v>
      </c>
      <c r="T4297" s="2">
        <v>1.38</v>
      </c>
      <c r="U4297" s="2">
        <v>61.8</v>
      </c>
      <c r="V4297" s="2">
        <v>60</v>
      </c>
      <c r="W4297" s="2" t="s">
        <v>7862</v>
      </c>
      <c r="X4297" s="2" t="s">
        <v>471</v>
      </c>
      <c r="Y4297" s="2">
        <v>7752</v>
      </c>
      <c r="Z4297" s="19" t="str">
        <f>HYPERLINK("https://ssdweb.co/ssdweb/hd/Vision360.html?d=927101196&amp;zoomslide=1&amp;z=1927101196&amp;ISCONFIRM=0","VIDEO")</f>
        <v>VIDEO</v>
      </c>
      <c r="AA4297" s="19" t="str">
        <f>HYPERLINK("https://ssdweb.co/ssdweb/CERTH/667408267.pdf","CERTI")</f>
        <v>CERTI</v>
      </c>
    </row>
    <row r="4298" spans="1:27" ht="15" x14ac:dyDescent="0.25">
      <c r="A4298" s="2">
        <v>4293</v>
      </c>
      <c r="B4298" s="39">
        <v>927092220</v>
      </c>
      <c r="C4298" s="28" t="str">
        <f>HYPERLINK("https://pld.live/RapDetail.aspx?STONELIST=927092220","DNA")</f>
        <v>DNA</v>
      </c>
      <c r="D4298" s="18" t="s">
        <v>3054</v>
      </c>
      <c r="E4298" s="18" t="s">
        <v>5128</v>
      </c>
      <c r="F4298" s="2" t="s">
        <v>7987</v>
      </c>
      <c r="G4298" s="2" t="s">
        <v>1573</v>
      </c>
      <c r="H4298" s="14">
        <v>1.02</v>
      </c>
      <c r="I4298" s="2" t="s">
        <v>267</v>
      </c>
      <c r="J4298" s="2" t="s">
        <v>3942</v>
      </c>
      <c r="K4298" s="2" t="s">
        <v>1452</v>
      </c>
      <c r="L4298" s="2" t="s">
        <v>5221</v>
      </c>
      <c r="M4298" s="2" t="s">
        <v>5221</v>
      </c>
      <c r="N4298" s="2" t="s">
        <v>2317</v>
      </c>
      <c r="O4298" s="14">
        <v>7600</v>
      </c>
      <c r="P4298" s="14">
        <v>98.42</v>
      </c>
      <c r="Q4298" s="14">
        <v>120.08</v>
      </c>
      <c r="R4298" s="14">
        <v>122.48</v>
      </c>
      <c r="S4298" s="2" t="s">
        <v>3982</v>
      </c>
      <c r="T4298" s="2">
        <v>1.4</v>
      </c>
      <c r="U4298" s="2">
        <v>61.3</v>
      </c>
      <c r="V4298" s="2">
        <v>60</v>
      </c>
      <c r="W4298" s="2" t="s">
        <v>7862</v>
      </c>
      <c r="X4298" s="2" t="s">
        <v>471</v>
      </c>
      <c r="Y4298" s="2">
        <v>7752</v>
      </c>
      <c r="Z4298" s="19" t="str">
        <f>HYPERLINK("https://ssdweb.co/ssdweb/hd/Vision360.html?d=927092220&amp;zoomslide=1&amp;z=1927092220&amp;ISCONFIRM=0","VIDEO")</f>
        <v>VIDEO</v>
      </c>
      <c r="AA4298" s="19" t="str">
        <f>HYPERLINK("https://ssdweb.co/ssdweb/CERTH/667408258.pdf","CERTI")</f>
        <v>CERTI</v>
      </c>
    </row>
    <row r="4299" spans="1:27" ht="15" x14ac:dyDescent="0.25">
      <c r="A4299" s="2">
        <v>4294</v>
      </c>
      <c r="B4299" s="39">
        <v>941021588</v>
      </c>
      <c r="C4299" s="28" t="str">
        <f>HYPERLINK("https://pld.live/RapDetail.aspx?STONELIST=941021588","DNA")</f>
        <v>DNA</v>
      </c>
      <c r="D4299" s="18" t="s">
        <v>3054</v>
      </c>
      <c r="E4299" s="18" t="s">
        <v>5128</v>
      </c>
      <c r="F4299" s="2" t="s">
        <v>7987</v>
      </c>
      <c r="G4299" s="2" t="s">
        <v>1573</v>
      </c>
      <c r="H4299" s="14">
        <v>1.02</v>
      </c>
      <c r="I4299" s="2" t="s">
        <v>267</v>
      </c>
      <c r="J4299" s="2" t="s">
        <v>3942</v>
      </c>
      <c r="K4299" s="2" t="s">
        <v>1452</v>
      </c>
      <c r="L4299" s="2" t="s">
        <v>5221</v>
      </c>
      <c r="M4299" s="2" t="s">
        <v>5221</v>
      </c>
      <c r="N4299" s="2" t="s">
        <v>2317</v>
      </c>
      <c r="O4299" s="14">
        <v>7600</v>
      </c>
      <c r="P4299" s="14">
        <v>98.42</v>
      </c>
      <c r="Q4299" s="14">
        <v>120.08</v>
      </c>
      <c r="R4299" s="14">
        <v>122.48</v>
      </c>
      <c r="S4299" s="2" t="s">
        <v>7466</v>
      </c>
      <c r="T4299" s="2">
        <v>1.38</v>
      </c>
      <c r="U4299" s="2">
        <v>60.8</v>
      </c>
      <c r="V4299" s="2">
        <v>62</v>
      </c>
      <c r="W4299" s="2" t="s">
        <v>7862</v>
      </c>
      <c r="X4299" s="2" t="s">
        <v>471</v>
      </c>
      <c r="Y4299" s="2">
        <v>7752</v>
      </c>
      <c r="Z4299" s="19" t="str">
        <f>HYPERLINK("https://ssdweb.co/ssdweb/hd/Vision360.html?d=941021588&amp;zoomslide=1&amp;z=1941021588&amp;ISCONFIRM=0","VIDEO")</f>
        <v>VIDEO</v>
      </c>
      <c r="AA4299" s="19" t="str">
        <f>HYPERLINK("https://ssdweb.co/ssdweb/CERTH/669458234.pdf","CERTI")</f>
        <v>CERTI</v>
      </c>
    </row>
    <row r="4300" spans="1:27" ht="15" x14ac:dyDescent="0.25">
      <c r="A4300" s="2">
        <v>4295</v>
      </c>
      <c r="B4300" s="39">
        <v>927092198</v>
      </c>
      <c r="C4300" s="28" t="str">
        <f>HYPERLINK("https://pld.live/RapDetail.aspx?STONELIST=927092198","DNA")</f>
        <v>DNA</v>
      </c>
      <c r="D4300" s="18" t="s">
        <v>3054</v>
      </c>
      <c r="E4300" s="18" t="s">
        <v>5128</v>
      </c>
      <c r="F4300" s="2" t="s">
        <v>7987</v>
      </c>
      <c r="G4300" s="2" t="s">
        <v>1573</v>
      </c>
      <c r="H4300" s="14">
        <v>1.02</v>
      </c>
      <c r="I4300" s="2" t="s">
        <v>267</v>
      </c>
      <c r="J4300" s="2" t="s">
        <v>3942</v>
      </c>
      <c r="K4300" s="2" t="s">
        <v>1452</v>
      </c>
      <c r="L4300" s="2" t="s">
        <v>5221</v>
      </c>
      <c r="M4300" s="2" t="s">
        <v>5221</v>
      </c>
      <c r="N4300" s="2" t="s">
        <v>2317</v>
      </c>
      <c r="O4300" s="14">
        <v>7600</v>
      </c>
      <c r="P4300" s="14">
        <v>98.42</v>
      </c>
      <c r="Q4300" s="14">
        <v>120.08</v>
      </c>
      <c r="R4300" s="14">
        <v>122.48</v>
      </c>
      <c r="S4300" s="2" t="s">
        <v>6711</v>
      </c>
      <c r="T4300" s="2">
        <v>1.39</v>
      </c>
      <c r="U4300" s="2">
        <v>60.8</v>
      </c>
      <c r="V4300" s="2">
        <v>63</v>
      </c>
      <c r="W4300" s="2" t="s">
        <v>7862</v>
      </c>
      <c r="X4300" s="2" t="s">
        <v>471</v>
      </c>
      <c r="Y4300" s="2">
        <v>7752</v>
      </c>
      <c r="Z4300" s="19" t="str">
        <f>HYPERLINK("https://ssdweb.co/ssdweb/hd/Vision360.html?d=927092198&amp;zoomslide=1&amp;z=1927092198&amp;ISCONFIRM=0","VIDEO")</f>
        <v>VIDEO</v>
      </c>
      <c r="AA4300" s="19" t="str">
        <f>HYPERLINK("https://ssdweb.co/ssdweb/CERTH/667408291.pdf","CERTI")</f>
        <v>CERTI</v>
      </c>
    </row>
    <row r="4301" spans="1:27" ht="15" x14ac:dyDescent="0.25">
      <c r="A4301" s="2">
        <v>4296</v>
      </c>
      <c r="B4301" s="39">
        <v>927092190</v>
      </c>
      <c r="C4301" s="28" t="str">
        <f>HYPERLINK("https://pld.live/RapDetail.aspx?STONELIST=927092190","DNA")</f>
        <v>DNA</v>
      </c>
      <c r="D4301" s="18" t="s">
        <v>3054</v>
      </c>
      <c r="E4301" s="18" t="s">
        <v>5128</v>
      </c>
      <c r="F4301" s="2" t="s">
        <v>7987</v>
      </c>
      <c r="G4301" s="2" t="s">
        <v>1573</v>
      </c>
      <c r="H4301" s="14">
        <v>1.02</v>
      </c>
      <c r="I4301" s="2" t="s">
        <v>267</v>
      </c>
      <c r="J4301" s="2" t="s">
        <v>3942</v>
      </c>
      <c r="K4301" s="2" t="s">
        <v>1452</v>
      </c>
      <c r="L4301" s="2" t="s">
        <v>5221</v>
      </c>
      <c r="M4301" s="2" t="s">
        <v>5221</v>
      </c>
      <c r="N4301" s="2" t="s">
        <v>2317</v>
      </c>
      <c r="O4301" s="14">
        <v>7600</v>
      </c>
      <c r="P4301" s="14">
        <v>98.42</v>
      </c>
      <c r="Q4301" s="14">
        <v>120.08</v>
      </c>
      <c r="R4301" s="14">
        <v>122.48</v>
      </c>
      <c r="S4301" s="2" t="s">
        <v>4097</v>
      </c>
      <c r="T4301" s="2">
        <v>1.4</v>
      </c>
      <c r="U4301" s="2">
        <v>60.2</v>
      </c>
      <c r="V4301" s="2">
        <v>61</v>
      </c>
      <c r="W4301" s="2" t="s">
        <v>7862</v>
      </c>
      <c r="X4301" s="2" t="s">
        <v>471</v>
      </c>
      <c r="Y4301" s="2">
        <v>7752</v>
      </c>
      <c r="Z4301" s="19" t="str">
        <f>HYPERLINK("https://ssdweb.co/ssdweb/hd/Vision360.html?d=927092190&amp;zoomslide=1&amp;z=1927092190&amp;ISCONFIRM=0","VIDEO")</f>
        <v>VIDEO</v>
      </c>
      <c r="AA4301" s="19" t="str">
        <f>HYPERLINK("https://ssdweb.co/ssdweb/CERTH/667408288.pdf","CERTI")</f>
        <v>CERTI</v>
      </c>
    </row>
    <row r="4302" spans="1:27" ht="15" x14ac:dyDescent="0.25">
      <c r="A4302" s="2">
        <v>4297</v>
      </c>
      <c r="B4302" s="39">
        <v>926972052</v>
      </c>
      <c r="C4302" s="28" t="str">
        <f>HYPERLINK("https://pld.live/RapDetail.aspx?STONELIST=926972052","DNA")</f>
        <v>DNA</v>
      </c>
      <c r="D4302" s="18" t="s">
        <v>3054</v>
      </c>
      <c r="E4302" s="18" t="s">
        <v>5128</v>
      </c>
      <c r="F4302" s="2" t="s">
        <v>7987</v>
      </c>
      <c r="G4302" s="2" t="s">
        <v>1573</v>
      </c>
      <c r="H4302" s="14">
        <v>1.02</v>
      </c>
      <c r="I4302" s="2" t="s">
        <v>267</v>
      </c>
      <c r="J4302" s="2" t="s">
        <v>13</v>
      </c>
      <c r="K4302" s="2" t="s">
        <v>1452</v>
      </c>
      <c r="L4302" s="2" t="s">
        <v>5221</v>
      </c>
      <c r="M4302" s="2" t="s">
        <v>5221</v>
      </c>
      <c r="N4302" s="2" t="s">
        <v>2317</v>
      </c>
      <c r="O4302" s="14">
        <v>6700</v>
      </c>
      <c r="P4302" s="14">
        <v>98.25</v>
      </c>
      <c r="Q4302" s="14">
        <v>117.25</v>
      </c>
      <c r="R4302" s="14">
        <v>119.6</v>
      </c>
      <c r="S4302" s="2" t="s">
        <v>7720</v>
      </c>
      <c r="T4302" s="2">
        <v>1.4</v>
      </c>
      <c r="U4302" s="2">
        <v>61.6</v>
      </c>
      <c r="V4302" s="2">
        <v>61</v>
      </c>
      <c r="W4302" s="2" t="s">
        <v>7862</v>
      </c>
      <c r="X4302" s="2" t="s">
        <v>471</v>
      </c>
      <c r="Y4302" s="2">
        <v>6834</v>
      </c>
      <c r="Z4302" s="19" t="str">
        <f>HYPERLINK("https://ssdweb.co/ssdweb/hd/Vision360.html?d=926972052&amp;zoomslide=1&amp;z=1926972052&amp;ISCONFIRM=0","VIDEO")</f>
        <v>VIDEO</v>
      </c>
      <c r="AA4302" s="19" t="str">
        <f>HYPERLINK("https://ssdweb.co/ssdweb/CERTH/670484495.pdf","CERTI")</f>
        <v>CERTI</v>
      </c>
    </row>
    <row r="4303" spans="1:27" ht="15" x14ac:dyDescent="0.25">
      <c r="A4303" s="2">
        <v>4298</v>
      </c>
      <c r="B4303" s="39">
        <v>926921453</v>
      </c>
      <c r="C4303" s="28" t="str">
        <f>HYPERLINK("https://pld.live/RapDetail.aspx?STONELIST=926921453","DNA")</f>
        <v>DNA</v>
      </c>
      <c r="D4303" s="18" t="s">
        <v>3054</v>
      </c>
      <c r="E4303" s="18" t="s">
        <v>2186</v>
      </c>
      <c r="F4303" s="2" t="s">
        <v>7987</v>
      </c>
      <c r="G4303" s="2" t="s">
        <v>1573</v>
      </c>
      <c r="H4303" s="14">
        <v>1.02</v>
      </c>
      <c r="I4303" s="2" t="s">
        <v>267</v>
      </c>
      <c r="J4303" s="2" t="s">
        <v>13</v>
      </c>
      <c r="K4303" s="2" t="s">
        <v>1452</v>
      </c>
      <c r="L4303" s="2" t="s">
        <v>5221</v>
      </c>
      <c r="M4303" s="2" t="s">
        <v>5221</v>
      </c>
      <c r="N4303" s="2" t="s">
        <v>2317</v>
      </c>
      <c r="O4303" s="14">
        <v>6700</v>
      </c>
      <c r="P4303" s="14">
        <v>98.25</v>
      </c>
      <c r="Q4303" s="14">
        <v>117.25</v>
      </c>
      <c r="R4303" s="14">
        <v>119.6</v>
      </c>
      <c r="S4303" s="2" t="s">
        <v>1794</v>
      </c>
      <c r="T4303" s="2">
        <v>1.41</v>
      </c>
      <c r="U4303" s="2">
        <v>62.2</v>
      </c>
      <c r="V4303" s="2">
        <v>62</v>
      </c>
      <c r="W4303" s="2" t="s">
        <v>7862</v>
      </c>
      <c r="X4303" s="2" t="s">
        <v>471</v>
      </c>
      <c r="Y4303" s="2">
        <v>6834</v>
      </c>
      <c r="Z4303" s="19" t="str">
        <f>HYPERLINK("https://ssdweb.co/ssdweb/hd/Vision360.html?d=926921453&amp;zoomslide=1&amp;z=1926921453&amp;ISCONFIRM=0","VIDEO")</f>
        <v>VIDEO</v>
      </c>
      <c r="AA4303" s="19" t="str">
        <f>HYPERLINK("https://ssdweb.co/ssdweb/CERTH/670484378.pdf","CERTI")</f>
        <v>CERTI</v>
      </c>
    </row>
    <row r="4304" spans="1:27" ht="15" x14ac:dyDescent="0.25">
      <c r="A4304" s="2">
        <v>4299</v>
      </c>
      <c r="B4304" s="39">
        <v>926291268</v>
      </c>
      <c r="C4304" s="28" t="str">
        <f>HYPERLINK("https://pld.live/RapDetail.aspx?STONELIST=926291268","DNA")</f>
        <v>DNA</v>
      </c>
      <c r="D4304" s="18" t="s">
        <v>3054</v>
      </c>
      <c r="E4304" s="18" t="s">
        <v>5128</v>
      </c>
      <c r="F4304" s="2" t="s">
        <v>7987</v>
      </c>
      <c r="G4304" s="2" t="s">
        <v>1573</v>
      </c>
      <c r="H4304" s="14">
        <v>1.02</v>
      </c>
      <c r="I4304" s="2" t="s">
        <v>267</v>
      </c>
      <c r="J4304" s="2" t="s">
        <v>13</v>
      </c>
      <c r="K4304" s="2" t="s">
        <v>1452</v>
      </c>
      <c r="L4304" s="2" t="s">
        <v>5221</v>
      </c>
      <c r="M4304" s="2" t="s">
        <v>5221</v>
      </c>
      <c r="N4304" s="2" t="s">
        <v>2317</v>
      </c>
      <c r="O4304" s="14">
        <v>6700</v>
      </c>
      <c r="P4304" s="14">
        <v>98.28</v>
      </c>
      <c r="Q4304" s="14">
        <v>115.24</v>
      </c>
      <c r="R4304" s="14">
        <v>117.54</v>
      </c>
      <c r="S4304" s="2" t="s">
        <v>3753</v>
      </c>
      <c r="T4304" s="2">
        <v>1.36</v>
      </c>
      <c r="U4304" s="2">
        <v>62.5</v>
      </c>
      <c r="V4304" s="2">
        <v>62</v>
      </c>
      <c r="W4304" s="2" t="s">
        <v>7862</v>
      </c>
      <c r="X4304" s="2" t="s">
        <v>471</v>
      </c>
      <c r="Y4304" s="2">
        <v>6834</v>
      </c>
      <c r="Z4304" s="19" t="str">
        <f>HYPERLINK("https://ssdweb.co/ssdweb/hd/Vision360.html?d=926291268&amp;zoomslide=1&amp;z=1926291268&amp;ISCONFIRM=0","VIDEO")</f>
        <v>VIDEO</v>
      </c>
      <c r="AA4304" s="19" t="str">
        <f>HYPERLINK("https://ssdweb.co/ssdweb/CERTH/638463166.pdf","CERTI")</f>
        <v>CERTI</v>
      </c>
    </row>
    <row r="4305" spans="1:27" ht="15" x14ac:dyDescent="0.25">
      <c r="A4305" s="2">
        <v>4300</v>
      </c>
      <c r="B4305" s="39">
        <v>941190336</v>
      </c>
      <c r="C4305" s="28" t="str">
        <f>HYPERLINK("https://pld.live/RapDetail.aspx?STONELIST=941190336","DNA")</f>
        <v>DNA</v>
      </c>
      <c r="D4305" s="18" t="s">
        <v>3054</v>
      </c>
      <c r="E4305" s="18" t="s">
        <v>5128</v>
      </c>
      <c r="F4305" s="2" t="s">
        <v>7987</v>
      </c>
      <c r="G4305" s="2" t="s">
        <v>1573</v>
      </c>
      <c r="H4305" s="14">
        <v>1.02</v>
      </c>
      <c r="I4305" s="2" t="s">
        <v>267</v>
      </c>
      <c r="J4305" s="2" t="s">
        <v>13</v>
      </c>
      <c r="K4305" s="2" t="s">
        <v>1452</v>
      </c>
      <c r="L4305" s="2" t="s">
        <v>5221</v>
      </c>
      <c r="M4305" s="2" t="s">
        <v>5221</v>
      </c>
      <c r="N4305" s="2" t="s">
        <v>2317</v>
      </c>
      <c r="O4305" s="14">
        <v>6700</v>
      </c>
      <c r="P4305" s="14">
        <v>98.25</v>
      </c>
      <c r="Q4305" s="14">
        <v>117.25</v>
      </c>
      <c r="R4305" s="14">
        <v>119.6</v>
      </c>
      <c r="S4305" s="2" t="s">
        <v>3195</v>
      </c>
      <c r="T4305" s="2">
        <v>1.45</v>
      </c>
      <c r="U4305" s="2">
        <v>60.1</v>
      </c>
      <c r="V4305" s="2">
        <v>61</v>
      </c>
      <c r="W4305" s="2" t="s">
        <v>7862</v>
      </c>
      <c r="X4305" s="2" t="s">
        <v>471</v>
      </c>
      <c r="Y4305" s="2">
        <v>6834</v>
      </c>
      <c r="Z4305" s="19" t="str">
        <f>HYPERLINK("https://ssdweb.co/ssdweb/hd/Vision360.html?d=941190336&amp;zoomslide=1&amp;z=1941190336&amp;ISCONFIRM=0","VIDEO")</f>
        <v>VIDEO</v>
      </c>
      <c r="AA4305" s="19" t="str">
        <f>HYPERLINK("https://ssdweb.co/ssdweb/CERTH/678564536.pdf","CERTI")</f>
        <v>CERTI</v>
      </c>
    </row>
    <row r="4306" spans="1:27" ht="15" x14ac:dyDescent="0.25">
      <c r="A4306" s="2">
        <v>4301</v>
      </c>
      <c r="B4306" s="39">
        <v>927030783</v>
      </c>
      <c r="C4306" s="28" t="str">
        <f>HYPERLINK("https://pld.live/RapDetail.aspx?STONELIST=927030783","DNA")</f>
        <v>DNA</v>
      </c>
      <c r="D4306" s="18" t="s">
        <v>3054</v>
      </c>
      <c r="E4306" s="18" t="s">
        <v>2186</v>
      </c>
      <c r="F4306" s="2" t="s">
        <v>7987</v>
      </c>
      <c r="G4306" s="2" t="s">
        <v>1573</v>
      </c>
      <c r="H4306" s="14">
        <v>1.02</v>
      </c>
      <c r="I4306" s="2" t="s">
        <v>267</v>
      </c>
      <c r="J4306" s="2" t="s">
        <v>13</v>
      </c>
      <c r="K4306" s="2" t="s">
        <v>1452</v>
      </c>
      <c r="L4306" s="2" t="s">
        <v>5221</v>
      </c>
      <c r="M4306" s="2" t="s">
        <v>5221</v>
      </c>
      <c r="N4306" s="2" t="s">
        <v>2317</v>
      </c>
      <c r="O4306" s="14">
        <v>6700</v>
      </c>
      <c r="P4306" s="14">
        <v>98.25</v>
      </c>
      <c r="Q4306" s="14">
        <v>117.25</v>
      </c>
      <c r="R4306" s="14">
        <v>119.6</v>
      </c>
      <c r="S4306" s="2" t="s">
        <v>3773</v>
      </c>
      <c r="T4306" s="2">
        <v>1.4</v>
      </c>
      <c r="U4306" s="2">
        <v>61.6</v>
      </c>
      <c r="V4306" s="2">
        <v>60</v>
      </c>
      <c r="W4306" s="2" t="s">
        <v>7862</v>
      </c>
      <c r="X4306" s="2" t="s">
        <v>471</v>
      </c>
      <c r="Y4306" s="2">
        <v>6834</v>
      </c>
      <c r="Z4306" s="19" t="str">
        <f>HYPERLINK("https://ssdweb.co/ssdweb/hd/Vision360.html?d=927030783&amp;zoomslide=1&amp;z=1927030783&amp;ISCONFIRM=0","VIDEO")</f>
        <v>VIDEO</v>
      </c>
      <c r="AA4306" s="19" t="str">
        <f>HYPERLINK("https://ssdweb.co/ssdweb/CERTH/668446638.pdf","CERTI")</f>
        <v>CERTI</v>
      </c>
    </row>
    <row r="4307" spans="1:27" ht="15" x14ac:dyDescent="0.25">
      <c r="A4307" s="2">
        <v>4302</v>
      </c>
      <c r="B4307" s="39">
        <v>927152392</v>
      </c>
      <c r="C4307" s="28" t="str">
        <f>HYPERLINK("https://pld.live/RapDetail.aspx?STONELIST=927152392","DNA")</f>
        <v>DNA</v>
      </c>
      <c r="D4307" s="18" t="s">
        <v>3054</v>
      </c>
      <c r="E4307" s="18" t="s">
        <v>5128</v>
      </c>
      <c r="F4307" s="2" t="s">
        <v>7987</v>
      </c>
      <c r="G4307" s="2" t="s">
        <v>1573</v>
      </c>
      <c r="H4307" s="14">
        <v>1.02</v>
      </c>
      <c r="I4307" s="2" t="s">
        <v>267</v>
      </c>
      <c r="J4307" s="2" t="s">
        <v>13</v>
      </c>
      <c r="K4307" s="2" t="s">
        <v>1452</v>
      </c>
      <c r="L4307" s="2" t="s">
        <v>5221</v>
      </c>
      <c r="M4307" s="2" t="s">
        <v>5221</v>
      </c>
      <c r="N4307" s="2" t="s">
        <v>2317</v>
      </c>
      <c r="O4307" s="14">
        <v>6700</v>
      </c>
      <c r="P4307" s="14">
        <v>98.25</v>
      </c>
      <c r="Q4307" s="14">
        <v>117.25</v>
      </c>
      <c r="R4307" s="14">
        <v>119.6</v>
      </c>
      <c r="S4307" s="2" t="s">
        <v>7770</v>
      </c>
      <c r="T4307" s="2">
        <v>1.38</v>
      </c>
      <c r="U4307" s="2">
        <v>62.4</v>
      </c>
      <c r="V4307" s="2">
        <v>62</v>
      </c>
      <c r="W4307" s="2" t="s">
        <v>7862</v>
      </c>
      <c r="X4307" s="2" t="s">
        <v>471</v>
      </c>
      <c r="Y4307" s="2">
        <v>6834</v>
      </c>
      <c r="Z4307" s="19" t="str">
        <f>HYPERLINK("https://ssdweb.co/ssdweb/hd/Vision360.html?d=927152392&amp;zoomslide=1&amp;z=1927152392&amp;ISCONFIRM=0","VIDEO")</f>
        <v>VIDEO</v>
      </c>
      <c r="AA4307" s="19" t="str">
        <f>HYPERLINK("https://ssdweb.co/ssdweb/CERTH/669458281.pdf","CERTI")</f>
        <v>CERTI</v>
      </c>
    </row>
    <row r="4308" spans="1:27" ht="15" x14ac:dyDescent="0.25">
      <c r="A4308" s="2">
        <v>4303</v>
      </c>
      <c r="B4308" s="39">
        <v>927030540</v>
      </c>
      <c r="C4308" s="28" t="str">
        <f>HYPERLINK("https://pld.live/RapDetail.aspx?STONELIST=927030540","DNA")</f>
        <v>DNA</v>
      </c>
      <c r="D4308" s="18" t="s">
        <v>3054</v>
      </c>
      <c r="E4308" s="18" t="s">
        <v>2186</v>
      </c>
      <c r="F4308" s="2" t="s">
        <v>7987</v>
      </c>
      <c r="G4308" s="2" t="s">
        <v>1573</v>
      </c>
      <c r="H4308" s="14">
        <v>1.02</v>
      </c>
      <c r="I4308" s="2" t="s">
        <v>267</v>
      </c>
      <c r="J4308" s="2" t="s">
        <v>13</v>
      </c>
      <c r="K4308" s="2" t="s">
        <v>1452</v>
      </c>
      <c r="L4308" s="2" t="s">
        <v>5221</v>
      </c>
      <c r="M4308" s="2" t="s">
        <v>5221</v>
      </c>
      <c r="N4308" s="2" t="s">
        <v>2317</v>
      </c>
      <c r="O4308" s="14">
        <v>6700</v>
      </c>
      <c r="P4308" s="14">
        <v>98.25</v>
      </c>
      <c r="Q4308" s="14">
        <v>117.25</v>
      </c>
      <c r="R4308" s="14">
        <v>119.6</v>
      </c>
      <c r="S4308" s="2" t="s">
        <v>7635</v>
      </c>
      <c r="T4308" s="2">
        <v>1.38</v>
      </c>
      <c r="U4308" s="2">
        <v>61.5</v>
      </c>
      <c r="V4308" s="2">
        <v>62</v>
      </c>
      <c r="W4308" s="2" t="s">
        <v>7862</v>
      </c>
      <c r="X4308" s="2" t="s">
        <v>471</v>
      </c>
      <c r="Y4308" s="2">
        <v>6834</v>
      </c>
      <c r="Z4308" s="19" t="str">
        <f>HYPERLINK("https://ssdweb.co/ssdweb/hd/Vision360.html?d=927030540&amp;zoomslide=1&amp;z=1927030540&amp;ISCONFIRM=0","VIDEO")</f>
        <v>VIDEO</v>
      </c>
      <c r="AA4308" s="19" t="str">
        <f>HYPERLINK("https://ssdweb.co/ssdweb/CERTH/670484474.pdf","CERTI")</f>
        <v>CERTI</v>
      </c>
    </row>
    <row r="4309" spans="1:27" ht="15" x14ac:dyDescent="0.25">
      <c r="A4309" s="2">
        <v>4304</v>
      </c>
      <c r="B4309" s="39">
        <v>927092574</v>
      </c>
      <c r="C4309" s="28" t="str">
        <f>HYPERLINK("https://pld.live/RapDetail.aspx?STONELIST=927092574","DNA")</f>
        <v>DNA</v>
      </c>
      <c r="D4309" s="18" t="s">
        <v>3054</v>
      </c>
      <c r="E4309" s="18" t="s">
        <v>5128</v>
      </c>
      <c r="F4309" s="2" t="s">
        <v>7987</v>
      </c>
      <c r="G4309" s="2" t="s">
        <v>1573</v>
      </c>
      <c r="H4309" s="14">
        <v>1.02</v>
      </c>
      <c r="I4309" s="2" t="s">
        <v>267</v>
      </c>
      <c r="J4309" s="2" t="s">
        <v>13</v>
      </c>
      <c r="K4309" s="2" t="s">
        <v>1452</v>
      </c>
      <c r="L4309" s="2" t="s">
        <v>5221</v>
      </c>
      <c r="M4309" s="2" t="s">
        <v>5221</v>
      </c>
      <c r="N4309" s="2" t="s">
        <v>2317</v>
      </c>
      <c r="O4309" s="14">
        <v>6700</v>
      </c>
      <c r="P4309" s="14">
        <v>98.25</v>
      </c>
      <c r="Q4309" s="14">
        <v>117.25</v>
      </c>
      <c r="R4309" s="14">
        <v>119.6</v>
      </c>
      <c r="S4309" s="2" t="s">
        <v>3057</v>
      </c>
      <c r="T4309" s="2">
        <v>1.39</v>
      </c>
      <c r="U4309" s="2">
        <v>60.5</v>
      </c>
      <c r="V4309" s="2">
        <v>61</v>
      </c>
      <c r="W4309" s="2" t="s">
        <v>7862</v>
      </c>
      <c r="X4309" s="2" t="s">
        <v>471</v>
      </c>
      <c r="Y4309" s="2">
        <v>6834</v>
      </c>
      <c r="Z4309" s="19" t="str">
        <f>HYPERLINK("https://ssdweb.co/ssdweb/hd/Vision360.html?d=927092574&amp;zoomslide=1&amp;z=1927092574&amp;ISCONFIRM=0","VIDEO")</f>
        <v>VIDEO</v>
      </c>
      <c r="AA4309" s="19" t="str">
        <f>HYPERLINK("https://ssdweb.co/ssdweb/CERTH/671411235.pdf","CERTI")</f>
        <v>CERTI</v>
      </c>
    </row>
    <row r="4310" spans="1:27" ht="15" x14ac:dyDescent="0.25">
      <c r="A4310" s="2">
        <v>4305</v>
      </c>
      <c r="B4310" s="39">
        <v>927132406</v>
      </c>
      <c r="C4310" s="28" t="str">
        <f>HYPERLINK("https://pld.live/RapDetail.aspx?STONELIST=927132406","DNA")</f>
        <v>DNA</v>
      </c>
      <c r="D4310" s="18" t="s">
        <v>3054</v>
      </c>
      <c r="E4310" s="18" t="s">
        <v>5128</v>
      </c>
      <c r="F4310" s="2" t="s">
        <v>7987</v>
      </c>
      <c r="G4310" s="2" t="s">
        <v>1573</v>
      </c>
      <c r="H4310" s="14">
        <v>1.02</v>
      </c>
      <c r="I4310" s="2" t="s">
        <v>267</v>
      </c>
      <c r="J4310" s="2" t="s">
        <v>13</v>
      </c>
      <c r="K4310" s="2" t="s">
        <v>1452</v>
      </c>
      <c r="L4310" s="2" t="s">
        <v>5221</v>
      </c>
      <c r="M4310" s="2" t="s">
        <v>5221</v>
      </c>
      <c r="N4310" s="2" t="s">
        <v>2317</v>
      </c>
      <c r="O4310" s="14">
        <v>6700</v>
      </c>
      <c r="P4310" s="14">
        <v>98.25</v>
      </c>
      <c r="Q4310" s="14">
        <v>117.25</v>
      </c>
      <c r="R4310" s="14">
        <v>119.6</v>
      </c>
      <c r="S4310" s="2" t="s">
        <v>329</v>
      </c>
      <c r="T4310" s="2">
        <v>1.4</v>
      </c>
      <c r="U4310" s="2">
        <v>62.1</v>
      </c>
      <c r="V4310" s="2">
        <v>58</v>
      </c>
      <c r="W4310" s="2" t="s">
        <v>7862</v>
      </c>
      <c r="X4310" s="2" t="s">
        <v>471</v>
      </c>
      <c r="Y4310" s="2">
        <v>6834</v>
      </c>
      <c r="Z4310" s="19" t="str">
        <f>HYPERLINK("https://ssdweb.co/ssdweb/hd/Vision360.html?d=927132406&amp;zoomslide=1&amp;z=1927132406&amp;ISCONFIRM=0","VIDEO")</f>
        <v>VIDEO</v>
      </c>
      <c r="AA4310" s="19" t="str">
        <f>HYPERLINK("https://ssdweb.co/ssdweb/CERTH/671411241.pdf","CERTI")</f>
        <v>CERTI</v>
      </c>
    </row>
    <row r="4311" spans="1:27" ht="15" x14ac:dyDescent="0.25">
      <c r="A4311" s="2">
        <v>4306</v>
      </c>
      <c r="B4311" s="39">
        <v>927092227</v>
      </c>
      <c r="C4311" s="28" t="str">
        <f>HYPERLINK("https://pld.live/RapDetail.aspx?STONELIST=927092227","DNA")</f>
        <v>DNA</v>
      </c>
      <c r="D4311" s="18" t="s">
        <v>3054</v>
      </c>
      <c r="E4311" s="18" t="s">
        <v>5128</v>
      </c>
      <c r="F4311" s="2" t="s">
        <v>7987</v>
      </c>
      <c r="G4311" s="2" t="s">
        <v>1573</v>
      </c>
      <c r="H4311" s="14">
        <v>1.02</v>
      </c>
      <c r="I4311" s="2" t="s">
        <v>267</v>
      </c>
      <c r="J4311" s="2" t="s">
        <v>13</v>
      </c>
      <c r="K4311" s="2" t="s">
        <v>1452</v>
      </c>
      <c r="L4311" s="2" t="s">
        <v>5221</v>
      </c>
      <c r="M4311" s="2" t="s">
        <v>5221</v>
      </c>
      <c r="N4311" s="2" t="s">
        <v>2317</v>
      </c>
      <c r="O4311" s="14">
        <v>6700</v>
      </c>
      <c r="P4311" s="14">
        <v>98.25</v>
      </c>
      <c r="Q4311" s="14">
        <v>117.25</v>
      </c>
      <c r="R4311" s="14">
        <v>119.6</v>
      </c>
      <c r="S4311" s="2" t="s">
        <v>6464</v>
      </c>
      <c r="T4311" s="2">
        <v>1.4</v>
      </c>
      <c r="U4311" s="2">
        <v>61.9</v>
      </c>
      <c r="V4311" s="2">
        <v>62</v>
      </c>
      <c r="W4311" s="2" t="s">
        <v>7862</v>
      </c>
      <c r="X4311" s="2" t="s">
        <v>471</v>
      </c>
      <c r="Y4311" s="2">
        <v>6834</v>
      </c>
      <c r="Z4311" s="19" t="str">
        <f>HYPERLINK("https://ssdweb.co/ssdweb/hd/Vision360.html?d=927092227&amp;zoomslide=1&amp;z=1927092227&amp;ISCONFIRM=0","VIDEO")</f>
        <v>VIDEO</v>
      </c>
      <c r="AA4311" s="19" t="str">
        <f>HYPERLINK("https://ssdweb.co/ssdweb/CERTH/667408263.pdf","CERTI")</f>
        <v>CERTI</v>
      </c>
    </row>
    <row r="4312" spans="1:27" ht="15" x14ac:dyDescent="0.25">
      <c r="A4312" s="2">
        <v>4307</v>
      </c>
      <c r="B4312" s="39">
        <v>927092680</v>
      </c>
      <c r="C4312" s="28" t="str">
        <f>HYPERLINK("https://pld.live/RapDetail.aspx?STONELIST=927092680","DNA")</f>
        <v>DNA</v>
      </c>
      <c r="D4312" s="18" t="s">
        <v>3054</v>
      </c>
      <c r="E4312" s="18" t="s">
        <v>5128</v>
      </c>
      <c r="F4312" s="2" t="s">
        <v>7987</v>
      </c>
      <c r="G4312" s="2" t="s">
        <v>1573</v>
      </c>
      <c r="H4312" s="14">
        <v>1.02</v>
      </c>
      <c r="I4312" s="2" t="s">
        <v>267</v>
      </c>
      <c r="J4312" s="2" t="s">
        <v>13</v>
      </c>
      <c r="K4312" s="2" t="s">
        <v>1452</v>
      </c>
      <c r="L4312" s="2" t="s">
        <v>5221</v>
      </c>
      <c r="M4312" s="2" t="s">
        <v>5221</v>
      </c>
      <c r="N4312" s="2" t="s">
        <v>2317</v>
      </c>
      <c r="O4312" s="14">
        <v>6700</v>
      </c>
      <c r="P4312" s="14">
        <v>98.25</v>
      </c>
      <c r="Q4312" s="14">
        <v>117.25</v>
      </c>
      <c r="R4312" s="14">
        <v>119.6</v>
      </c>
      <c r="S4312" s="2" t="s">
        <v>6668</v>
      </c>
      <c r="T4312" s="2">
        <v>1.43</v>
      </c>
      <c r="U4312" s="2">
        <v>61</v>
      </c>
      <c r="V4312" s="2">
        <v>61</v>
      </c>
      <c r="W4312" s="2" t="s">
        <v>7862</v>
      </c>
      <c r="X4312" s="2" t="s">
        <v>471</v>
      </c>
      <c r="Y4312" s="2">
        <v>6834</v>
      </c>
      <c r="Z4312" s="19" t="str">
        <f>HYPERLINK("https://ssdweb.co/ssdweb/hd/Vision360.html?d=927092680&amp;zoomslide=1&amp;z=1927092680&amp;ISCONFIRM=0","VIDEO")</f>
        <v>VIDEO</v>
      </c>
      <c r="AA4312" s="19" t="str">
        <f>HYPERLINK("https://ssdweb.co/ssdweb/CERTH/675504707.pdf","CERTI")</f>
        <v>CERTI</v>
      </c>
    </row>
    <row r="4313" spans="1:27" ht="15" x14ac:dyDescent="0.25">
      <c r="A4313" s="2">
        <v>4308</v>
      </c>
      <c r="B4313" s="39">
        <v>927070572</v>
      </c>
      <c r="C4313" s="28" t="str">
        <f>HYPERLINK("https://pld.live/RapDetail.aspx?STONELIST=927070572","DNA")</f>
        <v>DNA</v>
      </c>
      <c r="D4313" s="18" t="s">
        <v>3054</v>
      </c>
      <c r="E4313" s="18" t="s">
        <v>2186</v>
      </c>
      <c r="F4313" s="2" t="s">
        <v>7987</v>
      </c>
      <c r="G4313" s="2" t="s">
        <v>1573</v>
      </c>
      <c r="H4313" s="14">
        <v>1.02</v>
      </c>
      <c r="I4313" s="2" t="s">
        <v>267</v>
      </c>
      <c r="J4313" s="2" t="s">
        <v>13</v>
      </c>
      <c r="K4313" s="2" t="s">
        <v>1452</v>
      </c>
      <c r="L4313" s="2" t="s">
        <v>5221</v>
      </c>
      <c r="M4313" s="2" t="s">
        <v>5221</v>
      </c>
      <c r="N4313" s="2" t="s">
        <v>2317</v>
      </c>
      <c r="O4313" s="14">
        <v>6700</v>
      </c>
      <c r="P4313" s="14">
        <v>98.25</v>
      </c>
      <c r="Q4313" s="14">
        <v>117.25</v>
      </c>
      <c r="R4313" s="14">
        <v>119.6</v>
      </c>
      <c r="S4313" s="2" t="s">
        <v>5866</v>
      </c>
      <c r="T4313" s="2">
        <v>1.44</v>
      </c>
      <c r="U4313" s="2">
        <v>61.7</v>
      </c>
      <c r="V4313" s="2">
        <v>62</v>
      </c>
      <c r="W4313" s="2" t="s">
        <v>7862</v>
      </c>
      <c r="X4313" s="2" t="s">
        <v>471</v>
      </c>
      <c r="Y4313" s="2">
        <v>6834</v>
      </c>
      <c r="Z4313" s="19" t="str">
        <f>HYPERLINK("https://ssdweb.co/ssdweb/hd/Vision360.html?d=927070572&amp;zoomslide=1&amp;z=1927070572&amp;ISCONFIRM=0","VIDEO")</f>
        <v>VIDEO</v>
      </c>
      <c r="AA4313" s="19" t="str">
        <f>HYPERLINK("https://ssdweb.co/ssdweb/CERTH/662473891.pdf","CERTI")</f>
        <v>CERTI</v>
      </c>
    </row>
    <row r="4314" spans="1:27" ht="15" x14ac:dyDescent="0.25">
      <c r="A4314" s="2">
        <v>4309</v>
      </c>
      <c r="B4314" s="39">
        <v>927092199</v>
      </c>
      <c r="C4314" s="28" t="str">
        <f>HYPERLINK("https://pld.live/RapDetail.aspx?STONELIST=927092199","DNA")</f>
        <v>DNA</v>
      </c>
      <c r="D4314" s="18" t="s">
        <v>3054</v>
      </c>
      <c r="E4314" s="18" t="s">
        <v>5128</v>
      </c>
      <c r="F4314" s="2" t="s">
        <v>7987</v>
      </c>
      <c r="G4314" s="2" t="s">
        <v>1573</v>
      </c>
      <c r="H4314" s="14">
        <v>1.02</v>
      </c>
      <c r="I4314" s="2" t="s">
        <v>267</v>
      </c>
      <c r="J4314" s="2" t="s">
        <v>13</v>
      </c>
      <c r="K4314" s="2" t="s">
        <v>1452</v>
      </c>
      <c r="L4314" s="2" t="s">
        <v>5221</v>
      </c>
      <c r="M4314" s="2" t="s">
        <v>5221</v>
      </c>
      <c r="N4314" s="2" t="s">
        <v>2317</v>
      </c>
      <c r="O4314" s="14">
        <v>6700</v>
      </c>
      <c r="P4314" s="14">
        <v>98.25</v>
      </c>
      <c r="Q4314" s="14">
        <v>117.25</v>
      </c>
      <c r="R4314" s="14">
        <v>119.6</v>
      </c>
      <c r="S4314" s="2" t="s">
        <v>4734</v>
      </c>
      <c r="T4314" s="2">
        <v>1.38</v>
      </c>
      <c r="U4314" s="2">
        <v>60.6</v>
      </c>
      <c r="V4314" s="2">
        <v>63</v>
      </c>
      <c r="W4314" s="2" t="s">
        <v>7862</v>
      </c>
      <c r="X4314" s="2" t="s">
        <v>471</v>
      </c>
      <c r="Y4314" s="2">
        <v>6834</v>
      </c>
      <c r="Z4314" s="19" t="str">
        <f>HYPERLINK("https://ssdweb.co/ssdweb/hd/Vision360.html?d=927092199&amp;zoomslide=1&amp;z=1927092199&amp;ISCONFIRM=0","VIDEO")</f>
        <v>VIDEO</v>
      </c>
      <c r="AA4314" s="19" t="str">
        <f>HYPERLINK("https://ssdweb.co/ssdweb/CERTH/667408252.pdf","CERTI")</f>
        <v>CERTI</v>
      </c>
    </row>
    <row r="4315" spans="1:27" ht="15" x14ac:dyDescent="0.25">
      <c r="A4315" s="2">
        <v>4310</v>
      </c>
      <c r="B4315" s="39">
        <v>926210588</v>
      </c>
      <c r="C4315" s="28" t="str">
        <f>HYPERLINK("https://pld.live/RapDetail.aspx?STONELIST=926210588","DNA")</f>
        <v>DNA</v>
      </c>
      <c r="D4315" s="18" t="s">
        <v>3054</v>
      </c>
      <c r="E4315" s="18" t="s">
        <v>5128</v>
      </c>
      <c r="F4315" s="2" t="s">
        <v>7987</v>
      </c>
      <c r="G4315" s="2" t="s">
        <v>1573</v>
      </c>
      <c r="H4315" s="14">
        <v>1.02</v>
      </c>
      <c r="I4315" s="2" t="s">
        <v>267</v>
      </c>
      <c r="J4315" s="2" t="s">
        <v>13</v>
      </c>
      <c r="K4315" s="2" t="s">
        <v>1452</v>
      </c>
      <c r="L4315" s="2" t="s">
        <v>5221</v>
      </c>
      <c r="M4315" s="2" t="s">
        <v>5721</v>
      </c>
      <c r="N4315" s="2" t="s">
        <v>2317</v>
      </c>
      <c r="O4315" s="14">
        <v>6700</v>
      </c>
      <c r="P4315" s="14">
        <v>98.36</v>
      </c>
      <c r="Q4315" s="14">
        <v>109.88</v>
      </c>
      <c r="R4315" s="14">
        <v>112.08</v>
      </c>
      <c r="S4315" s="2" t="s">
        <v>5585</v>
      </c>
      <c r="T4315" s="2">
        <v>1.36</v>
      </c>
      <c r="U4315" s="2">
        <v>62.8</v>
      </c>
      <c r="V4315" s="2">
        <v>63</v>
      </c>
      <c r="W4315" s="2" t="s">
        <v>7862</v>
      </c>
      <c r="X4315" s="2" t="s">
        <v>471</v>
      </c>
      <c r="Y4315" s="2">
        <v>6834</v>
      </c>
      <c r="Z4315" s="19" t="str">
        <f>HYPERLINK("https://ssdweb.co/ssdweb/hd/Vision360.html?d=926210588&amp;zoomslide=1&amp;z=1926210588&amp;ISCONFIRM=0","VIDEO")</f>
        <v>VIDEO</v>
      </c>
      <c r="AA4315" s="19" t="str">
        <f>HYPERLINK("https://ssdweb.co/ssdweb/CERTH/635423924.pdf","CERTI")</f>
        <v>CERTI</v>
      </c>
    </row>
    <row r="4316" spans="1:27" ht="15" x14ac:dyDescent="0.25">
      <c r="A4316" s="2">
        <v>4311</v>
      </c>
      <c r="B4316" s="39">
        <v>926310966</v>
      </c>
      <c r="C4316" s="28" t="str">
        <f>HYPERLINK("https://pld.live/RapDetail.aspx?STONELIST=926310966","DNA")</f>
        <v>DNA</v>
      </c>
      <c r="D4316" s="18" t="s">
        <v>3054</v>
      </c>
      <c r="E4316" s="18" t="s">
        <v>5128</v>
      </c>
      <c r="F4316" s="2" t="s">
        <v>7987</v>
      </c>
      <c r="G4316" s="2" t="s">
        <v>1573</v>
      </c>
      <c r="H4316" s="14">
        <v>1.02</v>
      </c>
      <c r="I4316" s="2" t="s">
        <v>267</v>
      </c>
      <c r="J4316" s="2" t="s">
        <v>13</v>
      </c>
      <c r="K4316" s="2" t="s">
        <v>1452</v>
      </c>
      <c r="L4316" s="2" t="s">
        <v>5221</v>
      </c>
      <c r="M4316" s="2" t="s">
        <v>5721</v>
      </c>
      <c r="N4316" s="2" t="s">
        <v>2317</v>
      </c>
      <c r="O4316" s="14">
        <v>6700</v>
      </c>
      <c r="P4316" s="14">
        <v>98.31</v>
      </c>
      <c r="Q4316" s="14">
        <v>113.23</v>
      </c>
      <c r="R4316" s="14">
        <v>115.49</v>
      </c>
      <c r="S4316" s="2" t="s">
        <v>4930</v>
      </c>
      <c r="T4316" s="2">
        <v>1.36</v>
      </c>
      <c r="U4316" s="2">
        <v>62.2</v>
      </c>
      <c r="V4316" s="2">
        <v>61</v>
      </c>
      <c r="W4316" s="2" t="s">
        <v>7862</v>
      </c>
      <c r="X4316" s="2" t="s">
        <v>471</v>
      </c>
      <c r="Y4316" s="2">
        <v>6834</v>
      </c>
      <c r="Z4316" s="19" t="str">
        <f>HYPERLINK("https://ssdweb.co/ssdweb/hd/Vision360.html?d=926310966&amp;zoomslide=1&amp;z=1926310966&amp;ISCONFIRM=0","VIDEO")</f>
        <v>VIDEO</v>
      </c>
      <c r="AA4316" s="19" t="str">
        <f>HYPERLINK("https://ssdweb.co/ssdweb/CERTH/660490602.pdf","CERTI")</f>
        <v>CERTI</v>
      </c>
    </row>
    <row r="4317" spans="1:27" ht="15" x14ac:dyDescent="0.25">
      <c r="A4317" s="2">
        <v>4312</v>
      </c>
      <c r="B4317" s="39">
        <v>941190496</v>
      </c>
      <c r="C4317" s="28" t="str">
        <f>HYPERLINK("https://pld.live/RapDetail.aspx?STONELIST=941190496","DNA")</f>
        <v>DNA</v>
      </c>
      <c r="D4317" s="18" t="s">
        <v>3054</v>
      </c>
      <c r="E4317" s="18" t="s">
        <v>5128</v>
      </c>
      <c r="F4317" s="2" t="s">
        <v>7987</v>
      </c>
      <c r="G4317" s="2" t="s">
        <v>1573</v>
      </c>
      <c r="H4317" s="14">
        <v>1.02</v>
      </c>
      <c r="I4317" s="2" t="s">
        <v>267</v>
      </c>
      <c r="J4317" s="2" t="s">
        <v>13</v>
      </c>
      <c r="K4317" s="2" t="s">
        <v>1452</v>
      </c>
      <c r="L4317" s="2" t="s">
        <v>5221</v>
      </c>
      <c r="M4317" s="2" t="s">
        <v>5721</v>
      </c>
      <c r="N4317" s="2" t="s">
        <v>2317</v>
      </c>
      <c r="O4317" s="14">
        <v>6700</v>
      </c>
      <c r="P4317" s="14">
        <v>98.28</v>
      </c>
      <c r="Q4317" s="14">
        <v>115.24</v>
      </c>
      <c r="R4317" s="14">
        <v>117.54</v>
      </c>
      <c r="S4317" s="2" t="s">
        <v>2636</v>
      </c>
      <c r="T4317" s="2">
        <v>1.39</v>
      </c>
      <c r="U4317" s="2">
        <v>62.2</v>
      </c>
      <c r="V4317" s="2">
        <v>60</v>
      </c>
      <c r="W4317" s="2" t="s">
        <v>7862</v>
      </c>
      <c r="X4317" s="2" t="s">
        <v>471</v>
      </c>
      <c r="Y4317" s="2">
        <v>6834</v>
      </c>
      <c r="Z4317" s="19" t="str">
        <f>HYPERLINK("https://ssdweb.co/ssdweb/hd/Vision360.html?d=941190496&amp;zoomslide=1&amp;z=1941190496&amp;ISCONFIRM=0","VIDEO")</f>
        <v>VIDEO</v>
      </c>
      <c r="AA4317" s="19" t="str">
        <f>HYPERLINK("https://ssdweb.co/ssdweb/CERTH/678564530.pdf","CERTI")</f>
        <v>CERTI</v>
      </c>
    </row>
    <row r="4318" spans="1:27" ht="15" x14ac:dyDescent="0.25">
      <c r="A4318" s="2">
        <v>4313</v>
      </c>
      <c r="B4318" s="39">
        <v>927030581</v>
      </c>
      <c r="C4318" s="28" t="str">
        <f>HYPERLINK("https://pld.live/RapDetail.aspx?STONELIST=927030581","DNA")</f>
        <v>DNA</v>
      </c>
      <c r="D4318" s="18" t="s">
        <v>3054</v>
      </c>
      <c r="E4318" s="18" t="s">
        <v>2186</v>
      </c>
      <c r="F4318" s="2" t="s">
        <v>7987</v>
      </c>
      <c r="G4318" s="2" t="s">
        <v>1573</v>
      </c>
      <c r="H4318" s="14">
        <v>1.02</v>
      </c>
      <c r="I4318" s="2" t="s">
        <v>267</v>
      </c>
      <c r="J4318" s="2" t="s">
        <v>13</v>
      </c>
      <c r="K4318" s="2" t="s">
        <v>1452</v>
      </c>
      <c r="L4318" s="2" t="s">
        <v>5221</v>
      </c>
      <c r="M4318" s="2" t="s">
        <v>5721</v>
      </c>
      <c r="N4318" s="2" t="s">
        <v>2317</v>
      </c>
      <c r="O4318" s="14">
        <v>6700</v>
      </c>
      <c r="P4318" s="14">
        <v>98.28</v>
      </c>
      <c r="Q4318" s="14">
        <v>115.24</v>
      </c>
      <c r="R4318" s="14">
        <v>117.54</v>
      </c>
      <c r="S4318" s="2" t="s">
        <v>702</v>
      </c>
      <c r="T4318" s="2">
        <v>1.41</v>
      </c>
      <c r="U4318" s="2">
        <v>59.7</v>
      </c>
      <c r="V4318" s="2">
        <v>59</v>
      </c>
      <c r="W4318" s="2" t="s">
        <v>7862</v>
      </c>
      <c r="X4318" s="2" t="s">
        <v>471</v>
      </c>
      <c r="Y4318" s="2">
        <v>6834</v>
      </c>
      <c r="Z4318" s="19" t="str">
        <f>HYPERLINK("https://ssdweb.co/ssdweb/hd/Vision360.html?d=927030581&amp;zoomslide=1&amp;z=1927030581&amp;ISCONFIRM=0","VIDEO")</f>
        <v>VIDEO</v>
      </c>
      <c r="AA4318" s="19" t="str">
        <f>HYPERLINK("https://ssdweb.co/ssdweb/CERTH/670484477.pdf","CERTI")</f>
        <v>CERTI</v>
      </c>
    </row>
    <row r="4319" spans="1:27" ht="15" x14ac:dyDescent="0.25">
      <c r="A4319" s="2">
        <v>4314</v>
      </c>
      <c r="B4319" s="39">
        <v>927030550</v>
      </c>
      <c r="C4319" s="28" t="str">
        <f>HYPERLINK("https://pld.live/RapDetail.aspx?STONELIST=927030550","DNA")</f>
        <v>DNA</v>
      </c>
      <c r="D4319" s="18" t="s">
        <v>3054</v>
      </c>
      <c r="E4319" s="18" t="s">
        <v>2186</v>
      </c>
      <c r="F4319" s="2" t="s">
        <v>7987</v>
      </c>
      <c r="G4319" s="2" t="s">
        <v>1573</v>
      </c>
      <c r="H4319" s="14">
        <v>1.02</v>
      </c>
      <c r="I4319" s="2" t="s">
        <v>267</v>
      </c>
      <c r="J4319" s="2" t="s">
        <v>13</v>
      </c>
      <c r="K4319" s="2" t="s">
        <v>1452</v>
      </c>
      <c r="L4319" s="2" t="s">
        <v>5221</v>
      </c>
      <c r="M4319" s="2" t="s">
        <v>5721</v>
      </c>
      <c r="N4319" s="2" t="s">
        <v>2317</v>
      </c>
      <c r="O4319" s="14">
        <v>6700</v>
      </c>
      <c r="P4319" s="14">
        <v>98.28</v>
      </c>
      <c r="Q4319" s="14">
        <v>115.24</v>
      </c>
      <c r="R4319" s="14">
        <v>117.54</v>
      </c>
      <c r="S4319" s="2" t="s">
        <v>3295</v>
      </c>
      <c r="T4319" s="2">
        <v>1.38</v>
      </c>
      <c r="U4319" s="2">
        <v>62.5</v>
      </c>
      <c r="V4319" s="2">
        <v>61</v>
      </c>
      <c r="W4319" s="2" t="s">
        <v>7862</v>
      </c>
      <c r="X4319" s="2" t="s">
        <v>471</v>
      </c>
      <c r="Y4319" s="2">
        <v>6834</v>
      </c>
      <c r="Z4319" s="19" t="str">
        <f>HYPERLINK("https://ssdweb.co/ssdweb/hd/Vision360.html?d=927030550&amp;zoomslide=1&amp;z=1927030550&amp;ISCONFIRM=0","VIDEO")</f>
        <v>VIDEO</v>
      </c>
      <c r="AA4319" s="19" t="str">
        <f>HYPERLINK("https://ssdweb.co/ssdweb/CERTH/670484476.pdf","CERTI")</f>
        <v>CERTI</v>
      </c>
    </row>
    <row r="4320" spans="1:27" ht="15" x14ac:dyDescent="0.25">
      <c r="A4320" s="2">
        <v>4315</v>
      </c>
      <c r="B4320" s="39">
        <v>927092367</v>
      </c>
      <c r="C4320" s="28" t="str">
        <f>HYPERLINK("https://pld.live/RapDetail.aspx?STONELIST=927092367","DNA")</f>
        <v>DNA</v>
      </c>
      <c r="D4320" s="18" t="s">
        <v>3054</v>
      </c>
      <c r="E4320" s="18" t="s">
        <v>5128</v>
      </c>
      <c r="F4320" s="2" t="s">
        <v>7987</v>
      </c>
      <c r="G4320" s="2" t="s">
        <v>1573</v>
      </c>
      <c r="H4320" s="14">
        <v>1.02</v>
      </c>
      <c r="I4320" s="2" t="s">
        <v>267</v>
      </c>
      <c r="J4320" s="2" t="s">
        <v>13</v>
      </c>
      <c r="K4320" s="2" t="s">
        <v>1452</v>
      </c>
      <c r="L4320" s="2" t="s">
        <v>5221</v>
      </c>
      <c r="M4320" s="2" t="s">
        <v>5721</v>
      </c>
      <c r="N4320" s="2" t="s">
        <v>2317</v>
      </c>
      <c r="O4320" s="14">
        <v>6700</v>
      </c>
      <c r="P4320" s="14">
        <v>98.28</v>
      </c>
      <c r="Q4320" s="14">
        <v>115.24</v>
      </c>
      <c r="R4320" s="14">
        <v>117.54</v>
      </c>
      <c r="S4320" s="2" t="s">
        <v>6544</v>
      </c>
      <c r="T4320" s="2">
        <v>1.41</v>
      </c>
      <c r="U4320" s="2">
        <v>59.7</v>
      </c>
      <c r="V4320" s="2">
        <v>57</v>
      </c>
      <c r="W4320" s="2" t="s">
        <v>7862</v>
      </c>
      <c r="X4320" s="2" t="s">
        <v>471</v>
      </c>
      <c r="Y4320" s="2">
        <v>6834</v>
      </c>
      <c r="Z4320" s="19" t="str">
        <f>HYPERLINK("https://ssdweb.co/ssdweb/hd/Vision360.html?d=927092367&amp;zoomslide=1&amp;z=1927092367&amp;ISCONFIRM=0","VIDEO")</f>
        <v>VIDEO</v>
      </c>
      <c r="AA4320" s="19" t="str">
        <f>HYPERLINK("https://ssdweb.co/ssdweb/CERTH/668446598.pdf","CERTI")</f>
        <v>CERTI</v>
      </c>
    </row>
    <row r="4321" spans="1:27" ht="15" x14ac:dyDescent="0.25">
      <c r="A4321" s="2">
        <v>4316</v>
      </c>
      <c r="B4321" s="39">
        <v>925722108</v>
      </c>
      <c r="C4321" s="28" t="str">
        <f>HYPERLINK("https://pld.live/RapDetail.aspx?STONELIST=925722108","DNA")</f>
        <v>DNA</v>
      </c>
      <c r="D4321" s="18" t="s">
        <v>3054</v>
      </c>
      <c r="E4321" s="18" t="s">
        <v>5128</v>
      </c>
      <c r="F4321" s="2" t="s">
        <v>5597</v>
      </c>
      <c r="G4321" s="2" t="s">
        <v>1573</v>
      </c>
      <c r="H4321" s="14">
        <v>1.02</v>
      </c>
      <c r="I4321" s="2" t="s">
        <v>267</v>
      </c>
      <c r="J4321" s="2" t="s">
        <v>13</v>
      </c>
      <c r="K4321" s="2" t="s">
        <v>1452</v>
      </c>
      <c r="L4321" s="2" t="s">
        <v>5221</v>
      </c>
      <c r="M4321" s="2" t="s">
        <v>5721</v>
      </c>
      <c r="N4321" s="2" t="s">
        <v>2317</v>
      </c>
      <c r="O4321" s="14">
        <v>6700</v>
      </c>
      <c r="P4321" s="14">
        <v>96.82</v>
      </c>
      <c r="Q4321" s="14">
        <v>213.06</v>
      </c>
      <c r="R4321" s="14">
        <v>217.32</v>
      </c>
      <c r="S4321" s="2" t="s">
        <v>3750</v>
      </c>
      <c r="T4321" s="2">
        <v>1.38</v>
      </c>
      <c r="U4321" s="2">
        <v>61.2</v>
      </c>
      <c r="V4321" s="2">
        <v>60</v>
      </c>
      <c r="W4321" s="2" t="s">
        <v>7862</v>
      </c>
      <c r="X4321" s="2" t="s">
        <v>471</v>
      </c>
      <c r="Y4321" s="2">
        <v>6834</v>
      </c>
      <c r="Z4321" s="19" t="str">
        <f>HYPERLINK("https://ssdweb.co/ssdweb/hd/Vision360.html?d=925722108&amp;zoomslide=1&amp;z=1925722108&amp;ISCONFIRM=0","VIDEO")</f>
        <v>VIDEO</v>
      </c>
      <c r="AA4321" s="19" t="str">
        <f>HYPERLINK("https://ssdweb.co/ssdweb/CERTH/2487821220.pdf","CERTI")</f>
        <v>CERTI</v>
      </c>
    </row>
    <row r="4322" spans="1:27" ht="15" x14ac:dyDescent="0.25">
      <c r="A4322" s="2">
        <v>4317</v>
      </c>
      <c r="B4322" s="39">
        <v>925722095</v>
      </c>
      <c r="C4322" s="28" t="str">
        <f>HYPERLINK("https://pld.live/RapDetail.aspx?STONELIST=925722095","DNA")</f>
        <v>DNA</v>
      </c>
      <c r="D4322" s="18" t="s">
        <v>3054</v>
      </c>
      <c r="E4322" s="18" t="s">
        <v>5128</v>
      </c>
      <c r="F4322" s="2" t="s">
        <v>5597</v>
      </c>
      <c r="G4322" s="2" t="s">
        <v>1573</v>
      </c>
      <c r="H4322" s="14">
        <v>1.02</v>
      </c>
      <c r="I4322" s="2" t="s">
        <v>267</v>
      </c>
      <c r="J4322" s="2" t="s">
        <v>13</v>
      </c>
      <c r="K4322" s="2" t="s">
        <v>1452</v>
      </c>
      <c r="L4322" s="2" t="s">
        <v>5221</v>
      </c>
      <c r="M4322" s="2" t="s">
        <v>5721</v>
      </c>
      <c r="N4322" s="2" t="s">
        <v>2317</v>
      </c>
      <c r="O4322" s="14">
        <v>6700</v>
      </c>
      <c r="P4322" s="14">
        <v>96.82</v>
      </c>
      <c r="Q4322" s="14">
        <v>213.06</v>
      </c>
      <c r="R4322" s="14">
        <v>217.32</v>
      </c>
      <c r="S4322" s="2" t="s">
        <v>6323</v>
      </c>
      <c r="T4322" s="2">
        <v>1.39</v>
      </c>
      <c r="U4322" s="2">
        <v>62.2</v>
      </c>
      <c r="V4322" s="2">
        <v>59</v>
      </c>
      <c r="W4322" s="2" t="s">
        <v>7862</v>
      </c>
      <c r="X4322" s="2" t="s">
        <v>471</v>
      </c>
      <c r="Y4322" s="2">
        <v>6834</v>
      </c>
      <c r="Z4322" s="19" t="str">
        <f>HYPERLINK("https://ssdweb.co/ssdweb/hd/Vision360.html?d=925722095&amp;zoomslide=1&amp;z=1925722095&amp;ISCONFIRM=0","VIDEO")</f>
        <v>VIDEO</v>
      </c>
      <c r="AA4322" s="19" t="str">
        <f>HYPERLINK("https://ssdweb.co/ssdweb/CERTH/5486821208.pdf","CERTI")</f>
        <v>CERTI</v>
      </c>
    </row>
    <row r="4323" spans="1:27" ht="15" x14ac:dyDescent="0.25">
      <c r="A4323" s="2">
        <v>4318</v>
      </c>
      <c r="B4323" s="39">
        <v>927052593</v>
      </c>
      <c r="C4323" s="28" t="str">
        <f>HYPERLINK("https://pld.live/RapDetail.aspx?STONELIST=927052593","DNA")</f>
        <v>DNA</v>
      </c>
      <c r="D4323" s="18" t="s">
        <v>3054</v>
      </c>
      <c r="E4323" s="18" t="s">
        <v>5128</v>
      </c>
      <c r="F4323" s="2" t="s">
        <v>7987</v>
      </c>
      <c r="G4323" s="2" t="s">
        <v>1573</v>
      </c>
      <c r="H4323" s="14">
        <v>1.02</v>
      </c>
      <c r="I4323" s="2" t="s">
        <v>267</v>
      </c>
      <c r="J4323" s="2" t="s">
        <v>5144</v>
      </c>
      <c r="K4323" s="2" t="s">
        <v>1452</v>
      </c>
      <c r="L4323" s="2" t="s">
        <v>5221</v>
      </c>
      <c r="M4323" s="2" t="s">
        <v>5221</v>
      </c>
      <c r="N4323" s="2" t="s">
        <v>2317</v>
      </c>
      <c r="O4323" s="14">
        <v>5700</v>
      </c>
      <c r="P4323" s="14">
        <v>98</v>
      </c>
      <c r="Q4323" s="14">
        <v>114</v>
      </c>
      <c r="R4323" s="14">
        <v>116.28</v>
      </c>
      <c r="S4323" s="2" t="s">
        <v>213</v>
      </c>
      <c r="T4323" s="2">
        <v>1.38</v>
      </c>
      <c r="U4323" s="2">
        <v>62.3</v>
      </c>
      <c r="V4323" s="2">
        <v>60</v>
      </c>
      <c r="W4323" s="2" t="s">
        <v>7862</v>
      </c>
      <c r="X4323" s="2" t="s">
        <v>471</v>
      </c>
      <c r="Y4323" s="2">
        <v>5814</v>
      </c>
      <c r="Z4323" s="19" t="str">
        <f>HYPERLINK("https://ssdweb.co/ssdweb/hd/Vision360.html?d=927052593&amp;zoomslide=1&amp;z=1927052593&amp;ISCONFIRM=0","VIDEO")</f>
        <v>VIDEO</v>
      </c>
      <c r="AA4323" s="19" t="str">
        <f>HYPERLINK("https://ssdweb.co/ssdweb/CERTH/670484356.pdf","CERTI")</f>
        <v>CERTI</v>
      </c>
    </row>
    <row r="4324" spans="1:27" ht="15" x14ac:dyDescent="0.25">
      <c r="A4324" s="2">
        <v>4319</v>
      </c>
      <c r="B4324" s="39">
        <v>926101265</v>
      </c>
      <c r="C4324" s="28" t="str">
        <f>HYPERLINK("https://pld.live/RapDetail.aspx?STONELIST=926101265","DNA")</f>
        <v>DNA</v>
      </c>
      <c r="D4324" s="18" t="s">
        <v>3054</v>
      </c>
      <c r="E4324" s="18" t="s">
        <v>5128</v>
      </c>
      <c r="F4324" s="2" t="s">
        <v>7987</v>
      </c>
      <c r="G4324" s="2" t="s">
        <v>1573</v>
      </c>
      <c r="H4324" s="14">
        <v>1.02</v>
      </c>
      <c r="I4324" s="2" t="s">
        <v>267</v>
      </c>
      <c r="J4324" s="2" t="s">
        <v>5144</v>
      </c>
      <c r="K4324" s="2" t="s">
        <v>1452</v>
      </c>
      <c r="L4324" s="2" t="s">
        <v>5221</v>
      </c>
      <c r="M4324" s="2" t="s">
        <v>5221</v>
      </c>
      <c r="N4324" s="2" t="s">
        <v>2317</v>
      </c>
      <c r="O4324" s="14">
        <v>5700</v>
      </c>
      <c r="P4324" s="14">
        <v>98.09</v>
      </c>
      <c r="Q4324" s="14">
        <v>108.87</v>
      </c>
      <c r="R4324" s="14">
        <v>111.05</v>
      </c>
      <c r="S4324" s="2" t="s">
        <v>5327</v>
      </c>
      <c r="T4324" s="2">
        <v>1.39</v>
      </c>
      <c r="U4324" s="2">
        <v>62.3</v>
      </c>
      <c r="V4324" s="2">
        <v>59</v>
      </c>
      <c r="W4324" s="2" t="s">
        <v>7862</v>
      </c>
      <c r="X4324" s="2" t="s">
        <v>471</v>
      </c>
      <c r="Y4324" s="2">
        <v>5814</v>
      </c>
      <c r="Z4324" s="19" t="str">
        <f>HYPERLINK("https://ssdweb.co/ssdweb/hd/Vision360.html?d=926101265&amp;zoomslide=1&amp;z=1926101265&amp;ISCONFIRM=0","VIDEO")</f>
        <v>VIDEO</v>
      </c>
      <c r="AA4324" s="19" t="str">
        <f>HYPERLINK("https://ssdweb.co/ssdweb/CERTH/632403887.pdf","CERTI")</f>
        <v>CERTI</v>
      </c>
    </row>
    <row r="4325" spans="1:27" ht="15" x14ac:dyDescent="0.25">
      <c r="A4325" s="2">
        <v>4320</v>
      </c>
      <c r="B4325" s="39">
        <v>941190646</v>
      </c>
      <c r="C4325" s="28" t="str">
        <f>HYPERLINK("https://pld.live/RapDetail.aspx?STONELIST=941190646","DNA")</f>
        <v>DNA</v>
      </c>
      <c r="D4325" s="18" t="s">
        <v>3054</v>
      </c>
      <c r="E4325" s="18" t="s">
        <v>5128</v>
      </c>
      <c r="F4325" s="2" t="s">
        <v>7987</v>
      </c>
      <c r="G4325" s="2" t="s">
        <v>1573</v>
      </c>
      <c r="H4325" s="14">
        <v>1.02</v>
      </c>
      <c r="I4325" s="2" t="s">
        <v>267</v>
      </c>
      <c r="J4325" s="2" t="s">
        <v>5144</v>
      </c>
      <c r="K4325" s="2" t="s">
        <v>1452</v>
      </c>
      <c r="L4325" s="2" t="s">
        <v>5221</v>
      </c>
      <c r="M4325" s="2" t="s">
        <v>5721</v>
      </c>
      <c r="N4325" s="2" t="s">
        <v>2317</v>
      </c>
      <c r="O4325" s="14">
        <v>5700</v>
      </c>
      <c r="P4325" s="14">
        <v>98.04</v>
      </c>
      <c r="Q4325" s="14">
        <v>111.72</v>
      </c>
      <c r="R4325" s="14">
        <v>113.95</v>
      </c>
      <c r="S4325" s="2" t="s">
        <v>2360</v>
      </c>
      <c r="T4325" s="2">
        <v>1.45</v>
      </c>
      <c r="U4325" s="2">
        <v>60.4</v>
      </c>
      <c r="V4325" s="2">
        <v>60</v>
      </c>
      <c r="W4325" s="2" t="s">
        <v>7862</v>
      </c>
      <c r="X4325" s="2" t="s">
        <v>471</v>
      </c>
      <c r="Y4325" s="2">
        <v>5814</v>
      </c>
      <c r="Z4325" s="19" t="str">
        <f>HYPERLINK("https://ssdweb.co/ssdweb/hd/Vision360.html?d=941190646&amp;zoomslide=1&amp;z=1941190646&amp;ISCONFIRM=0","VIDEO")</f>
        <v>VIDEO</v>
      </c>
      <c r="AA4325" s="19" t="str">
        <f>HYPERLINK("https://ssdweb.co/ssdweb/CERTH/678564551.pdf","CERTI")</f>
        <v>CERTI</v>
      </c>
    </row>
    <row r="4326" spans="1:27" ht="15" x14ac:dyDescent="0.25">
      <c r="A4326" s="2">
        <v>4321</v>
      </c>
      <c r="B4326" s="39">
        <v>925722110</v>
      </c>
      <c r="C4326" s="28" t="str">
        <f>HYPERLINK("https://pld.live/RapDetail.aspx?STONELIST=925722110","DNA")</f>
        <v>DNA</v>
      </c>
      <c r="D4326" s="18" t="s">
        <v>3054</v>
      </c>
      <c r="E4326" s="18" t="s">
        <v>5128</v>
      </c>
      <c r="F4326" s="2" t="s">
        <v>5597</v>
      </c>
      <c r="G4326" s="2" t="s">
        <v>1573</v>
      </c>
      <c r="H4326" s="14">
        <v>1.02</v>
      </c>
      <c r="I4326" s="2" t="s">
        <v>267</v>
      </c>
      <c r="J4326" s="2" t="s">
        <v>5144</v>
      </c>
      <c r="K4326" s="2" t="s">
        <v>1452</v>
      </c>
      <c r="L4326" s="2" t="s">
        <v>5221</v>
      </c>
      <c r="M4326" s="2" t="s">
        <v>5721</v>
      </c>
      <c r="N4326" s="2" t="s">
        <v>2317</v>
      </c>
      <c r="O4326" s="14">
        <v>5700</v>
      </c>
      <c r="P4326" s="14">
        <v>96.61</v>
      </c>
      <c r="Q4326" s="14">
        <v>193.23</v>
      </c>
      <c r="R4326" s="14">
        <v>197.09</v>
      </c>
      <c r="S4326" s="2" t="s">
        <v>1589</v>
      </c>
      <c r="T4326" s="2">
        <v>1.41</v>
      </c>
      <c r="U4326" s="2">
        <v>62</v>
      </c>
      <c r="V4326" s="2">
        <v>61</v>
      </c>
      <c r="W4326" s="2" t="s">
        <v>7862</v>
      </c>
      <c r="X4326" s="2" t="s">
        <v>471</v>
      </c>
      <c r="Y4326" s="2">
        <v>5814</v>
      </c>
      <c r="Z4326" s="19" t="str">
        <f>HYPERLINK("https://ssdweb.co/ssdweb/hd/Vision360.html?d=925722110&amp;zoomslide=1&amp;z=1925722110&amp;ISCONFIRM=0","VIDEO")</f>
        <v>VIDEO</v>
      </c>
      <c r="AA4326" s="19" t="str">
        <f>HYPERLINK("https://ssdweb.co/ssdweb/CERTH/7488820783.pdf","CERTI")</f>
        <v>CERTI</v>
      </c>
    </row>
    <row r="4327" spans="1:27" ht="15" x14ac:dyDescent="0.25">
      <c r="A4327" s="2">
        <v>4322</v>
      </c>
      <c r="B4327" s="39">
        <v>925110310</v>
      </c>
      <c r="C4327" s="28" t="str">
        <f>HYPERLINK("https://pld.live/RapDetail.aspx?STONELIST=925110310","DNA")</f>
        <v>DNA</v>
      </c>
      <c r="D4327" s="18" t="s">
        <v>3054</v>
      </c>
      <c r="E4327" s="18" t="s">
        <v>5128</v>
      </c>
      <c r="F4327" s="2" t="s">
        <v>7987</v>
      </c>
      <c r="G4327" s="2" t="s">
        <v>1573</v>
      </c>
      <c r="H4327" s="14">
        <v>1.02</v>
      </c>
      <c r="I4327" s="2" t="s">
        <v>267</v>
      </c>
      <c r="J4327" s="2" t="s">
        <v>444</v>
      </c>
      <c r="K4327" s="2" t="s">
        <v>1452</v>
      </c>
      <c r="L4327" s="2" t="s">
        <v>5221</v>
      </c>
      <c r="M4327" s="2" t="s">
        <v>5221</v>
      </c>
      <c r="N4327" s="2" t="s">
        <v>2317</v>
      </c>
      <c r="O4327" s="14">
        <v>4600</v>
      </c>
      <c r="P4327" s="14">
        <v>97.7</v>
      </c>
      <c r="Q4327" s="14">
        <v>105.8</v>
      </c>
      <c r="R4327" s="14">
        <v>107.92</v>
      </c>
      <c r="S4327" s="2" t="s">
        <v>2447</v>
      </c>
      <c r="T4327" s="2">
        <v>1.38</v>
      </c>
      <c r="U4327" s="2">
        <v>62.3</v>
      </c>
      <c r="V4327" s="2">
        <v>61</v>
      </c>
      <c r="W4327" s="2" t="s">
        <v>7862</v>
      </c>
      <c r="X4327" s="2" t="s">
        <v>471</v>
      </c>
      <c r="Y4327" s="2">
        <v>4692</v>
      </c>
      <c r="Z4327" s="19" t="str">
        <f>HYPERLINK("https://ssdweb.co/ssdweb/hd/Vision360.html?d=925110310&amp;zoomslide=1&amp;z=1925110310&amp;ISCONFIRM=0","VIDEO")</f>
        <v>VIDEO</v>
      </c>
      <c r="AA4327" s="19" t="str">
        <f>HYPERLINK("https://ssdweb.co/ssdweb/CERTH/607345457.pdf","CERTI")</f>
        <v>CERTI</v>
      </c>
    </row>
    <row r="4328" spans="1:27" ht="15" x14ac:dyDescent="0.25">
      <c r="A4328" s="2">
        <v>4323</v>
      </c>
      <c r="B4328" s="39">
        <v>927092184</v>
      </c>
      <c r="C4328" s="28" t="str">
        <f>HYPERLINK("https://pld.live/RapDetail.aspx?STONELIST=927092184","DNA")</f>
        <v>DNA</v>
      </c>
      <c r="D4328" s="18" t="s">
        <v>3054</v>
      </c>
      <c r="E4328" s="18" t="s">
        <v>5128</v>
      </c>
      <c r="F4328" s="2" t="s">
        <v>7987</v>
      </c>
      <c r="G4328" s="2" t="s">
        <v>1573</v>
      </c>
      <c r="H4328" s="14">
        <v>1.02</v>
      </c>
      <c r="I4328" s="2" t="s">
        <v>4761</v>
      </c>
      <c r="J4328" s="2" t="s">
        <v>6555</v>
      </c>
      <c r="K4328" s="2" t="s">
        <v>1452</v>
      </c>
      <c r="L4328" s="2" t="s">
        <v>5221</v>
      </c>
      <c r="M4328" s="2" t="s">
        <v>5221</v>
      </c>
      <c r="N4328" s="2" t="s">
        <v>2317</v>
      </c>
      <c r="O4328" s="14">
        <v>7500</v>
      </c>
      <c r="P4328" s="14">
        <v>98.2</v>
      </c>
      <c r="Q4328" s="14">
        <v>135</v>
      </c>
      <c r="R4328" s="14">
        <v>137.69999999999999</v>
      </c>
      <c r="S4328" s="2" t="s">
        <v>6499</v>
      </c>
      <c r="T4328" s="2">
        <v>1.4</v>
      </c>
      <c r="U4328" s="2">
        <v>62.5</v>
      </c>
      <c r="V4328" s="2">
        <v>61</v>
      </c>
      <c r="W4328" s="2" t="s">
        <v>7862</v>
      </c>
      <c r="X4328" s="2" t="s">
        <v>471</v>
      </c>
      <c r="Y4328" s="2">
        <v>7650</v>
      </c>
      <c r="Z4328" s="19" t="str">
        <f>HYPERLINK("https://ssdweb.co/ssdweb/hd/Vision360.html?d=927092184&amp;zoomslide=1&amp;z=1927092184&amp;ISCONFIRM=0","VIDEO")</f>
        <v>VIDEO</v>
      </c>
      <c r="AA4328" s="19" t="str">
        <f>HYPERLINK("https://ssdweb.co/ssdweb/CERTH/667408287.pdf","CERTI")</f>
        <v>CERTI</v>
      </c>
    </row>
    <row r="4329" spans="1:27" ht="15" x14ac:dyDescent="0.25">
      <c r="A4329" s="2">
        <v>4324</v>
      </c>
      <c r="B4329" s="39">
        <v>927052510</v>
      </c>
      <c r="C4329" s="28" t="str">
        <f>HYPERLINK("https://pld.live/RapDetail.aspx?STONELIST=927052510","DNA")</f>
        <v>DNA</v>
      </c>
      <c r="D4329" s="18" t="s">
        <v>3054</v>
      </c>
      <c r="E4329" s="18" t="s">
        <v>5128</v>
      </c>
      <c r="F4329" s="2" t="s">
        <v>7987</v>
      </c>
      <c r="G4329" s="2" t="s">
        <v>1573</v>
      </c>
      <c r="H4329" s="14">
        <v>1.02</v>
      </c>
      <c r="I4329" s="2" t="s">
        <v>4761</v>
      </c>
      <c r="J4329" s="2" t="s">
        <v>6555</v>
      </c>
      <c r="K4329" s="2" t="s">
        <v>1452</v>
      </c>
      <c r="L4329" s="2" t="s">
        <v>5221</v>
      </c>
      <c r="M4329" s="2" t="s">
        <v>5221</v>
      </c>
      <c r="N4329" s="2" t="s">
        <v>2317</v>
      </c>
      <c r="O4329" s="14">
        <v>7500</v>
      </c>
      <c r="P4329" s="14">
        <v>98.2</v>
      </c>
      <c r="Q4329" s="14">
        <v>135</v>
      </c>
      <c r="R4329" s="14">
        <v>137.69999999999999</v>
      </c>
      <c r="S4329" s="2" t="s">
        <v>5107</v>
      </c>
      <c r="T4329" s="2">
        <v>1.41</v>
      </c>
      <c r="U4329" s="2">
        <v>60</v>
      </c>
      <c r="V4329" s="2">
        <v>63</v>
      </c>
      <c r="W4329" s="2" t="s">
        <v>7862</v>
      </c>
      <c r="X4329" s="2" t="s">
        <v>471</v>
      </c>
      <c r="Y4329" s="2">
        <v>7650</v>
      </c>
      <c r="Z4329" s="19" t="str">
        <f>HYPERLINK("https://ssdweb.co/ssdweb/hd/Vision360.html?d=927052510&amp;zoomslide=1&amp;z=1927052510&amp;ISCONFIRM=0","VIDEO")</f>
        <v>VIDEO</v>
      </c>
      <c r="AA4329" s="19" t="str">
        <f>HYPERLINK("https://ssdweb.co/ssdweb/CERTH/667408283.pdf","CERTI")</f>
        <v>CERTI</v>
      </c>
    </row>
    <row r="4330" spans="1:27" ht="15" x14ac:dyDescent="0.25">
      <c r="A4330" s="2">
        <v>4325</v>
      </c>
      <c r="B4330" s="39">
        <v>927052557</v>
      </c>
      <c r="C4330" s="28" t="str">
        <f>HYPERLINK("https://pld.live/RapDetail.aspx?STONELIST=927052557","DNA")</f>
        <v>DNA</v>
      </c>
      <c r="D4330" s="18" t="s">
        <v>3054</v>
      </c>
      <c r="E4330" s="18" t="s">
        <v>5128</v>
      </c>
      <c r="F4330" s="2" t="s">
        <v>7987</v>
      </c>
      <c r="G4330" s="2" t="s">
        <v>1573</v>
      </c>
      <c r="H4330" s="14">
        <v>1.02</v>
      </c>
      <c r="I4330" s="2" t="s">
        <v>4761</v>
      </c>
      <c r="J4330" s="2" t="s">
        <v>6555</v>
      </c>
      <c r="K4330" s="2" t="s">
        <v>1452</v>
      </c>
      <c r="L4330" s="2" t="s">
        <v>5721</v>
      </c>
      <c r="M4330" s="2" t="s">
        <v>5721</v>
      </c>
      <c r="N4330" s="2" t="s">
        <v>2317</v>
      </c>
      <c r="O4330" s="14">
        <v>7500</v>
      </c>
      <c r="P4330" s="14">
        <v>98.25</v>
      </c>
      <c r="Q4330" s="14">
        <v>131.25</v>
      </c>
      <c r="R4330" s="14">
        <v>133.88</v>
      </c>
      <c r="S4330" s="2" t="s">
        <v>1510</v>
      </c>
      <c r="T4330" s="2">
        <v>1.42</v>
      </c>
      <c r="U4330" s="2">
        <v>60.1</v>
      </c>
      <c r="V4330" s="2">
        <v>61</v>
      </c>
      <c r="W4330" s="2" t="s">
        <v>7862</v>
      </c>
      <c r="X4330" s="2" t="s">
        <v>471</v>
      </c>
      <c r="Y4330" s="2">
        <v>7650</v>
      </c>
      <c r="Z4330" s="19" t="str">
        <f>HYPERLINK("https://ssdweb.co/ssdweb/hd/Vision360.html?d=927052557&amp;zoomslide=1&amp;z=1927052557&amp;ISCONFIRM=0","VIDEO")</f>
        <v>VIDEO</v>
      </c>
      <c r="AA4330" s="19" t="str">
        <f>HYPERLINK("https://ssdweb.co/ssdweb/CERTH/668437146.pdf","CERTI")</f>
        <v>CERTI</v>
      </c>
    </row>
    <row r="4331" spans="1:27" ht="15" x14ac:dyDescent="0.25">
      <c r="A4331" s="2">
        <v>4326</v>
      </c>
      <c r="B4331" s="39">
        <v>927052558</v>
      </c>
      <c r="C4331" s="28" t="str">
        <f>HYPERLINK("https://pld.live/RapDetail.aspx?STONELIST=927052558","DNA")</f>
        <v>DNA</v>
      </c>
      <c r="D4331" s="18" t="s">
        <v>3054</v>
      </c>
      <c r="E4331" s="18" t="s">
        <v>5128</v>
      </c>
      <c r="F4331" s="2" t="s">
        <v>7987</v>
      </c>
      <c r="G4331" s="2" t="s">
        <v>1573</v>
      </c>
      <c r="H4331" s="14">
        <v>1.02</v>
      </c>
      <c r="I4331" s="2" t="s">
        <v>4761</v>
      </c>
      <c r="J4331" s="2" t="s">
        <v>6555</v>
      </c>
      <c r="K4331" s="2" t="s">
        <v>1452</v>
      </c>
      <c r="L4331" s="2" t="s">
        <v>5721</v>
      </c>
      <c r="M4331" s="2" t="s">
        <v>5721</v>
      </c>
      <c r="N4331" s="2" t="s">
        <v>2317</v>
      </c>
      <c r="O4331" s="14">
        <v>7500</v>
      </c>
      <c r="P4331" s="14">
        <v>98.25</v>
      </c>
      <c r="Q4331" s="14">
        <v>131.25</v>
      </c>
      <c r="R4331" s="14">
        <v>133.88</v>
      </c>
      <c r="S4331" s="2" t="s">
        <v>7506</v>
      </c>
      <c r="T4331" s="2">
        <v>1.4</v>
      </c>
      <c r="U4331" s="2">
        <v>60.6</v>
      </c>
      <c r="V4331" s="2">
        <v>60</v>
      </c>
      <c r="W4331" s="2" t="s">
        <v>7862</v>
      </c>
      <c r="X4331" s="2" t="s">
        <v>471</v>
      </c>
      <c r="Y4331" s="2">
        <v>7650</v>
      </c>
      <c r="Z4331" s="19" t="str">
        <f>HYPERLINK("https://ssdweb.co/ssdweb/hd/Vision360.html?d=927052558&amp;zoomslide=1&amp;z=1927052558&amp;ISCONFIRM=0","VIDEO")</f>
        <v>VIDEO</v>
      </c>
      <c r="AA4331" s="19" t="str">
        <f>HYPERLINK("https://ssdweb.co/ssdweb/CERTH/668437147.pdf","CERTI")</f>
        <v>CERTI</v>
      </c>
    </row>
    <row r="4332" spans="1:27" ht="15" x14ac:dyDescent="0.25">
      <c r="A4332" s="2">
        <v>4327</v>
      </c>
      <c r="B4332" s="39">
        <v>927052562</v>
      </c>
      <c r="C4332" s="28" t="str">
        <f>HYPERLINK("https://pld.live/RapDetail.aspx?STONELIST=927052562","DNA")</f>
        <v>DNA</v>
      </c>
      <c r="D4332" s="18" t="s">
        <v>3054</v>
      </c>
      <c r="E4332" s="18" t="s">
        <v>5128</v>
      </c>
      <c r="F4332" s="2" t="s">
        <v>7987</v>
      </c>
      <c r="G4332" s="2" t="s">
        <v>1573</v>
      </c>
      <c r="H4332" s="14">
        <v>1.02</v>
      </c>
      <c r="I4332" s="2" t="s">
        <v>4761</v>
      </c>
      <c r="J4332" s="2" t="s">
        <v>6555</v>
      </c>
      <c r="K4332" s="2" t="s">
        <v>1452</v>
      </c>
      <c r="L4332" s="2" t="s">
        <v>5721</v>
      </c>
      <c r="M4332" s="2" t="s">
        <v>5721</v>
      </c>
      <c r="N4332" s="2" t="s">
        <v>2317</v>
      </c>
      <c r="O4332" s="14">
        <v>7500</v>
      </c>
      <c r="P4332" s="14">
        <v>98.25</v>
      </c>
      <c r="Q4332" s="14">
        <v>131.25</v>
      </c>
      <c r="R4332" s="14">
        <v>133.88</v>
      </c>
      <c r="S4332" s="2" t="s">
        <v>1480</v>
      </c>
      <c r="T4332" s="2">
        <v>1.44</v>
      </c>
      <c r="U4332" s="2">
        <v>61</v>
      </c>
      <c r="V4332" s="2">
        <v>62</v>
      </c>
      <c r="W4332" s="2" t="s">
        <v>7862</v>
      </c>
      <c r="X4332" s="2" t="s">
        <v>471</v>
      </c>
      <c r="Y4332" s="2">
        <v>7650</v>
      </c>
      <c r="Z4332" s="19" t="str">
        <f>HYPERLINK("https://ssdweb.co/ssdweb/hd/Vision360.html?d=927052562&amp;zoomslide=1&amp;z=1927052562&amp;ISCONFIRM=0","VIDEO")</f>
        <v>VIDEO</v>
      </c>
      <c r="AA4332" s="19" t="str">
        <f>HYPERLINK("https://ssdweb.co/ssdweb/CERTH/668437148.pdf","CERTI")</f>
        <v>CERTI</v>
      </c>
    </row>
    <row r="4333" spans="1:27" ht="15" x14ac:dyDescent="0.25">
      <c r="A4333" s="2">
        <v>4328</v>
      </c>
      <c r="B4333" s="39">
        <v>926700724</v>
      </c>
      <c r="C4333" s="28" t="str">
        <f>HYPERLINK("https://pld.live/RapDetail.aspx?STONELIST=926700724","DNA")</f>
        <v>DNA</v>
      </c>
      <c r="D4333" s="18" t="s">
        <v>3054</v>
      </c>
      <c r="E4333" s="18" t="s">
        <v>5128</v>
      </c>
      <c r="F4333" s="2" t="s">
        <v>7987</v>
      </c>
      <c r="G4333" s="2" t="s">
        <v>1573</v>
      </c>
      <c r="H4333" s="14">
        <v>1.02</v>
      </c>
      <c r="I4333" s="2" t="s">
        <v>4761</v>
      </c>
      <c r="J4333" s="2" t="s">
        <v>3942</v>
      </c>
      <c r="K4333" s="2" t="s">
        <v>1452</v>
      </c>
      <c r="L4333" s="2" t="s">
        <v>5221</v>
      </c>
      <c r="M4333" s="2" t="s">
        <v>5221</v>
      </c>
      <c r="N4333" s="2" t="s">
        <v>2317</v>
      </c>
      <c r="O4333" s="14">
        <v>6900</v>
      </c>
      <c r="P4333" s="14">
        <v>98.33</v>
      </c>
      <c r="Q4333" s="14">
        <v>115.23</v>
      </c>
      <c r="R4333" s="14">
        <v>117.53</v>
      </c>
      <c r="S4333" s="2" t="s">
        <v>5390</v>
      </c>
      <c r="T4333" s="2">
        <v>1.39</v>
      </c>
      <c r="U4333" s="2">
        <v>62.5</v>
      </c>
      <c r="V4333" s="2">
        <v>61</v>
      </c>
      <c r="W4333" s="2" t="s">
        <v>7862</v>
      </c>
      <c r="X4333" s="2" t="s">
        <v>471</v>
      </c>
      <c r="Y4333" s="2">
        <v>7038</v>
      </c>
      <c r="Z4333" s="19" t="str">
        <f>HYPERLINK("https://ssdweb.co/ssdweb/hd/Vision360.html?d=926700724&amp;zoomslide=1&amp;z=1926700724&amp;ISCONFIRM=0","VIDEO")</f>
        <v>VIDEO</v>
      </c>
      <c r="AA4333" s="19" t="str">
        <f>HYPERLINK("https://ssdweb.co/ssdweb/CERTH/651401183.pdf","CERTI")</f>
        <v>CERTI</v>
      </c>
    </row>
    <row r="4334" spans="1:27" ht="15" x14ac:dyDescent="0.25">
      <c r="A4334" s="2">
        <v>4329</v>
      </c>
      <c r="B4334" s="39">
        <v>927052556</v>
      </c>
      <c r="C4334" s="28" t="str">
        <f>HYPERLINK("https://pld.live/RapDetail.aspx?STONELIST=927052556","DNA")</f>
        <v>DNA</v>
      </c>
      <c r="D4334" s="18" t="s">
        <v>3054</v>
      </c>
      <c r="E4334" s="18" t="s">
        <v>5128</v>
      </c>
      <c r="F4334" s="2" t="s">
        <v>7987</v>
      </c>
      <c r="G4334" s="2" t="s">
        <v>1573</v>
      </c>
      <c r="H4334" s="14">
        <v>1.02</v>
      </c>
      <c r="I4334" s="2" t="s">
        <v>4761</v>
      </c>
      <c r="J4334" s="2" t="s">
        <v>3942</v>
      </c>
      <c r="K4334" s="2" t="s">
        <v>1452</v>
      </c>
      <c r="L4334" s="2" t="s">
        <v>5221</v>
      </c>
      <c r="M4334" s="2" t="s">
        <v>5221</v>
      </c>
      <c r="N4334" s="2" t="s">
        <v>2317</v>
      </c>
      <c r="O4334" s="14">
        <v>6900</v>
      </c>
      <c r="P4334" s="14">
        <v>98.3</v>
      </c>
      <c r="Q4334" s="14">
        <v>117.3</v>
      </c>
      <c r="R4334" s="14">
        <v>119.65</v>
      </c>
      <c r="S4334" s="2" t="s">
        <v>2577</v>
      </c>
      <c r="T4334" s="2">
        <v>1.38</v>
      </c>
      <c r="U4334" s="2">
        <v>62.2</v>
      </c>
      <c r="V4334" s="2">
        <v>60</v>
      </c>
      <c r="W4334" s="2" t="s">
        <v>7862</v>
      </c>
      <c r="X4334" s="2" t="s">
        <v>471</v>
      </c>
      <c r="Y4334" s="2">
        <v>7038</v>
      </c>
      <c r="Z4334" s="19" t="str">
        <f>HYPERLINK("https://ssdweb.co/ssdweb/hd/Vision360.html?d=927052556&amp;zoomslide=1&amp;z=1927052556&amp;ISCONFIRM=0","VIDEO")</f>
        <v>VIDEO</v>
      </c>
      <c r="AA4334" s="19" t="str">
        <f>HYPERLINK("https://ssdweb.co/ssdweb/CERTH/668446604.pdf","CERTI")</f>
        <v>CERTI</v>
      </c>
    </row>
    <row r="4335" spans="1:27" ht="15" x14ac:dyDescent="0.25">
      <c r="A4335" s="2">
        <v>4330</v>
      </c>
      <c r="B4335" s="39">
        <v>927101197</v>
      </c>
      <c r="C4335" s="28" t="str">
        <f>HYPERLINK("https://pld.live/RapDetail.aspx?STONELIST=927101197","DNA")</f>
        <v>DNA</v>
      </c>
      <c r="D4335" s="18" t="s">
        <v>3054</v>
      </c>
      <c r="E4335" s="18" t="s">
        <v>5128</v>
      </c>
      <c r="F4335" s="2" t="s">
        <v>7987</v>
      </c>
      <c r="G4335" s="2" t="s">
        <v>1573</v>
      </c>
      <c r="H4335" s="14">
        <v>1.02</v>
      </c>
      <c r="I4335" s="2" t="s">
        <v>4761</v>
      </c>
      <c r="J4335" s="2" t="s">
        <v>3942</v>
      </c>
      <c r="K4335" s="2" t="s">
        <v>1452</v>
      </c>
      <c r="L4335" s="2" t="s">
        <v>5221</v>
      </c>
      <c r="M4335" s="2" t="s">
        <v>5221</v>
      </c>
      <c r="N4335" s="2" t="s">
        <v>2317</v>
      </c>
      <c r="O4335" s="14">
        <v>6900</v>
      </c>
      <c r="P4335" s="14">
        <v>98.3</v>
      </c>
      <c r="Q4335" s="14">
        <v>117.3</v>
      </c>
      <c r="R4335" s="14">
        <v>119.65</v>
      </c>
      <c r="S4335" s="2" t="s">
        <v>3140</v>
      </c>
      <c r="T4335" s="2">
        <v>1.39</v>
      </c>
      <c r="U4335" s="2">
        <v>60.4</v>
      </c>
      <c r="V4335" s="2">
        <v>62</v>
      </c>
      <c r="W4335" s="2" t="s">
        <v>7862</v>
      </c>
      <c r="X4335" s="2" t="s">
        <v>471</v>
      </c>
      <c r="Y4335" s="2">
        <v>7038</v>
      </c>
      <c r="Z4335" s="19" t="str">
        <f>HYPERLINK("https://ssdweb.co/ssdweb/hd/Vision360.html?d=927101197&amp;zoomslide=1&amp;z=1927101197&amp;ISCONFIRM=0","VIDEO")</f>
        <v>VIDEO</v>
      </c>
      <c r="AA4335" s="19" t="str">
        <f>HYPERLINK("https://ssdweb.co/ssdweb/CERTH/667408270.pdf","CERTI")</f>
        <v>CERTI</v>
      </c>
    </row>
    <row r="4336" spans="1:27" ht="15" x14ac:dyDescent="0.25">
      <c r="A4336" s="2">
        <v>4331</v>
      </c>
      <c r="B4336" s="39">
        <v>927092197</v>
      </c>
      <c r="C4336" s="28" t="str">
        <f>HYPERLINK("https://pld.live/RapDetail.aspx?STONELIST=927092197","DNA")</f>
        <v>DNA</v>
      </c>
      <c r="D4336" s="18" t="s">
        <v>3054</v>
      </c>
      <c r="E4336" s="18" t="s">
        <v>5128</v>
      </c>
      <c r="F4336" s="2" t="s">
        <v>7987</v>
      </c>
      <c r="G4336" s="2" t="s">
        <v>1573</v>
      </c>
      <c r="H4336" s="14">
        <v>1.02</v>
      </c>
      <c r="I4336" s="2" t="s">
        <v>4761</v>
      </c>
      <c r="J4336" s="2" t="s">
        <v>3942</v>
      </c>
      <c r="K4336" s="2" t="s">
        <v>1452</v>
      </c>
      <c r="L4336" s="2" t="s">
        <v>5221</v>
      </c>
      <c r="M4336" s="2" t="s">
        <v>5221</v>
      </c>
      <c r="N4336" s="2" t="s">
        <v>2317</v>
      </c>
      <c r="O4336" s="14">
        <v>6900</v>
      </c>
      <c r="P4336" s="14">
        <v>98.3</v>
      </c>
      <c r="Q4336" s="14">
        <v>117.3</v>
      </c>
      <c r="R4336" s="14">
        <v>119.65</v>
      </c>
      <c r="S4336" s="2" t="s">
        <v>2941</v>
      </c>
      <c r="T4336" s="2">
        <v>1.41</v>
      </c>
      <c r="U4336" s="2">
        <v>61.2</v>
      </c>
      <c r="V4336" s="2">
        <v>59</v>
      </c>
      <c r="W4336" s="2" t="s">
        <v>7862</v>
      </c>
      <c r="X4336" s="2" t="s">
        <v>471</v>
      </c>
      <c r="Y4336" s="2">
        <v>7038</v>
      </c>
      <c r="Z4336" s="19" t="str">
        <f>HYPERLINK("https://ssdweb.co/ssdweb/hd/Vision360.html?d=927092197&amp;zoomslide=1&amp;z=1927092197&amp;ISCONFIRM=0","VIDEO")</f>
        <v>VIDEO</v>
      </c>
      <c r="AA4336" s="19" t="str">
        <f>HYPERLINK("https://ssdweb.co/ssdweb/CERTH/667408290.pdf","CERTI")</f>
        <v>CERTI</v>
      </c>
    </row>
    <row r="4337" spans="1:27" ht="15" x14ac:dyDescent="0.25">
      <c r="A4337" s="2">
        <v>4332</v>
      </c>
      <c r="B4337" s="39">
        <v>927092201</v>
      </c>
      <c r="C4337" s="28" t="str">
        <f>HYPERLINK("https://pld.live/RapDetail.aspx?STONELIST=927092201","DNA")</f>
        <v>DNA</v>
      </c>
      <c r="D4337" s="18" t="s">
        <v>3054</v>
      </c>
      <c r="E4337" s="18" t="s">
        <v>5128</v>
      </c>
      <c r="F4337" s="2" t="s">
        <v>7987</v>
      </c>
      <c r="G4337" s="2" t="s">
        <v>1573</v>
      </c>
      <c r="H4337" s="14">
        <v>1.02</v>
      </c>
      <c r="I4337" s="2" t="s">
        <v>4761</v>
      </c>
      <c r="J4337" s="2" t="s">
        <v>3942</v>
      </c>
      <c r="K4337" s="2" t="s">
        <v>1452</v>
      </c>
      <c r="L4337" s="2" t="s">
        <v>5221</v>
      </c>
      <c r="M4337" s="2" t="s">
        <v>5221</v>
      </c>
      <c r="N4337" s="2" t="s">
        <v>2317</v>
      </c>
      <c r="O4337" s="14">
        <v>6900</v>
      </c>
      <c r="P4337" s="14">
        <v>98.3</v>
      </c>
      <c r="Q4337" s="14">
        <v>117.3</v>
      </c>
      <c r="R4337" s="14">
        <v>119.65</v>
      </c>
      <c r="S4337" s="2" t="s">
        <v>6770</v>
      </c>
      <c r="T4337" s="2">
        <v>1.38</v>
      </c>
      <c r="U4337" s="2">
        <v>61.3</v>
      </c>
      <c r="V4337" s="2">
        <v>61</v>
      </c>
      <c r="W4337" s="2" t="s">
        <v>7862</v>
      </c>
      <c r="X4337" s="2" t="s">
        <v>471</v>
      </c>
      <c r="Y4337" s="2">
        <v>7038</v>
      </c>
      <c r="Z4337" s="19" t="str">
        <f>HYPERLINK("https://ssdweb.co/ssdweb/hd/Vision360.html?d=927092201&amp;zoomslide=1&amp;z=1927092201&amp;ISCONFIRM=0","VIDEO")</f>
        <v>VIDEO</v>
      </c>
      <c r="AA4337" s="19" t="str">
        <f>HYPERLINK("https://ssdweb.co/ssdweb/CERTH/667408253.pdf","CERTI")</f>
        <v>CERTI</v>
      </c>
    </row>
    <row r="4338" spans="1:27" ht="15" x14ac:dyDescent="0.25">
      <c r="A4338" s="2">
        <v>4333</v>
      </c>
      <c r="B4338" s="39">
        <v>927010787</v>
      </c>
      <c r="C4338" s="28" t="str">
        <f>HYPERLINK("https://pld.live/RapDetail.aspx?STONELIST=927010787","DNA")</f>
        <v>DNA</v>
      </c>
      <c r="D4338" s="18" t="s">
        <v>3054</v>
      </c>
      <c r="E4338" s="18" t="s">
        <v>2186</v>
      </c>
      <c r="F4338" s="2" t="s">
        <v>7987</v>
      </c>
      <c r="G4338" s="2" t="s">
        <v>1573</v>
      </c>
      <c r="H4338" s="14">
        <v>1.02</v>
      </c>
      <c r="I4338" s="2" t="s">
        <v>4761</v>
      </c>
      <c r="J4338" s="2" t="s">
        <v>3942</v>
      </c>
      <c r="K4338" s="2" t="s">
        <v>1452</v>
      </c>
      <c r="L4338" s="2" t="s">
        <v>5221</v>
      </c>
      <c r="M4338" s="2" t="s">
        <v>5721</v>
      </c>
      <c r="N4338" s="2" t="s">
        <v>2317</v>
      </c>
      <c r="O4338" s="14">
        <v>6900</v>
      </c>
      <c r="P4338" s="14">
        <v>98.33</v>
      </c>
      <c r="Q4338" s="14">
        <v>115.23</v>
      </c>
      <c r="R4338" s="14">
        <v>117.53</v>
      </c>
      <c r="S4338" s="2" t="s">
        <v>5703</v>
      </c>
      <c r="T4338" s="2">
        <v>1.38</v>
      </c>
      <c r="U4338" s="2">
        <v>60.7</v>
      </c>
      <c r="V4338" s="2">
        <v>62</v>
      </c>
      <c r="W4338" s="2" t="s">
        <v>7862</v>
      </c>
      <c r="X4338" s="2" t="s">
        <v>471</v>
      </c>
      <c r="Y4338" s="2">
        <v>7038</v>
      </c>
      <c r="Z4338" s="19" t="str">
        <f>HYPERLINK("https://ssdweb.co/ssdweb/hd/Vision360.html?d=927010787&amp;zoomslide=1&amp;z=1927010787&amp;ISCONFIRM=0","VIDEO")</f>
        <v>VIDEO</v>
      </c>
      <c r="AA4338" s="19" t="str">
        <f>HYPERLINK("https://ssdweb.co/ssdweb/CERTH/666419923.pdf","CERTI")</f>
        <v>CERTI</v>
      </c>
    </row>
    <row r="4339" spans="1:27" ht="15" x14ac:dyDescent="0.25">
      <c r="A4339" s="2">
        <v>4334</v>
      </c>
      <c r="B4339" s="39">
        <v>941160605</v>
      </c>
      <c r="C4339" s="28" t="str">
        <f>HYPERLINK("https://pld.live/RapDetail.aspx?STONELIST=941160605","DNA")</f>
        <v>DNA</v>
      </c>
      <c r="D4339" s="18" t="s">
        <v>3054</v>
      </c>
      <c r="E4339" s="18" t="s">
        <v>5128</v>
      </c>
      <c r="F4339" s="2" t="s">
        <v>7987</v>
      </c>
      <c r="G4339" s="2" t="s">
        <v>1573</v>
      </c>
      <c r="H4339" s="14">
        <v>1.02</v>
      </c>
      <c r="I4339" s="2" t="s">
        <v>4761</v>
      </c>
      <c r="J4339" s="2" t="s">
        <v>3942</v>
      </c>
      <c r="K4339" s="2" t="s">
        <v>1452</v>
      </c>
      <c r="L4339" s="2" t="s">
        <v>5221</v>
      </c>
      <c r="M4339" s="2" t="s">
        <v>5721</v>
      </c>
      <c r="N4339" s="2" t="s">
        <v>2317</v>
      </c>
      <c r="O4339" s="14">
        <v>6900</v>
      </c>
      <c r="P4339" s="14">
        <v>98.33</v>
      </c>
      <c r="Q4339" s="14">
        <v>115.23</v>
      </c>
      <c r="R4339" s="14">
        <v>117.53</v>
      </c>
      <c r="S4339" s="2" t="s">
        <v>5224</v>
      </c>
      <c r="T4339" s="2">
        <v>1.37</v>
      </c>
      <c r="U4339" s="2">
        <v>61</v>
      </c>
      <c r="V4339" s="2">
        <v>62</v>
      </c>
      <c r="W4339" s="2" t="s">
        <v>7862</v>
      </c>
      <c r="X4339" s="2" t="s">
        <v>471</v>
      </c>
      <c r="Y4339" s="2">
        <v>7038</v>
      </c>
      <c r="Z4339" s="19" t="str">
        <f>HYPERLINK("https://ssdweb.co/ssdweb/hd/Vision360.html?d=941160605&amp;zoomslide=1&amp;z=1941160605&amp;ISCONFIRM=0","VIDEO")</f>
        <v>VIDEO</v>
      </c>
      <c r="AA4339" s="19" t="str">
        <f>HYPERLINK("https://ssdweb.co/ssdweb/CERTH/678564570.pdf","CERTI")</f>
        <v>CERTI</v>
      </c>
    </row>
    <row r="4340" spans="1:27" ht="15" x14ac:dyDescent="0.25">
      <c r="A4340" s="2">
        <v>4335</v>
      </c>
      <c r="B4340" s="39">
        <v>926971994</v>
      </c>
      <c r="C4340" s="28" t="str">
        <f>HYPERLINK("https://pld.live/RapDetail.aspx?STONELIST=926971994","DNA")</f>
        <v>DNA</v>
      </c>
      <c r="D4340" s="18" t="s">
        <v>3054</v>
      </c>
      <c r="E4340" s="18" t="s">
        <v>5128</v>
      </c>
      <c r="F4340" s="2" t="s">
        <v>7987</v>
      </c>
      <c r="G4340" s="2" t="s">
        <v>1573</v>
      </c>
      <c r="H4340" s="14">
        <v>1.02</v>
      </c>
      <c r="I4340" s="2" t="s">
        <v>4761</v>
      </c>
      <c r="J4340" s="2" t="s">
        <v>13</v>
      </c>
      <c r="K4340" s="2" t="s">
        <v>1452</v>
      </c>
      <c r="L4340" s="2" t="s">
        <v>5221</v>
      </c>
      <c r="M4340" s="2" t="s">
        <v>5221</v>
      </c>
      <c r="N4340" s="2" t="s">
        <v>2317</v>
      </c>
      <c r="O4340" s="14">
        <v>6200</v>
      </c>
      <c r="P4340" s="14">
        <v>98.16</v>
      </c>
      <c r="Q4340" s="14">
        <v>114.08</v>
      </c>
      <c r="R4340" s="14">
        <v>116.36</v>
      </c>
      <c r="S4340" s="2" t="s">
        <v>1887</v>
      </c>
      <c r="T4340" s="2">
        <v>1.38</v>
      </c>
      <c r="U4340" s="2">
        <v>62.2</v>
      </c>
      <c r="V4340" s="2">
        <v>58</v>
      </c>
      <c r="W4340" s="2" t="s">
        <v>7862</v>
      </c>
      <c r="X4340" s="2" t="s">
        <v>471</v>
      </c>
      <c r="Y4340" s="2">
        <v>6324</v>
      </c>
      <c r="Z4340" s="19" t="str">
        <f>HYPERLINK("https://ssdweb.co/ssdweb/hd/Vision360.html?d=926971994&amp;zoomslide=1&amp;z=1926971994&amp;ISCONFIRM=0","VIDEO")</f>
        <v>VIDEO</v>
      </c>
      <c r="AA4340" s="19" t="str">
        <f>HYPERLINK("https://ssdweb.co/ssdweb/CERTH/670484493.pdf","CERTI")</f>
        <v>CERTI</v>
      </c>
    </row>
    <row r="4341" spans="1:27" ht="15" x14ac:dyDescent="0.25">
      <c r="A4341" s="2">
        <v>4336</v>
      </c>
      <c r="B4341" s="39">
        <v>927150306</v>
      </c>
      <c r="C4341" s="28" t="str">
        <f>HYPERLINK("https://pld.live/RapDetail.aspx?STONELIST=927150306","DNA")</f>
        <v>DNA</v>
      </c>
      <c r="D4341" s="18" t="s">
        <v>3054</v>
      </c>
      <c r="E4341" s="18" t="s">
        <v>5128</v>
      </c>
      <c r="F4341" s="2" t="s">
        <v>7987</v>
      </c>
      <c r="G4341" s="2" t="s">
        <v>1573</v>
      </c>
      <c r="H4341" s="14">
        <v>1.02</v>
      </c>
      <c r="I4341" s="2" t="s">
        <v>4761</v>
      </c>
      <c r="J4341" s="2" t="s">
        <v>5144</v>
      </c>
      <c r="K4341" s="2" t="s">
        <v>1452</v>
      </c>
      <c r="L4341" s="2" t="s">
        <v>5221</v>
      </c>
      <c r="M4341" s="2" t="s">
        <v>5221</v>
      </c>
      <c r="N4341" s="2" t="s">
        <v>2317</v>
      </c>
      <c r="O4341" s="14">
        <v>5400</v>
      </c>
      <c r="P4341" s="14">
        <v>97.94</v>
      </c>
      <c r="Q4341" s="14">
        <v>111.24</v>
      </c>
      <c r="R4341" s="14">
        <v>113.46</v>
      </c>
      <c r="S4341" s="2" t="s">
        <v>1254</v>
      </c>
      <c r="T4341" s="2">
        <v>1.39</v>
      </c>
      <c r="U4341" s="2">
        <v>60.4</v>
      </c>
      <c r="V4341" s="2">
        <v>61</v>
      </c>
      <c r="W4341" s="2" t="s">
        <v>7862</v>
      </c>
      <c r="X4341" s="2" t="s">
        <v>471</v>
      </c>
      <c r="Y4341" s="2">
        <v>5508</v>
      </c>
      <c r="Z4341" s="19" t="str">
        <f>HYPERLINK("https://ssdweb.co/ssdweb/hd/Vision360.html?d=927150306&amp;zoomslide=1&amp;z=1927150306&amp;ISCONFIRM=0","VIDEO")</f>
        <v>VIDEO</v>
      </c>
      <c r="AA4341" s="19" t="str">
        <f>HYPERLINK("https://ssdweb.co/ssdweb/CERTH/667433067.pdf","CERTI")</f>
        <v>CERTI</v>
      </c>
    </row>
    <row r="4342" spans="1:27" ht="15" x14ac:dyDescent="0.25">
      <c r="A4342" s="2">
        <v>4337</v>
      </c>
      <c r="B4342" s="39">
        <v>927030778</v>
      </c>
      <c r="C4342" s="28" t="str">
        <f>HYPERLINK("https://pld.live/RapDetail.aspx?STONELIST=927030778","DNA")</f>
        <v>DNA</v>
      </c>
      <c r="D4342" s="18" t="s">
        <v>3054</v>
      </c>
      <c r="E4342" s="18" t="s">
        <v>2186</v>
      </c>
      <c r="F4342" s="2" t="s">
        <v>7987</v>
      </c>
      <c r="G4342" s="2" t="s">
        <v>1573</v>
      </c>
      <c r="H4342" s="14">
        <v>1.02</v>
      </c>
      <c r="I4342" s="2" t="s">
        <v>4761</v>
      </c>
      <c r="J4342" s="2" t="s">
        <v>5144</v>
      </c>
      <c r="K4342" s="2" t="s">
        <v>1452</v>
      </c>
      <c r="L4342" s="2" t="s">
        <v>5221</v>
      </c>
      <c r="M4342" s="2" t="s">
        <v>5221</v>
      </c>
      <c r="N4342" s="2" t="s">
        <v>2317</v>
      </c>
      <c r="O4342" s="14">
        <v>5400</v>
      </c>
      <c r="P4342" s="14">
        <v>97.94</v>
      </c>
      <c r="Q4342" s="14">
        <v>111.24</v>
      </c>
      <c r="R4342" s="14">
        <v>113.46</v>
      </c>
      <c r="S4342" s="2" t="s">
        <v>2390</v>
      </c>
      <c r="T4342" s="2">
        <v>1.41</v>
      </c>
      <c r="U4342" s="2">
        <v>60.6</v>
      </c>
      <c r="V4342" s="2">
        <v>61</v>
      </c>
      <c r="W4342" s="2" t="s">
        <v>7862</v>
      </c>
      <c r="X4342" s="2" t="s">
        <v>471</v>
      </c>
      <c r="Y4342" s="2">
        <v>5508</v>
      </c>
      <c r="Z4342" s="19" t="str">
        <f>HYPERLINK("https://ssdweb.co/ssdweb/hd/Vision360.html?d=927030778&amp;zoomslide=1&amp;z=1927030778&amp;ISCONFIRM=0","VIDEO")</f>
        <v>VIDEO</v>
      </c>
      <c r="AA4342" s="19" t="str">
        <f>HYPERLINK("https://ssdweb.co/ssdweb/CERTH/667433070.pdf","CERTI")</f>
        <v>CERTI</v>
      </c>
    </row>
    <row r="4343" spans="1:27" ht="15" x14ac:dyDescent="0.25">
      <c r="A4343" s="2">
        <v>4338</v>
      </c>
      <c r="B4343" s="39">
        <v>941160615</v>
      </c>
      <c r="C4343" s="28" t="str">
        <f>HYPERLINK("https://pld.live/RapDetail.aspx?STONELIST=941160615","DNA")</f>
        <v>DNA</v>
      </c>
      <c r="D4343" s="18" t="s">
        <v>3054</v>
      </c>
      <c r="E4343" s="18" t="s">
        <v>5128</v>
      </c>
      <c r="F4343" s="2" t="s">
        <v>7987</v>
      </c>
      <c r="G4343" s="2" t="s">
        <v>1573</v>
      </c>
      <c r="H4343" s="14">
        <v>1.02</v>
      </c>
      <c r="I4343" s="2" t="s">
        <v>4761</v>
      </c>
      <c r="J4343" s="2" t="s">
        <v>5144</v>
      </c>
      <c r="K4343" s="2" t="s">
        <v>1452</v>
      </c>
      <c r="L4343" s="2" t="s">
        <v>5221</v>
      </c>
      <c r="M4343" s="2" t="s">
        <v>5721</v>
      </c>
      <c r="N4343" s="2" t="s">
        <v>2317</v>
      </c>
      <c r="O4343" s="14">
        <v>5400</v>
      </c>
      <c r="P4343" s="14">
        <v>97.98</v>
      </c>
      <c r="Q4343" s="14">
        <v>109.08</v>
      </c>
      <c r="R4343" s="14">
        <v>111.26</v>
      </c>
      <c r="S4343" s="2" t="s">
        <v>7906</v>
      </c>
      <c r="T4343" s="2">
        <v>1.37</v>
      </c>
      <c r="U4343" s="2">
        <v>61.6</v>
      </c>
      <c r="V4343" s="2">
        <v>61</v>
      </c>
      <c r="W4343" s="2" t="s">
        <v>7862</v>
      </c>
      <c r="X4343" s="2" t="s">
        <v>471</v>
      </c>
      <c r="Y4343" s="2">
        <v>5508</v>
      </c>
      <c r="Z4343" s="19" t="str">
        <f>HYPERLINK("https://ssdweb.co/ssdweb/hd/Vision360.html?d=941160615&amp;zoomslide=1&amp;z=1941160615&amp;ISCONFIRM=0","VIDEO")</f>
        <v>VIDEO</v>
      </c>
      <c r="AA4343" s="19" t="str">
        <f>HYPERLINK("https://ssdweb.co/ssdweb/CERTH/678564564.pdf","CERTI")</f>
        <v>CERTI</v>
      </c>
    </row>
    <row r="4344" spans="1:27" ht="15" x14ac:dyDescent="0.25">
      <c r="A4344" s="2">
        <v>4339</v>
      </c>
      <c r="B4344" s="39">
        <v>927052675</v>
      </c>
      <c r="C4344" s="28" t="str">
        <f>HYPERLINK("https://pld.live/RapDetail.aspx?STONELIST=927052675","DNA")</f>
        <v>DNA</v>
      </c>
      <c r="D4344" s="18" t="s">
        <v>3054</v>
      </c>
      <c r="E4344" s="18" t="s">
        <v>5128</v>
      </c>
      <c r="F4344" s="2" t="s">
        <v>7987</v>
      </c>
      <c r="G4344" s="2" t="s">
        <v>1573</v>
      </c>
      <c r="H4344" s="14">
        <v>1.02</v>
      </c>
      <c r="I4344" s="2" t="s">
        <v>4699</v>
      </c>
      <c r="J4344" s="2" t="s">
        <v>13</v>
      </c>
      <c r="K4344" s="2" t="s">
        <v>1452</v>
      </c>
      <c r="L4344" s="2" t="s">
        <v>5721</v>
      </c>
      <c r="M4344" s="2" t="s">
        <v>5221</v>
      </c>
      <c r="N4344" s="2" t="s">
        <v>2317</v>
      </c>
      <c r="O4344" s="14">
        <v>5800</v>
      </c>
      <c r="P4344" s="14">
        <v>98.12</v>
      </c>
      <c r="Q4344" s="14">
        <v>109.04</v>
      </c>
      <c r="R4344" s="14">
        <v>111.22</v>
      </c>
      <c r="S4344" s="2" t="s">
        <v>7261</v>
      </c>
      <c r="T4344" s="2">
        <v>1.38</v>
      </c>
      <c r="U4344" s="2">
        <v>63.8</v>
      </c>
      <c r="V4344" s="2">
        <v>60</v>
      </c>
      <c r="W4344" s="2" t="s">
        <v>7862</v>
      </c>
      <c r="X4344" s="2" t="s">
        <v>471</v>
      </c>
      <c r="Y4344" s="2">
        <v>5916</v>
      </c>
      <c r="Z4344" s="19" t="str">
        <f>HYPERLINK("https://ssdweb.co/ssdweb/hd/Vision360.html?d=927052675&amp;zoomslide=1&amp;z=1927052675&amp;ISCONFIRM=0","VIDEO")</f>
        <v>VIDEO</v>
      </c>
      <c r="AA4344" s="19" t="str">
        <f>HYPERLINK("https://ssdweb.co/ssdweb/CERTH/670445217.pdf","CERTI")</f>
        <v>CERTI</v>
      </c>
    </row>
    <row r="4345" spans="1:27" ht="15" x14ac:dyDescent="0.25">
      <c r="A4345" s="2">
        <v>4340</v>
      </c>
      <c r="B4345" s="39">
        <v>927040776</v>
      </c>
      <c r="C4345" s="28" t="str">
        <f>HYPERLINK("https://pld.live/RapDetail.aspx?STONELIST=927040776","DNA")</f>
        <v>DNA</v>
      </c>
      <c r="D4345" s="18" t="s">
        <v>3054</v>
      </c>
      <c r="E4345" s="18" t="s">
        <v>2186</v>
      </c>
      <c r="F4345" s="2" t="s">
        <v>7987</v>
      </c>
      <c r="G4345" s="2" t="s">
        <v>1573</v>
      </c>
      <c r="H4345" s="14">
        <v>1.02</v>
      </c>
      <c r="I4345" s="2" t="s">
        <v>4699</v>
      </c>
      <c r="J4345" s="2" t="s">
        <v>13</v>
      </c>
      <c r="K4345" s="2" t="s">
        <v>1452</v>
      </c>
      <c r="L4345" s="2" t="s">
        <v>5721</v>
      </c>
      <c r="M4345" s="2" t="s">
        <v>5721</v>
      </c>
      <c r="N4345" s="2" t="s">
        <v>2317</v>
      </c>
      <c r="O4345" s="14">
        <v>5800</v>
      </c>
      <c r="P4345" s="14">
        <v>98.12</v>
      </c>
      <c r="Q4345" s="14">
        <v>109.04</v>
      </c>
      <c r="R4345" s="14">
        <v>111.22</v>
      </c>
      <c r="S4345" s="2" t="s">
        <v>1539</v>
      </c>
      <c r="T4345" s="2">
        <v>1.39</v>
      </c>
      <c r="U4345" s="2">
        <v>60.7</v>
      </c>
      <c r="V4345" s="2">
        <v>60</v>
      </c>
      <c r="W4345" s="2" t="s">
        <v>7862</v>
      </c>
      <c r="X4345" s="2" t="s">
        <v>471</v>
      </c>
      <c r="Y4345" s="2">
        <v>5916</v>
      </c>
      <c r="Z4345" s="19" t="str">
        <f>HYPERLINK("https://ssdweb.co/ssdweb/hd/Vision360.html?d=927040776&amp;zoomslide=1&amp;z=1927040776&amp;ISCONFIRM=0","VIDEO")</f>
        <v>VIDEO</v>
      </c>
      <c r="AA4345" s="19" t="str">
        <f>HYPERLINK("https://ssdweb.co/ssdweb/CERTH/668437145.pdf","CERTI")</f>
        <v>CERTI</v>
      </c>
    </row>
    <row r="4346" spans="1:27" ht="15" x14ac:dyDescent="0.25">
      <c r="A4346" s="2">
        <v>4341</v>
      </c>
      <c r="B4346" s="39">
        <v>927130752</v>
      </c>
      <c r="C4346" s="28" t="str">
        <f>HYPERLINK("https://pld.live/RapDetail.aspx?STONELIST=927130752","DNA")</f>
        <v>DNA</v>
      </c>
      <c r="D4346" s="18" t="s">
        <v>3054</v>
      </c>
      <c r="E4346" s="18" t="s">
        <v>5128</v>
      </c>
      <c r="F4346" s="2" t="s">
        <v>7987</v>
      </c>
      <c r="G4346" s="2" t="s">
        <v>1573</v>
      </c>
      <c r="H4346" s="14">
        <v>1.01</v>
      </c>
      <c r="I4346" s="2" t="s">
        <v>267</v>
      </c>
      <c r="J4346" s="2" t="s">
        <v>6555</v>
      </c>
      <c r="K4346" s="2" t="s">
        <v>1452</v>
      </c>
      <c r="L4346" s="2" t="s">
        <v>5221</v>
      </c>
      <c r="M4346" s="2" t="s">
        <v>5721</v>
      </c>
      <c r="N4346" s="2" t="s">
        <v>2317</v>
      </c>
      <c r="O4346" s="14">
        <v>8200</v>
      </c>
      <c r="P4346" s="14">
        <v>98.26</v>
      </c>
      <c r="Q4346" s="14">
        <v>142.68</v>
      </c>
      <c r="R4346" s="14">
        <v>144.11000000000001</v>
      </c>
      <c r="S4346" s="2" t="s">
        <v>6702</v>
      </c>
      <c r="T4346" s="2">
        <v>1.43</v>
      </c>
      <c r="U4346" s="2">
        <v>59.5</v>
      </c>
      <c r="V4346" s="2">
        <v>61</v>
      </c>
      <c r="W4346" s="2" t="s">
        <v>7862</v>
      </c>
      <c r="X4346" s="2" t="s">
        <v>471</v>
      </c>
      <c r="Y4346" s="2">
        <v>8282</v>
      </c>
      <c r="Z4346" s="19" t="str">
        <f>HYPERLINK("https://ssdweb.co/ssdweb/hd/Vision360.html?d=927130752&amp;zoomslide=1&amp;z=1927130752&amp;ISCONFIRM=0","VIDEO")</f>
        <v>VIDEO</v>
      </c>
      <c r="AA4346" s="19" t="str">
        <f>HYPERLINK("https://ssdweb.co/ssdweb/CERTH/668446629.pdf","CERTI")</f>
        <v>CERTI</v>
      </c>
    </row>
    <row r="4347" spans="1:27" ht="15" x14ac:dyDescent="0.25">
      <c r="A4347" s="2">
        <v>4342</v>
      </c>
      <c r="B4347" s="39">
        <v>925732047</v>
      </c>
      <c r="C4347" s="28" t="str">
        <f>HYPERLINK("https://pld.live/RapDetail.aspx?STONELIST=925732047","DNA")</f>
        <v>DNA</v>
      </c>
      <c r="D4347" s="18" t="s">
        <v>3054</v>
      </c>
      <c r="E4347" s="18" t="s">
        <v>5128</v>
      </c>
      <c r="F4347" s="2" t="s">
        <v>3425</v>
      </c>
      <c r="G4347" s="2" t="s">
        <v>1573</v>
      </c>
      <c r="H4347" s="14">
        <v>1.01</v>
      </c>
      <c r="I4347" s="2" t="s">
        <v>267</v>
      </c>
      <c r="J4347" s="2" t="s">
        <v>6555</v>
      </c>
      <c r="K4347" s="2" t="s">
        <v>5221</v>
      </c>
      <c r="L4347" s="2" t="s">
        <v>5721</v>
      </c>
      <c r="M4347" s="2" t="s">
        <v>5221</v>
      </c>
      <c r="N4347" s="2" t="s">
        <v>1452</v>
      </c>
      <c r="O4347" s="14">
        <v>8200</v>
      </c>
      <c r="P4347" s="14">
        <v>97.04</v>
      </c>
      <c r="Q4347" s="14">
        <v>242.72</v>
      </c>
      <c r="R4347" s="14">
        <v>245.15</v>
      </c>
      <c r="S4347" s="2" t="s">
        <v>5609</v>
      </c>
      <c r="T4347" s="2">
        <v>1.37</v>
      </c>
      <c r="U4347" s="2">
        <v>62.8</v>
      </c>
      <c r="V4347" s="2">
        <v>59</v>
      </c>
      <c r="W4347" s="2" t="s">
        <v>7862</v>
      </c>
      <c r="X4347" s="2" t="s">
        <v>6096</v>
      </c>
      <c r="Y4347" s="2">
        <v>8282</v>
      </c>
      <c r="Z4347" s="19" t="str">
        <f>HYPERLINK("https://ssdweb.co/ssdweb/hd/Vision360.html?d=925732047&amp;zoomslide=1&amp;z=1925732047&amp;ISCONFIRM=0","VIDEO")</f>
        <v>VIDEO</v>
      </c>
      <c r="AA4347" s="19" t="str">
        <f>HYPERLINK("https://ssdweb.co/ssdweb/CERTH/340656106.pdf","CERTI")</f>
        <v>CERTI</v>
      </c>
    </row>
    <row r="4348" spans="1:27" ht="15" x14ac:dyDescent="0.25">
      <c r="A4348" s="2">
        <v>4343</v>
      </c>
      <c r="B4348" s="39">
        <v>821125464</v>
      </c>
      <c r="C4348" s="28" t="str">
        <f>HYPERLINK("https://pld.live/RapDetail.aspx?STONELIST=821125464","DNA")</f>
        <v>DNA</v>
      </c>
      <c r="D4348" s="18" t="s">
        <v>3054</v>
      </c>
      <c r="E4348" s="18" t="s">
        <v>5128</v>
      </c>
      <c r="F4348" s="2" t="s">
        <v>7987</v>
      </c>
      <c r="G4348" s="2" t="s">
        <v>1573</v>
      </c>
      <c r="H4348" s="14">
        <v>1.01</v>
      </c>
      <c r="I4348" s="2" t="s">
        <v>267</v>
      </c>
      <c r="J4348" s="2" t="s">
        <v>3942</v>
      </c>
      <c r="K4348" s="2" t="s">
        <v>1452</v>
      </c>
      <c r="L4348" s="2" t="s">
        <v>5221</v>
      </c>
      <c r="M4348" s="2" t="s">
        <v>5221</v>
      </c>
      <c r="N4348" s="2" t="s">
        <v>2317</v>
      </c>
      <c r="O4348" s="14">
        <v>7600</v>
      </c>
      <c r="P4348" s="14">
        <v>98.49</v>
      </c>
      <c r="Q4348" s="14">
        <v>114.76</v>
      </c>
      <c r="R4348" s="14">
        <v>115.91</v>
      </c>
      <c r="S4348" s="2" t="s">
        <v>7224</v>
      </c>
      <c r="T4348" s="2">
        <v>1.38</v>
      </c>
      <c r="U4348" s="2">
        <v>59.2</v>
      </c>
      <c r="V4348" s="2">
        <v>60</v>
      </c>
      <c r="W4348" s="2" t="s">
        <v>7862</v>
      </c>
      <c r="X4348" s="2" t="s">
        <v>471</v>
      </c>
      <c r="Y4348" s="2">
        <v>7676</v>
      </c>
      <c r="Z4348" s="19" t="str">
        <f>HYPERLINK("https://ssdweb.co/ssdweb/hd/Vision360.html?d=821125464&amp;zoomslide=1&amp;z=1821125464&amp;ISCONFIRM=0","VIDEO")</f>
        <v>VIDEO</v>
      </c>
      <c r="AA4348" s="19" t="str">
        <f>HYPERLINK("https://ssdweb.co/ssdweb/CERTH/616498264.pdf","CERTI")</f>
        <v>CERTI</v>
      </c>
    </row>
    <row r="4349" spans="1:27" ht="15" x14ac:dyDescent="0.25">
      <c r="A4349" s="2">
        <v>4344</v>
      </c>
      <c r="B4349" s="39">
        <v>941190237</v>
      </c>
      <c r="C4349" s="28" t="str">
        <f>HYPERLINK("https://pld.live/RapDetail.aspx?STONELIST=941190237","DNA")</f>
        <v>DNA</v>
      </c>
      <c r="D4349" s="18" t="s">
        <v>3054</v>
      </c>
      <c r="E4349" s="18" t="s">
        <v>5128</v>
      </c>
      <c r="F4349" s="2" t="s">
        <v>7987</v>
      </c>
      <c r="G4349" s="2" t="s">
        <v>1573</v>
      </c>
      <c r="H4349" s="14">
        <v>1.01</v>
      </c>
      <c r="I4349" s="2" t="s">
        <v>267</v>
      </c>
      <c r="J4349" s="2" t="s">
        <v>3942</v>
      </c>
      <c r="K4349" s="2" t="s">
        <v>1452</v>
      </c>
      <c r="L4349" s="2" t="s">
        <v>5221</v>
      </c>
      <c r="M4349" s="2" t="s">
        <v>5221</v>
      </c>
      <c r="N4349" s="2" t="s">
        <v>2317</v>
      </c>
      <c r="O4349" s="14">
        <v>7600</v>
      </c>
      <c r="P4349" s="14">
        <v>98.42</v>
      </c>
      <c r="Q4349" s="14">
        <v>120.08</v>
      </c>
      <c r="R4349" s="14">
        <v>121.28</v>
      </c>
      <c r="S4349" s="2" t="s">
        <v>4300</v>
      </c>
      <c r="T4349" s="2">
        <v>1.38</v>
      </c>
      <c r="U4349" s="2">
        <v>62.5</v>
      </c>
      <c r="V4349" s="2">
        <v>60</v>
      </c>
      <c r="W4349" s="2" t="s">
        <v>7862</v>
      </c>
      <c r="X4349" s="2" t="s">
        <v>471</v>
      </c>
      <c r="Y4349" s="2">
        <v>7676</v>
      </c>
      <c r="Z4349" s="19" t="str">
        <f>HYPERLINK("https://ssdweb.co/ssdweb/hd/Vision360.html?d=941190237&amp;zoomslide=1&amp;z=1941190237&amp;ISCONFIRM=0","VIDEO")</f>
        <v>VIDEO</v>
      </c>
      <c r="AA4349" s="19" t="str">
        <f>HYPERLINK("https://ssdweb.co/ssdweb/CERTH/678564547.pdf","CERTI")</f>
        <v>CERTI</v>
      </c>
    </row>
    <row r="4350" spans="1:27" ht="15" x14ac:dyDescent="0.25">
      <c r="A4350" s="2">
        <v>4345</v>
      </c>
      <c r="B4350" s="39">
        <v>926110405</v>
      </c>
      <c r="C4350" s="28" t="str">
        <f>HYPERLINK("https://pld.live/RapDetail.aspx?STONELIST=926110405","DNA")</f>
        <v>DNA</v>
      </c>
      <c r="D4350" s="18" t="s">
        <v>3054</v>
      </c>
      <c r="E4350" s="18" t="s">
        <v>5128</v>
      </c>
      <c r="F4350" s="2" t="s">
        <v>7987</v>
      </c>
      <c r="G4350" s="2" t="s">
        <v>1573</v>
      </c>
      <c r="H4350" s="14">
        <v>1.01</v>
      </c>
      <c r="I4350" s="2" t="s">
        <v>267</v>
      </c>
      <c r="J4350" s="2" t="s">
        <v>3942</v>
      </c>
      <c r="K4350" s="2" t="s">
        <v>1452</v>
      </c>
      <c r="L4350" s="2" t="s">
        <v>5221</v>
      </c>
      <c r="M4350" s="2" t="s">
        <v>5221</v>
      </c>
      <c r="N4350" s="2" t="s">
        <v>2317</v>
      </c>
      <c r="O4350" s="14">
        <v>7600</v>
      </c>
      <c r="P4350" s="14">
        <v>98.49</v>
      </c>
      <c r="Q4350" s="14">
        <v>114.76</v>
      </c>
      <c r="R4350" s="14">
        <v>115.91</v>
      </c>
      <c r="S4350" s="2" t="s">
        <v>527</v>
      </c>
      <c r="T4350" s="2">
        <v>1.36</v>
      </c>
      <c r="U4350" s="2">
        <v>63.5</v>
      </c>
      <c r="V4350" s="2">
        <v>59</v>
      </c>
      <c r="W4350" s="2" t="s">
        <v>7862</v>
      </c>
      <c r="X4350" s="2" t="s">
        <v>471</v>
      </c>
      <c r="Y4350" s="2">
        <v>7676</v>
      </c>
      <c r="Z4350" s="19" t="str">
        <f>HYPERLINK("https://ssdweb.co/ssdweb/hd/Vision360.html?d=926110405&amp;zoomslide=1&amp;z=1926110405&amp;ISCONFIRM=0","VIDEO")</f>
        <v>VIDEO</v>
      </c>
      <c r="AA4350" s="19" t="str">
        <f>HYPERLINK("https://ssdweb.co/ssdweb/CERTH/632403909.pdf","CERTI")</f>
        <v>CERTI</v>
      </c>
    </row>
    <row r="4351" spans="1:27" ht="15" x14ac:dyDescent="0.25">
      <c r="A4351" s="2">
        <v>4346</v>
      </c>
      <c r="B4351" s="39">
        <v>926110691</v>
      </c>
      <c r="C4351" s="28" t="str">
        <f>HYPERLINK("https://pld.live/RapDetail.aspx?STONELIST=926110691","DNA")</f>
        <v>DNA</v>
      </c>
      <c r="D4351" s="18" t="s">
        <v>3054</v>
      </c>
      <c r="E4351" s="18" t="s">
        <v>5128</v>
      </c>
      <c r="F4351" s="2" t="s">
        <v>7987</v>
      </c>
      <c r="G4351" s="2" t="s">
        <v>1573</v>
      </c>
      <c r="H4351" s="14">
        <v>1.01</v>
      </c>
      <c r="I4351" s="2" t="s">
        <v>267</v>
      </c>
      <c r="J4351" s="2" t="s">
        <v>3942</v>
      </c>
      <c r="K4351" s="2" t="s">
        <v>1452</v>
      </c>
      <c r="L4351" s="2" t="s">
        <v>5221</v>
      </c>
      <c r="M4351" s="2" t="s">
        <v>5221</v>
      </c>
      <c r="N4351" s="2" t="s">
        <v>2317</v>
      </c>
      <c r="O4351" s="14">
        <v>7600</v>
      </c>
      <c r="P4351" s="14">
        <v>98.49</v>
      </c>
      <c r="Q4351" s="14">
        <v>114.76</v>
      </c>
      <c r="R4351" s="14">
        <v>115.91</v>
      </c>
      <c r="S4351" s="2" t="s">
        <v>5791</v>
      </c>
      <c r="T4351" s="2">
        <v>1.36</v>
      </c>
      <c r="U4351" s="2">
        <v>63.4</v>
      </c>
      <c r="V4351" s="2">
        <v>62</v>
      </c>
      <c r="W4351" s="2" t="s">
        <v>7862</v>
      </c>
      <c r="X4351" s="2" t="s">
        <v>471</v>
      </c>
      <c r="Y4351" s="2">
        <v>7676</v>
      </c>
      <c r="Z4351" s="19" t="str">
        <f>HYPERLINK("https://ssdweb.co/ssdweb/hd/Vision360.html?d=926110691&amp;zoomslide=1&amp;z=1926110691&amp;ISCONFIRM=0","VIDEO")</f>
        <v>VIDEO</v>
      </c>
      <c r="AA4351" s="19" t="str">
        <f>HYPERLINK("https://ssdweb.co/ssdweb/CERTH/632403908.pdf","CERTI")</f>
        <v>CERTI</v>
      </c>
    </row>
    <row r="4352" spans="1:27" ht="15" x14ac:dyDescent="0.25">
      <c r="A4352" s="2">
        <v>4347</v>
      </c>
      <c r="B4352" s="39">
        <v>926110877</v>
      </c>
      <c r="C4352" s="28" t="str">
        <f>HYPERLINK("https://pld.live/RapDetail.aspx?STONELIST=926110877","DNA")</f>
        <v>DNA</v>
      </c>
      <c r="D4352" s="18" t="s">
        <v>3054</v>
      </c>
      <c r="E4352" s="18" t="s">
        <v>5128</v>
      </c>
      <c r="F4352" s="2" t="s">
        <v>7987</v>
      </c>
      <c r="G4352" s="2" t="s">
        <v>1573</v>
      </c>
      <c r="H4352" s="14">
        <v>1.01</v>
      </c>
      <c r="I4352" s="2" t="s">
        <v>267</v>
      </c>
      <c r="J4352" s="2" t="s">
        <v>3942</v>
      </c>
      <c r="K4352" s="2" t="s">
        <v>1452</v>
      </c>
      <c r="L4352" s="2" t="s">
        <v>5221</v>
      </c>
      <c r="M4352" s="2" t="s">
        <v>5221</v>
      </c>
      <c r="N4352" s="2" t="s">
        <v>2317</v>
      </c>
      <c r="O4352" s="14">
        <v>7600</v>
      </c>
      <c r="P4352" s="14">
        <v>98.49</v>
      </c>
      <c r="Q4352" s="14">
        <v>114.76</v>
      </c>
      <c r="R4352" s="14">
        <v>115.91</v>
      </c>
      <c r="S4352" s="2" t="s">
        <v>4188</v>
      </c>
      <c r="T4352" s="2">
        <v>1.38</v>
      </c>
      <c r="U4352" s="2">
        <v>63</v>
      </c>
      <c r="V4352" s="2">
        <v>61</v>
      </c>
      <c r="W4352" s="2" t="s">
        <v>7862</v>
      </c>
      <c r="X4352" s="2" t="s">
        <v>471</v>
      </c>
      <c r="Y4352" s="2">
        <v>7676</v>
      </c>
      <c r="Z4352" s="19" t="str">
        <f>HYPERLINK("https://ssdweb.co/ssdweb/hd/Vision360.html?d=926110877&amp;zoomslide=1&amp;z=1926110877&amp;ISCONFIRM=0","VIDEO")</f>
        <v>VIDEO</v>
      </c>
      <c r="AA4352" s="19" t="str">
        <f>HYPERLINK("https://ssdweb.co/ssdweb/CERTH/632449638.pdf","CERTI")</f>
        <v>CERTI</v>
      </c>
    </row>
    <row r="4353" spans="1:27" ht="15" x14ac:dyDescent="0.25">
      <c r="A4353" s="2">
        <v>4348</v>
      </c>
      <c r="B4353" s="39">
        <v>926071744</v>
      </c>
      <c r="C4353" s="28" t="str">
        <f>HYPERLINK("https://pld.live/RapDetail.aspx?STONELIST=926071744","DNA")</f>
        <v>DNA</v>
      </c>
      <c r="D4353" s="18" t="s">
        <v>3054</v>
      </c>
      <c r="E4353" s="18" t="s">
        <v>5128</v>
      </c>
      <c r="F4353" s="2" t="s">
        <v>7987</v>
      </c>
      <c r="G4353" s="2" t="s">
        <v>1573</v>
      </c>
      <c r="H4353" s="14">
        <v>1.01</v>
      </c>
      <c r="I4353" s="2" t="s">
        <v>267</v>
      </c>
      <c r="J4353" s="2" t="s">
        <v>3942</v>
      </c>
      <c r="K4353" s="2" t="s">
        <v>1452</v>
      </c>
      <c r="L4353" s="2" t="s">
        <v>5221</v>
      </c>
      <c r="M4353" s="2" t="s">
        <v>5221</v>
      </c>
      <c r="N4353" s="2" t="s">
        <v>2317</v>
      </c>
      <c r="O4353" s="14">
        <v>7600</v>
      </c>
      <c r="P4353" s="14">
        <v>98.49</v>
      </c>
      <c r="Q4353" s="14">
        <v>114.76</v>
      </c>
      <c r="R4353" s="14">
        <v>115.91</v>
      </c>
      <c r="S4353" s="2" t="s">
        <v>2391</v>
      </c>
      <c r="T4353" s="2">
        <v>1.38</v>
      </c>
      <c r="U4353" s="2">
        <v>61.6</v>
      </c>
      <c r="V4353" s="2">
        <v>62</v>
      </c>
      <c r="W4353" s="2" t="s">
        <v>7862</v>
      </c>
      <c r="X4353" s="2" t="s">
        <v>471</v>
      </c>
      <c r="Y4353" s="2">
        <v>7676</v>
      </c>
      <c r="Z4353" s="19" t="str">
        <f>HYPERLINK("https://ssdweb.co/ssdweb/hd/Vision360.html?d=926071744&amp;zoomslide=1&amp;z=1926071744&amp;ISCONFIRM=0","VIDEO")</f>
        <v>VIDEO</v>
      </c>
      <c r="AA4353" s="19" t="str">
        <f>HYPERLINK("https://ssdweb.co/ssdweb/CERTH/631464105.pdf","CERTI")</f>
        <v>CERTI</v>
      </c>
    </row>
    <row r="4354" spans="1:27" ht="15" x14ac:dyDescent="0.25">
      <c r="A4354" s="2">
        <v>4349</v>
      </c>
      <c r="B4354" s="39">
        <v>926071521</v>
      </c>
      <c r="C4354" s="28" t="str">
        <f>HYPERLINK("https://pld.live/RapDetail.aspx?STONELIST=926071521","DNA")</f>
        <v>DNA</v>
      </c>
      <c r="D4354" s="18" t="s">
        <v>3054</v>
      </c>
      <c r="E4354" s="18" t="s">
        <v>5128</v>
      </c>
      <c r="F4354" s="2" t="s">
        <v>7987</v>
      </c>
      <c r="G4354" s="2" t="s">
        <v>1573</v>
      </c>
      <c r="H4354" s="14">
        <v>1.01</v>
      </c>
      <c r="I4354" s="2" t="s">
        <v>267</v>
      </c>
      <c r="J4354" s="2" t="s">
        <v>3942</v>
      </c>
      <c r="K4354" s="2" t="s">
        <v>1452</v>
      </c>
      <c r="L4354" s="2" t="s">
        <v>5221</v>
      </c>
      <c r="M4354" s="2" t="s">
        <v>5221</v>
      </c>
      <c r="N4354" s="2" t="s">
        <v>2317</v>
      </c>
      <c r="O4354" s="14">
        <v>7600</v>
      </c>
      <c r="P4354" s="14">
        <v>98.49</v>
      </c>
      <c r="Q4354" s="14">
        <v>114.76</v>
      </c>
      <c r="R4354" s="14">
        <v>115.91</v>
      </c>
      <c r="S4354" s="2" t="s">
        <v>6394</v>
      </c>
      <c r="T4354" s="2">
        <v>1.36</v>
      </c>
      <c r="U4354" s="2">
        <v>62.7</v>
      </c>
      <c r="V4354" s="2">
        <v>61</v>
      </c>
      <c r="W4354" s="2" t="s">
        <v>7862</v>
      </c>
      <c r="X4354" s="2" t="s">
        <v>471</v>
      </c>
      <c r="Y4354" s="2">
        <v>7676</v>
      </c>
      <c r="Z4354" s="19" t="str">
        <f>HYPERLINK("https://ssdweb.co/ssdweb/hd/Vision360.html?d=926071521&amp;zoomslide=1&amp;z=1926071521&amp;ISCONFIRM=0","VIDEO")</f>
        <v>VIDEO</v>
      </c>
      <c r="AA4354" s="19" t="str">
        <f>HYPERLINK("https://ssdweb.co/ssdweb/CERTH/631430300.pdf","CERTI")</f>
        <v>CERTI</v>
      </c>
    </row>
    <row r="4355" spans="1:27" ht="15" x14ac:dyDescent="0.25">
      <c r="A4355" s="2">
        <v>4350</v>
      </c>
      <c r="B4355" s="39">
        <v>926270838</v>
      </c>
      <c r="C4355" s="28" t="str">
        <f>HYPERLINK("https://pld.live/RapDetail.aspx?STONELIST=926270838","DNA")</f>
        <v>DNA</v>
      </c>
      <c r="D4355" s="18" t="s">
        <v>3054</v>
      </c>
      <c r="E4355" s="18" t="s">
        <v>5128</v>
      </c>
      <c r="F4355" s="2" t="s">
        <v>7987</v>
      </c>
      <c r="G4355" s="2" t="s">
        <v>1573</v>
      </c>
      <c r="H4355" s="14">
        <v>1.01</v>
      </c>
      <c r="I4355" s="2" t="s">
        <v>267</v>
      </c>
      <c r="J4355" s="2" t="s">
        <v>3942</v>
      </c>
      <c r="K4355" s="2" t="s">
        <v>1452</v>
      </c>
      <c r="L4355" s="2" t="s">
        <v>5221</v>
      </c>
      <c r="M4355" s="2" t="s">
        <v>5721</v>
      </c>
      <c r="N4355" s="2" t="s">
        <v>2317</v>
      </c>
      <c r="O4355" s="14">
        <v>7600</v>
      </c>
      <c r="P4355" s="14">
        <v>98.47</v>
      </c>
      <c r="Q4355" s="14">
        <v>116.28</v>
      </c>
      <c r="R4355" s="14">
        <v>117.44</v>
      </c>
      <c r="S4355" s="2" t="s">
        <v>7764</v>
      </c>
      <c r="T4355" s="2">
        <v>1.36</v>
      </c>
      <c r="U4355" s="2">
        <v>62.1</v>
      </c>
      <c r="V4355" s="2">
        <v>59</v>
      </c>
      <c r="W4355" s="2" t="s">
        <v>7862</v>
      </c>
      <c r="X4355" s="2" t="s">
        <v>471</v>
      </c>
      <c r="Y4355" s="2">
        <v>7676</v>
      </c>
      <c r="Z4355" s="19" t="str">
        <f>HYPERLINK("https://ssdweb.co/ssdweb/hd/Vision360.html?d=926270838&amp;zoomslide=1&amp;z=1926270838&amp;ISCONFIRM=0","VIDEO")</f>
        <v>VIDEO</v>
      </c>
      <c r="AA4355" s="19" t="str">
        <f>HYPERLINK("https://ssdweb.co/ssdweb/CERTH/660490603.pdf","CERTI")</f>
        <v>CERTI</v>
      </c>
    </row>
    <row r="4356" spans="1:27" ht="15" x14ac:dyDescent="0.25">
      <c r="A4356" s="2">
        <v>4351</v>
      </c>
      <c r="B4356" s="39">
        <v>941160591</v>
      </c>
      <c r="C4356" s="28" t="str">
        <f>HYPERLINK("https://pld.live/RapDetail.aspx?STONELIST=941160591","DNA")</f>
        <v>DNA</v>
      </c>
      <c r="D4356" s="18" t="s">
        <v>3054</v>
      </c>
      <c r="E4356" s="18" t="s">
        <v>5128</v>
      </c>
      <c r="F4356" s="2" t="s">
        <v>7987</v>
      </c>
      <c r="G4356" s="2" t="s">
        <v>1573</v>
      </c>
      <c r="H4356" s="14">
        <v>1.01</v>
      </c>
      <c r="I4356" s="2" t="s">
        <v>267</v>
      </c>
      <c r="J4356" s="2" t="s">
        <v>3942</v>
      </c>
      <c r="K4356" s="2" t="s">
        <v>1452</v>
      </c>
      <c r="L4356" s="2" t="s">
        <v>5221</v>
      </c>
      <c r="M4356" s="2" t="s">
        <v>5721</v>
      </c>
      <c r="N4356" s="2" t="s">
        <v>2317</v>
      </c>
      <c r="O4356" s="14">
        <v>7600</v>
      </c>
      <c r="P4356" s="14">
        <v>98.45</v>
      </c>
      <c r="Q4356" s="14">
        <v>117.8</v>
      </c>
      <c r="R4356" s="14">
        <v>118.98</v>
      </c>
      <c r="S4356" s="2" t="s">
        <v>61</v>
      </c>
      <c r="T4356" s="2">
        <v>1.44</v>
      </c>
      <c r="U4356" s="2">
        <v>61.2</v>
      </c>
      <c r="V4356" s="2">
        <v>61</v>
      </c>
      <c r="W4356" s="2" t="s">
        <v>7862</v>
      </c>
      <c r="X4356" s="2" t="s">
        <v>471</v>
      </c>
      <c r="Y4356" s="2">
        <v>7676</v>
      </c>
      <c r="Z4356" s="19" t="str">
        <f>HYPERLINK("https://ssdweb.co/ssdweb/hd/Vision360.html?d=941160591&amp;zoomslide=1&amp;z=1941160591&amp;ISCONFIRM=0","VIDEO")</f>
        <v>VIDEO</v>
      </c>
      <c r="AA4356" s="19" t="str">
        <f>HYPERLINK("https://ssdweb.co/ssdweb/CERTH/678564573.pdf","CERTI")</f>
        <v>CERTI</v>
      </c>
    </row>
    <row r="4357" spans="1:27" ht="15" x14ac:dyDescent="0.25">
      <c r="A4357" s="2">
        <v>4352</v>
      </c>
      <c r="B4357" s="39">
        <v>941160625</v>
      </c>
      <c r="C4357" s="28" t="str">
        <f>HYPERLINK("https://pld.live/RapDetail.aspx?STONELIST=941160625","DNA")</f>
        <v>DNA</v>
      </c>
      <c r="D4357" s="18" t="s">
        <v>3054</v>
      </c>
      <c r="E4357" s="18" t="s">
        <v>5128</v>
      </c>
      <c r="F4357" s="2" t="s">
        <v>7987</v>
      </c>
      <c r="G4357" s="2" t="s">
        <v>1573</v>
      </c>
      <c r="H4357" s="14">
        <v>1.01</v>
      </c>
      <c r="I4357" s="2" t="s">
        <v>267</v>
      </c>
      <c r="J4357" s="2" t="s">
        <v>3942</v>
      </c>
      <c r="K4357" s="2" t="s">
        <v>1452</v>
      </c>
      <c r="L4357" s="2" t="s">
        <v>5221</v>
      </c>
      <c r="M4357" s="2" t="s">
        <v>5721</v>
      </c>
      <c r="N4357" s="2" t="s">
        <v>2317</v>
      </c>
      <c r="O4357" s="14">
        <v>7600</v>
      </c>
      <c r="P4357" s="14">
        <v>98.45</v>
      </c>
      <c r="Q4357" s="14">
        <v>117.8</v>
      </c>
      <c r="R4357" s="14">
        <v>118.98</v>
      </c>
      <c r="S4357" s="2" t="s">
        <v>2403</v>
      </c>
      <c r="T4357" s="2">
        <v>1.4</v>
      </c>
      <c r="U4357" s="2">
        <v>61.4</v>
      </c>
      <c r="V4357" s="2">
        <v>62</v>
      </c>
      <c r="W4357" s="2" t="s">
        <v>7862</v>
      </c>
      <c r="X4357" s="2" t="s">
        <v>471</v>
      </c>
      <c r="Y4357" s="2">
        <v>7676</v>
      </c>
      <c r="Z4357" s="19" t="str">
        <f>HYPERLINK("https://ssdweb.co/ssdweb/hd/Vision360.html?d=941160625&amp;zoomslide=1&amp;z=1941160625&amp;ISCONFIRM=0","VIDEO")</f>
        <v>VIDEO</v>
      </c>
      <c r="AA4357" s="19" t="str">
        <f>HYPERLINK("https://ssdweb.co/ssdweb/CERTH/678564568.pdf","CERTI")</f>
        <v>CERTI</v>
      </c>
    </row>
    <row r="4358" spans="1:27" ht="15" x14ac:dyDescent="0.25">
      <c r="A4358" s="2">
        <v>4353</v>
      </c>
      <c r="B4358" s="39">
        <v>941140846</v>
      </c>
      <c r="C4358" s="28" t="str">
        <f>HYPERLINK("https://pld.live/RapDetail.aspx?STONELIST=941140846","DNA")</f>
        <v>DNA</v>
      </c>
      <c r="D4358" s="18" t="s">
        <v>3054</v>
      </c>
      <c r="E4358" s="18" t="s">
        <v>5128</v>
      </c>
      <c r="F4358" s="2" t="s">
        <v>7987</v>
      </c>
      <c r="G4358" s="2" t="s">
        <v>1573</v>
      </c>
      <c r="H4358" s="14">
        <v>1.01</v>
      </c>
      <c r="I4358" s="2" t="s">
        <v>267</v>
      </c>
      <c r="J4358" s="2" t="s">
        <v>13</v>
      </c>
      <c r="K4358" s="2" t="s">
        <v>1452</v>
      </c>
      <c r="L4358" s="2" t="s">
        <v>5221</v>
      </c>
      <c r="M4358" s="2" t="s">
        <v>5221</v>
      </c>
      <c r="N4358" s="2" t="s">
        <v>2317</v>
      </c>
      <c r="O4358" s="14">
        <v>6700</v>
      </c>
      <c r="P4358" s="14">
        <v>98.25</v>
      </c>
      <c r="Q4358" s="14">
        <v>117.25</v>
      </c>
      <c r="R4358" s="14">
        <v>118.42</v>
      </c>
      <c r="S4358" s="2" t="s">
        <v>7177</v>
      </c>
      <c r="T4358" s="2">
        <v>1.38</v>
      </c>
      <c r="U4358" s="2">
        <v>61.5</v>
      </c>
      <c r="V4358" s="2">
        <v>60</v>
      </c>
      <c r="W4358" s="2" t="s">
        <v>7862</v>
      </c>
      <c r="X4358" s="2" t="s">
        <v>471</v>
      </c>
      <c r="Y4358" s="2">
        <v>6767</v>
      </c>
      <c r="Z4358" s="19" t="str">
        <f>HYPERLINK("https://ssdweb.co/ssdweb/hd/Vision360.html?d=941140846&amp;zoomslide=1&amp;z=1941140846&amp;ISCONFIRM=0","VIDEO")</f>
        <v>VIDEO</v>
      </c>
      <c r="AA4358" s="19" t="str">
        <f>HYPERLINK("https://ssdweb.co/ssdweb/CERTH/678564560.pdf","CERTI")</f>
        <v>CERTI</v>
      </c>
    </row>
    <row r="4359" spans="1:27" ht="15" x14ac:dyDescent="0.25">
      <c r="A4359" s="2">
        <v>4354</v>
      </c>
      <c r="B4359" s="39">
        <v>925520412</v>
      </c>
      <c r="C4359" s="28" t="str">
        <f>HYPERLINK("https://pld.live/RapDetail.aspx?STONELIST=925520412","DNA")</f>
        <v>DNA</v>
      </c>
      <c r="D4359" s="18" t="s">
        <v>3054</v>
      </c>
      <c r="E4359" s="18" t="s">
        <v>5128</v>
      </c>
      <c r="F4359" s="2" t="s">
        <v>7987</v>
      </c>
      <c r="G4359" s="2" t="s">
        <v>1573</v>
      </c>
      <c r="H4359" s="14">
        <v>1.01</v>
      </c>
      <c r="I4359" s="2" t="s">
        <v>267</v>
      </c>
      <c r="J4359" s="2" t="s">
        <v>13</v>
      </c>
      <c r="K4359" s="2" t="s">
        <v>1452</v>
      </c>
      <c r="L4359" s="2" t="s">
        <v>5221</v>
      </c>
      <c r="M4359" s="2" t="s">
        <v>5221</v>
      </c>
      <c r="N4359" s="2" t="s">
        <v>2317</v>
      </c>
      <c r="O4359" s="14">
        <v>6700</v>
      </c>
      <c r="P4359" s="14">
        <v>98.33</v>
      </c>
      <c r="Q4359" s="14">
        <v>111.89</v>
      </c>
      <c r="R4359" s="14">
        <v>113.01</v>
      </c>
      <c r="S4359" s="2" t="s">
        <v>7367</v>
      </c>
      <c r="T4359" s="2">
        <v>1.39</v>
      </c>
      <c r="U4359" s="2">
        <v>62</v>
      </c>
      <c r="V4359" s="2">
        <v>59</v>
      </c>
      <c r="W4359" s="2" t="s">
        <v>7862</v>
      </c>
      <c r="X4359" s="2" t="s">
        <v>471</v>
      </c>
      <c r="Y4359" s="2">
        <v>6767</v>
      </c>
      <c r="Z4359" s="19" t="str">
        <f>HYPERLINK("https://ssdweb.co/ssdweb/hd/Vision360.html?d=925520412&amp;zoomslide=1&amp;z=1925520412&amp;ISCONFIRM=0","VIDEO")</f>
        <v>VIDEO</v>
      </c>
      <c r="AA4359" s="19" t="str">
        <f>HYPERLINK("https://ssdweb.co/ssdweb/CERTH/617485868.pdf","CERTI")</f>
        <v>CERTI</v>
      </c>
    </row>
    <row r="4360" spans="1:27" ht="15" x14ac:dyDescent="0.25">
      <c r="A4360" s="2">
        <v>4355</v>
      </c>
      <c r="B4360" s="39">
        <v>941190288</v>
      </c>
      <c r="C4360" s="28" t="str">
        <f>HYPERLINK("https://pld.live/RapDetail.aspx?STONELIST=941190288","DNA")</f>
        <v>DNA</v>
      </c>
      <c r="D4360" s="18" t="s">
        <v>3054</v>
      </c>
      <c r="E4360" s="18" t="s">
        <v>5128</v>
      </c>
      <c r="F4360" s="2" t="s">
        <v>7987</v>
      </c>
      <c r="G4360" s="2" t="s">
        <v>1573</v>
      </c>
      <c r="H4360" s="14">
        <v>1.01</v>
      </c>
      <c r="I4360" s="2" t="s">
        <v>267</v>
      </c>
      <c r="J4360" s="2" t="s">
        <v>13</v>
      </c>
      <c r="K4360" s="2" t="s">
        <v>1452</v>
      </c>
      <c r="L4360" s="2" t="s">
        <v>5221</v>
      </c>
      <c r="M4360" s="2" t="s">
        <v>5221</v>
      </c>
      <c r="N4360" s="2" t="s">
        <v>2317</v>
      </c>
      <c r="O4360" s="14">
        <v>6700</v>
      </c>
      <c r="P4360" s="14">
        <v>98.25</v>
      </c>
      <c r="Q4360" s="14">
        <v>117.25</v>
      </c>
      <c r="R4360" s="14">
        <v>118.42</v>
      </c>
      <c r="S4360" s="2" t="s">
        <v>5018</v>
      </c>
      <c r="T4360" s="2">
        <v>1.42</v>
      </c>
      <c r="U4360" s="2">
        <v>62.9</v>
      </c>
      <c r="V4360" s="2">
        <v>60</v>
      </c>
      <c r="W4360" s="2" t="s">
        <v>7862</v>
      </c>
      <c r="X4360" s="2" t="s">
        <v>471</v>
      </c>
      <c r="Y4360" s="2">
        <v>6767</v>
      </c>
      <c r="Z4360" s="19" t="str">
        <f>HYPERLINK("https://ssdweb.co/ssdweb/hd/Vision360.html?d=941190288&amp;zoomslide=1&amp;z=1941190288&amp;ISCONFIRM=0","VIDEO")</f>
        <v>VIDEO</v>
      </c>
      <c r="AA4360" s="19" t="str">
        <f>HYPERLINK("https://ssdweb.co/ssdweb/CERTH/678564585.pdf","CERTI")</f>
        <v>CERTI</v>
      </c>
    </row>
    <row r="4361" spans="1:27" ht="15" x14ac:dyDescent="0.25">
      <c r="A4361" s="2">
        <v>4356</v>
      </c>
      <c r="B4361" s="39">
        <v>927030388</v>
      </c>
      <c r="C4361" s="28" t="str">
        <f>HYPERLINK("https://pld.live/RapDetail.aspx?STONELIST=927030388","DNA")</f>
        <v>DNA</v>
      </c>
      <c r="D4361" s="18" t="s">
        <v>3054</v>
      </c>
      <c r="E4361" s="18" t="s">
        <v>2186</v>
      </c>
      <c r="F4361" s="2" t="s">
        <v>7987</v>
      </c>
      <c r="G4361" s="2" t="s">
        <v>1573</v>
      </c>
      <c r="H4361" s="14">
        <v>1.01</v>
      </c>
      <c r="I4361" s="2" t="s">
        <v>267</v>
      </c>
      <c r="J4361" s="2" t="s">
        <v>13</v>
      </c>
      <c r="K4361" s="2" t="s">
        <v>1452</v>
      </c>
      <c r="L4361" s="2" t="s">
        <v>5221</v>
      </c>
      <c r="M4361" s="2" t="s">
        <v>5221</v>
      </c>
      <c r="N4361" s="2" t="s">
        <v>2317</v>
      </c>
      <c r="O4361" s="14">
        <v>6700</v>
      </c>
      <c r="P4361" s="14">
        <v>98.25</v>
      </c>
      <c r="Q4361" s="14">
        <v>117.25</v>
      </c>
      <c r="R4361" s="14">
        <v>118.42</v>
      </c>
      <c r="S4361" s="2" t="s">
        <v>1615</v>
      </c>
      <c r="T4361" s="2">
        <v>1.42</v>
      </c>
      <c r="U4361" s="2">
        <v>59.8</v>
      </c>
      <c r="V4361" s="2">
        <v>64</v>
      </c>
      <c r="W4361" s="2" t="s">
        <v>7862</v>
      </c>
      <c r="X4361" s="2" t="s">
        <v>471</v>
      </c>
      <c r="Y4361" s="2">
        <v>6767</v>
      </c>
      <c r="Z4361" s="19" t="str">
        <f>HYPERLINK("https://ssdweb.co/ssdweb/hd/Vision360.html?d=927030388&amp;zoomslide=1&amp;z=1927030388&amp;ISCONFIRM=0","VIDEO")</f>
        <v>VIDEO</v>
      </c>
      <c r="AA4361" s="19" t="str">
        <f>HYPERLINK("https://ssdweb.co/ssdweb/CERTH/670484473.pdf","CERTI")</f>
        <v>CERTI</v>
      </c>
    </row>
    <row r="4362" spans="1:27" ht="15" x14ac:dyDescent="0.25">
      <c r="A4362" s="2">
        <v>4357</v>
      </c>
      <c r="B4362" s="39">
        <v>941021577</v>
      </c>
      <c r="C4362" s="28" t="str">
        <f>HYPERLINK("https://pld.live/RapDetail.aspx?STONELIST=941021577","DNA")</f>
        <v>DNA</v>
      </c>
      <c r="D4362" s="18" t="s">
        <v>3054</v>
      </c>
      <c r="E4362" s="18" t="s">
        <v>5128</v>
      </c>
      <c r="F4362" s="2" t="s">
        <v>7987</v>
      </c>
      <c r="G4362" s="2" t="s">
        <v>1573</v>
      </c>
      <c r="H4362" s="14">
        <v>1.01</v>
      </c>
      <c r="I4362" s="2" t="s">
        <v>267</v>
      </c>
      <c r="J4362" s="2" t="s">
        <v>13</v>
      </c>
      <c r="K4362" s="2" t="s">
        <v>1452</v>
      </c>
      <c r="L4362" s="2" t="s">
        <v>5221</v>
      </c>
      <c r="M4362" s="2" t="s">
        <v>5221</v>
      </c>
      <c r="N4362" s="2" t="s">
        <v>2317</v>
      </c>
      <c r="O4362" s="14">
        <v>6700</v>
      </c>
      <c r="P4362" s="14">
        <v>98.25</v>
      </c>
      <c r="Q4362" s="14">
        <v>117.25</v>
      </c>
      <c r="R4362" s="14">
        <v>118.42</v>
      </c>
      <c r="S4362" s="2" t="s">
        <v>1950</v>
      </c>
      <c r="T4362" s="2">
        <v>1.37</v>
      </c>
      <c r="U4362" s="2">
        <v>63.2</v>
      </c>
      <c r="V4362" s="2">
        <v>63</v>
      </c>
      <c r="W4362" s="2" t="s">
        <v>7862</v>
      </c>
      <c r="X4362" s="2" t="s">
        <v>471</v>
      </c>
      <c r="Y4362" s="2">
        <v>6767</v>
      </c>
      <c r="Z4362" s="19" t="str">
        <f>HYPERLINK("https://ssdweb.co/ssdweb/hd/Vision360.html?d=941021577&amp;zoomslide=1&amp;z=1941021577&amp;ISCONFIRM=0","VIDEO")</f>
        <v>VIDEO</v>
      </c>
      <c r="AA4362" s="19" t="str">
        <f>HYPERLINK("https://ssdweb.co/ssdweb/CERTH/669458232.pdf","CERTI")</f>
        <v>CERTI</v>
      </c>
    </row>
    <row r="4363" spans="1:27" ht="15" x14ac:dyDescent="0.25">
      <c r="A4363" s="2">
        <v>4358</v>
      </c>
      <c r="B4363" s="39">
        <v>926110681</v>
      </c>
      <c r="C4363" s="28" t="str">
        <f>HYPERLINK("https://pld.live/RapDetail.aspx?STONELIST=926110681","DNA")</f>
        <v>DNA</v>
      </c>
      <c r="D4363" s="18" t="s">
        <v>3054</v>
      </c>
      <c r="E4363" s="18" t="s">
        <v>5128</v>
      </c>
      <c r="F4363" s="2" t="s">
        <v>7987</v>
      </c>
      <c r="G4363" s="2" t="s">
        <v>1573</v>
      </c>
      <c r="H4363" s="14">
        <v>1.01</v>
      </c>
      <c r="I4363" s="2" t="s">
        <v>267</v>
      </c>
      <c r="J4363" s="2" t="s">
        <v>13</v>
      </c>
      <c r="K4363" s="2" t="s">
        <v>1452</v>
      </c>
      <c r="L4363" s="2" t="s">
        <v>5221</v>
      </c>
      <c r="M4363" s="2" t="s">
        <v>5221</v>
      </c>
      <c r="N4363" s="2" t="s">
        <v>2317</v>
      </c>
      <c r="O4363" s="14">
        <v>6700</v>
      </c>
      <c r="P4363" s="14">
        <v>98.33</v>
      </c>
      <c r="Q4363" s="14">
        <v>111.89</v>
      </c>
      <c r="R4363" s="14">
        <v>113.01</v>
      </c>
      <c r="S4363" s="2" t="s">
        <v>606</v>
      </c>
      <c r="T4363" s="2">
        <v>1.36</v>
      </c>
      <c r="U4363" s="2">
        <v>63</v>
      </c>
      <c r="V4363" s="2">
        <v>62</v>
      </c>
      <c r="W4363" s="2" t="s">
        <v>7862</v>
      </c>
      <c r="X4363" s="2" t="s">
        <v>471</v>
      </c>
      <c r="Y4363" s="2">
        <v>6767</v>
      </c>
      <c r="Z4363" s="19" t="str">
        <f>HYPERLINK("https://ssdweb.co/ssdweb/hd/Vision360.html?d=926110681&amp;zoomslide=1&amp;z=1926110681&amp;ISCONFIRM=0","VIDEO")</f>
        <v>VIDEO</v>
      </c>
      <c r="AA4363" s="19" t="str">
        <f>HYPERLINK("https://ssdweb.co/ssdweb/CERTH/632421505.pdf","CERTI")</f>
        <v>CERTI</v>
      </c>
    </row>
    <row r="4364" spans="1:27" ht="15" x14ac:dyDescent="0.25">
      <c r="A4364" s="2">
        <v>4359</v>
      </c>
      <c r="B4364" s="39">
        <v>927052515</v>
      </c>
      <c r="C4364" s="28" t="str">
        <f>HYPERLINK("https://pld.live/RapDetail.aspx?STONELIST=927052515","DNA")</f>
        <v>DNA</v>
      </c>
      <c r="D4364" s="18" t="s">
        <v>3054</v>
      </c>
      <c r="E4364" s="18" t="s">
        <v>5128</v>
      </c>
      <c r="F4364" s="2" t="s">
        <v>7987</v>
      </c>
      <c r="G4364" s="2" t="s">
        <v>1573</v>
      </c>
      <c r="H4364" s="14">
        <v>1.01</v>
      </c>
      <c r="I4364" s="2" t="s">
        <v>267</v>
      </c>
      <c r="J4364" s="2" t="s">
        <v>13</v>
      </c>
      <c r="K4364" s="2" t="s">
        <v>1452</v>
      </c>
      <c r="L4364" s="2" t="s">
        <v>5221</v>
      </c>
      <c r="M4364" s="2" t="s">
        <v>5221</v>
      </c>
      <c r="N4364" s="2" t="s">
        <v>2317</v>
      </c>
      <c r="O4364" s="14">
        <v>6700</v>
      </c>
      <c r="P4364" s="14">
        <v>98.25</v>
      </c>
      <c r="Q4364" s="14">
        <v>117.25</v>
      </c>
      <c r="R4364" s="14">
        <v>118.42</v>
      </c>
      <c r="S4364" s="2" t="s">
        <v>7192</v>
      </c>
      <c r="T4364" s="2">
        <v>1.38</v>
      </c>
      <c r="U4364" s="2">
        <v>61.5</v>
      </c>
      <c r="V4364" s="2">
        <v>61</v>
      </c>
      <c r="W4364" s="2" t="s">
        <v>7862</v>
      </c>
      <c r="X4364" s="2" t="s">
        <v>471</v>
      </c>
      <c r="Y4364" s="2">
        <v>6767</v>
      </c>
      <c r="Z4364" s="19" t="str">
        <f>HYPERLINK("https://ssdweb.co/ssdweb/hd/Vision360.html?d=927052515&amp;zoomslide=1&amp;z=1927052515&amp;ISCONFIRM=0","VIDEO")</f>
        <v>VIDEO</v>
      </c>
      <c r="AA4364" s="19" t="str">
        <f>HYPERLINK("https://ssdweb.co/ssdweb/CERTH/670484353.pdf","CERTI")</f>
        <v>CERTI</v>
      </c>
    </row>
    <row r="4365" spans="1:27" ht="15" x14ac:dyDescent="0.25">
      <c r="A4365" s="2">
        <v>4360</v>
      </c>
      <c r="B4365" s="39">
        <v>941160631</v>
      </c>
      <c r="C4365" s="28" t="str">
        <f>HYPERLINK("https://pld.live/RapDetail.aspx?STONELIST=941160631","DNA")</f>
        <v>DNA</v>
      </c>
      <c r="D4365" s="18" t="s">
        <v>3054</v>
      </c>
      <c r="E4365" s="18" t="s">
        <v>5128</v>
      </c>
      <c r="F4365" s="2" t="s">
        <v>7987</v>
      </c>
      <c r="G4365" s="2" t="s">
        <v>1573</v>
      </c>
      <c r="H4365" s="14">
        <v>1.01</v>
      </c>
      <c r="I4365" s="2" t="s">
        <v>267</v>
      </c>
      <c r="J4365" s="2" t="s">
        <v>13</v>
      </c>
      <c r="K4365" s="2" t="s">
        <v>1452</v>
      </c>
      <c r="L4365" s="2" t="s">
        <v>5221</v>
      </c>
      <c r="M4365" s="2" t="s">
        <v>5721</v>
      </c>
      <c r="N4365" s="2" t="s">
        <v>2317</v>
      </c>
      <c r="O4365" s="14">
        <v>6700</v>
      </c>
      <c r="P4365" s="14">
        <v>98.28</v>
      </c>
      <c r="Q4365" s="14">
        <v>115.24</v>
      </c>
      <c r="R4365" s="14">
        <v>116.39</v>
      </c>
      <c r="S4365" s="2" t="s">
        <v>6884</v>
      </c>
      <c r="T4365" s="2">
        <v>1.4</v>
      </c>
      <c r="U4365" s="2">
        <v>60.7</v>
      </c>
      <c r="V4365" s="2">
        <v>61</v>
      </c>
      <c r="W4365" s="2" t="s">
        <v>7862</v>
      </c>
      <c r="X4365" s="2" t="s">
        <v>471</v>
      </c>
      <c r="Y4365" s="2">
        <v>6767</v>
      </c>
      <c r="Z4365" s="19" t="str">
        <f>HYPERLINK("https://ssdweb.co/ssdweb/hd/Vision360.html?d=941160631&amp;zoomslide=1&amp;z=1941160631&amp;ISCONFIRM=0","VIDEO")</f>
        <v>VIDEO</v>
      </c>
      <c r="AA4365" s="19" t="str">
        <f>HYPERLINK("https://ssdweb.co/ssdweb/CERTH/678564567.pdf","CERTI")</f>
        <v>CERTI</v>
      </c>
    </row>
    <row r="4366" spans="1:27" ht="15" x14ac:dyDescent="0.25">
      <c r="A4366" s="2">
        <v>4361</v>
      </c>
      <c r="B4366" s="39">
        <v>927030787</v>
      </c>
      <c r="C4366" s="28" t="str">
        <f>HYPERLINK("https://pld.live/RapDetail.aspx?STONELIST=927030787","DNA")</f>
        <v>DNA</v>
      </c>
      <c r="D4366" s="18" t="s">
        <v>3054</v>
      </c>
      <c r="E4366" s="18" t="s">
        <v>2186</v>
      </c>
      <c r="F4366" s="2" t="s">
        <v>7987</v>
      </c>
      <c r="G4366" s="2" t="s">
        <v>1573</v>
      </c>
      <c r="H4366" s="14">
        <v>1.01</v>
      </c>
      <c r="I4366" s="2" t="s">
        <v>267</v>
      </c>
      <c r="J4366" s="2" t="s">
        <v>13</v>
      </c>
      <c r="K4366" s="2" t="s">
        <v>1452</v>
      </c>
      <c r="L4366" s="2" t="s">
        <v>5221</v>
      </c>
      <c r="M4366" s="2" t="s">
        <v>5721</v>
      </c>
      <c r="N4366" s="2" t="s">
        <v>2317</v>
      </c>
      <c r="O4366" s="14">
        <v>6700</v>
      </c>
      <c r="P4366" s="14">
        <v>98.28</v>
      </c>
      <c r="Q4366" s="14">
        <v>115.24</v>
      </c>
      <c r="R4366" s="14">
        <v>116.39</v>
      </c>
      <c r="S4366" s="2" t="s">
        <v>928</v>
      </c>
      <c r="T4366" s="2">
        <v>1.41</v>
      </c>
      <c r="U4366" s="2">
        <v>59.9</v>
      </c>
      <c r="V4366" s="2">
        <v>60</v>
      </c>
      <c r="W4366" s="2" t="s">
        <v>7862</v>
      </c>
      <c r="X4366" s="2" t="s">
        <v>471</v>
      </c>
      <c r="Y4366" s="2">
        <v>6767</v>
      </c>
      <c r="Z4366" s="19" t="str">
        <f>HYPERLINK("https://ssdweb.co/ssdweb/hd/Vision360.html?d=927030787&amp;zoomslide=1&amp;z=1927030787&amp;ISCONFIRM=0","VIDEO")</f>
        <v>VIDEO</v>
      </c>
      <c r="AA4366" s="19" t="str">
        <f>HYPERLINK("https://ssdweb.co/ssdweb/CERTH/668446639.pdf","CERTI")</f>
        <v>CERTI</v>
      </c>
    </row>
    <row r="4367" spans="1:27" ht="15" x14ac:dyDescent="0.25">
      <c r="A4367" s="2">
        <v>4362</v>
      </c>
      <c r="B4367" s="39">
        <v>926972217</v>
      </c>
      <c r="C4367" s="28" t="str">
        <f>HYPERLINK("https://pld.live/RapDetail.aspx?STONELIST=926972217","DNA")</f>
        <v>DNA</v>
      </c>
      <c r="D4367" s="18" t="s">
        <v>3054</v>
      </c>
      <c r="E4367" s="18" t="s">
        <v>5128</v>
      </c>
      <c r="F4367" s="2" t="s">
        <v>7987</v>
      </c>
      <c r="G4367" s="2" t="s">
        <v>1573</v>
      </c>
      <c r="H4367" s="14">
        <v>1.01</v>
      </c>
      <c r="I4367" s="2" t="s">
        <v>4761</v>
      </c>
      <c r="J4367" s="2" t="s">
        <v>3942</v>
      </c>
      <c r="K4367" s="2" t="s">
        <v>1452</v>
      </c>
      <c r="L4367" s="2" t="s">
        <v>5221</v>
      </c>
      <c r="M4367" s="2" t="s">
        <v>5221</v>
      </c>
      <c r="N4367" s="2" t="s">
        <v>2317</v>
      </c>
      <c r="O4367" s="14">
        <v>6900</v>
      </c>
      <c r="P4367" s="14">
        <v>98.3</v>
      </c>
      <c r="Q4367" s="14">
        <v>117.3</v>
      </c>
      <c r="R4367" s="14">
        <v>118.47</v>
      </c>
      <c r="S4367" s="2" t="s">
        <v>2358</v>
      </c>
      <c r="T4367" s="2">
        <v>1.38</v>
      </c>
      <c r="U4367" s="2">
        <v>62.5</v>
      </c>
      <c r="V4367" s="2">
        <v>60</v>
      </c>
      <c r="W4367" s="2" t="s">
        <v>7862</v>
      </c>
      <c r="X4367" s="2" t="s">
        <v>471</v>
      </c>
      <c r="Y4367" s="2">
        <v>6969</v>
      </c>
      <c r="Z4367" s="19" t="str">
        <f>HYPERLINK("https://ssdweb.co/ssdweb/hd/Vision360.html?d=926972217&amp;zoomslide=1&amp;z=1926972217&amp;ISCONFIRM=0","VIDEO")</f>
        <v>VIDEO</v>
      </c>
      <c r="AA4367" s="19" t="str">
        <f>HYPERLINK("https://ssdweb.co/ssdweb/CERTH/670484496.pdf","CERTI")</f>
        <v>CERTI</v>
      </c>
    </row>
    <row r="4368" spans="1:27" ht="15" x14ac:dyDescent="0.25">
      <c r="A4368" s="2">
        <v>4363</v>
      </c>
      <c r="B4368" s="39">
        <v>926210539</v>
      </c>
      <c r="C4368" s="28" t="str">
        <f>HYPERLINK("https://pld.live/RapDetail.aspx?STONELIST=926210539","DNA")</f>
        <v>DNA</v>
      </c>
      <c r="D4368" s="18" t="s">
        <v>3054</v>
      </c>
      <c r="E4368" s="18" t="s">
        <v>5128</v>
      </c>
      <c r="F4368" s="2" t="s">
        <v>7987</v>
      </c>
      <c r="G4368" s="2" t="s">
        <v>1573</v>
      </c>
      <c r="H4368" s="14">
        <v>1.01</v>
      </c>
      <c r="I4368" s="2" t="s">
        <v>4761</v>
      </c>
      <c r="J4368" s="2" t="s">
        <v>3942</v>
      </c>
      <c r="K4368" s="2" t="s">
        <v>1452</v>
      </c>
      <c r="L4368" s="2" t="s">
        <v>5221</v>
      </c>
      <c r="M4368" s="2" t="s">
        <v>5221</v>
      </c>
      <c r="N4368" s="2" t="s">
        <v>2317</v>
      </c>
      <c r="O4368" s="14">
        <v>6900</v>
      </c>
      <c r="P4368" s="14">
        <v>98.38</v>
      </c>
      <c r="Q4368" s="14">
        <v>111.78</v>
      </c>
      <c r="R4368" s="14">
        <v>112.9</v>
      </c>
      <c r="S4368" s="2" t="s">
        <v>1200</v>
      </c>
      <c r="T4368" s="2">
        <v>1.36</v>
      </c>
      <c r="U4368" s="2">
        <v>63.3</v>
      </c>
      <c r="V4368" s="2">
        <v>61</v>
      </c>
      <c r="W4368" s="2" t="s">
        <v>7862</v>
      </c>
      <c r="X4368" s="2" t="s">
        <v>471</v>
      </c>
      <c r="Y4368" s="2">
        <v>6969</v>
      </c>
      <c r="Z4368" s="19" t="str">
        <f>HYPERLINK("https://ssdweb.co/ssdweb/hd/Vision360.html?d=926210539&amp;zoomslide=1&amp;z=1926210539&amp;ISCONFIRM=0","VIDEO")</f>
        <v>VIDEO</v>
      </c>
      <c r="AA4368" s="19" t="str">
        <f>HYPERLINK("https://ssdweb.co/ssdweb/CERTH/634431477.pdf","CERTI")</f>
        <v>CERTI</v>
      </c>
    </row>
    <row r="4369" spans="1:27" ht="15" x14ac:dyDescent="0.25">
      <c r="A4369" s="2">
        <v>4364</v>
      </c>
      <c r="B4369" s="39">
        <v>926740595</v>
      </c>
      <c r="C4369" s="28" t="str">
        <f>HYPERLINK("https://pld.live/RapDetail.aspx?STONELIST=926740595","DNA")</f>
        <v>DNA</v>
      </c>
      <c r="D4369" s="18" t="s">
        <v>3054</v>
      </c>
      <c r="E4369" s="18" t="s">
        <v>5128</v>
      </c>
      <c r="F4369" s="2" t="s">
        <v>7987</v>
      </c>
      <c r="G4369" s="2" t="s">
        <v>1573</v>
      </c>
      <c r="H4369" s="14">
        <v>1.01</v>
      </c>
      <c r="I4369" s="2" t="s">
        <v>4761</v>
      </c>
      <c r="J4369" s="2" t="s">
        <v>3942</v>
      </c>
      <c r="K4369" s="2" t="s">
        <v>1452</v>
      </c>
      <c r="L4369" s="2" t="s">
        <v>5221</v>
      </c>
      <c r="M4369" s="2" t="s">
        <v>5221</v>
      </c>
      <c r="N4369" s="2" t="s">
        <v>2317</v>
      </c>
      <c r="O4369" s="14">
        <v>6900</v>
      </c>
      <c r="P4369" s="14">
        <v>98.33</v>
      </c>
      <c r="Q4369" s="14">
        <v>115.23</v>
      </c>
      <c r="R4369" s="14">
        <v>116.38</v>
      </c>
      <c r="S4369" s="2" t="s">
        <v>6484</v>
      </c>
      <c r="T4369" s="2">
        <v>1.38</v>
      </c>
      <c r="U4369" s="2">
        <v>62.3</v>
      </c>
      <c r="V4369" s="2">
        <v>60</v>
      </c>
      <c r="W4369" s="2" t="s">
        <v>7862</v>
      </c>
      <c r="X4369" s="2" t="s">
        <v>471</v>
      </c>
      <c r="Y4369" s="2">
        <v>6969</v>
      </c>
      <c r="Z4369" s="19" t="str">
        <f>HYPERLINK("https://ssdweb.co/ssdweb/hd/Vision360.html?d=926740595&amp;zoomslide=1&amp;z=1926740595&amp;ISCONFIRM=0","VIDEO")</f>
        <v>VIDEO</v>
      </c>
      <c r="AA4369" s="19" t="str">
        <f>HYPERLINK("https://ssdweb.co/ssdweb/CERTH/656485738.pdf","CERTI")</f>
        <v>CERTI</v>
      </c>
    </row>
    <row r="4370" spans="1:27" ht="15" x14ac:dyDescent="0.25">
      <c r="A4370" s="2">
        <v>4365</v>
      </c>
      <c r="B4370" s="39">
        <v>927092598</v>
      </c>
      <c r="C4370" s="28" t="str">
        <f>HYPERLINK("https://pld.live/RapDetail.aspx?STONELIST=927092598","DNA")</f>
        <v>DNA</v>
      </c>
      <c r="D4370" s="18" t="s">
        <v>3054</v>
      </c>
      <c r="E4370" s="18" t="s">
        <v>5128</v>
      </c>
      <c r="F4370" s="2" t="s">
        <v>7987</v>
      </c>
      <c r="G4370" s="2" t="s">
        <v>1573</v>
      </c>
      <c r="H4370" s="14">
        <v>1.01</v>
      </c>
      <c r="I4370" s="2" t="s">
        <v>4761</v>
      </c>
      <c r="J4370" s="2" t="s">
        <v>3942</v>
      </c>
      <c r="K4370" s="2" t="s">
        <v>1452</v>
      </c>
      <c r="L4370" s="2" t="s">
        <v>5221</v>
      </c>
      <c r="M4370" s="2" t="s">
        <v>5221</v>
      </c>
      <c r="N4370" s="2" t="s">
        <v>2317</v>
      </c>
      <c r="O4370" s="14">
        <v>6900</v>
      </c>
      <c r="P4370" s="14">
        <v>98.3</v>
      </c>
      <c r="Q4370" s="14">
        <v>117.3</v>
      </c>
      <c r="R4370" s="14">
        <v>118.47</v>
      </c>
      <c r="S4370" s="2" t="s">
        <v>2796</v>
      </c>
      <c r="T4370" s="2">
        <v>1.37</v>
      </c>
      <c r="U4370" s="2">
        <v>62.4</v>
      </c>
      <c r="V4370" s="2">
        <v>61</v>
      </c>
      <c r="W4370" s="2" t="s">
        <v>7862</v>
      </c>
      <c r="X4370" s="2" t="s">
        <v>471</v>
      </c>
      <c r="Y4370" s="2">
        <v>6969</v>
      </c>
      <c r="Z4370" s="19" t="str">
        <f>HYPERLINK("https://ssdweb.co/ssdweb/hd/Vision360.html?d=927092598&amp;zoomslide=1&amp;z=1927092598&amp;ISCONFIRM=0","VIDEO")</f>
        <v>VIDEO</v>
      </c>
      <c r="AA4370" s="19" t="str">
        <f>HYPERLINK("https://ssdweb.co/ssdweb/CERTH/675504654.pdf","CERTI")</f>
        <v>CERTI</v>
      </c>
    </row>
    <row r="4371" spans="1:27" ht="15" x14ac:dyDescent="0.25">
      <c r="A4371" s="2">
        <v>4366</v>
      </c>
      <c r="B4371" s="39">
        <v>927092239</v>
      </c>
      <c r="C4371" s="28" t="str">
        <f>HYPERLINK("https://pld.live/RapDetail.aspx?STONELIST=927092239","DNA")</f>
        <v>DNA</v>
      </c>
      <c r="D4371" s="18" t="s">
        <v>3054</v>
      </c>
      <c r="E4371" s="18" t="s">
        <v>5128</v>
      </c>
      <c r="F4371" s="2" t="s">
        <v>7987</v>
      </c>
      <c r="G4371" s="2" t="s">
        <v>1573</v>
      </c>
      <c r="H4371" s="14">
        <v>1.01</v>
      </c>
      <c r="I4371" s="2" t="s">
        <v>4761</v>
      </c>
      <c r="J4371" s="2" t="s">
        <v>3942</v>
      </c>
      <c r="K4371" s="2" t="s">
        <v>1452</v>
      </c>
      <c r="L4371" s="2" t="s">
        <v>5221</v>
      </c>
      <c r="M4371" s="2" t="s">
        <v>5221</v>
      </c>
      <c r="N4371" s="2" t="s">
        <v>2317</v>
      </c>
      <c r="O4371" s="14">
        <v>6900</v>
      </c>
      <c r="P4371" s="14">
        <v>98.3</v>
      </c>
      <c r="Q4371" s="14">
        <v>117.3</v>
      </c>
      <c r="R4371" s="14">
        <v>118.47</v>
      </c>
      <c r="S4371" s="2" t="s">
        <v>6328</v>
      </c>
      <c r="T4371" s="2">
        <v>1.38</v>
      </c>
      <c r="U4371" s="2">
        <v>59.1</v>
      </c>
      <c r="V4371" s="2">
        <v>66</v>
      </c>
      <c r="W4371" s="2" t="s">
        <v>7862</v>
      </c>
      <c r="X4371" s="2" t="s">
        <v>471</v>
      </c>
      <c r="Y4371" s="2">
        <v>6969</v>
      </c>
      <c r="Z4371" s="19" t="str">
        <f>HYPERLINK("https://ssdweb.co/ssdweb/hd/Vision360.html?d=927092239&amp;zoomslide=1&amp;z=1927092239&amp;ISCONFIRM=0","VIDEO")</f>
        <v>VIDEO</v>
      </c>
      <c r="AA4371" s="19" t="str">
        <f>HYPERLINK("https://ssdweb.co/ssdweb/CERTH/670484395.pdf","CERTI")</f>
        <v>CERTI</v>
      </c>
    </row>
    <row r="4372" spans="1:27" ht="15" x14ac:dyDescent="0.25">
      <c r="A4372" s="2">
        <v>4367</v>
      </c>
      <c r="B4372" s="39">
        <v>927132082</v>
      </c>
      <c r="C4372" s="28" t="str">
        <f>HYPERLINK("https://pld.live/RapDetail.aspx?STONELIST=927132082","DNA")</f>
        <v>DNA</v>
      </c>
      <c r="D4372" s="18" t="s">
        <v>3054</v>
      </c>
      <c r="E4372" s="18" t="s">
        <v>5128</v>
      </c>
      <c r="F4372" s="2" t="s">
        <v>7987</v>
      </c>
      <c r="G4372" s="2" t="s">
        <v>1573</v>
      </c>
      <c r="H4372" s="14">
        <v>1.01</v>
      </c>
      <c r="I4372" s="2" t="s">
        <v>4761</v>
      </c>
      <c r="J4372" s="2" t="s">
        <v>13</v>
      </c>
      <c r="K4372" s="2" t="s">
        <v>1452</v>
      </c>
      <c r="L4372" s="2" t="s">
        <v>5221</v>
      </c>
      <c r="M4372" s="2" t="s">
        <v>5221</v>
      </c>
      <c r="N4372" s="2" t="s">
        <v>2317</v>
      </c>
      <c r="O4372" s="14">
        <v>6200</v>
      </c>
      <c r="P4372" s="14">
        <v>98.16</v>
      </c>
      <c r="Q4372" s="14">
        <v>114.08</v>
      </c>
      <c r="R4372" s="14">
        <v>115.22</v>
      </c>
      <c r="S4372" s="2" t="s">
        <v>1668</v>
      </c>
      <c r="T4372" s="2">
        <v>1.53</v>
      </c>
      <c r="U4372" s="2">
        <v>63.2</v>
      </c>
      <c r="V4372" s="2">
        <v>62</v>
      </c>
      <c r="W4372" s="2" t="s">
        <v>7862</v>
      </c>
      <c r="X4372" s="2" t="s">
        <v>471</v>
      </c>
      <c r="Y4372" s="2">
        <v>6262</v>
      </c>
      <c r="Z4372" s="19" t="str">
        <f>HYPERLINK("https://ssdweb.co/ssdweb/hd/Vision360.html?d=927132082&amp;zoomslide=1&amp;z=1927132082&amp;ISCONFIRM=0","VIDEO")</f>
        <v>VIDEO</v>
      </c>
      <c r="AA4372" s="19" t="str">
        <f>HYPERLINK("https://ssdweb.co/ssdweb/CERTH/669458225.pdf","CERTI")</f>
        <v>CERTI</v>
      </c>
    </row>
    <row r="4373" spans="1:27" ht="15" x14ac:dyDescent="0.25">
      <c r="A4373" s="2">
        <v>4368</v>
      </c>
      <c r="B4373" s="39">
        <v>927152815</v>
      </c>
      <c r="C4373" s="28" t="str">
        <f>HYPERLINK("https://pld.live/RapDetail.aspx?STONELIST=927152815","DNA")</f>
        <v>DNA</v>
      </c>
      <c r="D4373" s="18" t="s">
        <v>3054</v>
      </c>
      <c r="E4373" s="18" t="s">
        <v>5128</v>
      </c>
      <c r="F4373" s="2" t="s">
        <v>7987</v>
      </c>
      <c r="G4373" s="2" t="s">
        <v>1573</v>
      </c>
      <c r="H4373" s="14">
        <v>1.01</v>
      </c>
      <c r="I4373" s="2" t="s">
        <v>4761</v>
      </c>
      <c r="J4373" s="2" t="s">
        <v>13</v>
      </c>
      <c r="K4373" s="2" t="s">
        <v>1452</v>
      </c>
      <c r="L4373" s="2" t="s">
        <v>5221</v>
      </c>
      <c r="M4373" s="2" t="s">
        <v>5721</v>
      </c>
      <c r="N4373" s="2" t="s">
        <v>2317</v>
      </c>
      <c r="O4373" s="14">
        <v>6200</v>
      </c>
      <c r="P4373" s="14">
        <v>98.19</v>
      </c>
      <c r="Q4373" s="14">
        <v>112.22</v>
      </c>
      <c r="R4373" s="14">
        <v>113.34</v>
      </c>
      <c r="S4373" s="2" t="s">
        <v>7490</v>
      </c>
      <c r="T4373" s="2">
        <v>1.38</v>
      </c>
      <c r="U4373" s="2">
        <v>62.6</v>
      </c>
      <c r="V4373" s="2">
        <v>60</v>
      </c>
      <c r="W4373" s="2" t="s">
        <v>7862</v>
      </c>
      <c r="X4373" s="2" t="s">
        <v>471</v>
      </c>
      <c r="Y4373" s="2">
        <v>6262</v>
      </c>
      <c r="Z4373" s="19" t="str">
        <f>HYPERLINK("https://ssdweb.co/ssdweb/hd/Vision360.html?d=927152815&amp;zoomslide=1&amp;z=1927152815&amp;ISCONFIRM=0","VIDEO")</f>
        <v>VIDEO</v>
      </c>
      <c r="AA4373" s="19" t="str">
        <f>HYPERLINK("https://ssdweb.co/ssdweb/CERTH/671411247.pdf","CERTI")</f>
        <v>CERTI</v>
      </c>
    </row>
    <row r="4374" spans="1:27" ht="15" x14ac:dyDescent="0.25">
      <c r="A4374" s="2">
        <v>4369</v>
      </c>
      <c r="B4374" s="39">
        <v>925150111</v>
      </c>
      <c r="C4374" s="28" t="str">
        <f>HYPERLINK("https://pld.live/RapDetail.aspx?STONELIST=925150111","DNA")</f>
        <v>DNA</v>
      </c>
      <c r="D4374" s="18" t="s">
        <v>3054</v>
      </c>
      <c r="E4374" s="18" t="s">
        <v>5128</v>
      </c>
      <c r="F4374" s="2" t="s">
        <v>7987</v>
      </c>
      <c r="G4374" s="2" t="s">
        <v>1573</v>
      </c>
      <c r="H4374" s="14">
        <v>1.01</v>
      </c>
      <c r="I4374" s="2" t="s">
        <v>4761</v>
      </c>
      <c r="J4374" s="2" t="s">
        <v>444</v>
      </c>
      <c r="K4374" s="2" t="s">
        <v>1452</v>
      </c>
      <c r="L4374" s="2" t="s">
        <v>5221</v>
      </c>
      <c r="M4374" s="2" t="s">
        <v>5221</v>
      </c>
      <c r="N4374" s="2" t="s">
        <v>2317</v>
      </c>
      <c r="O4374" s="14">
        <v>4300</v>
      </c>
      <c r="P4374" s="14">
        <v>97.6</v>
      </c>
      <c r="Q4374" s="14">
        <v>103.2</v>
      </c>
      <c r="R4374" s="14">
        <v>104.23</v>
      </c>
      <c r="S4374" s="2" t="s">
        <v>1690</v>
      </c>
      <c r="T4374" s="2">
        <v>1.45</v>
      </c>
      <c r="U4374" s="2">
        <v>60.1</v>
      </c>
      <c r="V4374" s="2">
        <v>62</v>
      </c>
      <c r="W4374" s="2" t="s">
        <v>7862</v>
      </c>
      <c r="X4374" s="2" t="s">
        <v>471</v>
      </c>
      <c r="Y4374" s="2">
        <v>4343</v>
      </c>
      <c r="Z4374" s="19" t="str">
        <f>HYPERLINK("https://ssdweb.co/ssdweb/hd/Vision360.html?d=925150111&amp;zoomslide=1&amp;z=1925150111&amp;ISCONFIRM=0","VIDEO")</f>
        <v>VIDEO</v>
      </c>
      <c r="AA4374" s="19" t="str">
        <f>HYPERLINK("https://ssdweb.co/ssdweb/CERTH/614319487.pdf","CERTI")</f>
        <v>CERTI</v>
      </c>
    </row>
    <row r="4375" spans="1:27" ht="15" x14ac:dyDescent="0.25">
      <c r="A4375" s="2">
        <v>4370</v>
      </c>
      <c r="B4375" s="39">
        <v>927092345</v>
      </c>
      <c r="C4375" s="28" t="str">
        <f>HYPERLINK("https://pld.live/RapDetail.aspx?STONELIST=927092345","DNA")</f>
        <v>DNA</v>
      </c>
      <c r="D4375" s="18" t="s">
        <v>3054</v>
      </c>
      <c r="E4375" s="18" t="s">
        <v>5128</v>
      </c>
      <c r="F4375" s="2" t="s">
        <v>7987</v>
      </c>
      <c r="G4375" s="2" t="s">
        <v>1573</v>
      </c>
      <c r="H4375" s="14">
        <v>1</v>
      </c>
      <c r="I4375" s="2" t="s">
        <v>267</v>
      </c>
      <c r="J4375" s="2" t="s">
        <v>6555</v>
      </c>
      <c r="K4375" s="2" t="s">
        <v>1452</v>
      </c>
      <c r="L4375" s="2" t="s">
        <v>5221</v>
      </c>
      <c r="M4375" s="2" t="s">
        <v>5221</v>
      </c>
      <c r="N4375" s="2" t="s">
        <v>2317</v>
      </c>
      <c r="O4375" s="14">
        <v>8200</v>
      </c>
      <c r="P4375" s="14">
        <v>98.23</v>
      </c>
      <c r="Q4375" s="14">
        <v>145.13999999999999</v>
      </c>
      <c r="R4375" s="14">
        <v>145.13999999999999</v>
      </c>
      <c r="S4375" s="2" t="s">
        <v>7360</v>
      </c>
      <c r="T4375" s="2">
        <v>1.38</v>
      </c>
      <c r="U4375" s="2">
        <v>60.9</v>
      </c>
      <c r="V4375" s="2">
        <v>61</v>
      </c>
      <c r="W4375" s="2" t="s">
        <v>7862</v>
      </c>
      <c r="X4375" s="2" t="s">
        <v>471</v>
      </c>
      <c r="Y4375" s="2">
        <v>8200</v>
      </c>
      <c r="Z4375" s="19" t="str">
        <f>HYPERLINK("https://ssdweb.co/ssdweb/hd/Vision360.html?d=927092345&amp;zoomslide=1&amp;z=1927092345&amp;ISCONFIRM=0","VIDEO")</f>
        <v>VIDEO</v>
      </c>
      <c r="AA4375" s="19" t="str">
        <f>HYPERLINK("https://ssdweb.co/ssdweb/CERTH/668446538.pdf","CERTI")</f>
        <v>CERTI</v>
      </c>
    </row>
    <row r="4376" spans="1:27" ht="15" x14ac:dyDescent="0.25">
      <c r="A4376" s="2">
        <v>4371</v>
      </c>
      <c r="B4376" s="39">
        <v>926210870</v>
      </c>
      <c r="C4376" s="28" t="str">
        <f>HYPERLINK("https://pld.live/RapDetail.aspx?STONELIST=926210870","DNA")</f>
        <v>DNA</v>
      </c>
      <c r="D4376" s="18" t="s">
        <v>3054</v>
      </c>
      <c r="E4376" s="18" t="s">
        <v>5128</v>
      </c>
      <c r="F4376" s="2" t="s">
        <v>7987</v>
      </c>
      <c r="G4376" s="2" t="s">
        <v>1573</v>
      </c>
      <c r="H4376" s="14">
        <v>1</v>
      </c>
      <c r="I4376" s="2" t="s">
        <v>267</v>
      </c>
      <c r="J4376" s="2" t="s">
        <v>3942</v>
      </c>
      <c r="K4376" s="2" t="s">
        <v>1452</v>
      </c>
      <c r="L4376" s="2" t="s">
        <v>5221</v>
      </c>
      <c r="M4376" s="2" t="s">
        <v>5221</v>
      </c>
      <c r="N4376" s="2" t="s">
        <v>2317</v>
      </c>
      <c r="O4376" s="14">
        <v>7600</v>
      </c>
      <c r="P4376" s="14">
        <v>98.49</v>
      </c>
      <c r="Q4376" s="14">
        <v>114.76</v>
      </c>
      <c r="R4376" s="14">
        <v>114.76</v>
      </c>
      <c r="S4376" s="2" t="s">
        <v>1730</v>
      </c>
      <c r="T4376" s="2">
        <v>1.36</v>
      </c>
      <c r="U4376" s="2">
        <v>62.7</v>
      </c>
      <c r="V4376" s="2">
        <v>61</v>
      </c>
      <c r="W4376" s="2" t="s">
        <v>7862</v>
      </c>
      <c r="X4376" s="2" t="s">
        <v>471</v>
      </c>
      <c r="Y4376" s="2">
        <v>7600</v>
      </c>
      <c r="Z4376" s="19" t="str">
        <f>HYPERLINK("https://ssdweb.co/ssdweb/hd/Vision360.html?d=926210870&amp;zoomslide=1&amp;z=1926210870&amp;ISCONFIRM=0","VIDEO")</f>
        <v>VIDEO</v>
      </c>
      <c r="AA4376" s="19" t="str">
        <f>HYPERLINK("https://ssdweb.co/ssdweb/CERTH/635427012.pdf","CERTI")</f>
        <v>CERTI</v>
      </c>
    </row>
    <row r="4377" spans="1:27" ht="15" x14ac:dyDescent="0.25">
      <c r="A4377" s="2">
        <v>4372</v>
      </c>
      <c r="B4377" s="39">
        <v>926750875</v>
      </c>
      <c r="C4377" s="28" t="str">
        <f>HYPERLINK("https://pld.live/RapDetail.aspx?STONELIST=926750875","DNA")</f>
        <v>DNA</v>
      </c>
      <c r="D4377" s="18" t="s">
        <v>3054</v>
      </c>
      <c r="E4377" s="18" t="s">
        <v>5128</v>
      </c>
      <c r="F4377" s="2" t="s">
        <v>7987</v>
      </c>
      <c r="G4377" s="2" t="s">
        <v>1573</v>
      </c>
      <c r="H4377" s="14">
        <v>1</v>
      </c>
      <c r="I4377" s="2" t="s">
        <v>267</v>
      </c>
      <c r="J4377" s="2" t="s">
        <v>3942</v>
      </c>
      <c r="K4377" s="2" t="s">
        <v>1452</v>
      </c>
      <c r="L4377" s="2" t="s">
        <v>5221</v>
      </c>
      <c r="M4377" s="2" t="s">
        <v>5221</v>
      </c>
      <c r="N4377" s="2" t="s">
        <v>2317</v>
      </c>
      <c r="O4377" s="14">
        <v>7600</v>
      </c>
      <c r="P4377" s="14">
        <v>98.45</v>
      </c>
      <c r="Q4377" s="14">
        <v>117.8</v>
      </c>
      <c r="R4377" s="14">
        <v>117.8</v>
      </c>
      <c r="S4377" s="2" t="s">
        <v>2164</v>
      </c>
      <c r="T4377" s="2">
        <v>1.37</v>
      </c>
      <c r="U4377" s="2">
        <v>62.6</v>
      </c>
      <c r="V4377" s="2">
        <v>60</v>
      </c>
      <c r="W4377" s="2" t="s">
        <v>7862</v>
      </c>
      <c r="X4377" s="2" t="s">
        <v>471</v>
      </c>
      <c r="Y4377" s="2">
        <v>7600</v>
      </c>
      <c r="Z4377" s="19" t="str">
        <f>HYPERLINK("https://ssdweb.co/ssdweb/hd/Vision360.html?d=926750875&amp;zoomslide=1&amp;z=1926750875&amp;ISCONFIRM=0","VIDEO")</f>
        <v>VIDEO</v>
      </c>
      <c r="AA4377" s="19" t="str">
        <f>HYPERLINK("https://ssdweb.co/ssdweb/CERTH/660490613.pdf","CERTI")</f>
        <v>CERTI</v>
      </c>
    </row>
    <row r="4378" spans="1:27" ht="15" x14ac:dyDescent="0.25">
      <c r="A4378" s="2">
        <v>4373</v>
      </c>
      <c r="B4378" s="39">
        <v>926790371</v>
      </c>
      <c r="C4378" s="28" t="str">
        <f>HYPERLINK("https://pld.live/RapDetail.aspx?STONELIST=926790371","DNA")</f>
        <v>DNA</v>
      </c>
      <c r="D4378" s="18" t="s">
        <v>3054</v>
      </c>
      <c r="E4378" s="18" t="s">
        <v>2186</v>
      </c>
      <c r="F4378" s="2" t="s">
        <v>7987</v>
      </c>
      <c r="G4378" s="2" t="s">
        <v>1573</v>
      </c>
      <c r="H4378" s="14">
        <v>1</v>
      </c>
      <c r="I4378" s="2" t="s">
        <v>267</v>
      </c>
      <c r="J4378" s="2" t="s">
        <v>3942</v>
      </c>
      <c r="K4378" s="2" t="s">
        <v>1452</v>
      </c>
      <c r="L4378" s="2" t="s">
        <v>5221</v>
      </c>
      <c r="M4378" s="2" t="s">
        <v>5221</v>
      </c>
      <c r="N4378" s="2" t="s">
        <v>2317</v>
      </c>
      <c r="O4378" s="14">
        <v>7600</v>
      </c>
      <c r="P4378" s="14">
        <v>98.45</v>
      </c>
      <c r="Q4378" s="14">
        <v>117.8</v>
      </c>
      <c r="R4378" s="14">
        <v>117.8</v>
      </c>
      <c r="S4378" s="2" t="s">
        <v>3413</v>
      </c>
      <c r="T4378" s="2">
        <v>1.37</v>
      </c>
      <c r="U4378" s="2">
        <v>62.3</v>
      </c>
      <c r="V4378" s="2">
        <v>58</v>
      </c>
      <c r="W4378" s="2" t="s">
        <v>7862</v>
      </c>
      <c r="X4378" s="2" t="s">
        <v>471</v>
      </c>
      <c r="Y4378" s="2">
        <v>7600</v>
      </c>
      <c r="Z4378" s="19" t="str">
        <f>HYPERLINK("https://ssdweb.co/ssdweb/hd/Vision360.html?d=926790371&amp;zoomslide=1&amp;z=1926790371&amp;ISCONFIRM=0","VIDEO")</f>
        <v>VIDEO</v>
      </c>
      <c r="AA4378" s="19" t="str">
        <f>HYPERLINK("https://ssdweb.co/ssdweb/CERTH/660490584.pdf","CERTI")</f>
        <v>CERTI</v>
      </c>
    </row>
    <row r="4379" spans="1:27" ht="15" x14ac:dyDescent="0.25">
      <c r="A4379" s="2">
        <v>4374</v>
      </c>
      <c r="B4379" s="39">
        <v>926250447</v>
      </c>
      <c r="C4379" s="28" t="str">
        <f>HYPERLINK("https://pld.live/RapDetail.aspx?STONELIST=926250447","DNA")</f>
        <v>DNA</v>
      </c>
      <c r="D4379" s="18" t="s">
        <v>3054</v>
      </c>
      <c r="E4379" s="18" t="s">
        <v>5128</v>
      </c>
      <c r="F4379" s="2" t="s">
        <v>7987</v>
      </c>
      <c r="G4379" s="2" t="s">
        <v>1573</v>
      </c>
      <c r="H4379" s="14">
        <v>1</v>
      </c>
      <c r="I4379" s="2" t="s">
        <v>267</v>
      </c>
      <c r="J4379" s="2" t="s">
        <v>3942</v>
      </c>
      <c r="K4379" s="2" t="s">
        <v>1452</v>
      </c>
      <c r="L4379" s="2" t="s">
        <v>5221</v>
      </c>
      <c r="M4379" s="2" t="s">
        <v>5221</v>
      </c>
      <c r="N4379" s="2" t="s">
        <v>2317</v>
      </c>
      <c r="O4379" s="14">
        <v>7600</v>
      </c>
      <c r="P4379" s="14">
        <v>98.45</v>
      </c>
      <c r="Q4379" s="14">
        <v>117.8</v>
      </c>
      <c r="R4379" s="14">
        <v>117.8</v>
      </c>
      <c r="S4379" s="2" t="s">
        <v>7482</v>
      </c>
      <c r="T4379" s="2">
        <v>1.36</v>
      </c>
      <c r="U4379" s="2">
        <v>61.6</v>
      </c>
      <c r="V4379" s="2">
        <v>61</v>
      </c>
      <c r="W4379" s="2" t="s">
        <v>7862</v>
      </c>
      <c r="X4379" s="2" t="s">
        <v>471</v>
      </c>
      <c r="Y4379" s="2">
        <v>7600</v>
      </c>
      <c r="Z4379" s="19" t="str">
        <f>HYPERLINK("https://ssdweb.co/ssdweb/hd/Vision360.html?d=926250447&amp;zoomslide=1&amp;z=1926250447&amp;ISCONFIRM=0","VIDEO")</f>
        <v>VIDEO</v>
      </c>
      <c r="AA4379" s="19" t="str">
        <f>HYPERLINK("https://ssdweb.co/ssdweb/CERTH/638463374.pdf","CERTI")</f>
        <v>CERTI</v>
      </c>
    </row>
    <row r="4380" spans="1:27" ht="15" x14ac:dyDescent="0.25">
      <c r="A4380" s="2">
        <v>4375</v>
      </c>
      <c r="B4380" s="39">
        <v>926110891</v>
      </c>
      <c r="C4380" s="28" t="str">
        <f>HYPERLINK("https://pld.live/RapDetail.aspx?STONELIST=926110891","DNA")</f>
        <v>DNA</v>
      </c>
      <c r="D4380" s="18" t="s">
        <v>3054</v>
      </c>
      <c r="E4380" s="18" t="s">
        <v>5128</v>
      </c>
      <c r="F4380" s="2" t="s">
        <v>7987</v>
      </c>
      <c r="G4380" s="2" t="s">
        <v>1573</v>
      </c>
      <c r="H4380" s="14">
        <v>1</v>
      </c>
      <c r="I4380" s="2" t="s">
        <v>267</v>
      </c>
      <c r="J4380" s="2" t="s">
        <v>3942</v>
      </c>
      <c r="K4380" s="2" t="s">
        <v>1452</v>
      </c>
      <c r="L4380" s="2" t="s">
        <v>5221</v>
      </c>
      <c r="M4380" s="2" t="s">
        <v>5221</v>
      </c>
      <c r="N4380" s="2" t="s">
        <v>2317</v>
      </c>
      <c r="O4380" s="14">
        <v>7600</v>
      </c>
      <c r="P4380" s="14">
        <v>98.49</v>
      </c>
      <c r="Q4380" s="14">
        <v>114.76</v>
      </c>
      <c r="R4380" s="14">
        <v>114.76</v>
      </c>
      <c r="S4380" s="2" t="s">
        <v>6163</v>
      </c>
      <c r="T4380" s="2">
        <v>1.37</v>
      </c>
      <c r="U4380" s="2">
        <v>62.5</v>
      </c>
      <c r="V4380" s="2">
        <v>61</v>
      </c>
      <c r="W4380" s="2" t="s">
        <v>7862</v>
      </c>
      <c r="X4380" s="2" t="s">
        <v>471</v>
      </c>
      <c r="Y4380" s="2">
        <v>7600</v>
      </c>
      <c r="Z4380" s="19" t="str">
        <f>HYPERLINK("https://ssdweb.co/ssdweb/hd/Vision360.html?d=926110891&amp;zoomslide=1&amp;z=1926110891&amp;ISCONFIRM=0","VIDEO")</f>
        <v>VIDEO</v>
      </c>
      <c r="AA4380" s="19" t="str">
        <f>HYPERLINK("https://ssdweb.co/ssdweb/CERTH/632449643.pdf","CERTI")</f>
        <v>CERTI</v>
      </c>
    </row>
    <row r="4381" spans="1:27" ht="15" x14ac:dyDescent="0.25">
      <c r="A4381" s="2">
        <v>4376</v>
      </c>
      <c r="B4381" s="39">
        <v>941071348</v>
      </c>
      <c r="C4381" s="28" t="str">
        <f>HYPERLINK("https://pld.live/RapDetail.aspx?STONELIST=941071348","DNA")</f>
        <v>DNA</v>
      </c>
      <c r="D4381" s="18" t="s">
        <v>3054</v>
      </c>
      <c r="E4381" s="18" t="s">
        <v>5128</v>
      </c>
      <c r="F4381" s="2" t="s">
        <v>7987</v>
      </c>
      <c r="G4381" s="2" t="s">
        <v>1573</v>
      </c>
      <c r="H4381" s="14">
        <v>1</v>
      </c>
      <c r="I4381" s="2" t="s">
        <v>267</v>
      </c>
      <c r="J4381" s="2" t="s">
        <v>3942</v>
      </c>
      <c r="K4381" s="2" t="s">
        <v>1452</v>
      </c>
      <c r="L4381" s="2" t="s">
        <v>5221</v>
      </c>
      <c r="M4381" s="2" t="s">
        <v>5721</v>
      </c>
      <c r="N4381" s="2" t="s">
        <v>2317</v>
      </c>
      <c r="O4381" s="14">
        <v>7600</v>
      </c>
      <c r="P4381" s="14">
        <v>98.45</v>
      </c>
      <c r="Q4381" s="14">
        <v>117.8</v>
      </c>
      <c r="R4381" s="14">
        <v>117.8</v>
      </c>
      <c r="S4381" s="2" t="s">
        <v>7579</v>
      </c>
      <c r="T4381" s="2">
        <v>1.38</v>
      </c>
      <c r="U4381" s="2">
        <v>60.1</v>
      </c>
      <c r="V4381" s="2">
        <v>61</v>
      </c>
      <c r="W4381" s="2" t="s">
        <v>7862</v>
      </c>
      <c r="X4381" s="2" t="s">
        <v>471</v>
      </c>
      <c r="Y4381" s="2">
        <v>7600</v>
      </c>
      <c r="Z4381" s="19" t="str">
        <f>HYPERLINK("https://ssdweb.co/ssdweb/hd/Vision360.html?d=941071348&amp;zoomslide=1&amp;z=1941071348&amp;ISCONFIRM=0","VIDEO")</f>
        <v>VIDEO</v>
      </c>
      <c r="AA4381" s="19" t="str">
        <f>HYPERLINK("https://ssdweb.co/ssdweb/CERTH/678564576.pdf","CERTI")</f>
        <v>CERTI</v>
      </c>
    </row>
    <row r="4382" spans="1:27" ht="15" x14ac:dyDescent="0.25">
      <c r="A4382" s="2">
        <v>4377</v>
      </c>
      <c r="B4382" s="39">
        <v>927052565</v>
      </c>
      <c r="C4382" s="28" t="str">
        <f>HYPERLINK("https://pld.live/RapDetail.aspx?STONELIST=927052565","DNA")</f>
        <v>DNA</v>
      </c>
      <c r="D4382" s="18" t="s">
        <v>3054</v>
      </c>
      <c r="E4382" s="18" t="s">
        <v>5128</v>
      </c>
      <c r="F4382" s="2" t="s">
        <v>7987</v>
      </c>
      <c r="G4382" s="2" t="s">
        <v>1573</v>
      </c>
      <c r="H4382" s="14">
        <v>1</v>
      </c>
      <c r="I4382" s="2" t="s">
        <v>267</v>
      </c>
      <c r="J4382" s="2" t="s">
        <v>3942</v>
      </c>
      <c r="K4382" s="2" t="s">
        <v>1452</v>
      </c>
      <c r="L4382" s="2" t="s">
        <v>5221</v>
      </c>
      <c r="M4382" s="2" t="s">
        <v>5721</v>
      </c>
      <c r="N4382" s="2" t="s">
        <v>2317</v>
      </c>
      <c r="O4382" s="14">
        <v>7600</v>
      </c>
      <c r="P4382" s="14">
        <v>98.45</v>
      </c>
      <c r="Q4382" s="14">
        <v>117.8</v>
      </c>
      <c r="R4382" s="14">
        <v>117.8</v>
      </c>
      <c r="S4382" s="2" t="s">
        <v>4767</v>
      </c>
      <c r="T4382" s="2">
        <v>1.39</v>
      </c>
      <c r="U4382" s="2">
        <v>62.2</v>
      </c>
      <c r="V4382" s="2">
        <v>60</v>
      </c>
      <c r="W4382" s="2" t="s">
        <v>7862</v>
      </c>
      <c r="X4382" s="2" t="s">
        <v>471</v>
      </c>
      <c r="Y4382" s="2">
        <v>7600</v>
      </c>
      <c r="Z4382" s="19" t="str">
        <f>HYPERLINK("https://ssdweb.co/ssdweb/hd/Vision360.html?d=927052565&amp;zoomslide=1&amp;z=1927052565&amp;ISCONFIRM=0","VIDEO")</f>
        <v>VIDEO</v>
      </c>
      <c r="AA4382" s="19" t="str">
        <f>HYPERLINK("https://ssdweb.co/ssdweb/CERTH/668446605.pdf","CERTI")</f>
        <v>CERTI</v>
      </c>
    </row>
    <row r="4383" spans="1:27" ht="15" x14ac:dyDescent="0.25">
      <c r="A4383" s="2">
        <v>4378</v>
      </c>
      <c r="B4383" s="39">
        <v>926870966</v>
      </c>
      <c r="C4383" s="28" t="str">
        <f>HYPERLINK("https://pld.live/RapDetail.aspx?STONELIST=926870966","DNA")</f>
        <v>DNA</v>
      </c>
      <c r="D4383" s="18" t="s">
        <v>3054</v>
      </c>
      <c r="E4383" s="18" t="s">
        <v>5128</v>
      </c>
      <c r="F4383" s="2" t="s">
        <v>7987</v>
      </c>
      <c r="G4383" s="2" t="s">
        <v>1573</v>
      </c>
      <c r="H4383" s="14">
        <v>1</v>
      </c>
      <c r="I4383" s="2" t="s">
        <v>267</v>
      </c>
      <c r="J4383" s="2" t="s">
        <v>13</v>
      </c>
      <c r="K4383" s="2" t="s">
        <v>1452</v>
      </c>
      <c r="L4383" s="2" t="s">
        <v>5221</v>
      </c>
      <c r="M4383" s="2" t="s">
        <v>5221</v>
      </c>
      <c r="N4383" s="2" t="s">
        <v>2317</v>
      </c>
      <c r="O4383" s="14">
        <v>6700</v>
      </c>
      <c r="P4383" s="14">
        <v>98.28</v>
      </c>
      <c r="Q4383" s="14">
        <v>115.24</v>
      </c>
      <c r="R4383" s="14">
        <v>115.24</v>
      </c>
      <c r="S4383" s="2" t="s">
        <v>895</v>
      </c>
      <c r="T4383" s="2">
        <v>1.36</v>
      </c>
      <c r="U4383" s="2">
        <v>62.2</v>
      </c>
      <c r="V4383" s="2">
        <v>60</v>
      </c>
      <c r="W4383" s="2" t="s">
        <v>7862</v>
      </c>
      <c r="X4383" s="2" t="s">
        <v>471</v>
      </c>
      <c r="Y4383" s="2">
        <v>6700</v>
      </c>
      <c r="Z4383" s="19" t="str">
        <f>HYPERLINK("https://ssdweb.co/ssdweb/hd/Vision360.html?d=926870966&amp;zoomslide=1&amp;z=1926870966&amp;ISCONFIRM=0","VIDEO")</f>
        <v>VIDEO</v>
      </c>
      <c r="AA4383" s="19" t="str">
        <f>HYPERLINK("https://ssdweb.co/ssdweb/CERTH/660490608.pdf","CERTI")</f>
        <v>CERTI</v>
      </c>
    </row>
    <row r="4384" spans="1:27" ht="15" x14ac:dyDescent="0.25">
      <c r="A4384" s="2">
        <v>4379</v>
      </c>
      <c r="B4384" s="39">
        <v>941190590</v>
      </c>
      <c r="C4384" s="28" t="str">
        <f>HYPERLINK("https://pld.live/RapDetail.aspx?STONELIST=941190590","DNA")</f>
        <v>DNA</v>
      </c>
      <c r="D4384" s="18" t="s">
        <v>3054</v>
      </c>
      <c r="E4384" s="18" t="s">
        <v>5128</v>
      </c>
      <c r="F4384" s="2" t="s">
        <v>7987</v>
      </c>
      <c r="G4384" s="2" t="s">
        <v>1573</v>
      </c>
      <c r="H4384" s="14">
        <v>1</v>
      </c>
      <c r="I4384" s="2" t="s">
        <v>267</v>
      </c>
      <c r="J4384" s="2" t="s">
        <v>13</v>
      </c>
      <c r="K4384" s="2" t="s">
        <v>1452</v>
      </c>
      <c r="L4384" s="2" t="s">
        <v>5221</v>
      </c>
      <c r="M4384" s="2" t="s">
        <v>5221</v>
      </c>
      <c r="N4384" s="2" t="s">
        <v>2317</v>
      </c>
      <c r="O4384" s="14">
        <v>6700</v>
      </c>
      <c r="P4384" s="14">
        <v>98.25</v>
      </c>
      <c r="Q4384" s="14">
        <v>117.25</v>
      </c>
      <c r="R4384" s="14">
        <v>117.25</v>
      </c>
      <c r="S4384" s="2" t="s">
        <v>1994</v>
      </c>
      <c r="T4384" s="2">
        <v>1.45</v>
      </c>
      <c r="U4384" s="2">
        <v>60.8</v>
      </c>
      <c r="V4384" s="2">
        <v>59</v>
      </c>
      <c r="W4384" s="2" t="s">
        <v>7862</v>
      </c>
      <c r="X4384" s="2" t="s">
        <v>471</v>
      </c>
      <c r="Y4384" s="2">
        <v>6700</v>
      </c>
      <c r="Z4384" s="19" t="str">
        <f>HYPERLINK("https://ssdweb.co/ssdweb/hd/Vision360.html?d=941190590&amp;zoomslide=1&amp;z=1941190590&amp;ISCONFIRM=0","VIDEO")</f>
        <v>VIDEO</v>
      </c>
      <c r="AA4384" s="19" t="str">
        <f>HYPERLINK("https://ssdweb.co/ssdweb/CERTH/678564550.pdf","CERTI")</f>
        <v>CERTI</v>
      </c>
    </row>
    <row r="4385" spans="1:27" ht="15" x14ac:dyDescent="0.25">
      <c r="A4385" s="2">
        <v>4380</v>
      </c>
      <c r="B4385" s="39">
        <v>926291464</v>
      </c>
      <c r="C4385" s="28" t="str">
        <f>HYPERLINK("https://pld.live/RapDetail.aspx?STONELIST=926291464","DNA")</f>
        <v>DNA</v>
      </c>
      <c r="D4385" s="18" t="s">
        <v>3054</v>
      </c>
      <c r="E4385" s="18" t="s">
        <v>5128</v>
      </c>
      <c r="F4385" s="2" t="s">
        <v>7987</v>
      </c>
      <c r="G4385" s="2" t="s">
        <v>1573</v>
      </c>
      <c r="H4385" s="14">
        <v>1</v>
      </c>
      <c r="I4385" s="2" t="s">
        <v>267</v>
      </c>
      <c r="J4385" s="2" t="s">
        <v>13</v>
      </c>
      <c r="K4385" s="2" t="s">
        <v>1452</v>
      </c>
      <c r="L4385" s="2" t="s">
        <v>5221</v>
      </c>
      <c r="M4385" s="2" t="s">
        <v>5221</v>
      </c>
      <c r="N4385" s="2" t="s">
        <v>2317</v>
      </c>
      <c r="O4385" s="14">
        <v>6700</v>
      </c>
      <c r="P4385" s="14">
        <v>98.28</v>
      </c>
      <c r="Q4385" s="14">
        <v>115.24</v>
      </c>
      <c r="R4385" s="14">
        <v>115.24</v>
      </c>
      <c r="S4385" s="2" t="s">
        <v>4640</v>
      </c>
      <c r="T4385" s="2">
        <v>1.37</v>
      </c>
      <c r="U4385" s="2">
        <v>63.2</v>
      </c>
      <c r="V4385" s="2">
        <v>59</v>
      </c>
      <c r="W4385" s="2" t="s">
        <v>7862</v>
      </c>
      <c r="X4385" s="2" t="s">
        <v>471</v>
      </c>
      <c r="Y4385" s="2">
        <v>6700</v>
      </c>
      <c r="Z4385" s="19" t="str">
        <f>HYPERLINK("https://ssdweb.co/ssdweb/hd/Vision360.html?d=926291464&amp;zoomslide=1&amp;z=1926291464&amp;ISCONFIRM=0","VIDEO")</f>
        <v>VIDEO</v>
      </c>
      <c r="AA4385" s="19" t="str">
        <f>HYPERLINK("https://ssdweb.co/ssdweb/CERTH/660490612.pdf","CERTI")</f>
        <v>CERTI</v>
      </c>
    </row>
    <row r="4386" spans="1:27" ht="15" x14ac:dyDescent="0.25">
      <c r="A4386" s="2">
        <v>4381</v>
      </c>
      <c r="B4386" s="39">
        <v>926291480</v>
      </c>
      <c r="C4386" s="28" t="str">
        <f>HYPERLINK("https://pld.live/RapDetail.aspx?STONELIST=926291480","DNA")</f>
        <v>DNA</v>
      </c>
      <c r="D4386" s="18" t="s">
        <v>3054</v>
      </c>
      <c r="E4386" s="18" t="s">
        <v>5128</v>
      </c>
      <c r="F4386" s="2" t="s">
        <v>7987</v>
      </c>
      <c r="G4386" s="2" t="s">
        <v>1573</v>
      </c>
      <c r="H4386" s="14">
        <v>1</v>
      </c>
      <c r="I4386" s="2" t="s">
        <v>267</v>
      </c>
      <c r="J4386" s="2" t="s">
        <v>13</v>
      </c>
      <c r="K4386" s="2" t="s">
        <v>1452</v>
      </c>
      <c r="L4386" s="2" t="s">
        <v>5221</v>
      </c>
      <c r="M4386" s="2" t="s">
        <v>5221</v>
      </c>
      <c r="N4386" s="2" t="s">
        <v>2317</v>
      </c>
      <c r="O4386" s="14">
        <v>6700</v>
      </c>
      <c r="P4386" s="14">
        <v>98.28</v>
      </c>
      <c r="Q4386" s="14">
        <v>115.24</v>
      </c>
      <c r="R4386" s="14">
        <v>115.24</v>
      </c>
      <c r="S4386" s="2" t="s">
        <v>880</v>
      </c>
      <c r="T4386" s="2">
        <v>1.36</v>
      </c>
      <c r="U4386" s="2">
        <v>63.6</v>
      </c>
      <c r="V4386" s="2">
        <v>59</v>
      </c>
      <c r="W4386" s="2" t="s">
        <v>7862</v>
      </c>
      <c r="X4386" s="2" t="s">
        <v>471</v>
      </c>
      <c r="Y4386" s="2">
        <v>6700</v>
      </c>
      <c r="Z4386" s="19" t="str">
        <f>HYPERLINK("https://ssdweb.co/ssdweb/hd/Vision360.html?d=926291480&amp;zoomslide=1&amp;z=1926291480&amp;ISCONFIRM=0","VIDEO")</f>
        <v>VIDEO</v>
      </c>
      <c r="AA4386" s="19" t="str">
        <f>HYPERLINK("https://ssdweb.co/ssdweb/CERTH/660490614.pdf","CERTI")</f>
        <v>CERTI</v>
      </c>
    </row>
    <row r="4387" spans="1:27" ht="15" x14ac:dyDescent="0.25">
      <c r="A4387" s="2">
        <v>4382</v>
      </c>
      <c r="B4387" s="39">
        <v>926310637</v>
      </c>
      <c r="C4387" s="28" t="str">
        <f>HYPERLINK("https://pld.live/RapDetail.aspx?STONELIST=926310637","DNA")</f>
        <v>DNA</v>
      </c>
      <c r="D4387" s="18" t="s">
        <v>3054</v>
      </c>
      <c r="E4387" s="18" t="s">
        <v>5128</v>
      </c>
      <c r="F4387" s="2" t="s">
        <v>7987</v>
      </c>
      <c r="G4387" s="2" t="s">
        <v>1573</v>
      </c>
      <c r="H4387" s="14">
        <v>1</v>
      </c>
      <c r="I4387" s="2" t="s">
        <v>267</v>
      </c>
      <c r="J4387" s="2" t="s">
        <v>13</v>
      </c>
      <c r="K4387" s="2" t="s">
        <v>1452</v>
      </c>
      <c r="L4387" s="2" t="s">
        <v>5221</v>
      </c>
      <c r="M4387" s="2" t="s">
        <v>5221</v>
      </c>
      <c r="N4387" s="2" t="s">
        <v>2317</v>
      </c>
      <c r="O4387" s="14">
        <v>6700</v>
      </c>
      <c r="P4387" s="14">
        <v>98.28</v>
      </c>
      <c r="Q4387" s="14">
        <v>115.24</v>
      </c>
      <c r="R4387" s="14">
        <v>115.24</v>
      </c>
      <c r="S4387" s="2" t="s">
        <v>4873</v>
      </c>
      <c r="T4387" s="2">
        <v>1.36</v>
      </c>
      <c r="U4387" s="2">
        <v>61.9</v>
      </c>
      <c r="V4387" s="2">
        <v>57</v>
      </c>
      <c r="W4387" s="2" t="s">
        <v>7862</v>
      </c>
      <c r="X4387" s="2" t="s">
        <v>471</v>
      </c>
      <c r="Y4387" s="2">
        <v>6700</v>
      </c>
      <c r="Z4387" s="19" t="str">
        <f>HYPERLINK("https://ssdweb.co/ssdweb/hd/Vision360.html?d=926310637&amp;zoomslide=1&amp;z=1926310637&amp;ISCONFIRM=0","VIDEO")</f>
        <v>VIDEO</v>
      </c>
      <c r="AA4387" s="19" t="str">
        <f>HYPERLINK("https://ssdweb.co/ssdweb/CERTH/660490593.pdf","CERTI")</f>
        <v>CERTI</v>
      </c>
    </row>
    <row r="4388" spans="1:27" ht="15" x14ac:dyDescent="0.25">
      <c r="A4388" s="2">
        <v>4383</v>
      </c>
      <c r="B4388" s="39">
        <v>926311147</v>
      </c>
      <c r="C4388" s="28" t="str">
        <f>HYPERLINK("https://pld.live/RapDetail.aspx?STONELIST=926311147","DNA")</f>
        <v>DNA</v>
      </c>
      <c r="D4388" s="18" t="s">
        <v>3054</v>
      </c>
      <c r="E4388" s="18" t="s">
        <v>5128</v>
      </c>
      <c r="F4388" s="2" t="s">
        <v>7987</v>
      </c>
      <c r="G4388" s="2" t="s">
        <v>1573</v>
      </c>
      <c r="H4388" s="14">
        <v>1</v>
      </c>
      <c r="I4388" s="2" t="s">
        <v>267</v>
      </c>
      <c r="J4388" s="2" t="s">
        <v>13</v>
      </c>
      <c r="K4388" s="2" t="s">
        <v>1452</v>
      </c>
      <c r="L4388" s="2" t="s">
        <v>5221</v>
      </c>
      <c r="M4388" s="2" t="s">
        <v>5221</v>
      </c>
      <c r="N4388" s="2" t="s">
        <v>2317</v>
      </c>
      <c r="O4388" s="14">
        <v>6700</v>
      </c>
      <c r="P4388" s="14">
        <v>98.28</v>
      </c>
      <c r="Q4388" s="14">
        <v>115.24</v>
      </c>
      <c r="R4388" s="14">
        <v>115.24</v>
      </c>
      <c r="S4388" s="2" t="s">
        <v>1888</v>
      </c>
      <c r="T4388" s="2">
        <v>1.36</v>
      </c>
      <c r="U4388" s="2">
        <v>63</v>
      </c>
      <c r="V4388" s="2">
        <v>61</v>
      </c>
      <c r="W4388" s="2" t="s">
        <v>7862</v>
      </c>
      <c r="X4388" s="2" t="s">
        <v>471</v>
      </c>
      <c r="Y4388" s="2">
        <v>6700</v>
      </c>
      <c r="Z4388" s="19" t="str">
        <f>HYPERLINK("https://ssdweb.co/ssdweb/hd/Vision360.html?d=926311147&amp;zoomslide=1&amp;z=1926311147&amp;ISCONFIRM=0","VIDEO")</f>
        <v>VIDEO</v>
      </c>
      <c r="AA4388" s="19" t="str">
        <f>HYPERLINK("https://ssdweb.co/ssdweb/CERTH/660490601.pdf","CERTI")</f>
        <v>CERTI</v>
      </c>
    </row>
    <row r="4389" spans="1:27" ht="15" x14ac:dyDescent="0.25">
      <c r="A4389" s="2">
        <v>4384</v>
      </c>
      <c r="B4389" s="39">
        <v>941190443</v>
      </c>
      <c r="C4389" s="28" t="str">
        <f>HYPERLINK("https://pld.live/RapDetail.aspx?STONELIST=941190443","DNA")</f>
        <v>DNA</v>
      </c>
      <c r="D4389" s="18" t="s">
        <v>3054</v>
      </c>
      <c r="E4389" s="18" t="s">
        <v>5128</v>
      </c>
      <c r="F4389" s="2" t="s">
        <v>7987</v>
      </c>
      <c r="G4389" s="2" t="s">
        <v>1573</v>
      </c>
      <c r="H4389" s="14">
        <v>1</v>
      </c>
      <c r="I4389" s="2" t="s">
        <v>267</v>
      </c>
      <c r="J4389" s="2" t="s">
        <v>13</v>
      </c>
      <c r="K4389" s="2" t="s">
        <v>1452</v>
      </c>
      <c r="L4389" s="2" t="s">
        <v>5221</v>
      </c>
      <c r="M4389" s="2" t="s">
        <v>5221</v>
      </c>
      <c r="N4389" s="2" t="s">
        <v>2317</v>
      </c>
      <c r="O4389" s="14">
        <v>6700</v>
      </c>
      <c r="P4389" s="14">
        <v>98.25</v>
      </c>
      <c r="Q4389" s="14">
        <v>117.25</v>
      </c>
      <c r="R4389" s="14">
        <v>117.25</v>
      </c>
      <c r="S4389" s="2" t="s">
        <v>3962</v>
      </c>
      <c r="T4389" s="2">
        <v>1.38</v>
      </c>
      <c r="U4389" s="2">
        <v>61.4</v>
      </c>
      <c r="V4389" s="2">
        <v>61</v>
      </c>
      <c r="W4389" s="2" t="s">
        <v>7862</v>
      </c>
      <c r="X4389" s="2" t="s">
        <v>471</v>
      </c>
      <c r="Y4389" s="2">
        <v>6700</v>
      </c>
      <c r="Z4389" s="19" t="str">
        <f>HYPERLINK("https://ssdweb.co/ssdweb/hd/Vision360.html?d=941190443&amp;zoomslide=1&amp;z=1941190443&amp;ISCONFIRM=0","VIDEO")</f>
        <v>VIDEO</v>
      </c>
      <c r="AA4389" s="19" t="str">
        <f>HYPERLINK("https://ssdweb.co/ssdweb/CERTH/678564531.pdf","CERTI")</f>
        <v>CERTI</v>
      </c>
    </row>
    <row r="4390" spans="1:27" ht="15" x14ac:dyDescent="0.25">
      <c r="A4390" s="2">
        <v>4385</v>
      </c>
      <c r="B4390" s="39">
        <v>927101194</v>
      </c>
      <c r="C4390" s="28" t="str">
        <f>HYPERLINK("https://pld.live/RapDetail.aspx?STONELIST=927101194","DNA")</f>
        <v>DNA</v>
      </c>
      <c r="D4390" s="18" t="s">
        <v>3054</v>
      </c>
      <c r="E4390" s="18" t="s">
        <v>5128</v>
      </c>
      <c r="F4390" s="2" t="s">
        <v>7987</v>
      </c>
      <c r="G4390" s="2" t="s">
        <v>1573</v>
      </c>
      <c r="H4390" s="14">
        <v>1</v>
      </c>
      <c r="I4390" s="2" t="s">
        <v>267</v>
      </c>
      <c r="J4390" s="2" t="s">
        <v>13</v>
      </c>
      <c r="K4390" s="2" t="s">
        <v>1452</v>
      </c>
      <c r="L4390" s="2" t="s">
        <v>5221</v>
      </c>
      <c r="M4390" s="2" t="s">
        <v>5221</v>
      </c>
      <c r="N4390" s="2" t="s">
        <v>2317</v>
      </c>
      <c r="O4390" s="14">
        <v>6700</v>
      </c>
      <c r="P4390" s="14">
        <v>98.25</v>
      </c>
      <c r="Q4390" s="14">
        <v>117.25</v>
      </c>
      <c r="R4390" s="14">
        <v>117.25</v>
      </c>
      <c r="S4390" s="2" t="s">
        <v>917</v>
      </c>
      <c r="T4390" s="2">
        <v>1.39</v>
      </c>
      <c r="U4390" s="2">
        <v>61.8</v>
      </c>
      <c r="V4390" s="2">
        <v>62</v>
      </c>
      <c r="W4390" s="2" t="s">
        <v>7862</v>
      </c>
      <c r="X4390" s="2" t="s">
        <v>471</v>
      </c>
      <c r="Y4390" s="2">
        <v>6700</v>
      </c>
      <c r="Z4390" s="19" t="str">
        <f>HYPERLINK("https://ssdweb.co/ssdweb/hd/Vision360.html?d=927101194&amp;zoomslide=1&amp;z=1927101194&amp;ISCONFIRM=0","VIDEO")</f>
        <v>VIDEO</v>
      </c>
      <c r="AA4390" s="19" t="str">
        <f>HYPERLINK("https://ssdweb.co/ssdweb/CERTH/667408266.pdf","CERTI")</f>
        <v>CERTI</v>
      </c>
    </row>
    <row r="4391" spans="1:27" ht="15" x14ac:dyDescent="0.25">
      <c r="A4391" s="2">
        <v>4386</v>
      </c>
      <c r="B4391" s="39">
        <v>927092630</v>
      </c>
      <c r="C4391" s="28" t="str">
        <f>HYPERLINK("https://pld.live/RapDetail.aspx?STONELIST=927092630","DNA")</f>
        <v>DNA</v>
      </c>
      <c r="D4391" s="18" t="s">
        <v>3054</v>
      </c>
      <c r="E4391" s="18" t="s">
        <v>5128</v>
      </c>
      <c r="F4391" s="2" t="s">
        <v>7987</v>
      </c>
      <c r="G4391" s="2" t="s">
        <v>1573</v>
      </c>
      <c r="H4391" s="14">
        <v>1</v>
      </c>
      <c r="I4391" s="2" t="s">
        <v>267</v>
      </c>
      <c r="J4391" s="2" t="s">
        <v>13</v>
      </c>
      <c r="K4391" s="2" t="s">
        <v>1452</v>
      </c>
      <c r="L4391" s="2" t="s">
        <v>5221</v>
      </c>
      <c r="M4391" s="2" t="s">
        <v>5221</v>
      </c>
      <c r="N4391" s="2" t="s">
        <v>2317</v>
      </c>
      <c r="O4391" s="14">
        <v>6700</v>
      </c>
      <c r="P4391" s="14">
        <v>98.25</v>
      </c>
      <c r="Q4391" s="14">
        <v>117.25</v>
      </c>
      <c r="R4391" s="14">
        <v>117.25</v>
      </c>
      <c r="S4391" s="2" t="s">
        <v>3859</v>
      </c>
      <c r="T4391" s="2">
        <v>1.38</v>
      </c>
      <c r="U4391" s="2">
        <v>62.3</v>
      </c>
      <c r="V4391" s="2">
        <v>62</v>
      </c>
      <c r="W4391" s="2" t="s">
        <v>7862</v>
      </c>
      <c r="X4391" s="2" t="s">
        <v>471</v>
      </c>
      <c r="Y4391" s="2">
        <v>6700</v>
      </c>
      <c r="Z4391" s="19" t="str">
        <f>HYPERLINK("https://ssdweb.co/ssdweb/hd/Vision360.html?d=927092630&amp;zoomslide=1&amp;z=1927092630&amp;ISCONFIRM=0","VIDEO")</f>
        <v>VIDEO</v>
      </c>
      <c r="AA4391" s="19" t="str">
        <f>HYPERLINK("https://ssdweb.co/ssdweb/CERTH/675504705.pdf","CERTI")</f>
        <v>CERTI</v>
      </c>
    </row>
    <row r="4392" spans="1:27" ht="15" x14ac:dyDescent="0.25">
      <c r="A4392" s="2">
        <v>4387</v>
      </c>
      <c r="B4392" s="39">
        <v>927092229</v>
      </c>
      <c r="C4392" s="28" t="str">
        <f>HYPERLINK("https://pld.live/RapDetail.aspx?STONELIST=927092229","DNA")</f>
        <v>DNA</v>
      </c>
      <c r="D4392" s="18" t="s">
        <v>3054</v>
      </c>
      <c r="E4392" s="18" t="s">
        <v>5128</v>
      </c>
      <c r="F4392" s="2" t="s">
        <v>7987</v>
      </c>
      <c r="G4392" s="2" t="s">
        <v>1573</v>
      </c>
      <c r="H4392" s="14">
        <v>1</v>
      </c>
      <c r="I4392" s="2" t="s">
        <v>267</v>
      </c>
      <c r="J4392" s="2" t="s">
        <v>13</v>
      </c>
      <c r="K4392" s="2" t="s">
        <v>1452</v>
      </c>
      <c r="L4392" s="2" t="s">
        <v>5221</v>
      </c>
      <c r="M4392" s="2" t="s">
        <v>5721</v>
      </c>
      <c r="N4392" s="2" t="s">
        <v>2317</v>
      </c>
      <c r="O4392" s="14">
        <v>6700</v>
      </c>
      <c r="P4392" s="14">
        <v>98.28</v>
      </c>
      <c r="Q4392" s="14">
        <v>115.24</v>
      </c>
      <c r="R4392" s="14">
        <v>115.24</v>
      </c>
      <c r="S4392" s="2" t="s">
        <v>6168</v>
      </c>
      <c r="T4392" s="2">
        <v>1.42</v>
      </c>
      <c r="U4392" s="2">
        <v>60.4</v>
      </c>
      <c r="V4392" s="2">
        <v>63</v>
      </c>
      <c r="W4392" s="2" t="s">
        <v>7862</v>
      </c>
      <c r="X4392" s="2" t="s">
        <v>471</v>
      </c>
      <c r="Y4392" s="2">
        <v>6700</v>
      </c>
      <c r="Z4392" s="19" t="str">
        <f>HYPERLINK("https://ssdweb.co/ssdweb/hd/Vision360.html?d=927092229&amp;zoomslide=1&amp;z=1927092229&amp;ISCONFIRM=0","VIDEO")</f>
        <v>VIDEO</v>
      </c>
      <c r="AA4392" s="19" t="str">
        <f>HYPERLINK("https://ssdweb.co/ssdweb/CERTH/667408262.pdf","CERTI")</f>
        <v>CERTI</v>
      </c>
    </row>
    <row r="4393" spans="1:27" ht="15" x14ac:dyDescent="0.25">
      <c r="A4393" s="2">
        <v>4388</v>
      </c>
      <c r="B4393" s="39">
        <v>926750806</v>
      </c>
      <c r="C4393" s="28" t="str">
        <f>HYPERLINK("https://pld.live/RapDetail.aspx?STONELIST=926750806","DNA")</f>
        <v>DNA</v>
      </c>
      <c r="D4393" s="18" t="s">
        <v>3054</v>
      </c>
      <c r="E4393" s="18" t="s">
        <v>5128</v>
      </c>
      <c r="F4393" s="2" t="s">
        <v>7987</v>
      </c>
      <c r="G4393" s="2" t="s">
        <v>1573</v>
      </c>
      <c r="H4393" s="14">
        <v>1</v>
      </c>
      <c r="I4393" s="2" t="s">
        <v>267</v>
      </c>
      <c r="J4393" s="2" t="s">
        <v>5144</v>
      </c>
      <c r="K4393" s="2" t="s">
        <v>1452</v>
      </c>
      <c r="L4393" s="2" t="s">
        <v>5221</v>
      </c>
      <c r="M4393" s="2" t="s">
        <v>5221</v>
      </c>
      <c r="N4393" s="2" t="s">
        <v>2317</v>
      </c>
      <c r="O4393" s="14">
        <v>5700</v>
      </c>
      <c r="P4393" s="14">
        <v>98.04</v>
      </c>
      <c r="Q4393" s="14">
        <v>111.72</v>
      </c>
      <c r="R4393" s="14">
        <v>111.72</v>
      </c>
      <c r="S4393" s="2" t="s">
        <v>2307</v>
      </c>
      <c r="T4393" s="2">
        <v>1.38</v>
      </c>
      <c r="U4393" s="2">
        <v>62.1</v>
      </c>
      <c r="V4393" s="2">
        <v>60</v>
      </c>
      <c r="W4393" s="2" t="s">
        <v>7862</v>
      </c>
      <c r="X4393" s="2" t="s">
        <v>471</v>
      </c>
      <c r="Y4393" s="2">
        <v>5700</v>
      </c>
      <c r="Z4393" s="19" t="str">
        <f>HYPERLINK("https://ssdweb.co/ssdweb/hd/Vision360.html?d=926750806&amp;zoomslide=1&amp;z=1926750806&amp;ISCONFIRM=0","VIDEO")</f>
        <v>VIDEO</v>
      </c>
      <c r="AA4393" s="19" t="str">
        <f>HYPERLINK("https://ssdweb.co/ssdweb/CERTH/653451087.pdf","CERTI")</f>
        <v>CERTI</v>
      </c>
    </row>
    <row r="4394" spans="1:27" ht="15" x14ac:dyDescent="0.25">
      <c r="A4394" s="2">
        <v>4389</v>
      </c>
      <c r="B4394" s="39">
        <v>941190391</v>
      </c>
      <c r="C4394" s="28" t="str">
        <f>HYPERLINK("https://pld.live/RapDetail.aspx?STONELIST=941190391","DNA")</f>
        <v>DNA</v>
      </c>
      <c r="D4394" s="18" t="s">
        <v>3054</v>
      </c>
      <c r="E4394" s="18" t="s">
        <v>5128</v>
      </c>
      <c r="F4394" s="2" t="s">
        <v>7987</v>
      </c>
      <c r="G4394" s="2" t="s">
        <v>1573</v>
      </c>
      <c r="H4394" s="14">
        <v>1</v>
      </c>
      <c r="I4394" s="2" t="s">
        <v>267</v>
      </c>
      <c r="J4394" s="2" t="s">
        <v>5144</v>
      </c>
      <c r="K4394" s="2" t="s">
        <v>1452</v>
      </c>
      <c r="L4394" s="2" t="s">
        <v>5221</v>
      </c>
      <c r="M4394" s="2" t="s">
        <v>5221</v>
      </c>
      <c r="N4394" s="2" t="s">
        <v>2317</v>
      </c>
      <c r="O4394" s="14">
        <v>5700</v>
      </c>
      <c r="P4394" s="14">
        <v>98</v>
      </c>
      <c r="Q4394" s="14">
        <v>114</v>
      </c>
      <c r="R4394" s="14">
        <v>114</v>
      </c>
      <c r="S4394" s="2" t="s">
        <v>4557</v>
      </c>
      <c r="T4394" s="2">
        <v>1.38</v>
      </c>
      <c r="U4394" s="2">
        <v>62.9</v>
      </c>
      <c r="V4394" s="2">
        <v>62</v>
      </c>
      <c r="W4394" s="2" t="s">
        <v>7862</v>
      </c>
      <c r="X4394" s="2" t="s">
        <v>471</v>
      </c>
      <c r="Y4394" s="2">
        <v>5700</v>
      </c>
      <c r="Z4394" s="19" t="str">
        <f>HYPERLINK("https://ssdweb.co/ssdweb/hd/Vision360.html?d=941190391&amp;zoomslide=1&amp;z=1941190391&amp;ISCONFIRM=0","VIDEO")</f>
        <v>VIDEO</v>
      </c>
      <c r="AA4394" s="19" t="str">
        <f>HYPERLINK("https://ssdweb.co/ssdweb/CERTH/678564539.pdf","CERTI")</f>
        <v>CERTI</v>
      </c>
    </row>
    <row r="4395" spans="1:27" ht="15" x14ac:dyDescent="0.25">
      <c r="A4395" s="2">
        <v>4390</v>
      </c>
      <c r="B4395" s="39">
        <v>941190969</v>
      </c>
      <c r="C4395" s="28" t="str">
        <f>HYPERLINK("https://pld.live/RapDetail.aspx?STONELIST=941190969","DNA")</f>
        <v>DNA</v>
      </c>
      <c r="D4395" s="18" t="s">
        <v>3054</v>
      </c>
      <c r="E4395" s="18" t="s">
        <v>5128</v>
      </c>
      <c r="F4395" s="2" t="s">
        <v>7987</v>
      </c>
      <c r="G4395" s="2" t="s">
        <v>1573</v>
      </c>
      <c r="H4395" s="14">
        <v>1</v>
      </c>
      <c r="I4395" s="2" t="s">
        <v>267</v>
      </c>
      <c r="J4395" s="2" t="s">
        <v>5144</v>
      </c>
      <c r="K4395" s="2" t="s">
        <v>1452</v>
      </c>
      <c r="L4395" s="2" t="s">
        <v>5221</v>
      </c>
      <c r="M4395" s="2" t="s">
        <v>5721</v>
      </c>
      <c r="N4395" s="2" t="s">
        <v>2317</v>
      </c>
      <c r="O4395" s="14">
        <v>5700</v>
      </c>
      <c r="P4395" s="14">
        <v>98.04</v>
      </c>
      <c r="Q4395" s="14">
        <v>111.72</v>
      </c>
      <c r="R4395" s="14">
        <v>111.72</v>
      </c>
      <c r="S4395" s="2" t="s">
        <v>5777</v>
      </c>
      <c r="T4395" s="2">
        <v>1.37</v>
      </c>
      <c r="U4395" s="2">
        <v>62.7</v>
      </c>
      <c r="V4395" s="2">
        <v>61</v>
      </c>
      <c r="W4395" s="2" t="s">
        <v>7862</v>
      </c>
      <c r="X4395" s="2" t="s">
        <v>471</v>
      </c>
      <c r="Y4395" s="2">
        <v>5700</v>
      </c>
      <c r="Z4395" s="19" t="str">
        <f>HYPERLINK("https://ssdweb.co/ssdweb/hd/Vision360.html?d=941190969&amp;zoomslide=1&amp;z=1941190969&amp;ISCONFIRM=0","VIDEO")</f>
        <v>VIDEO</v>
      </c>
      <c r="AA4395" s="19" t="str">
        <f>HYPERLINK("https://ssdweb.co/ssdweb/CERTH/678564555.pdf","CERTI")</f>
        <v>CERTI</v>
      </c>
    </row>
    <row r="4396" spans="1:27" ht="15" x14ac:dyDescent="0.25">
      <c r="A4396" s="2">
        <v>4391</v>
      </c>
      <c r="B4396" s="39">
        <v>941160597</v>
      </c>
      <c r="C4396" s="28" t="str">
        <f>HYPERLINK("https://pld.live/RapDetail.aspx?STONELIST=941160597","DNA")</f>
        <v>DNA</v>
      </c>
      <c r="D4396" s="18" t="s">
        <v>3054</v>
      </c>
      <c r="E4396" s="18" t="s">
        <v>5128</v>
      </c>
      <c r="F4396" s="2" t="s">
        <v>7987</v>
      </c>
      <c r="G4396" s="2" t="s">
        <v>1573</v>
      </c>
      <c r="H4396" s="14">
        <v>1</v>
      </c>
      <c r="I4396" s="2" t="s">
        <v>267</v>
      </c>
      <c r="J4396" s="2" t="s">
        <v>5144</v>
      </c>
      <c r="K4396" s="2" t="s">
        <v>1452</v>
      </c>
      <c r="L4396" s="2" t="s">
        <v>5221</v>
      </c>
      <c r="M4396" s="2" t="s">
        <v>5721</v>
      </c>
      <c r="N4396" s="2" t="s">
        <v>2317</v>
      </c>
      <c r="O4396" s="14">
        <v>5700</v>
      </c>
      <c r="P4396" s="14">
        <v>98.04</v>
      </c>
      <c r="Q4396" s="14">
        <v>111.72</v>
      </c>
      <c r="R4396" s="14">
        <v>111.72</v>
      </c>
      <c r="S4396" s="2" t="s">
        <v>2838</v>
      </c>
      <c r="T4396" s="2">
        <v>1.44</v>
      </c>
      <c r="U4396" s="2">
        <v>59.2</v>
      </c>
      <c r="V4396" s="2">
        <v>61</v>
      </c>
      <c r="W4396" s="2" t="s">
        <v>7862</v>
      </c>
      <c r="X4396" s="2" t="s">
        <v>471</v>
      </c>
      <c r="Y4396" s="2">
        <v>5700</v>
      </c>
      <c r="Z4396" s="19" t="str">
        <f>HYPERLINK("https://ssdweb.co/ssdweb/hd/Vision360.html?d=941160597&amp;zoomslide=1&amp;z=1941160597&amp;ISCONFIRM=0","VIDEO")</f>
        <v>VIDEO</v>
      </c>
      <c r="AA4396" s="19" t="str">
        <f>HYPERLINK("https://ssdweb.co/ssdweb/CERTH/678564571.pdf","CERTI")</f>
        <v>CERTI</v>
      </c>
    </row>
    <row r="4397" spans="1:27" ht="15" x14ac:dyDescent="0.25">
      <c r="A4397" s="2">
        <v>4392</v>
      </c>
      <c r="B4397" s="39">
        <v>926270115</v>
      </c>
      <c r="C4397" s="28" t="str">
        <f>HYPERLINK("https://pld.live/RapDetail.aspx?STONELIST=926270115","DNA")</f>
        <v>DNA</v>
      </c>
      <c r="D4397" s="18" t="s">
        <v>3054</v>
      </c>
      <c r="E4397" s="18" t="s">
        <v>5128</v>
      </c>
      <c r="F4397" s="2" t="s">
        <v>7987</v>
      </c>
      <c r="G4397" s="2" t="s">
        <v>1573</v>
      </c>
      <c r="H4397" s="14">
        <v>1</v>
      </c>
      <c r="I4397" s="2" t="s">
        <v>4761</v>
      </c>
      <c r="J4397" s="2" t="s">
        <v>3942</v>
      </c>
      <c r="K4397" s="2" t="s">
        <v>1452</v>
      </c>
      <c r="L4397" s="2" t="s">
        <v>5221</v>
      </c>
      <c r="M4397" s="2" t="s">
        <v>5221</v>
      </c>
      <c r="N4397" s="2" t="s">
        <v>2317</v>
      </c>
      <c r="O4397" s="14">
        <v>6900</v>
      </c>
      <c r="P4397" s="14">
        <v>98.33</v>
      </c>
      <c r="Q4397" s="14">
        <v>115.23</v>
      </c>
      <c r="R4397" s="14">
        <v>115.23</v>
      </c>
      <c r="S4397" s="2" t="s">
        <v>1933</v>
      </c>
      <c r="T4397" s="2">
        <v>1.36</v>
      </c>
      <c r="U4397" s="2">
        <v>63.4</v>
      </c>
      <c r="V4397" s="2">
        <v>61</v>
      </c>
      <c r="W4397" s="2" t="s">
        <v>7862</v>
      </c>
      <c r="X4397" s="2" t="s">
        <v>471</v>
      </c>
      <c r="Y4397" s="2">
        <v>6900</v>
      </c>
      <c r="Z4397" s="19" t="str">
        <f>HYPERLINK("https://ssdweb.co/ssdweb/hd/Vision360.html?d=926270115&amp;zoomslide=1&amp;z=1926270115&amp;ISCONFIRM=0","VIDEO")</f>
        <v>VIDEO</v>
      </c>
      <c r="AA4397" s="19" t="str">
        <f>HYPERLINK("https://ssdweb.co/ssdweb/CERTH/638463364.pdf","CERTI")</f>
        <v>CERTI</v>
      </c>
    </row>
    <row r="4398" spans="1:27" ht="15" x14ac:dyDescent="0.25">
      <c r="A4398" s="2">
        <v>4393</v>
      </c>
      <c r="B4398" s="39">
        <v>927132642</v>
      </c>
      <c r="C4398" s="28" t="str">
        <f>HYPERLINK("https://pld.live/RapDetail.aspx?STONELIST=927132642","DNA")</f>
        <v>DNA</v>
      </c>
      <c r="D4398" s="18" t="s">
        <v>3054</v>
      </c>
      <c r="E4398" s="18" t="s">
        <v>5128</v>
      </c>
      <c r="F4398" s="2" t="s">
        <v>7987</v>
      </c>
      <c r="G4398" s="2" t="s">
        <v>1573</v>
      </c>
      <c r="H4398" s="14">
        <v>1</v>
      </c>
      <c r="I4398" s="2" t="s">
        <v>4761</v>
      </c>
      <c r="J4398" s="2" t="s">
        <v>3942</v>
      </c>
      <c r="K4398" s="2" t="s">
        <v>1452</v>
      </c>
      <c r="L4398" s="2" t="s">
        <v>5221</v>
      </c>
      <c r="M4398" s="2" t="s">
        <v>5721</v>
      </c>
      <c r="N4398" s="2" t="s">
        <v>2317</v>
      </c>
      <c r="O4398" s="14">
        <v>6900</v>
      </c>
      <c r="P4398" s="14">
        <v>98.33</v>
      </c>
      <c r="Q4398" s="14">
        <v>115.23</v>
      </c>
      <c r="R4398" s="14">
        <v>115.23</v>
      </c>
      <c r="S4398" s="2" t="s">
        <v>2007</v>
      </c>
      <c r="T4398" s="2">
        <v>1.37</v>
      </c>
      <c r="U4398" s="2">
        <v>62.1</v>
      </c>
      <c r="V4398" s="2">
        <v>59</v>
      </c>
      <c r="W4398" s="2" t="s">
        <v>7862</v>
      </c>
      <c r="X4398" s="2" t="s">
        <v>471</v>
      </c>
      <c r="Y4398" s="2">
        <v>6900</v>
      </c>
      <c r="Z4398" s="19" t="str">
        <f>HYPERLINK("https://ssdweb.co/ssdweb/hd/Vision360.html?d=927132642&amp;zoomslide=1&amp;z=1927132642&amp;ISCONFIRM=0","VIDEO")</f>
        <v>VIDEO</v>
      </c>
      <c r="AA4398" s="19" t="str">
        <f>HYPERLINK("https://ssdweb.co/ssdweb/CERTH/678564559.pdf","CERTI")</f>
        <v>CERTI</v>
      </c>
    </row>
    <row r="4399" spans="1:27" ht="15" x14ac:dyDescent="0.25">
      <c r="A4399" s="2">
        <v>4394</v>
      </c>
      <c r="B4399" s="39">
        <v>924290410</v>
      </c>
      <c r="C4399" s="28" t="str">
        <f>HYPERLINK("https://pld.live/RapDetail.aspx?STONELIST=924290410","DNA")</f>
        <v>DNA</v>
      </c>
      <c r="D4399" s="18" t="s">
        <v>3054</v>
      </c>
      <c r="E4399" s="18" t="s">
        <v>2186</v>
      </c>
      <c r="F4399" s="2" t="s">
        <v>5597</v>
      </c>
      <c r="G4399" s="2" t="s">
        <v>1573</v>
      </c>
      <c r="H4399" s="14">
        <v>1</v>
      </c>
      <c r="I4399" s="2" t="s">
        <v>4761</v>
      </c>
      <c r="J4399" s="2" t="s">
        <v>13</v>
      </c>
      <c r="K4399" s="2" t="s">
        <v>1452</v>
      </c>
      <c r="L4399" s="2" t="s">
        <v>5221</v>
      </c>
      <c r="M4399" s="2" t="s">
        <v>5221</v>
      </c>
      <c r="N4399" s="2" t="s">
        <v>2317</v>
      </c>
      <c r="O4399" s="14">
        <v>6200</v>
      </c>
      <c r="P4399" s="14">
        <v>96.61</v>
      </c>
      <c r="Q4399" s="14">
        <v>210.18</v>
      </c>
      <c r="R4399" s="14">
        <v>210.18</v>
      </c>
      <c r="S4399" s="2" t="s">
        <v>7921</v>
      </c>
      <c r="T4399" s="2">
        <v>1.54</v>
      </c>
      <c r="U4399" s="2">
        <v>60.7</v>
      </c>
      <c r="V4399" s="2">
        <v>60</v>
      </c>
      <c r="W4399" s="2" t="s">
        <v>7862</v>
      </c>
      <c r="X4399" s="2" t="s">
        <v>471</v>
      </c>
      <c r="Y4399" s="2">
        <v>6200</v>
      </c>
      <c r="Z4399" s="19" t="str">
        <f>HYPERLINK("https://ssdweb.co/ssdweb/hd/Vision360.html?d=924290410&amp;zoomslide=1&amp;z=1924290410&amp;ISCONFIRM=0","VIDEO")</f>
        <v>VIDEO</v>
      </c>
      <c r="AA4399" s="19" t="str">
        <f>HYPERLINK("https://ssdweb.co/ssdweb/CERTH/7476114258.pdf","CERTI")</f>
        <v>CERTI</v>
      </c>
    </row>
    <row r="4400" spans="1:27" ht="15" x14ac:dyDescent="0.25">
      <c r="A4400" s="2">
        <v>4395</v>
      </c>
      <c r="B4400" s="39">
        <v>927092212</v>
      </c>
      <c r="C4400" s="28" t="str">
        <f>HYPERLINK("https://pld.live/RapDetail.aspx?STONELIST=927092212","DNA")</f>
        <v>DNA</v>
      </c>
      <c r="D4400" s="18" t="s">
        <v>3054</v>
      </c>
      <c r="E4400" s="18" t="s">
        <v>5128</v>
      </c>
      <c r="F4400" s="2" t="s">
        <v>7987</v>
      </c>
      <c r="G4400" s="2" t="s">
        <v>1573</v>
      </c>
      <c r="H4400" s="14">
        <v>1</v>
      </c>
      <c r="I4400" s="2" t="s">
        <v>4761</v>
      </c>
      <c r="J4400" s="2" t="s">
        <v>13</v>
      </c>
      <c r="K4400" s="2" t="s">
        <v>1452</v>
      </c>
      <c r="L4400" s="2" t="s">
        <v>5721</v>
      </c>
      <c r="M4400" s="2" t="s">
        <v>5721</v>
      </c>
      <c r="N4400" s="2" t="s">
        <v>2317</v>
      </c>
      <c r="O4400" s="14">
        <v>6200</v>
      </c>
      <c r="P4400" s="14">
        <v>98.23</v>
      </c>
      <c r="Q4400" s="14">
        <v>109.74</v>
      </c>
      <c r="R4400" s="14">
        <v>109.74</v>
      </c>
      <c r="S4400" s="2" t="s">
        <v>6777</v>
      </c>
      <c r="T4400" s="2">
        <v>1.38</v>
      </c>
      <c r="U4400" s="2">
        <v>60.8</v>
      </c>
      <c r="V4400" s="2">
        <v>60</v>
      </c>
      <c r="W4400" s="2" t="s">
        <v>7862</v>
      </c>
      <c r="X4400" s="2" t="s">
        <v>471</v>
      </c>
      <c r="Y4400" s="2">
        <v>6200</v>
      </c>
      <c r="Z4400" s="19" t="str">
        <f>HYPERLINK("https://ssdweb.co/ssdweb/hd/Vision360.html?d=927092212&amp;zoomslide=1&amp;z=1927092212&amp;ISCONFIRM=0","VIDEO")</f>
        <v>VIDEO</v>
      </c>
      <c r="AA4400" s="19" t="str">
        <f>HYPERLINK("https://ssdweb.co/ssdweb/CERTH/662473877.pdf","CERTI")</f>
        <v>CERTI</v>
      </c>
    </row>
    <row r="4401" spans="1:27" ht="15" x14ac:dyDescent="0.25">
      <c r="A4401" s="2">
        <v>4396</v>
      </c>
      <c r="B4401" s="39">
        <v>941071294</v>
      </c>
      <c r="C4401" s="28" t="str">
        <f>HYPERLINK("https://pld.live/RapDetail.aspx?STONELIST=941071294","DNA")</f>
        <v>DNA</v>
      </c>
      <c r="D4401" s="18" t="s">
        <v>3054</v>
      </c>
      <c r="E4401" s="18" t="s">
        <v>5128</v>
      </c>
      <c r="F4401" s="2" t="s">
        <v>7987</v>
      </c>
      <c r="G4401" s="2" t="s">
        <v>1573</v>
      </c>
      <c r="H4401" s="14">
        <v>1</v>
      </c>
      <c r="I4401" s="2" t="s">
        <v>4761</v>
      </c>
      <c r="J4401" s="2" t="s">
        <v>5144</v>
      </c>
      <c r="K4401" s="2" t="s">
        <v>1452</v>
      </c>
      <c r="L4401" s="2" t="s">
        <v>5221</v>
      </c>
      <c r="M4401" s="2" t="s">
        <v>5221</v>
      </c>
      <c r="N4401" s="2" t="s">
        <v>2317</v>
      </c>
      <c r="O4401" s="14">
        <v>5400</v>
      </c>
      <c r="P4401" s="14">
        <v>97.94</v>
      </c>
      <c r="Q4401" s="14">
        <v>111.24</v>
      </c>
      <c r="R4401" s="14">
        <v>111.24</v>
      </c>
      <c r="S4401" s="2" t="s">
        <v>4186</v>
      </c>
      <c r="T4401" s="2">
        <v>1.37</v>
      </c>
      <c r="U4401" s="2">
        <v>63.1</v>
      </c>
      <c r="V4401" s="2">
        <v>57</v>
      </c>
      <c r="W4401" s="2" t="s">
        <v>7862</v>
      </c>
      <c r="X4401" s="2" t="s">
        <v>471</v>
      </c>
      <c r="Y4401" s="2">
        <v>5400</v>
      </c>
      <c r="Z4401" s="19" t="str">
        <f>HYPERLINK("https://ssdweb.co/ssdweb/hd/Vision360.html?d=941071294&amp;zoomslide=1&amp;z=1941071294&amp;ISCONFIRM=0","VIDEO")</f>
        <v>VIDEO</v>
      </c>
      <c r="AA4401" s="19" t="str">
        <f>HYPERLINK("https://ssdweb.co/ssdweb/CERTH/675504672.pdf","CERTI")</f>
        <v>CERTI</v>
      </c>
    </row>
    <row r="4402" spans="1:27" ht="15" x14ac:dyDescent="0.25">
      <c r="A4402" s="2">
        <v>4397</v>
      </c>
      <c r="B4402" s="39">
        <v>821125563</v>
      </c>
      <c r="C4402" s="28" t="str">
        <f>HYPERLINK("https://pld.live/RapDetail.aspx?STONELIST=821125563","DNA")</f>
        <v>DNA</v>
      </c>
      <c r="D4402" s="18" t="s">
        <v>4121</v>
      </c>
      <c r="E4402" s="18" t="s">
        <v>5128</v>
      </c>
      <c r="F4402" s="2" t="s">
        <v>7987</v>
      </c>
      <c r="G4402" s="2" t="s">
        <v>1573</v>
      </c>
      <c r="H4402" s="14">
        <v>0.98</v>
      </c>
      <c r="I4402" s="2" t="s">
        <v>267</v>
      </c>
      <c r="J4402" s="2" t="s">
        <v>3942</v>
      </c>
      <c r="K4402" s="2" t="s">
        <v>1452</v>
      </c>
      <c r="L4402" s="2" t="s">
        <v>5221</v>
      </c>
      <c r="M4402" s="2" t="s">
        <v>5221</v>
      </c>
      <c r="N4402" s="2" t="s">
        <v>2317</v>
      </c>
      <c r="O4402" s="14">
        <v>5600</v>
      </c>
      <c r="P4402" s="14">
        <v>97.86</v>
      </c>
      <c r="Q4402" s="14">
        <v>119.84</v>
      </c>
      <c r="R4402" s="14">
        <v>117.44</v>
      </c>
      <c r="S4402" s="2" t="s">
        <v>936</v>
      </c>
      <c r="T4402" s="2">
        <v>1.38</v>
      </c>
      <c r="U4402" s="2">
        <v>62.2</v>
      </c>
      <c r="V4402" s="2">
        <v>58</v>
      </c>
      <c r="W4402" s="2" t="s">
        <v>7862</v>
      </c>
      <c r="X4402" s="2" t="s">
        <v>471</v>
      </c>
      <c r="Y4402" s="2">
        <v>5488</v>
      </c>
      <c r="Z4402" s="19" t="str">
        <f>HYPERLINK("https://ssdweb.co/ssdweb/hd/Vision360.html?d=821125563&amp;zoomslide=1&amp;z=1821125563&amp;ISCONFIRM=0","VIDEO")</f>
        <v>VIDEO</v>
      </c>
      <c r="AA4402" s="19" t="str">
        <f>HYPERLINK("https://ssdweb.co/ssdweb/CERTH/616497805.pdf","CERTI")</f>
        <v>CERTI</v>
      </c>
    </row>
    <row r="4403" spans="1:27" ht="15" x14ac:dyDescent="0.25">
      <c r="A4403" s="2">
        <v>4398</v>
      </c>
      <c r="B4403" s="39">
        <v>925621913</v>
      </c>
      <c r="C4403" s="28" t="str">
        <f>HYPERLINK("https://pld.live/RapDetail.aspx?STONELIST=925621913","DNA")</f>
        <v>DNA</v>
      </c>
      <c r="D4403" s="18" t="s">
        <v>4121</v>
      </c>
      <c r="E4403" s="18" t="s">
        <v>5128</v>
      </c>
      <c r="F4403" s="2" t="s">
        <v>7987</v>
      </c>
      <c r="G4403" s="2" t="s">
        <v>1573</v>
      </c>
      <c r="H4403" s="14">
        <v>0.98</v>
      </c>
      <c r="I4403" s="2" t="s">
        <v>267</v>
      </c>
      <c r="J4403" s="2" t="s">
        <v>3942</v>
      </c>
      <c r="K4403" s="2" t="s">
        <v>1452</v>
      </c>
      <c r="L4403" s="2" t="s">
        <v>5221</v>
      </c>
      <c r="M4403" s="2" t="s">
        <v>5221</v>
      </c>
      <c r="N4403" s="2" t="s">
        <v>2317</v>
      </c>
      <c r="O4403" s="14">
        <v>5600</v>
      </c>
      <c r="P4403" s="14">
        <v>97.86</v>
      </c>
      <c r="Q4403" s="14">
        <v>119.84</v>
      </c>
      <c r="R4403" s="14">
        <v>117.44</v>
      </c>
      <c r="S4403" s="2" t="s">
        <v>6715</v>
      </c>
      <c r="T4403" s="2">
        <v>1.38</v>
      </c>
      <c r="U4403" s="2">
        <v>61.9</v>
      </c>
      <c r="V4403" s="2">
        <v>60</v>
      </c>
      <c r="W4403" s="2" t="s">
        <v>7862</v>
      </c>
      <c r="X4403" s="2" t="s">
        <v>471</v>
      </c>
      <c r="Y4403" s="2">
        <v>5488</v>
      </c>
      <c r="Z4403" s="19" t="str">
        <f>HYPERLINK("https://ssdweb.co/ssdweb/hd/Vision360.html?d=925621913&amp;zoomslide=1&amp;z=1925621913&amp;ISCONFIRM=0","VIDEO")</f>
        <v>VIDEO</v>
      </c>
      <c r="AA4403" s="19" t="str">
        <f>HYPERLINK("https://ssdweb.co/ssdweb/CERTH/623446004.pdf","CERTI")</f>
        <v>CERTI</v>
      </c>
    </row>
    <row r="4404" spans="1:27" ht="15" x14ac:dyDescent="0.25">
      <c r="A4404" s="2">
        <v>4399</v>
      </c>
      <c r="B4404" s="39">
        <v>821113151</v>
      </c>
      <c r="C4404" s="28" t="str">
        <f>HYPERLINK("https://pld.live/RapDetail.aspx?STONELIST=821113151","DNA")</f>
        <v>DNA</v>
      </c>
      <c r="D4404" s="18" t="s">
        <v>4121</v>
      </c>
      <c r="E4404" s="18" t="s">
        <v>2186</v>
      </c>
      <c r="F4404" s="2" t="s">
        <v>7987</v>
      </c>
      <c r="G4404" s="2" t="s">
        <v>1573</v>
      </c>
      <c r="H4404" s="14">
        <v>0.98</v>
      </c>
      <c r="I4404" s="2" t="s">
        <v>4699</v>
      </c>
      <c r="J4404" s="2" t="s">
        <v>5144</v>
      </c>
      <c r="K4404" s="2" t="s">
        <v>1452</v>
      </c>
      <c r="L4404" s="2" t="s">
        <v>5221</v>
      </c>
      <c r="M4404" s="2" t="s">
        <v>5221</v>
      </c>
      <c r="N4404" s="2" t="s">
        <v>2317</v>
      </c>
      <c r="O4404" s="14">
        <v>4000</v>
      </c>
      <c r="P4404" s="14">
        <v>97.28</v>
      </c>
      <c r="Q4404" s="14">
        <v>108.8</v>
      </c>
      <c r="R4404" s="14">
        <v>106.62</v>
      </c>
      <c r="S4404" s="2" t="s">
        <v>1733</v>
      </c>
      <c r="T4404" s="2">
        <v>1.39</v>
      </c>
      <c r="U4404" s="2">
        <v>61</v>
      </c>
      <c r="V4404" s="2">
        <v>61</v>
      </c>
      <c r="W4404" s="2" t="s">
        <v>7862</v>
      </c>
      <c r="X4404" s="2" t="s">
        <v>471</v>
      </c>
      <c r="Y4404" s="2">
        <v>3920</v>
      </c>
      <c r="Z4404" s="19" t="str">
        <f>HYPERLINK("https://ssdweb.co/ssdweb/hd/Vision360.html?d=821113151&amp;zoomslide=1&amp;z=1821113151&amp;ISCONFIRM=0","VIDEO")</f>
        <v>VIDEO</v>
      </c>
      <c r="AA4404" s="19" t="str">
        <f>HYPERLINK("https://ssdweb.co/ssdweb/CERTH/622460548.pdf","CERTI")</f>
        <v>CERTI</v>
      </c>
    </row>
    <row r="4405" spans="1:27" ht="15" x14ac:dyDescent="0.25">
      <c r="A4405" s="2">
        <v>4400</v>
      </c>
      <c r="B4405" s="39">
        <v>821125534</v>
      </c>
      <c r="C4405" s="28" t="str">
        <f>HYPERLINK("https://pld.live/RapDetail.aspx?STONELIST=821125534","DNA")</f>
        <v>DNA</v>
      </c>
      <c r="D4405" s="18" t="s">
        <v>4121</v>
      </c>
      <c r="E4405" s="18" t="s">
        <v>5128</v>
      </c>
      <c r="F4405" s="2" t="s">
        <v>7987</v>
      </c>
      <c r="G4405" s="2" t="s">
        <v>1573</v>
      </c>
      <c r="H4405" s="14">
        <v>0.97</v>
      </c>
      <c r="I4405" s="2" t="s">
        <v>267</v>
      </c>
      <c r="J4405" s="2" t="s">
        <v>3942</v>
      </c>
      <c r="K4405" s="2" t="s">
        <v>1452</v>
      </c>
      <c r="L4405" s="2" t="s">
        <v>5221</v>
      </c>
      <c r="M4405" s="2" t="s">
        <v>5221</v>
      </c>
      <c r="N4405" s="2" t="s">
        <v>2317</v>
      </c>
      <c r="O4405" s="14">
        <v>5600</v>
      </c>
      <c r="P4405" s="14">
        <v>97.86</v>
      </c>
      <c r="Q4405" s="14">
        <v>119.84</v>
      </c>
      <c r="R4405" s="14">
        <v>116.24</v>
      </c>
      <c r="S4405" s="2" t="s">
        <v>5930</v>
      </c>
      <c r="T4405" s="2">
        <v>1.38</v>
      </c>
      <c r="U4405" s="2">
        <v>59</v>
      </c>
      <c r="V4405" s="2">
        <v>62</v>
      </c>
      <c r="W4405" s="2" t="s">
        <v>7862</v>
      </c>
      <c r="X4405" s="2" t="s">
        <v>471</v>
      </c>
      <c r="Y4405" s="2">
        <v>5432</v>
      </c>
      <c r="Z4405" s="19" t="str">
        <f>HYPERLINK("https://ssdweb.co/ssdweb/hd/Vision360.html?d=821125534&amp;zoomslide=1&amp;z=1821125534&amp;ISCONFIRM=0","VIDEO")</f>
        <v>VIDEO</v>
      </c>
      <c r="AA4405" s="19" t="str">
        <f>HYPERLINK("https://ssdweb.co/ssdweb/CERTH/617459103.pdf","CERTI")</f>
        <v>CERTI</v>
      </c>
    </row>
    <row r="4406" spans="1:27" ht="15" x14ac:dyDescent="0.25">
      <c r="A4406" s="2">
        <v>4401</v>
      </c>
      <c r="B4406" s="39">
        <v>821114108</v>
      </c>
      <c r="C4406" s="28" t="str">
        <f>HYPERLINK("https://pld.live/RapDetail.aspx?STONELIST=821114108","DNA")</f>
        <v>DNA</v>
      </c>
      <c r="D4406" s="18" t="s">
        <v>4121</v>
      </c>
      <c r="E4406" s="18" t="s">
        <v>2186</v>
      </c>
      <c r="F4406" s="2" t="s">
        <v>7987</v>
      </c>
      <c r="G4406" s="2" t="s">
        <v>1573</v>
      </c>
      <c r="H4406" s="14">
        <v>0.97</v>
      </c>
      <c r="I4406" s="2" t="s">
        <v>267</v>
      </c>
      <c r="J4406" s="2" t="s">
        <v>3942</v>
      </c>
      <c r="K4406" s="2" t="s">
        <v>1452</v>
      </c>
      <c r="L4406" s="2" t="s">
        <v>5221</v>
      </c>
      <c r="M4406" s="2" t="s">
        <v>5221</v>
      </c>
      <c r="N4406" s="2" t="s">
        <v>2317</v>
      </c>
      <c r="O4406" s="14">
        <v>5600</v>
      </c>
      <c r="P4406" s="14">
        <v>97.86</v>
      </c>
      <c r="Q4406" s="14">
        <v>119.84</v>
      </c>
      <c r="R4406" s="14">
        <v>116.24</v>
      </c>
      <c r="S4406" s="2" t="s">
        <v>7262</v>
      </c>
      <c r="T4406" s="2">
        <v>1.44</v>
      </c>
      <c r="U4406" s="2">
        <v>65.3</v>
      </c>
      <c r="V4406" s="2">
        <v>60</v>
      </c>
      <c r="W4406" s="2" t="s">
        <v>7862</v>
      </c>
      <c r="X4406" s="2" t="s">
        <v>471</v>
      </c>
      <c r="Y4406" s="2">
        <v>5432</v>
      </c>
      <c r="Z4406" s="19" t="str">
        <f>HYPERLINK("https://ssdweb.co/ssdweb/hd/Vision360.html?d=821114108&amp;zoomslide=1&amp;z=1821114108&amp;ISCONFIRM=0","VIDEO")</f>
        <v>VIDEO</v>
      </c>
      <c r="AA4406" s="19" t="str">
        <f>HYPERLINK("https://ssdweb.co/ssdweb/CERTH/623467713.pdf","CERTI")</f>
        <v>CERTI</v>
      </c>
    </row>
    <row r="4407" spans="1:27" ht="15" x14ac:dyDescent="0.25">
      <c r="A4407" s="2">
        <v>4402</v>
      </c>
      <c r="B4407" s="39">
        <v>925190157</v>
      </c>
      <c r="C4407" s="28" t="str">
        <f>HYPERLINK("https://pld.live/RapDetail.aspx?STONELIST=925190157","DNA")</f>
        <v>DNA</v>
      </c>
      <c r="D4407" s="18" t="s">
        <v>4121</v>
      </c>
      <c r="E4407" s="18" t="s">
        <v>5128</v>
      </c>
      <c r="F4407" s="2" t="s">
        <v>7987</v>
      </c>
      <c r="G4407" s="2" t="s">
        <v>1573</v>
      </c>
      <c r="H4407" s="14">
        <v>0.97</v>
      </c>
      <c r="I4407" s="2" t="s">
        <v>267</v>
      </c>
      <c r="J4407" s="2" t="s">
        <v>3942</v>
      </c>
      <c r="K4407" s="2" t="s">
        <v>1452</v>
      </c>
      <c r="L4407" s="2" t="s">
        <v>5221</v>
      </c>
      <c r="M4407" s="2" t="s">
        <v>5221</v>
      </c>
      <c r="N4407" s="2" t="s">
        <v>2317</v>
      </c>
      <c r="O4407" s="14">
        <v>5600</v>
      </c>
      <c r="P4407" s="14">
        <v>97.86</v>
      </c>
      <c r="Q4407" s="14">
        <v>119.84</v>
      </c>
      <c r="R4407" s="14">
        <v>116.24</v>
      </c>
      <c r="S4407" s="2" t="s">
        <v>8039</v>
      </c>
      <c r="T4407" s="2">
        <v>1.44</v>
      </c>
      <c r="U4407" s="2">
        <v>58.6</v>
      </c>
      <c r="V4407" s="2">
        <v>59</v>
      </c>
      <c r="W4407" s="2" t="s">
        <v>7862</v>
      </c>
      <c r="X4407" s="2" t="s">
        <v>471</v>
      </c>
      <c r="Y4407" s="2">
        <v>5432</v>
      </c>
      <c r="Z4407" s="19" t="str">
        <f>HYPERLINK("https://ssdweb.co/ssdweb/hd/Vision360.html?d=925190157&amp;zoomslide=1&amp;z=1925190157&amp;ISCONFIRM=0","VIDEO")</f>
        <v>VIDEO</v>
      </c>
      <c r="AA4407" s="19" t="str">
        <f>HYPERLINK("https://ssdweb.co/ssdweb/CERTH/617485759.pdf","CERTI")</f>
        <v>CERTI</v>
      </c>
    </row>
    <row r="4408" spans="1:27" ht="15" x14ac:dyDescent="0.25">
      <c r="A4408" s="2">
        <v>4403</v>
      </c>
      <c r="B4408" s="39">
        <v>821125438</v>
      </c>
      <c r="C4408" s="28" t="str">
        <f>HYPERLINK("https://pld.live/RapDetail.aspx?STONELIST=821125438","DNA")</f>
        <v>DNA</v>
      </c>
      <c r="D4408" s="18" t="s">
        <v>4121</v>
      </c>
      <c r="E4408" s="18" t="s">
        <v>5128</v>
      </c>
      <c r="F4408" s="2" t="s">
        <v>7987</v>
      </c>
      <c r="G4408" s="2" t="s">
        <v>1573</v>
      </c>
      <c r="H4408" s="14">
        <v>0.97</v>
      </c>
      <c r="I4408" s="2" t="s">
        <v>267</v>
      </c>
      <c r="J4408" s="2" t="s">
        <v>13</v>
      </c>
      <c r="K4408" s="2" t="s">
        <v>1452</v>
      </c>
      <c r="L4408" s="2" t="s">
        <v>5221</v>
      </c>
      <c r="M4408" s="2" t="s">
        <v>5221</v>
      </c>
      <c r="N4408" s="2" t="s">
        <v>2317</v>
      </c>
      <c r="O4408" s="14">
        <v>5200</v>
      </c>
      <c r="P4408" s="14">
        <v>97.73</v>
      </c>
      <c r="Q4408" s="14">
        <v>118.04</v>
      </c>
      <c r="R4408" s="14">
        <v>114.5</v>
      </c>
      <c r="S4408" s="2" t="s">
        <v>8120</v>
      </c>
      <c r="T4408" s="2">
        <v>1.41</v>
      </c>
      <c r="U4408" s="2">
        <v>60.3</v>
      </c>
      <c r="V4408" s="2">
        <v>59</v>
      </c>
      <c r="W4408" s="2" t="s">
        <v>7862</v>
      </c>
      <c r="X4408" s="2" t="s">
        <v>471</v>
      </c>
      <c r="Y4408" s="2">
        <v>5044</v>
      </c>
      <c r="Z4408" s="19" t="str">
        <f>HYPERLINK("https://ssdweb.co/ssdweb/hd/Vision360.html?d=821125438&amp;zoomslide=1&amp;z=1821125438&amp;ISCONFIRM=0","VIDEO")</f>
        <v>VIDEO</v>
      </c>
      <c r="AA4408" s="19" t="str">
        <f>HYPERLINK("https://ssdweb.co/ssdweb/CERTH/615351747.pdf","CERTI")</f>
        <v>CERTI</v>
      </c>
    </row>
    <row r="4409" spans="1:27" ht="15" x14ac:dyDescent="0.25">
      <c r="A4409" s="2">
        <v>4404</v>
      </c>
      <c r="B4409" s="39">
        <v>926250449</v>
      </c>
      <c r="C4409" s="28" t="str">
        <f>HYPERLINK("https://pld.live/RapDetail.aspx?STONELIST=926250449","DNA")</f>
        <v>DNA</v>
      </c>
      <c r="D4409" s="18" t="s">
        <v>4121</v>
      </c>
      <c r="E4409" s="18" t="s">
        <v>5128</v>
      </c>
      <c r="F4409" s="2" t="s">
        <v>7987</v>
      </c>
      <c r="G4409" s="2" t="s">
        <v>1573</v>
      </c>
      <c r="H4409" s="14">
        <v>0.97</v>
      </c>
      <c r="I4409" s="2" t="s">
        <v>4761</v>
      </c>
      <c r="J4409" s="2" t="s">
        <v>3942</v>
      </c>
      <c r="K4409" s="2" t="s">
        <v>1452</v>
      </c>
      <c r="L4409" s="2" t="s">
        <v>5221</v>
      </c>
      <c r="M4409" s="2" t="s">
        <v>5221</v>
      </c>
      <c r="N4409" s="2" t="s">
        <v>2317</v>
      </c>
      <c r="O4409" s="14">
        <v>5200</v>
      </c>
      <c r="P4409" s="14">
        <v>97.67</v>
      </c>
      <c r="Q4409" s="14">
        <v>121.16</v>
      </c>
      <c r="R4409" s="14">
        <v>117.53</v>
      </c>
      <c r="S4409" s="2" t="s">
        <v>5225</v>
      </c>
      <c r="T4409" s="2">
        <v>1.38</v>
      </c>
      <c r="U4409" s="2">
        <v>61.3</v>
      </c>
      <c r="V4409" s="2">
        <v>58</v>
      </c>
      <c r="W4409" s="2" t="s">
        <v>7862</v>
      </c>
      <c r="X4409" s="2" t="s">
        <v>471</v>
      </c>
      <c r="Y4409" s="2">
        <v>5044</v>
      </c>
      <c r="Z4409" s="19" t="str">
        <f>HYPERLINK("https://ssdweb.co/ssdweb/hd/Vision360.html?d=926250449&amp;zoomslide=1&amp;z=1926250449&amp;ISCONFIRM=0","VIDEO")</f>
        <v>VIDEO</v>
      </c>
      <c r="AA4409" s="19" t="str">
        <f>HYPERLINK("https://ssdweb.co/ssdweb/CERTH/638462956.pdf","CERTI")</f>
        <v>CERTI</v>
      </c>
    </row>
    <row r="4410" spans="1:27" ht="15" x14ac:dyDescent="0.25">
      <c r="A4410" s="2">
        <v>4405</v>
      </c>
      <c r="B4410" s="39">
        <v>927092464</v>
      </c>
      <c r="C4410" s="28" t="str">
        <f>HYPERLINK("https://pld.live/RapDetail.aspx?STONELIST=927092464","DNA")</f>
        <v>DNA</v>
      </c>
      <c r="D4410" s="18" t="s">
        <v>4121</v>
      </c>
      <c r="E4410" s="18" t="s">
        <v>5128</v>
      </c>
      <c r="F4410" s="2" t="s">
        <v>7987</v>
      </c>
      <c r="G4410" s="2" t="s">
        <v>1573</v>
      </c>
      <c r="H4410" s="14">
        <v>0.97</v>
      </c>
      <c r="I4410" s="2" t="s">
        <v>4761</v>
      </c>
      <c r="J4410" s="2" t="s">
        <v>3942</v>
      </c>
      <c r="K4410" s="2" t="s">
        <v>1452</v>
      </c>
      <c r="L4410" s="2" t="s">
        <v>5221</v>
      </c>
      <c r="M4410" s="2" t="s">
        <v>5221</v>
      </c>
      <c r="N4410" s="2" t="s">
        <v>2317</v>
      </c>
      <c r="O4410" s="14">
        <v>5200</v>
      </c>
      <c r="P4410" s="14">
        <v>97.63</v>
      </c>
      <c r="Q4410" s="14">
        <v>123.24</v>
      </c>
      <c r="R4410" s="14">
        <v>119.54</v>
      </c>
      <c r="S4410" s="2" t="s">
        <v>483</v>
      </c>
      <c r="T4410" s="2">
        <v>1.36</v>
      </c>
      <c r="U4410" s="2">
        <v>62.3</v>
      </c>
      <c r="V4410" s="2">
        <v>59</v>
      </c>
      <c r="W4410" s="2" t="s">
        <v>7862</v>
      </c>
      <c r="X4410" s="2" t="s">
        <v>471</v>
      </c>
      <c r="Y4410" s="2">
        <v>5044</v>
      </c>
      <c r="Z4410" s="19" t="str">
        <f>HYPERLINK("https://ssdweb.co/ssdweb/hd/Vision360.html?d=927092464&amp;zoomslide=1&amp;z=1927092464&amp;ISCONFIRM=0","VIDEO")</f>
        <v>VIDEO</v>
      </c>
      <c r="AA4410" s="19" t="str">
        <f>HYPERLINK("https://ssdweb.co/ssdweb/CERTH/668477281.pdf","CERTI")</f>
        <v>CERTI</v>
      </c>
    </row>
    <row r="4411" spans="1:27" ht="15" x14ac:dyDescent="0.25">
      <c r="A4411" s="2">
        <v>4406</v>
      </c>
      <c r="B4411" s="39">
        <v>821113744</v>
      </c>
      <c r="C4411" s="28" t="str">
        <f>HYPERLINK("https://pld.live/RapDetail.aspx?STONELIST=821113744","DNA")</f>
        <v>DNA</v>
      </c>
      <c r="D4411" s="18" t="s">
        <v>4121</v>
      </c>
      <c r="E4411" s="18" t="s">
        <v>2186</v>
      </c>
      <c r="F4411" s="2" t="s">
        <v>7987</v>
      </c>
      <c r="G4411" s="2" t="s">
        <v>1573</v>
      </c>
      <c r="H4411" s="14">
        <v>0.97</v>
      </c>
      <c r="I4411" s="2" t="s">
        <v>4761</v>
      </c>
      <c r="J4411" s="2" t="s">
        <v>13</v>
      </c>
      <c r="K4411" s="2" t="s">
        <v>1452</v>
      </c>
      <c r="L4411" s="2" t="s">
        <v>5221</v>
      </c>
      <c r="M4411" s="2" t="s">
        <v>5221</v>
      </c>
      <c r="N4411" s="2" t="s">
        <v>2317</v>
      </c>
      <c r="O4411" s="14">
        <v>4900</v>
      </c>
      <c r="P4411" s="14">
        <v>97.65</v>
      </c>
      <c r="Q4411" s="14">
        <v>115.15</v>
      </c>
      <c r="R4411" s="14">
        <v>111.7</v>
      </c>
      <c r="S4411" s="2" t="s">
        <v>5378</v>
      </c>
      <c r="T4411" s="2">
        <v>1.39</v>
      </c>
      <c r="U4411" s="2">
        <v>62.4</v>
      </c>
      <c r="V4411" s="2">
        <v>57</v>
      </c>
      <c r="W4411" s="2" t="s">
        <v>7862</v>
      </c>
      <c r="X4411" s="2" t="s">
        <v>471</v>
      </c>
      <c r="Y4411" s="2">
        <v>4753</v>
      </c>
      <c r="Z4411" s="19" t="str">
        <f>HYPERLINK("https://ssdweb.co/ssdweb/hd/Vision360.html?d=821113744&amp;zoomslide=1&amp;z=1821113744&amp;ISCONFIRM=0","VIDEO")</f>
        <v>VIDEO</v>
      </c>
      <c r="AA4411" s="19" t="str">
        <f>HYPERLINK("https://ssdweb.co/ssdweb/CERTH/623492136.pdf","CERTI")</f>
        <v>CERTI</v>
      </c>
    </row>
    <row r="4412" spans="1:27" ht="15" x14ac:dyDescent="0.25">
      <c r="A4412" s="2">
        <v>4407</v>
      </c>
      <c r="B4412" s="39">
        <v>821112667</v>
      </c>
      <c r="C4412" s="28" t="str">
        <f>HYPERLINK("https://pld.live/RapDetail.aspx?STONELIST=821112667","DNA")</f>
        <v>DNA</v>
      </c>
      <c r="D4412" s="18" t="s">
        <v>4121</v>
      </c>
      <c r="E4412" s="18" t="s">
        <v>2186</v>
      </c>
      <c r="F4412" s="2" t="s">
        <v>7987</v>
      </c>
      <c r="G4412" s="2" t="s">
        <v>1573</v>
      </c>
      <c r="H4412" s="14">
        <v>0.97</v>
      </c>
      <c r="I4412" s="2" t="s">
        <v>4761</v>
      </c>
      <c r="J4412" s="2" t="s">
        <v>13</v>
      </c>
      <c r="K4412" s="2" t="s">
        <v>1452</v>
      </c>
      <c r="L4412" s="2" t="s">
        <v>5221</v>
      </c>
      <c r="M4412" s="2" t="s">
        <v>5221</v>
      </c>
      <c r="N4412" s="2" t="s">
        <v>2317</v>
      </c>
      <c r="O4412" s="14">
        <v>4900</v>
      </c>
      <c r="P4412" s="14">
        <v>97.65</v>
      </c>
      <c r="Q4412" s="14">
        <v>115.15</v>
      </c>
      <c r="R4412" s="14">
        <v>111.7</v>
      </c>
      <c r="S4412" s="2" t="s">
        <v>4869</v>
      </c>
      <c r="T4412" s="2">
        <v>1.4</v>
      </c>
      <c r="U4412" s="2">
        <v>60.6</v>
      </c>
      <c r="V4412" s="2">
        <v>61</v>
      </c>
      <c r="W4412" s="2" t="s">
        <v>7862</v>
      </c>
      <c r="X4412" s="2" t="s">
        <v>471</v>
      </c>
      <c r="Y4412" s="2">
        <v>4753</v>
      </c>
      <c r="Z4412" s="19" t="str">
        <f>HYPERLINK("https://ssdweb.co/ssdweb/hd/Vision360.html?d=821112667&amp;zoomslide=1&amp;z=1821112667&amp;ISCONFIRM=0","VIDEO")</f>
        <v>VIDEO</v>
      </c>
      <c r="AA4412" s="19" t="str">
        <f>HYPERLINK("https://ssdweb.co/ssdweb/CERTH/619444348.pdf","CERTI")</f>
        <v>CERTI</v>
      </c>
    </row>
    <row r="4413" spans="1:27" ht="15" x14ac:dyDescent="0.25">
      <c r="A4413" s="2">
        <v>4408</v>
      </c>
      <c r="B4413" s="39">
        <v>821113124</v>
      </c>
      <c r="C4413" s="28" t="str">
        <f>HYPERLINK("https://pld.live/RapDetail.aspx?STONELIST=821113124","DNA")</f>
        <v>DNA</v>
      </c>
      <c r="D4413" s="18" t="s">
        <v>4121</v>
      </c>
      <c r="E4413" s="18" t="s">
        <v>2186</v>
      </c>
      <c r="F4413" s="2" t="s">
        <v>7987</v>
      </c>
      <c r="G4413" s="2" t="s">
        <v>1573</v>
      </c>
      <c r="H4413" s="14">
        <v>0.97</v>
      </c>
      <c r="I4413" s="2" t="s">
        <v>4699</v>
      </c>
      <c r="J4413" s="2" t="s">
        <v>13</v>
      </c>
      <c r="K4413" s="2" t="s">
        <v>1452</v>
      </c>
      <c r="L4413" s="2" t="s">
        <v>5221</v>
      </c>
      <c r="M4413" s="2" t="s">
        <v>5221</v>
      </c>
      <c r="N4413" s="2" t="s">
        <v>2317</v>
      </c>
      <c r="O4413" s="14">
        <v>4600</v>
      </c>
      <c r="P4413" s="14">
        <v>97.57</v>
      </c>
      <c r="Q4413" s="14">
        <v>111.78</v>
      </c>
      <c r="R4413" s="14">
        <v>108.43</v>
      </c>
      <c r="S4413" s="2" t="s">
        <v>4170</v>
      </c>
      <c r="T4413" s="2">
        <v>1.39</v>
      </c>
      <c r="U4413" s="2">
        <v>61.1</v>
      </c>
      <c r="V4413" s="2">
        <v>61</v>
      </c>
      <c r="W4413" s="2" t="s">
        <v>7862</v>
      </c>
      <c r="X4413" s="2" t="s">
        <v>471</v>
      </c>
      <c r="Y4413" s="2">
        <v>4462</v>
      </c>
      <c r="Z4413" s="19" t="str">
        <f>HYPERLINK("https://ssdweb.co/ssdweb/hd/Vision360.html?d=821113124&amp;zoomslide=1&amp;z=1821113124&amp;ISCONFIRM=0","VIDEO")</f>
        <v>VIDEO</v>
      </c>
      <c r="AA4413" s="19" t="str">
        <f>HYPERLINK("https://ssdweb.co/ssdweb/CERTH/621414496.pdf","CERTI")</f>
        <v>CERTI</v>
      </c>
    </row>
    <row r="4414" spans="1:27" ht="15" x14ac:dyDescent="0.25">
      <c r="A4414" s="2">
        <v>4409</v>
      </c>
      <c r="B4414" s="39">
        <v>925722118</v>
      </c>
      <c r="C4414" s="28" t="str">
        <f>HYPERLINK("https://pld.live/RapDetail.aspx?STONELIST=925722118","DNA")</f>
        <v>DNA</v>
      </c>
      <c r="D4414" s="18" t="s">
        <v>4121</v>
      </c>
      <c r="E4414" s="18" t="s">
        <v>5128</v>
      </c>
      <c r="F4414" s="2" t="s">
        <v>7987</v>
      </c>
      <c r="G4414" s="2" t="s">
        <v>1573</v>
      </c>
      <c r="H4414" s="14">
        <v>0.96</v>
      </c>
      <c r="I4414" s="2" t="s">
        <v>267</v>
      </c>
      <c r="J4414" s="2" t="s">
        <v>6555</v>
      </c>
      <c r="K4414" s="2" t="s">
        <v>1452</v>
      </c>
      <c r="L4414" s="2" t="s">
        <v>5221</v>
      </c>
      <c r="M4414" s="2" t="s">
        <v>5221</v>
      </c>
      <c r="N4414" s="2" t="s">
        <v>2317</v>
      </c>
      <c r="O4414" s="14">
        <v>6300</v>
      </c>
      <c r="P4414" s="14">
        <v>97.7</v>
      </c>
      <c r="Q4414" s="14">
        <v>144.9</v>
      </c>
      <c r="R4414" s="14">
        <v>139.1</v>
      </c>
      <c r="S4414" s="2" t="s">
        <v>2689</v>
      </c>
      <c r="T4414" s="2">
        <v>1.38</v>
      </c>
      <c r="U4414" s="2">
        <v>60</v>
      </c>
      <c r="V4414" s="2">
        <v>63</v>
      </c>
      <c r="W4414" s="2" t="s">
        <v>7862</v>
      </c>
      <c r="X4414" s="2" t="s">
        <v>471</v>
      </c>
      <c r="Y4414" s="2">
        <v>6048</v>
      </c>
      <c r="Z4414" s="19" t="str">
        <f>HYPERLINK("https://ssdweb.co/ssdweb/hd/Vision360.html?d=925722118&amp;zoomslide=1&amp;z=1925722118&amp;ISCONFIRM=0","VIDEO")</f>
        <v>VIDEO</v>
      </c>
      <c r="AA4414" s="19" t="str">
        <f>HYPERLINK("https://ssdweb.co/ssdweb/CERTH/626457212.pdf","CERTI")</f>
        <v>CERTI</v>
      </c>
    </row>
    <row r="4415" spans="1:27" ht="15" x14ac:dyDescent="0.25">
      <c r="A4415" s="2">
        <v>4410</v>
      </c>
      <c r="B4415" s="39">
        <v>925280476</v>
      </c>
      <c r="C4415" s="28" t="str">
        <f>HYPERLINK("https://pld.live/RapDetail.aspx?STONELIST=925280476","DNA")</f>
        <v>DNA</v>
      </c>
      <c r="D4415" s="18" t="s">
        <v>4121</v>
      </c>
      <c r="E4415" s="18" t="s">
        <v>5128</v>
      </c>
      <c r="F4415" s="2" t="s">
        <v>7987</v>
      </c>
      <c r="G4415" s="2" t="s">
        <v>1573</v>
      </c>
      <c r="H4415" s="14">
        <v>0.96</v>
      </c>
      <c r="I4415" s="2" t="s">
        <v>267</v>
      </c>
      <c r="J4415" s="2" t="s">
        <v>13</v>
      </c>
      <c r="K4415" s="2" t="s">
        <v>1452</v>
      </c>
      <c r="L4415" s="2" t="s">
        <v>5221</v>
      </c>
      <c r="M4415" s="2" t="s">
        <v>5221</v>
      </c>
      <c r="N4415" s="2" t="s">
        <v>2317</v>
      </c>
      <c r="O4415" s="14">
        <v>5200</v>
      </c>
      <c r="P4415" s="14">
        <v>97.73</v>
      </c>
      <c r="Q4415" s="14">
        <v>118.04</v>
      </c>
      <c r="R4415" s="14">
        <v>113.32</v>
      </c>
      <c r="S4415" s="2" t="s">
        <v>7040</v>
      </c>
      <c r="T4415" s="2">
        <v>1.36</v>
      </c>
      <c r="U4415" s="2">
        <v>66.400000000000006</v>
      </c>
      <c r="V4415" s="2">
        <v>57</v>
      </c>
      <c r="W4415" s="2" t="s">
        <v>7862</v>
      </c>
      <c r="X4415" s="2" t="s">
        <v>471</v>
      </c>
      <c r="Y4415" s="2">
        <v>4992</v>
      </c>
      <c r="Z4415" s="19" t="str">
        <f>HYPERLINK("https://ssdweb.co/ssdweb/hd/Vision360.html?d=925280476&amp;zoomslide=1&amp;z=1925280476&amp;ISCONFIRM=0","VIDEO")</f>
        <v>VIDEO</v>
      </c>
      <c r="AA4415" s="19" t="str">
        <f>HYPERLINK("https://ssdweb.co/ssdweb/CERTH/617485764.pdf","CERTI")</f>
        <v>CERTI</v>
      </c>
    </row>
    <row r="4416" spans="1:27" ht="15" x14ac:dyDescent="0.25">
      <c r="A4416" s="2">
        <v>4411</v>
      </c>
      <c r="B4416" s="39">
        <v>926110139</v>
      </c>
      <c r="C4416" s="28" t="str">
        <f>HYPERLINK("https://pld.live/RapDetail.aspx?STONELIST=926110139","DNA")</f>
        <v>DNA</v>
      </c>
      <c r="D4416" s="18" t="s">
        <v>4121</v>
      </c>
      <c r="E4416" s="18" t="s">
        <v>5128</v>
      </c>
      <c r="F4416" s="2" t="s">
        <v>7987</v>
      </c>
      <c r="G4416" s="2" t="s">
        <v>1573</v>
      </c>
      <c r="H4416" s="14">
        <v>0.95</v>
      </c>
      <c r="I4416" s="2" t="s">
        <v>267</v>
      </c>
      <c r="J4416" s="2" t="s">
        <v>3942</v>
      </c>
      <c r="K4416" s="2" t="s">
        <v>1452</v>
      </c>
      <c r="L4416" s="2" t="s">
        <v>5221</v>
      </c>
      <c r="M4416" s="2" t="s">
        <v>5221</v>
      </c>
      <c r="N4416" s="2" t="s">
        <v>2317</v>
      </c>
      <c r="O4416" s="14">
        <v>5600</v>
      </c>
      <c r="P4416" s="14">
        <v>97.86</v>
      </c>
      <c r="Q4416" s="14">
        <v>119.84</v>
      </c>
      <c r="R4416" s="14">
        <v>113.85</v>
      </c>
      <c r="S4416" s="2" t="s">
        <v>940</v>
      </c>
      <c r="T4416" s="2">
        <v>1.4</v>
      </c>
      <c r="U4416" s="2">
        <v>61.3</v>
      </c>
      <c r="V4416" s="2">
        <v>62</v>
      </c>
      <c r="W4416" s="2" t="s">
        <v>7862</v>
      </c>
      <c r="X4416" s="2" t="s">
        <v>471</v>
      </c>
      <c r="Y4416" s="2">
        <v>5320</v>
      </c>
      <c r="Z4416" s="19" t="str">
        <f>HYPERLINK("https://ssdweb.co/ssdweb/hd/Vision360.html?d=926110139&amp;zoomslide=1&amp;z=1926110139&amp;ISCONFIRM=0","VIDEO")</f>
        <v>VIDEO</v>
      </c>
      <c r="AA4416" s="19" t="str">
        <f>HYPERLINK("https://ssdweb.co/ssdweb/CERTH/631464028.pdf","CERTI")</f>
        <v>CERTI</v>
      </c>
    </row>
    <row r="4417" spans="1:27" ht="15" x14ac:dyDescent="0.25">
      <c r="A4417" s="2">
        <v>4412</v>
      </c>
      <c r="B4417" s="39">
        <v>926110930</v>
      </c>
      <c r="C4417" s="28" t="str">
        <f>HYPERLINK("https://pld.live/RapDetail.aspx?STONELIST=926110930","DNA")</f>
        <v>DNA</v>
      </c>
      <c r="D4417" s="18" t="s">
        <v>4121</v>
      </c>
      <c r="E4417" s="18" t="s">
        <v>5128</v>
      </c>
      <c r="F4417" s="2" t="s">
        <v>7987</v>
      </c>
      <c r="G4417" s="2" t="s">
        <v>1573</v>
      </c>
      <c r="H4417" s="14">
        <v>0.95</v>
      </c>
      <c r="I4417" s="2" t="s">
        <v>267</v>
      </c>
      <c r="J4417" s="2" t="s">
        <v>13</v>
      </c>
      <c r="K4417" s="2" t="s">
        <v>1452</v>
      </c>
      <c r="L4417" s="2" t="s">
        <v>5221</v>
      </c>
      <c r="M4417" s="2" t="s">
        <v>5221</v>
      </c>
      <c r="N4417" s="2" t="s">
        <v>2317</v>
      </c>
      <c r="O4417" s="14">
        <v>5200</v>
      </c>
      <c r="P4417" s="14">
        <v>97.73</v>
      </c>
      <c r="Q4417" s="14">
        <v>118.04</v>
      </c>
      <c r="R4417" s="14">
        <v>112.14</v>
      </c>
      <c r="S4417" s="2" t="s">
        <v>2202</v>
      </c>
      <c r="T4417" s="2">
        <v>1.38</v>
      </c>
      <c r="U4417" s="2">
        <v>61.5</v>
      </c>
      <c r="V4417" s="2">
        <v>61</v>
      </c>
      <c r="W4417" s="2" t="s">
        <v>7862</v>
      </c>
      <c r="X4417" s="2" t="s">
        <v>471</v>
      </c>
      <c r="Y4417" s="2">
        <v>4940</v>
      </c>
      <c r="Z4417" s="19" t="str">
        <f>HYPERLINK("https://ssdweb.co/ssdweb/hd/Vision360.html?d=926110930&amp;zoomslide=1&amp;z=1926110930&amp;ISCONFIRM=0","VIDEO")</f>
        <v>VIDEO</v>
      </c>
      <c r="AA4417" s="19" t="str">
        <f>HYPERLINK("https://ssdweb.co/ssdweb/CERTH/632449434.pdf","CERTI")</f>
        <v>CERTI</v>
      </c>
    </row>
    <row r="4418" spans="1:27" ht="15" x14ac:dyDescent="0.25">
      <c r="A4418" s="2">
        <v>4413</v>
      </c>
      <c r="B4418" s="39">
        <v>925450129</v>
      </c>
      <c r="C4418" s="28" t="str">
        <f>HYPERLINK("https://pld.live/RapDetail.aspx?STONELIST=925450129","DNA")</f>
        <v>DNA</v>
      </c>
      <c r="D4418" s="18" t="s">
        <v>4121</v>
      </c>
      <c r="E4418" s="18" t="s">
        <v>2186</v>
      </c>
      <c r="F4418" s="2" t="s">
        <v>7987</v>
      </c>
      <c r="G4418" s="2" t="s">
        <v>1573</v>
      </c>
      <c r="H4418" s="14">
        <v>0.95</v>
      </c>
      <c r="I4418" s="2" t="s">
        <v>4761</v>
      </c>
      <c r="J4418" s="2" t="s">
        <v>13</v>
      </c>
      <c r="K4418" s="2" t="s">
        <v>1452</v>
      </c>
      <c r="L4418" s="2" t="s">
        <v>5221</v>
      </c>
      <c r="M4418" s="2" t="s">
        <v>5221</v>
      </c>
      <c r="N4418" s="2" t="s">
        <v>2317</v>
      </c>
      <c r="O4418" s="14">
        <v>4900</v>
      </c>
      <c r="P4418" s="14">
        <v>97.65</v>
      </c>
      <c r="Q4418" s="14">
        <v>115.15</v>
      </c>
      <c r="R4418" s="14">
        <v>109.39</v>
      </c>
      <c r="S4418" s="2" t="s">
        <v>4236</v>
      </c>
      <c r="T4418" s="2">
        <v>1.39</v>
      </c>
      <c r="U4418" s="2">
        <v>60.6</v>
      </c>
      <c r="V4418" s="2">
        <v>56</v>
      </c>
      <c r="W4418" s="2" t="s">
        <v>7862</v>
      </c>
      <c r="X4418" s="2" t="s">
        <v>471</v>
      </c>
      <c r="Y4418" s="2">
        <v>4655</v>
      </c>
      <c r="Z4418" s="19" t="str">
        <f>HYPERLINK("https://ssdweb.co/ssdweb/hd/Vision360.html?d=925450129&amp;zoomslide=1&amp;z=1925450129&amp;ISCONFIRM=0","VIDEO")</f>
        <v>VIDEO</v>
      </c>
      <c r="AA4418" s="19" t="str">
        <f>HYPERLINK("https://ssdweb.co/ssdweb/CERTH/622499742.pdf","CERTI")</f>
        <v>CERTI</v>
      </c>
    </row>
    <row r="4419" spans="1:27" ht="15" x14ac:dyDescent="0.25">
      <c r="A4419" s="2">
        <v>4414</v>
      </c>
      <c r="B4419" s="39">
        <v>925940662</v>
      </c>
      <c r="C4419" s="28" t="str">
        <f>HYPERLINK("https://pld.live/RapDetail.aspx?STONELIST=925940662","DNA")</f>
        <v>DNA</v>
      </c>
      <c r="D4419" s="18" t="s">
        <v>2990</v>
      </c>
      <c r="E4419" s="18" t="s">
        <v>5128</v>
      </c>
      <c r="F4419" s="2" t="s">
        <v>7987</v>
      </c>
      <c r="G4419" s="2" t="s">
        <v>1573</v>
      </c>
      <c r="H4419" s="14">
        <v>0.94</v>
      </c>
      <c r="I4419" s="2" t="s">
        <v>267</v>
      </c>
      <c r="J4419" s="2" t="s">
        <v>3942</v>
      </c>
      <c r="K4419" s="2" t="s">
        <v>1452</v>
      </c>
      <c r="L4419" s="2" t="s">
        <v>5221</v>
      </c>
      <c r="M4419" s="2" t="s">
        <v>5221</v>
      </c>
      <c r="N4419" s="2" t="s">
        <v>2317</v>
      </c>
      <c r="O4419" s="14">
        <v>5600</v>
      </c>
      <c r="P4419" s="14">
        <v>97.86</v>
      </c>
      <c r="Q4419" s="14">
        <v>119.84</v>
      </c>
      <c r="R4419" s="14">
        <v>112.65</v>
      </c>
      <c r="S4419" s="2" t="s">
        <v>5306</v>
      </c>
      <c r="T4419" s="2">
        <v>1.39</v>
      </c>
      <c r="U4419" s="2">
        <v>62.6</v>
      </c>
      <c r="V4419" s="2">
        <v>60</v>
      </c>
      <c r="W4419" s="2" t="s">
        <v>7862</v>
      </c>
      <c r="X4419" s="2" t="s">
        <v>471</v>
      </c>
      <c r="Y4419" s="2">
        <v>5264</v>
      </c>
      <c r="Z4419" s="19" t="str">
        <f>HYPERLINK("https://ssdweb.co/ssdweb/hd/Vision360.html?d=925940662&amp;zoomslide=1&amp;z=1925940662&amp;ISCONFIRM=0","VIDEO")</f>
        <v>VIDEO</v>
      </c>
      <c r="AA4419" s="19" t="str">
        <f>HYPERLINK("https://ssdweb.co/ssdweb/CERTH/631404383.pdf","CERTI")</f>
        <v>CERTI</v>
      </c>
    </row>
    <row r="4420" spans="1:27" ht="15" x14ac:dyDescent="0.25">
      <c r="A4420" s="2">
        <v>4415</v>
      </c>
      <c r="B4420" s="39">
        <v>925290534</v>
      </c>
      <c r="C4420" s="28" t="str">
        <f>HYPERLINK("https://pld.live/RapDetail.aspx?STONELIST=925290534","DNA")</f>
        <v>DNA</v>
      </c>
      <c r="D4420" s="18" t="s">
        <v>2990</v>
      </c>
      <c r="E4420" s="18" t="s">
        <v>5128</v>
      </c>
      <c r="F4420" s="2" t="s">
        <v>7987</v>
      </c>
      <c r="G4420" s="2" t="s">
        <v>1573</v>
      </c>
      <c r="H4420" s="14">
        <v>0.94</v>
      </c>
      <c r="I4420" s="2" t="s">
        <v>267</v>
      </c>
      <c r="J4420" s="2" t="s">
        <v>3942</v>
      </c>
      <c r="K4420" s="2" t="s">
        <v>1452</v>
      </c>
      <c r="L4420" s="2" t="s">
        <v>5221</v>
      </c>
      <c r="M4420" s="2" t="s">
        <v>5221</v>
      </c>
      <c r="N4420" s="2" t="s">
        <v>2317</v>
      </c>
      <c r="O4420" s="14">
        <v>5600</v>
      </c>
      <c r="P4420" s="14">
        <v>97.86</v>
      </c>
      <c r="Q4420" s="14">
        <v>119.84</v>
      </c>
      <c r="R4420" s="14">
        <v>112.65</v>
      </c>
      <c r="S4420" s="2" t="s">
        <v>2385</v>
      </c>
      <c r="T4420" s="2">
        <v>1.38</v>
      </c>
      <c r="U4420" s="2">
        <v>62.3</v>
      </c>
      <c r="V4420" s="2">
        <v>62</v>
      </c>
      <c r="W4420" s="2" t="s">
        <v>7862</v>
      </c>
      <c r="X4420" s="2" t="s">
        <v>471</v>
      </c>
      <c r="Y4420" s="2">
        <v>5264</v>
      </c>
      <c r="Z4420" s="19" t="str">
        <f>HYPERLINK("https://ssdweb.co/ssdweb/hd/Vision360.html?d=925290534&amp;zoomslide=1&amp;z=1925290534&amp;ISCONFIRM=0","VIDEO")</f>
        <v>VIDEO</v>
      </c>
      <c r="AA4420" s="19" t="str">
        <f>HYPERLINK("https://ssdweb.co/ssdweb/CERTH/619426675.pdf","CERTI")</f>
        <v>CERTI</v>
      </c>
    </row>
    <row r="4421" spans="1:27" ht="15" x14ac:dyDescent="0.25">
      <c r="A4421" s="2">
        <v>4416</v>
      </c>
      <c r="B4421" s="39">
        <v>925721984</v>
      </c>
      <c r="C4421" s="28" t="str">
        <f>HYPERLINK("https://pld.live/RapDetail.aspx?STONELIST=925721984","DNA")</f>
        <v>DNA</v>
      </c>
      <c r="D4421" s="18" t="s">
        <v>2990</v>
      </c>
      <c r="E4421" s="18" t="s">
        <v>5128</v>
      </c>
      <c r="F4421" s="2" t="s">
        <v>7987</v>
      </c>
      <c r="G4421" s="2" t="s">
        <v>1573</v>
      </c>
      <c r="H4421" s="14">
        <v>0.94</v>
      </c>
      <c r="I4421" s="2" t="s">
        <v>267</v>
      </c>
      <c r="J4421" s="2" t="s">
        <v>3942</v>
      </c>
      <c r="K4421" s="2" t="s">
        <v>1452</v>
      </c>
      <c r="L4421" s="2" t="s">
        <v>5221</v>
      </c>
      <c r="M4421" s="2" t="s">
        <v>5221</v>
      </c>
      <c r="N4421" s="2" t="s">
        <v>2317</v>
      </c>
      <c r="O4421" s="14">
        <v>5600</v>
      </c>
      <c r="P4421" s="14">
        <v>97.86</v>
      </c>
      <c r="Q4421" s="14">
        <v>119.84</v>
      </c>
      <c r="R4421" s="14">
        <v>112.65</v>
      </c>
      <c r="S4421" s="2" t="s">
        <v>2568</v>
      </c>
      <c r="T4421" s="2">
        <v>1.38</v>
      </c>
      <c r="U4421" s="2">
        <v>61.7</v>
      </c>
      <c r="V4421" s="2">
        <v>57</v>
      </c>
      <c r="W4421" s="2" t="s">
        <v>7862</v>
      </c>
      <c r="X4421" s="2" t="s">
        <v>471</v>
      </c>
      <c r="Y4421" s="2">
        <v>5264</v>
      </c>
      <c r="Z4421" s="19" t="str">
        <f>HYPERLINK("https://ssdweb.co/ssdweb/hd/Vision360.html?d=925721984&amp;zoomslide=1&amp;z=1925721984&amp;ISCONFIRM=0","VIDEO")</f>
        <v>VIDEO</v>
      </c>
      <c r="AA4421" s="19" t="str">
        <f>HYPERLINK("https://ssdweb.co/ssdweb/CERTH/624420392.pdf","CERTI")</f>
        <v>CERTI</v>
      </c>
    </row>
    <row r="4422" spans="1:27" ht="15" x14ac:dyDescent="0.25">
      <c r="A4422" s="2">
        <v>4417</v>
      </c>
      <c r="B4422" s="39">
        <v>925080519</v>
      </c>
      <c r="C4422" s="28" t="str">
        <f>HYPERLINK("https://pld.live/RapDetail.aspx?STONELIST=925080519","DNA")</f>
        <v>DNA</v>
      </c>
      <c r="D4422" s="18" t="s">
        <v>2990</v>
      </c>
      <c r="E4422" s="18" t="s">
        <v>5128</v>
      </c>
      <c r="F4422" s="2" t="s">
        <v>7987</v>
      </c>
      <c r="G4422" s="2" t="s">
        <v>1573</v>
      </c>
      <c r="H4422" s="14">
        <v>0.94</v>
      </c>
      <c r="I4422" s="2" t="s">
        <v>267</v>
      </c>
      <c r="J4422" s="2" t="s">
        <v>13</v>
      </c>
      <c r="K4422" s="2" t="s">
        <v>1452</v>
      </c>
      <c r="L4422" s="2" t="s">
        <v>5221</v>
      </c>
      <c r="M4422" s="2" t="s">
        <v>5221</v>
      </c>
      <c r="N4422" s="2" t="s">
        <v>2317</v>
      </c>
      <c r="O4422" s="14">
        <v>5200</v>
      </c>
      <c r="P4422" s="14">
        <v>97.73</v>
      </c>
      <c r="Q4422" s="14">
        <v>118.04</v>
      </c>
      <c r="R4422" s="14">
        <v>110.96</v>
      </c>
      <c r="S4422" s="2" t="s">
        <v>6566</v>
      </c>
      <c r="T4422" s="2">
        <v>1.4</v>
      </c>
      <c r="U4422" s="2">
        <v>61</v>
      </c>
      <c r="V4422" s="2">
        <v>58</v>
      </c>
      <c r="W4422" s="2" t="s">
        <v>7862</v>
      </c>
      <c r="X4422" s="2" t="s">
        <v>471</v>
      </c>
      <c r="Y4422" s="2">
        <v>4888</v>
      </c>
      <c r="Z4422" s="19" t="str">
        <f>HYPERLINK("https://ssdweb.co/ssdweb/hd/Vision360.html?d=925080519&amp;zoomslide=1&amp;z=1925080519&amp;ISCONFIRM=0","VIDEO")</f>
        <v>VIDEO</v>
      </c>
      <c r="AA4422" s="19" t="str">
        <f>HYPERLINK("https://ssdweb.co/ssdweb/CERTH/614319322.pdf","CERTI")</f>
        <v>CERTI</v>
      </c>
    </row>
    <row r="4423" spans="1:27" ht="15" x14ac:dyDescent="0.25">
      <c r="A4423" s="2">
        <v>4418</v>
      </c>
      <c r="B4423" s="39">
        <v>925940595</v>
      </c>
      <c r="C4423" s="28" t="str">
        <f>HYPERLINK("https://pld.live/RapDetail.aspx?STONELIST=925940595","DNA")</f>
        <v>DNA</v>
      </c>
      <c r="D4423" s="18" t="s">
        <v>2990</v>
      </c>
      <c r="E4423" s="18" t="s">
        <v>5128</v>
      </c>
      <c r="F4423" s="2" t="s">
        <v>7987</v>
      </c>
      <c r="G4423" s="2" t="s">
        <v>1573</v>
      </c>
      <c r="H4423" s="14">
        <v>0.94</v>
      </c>
      <c r="I4423" s="2" t="s">
        <v>267</v>
      </c>
      <c r="J4423" s="2" t="s">
        <v>5144</v>
      </c>
      <c r="K4423" s="2" t="s">
        <v>1452</v>
      </c>
      <c r="L4423" s="2" t="s">
        <v>5221</v>
      </c>
      <c r="M4423" s="2" t="s">
        <v>5221</v>
      </c>
      <c r="N4423" s="2" t="s">
        <v>2317</v>
      </c>
      <c r="O4423" s="14">
        <v>4400</v>
      </c>
      <c r="P4423" s="14">
        <v>97.39</v>
      </c>
      <c r="Q4423" s="14">
        <v>114.84</v>
      </c>
      <c r="R4423" s="14">
        <v>107.95</v>
      </c>
      <c r="S4423" s="2" t="s">
        <v>6815</v>
      </c>
      <c r="T4423" s="2">
        <v>1.39</v>
      </c>
      <c r="U4423" s="2">
        <v>62.1</v>
      </c>
      <c r="V4423" s="2">
        <v>60</v>
      </c>
      <c r="W4423" s="2" t="s">
        <v>7862</v>
      </c>
      <c r="X4423" s="2" t="s">
        <v>471</v>
      </c>
      <c r="Y4423" s="2">
        <v>4136</v>
      </c>
      <c r="Z4423" s="19" t="str">
        <f>HYPERLINK("https://ssdweb.co/ssdweb/hd/Vision360.html?d=925940595&amp;zoomslide=1&amp;z=1925940595&amp;ISCONFIRM=0","VIDEO")</f>
        <v>VIDEO</v>
      </c>
      <c r="AA4423" s="19" t="str">
        <f>HYPERLINK("https://ssdweb.co/ssdweb/CERTH/629435586.pdf","CERTI")</f>
        <v>CERTI</v>
      </c>
    </row>
    <row r="4424" spans="1:27" ht="15" x14ac:dyDescent="0.25">
      <c r="A4424" s="2">
        <v>4419</v>
      </c>
      <c r="B4424" s="39">
        <v>925851250</v>
      </c>
      <c r="C4424" s="28" t="str">
        <f>HYPERLINK("https://pld.live/RapDetail.aspx?STONELIST=925851250","DNA")</f>
        <v>DNA</v>
      </c>
      <c r="D4424" s="18" t="s">
        <v>2990</v>
      </c>
      <c r="E4424" s="18" t="s">
        <v>5128</v>
      </c>
      <c r="F4424" s="2" t="s">
        <v>7987</v>
      </c>
      <c r="G4424" s="2" t="s">
        <v>1573</v>
      </c>
      <c r="H4424" s="14">
        <v>0.94</v>
      </c>
      <c r="I4424" s="2" t="s">
        <v>267</v>
      </c>
      <c r="J4424" s="2" t="s">
        <v>5144</v>
      </c>
      <c r="K4424" s="2" t="s">
        <v>1452</v>
      </c>
      <c r="L4424" s="2" t="s">
        <v>5221</v>
      </c>
      <c r="M4424" s="2" t="s">
        <v>5221</v>
      </c>
      <c r="N4424" s="2" t="s">
        <v>2317</v>
      </c>
      <c r="O4424" s="14">
        <v>4400</v>
      </c>
      <c r="P4424" s="14">
        <v>97.39</v>
      </c>
      <c r="Q4424" s="14">
        <v>114.84</v>
      </c>
      <c r="R4424" s="14">
        <v>107.95</v>
      </c>
      <c r="S4424" s="2" t="s">
        <v>2217</v>
      </c>
      <c r="T4424" s="2">
        <v>1.45</v>
      </c>
      <c r="U4424" s="2">
        <v>60</v>
      </c>
      <c r="V4424" s="2">
        <v>60</v>
      </c>
      <c r="W4424" s="2" t="s">
        <v>7862</v>
      </c>
      <c r="X4424" s="2" t="s">
        <v>471</v>
      </c>
      <c r="Y4424" s="2">
        <v>4136</v>
      </c>
      <c r="Z4424" s="19" t="str">
        <f>HYPERLINK("https://ssdweb.co/ssdweb/hd/Vision360.html?d=925851250&amp;zoomslide=1&amp;z=1925851250&amp;ISCONFIRM=0","VIDEO")</f>
        <v>VIDEO</v>
      </c>
      <c r="AA4424" s="19" t="str">
        <f>HYPERLINK("https://ssdweb.co/ssdweb/CERTH/628426765.pdf","CERTI")</f>
        <v>CERTI</v>
      </c>
    </row>
    <row r="4425" spans="1:27" ht="15" x14ac:dyDescent="0.25">
      <c r="A4425" s="2">
        <v>4420</v>
      </c>
      <c r="B4425" s="39">
        <v>925080436</v>
      </c>
      <c r="C4425" s="28" t="str">
        <f>HYPERLINK("https://pld.live/RapDetail.aspx?STONELIST=925080436","DNA")</f>
        <v>DNA</v>
      </c>
      <c r="D4425" s="18" t="s">
        <v>2990</v>
      </c>
      <c r="E4425" s="18" t="s">
        <v>5128</v>
      </c>
      <c r="F4425" s="2" t="s">
        <v>7987</v>
      </c>
      <c r="G4425" s="2" t="s">
        <v>1573</v>
      </c>
      <c r="H4425" s="14">
        <v>0.94</v>
      </c>
      <c r="I4425" s="2" t="s">
        <v>4761</v>
      </c>
      <c r="J4425" s="2" t="s">
        <v>3942</v>
      </c>
      <c r="K4425" s="2" t="s">
        <v>1452</v>
      </c>
      <c r="L4425" s="2" t="s">
        <v>5221</v>
      </c>
      <c r="M4425" s="2" t="s">
        <v>5221</v>
      </c>
      <c r="N4425" s="2" t="s">
        <v>2317</v>
      </c>
      <c r="O4425" s="14">
        <v>5200</v>
      </c>
      <c r="P4425" s="14">
        <v>97.73</v>
      </c>
      <c r="Q4425" s="14">
        <v>118.04</v>
      </c>
      <c r="R4425" s="14">
        <v>110.96</v>
      </c>
      <c r="S4425" s="2" t="s">
        <v>445</v>
      </c>
      <c r="T4425" s="2">
        <v>1.41</v>
      </c>
      <c r="U4425" s="2">
        <v>62.1</v>
      </c>
      <c r="V4425" s="2">
        <v>60</v>
      </c>
      <c r="W4425" s="2" t="s">
        <v>7862</v>
      </c>
      <c r="X4425" s="2" t="s">
        <v>471</v>
      </c>
      <c r="Y4425" s="2">
        <v>4888</v>
      </c>
      <c r="Z4425" s="19" t="str">
        <f>HYPERLINK("https://ssdweb.co/ssdweb/hd/Vision360.html?d=925080436&amp;zoomslide=1&amp;z=1925080436&amp;ISCONFIRM=0","VIDEO")</f>
        <v>VIDEO</v>
      </c>
      <c r="AA4425" s="19" t="str">
        <f>HYPERLINK("https://ssdweb.co/ssdweb/CERTH/610340986.pdf","CERTI")</f>
        <v>CERTI</v>
      </c>
    </row>
    <row r="4426" spans="1:27" ht="15" x14ac:dyDescent="0.25">
      <c r="A4426" s="2">
        <v>4421</v>
      </c>
      <c r="B4426" s="39">
        <v>926110931</v>
      </c>
      <c r="C4426" s="28" t="str">
        <f>HYPERLINK("https://pld.live/RapDetail.aspx?STONELIST=926110931","DNA")</f>
        <v>DNA</v>
      </c>
      <c r="D4426" s="18" t="s">
        <v>2990</v>
      </c>
      <c r="E4426" s="18" t="s">
        <v>5128</v>
      </c>
      <c r="F4426" s="2" t="s">
        <v>7987</v>
      </c>
      <c r="G4426" s="2" t="s">
        <v>1573</v>
      </c>
      <c r="H4426" s="14">
        <v>0.94</v>
      </c>
      <c r="I4426" s="2" t="s">
        <v>4761</v>
      </c>
      <c r="J4426" s="2" t="s">
        <v>3942</v>
      </c>
      <c r="K4426" s="2" t="s">
        <v>1452</v>
      </c>
      <c r="L4426" s="2" t="s">
        <v>5221</v>
      </c>
      <c r="M4426" s="2" t="s">
        <v>5221</v>
      </c>
      <c r="N4426" s="2" t="s">
        <v>2317</v>
      </c>
      <c r="O4426" s="14">
        <v>5200</v>
      </c>
      <c r="P4426" s="14">
        <v>97.73</v>
      </c>
      <c r="Q4426" s="14">
        <v>118.04</v>
      </c>
      <c r="R4426" s="14">
        <v>110.96</v>
      </c>
      <c r="S4426" s="2" t="s">
        <v>391</v>
      </c>
      <c r="T4426" s="2">
        <v>1.41</v>
      </c>
      <c r="U4426" s="2">
        <v>61.9</v>
      </c>
      <c r="V4426" s="2">
        <v>61</v>
      </c>
      <c r="W4426" s="2" t="s">
        <v>7862</v>
      </c>
      <c r="X4426" s="2" t="s">
        <v>471</v>
      </c>
      <c r="Y4426" s="2">
        <v>4888</v>
      </c>
      <c r="Z4426" s="19" t="str">
        <f>HYPERLINK("https://ssdweb.co/ssdweb/hd/Vision360.html?d=926110931&amp;zoomslide=1&amp;z=1926110931&amp;ISCONFIRM=0","VIDEO")</f>
        <v>VIDEO</v>
      </c>
      <c r="AA4426" s="19" t="str">
        <f>HYPERLINK("https://ssdweb.co/ssdweb/CERTH/632449435.pdf","CERTI")</f>
        <v>CERTI</v>
      </c>
    </row>
    <row r="4427" spans="1:27" ht="15" x14ac:dyDescent="0.25">
      <c r="A4427" s="2">
        <v>4422</v>
      </c>
      <c r="B4427" s="39">
        <v>821114090</v>
      </c>
      <c r="C4427" s="28" t="str">
        <f>HYPERLINK("https://pld.live/RapDetail.aspx?STONELIST=821114090","DNA")</f>
        <v>DNA</v>
      </c>
      <c r="D4427" s="18" t="s">
        <v>2990</v>
      </c>
      <c r="E4427" s="18" t="s">
        <v>2186</v>
      </c>
      <c r="F4427" s="2" t="s">
        <v>7987</v>
      </c>
      <c r="G4427" s="2" t="s">
        <v>1573</v>
      </c>
      <c r="H4427" s="14">
        <v>0.94</v>
      </c>
      <c r="I4427" s="2" t="s">
        <v>4761</v>
      </c>
      <c r="J4427" s="2" t="s">
        <v>13</v>
      </c>
      <c r="K4427" s="2" t="s">
        <v>1452</v>
      </c>
      <c r="L4427" s="2" t="s">
        <v>5221</v>
      </c>
      <c r="M4427" s="2" t="s">
        <v>5221</v>
      </c>
      <c r="N4427" s="2" t="s">
        <v>2317</v>
      </c>
      <c r="O4427" s="14">
        <v>4900</v>
      </c>
      <c r="P4427" s="14">
        <v>97.65</v>
      </c>
      <c r="Q4427" s="14">
        <v>115.15</v>
      </c>
      <c r="R4427" s="14">
        <v>108.24</v>
      </c>
      <c r="S4427" s="2" t="s">
        <v>7291</v>
      </c>
      <c r="T4427" s="2">
        <v>1.38</v>
      </c>
      <c r="U4427" s="2">
        <v>58.1</v>
      </c>
      <c r="V4427" s="2">
        <v>65</v>
      </c>
      <c r="W4427" s="2" t="s">
        <v>7862</v>
      </c>
      <c r="X4427" s="2" t="s">
        <v>471</v>
      </c>
      <c r="Y4427" s="2">
        <v>4606</v>
      </c>
      <c r="Z4427" s="19" t="str">
        <f>HYPERLINK("https://ssdweb.co/ssdweb/hd/Vision360.html?d=821114090&amp;zoomslide=1&amp;z=1821114090&amp;ISCONFIRM=0","VIDEO")</f>
        <v>VIDEO</v>
      </c>
      <c r="AA4427" s="19" t="str">
        <f>HYPERLINK("https://ssdweb.co/ssdweb/CERTH/622463607.pdf","CERTI")</f>
        <v>CERTI</v>
      </c>
    </row>
    <row r="4428" spans="1:27" ht="15" x14ac:dyDescent="0.25">
      <c r="A4428" s="2">
        <v>4423</v>
      </c>
      <c r="B4428" s="39">
        <v>821112281</v>
      </c>
      <c r="C4428" s="28" t="str">
        <f>HYPERLINK("https://pld.live/RapDetail.aspx?STONELIST=821112281","DNA")</f>
        <v>DNA</v>
      </c>
      <c r="D4428" s="18" t="s">
        <v>2990</v>
      </c>
      <c r="E4428" s="18" t="s">
        <v>2186</v>
      </c>
      <c r="F4428" s="2" t="s">
        <v>7987</v>
      </c>
      <c r="G4428" s="2" t="s">
        <v>1573</v>
      </c>
      <c r="H4428" s="14">
        <v>0.94</v>
      </c>
      <c r="I4428" s="2" t="s">
        <v>4699</v>
      </c>
      <c r="J4428" s="2" t="s">
        <v>13</v>
      </c>
      <c r="K4428" s="2" t="s">
        <v>1452</v>
      </c>
      <c r="L4428" s="2" t="s">
        <v>5221</v>
      </c>
      <c r="M4428" s="2" t="s">
        <v>5221</v>
      </c>
      <c r="N4428" s="2" t="s">
        <v>2317</v>
      </c>
      <c r="O4428" s="14">
        <v>4600</v>
      </c>
      <c r="P4428" s="14">
        <v>97.57</v>
      </c>
      <c r="Q4428" s="14">
        <v>111.78</v>
      </c>
      <c r="R4428" s="14">
        <v>105.07</v>
      </c>
      <c r="S4428" s="2" t="s">
        <v>676</v>
      </c>
      <c r="T4428" s="2">
        <v>1.5</v>
      </c>
      <c r="U4428" s="2">
        <v>62.9</v>
      </c>
      <c r="V4428" s="2">
        <v>62</v>
      </c>
      <c r="W4428" s="2" t="s">
        <v>7862</v>
      </c>
      <c r="X4428" s="2" t="s">
        <v>471</v>
      </c>
      <c r="Y4428" s="2">
        <v>4324</v>
      </c>
      <c r="Z4428" s="19" t="str">
        <f>HYPERLINK("https://ssdweb.co/ssdweb/hd/Vision360.html?d=821112281&amp;zoomslide=1&amp;z=1821112281&amp;ISCONFIRM=0","VIDEO")</f>
        <v>VIDEO</v>
      </c>
      <c r="AA4428" s="19" t="str">
        <f>HYPERLINK("https://ssdweb.co/ssdweb/CERTH/610322576.pdf","CERTI")</f>
        <v>CERTI</v>
      </c>
    </row>
    <row r="4429" spans="1:27" ht="15" x14ac:dyDescent="0.25">
      <c r="A4429" s="2">
        <v>4424</v>
      </c>
      <c r="B4429" s="39">
        <v>821113074</v>
      </c>
      <c r="C4429" s="28" t="str">
        <f>HYPERLINK("https://pld.live/RapDetail.aspx?STONELIST=821113074","DNA")</f>
        <v>DNA</v>
      </c>
      <c r="D4429" s="18" t="s">
        <v>2990</v>
      </c>
      <c r="E4429" s="18" t="s">
        <v>2186</v>
      </c>
      <c r="F4429" s="2" t="s">
        <v>7987</v>
      </c>
      <c r="G4429" s="2" t="s">
        <v>1573</v>
      </c>
      <c r="H4429" s="14">
        <v>0.94</v>
      </c>
      <c r="I4429" s="2" t="s">
        <v>6587</v>
      </c>
      <c r="J4429" s="2" t="s">
        <v>13</v>
      </c>
      <c r="K4429" s="2" t="s">
        <v>1452</v>
      </c>
      <c r="L4429" s="2" t="s">
        <v>5221</v>
      </c>
      <c r="M4429" s="2" t="s">
        <v>5221</v>
      </c>
      <c r="N4429" s="2" t="s">
        <v>2317</v>
      </c>
      <c r="O4429" s="14">
        <v>4300</v>
      </c>
      <c r="P4429" s="14">
        <v>97.47</v>
      </c>
      <c r="Q4429" s="14">
        <v>108.79</v>
      </c>
      <c r="R4429" s="14">
        <v>102.26</v>
      </c>
      <c r="S4429" s="2" t="s">
        <v>5424</v>
      </c>
      <c r="T4429" s="2">
        <v>1.45</v>
      </c>
      <c r="U4429" s="2">
        <v>62</v>
      </c>
      <c r="V4429" s="2">
        <v>60</v>
      </c>
      <c r="W4429" s="2" t="s">
        <v>7862</v>
      </c>
      <c r="X4429" s="2" t="s">
        <v>471</v>
      </c>
      <c r="Y4429" s="2">
        <v>4042</v>
      </c>
      <c r="Z4429" s="19" t="str">
        <f>HYPERLINK("https://ssdweb.co/ssdweb/hd/Vision360.html?d=821113074&amp;zoomslide=1&amp;z=1821113074&amp;ISCONFIRM=0","VIDEO")</f>
        <v>VIDEO</v>
      </c>
      <c r="AA4429" s="19" t="str">
        <f>HYPERLINK("https://ssdweb.co/ssdweb/CERTH/621484130.pdf","CERTI")</f>
        <v>CERTI</v>
      </c>
    </row>
    <row r="4430" spans="1:27" ht="15" x14ac:dyDescent="0.25">
      <c r="A4430" s="2">
        <v>4425</v>
      </c>
      <c r="B4430" s="39">
        <v>821126148</v>
      </c>
      <c r="C4430" s="28" t="str">
        <f>HYPERLINK("https://pld.live/RapDetail.aspx?STONELIST=821126148","DNA")</f>
        <v>DNA</v>
      </c>
      <c r="D4430" s="18" t="s">
        <v>2990</v>
      </c>
      <c r="E4430" s="18" t="s">
        <v>5128</v>
      </c>
      <c r="F4430" s="2" t="s">
        <v>7987</v>
      </c>
      <c r="G4430" s="2" t="s">
        <v>1573</v>
      </c>
      <c r="H4430" s="14">
        <v>0.93</v>
      </c>
      <c r="I4430" s="2" t="s">
        <v>267</v>
      </c>
      <c r="J4430" s="2" t="s">
        <v>3942</v>
      </c>
      <c r="K4430" s="2" t="s">
        <v>1452</v>
      </c>
      <c r="L4430" s="2" t="s">
        <v>5221</v>
      </c>
      <c r="M4430" s="2" t="s">
        <v>5221</v>
      </c>
      <c r="N4430" s="2" t="s">
        <v>2317</v>
      </c>
      <c r="O4430" s="14">
        <v>5600</v>
      </c>
      <c r="P4430" s="14">
        <v>97.86</v>
      </c>
      <c r="Q4430" s="14">
        <v>119.84</v>
      </c>
      <c r="R4430" s="14">
        <v>111.45</v>
      </c>
      <c r="S4430" s="2" t="s">
        <v>5351</v>
      </c>
      <c r="T4430" s="2">
        <v>1.44</v>
      </c>
      <c r="U4430" s="2">
        <v>60.8</v>
      </c>
      <c r="V4430" s="2">
        <v>57</v>
      </c>
      <c r="W4430" s="2" t="s">
        <v>7862</v>
      </c>
      <c r="X4430" s="2" t="s">
        <v>471</v>
      </c>
      <c r="Y4430" s="2">
        <v>5208</v>
      </c>
      <c r="Z4430" s="19" t="str">
        <f>HYPERLINK("https://ssdweb.co/ssdweb/hd/Vision360.html?d=821126148&amp;zoomslide=1&amp;z=1821126148&amp;ISCONFIRM=0","VIDEO")</f>
        <v>VIDEO</v>
      </c>
      <c r="AA4430" s="19" t="str">
        <f>HYPERLINK("https://ssdweb.co/ssdweb/CERTH/621407761.pdf","CERTI")</f>
        <v>CERTI</v>
      </c>
    </row>
    <row r="4431" spans="1:27" ht="15" x14ac:dyDescent="0.25">
      <c r="A4431" s="2">
        <v>4426</v>
      </c>
      <c r="B4431" s="39">
        <v>925080449</v>
      </c>
      <c r="C4431" s="28" t="str">
        <f>HYPERLINK("https://pld.live/RapDetail.aspx?STONELIST=925080449","DNA")</f>
        <v>DNA</v>
      </c>
      <c r="D4431" s="18" t="s">
        <v>2990</v>
      </c>
      <c r="E4431" s="18" t="s">
        <v>5128</v>
      </c>
      <c r="F4431" s="2" t="s">
        <v>7987</v>
      </c>
      <c r="G4431" s="2" t="s">
        <v>1573</v>
      </c>
      <c r="H4431" s="14">
        <v>0.93</v>
      </c>
      <c r="I4431" s="2" t="s">
        <v>267</v>
      </c>
      <c r="J4431" s="2" t="s">
        <v>3942</v>
      </c>
      <c r="K4431" s="2" t="s">
        <v>1452</v>
      </c>
      <c r="L4431" s="2" t="s">
        <v>5221</v>
      </c>
      <c r="M4431" s="2" t="s">
        <v>5221</v>
      </c>
      <c r="N4431" s="2" t="s">
        <v>2317</v>
      </c>
      <c r="O4431" s="14">
        <v>5600</v>
      </c>
      <c r="P4431" s="14">
        <v>97.86</v>
      </c>
      <c r="Q4431" s="14">
        <v>119.84</v>
      </c>
      <c r="R4431" s="14">
        <v>111.45</v>
      </c>
      <c r="S4431" s="2" t="s">
        <v>1946</v>
      </c>
      <c r="T4431" s="2">
        <v>1.39</v>
      </c>
      <c r="U4431" s="2">
        <v>62.7</v>
      </c>
      <c r="V4431" s="2">
        <v>61</v>
      </c>
      <c r="W4431" s="2" t="s">
        <v>7862</v>
      </c>
      <c r="X4431" s="2" t="s">
        <v>471</v>
      </c>
      <c r="Y4431" s="2">
        <v>5208</v>
      </c>
      <c r="Z4431" s="19" t="str">
        <f>HYPERLINK("https://ssdweb.co/ssdweb/hd/Vision360.html?d=925080449&amp;zoomslide=1&amp;z=1925080449&amp;ISCONFIRM=0","VIDEO")</f>
        <v>VIDEO</v>
      </c>
      <c r="AA4431" s="19" t="str">
        <f>HYPERLINK("https://ssdweb.co/ssdweb/CERTH/611357153.pdf","CERTI")</f>
        <v>CERTI</v>
      </c>
    </row>
    <row r="4432" spans="1:27" ht="15" x14ac:dyDescent="0.25">
      <c r="A4432" s="2">
        <v>4427</v>
      </c>
      <c r="B4432" s="39">
        <v>925080446</v>
      </c>
      <c r="C4432" s="28" t="str">
        <f>HYPERLINK("https://pld.live/RapDetail.aspx?STONELIST=925080446","DNA")</f>
        <v>DNA</v>
      </c>
      <c r="D4432" s="18" t="s">
        <v>2990</v>
      </c>
      <c r="E4432" s="18" t="s">
        <v>5128</v>
      </c>
      <c r="F4432" s="2" t="s">
        <v>7987</v>
      </c>
      <c r="G4432" s="2" t="s">
        <v>1573</v>
      </c>
      <c r="H4432" s="14">
        <v>0.93</v>
      </c>
      <c r="I4432" s="2" t="s">
        <v>267</v>
      </c>
      <c r="J4432" s="2" t="s">
        <v>3942</v>
      </c>
      <c r="K4432" s="2" t="s">
        <v>1452</v>
      </c>
      <c r="L4432" s="2" t="s">
        <v>5221</v>
      </c>
      <c r="M4432" s="2" t="s">
        <v>5221</v>
      </c>
      <c r="N4432" s="2" t="s">
        <v>2317</v>
      </c>
      <c r="O4432" s="14">
        <v>5600</v>
      </c>
      <c r="P4432" s="14">
        <v>97.86</v>
      </c>
      <c r="Q4432" s="14">
        <v>119.84</v>
      </c>
      <c r="R4432" s="14">
        <v>111.45</v>
      </c>
      <c r="S4432" s="2" t="s">
        <v>1971</v>
      </c>
      <c r="T4432" s="2">
        <v>1.38</v>
      </c>
      <c r="U4432" s="2">
        <v>62.6</v>
      </c>
      <c r="V4432" s="2">
        <v>61</v>
      </c>
      <c r="W4432" s="2" t="s">
        <v>7862</v>
      </c>
      <c r="X4432" s="2" t="s">
        <v>471</v>
      </c>
      <c r="Y4432" s="2">
        <v>5208</v>
      </c>
      <c r="Z4432" s="19" t="str">
        <f>HYPERLINK("https://ssdweb.co/ssdweb/hd/Vision360.html?d=925080446&amp;zoomslide=1&amp;z=1925080446&amp;ISCONFIRM=0","VIDEO")</f>
        <v>VIDEO</v>
      </c>
      <c r="AA4432" s="19" t="str">
        <f>HYPERLINK("https://ssdweb.co/ssdweb/CERTH/611357193.pdf","CERTI")</f>
        <v>CERTI</v>
      </c>
    </row>
    <row r="4433" spans="1:27" ht="15" x14ac:dyDescent="0.25">
      <c r="A4433" s="2">
        <v>4428</v>
      </c>
      <c r="B4433" s="39">
        <v>926111331</v>
      </c>
      <c r="C4433" s="28" t="str">
        <f>HYPERLINK("https://pld.live/RapDetail.aspx?STONELIST=926111331","DNA")</f>
        <v>DNA</v>
      </c>
      <c r="D4433" s="18" t="s">
        <v>2990</v>
      </c>
      <c r="E4433" s="18" t="s">
        <v>5128</v>
      </c>
      <c r="F4433" s="2" t="s">
        <v>7987</v>
      </c>
      <c r="G4433" s="2" t="s">
        <v>1573</v>
      </c>
      <c r="H4433" s="14">
        <v>0.93</v>
      </c>
      <c r="I4433" s="2" t="s">
        <v>267</v>
      </c>
      <c r="J4433" s="2" t="s">
        <v>3942</v>
      </c>
      <c r="K4433" s="2" t="s">
        <v>1452</v>
      </c>
      <c r="L4433" s="2" t="s">
        <v>5221</v>
      </c>
      <c r="M4433" s="2" t="s">
        <v>5721</v>
      </c>
      <c r="N4433" s="2" t="s">
        <v>2317</v>
      </c>
      <c r="O4433" s="14">
        <v>5600</v>
      </c>
      <c r="P4433" s="14">
        <v>97.89</v>
      </c>
      <c r="Q4433" s="14">
        <v>118.16</v>
      </c>
      <c r="R4433" s="14">
        <v>109.89</v>
      </c>
      <c r="S4433" s="2" t="s">
        <v>3100</v>
      </c>
      <c r="T4433" s="2">
        <v>1.38</v>
      </c>
      <c r="U4433" s="2">
        <v>62.6</v>
      </c>
      <c r="V4433" s="2">
        <v>60</v>
      </c>
      <c r="W4433" s="2" t="s">
        <v>7862</v>
      </c>
      <c r="X4433" s="2" t="s">
        <v>471</v>
      </c>
      <c r="Y4433" s="2">
        <v>5208</v>
      </c>
      <c r="Z4433" s="19" t="str">
        <f>HYPERLINK("https://ssdweb.co/ssdweb/hd/Vision360.html?d=926111331&amp;zoomslide=1&amp;z=1926111331&amp;ISCONFIRM=0","VIDEO")</f>
        <v>VIDEO</v>
      </c>
      <c r="AA4433" s="19" t="str">
        <f>HYPERLINK("https://ssdweb.co/ssdweb/CERTH/634431371.pdf","CERTI")</f>
        <v>CERTI</v>
      </c>
    </row>
    <row r="4434" spans="1:27" ht="15" x14ac:dyDescent="0.25">
      <c r="A4434" s="2">
        <v>4429</v>
      </c>
      <c r="B4434" s="39">
        <v>925851199</v>
      </c>
      <c r="C4434" s="28" t="str">
        <f>HYPERLINK("https://pld.live/RapDetail.aspx?STONELIST=925851199","DNA")</f>
        <v>DNA</v>
      </c>
      <c r="D4434" s="18" t="s">
        <v>2990</v>
      </c>
      <c r="E4434" s="18" t="s">
        <v>5128</v>
      </c>
      <c r="F4434" s="2" t="s">
        <v>7987</v>
      </c>
      <c r="G4434" s="2" t="s">
        <v>1573</v>
      </c>
      <c r="H4434" s="14">
        <v>0.93</v>
      </c>
      <c r="I4434" s="2" t="s">
        <v>267</v>
      </c>
      <c r="J4434" s="2" t="s">
        <v>13</v>
      </c>
      <c r="K4434" s="2" t="s">
        <v>1452</v>
      </c>
      <c r="L4434" s="2" t="s">
        <v>5221</v>
      </c>
      <c r="M4434" s="2" t="s">
        <v>5221</v>
      </c>
      <c r="N4434" s="2" t="s">
        <v>2317</v>
      </c>
      <c r="O4434" s="14">
        <v>5200</v>
      </c>
      <c r="P4434" s="14">
        <v>97.73</v>
      </c>
      <c r="Q4434" s="14">
        <v>118.04</v>
      </c>
      <c r="R4434" s="14">
        <v>109.78</v>
      </c>
      <c r="S4434" s="2" t="s">
        <v>2256</v>
      </c>
      <c r="T4434" s="2">
        <v>1.38</v>
      </c>
      <c r="U4434" s="2">
        <v>62.2</v>
      </c>
      <c r="V4434" s="2">
        <v>61</v>
      </c>
      <c r="W4434" s="2" t="s">
        <v>7862</v>
      </c>
      <c r="X4434" s="2" t="s">
        <v>471</v>
      </c>
      <c r="Y4434" s="2">
        <v>4836</v>
      </c>
      <c r="Z4434" s="19" t="str">
        <f>HYPERLINK("https://ssdweb.co/ssdweb/hd/Vision360.html?d=925851199&amp;zoomslide=1&amp;z=1925851199&amp;ISCONFIRM=0","VIDEO")</f>
        <v>VIDEO</v>
      </c>
      <c r="AA4434" s="19" t="str">
        <f>HYPERLINK("https://ssdweb.co/ssdweb/CERTH/627427283.pdf","CERTI")</f>
        <v>CERTI</v>
      </c>
    </row>
    <row r="4435" spans="1:27" ht="15" x14ac:dyDescent="0.25">
      <c r="A4435" s="2">
        <v>4430</v>
      </c>
      <c r="B4435" s="39">
        <v>925280378</v>
      </c>
      <c r="C4435" s="28" t="str">
        <f>HYPERLINK("https://pld.live/RapDetail.aspx?STONELIST=925280378","DNA")</f>
        <v>DNA</v>
      </c>
      <c r="D4435" s="18" t="s">
        <v>2990</v>
      </c>
      <c r="E4435" s="18" t="s">
        <v>5128</v>
      </c>
      <c r="F4435" s="2" t="s">
        <v>7987</v>
      </c>
      <c r="G4435" s="2" t="s">
        <v>1573</v>
      </c>
      <c r="H4435" s="14">
        <v>0.93</v>
      </c>
      <c r="I4435" s="2" t="s">
        <v>267</v>
      </c>
      <c r="J4435" s="2" t="s">
        <v>13</v>
      </c>
      <c r="K4435" s="2" t="s">
        <v>1452</v>
      </c>
      <c r="L4435" s="2" t="s">
        <v>5221</v>
      </c>
      <c r="M4435" s="2" t="s">
        <v>5221</v>
      </c>
      <c r="N4435" s="2" t="s">
        <v>2317</v>
      </c>
      <c r="O4435" s="14">
        <v>5200</v>
      </c>
      <c r="P4435" s="14">
        <v>97.73</v>
      </c>
      <c r="Q4435" s="14">
        <v>118.04</v>
      </c>
      <c r="R4435" s="14">
        <v>109.78</v>
      </c>
      <c r="S4435" s="2" t="s">
        <v>4601</v>
      </c>
      <c r="T4435" s="2">
        <v>1.42</v>
      </c>
      <c r="U4435" s="2">
        <v>61.8</v>
      </c>
      <c r="V4435" s="2">
        <v>58</v>
      </c>
      <c r="W4435" s="2" t="s">
        <v>7862</v>
      </c>
      <c r="X4435" s="2" t="s">
        <v>471</v>
      </c>
      <c r="Y4435" s="2">
        <v>4836</v>
      </c>
      <c r="Z4435" s="19" t="str">
        <f>HYPERLINK("https://ssdweb.co/ssdweb/hd/Vision360.html?d=925280378&amp;zoomslide=1&amp;z=1925280378&amp;ISCONFIRM=0","VIDEO")</f>
        <v>VIDEO</v>
      </c>
      <c r="AA4435" s="19" t="str">
        <f>HYPERLINK("https://ssdweb.co/ssdweb/CERTH/615342884.pdf","CERTI")</f>
        <v>CERTI</v>
      </c>
    </row>
    <row r="4436" spans="1:27" ht="15" x14ac:dyDescent="0.25">
      <c r="A4436" s="2">
        <v>4431</v>
      </c>
      <c r="B4436" s="39">
        <v>925270195</v>
      </c>
      <c r="C4436" s="28" t="str">
        <f>HYPERLINK("https://pld.live/RapDetail.aspx?STONELIST=925270195","DNA")</f>
        <v>DNA</v>
      </c>
      <c r="D4436" s="18" t="s">
        <v>2990</v>
      </c>
      <c r="E4436" s="18" t="s">
        <v>5128</v>
      </c>
      <c r="F4436" s="2" t="s">
        <v>7987</v>
      </c>
      <c r="G4436" s="2" t="s">
        <v>1573</v>
      </c>
      <c r="H4436" s="14">
        <v>0.93</v>
      </c>
      <c r="I4436" s="2" t="s">
        <v>4761</v>
      </c>
      <c r="J4436" s="2" t="s">
        <v>3942</v>
      </c>
      <c r="K4436" s="2" t="s">
        <v>1452</v>
      </c>
      <c r="L4436" s="2" t="s">
        <v>5221</v>
      </c>
      <c r="M4436" s="2" t="s">
        <v>5221</v>
      </c>
      <c r="N4436" s="2" t="s">
        <v>2317</v>
      </c>
      <c r="O4436" s="14">
        <v>5200</v>
      </c>
      <c r="P4436" s="14">
        <v>97.73</v>
      </c>
      <c r="Q4436" s="14">
        <v>118.04</v>
      </c>
      <c r="R4436" s="14">
        <v>109.78</v>
      </c>
      <c r="S4436" s="2" t="s">
        <v>3774</v>
      </c>
      <c r="T4436" s="2">
        <v>1.38</v>
      </c>
      <c r="U4436" s="2">
        <v>61.4</v>
      </c>
      <c r="V4436" s="2">
        <v>60</v>
      </c>
      <c r="W4436" s="2" t="s">
        <v>7862</v>
      </c>
      <c r="X4436" s="2" t="s">
        <v>471</v>
      </c>
      <c r="Y4436" s="2">
        <v>4836</v>
      </c>
      <c r="Z4436" s="19" t="str">
        <f>HYPERLINK("https://ssdweb.co/ssdweb/hd/Vision360.html?d=925270195&amp;zoomslide=1&amp;z=1925270195&amp;ISCONFIRM=0","VIDEO")</f>
        <v>VIDEO</v>
      </c>
      <c r="AA4436" s="19" t="str">
        <f>HYPERLINK("https://ssdweb.co/ssdweb/CERTH/613355463.pdf","CERTI")</f>
        <v>CERTI</v>
      </c>
    </row>
    <row r="4437" spans="1:27" ht="15" x14ac:dyDescent="0.25">
      <c r="A4437" s="2">
        <v>4432</v>
      </c>
      <c r="B4437" s="39">
        <v>941021658</v>
      </c>
      <c r="C4437" s="28" t="str">
        <f>HYPERLINK("https://pld.live/RapDetail.aspx?STONELIST=941021658","DNA")</f>
        <v>DNA</v>
      </c>
      <c r="D4437" s="18" t="s">
        <v>2990</v>
      </c>
      <c r="E4437" s="18" t="s">
        <v>5128</v>
      </c>
      <c r="F4437" s="2" t="s">
        <v>7987</v>
      </c>
      <c r="G4437" s="2" t="s">
        <v>1573</v>
      </c>
      <c r="H4437" s="14">
        <v>0.93</v>
      </c>
      <c r="I4437" s="2" t="s">
        <v>4699</v>
      </c>
      <c r="J4437" s="2" t="s">
        <v>3942</v>
      </c>
      <c r="K4437" s="2" t="s">
        <v>1452</v>
      </c>
      <c r="L4437" s="2" t="s">
        <v>5221</v>
      </c>
      <c r="M4437" s="2" t="s">
        <v>5221</v>
      </c>
      <c r="N4437" s="2" t="s">
        <v>2317</v>
      </c>
      <c r="O4437" s="14">
        <v>4900</v>
      </c>
      <c r="P4437" s="14">
        <v>97.59</v>
      </c>
      <c r="Q4437" s="14">
        <v>118.09</v>
      </c>
      <c r="R4437" s="14">
        <v>109.82</v>
      </c>
      <c r="S4437" s="2" t="s">
        <v>746</v>
      </c>
      <c r="T4437" s="2">
        <v>1.41</v>
      </c>
      <c r="U4437" s="2">
        <v>61.4</v>
      </c>
      <c r="V4437" s="2">
        <v>59</v>
      </c>
      <c r="W4437" s="2" t="s">
        <v>4336</v>
      </c>
      <c r="X4437" s="2" t="s">
        <v>471</v>
      </c>
      <c r="Y4437" s="2">
        <v>4557</v>
      </c>
      <c r="Z4437" s="19" t="str">
        <f>HYPERLINK("https://ssdweb.co/ssdweb/hd/Vision360.html?d=941021658&amp;zoomslide=1&amp;z=1941021658&amp;ISCONFIRM=0","VIDEO")</f>
        <v>VIDEO</v>
      </c>
      <c r="AA4437" s="19" t="str">
        <f>HYPERLINK("https://ssdweb.co/ssdweb/CERTH/669458173.pdf","CERTI")</f>
        <v>CERTI</v>
      </c>
    </row>
    <row r="4438" spans="1:27" ht="15" x14ac:dyDescent="0.25">
      <c r="A4438" s="2">
        <v>4433</v>
      </c>
      <c r="B4438" s="39">
        <v>924130112</v>
      </c>
      <c r="C4438" s="28" t="str">
        <f>HYPERLINK("https://pld.live/RapDetail.aspx?STONELIST=924130112","DNA")</f>
        <v>DNA</v>
      </c>
      <c r="D4438" s="18" t="s">
        <v>2990</v>
      </c>
      <c r="E4438" s="18" t="s">
        <v>5128</v>
      </c>
      <c r="F4438" s="2" t="s">
        <v>7987</v>
      </c>
      <c r="G4438" s="2" t="s">
        <v>1573</v>
      </c>
      <c r="H4438" s="14">
        <v>0.93</v>
      </c>
      <c r="I4438" s="2" t="s">
        <v>4699</v>
      </c>
      <c r="J4438" s="2" t="s">
        <v>5144</v>
      </c>
      <c r="K4438" s="2" t="s">
        <v>1452</v>
      </c>
      <c r="L4438" s="2" t="s">
        <v>5221</v>
      </c>
      <c r="M4438" s="2" t="s">
        <v>5221</v>
      </c>
      <c r="N4438" s="2" t="s">
        <v>2317</v>
      </c>
      <c r="O4438" s="14">
        <v>4000</v>
      </c>
      <c r="P4438" s="14">
        <v>97.33</v>
      </c>
      <c r="Q4438" s="14">
        <v>106.8</v>
      </c>
      <c r="R4438" s="14">
        <v>99.32</v>
      </c>
      <c r="S4438" s="2" t="s">
        <v>7292</v>
      </c>
      <c r="T4438" s="2">
        <v>1.38</v>
      </c>
      <c r="U4438" s="2">
        <v>60.9</v>
      </c>
      <c r="V4438" s="2">
        <v>61</v>
      </c>
      <c r="W4438" s="2" t="s">
        <v>4336</v>
      </c>
      <c r="X4438" s="2" t="s">
        <v>471</v>
      </c>
      <c r="Y4438" s="2">
        <v>3720</v>
      </c>
      <c r="Z4438" s="19" t="str">
        <f>HYPERLINK("https://ssdweb.co/ssdweb/hd/Vision360.html?d=924130112&amp;zoomslide=1&amp;z=1924130112&amp;ISCONFIRM=0","VIDEO")</f>
        <v>VIDEO</v>
      </c>
      <c r="AA4438" s="19" t="str">
        <f>HYPERLINK("https://ssdweb.co/ssdweb/CERTH/575312402.pdf","CERTI")</f>
        <v>CERTI</v>
      </c>
    </row>
    <row r="4439" spans="1:27" ht="15" x14ac:dyDescent="0.25">
      <c r="A4439" s="2">
        <v>4434</v>
      </c>
      <c r="B4439" s="39">
        <v>925080487</v>
      </c>
      <c r="C4439" s="28" t="str">
        <f>HYPERLINK("https://pld.live/RapDetail.aspx?STONELIST=925080487","DNA")</f>
        <v>DNA</v>
      </c>
      <c r="D4439" s="18" t="s">
        <v>2990</v>
      </c>
      <c r="E4439" s="18" t="s">
        <v>5128</v>
      </c>
      <c r="F4439" s="2" t="s">
        <v>7987</v>
      </c>
      <c r="G4439" s="2" t="s">
        <v>1573</v>
      </c>
      <c r="H4439" s="14">
        <v>0.92</v>
      </c>
      <c r="I4439" s="2" t="s">
        <v>267</v>
      </c>
      <c r="J4439" s="2" t="s">
        <v>3942</v>
      </c>
      <c r="K4439" s="2" t="s">
        <v>1452</v>
      </c>
      <c r="L4439" s="2" t="s">
        <v>5221</v>
      </c>
      <c r="M4439" s="2" t="s">
        <v>5221</v>
      </c>
      <c r="N4439" s="2" t="s">
        <v>2317</v>
      </c>
      <c r="O4439" s="14">
        <v>5600</v>
      </c>
      <c r="P4439" s="14">
        <v>97.86</v>
      </c>
      <c r="Q4439" s="14">
        <v>119.84</v>
      </c>
      <c r="R4439" s="14">
        <v>110.25</v>
      </c>
      <c r="S4439" s="2" t="s">
        <v>3586</v>
      </c>
      <c r="T4439" s="2">
        <v>1.37</v>
      </c>
      <c r="U4439" s="2">
        <v>62.6</v>
      </c>
      <c r="V4439" s="2">
        <v>61</v>
      </c>
      <c r="W4439" s="2" t="s">
        <v>7862</v>
      </c>
      <c r="X4439" s="2" t="s">
        <v>471</v>
      </c>
      <c r="Y4439" s="2">
        <v>5152</v>
      </c>
      <c r="Z4439" s="19" t="str">
        <f>HYPERLINK("https://ssdweb.co/ssdweb/hd/Vision360.html?d=925080487&amp;zoomslide=1&amp;z=1925080487&amp;ISCONFIRM=0","VIDEO")</f>
        <v>VIDEO</v>
      </c>
      <c r="AA4439" s="19" t="str">
        <f>HYPERLINK("https://ssdweb.co/ssdweb/CERTH/612321925.pdf","CERTI")</f>
        <v>CERTI</v>
      </c>
    </row>
    <row r="4440" spans="1:27" ht="15" x14ac:dyDescent="0.25">
      <c r="A4440" s="2">
        <v>4435</v>
      </c>
      <c r="B4440" s="39">
        <v>927092348</v>
      </c>
      <c r="C4440" s="28" t="str">
        <f>HYPERLINK("https://pld.live/RapDetail.aspx?STONELIST=927092348","DNA")</f>
        <v>DNA</v>
      </c>
      <c r="D4440" s="18" t="s">
        <v>2990</v>
      </c>
      <c r="E4440" s="18" t="s">
        <v>5128</v>
      </c>
      <c r="F4440" s="2" t="s">
        <v>7987</v>
      </c>
      <c r="G4440" s="2" t="s">
        <v>1573</v>
      </c>
      <c r="H4440" s="14">
        <v>0.92</v>
      </c>
      <c r="I4440" s="2" t="s">
        <v>267</v>
      </c>
      <c r="J4440" s="2" t="s">
        <v>3942</v>
      </c>
      <c r="K4440" s="2" t="s">
        <v>1452</v>
      </c>
      <c r="L4440" s="2" t="s">
        <v>5221</v>
      </c>
      <c r="M4440" s="2" t="s">
        <v>5221</v>
      </c>
      <c r="N4440" s="2" t="s">
        <v>2317</v>
      </c>
      <c r="O4440" s="14">
        <v>5600</v>
      </c>
      <c r="P4440" s="14">
        <v>97.77</v>
      </c>
      <c r="Q4440" s="14">
        <v>124.88</v>
      </c>
      <c r="R4440" s="14">
        <v>114.89</v>
      </c>
      <c r="S4440" s="2" t="s">
        <v>5202</v>
      </c>
      <c r="T4440" s="2">
        <v>1.4</v>
      </c>
      <c r="U4440" s="2">
        <v>61.7</v>
      </c>
      <c r="V4440" s="2">
        <v>58</v>
      </c>
      <c r="W4440" s="2" t="s">
        <v>7862</v>
      </c>
      <c r="X4440" s="2" t="s">
        <v>471</v>
      </c>
      <c r="Y4440" s="2">
        <v>5152</v>
      </c>
      <c r="Z4440" s="19" t="str">
        <f>HYPERLINK("https://ssdweb.co/ssdweb/hd/Vision360.html?d=927092348&amp;zoomslide=1&amp;z=1927092348&amp;ISCONFIRM=0","VIDEO")</f>
        <v>VIDEO</v>
      </c>
      <c r="AA4440" s="19" t="str">
        <f>HYPERLINK("https://ssdweb.co/ssdweb/CERTH/668446529.pdf","CERTI")</f>
        <v>CERTI</v>
      </c>
    </row>
    <row r="4441" spans="1:27" ht="15" x14ac:dyDescent="0.25">
      <c r="A4441" s="2">
        <v>4436</v>
      </c>
      <c r="B4441" s="39">
        <v>924420392</v>
      </c>
      <c r="C4441" s="28" t="str">
        <f>HYPERLINK("https://pld.live/RapDetail.aspx?STONELIST=924420392","DNA")</f>
        <v>DNA</v>
      </c>
      <c r="D4441" s="18" t="s">
        <v>2990</v>
      </c>
      <c r="E4441" s="18" t="s">
        <v>5128</v>
      </c>
      <c r="F4441" s="2" t="s">
        <v>7987</v>
      </c>
      <c r="G4441" s="2" t="s">
        <v>1573</v>
      </c>
      <c r="H4441" s="14">
        <v>0.92</v>
      </c>
      <c r="I4441" s="2" t="s">
        <v>267</v>
      </c>
      <c r="J4441" s="2" t="s">
        <v>13</v>
      </c>
      <c r="K4441" s="2" t="s">
        <v>1452</v>
      </c>
      <c r="L4441" s="2" t="s">
        <v>5221</v>
      </c>
      <c r="M4441" s="2" t="s">
        <v>5221</v>
      </c>
      <c r="N4441" s="2" t="s">
        <v>2317</v>
      </c>
      <c r="O4441" s="14">
        <v>5200</v>
      </c>
      <c r="P4441" s="14">
        <v>97.73</v>
      </c>
      <c r="Q4441" s="14">
        <v>118.04</v>
      </c>
      <c r="R4441" s="14">
        <v>108.6</v>
      </c>
      <c r="S4441" s="2" t="s">
        <v>3998</v>
      </c>
      <c r="T4441" s="2">
        <v>1.36</v>
      </c>
      <c r="U4441" s="2">
        <v>62.9</v>
      </c>
      <c r="V4441" s="2">
        <v>58</v>
      </c>
      <c r="W4441" s="2" t="s">
        <v>7862</v>
      </c>
      <c r="X4441" s="2" t="s">
        <v>471</v>
      </c>
      <c r="Y4441" s="2">
        <v>4784</v>
      </c>
      <c r="Z4441" s="19" t="str">
        <f>HYPERLINK("https://ssdweb.co/ssdweb/hd/Vision360.html?d=924420392&amp;zoomslide=1&amp;z=1924420392&amp;ISCONFIRM=0","VIDEO")</f>
        <v>VIDEO</v>
      </c>
      <c r="AA4441" s="19" t="str">
        <f>HYPERLINK("https://ssdweb.co/ssdweb/CERTH/596330761.pdf","CERTI")</f>
        <v>CERTI</v>
      </c>
    </row>
    <row r="4442" spans="1:27" ht="15" x14ac:dyDescent="0.25">
      <c r="A4442" s="2">
        <v>4437</v>
      </c>
      <c r="B4442" s="39">
        <v>925450127</v>
      </c>
      <c r="C4442" s="28" t="str">
        <f>HYPERLINK("https://pld.live/RapDetail.aspx?STONELIST=925450127","DNA")</f>
        <v>DNA</v>
      </c>
      <c r="D4442" s="18" t="s">
        <v>2990</v>
      </c>
      <c r="E4442" s="18" t="s">
        <v>2186</v>
      </c>
      <c r="F4442" s="2" t="s">
        <v>7987</v>
      </c>
      <c r="G4442" s="2" t="s">
        <v>1573</v>
      </c>
      <c r="H4442" s="14">
        <v>0.92</v>
      </c>
      <c r="I4442" s="2" t="s">
        <v>4761</v>
      </c>
      <c r="J4442" s="2" t="s">
        <v>13</v>
      </c>
      <c r="K4442" s="2" t="s">
        <v>1452</v>
      </c>
      <c r="L4442" s="2" t="s">
        <v>5221</v>
      </c>
      <c r="M4442" s="2" t="s">
        <v>5221</v>
      </c>
      <c r="N4442" s="2" t="s">
        <v>2317</v>
      </c>
      <c r="O4442" s="14">
        <v>4900</v>
      </c>
      <c r="P4442" s="14">
        <v>97.65</v>
      </c>
      <c r="Q4442" s="14">
        <v>115.15</v>
      </c>
      <c r="R4442" s="14">
        <v>105.94</v>
      </c>
      <c r="S4442" s="2" t="s">
        <v>6957</v>
      </c>
      <c r="T4442" s="2">
        <v>1.48</v>
      </c>
      <c r="U4442" s="2">
        <v>59.6</v>
      </c>
      <c r="V4442" s="2">
        <v>62</v>
      </c>
      <c r="W4442" s="2" t="s">
        <v>7862</v>
      </c>
      <c r="X4442" s="2" t="s">
        <v>471</v>
      </c>
      <c r="Y4442" s="2">
        <v>4508</v>
      </c>
      <c r="Z4442" s="19" t="str">
        <f>HYPERLINK("https://ssdweb.co/ssdweb/hd/Vision360.html?d=925450127&amp;zoomslide=1&amp;z=1925450127&amp;ISCONFIRM=0","VIDEO")</f>
        <v>VIDEO</v>
      </c>
      <c r="AA4442" s="19" t="str">
        <f>HYPERLINK("https://ssdweb.co/ssdweb/CERTH/622499795.pdf","CERTI")</f>
        <v>CERTI</v>
      </c>
    </row>
    <row r="4443" spans="1:27" ht="15" x14ac:dyDescent="0.25">
      <c r="A4443" s="2">
        <v>4438</v>
      </c>
      <c r="B4443" s="39">
        <v>924410695</v>
      </c>
      <c r="C4443" s="28" t="str">
        <f>HYPERLINK("https://pld.live/RapDetail.aspx?STONELIST=924410695","DNA")</f>
        <v>DNA</v>
      </c>
      <c r="D4443" s="18" t="s">
        <v>2990</v>
      </c>
      <c r="E4443" s="18" t="s">
        <v>2186</v>
      </c>
      <c r="F4443" s="2" t="s">
        <v>7987</v>
      </c>
      <c r="G4443" s="2" t="s">
        <v>1573</v>
      </c>
      <c r="H4443" s="14">
        <v>0.92</v>
      </c>
      <c r="I4443" s="2" t="s">
        <v>6587</v>
      </c>
      <c r="J4443" s="2" t="s">
        <v>13</v>
      </c>
      <c r="K4443" s="2" t="s">
        <v>1452</v>
      </c>
      <c r="L4443" s="2" t="s">
        <v>5221</v>
      </c>
      <c r="M4443" s="2" t="s">
        <v>5221</v>
      </c>
      <c r="N4443" s="2" t="s">
        <v>2317</v>
      </c>
      <c r="O4443" s="14">
        <v>4300</v>
      </c>
      <c r="P4443" s="14">
        <v>97.47</v>
      </c>
      <c r="Q4443" s="14">
        <v>108.79</v>
      </c>
      <c r="R4443" s="14">
        <v>100.09</v>
      </c>
      <c r="S4443" s="2" t="s">
        <v>2879</v>
      </c>
      <c r="T4443" s="2">
        <v>1.54</v>
      </c>
      <c r="U4443" s="2">
        <v>59.4</v>
      </c>
      <c r="V4443" s="2">
        <v>62</v>
      </c>
      <c r="W4443" s="2" t="s">
        <v>7862</v>
      </c>
      <c r="X4443" s="2" t="s">
        <v>471</v>
      </c>
      <c r="Y4443" s="2">
        <v>3956</v>
      </c>
      <c r="Z4443" s="19" t="str">
        <f>HYPERLINK("https://ssdweb.co/ssdweb/hd/Vision360.html?d=924410695&amp;zoomslide=1&amp;z=1924410695&amp;ISCONFIRM=0","VIDEO")</f>
        <v>VIDEO</v>
      </c>
      <c r="AA4443" s="19" t="str">
        <f>HYPERLINK("https://ssdweb.co/ssdweb/CERTH/596307634.pdf","CERTI")</f>
        <v>CERTI</v>
      </c>
    </row>
    <row r="4444" spans="1:27" ht="15" x14ac:dyDescent="0.25">
      <c r="A4444" s="2">
        <v>4439</v>
      </c>
      <c r="B4444" s="39">
        <v>920470396</v>
      </c>
      <c r="C4444" s="28" t="str">
        <f>HYPERLINK("https://pld.live/RapDetail.aspx?STONELIST=920470396","DNA")</f>
        <v>DNA</v>
      </c>
      <c r="D4444" s="18" t="s">
        <v>2990</v>
      </c>
      <c r="E4444" s="18" t="s">
        <v>7909</v>
      </c>
      <c r="F4444" s="2" t="s">
        <v>7987</v>
      </c>
      <c r="G4444" s="2" t="s">
        <v>1573</v>
      </c>
      <c r="H4444" s="14">
        <v>0.92</v>
      </c>
      <c r="I4444" s="2" t="s">
        <v>6845</v>
      </c>
      <c r="J4444" s="2" t="s">
        <v>13</v>
      </c>
      <c r="K4444" s="2" t="s">
        <v>1452</v>
      </c>
      <c r="L4444" s="2" t="s">
        <v>5221</v>
      </c>
      <c r="M4444" s="2" t="s">
        <v>5221</v>
      </c>
      <c r="N4444" s="2" t="s">
        <v>2317</v>
      </c>
      <c r="O4444" s="14">
        <v>1800</v>
      </c>
      <c r="P4444" s="14">
        <v>90</v>
      </c>
      <c r="Q4444" s="14">
        <v>180</v>
      </c>
      <c r="R4444" s="14">
        <v>165.6</v>
      </c>
      <c r="S4444" s="2" t="s">
        <v>6375</v>
      </c>
      <c r="T4444" s="2">
        <v>1.36</v>
      </c>
      <c r="U4444" s="2">
        <v>62.6</v>
      </c>
      <c r="V4444" s="2">
        <v>57</v>
      </c>
      <c r="W4444" s="2" t="s">
        <v>7862</v>
      </c>
      <c r="X4444" s="2" t="s">
        <v>471</v>
      </c>
      <c r="Y4444" s="2">
        <v>1656</v>
      </c>
      <c r="Z4444" s="19" t="str">
        <f>HYPERLINK("https://ssdweb.co/ssdweb/hd/Vision360.html?d=920470396&amp;zoomslide=1&amp;z=1920470396&amp;ISCONFIRM=0","VIDEO")</f>
        <v>VIDEO</v>
      </c>
      <c r="AA4444" s="19" t="str">
        <f>HYPERLINK("https://ssdweb.co/ssdweb/CERTH/631429899.pdf","CERTI")</f>
        <v>CERTI</v>
      </c>
    </row>
    <row r="4445" spans="1:27" ht="15" x14ac:dyDescent="0.25">
      <c r="A4445" s="2">
        <v>4440</v>
      </c>
      <c r="B4445" s="39">
        <v>926210774</v>
      </c>
      <c r="C4445" s="28" t="str">
        <f>HYPERLINK("https://pld.live/RapDetail.aspx?STONELIST=926210774","DNA")</f>
        <v>DNA</v>
      </c>
      <c r="D4445" s="18" t="s">
        <v>2990</v>
      </c>
      <c r="E4445" s="18" t="s">
        <v>5128</v>
      </c>
      <c r="F4445" s="2" t="s">
        <v>7987</v>
      </c>
      <c r="G4445" s="2" t="s">
        <v>1573</v>
      </c>
      <c r="H4445" s="14">
        <v>0.91</v>
      </c>
      <c r="I4445" s="2" t="s">
        <v>267</v>
      </c>
      <c r="J4445" s="2" t="s">
        <v>3942</v>
      </c>
      <c r="K4445" s="2" t="s">
        <v>1452</v>
      </c>
      <c r="L4445" s="2" t="s">
        <v>5221</v>
      </c>
      <c r="M4445" s="2" t="s">
        <v>5221</v>
      </c>
      <c r="N4445" s="2" t="s">
        <v>2317</v>
      </c>
      <c r="O4445" s="14">
        <v>5600</v>
      </c>
      <c r="P4445" s="14">
        <v>97.86</v>
      </c>
      <c r="Q4445" s="14">
        <v>119.84</v>
      </c>
      <c r="R4445" s="14">
        <v>109.05</v>
      </c>
      <c r="S4445" s="2" t="s">
        <v>5246</v>
      </c>
      <c r="T4445" s="2">
        <v>1.41</v>
      </c>
      <c r="U4445" s="2">
        <v>62.3</v>
      </c>
      <c r="V4445" s="2">
        <v>60</v>
      </c>
      <c r="W4445" s="2" t="s">
        <v>7862</v>
      </c>
      <c r="X4445" s="2" t="s">
        <v>471</v>
      </c>
      <c r="Y4445" s="2">
        <v>5096</v>
      </c>
      <c r="Z4445" s="19" t="str">
        <f>HYPERLINK("https://ssdweb.co/ssdweb/hd/Vision360.html?d=926210774&amp;zoomslide=1&amp;z=1926210774&amp;ISCONFIRM=0","VIDEO")</f>
        <v>VIDEO</v>
      </c>
      <c r="AA4445" s="19" t="str">
        <f>HYPERLINK("https://ssdweb.co/ssdweb/CERTH/635423876.pdf","CERTI")</f>
        <v>CERTI</v>
      </c>
    </row>
    <row r="4446" spans="1:27" ht="15" x14ac:dyDescent="0.25">
      <c r="A4446" s="2">
        <v>4441</v>
      </c>
      <c r="B4446" s="39">
        <v>925080490</v>
      </c>
      <c r="C4446" s="28" t="str">
        <f>HYPERLINK("https://pld.live/RapDetail.aspx?STONELIST=925080490","DNA")</f>
        <v>DNA</v>
      </c>
      <c r="D4446" s="18" t="s">
        <v>2990</v>
      </c>
      <c r="E4446" s="18" t="s">
        <v>5128</v>
      </c>
      <c r="F4446" s="2" t="s">
        <v>7987</v>
      </c>
      <c r="G4446" s="2" t="s">
        <v>1573</v>
      </c>
      <c r="H4446" s="14">
        <v>0.91</v>
      </c>
      <c r="I4446" s="2" t="s">
        <v>267</v>
      </c>
      <c r="J4446" s="2" t="s">
        <v>3942</v>
      </c>
      <c r="K4446" s="2" t="s">
        <v>1452</v>
      </c>
      <c r="L4446" s="2" t="s">
        <v>5221</v>
      </c>
      <c r="M4446" s="2" t="s">
        <v>5221</v>
      </c>
      <c r="N4446" s="2" t="s">
        <v>2317</v>
      </c>
      <c r="O4446" s="14">
        <v>5600</v>
      </c>
      <c r="P4446" s="14">
        <v>97.86</v>
      </c>
      <c r="Q4446" s="14">
        <v>119.84</v>
      </c>
      <c r="R4446" s="14">
        <v>109.05</v>
      </c>
      <c r="S4446" s="2" t="s">
        <v>3532</v>
      </c>
      <c r="T4446" s="2">
        <v>1.45</v>
      </c>
      <c r="U4446" s="2">
        <v>62.8</v>
      </c>
      <c r="V4446" s="2">
        <v>57</v>
      </c>
      <c r="W4446" s="2" t="s">
        <v>7862</v>
      </c>
      <c r="X4446" s="2" t="s">
        <v>471</v>
      </c>
      <c r="Y4446" s="2">
        <v>5096</v>
      </c>
      <c r="Z4446" s="19" t="str">
        <f>HYPERLINK("https://ssdweb.co/ssdweb/hd/Vision360.html?d=925080490&amp;zoomslide=1&amp;z=1925080490&amp;ISCONFIRM=0","VIDEO")</f>
        <v>VIDEO</v>
      </c>
      <c r="AA4446" s="19" t="str">
        <f>HYPERLINK("https://ssdweb.co/ssdweb/CERTH/612321976.pdf","CERTI")</f>
        <v>CERTI</v>
      </c>
    </row>
    <row r="4447" spans="1:27" ht="15" x14ac:dyDescent="0.25">
      <c r="A4447" s="2">
        <v>4442</v>
      </c>
      <c r="B4447" s="39">
        <v>925080445</v>
      </c>
      <c r="C4447" s="28" t="str">
        <f>HYPERLINK("https://pld.live/RapDetail.aspx?STONELIST=925080445","DNA")</f>
        <v>DNA</v>
      </c>
      <c r="D4447" s="18" t="s">
        <v>2990</v>
      </c>
      <c r="E4447" s="18" t="s">
        <v>5128</v>
      </c>
      <c r="F4447" s="2" t="s">
        <v>7987</v>
      </c>
      <c r="G4447" s="2" t="s">
        <v>1573</v>
      </c>
      <c r="H4447" s="14">
        <v>0.91</v>
      </c>
      <c r="I4447" s="2" t="s">
        <v>267</v>
      </c>
      <c r="J4447" s="2" t="s">
        <v>3942</v>
      </c>
      <c r="K4447" s="2" t="s">
        <v>1452</v>
      </c>
      <c r="L4447" s="2" t="s">
        <v>5221</v>
      </c>
      <c r="M4447" s="2" t="s">
        <v>5221</v>
      </c>
      <c r="N4447" s="2" t="s">
        <v>2317</v>
      </c>
      <c r="O4447" s="14">
        <v>5600</v>
      </c>
      <c r="P4447" s="14">
        <v>97.86</v>
      </c>
      <c r="Q4447" s="14">
        <v>119.84</v>
      </c>
      <c r="R4447" s="14">
        <v>109.05</v>
      </c>
      <c r="S4447" s="2" t="s">
        <v>4013</v>
      </c>
      <c r="T4447" s="2">
        <v>1.4</v>
      </c>
      <c r="U4447" s="2">
        <v>61.4</v>
      </c>
      <c r="V4447" s="2">
        <v>61</v>
      </c>
      <c r="W4447" s="2" t="s">
        <v>7862</v>
      </c>
      <c r="X4447" s="2" t="s">
        <v>471</v>
      </c>
      <c r="Y4447" s="2">
        <v>5096</v>
      </c>
      <c r="Z4447" s="19" t="str">
        <f>HYPERLINK("https://ssdweb.co/ssdweb/hd/Vision360.html?d=925080445&amp;zoomslide=1&amp;z=1925080445&amp;ISCONFIRM=0","VIDEO")</f>
        <v>VIDEO</v>
      </c>
      <c r="AA4447" s="19" t="str">
        <f>HYPERLINK("https://ssdweb.co/ssdweb/CERTH/611357167.pdf","CERTI")</f>
        <v>CERTI</v>
      </c>
    </row>
    <row r="4448" spans="1:27" ht="15" x14ac:dyDescent="0.25">
      <c r="A4448" s="2">
        <v>4443</v>
      </c>
      <c r="B4448" s="39">
        <v>925830760</v>
      </c>
      <c r="C4448" s="28" t="str">
        <f>HYPERLINK("https://pld.live/RapDetail.aspx?STONELIST=925830760","DNA")</f>
        <v>DNA</v>
      </c>
      <c r="D4448" s="18" t="s">
        <v>2990</v>
      </c>
      <c r="E4448" s="18" t="s">
        <v>5128</v>
      </c>
      <c r="F4448" s="2" t="s">
        <v>7987</v>
      </c>
      <c r="G4448" s="2" t="s">
        <v>1573</v>
      </c>
      <c r="H4448" s="14">
        <v>0.91</v>
      </c>
      <c r="I4448" s="2" t="s">
        <v>267</v>
      </c>
      <c r="J4448" s="2" t="s">
        <v>13</v>
      </c>
      <c r="K4448" s="2" t="s">
        <v>1452</v>
      </c>
      <c r="L4448" s="2" t="s">
        <v>5221</v>
      </c>
      <c r="M4448" s="2" t="s">
        <v>5221</v>
      </c>
      <c r="N4448" s="2" t="s">
        <v>2317</v>
      </c>
      <c r="O4448" s="14">
        <v>5200</v>
      </c>
      <c r="P4448" s="14">
        <v>97.73</v>
      </c>
      <c r="Q4448" s="14">
        <v>118.04</v>
      </c>
      <c r="R4448" s="14">
        <v>107.42</v>
      </c>
      <c r="S4448" s="2" t="s">
        <v>593</v>
      </c>
      <c r="T4448" s="2">
        <v>1.4</v>
      </c>
      <c r="U4448" s="2">
        <v>62.4</v>
      </c>
      <c r="V4448" s="2">
        <v>58</v>
      </c>
      <c r="W4448" s="2" t="s">
        <v>7862</v>
      </c>
      <c r="X4448" s="2" t="s">
        <v>471</v>
      </c>
      <c r="Y4448" s="2">
        <v>4732</v>
      </c>
      <c r="Z4448" s="19" t="str">
        <f>HYPERLINK("https://ssdweb.co/ssdweb/hd/Vision360.html?d=925830760&amp;zoomslide=1&amp;z=1925830760&amp;ISCONFIRM=0","VIDEO")</f>
        <v>VIDEO</v>
      </c>
      <c r="AA4448" s="19" t="str">
        <f>HYPERLINK("https://ssdweb.co/ssdweb/CERTH/629435593.pdf","CERTI")</f>
        <v>CERTI</v>
      </c>
    </row>
    <row r="4449" spans="1:27" ht="15" x14ac:dyDescent="0.25">
      <c r="A4449" s="2">
        <v>4444</v>
      </c>
      <c r="B4449" s="39">
        <v>925900409</v>
      </c>
      <c r="C4449" s="28" t="str">
        <f>HYPERLINK("https://pld.live/RapDetail.aspx?STONELIST=925900409","DNA")</f>
        <v>DNA</v>
      </c>
      <c r="D4449" s="18" t="s">
        <v>2990</v>
      </c>
      <c r="E4449" s="18" t="s">
        <v>5128</v>
      </c>
      <c r="F4449" s="2" t="s">
        <v>7987</v>
      </c>
      <c r="G4449" s="2" t="s">
        <v>1573</v>
      </c>
      <c r="H4449" s="14">
        <v>0.91</v>
      </c>
      <c r="I4449" s="2" t="s">
        <v>267</v>
      </c>
      <c r="J4449" s="2" t="s">
        <v>13</v>
      </c>
      <c r="K4449" s="2" t="s">
        <v>1452</v>
      </c>
      <c r="L4449" s="2" t="s">
        <v>5221</v>
      </c>
      <c r="M4449" s="2" t="s">
        <v>5221</v>
      </c>
      <c r="N4449" s="2" t="s">
        <v>2317</v>
      </c>
      <c r="O4449" s="14">
        <v>5200</v>
      </c>
      <c r="P4449" s="14">
        <v>97.73</v>
      </c>
      <c r="Q4449" s="14">
        <v>118.04</v>
      </c>
      <c r="R4449" s="14">
        <v>107.42</v>
      </c>
      <c r="S4449" s="2" t="s">
        <v>1005</v>
      </c>
      <c r="T4449" s="2">
        <v>1.38</v>
      </c>
      <c r="U4449" s="2">
        <v>62.4</v>
      </c>
      <c r="V4449" s="2">
        <v>58</v>
      </c>
      <c r="W4449" s="2" t="s">
        <v>7862</v>
      </c>
      <c r="X4449" s="2" t="s">
        <v>471</v>
      </c>
      <c r="Y4449" s="2">
        <v>4732</v>
      </c>
      <c r="Z4449" s="19" t="str">
        <f>HYPERLINK("https://ssdweb.co/ssdweb/hd/Vision360.html?d=925900409&amp;zoomslide=1&amp;z=1925900409&amp;ISCONFIRM=0","VIDEO")</f>
        <v>VIDEO</v>
      </c>
      <c r="AA4449" s="19" t="str">
        <f>HYPERLINK("https://ssdweb.co/ssdweb/CERTH/627431711.pdf","CERTI")</f>
        <v>CERTI</v>
      </c>
    </row>
    <row r="4450" spans="1:27" ht="15" x14ac:dyDescent="0.25">
      <c r="A4450" s="2">
        <v>4445</v>
      </c>
      <c r="B4450" s="39">
        <v>925080458</v>
      </c>
      <c r="C4450" s="28" t="str">
        <f>HYPERLINK("https://pld.live/RapDetail.aspx?STONELIST=925080458","DNA")</f>
        <v>DNA</v>
      </c>
      <c r="D4450" s="18" t="s">
        <v>2990</v>
      </c>
      <c r="E4450" s="18" t="s">
        <v>5128</v>
      </c>
      <c r="F4450" s="2" t="s">
        <v>7987</v>
      </c>
      <c r="G4450" s="2" t="s">
        <v>1573</v>
      </c>
      <c r="H4450" s="14">
        <v>0.91</v>
      </c>
      <c r="I4450" s="2" t="s">
        <v>267</v>
      </c>
      <c r="J4450" s="2" t="s">
        <v>13</v>
      </c>
      <c r="K4450" s="2" t="s">
        <v>1452</v>
      </c>
      <c r="L4450" s="2" t="s">
        <v>5221</v>
      </c>
      <c r="M4450" s="2" t="s">
        <v>5221</v>
      </c>
      <c r="N4450" s="2" t="s">
        <v>2317</v>
      </c>
      <c r="O4450" s="14">
        <v>5200</v>
      </c>
      <c r="P4450" s="14">
        <v>97.73</v>
      </c>
      <c r="Q4450" s="14">
        <v>118.04</v>
      </c>
      <c r="R4450" s="14">
        <v>107.42</v>
      </c>
      <c r="S4450" s="2" t="s">
        <v>8072</v>
      </c>
      <c r="T4450" s="2">
        <v>1.38</v>
      </c>
      <c r="U4450" s="2">
        <v>63.2</v>
      </c>
      <c r="V4450" s="2">
        <v>61</v>
      </c>
      <c r="W4450" s="2" t="s">
        <v>7862</v>
      </c>
      <c r="X4450" s="2" t="s">
        <v>471</v>
      </c>
      <c r="Y4450" s="2">
        <v>4732</v>
      </c>
      <c r="Z4450" s="19" t="str">
        <f>HYPERLINK("https://ssdweb.co/ssdweb/hd/Vision360.html?d=925080458&amp;zoomslide=1&amp;z=1925080458&amp;ISCONFIRM=0","VIDEO")</f>
        <v>VIDEO</v>
      </c>
      <c r="AA4450" s="19" t="str">
        <f>HYPERLINK("https://ssdweb.co/ssdweb/CERTH/611357152.pdf","CERTI")</f>
        <v>CERTI</v>
      </c>
    </row>
    <row r="4451" spans="1:27" ht="15" x14ac:dyDescent="0.25">
      <c r="A4451" s="2">
        <v>4446</v>
      </c>
      <c r="B4451" s="39">
        <v>924420395</v>
      </c>
      <c r="C4451" s="28" t="str">
        <f>HYPERLINK("https://pld.live/RapDetail.aspx?STONELIST=924420395","DNA")</f>
        <v>DNA</v>
      </c>
      <c r="D4451" s="18" t="s">
        <v>2990</v>
      </c>
      <c r="E4451" s="18" t="s">
        <v>5128</v>
      </c>
      <c r="F4451" s="2" t="s">
        <v>7987</v>
      </c>
      <c r="G4451" s="2" t="s">
        <v>1573</v>
      </c>
      <c r="H4451" s="14">
        <v>0.91</v>
      </c>
      <c r="I4451" s="2" t="s">
        <v>267</v>
      </c>
      <c r="J4451" s="2" t="s">
        <v>5144</v>
      </c>
      <c r="K4451" s="2" t="s">
        <v>1452</v>
      </c>
      <c r="L4451" s="2" t="s">
        <v>5221</v>
      </c>
      <c r="M4451" s="2" t="s">
        <v>5221</v>
      </c>
      <c r="N4451" s="2" t="s">
        <v>2317</v>
      </c>
      <c r="O4451" s="14">
        <v>4400</v>
      </c>
      <c r="P4451" s="14">
        <v>97.39</v>
      </c>
      <c r="Q4451" s="14">
        <v>114.84</v>
      </c>
      <c r="R4451" s="14">
        <v>104.5</v>
      </c>
      <c r="S4451" s="2" t="s">
        <v>6825</v>
      </c>
      <c r="T4451" s="2">
        <v>1.45</v>
      </c>
      <c r="U4451" s="2">
        <v>60.1</v>
      </c>
      <c r="V4451" s="2">
        <v>58</v>
      </c>
      <c r="W4451" s="2" t="s">
        <v>7862</v>
      </c>
      <c r="X4451" s="2" t="s">
        <v>471</v>
      </c>
      <c r="Y4451" s="2">
        <v>4004</v>
      </c>
      <c r="Z4451" s="19" t="str">
        <f>HYPERLINK("https://ssdweb.co/ssdweb/hd/Vision360.html?d=924420395&amp;zoomslide=1&amp;z=1924420395&amp;ISCONFIRM=0","VIDEO")</f>
        <v>VIDEO</v>
      </c>
      <c r="AA4451" s="19" t="str">
        <f>HYPERLINK("https://ssdweb.co/ssdweb/CERTH/596332171.pdf","CERTI")</f>
        <v>CERTI</v>
      </c>
    </row>
    <row r="4452" spans="1:27" ht="15" x14ac:dyDescent="0.25">
      <c r="A4452" s="2">
        <v>4447</v>
      </c>
      <c r="B4452" s="39">
        <v>831010709</v>
      </c>
      <c r="C4452" s="28" t="str">
        <f>HYPERLINK("https://pld.live/RapDetail.aspx?STONELIST=831010709","DNA")</f>
        <v>DNA</v>
      </c>
      <c r="D4452" s="18" t="s">
        <v>2990</v>
      </c>
      <c r="E4452" s="18" t="s">
        <v>5128</v>
      </c>
      <c r="F4452" s="2" t="s">
        <v>7987</v>
      </c>
      <c r="G4452" s="2" t="s">
        <v>1573</v>
      </c>
      <c r="H4452" s="14">
        <v>0.91</v>
      </c>
      <c r="I4452" s="2" t="s">
        <v>4761</v>
      </c>
      <c r="J4452" s="2" t="s">
        <v>7032</v>
      </c>
      <c r="K4452" s="2" t="s">
        <v>1452</v>
      </c>
      <c r="L4452" s="2" t="s">
        <v>5221</v>
      </c>
      <c r="M4452" s="2" t="s">
        <v>5221</v>
      </c>
      <c r="N4452" s="2" t="s">
        <v>2317</v>
      </c>
      <c r="O4452" s="14">
        <v>6200</v>
      </c>
      <c r="P4452" s="14">
        <v>95.73</v>
      </c>
      <c r="Q4452" s="14">
        <v>264.74</v>
      </c>
      <c r="R4452" s="14">
        <v>240.91</v>
      </c>
      <c r="S4452" s="2" t="s">
        <v>7221</v>
      </c>
      <c r="T4452" s="2">
        <v>1.36</v>
      </c>
      <c r="U4452" s="2">
        <v>62.5</v>
      </c>
      <c r="V4452" s="2">
        <v>61</v>
      </c>
      <c r="W4452" s="2" t="s">
        <v>7862</v>
      </c>
      <c r="X4452" s="2" t="s">
        <v>471</v>
      </c>
      <c r="Y4452" s="2">
        <v>5642</v>
      </c>
      <c r="Z4452" s="19" t="str">
        <f>HYPERLINK("https://ssdweb.co/ssdweb/hd/Vision360.html?d=831010709&amp;zoomslide=1&amp;z=1831010709&amp;ISCONFIRM=0","VIDEO")</f>
        <v>VIDEO</v>
      </c>
      <c r="AA4452" s="19" t="str">
        <f>HYPERLINK("https://ssdweb.co/ssdweb/CERTH/602358300.pdf","CERTI")</f>
        <v>CERTI</v>
      </c>
    </row>
    <row r="4453" spans="1:27" ht="15" x14ac:dyDescent="0.25">
      <c r="A4453" s="2">
        <v>4448</v>
      </c>
      <c r="B4453" s="39">
        <v>924580389</v>
      </c>
      <c r="C4453" s="28" t="str">
        <f>HYPERLINK("https://pld.live/RapDetail.aspx?STONELIST=924580389","DNA")</f>
        <v>DNA</v>
      </c>
      <c r="D4453" s="18" t="s">
        <v>2990</v>
      </c>
      <c r="E4453" s="18" t="s">
        <v>5128</v>
      </c>
      <c r="F4453" s="2" t="s">
        <v>7987</v>
      </c>
      <c r="G4453" s="2" t="s">
        <v>1573</v>
      </c>
      <c r="H4453" s="14">
        <v>0.91</v>
      </c>
      <c r="I4453" s="2" t="s">
        <v>4761</v>
      </c>
      <c r="J4453" s="2" t="s">
        <v>3942</v>
      </c>
      <c r="K4453" s="2" t="s">
        <v>1452</v>
      </c>
      <c r="L4453" s="2" t="s">
        <v>5221</v>
      </c>
      <c r="M4453" s="2" t="s">
        <v>5221</v>
      </c>
      <c r="N4453" s="2" t="s">
        <v>2317</v>
      </c>
      <c r="O4453" s="14">
        <v>5200</v>
      </c>
      <c r="P4453" s="14">
        <v>97.73</v>
      </c>
      <c r="Q4453" s="14">
        <v>118.04</v>
      </c>
      <c r="R4453" s="14">
        <v>107.42</v>
      </c>
      <c r="S4453" s="2" t="s">
        <v>5441</v>
      </c>
      <c r="T4453" s="2">
        <v>1.38</v>
      </c>
      <c r="U4453" s="2">
        <v>62.3</v>
      </c>
      <c r="V4453" s="2">
        <v>59</v>
      </c>
      <c r="W4453" s="2" t="s">
        <v>7862</v>
      </c>
      <c r="X4453" s="2" t="s">
        <v>471</v>
      </c>
      <c r="Y4453" s="2">
        <v>4732</v>
      </c>
      <c r="Z4453" s="19" t="str">
        <f>HYPERLINK("https://ssdweb.co/ssdweb/hd/Vision360.html?d=924580389&amp;zoomslide=1&amp;z=1924580389&amp;ISCONFIRM=0","VIDEO")</f>
        <v>VIDEO</v>
      </c>
      <c r="AA4453" s="19" t="str">
        <f>HYPERLINK("https://ssdweb.co/ssdweb/CERTH/600304563.pdf","CERTI")</f>
        <v>CERTI</v>
      </c>
    </row>
    <row r="4454" spans="1:27" ht="15" x14ac:dyDescent="0.25">
      <c r="A4454" s="2">
        <v>4449</v>
      </c>
      <c r="B4454" s="39">
        <v>925080469</v>
      </c>
      <c r="C4454" s="28" t="str">
        <f>HYPERLINK("https://pld.live/RapDetail.aspx?STONELIST=925080469","DNA")</f>
        <v>DNA</v>
      </c>
      <c r="D4454" s="18" t="s">
        <v>2990</v>
      </c>
      <c r="E4454" s="18" t="s">
        <v>5128</v>
      </c>
      <c r="F4454" s="2" t="s">
        <v>7987</v>
      </c>
      <c r="G4454" s="2" t="s">
        <v>1573</v>
      </c>
      <c r="H4454" s="14">
        <v>0.91</v>
      </c>
      <c r="I4454" s="2" t="s">
        <v>4761</v>
      </c>
      <c r="J4454" s="2" t="s">
        <v>3942</v>
      </c>
      <c r="K4454" s="2" t="s">
        <v>1452</v>
      </c>
      <c r="L4454" s="2" t="s">
        <v>5221</v>
      </c>
      <c r="M4454" s="2" t="s">
        <v>5221</v>
      </c>
      <c r="N4454" s="2" t="s">
        <v>2317</v>
      </c>
      <c r="O4454" s="14">
        <v>5200</v>
      </c>
      <c r="P4454" s="14">
        <v>97.73</v>
      </c>
      <c r="Q4454" s="14">
        <v>118.04</v>
      </c>
      <c r="R4454" s="14">
        <v>107.42</v>
      </c>
      <c r="S4454" s="2" t="s">
        <v>1829</v>
      </c>
      <c r="T4454" s="2">
        <v>1.38</v>
      </c>
      <c r="U4454" s="2">
        <v>61.8</v>
      </c>
      <c r="V4454" s="2">
        <v>60</v>
      </c>
      <c r="W4454" s="2" t="s">
        <v>7862</v>
      </c>
      <c r="X4454" s="2" t="s">
        <v>471</v>
      </c>
      <c r="Y4454" s="2">
        <v>4732</v>
      </c>
      <c r="Z4454" s="19" t="str">
        <f>HYPERLINK("https://ssdweb.co/ssdweb/hd/Vision360.html?d=925080469&amp;zoomslide=1&amp;z=1925080469&amp;ISCONFIRM=0","VIDEO")</f>
        <v>VIDEO</v>
      </c>
      <c r="AA4454" s="19" t="str">
        <f>HYPERLINK("https://ssdweb.co/ssdweb/CERTH/611374852.pdf","CERTI")</f>
        <v>CERTI</v>
      </c>
    </row>
    <row r="4455" spans="1:27" ht="15" x14ac:dyDescent="0.25">
      <c r="A4455" s="2">
        <v>4450</v>
      </c>
      <c r="B4455" s="39">
        <v>925360396</v>
      </c>
      <c r="C4455" s="28" t="str">
        <f>HYPERLINK("https://pld.live/RapDetail.aspx?STONELIST=925360396","DNA")</f>
        <v>DNA</v>
      </c>
      <c r="D4455" s="18" t="s">
        <v>2990</v>
      </c>
      <c r="E4455" s="18" t="s">
        <v>5128</v>
      </c>
      <c r="F4455" s="2" t="s">
        <v>7987</v>
      </c>
      <c r="G4455" s="2" t="s">
        <v>1573</v>
      </c>
      <c r="H4455" s="14">
        <v>0.91</v>
      </c>
      <c r="I4455" s="2" t="s">
        <v>4761</v>
      </c>
      <c r="J4455" s="2" t="s">
        <v>3942</v>
      </c>
      <c r="K4455" s="2" t="s">
        <v>1452</v>
      </c>
      <c r="L4455" s="2" t="s">
        <v>5221</v>
      </c>
      <c r="M4455" s="2" t="s">
        <v>5721</v>
      </c>
      <c r="N4455" s="2" t="s">
        <v>2317</v>
      </c>
      <c r="O4455" s="14">
        <v>5200</v>
      </c>
      <c r="P4455" s="14">
        <v>97.77</v>
      </c>
      <c r="Q4455" s="14">
        <v>115.96</v>
      </c>
      <c r="R4455" s="14">
        <v>105.52</v>
      </c>
      <c r="S4455" s="2" t="s">
        <v>3363</v>
      </c>
      <c r="T4455" s="2">
        <v>1.4</v>
      </c>
      <c r="U4455" s="2">
        <v>62.3</v>
      </c>
      <c r="V4455" s="2">
        <v>60</v>
      </c>
      <c r="W4455" s="2" t="s">
        <v>7862</v>
      </c>
      <c r="X4455" s="2" t="s">
        <v>471</v>
      </c>
      <c r="Y4455" s="2">
        <v>4732</v>
      </c>
      <c r="Z4455" s="19" t="str">
        <f>HYPERLINK("https://ssdweb.co/ssdweb/hd/Vision360.html?d=925360396&amp;zoomslide=1&amp;z=1925360396&amp;ISCONFIRM=0","VIDEO")</f>
        <v>VIDEO</v>
      </c>
      <c r="AA4455" s="19" t="str">
        <f>HYPERLINK("https://ssdweb.co/ssdweb/CERTH/619469580.pdf","CERTI")</f>
        <v>CERTI</v>
      </c>
    </row>
    <row r="4456" spans="1:27" ht="15" x14ac:dyDescent="0.25">
      <c r="A4456" s="2">
        <v>4451</v>
      </c>
      <c r="B4456" s="39">
        <v>924410677</v>
      </c>
      <c r="C4456" s="28" t="str">
        <f>HYPERLINK("https://pld.live/RapDetail.aspx?STONELIST=924410677","DNA")</f>
        <v>DNA</v>
      </c>
      <c r="D4456" s="18" t="s">
        <v>2990</v>
      </c>
      <c r="E4456" s="18" t="s">
        <v>2186</v>
      </c>
      <c r="F4456" s="2" t="s">
        <v>7987</v>
      </c>
      <c r="G4456" s="2" t="s">
        <v>1573</v>
      </c>
      <c r="H4456" s="14">
        <v>0.91</v>
      </c>
      <c r="I4456" s="2" t="s">
        <v>4699</v>
      </c>
      <c r="J4456" s="2" t="s">
        <v>5144</v>
      </c>
      <c r="K4456" s="2" t="s">
        <v>1452</v>
      </c>
      <c r="L4456" s="2" t="s">
        <v>5221</v>
      </c>
      <c r="M4456" s="2" t="s">
        <v>5221</v>
      </c>
      <c r="N4456" s="2" t="s">
        <v>2317</v>
      </c>
      <c r="O4456" s="14">
        <v>4000</v>
      </c>
      <c r="P4456" s="14">
        <v>97.28</v>
      </c>
      <c r="Q4456" s="14">
        <v>108.8</v>
      </c>
      <c r="R4456" s="14">
        <v>99.01</v>
      </c>
      <c r="S4456" s="2" t="s">
        <v>4914</v>
      </c>
      <c r="T4456" s="2">
        <v>1.54</v>
      </c>
      <c r="U4456" s="2">
        <v>59.3</v>
      </c>
      <c r="V4456" s="2">
        <v>61</v>
      </c>
      <c r="W4456" s="2" t="s">
        <v>7862</v>
      </c>
      <c r="X4456" s="2" t="s">
        <v>471</v>
      </c>
      <c r="Y4456" s="2">
        <v>3640</v>
      </c>
      <c r="Z4456" s="19" t="str">
        <f>HYPERLINK("https://ssdweb.co/ssdweb/hd/Vision360.html?d=924410677&amp;zoomslide=1&amp;z=1924410677&amp;ISCONFIRM=0","VIDEO")</f>
        <v>VIDEO</v>
      </c>
      <c r="AA4456" s="19" t="str">
        <f>HYPERLINK("https://ssdweb.co/ssdweb/CERTH/596307664.pdf","CERTI")</f>
        <v>CERTI</v>
      </c>
    </row>
    <row r="4457" spans="1:27" ht="15" x14ac:dyDescent="0.25">
      <c r="A4457" s="2">
        <v>4452</v>
      </c>
      <c r="B4457" s="39">
        <v>926210954</v>
      </c>
      <c r="C4457" s="28" t="str">
        <f>HYPERLINK("https://pld.live/RapDetail.aspx?STONELIST=926210954","DNA")</f>
        <v>DNA</v>
      </c>
      <c r="D4457" s="18" t="s">
        <v>2990</v>
      </c>
      <c r="E4457" s="18" t="s">
        <v>5128</v>
      </c>
      <c r="F4457" s="2" t="s">
        <v>7987</v>
      </c>
      <c r="G4457" s="2" t="s">
        <v>1573</v>
      </c>
      <c r="H4457" s="14">
        <v>0.9</v>
      </c>
      <c r="I4457" s="2" t="s">
        <v>267</v>
      </c>
      <c r="J4457" s="2" t="s">
        <v>3942</v>
      </c>
      <c r="K4457" s="2" t="s">
        <v>1452</v>
      </c>
      <c r="L4457" s="2" t="s">
        <v>5221</v>
      </c>
      <c r="M4457" s="2" t="s">
        <v>5221</v>
      </c>
      <c r="N4457" s="2" t="s">
        <v>2317</v>
      </c>
      <c r="O4457" s="14">
        <v>5600</v>
      </c>
      <c r="P4457" s="14">
        <v>97.86</v>
      </c>
      <c r="Q4457" s="14">
        <v>119.84</v>
      </c>
      <c r="R4457" s="14">
        <v>107.86</v>
      </c>
      <c r="S4457" s="2" t="s">
        <v>93</v>
      </c>
      <c r="T4457" s="2">
        <v>1.38</v>
      </c>
      <c r="U4457" s="2">
        <v>62.6</v>
      </c>
      <c r="V4457" s="2">
        <v>60</v>
      </c>
      <c r="W4457" s="2" t="s">
        <v>7862</v>
      </c>
      <c r="X4457" s="2" t="s">
        <v>471</v>
      </c>
      <c r="Y4457" s="2">
        <v>5040</v>
      </c>
      <c r="Z4457" s="19" t="str">
        <f>HYPERLINK("https://ssdweb.co/ssdweb/hd/Vision360.html?d=926210954&amp;zoomslide=1&amp;z=1926210954&amp;ISCONFIRM=0","VIDEO")</f>
        <v>VIDEO</v>
      </c>
      <c r="AA4457" s="19" t="str">
        <f>HYPERLINK("https://ssdweb.co/ssdweb/CERTH/635423824.pdf","CERTI")</f>
        <v>CERTI</v>
      </c>
    </row>
    <row r="4458" spans="1:27" ht="15" x14ac:dyDescent="0.25">
      <c r="A4458" s="2">
        <v>4453</v>
      </c>
      <c r="B4458" s="39">
        <v>924280306</v>
      </c>
      <c r="C4458" s="28" t="str">
        <f>HYPERLINK("https://pld.live/RapDetail.aspx?STONELIST=924280306","DNA")</f>
        <v>DNA</v>
      </c>
      <c r="D4458" s="18" t="s">
        <v>2990</v>
      </c>
      <c r="E4458" s="18" t="s">
        <v>5128</v>
      </c>
      <c r="F4458" s="2" t="s">
        <v>7987</v>
      </c>
      <c r="G4458" s="2" t="s">
        <v>1573</v>
      </c>
      <c r="H4458" s="14">
        <v>0.9</v>
      </c>
      <c r="I4458" s="2" t="s">
        <v>267</v>
      </c>
      <c r="J4458" s="2" t="s">
        <v>13</v>
      </c>
      <c r="K4458" s="2" t="s">
        <v>1452</v>
      </c>
      <c r="L4458" s="2" t="s">
        <v>5221</v>
      </c>
      <c r="M4458" s="2" t="s">
        <v>5221</v>
      </c>
      <c r="N4458" s="2" t="s">
        <v>2317</v>
      </c>
      <c r="O4458" s="14">
        <v>5200</v>
      </c>
      <c r="P4458" s="14">
        <v>97.73</v>
      </c>
      <c r="Q4458" s="14">
        <v>118.04</v>
      </c>
      <c r="R4458" s="14">
        <v>106.24</v>
      </c>
      <c r="S4458" s="2" t="s">
        <v>1189</v>
      </c>
      <c r="T4458" s="2">
        <v>1.39</v>
      </c>
      <c r="U4458" s="2">
        <v>61.2</v>
      </c>
      <c r="V4458" s="2">
        <v>57</v>
      </c>
      <c r="W4458" s="2" t="s">
        <v>7862</v>
      </c>
      <c r="X4458" s="2" t="s">
        <v>471</v>
      </c>
      <c r="Y4458" s="2">
        <v>4680</v>
      </c>
      <c r="Z4458" s="19" t="str">
        <f>HYPERLINK("https://ssdweb.co/ssdweb/hd/Vision360.html?d=924280306&amp;zoomslide=1&amp;z=1924280306&amp;ISCONFIRM=0","VIDEO")</f>
        <v>VIDEO</v>
      </c>
      <c r="AA4458" s="19" t="str">
        <f>HYPERLINK("https://ssdweb.co/ssdweb/CERTH/587397849.pdf","CERTI")</f>
        <v>CERTI</v>
      </c>
    </row>
    <row r="4459" spans="1:27" ht="15" x14ac:dyDescent="0.25">
      <c r="A4459" s="2">
        <v>4454</v>
      </c>
      <c r="B4459" s="39">
        <v>926210534</v>
      </c>
      <c r="C4459" s="28" t="str">
        <f>HYPERLINK("https://pld.live/RapDetail.aspx?STONELIST=926210534","DNA")</f>
        <v>DNA</v>
      </c>
      <c r="D4459" s="18" t="s">
        <v>2990</v>
      </c>
      <c r="E4459" s="18" t="s">
        <v>5128</v>
      </c>
      <c r="F4459" s="2" t="s">
        <v>7987</v>
      </c>
      <c r="G4459" s="2" t="s">
        <v>1573</v>
      </c>
      <c r="H4459" s="14">
        <v>0.9</v>
      </c>
      <c r="I4459" s="2" t="s">
        <v>267</v>
      </c>
      <c r="J4459" s="2" t="s">
        <v>13</v>
      </c>
      <c r="K4459" s="2" t="s">
        <v>1452</v>
      </c>
      <c r="L4459" s="2" t="s">
        <v>5221</v>
      </c>
      <c r="M4459" s="2" t="s">
        <v>5221</v>
      </c>
      <c r="N4459" s="2" t="s">
        <v>2317</v>
      </c>
      <c r="O4459" s="14">
        <v>5200</v>
      </c>
      <c r="P4459" s="14">
        <v>97.73</v>
      </c>
      <c r="Q4459" s="14">
        <v>118.04</v>
      </c>
      <c r="R4459" s="14">
        <v>106.24</v>
      </c>
      <c r="S4459" s="2" t="s">
        <v>5502</v>
      </c>
      <c r="T4459" s="2">
        <v>1.4</v>
      </c>
      <c r="U4459" s="2">
        <v>61.3</v>
      </c>
      <c r="V4459" s="2">
        <v>60</v>
      </c>
      <c r="W4459" s="2" t="s">
        <v>7862</v>
      </c>
      <c r="X4459" s="2" t="s">
        <v>471</v>
      </c>
      <c r="Y4459" s="2">
        <v>4680</v>
      </c>
      <c r="Z4459" s="19" t="str">
        <f>HYPERLINK("https://ssdweb.co/ssdweb/hd/Vision360.html?d=926210534&amp;zoomslide=1&amp;z=1926210534&amp;ISCONFIRM=0","VIDEO")</f>
        <v>VIDEO</v>
      </c>
      <c r="AA4459" s="19" t="str">
        <f>HYPERLINK("https://ssdweb.co/ssdweb/CERTH/634431253.pdf","CERTI")</f>
        <v>CERTI</v>
      </c>
    </row>
    <row r="4460" spans="1:27" ht="15" x14ac:dyDescent="0.25">
      <c r="A4460" s="2">
        <v>4455</v>
      </c>
      <c r="B4460" s="39">
        <v>926210633</v>
      </c>
      <c r="C4460" s="28" t="str">
        <f>HYPERLINK("https://pld.live/RapDetail.aspx?STONELIST=926210633","DNA")</f>
        <v>DNA</v>
      </c>
      <c r="D4460" s="18" t="s">
        <v>2990</v>
      </c>
      <c r="E4460" s="18" t="s">
        <v>5128</v>
      </c>
      <c r="F4460" s="2" t="s">
        <v>7987</v>
      </c>
      <c r="G4460" s="2" t="s">
        <v>1573</v>
      </c>
      <c r="H4460" s="14">
        <v>0.9</v>
      </c>
      <c r="I4460" s="2" t="s">
        <v>267</v>
      </c>
      <c r="J4460" s="2" t="s">
        <v>13</v>
      </c>
      <c r="K4460" s="2" t="s">
        <v>1452</v>
      </c>
      <c r="L4460" s="2" t="s">
        <v>5221</v>
      </c>
      <c r="M4460" s="2" t="s">
        <v>5221</v>
      </c>
      <c r="N4460" s="2" t="s">
        <v>2317</v>
      </c>
      <c r="O4460" s="14">
        <v>5200</v>
      </c>
      <c r="P4460" s="14">
        <v>97.73</v>
      </c>
      <c r="Q4460" s="14">
        <v>118.04</v>
      </c>
      <c r="R4460" s="14">
        <v>106.24</v>
      </c>
      <c r="S4460" s="2" t="s">
        <v>36</v>
      </c>
      <c r="T4460" s="2">
        <v>1.36</v>
      </c>
      <c r="U4460" s="2">
        <v>63.7</v>
      </c>
      <c r="V4460" s="2">
        <v>59</v>
      </c>
      <c r="W4460" s="2" t="s">
        <v>7862</v>
      </c>
      <c r="X4460" s="2" t="s">
        <v>471</v>
      </c>
      <c r="Y4460" s="2">
        <v>4680</v>
      </c>
      <c r="Z4460" s="19" t="str">
        <f>HYPERLINK("https://ssdweb.co/ssdweb/hd/Vision360.html?d=926210633&amp;zoomslide=1&amp;z=1926210633&amp;ISCONFIRM=0","VIDEO")</f>
        <v>VIDEO</v>
      </c>
      <c r="AA4460" s="19" t="str">
        <f>HYPERLINK("https://ssdweb.co/ssdweb/CERTH/635423815.pdf","CERTI")</f>
        <v>CERTI</v>
      </c>
    </row>
    <row r="4461" spans="1:27" ht="15" x14ac:dyDescent="0.25">
      <c r="A4461" s="2">
        <v>4456</v>
      </c>
      <c r="B4461" s="39">
        <v>926210747</v>
      </c>
      <c r="C4461" s="28" t="str">
        <f>HYPERLINK("https://pld.live/RapDetail.aspx?STONELIST=926210747","DNA")</f>
        <v>DNA</v>
      </c>
      <c r="D4461" s="18" t="s">
        <v>2990</v>
      </c>
      <c r="E4461" s="18" t="s">
        <v>5128</v>
      </c>
      <c r="F4461" s="2" t="s">
        <v>7987</v>
      </c>
      <c r="G4461" s="2" t="s">
        <v>1573</v>
      </c>
      <c r="H4461" s="14">
        <v>0.9</v>
      </c>
      <c r="I4461" s="2" t="s">
        <v>267</v>
      </c>
      <c r="J4461" s="2" t="s">
        <v>13</v>
      </c>
      <c r="K4461" s="2" t="s">
        <v>1452</v>
      </c>
      <c r="L4461" s="2" t="s">
        <v>5221</v>
      </c>
      <c r="M4461" s="2" t="s">
        <v>5221</v>
      </c>
      <c r="N4461" s="2" t="s">
        <v>2317</v>
      </c>
      <c r="O4461" s="14">
        <v>5200</v>
      </c>
      <c r="P4461" s="14">
        <v>97.73</v>
      </c>
      <c r="Q4461" s="14">
        <v>118.04</v>
      </c>
      <c r="R4461" s="14">
        <v>106.24</v>
      </c>
      <c r="S4461" s="2" t="s">
        <v>7234</v>
      </c>
      <c r="T4461" s="2">
        <v>1.36</v>
      </c>
      <c r="U4461" s="2">
        <v>62.7</v>
      </c>
      <c r="V4461" s="2">
        <v>59</v>
      </c>
      <c r="W4461" s="2" t="s">
        <v>7862</v>
      </c>
      <c r="X4461" s="2" t="s">
        <v>471</v>
      </c>
      <c r="Y4461" s="2">
        <v>4680</v>
      </c>
      <c r="Z4461" s="19" t="str">
        <f>HYPERLINK("https://ssdweb.co/ssdweb/hd/Vision360.html?d=926210747&amp;zoomslide=1&amp;z=1926210747&amp;ISCONFIRM=0","VIDEO")</f>
        <v>VIDEO</v>
      </c>
      <c r="AA4461" s="19" t="str">
        <f>HYPERLINK("https://ssdweb.co/ssdweb/CERTH/635423875.pdf","CERTI")</f>
        <v>CERTI</v>
      </c>
    </row>
    <row r="4462" spans="1:27" ht="15" x14ac:dyDescent="0.25">
      <c r="A4462" s="2">
        <v>4457</v>
      </c>
      <c r="B4462" s="39">
        <v>925080491</v>
      </c>
      <c r="C4462" s="28" t="str">
        <f>HYPERLINK("https://pld.live/RapDetail.aspx?STONELIST=925080491","DNA")</f>
        <v>DNA</v>
      </c>
      <c r="D4462" s="18" t="s">
        <v>2990</v>
      </c>
      <c r="E4462" s="18" t="s">
        <v>5128</v>
      </c>
      <c r="F4462" s="2" t="s">
        <v>7987</v>
      </c>
      <c r="G4462" s="2" t="s">
        <v>1573</v>
      </c>
      <c r="H4462" s="14">
        <v>0.9</v>
      </c>
      <c r="I4462" s="2" t="s">
        <v>267</v>
      </c>
      <c r="J4462" s="2" t="s">
        <v>13</v>
      </c>
      <c r="K4462" s="2" t="s">
        <v>1452</v>
      </c>
      <c r="L4462" s="2" t="s">
        <v>5221</v>
      </c>
      <c r="M4462" s="2" t="s">
        <v>5221</v>
      </c>
      <c r="N4462" s="2" t="s">
        <v>2317</v>
      </c>
      <c r="O4462" s="14">
        <v>5200</v>
      </c>
      <c r="P4462" s="14">
        <v>97.73</v>
      </c>
      <c r="Q4462" s="14">
        <v>118.04</v>
      </c>
      <c r="R4462" s="14">
        <v>106.24</v>
      </c>
      <c r="S4462" s="2" t="s">
        <v>2085</v>
      </c>
      <c r="T4462" s="2">
        <v>1.43</v>
      </c>
      <c r="U4462" s="2">
        <v>60.6</v>
      </c>
      <c r="V4462" s="2">
        <v>60</v>
      </c>
      <c r="W4462" s="2" t="s">
        <v>7862</v>
      </c>
      <c r="X4462" s="2" t="s">
        <v>471</v>
      </c>
      <c r="Y4462" s="2">
        <v>4680</v>
      </c>
      <c r="Z4462" s="19" t="str">
        <f>HYPERLINK("https://ssdweb.co/ssdweb/hd/Vision360.html?d=925080491&amp;zoomslide=1&amp;z=1925080491&amp;ISCONFIRM=0","VIDEO")</f>
        <v>VIDEO</v>
      </c>
      <c r="AA4462" s="19" t="str">
        <f>HYPERLINK("https://ssdweb.co/ssdweb/CERTH/613349671.pdf","CERTI")</f>
        <v>CERTI</v>
      </c>
    </row>
    <row r="4463" spans="1:27" ht="15" x14ac:dyDescent="0.25">
      <c r="A4463" s="2">
        <v>4458</v>
      </c>
      <c r="B4463" s="39">
        <v>925280508</v>
      </c>
      <c r="C4463" s="28" t="str">
        <f>HYPERLINK("https://pld.live/RapDetail.aspx?STONELIST=925280508","DNA")</f>
        <v>DNA</v>
      </c>
      <c r="D4463" s="18" t="s">
        <v>2990</v>
      </c>
      <c r="E4463" s="18" t="s">
        <v>5128</v>
      </c>
      <c r="F4463" s="2" t="s">
        <v>7987</v>
      </c>
      <c r="G4463" s="2" t="s">
        <v>1573</v>
      </c>
      <c r="H4463" s="14">
        <v>0.9</v>
      </c>
      <c r="I4463" s="2" t="s">
        <v>267</v>
      </c>
      <c r="J4463" s="2" t="s">
        <v>13</v>
      </c>
      <c r="K4463" s="2" t="s">
        <v>1452</v>
      </c>
      <c r="L4463" s="2" t="s">
        <v>5221</v>
      </c>
      <c r="M4463" s="2" t="s">
        <v>5221</v>
      </c>
      <c r="N4463" s="2" t="s">
        <v>2317</v>
      </c>
      <c r="O4463" s="14">
        <v>5200</v>
      </c>
      <c r="P4463" s="14">
        <v>97.73</v>
      </c>
      <c r="Q4463" s="14">
        <v>118.04</v>
      </c>
      <c r="R4463" s="14">
        <v>106.24</v>
      </c>
      <c r="S4463" s="2" t="s">
        <v>769</v>
      </c>
      <c r="T4463" s="2">
        <v>1.39</v>
      </c>
      <c r="U4463" s="2">
        <v>62.3</v>
      </c>
      <c r="V4463" s="2">
        <v>61</v>
      </c>
      <c r="W4463" s="2" t="s">
        <v>7862</v>
      </c>
      <c r="X4463" s="2" t="s">
        <v>471</v>
      </c>
      <c r="Y4463" s="2">
        <v>4680</v>
      </c>
      <c r="Z4463" s="19" t="str">
        <f>HYPERLINK("https://ssdweb.co/ssdweb/hd/Vision360.html?d=925280508&amp;zoomslide=1&amp;z=1925280508&amp;ISCONFIRM=0","VIDEO")</f>
        <v>VIDEO</v>
      </c>
      <c r="AA4463" s="19" t="str">
        <f>HYPERLINK("https://ssdweb.co/ssdweb/CERTH/619469569.pdf","CERTI")</f>
        <v>CERTI</v>
      </c>
    </row>
    <row r="4464" spans="1:27" ht="15" x14ac:dyDescent="0.25">
      <c r="A4464" s="2">
        <v>4459</v>
      </c>
      <c r="B4464" s="39">
        <v>925080457</v>
      </c>
      <c r="C4464" s="28" t="str">
        <f>HYPERLINK("https://pld.live/RapDetail.aspx?STONELIST=925080457","DNA")</f>
        <v>DNA</v>
      </c>
      <c r="D4464" s="18" t="s">
        <v>2990</v>
      </c>
      <c r="E4464" s="18" t="s">
        <v>5128</v>
      </c>
      <c r="F4464" s="2" t="s">
        <v>7987</v>
      </c>
      <c r="G4464" s="2" t="s">
        <v>1573</v>
      </c>
      <c r="H4464" s="14">
        <v>0.9</v>
      </c>
      <c r="I4464" s="2" t="s">
        <v>267</v>
      </c>
      <c r="J4464" s="2" t="s">
        <v>13</v>
      </c>
      <c r="K4464" s="2" t="s">
        <v>1452</v>
      </c>
      <c r="L4464" s="2" t="s">
        <v>5221</v>
      </c>
      <c r="M4464" s="2" t="s">
        <v>5221</v>
      </c>
      <c r="N4464" s="2" t="s">
        <v>2317</v>
      </c>
      <c r="O4464" s="14">
        <v>5200</v>
      </c>
      <c r="P4464" s="14">
        <v>97.73</v>
      </c>
      <c r="Q4464" s="14">
        <v>118.04</v>
      </c>
      <c r="R4464" s="14">
        <v>106.24</v>
      </c>
      <c r="S4464" s="2" t="s">
        <v>3441</v>
      </c>
      <c r="T4464" s="2">
        <v>1.35</v>
      </c>
      <c r="U4464" s="2">
        <v>61.5</v>
      </c>
      <c r="V4464" s="2">
        <v>60</v>
      </c>
      <c r="W4464" s="2" t="s">
        <v>7862</v>
      </c>
      <c r="X4464" s="2" t="s">
        <v>471</v>
      </c>
      <c r="Y4464" s="2">
        <v>4680</v>
      </c>
      <c r="Z4464" s="19" t="str">
        <f>HYPERLINK("https://ssdweb.co/ssdweb/hd/Vision360.html?d=925080457&amp;zoomslide=1&amp;z=1925080457&amp;ISCONFIRM=0","VIDEO")</f>
        <v>VIDEO</v>
      </c>
      <c r="AA4464" s="19" t="str">
        <f>HYPERLINK("https://ssdweb.co/ssdweb/CERTH/611357151.pdf","CERTI")</f>
        <v>CERTI</v>
      </c>
    </row>
    <row r="4465" spans="1:27" ht="15" x14ac:dyDescent="0.25">
      <c r="A4465" s="2">
        <v>4460</v>
      </c>
      <c r="B4465" s="39">
        <v>925290568</v>
      </c>
      <c r="C4465" s="28" t="str">
        <f>HYPERLINK("https://pld.live/RapDetail.aspx?STONELIST=925290568","DNA")</f>
        <v>DNA</v>
      </c>
      <c r="D4465" s="18" t="s">
        <v>2990</v>
      </c>
      <c r="E4465" s="18" t="s">
        <v>5128</v>
      </c>
      <c r="F4465" s="2" t="s">
        <v>7987</v>
      </c>
      <c r="G4465" s="2" t="s">
        <v>1573</v>
      </c>
      <c r="H4465" s="14">
        <v>0.9</v>
      </c>
      <c r="I4465" s="2" t="s">
        <v>267</v>
      </c>
      <c r="J4465" s="2" t="s">
        <v>13</v>
      </c>
      <c r="K4465" s="2" t="s">
        <v>1452</v>
      </c>
      <c r="L4465" s="2" t="s">
        <v>5221</v>
      </c>
      <c r="M4465" s="2" t="s">
        <v>5221</v>
      </c>
      <c r="N4465" s="2" t="s">
        <v>2317</v>
      </c>
      <c r="O4465" s="14">
        <v>5200</v>
      </c>
      <c r="P4465" s="14">
        <v>97.73</v>
      </c>
      <c r="Q4465" s="14">
        <v>118.04</v>
      </c>
      <c r="R4465" s="14">
        <v>106.24</v>
      </c>
      <c r="S4465" s="2" t="s">
        <v>4878</v>
      </c>
      <c r="T4465" s="2">
        <v>1.43</v>
      </c>
      <c r="U4465" s="2">
        <v>62.2</v>
      </c>
      <c r="V4465" s="2">
        <v>59</v>
      </c>
      <c r="W4465" s="2" t="s">
        <v>7862</v>
      </c>
      <c r="X4465" s="2" t="s">
        <v>471</v>
      </c>
      <c r="Y4465" s="2">
        <v>4680</v>
      </c>
      <c r="Z4465" s="19" t="str">
        <f>HYPERLINK("https://ssdweb.co/ssdweb/hd/Vision360.html?d=925290568&amp;zoomslide=1&amp;z=1925290568&amp;ISCONFIRM=0","VIDEO")</f>
        <v>VIDEO</v>
      </c>
      <c r="AA4465" s="19" t="str">
        <f>HYPERLINK("https://ssdweb.co/ssdweb/CERTH/620448807.pdf","CERTI")</f>
        <v>CERTI</v>
      </c>
    </row>
    <row r="4466" spans="1:27" ht="15" x14ac:dyDescent="0.25">
      <c r="A4466" s="2">
        <v>4461</v>
      </c>
      <c r="B4466" s="39">
        <v>925830712</v>
      </c>
      <c r="C4466" s="28" t="str">
        <f>HYPERLINK("https://pld.live/RapDetail.aspx?STONELIST=925830712","DNA")</f>
        <v>DNA</v>
      </c>
      <c r="D4466" s="18" t="s">
        <v>2990</v>
      </c>
      <c r="E4466" s="18" t="s">
        <v>5128</v>
      </c>
      <c r="F4466" s="2" t="s">
        <v>7987</v>
      </c>
      <c r="G4466" s="2" t="s">
        <v>1573</v>
      </c>
      <c r="H4466" s="14">
        <v>0.9</v>
      </c>
      <c r="I4466" s="2" t="s">
        <v>267</v>
      </c>
      <c r="J4466" s="2" t="s">
        <v>5144</v>
      </c>
      <c r="K4466" s="2" t="s">
        <v>1452</v>
      </c>
      <c r="L4466" s="2" t="s">
        <v>5221</v>
      </c>
      <c r="M4466" s="2" t="s">
        <v>5221</v>
      </c>
      <c r="N4466" s="2" t="s">
        <v>2317</v>
      </c>
      <c r="O4466" s="14">
        <v>4400</v>
      </c>
      <c r="P4466" s="14">
        <v>97.39</v>
      </c>
      <c r="Q4466" s="14">
        <v>114.84</v>
      </c>
      <c r="R4466" s="14">
        <v>103.36</v>
      </c>
      <c r="S4466" s="2" t="s">
        <v>1046</v>
      </c>
      <c r="T4466" s="2">
        <v>1.37</v>
      </c>
      <c r="U4466" s="2">
        <v>62.7</v>
      </c>
      <c r="V4466" s="2">
        <v>57</v>
      </c>
      <c r="W4466" s="2" t="s">
        <v>7862</v>
      </c>
      <c r="X4466" s="2" t="s">
        <v>471</v>
      </c>
      <c r="Y4466" s="2">
        <v>3960</v>
      </c>
      <c r="Z4466" s="19" t="str">
        <f>HYPERLINK("https://ssdweb.co/ssdweb/hd/Vision360.html?d=925830712&amp;zoomslide=1&amp;z=1925830712&amp;ISCONFIRM=0","VIDEO")</f>
        <v>VIDEO</v>
      </c>
      <c r="AA4466" s="19" t="str">
        <f>HYPERLINK("https://ssdweb.co/ssdweb/CERTH/627415077.pdf","CERTI")</f>
        <v>CERTI</v>
      </c>
    </row>
    <row r="4467" spans="1:27" ht="15" x14ac:dyDescent="0.25">
      <c r="A4467" s="2">
        <v>4462</v>
      </c>
      <c r="B4467" s="39">
        <v>925280515</v>
      </c>
      <c r="C4467" s="28" t="str">
        <f>HYPERLINK("https://pld.live/RapDetail.aspx?STONELIST=925280515","DNA")</f>
        <v>DNA</v>
      </c>
      <c r="D4467" s="18" t="s">
        <v>2990</v>
      </c>
      <c r="E4467" s="18" t="s">
        <v>5128</v>
      </c>
      <c r="F4467" s="2" t="s">
        <v>7987</v>
      </c>
      <c r="G4467" s="2" t="s">
        <v>1573</v>
      </c>
      <c r="H4467" s="14">
        <v>0.9</v>
      </c>
      <c r="I4467" s="2" t="s">
        <v>267</v>
      </c>
      <c r="J4467" s="2" t="s">
        <v>5144</v>
      </c>
      <c r="K4467" s="2" t="s">
        <v>1452</v>
      </c>
      <c r="L4467" s="2" t="s">
        <v>5221</v>
      </c>
      <c r="M4467" s="2" t="s">
        <v>5221</v>
      </c>
      <c r="N4467" s="2" t="s">
        <v>2317</v>
      </c>
      <c r="O4467" s="14">
        <v>4400</v>
      </c>
      <c r="P4467" s="14">
        <v>97.39</v>
      </c>
      <c r="Q4467" s="14">
        <v>114.84</v>
      </c>
      <c r="R4467" s="14">
        <v>103.36</v>
      </c>
      <c r="S4467" s="2" t="s">
        <v>2461</v>
      </c>
      <c r="T4467" s="2">
        <v>1.46</v>
      </c>
      <c r="U4467" s="2">
        <v>59.4</v>
      </c>
      <c r="V4467" s="2">
        <v>59</v>
      </c>
      <c r="W4467" s="2" t="s">
        <v>7862</v>
      </c>
      <c r="X4467" s="2" t="s">
        <v>471</v>
      </c>
      <c r="Y4467" s="2">
        <v>3960</v>
      </c>
      <c r="Z4467" s="19" t="str">
        <f>HYPERLINK("https://ssdweb.co/ssdweb/hd/Vision360.html?d=925280515&amp;zoomslide=1&amp;z=1925280515&amp;ISCONFIRM=0","VIDEO")</f>
        <v>VIDEO</v>
      </c>
      <c r="AA4467" s="19" t="str">
        <f>HYPERLINK("https://ssdweb.co/ssdweb/CERTH/619469572.pdf","CERTI")</f>
        <v>CERTI</v>
      </c>
    </row>
    <row r="4468" spans="1:27" ht="15" x14ac:dyDescent="0.25">
      <c r="A4468" s="2">
        <v>4463</v>
      </c>
      <c r="B4468" s="39">
        <v>924710172</v>
      </c>
      <c r="C4468" s="28" t="str">
        <f>HYPERLINK("https://pld.live/RapDetail.aspx?STONELIST=924710172","DNA")</f>
        <v>DNA</v>
      </c>
      <c r="D4468" s="18" t="s">
        <v>2990</v>
      </c>
      <c r="E4468" s="18" t="s">
        <v>5128</v>
      </c>
      <c r="F4468" s="2" t="s">
        <v>7987</v>
      </c>
      <c r="G4468" s="2" t="s">
        <v>1573</v>
      </c>
      <c r="H4468" s="14">
        <v>0.9</v>
      </c>
      <c r="I4468" s="2" t="s">
        <v>267</v>
      </c>
      <c r="J4468" s="2" t="s">
        <v>444</v>
      </c>
      <c r="K4468" s="2" t="s">
        <v>1452</v>
      </c>
      <c r="L4468" s="2" t="s">
        <v>5221</v>
      </c>
      <c r="M4468" s="2" t="s">
        <v>5221</v>
      </c>
      <c r="N4468" s="2" t="s">
        <v>2317</v>
      </c>
      <c r="O4468" s="14">
        <v>3700</v>
      </c>
      <c r="P4468" s="14">
        <v>96.97</v>
      </c>
      <c r="Q4468" s="14">
        <v>112.11</v>
      </c>
      <c r="R4468" s="14">
        <v>100.9</v>
      </c>
      <c r="S4468" s="2" t="s">
        <v>2755</v>
      </c>
      <c r="T4468" s="2">
        <v>1.38</v>
      </c>
      <c r="U4468" s="2">
        <v>61.6</v>
      </c>
      <c r="V4468" s="2">
        <v>59</v>
      </c>
      <c r="W4468" s="2" t="s">
        <v>7862</v>
      </c>
      <c r="X4468" s="2" t="s">
        <v>471</v>
      </c>
      <c r="Y4468" s="2">
        <v>3330</v>
      </c>
      <c r="Z4468" s="19" t="str">
        <f>HYPERLINK("https://ssdweb.co/ssdweb/hd/Vision360.html?d=924710172&amp;zoomslide=1&amp;z=1924710172&amp;ISCONFIRM=0","VIDEO")</f>
        <v>VIDEO</v>
      </c>
      <c r="AA4468" s="19" t="str">
        <f>HYPERLINK("https://ssdweb.co/ssdweb/CERTH/601323291.pdf","CERTI")</f>
        <v>CERTI</v>
      </c>
    </row>
    <row r="4469" spans="1:27" ht="15" x14ac:dyDescent="0.25">
      <c r="A4469" s="2">
        <v>4464</v>
      </c>
      <c r="B4469" s="39">
        <v>925280519</v>
      </c>
      <c r="C4469" s="28" t="str">
        <f>HYPERLINK("https://pld.live/RapDetail.aspx?STONELIST=925280519","DNA")</f>
        <v>DNA</v>
      </c>
      <c r="D4469" s="18" t="s">
        <v>2990</v>
      </c>
      <c r="E4469" s="18" t="s">
        <v>5128</v>
      </c>
      <c r="F4469" s="2" t="s">
        <v>7987</v>
      </c>
      <c r="G4469" s="2" t="s">
        <v>1573</v>
      </c>
      <c r="H4469" s="14">
        <v>0.9</v>
      </c>
      <c r="I4469" s="2" t="s">
        <v>267</v>
      </c>
      <c r="J4469" s="2" t="s">
        <v>444</v>
      </c>
      <c r="K4469" s="2" t="s">
        <v>1452</v>
      </c>
      <c r="L4469" s="2" t="s">
        <v>5221</v>
      </c>
      <c r="M4469" s="2" t="s">
        <v>5221</v>
      </c>
      <c r="N4469" s="2" t="s">
        <v>2317</v>
      </c>
      <c r="O4469" s="14">
        <v>3700</v>
      </c>
      <c r="P4469" s="14">
        <v>96.97</v>
      </c>
      <c r="Q4469" s="14">
        <v>112.11</v>
      </c>
      <c r="R4469" s="14">
        <v>100.9</v>
      </c>
      <c r="S4469" s="2" t="s">
        <v>5524</v>
      </c>
      <c r="T4469" s="2">
        <v>1.39</v>
      </c>
      <c r="U4469" s="2">
        <v>63.6</v>
      </c>
      <c r="V4469" s="2">
        <v>64</v>
      </c>
      <c r="W4469" s="2" t="s">
        <v>7862</v>
      </c>
      <c r="X4469" s="2" t="s">
        <v>471</v>
      </c>
      <c r="Y4469" s="2">
        <v>3330</v>
      </c>
      <c r="Z4469" s="19" t="str">
        <f>HYPERLINK("https://ssdweb.co/ssdweb/hd/Vision360.html?d=925280519&amp;zoomslide=1&amp;z=1925280519&amp;ISCONFIRM=0","VIDEO")</f>
        <v>VIDEO</v>
      </c>
      <c r="AA4469" s="19" t="str">
        <f>HYPERLINK("https://ssdweb.co/ssdweb/CERTH/620403069.pdf","CERTI")</f>
        <v>CERTI</v>
      </c>
    </row>
    <row r="4470" spans="1:27" ht="15" x14ac:dyDescent="0.25">
      <c r="A4470" s="2">
        <v>4465</v>
      </c>
      <c r="B4470" s="39">
        <v>925280541</v>
      </c>
      <c r="C4470" s="28" t="str">
        <f>HYPERLINK("https://pld.live/RapDetail.aspx?STONELIST=925280541","DNA")</f>
        <v>DNA</v>
      </c>
      <c r="D4470" s="18" t="s">
        <v>2990</v>
      </c>
      <c r="E4470" s="18" t="s">
        <v>5128</v>
      </c>
      <c r="F4470" s="2" t="s">
        <v>7987</v>
      </c>
      <c r="G4470" s="2" t="s">
        <v>1573</v>
      </c>
      <c r="H4470" s="14">
        <v>0.9</v>
      </c>
      <c r="I4470" s="2" t="s">
        <v>4761</v>
      </c>
      <c r="J4470" s="2" t="s">
        <v>5144</v>
      </c>
      <c r="K4470" s="2" t="s">
        <v>1452</v>
      </c>
      <c r="L4470" s="2" t="s">
        <v>5221</v>
      </c>
      <c r="M4470" s="2" t="s">
        <v>5221</v>
      </c>
      <c r="N4470" s="2" t="s">
        <v>2317</v>
      </c>
      <c r="O4470" s="14">
        <v>4200</v>
      </c>
      <c r="P4470" s="14">
        <v>97.33</v>
      </c>
      <c r="Q4470" s="14">
        <v>112.14</v>
      </c>
      <c r="R4470" s="14">
        <v>100.93</v>
      </c>
      <c r="S4470" s="2" t="s">
        <v>5838</v>
      </c>
      <c r="T4470" s="2">
        <v>1.38</v>
      </c>
      <c r="U4470" s="2">
        <v>62.3</v>
      </c>
      <c r="V4470" s="2">
        <v>61</v>
      </c>
      <c r="W4470" s="2" t="s">
        <v>7862</v>
      </c>
      <c r="X4470" s="2" t="s">
        <v>471</v>
      </c>
      <c r="Y4470" s="2">
        <v>3780</v>
      </c>
      <c r="Z4470" s="19" t="str">
        <f>HYPERLINK("https://ssdweb.co/ssdweb/hd/Vision360.html?d=925280541&amp;zoomslide=1&amp;z=1925280541&amp;ISCONFIRM=0","VIDEO")</f>
        <v>VIDEO</v>
      </c>
      <c r="AA4470" s="19" t="str">
        <f>HYPERLINK("https://ssdweb.co/ssdweb/CERTH/620448863.pdf","CERTI")</f>
        <v>CERTI</v>
      </c>
    </row>
    <row r="4471" spans="1:27" ht="15" x14ac:dyDescent="0.25">
      <c r="A4471" s="2">
        <v>4466</v>
      </c>
      <c r="B4471" s="39">
        <v>925290557</v>
      </c>
      <c r="C4471" s="28" t="str">
        <f>HYPERLINK("https://pld.live/RapDetail.aspx?STONELIST=925290557","DNA")</f>
        <v>DNA</v>
      </c>
      <c r="D4471" s="18" t="s">
        <v>2990</v>
      </c>
      <c r="E4471" s="18" t="s">
        <v>5128</v>
      </c>
      <c r="F4471" s="2" t="s">
        <v>7987</v>
      </c>
      <c r="G4471" s="2" t="s">
        <v>1573</v>
      </c>
      <c r="H4471" s="14">
        <v>0.9</v>
      </c>
      <c r="I4471" s="2" t="s">
        <v>4761</v>
      </c>
      <c r="J4471" s="2" t="s">
        <v>5144</v>
      </c>
      <c r="K4471" s="2" t="s">
        <v>1452</v>
      </c>
      <c r="L4471" s="2" t="s">
        <v>5221</v>
      </c>
      <c r="M4471" s="2" t="s">
        <v>5221</v>
      </c>
      <c r="N4471" s="2" t="s">
        <v>2317</v>
      </c>
      <c r="O4471" s="14">
        <v>4200</v>
      </c>
      <c r="P4471" s="14">
        <v>97.33</v>
      </c>
      <c r="Q4471" s="14">
        <v>112.14</v>
      </c>
      <c r="R4471" s="14">
        <v>100.93</v>
      </c>
      <c r="S4471" s="2" t="s">
        <v>1147</v>
      </c>
      <c r="T4471" s="2">
        <v>1.4</v>
      </c>
      <c r="U4471" s="2">
        <v>61.6</v>
      </c>
      <c r="V4471" s="2">
        <v>59</v>
      </c>
      <c r="W4471" s="2" t="s">
        <v>7862</v>
      </c>
      <c r="X4471" s="2" t="s">
        <v>471</v>
      </c>
      <c r="Y4471" s="2">
        <v>3780</v>
      </c>
      <c r="Z4471" s="19" t="str">
        <f>HYPERLINK("https://ssdweb.co/ssdweb/hd/Vision360.html?d=925290557&amp;zoomslide=1&amp;z=1925290557&amp;ISCONFIRM=0","VIDEO")</f>
        <v>VIDEO</v>
      </c>
      <c r="AA4471" s="19" t="str">
        <f>HYPERLINK("https://ssdweb.co/ssdweb/CERTH/620403091.pdf","CERTI")</f>
        <v>CERTI</v>
      </c>
    </row>
    <row r="4472" spans="1:27" ht="15" x14ac:dyDescent="0.25">
      <c r="A4472" s="2">
        <v>4467</v>
      </c>
      <c r="B4472" s="39">
        <v>925080442</v>
      </c>
      <c r="C4472" s="28" t="str">
        <f>HYPERLINK("https://pld.live/RapDetail.aspx?STONELIST=925080442","DNA")</f>
        <v>DNA</v>
      </c>
      <c r="D4472" s="18" t="s">
        <v>2990</v>
      </c>
      <c r="E4472" s="18" t="s">
        <v>5128</v>
      </c>
      <c r="F4472" s="2" t="s">
        <v>7987</v>
      </c>
      <c r="G4472" s="2" t="s">
        <v>1573</v>
      </c>
      <c r="H4472" s="14">
        <v>0.9</v>
      </c>
      <c r="I4472" s="2" t="s">
        <v>4761</v>
      </c>
      <c r="J4472" s="2" t="s">
        <v>5144</v>
      </c>
      <c r="K4472" s="2" t="s">
        <v>1452</v>
      </c>
      <c r="L4472" s="2" t="s">
        <v>5221</v>
      </c>
      <c r="M4472" s="2" t="s">
        <v>5221</v>
      </c>
      <c r="N4472" s="2" t="s">
        <v>2317</v>
      </c>
      <c r="O4472" s="14">
        <v>4200</v>
      </c>
      <c r="P4472" s="14">
        <v>97.33</v>
      </c>
      <c r="Q4472" s="14">
        <v>112.14</v>
      </c>
      <c r="R4472" s="14">
        <v>100.93</v>
      </c>
      <c r="S4472" s="2" t="s">
        <v>7706</v>
      </c>
      <c r="T4472" s="2">
        <v>1.4</v>
      </c>
      <c r="U4472" s="2">
        <v>63</v>
      </c>
      <c r="V4472" s="2">
        <v>58</v>
      </c>
      <c r="W4472" s="2" t="s">
        <v>7862</v>
      </c>
      <c r="X4472" s="2" t="s">
        <v>471</v>
      </c>
      <c r="Y4472" s="2">
        <v>3780</v>
      </c>
      <c r="Z4472" s="19" t="str">
        <f>HYPERLINK("https://ssdweb.co/ssdweb/hd/Vision360.html?d=925080442&amp;zoomslide=1&amp;z=1925080442&amp;ISCONFIRM=0","VIDEO")</f>
        <v>VIDEO</v>
      </c>
      <c r="AA4472" s="19" t="str">
        <f>HYPERLINK("https://ssdweb.co/ssdweb/CERTH/611357166.pdf","CERTI")</f>
        <v>CERTI</v>
      </c>
    </row>
    <row r="4473" spans="1:27" ht="15" x14ac:dyDescent="0.25">
      <c r="A4473" s="2">
        <v>4468</v>
      </c>
      <c r="B4473" s="39">
        <v>924740209</v>
      </c>
      <c r="C4473" s="28" t="str">
        <f>HYPERLINK("https://pld.live/RapDetail.aspx?STONELIST=924740209","DNA")</f>
        <v>DNA</v>
      </c>
      <c r="D4473" s="18" t="s">
        <v>2990</v>
      </c>
      <c r="E4473" s="18" t="s">
        <v>5128</v>
      </c>
      <c r="F4473" s="2" t="s">
        <v>7987</v>
      </c>
      <c r="G4473" s="2" t="s">
        <v>1573</v>
      </c>
      <c r="H4473" s="14">
        <v>0.9</v>
      </c>
      <c r="I4473" s="2" t="s">
        <v>4761</v>
      </c>
      <c r="J4473" s="2" t="s">
        <v>444</v>
      </c>
      <c r="K4473" s="2" t="s">
        <v>1452</v>
      </c>
      <c r="L4473" s="2" t="s">
        <v>5221</v>
      </c>
      <c r="M4473" s="2" t="s">
        <v>5221</v>
      </c>
      <c r="N4473" s="2" t="s">
        <v>2317</v>
      </c>
      <c r="O4473" s="14">
        <v>3500</v>
      </c>
      <c r="P4473" s="14">
        <v>96.89</v>
      </c>
      <c r="Q4473" s="14">
        <v>108.85</v>
      </c>
      <c r="R4473" s="14">
        <v>97.97</v>
      </c>
      <c r="S4473" s="2" t="s">
        <v>3049</v>
      </c>
      <c r="T4473" s="2">
        <v>1.39</v>
      </c>
      <c r="U4473" s="2">
        <v>60.6</v>
      </c>
      <c r="V4473" s="2">
        <v>61</v>
      </c>
      <c r="W4473" s="2" t="s">
        <v>7862</v>
      </c>
      <c r="X4473" s="2" t="s">
        <v>471</v>
      </c>
      <c r="Y4473" s="2">
        <v>3150</v>
      </c>
      <c r="Z4473" s="19" t="str">
        <f>HYPERLINK("https://ssdweb.co/ssdweb/hd/Vision360.html?d=924740209&amp;zoomslide=1&amp;z=1924740209&amp;ISCONFIRM=0","VIDEO")</f>
        <v>VIDEO</v>
      </c>
      <c r="AA4473" s="19" t="str">
        <f>HYPERLINK("https://ssdweb.co/ssdweb/CERTH/602358293.pdf","CERTI")</f>
        <v>CERTI</v>
      </c>
    </row>
    <row r="4474" spans="1:27" ht="15" x14ac:dyDescent="0.25">
      <c r="A4474" s="2">
        <v>4469</v>
      </c>
      <c r="B4474" s="39">
        <v>927092533</v>
      </c>
      <c r="C4474" s="28" t="str">
        <f>HYPERLINK("https://pld.live/RapDetail.aspx?STONELIST=927092533","DNA")</f>
        <v>DNA</v>
      </c>
      <c r="D4474" s="18" t="s">
        <v>5715</v>
      </c>
      <c r="E4474" s="18" t="s">
        <v>5128</v>
      </c>
      <c r="F4474" s="2" t="s">
        <v>7987</v>
      </c>
      <c r="G4474" s="2" t="s">
        <v>1573</v>
      </c>
      <c r="H4474" s="14">
        <v>0.86</v>
      </c>
      <c r="I4474" s="2" t="s">
        <v>267</v>
      </c>
      <c r="J4474" s="2" t="s">
        <v>13</v>
      </c>
      <c r="K4474" s="2" t="s">
        <v>1452</v>
      </c>
      <c r="L4474" s="2" t="s">
        <v>5221</v>
      </c>
      <c r="M4474" s="2" t="s">
        <v>5721</v>
      </c>
      <c r="N4474" s="2" t="s">
        <v>2317</v>
      </c>
      <c r="O4474" s="14">
        <v>3700</v>
      </c>
      <c r="P4474" s="14">
        <v>96.27</v>
      </c>
      <c r="Q4474" s="14">
        <v>138.01</v>
      </c>
      <c r="R4474" s="14">
        <v>118.69</v>
      </c>
      <c r="S4474" s="2" t="s">
        <v>3585</v>
      </c>
      <c r="T4474" s="2">
        <v>1.45</v>
      </c>
      <c r="U4474" s="2">
        <v>61.5</v>
      </c>
      <c r="V4474" s="2">
        <v>59</v>
      </c>
      <c r="W4474" s="2" t="s">
        <v>7862</v>
      </c>
      <c r="X4474" s="2" t="s">
        <v>471</v>
      </c>
      <c r="Y4474" s="2">
        <v>3182</v>
      </c>
      <c r="Z4474" s="19" t="str">
        <f>HYPERLINK("https://ssdweb.co/ssdweb/hd/Vision360.html?d=927092533&amp;zoomslide=1&amp;z=1927092533&amp;ISCONFIRM=0","VIDEO")</f>
        <v>VIDEO</v>
      </c>
      <c r="AA4474" s="19" t="str">
        <f>HYPERLINK("https://ssdweb.co/ssdweb/CERTH/669458138.pdf","CERTI")</f>
        <v>CERTI</v>
      </c>
    </row>
    <row r="4475" spans="1:27" ht="15" x14ac:dyDescent="0.25">
      <c r="A4475" s="2">
        <v>4470</v>
      </c>
      <c r="B4475" s="39">
        <v>924230766</v>
      </c>
      <c r="C4475" s="28" t="str">
        <f>HYPERLINK("https://pld.live/RapDetail.aspx?STONELIST=924230766","DNA")</f>
        <v>DNA</v>
      </c>
      <c r="D4475" s="18" t="s">
        <v>5715</v>
      </c>
      <c r="E4475" s="18" t="s">
        <v>5128</v>
      </c>
      <c r="F4475" s="2" t="s">
        <v>7987</v>
      </c>
      <c r="G4475" s="2" t="s">
        <v>1573</v>
      </c>
      <c r="H4475" s="14">
        <v>0.86</v>
      </c>
      <c r="I4475" s="2" t="s">
        <v>267</v>
      </c>
      <c r="J4475" s="2" t="s">
        <v>5144</v>
      </c>
      <c r="K4475" s="2" t="s">
        <v>1452</v>
      </c>
      <c r="L4475" s="2" t="s">
        <v>5221</v>
      </c>
      <c r="M4475" s="2" t="s">
        <v>5221</v>
      </c>
      <c r="N4475" s="2" t="s">
        <v>2317</v>
      </c>
      <c r="O4475" s="14">
        <v>3400</v>
      </c>
      <c r="P4475" s="14">
        <v>96.35</v>
      </c>
      <c r="Q4475" s="14">
        <v>124.1</v>
      </c>
      <c r="R4475" s="14">
        <v>106.73</v>
      </c>
      <c r="S4475" s="2" t="s">
        <v>7403</v>
      </c>
      <c r="T4475" s="2">
        <v>1.37</v>
      </c>
      <c r="U4475" s="2">
        <v>61.8</v>
      </c>
      <c r="V4475" s="2">
        <v>60</v>
      </c>
      <c r="W4475" s="2" t="s">
        <v>7862</v>
      </c>
      <c r="X4475" s="2" t="s">
        <v>471</v>
      </c>
      <c r="Y4475" s="2">
        <v>2924</v>
      </c>
      <c r="Z4475" s="19" t="str">
        <f>HYPERLINK("https://ssdweb.co/ssdweb/hd/Vision360.html?d=924230766&amp;zoomslide=1&amp;z=1924230766&amp;ISCONFIRM=0","VIDEO")</f>
        <v>VIDEO</v>
      </c>
      <c r="AA4475" s="19" t="str">
        <f>HYPERLINK("https://ssdweb.co/ssdweb/CERTH/588354529.pdf","CERTI")</f>
        <v>CERTI</v>
      </c>
    </row>
    <row r="4476" spans="1:27" ht="15" x14ac:dyDescent="0.25">
      <c r="A4476" s="2">
        <v>4471</v>
      </c>
      <c r="B4476" s="39">
        <v>831010226</v>
      </c>
      <c r="C4476" s="28" t="str">
        <f>HYPERLINK("https://pld.live/RapDetail.aspx?STONELIST=831010226","DNA")</f>
        <v>DNA</v>
      </c>
      <c r="D4476" s="18" t="s">
        <v>5715</v>
      </c>
      <c r="E4476" s="18" t="s">
        <v>5128</v>
      </c>
      <c r="F4476" s="2" t="s">
        <v>7987</v>
      </c>
      <c r="G4476" s="2" t="s">
        <v>1573</v>
      </c>
      <c r="H4476" s="14">
        <v>0.86</v>
      </c>
      <c r="I4476" s="2" t="s">
        <v>4761</v>
      </c>
      <c r="J4476" s="2" t="s">
        <v>13</v>
      </c>
      <c r="K4476" s="2" t="s">
        <v>1452</v>
      </c>
      <c r="L4476" s="2" t="s">
        <v>5221</v>
      </c>
      <c r="M4476" s="2" t="s">
        <v>5221</v>
      </c>
      <c r="N4476" s="2" t="s">
        <v>2317</v>
      </c>
      <c r="O4476" s="14">
        <v>3500</v>
      </c>
      <c r="P4476" s="14">
        <v>96.37</v>
      </c>
      <c r="Q4476" s="14">
        <v>127.05</v>
      </c>
      <c r="R4476" s="14">
        <v>109.26</v>
      </c>
      <c r="S4476" s="2" t="s">
        <v>2771</v>
      </c>
      <c r="T4476" s="2">
        <v>1.39</v>
      </c>
      <c r="U4476" s="2">
        <v>62.2</v>
      </c>
      <c r="V4476" s="2">
        <v>61</v>
      </c>
      <c r="W4476" s="2" t="s">
        <v>7862</v>
      </c>
      <c r="X4476" s="2" t="s">
        <v>471</v>
      </c>
      <c r="Y4476" s="2">
        <v>3010</v>
      </c>
      <c r="Z4476" s="19" t="str">
        <f>HYPERLINK("https://ssdweb.co/ssdweb/hd/Vision360.html?d=831010226&amp;zoomslide=1&amp;z=1831010226&amp;ISCONFIRM=0","VIDEO")</f>
        <v>VIDEO</v>
      </c>
      <c r="AA4476" s="19" t="str">
        <f>HYPERLINK("https://ssdweb.co/ssdweb/CERTH/582351624.pdf","CERTI")</f>
        <v>CERTI</v>
      </c>
    </row>
    <row r="4477" spans="1:27" ht="15" x14ac:dyDescent="0.25">
      <c r="A4477" s="2">
        <v>4472</v>
      </c>
      <c r="B4477" s="39">
        <v>926971969</v>
      </c>
      <c r="C4477" s="28" t="str">
        <f>HYPERLINK("https://pld.live/RapDetail.aspx?STONELIST=926971969","DNA")</f>
        <v>DNA</v>
      </c>
      <c r="D4477" s="18" t="s">
        <v>5715</v>
      </c>
      <c r="E4477" s="18" t="s">
        <v>5128</v>
      </c>
      <c r="F4477" s="2" t="s">
        <v>7987</v>
      </c>
      <c r="G4477" s="2" t="s">
        <v>1573</v>
      </c>
      <c r="H4477" s="14">
        <v>0.85</v>
      </c>
      <c r="I4477" s="2" t="s">
        <v>4761</v>
      </c>
      <c r="J4477" s="2" t="s">
        <v>13</v>
      </c>
      <c r="K4477" s="2" t="s">
        <v>1452</v>
      </c>
      <c r="L4477" s="2" t="s">
        <v>5221</v>
      </c>
      <c r="M4477" s="2" t="s">
        <v>5721</v>
      </c>
      <c r="N4477" s="2" t="s">
        <v>2317</v>
      </c>
      <c r="O4477" s="14">
        <v>3500</v>
      </c>
      <c r="P4477" s="14">
        <v>96.26</v>
      </c>
      <c r="Q4477" s="14">
        <v>130.9</v>
      </c>
      <c r="R4477" s="14">
        <v>111.27</v>
      </c>
      <c r="S4477" s="2" t="s">
        <v>6840</v>
      </c>
      <c r="T4477" s="2">
        <v>1.41</v>
      </c>
      <c r="U4477" s="2">
        <v>60.4</v>
      </c>
      <c r="V4477" s="2">
        <v>59</v>
      </c>
      <c r="W4477" s="2" t="s">
        <v>7862</v>
      </c>
      <c r="X4477" s="2" t="s">
        <v>471</v>
      </c>
      <c r="Y4477" s="2">
        <v>2975</v>
      </c>
      <c r="Z4477" s="19" t="str">
        <f>HYPERLINK("https://ssdweb.co/ssdweb/hd/Vision360.html?d=926971969&amp;zoomslide=1&amp;z=1926971969&amp;ISCONFIRM=0","VIDEO")</f>
        <v>VIDEO</v>
      </c>
      <c r="AA4477" s="19" t="str">
        <f>HYPERLINK("https://ssdweb.co/ssdweb/CERTH/660440449.pdf","CERTI")</f>
        <v>CERTI</v>
      </c>
    </row>
    <row r="4478" spans="1:27" ht="15" x14ac:dyDescent="0.25">
      <c r="A4478" s="2">
        <v>4473</v>
      </c>
      <c r="B4478" s="39">
        <v>927052536</v>
      </c>
      <c r="C4478" s="28" t="str">
        <f>HYPERLINK("https://pld.live/RapDetail.aspx?STONELIST=927052536","DNA")</f>
        <v>DNA</v>
      </c>
      <c r="D4478" s="18" t="s">
        <v>5715</v>
      </c>
      <c r="E4478" s="18" t="s">
        <v>5128</v>
      </c>
      <c r="F4478" s="2" t="s">
        <v>7987</v>
      </c>
      <c r="G4478" s="2" t="s">
        <v>1573</v>
      </c>
      <c r="H4478" s="14">
        <v>0.84</v>
      </c>
      <c r="I4478" s="2" t="s">
        <v>267</v>
      </c>
      <c r="J4478" s="2" t="s">
        <v>13</v>
      </c>
      <c r="K4478" s="2" t="s">
        <v>1452</v>
      </c>
      <c r="L4478" s="2" t="s">
        <v>5221</v>
      </c>
      <c r="M4478" s="2" t="s">
        <v>5721</v>
      </c>
      <c r="N4478" s="2" t="s">
        <v>2317</v>
      </c>
      <c r="O4478" s="14">
        <v>3700</v>
      </c>
      <c r="P4478" s="14">
        <v>96.32</v>
      </c>
      <c r="Q4478" s="14">
        <v>136.16</v>
      </c>
      <c r="R4478" s="14">
        <v>114.37</v>
      </c>
      <c r="S4478" s="2" t="s">
        <v>1043</v>
      </c>
      <c r="T4478" s="2">
        <v>1.39</v>
      </c>
      <c r="U4478" s="2">
        <v>62.3</v>
      </c>
      <c r="V4478" s="2">
        <v>60</v>
      </c>
      <c r="W4478" s="2" t="s">
        <v>7862</v>
      </c>
      <c r="X4478" s="2" t="s">
        <v>471</v>
      </c>
      <c r="Y4478" s="2">
        <v>3108</v>
      </c>
      <c r="Z4478" s="19" t="str">
        <f>HYPERLINK("https://ssdweb.co/ssdweb/hd/Vision360.html?d=927052536&amp;zoomslide=1&amp;z=1927052536&amp;ISCONFIRM=0","VIDEO")</f>
        <v>VIDEO</v>
      </c>
      <c r="AA4478" s="19" t="str">
        <f>HYPERLINK("https://ssdweb.co/ssdweb/CERTH/666436008.pdf","CERTI")</f>
        <v>CERTI</v>
      </c>
    </row>
    <row r="4479" spans="1:27" ht="15" x14ac:dyDescent="0.25">
      <c r="A4479" s="2">
        <v>4474</v>
      </c>
      <c r="B4479" s="39">
        <v>926210965</v>
      </c>
      <c r="C4479" s="28" t="str">
        <f>HYPERLINK("https://pld.live/RapDetail.aspx?STONELIST=926210965","DNA")</f>
        <v>DNA</v>
      </c>
      <c r="D4479" s="18" t="s">
        <v>5715</v>
      </c>
      <c r="E4479" s="18" t="s">
        <v>5128</v>
      </c>
      <c r="F4479" s="2" t="s">
        <v>7987</v>
      </c>
      <c r="G4479" s="2" t="s">
        <v>1573</v>
      </c>
      <c r="H4479" s="14">
        <v>0.83</v>
      </c>
      <c r="I4479" s="2" t="s">
        <v>267</v>
      </c>
      <c r="J4479" s="2" t="s">
        <v>13</v>
      </c>
      <c r="K4479" s="2" t="s">
        <v>1452</v>
      </c>
      <c r="L4479" s="2" t="s">
        <v>5221</v>
      </c>
      <c r="M4479" s="2" t="s">
        <v>5221</v>
      </c>
      <c r="N4479" s="2" t="s">
        <v>2317</v>
      </c>
      <c r="O4479" s="14">
        <v>3700</v>
      </c>
      <c r="P4479" s="14">
        <v>96.38</v>
      </c>
      <c r="Q4479" s="14">
        <v>133.94</v>
      </c>
      <c r="R4479" s="14">
        <v>111.17</v>
      </c>
      <c r="S4479" s="2" t="s">
        <v>5169</v>
      </c>
      <c r="T4479" s="2">
        <v>1.36</v>
      </c>
      <c r="U4479" s="2">
        <v>63.1</v>
      </c>
      <c r="V4479" s="2">
        <v>59</v>
      </c>
      <c r="W4479" s="2" t="s">
        <v>7862</v>
      </c>
      <c r="X4479" s="2" t="s">
        <v>471</v>
      </c>
      <c r="Y4479" s="2">
        <v>3071</v>
      </c>
      <c r="Z4479" s="19" t="str">
        <f>HYPERLINK("https://ssdweb.co/ssdweb/hd/Vision360.html?d=926210965&amp;zoomslide=1&amp;z=1926210965&amp;ISCONFIRM=0","VIDEO")</f>
        <v>VIDEO</v>
      </c>
      <c r="AA4479" s="19" t="str">
        <f>HYPERLINK("https://ssdweb.co/ssdweb/CERTH/635427112.pdf","CERTI")</f>
        <v>CERTI</v>
      </c>
    </row>
    <row r="4480" spans="1:27" ht="15" x14ac:dyDescent="0.25">
      <c r="A4480" s="2">
        <v>4475</v>
      </c>
      <c r="B4480" s="39">
        <v>831010774</v>
      </c>
      <c r="C4480" s="28" t="str">
        <f>HYPERLINK("https://pld.live/RapDetail.aspx?STONELIST=831010774","DNA")</f>
        <v>DNA</v>
      </c>
      <c r="D4480" s="18" t="s">
        <v>5715</v>
      </c>
      <c r="E4480" s="18" t="s">
        <v>5128</v>
      </c>
      <c r="F4480" s="2" t="s">
        <v>7987</v>
      </c>
      <c r="G4480" s="2" t="s">
        <v>1573</v>
      </c>
      <c r="H4480" s="14">
        <v>0.82</v>
      </c>
      <c r="I4480" s="2" t="s">
        <v>267</v>
      </c>
      <c r="J4480" s="2" t="s">
        <v>13</v>
      </c>
      <c r="K4480" s="2" t="s">
        <v>1452</v>
      </c>
      <c r="L4480" s="2" t="s">
        <v>5221</v>
      </c>
      <c r="M4480" s="2" t="s">
        <v>5221</v>
      </c>
      <c r="N4480" s="2" t="s">
        <v>2317</v>
      </c>
      <c r="O4480" s="14">
        <v>3700</v>
      </c>
      <c r="P4480" s="14">
        <v>96.38</v>
      </c>
      <c r="Q4480" s="14">
        <v>133.94</v>
      </c>
      <c r="R4480" s="14">
        <v>109.83</v>
      </c>
      <c r="S4480" s="2" t="s">
        <v>81</v>
      </c>
      <c r="T4480" s="2">
        <v>1.36</v>
      </c>
      <c r="U4480" s="2">
        <v>62.9</v>
      </c>
      <c r="V4480" s="2">
        <v>61</v>
      </c>
      <c r="W4480" s="2" t="s">
        <v>7862</v>
      </c>
      <c r="X4480" s="2" t="s">
        <v>471</v>
      </c>
      <c r="Y4480" s="2">
        <v>3034</v>
      </c>
      <c r="Z4480" s="19" t="str">
        <f>HYPERLINK("https://ssdweb.co/ssdweb/hd/Vision360.html?d=831010774&amp;zoomslide=1&amp;z=1831010774&amp;ISCONFIRM=0","VIDEO")</f>
        <v>VIDEO</v>
      </c>
      <c r="AA4480" s="19" t="str">
        <f>HYPERLINK("https://ssdweb.co/ssdweb/CERTH/635427084.pdf","CERTI")</f>
        <v>CERTI</v>
      </c>
    </row>
    <row r="4481" spans="1:27" ht="15" x14ac:dyDescent="0.25">
      <c r="A4481" s="2">
        <v>4476</v>
      </c>
      <c r="B4481" s="39">
        <v>941320827</v>
      </c>
      <c r="C4481" s="28" t="str">
        <f>HYPERLINK("https://pld.live/RapDetail.aspx?STONELIST=941320827","DNA")</f>
        <v>DNA</v>
      </c>
      <c r="D4481" s="18" t="s">
        <v>5847</v>
      </c>
      <c r="E4481" s="18" t="s">
        <v>5128</v>
      </c>
      <c r="F4481" s="2" t="s">
        <v>7987</v>
      </c>
      <c r="G4481" s="2" t="s">
        <v>1573</v>
      </c>
      <c r="H4481" s="14">
        <v>0.73</v>
      </c>
      <c r="I4481" s="2" t="s">
        <v>267</v>
      </c>
      <c r="J4481" s="2" t="s">
        <v>3942</v>
      </c>
      <c r="K4481" s="2" t="s">
        <v>1452</v>
      </c>
      <c r="L4481" s="2" t="s">
        <v>5221</v>
      </c>
      <c r="M4481" s="2" t="s">
        <v>5221</v>
      </c>
      <c r="N4481" s="2" t="s">
        <v>2317</v>
      </c>
      <c r="O4481" s="14">
        <v>4000</v>
      </c>
      <c r="P4481" s="14">
        <v>96.13</v>
      </c>
      <c r="Q4481" s="14">
        <v>154.80000000000001</v>
      </c>
      <c r="R4481" s="14">
        <v>113</v>
      </c>
      <c r="S4481" s="2" t="s">
        <v>3262</v>
      </c>
      <c r="T4481" s="2">
        <v>1.38</v>
      </c>
      <c r="U4481" s="2">
        <v>61.4</v>
      </c>
      <c r="V4481" s="2">
        <v>59</v>
      </c>
      <c r="W4481" s="2" t="s">
        <v>7862</v>
      </c>
      <c r="X4481" s="2" t="s">
        <v>471</v>
      </c>
      <c r="Y4481" s="2">
        <v>2920</v>
      </c>
      <c r="Z4481" s="19" t="str">
        <f>HYPERLINK("https://ssdweb.co/ssdweb/hd/Vision360.html?d=941320827&amp;zoomslide=1&amp;z=1941320827&amp;ISCONFIRM=0","VIDEO")</f>
        <v>VIDEO</v>
      </c>
      <c r="AA4481" s="19" t="str">
        <f>HYPERLINK("https://ssdweb.co/ssdweb/CERTH/694508345.pdf","CERTI")</f>
        <v>CERTI</v>
      </c>
    </row>
    <row r="4482" spans="1:27" ht="15" x14ac:dyDescent="0.25">
      <c r="A4482" s="2">
        <v>4477</v>
      </c>
      <c r="B4482" s="39">
        <v>927052725</v>
      </c>
      <c r="C4482" s="28" t="str">
        <f>HYPERLINK("https://pld.live/RapDetail.aspx?STONELIST=927052725","DNA")</f>
        <v>DNA</v>
      </c>
      <c r="D4482" s="18" t="s">
        <v>5847</v>
      </c>
      <c r="E4482" s="18" t="s">
        <v>5128</v>
      </c>
      <c r="F4482" s="2" t="s">
        <v>7987</v>
      </c>
      <c r="G4482" s="2" t="s">
        <v>1573</v>
      </c>
      <c r="H4482" s="14">
        <v>0.73</v>
      </c>
      <c r="I4482" s="2" t="s">
        <v>267</v>
      </c>
      <c r="J4482" s="2" t="s">
        <v>13</v>
      </c>
      <c r="K4482" s="2" t="s">
        <v>1452</v>
      </c>
      <c r="L4482" s="2" t="s">
        <v>5221</v>
      </c>
      <c r="M4482" s="2" t="s">
        <v>5221</v>
      </c>
      <c r="N4482" s="2" t="s">
        <v>2317</v>
      </c>
      <c r="O4482" s="14">
        <v>3700</v>
      </c>
      <c r="P4482" s="14">
        <v>96.08</v>
      </c>
      <c r="Q4482" s="14">
        <v>145.04</v>
      </c>
      <c r="R4482" s="14">
        <v>105.88</v>
      </c>
      <c r="S4482" s="2" t="s">
        <v>10</v>
      </c>
      <c r="T4482" s="2">
        <v>1.44</v>
      </c>
      <c r="U4482" s="2">
        <v>61</v>
      </c>
      <c r="V4482" s="2">
        <v>59</v>
      </c>
      <c r="W4482" s="2" t="s">
        <v>7862</v>
      </c>
      <c r="X4482" s="2" t="s">
        <v>471</v>
      </c>
      <c r="Y4482" s="2">
        <v>2701</v>
      </c>
      <c r="Z4482" s="19" t="str">
        <f>HYPERLINK("https://ssdweb.co/ssdweb/hd/Vision360.html?d=927052725&amp;zoomslide=1&amp;z=1927052725&amp;ISCONFIRM=0","VIDEO")</f>
        <v>VIDEO</v>
      </c>
      <c r="AA4482" s="19" t="str">
        <f>HYPERLINK("https://ssdweb.co/ssdweb/CERTH/671411158.pdf","CERTI")</f>
        <v>CERTI</v>
      </c>
    </row>
    <row r="4483" spans="1:27" ht="15" x14ac:dyDescent="0.25">
      <c r="A4483" s="2">
        <v>4478</v>
      </c>
      <c r="B4483" s="39">
        <v>941140825</v>
      </c>
      <c r="C4483" s="28" t="str">
        <f>HYPERLINK("https://pld.live/RapDetail.aspx?STONELIST=941140825","DNA")</f>
        <v>DNA</v>
      </c>
      <c r="D4483" s="18" t="s">
        <v>5847</v>
      </c>
      <c r="E4483" s="18" t="s">
        <v>5128</v>
      </c>
      <c r="F4483" s="2" t="s">
        <v>7987</v>
      </c>
      <c r="G4483" s="2" t="s">
        <v>1573</v>
      </c>
      <c r="H4483" s="14">
        <v>0.72</v>
      </c>
      <c r="I4483" s="2" t="s">
        <v>267</v>
      </c>
      <c r="J4483" s="2" t="s">
        <v>6555</v>
      </c>
      <c r="K4483" s="2" t="s">
        <v>1452</v>
      </c>
      <c r="L4483" s="2" t="s">
        <v>5221</v>
      </c>
      <c r="M4483" s="2" t="s">
        <v>5221</v>
      </c>
      <c r="N4483" s="2" t="s">
        <v>2317</v>
      </c>
      <c r="O4483" s="14">
        <v>4300</v>
      </c>
      <c r="P4483" s="14">
        <v>95.7</v>
      </c>
      <c r="Q4483" s="14">
        <v>184.9</v>
      </c>
      <c r="R4483" s="14">
        <v>133.13</v>
      </c>
      <c r="S4483" s="2" t="s">
        <v>911</v>
      </c>
      <c r="T4483" s="2">
        <v>1.42</v>
      </c>
      <c r="U4483" s="2">
        <v>62.4</v>
      </c>
      <c r="V4483" s="2">
        <v>58</v>
      </c>
      <c r="W4483" s="2" t="s">
        <v>7862</v>
      </c>
      <c r="X4483" s="2" t="s">
        <v>471</v>
      </c>
      <c r="Y4483" s="2">
        <v>3096</v>
      </c>
      <c r="Z4483" s="19" t="str">
        <f>HYPERLINK("https://ssdweb.co/ssdweb/hd/Vision360.html?d=941140825&amp;zoomslide=1&amp;z=1941140825&amp;ISCONFIRM=0","VIDEO")</f>
        <v>VIDEO</v>
      </c>
      <c r="AA4483" s="19" t="str">
        <f>HYPERLINK("https://ssdweb.co/ssdweb/CERTH/675504595.pdf","CERTI")</f>
        <v>CERTI</v>
      </c>
    </row>
    <row r="4484" spans="1:27" ht="15" x14ac:dyDescent="0.25">
      <c r="A4484" s="2">
        <v>4479</v>
      </c>
      <c r="B4484" s="39">
        <v>927092575</v>
      </c>
      <c r="C4484" s="28" t="str">
        <f>HYPERLINK("https://pld.live/RapDetail.aspx?STONELIST=927092575","DNA")</f>
        <v>DNA</v>
      </c>
      <c r="D4484" s="18" t="s">
        <v>5847</v>
      </c>
      <c r="E4484" s="18" t="s">
        <v>5128</v>
      </c>
      <c r="F4484" s="2" t="s">
        <v>7987</v>
      </c>
      <c r="G4484" s="2" t="s">
        <v>1573</v>
      </c>
      <c r="H4484" s="14">
        <v>0.72</v>
      </c>
      <c r="I4484" s="2" t="s">
        <v>267</v>
      </c>
      <c r="J4484" s="2" t="s">
        <v>6555</v>
      </c>
      <c r="K4484" s="2" t="s">
        <v>1452</v>
      </c>
      <c r="L4484" s="2" t="s">
        <v>5221</v>
      </c>
      <c r="M4484" s="2" t="s">
        <v>5221</v>
      </c>
      <c r="N4484" s="2" t="s">
        <v>2317</v>
      </c>
      <c r="O4484" s="14">
        <v>4300</v>
      </c>
      <c r="P4484" s="14">
        <v>95.7</v>
      </c>
      <c r="Q4484" s="14">
        <v>184.9</v>
      </c>
      <c r="R4484" s="14">
        <v>133.13</v>
      </c>
      <c r="S4484" s="2" t="s">
        <v>6345</v>
      </c>
      <c r="T4484" s="2">
        <v>1.39</v>
      </c>
      <c r="U4484" s="2">
        <v>60.2</v>
      </c>
      <c r="V4484" s="2">
        <v>58</v>
      </c>
      <c r="W4484" s="2" t="s">
        <v>7862</v>
      </c>
      <c r="X4484" s="2" t="s">
        <v>471</v>
      </c>
      <c r="Y4484" s="2">
        <v>3096</v>
      </c>
      <c r="Z4484" s="19" t="str">
        <f>HYPERLINK("https://ssdweb.co/ssdweb/hd/Vision360.html?d=927092575&amp;zoomslide=1&amp;z=1927092575&amp;ISCONFIRM=0","VIDEO")</f>
        <v>VIDEO</v>
      </c>
      <c r="AA4484" s="19" t="str">
        <f>HYPERLINK("https://ssdweb.co/ssdweb/CERTH/671411171.pdf","CERTI")</f>
        <v>CERTI</v>
      </c>
    </row>
    <row r="4485" spans="1:27" ht="15" x14ac:dyDescent="0.25">
      <c r="A4485" s="2">
        <v>4480</v>
      </c>
      <c r="B4485" s="39">
        <v>927092258</v>
      </c>
      <c r="C4485" s="28" t="str">
        <f>HYPERLINK("https://pld.live/RapDetail.aspx?STONELIST=927092258","DNA")</f>
        <v>DNA</v>
      </c>
      <c r="D4485" s="18" t="s">
        <v>5847</v>
      </c>
      <c r="E4485" s="18" t="s">
        <v>5128</v>
      </c>
      <c r="F4485" s="2" t="s">
        <v>7987</v>
      </c>
      <c r="G4485" s="2" t="s">
        <v>1573</v>
      </c>
      <c r="H4485" s="14">
        <v>0.72</v>
      </c>
      <c r="I4485" s="2" t="s">
        <v>267</v>
      </c>
      <c r="J4485" s="2" t="s">
        <v>6555</v>
      </c>
      <c r="K4485" s="2" t="s">
        <v>1452</v>
      </c>
      <c r="L4485" s="2" t="s">
        <v>5221</v>
      </c>
      <c r="M4485" s="2" t="s">
        <v>5221</v>
      </c>
      <c r="N4485" s="2" t="s">
        <v>2317</v>
      </c>
      <c r="O4485" s="14">
        <v>4300</v>
      </c>
      <c r="P4485" s="14">
        <v>95.74</v>
      </c>
      <c r="Q4485" s="14">
        <v>183.18</v>
      </c>
      <c r="R4485" s="14">
        <v>131.88999999999999</v>
      </c>
      <c r="S4485" s="2" t="s">
        <v>4372</v>
      </c>
      <c r="T4485" s="2">
        <v>1.38</v>
      </c>
      <c r="U4485" s="2">
        <v>60.5</v>
      </c>
      <c r="V4485" s="2">
        <v>61</v>
      </c>
      <c r="W4485" s="2" t="s">
        <v>7862</v>
      </c>
      <c r="X4485" s="2" t="s">
        <v>471</v>
      </c>
      <c r="Y4485" s="2">
        <v>3096</v>
      </c>
      <c r="Z4485" s="19" t="str">
        <f>HYPERLINK("https://ssdweb.co/ssdweb/hd/Vision360.html?d=927092258&amp;zoomslide=1&amp;z=1927092258&amp;ISCONFIRM=0","VIDEO")</f>
        <v>VIDEO</v>
      </c>
      <c r="AA4485" s="19" t="str">
        <f>HYPERLINK("https://ssdweb.co/ssdweb/CERTH/668477279.pdf","CERTI")</f>
        <v>CERTI</v>
      </c>
    </row>
    <row r="4486" spans="1:27" ht="15" x14ac:dyDescent="0.25">
      <c r="A4486" s="2">
        <v>4481</v>
      </c>
      <c r="B4486" s="39">
        <v>941351090</v>
      </c>
      <c r="C4486" s="28" t="str">
        <f>HYPERLINK("https://pld.live/RapDetail.aspx?STONELIST=941351090","DNA")</f>
        <v>DNA</v>
      </c>
      <c r="D4486" s="18" t="s">
        <v>5847</v>
      </c>
      <c r="E4486" s="18" t="s">
        <v>5128</v>
      </c>
      <c r="F4486" s="2" t="s">
        <v>7987</v>
      </c>
      <c r="G4486" s="2" t="s">
        <v>1573</v>
      </c>
      <c r="H4486" s="14">
        <v>0.72</v>
      </c>
      <c r="I4486" s="2" t="s">
        <v>267</v>
      </c>
      <c r="J4486" s="2" t="s">
        <v>3942</v>
      </c>
      <c r="K4486" s="2" t="s">
        <v>1452</v>
      </c>
      <c r="L4486" s="2" t="s">
        <v>5221</v>
      </c>
      <c r="M4486" s="2" t="s">
        <v>5221</v>
      </c>
      <c r="N4486" s="2" t="s">
        <v>2317</v>
      </c>
      <c r="O4486" s="14">
        <v>4000</v>
      </c>
      <c r="P4486" s="14">
        <v>96.13</v>
      </c>
      <c r="Q4486" s="14">
        <v>154.80000000000001</v>
      </c>
      <c r="R4486" s="14">
        <v>111.46</v>
      </c>
      <c r="S4486" s="2" t="s">
        <v>1215</v>
      </c>
      <c r="T4486" s="2">
        <v>1.44</v>
      </c>
      <c r="U4486" s="2">
        <v>61.1</v>
      </c>
      <c r="V4486" s="2">
        <v>60</v>
      </c>
      <c r="W4486" s="2" t="s">
        <v>7862</v>
      </c>
      <c r="X4486" s="2" t="s">
        <v>471</v>
      </c>
      <c r="Y4486" s="2">
        <v>2880</v>
      </c>
      <c r="Z4486" s="19" t="str">
        <f>HYPERLINK("https://ssdweb.co/ssdweb/hd/Vision360.html?d=941351090&amp;zoomslide=1&amp;z=1941351090&amp;ISCONFIRM=0","VIDEO")</f>
        <v>VIDEO</v>
      </c>
      <c r="AA4486" s="19" t="str">
        <f>HYPERLINK("https://ssdweb.co/ssdweb/CERTH/691577901.pdf","CERTI")</f>
        <v>CERTI</v>
      </c>
    </row>
    <row r="4487" spans="1:27" ht="15" x14ac:dyDescent="0.25">
      <c r="A4487" s="2">
        <v>4482</v>
      </c>
      <c r="B4487" s="39">
        <v>941140773</v>
      </c>
      <c r="C4487" s="28" t="str">
        <f>HYPERLINK("https://pld.live/RapDetail.aspx?STONELIST=941140773","DNA")</f>
        <v>DNA</v>
      </c>
      <c r="D4487" s="18" t="s">
        <v>5847</v>
      </c>
      <c r="E4487" s="18" t="s">
        <v>5128</v>
      </c>
      <c r="F4487" s="2" t="s">
        <v>7987</v>
      </c>
      <c r="G4487" s="2" t="s">
        <v>1573</v>
      </c>
      <c r="H4487" s="14">
        <v>0.72</v>
      </c>
      <c r="I4487" s="2" t="s">
        <v>267</v>
      </c>
      <c r="J4487" s="2" t="s">
        <v>3942</v>
      </c>
      <c r="K4487" s="2" t="s">
        <v>1452</v>
      </c>
      <c r="L4487" s="2" t="s">
        <v>5221</v>
      </c>
      <c r="M4487" s="2" t="s">
        <v>5221</v>
      </c>
      <c r="N4487" s="2" t="s">
        <v>2317</v>
      </c>
      <c r="O4487" s="14">
        <v>4000</v>
      </c>
      <c r="P4487" s="14">
        <v>96.13</v>
      </c>
      <c r="Q4487" s="14">
        <v>154.80000000000001</v>
      </c>
      <c r="R4487" s="14">
        <v>111.46</v>
      </c>
      <c r="S4487" s="2" t="s">
        <v>6284</v>
      </c>
      <c r="T4487" s="2">
        <v>1.37</v>
      </c>
      <c r="U4487" s="2">
        <v>62.4</v>
      </c>
      <c r="V4487" s="2">
        <v>58</v>
      </c>
      <c r="W4487" s="2" t="s">
        <v>7862</v>
      </c>
      <c r="X4487" s="2" t="s">
        <v>471</v>
      </c>
      <c r="Y4487" s="2">
        <v>2880</v>
      </c>
      <c r="Z4487" s="19" t="str">
        <f>HYPERLINK("https://ssdweb.co/ssdweb/hd/Vision360.html?d=941140773&amp;zoomslide=1&amp;z=1941140773&amp;ISCONFIRM=0","VIDEO")</f>
        <v>VIDEO</v>
      </c>
      <c r="AA4487" s="19" t="str">
        <f>HYPERLINK("https://ssdweb.co/ssdweb/CERTH/675504522.pdf","CERTI")</f>
        <v>CERTI</v>
      </c>
    </row>
    <row r="4488" spans="1:27" ht="15" x14ac:dyDescent="0.25">
      <c r="A4488" s="2">
        <v>4483</v>
      </c>
      <c r="B4488" s="39">
        <v>927052696</v>
      </c>
      <c r="C4488" s="28" t="str">
        <f>HYPERLINK("https://pld.live/RapDetail.aspx?STONELIST=927052696","DNA")</f>
        <v>DNA</v>
      </c>
      <c r="D4488" s="18" t="s">
        <v>5847</v>
      </c>
      <c r="E4488" s="18" t="s">
        <v>5128</v>
      </c>
      <c r="F4488" s="2" t="s">
        <v>7987</v>
      </c>
      <c r="G4488" s="2" t="s">
        <v>1573</v>
      </c>
      <c r="H4488" s="14">
        <v>0.72</v>
      </c>
      <c r="I4488" s="2" t="s">
        <v>267</v>
      </c>
      <c r="J4488" s="2" t="s">
        <v>3942</v>
      </c>
      <c r="K4488" s="2" t="s">
        <v>1452</v>
      </c>
      <c r="L4488" s="2" t="s">
        <v>5221</v>
      </c>
      <c r="M4488" s="2" t="s">
        <v>5221</v>
      </c>
      <c r="N4488" s="2" t="s">
        <v>2317</v>
      </c>
      <c r="O4488" s="14">
        <v>4000</v>
      </c>
      <c r="P4488" s="14">
        <v>96.13</v>
      </c>
      <c r="Q4488" s="14">
        <v>154.80000000000001</v>
      </c>
      <c r="R4488" s="14">
        <v>111.46</v>
      </c>
      <c r="S4488" s="2" t="s">
        <v>6388</v>
      </c>
      <c r="T4488" s="2">
        <v>1.39</v>
      </c>
      <c r="U4488" s="2">
        <v>60.2</v>
      </c>
      <c r="V4488" s="2">
        <v>61</v>
      </c>
      <c r="W4488" s="2" t="s">
        <v>7862</v>
      </c>
      <c r="X4488" s="2" t="s">
        <v>471</v>
      </c>
      <c r="Y4488" s="2">
        <v>2880</v>
      </c>
      <c r="Z4488" s="19" t="str">
        <f>HYPERLINK("https://ssdweb.co/ssdweb/hd/Vision360.html?d=927052696&amp;zoomslide=1&amp;z=1927052696&amp;ISCONFIRM=0","VIDEO")</f>
        <v>VIDEO</v>
      </c>
      <c r="AA4488" s="19" t="str">
        <f>HYPERLINK("https://ssdweb.co/ssdweb/CERTH/670445155.pdf","CERTI")</f>
        <v>CERTI</v>
      </c>
    </row>
    <row r="4489" spans="1:27" ht="15" x14ac:dyDescent="0.25">
      <c r="A4489" s="2">
        <v>4484</v>
      </c>
      <c r="B4489" s="39">
        <v>941190462</v>
      </c>
      <c r="C4489" s="28" t="str">
        <f>HYPERLINK("https://pld.live/RapDetail.aspx?STONELIST=941190462","DNA")</f>
        <v>DNA</v>
      </c>
      <c r="D4489" s="18" t="s">
        <v>5847</v>
      </c>
      <c r="E4489" s="18" t="s">
        <v>5128</v>
      </c>
      <c r="F4489" s="2" t="s">
        <v>7987</v>
      </c>
      <c r="G4489" s="2" t="s">
        <v>1573</v>
      </c>
      <c r="H4489" s="14">
        <v>0.72</v>
      </c>
      <c r="I4489" s="2" t="s">
        <v>267</v>
      </c>
      <c r="J4489" s="2" t="s">
        <v>3942</v>
      </c>
      <c r="K4489" s="2" t="s">
        <v>1452</v>
      </c>
      <c r="L4489" s="2" t="s">
        <v>5221</v>
      </c>
      <c r="M4489" s="2" t="s">
        <v>5721</v>
      </c>
      <c r="N4489" s="2" t="s">
        <v>2317</v>
      </c>
      <c r="O4489" s="14">
        <v>4000</v>
      </c>
      <c r="P4489" s="14">
        <v>96.13</v>
      </c>
      <c r="Q4489" s="14">
        <v>154.80000000000001</v>
      </c>
      <c r="R4489" s="14">
        <v>111.46</v>
      </c>
      <c r="S4489" s="2" t="s">
        <v>3551</v>
      </c>
      <c r="T4489" s="2">
        <v>1.38</v>
      </c>
      <c r="U4489" s="2">
        <v>61.6</v>
      </c>
      <c r="V4489" s="2">
        <v>59</v>
      </c>
      <c r="W4489" s="2" t="s">
        <v>7862</v>
      </c>
      <c r="X4489" s="2" t="s">
        <v>471</v>
      </c>
      <c r="Y4489" s="2">
        <v>2880</v>
      </c>
      <c r="Z4489" s="19" t="str">
        <f>HYPERLINK("https://ssdweb.co/ssdweb/hd/Vision360.html?d=941190462&amp;zoomslide=1&amp;z=1941190462&amp;ISCONFIRM=0","VIDEO")</f>
        <v>VIDEO</v>
      </c>
      <c r="AA4489" s="19" t="str">
        <f>HYPERLINK("https://ssdweb.co/ssdweb/CERTH/677510842.pdf","CERTI")</f>
        <v>CERTI</v>
      </c>
    </row>
    <row r="4490" spans="1:27" ht="15" x14ac:dyDescent="0.25">
      <c r="A4490" s="2">
        <v>4485</v>
      </c>
      <c r="B4490" s="39">
        <v>941140730</v>
      </c>
      <c r="C4490" s="28" t="str">
        <f>HYPERLINK("https://pld.live/RapDetail.aspx?STONELIST=941140730","DNA")</f>
        <v>DNA</v>
      </c>
      <c r="D4490" s="18" t="s">
        <v>5847</v>
      </c>
      <c r="E4490" s="18" t="s">
        <v>5128</v>
      </c>
      <c r="F4490" s="2" t="s">
        <v>7987</v>
      </c>
      <c r="G4490" s="2" t="s">
        <v>1573</v>
      </c>
      <c r="H4490" s="14">
        <v>0.72</v>
      </c>
      <c r="I4490" s="2" t="s">
        <v>267</v>
      </c>
      <c r="J4490" s="2" t="s">
        <v>3942</v>
      </c>
      <c r="K4490" s="2" t="s">
        <v>1452</v>
      </c>
      <c r="L4490" s="2" t="s">
        <v>5221</v>
      </c>
      <c r="M4490" s="2" t="s">
        <v>5721</v>
      </c>
      <c r="N4490" s="2" t="s">
        <v>2317</v>
      </c>
      <c r="O4490" s="14">
        <v>4000</v>
      </c>
      <c r="P4490" s="14">
        <v>96.13</v>
      </c>
      <c r="Q4490" s="14">
        <v>154.80000000000001</v>
      </c>
      <c r="R4490" s="14">
        <v>111.46</v>
      </c>
      <c r="S4490" s="2" t="s">
        <v>3149</v>
      </c>
      <c r="T4490" s="2">
        <v>1.45</v>
      </c>
      <c r="U4490" s="2">
        <v>60.1</v>
      </c>
      <c r="V4490" s="2">
        <v>59</v>
      </c>
      <c r="W4490" s="2" t="s">
        <v>7862</v>
      </c>
      <c r="X4490" s="2" t="s">
        <v>471</v>
      </c>
      <c r="Y4490" s="2">
        <v>2880</v>
      </c>
      <c r="Z4490" s="19" t="str">
        <f>HYPERLINK("https://ssdweb.co/ssdweb/hd/Vision360.html?d=941140730&amp;zoomslide=1&amp;z=1941140730&amp;ISCONFIRM=0","VIDEO")</f>
        <v>VIDEO</v>
      </c>
      <c r="AA4490" s="19" t="str">
        <f>HYPERLINK("https://ssdweb.co/ssdweb/CERTH/674543021.pdf","CERTI")</f>
        <v>CERTI</v>
      </c>
    </row>
    <row r="4491" spans="1:27" ht="15" x14ac:dyDescent="0.25">
      <c r="A4491" s="2">
        <v>4486</v>
      </c>
      <c r="B4491" s="39">
        <v>927102450</v>
      </c>
      <c r="C4491" s="28" t="str">
        <f>HYPERLINK("https://pld.live/RapDetail.aspx?STONELIST=927102450","DNA")</f>
        <v>DNA</v>
      </c>
      <c r="D4491" s="18" t="s">
        <v>5847</v>
      </c>
      <c r="E4491" s="18" t="s">
        <v>5128</v>
      </c>
      <c r="F4491" s="2" t="s">
        <v>7987</v>
      </c>
      <c r="G4491" s="2" t="s">
        <v>1573</v>
      </c>
      <c r="H4491" s="14">
        <v>0.72</v>
      </c>
      <c r="I4491" s="2" t="s">
        <v>267</v>
      </c>
      <c r="J4491" s="2" t="s">
        <v>3942</v>
      </c>
      <c r="K4491" s="2" t="s">
        <v>1452</v>
      </c>
      <c r="L4491" s="2" t="s">
        <v>5221</v>
      </c>
      <c r="M4491" s="2" t="s">
        <v>5721</v>
      </c>
      <c r="N4491" s="2" t="s">
        <v>2317</v>
      </c>
      <c r="O4491" s="14">
        <v>4000</v>
      </c>
      <c r="P4491" s="14">
        <v>96.13</v>
      </c>
      <c r="Q4491" s="14">
        <v>154.80000000000001</v>
      </c>
      <c r="R4491" s="14">
        <v>111.46</v>
      </c>
      <c r="S4491" s="2" t="s">
        <v>6341</v>
      </c>
      <c r="T4491" s="2">
        <v>1.42</v>
      </c>
      <c r="U4491" s="2">
        <v>61.8</v>
      </c>
      <c r="V4491" s="2">
        <v>60</v>
      </c>
      <c r="W4491" s="2" t="s">
        <v>7862</v>
      </c>
      <c r="X4491" s="2" t="s">
        <v>471</v>
      </c>
      <c r="Y4491" s="2">
        <v>2880</v>
      </c>
      <c r="Z4491" s="19" t="str">
        <f>HYPERLINK("https://ssdweb.co/ssdweb/hd/Vision360.html?d=927102450&amp;zoomslide=1&amp;z=1927102450&amp;ISCONFIRM=0","VIDEO")</f>
        <v>VIDEO</v>
      </c>
      <c r="AA4491" s="19" t="str">
        <f>HYPERLINK("https://ssdweb.co/ssdweb/CERTH/671428036.pdf","CERTI")</f>
        <v>CERTI</v>
      </c>
    </row>
    <row r="4492" spans="1:27" ht="15" x14ac:dyDescent="0.25">
      <c r="A4492" s="2">
        <v>4487</v>
      </c>
      <c r="B4492" s="39">
        <v>927092675</v>
      </c>
      <c r="C4492" s="28" t="str">
        <f>HYPERLINK("https://pld.live/RapDetail.aspx?STONELIST=927092675","DNA")</f>
        <v>DNA</v>
      </c>
      <c r="D4492" s="18" t="s">
        <v>5847</v>
      </c>
      <c r="E4492" s="18" t="s">
        <v>5128</v>
      </c>
      <c r="F4492" s="2" t="s">
        <v>7987</v>
      </c>
      <c r="G4492" s="2" t="s">
        <v>1573</v>
      </c>
      <c r="H4492" s="14">
        <v>0.72</v>
      </c>
      <c r="I4492" s="2" t="s">
        <v>267</v>
      </c>
      <c r="J4492" s="2" t="s">
        <v>3942</v>
      </c>
      <c r="K4492" s="2" t="s">
        <v>1452</v>
      </c>
      <c r="L4492" s="2" t="s">
        <v>5221</v>
      </c>
      <c r="M4492" s="2" t="s">
        <v>5721</v>
      </c>
      <c r="N4492" s="2" t="s">
        <v>2317</v>
      </c>
      <c r="O4492" s="14">
        <v>4000</v>
      </c>
      <c r="P4492" s="14">
        <v>96.13</v>
      </c>
      <c r="Q4492" s="14">
        <v>154.80000000000001</v>
      </c>
      <c r="R4492" s="14">
        <v>111.46</v>
      </c>
      <c r="S4492" s="2" t="s">
        <v>5723</v>
      </c>
      <c r="T4492" s="2">
        <v>1.44</v>
      </c>
      <c r="U4492" s="2">
        <v>61.1</v>
      </c>
      <c r="V4492" s="2">
        <v>61</v>
      </c>
      <c r="W4492" s="2" t="s">
        <v>7862</v>
      </c>
      <c r="X4492" s="2" t="s">
        <v>471</v>
      </c>
      <c r="Y4492" s="2">
        <v>2880</v>
      </c>
      <c r="Z4492" s="19" t="str">
        <f>HYPERLINK("https://ssdweb.co/ssdweb/hd/Vision360.html?d=927092675&amp;zoomslide=1&amp;z=1927092675&amp;ISCONFIRM=0","VIDEO")</f>
        <v>VIDEO</v>
      </c>
      <c r="AA4492" s="19" t="str">
        <f>HYPERLINK("https://ssdweb.co/ssdweb/CERTH/674504051.pdf","CERTI")</f>
        <v>CERTI</v>
      </c>
    </row>
    <row r="4493" spans="1:27" ht="15" x14ac:dyDescent="0.25">
      <c r="A4493" s="2">
        <v>4488</v>
      </c>
      <c r="B4493" s="39">
        <v>941190178</v>
      </c>
      <c r="C4493" s="28" t="str">
        <f>HYPERLINK("https://pld.live/RapDetail.aspx?STONELIST=941190178","DNA")</f>
        <v>DNA</v>
      </c>
      <c r="D4493" s="18" t="s">
        <v>5847</v>
      </c>
      <c r="E4493" s="18" t="s">
        <v>5128</v>
      </c>
      <c r="F4493" s="2" t="s">
        <v>7987</v>
      </c>
      <c r="G4493" s="2" t="s">
        <v>1573</v>
      </c>
      <c r="H4493" s="14">
        <v>0.72</v>
      </c>
      <c r="I4493" s="2" t="s">
        <v>267</v>
      </c>
      <c r="J4493" s="2" t="s">
        <v>13</v>
      </c>
      <c r="K4493" s="2" t="s">
        <v>1452</v>
      </c>
      <c r="L4493" s="2" t="s">
        <v>5221</v>
      </c>
      <c r="M4493" s="2" t="s">
        <v>5221</v>
      </c>
      <c r="N4493" s="2" t="s">
        <v>2317</v>
      </c>
      <c r="O4493" s="14">
        <v>3700</v>
      </c>
      <c r="P4493" s="14">
        <v>96.08</v>
      </c>
      <c r="Q4493" s="14">
        <v>145.04</v>
      </c>
      <c r="R4493" s="14">
        <v>104.43</v>
      </c>
      <c r="S4493" s="2" t="s">
        <v>753</v>
      </c>
      <c r="T4493" s="2">
        <v>1.42</v>
      </c>
      <c r="U4493" s="2">
        <v>61</v>
      </c>
      <c r="V4493" s="2">
        <v>60</v>
      </c>
      <c r="W4493" s="2" t="s">
        <v>7862</v>
      </c>
      <c r="X4493" s="2" t="s">
        <v>471</v>
      </c>
      <c r="Y4493" s="2">
        <v>2664</v>
      </c>
      <c r="Z4493" s="19" t="str">
        <f>HYPERLINK("https://ssdweb.co/ssdweb/hd/Vision360.html?d=941190178&amp;zoomslide=1&amp;z=1941190178&amp;ISCONFIRM=0","VIDEO")</f>
        <v>VIDEO</v>
      </c>
      <c r="AA4493" s="19" t="str">
        <f>HYPERLINK("https://ssdweb.co/ssdweb/CERTH/675504623.pdf","CERTI")</f>
        <v>CERTI</v>
      </c>
    </row>
    <row r="4494" spans="1:27" ht="15" x14ac:dyDescent="0.25">
      <c r="A4494" s="2">
        <v>4489</v>
      </c>
      <c r="B4494" s="39">
        <v>927092587</v>
      </c>
      <c r="C4494" s="28" t="str">
        <f>HYPERLINK("https://pld.live/RapDetail.aspx?STONELIST=927092587","DNA")</f>
        <v>DNA</v>
      </c>
      <c r="D4494" s="18" t="s">
        <v>5847</v>
      </c>
      <c r="E4494" s="18" t="s">
        <v>5128</v>
      </c>
      <c r="F4494" s="2" t="s">
        <v>7987</v>
      </c>
      <c r="G4494" s="2" t="s">
        <v>1573</v>
      </c>
      <c r="H4494" s="14">
        <v>0.72</v>
      </c>
      <c r="I4494" s="2" t="s">
        <v>267</v>
      </c>
      <c r="J4494" s="2" t="s">
        <v>13</v>
      </c>
      <c r="K4494" s="2" t="s">
        <v>1452</v>
      </c>
      <c r="L4494" s="2" t="s">
        <v>5221</v>
      </c>
      <c r="M4494" s="2" t="s">
        <v>5221</v>
      </c>
      <c r="N4494" s="2" t="s">
        <v>2317</v>
      </c>
      <c r="O4494" s="14">
        <v>3700</v>
      </c>
      <c r="P4494" s="14">
        <v>96.08</v>
      </c>
      <c r="Q4494" s="14">
        <v>145.04</v>
      </c>
      <c r="R4494" s="14">
        <v>104.43</v>
      </c>
      <c r="S4494" s="2" t="s">
        <v>2026</v>
      </c>
      <c r="T4494" s="2">
        <v>1.44</v>
      </c>
      <c r="U4494" s="2">
        <v>60.8</v>
      </c>
      <c r="V4494" s="2">
        <v>60</v>
      </c>
      <c r="W4494" s="2" t="s">
        <v>7862</v>
      </c>
      <c r="X4494" s="2" t="s">
        <v>471</v>
      </c>
      <c r="Y4494" s="2">
        <v>2664</v>
      </c>
      <c r="Z4494" s="19" t="str">
        <f>HYPERLINK("https://ssdweb.co/ssdweb/hd/Vision360.html?d=927092587&amp;zoomslide=1&amp;z=1927092587&amp;ISCONFIRM=0","VIDEO")</f>
        <v>VIDEO</v>
      </c>
      <c r="AA4494" s="19" t="str">
        <f>HYPERLINK("https://ssdweb.co/ssdweb/CERTH/671411177.pdf","CERTI")</f>
        <v>CERTI</v>
      </c>
    </row>
    <row r="4495" spans="1:27" ht="15" x14ac:dyDescent="0.25">
      <c r="A4495" s="2">
        <v>4490</v>
      </c>
      <c r="B4495" s="39">
        <v>927052647</v>
      </c>
      <c r="C4495" s="28" t="str">
        <f>HYPERLINK("https://pld.live/RapDetail.aspx?STONELIST=927052647","DNA")</f>
        <v>DNA</v>
      </c>
      <c r="D4495" s="18" t="s">
        <v>5847</v>
      </c>
      <c r="E4495" s="18" t="s">
        <v>5128</v>
      </c>
      <c r="F4495" s="2" t="s">
        <v>7987</v>
      </c>
      <c r="G4495" s="2" t="s">
        <v>1573</v>
      </c>
      <c r="H4495" s="14">
        <v>0.72</v>
      </c>
      <c r="I4495" s="2" t="s">
        <v>267</v>
      </c>
      <c r="J4495" s="2" t="s">
        <v>13</v>
      </c>
      <c r="K4495" s="2" t="s">
        <v>1452</v>
      </c>
      <c r="L4495" s="2" t="s">
        <v>5221</v>
      </c>
      <c r="M4495" s="2" t="s">
        <v>5221</v>
      </c>
      <c r="N4495" s="2" t="s">
        <v>2317</v>
      </c>
      <c r="O4495" s="14">
        <v>3700</v>
      </c>
      <c r="P4495" s="14">
        <v>96.08</v>
      </c>
      <c r="Q4495" s="14">
        <v>145.04</v>
      </c>
      <c r="R4495" s="14">
        <v>104.43</v>
      </c>
      <c r="S4495" s="2" t="s">
        <v>7494</v>
      </c>
      <c r="T4495" s="2">
        <v>1.38</v>
      </c>
      <c r="U4495" s="2">
        <v>60.9</v>
      </c>
      <c r="V4495" s="2">
        <v>61</v>
      </c>
      <c r="W4495" s="2" t="s">
        <v>7862</v>
      </c>
      <c r="X4495" s="2" t="s">
        <v>471</v>
      </c>
      <c r="Y4495" s="2">
        <v>2664</v>
      </c>
      <c r="Z4495" s="19" t="str">
        <f>HYPERLINK("https://ssdweb.co/ssdweb/hd/Vision360.html?d=927052647&amp;zoomslide=1&amp;z=1927052647&amp;ISCONFIRM=0","VIDEO")</f>
        <v>VIDEO</v>
      </c>
      <c r="AA4495" s="19" t="str">
        <f>HYPERLINK("https://ssdweb.co/ssdweb/CERTH/669458147.pdf","CERTI")</f>
        <v>CERTI</v>
      </c>
    </row>
    <row r="4496" spans="1:27" ht="15" x14ac:dyDescent="0.25">
      <c r="A4496" s="2">
        <v>4491</v>
      </c>
      <c r="B4496" s="39">
        <v>927092608</v>
      </c>
      <c r="C4496" s="28" t="str">
        <f>HYPERLINK("https://pld.live/RapDetail.aspx?STONELIST=927092608","DNA")</f>
        <v>DNA</v>
      </c>
      <c r="D4496" s="18" t="s">
        <v>5847</v>
      </c>
      <c r="E4496" s="18" t="s">
        <v>5128</v>
      </c>
      <c r="F4496" s="2" t="s">
        <v>7987</v>
      </c>
      <c r="G4496" s="2" t="s">
        <v>1573</v>
      </c>
      <c r="H4496" s="14">
        <v>0.72</v>
      </c>
      <c r="I4496" s="2" t="s">
        <v>267</v>
      </c>
      <c r="J4496" s="2" t="s">
        <v>13</v>
      </c>
      <c r="K4496" s="2" t="s">
        <v>1452</v>
      </c>
      <c r="L4496" s="2" t="s">
        <v>5221</v>
      </c>
      <c r="M4496" s="2" t="s">
        <v>5221</v>
      </c>
      <c r="N4496" s="2" t="s">
        <v>2317</v>
      </c>
      <c r="O4496" s="14">
        <v>3700</v>
      </c>
      <c r="P4496" s="14">
        <v>96.08</v>
      </c>
      <c r="Q4496" s="14">
        <v>145.04</v>
      </c>
      <c r="R4496" s="14">
        <v>104.43</v>
      </c>
      <c r="S4496" s="2" t="s">
        <v>5352</v>
      </c>
      <c r="T4496" s="2">
        <v>1.38</v>
      </c>
      <c r="U4496" s="2">
        <v>60.6</v>
      </c>
      <c r="V4496" s="2">
        <v>59</v>
      </c>
      <c r="W4496" s="2" t="s">
        <v>7862</v>
      </c>
      <c r="X4496" s="2" t="s">
        <v>471</v>
      </c>
      <c r="Y4496" s="2">
        <v>2664</v>
      </c>
      <c r="Z4496" s="19" t="str">
        <f>HYPERLINK("https://ssdweb.co/ssdweb/hd/Vision360.html?d=927092608&amp;zoomslide=1&amp;z=1927092608&amp;ISCONFIRM=0","VIDEO")</f>
        <v>VIDEO</v>
      </c>
      <c r="AA4496" s="19" t="str">
        <f>HYPERLINK("https://ssdweb.co/ssdweb/CERTH/671427778.pdf","CERTI")</f>
        <v>CERTI</v>
      </c>
    </row>
    <row r="4497" spans="1:27" ht="15" x14ac:dyDescent="0.25">
      <c r="A4497" s="2">
        <v>4492</v>
      </c>
      <c r="B4497" s="39">
        <v>941140782</v>
      </c>
      <c r="C4497" s="28" t="str">
        <f>HYPERLINK("https://pld.live/RapDetail.aspx?STONELIST=941140782","DNA")</f>
        <v>DNA</v>
      </c>
      <c r="D4497" s="18" t="s">
        <v>5847</v>
      </c>
      <c r="E4497" s="18" t="s">
        <v>5128</v>
      </c>
      <c r="F4497" s="2" t="s">
        <v>7987</v>
      </c>
      <c r="G4497" s="2" t="s">
        <v>1573</v>
      </c>
      <c r="H4497" s="14">
        <v>0.72</v>
      </c>
      <c r="I4497" s="2" t="s">
        <v>267</v>
      </c>
      <c r="J4497" s="2" t="s">
        <v>13</v>
      </c>
      <c r="K4497" s="2" t="s">
        <v>1452</v>
      </c>
      <c r="L4497" s="2" t="s">
        <v>5221</v>
      </c>
      <c r="M4497" s="2" t="s">
        <v>5721</v>
      </c>
      <c r="N4497" s="2" t="s">
        <v>2317</v>
      </c>
      <c r="O4497" s="14">
        <v>3700</v>
      </c>
      <c r="P4497" s="14">
        <v>96.14</v>
      </c>
      <c r="Q4497" s="14">
        <v>142.82</v>
      </c>
      <c r="R4497" s="14">
        <v>102.83</v>
      </c>
      <c r="S4497" s="2" t="s">
        <v>174</v>
      </c>
      <c r="T4497" s="2">
        <v>1.45</v>
      </c>
      <c r="U4497" s="2">
        <v>60.2</v>
      </c>
      <c r="V4497" s="2">
        <v>61</v>
      </c>
      <c r="W4497" s="2" t="s">
        <v>7862</v>
      </c>
      <c r="X4497" s="2" t="s">
        <v>471</v>
      </c>
      <c r="Y4497" s="2">
        <v>2664</v>
      </c>
      <c r="Z4497" s="19" t="str">
        <f>HYPERLINK("https://ssdweb.co/ssdweb/hd/Vision360.html?d=941140782&amp;zoomslide=1&amp;z=1941140782&amp;ISCONFIRM=0","VIDEO")</f>
        <v>VIDEO</v>
      </c>
      <c r="AA4497" s="19" t="str">
        <f>HYPERLINK("https://ssdweb.co/ssdweb/CERTH/675504525.pdf","CERTI")</f>
        <v>CERTI</v>
      </c>
    </row>
    <row r="4498" spans="1:27" ht="15" x14ac:dyDescent="0.25">
      <c r="A4498" s="2">
        <v>4493</v>
      </c>
      <c r="B4498" s="39">
        <v>927092618</v>
      </c>
      <c r="C4498" s="28" t="str">
        <f>HYPERLINK("https://pld.live/RapDetail.aspx?STONELIST=927092618","DNA")</f>
        <v>DNA</v>
      </c>
      <c r="D4498" s="18" t="s">
        <v>5847</v>
      </c>
      <c r="E4498" s="18" t="s">
        <v>5128</v>
      </c>
      <c r="F4498" s="2" t="s">
        <v>7987</v>
      </c>
      <c r="G4498" s="2" t="s">
        <v>1573</v>
      </c>
      <c r="H4498" s="14">
        <v>0.72</v>
      </c>
      <c r="I4498" s="2" t="s">
        <v>267</v>
      </c>
      <c r="J4498" s="2" t="s">
        <v>5144</v>
      </c>
      <c r="K4498" s="2" t="s">
        <v>1452</v>
      </c>
      <c r="L4498" s="2" t="s">
        <v>5221</v>
      </c>
      <c r="M4498" s="2" t="s">
        <v>5221</v>
      </c>
      <c r="N4498" s="2" t="s">
        <v>2317</v>
      </c>
      <c r="O4498" s="14">
        <v>3400</v>
      </c>
      <c r="P4498" s="14">
        <v>95.88</v>
      </c>
      <c r="Q4498" s="14">
        <v>140.08000000000001</v>
      </c>
      <c r="R4498" s="14">
        <v>100.86</v>
      </c>
      <c r="S4498" s="2" t="s">
        <v>7687</v>
      </c>
      <c r="T4498" s="2">
        <v>1.44</v>
      </c>
      <c r="U4498" s="2">
        <v>62</v>
      </c>
      <c r="V4498" s="2">
        <v>58</v>
      </c>
      <c r="W4498" s="2" t="s">
        <v>7862</v>
      </c>
      <c r="X4498" s="2" t="s">
        <v>471</v>
      </c>
      <c r="Y4498" s="2">
        <v>2448</v>
      </c>
      <c r="Z4498" s="19" t="str">
        <f>HYPERLINK("https://ssdweb.co/ssdweb/hd/Vision360.html?d=927092618&amp;zoomslide=1&amp;z=1927092618&amp;ISCONFIRM=0","VIDEO")</f>
        <v>VIDEO</v>
      </c>
      <c r="AA4498" s="19" t="str">
        <f>HYPERLINK("https://ssdweb.co/ssdweb/CERTH/671427814.pdf","CERTI")</f>
        <v>CERTI</v>
      </c>
    </row>
    <row r="4499" spans="1:27" ht="15" x14ac:dyDescent="0.25">
      <c r="A4499" s="2">
        <v>4494</v>
      </c>
      <c r="B4499" s="39">
        <v>927092661</v>
      </c>
      <c r="C4499" s="28" t="str">
        <f>HYPERLINK("https://pld.live/RapDetail.aspx?STONELIST=927092661","DNA")</f>
        <v>DNA</v>
      </c>
      <c r="D4499" s="18" t="s">
        <v>5847</v>
      </c>
      <c r="E4499" s="18" t="s">
        <v>5128</v>
      </c>
      <c r="F4499" s="2" t="s">
        <v>7987</v>
      </c>
      <c r="G4499" s="2" t="s">
        <v>1573</v>
      </c>
      <c r="H4499" s="14">
        <v>0.72</v>
      </c>
      <c r="I4499" s="2" t="s">
        <v>4761</v>
      </c>
      <c r="J4499" s="2" t="s">
        <v>6555</v>
      </c>
      <c r="K4499" s="2" t="s">
        <v>1452</v>
      </c>
      <c r="L4499" s="2" t="s">
        <v>5221</v>
      </c>
      <c r="M4499" s="2" t="s">
        <v>5721</v>
      </c>
      <c r="N4499" s="2" t="s">
        <v>2317</v>
      </c>
      <c r="O4499" s="14">
        <v>4000</v>
      </c>
      <c r="P4499" s="14">
        <v>95.93</v>
      </c>
      <c r="Q4499" s="14">
        <v>162.80000000000001</v>
      </c>
      <c r="R4499" s="14">
        <v>117.22</v>
      </c>
      <c r="S4499" s="2" t="s">
        <v>7838</v>
      </c>
      <c r="T4499" s="2">
        <v>1.4</v>
      </c>
      <c r="U4499" s="2">
        <v>60.5</v>
      </c>
      <c r="V4499" s="2">
        <v>63</v>
      </c>
      <c r="W4499" s="2" t="s">
        <v>7862</v>
      </c>
      <c r="X4499" s="2" t="s">
        <v>471</v>
      </c>
      <c r="Y4499" s="2">
        <v>2880</v>
      </c>
      <c r="Z4499" s="19" t="str">
        <f>HYPERLINK("https://ssdweb.co/ssdweb/hd/Vision360.html?d=927092661&amp;zoomslide=1&amp;z=1927092661&amp;ISCONFIRM=0","VIDEO")</f>
        <v>VIDEO</v>
      </c>
      <c r="AA4499" s="19" t="str">
        <f>HYPERLINK("https://ssdweb.co/ssdweb/CERTH/671477220.pdf","CERTI")</f>
        <v>CERTI</v>
      </c>
    </row>
    <row r="4500" spans="1:27" ht="15" x14ac:dyDescent="0.25">
      <c r="A4500" s="2">
        <v>4495</v>
      </c>
      <c r="B4500" s="39">
        <v>941351087</v>
      </c>
      <c r="C4500" s="28" t="str">
        <f>HYPERLINK("https://pld.live/RapDetail.aspx?STONELIST=941351087","DNA")</f>
        <v>DNA</v>
      </c>
      <c r="D4500" s="18" t="s">
        <v>5847</v>
      </c>
      <c r="E4500" s="18" t="s">
        <v>5128</v>
      </c>
      <c r="F4500" s="2" t="s">
        <v>7987</v>
      </c>
      <c r="G4500" s="2" t="s">
        <v>1573</v>
      </c>
      <c r="H4500" s="14">
        <v>0.72</v>
      </c>
      <c r="I4500" s="2" t="s">
        <v>4761</v>
      </c>
      <c r="J4500" s="2" t="s">
        <v>3942</v>
      </c>
      <c r="K4500" s="2" t="s">
        <v>1452</v>
      </c>
      <c r="L4500" s="2" t="s">
        <v>5221</v>
      </c>
      <c r="M4500" s="2" t="s">
        <v>5221</v>
      </c>
      <c r="N4500" s="2" t="s">
        <v>2317</v>
      </c>
      <c r="O4500" s="14">
        <v>3800</v>
      </c>
      <c r="P4500" s="14">
        <v>96.05</v>
      </c>
      <c r="Q4500" s="14">
        <v>150.1</v>
      </c>
      <c r="R4500" s="14">
        <v>108.07</v>
      </c>
      <c r="S4500" s="2" t="s">
        <v>7842</v>
      </c>
      <c r="T4500" s="2">
        <v>1.39</v>
      </c>
      <c r="U4500" s="2">
        <v>61.4</v>
      </c>
      <c r="V4500" s="2">
        <v>60</v>
      </c>
      <c r="W4500" s="2" t="s">
        <v>7862</v>
      </c>
      <c r="X4500" s="2" t="s">
        <v>471</v>
      </c>
      <c r="Y4500" s="2">
        <v>2736</v>
      </c>
      <c r="Z4500" s="19" t="str">
        <f>HYPERLINK("https://ssdweb.co/ssdweb/hd/Vision360.html?d=941351087&amp;zoomslide=1&amp;z=1941351087&amp;ISCONFIRM=0","VIDEO")</f>
        <v>VIDEO</v>
      </c>
      <c r="AA4500" s="19" t="str">
        <f>HYPERLINK("https://ssdweb.co/ssdweb/CERTH/691577900.pdf","CERTI")</f>
        <v>CERTI</v>
      </c>
    </row>
    <row r="4501" spans="1:27" ht="15" x14ac:dyDescent="0.25">
      <c r="A4501" s="2">
        <v>4496</v>
      </c>
      <c r="B4501" s="39">
        <v>941140827</v>
      </c>
      <c r="C4501" s="28" t="str">
        <f>HYPERLINK("https://pld.live/RapDetail.aspx?STONELIST=941140827","DNA")</f>
        <v>DNA</v>
      </c>
      <c r="D4501" s="18" t="s">
        <v>5847</v>
      </c>
      <c r="E4501" s="18" t="s">
        <v>5128</v>
      </c>
      <c r="F4501" s="2" t="s">
        <v>7987</v>
      </c>
      <c r="G4501" s="2" t="s">
        <v>1573</v>
      </c>
      <c r="H4501" s="14">
        <v>0.72</v>
      </c>
      <c r="I4501" s="2" t="s">
        <v>4761</v>
      </c>
      <c r="J4501" s="2" t="s">
        <v>3942</v>
      </c>
      <c r="K4501" s="2" t="s">
        <v>1452</v>
      </c>
      <c r="L4501" s="2" t="s">
        <v>5221</v>
      </c>
      <c r="M4501" s="2" t="s">
        <v>5221</v>
      </c>
      <c r="N4501" s="2" t="s">
        <v>2317</v>
      </c>
      <c r="O4501" s="14">
        <v>3800</v>
      </c>
      <c r="P4501" s="14">
        <v>96.05</v>
      </c>
      <c r="Q4501" s="14">
        <v>150.1</v>
      </c>
      <c r="R4501" s="14">
        <v>108.07</v>
      </c>
      <c r="S4501" s="2" t="s">
        <v>4700</v>
      </c>
      <c r="T4501" s="2">
        <v>1.39</v>
      </c>
      <c r="U4501" s="2">
        <v>62.3</v>
      </c>
      <c r="V4501" s="2">
        <v>60</v>
      </c>
      <c r="W4501" s="2" t="s">
        <v>7862</v>
      </c>
      <c r="X4501" s="2" t="s">
        <v>471</v>
      </c>
      <c r="Y4501" s="2">
        <v>2736</v>
      </c>
      <c r="Z4501" s="19" t="str">
        <f>HYPERLINK("https://ssdweb.co/ssdweb/hd/Vision360.html?d=941140827&amp;zoomslide=1&amp;z=1941140827&amp;ISCONFIRM=0","VIDEO")</f>
        <v>VIDEO</v>
      </c>
      <c r="AA4501" s="19" t="str">
        <f>HYPERLINK("https://ssdweb.co/ssdweb/CERTH/675504556.pdf","CERTI")</f>
        <v>CERTI</v>
      </c>
    </row>
    <row r="4502" spans="1:27" ht="15" x14ac:dyDescent="0.25">
      <c r="A4502" s="2">
        <v>4497</v>
      </c>
      <c r="B4502" s="39">
        <v>927092593</v>
      </c>
      <c r="C4502" s="28" t="str">
        <f>HYPERLINK("https://pld.live/RapDetail.aspx?STONELIST=927092593","DNA")</f>
        <v>DNA</v>
      </c>
      <c r="D4502" s="18" t="s">
        <v>5847</v>
      </c>
      <c r="E4502" s="18" t="s">
        <v>5128</v>
      </c>
      <c r="F4502" s="2" t="s">
        <v>7987</v>
      </c>
      <c r="G4502" s="2" t="s">
        <v>1573</v>
      </c>
      <c r="H4502" s="14">
        <v>0.72</v>
      </c>
      <c r="I4502" s="2" t="s">
        <v>4761</v>
      </c>
      <c r="J4502" s="2" t="s">
        <v>3942</v>
      </c>
      <c r="K4502" s="2" t="s">
        <v>1452</v>
      </c>
      <c r="L4502" s="2" t="s">
        <v>5221</v>
      </c>
      <c r="M4502" s="2" t="s">
        <v>5221</v>
      </c>
      <c r="N4502" s="2" t="s">
        <v>2317</v>
      </c>
      <c r="O4502" s="14">
        <v>3800</v>
      </c>
      <c r="P4502" s="14">
        <v>96.05</v>
      </c>
      <c r="Q4502" s="14">
        <v>150.1</v>
      </c>
      <c r="R4502" s="14">
        <v>108.07</v>
      </c>
      <c r="S4502" s="2" t="s">
        <v>863</v>
      </c>
      <c r="T4502" s="2">
        <v>1.39</v>
      </c>
      <c r="U4502" s="2">
        <v>60</v>
      </c>
      <c r="V4502" s="2">
        <v>61</v>
      </c>
      <c r="W4502" s="2" t="s">
        <v>7862</v>
      </c>
      <c r="X4502" s="2" t="s">
        <v>471</v>
      </c>
      <c r="Y4502" s="2">
        <v>2736</v>
      </c>
      <c r="Z4502" s="19" t="str">
        <f>HYPERLINK("https://ssdweb.co/ssdweb/hd/Vision360.html?d=927092593&amp;zoomslide=1&amp;z=1927092593&amp;ISCONFIRM=0","VIDEO")</f>
        <v>VIDEO</v>
      </c>
      <c r="AA4502" s="19" t="str">
        <f>HYPERLINK("https://ssdweb.co/ssdweb/CERTH/671428012.pdf","CERTI")</f>
        <v>CERTI</v>
      </c>
    </row>
    <row r="4503" spans="1:27" ht="15" x14ac:dyDescent="0.25">
      <c r="A4503" s="2">
        <v>4498</v>
      </c>
      <c r="B4503" s="39">
        <v>927052653</v>
      </c>
      <c r="C4503" s="28" t="str">
        <f>HYPERLINK("https://pld.live/RapDetail.aspx?STONELIST=927052653","DNA")</f>
        <v>DNA</v>
      </c>
      <c r="D4503" s="18" t="s">
        <v>5847</v>
      </c>
      <c r="E4503" s="18" t="s">
        <v>5128</v>
      </c>
      <c r="F4503" s="2" t="s">
        <v>7987</v>
      </c>
      <c r="G4503" s="2" t="s">
        <v>1573</v>
      </c>
      <c r="H4503" s="14">
        <v>0.72</v>
      </c>
      <c r="I4503" s="2" t="s">
        <v>4761</v>
      </c>
      <c r="J4503" s="2" t="s">
        <v>3942</v>
      </c>
      <c r="K4503" s="2" t="s">
        <v>1452</v>
      </c>
      <c r="L4503" s="2" t="s">
        <v>5221</v>
      </c>
      <c r="M4503" s="2" t="s">
        <v>5221</v>
      </c>
      <c r="N4503" s="2" t="s">
        <v>2317</v>
      </c>
      <c r="O4503" s="14">
        <v>3800</v>
      </c>
      <c r="P4503" s="14">
        <v>96.05</v>
      </c>
      <c r="Q4503" s="14">
        <v>150.1</v>
      </c>
      <c r="R4503" s="14">
        <v>108.07</v>
      </c>
      <c r="S4503" s="2" t="s">
        <v>6298</v>
      </c>
      <c r="T4503" s="2">
        <v>1.42</v>
      </c>
      <c r="U4503" s="2">
        <v>59.5</v>
      </c>
      <c r="V4503" s="2">
        <v>62</v>
      </c>
      <c r="W4503" s="2" t="s">
        <v>7862</v>
      </c>
      <c r="X4503" s="2" t="s">
        <v>471</v>
      </c>
      <c r="Y4503" s="2">
        <v>2736</v>
      </c>
      <c r="Z4503" s="19" t="str">
        <f>HYPERLINK("https://ssdweb.co/ssdweb/hd/Vision360.html?d=927052653&amp;zoomslide=1&amp;z=1927052653&amp;ISCONFIRM=0","VIDEO")</f>
        <v>VIDEO</v>
      </c>
      <c r="AA4503" s="19" t="str">
        <f>HYPERLINK("https://ssdweb.co/ssdweb/CERTH/669458149.pdf","CERTI")</f>
        <v>CERTI</v>
      </c>
    </row>
    <row r="4504" spans="1:27" ht="15" x14ac:dyDescent="0.25">
      <c r="A4504" s="2">
        <v>4499</v>
      </c>
      <c r="B4504" s="39">
        <v>927052666</v>
      </c>
      <c r="C4504" s="28" t="str">
        <f>HYPERLINK("https://pld.live/RapDetail.aspx?STONELIST=927052666","DNA")</f>
        <v>DNA</v>
      </c>
      <c r="D4504" s="18" t="s">
        <v>5847</v>
      </c>
      <c r="E4504" s="18" t="s">
        <v>5128</v>
      </c>
      <c r="F4504" s="2" t="s">
        <v>7987</v>
      </c>
      <c r="G4504" s="2" t="s">
        <v>1573</v>
      </c>
      <c r="H4504" s="14">
        <v>0.72</v>
      </c>
      <c r="I4504" s="2" t="s">
        <v>4761</v>
      </c>
      <c r="J4504" s="2" t="s">
        <v>3942</v>
      </c>
      <c r="K4504" s="2" t="s">
        <v>1452</v>
      </c>
      <c r="L4504" s="2" t="s">
        <v>5221</v>
      </c>
      <c r="M4504" s="2" t="s">
        <v>5221</v>
      </c>
      <c r="N4504" s="2" t="s">
        <v>2317</v>
      </c>
      <c r="O4504" s="14">
        <v>3800</v>
      </c>
      <c r="P4504" s="14">
        <v>96.05</v>
      </c>
      <c r="Q4504" s="14">
        <v>150.1</v>
      </c>
      <c r="R4504" s="14">
        <v>108.07</v>
      </c>
      <c r="S4504" s="2" t="s">
        <v>7798</v>
      </c>
      <c r="T4504" s="2">
        <v>1.44</v>
      </c>
      <c r="U4504" s="2">
        <v>59.1</v>
      </c>
      <c r="V4504" s="2">
        <v>61</v>
      </c>
      <c r="W4504" s="2" t="s">
        <v>7862</v>
      </c>
      <c r="X4504" s="2" t="s">
        <v>471</v>
      </c>
      <c r="Y4504" s="2">
        <v>2736</v>
      </c>
      <c r="Z4504" s="19" t="str">
        <f>HYPERLINK("https://ssdweb.co/ssdweb/hd/Vision360.html?d=927052666&amp;zoomslide=1&amp;z=1927052666&amp;ISCONFIRM=0","VIDEO")</f>
        <v>VIDEO</v>
      </c>
      <c r="AA4504" s="19" t="str">
        <f>HYPERLINK("https://ssdweb.co/ssdweb/CERTH/669458152.pdf","CERTI")</f>
        <v>CERTI</v>
      </c>
    </row>
    <row r="4505" spans="1:27" ht="15" x14ac:dyDescent="0.25">
      <c r="A4505" s="2">
        <v>4500</v>
      </c>
      <c r="B4505" s="39">
        <v>927092582</v>
      </c>
      <c r="C4505" s="28" t="str">
        <f>HYPERLINK("https://pld.live/RapDetail.aspx?STONELIST=927092582","DNA")</f>
        <v>DNA</v>
      </c>
      <c r="D4505" s="18" t="s">
        <v>5847</v>
      </c>
      <c r="E4505" s="18" t="s">
        <v>5128</v>
      </c>
      <c r="F4505" s="2" t="s">
        <v>7987</v>
      </c>
      <c r="G4505" s="2" t="s">
        <v>1573</v>
      </c>
      <c r="H4505" s="14">
        <v>0.72</v>
      </c>
      <c r="I4505" s="2" t="s">
        <v>4761</v>
      </c>
      <c r="J4505" s="2" t="s">
        <v>3942</v>
      </c>
      <c r="K4505" s="2" t="s">
        <v>1452</v>
      </c>
      <c r="L4505" s="2" t="s">
        <v>5221</v>
      </c>
      <c r="M4505" s="2" t="s">
        <v>5221</v>
      </c>
      <c r="N4505" s="2" t="s">
        <v>2317</v>
      </c>
      <c r="O4505" s="14">
        <v>3800</v>
      </c>
      <c r="P4505" s="14">
        <v>96.05</v>
      </c>
      <c r="Q4505" s="14">
        <v>150.1</v>
      </c>
      <c r="R4505" s="14">
        <v>108.07</v>
      </c>
      <c r="S4505" s="2" t="s">
        <v>5254</v>
      </c>
      <c r="T4505" s="2">
        <v>1.45</v>
      </c>
      <c r="U4505" s="2">
        <v>59.5</v>
      </c>
      <c r="V4505" s="2">
        <v>60</v>
      </c>
      <c r="W4505" s="2" t="s">
        <v>7862</v>
      </c>
      <c r="X4505" s="2" t="s">
        <v>471</v>
      </c>
      <c r="Y4505" s="2">
        <v>2736</v>
      </c>
      <c r="Z4505" s="19" t="str">
        <f>HYPERLINK("https://ssdweb.co/ssdweb/hd/Vision360.html?d=927092582&amp;zoomslide=1&amp;z=1927092582&amp;ISCONFIRM=0","VIDEO")</f>
        <v>VIDEO</v>
      </c>
      <c r="AA4505" s="19" t="str">
        <f>HYPERLINK("https://ssdweb.co/ssdweb/CERTH/671411174.pdf","CERTI")</f>
        <v>CERTI</v>
      </c>
    </row>
    <row r="4506" spans="1:27" ht="15" x14ac:dyDescent="0.25">
      <c r="A4506" s="2">
        <v>4501</v>
      </c>
      <c r="B4506" s="39">
        <v>927052670</v>
      </c>
      <c r="C4506" s="28" t="str">
        <f>HYPERLINK("https://pld.live/RapDetail.aspx?STONELIST=927052670","DNA")</f>
        <v>DNA</v>
      </c>
      <c r="D4506" s="18" t="s">
        <v>5847</v>
      </c>
      <c r="E4506" s="18" t="s">
        <v>5128</v>
      </c>
      <c r="F4506" s="2" t="s">
        <v>7987</v>
      </c>
      <c r="G4506" s="2" t="s">
        <v>1573</v>
      </c>
      <c r="H4506" s="14">
        <v>0.72</v>
      </c>
      <c r="I4506" s="2" t="s">
        <v>4761</v>
      </c>
      <c r="J4506" s="2" t="s">
        <v>3942</v>
      </c>
      <c r="K4506" s="2" t="s">
        <v>1452</v>
      </c>
      <c r="L4506" s="2" t="s">
        <v>5221</v>
      </c>
      <c r="M4506" s="2" t="s">
        <v>5221</v>
      </c>
      <c r="N4506" s="2" t="s">
        <v>2317</v>
      </c>
      <c r="O4506" s="14">
        <v>3800</v>
      </c>
      <c r="P4506" s="14">
        <v>96.05</v>
      </c>
      <c r="Q4506" s="14">
        <v>150.1</v>
      </c>
      <c r="R4506" s="14">
        <v>108.07</v>
      </c>
      <c r="S4506" s="2" t="s">
        <v>4523</v>
      </c>
      <c r="T4506" s="2">
        <v>1.36</v>
      </c>
      <c r="U4506" s="2">
        <v>60.1</v>
      </c>
      <c r="V4506" s="2">
        <v>62</v>
      </c>
      <c r="W4506" s="2" t="s">
        <v>7862</v>
      </c>
      <c r="X4506" s="2" t="s">
        <v>471</v>
      </c>
      <c r="Y4506" s="2">
        <v>2736</v>
      </c>
      <c r="Z4506" s="19" t="str">
        <f>HYPERLINK("https://ssdweb.co/ssdweb/hd/Vision360.html?d=927052670&amp;zoomslide=1&amp;z=1927052670&amp;ISCONFIRM=0","VIDEO")</f>
        <v>VIDEO</v>
      </c>
      <c r="AA4506" s="19" t="str">
        <f>HYPERLINK("https://ssdweb.co/ssdweb/CERTH/669458153.pdf","CERTI")</f>
        <v>CERTI</v>
      </c>
    </row>
    <row r="4507" spans="1:27" ht="15" x14ac:dyDescent="0.25">
      <c r="A4507" s="2">
        <v>4502</v>
      </c>
      <c r="B4507" s="39">
        <v>926250461</v>
      </c>
      <c r="C4507" s="28" t="str">
        <f>HYPERLINK("https://pld.live/RapDetail.aspx?STONELIST=926250461","DNA")</f>
        <v>DNA</v>
      </c>
      <c r="D4507" s="18" t="s">
        <v>5847</v>
      </c>
      <c r="E4507" s="18" t="s">
        <v>5128</v>
      </c>
      <c r="F4507" s="2" t="s">
        <v>7987</v>
      </c>
      <c r="G4507" s="2" t="s">
        <v>1573</v>
      </c>
      <c r="H4507" s="14">
        <v>0.72</v>
      </c>
      <c r="I4507" s="2" t="s">
        <v>4761</v>
      </c>
      <c r="J4507" s="2" t="s">
        <v>3942</v>
      </c>
      <c r="K4507" s="2" t="s">
        <v>1452</v>
      </c>
      <c r="L4507" s="2" t="s">
        <v>5221</v>
      </c>
      <c r="M4507" s="2" t="s">
        <v>5721</v>
      </c>
      <c r="N4507" s="2" t="s">
        <v>2317</v>
      </c>
      <c r="O4507" s="14">
        <v>3800</v>
      </c>
      <c r="P4507" s="14">
        <v>96.21</v>
      </c>
      <c r="Q4507" s="14">
        <v>144.02000000000001</v>
      </c>
      <c r="R4507" s="14">
        <v>103.69</v>
      </c>
      <c r="S4507" s="2" t="s">
        <v>5946</v>
      </c>
      <c r="T4507" s="2">
        <v>1.38</v>
      </c>
      <c r="U4507" s="2">
        <v>62.1</v>
      </c>
      <c r="V4507" s="2">
        <v>60</v>
      </c>
      <c r="W4507" s="2" t="s">
        <v>7862</v>
      </c>
      <c r="X4507" s="2" t="s">
        <v>471</v>
      </c>
      <c r="Y4507" s="2">
        <v>2736</v>
      </c>
      <c r="Z4507" s="19" t="str">
        <f>HYPERLINK("https://ssdweb.co/ssdweb/hd/Vision360.html?d=926250461&amp;zoomslide=1&amp;z=1926250461&amp;ISCONFIRM=0","VIDEO")</f>
        <v>VIDEO</v>
      </c>
      <c r="AA4507" s="19" t="str">
        <f>HYPERLINK("https://ssdweb.co/ssdweb/CERTH/638463043.pdf","CERTI")</f>
        <v>CERTI</v>
      </c>
    </row>
    <row r="4508" spans="1:27" ht="15" x14ac:dyDescent="0.25">
      <c r="A4508" s="2">
        <v>4503</v>
      </c>
      <c r="B4508" s="39">
        <v>927092666</v>
      </c>
      <c r="C4508" s="28" t="str">
        <f>HYPERLINK("https://pld.live/RapDetail.aspx?STONELIST=927092666","DNA")</f>
        <v>DNA</v>
      </c>
      <c r="D4508" s="18" t="s">
        <v>5847</v>
      </c>
      <c r="E4508" s="18" t="s">
        <v>5128</v>
      </c>
      <c r="F4508" s="2" t="s">
        <v>7987</v>
      </c>
      <c r="G4508" s="2" t="s">
        <v>1573</v>
      </c>
      <c r="H4508" s="14">
        <v>0.72</v>
      </c>
      <c r="I4508" s="2" t="s">
        <v>4761</v>
      </c>
      <c r="J4508" s="2" t="s">
        <v>3942</v>
      </c>
      <c r="K4508" s="2" t="s">
        <v>1452</v>
      </c>
      <c r="L4508" s="2" t="s">
        <v>5221</v>
      </c>
      <c r="M4508" s="2" t="s">
        <v>5721</v>
      </c>
      <c r="N4508" s="2" t="s">
        <v>2317</v>
      </c>
      <c r="O4508" s="14">
        <v>3800</v>
      </c>
      <c r="P4508" s="14">
        <v>96.11</v>
      </c>
      <c r="Q4508" s="14">
        <v>147.82</v>
      </c>
      <c r="R4508" s="14">
        <v>106.43</v>
      </c>
      <c r="S4508" s="2" t="s">
        <v>5370</v>
      </c>
      <c r="T4508" s="2">
        <v>1.5</v>
      </c>
      <c r="U4508" s="2">
        <v>60.2</v>
      </c>
      <c r="V4508" s="2">
        <v>60</v>
      </c>
      <c r="W4508" s="2" t="s">
        <v>7862</v>
      </c>
      <c r="X4508" s="2" t="s">
        <v>471</v>
      </c>
      <c r="Y4508" s="2">
        <v>2736</v>
      </c>
      <c r="Z4508" s="19" t="str">
        <f>HYPERLINK("https://ssdweb.co/ssdweb/hd/Vision360.html?d=927092666&amp;zoomslide=1&amp;z=1927092666&amp;ISCONFIRM=0","VIDEO")</f>
        <v>VIDEO</v>
      </c>
      <c r="AA4508" s="19" t="str">
        <f>HYPERLINK("https://ssdweb.co/ssdweb/CERTH/671477221.pdf","CERTI")</f>
        <v>CERTI</v>
      </c>
    </row>
    <row r="4509" spans="1:27" ht="15" x14ac:dyDescent="0.25">
      <c r="A4509" s="2">
        <v>4504</v>
      </c>
      <c r="B4509" s="39">
        <v>927092588</v>
      </c>
      <c r="C4509" s="28" t="str">
        <f>HYPERLINK("https://pld.live/RapDetail.aspx?STONELIST=927092588","DNA")</f>
        <v>DNA</v>
      </c>
      <c r="D4509" s="18" t="s">
        <v>5847</v>
      </c>
      <c r="E4509" s="18" t="s">
        <v>5128</v>
      </c>
      <c r="F4509" s="2" t="s">
        <v>7987</v>
      </c>
      <c r="G4509" s="2" t="s">
        <v>1573</v>
      </c>
      <c r="H4509" s="14">
        <v>0.72</v>
      </c>
      <c r="I4509" s="2" t="s">
        <v>4761</v>
      </c>
      <c r="J4509" s="2" t="s">
        <v>13</v>
      </c>
      <c r="K4509" s="2" t="s">
        <v>1452</v>
      </c>
      <c r="L4509" s="2" t="s">
        <v>5221</v>
      </c>
      <c r="M4509" s="2" t="s">
        <v>5221</v>
      </c>
      <c r="N4509" s="2" t="s">
        <v>2317</v>
      </c>
      <c r="O4509" s="14">
        <v>3500</v>
      </c>
      <c r="P4509" s="14">
        <v>96</v>
      </c>
      <c r="Q4509" s="14">
        <v>140</v>
      </c>
      <c r="R4509" s="14">
        <v>100.8</v>
      </c>
      <c r="S4509" s="2" t="s">
        <v>2507</v>
      </c>
      <c r="T4509" s="2">
        <v>1.41</v>
      </c>
      <c r="U4509" s="2">
        <v>60.5</v>
      </c>
      <c r="V4509" s="2">
        <v>60</v>
      </c>
      <c r="W4509" s="2" t="s">
        <v>7862</v>
      </c>
      <c r="X4509" s="2" t="s">
        <v>471</v>
      </c>
      <c r="Y4509" s="2">
        <v>2520</v>
      </c>
      <c r="Z4509" s="19" t="str">
        <f>HYPERLINK("https://ssdweb.co/ssdweb/hd/Vision360.html?d=927092588&amp;zoomslide=1&amp;z=1927092588&amp;ISCONFIRM=0","VIDEO")</f>
        <v>VIDEO</v>
      </c>
      <c r="AA4509" s="19" t="str">
        <f>HYPERLINK("https://ssdweb.co/ssdweb/CERTH/671411161.pdf","CERTI")</f>
        <v>CERTI</v>
      </c>
    </row>
    <row r="4510" spans="1:27" ht="15" x14ac:dyDescent="0.25">
      <c r="A4510" s="2">
        <v>4505</v>
      </c>
      <c r="B4510" s="39">
        <v>927092347</v>
      </c>
      <c r="C4510" s="28" t="str">
        <f>HYPERLINK("https://pld.live/RapDetail.aspx?STONELIST=927092347","DNA")</f>
        <v>DNA</v>
      </c>
      <c r="D4510" s="18" t="s">
        <v>5847</v>
      </c>
      <c r="E4510" s="18" t="s">
        <v>5128</v>
      </c>
      <c r="F4510" s="2" t="s">
        <v>7987</v>
      </c>
      <c r="G4510" s="2" t="s">
        <v>1573</v>
      </c>
      <c r="H4510" s="14">
        <v>0.72</v>
      </c>
      <c r="I4510" s="2" t="s">
        <v>4761</v>
      </c>
      <c r="J4510" s="2" t="s">
        <v>13</v>
      </c>
      <c r="K4510" s="2" t="s">
        <v>1452</v>
      </c>
      <c r="L4510" s="2" t="s">
        <v>5221</v>
      </c>
      <c r="M4510" s="2" t="s">
        <v>5721</v>
      </c>
      <c r="N4510" s="2" t="s">
        <v>2317</v>
      </c>
      <c r="O4510" s="14">
        <v>3500</v>
      </c>
      <c r="P4510" s="14">
        <v>96.11</v>
      </c>
      <c r="Q4510" s="14">
        <v>136.15</v>
      </c>
      <c r="R4510" s="14">
        <v>98.03</v>
      </c>
      <c r="S4510" s="2" t="s">
        <v>2436</v>
      </c>
      <c r="T4510" s="2">
        <v>1.39</v>
      </c>
      <c r="U4510" s="2">
        <v>62.5</v>
      </c>
      <c r="V4510" s="2">
        <v>59</v>
      </c>
      <c r="W4510" s="2" t="s">
        <v>7862</v>
      </c>
      <c r="X4510" s="2" t="s">
        <v>471</v>
      </c>
      <c r="Y4510" s="2">
        <v>2520</v>
      </c>
      <c r="Z4510" s="19" t="str">
        <f>HYPERLINK("https://ssdweb.co/ssdweb/hd/Vision360.html?d=927092347&amp;zoomslide=1&amp;z=1927092347&amp;ISCONFIRM=0","VIDEO")</f>
        <v>VIDEO</v>
      </c>
      <c r="AA4510" s="19" t="str">
        <f>HYPERLINK("https://ssdweb.co/ssdweb/CERTH/668446533.pdf","CERTI")</f>
        <v>CERTI</v>
      </c>
    </row>
    <row r="4511" spans="1:27" ht="15" x14ac:dyDescent="0.25">
      <c r="A4511" s="2">
        <v>4506</v>
      </c>
      <c r="B4511" s="39">
        <v>926220562</v>
      </c>
      <c r="C4511" s="28" t="str">
        <f>HYPERLINK("https://pld.live/RapDetail.aspx?STONELIST=926220562","DNA")</f>
        <v>DNA</v>
      </c>
      <c r="D4511" s="18" t="s">
        <v>5847</v>
      </c>
      <c r="E4511" s="18" t="s">
        <v>5128</v>
      </c>
      <c r="F4511" s="2" t="s">
        <v>7987</v>
      </c>
      <c r="G4511" s="2" t="s">
        <v>1573</v>
      </c>
      <c r="H4511" s="14">
        <v>0.72</v>
      </c>
      <c r="I4511" s="2" t="s">
        <v>4761</v>
      </c>
      <c r="J4511" s="2" t="s">
        <v>5144</v>
      </c>
      <c r="K4511" s="2" t="s">
        <v>1452</v>
      </c>
      <c r="L4511" s="2" t="s">
        <v>5221</v>
      </c>
      <c r="M4511" s="2" t="s">
        <v>5721</v>
      </c>
      <c r="N4511" s="2" t="s">
        <v>2317</v>
      </c>
      <c r="O4511" s="14">
        <v>3200</v>
      </c>
      <c r="P4511" s="14">
        <v>95.88</v>
      </c>
      <c r="Q4511" s="14">
        <v>131.84</v>
      </c>
      <c r="R4511" s="14">
        <v>94.92</v>
      </c>
      <c r="S4511" s="2" t="s">
        <v>2685</v>
      </c>
      <c r="T4511" s="2">
        <v>1.36</v>
      </c>
      <c r="U4511" s="2">
        <v>60.9</v>
      </c>
      <c r="V4511" s="2">
        <v>62</v>
      </c>
      <c r="W4511" s="2" t="s">
        <v>7862</v>
      </c>
      <c r="X4511" s="2" t="s">
        <v>471</v>
      </c>
      <c r="Y4511" s="2">
        <v>2304</v>
      </c>
      <c r="Z4511" s="19" t="str">
        <f>HYPERLINK("https://ssdweb.co/ssdweb/hd/Vision360.html?d=926220562&amp;zoomslide=1&amp;z=1926220562&amp;ISCONFIRM=0","VIDEO")</f>
        <v>VIDEO</v>
      </c>
      <c r="AA4511" s="19" t="str">
        <f>HYPERLINK("https://ssdweb.co/ssdweb/CERTH/635423839.pdf","CERTI")</f>
        <v>CERTI</v>
      </c>
    </row>
    <row r="4512" spans="1:27" ht="15" x14ac:dyDescent="0.25">
      <c r="A4512" s="2">
        <v>4507</v>
      </c>
      <c r="B4512" s="39">
        <v>927052714</v>
      </c>
      <c r="C4512" s="28" t="str">
        <f>HYPERLINK("https://pld.live/RapDetail.aspx?STONELIST=927052714","DNA")</f>
        <v>DNA</v>
      </c>
      <c r="D4512" s="18" t="s">
        <v>5847</v>
      </c>
      <c r="E4512" s="18" t="s">
        <v>5128</v>
      </c>
      <c r="F4512" s="2" t="s">
        <v>7987</v>
      </c>
      <c r="G4512" s="2" t="s">
        <v>1573</v>
      </c>
      <c r="H4512" s="14">
        <v>0.72</v>
      </c>
      <c r="I4512" s="2" t="s">
        <v>4699</v>
      </c>
      <c r="J4512" s="2" t="s">
        <v>6555</v>
      </c>
      <c r="K4512" s="2" t="s">
        <v>1452</v>
      </c>
      <c r="L4512" s="2" t="s">
        <v>5221</v>
      </c>
      <c r="M4512" s="2" t="s">
        <v>5221</v>
      </c>
      <c r="N4512" s="2" t="s">
        <v>2317</v>
      </c>
      <c r="O4512" s="14">
        <v>3800</v>
      </c>
      <c r="P4512" s="14">
        <v>95.79</v>
      </c>
      <c r="Q4512" s="14">
        <v>159.97999999999999</v>
      </c>
      <c r="R4512" s="14">
        <v>115.19</v>
      </c>
      <c r="S4512" s="2" t="s">
        <v>804</v>
      </c>
      <c r="T4512" s="2">
        <v>1.49</v>
      </c>
      <c r="U4512" s="2">
        <v>60.5</v>
      </c>
      <c r="V4512" s="2">
        <v>59</v>
      </c>
      <c r="W4512" s="2" t="s">
        <v>7862</v>
      </c>
      <c r="X4512" s="2" t="s">
        <v>471</v>
      </c>
      <c r="Y4512" s="2">
        <v>2736</v>
      </c>
      <c r="Z4512" s="19" t="str">
        <f>HYPERLINK("https://ssdweb.co/ssdweb/hd/Vision360.html?d=927052714&amp;zoomslide=1&amp;z=1927052714&amp;ISCONFIRM=0","VIDEO")</f>
        <v>VIDEO</v>
      </c>
      <c r="AA4512" s="19" t="str">
        <f>HYPERLINK("https://ssdweb.co/ssdweb/CERTH/670445171.pdf","CERTI")</f>
        <v>CERTI</v>
      </c>
    </row>
    <row r="4513" spans="1:27" ht="15" x14ac:dyDescent="0.25">
      <c r="A4513" s="2">
        <v>4508</v>
      </c>
      <c r="B4513" s="39">
        <v>941320835</v>
      </c>
      <c r="C4513" s="28" t="str">
        <f>HYPERLINK("https://pld.live/RapDetail.aspx?STONELIST=941320835","DNA")</f>
        <v>DNA</v>
      </c>
      <c r="D4513" s="18" t="s">
        <v>5847</v>
      </c>
      <c r="E4513" s="18" t="s">
        <v>5128</v>
      </c>
      <c r="F4513" s="2" t="s">
        <v>7987</v>
      </c>
      <c r="G4513" s="2" t="s">
        <v>1573</v>
      </c>
      <c r="H4513" s="14">
        <v>0.72</v>
      </c>
      <c r="I4513" s="2" t="s">
        <v>4699</v>
      </c>
      <c r="J4513" s="2" t="s">
        <v>3942</v>
      </c>
      <c r="K4513" s="2" t="s">
        <v>1452</v>
      </c>
      <c r="L4513" s="2" t="s">
        <v>5221</v>
      </c>
      <c r="M4513" s="2" t="s">
        <v>5221</v>
      </c>
      <c r="N4513" s="2" t="s">
        <v>2317</v>
      </c>
      <c r="O4513" s="14">
        <v>3600</v>
      </c>
      <c r="P4513" s="14">
        <v>95.97</v>
      </c>
      <c r="Q4513" s="14">
        <v>145.08000000000001</v>
      </c>
      <c r="R4513" s="14">
        <v>104.46</v>
      </c>
      <c r="S4513" s="2" t="s">
        <v>7842</v>
      </c>
      <c r="T4513" s="2">
        <v>1.39</v>
      </c>
      <c r="U4513" s="2">
        <v>61.4</v>
      </c>
      <c r="V4513" s="2">
        <v>60</v>
      </c>
      <c r="W4513" s="2" t="s">
        <v>7862</v>
      </c>
      <c r="X4513" s="2" t="s">
        <v>471</v>
      </c>
      <c r="Y4513" s="2">
        <v>2592</v>
      </c>
      <c r="Z4513" s="19" t="str">
        <f>HYPERLINK("https://ssdweb.co/ssdweb/hd/Vision360.html?d=941320835&amp;zoomslide=1&amp;z=1941320835&amp;ISCONFIRM=0","VIDEO")</f>
        <v>VIDEO</v>
      </c>
      <c r="AA4513" s="19" t="str">
        <f>HYPERLINK("https://ssdweb.co/ssdweb/CERTH/694508346.pdf","CERTI")</f>
        <v>CERTI</v>
      </c>
    </row>
    <row r="4514" spans="1:27" ht="15" x14ac:dyDescent="0.25">
      <c r="A4514" s="2">
        <v>4509</v>
      </c>
      <c r="B4514" s="39">
        <v>927052671</v>
      </c>
      <c r="C4514" s="28" t="str">
        <f>HYPERLINK("https://pld.live/RapDetail.aspx?STONELIST=927052671","DNA")</f>
        <v>DNA</v>
      </c>
      <c r="D4514" s="18" t="s">
        <v>5847</v>
      </c>
      <c r="E4514" s="18" t="s">
        <v>5128</v>
      </c>
      <c r="F4514" s="2" t="s">
        <v>7987</v>
      </c>
      <c r="G4514" s="2" t="s">
        <v>1573</v>
      </c>
      <c r="H4514" s="14">
        <v>0.71</v>
      </c>
      <c r="I4514" s="2" t="s">
        <v>267</v>
      </c>
      <c r="J4514" s="2" t="s">
        <v>6555</v>
      </c>
      <c r="K4514" s="2" t="s">
        <v>1452</v>
      </c>
      <c r="L4514" s="2" t="s">
        <v>5221</v>
      </c>
      <c r="M4514" s="2" t="s">
        <v>5221</v>
      </c>
      <c r="N4514" s="2" t="s">
        <v>2317</v>
      </c>
      <c r="O4514" s="14">
        <v>4300</v>
      </c>
      <c r="P4514" s="14">
        <v>95.7</v>
      </c>
      <c r="Q4514" s="14">
        <v>184.9</v>
      </c>
      <c r="R4514" s="14">
        <v>131.28</v>
      </c>
      <c r="S4514" s="2" t="s">
        <v>476</v>
      </c>
      <c r="T4514" s="2">
        <v>1.45</v>
      </c>
      <c r="U4514" s="2">
        <v>60.7</v>
      </c>
      <c r="V4514" s="2">
        <v>60</v>
      </c>
      <c r="W4514" s="2" t="s">
        <v>7862</v>
      </c>
      <c r="X4514" s="2" t="s">
        <v>471</v>
      </c>
      <c r="Y4514" s="2">
        <v>3053</v>
      </c>
      <c r="Z4514" s="19" t="str">
        <f>HYPERLINK("https://ssdweb.co/ssdweb/hd/Vision360.html?d=927052671&amp;zoomslide=1&amp;z=1927052671&amp;ISCONFIRM=0","VIDEO")</f>
        <v>VIDEO</v>
      </c>
      <c r="AA4514" s="19" t="str">
        <f>HYPERLINK("https://ssdweb.co/ssdweb/CERTH/669458134.pdf","CERTI")</f>
        <v>CERTI</v>
      </c>
    </row>
    <row r="4515" spans="1:27" ht="15" x14ac:dyDescent="0.25">
      <c r="A4515" s="2">
        <v>4510</v>
      </c>
      <c r="B4515" s="39">
        <v>927052740</v>
      </c>
      <c r="C4515" s="28" t="str">
        <f>HYPERLINK("https://pld.live/RapDetail.aspx?STONELIST=927052740","DNA")</f>
        <v>DNA</v>
      </c>
      <c r="D4515" s="18" t="s">
        <v>5847</v>
      </c>
      <c r="E4515" s="18" t="s">
        <v>5128</v>
      </c>
      <c r="F4515" s="2" t="s">
        <v>7987</v>
      </c>
      <c r="G4515" s="2" t="s">
        <v>1573</v>
      </c>
      <c r="H4515" s="14">
        <v>0.71</v>
      </c>
      <c r="I4515" s="2" t="s">
        <v>267</v>
      </c>
      <c r="J4515" s="2" t="s">
        <v>3942</v>
      </c>
      <c r="K4515" s="2" t="s">
        <v>1452</v>
      </c>
      <c r="L4515" s="2" t="s">
        <v>5221</v>
      </c>
      <c r="M4515" s="2" t="s">
        <v>5221</v>
      </c>
      <c r="N4515" s="2" t="s">
        <v>2317</v>
      </c>
      <c r="O4515" s="14">
        <v>4000</v>
      </c>
      <c r="P4515" s="14">
        <v>96.13</v>
      </c>
      <c r="Q4515" s="14">
        <v>154.80000000000001</v>
      </c>
      <c r="R4515" s="14">
        <v>109.91</v>
      </c>
      <c r="S4515" s="2" t="s">
        <v>6800</v>
      </c>
      <c r="T4515" s="2">
        <v>1.48</v>
      </c>
      <c r="U4515" s="2">
        <v>60.1</v>
      </c>
      <c r="V4515" s="2">
        <v>61</v>
      </c>
      <c r="W4515" s="2" t="s">
        <v>7862</v>
      </c>
      <c r="X4515" s="2" t="s">
        <v>471</v>
      </c>
      <c r="Y4515" s="2">
        <v>2840</v>
      </c>
      <c r="Z4515" s="19" t="str">
        <f>HYPERLINK("https://ssdweb.co/ssdweb/hd/Vision360.html?d=927052740&amp;zoomslide=1&amp;z=1927052740&amp;ISCONFIRM=0","VIDEO")</f>
        <v>VIDEO</v>
      </c>
      <c r="AA4515" s="19" t="str">
        <f>HYPERLINK("https://ssdweb.co/ssdweb/CERTH/671427962.pdf","CERTI")</f>
        <v>CERTI</v>
      </c>
    </row>
    <row r="4516" spans="1:27" ht="15" x14ac:dyDescent="0.25">
      <c r="A4516" s="2">
        <v>4511</v>
      </c>
      <c r="B4516" s="39">
        <v>927052747</v>
      </c>
      <c r="C4516" s="28" t="str">
        <f>HYPERLINK("https://pld.live/RapDetail.aspx?STONELIST=927052747","DNA")</f>
        <v>DNA</v>
      </c>
      <c r="D4516" s="18" t="s">
        <v>5847</v>
      </c>
      <c r="E4516" s="18" t="s">
        <v>5128</v>
      </c>
      <c r="F4516" s="2" t="s">
        <v>7987</v>
      </c>
      <c r="G4516" s="2" t="s">
        <v>1573</v>
      </c>
      <c r="H4516" s="14">
        <v>0.71</v>
      </c>
      <c r="I4516" s="2" t="s">
        <v>267</v>
      </c>
      <c r="J4516" s="2" t="s">
        <v>3942</v>
      </c>
      <c r="K4516" s="2" t="s">
        <v>1452</v>
      </c>
      <c r="L4516" s="2" t="s">
        <v>5221</v>
      </c>
      <c r="M4516" s="2" t="s">
        <v>5221</v>
      </c>
      <c r="N4516" s="2" t="s">
        <v>2317</v>
      </c>
      <c r="O4516" s="14">
        <v>4000</v>
      </c>
      <c r="P4516" s="14">
        <v>96.13</v>
      </c>
      <c r="Q4516" s="14">
        <v>154.80000000000001</v>
      </c>
      <c r="R4516" s="14">
        <v>109.91</v>
      </c>
      <c r="S4516" s="2" t="s">
        <v>6121</v>
      </c>
      <c r="T4516" s="2">
        <v>1.37</v>
      </c>
      <c r="U4516" s="2">
        <v>61.6</v>
      </c>
      <c r="V4516" s="2">
        <v>56</v>
      </c>
      <c r="W4516" s="2" t="s">
        <v>7862</v>
      </c>
      <c r="X4516" s="2" t="s">
        <v>471</v>
      </c>
      <c r="Y4516" s="2">
        <v>2840</v>
      </c>
      <c r="Z4516" s="19" t="str">
        <f>HYPERLINK("https://ssdweb.co/ssdweb/hd/Vision360.html?d=927052747&amp;zoomslide=1&amp;z=1927052747&amp;ISCONFIRM=0","VIDEO")</f>
        <v>VIDEO</v>
      </c>
      <c r="AA4516" s="19" t="str">
        <f>HYPERLINK("https://ssdweb.co/ssdweb/CERTH/671477184.pdf","CERTI")</f>
        <v>CERTI</v>
      </c>
    </row>
    <row r="4517" spans="1:27" ht="15" x14ac:dyDescent="0.25">
      <c r="A4517" s="2">
        <v>4512</v>
      </c>
      <c r="B4517" s="39">
        <v>927092579</v>
      </c>
      <c r="C4517" s="28" t="str">
        <f>HYPERLINK("https://pld.live/RapDetail.aspx?STONELIST=927092579","DNA")</f>
        <v>DNA</v>
      </c>
      <c r="D4517" s="18" t="s">
        <v>5847</v>
      </c>
      <c r="E4517" s="18" t="s">
        <v>5128</v>
      </c>
      <c r="F4517" s="2" t="s">
        <v>7987</v>
      </c>
      <c r="G4517" s="2" t="s">
        <v>1573</v>
      </c>
      <c r="H4517" s="14">
        <v>0.71</v>
      </c>
      <c r="I4517" s="2" t="s">
        <v>267</v>
      </c>
      <c r="J4517" s="2" t="s">
        <v>13</v>
      </c>
      <c r="K4517" s="2" t="s">
        <v>1452</v>
      </c>
      <c r="L4517" s="2" t="s">
        <v>5221</v>
      </c>
      <c r="M4517" s="2" t="s">
        <v>5221</v>
      </c>
      <c r="N4517" s="2" t="s">
        <v>2317</v>
      </c>
      <c r="O4517" s="14">
        <v>3700</v>
      </c>
      <c r="P4517" s="14">
        <v>96.08</v>
      </c>
      <c r="Q4517" s="14">
        <v>145.04</v>
      </c>
      <c r="R4517" s="14">
        <v>102.98</v>
      </c>
      <c r="S4517" s="2" t="s">
        <v>3300</v>
      </c>
      <c r="T4517" s="2">
        <v>1.42</v>
      </c>
      <c r="U4517" s="2">
        <v>62.1</v>
      </c>
      <c r="V4517" s="2">
        <v>61</v>
      </c>
      <c r="W4517" s="2" t="s">
        <v>7862</v>
      </c>
      <c r="X4517" s="2" t="s">
        <v>471</v>
      </c>
      <c r="Y4517" s="2">
        <v>2627</v>
      </c>
      <c r="Z4517" s="19" t="str">
        <f>HYPERLINK("https://ssdweb.co/ssdweb/hd/Vision360.html?d=927092579&amp;zoomslide=1&amp;z=1927092579&amp;ISCONFIRM=0","VIDEO")</f>
        <v>VIDEO</v>
      </c>
      <c r="AA4517" s="19" t="str">
        <f>HYPERLINK("https://ssdweb.co/ssdweb/CERTH/671411170.pdf","CERTI")</f>
        <v>CERTI</v>
      </c>
    </row>
    <row r="4518" spans="1:27" ht="15" x14ac:dyDescent="0.25">
      <c r="A4518" s="2">
        <v>4513</v>
      </c>
      <c r="B4518" s="39">
        <v>941190400</v>
      </c>
      <c r="C4518" s="28" t="str">
        <f>HYPERLINK("https://pld.live/RapDetail.aspx?STONELIST=941190400","DNA")</f>
        <v>DNA</v>
      </c>
      <c r="D4518" s="18" t="s">
        <v>5847</v>
      </c>
      <c r="E4518" s="18" t="s">
        <v>5128</v>
      </c>
      <c r="F4518" s="2" t="s">
        <v>7987</v>
      </c>
      <c r="G4518" s="2" t="s">
        <v>1573</v>
      </c>
      <c r="H4518" s="14">
        <v>0.71</v>
      </c>
      <c r="I4518" s="2" t="s">
        <v>267</v>
      </c>
      <c r="J4518" s="2" t="s">
        <v>13</v>
      </c>
      <c r="K4518" s="2" t="s">
        <v>1452</v>
      </c>
      <c r="L4518" s="2" t="s">
        <v>5221</v>
      </c>
      <c r="M4518" s="2" t="s">
        <v>5721</v>
      </c>
      <c r="N4518" s="2" t="s">
        <v>2317</v>
      </c>
      <c r="O4518" s="14">
        <v>3700</v>
      </c>
      <c r="P4518" s="14">
        <v>96.14</v>
      </c>
      <c r="Q4518" s="14">
        <v>142.82</v>
      </c>
      <c r="R4518" s="14">
        <v>101.4</v>
      </c>
      <c r="S4518" s="2" t="s">
        <v>4713</v>
      </c>
      <c r="T4518" s="2">
        <v>1.38</v>
      </c>
      <c r="U4518" s="2">
        <v>60.3</v>
      </c>
      <c r="V4518" s="2">
        <v>58</v>
      </c>
      <c r="W4518" s="2" t="s">
        <v>7862</v>
      </c>
      <c r="X4518" s="2" t="s">
        <v>471</v>
      </c>
      <c r="Y4518" s="2">
        <v>2627</v>
      </c>
      <c r="Z4518" s="19" t="str">
        <f>HYPERLINK("https://ssdweb.co/ssdweb/hd/Vision360.html?d=941190400&amp;zoomslide=1&amp;z=1941190400&amp;ISCONFIRM=0","VIDEO")</f>
        <v>VIDEO</v>
      </c>
      <c r="AA4518" s="19" t="str">
        <f>HYPERLINK("https://ssdweb.co/ssdweb/CERTH/677510732.pdf","CERTI")</f>
        <v>CERTI</v>
      </c>
    </row>
    <row r="4519" spans="1:27" ht="15" x14ac:dyDescent="0.25">
      <c r="A4519" s="2">
        <v>4514</v>
      </c>
      <c r="B4519" s="39">
        <v>927092634</v>
      </c>
      <c r="C4519" s="28" t="str">
        <f>HYPERLINK("https://pld.live/RapDetail.aspx?STONELIST=927092634","DNA")</f>
        <v>DNA</v>
      </c>
      <c r="D4519" s="18" t="s">
        <v>5847</v>
      </c>
      <c r="E4519" s="18" t="s">
        <v>5128</v>
      </c>
      <c r="F4519" s="2" t="s">
        <v>7987</v>
      </c>
      <c r="G4519" s="2" t="s">
        <v>1573</v>
      </c>
      <c r="H4519" s="14">
        <v>0.71</v>
      </c>
      <c r="I4519" s="2" t="s">
        <v>267</v>
      </c>
      <c r="J4519" s="2" t="s">
        <v>13</v>
      </c>
      <c r="K4519" s="2" t="s">
        <v>1452</v>
      </c>
      <c r="L4519" s="2" t="s">
        <v>5221</v>
      </c>
      <c r="M4519" s="2" t="s">
        <v>5721</v>
      </c>
      <c r="N4519" s="2" t="s">
        <v>2317</v>
      </c>
      <c r="O4519" s="14">
        <v>3700</v>
      </c>
      <c r="P4519" s="14">
        <v>96.14</v>
      </c>
      <c r="Q4519" s="14">
        <v>142.82</v>
      </c>
      <c r="R4519" s="14">
        <v>101.4</v>
      </c>
      <c r="S4519" s="2" t="s">
        <v>4442</v>
      </c>
      <c r="T4519" s="2">
        <v>1.41</v>
      </c>
      <c r="U4519" s="2">
        <v>62.3</v>
      </c>
      <c r="V4519" s="2">
        <v>60</v>
      </c>
      <c r="W4519" s="2" t="s">
        <v>7862</v>
      </c>
      <c r="X4519" s="2" t="s">
        <v>471</v>
      </c>
      <c r="Y4519" s="2">
        <v>2627</v>
      </c>
      <c r="Z4519" s="19" t="str">
        <f>HYPERLINK("https://ssdweb.co/ssdweb/hd/Vision360.html?d=927092634&amp;zoomslide=1&amp;z=1927092634&amp;ISCONFIRM=0","VIDEO")</f>
        <v>VIDEO</v>
      </c>
      <c r="AA4519" s="19" t="str">
        <f>HYPERLINK("https://ssdweb.co/ssdweb/CERTH/671477174.pdf","CERTI")</f>
        <v>CERTI</v>
      </c>
    </row>
    <row r="4520" spans="1:27" ht="15" x14ac:dyDescent="0.25">
      <c r="A4520" s="2">
        <v>4515</v>
      </c>
      <c r="B4520" s="39">
        <v>927092685</v>
      </c>
      <c r="C4520" s="28" t="str">
        <f>HYPERLINK("https://pld.live/RapDetail.aspx?STONELIST=927092685","DNA")</f>
        <v>DNA</v>
      </c>
      <c r="D4520" s="18" t="s">
        <v>5847</v>
      </c>
      <c r="E4520" s="18" t="s">
        <v>5128</v>
      </c>
      <c r="F4520" s="2" t="s">
        <v>7987</v>
      </c>
      <c r="G4520" s="2" t="s">
        <v>1573</v>
      </c>
      <c r="H4520" s="14">
        <v>0.71</v>
      </c>
      <c r="I4520" s="2" t="s">
        <v>267</v>
      </c>
      <c r="J4520" s="2" t="s">
        <v>13</v>
      </c>
      <c r="K4520" s="2" t="s">
        <v>1452</v>
      </c>
      <c r="L4520" s="2" t="s">
        <v>5221</v>
      </c>
      <c r="M4520" s="2" t="s">
        <v>5721</v>
      </c>
      <c r="N4520" s="2" t="s">
        <v>2317</v>
      </c>
      <c r="O4520" s="14">
        <v>3700</v>
      </c>
      <c r="P4520" s="14">
        <v>96.14</v>
      </c>
      <c r="Q4520" s="14">
        <v>142.82</v>
      </c>
      <c r="R4520" s="14">
        <v>101.4</v>
      </c>
      <c r="S4520" s="2" t="s">
        <v>2015</v>
      </c>
      <c r="T4520" s="2">
        <v>1.38</v>
      </c>
      <c r="U4520" s="2">
        <v>62.5</v>
      </c>
      <c r="V4520" s="2">
        <v>62</v>
      </c>
      <c r="W4520" s="2" t="s">
        <v>7862</v>
      </c>
      <c r="X4520" s="2" t="s">
        <v>471</v>
      </c>
      <c r="Y4520" s="2">
        <v>2627</v>
      </c>
      <c r="Z4520" s="19" t="str">
        <f>HYPERLINK("https://ssdweb.co/ssdweb/hd/Vision360.html?d=927092685&amp;zoomslide=1&amp;z=1927092685&amp;ISCONFIRM=0","VIDEO")</f>
        <v>VIDEO</v>
      </c>
      <c r="AA4520" s="19" t="str">
        <f>HYPERLINK("https://ssdweb.co/ssdweb/CERTH/674543115.pdf","CERTI")</f>
        <v>CERTI</v>
      </c>
    </row>
    <row r="4521" spans="1:27" ht="15" x14ac:dyDescent="0.25">
      <c r="A4521" s="2">
        <v>4516</v>
      </c>
      <c r="B4521" s="39">
        <v>927052644</v>
      </c>
      <c r="C4521" s="28" t="str">
        <f>HYPERLINK("https://pld.live/RapDetail.aspx?STONELIST=927052644","DNA")</f>
        <v>DNA</v>
      </c>
      <c r="D4521" s="18" t="s">
        <v>5847</v>
      </c>
      <c r="E4521" s="18" t="s">
        <v>5128</v>
      </c>
      <c r="F4521" s="2" t="s">
        <v>7987</v>
      </c>
      <c r="G4521" s="2" t="s">
        <v>1573</v>
      </c>
      <c r="H4521" s="14">
        <v>0.71</v>
      </c>
      <c r="I4521" s="2" t="s">
        <v>267</v>
      </c>
      <c r="J4521" s="2" t="s">
        <v>13</v>
      </c>
      <c r="K4521" s="2" t="s">
        <v>1452</v>
      </c>
      <c r="L4521" s="2" t="s">
        <v>5221</v>
      </c>
      <c r="M4521" s="2" t="s">
        <v>5721</v>
      </c>
      <c r="N4521" s="2" t="s">
        <v>2317</v>
      </c>
      <c r="O4521" s="14">
        <v>3700</v>
      </c>
      <c r="P4521" s="14">
        <v>96.14</v>
      </c>
      <c r="Q4521" s="14">
        <v>142.82</v>
      </c>
      <c r="R4521" s="14">
        <v>101.4</v>
      </c>
      <c r="S4521" s="2" t="s">
        <v>7648</v>
      </c>
      <c r="T4521" s="2">
        <v>1.45</v>
      </c>
      <c r="U4521" s="2">
        <v>61.7</v>
      </c>
      <c r="V4521" s="2">
        <v>59</v>
      </c>
      <c r="W4521" s="2" t="s">
        <v>7862</v>
      </c>
      <c r="X4521" s="2" t="s">
        <v>471</v>
      </c>
      <c r="Y4521" s="2">
        <v>2627</v>
      </c>
      <c r="Z4521" s="19" t="str">
        <f>HYPERLINK("https://ssdweb.co/ssdweb/hd/Vision360.html?d=927052644&amp;zoomslide=1&amp;z=1927052644&amp;ISCONFIRM=0","VIDEO")</f>
        <v>VIDEO</v>
      </c>
      <c r="AA4521" s="19" t="str">
        <f>HYPERLINK("https://ssdweb.co/ssdweb/CERTH/669458146.pdf","CERTI")</f>
        <v>CERTI</v>
      </c>
    </row>
    <row r="4522" spans="1:27" ht="15" x14ac:dyDescent="0.25">
      <c r="A4522" s="2">
        <v>4517</v>
      </c>
      <c r="B4522" s="39">
        <v>924230723</v>
      </c>
      <c r="C4522" s="28" t="str">
        <f>HYPERLINK("https://pld.live/RapDetail.aspx?STONELIST=924230723","DNA")</f>
        <v>DNA</v>
      </c>
      <c r="D4522" s="18" t="s">
        <v>5847</v>
      </c>
      <c r="E4522" s="18" t="s">
        <v>5128</v>
      </c>
      <c r="F4522" s="2" t="s">
        <v>7987</v>
      </c>
      <c r="G4522" s="2" t="s">
        <v>1573</v>
      </c>
      <c r="H4522" s="14">
        <v>0.71</v>
      </c>
      <c r="I4522" s="2" t="s">
        <v>267</v>
      </c>
      <c r="J4522" s="2" t="s">
        <v>444</v>
      </c>
      <c r="K4522" s="2" t="s">
        <v>1452</v>
      </c>
      <c r="L4522" s="2" t="s">
        <v>5221</v>
      </c>
      <c r="M4522" s="2" t="s">
        <v>5221</v>
      </c>
      <c r="N4522" s="2" t="s">
        <v>2317</v>
      </c>
      <c r="O4522" s="14">
        <v>2800</v>
      </c>
      <c r="P4522" s="14">
        <v>95.54</v>
      </c>
      <c r="Q4522" s="14">
        <v>124.88</v>
      </c>
      <c r="R4522" s="14">
        <v>88.66</v>
      </c>
      <c r="S4522" s="2" t="s">
        <v>1021</v>
      </c>
      <c r="T4522" s="2">
        <v>1.38</v>
      </c>
      <c r="U4522" s="2">
        <v>61.8</v>
      </c>
      <c r="V4522" s="2">
        <v>60</v>
      </c>
      <c r="W4522" s="2" t="s">
        <v>7862</v>
      </c>
      <c r="X4522" s="2" t="s">
        <v>471</v>
      </c>
      <c r="Y4522" s="2">
        <v>1988</v>
      </c>
      <c r="Z4522" s="19" t="str">
        <f>HYPERLINK("https://ssdweb.co/ssdweb/hd/Vision360.html?d=924230723&amp;zoomslide=1&amp;z=1924230723&amp;ISCONFIRM=0","VIDEO")</f>
        <v>VIDEO</v>
      </c>
      <c r="AA4522" s="19" t="str">
        <f>HYPERLINK("https://ssdweb.co/ssdweb/CERTH/583308721.pdf","CERTI")</f>
        <v>CERTI</v>
      </c>
    </row>
    <row r="4523" spans="1:27" ht="15" x14ac:dyDescent="0.25">
      <c r="A4523" s="2">
        <v>4518</v>
      </c>
      <c r="B4523" s="39">
        <v>924850121</v>
      </c>
      <c r="C4523" s="28" t="str">
        <f>HYPERLINK("https://pld.live/RapDetail.aspx?STONELIST=924850121","DNA")</f>
        <v>DNA</v>
      </c>
      <c r="D4523" s="18" t="s">
        <v>5847</v>
      </c>
      <c r="E4523" s="18" t="s">
        <v>5128</v>
      </c>
      <c r="F4523" s="2" t="s">
        <v>5597</v>
      </c>
      <c r="G4523" s="2" t="s">
        <v>1573</v>
      </c>
      <c r="H4523" s="14">
        <v>0.71</v>
      </c>
      <c r="I4523" s="2" t="s">
        <v>267</v>
      </c>
      <c r="J4523" s="2" t="s">
        <v>444</v>
      </c>
      <c r="K4523" s="2" t="s">
        <v>1452</v>
      </c>
      <c r="L4523" s="2" t="s">
        <v>5221</v>
      </c>
      <c r="M4523" s="2" t="s">
        <v>5721</v>
      </c>
      <c r="N4523" s="2" t="s">
        <v>2317</v>
      </c>
      <c r="O4523" s="14">
        <v>2800</v>
      </c>
      <c r="P4523" s="14">
        <v>93.04</v>
      </c>
      <c r="Q4523" s="14">
        <v>194.88</v>
      </c>
      <c r="R4523" s="14">
        <v>138.36000000000001</v>
      </c>
      <c r="S4523" s="2" t="s">
        <v>7182</v>
      </c>
      <c r="T4523" s="2">
        <v>1.38</v>
      </c>
      <c r="U4523" s="2">
        <v>62.4</v>
      </c>
      <c r="V4523" s="2">
        <v>60</v>
      </c>
      <c r="W4523" s="2" t="s">
        <v>7862</v>
      </c>
      <c r="X4523" s="2" t="s">
        <v>471</v>
      </c>
      <c r="Y4523" s="2">
        <v>1988</v>
      </c>
      <c r="Z4523" s="19" t="str">
        <f>HYPERLINK("https://ssdweb.co/ssdweb/hd/Vision360.html?d=924850121&amp;zoomslide=1&amp;z=1924850121&amp;ISCONFIRM=0","VIDEO")</f>
        <v>VIDEO</v>
      </c>
      <c r="AA4523" s="19" t="str">
        <f>HYPERLINK("https://ssdweb.co/ssdweb/CERTH/7471836035.pdf","CERTI")</f>
        <v>CERTI</v>
      </c>
    </row>
    <row r="4524" spans="1:27" ht="15" x14ac:dyDescent="0.25">
      <c r="A4524" s="2">
        <v>4519</v>
      </c>
      <c r="B4524" s="39">
        <v>927092654</v>
      </c>
      <c r="C4524" s="28" t="str">
        <f>HYPERLINK("https://pld.live/RapDetail.aspx?STONELIST=927092654","DNA")</f>
        <v>DNA</v>
      </c>
      <c r="D4524" s="18" t="s">
        <v>5847</v>
      </c>
      <c r="E4524" s="18" t="s">
        <v>5128</v>
      </c>
      <c r="F4524" s="2" t="s">
        <v>7987</v>
      </c>
      <c r="G4524" s="2" t="s">
        <v>1573</v>
      </c>
      <c r="H4524" s="14">
        <v>0.71</v>
      </c>
      <c r="I4524" s="2" t="s">
        <v>4761</v>
      </c>
      <c r="J4524" s="2" t="s">
        <v>3942</v>
      </c>
      <c r="K4524" s="2" t="s">
        <v>1452</v>
      </c>
      <c r="L4524" s="2" t="s">
        <v>5221</v>
      </c>
      <c r="M4524" s="2" t="s">
        <v>5221</v>
      </c>
      <c r="N4524" s="2" t="s">
        <v>2317</v>
      </c>
      <c r="O4524" s="14">
        <v>3800</v>
      </c>
      <c r="P4524" s="14">
        <v>96.05</v>
      </c>
      <c r="Q4524" s="14">
        <v>150.1</v>
      </c>
      <c r="R4524" s="14">
        <v>106.57</v>
      </c>
      <c r="S4524" s="2" t="s">
        <v>5841</v>
      </c>
      <c r="T4524" s="2">
        <v>1.39</v>
      </c>
      <c r="U4524" s="2">
        <v>61.6</v>
      </c>
      <c r="V4524" s="2">
        <v>59</v>
      </c>
      <c r="W4524" s="2" t="s">
        <v>7862</v>
      </c>
      <c r="X4524" s="2" t="s">
        <v>471</v>
      </c>
      <c r="Y4524" s="2">
        <v>2698</v>
      </c>
      <c r="Z4524" s="19" t="str">
        <f>HYPERLINK("https://ssdweb.co/ssdweb/hd/Vision360.html?d=927092654&amp;zoomslide=1&amp;z=1927092654&amp;ISCONFIRM=0","VIDEO")</f>
        <v>VIDEO</v>
      </c>
      <c r="AA4524" s="19" t="str">
        <f>HYPERLINK("https://ssdweb.co/ssdweb/CERTH/671477218.pdf","CERTI")</f>
        <v>CERTI</v>
      </c>
    </row>
    <row r="4525" spans="1:27" ht="15" x14ac:dyDescent="0.25">
      <c r="A4525" s="2">
        <v>4520</v>
      </c>
      <c r="B4525" s="39">
        <v>927092667</v>
      </c>
      <c r="C4525" s="28" t="str">
        <f>HYPERLINK("https://pld.live/RapDetail.aspx?STONELIST=927092667","DNA")</f>
        <v>DNA</v>
      </c>
      <c r="D4525" s="18" t="s">
        <v>5847</v>
      </c>
      <c r="E4525" s="18" t="s">
        <v>5128</v>
      </c>
      <c r="F4525" s="2" t="s">
        <v>7987</v>
      </c>
      <c r="G4525" s="2" t="s">
        <v>1573</v>
      </c>
      <c r="H4525" s="14">
        <v>0.71</v>
      </c>
      <c r="I4525" s="2" t="s">
        <v>4761</v>
      </c>
      <c r="J4525" s="2" t="s">
        <v>13</v>
      </c>
      <c r="K4525" s="2" t="s">
        <v>1452</v>
      </c>
      <c r="L4525" s="2" t="s">
        <v>5221</v>
      </c>
      <c r="M4525" s="2" t="s">
        <v>5221</v>
      </c>
      <c r="N4525" s="2" t="s">
        <v>2317</v>
      </c>
      <c r="O4525" s="14">
        <v>3500</v>
      </c>
      <c r="P4525" s="14">
        <v>96</v>
      </c>
      <c r="Q4525" s="14">
        <v>140</v>
      </c>
      <c r="R4525" s="14">
        <v>99.4</v>
      </c>
      <c r="S4525" s="2" t="s">
        <v>6290</v>
      </c>
      <c r="T4525" s="2">
        <v>1.44</v>
      </c>
      <c r="U4525" s="2">
        <v>59.3</v>
      </c>
      <c r="V4525" s="2">
        <v>62</v>
      </c>
      <c r="W4525" s="2" t="s">
        <v>7862</v>
      </c>
      <c r="X4525" s="2" t="s">
        <v>471</v>
      </c>
      <c r="Y4525" s="2">
        <v>2485</v>
      </c>
      <c r="Z4525" s="19" t="str">
        <f>HYPERLINK("https://ssdweb.co/ssdweb/hd/Vision360.html?d=927092667&amp;zoomslide=1&amp;z=1927092667&amp;ISCONFIRM=0","VIDEO")</f>
        <v>VIDEO</v>
      </c>
      <c r="AA4525" s="19" t="str">
        <f>HYPERLINK("https://ssdweb.co/ssdweb/CERTH/671477186.pdf","CERTI")</f>
        <v>CERTI</v>
      </c>
    </row>
    <row r="4526" spans="1:27" ht="15" x14ac:dyDescent="0.25">
      <c r="A4526" s="2">
        <v>4521</v>
      </c>
      <c r="B4526" s="39">
        <v>924850123</v>
      </c>
      <c r="C4526" s="28" t="str">
        <f>HYPERLINK("https://pld.live/RapDetail.aspx?STONELIST=924850123","DNA")</f>
        <v>DNA</v>
      </c>
      <c r="D4526" s="18" t="s">
        <v>5847</v>
      </c>
      <c r="E4526" s="18" t="s">
        <v>5128</v>
      </c>
      <c r="F4526" s="2" t="s">
        <v>7987</v>
      </c>
      <c r="G4526" s="2" t="s">
        <v>1573</v>
      </c>
      <c r="H4526" s="14">
        <v>0.7</v>
      </c>
      <c r="I4526" s="2" t="s">
        <v>267</v>
      </c>
      <c r="J4526" s="2" t="s">
        <v>3942</v>
      </c>
      <c r="K4526" s="2" t="s">
        <v>1452</v>
      </c>
      <c r="L4526" s="2" t="s">
        <v>5221</v>
      </c>
      <c r="M4526" s="2" t="s">
        <v>5221</v>
      </c>
      <c r="N4526" s="2" t="s">
        <v>2317</v>
      </c>
      <c r="O4526" s="14">
        <v>4000</v>
      </c>
      <c r="P4526" s="14">
        <v>96.33</v>
      </c>
      <c r="Q4526" s="14">
        <v>146.80000000000001</v>
      </c>
      <c r="R4526" s="14">
        <v>102.76</v>
      </c>
      <c r="S4526" s="2" t="s">
        <v>5208</v>
      </c>
      <c r="T4526" s="2">
        <v>1.36</v>
      </c>
      <c r="U4526" s="2">
        <v>61.7</v>
      </c>
      <c r="V4526" s="2">
        <v>61</v>
      </c>
      <c r="W4526" s="2" t="s">
        <v>7862</v>
      </c>
      <c r="X4526" s="2" t="s">
        <v>471</v>
      </c>
      <c r="Y4526" s="2">
        <v>2800</v>
      </c>
      <c r="Z4526" s="19" t="str">
        <f>HYPERLINK("https://ssdweb.co/ssdweb/hd/Vision360.html?d=924850123&amp;zoomslide=1&amp;z=1924850123&amp;ISCONFIRM=0","VIDEO")</f>
        <v>VIDEO</v>
      </c>
      <c r="AA4526" s="19" t="str">
        <f>HYPERLINK("https://ssdweb.co/ssdweb/CERTH/603352230.pdf","CERTI")</f>
        <v>CERTI</v>
      </c>
    </row>
    <row r="4527" spans="1:27" ht="15" x14ac:dyDescent="0.25">
      <c r="A4527" s="2">
        <v>4522</v>
      </c>
      <c r="B4527" s="39">
        <v>926972230</v>
      </c>
      <c r="C4527" s="28" t="str">
        <f>HYPERLINK("https://pld.live/RapDetail.aspx?STONELIST=926972230","DNA")</f>
        <v>DNA</v>
      </c>
      <c r="D4527" s="18" t="s">
        <v>5847</v>
      </c>
      <c r="E4527" s="18" t="s">
        <v>5128</v>
      </c>
      <c r="F4527" s="2" t="s">
        <v>7987</v>
      </c>
      <c r="G4527" s="2" t="s">
        <v>1573</v>
      </c>
      <c r="H4527" s="14">
        <v>0.7</v>
      </c>
      <c r="I4527" s="2" t="s">
        <v>267</v>
      </c>
      <c r="J4527" s="2" t="s">
        <v>3942</v>
      </c>
      <c r="K4527" s="2" t="s">
        <v>1452</v>
      </c>
      <c r="L4527" s="2" t="s">
        <v>5221</v>
      </c>
      <c r="M4527" s="2" t="s">
        <v>5221</v>
      </c>
      <c r="N4527" s="2" t="s">
        <v>2317</v>
      </c>
      <c r="O4527" s="14">
        <v>4000</v>
      </c>
      <c r="P4527" s="14">
        <v>96.18</v>
      </c>
      <c r="Q4527" s="14">
        <v>152.80000000000001</v>
      </c>
      <c r="R4527" s="14">
        <v>106.96</v>
      </c>
      <c r="S4527" s="2" t="s">
        <v>2646</v>
      </c>
      <c r="T4527" s="2">
        <v>1.44</v>
      </c>
      <c r="U4527" s="2">
        <v>60.7</v>
      </c>
      <c r="V4527" s="2">
        <v>60</v>
      </c>
      <c r="W4527" s="2" t="s">
        <v>7862</v>
      </c>
      <c r="X4527" s="2" t="s">
        <v>471</v>
      </c>
      <c r="Y4527" s="2">
        <v>2800</v>
      </c>
      <c r="Z4527" s="19" t="str">
        <f>HYPERLINK("https://ssdweb.co/ssdweb/hd/Vision360.html?d=926972230&amp;zoomslide=1&amp;z=1926972230&amp;ISCONFIRM=0","VIDEO")</f>
        <v>VIDEO</v>
      </c>
      <c r="AA4527" s="19" t="str">
        <f>HYPERLINK("https://ssdweb.co/ssdweb/CERTH/668447745.pdf","CERTI")</f>
        <v>CERTI</v>
      </c>
    </row>
    <row r="4528" spans="1:27" ht="15" x14ac:dyDescent="0.25">
      <c r="A4528" s="2">
        <v>4523</v>
      </c>
      <c r="B4528" s="39">
        <v>927092583</v>
      </c>
      <c r="C4528" s="28" t="str">
        <f>HYPERLINK("https://pld.live/RapDetail.aspx?STONELIST=927092583","DNA")</f>
        <v>DNA</v>
      </c>
      <c r="D4528" s="18" t="s">
        <v>5847</v>
      </c>
      <c r="E4528" s="18" t="s">
        <v>5128</v>
      </c>
      <c r="F4528" s="2" t="s">
        <v>7987</v>
      </c>
      <c r="G4528" s="2" t="s">
        <v>1573</v>
      </c>
      <c r="H4528" s="14">
        <v>0.7</v>
      </c>
      <c r="I4528" s="2" t="s">
        <v>267</v>
      </c>
      <c r="J4528" s="2" t="s">
        <v>3942</v>
      </c>
      <c r="K4528" s="2" t="s">
        <v>1452</v>
      </c>
      <c r="L4528" s="2" t="s">
        <v>5221</v>
      </c>
      <c r="M4528" s="2" t="s">
        <v>5221</v>
      </c>
      <c r="N4528" s="2" t="s">
        <v>2317</v>
      </c>
      <c r="O4528" s="14">
        <v>4000</v>
      </c>
      <c r="P4528" s="14">
        <v>96.13</v>
      </c>
      <c r="Q4528" s="14">
        <v>154.80000000000001</v>
      </c>
      <c r="R4528" s="14">
        <v>108.36</v>
      </c>
      <c r="S4528" s="2" t="s">
        <v>2600</v>
      </c>
      <c r="T4528" s="2">
        <v>1.44</v>
      </c>
      <c r="U4528" s="2">
        <v>62.7</v>
      </c>
      <c r="V4528" s="2">
        <v>59</v>
      </c>
      <c r="W4528" s="2" t="s">
        <v>7862</v>
      </c>
      <c r="X4528" s="2" t="s">
        <v>471</v>
      </c>
      <c r="Y4528" s="2">
        <v>2800</v>
      </c>
      <c r="Z4528" s="19" t="str">
        <f>HYPERLINK("https://ssdweb.co/ssdweb/hd/Vision360.html?d=927092583&amp;zoomslide=1&amp;z=1927092583&amp;ISCONFIRM=0","VIDEO")</f>
        <v>VIDEO</v>
      </c>
      <c r="AA4528" s="19" t="str">
        <f>HYPERLINK("https://ssdweb.co/ssdweb/CERTH/671411175.pdf","CERTI")</f>
        <v>CERTI</v>
      </c>
    </row>
    <row r="4529" spans="1:27" ht="15" x14ac:dyDescent="0.25">
      <c r="A4529" s="2">
        <v>4524</v>
      </c>
      <c r="B4529" s="39">
        <v>927052686</v>
      </c>
      <c r="C4529" s="28" t="str">
        <f>HYPERLINK("https://pld.live/RapDetail.aspx?STONELIST=927052686","DNA")</f>
        <v>DNA</v>
      </c>
      <c r="D4529" s="18" t="s">
        <v>5847</v>
      </c>
      <c r="E4529" s="18" t="s">
        <v>5128</v>
      </c>
      <c r="F4529" s="2" t="s">
        <v>7987</v>
      </c>
      <c r="G4529" s="2" t="s">
        <v>1573</v>
      </c>
      <c r="H4529" s="14">
        <v>0.7</v>
      </c>
      <c r="I4529" s="2" t="s">
        <v>267</v>
      </c>
      <c r="J4529" s="2" t="s">
        <v>3942</v>
      </c>
      <c r="K4529" s="2" t="s">
        <v>1452</v>
      </c>
      <c r="L4529" s="2" t="s">
        <v>5221</v>
      </c>
      <c r="M4529" s="2" t="s">
        <v>5221</v>
      </c>
      <c r="N4529" s="2" t="s">
        <v>2317</v>
      </c>
      <c r="O4529" s="14">
        <v>4000</v>
      </c>
      <c r="P4529" s="14">
        <v>96.13</v>
      </c>
      <c r="Q4529" s="14">
        <v>154.80000000000001</v>
      </c>
      <c r="R4529" s="14">
        <v>108.36</v>
      </c>
      <c r="S4529" s="2" t="s">
        <v>5737</v>
      </c>
      <c r="T4529" s="2">
        <v>1.36</v>
      </c>
      <c r="U4529" s="2">
        <v>62.7</v>
      </c>
      <c r="V4529" s="2">
        <v>62</v>
      </c>
      <c r="W4529" s="2" t="s">
        <v>7862</v>
      </c>
      <c r="X4529" s="2" t="s">
        <v>471</v>
      </c>
      <c r="Y4529" s="2">
        <v>2800</v>
      </c>
      <c r="Z4529" s="19" t="str">
        <f>HYPERLINK("https://ssdweb.co/ssdweb/hd/Vision360.html?d=927052686&amp;zoomslide=1&amp;z=1927052686&amp;ISCONFIRM=0","VIDEO")</f>
        <v>VIDEO</v>
      </c>
      <c r="AA4529" s="19" t="str">
        <f>HYPERLINK("https://ssdweb.co/ssdweb/CERTH/670445149.pdf","CERTI")</f>
        <v>CERTI</v>
      </c>
    </row>
    <row r="4530" spans="1:27" ht="15" x14ac:dyDescent="0.25">
      <c r="A4530" s="2">
        <v>4525</v>
      </c>
      <c r="B4530" s="39">
        <v>941190386</v>
      </c>
      <c r="C4530" s="28" t="str">
        <f>HYPERLINK("https://pld.live/RapDetail.aspx?STONELIST=941190386","DNA")</f>
        <v>DNA</v>
      </c>
      <c r="D4530" s="18" t="s">
        <v>5847</v>
      </c>
      <c r="E4530" s="18" t="s">
        <v>5128</v>
      </c>
      <c r="F4530" s="2" t="s">
        <v>7987</v>
      </c>
      <c r="G4530" s="2" t="s">
        <v>1573</v>
      </c>
      <c r="H4530" s="14">
        <v>0.7</v>
      </c>
      <c r="I4530" s="2" t="s">
        <v>267</v>
      </c>
      <c r="J4530" s="2" t="s">
        <v>3942</v>
      </c>
      <c r="K4530" s="2" t="s">
        <v>1452</v>
      </c>
      <c r="L4530" s="2" t="s">
        <v>5221</v>
      </c>
      <c r="M4530" s="2" t="s">
        <v>5721</v>
      </c>
      <c r="N4530" s="2" t="s">
        <v>2317</v>
      </c>
      <c r="O4530" s="14">
        <v>4000</v>
      </c>
      <c r="P4530" s="14">
        <v>96.18</v>
      </c>
      <c r="Q4530" s="14">
        <v>152.80000000000001</v>
      </c>
      <c r="R4530" s="14">
        <v>106.96</v>
      </c>
      <c r="S4530" s="2" t="s">
        <v>1544</v>
      </c>
      <c r="T4530" s="2">
        <v>1.38</v>
      </c>
      <c r="U4530" s="2">
        <v>61.9</v>
      </c>
      <c r="V4530" s="2">
        <v>61</v>
      </c>
      <c r="W4530" s="2" t="s">
        <v>7862</v>
      </c>
      <c r="X4530" s="2" t="s">
        <v>471</v>
      </c>
      <c r="Y4530" s="2">
        <v>2800</v>
      </c>
      <c r="Z4530" s="19" t="str">
        <f>HYPERLINK("https://ssdweb.co/ssdweb/hd/Vision360.html?d=941190386&amp;zoomslide=1&amp;z=1941190386&amp;ISCONFIRM=0","VIDEO")</f>
        <v>VIDEO</v>
      </c>
      <c r="AA4530" s="19" t="str">
        <f>HYPERLINK("https://ssdweb.co/ssdweb/CERTH/677510857.pdf","CERTI")</f>
        <v>CERTI</v>
      </c>
    </row>
    <row r="4531" spans="1:27" ht="15" x14ac:dyDescent="0.25">
      <c r="A4531" s="2">
        <v>4526</v>
      </c>
      <c r="B4531" s="39">
        <v>927092334</v>
      </c>
      <c r="C4531" s="28" t="str">
        <f>HYPERLINK("https://pld.live/RapDetail.aspx?STONELIST=927092334","DNA")</f>
        <v>DNA</v>
      </c>
      <c r="D4531" s="18" t="s">
        <v>5847</v>
      </c>
      <c r="E4531" s="18" t="s">
        <v>5128</v>
      </c>
      <c r="F4531" s="2" t="s">
        <v>7987</v>
      </c>
      <c r="G4531" s="2" t="s">
        <v>1573</v>
      </c>
      <c r="H4531" s="14">
        <v>0.7</v>
      </c>
      <c r="I4531" s="2" t="s">
        <v>267</v>
      </c>
      <c r="J4531" s="2" t="s">
        <v>3942</v>
      </c>
      <c r="K4531" s="2" t="s">
        <v>1452</v>
      </c>
      <c r="L4531" s="2" t="s">
        <v>5221</v>
      </c>
      <c r="M4531" s="2" t="s">
        <v>5721</v>
      </c>
      <c r="N4531" s="2" t="s">
        <v>2317</v>
      </c>
      <c r="O4531" s="14">
        <v>4000</v>
      </c>
      <c r="P4531" s="14">
        <v>96.23</v>
      </c>
      <c r="Q4531" s="14">
        <v>150.80000000000001</v>
      </c>
      <c r="R4531" s="14">
        <v>105.56</v>
      </c>
      <c r="S4531" s="2" t="s">
        <v>7015</v>
      </c>
      <c r="T4531" s="2">
        <v>1.44</v>
      </c>
      <c r="U4531" s="2">
        <v>64</v>
      </c>
      <c r="V4531" s="2">
        <v>62</v>
      </c>
      <c r="W4531" s="2" t="s">
        <v>7862</v>
      </c>
      <c r="X4531" s="2" t="s">
        <v>471</v>
      </c>
      <c r="Y4531" s="2">
        <v>2800</v>
      </c>
      <c r="Z4531" s="19" t="str">
        <f>HYPERLINK("https://ssdweb.co/ssdweb/hd/Vision360.html?d=927092334&amp;zoomslide=1&amp;z=1927092334&amp;ISCONFIRM=0","VIDEO")</f>
        <v>VIDEO</v>
      </c>
      <c r="AA4531" s="19" t="str">
        <f>HYPERLINK("https://ssdweb.co/ssdweb/CERTH/668446506.pdf","CERTI")</f>
        <v>CERTI</v>
      </c>
    </row>
    <row r="4532" spans="1:27" ht="15" x14ac:dyDescent="0.25">
      <c r="A4532" s="2">
        <v>4527</v>
      </c>
      <c r="B4532" s="39">
        <v>927052720</v>
      </c>
      <c r="C4532" s="28" t="str">
        <f>HYPERLINK("https://pld.live/RapDetail.aspx?STONELIST=927052720","DNA")</f>
        <v>DNA</v>
      </c>
      <c r="D4532" s="18" t="s">
        <v>5847</v>
      </c>
      <c r="E4532" s="18" t="s">
        <v>5128</v>
      </c>
      <c r="F4532" s="2" t="s">
        <v>7987</v>
      </c>
      <c r="G4532" s="2" t="s">
        <v>1573</v>
      </c>
      <c r="H4532" s="14">
        <v>0.7</v>
      </c>
      <c r="I4532" s="2" t="s">
        <v>267</v>
      </c>
      <c r="J4532" s="2" t="s">
        <v>3942</v>
      </c>
      <c r="K4532" s="2" t="s">
        <v>1452</v>
      </c>
      <c r="L4532" s="2" t="s">
        <v>5221</v>
      </c>
      <c r="M4532" s="2" t="s">
        <v>5721</v>
      </c>
      <c r="N4532" s="2" t="s">
        <v>2317</v>
      </c>
      <c r="O4532" s="14">
        <v>4000</v>
      </c>
      <c r="P4532" s="14">
        <v>96.18</v>
      </c>
      <c r="Q4532" s="14">
        <v>152.80000000000001</v>
      </c>
      <c r="R4532" s="14">
        <v>106.96</v>
      </c>
      <c r="S4532" s="2" t="s">
        <v>7200</v>
      </c>
      <c r="T4532" s="2">
        <v>1.45</v>
      </c>
      <c r="U4532" s="2">
        <v>63</v>
      </c>
      <c r="V4532" s="2">
        <v>57</v>
      </c>
      <c r="W4532" s="2" t="s">
        <v>7862</v>
      </c>
      <c r="X4532" s="2" t="s">
        <v>471</v>
      </c>
      <c r="Y4532" s="2">
        <v>2800</v>
      </c>
      <c r="Z4532" s="19" t="str">
        <f>HYPERLINK("https://ssdweb.co/ssdweb/hd/Vision360.html?d=927052720&amp;zoomslide=1&amp;z=1927052720&amp;ISCONFIRM=0","VIDEO")</f>
        <v>VIDEO</v>
      </c>
      <c r="AA4532" s="19" t="str">
        <f>HYPERLINK("https://ssdweb.co/ssdweb/CERTH/671411166.pdf","CERTI")</f>
        <v>CERTI</v>
      </c>
    </row>
    <row r="4533" spans="1:27" ht="15" x14ac:dyDescent="0.25">
      <c r="A4533" s="2">
        <v>4528</v>
      </c>
      <c r="B4533" s="39">
        <v>927092632</v>
      </c>
      <c r="C4533" s="28" t="str">
        <f>HYPERLINK("https://pld.live/RapDetail.aspx?STONELIST=927092632","DNA")</f>
        <v>DNA</v>
      </c>
      <c r="D4533" s="18" t="s">
        <v>5847</v>
      </c>
      <c r="E4533" s="18" t="s">
        <v>5128</v>
      </c>
      <c r="F4533" s="2" t="s">
        <v>7987</v>
      </c>
      <c r="G4533" s="2" t="s">
        <v>1573</v>
      </c>
      <c r="H4533" s="14">
        <v>0.7</v>
      </c>
      <c r="I4533" s="2" t="s">
        <v>267</v>
      </c>
      <c r="J4533" s="2" t="s">
        <v>3942</v>
      </c>
      <c r="K4533" s="2" t="s">
        <v>1452</v>
      </c>
      <c r="L4533" s="2" t="s">
        <v>5721</v>
      </c>
      <c r="M4533" s="2" t="s">
        <v>5721</v>
      </c>
      <c r="N4533" s="2" t="s">
        <v>2317</v>
      </c>
      <c r="O4533" s="14">
        <v>4000</v>
      </c>
      <c r="P4533" s="14">
        <v>96.23</v>
      </c>
      <c r="Q4533" s="14">
        <v>150.80000000000001</v>
      </c>
      <c r="R4533" s="14">
        <v>105.56</v>
      </c>
      <c r="S4533" s="2" t="s">
        <v>7625</v>
      </c>
      <c r="T4533" s="2">
        <v>1.43</v>
      </c>
      <c r="U4533" s="2">
        <v>57.3</v>
      </c>
      <c r="V4533" s="2">
        <v>66</v>
      </c>
      <c r="W4533" s="2" t="s">
        <v>7862</v>
      </c>
      <c r="X4533" s="2" t="s">
        <v>471</v>
      </c>
      <c r="Y4533" s="2">
        <v>2800</v>
      </c>
      <c r="Z4533" s="19" t="str">
        <f>HYPERLINK("https://ssdweb.co/ssdweb/hd/Vision360.html?d=927092632&amp;zoomslide=1&amp;z=1927092632&amp;ISCONFIRM=0","VIDEO")</f>
        <v>VIDEO</v>
      </c>
      <c r="AA4533" s="19" t="str">
        <f>HYPERLINK("https://ssdweb.co/ssdweb/CERTH/671477172.pdf","CERTI")</f>
        <v>CERTI</v>
      </c>
    </row>
    <row r="4534" spans="1:27" ht="15" x14ac:dyDescent="0.25">
      <c r="A4534" s="2">
        <v>4529</v>
      </c>
      <c r="B4534" s="39">
        <v>941320816</v>
      </c>
      <c r="C4534" s="28" t="str">
        <f>HYPERLINK("https://pld.live/RapDetail.aspx?STONELIST=941320816","DNA")</f>
        <v>DNA</v>
      </c>
      <c r="D4534" s="18" t="s">
        <v>5847</v>
      </c>
      <c r="E4534" s="18" t="s">
        <v>5128</v>
      </c>
      <c r="F4534" s="2" t="s">
        <v>7987</v>
      </c>
      <c r="G4534" s="2" t="s">
        <v>1573</v>
      </c>
      <c r="H4534" s="14">
        <v>0.7</v>
      </c>
      <c r="I4534" s="2" t="s">
        <v>267</v>
      </c>
      <c r="J4534" s="2" t="s">
        <v>13</v>
      </c>
      <c r="K4534" s="2" t="s">
        <v>1452</v>
      </c>
      <c r="L4534" s="2" t="s">
        <v>5221</v>
      </c>
      <c r="M4534" s="2" t="s">
        <v>5221</v>
      </c>
      <c r="N4534" s="2" t="s">
        <v>2317</v>
      </c>
      <c r="O4534" s="14">
        <v>3700</v>
      </c>
      <c r="P4534" s="14">
        <v>96.08</v>
      </c>
      <c r="Q4534" s="14">
        <v>145.04</v>
      </c>
      <c r="R4534" s="14">
        <v>101.53</v>
      </c>
      <c r="S4534" s="2" t="s">
        <v>7073</v>
      </c>
      <c r="T4534" s="2">
        <v>1.38</v>
      </c>
      <c r="U4534" s="2">
        <v>62.9</v>
      </c>
      <c r="V4534" s="2">
        <v>62</v>
      </c>
      <c r="W4534" s="2" t="s">
        <v>7862</v>
      </c>
      <c r="X4534" s="2" t="s">
        <v>471</v>
      </c>
      <c r="Y4534" s="2">
        <v>2590</v>
      </c>
      <c r="Z4534" s="19" t="str">
        <f>HYPERLINK("https://ssdweb.co/ssdweb/hd/Vision360.html?d=941320816&amp;zoomslide=1&amp;z=1941320816&amp;ISCONFIRM=0","VIDEO")</f>
        <v>VIDEO</v>
      </c>
      <c r="AA4534" s="19" t="str">
        <f>HYPERLINK("https://ssdweb.co/ssdweb/CERTH/691533683.pdf","CERTI")</f>
        <v>CERTI</v>
      </c>
    </row>
    <row r="4535" spans="1:27" ht="15" x14ac:dyDescent="0.25">
      <c r="A4535" s="2">
        <v>4530</v>
      </c>
      <c r="B4535" s="39">
        <v>927092622</v>
      </c>
      <c r="C4535" s="28" t="str">
        <f>HYPERLINK("https://pld.live/RapDetail.aspx?STONELIST=927092622","DNA")</f>
        <v>DNA</v>
      </c>
      <c r="D4535" s="18" t="s">
        <v>5847</v>
      </c>
      <c r="E4535" s="18" t="s">
        <v>5128</v>
      </c>
      <c r="F4535" s="2" t="s">
        <v>7987</v>
      </c>
      <c r="G4535" s="2" t="s">
        <v>1573</v>
      </c>
      <c r="H4535" s="14">
        <v>0.7</v>
      </c>
      <c r="I4535" s="2" t="s">
        <v>267</v>
      </c>
      <c r="J4535" s="2" t="s">
        <v>13</v>
      </c>
      <c r="K4535" s="2" t="s">
        <v>1452</v>
      </c>
      <c r="L4535" s="2" t="s">
        <v>5221</v>
      </c>
      <c r="M4535" s="2" t="s">
        <v>5221</v>
      </c>
      <c r="N4535" s="2" t="s">
        <v>2317</v>
      </c>
      <c r="O4535" s="14">
        <v>3700</v>
      </c>
      <c r="P4535" s="14">
        <v>96.08</v>
      </c>
      <c r="Q4535" s="14">
        <v>145.04</v>
      </c>
      <c r="R4535" s="14">
        <v>101.53</v>
      </c>
      <c r="S4535" s="2" t="s">
        <v>7349</v>
      </c>
      <c r="T4535" s="2">
        <v>1.36</v>
      </c>
      <c r="U4535" s="2">
        <v>63.7</v>
      </c>
      <c r="V4535" s="2">
        <v>59</v>
      </c>
      <c r="W4535" s="2" t="s">
        <v>7862</v>
      </c>
      <c r="X4535" s="2" t="s">
        <v>471</v>
      </c>
      <c r="Y4535" s="2">
        <v>2590</v>
      </c>
      <c r="Z4535" s="19" t="str">
        <f>HYPERLINK("https://ssdweb.co/ssdweb/hd/Vision360.html?d=927092622&amp;zoomslide=1&amp;z=1927092622&amp;ISCONFIRM=0","VIDEO")</f>
        <v>VIDEO</v>
      </c>
      <c r="AA4535" s="19" t="str">
        <f>HYPERLINK("https://ssdweb.co/ssdweb/CERTH/671428024.pdf","CERTI")</f>
        <v>CERTI</v>
      </c>
    </row>
    <row r="4536" spans="1:27" ht="15" x14ac:dyDescent="0.25">
      <c r="A4536" s="2">
        <v>4531</v>
      </c>
      <c r="B4536" s="39">
        <v>927092621</v>
      </c>
      <c r="C4536" s="28" t="str">
        <f>HYPERLINK("https://pld.live/RapDetail.aspx?STONELIST=927092621","DNA")</f>
        <v>DNA</v>
      </c>
      <c r="D4536" s="18" t="s">
        <v>5847</v>
      </c>
      <c r="E4536" s="18" t="s">
        <v>5128</v>
      </c>
      <c r="F4536" s="2" t="s">
        <v>7987</v>
      </c>
      <c r="G4536" s="2" t="s">
        <v>1573</v>
      </c>
      <c r="H4536" s="14">
        <v>0.7</v>
      </c>
      <c r="I4536" s="2" t="s">
        <v>267</v>
      </c>
      <c r="J4536" s="2" t="s">
        <v>13</v>
      </c>
      <c r="K4536" s="2" t="s">
        <v>1452</v>
      </c>
      <c r="L4536" s="2" t="s">
        <v>5221</v>
      </c>
      <c r="M4536" s="2" t="s">
        <v>5221</v>
      </c>
      <c r="N4536" s="2" t="s">
        <v>2317</v>
      </c>
      <c r="O4536" s="14">
        <v>3700</v>
      </c>
      <c r="P4536" s="14">
        <v>96.08</v>
      </c>
      <c r="Q4536" s="14">
        <v>145.04</v>
      </c>
      <c r="R4536" s="14">
        <v>101.53</v>
      </c>
      <c r="S4536" s="2" t="s">
        <v>2234</v>
      </c>
      <c r="T4536" s="2">
        <v>1.37</v>
      </c>
      <c r="U4536" s="2">
        <v>62.1</v>
      </c>
      <c r="V4536" s="2">
        <v>56</v>
      </c>
      <c r="W4536" s="2" t="s">
        <v>7862</v>
      </c>
      <c r="X4536" s="2" t="s">
        <v>471</v>
      </c>
      <c r="Y4536" s="2">
        <v>2590</v>
      </c>
      <c r="Z4536" s="19" t="str">
        <f>HYPERLINK("https://ssdweb.co/ssdweb/hd/Vision360.html?d=927092621&amp;zoomslide=1&amp;z=1927092621&amp;ISCONFIRM=0","VIDEO")</f>
        <v>VIDEO</v>
      </c>
      <c r="AA4536" s="19" t="str">
        <f>HYPERLINK("https://ssdweb.co/ssdweb/CERTH/671427827.pdf","CERTI")</f>
        <v>CERTI</v>
      </c>
    </row>
    <row r="4537" spans="1:27" ht="15" x14ac:dyDescent="0.25">
      <c r="A4537" s="2">
        <v>4532</v>
      </c>
      <c r="B4537" s="39">
        <v>927102462</v>
      </c>
      <c r="C4537" s="28" t="str">
        <f>HYPERLINK("https://pld.live/RapDetail.aspx?STONELIST=927102462","DNA")</f>
        <v>DNA</v>
      </c>
      <c r="D4537" s="18" t="s">
        <v>5847</v>
      </c>
      <c r="E4537" s="18" t="s">
        <v>5128</v>
      </c>
      <c r="F4537" s="2" t="s">
        <v>7987</v>
      </c>
      <c r="G4537" s="2" t="s">
        <v>1573</v>
      </c>
      <c r="H4537" s="14">
        <v>0.7</v>
      </c>
      <c r="I4537" s="2" t="s">
        <v>267</v>
      </c>
      <c r="J4537" s="2" t="s">
        <v>13</v>
      </c>
      <c r="K4537" s="2" t="s">
        <v>1452</v>
      </c>
      <c r="L4537" s="2" t="s">
        <v>5221</v>
      </c>
      <c r="M4537" s="2" t="s">
        <v>5221</v>
      </c>
      <c r="N4537" s="2" t="s">
        <v>2317</v>
      </c>
      <c r="O4537" s="14">
        <v>3700</v>
      </c>
      <c r="P4537" s="14">
        <v>96.08</v>
      </c>
      <c r="Q4537" s="14">
        <v>145.04</v>
      </c>
      <c r="R4537" s="14">
        <v>101.53</v>
      </c>
      <c r="S4537" s="2" t="s">
        <v>3328</v>
      </c>
      <c r="T4537" s="2">
        <v>1.38</v>
      </c>
      <c r="U4537" s="2">
        <v>63.6</v>
      </c>
      <c r="V4537" s="2">
        <v>62</v>
      </c>
      <c r="W4537" s="2" t="s">
        <v>7862</v>
      </c>
      <c r="X4537" s="2" t="s">
        <v>471</v>
      </c>
      <c r="Y4537" s="2">
        <v>2590</v>
      </c>
      <c r="Z4537" s="19" t="str">
        <f>HYPERLINK("https://ssdweb.co/ssdweb/hd/Vision360.html?d=927102462&amp;zoomslide=1&amp;z=1927102462&amp;ISCONFIRM=0","VIDEO")</f>
        <v>VIDEO</v>
      </c>
      <c r="AA4537" s="19" t="str">
        <f>HYPERLINK("https://ssdweb.co/ssdweb/CERTH/671428055.pdf","CERTI")</f>
        <v>CERTI</v>
      </c>
    </row>
    <row r="4538" spans="1:27" ht="15" x14ac:dyDescent="0.25">
      <c r="A4538" s="2">
        <v>4533</v>
      </c>
      <c r="B4538" s="39">
        <v>926960874</v>
      </c>
      <c r="C4538" s="28" t="str">
        <f>HYPERLINK("https://pld.live/RapDetail.aspx?STONELIST=926960874","DNA")</f>
        <v>DNA</v>
      </c>
      <c r="D4538" s="18" t="s">
        <v>5847</v>
      </c>
      <c r="E4538" s="18" t="s">
        <v>5128</v>
      </c>
      <c r="F4538" s="2" t="s">
        <v>7987</v>
      </c>
      <c r="G4538" s="2" t="s">
        <v>1573</v>
      </c>
      <c r="H4538" s="14">
        <v>0.7</v>
      </c>
      <c r="I4538" s="2" t="s">
        <v>267</v>
      </c>
      <c r="J4538" s="2" t="s">
        <v>13</v>
      </c>
      <c r="K4538" s="2" t="s">
        <v>1452</v>
      </c>
      <c r="L4538" s="2" t="s">
        <v>5221</v>
      </c>
      <c r="M4538" s="2" t="s">
        <v>5721</v>
      </c>
      <c r="N4538" s="2" t="s">
        <v>2317</v>
      </c>
      <c r="O4538" s="14">
        <v>3700</v>
      </c>
      <c r="P4538" s="14">
        <v>96.14</v>
      </c>
      <c r="Q4538" s="14">
        <v>142.82</v>
      </c>
      <c r="R4538" s="14">
        <v>99.97</v>
      </c>
      <c r="S4538" s="2" t="s">
        <v>5965</v>
      </c>
      <c r="T4538" s="2">
        <v>1.49</v>
      </c>
      <c r="U4538" s="2">
        <v>61.3</v>
      </c>
      <c r="V4538" s="2">
        <v>63</v>
      </c>
      <c r="W4538" s="2" t="s">
        <v>7862</v>
      </c>
      <c r="X4538" s="2" t="s">
        <v>471</v>
      </c>
      <c r="Y4538" s="2">
        <v>2590</v>
      </c>
      <c r="Z4538" s="19" t="str">
        <f>HYPERLINK("https://ssdweb.co/ssdweb/hd/Vision360.html?d=926960874&amp;zoomslide=1&amp;z=1926960874&amp;ISCONFIRM=0","VIDEO")</f>
        <v>VIDEO</v>
      </c>
      <c r="AA4538" s="19" t="str">
        <f>HYPERLINK("https://ssdweb.co/ssdweb/CERTH/668477305.pdf","CERTI")</f>
        <v>CERTI</v>
      </c>
    </row>
    <row r="4539" spans="1:27" ht="15" x14ac:dyDescent="0.25">
      <c r="A4539" s="2">
        <v>4534</v>
      </c>
      <c r="B4539" s="39">
        <v>927052652</v>
      </c>
      <c r="C4539" s="28" t="str">
        <f>HYPERLINK("https://pld.live/RapDetail.aspx?STONELIST=927052652","DNA")</f>
        <v>DNA</v>
      </c>
      <c r="D4539" s="18" t="s">
        <v>5847</v>
      </c>
      <c r="E4539" s="18" t="s">
        <v>5128</v>
      </c>
      <c r="F4539" s="2" t="s">
        <v>7987</v>
      </c>
      <c r="G4539" s="2" t="s">
        <v>1573</v>
      </c>
      <c r="H4539" s="14">
        <v>0.7</v>
      </c>
      <c r="I4539" s="2" t="s">
        <v>4761</v>
      </c>
      <c r="J4539" s="2" t="s">
        <v>3942</v>
      </c>
      <c r="K4539" s="2" t="s">
        <v>1452</v>
      </c>
      <c r="L4539" s="2" t="s">
        <v>5221</v>
      </c>
      <c r="M4539" s="2" t="s">
        <v>5721</v>
      </c>
      <c r="N4539" s="2" t="s">
        <v>2317</v>
      </c>
      <c r="O4539" s="14">
        <v>3800</v>
      </c>
      <c r="P4539" s="14">
        <v>96.11</v>
      </c>
      <c r="Q4539" s="14">
        <v>147.82</v>
      </c>
      <c r="R4539" s="14">
        <v>103.47</v>
      </c>
      <c r="S4539" s="2" t="s">
        <v>4885</v>
      </c>
      <c r="T4539" s="2">
        <v>1.46</v>
      </c>
      <c r="U4539" s="2">
        <v>59.4</v>
      </c>
      <c r="V4539" s="2">
        <v>63</v>
      </c>
      <c r="W4539" s="2" t="s">
        <v>7862</v>
      </c>
      <c r="X4539" s="2" t="s">
        <v>471</v>
      </c>
      <c r="Y4539" s="2">
        <v>2660</v>
      </c>
      <c r="Z4539" s="19" t="str">
        <f>HYPERLINK("https://ssdweb.co/ssdweb/hd/Vision360.html?d=927052652&amp;zoomslide=1&amp;z=1927052652&amp;ISCONFIRM=0","VIDEO")</f>
        <v>VIDEO</v>
      </c>
      <c r="AA4539" s="19" t="str">
        <f>HYPERLINK("https://ssdweb.co/ssdweb/CERTH/669458148.pdf","CERTI")</f>
        <v>CERTI</v>
      </c>
    </row>
    <row r="4540" spans="1:27" ht="15" x14ac:dyDescent="0.25">
      <c r="A4540" s="2">
        <v>4535</v>
      </c>
      <c r="B4540" s="39">
        <v>925120359</v>
      </c>
      <c r="C4540" s="28" t="str">
        <f>HYPERLINK("https://pld.live/RapDetail.aspx?STONELIST=925120359","DNA")</f>
        <v>DNA</v>
      </c>
      <c r="D4540" s="18" t="s">
        <v>5847</v>
      </c>
      <c r="E4540" s="18" t="s">
        <v>5128</v>
      </c>
      <c r="F4540" s="2" t="s">
        <v>7987</v>
      </c>
      <c r="G4540" s="2" t="s">
        <v>1573</v>
      </c>
      <c r="H4540" s="14">
        <v>0.7</v>
      </c>
      <c r="I4540" s="2" t="s">
        <v>4761</v>
      </c>
      <c r="J4540" s="2" t="s">
        <v>13</v>
      </c>
      <c r="K4540" s="2" t="s">
        <v>1452</v>
      </c>
      <c r="L4540" s="2" t="s">
        <v>5221</v>
      </c>
      <c r="M4540" s="2" t="s">
        <v>5221</v>
      </c>
      <c r="N4540" s="2" t="s">
        <v>2317</v>
      </c>
      <c r="O4540" s="14">
        <v>3500</v>
      </c>
      <c r="P4540" s="14">
        <v>96.23</v>
      </c>
      <c r="Q4540" s="14">
        <v>131.94999999999999</v>
      </c>
      <c r="R4540" s="14">
        <v>92.37</v>
      </c>
      <c r="S4540" s="2" t="s">
        <v>3680</v>
      </c>
      <c r="T4540" s="2">
        <v>1.45</v>
      </c>
      <c r="U4540" s="2">
        <v>62.9</v>
      </c>
      <c r="V4540" s="2">
        <v>57</v>
      </c>
      <c r="W4540" s="2" t="s">
        <v>7862</v>
      </c>
      <c r="X4540" s="2" t="s">
        <v>471</v>
      </c>
      <c r="Y4540" s="2">
        <v>2450</v>
      </c>
      <c r="Z4540" s="19" t="str">
        <f>HYPERLINK("https://ssdweb.co/ssdweb/hd/Vision360.html?d=925120359&amp;zoomslide=1&amp;z=1925120359&amp;ISCONFIRM=0","VIDEO")</f>
        <v>VIDEO</v>
      </c>
      <c r="AA4540" s="19" t="str">
        <f>HYPERLINK("https://ssdweb.co/ssdweb/CERTH/615342826.pdf","CERTI")</f>
        <v>CERTI</v>
      </c>
    </row>
    <row r="4541" spans="1:27" ht="15" x14ac:dyDescent="0.25">
      <c r="A4541" s="2">
        <v>4536</v>
      </c>
      <c r="B4541" s="39">
        <v>941140760</v>
      </c>
      <c r="C4541" s="28" t="str">
        <f>HYPERLINK("https://pld.live/RapDetail.aspx?STONELIST=941140760","DNA")</f>
        <v>DNA</v>
      </c>
      <c r="D4541" s="18" t="s">
        <v>5847</v>
      </c>
      <c r="E4541" s="18" t="s">
        <v>5128</v>
      </c>
      <c r="F4541" s="2" t="s">
        <v>7987</v>
      </c>
      <c r="G4541" s="2" t="s">
        <v>1573</v>
      </c>
      <c r="H4541" s="14">
        <v>0.7</v>
      </c>
      <c r="I4541" s="2" t="s">
        <v>4761</v>
      </c>
      <c r="J4541" s="2" t="s">
        <v>13</v>
      </c>
      <c r="K4541" s="2" t="s">
        <v>1452</v>
      </c>
      <c r="L4541" s="2" t="s">
        <v>5221</v>
      </c>
      <c r="M4541" s="2" t="s">
        <v>5221</v>
      </c>
      <c r="N4541" s="2" t="s">
        <v>2317</v>
      </c>
      <c r="O4541" s="14">
        <v>3500</v>
      </c>
      <c r="P4541" s="14">
        <v>96</v>
      </c>
      <c r="Q4541" s="14">
        <v>140</v>
      </c>
      <c r="R4541" s="14">
        <v>98</v>
      </c>
      <c r="S4541" s="2" t="s">
        <v>6863</v>
      </c>
      <c r="T4541" s="2">
        <v>1.45</v>
      </c>
      <c r="U4541" s="2">
        <v>58.6</v>
      </c>
      <c r="V4541" s="2">
        <v>62</v>
      </c>
      <c r="W4541" s="2" t="s">
        <v>7862</v>
      </c>
      <c r="X4541" s="2" t="s">
        <v>471</v>
      </c>
      <c r="Y4541" s="2">
        <v>2450</v>
      </c>
      <c r="Z4541" s="19" t="str">
        <f>HYPERLINK("https://ssdweb.co/ssdweb/hd/Vision360.html?d=941140760&amp;zoomslide=1&amp;z=1941140760&amp;ISCONFIRM=0","VIDEO")</f>
        <v>VIDEO</v>
      </c>
      <c r="AA4541" s="19" t="str">
        <f>HYPERLINK("https://ssdweb.co/ssdweb/CERTH/674532513.pdf","CERTI")</f>
        <v>CERTI</v>
      </c>
    </row>
    <row r="4542" spans="1:27" ht="15" x14ac:dyDescent="0.25">
      <c r="A4542" s="2">
        <v>4537</v>
      </c>
      <c r="B4542" s="39">
        <v>924730261</v>
      </c>
      <c r="C4542" s="28" t="str">
        <f>HYPERLINK("https://pld.live/RapDetail.aspx?STONELIST=924730261","DNA")</f>
        <v>DNA</v>
      </c>
      <c r="D4542" s="18" t="s">
        <v>5847</v>
      </c>
      <c r="E4542" s="18" t="s">
        <v>5128</v>
      </c>
      <c r="F4542" s="2" t="s">
        <v>7987</v>
      </c>
      <c r="G4542" s="2" t="s">
        <v>1573</v>
      </c>
      <c r="H4542" s="14">
        <v>0.7</v>
      </c>
      <c r="I4542" s="2" t="s">
        <v>4761</v>
      </c>
      <c r="J4542" s="2" t="s">
        <v>444</v>
      </c>
      <c r="K4542" s="2" t="s">
        <v>1452</v>
      </c>
      <c r="L4542" s="2" t="s">
        <v>5221</v>
      </c>
      <c r="M4542" s="2" t="s">
        <v>5221</v>
      </c>
      <c r="N4542" s="2" t="s">
        <v>2317</v>
      </c>
      <c r="O4542" s="14">
        <v>2600</v>
      </c>
      <c r="P4542" s="14">
        <v>95.31</v>
      </c>
      <c r="Q4542" s="14">
        <v>121.94</v>
      </c>
      <c r="R4542" s="14">
        <v>85.36</v>
      </c>
      <c r="S4542" s="2" t="s">
        <v>2766</v>
      </c>
      <c r="T4542" s="2">
        <v>1.44</v>
      </c>
      <c r="U4542" s="2">
        <v>60</v>
      </c>
      <c r="V4542" s="2">
        <v>62</v>
      </c>
      <c r="W4542" s="2" t="s">
        <v>7862</v>
      </c>
      <c r="X4542" s="2" t="s">
        <v>471</v>
      </c>
      <c r="Y4542" s="2">
        <v>1820</v>
      </c>
      <c r="Z4542" s="19" t="str">
        <f>HYPERLINK("https://ssdweb.co/ssdweb/hd/Vision360.html?d=924730261&amp;zoomslide=1&amp;z=1924730261&amp;ISCONFIRM=0","VIDEO")</f>
        <v>VIDEO</v>
      </c>
      <c r="AA4542" s="19" t="str">
        <f>HYPERLINK("https://ssdweb.co/ssdweb/CERTH/601323494.pdf","CERTI")</f>
        <v>CERTI</v>
      </c>
    </row>
    <row r="4543" spans="1:27" ht="15" x14ac:dyDescent="0.25">
      <c r="A4543" s="2">
        <v>4538</v>
      </c>
      <c r="B4543" s="39">
        <v>941250669</v>
      </c>
      <c r="C4543" s="28" t="str">
        <f>HYPERLINK("https://pld.live/RapDetail.aspx?STONELIST=941250669","DNA")</f>
        <v>DNA</v>
      </c>
      <c r="D4543" s="18" t="s">
        <v>1924</v>
      </c>
      <c r="E4543" s="18" t="s">
        <v>2186</v>
      </c>
      <c r="F4543" s="2" t="s">
        <v>7987</v>
      </c>
      <c r="G4543" s="2" t="s">
        <v>1573</v>
      </c>
      <c r="H4543" s="14">
        <v>0.67</v>
      </c>
      <c r="I4543" s="2" t="s">
        <v>267</v>
      </c>
      <c r="J4543" s="2" t="s">
        <v>13</v>
      </c>
      <c r="K4543" s="2" t="s">
        <v>1452</v>
      </c>
      <c r="L4543" s="2" t="s">
        <v>5221</v>
      </c>
      <c r="M4543" s="2" t="s">
        <v>5221</v>
      </c>
      <c r="N4543" s="2" t="s">
        <v>2317</v>
      </c>
      <c r="O4543" s="14">
        <v>2600</v>
      </c>
      <c r="P4543" s="14">
        <v>94.5</v>
      </c>
      <c r="Q4543" s="14">
        <v>143</v>
      </c>
      <c r="R4543" s="14">
        <v>95.81</v>
      </c>
      <c r="S4543" s="2" t="s">
        <v>3383</v>
      </c>
      <c r="T4543" s="2">
        <v>1.39</v>
      </c>
      <c r="U4543" s="2">
        <v>61</v>
      </c>
      <c r="V4543" s="2">
        <v>59</v>
      </c>
      <c r="W4543" s="2" t="s">
        <v>7862</v>
      </c>
      <c r="X4543" s="2" t="s">
        <v>471</v>
      </c>
      <c r="Y4543" s="2">
        <v>1742</v>
      </c>
      <c r="Z4543" s="19" t="str">
        <f>HYPERLINK("https://ssdweb.co/ssdweb/hd/Vision360.html?d=941250669&amp;zoomslide=1&amp;z=1941250669&amp;ISCONFIRM=0","VIDEO")</f>
        <v>VIDEO</v>
      </c>
      <c r="AA4543" s="19" t="str">
        <f>HYPERLINK("https://ssdweb.co/ssdweb/CERTH/689586971.pdf","CERTI")</f>
        <v>CERTI</v>
      </c>
    </row>
    <row r="4544" spans="1:27" ht="15" x14ac:dyDescent="0.25">
      <c r="A4544" s="2">
        <v>4539</v>
      </c>
      <c r="B4544" s="39">
        <v>924900181</v>
      </c>
      <c r="C4544" s="28" t="str">
        <f>HYPERLINK("https://pld.live/RapDetail.aspx?STONELIST=924900181","DNA")</f>
        <v>DNA</v>
      </c>
      <c r="D4544" s="18" t="s">
        <v>1924</v>
      </c>
      <c r="E4544" s="18" t="s">
        <v>5128</v>
      </c>
      <c r="F4544" s="2" t="s">
        <v>7987</v>
      </c>
      <c r="G4544" s="2" t="s">
        <v>1573</v>
      </c>
      <c r="H4544" s="14">
        <v>0.67</v>
      </c>
      <c r="I4544" s="2" t="s">
        <v>267</v>
      </c>
      <c r="J4544" s="2" t="s">
        <v>5144</v>
      </c>
      <c r="K4544" s="2" t="s">
        <v>1452</v>
      </c>
      <c r="L4544" s="2" t="s">
        <v>5221</v>
      </c>
      <c r="M4544" s="2" t="s">
        <v>5221</v>
      </c>
      <c r="N4544" s="2" t="s">
        <v>2317</v>
      </c>
      <c r="O4544" s="14">
        <v>2400</v>
      </c>
      <c r="P4544" s="14">
        <v>94.58</v>
      </c>
      <c r="Q4544" s="14">
        <v>130.08000000000001</v>
      </c>
      <c r="R4544" s="14">
        <v>87.15</v>
      </c>
      <c r="S4544" s="2" t="s">
        <v>7361</v>
      </c>
      <c r="T4544" s="2">
        <v>1.39</v>
      </c>
      <c r="U4544" s="2">
        <v>62</v>
      </c>
      <c r="V4544" s="2">
        <v>57</v>
      </c>
      <c r="W4544" s="2" t="s">
        <v>7862</v>
      </c>
      <c r="X4544" s="2" t="s">
        <v>471</v>
      </c>
      <c r="Y4544" s="2">
        <v>1608</v>
      </c>
      <c r="Z4544" s="19" t="str">
        <f>HYPERLINK("https://ssdweb.co/ssdweb/hd/Vision360.html?d=924900181&amp;zoomslide=1&amp;z=1924900181&amp;ISCONFIRM=0","VIDEO")</f>
        <v>VIDEO</v>
      </c>
      <c r="AA4544" s="19" t="str">
        <f>HYPERLINK("https://ssdweb.co/ssdweb/CERTH/605330563.pdf","CERTI")</f>
        <v>CERTI</v>
      </c>
    </row>
    <row r="4545" spans="1:27" ht="15" x14ac:dyDescent="0.25">
      <c r="A4545" s="2">
        <v>4540</v>
      </c>
      <c r="B4545" s="39">
        <v>941350908</v>
      </c>
      <c r="C4545" s="28" t="str">
        <f>HYPERLINK("https://pld.live/RapDetail.aspx?STONELIST=941350908","DNA")</f>
        <v>DNA</v>
      </c>
      <c r="D4545" s="18" t="s">
        <v>1924</v>
      </c>
      <c r="E4545" s="18" t="s">
        <v>5128</v>
      </c>
      <c r="F4545" s="2" t="s">
        <v>7987</v>
      </c>
      <c r="G4545" s="2" t="s">
        <v>1573</v>
      </c>
      <c r="H4545" s="14">
        <v>0.66</v>
      </c>
      <c r="I4545" s="2" t="s">
        <v>267</v>
      </c>
      <c r="J4545" s="2" t="s">
        <v>3942</v>
      </c>
      <c r="K4545" s="2" t="s">
        <v>1452</v>
      </c>
      <c r="L4545" s="2" t="s">
        <v>5221</v>
      </c>
      <c r="M4545" s="2" t="s">
        <v>5221</v>
      </c>
      <c r="N4545" s="2" t="s">
        <v>2317</v>
      </c>
      <c r="O4545" s="14">
        <v>2800</v>
      </c>
      <c r="P4545" s="14">
        <v>94.82</v>
      </c>
      <c r="Q4545" s="14">
        <v>145.04</v>
      </c>
      <c r="R4545" s="14">
        <v>95.73</v>
      </c>
      <c r="S4545" s="2" t="s">
        <v>4498</v>
      </c>
      <c r="T4545" s="2">
        <v>1.38</v>
      </c>
      <c r="U4545" s="2">
        <v>62.6</v>
      </c>
      <c r="V4545" s="2">
        <v>60</v>
      </c>
      <c r="W4545" s="2" t="s">
        <v>7862</v>
      </c>
      <c r="X4545" s="2" t="s">
        <v>471</v>
      </c>
      <c r="Y4545" s="2">
        <v>1848</v>
      </c>
      <c r="Z4545" s="19" t="str">
        <f>HYPERLINK("https://ssdweb.co/ssdweb/hd/Vision360.html?d=941350908&amp;zoomslide=1&amp;z=1941350908&amp;ISCONFIRM=0","VIDEO")</f>
        <v>VIDEO</v>
      </c>
      <c r="AA4545" s="19" t="str">
        <f>HYPERLINK("https://ssdweb.co/ssdweb/CERTH/685590599.pdf","CERTI")</f>
        <v>CERTI</v>
      </c>
    </row>
    <row r="4546" spans="1:27" ht="15" x14ac:dyDescent="0.25">
      <c r="A4546" s="2">
        <v>4541</v>
      </c>
      <c r="B4546" s="39">
        <v>927052555</v>
      </c>
      <c r="C4546" s="28" t="str">
        <f>HYPERLINK("https://pld.live/RapDetail.aspx?STONELIST=927052555","DNA")</f>
        <v>DNA</v>
      </c>
      <c r="D4546" s="18" t="s">
        <v>1924</v>
      </c>
      <c r="E4546" s="18" t="s">
        <v>5128</v>
      </c>
      <c r="F4546" s="2" t="s">
        <v>7987</v>
      </c>
      <c r="G4546" s="2" t="s">
        <v>1573</v>
      </c>
      <c r="H4546" s="14">
        <v>0.66</v>
      </c>
      <c r="I4546" s="2" t="s">
        <v>267</v>
      </c>
      <c r="J4546" s="2" t="s">
        <v>3942</v>
      </c>
      <c r="K4546" s="2" t="s">
        <v>1452</v>
      </c>
      <c r="L4546" s="2" t="s">
        <v>5721</v>
      </c>
      <c r="M4546" s="2" t="s">
        <v>5721</v>
      </c>
      <c r="N4546" s="2" t="s">
        <v>2317</v>
      </c>
      <c r="O4546" s="14">
        <v>2800</v>
      </c>
      <c r="P4546" s="14">
        <v>95.04</v>
      </c>
      <c r="Q4546" s="14">
        <v>138.88</v>
      </c>
      <c r="R4546" s="14">
        <v>91.66</v>
      </c>
      <c r="S4546" s="2" t="s">
        <v>7810</v>
      </c>
      <c r="T4546" s="2">
        <v>1.42</v>
      </c>
      <c r="U4546" s="2">
        <v>60.2</v>
      </c>
      <c r="V4546" s="2">
        <v>62</v>
      </c>
      <c r="W4546" s="2" t="s">
        <v>7862</v>
      </c>
      <c r="X4546" s="2" t="s">
        <v>471</v>
      </c>
      <c r="Y4546" s="2">
        <v>1848</v>
      </c>
      <c r="Z4546" s="19" t="str">
        <f>HYPERLINK("https://ssdweb.co/ssdweb/hd/Vision360.html?d=927052555&amp;zoomslide=1&amp;z=1927052555&amp;ISCONFIRM=0","VIDEO")</f>
        <v>VIDEO</v>
      </c>
      <c r="AA4546" s="19" t="str">
        <f>HYPERLINK("https://ssdweb.co/ssdweb/CERTH/668446512.pdf","CERTI")</f>
        <v>CERTI</v>
      </c>
    </row>
    <row r="4547" spans="1:27" ht="15" x14ac:dyDescent="0.25">
      <c r="A4547" s="2">
        <v>4542</v>
      </c>
      <c r="B4547" s="39">
        <v>941400515</v>
      </c>
      <c r="C4547" s="28" t="str">
        <f>HYPERLINK("https://pld.live/RapDetail.aspx?STONELIST=941400515","DNA")</f>
        <v>DNA</v>
      </c>
      <c r="D4547" s="18" t="s">
        <v>1924</v>
      </c>
      <c r="E4547" s="18" t="s">
        <v>5128</v>
      </c>
      <c r="F4547" s="2" t="s">
        <v>7987</v>
      </c>
      <c r="G4547" s="2" t="s">
        <v>1573</v>
      </c>
      <c r="H4547" s="14">
        <v>0.65</v>
      </c>
      <c r="I4547" s="2" t="s">
        <v>267</v>
      </c>
      <c r="J4547" s="2" t="s">
        <v>13</v>
      </c>
      <c r="K4547" s="2" t="s">
        <v>1452</v>
      </c>
      <c r="L4547" s="2" t="s">
        <v>5221</v>
      </c>
      <c r="M4547" s="2" t="s">
        <v>5221</v>
      </c>
      <c r="N4547" s="2" t="s">
        <v>2317</v>
      </c>
      <c r="O4547" s="14">
        <v>2600</v>
      </c>
      <c r="P4547" s="14">
        <v>94.5</v>
      </c>
      <c r="Q4547" s="14">
        <v>143</v>
      </c>
      <c r="R4547" s="14">
        <v>92.95</v>
      </c>
      <c r="S4547" s="2" t="s">
        <v>3860</v>
      </c>
      <c r="T4547" s="2">
        <v>1.4</v>
      </c>
      <c r="U4547" s="2">
        <v>57.1</v>
      </c>
      <c r="V4547" s="2">
        <v>59</v>
      </c>
      <c r="W4547" s="2" t="s">
        <v>7862</v>
      </c>
      <c r="X4547" s="2" t="s">
        <v>471</v>
      </c>
      <c r="Y4547" s="2">
        <v>1690</v>
      </c>
      <c r="Z4547" s="19" t="str">
        <f>HYPERLINK("https://ssdweb.co/ssdweb/hd/Vision360.html?d=941400515&amp;zoomslide=1&amp;z=1941400515&amp;ISCONFIRM=0","VIDEO")</f>
        <v>VIDEO</v>
      </c>
      <c r="AA4547" s="19" t="str">
        <f>HYPERLINK("https://ssdweb.co/ssdweb/CERTH/689543220.pdf","CERTI")</f>
        <v>CERTI</v>
      </c>
    </row>
    <row r="4548" spans="1:27" ht="15" x14ac:dyDescent="0.25">
      <c r="A4548" s="2">
        <v>4543</v>
      </c>
      <c r="B4548" s="39">
        <v>941320808</v>
      </c>
      <c r="C4548" s="28" t="str">
        <f>HYPERLINK("https://pld.live/RapDetail.aspx?STONELIST=941320808","DNA")</f>
        <v>DNA</v>
      </c>
      <c r="D4548" s="18" t="s">
        <v>1924</v>
      </c>
      <c r="E4548" s="18" t="s">
        <v>5128</v>
      </c>
      <c r="F4548" s="2" t="s">
        <v>7987</v>
      </c>
      <c r="G4548" s="2" t="s">
        <v>1573</v>
      </c>
      <c r="H4548" s="14">
        <v>0.65</v>
      </c>
      <c r="I4548" s="2" t="s">
        <v>267</v>
      </c>
      <c r="J4548" s="2" t="s">
        <v>13</v>
      </c>
      <c r="K4548" s="2" t="s">
        <v>1452</v>
      </c>
      <c r="L4548" s="2" t="s">
        <v>5221</v>
      </c>
      <c r="M4548" s="2" t="s">
        <v>5221</v>
      </c>
      <c r="N4548" s="2" t="s">
        <v>2317</v>
      </c>
      <c r="O4548" s="14">
        <v>2600</v>
      </c>
      <c r="P4548" s="14">
        <v>94.5</v>
      </c>
      <c r="Q4548" s="14">
        <v>143</v>
      </c>
      <c r="R4548" s="14">
        <v>92.95</v>
      </c>
      <c r="S4548" s="2" t="s">
        <v>7455</v>
      </c>
      <c r="T4548" s="2">
        <v>1.43</v>
      </c>
      <c r="U4548" s="2">
        <v>62.4</v>
      </c>
      <c r="V4548" s="2">
        <v>61</v>
      </c>
      <c r="W4548" s="2" t="s">
        <v>7862</v>
      </c>
      <c r="X4548" s="2" t="s">
        <v>471</v>
      </c>
      <c r="Y4548" s="2">
        <v>1690</v>
      </c>
      <c r="Z4548" s="19" t="str">
        <f>HYPERLINK("https://ssdweb.co/ssdweb/hd/Vision360.html?d=941320808&amp;zoomslide=1&amp;z=1941320808&amp;ISCONFIRM=0","VIDEO")</f>
        <v>VIDEO</v>
      </c>
      <c r="AA4548" s="19" t="str">
        <f>HYPERLINK("https://ssdweb.co/ssdweb/CERTH/691533682.pdf","CERTI")</f>
        <v>CERTI</v>
      </c>
    </row>
    <row r="4549" spans="1:27" ht="15" x14ac:dyDescent="0.25">
      <c r="A4549" s="2">
        <v>4544</v>
      </c>
      <c r="B4549" s="39">
        <v>924290361</v>
      </c>
      <c r="C4549" s="28" t="str">
        <f>HYPERLINK("https://pld.live/RapDetail.aspx?STONELIST=924290361","DNA")</f>
        <v>DNA</v>
      </c>
      <c r="D4549" s="18" t="s">
        <v>1924</v>
      </c>
      <c r="E4549" s="18" t="s">
        <v>2186</v>
      </c>
      <c r="F4549" s="2" t="s">
        <v>7987</v>
      </c>
      <c r="G4549" s="2" t="s">
        <v>1573</v>
      </c>
      <c r="H4549" s="14">
        <v>0.65</v>
      </c>
      <c r="I4549" s="2" t="s">
        <v>3191</v>
      </c>
      <c r="J4549" s="2" t="s">
        <v>3942</v>
      </c>
      <c r="K4549" s="2" t="s">
        <v>1452</v>
      </c>
      <c r="L4549" s="2" t="s">
        <v>5221</v>
      </c>
      <c r="M4549" s="2" t="s">
        <v>5221</v>
      </c>
      <c r="N4549" s="2" t="s">
        <v>2317</v>
      </c>
      <c r="O4549" s="14">
        <v>1200</v>
      </c>
      <c r="P4549" s="14">
        <v>85.42</v>
      </c>
      <c r="Q4549" s="14">
        <v>174.96</v>
      </c>
      <c r="R4549" s="14">
        <v>113.72</v>
      </c>
      <c r="S4549" s="2" t="s">
        <v>5289</v>
      </c>
      <c r="T4549" s="2">
        <v>1.45</v>
      </c>
      <c r="U4549" s="2">
        <v>60</v>
      </c>
      <c r="V4549" s="2">
        <v>61</v>
      </c>
      <c r="W4549" s="2" t="s">
        <v>7862</v>
      </c>
      <c r="X4549" s="2" t="s">
        <v>471</v>
      </c>
      <c r="Y4549" s="2">
        <v>780</v>
      </c>
      <c r="Z4549" s="19" t="str">
        <f>HYPERLINK("https://ssdweb.co/ssdweb/hd/Vision360.html?d=924290361&amp;zoomslide=1&amp;z=1924290361&amp;ISCONFIRM=0","VIDEO")</f>
        <v>VIDEO</v>
      </c>
      <c r="AA4549" s="19" t="str">
        <f>HYPERLINK("https://ssdweb.co/ssdweb/CERTH/624499486.pdf","CERTI")</f>
        <v>CERTI</v>
      </c>
    </row>
    <row r="4550" spans="1:27" ht="15" x14ac:dyDescent="0.25">
      <c r="A4550" s="2">
        <v>4545</v>
      </c>
      <c r="B4550" s="39">
        <v>941320780</v>
      </c>
      <c r="C4550" s="28" t="str">
        <f>HYPERLINK("https://pld.live/RapDetail.aspx?STONELIST=941320780","DNA")</f>
        <v>DNA</v>
      </c>
      <c r="D4550" s="18" t="s">
        <v>1924</v>
      </c>
      <c r="E4550" s="18" t="s">
        <v>5128</v>
      </c>
      <c r="F4550" s="2" t="s">
        <v>7987</v>
      </c>
      <c r="G4550" s="2" t="s">
        <v>1573</v>
      </c>
      <c r="H4550" s="14">
        <v>0.64</v>
      </c>
      <c r="I4550" s="2" t="s">
        <v>267</v>
      </c>
      <c r="J4550" s="2" t="s">
        <v>13</v>
      </c>
      <c r="K4550" s="2" t="s">
        <v>1452</v>
      </c>
      <c r="L4550" s="2" t="s">
        <v>5221</v>
      </c>
      <c r="M4550" s="2" t="s">
        <v>5721</v>
      </c>
      <c r="N4550" s="2" t="s">
        <v>2317</v>
      </c>
      <c r="O4550" s="14">
        <v>2600</v>
      </c>
      <c r="P4550" s="14">
        <v>94.58</v>
      </c>
      <c r="Q4550" s="14">
        <v>140.91999999999999</v>
      </c>
      <c r="R4550" s="14">
        <v>90.19</v>
      </c>
      <c r="S4550" s="2" t="s">
        <v>3766</v>
      </c>
      <c r="T4550" s="2">
        <v>1.42</v>
      </c>
      <c r="U4550" s="2">
        <v>61.7</v>
      </c>
      <c r="V4550" s="2">
        <v>60</v>
      </c>
      <c r="W4550" s="2" t="s">
        <v>7862</v>
      </c>
      <c r="X4550" s="2" t="s">
        <v>471</v>
      </c>
      <c r="Y4550" s="2">
        <v>1664</v>
      </c>
      <c r="Z4550" s="19" t="str">
        <f>HYPERLINK("https://ssdweb.co/ssdweb/hd/Vision360.html?d=941320780&amp;zoomslide=1&amp;z=1941320780&amp;ISCONFIRM=0","VIDEO")</f>
        <v>VIDEO</v>
      </c>
      <c r="AA4550" s="19" t="str">
        <f>HYPERLINK("https://ssdweb.co/ssdweb/CERTH/689587263.pdf","CERTI")</f>
        <v>CERTI</v>
      </c>
    </row>
    <row r="4551" spans="1:27" ht="15" x14ac:dyDescent="0.25">
      <c r="A4551" s="2">
        <v>4546</v>
      </c>
      <c r="B4551" s="39">
        <v>924960473</v>
      </c>
      <c r="C4551" s="28" t="str">
        <f>HYPERLINK("https://pld.live/RapDetail.aspx?STONELIST=924960473","DNA")</f>
        <v>DNA</v>
      </c>
      <c r="D4551" s="18" t="s">
        <v>1924</v>
      </c>
      <c r="E4551" s="18" t="s">
        <v>5128</v>
      </c>
      <c r="F4551" s="2" t="s">
        <v>7987</v>
      </c>
      <c r="G4551" s="2" t="s">
        <v>1573</v>
      </c>
      <c r="H4551" s="14">
        <v>0.62</v>
      </c>
      <c r="I4551" s="2" t="s">
        <v>267</v>
      </c>
      <c r="J4551" s="2" t="s">
        <v>3942</v>
      </c>
      <c r="K4551" s="2" t="s">
        <v>1452</v>
      </c>
      <c r="L4551" s="2" t="s">
        <v>5221</v>
      </c>
      <c r="M4551" s="2" t="s">
        <v>5721</v>
      </c>
      <c r="N4551" s="2" t="s">
        <v>2317</v>
      </c>
      <c r="O4551" s="14">
        <v>2800</v>
      </c>
      <c r="P4551" s="14">
        <v>95.18</v>
      </c>
      <c r="Q4551" s="14">
        <v>134.96</v>
      </c>
      <c r="R4551" s="14">
        <v>83.68</v>
      </c>
      <c r="S4551" s="2" t="s">
        <v>4849</v>
      </c>
      <c r="T4551" s="2">
        <v>1.38</v>
      </c>
      <c r="U4551" s="2">
        <v>62.4</v>
      </c>
      <c r="V4551" s="2">
        <v>58</v>
      </c>
      <c r="W4551" s="2" t="s">
        <v>7862</v>
      </c>
      <c r="X4551" s="2" t="s">
        <v>471</v>
      </c>
      <c r="Y4551" s="2">
        <v>1736</v>
      </c>
      <c r="Z4551" s="19" t="str">
        <f>HYPERLINK("https://ssdweb.co/ssdweb/hd/Vision360.html?d=924960473&amp;zoomslide=1&amp;z=1924960473&amp;ISCONFIRM=0","VIDEO")</f>
        <v>VIDEO</v>
      </c>
      <c r="AA4551" s="19" t="str">
        <f>HYPERLINK("https://ssdweb.co/ssdweb/CERTH/611374853.pdf","CERTI")</f>
        <v>CERTI</v>
      </c>
    </row>
    <row r="4552" spans="1:27" ht="15" x14ac:dyDescent="0.25">
      <c r="A4552" s="2">
        <v>4547</v>
      </c>
      <c r="B4552" s="39">
        <v>941320795</v>
      </c>
      <c r="C4552" s="28" t="str">
        <f>HYPERLINK("https://pld.live/RapDetail.aspx?STONELIST=941320795","DNA")</f>
        <v>DNA</v>
      </c>
      <c r="D4552" s="18" t="s">
        <v>1924</v>
      </c>
      <c r="E4552" s="18" t="s">
        <v>5128</v>
      </c>
      <c r="F4552" s="2" t="s">
        <v>7987</v>
      </c>
      <c r="G4552" s="2" t="s">
        <v>1573</v>
      </c>
      <c r="H4552" s="14">
        <v>0.62</v>
      </c>
      <c r="I4552" s="2" t="s">
        <v>4761</v>
      </c>
      <c r="J4552" s="2" t="s">
        <v>3942</v>
      </c>
      <c r="K4552" s="2" t="s">
        <v>1452</v>
      </c>
      <c r="L4552" s="2" t="s">
        <v>5221</v>
      </c>
      <c r="M4552" s="2" t="s">
        <v>5221</v>
      </c>
      <c r="N4552" s="2" t="s">
        <v>2317</v>
      </c>
      <c r="O4552" s="14">
        <v>2600</v>
      </c>
      <c r="P4552" s="14">
        <v>94.54</v>
      </c>
      <c r="Q4552" s="14">
        <v>141.96</v>
      </c>
      <c r="R4552" s="14">
        <v>88.02</v>
      </c>
      <c r="S4552" s="2" t="s">
        <v>1123</v>
      </c>
      <c r="T4552" s="2">
        <v>1.39</v>
      </c>
      <c r="U4552" s="2">
        <v>61.1</v>
      </c>
      <c r="V4552" s="2">
        <v>60</v>
      </c>
      <c r="W4552" s="2" t="s">
        <v>7862</v>
      </c>
      <c r="X4552" s="2" t="s">
        <v>471</v>
      </c>
      <c r="Y4552" s="2">
        <v>1612</v>
      </c>
      <c r="Z4552" s="19" t="str">
        <f>HYPERLINK("https://ssdweb.co/ssdweb/hd/Vision360.html?d=941320795&amp;zoomslide=1&amp;z=1941320795&amp;ISCONFIRM=0","VIDEO")</f>
        <v>VIDEO</v>
      </c>
      <c r="AA4552" s="19" t="str">
        <f>HYPERLINK("https://ssdweb.co/ssdweb/CERTH/692505640.pdf","CERTI")</f>
        <v>CERTI</v>
      </c>
    </row>
    <row r="4553" spans="1:27" ht="15" x14ac:dyDescent="0.25">
      <c r="A4553" s="2">
        <v>4548</v>
      </c>
      <c r="B4553" s="39">
        <v>941320797</v>
      </c>
      <c r="C4553" s="28" t="str">
        <f>HYPERLINK("https://pld.live/RapDetail.aspx?STONELIST=941320797","DNA")</f>
        <v>DNA</v>
      </c>
      <c r="D4553" s="18" t="s">
        <v>1924</v>
      </c>
      <c r="E4553" s="18" t="s">
        <v>5128</v>
      </c>
      <c r="F4553" s="2" t="s">
        <v>7987</v>
      </c>
      <c r="G4553" s="2" t="s">
        <v>1573</v>
      </c>
      <c r="H4553" s="14">
        <v>0.61</v>
      </c>
      <c r="I4553" s="2" t="s">
        <v>4761</v>
      </c>
      <c r="J4553" s="2" t="s">
        <v>3942</v>
      </c>
      <c r="K4553" s="2" t="s">
        <v>1452</v>
      </c>
      <c r="L4553" s="2" t="s">
        <v>5221</v>
      </c>
      <c r="M4553" s="2" t="s">
        <v>5221</v>
      </c>
      <c r="N4553" s="2" t="s">
        <v>2317</v>
      </c>
      <c r="O4553" s="14">
        <v>2600</v>
      </c>
      <c r="P4553" s="14">
        <v>94.54</v>
      </c>
      <c r="Q4553" s="14">
        <v>141.96</v>
      </c>
      <c r="R4553" s="14">
        <v>86.6</v>
      </c>
      <c r="S4553" s="2" t="s">
        <v>1762</v>
      </c>
      <c r="T4553" s="2">
        <v>1.41</v>
      </c>
      <c r="U4553" s="2">
        <v>59.6</v>
      </c>
      <c r="V4553" s="2">
        <v>60</v>
      </c>
      <c r="W4553" s="2" t="s">
        <v>7862</v>
      </c>
      <c r="X4553" s="2" t="s">
        <v>471</v>
      </c>
      <c r="Y4553" s="2">
        <v>1586</v>
      </c>
      <c r="Z4553" s="19" t="str">
        <f>HYPERLINK("https://ssdweb.co/ssdweb/hd/Vision360.html?d=941320797&amp;zoomslide=1&amp;z=1941320797&amp;ISCONFIRM=0","VIDEO")</f>
        <v>VIDEO</v>
      </c>
      <c r="AA4553" s="19" t="str">
        <f>HYPERLINK("https://ssdweb.co/ssdweb/CERTH/692505641.pdf","CERTI")</f>
        <v>CERTI</v>
      </c>
    </row>
    <row r="4554" spans="1:27" ht="15" x14ac:dyDescent="0.25">
      <c r="A4554" s="2">
        <v>4549</v>
      </c>
      <c r="B4554" s="39">
        <v>941320357</v>
      </c>
      <c r="C4554" s="28" t="str">
        <f>HYPERLINK("https://pld.live/RapDetail.aspx?STONELIST=941320357","DNA")</f>
        <v>DNA</v>
      </c>
      <c r="D4554" s="18" t="s">
        <v>1924</v>
      </c>
      <c r="E4554" s="18" t="s">
        <v>5128</v>
      </c>
      <c r="F4554" s="2" t="s">
        <v>7987</v>
      </c>
      <c r="G4554" s="2" t="s">
        <v>1573</v>
      </c>
      <c r="H4554" s="14">
        <v>0.6</v>
      </c>
      <c r="I4554" s="2" t="s">
        <v>267</v>
      </c>
      <c r="J4554" s="2" t="s">
        <v>3942</v>
      </c>
      <c r="K4554" s="2" t="s">
        <v>1452</v>
      </c>
      <c r="L4554" s="2" t="s">
        <v>5221</v>
      </c>
      <c r="M4554" s="2" t="s">
        <v>5221</v>
      </c>
      <c r="N4554" s="2" t="s">
        <v>2317</v>
      </c>
      <c r="O4554" s="14">
        <v>2800</v>
      </c>
      <c r="P4554" s="14">
        <v>94.82</v>
      </c>
      <c r="Q4554" s="14">
        <v>145.04</v>
      </c>
      <c r="R4554" s="14">
        <v>87.02</v>
      </c>
      <c r="S4554" s="2" t="s">
        <v>7280</v>
      </c>
      <c r="T4554" s="2">
        <v>1.39</v>
      </c>
      <c r="U4554" s="2">
        <v>61.6</v>
      </c>
      <c r="V4554" s="2">
        <v>57</v>
      </c>
      <c r="W4554" s="2" t="s">
        <v>7862</v>
      </c>
      <c r="X4554" s="2" t="s">
        <v>471</v>
      </c>
      <c r="Y4554" s="2">
        <v>1680</v>
      </c>
      <c r="Z4554" s="19" t="str">
        <f>HYPERLINK("https://ssdweb.co/ssdweb/hd/Vision360.html?d=941320357&amp;zoomslide=1&amp;z=1941320357&amp;ISCONFIRM=0","VIDEO")</f>
        <v>VIDEO</v>
      </c>
      <c r="AA4554" s="19" t="str">
        <f>HYPERLINK("https://ssdweb.co/ssdweb/CERTH/689586959.pdf","CERTI")</f>
        <v>CERTI</v>
      </c>
    </row>
    <row r="4555" spans="1:27" ht="15" x14ac:dyDescent="0.25">
      <c r="A4555" s="2">
        <v>4550</v>
      </c>
      <c r="B4555" s="39">
        <v>941320279</v>
      </c>
      <c r="C4555" s="28" t="str">
        <f>HYPERLINK("https://pld.live/RapDetail.aspx?STONELIST=941320279","DNA")</f>
        <v>DNA</v>
      </c>
      <c r="D4555" s="18" t="s">
        <v>1924</v>
      </c>
      <c r="E4555" s="18" t="s">
        <v>5128</v>
      </c>
      <c r="F4555" s="2" t="s">
        <v>7987</v>
      </c>
      <c r="G4555" s="2" t="s">
        <v>1573</v>
      </c>
      <c r="H4555" s="14">
        <v>0.6</v>
      </c>
      <c r="I4555" s="2" t="s">
        <v>267</v>
      </c>
      <c r="J4555" s="2" t="s">
        <v>3942</v>
      </c>
      <c r="K4555" s="2" t="s">
        <v>1452</v>
      </c>
      <c r="L4555" s="2" t="s">
        <v>5221</v>
      </c>
      <c r="M4555" s="2" t="s">
        <v>5221</v>
      </c>
      <c r="N4555" s="2" t="s">
        <v>2317</v>
      </c>
      <c r="O4555" s="14">
        <v>2800</v>
      </c>
      <c r="P4555" s="14">
        <v>94.82</v>
      </c>
      <c r="Q4555" s="14">
        <v>145.04</v>
      </c>
      <c r="R4555" s="14">
        <v>87.02</v>
      </c>
      <c r="S4555" s="2" t="s">
        <v>5856</v>
      </c>
      <c r="T4555" s="2">
        <v>1.38</v>
      </c>
      <c r="U4555" s="2">
        <v>62.6</v>
      </c>
      <c r="V4555" s="2">
        <v>60</v>
      </c>
      <c r="W4555" s="2" t="s">
        <v>7862</v>
      </c>
      <c r="X4555" s="2" t="s">
        <v>471</v>
      </c>
      <c r="Y4555" s="2">
        <v>1680</v>
      </c>
      <c r="Z4555" s="19" t="str">
        <f>HYPERLINK("https://ssdweb.co/ssdweb/hd/Vision360.html?d=941320279&amp;zoomslide=1&amp;z=1941320279&amp;ISCONFIRM=0","VIDEO")</f>
        <v>VIDEO</v>
      </c>
      <c r="AA4555" s="19" t="str">
        <f>HYPERLINK("https://ssdweb.co/ssdweb/CERTH/689586957.pdf","CERTI")</f>
        <v>CERTI</v>
      </c>
    </row>
    <row r="4556" spans="1:27" ht="15" x14ac:dyDescent="0.25">
      <c r="A4556" s="2">
        <v>4551</v>
      </c>
      <c r="B4556" s="39">
        <v>924420409</v>
      </c>
      <c r="C4556" s="28" t="str">
        <f>HYPERLINK("https://pld.live/RapDetail.aspx?STONELIST=924420409","DNA")</f>
        <v>DNA</v>
      </c>
      <c r="D4556" s="18" t="s">
        <v>5466</v>
      </c>
      <c r="E4556" s="18" t="s">
        <v>5128</v>
      </c>
      <c r="F4556" s="2" t="s">
        <v>7987</v>
      </c>
      <c r="G4556" s="2" t="s">
        <v>1573</v>
      </c>
      <c r="H4556" s="14">
        <v>0.59</v>
      </c>
      <c r="I4556" s="2" t="s">
        <v>267</v>
      </c>
      <c r="J4556" s="2" t="s">
        <v>13</v>
      </c>
      <c r="K4556" s="2" t="s">
        <v>1452</v>
      </c>
      <c r="L4556" s="2" t="s">
        <v>5221</v>
      </c>
      <c r="M4556" s="2" t="s">
        <v>5221</v>
      </c>
      <c r="N4556" s="2" t="s">
        <v>2317</v>
      </c>
      <c r="O4556" s="14">
        <v>2600</v>
      </c>
      <c r="P4556" s="14">
        <v>94.35</v>
      </c>
      <c r="Q4556" s="14">
        <v>146.9</v>
      </c>
      <c r="R4556" s="14">
        <v>86.67</v>
      </c>
      <c r="S4556" s="2" t="s">
        <v>1148</v>
      </c>
      <c r="T4556" s="2">
        <v>1.38</v>
      </c>
      <c r="U4556" s="2">
        <v>61.4</v>
      </c>
      <c r="V4556" s="2">
        <v>60</v>
      </c>
      <c r="W4556" s="2" t="s">
        <v>7862</v>
      </c>
      <c r="X4556" s="2" t="s">
        <v>471</v>
      </c>
      <c r="Y4556" s="2">
        <v>1534</v>
      </c>
      <c r="Z4556" s="19" t="str">
        <f>HYPERLINK("https://ssdweb.co/ssdweb/hd/Vision360.html?d=924420409&amp;zoomslide=1&amp;z=1924420409&amp;ISCONFIRM=0","VIDEO")</f>
        <v>VIDEO</v>
      </c>
      <c r="AA4556" s="19" t="str">
        <f>HYPERLINK("https://ssdweb.co/ssdweb/CERTH/597389550.pdf","CERTI")</f>
        <v>CERTI</v>
      </c>
    </row>
    <row r="4557" spans="1:27" ht="15" x14ac:dyDescent="0.25">
      <c r="A4557" s="2">
        <v>4552</v>
      </c>
      <c r="B4557" s="39">
        <v>924280352</v>
      </c>
      <c r="C4557" s="28" t="str">
        <f>HYPERLINK("https://pld.live/RapDetail.aspx?STONELIST=924280352","DNA")</f>
        <v>DNA</v>
      </c>
      <c r="D4557" s="18" t="s">
        <v>5466</v>
      </c>
      <c r="E4557" s="18" t="s">
        <v>5128</v>
      </c>
      <c r="F4557" s="2" t="s">
        <v>7987</v>
      </c>
      <c r="G4557" s="2" t="s">
        <v>1573</v>
      </c>
      <c r="H4557" s="14">
        <v>0.59</v>
      </c>
      <c r="I4557" s="2" t="s">
        <v>267</v>
      </c>
      <c r="J4557" s="2" t="s">
        <v>13</v>
      </c>
      <c r="K4557" s="2" t="s">
        <v>1452</v>
      </c>
      <c r="L4557" s="2" t="s">
        <v>5221</v>
      </c>
      <c r="M4557" s="2" t="s">
        <v>5221</v>
      </c>
      <c r="N4557" s="2" t="s">
        <v>2317</v>
      </c>
      <c r="O4557" s="14">
        <v>2600</v>
      </c>
      <c r="P4557" s="14">
        <v>94.35</v>
      </c>
      <c r="Q4557" s="14">
        <v>146.9</v>
      </c>
      <c r="R4557" s="14">
        <v>86.67</v>
      </c>
      <c r="S4557" s="2" t="s">
        <v>8073</v>
      </c>
      <c r="T4557" s="2">
        <v>1.38</v>
      </c>
      <c r="U4557" s="2">
        <v>60.2</v>
      </c>
      <c r="V4557" s="2">
        <v>61</v>
      </c>
      <c r="W4557" s="2" t="s">
        <v>7862</v>
      </c>
      <c r="X4557" s="2" t="s">
        <v>471</v>
      </c>
      <c r="Y4557" s="2">
        <v>1534</v>
      </c>
      <c r="Z4557" s="19" t="str">
        <f>HYPERLINK("https://ssdweb.co/ssdweb/hd/Vision360.html?d=924280352&amp;zoomslide=1&amp;z=1924280352&amp;ISCONFIRM=0","VIDEO")</f>
        <v>VIDEO</v>
      </c>
      <c r="AA4557" s="19" t="str">
        <f>HYPERLINK("https://ssdweb.co/ssdweb/CERTH/588354495.pdf","CERTI")</f>
        <v>CERTI</v>
      </c>
    </row>
    <row r="4558" spans="1:27" ht="15" x14ac:dyDescent="0.25">
      <c r="A4558" s="2">
        <v>4553</v>
      </c>
      <c r="B4558" s="39">
        <v>924960348</v>
      </c>
      <c r="C4558" s="28" t="str">
        <f>HYPERLINK("https://pld.live/RapDetail.aspx?STONELIST=924960348","DNA")</f>
        <v>DNA</v>
      </c>
      <c r="D4558" s="18" t="s">
        <v>5466</v>
      </c>
      <c r="E4558" s="18" t="s">
        <v>5128</v>
      </c>
      <c r="F4558" s="2" t="s">
        <v>7987</v>
      </c>
      <c r="G4558" s="2" t="s">
        <v>1573</v>
      </c>
      <c r="H4558" s="14">
        <v>0.59</v>
      </c>
      <c r="I4558" s="2" t="s">
        <v>4761</v>
      </c>
      <c r="J4558" s="2" t="s">
        <v>3942</v>
      </c>
      <c r="K4558" s="2" t="s">
        <v>1452</v>
      </c>
      <c r="L4558" s="2" t="s">
        <v>5721</v>
      </c>
      <c r="M4558" s="2" t="s">
        <v>5721</v>
      </c>
      <c r="N4558" s="2" t="s">
        <v>2317</v>
      </c>
      <c r="O4558" s="14">
        <v>2600</v>
      </c>
      <c r="P4558" s="14">
        <v>94.35</v>
      </c>
      <c r="Q4558" s="14">
        <v>146.9</v>
      </c>
      <c r="R4558" s="14">
        <v>86.67</v>
      </c>
      <c r="S4558" s="2" t="s">
        <v>5716</v>
      </c>
      <c r="T4558" s="2">
        <v>1.38</v>
      </c>
      <c r="U4558" s="2">
        <v>62.4</v>
      </c>
      <c r="V4558" s="2">
        <v>59</v>
      </c>
      <c r="W4558" s="2" t="s">
        <v>7862</v>
      </c>
      <c r="X4558" s="2" t="s">
        <v>471</v>
      </c>
      <c r="Y4558" s="2">
        <v>1534</v>
      </c>
      <c r="Z4558" s="19" t="str">
        <f>HYPERLINK("https://ssdweb.co/ssdweb/hd/Vision360.html?d=924960348&amp;zoomslide=1&amp;z=1924960348&amp;ISCONFIRM=0","VIDEO")</f>
        <v>VIDEO</v>
      </c>
      <c r="AA4558" s="19" t="str">
        <f>HYPERLINK("https://ssdweb.co/ssdweb/CERTH/605305627.pdf","CERTI")</f>
        <v>CERTI</v>
      </c>
    </row>
    <row r="4559" spans="1:27" ht="15" x14ac:dyDescent="0.25">
      <c r="A4559" s="2">
        <v>4554</v>
      </c>
      <c r="B4559" s="39">
        <v>924571015</v>
      </c>
      <c r="C4559" s="28" t="str">
        <f>HYPERLINK("https://pld.live/RapDetail.aspx?STONELIST=924571015","DNA")</f>
        <v>DNA</v>
      </c>
      <c r="D4559" s="18" t="s">
        <v>5466</v>
      </c>
      <c r="E4559" s="18" t="s">
        <v>2186</v>
      </c>
      <c r="F4559" s="2" t="s">
        <v>5597</v>
      </c>
      <c r="G4559" s="2" t="s">
        <v>1573</v>
      </c>
      <c r="H4559" s="14">
        <v>0.59</v>
      </c>
      <c r="I4559" s="2" t="s">
        <v>4699</v>
      </c>
      <c r="J4559" s="2" t="s">
        <v>444</v>
      </c>
      <c r="K4559" s="2" t="s">
        <v>1452</v>
      </c>
      <c r="L4559" s="2" t="s">
        <v>5721</v>
      </c>
      <c r="M4559" s="2" t="s">
        <v>5221</v>
      </c>
      <c r="N4559" s="2" t="s">
        <v>2317</v>
      </c>
      <c r="O4559" s="14">
        <v>2000</v>
      </c>
      <c r="P4559" s="14">
        <v>91</v>
      </c>
      <c r="Q4559" s="14">
        <v>180</v>
      </c>
      <c r="R4559" s="14">
        <v>106.2</v>
      </c>
      <c r="S4559" s="2" t="s">
        <v>1603</v>
      </c>
      <c r="T4559" s="2">
        <v>1.4</v>
      </c>
      <c r="U4559" s="2">
        <v>62.1</v>
      </c>
      <c r="V4559" s="2">
        <v>60</v>
      </c>
      <c r="W4559" s="2" t="s">
        <v>7862</v>
      </c>
      <c r="X4559" s="2" t="s">
        <v>471</v>
      </c>
      <c r="Y4559" s="2">
        <v>1180</v>
      </c>
      <c r="Z4559" s="19" t="str">
        <f>HYPERLINK("https://ssdweb.co/ssdweb/hd/Vision360.html?d=924571015&amp;zoomslide=1&amp;z=1924571015&amp;ISCONFIRM=0","VIDEO")</f>
        <v>VIDEO</v>
      </c>
      <c r="AA4559" s="19" t="str">
        <f>HYPERLINK("https://ssdweb.co/ssdweb/CERTH/3475660816.pdf","CERTI")</f>
        <v>CERTI</v>
      </c>
    </row>
    <row r="4560" spans="1:27" ht="15" x14ac:dyDescent="0.25">
      <c r="A4560" s="2">
        <v>4555</v>
      </c>
      <c r="B4560" s="39">
        <v>925791362</v>
      </c>
      <c r="C4560" s="28" t="str">
        <f>HYPERLINK("https://pld.live/RapDetail.aspx?STONELIST=925791362","DNA")</f>
        <v>DNA</v>
      </c>
      <c r="D4560" s="18" t="s">
        <v>5466</v>
      </c>
      <c r="E4560" s="18" t="s">
        <v>5128</v>
      </c>
      <c r="F4560" s="2" t="s">
        <v>7987</v>
      </c>
      <c r="G4560" s="2" t="s">
        <v>1573</v>
      </c>
      <c r="H4560" s="14">
        <v>0.57999999999999996</v>
      </c>
      <c r="I4560" s="2" t="s">
        <v>267</v>
      </c>
      <c r="J4560" s="2" t="s">
        <v>3942</v>
      </c>
      <c r="K4560" s="2" t="s">
        <v>1452</v>
      </c>
      <c r="L4560" s="2" t="s">
        <v>5221</v>
      </c>
      <c r="M4560" s="2" t="s">
        <v>5721</v>
      </c>
      <c r="N4560" s="2" t="s">
        <v>2317</v>
      </c>
      <c r="O4560" s="14">
        <v>2800</v>
      </c>
      <c r="P4560" s="14">
        <v>94.57</v>
      </c>
      <c r="Q4560" s="14">
        <v>152.04</v>
      </c>
      <c r="R4560" s="14">
        <v>88.18</v>
      </c>
      <c r="S4560" s="2" t="s">
        <v>3920</v>
      </c>
      <c r="T4560" s="2">
        <v>1.41</v>
      </c>
      <c r="U4560" s="2">
        <v>62.3</v>
      </c>
      <c r="V4560" s="2">
        <v>58</v>
      </c>
      <c r="W4560" s="2" t="s">
        <v>7862</v>
      </c>
      <c r="X4560" s="2" t="s">
        <v>471</v>
      </c>
      <c r="Y4560" s="2">
        <v>1624</v>
      </c>
      <c r="Z4560" s="19" t="str">
        <f>HYPERLINK("https://ssdweb.co/ssdweb/hd/Vision360.html?d=925791362&amp;zoomslide=1&amp;z=1925791362&amp;ISCONFIRM=0","VIDEO")</f>
        <v>VIDEO</v>
      </c>
      <c r="AA4560" s="19" t="str">
        <f>HYPERLINK("https://ssdweb.co/ssdweb/CERTH/627473164.pdf","CERTI")</f>
        <v>CERTI</v>
      </c>
    </row>
    <row r="4561" spans="1:27" ht="15" x14ac:dyDescent="0.25">
      <c r="A4561" s="2">
        <v>4556</v>
      </c>
      <c r="B4561" s="39">
        <v>924390518</v>
      </c>
      <c r="C4561" s="28" t="str">
        <f>HYPERLINK("https://pld.live/RapDetail.aspx?STONELIST=924390518","DNA")</f>
        <v>DNA</v>
      </c>
      <c r="D4561" s="18" t="s">
        <v>5466</v>
      </c>
      <c r="E4561" s="18" t="s">
        <v>5128</v>
      </c>
      <c r="F4561" s="2" t="s">
        <v>7987</v>
      </c>
      <c r="G4561" s="2" t="s">
        <v>1573</v>
      </c>
      <c r="H4561" s="14">
        <v>0.57999999999999996</v>
      </c>
      <c r="I4561" s="2" t="s">
        <v>267</v>
      </c>
      <c r="J4561" s="2" t="s">
        <v>13</v>
      </c>
      <c r="K4561" s="2" t="s">
        <v>1452</v>
      </c>
      <c r="L4561" s="2" t="s">
        <v>5221</v>
      </c>
      <c r="M4561" s="2" t="s">
        <v>5221</v>
      </c>
      <c r="N4561" s="2" t="s">
        <v>2317</v>
      </c>
      <c r="O4561" s="14">
        <v>2600</v>
      </c>
      <c r="P4561" s="14">
        <v>94.35</v>
      </c>
      <c r="Q4561" s="14">
        <v>146.9</v>
      </c>
      <c r="R4561" s="14">
        <v>85.2</v>
      </c>
      <c r="S4561" s="2" t="s">
        <v>3733</v>
      </c>
      <c r="T4561" s="2">
        <v>1.38</v>
      </c>
      <c r="U4561" s="2">
        <v>62.4</v>
      </c>
      <c r="V4561" s="2">
        <v>61</v>
      </c>
      <c r="W4561" s="2" t="s">
        <v>7862</v>
      </c>
      <c r="X4561" s="2" t="s">
        <v>471</v>
      </c>
      <c r="Y4561" s="2">
        <v>1508</v>
      </c>
      <c r="Z4561" s="19" t="str">
        <f>HYPERLINK("https://ssdweb.co/ssdweb/hd/Vision360.html?d=924390518&amp;zoomslide=1&amp;z=1924390518&amp;ISCONFIRM=0","VIDEO")</f>
        <v>VIDEO</v>
      </c>
      <c r="AA4561" s="19" t="str">
        <f>HYPERLINK("https://ssdweb.co/ssdweb/CERTH/596332163.pdf","CERTI")</f>
        <v>CERTI</v>
      </c>
    </row>
    <row r="4562" spans="1:27" ht="15" x14ac:dyDescent="0.25">
      <c r="A4562" s="2">
        <v>4557</v>
      </c>
      <c r="B4562" s="39">
        <v>924960408</v>
      </c>
      <c r="C4562" s="28" t="str">
        <f>HYPERLINK("https://pld.live/RapDetail.aspx?STONELIST=924960408","DNA")</f>
        <v>DNA</v>
      </c>
      <c r="D4562" s="18" t="s">
        <v>5466</v>
      </c>
      <c r="E4562" s="18" t="s">
        <v>5128</v>
      </c>
      <c r="F4562" s="2" t="s">
        <v>7987</v>
      </c>
      <c r="G4562" s="2" t="s">
        <v>1573</v>
      </c>
      <c r="H4562" s="14">
        <v>0.56999999999999995</v>
      </c>
      <c r="I4562" s="2" t="s">
        <v>267</v>
      </c>
      <c r="J4562" s="2" t="s">
        <v>6555</v>
      </c>
      <c r="K4562" s="2" t="s">
        <v>1452</v>
      </c>
      <c r="L4562" s="2" t="s">
        <v>5221</v>
      </c>
      <c r="M4562" s="2" t="s">
        <v>5721</v>
      </c>
      <c r="N4562" s="2" t="s">
        <v>2317</v>
      </c>
      <c r="O4562" s="14">
        <v>3000</v>
      </c>
      <c r="P4562" s="14">
        <v>94.33</v>
      </c>
      <c r="Q4562" s="14">
        <v>170.1</v>
      </c>
      <c r="R4562" s="14">
        <v>96.96</v>
      </c>
      <c r="S4562" s="2" t="s">
        <v>6198</v>
      </c>
      <c r="T4562" s="2">
        <v>1.36</v>
      </c>
      <c r="U4562" s="2">
        <v>61.5</v>
      </c>
      <c r="V4562" s="2">
        <v>59</v>
      </c>
      <c r="W4562" s="2" t="s">
        <v>7862</v>
      </c>
      <c r="X4562" s="2" t="s">
        <v>471</v>
      </c>
      <c r="Y4562" s="2">
        <v>1710</v>
      </c>
      <c r="Z4562" s="19" t="str">
        <f>HYPERLINK("https://ssdweb.co/ssdweb/hd/Vision360.html?d=924960408&amp;zoomslide=1&amp;z=1924960408&amp;ISCONFIRM=0","VIDEO")</f>
        <v>VIDEO</v>
      </c>
      <c r="AA4562" s="19" t="str">
        <f>HYPERLINK("https://ssdweb.co/ssdweb/CERTH/607332368.pdf","CERTI")</f>
        <v>CERTI</v>
      </c>
    </row>
    <row r="4563" spans="1:27" ht="15" x14ac:dyDescent="0.25">
      <c r="A4563" s="2">
        <v>4558</v>
      </c>
      <c r="B4563" s="39">
        <v>924580388</v>
      </c>
      <c r="C4563" s="28" t="str">
        <f>HYPERLINK("https://pld.live/RapDetail.aspx?STONELIST=924580388","DNA")</f>
        <v>DNA</v>
      </c>
      <c r="D4563" s="18" t="s">
        <v>5466</v>
      </c>
      <c r="E4563" s="18" t="s">
        <v>5128</v>
      </c>
      <c r="F4563" s="2" t="s">
        <v>7987</v>
      </c>
      <c r="G4563" s="2" t="s">
        <v>1573</v>
      </c>
      <c r="H4563" s="14">
        <v>0.56999999999999995</v>
      </c>
      <c r="I4563" s="2" t="s">
        <v>267</v>
      </c>
      <c r="J4563" s="2" t="s">
        <v>13</v>
      </c>
      <c r="K4563" s="2" t="s">
        <v>1452</v>
      </c>
      <c r="L4563" s="2" t="s">
        <v>5221</v>
      </c>
      <c r="M4563" s="2" t="s">
        <v>5221</v>
      </c>
      <c r="N4563" s="2" t="s">
        <v>2317</v>
      </c>
      <c r="O4563" s="14">
        <v>2600</v>
      </c>
      <c r="P4563" s="14">
        <v>94.35</v>
      </c>
      <c r="Q4563" s="14">
        <v>146.9</v>
      </c>
      <c r="R4563" s="14">
        <v>83.73</v>
      </c>
      <c r="S4563" s="2" t="s">
        <v>7098</v>
      </c>
      <c r="T4563" s="2">
        <v>1.42</v>
      </c>
      <c r="U4563" s="2">
        <v>62.4</v>
      </c>
      <c r="V4563" s="2">
        <v>60</v>
      </c>
      <c r="W4563" s="2" t="s">
        <v>7862</v>
      </c>
      <c r="X4563" s="2" t="s">
        <v>471</v>
      </c>
      <c r="Y4563" s="2">
        <v>1482</v>
      </c>
      <c r="Z4563" s="19" t="str">
        <f>HYPERLINK("https://ssdweb.co/ssdweb/hd/Vision360.html?d=924580388&amp;zoomslide=1&amp;z=1924580388&amp;ISCONFIRM=0","VIDEO")</f>
        <v>VIDEO</v>
      </c>
      <c r="AA4563" s="19" t="str">
        <f>HYPERLINK("https://ssdweb.co/ssdweb/CERTH/600304484.pdf","CERTI")</f>
        <v>CERTI</v>
      </c>
    </row>
    <row r="4564" spans="1:27" ht="15" x14ac:dyDescent="0.25">
      <c r="A4564" s="2">
        <v>4559</v>
      </c>
      <c r="B4564" s="39">
        <v>924960433</v>
      </c>
      <c r="C4564" s="28" t="str">
        <f>HYPERLINK("https://pld.live/RapDetail.aspx?STONELIST=924960433","DNA")</f>
        <v>DNA</v>
      </c>
      <c r="D4564" s="18" t="s">
        <v>5466</v>
      </c>
      <c r="E4564" s="18" t="s">
        <v>5128</v>
      </c>
      <c r="F4564" s="2" t="s">
        <v>7987</v>
      </c>
      <c r="G4564" s="2" t="s">
        <v>1573</v>
      </c>
      <c r="H4564" s="14">
        <v>0.56999999999999995</v>
      </c>
      <c r="I4564" s="2" t="s">
        <v>267</v>
      </c>
      <c r="J4564" s="2" t="s">
        <v>13</v>
      </c>
      <c r="K4564" s="2" t="s">
        <v>1452</v>
      </c>
      <c r="L4564" s="2" t="s">
        <v>5221</v>
      </c>
      <c r="M4564" s="2" t="s">
        <v>5221</v>
      </c>
      <c r="N4564" s="2" t="s">
        <v>2317</v>
      </c>
      <c r="O4564" s="14">
        <v>2600</v>
      </c>
      <c r="P4564" s="14">
        <v>94.35</v>
      </c>
      <c r="Q4564" s="14">
        <v>146.9</v>
      </c>
      <c r="R4564" s="14">
        <v>83.73</v>
      </c>
      <c r="S4564" s="2" t="s">
        <v>4921</v>
      </c>
      <c r="T4564" s="2">
        <v>1.39</v>
      </c>
      <c r="U4564" s="2">
        <v>61.7</v>
      </c>
      <c r="V4564" s="2">
        <v>61</v>
      </c>
      <c r="W4564" s="2" t="s">
        <v>7862</v>
      </c>
      <c r="X4564" s="2" t="s">
        <v>471</v>
      </c>
      <c r="Y4564" s="2">
        <v>1482</v>
      </c>
      <c r="Z4564" s="19" t="str">
        <f>HYPERLINK("https://ssdweb.co/ssdweb/hd/Vision360.html?d=924960433&amp;zoomslide=1&amp;z=1924960433&amp;ISCONFIRM=0","VIDEO")</f>
        <v>VIDEO</v>
      </c>
      <c r="AA4564" s="19" t="str">
        <f>HYPERLINK("https://ssdweb.co/ssdweb/CERTH/607357733.pdf","CERTI")</f>
        <v>CERTI</v>
      </c>
    </row>
    <row r="4565" spans="1:27" ht="15" x14ac:dyDescent="0.25">
      <c r="A4565" s="2">
        <v>4560</v>
      </c>
      <c r="B4565" s="39">
        <v>924960475</v>
      </c>
      <c r="C4565" s="28" t="str">
        <f>HYPERLINK("https://pld.live/RapDetail.aspx?STONELIST=924960475","DNA")</f>
        <v>DNA</v>
      </c>
      <c r="D4565" s="18" t="s">
        <v>5466</v>
      </c>
      <c r="E4565" s="18" t="s">
        <v>5128</v>
      </c>
      <c r="F4565" s="2" t="s">
        <v>7987</v>
      </c>
      <c r="G4565" s="2" t="s">
        <v>1573</v>
      </c>
      <c r="H4565" s="14">
        <v>0.56999999999999995</v>
      </c>
      <c r="I4565" s="2" t="s">
        <v>267</v>
      </c>
      <c r="J4565" s="2" t="s">
        <v>13</v>
      </c>
      <c r="K4565" s="2" t="s">
        <v>1452</v>
      </c>
      <c r="L4565" s="2" t="s">
        <v>5221</v>
      </c>
      <c r="M4565" s="2" t="s">
        <v>5221</v>
      </c>
      <c r="N4565" s="2" t="s">
        <v>2317</v>
      </c>
      <c r="O4565" s="14">
        <v>2600</v>
      </c>
      <c r="P4565" s="14">
        <v>94.35</v>
      </c>
      <c r="Q4565" s="14">
        <v>146.9</v>
      </c>
      <c r="R4565" s="14">
        <v>83.73</v>
      </c>
      <c r="S4565" s="2" t="s">
        <v>4520</v>
      </c>
      <c r="T4565" s="2">
        <v>1.38</v>
      </c>
      <c r="U4565" s="2">
        <v>61.8</v>
      </c>
      <c r="V4565" s="2">
        <v>61</v>
      </c>
      <c r="W4565" s="2" t="s">
        <v>7862</v>
      </c>
      <c r="X4565" s="2" t="s">
        <v>471</v>
      </c>
      <c r="Y4565" s="2">
        <v>1482</v>
      </c>
      <c r="Z4565" s="19" t="str">
        <f>HYPERLINK("https://ssdweb.co/ssdweb/hd/Vision360.html?d=924960475&amp;zoomslide=1&amp;z=1924960475&amp;ISCONFIRM=0","VIDEO")</f>
        <v>VIDEO</v>
      </c>
      <c r="AA4565" s="19" t="str">
        <f>HYPERLINK("https://ssdweb.co/ssdweb/CERTH/611395868.pdf","CERTI")</f>
        <v>CERTI</v>
      </c>
    </row>
    <row r="4566" spans="1:27" ht="15" x14ac:dyDescent="0.25">
      <c r="A4566" s="2">
        <v>4561</v>
      </c>
      <c r="B4566" s="39">
        <v>924560507</v>
      </c>
      <c r="C4566" s="28" t="str">
        <f>HYPERLINK("https://pld.live/RapDetail.aspx?STONELIST=924560507","DNA")</f>
        <v>DNA</v>
      </c>
      <c r="D4566" s="18" t="s">
        <v>5466</v>
      </c>
      <c r="E4566" s="18" t="s">
        <v>5128</v>
      </c>
      <c r="F4566" s="2" t="s">
        <v>7987</v>
      </c>
      <c r="G4566" s="2" t="s">
        <v>1573</v>
      </c>
      <c r="H4566" s="14">
        <v>0.56999999999999995</v>
      </c>
      <c r="I4566" s="2" t="s">
        <v>4761</v>
      </c>
      <c r="J4566" s="2" t="s">
        <v>3942</v>
      </c>
      <c r="K4566" s="2" t="s">
        <v>1452</v>
      </c>
      <c r="L4566" s="2" t="s">
        <v>5221</v>
      </c>
      <c r="M4566" s="2" t="s">
        <v>5221</v>
      </c>
      <c r="N4566" s="2" t="s">
        <v>2317</v>
      </c>
      <c r="O4566" s="14">
        <v>2600</v>
      </c>
      <c r="P4566" s="14">
        <v>94.27</v>
      </c>
      <c r="Q4566" s="14">
        <v>148.97999999999999</v>
      </c>
      <c r="R4566" s="14">
        <v>84.92</v>
      </c>
      <c r="S4566" s="2" t="s">
        <v>2928</v>
      </c>
      <c r="T4566" s="2">
        <v>1.44</v>
      </c>
      <c r="U4566" s="2">
        <v>60.1</v>
      </c>
      <c r="V4566" s="2">
        <v>61</v>
      </c>
      <c r="W4566" s="2" t="s">
        <v>7862</v>
      </c>
      <c r="X4566" s="2" t="s">
        <v>471</v>
      </c>
      <c r="Y4566" s="2">
        <v>1482</v>
      </c>
      <c r="Z4566" s="19" t="str">
        <f>HYPERLINK("https://ssdweb.co/ssdweb/hd/Vision360.html?d=924560507&amp;zoomslide=1&amp;z=1924560507&amp;ISCONFIRM=0","VIDEO")</f>
        <v>VIDEO</v>
      </c>
      <c r="AA4566" s="19" t="str">
        <f>HYPERLINK("https://ssdweb.co/ssdweb/CERTH/598373873.pdf","CERTI")</f>
        <v>CERTI</v>
      </c>
    </row>
    <row r="4567" spans="1:27" ht="15" x14ac:dyDescent="0.25">
      <c r="A4567" s="2">
        <v>4562</v>
      </c>
      <c r="B4567" s="39">
        <v>927132206</v>
      </c>
      <c r="C4567" s="28" t="str">
        <f>HYPERLINK("https://pld.live/RapDetail.aspx?STONELIST=927132206","DNA")</f>
        <v>DNA</v>
      </c>
      <c r="D4567" s="18" t="s">
        <v>5466</v>
      </c>
      <c r="E4567" s="18" t="s">
        <v>5128</v>
      </c>
      <c r="F4567" s="2" t="s">
        <v>7987</v>
      </c>
      <c r="G4567" s="2" t="s">
        <v>1573</v>
      </c>
      <c r="H4567" s="14">
        <v>0.52</v>
      </c>
      <c r="I4567" s="2" t="s">
        <v>267</v>
      </c>
      <c r="J4567" s="2" t="s">
        <v>7032</v>
      </c>
      <c r="K4567" s="2" t="s">
        <v>1452</v>
      </c>
      <c r="L4567" s="2" t="s">
        <v>5221</v>
      </c>
      <c r="M4567" s="2" t="s">
        <v>5221</v>
      </c>
      <c r="N4567" s="2" t="s">
        <v>2317</v>
      </c>
      <c r="O4567" s="14">
        <v>3300</v>
      </c>
      <c r="P4567" s="14">
        <v>91.21</v>
      </c>
      <c r="Q4567" s="14">
        <v>290.07</v>
      </c>
      <c r="R4567" s="14">
        <v>150.84</v>
      </c>
      <c r="S4567" s="2" t="s">
        <v>4206</v>
      </c>
      <c r="T4567" s="2">
        <v>1.39</v>
      </c>
      <c r="U4567" s="2">
        <v>62.6</v>
      </c>
      <c r="V4567" s="2">
        <v>59</v>
      </c>
      <c r="W4567" s="2" t="s">
        <v>7862</v>
      </c>
      <c r="X4567" s="2" t="s">
        <v>471</v>
      </c>
      <c r="Y4567" s="2">
        <v>1716</v>
      </c>
      <c r="Z4567" s="19" t="str">
        <f>HYPERLINK("https://ssdweb.co/ssdweb/hd/Vision360.html?d=927132206&amp;zoomslide=1&amp;z=1927132206&amp;ISCONFIRM=0","VIDEO")</f>
        <v>VIDEO</v>
      </c>
      <c r="AA4567" s="19" t="str">
        <f>HYPERLINK("https://ssdweb.co/ssdweb/CERTH/689586928.pdf","CERTI")</f>
        <v>CERTI</v>
      </c>
    </row>
    <row r="4568" spans="1:27" ht="15" x14ac:dyDescent="0.25">
      <c r="A4568" s="2">
        <v>4563</v>
      </c>
      <c r="B4568" s="39">
        <v>927092423</v>
      </c>
      <c r="C4568" s="28" t="str">
        <f>HYPERLINK("https://pld.live/RapDetail.aspx?STONELIST=927092423","DNA")</f>
        <v>DNA</v>
      </c>
      <c r="D4568" s="18" t="s">
        <v>5466</v>
      </c>
      <c r="E4568" s="18" t="s">
        <v>5128</v>
      </c>
      <c r="F4568" s="2" t="s">
        <v>7987</v>
      </c>
      <c r="G4568" s="2" t="s">
        <v>1573</v>
      </c>
      <c r="H4568" s="14">
        <v>0.52</v>
      </c>
      <c r="I4568" s="2" t="s">
        <v>267</v>
      </c>
      <c r="J4568" s="2" t="s">
        <v>7032</v>
      </c>
      <c r="K4568" s="2" t="s">
        <v>1452</v>
      </c>
      <c r="L4568" s="2" t="s">
        <v>5221</v>
      </c>
      <c r="M4568" s="2" t="s">
        <v>5221</v>
      </c>
      <c r="N4568" s="2" t="s">
        <v>2317</v>
      </c>
      <c r="O4568" s="14">
        <v>3300</v>
      </c>
      <c r="P4568" s="14">
        <v>91.21</v>
      </c>
      <c r="Q4568" s="14">
        <v>290.07</v>
      </c>
      <c r="R4568" s="14">
        <v>150.84</v>
      </c>
      <c r="S4568" s="2" t="s">
        <v>1843</v>
      </c>
      <c r="T4568" s="2">
        <v>1.38</v>
      </c>
      <c r="U4568" s="2">
        <v>61.6</v>
      </c>
      <c r="V4568" s="2">
        <v>60</v>
      </c>
      <c r="W4568" s="2" t="s">
        <v>7862</v>
      </c>
      <c r="X4568" s="2" t="s">
        <v>471</v>
      </c>
      <c r="Y4568" s="2">
        <v>1716</v>
      </c>
      <c r="Z4568" s="19" t="str">
        <f>HYPERLINK("https://ssdweb.co/ssdweb/hd/Vision360.html?d=927092423&amp;zoomslide=1&amp;z=1927092423&amp;ISCONFIRM=0","VIDEO")</f>
        <v>VIDEO</v>
      </c>
      <c r="AA4568" s="19" t="str">
        <f>HYPERLINK("https://ssdweb.co/ssdweb/CERTH/670484155.pdf","CERTI")</f>
        <v>CERTI</v>
      </c>
    </row>
    <row r="4569" spans="1:27" ht="15" x14ac:dyDescent="0.25">
      <c r="A4569" s="2">
        <v>4564</v>
      </c>
      <c r="B4569" s="39">
        <v>941351162</v>
      </c>
      <c r="C4569" s="28" t="str">
        <f>HYPERLINK("https://pld.live/RapDetail.aspx?STONELIST=941351162","DNA")</f>
        <v>DNA</v>
      </c>
      <c r="D4569" s="18" t="s">
        <v>5466</v>
      </c>
      <c r="E4569" s="18" t="s">
        <v>5128</v>
      </c>
      <c r="F4569" s="2" t="s">
        <v>7987</v>
      </c>
      <c r="G4569" s="2" t="s">
        <v>1573</v>
      </c>
      <c r="H4569" s="14">
        <v>0.52</v>
      </c>
      <c r="I4569" s="2" t="s">
        <v>267</v>
      </c>
      <c r="J4569" s="2" t="s">
        <v>6555</v>
      </c>
      <c r="K4569" s="2" t="s">
        <v>1452</v>
      </c>
      <c r="L4569" s="2" t="s">
        <v>5221</v>
      </c>
      <c r="M4569" s="2" t="s">
        <v>5221</v>
      </c>
      <c r="N4569" s="2" t="s">
        <v>2317</v>
      </c>
      <c r="O4569" s="14">
        <v>3000</v>
      </c>
      <c r="P4569" s="14">
        <v>94</v>
      </c>
      <c r="Q4569" s="14">
        <v>180</v>
      </c>
      <c r="R4569" s="14">
        <v>93.6</v>
      </c>
      <c r="S4569" s="2" t="s">
        <v>1783</v>
      </c>
      <c r="T4569" s="2">
        <v>1.46</v>
      </c>
      <c r="U4569" s="2">
        <v>61.4</v>
      </c>
      <c r="V4569" s="2">
        <v>61</v>
      </c>
      <c r="W4569" s="2" t="s">
        <v>7862</v>
      </c>
      <c r="X4569" s="2" t="s">
        <v>471</v>
      </c>
      <c r="Y4569" s="2">
        <v>1560</v>
      </c>
      <c r="Z4569" s="19" t="str">
        <f>HYPERLINK("https://ssdweb.co/ssdweb/hd/Vision360.html?d=941351162&amp;zoomslide=1&amp;z=1941351162&amp;ISCONFIRM=0","VIDEO")</f>
        <v>VIDEO</v>
      </c>
      <c r="AA4569" s="19" t="str">
        <f>HYPERLINK("https://ssdweb.co/ssdweb/CERTH/692505655.pdf","CERTI")</f>
        <v>CERTI</v>
      </c>
    </row>
    <row r="4570" spans="1:27" ht="15" x14ac:dyDescent="0.25">
      <c r="A4570" s="2">
        <v>4565</v>
      </c>
      <c r="B4570" s="39">
        <v>927152869</v>
      </c>
      <c r="C4570" s="28" t="str">
        <f>HYPERLINK("https://pld.live/RapDetail.aspx?STONELIST=927152869","DNA")</f>
        <v>DNA</v>
      </c>
      <c r="D4570" s="18" t="s">
        <v>5466</v>
      </c>
      <c r="E4570" s="18" t="s">
        <v>5128</v>
      </c>
      <c r="F4570" s="2" t="s">
        <v>7987</v>
      </c>
      <c r="G4570" s="2" t="s">
        <v>1573</v>
      </c>
      <c r="H4570" s="14">
        <v>0.52</v>
      </c>
      <c r="I4570" s="2" t="s">
        <v>267</v>
      </c>
      <c r="J4570" s="2" t="s">
        <v>6555</v>
      </c>
      <c r="K4570" s="2" t="s">
        <v>1452</v>
      </c>
      <c r="L4570" s="2" t="s">
        <v>5221</v>
      </c>
      <c r="M4570" s="2" t="s">
        <v>5221</v>
      </c>
      <c r="N4570" s="2" t="s">
        <v>2317</v>
      </c>
      <c r="O4570" s="14">
        <v>3000</v>
      </c>
      <c r="P4570" s="14">
        <v>94</v>
      </c>
      <c r="Q4570" s="14">
        <v>180</v>
      </c>
      <c r="R4570" s="14">
        <v>93.6</v>
      </c>
      <c r="S4570" s="2" t="s">
        <v>1961</v>
      </c>
      <c r="T4570" s="2">
        <v>1.41</v>
      </c>
      <c r="U4570" s="2">
        <v>62.2</v>
      </c>
      <c r="V4570" s="2">
        <v>60</v>
      </c>
      <c r="W4570" s="2" t="s">
        <v>7862</v>
      </c>
      <c r="X4570" s="2" t="s">
        <v>471</v>
      </c>
      <c r="Y4570" s="2">
        <v>1560</v>
      </c>
      <c r="Z4570" s="19" t="str">
        <f>HYPERLINK("https://ssdweb.co/ssdweb/hd/Vision360.html?d=927152869&amp;zoomslide=1&amp;z=1927152869&amp;ISCONFIRM=0","VIDEO")</f>
        <v>VIDEO</v>
      </c>
      <c r="AA4570" s="19" t="str">
        <f>HYPERLINK("https://ssdweb.co/ssdweb/CERTH/689587023.pdf","CERTI")</f>
        <v>CERTI</v>
      </c>
    </row>
    <row r="4571" spans="1:27" ht="15" x14ac:dyDescent="0.25">
      <c r="A4571" s="2">
        <v>4566</v>
      </c>
      <c r="B4571" s="39">
        <v>927130725</v>
      </c>
      <c r="C4571" s="28" t="str">
        <f>HYPERLINK("https://pld.live/RapDetail.aspx?STONELIST=927130725","DNA")</f>
        <v>DNA</v>
      </c>
      <c r="D4571" s="18" t="s">
        <v>5466</v>
      </c>
      <c r="E4571" s="18" t="s">
        <v>5128</v>
      </c>
      <c r="F4571" s="2" t="s">
        <v>7987</v>
      </c>
      <c r="G4571" s="2" t="s">
        <v>1573</v>
      </c>
      <c r="H4571" s="14">
        <v>0.52</v>
      </c>
      <c r="I4571" s="2" t="s">
        <v>267</v>
      </c>
      <c r="J4571" s="2" t="s">
        <v>6555</v>
      </c>
      <c r="K4571" s="2" t="s">
        <v>1452</v>
      </c>
      <c r="L4571" s="2" t="s">
        <v>5221</v>
      </c>
      <c r="M4571" s="2" t="s">
        <v>5721</v>
      </c>
      <c r="N4571" s="2" t="s">
        <v>2317</v>
      </c>
      <c r="O4571" s="14">
        <v>3000</v>
      </c>
      <c r="P4571" s="14">
        <v>94.07</v>
      </c>
      <c r="Q4571" s="14">
        <v>177.9</v>
      </c>
      <c r="R4571" s="14">
        <v>92.51</v>
      </c>
      <c r="S4571" s="2" t="s">
        <v>2611</v>
      </c>
      <c r="T4571" s="2">
        <v>1.4</v>
      </c>
      <c r="U4571" s="2">
        <v>62.2</v>
      </c>
      <c r="V4571" s="2">
        <v>61</v>
      </c>
      <c r="W4571" s="2" t="s">
        <v>7862</v>
      </c>
      <c r="X4571" s="2" t="s">
        <v>471</v>
      </c>
      <c r="Y4571" s="2">
        <v>1560</v>
      </c>
      <c r="Z4571" s="19" t="str">
        <f>HYPERLINK("https://ssdweb.co/ssdweb/hd/Vision360.html?d=927130725&amp;zoomslide=1&amp;z=1927130725&amp;ISCONFIRM=0","VIDEO")</f>
        <v>VIDEO</v>
      </c>
      <c r="AA4571" s="19" t="str">
        <f>HYPERLINK("https://ssdweb.co/ssdweb/CERTH/689586924.pdf","CERTI")</f>
        <v>CERTI</v>
      </c>
    </row>
    <row r="4572" spans="1:27" ht="15" x14ac:dyDescent="0.25">
      <c r="A4572" s="2">
        <v>4567</v>
      </c>
      <c r="B4572" s="39">
        <v>927052566</v>
      </c>
      <c r="C4572" s="28" t="str">
        <f>HYPERLINK("https://pld.live/RapDetail.aspx?STONELIST=927052566","DNA")</f>
        <v>DNA</v>
      </c>
      <c r="D4572" s="18" t="s">
        <v>5466</v>
      </c>
      <c r="E4572" s="18" t="s">
        <v>5128</v>
      </c>
      <c r="F4572" s="2" t="s">
        <v>7987</v>
      </c>
      <c r="G4572" s="2" t="s">
        <v>1573</v>
      </c>
      <c r="H4572" s="14">
        <v>0.52</v>
      </c>
      <c r="I4572" s="2" t="s">
        <v>267</v>
      </c>
      <c r="J4572" s="2" t="s">
        <v>6555</v>
      </c>
      <c r="K4572" s="2" t="s">
        <v>1452</v>
      </c>
      <c r="L4572" s="2" t="s">
        <v>5221</v>
      </c>
      <c r="M4572" s="2" t="s">
        <v>5721</v>
      </c>
      <c r="N4572" s="2" t="s">
        <v>2317</v>
      </c>
      <c r="O4572" s="14">
        <v>3000</v>
      </c>
      <c r="P4572" s="14">
        <v>94.07</v>
      </c>
      <c r="Q4572" s="14">
        <v>177.9</v>
      </c>
      <c r="R4572" s="14">
        <v>92.51</v>
      </c>
      <c r="S4572" s="2" t="s">
        <v>8014</v>
      </c>
      <c r="T4572" s="2">
        <v>1.38</v>
      </c>
      <c r="U4572" s="2">
        <v>60.5</v>
      </c>
      <c r="V4572" s="2">
        <v>60</v>
      </c>
      <c r="W4572" s="2" t="s">
        <v>7862</v>
      </c>
      <c r="X4572" s="2" t="s">
        <v>471</v>
      </c>
      <c r="Y4572" s="2">
        <v>1560</v>
      </c>
      <c r="Z4572" s="19" t="str">
        <f>HYPERLINK("https://ssdweb.co/ssdweb/hd/Vision360.html?d=927052566&amp;zoomslide=1&amp;z=1927052566&amp;ISCONFIRM=0","VIDEO")</f>
        <v>VIDEO</v>
      </c>
      <c r="AA4572" s="19" t="str">
        <f>HYPERLINK("https://ssdweb.co/ssdweb/CERTH/670484166.pdf","CERTI")</f>
        <v>CERTI</v>
      </c>
    </row>
    <row r="4573" spans="1:27" ht="15" x14ac:dyDescent="0.25">
      <c r="A4573" s="2">
        <v>4568</v>
      </c>
      <c r="B4573" s="39">
        <v>927152706</v>
      </c>
      <c r="C4573" s="28" t="str">
        <f>HYPERLINK("https://pld.live/RapDetail.aspx?STONELIST=927152706","DNA")</f>
        <v>DNA</v>
      </c>
      <c r="D4573" s="18" t="s">
        <v>5466</v>
      </c>
      <c r="E4573" s="18" t="s">
        <v>5128</v>
      </c>
      <c r="F4573" s="2" t="s">
        <v>7987</v>
      </c>
      <c r="G4573" s="2" t="s">
        <v>1573</v>
      </c>
      <c r="H4573" s="14">
        <v>0.52</v>
      </c>
      <c r="I4573" s="2" t="s">
        <v>267</v>
      </c>
      <c r="J4573" s="2" t="s">
        <v>6555</v>
      </c>
      <c r="K4573" s="2" t="s">
        <v>1452</v>
      </c>
      <c r="L4573" s="2" t="s">
        <v>5221</v>
      </c>
      <c r="M4573" s="2" t="s">
        <v>5721</v>
      </c>
      <c r="N4573" s="2" t="s">
        <v>2317</v>
      </c>
      <c r="O4573" s="14">
        <v>3000</v>
      </c>
      <c r="P4573" s="14">
        <v>94.07</v>
      </c>
      <c r="Q4573" s="14">
        <v>177.9</v>
      </c>
      <c r="R4573" s="14">
        <v>92.51</v>
      </c>
      <c r="S4573" s="2" t="s">
        <v>7549</v>
      </c>
      <c r="T4573" s="2">
        <v>1.39</v>
      </c>
      <c r="U4573" s="2">
        <v>61.8</v>
      </c>
      <c r="V4573" s="2">
        <v>58</v>
      </c>
      <c r="W4573" s="2" t="s">
        <v>7862</v>
      </c>
      <c r="X4573" s="2" t="s">
        <v>471</v>
      </c>
      <c r="Y4573" s="2">
        <v>1560</v>
      </c>
      <c r="Z4573" s="19" t="str">
        <f>HYPERLINK("https://ssdweb.co/ssdweb/hd/Vision360.html?d=927152706&amp;zoomslide=1&amp;z=1927152706&amp;ISCONFIRM=0","VIDEO")</f>
        <v>VIDEO</v>
      </c>
      <c r="AA4573" s="19" t="str">
        <f>HYPERLINK("https://ssdweb.co/ssdweb/CERTH/669458167.pdf","CERTI")</f>
        <v>CERTI</v>
      </c>
    </row>
    <row r="4574" spans="1:27" ht="15" x14ac:dyDescent="0.25">
      <c r="A4574" s="2">
        <v>4569</v>
      </c>
      <c r="B4574" s="39">
        <v>941190337</v>
      </c>
      <c r="C4574" s="28" t="str">
        <f>HYPERLINK("https://pld.live/RapDetail.aspx?STONELIST=941190337","DNA")</f>
        <v>DNA</v>
      </c>
      <c r="D4574" s="18" t="s">
        <v>5466</v>
      </c>
      <c r="E4574" s="18" t="s">
        <v>5128</v>
      </c>
      <c r="F4574" s="2" t="s">
        <v>7987</v>
      </c>
      <c r="G4574" s="2" t="s">
        <v>1573</v>
      </c>
      <c r="H4574" s="14">
        <v>0.52</v>
      </c>
      <c r="I4574" s="2" t="s">
        <v>267</v>
      </c>
      <c r="J4574" s="2" t="s">
        <v>3942</v>
      </c>
      <c r="K4574" s="2" t="s">
        <v>1452</v>
      </c>
      <c r="L4574" s="2" t="s">
        <v>5221</v>
      </c>
      <c r="M4574" s="2" t="s">
        <v>5221</v>
      </c>
      <c r="N4574" s="2" t="s">
        <v>2317</v>
      </c>
      <c r="O4574" s="14">
        <v>2800</v>
      </c>
      <c r="P4574" s="14">
        <v>94.29</v>
      </c>
      <c r="Q4574" s="14">
        <v>159.88</v>
      </c>
      <c r="R4574" s="14">
        <v>83.14</v>
      </c>
      <c r="S4574" s="2" t="s">
        <v>1223</v>
      </c>
      <c r="T4574" s="2">
        <v>1.44</v>
      </c>
      <c r="U4574" s="2">
        <v>60.2</v>
      </c>
      <c r="V4574" s="2">
        <v>61</v>
      </c>
      <c r="W4574" s="2" t="s">
        <v>7862</v>
      </c>
      <c r="X4574" s="2" t="s">
        <v>471</v>
      </c>
      <c r="Y4574" s="2">
        <v>1456</v>
      </c>
      <c r="Z4574" s="19" t="str">
        <f>HYPERLINK("https://ssdweb.co/ssdweb/hd/Vision360.html?d=941190337&amp;zoomslide=1&amp;z=1941190337&amp;ISCONFIRM=0","VIDEO")</f>
        <v>VIDEO</v>
      </c>
      <c r="AA4574" s="19" t="str">
        <f>HYPERLINK("https://ssdweb.co/ssdweb/CERTH/689586963.pdf","CERTI")</f>
        <v>CERTI</v>
      </c>
    </row>
    <row r="4575" spans="1:27" ht="15" x14ac:dyDescent="0.25">
      <c r="A4575" s="2">
        <v>4570</v>
      </c>
      <c r="B4575" s="39">
        <v>941261096</v>
      </c>
      <c r="C4575" s="28" t="str">
        <f>HYPERLINK("https://pld.live/RapDetail.aspx?STONELIST=941261096","DNA")</f>
        <v>DNA</v>
      </c>
      <c r="D4575" s="18" t="s">
        <v>5466</v>
      </c>
      <c r="E4575" s="18" t="s">
        <v>5128</v>
      </c>
      <c r="F4575" s="2" t="s">
        <v>7987</v>
      </c>
      <c r="G4575" s="2" t="s">
        <v>1573</v>
      </c>
      <c r="H4575" s="14">
        <v>0.52</v>
      </c>
      <c r="I4575" s="2" t="s">
        <v>267</v>
      </c>
      <c r="J4575" s="2" t="s">
        <v>3942</v>
      </c>
      <c r="K4575" s="2" t="s">
        <v>1452</v>
      </c>
      <c r="L4575" s="2" t="s">
        <v>5221</v>
      </c>
      <c r="M4575" s="2" t="s">
        <v>5221</v>
      </c>
      <c r="N4575" s="2" t="s">
        <v>2317</v>
      </c>
      <c r="O4575" s="14">
        <v>2800</v>
      </c>
      <c r="P4575" s="14">
        <v>94.29</v>
      </c>
      <c r="Q4575" s="14">
        <v>159.88</v>
      </c>
      <c r="R4575" s="14">
        <v>83.14</v>
      </c>
      <c r="S4575" s="2" t="s">
        <v>387</v>
      </c>
      <c r="T4575" s="2">
        <v>1.37</v>
      </c>
      <c r="U4575" s="2">
        <v>59.9</v>
      </c>
      <c r="V4575" s="2">
        <v>61</v>
      </c>
      <c r="W4575" s="2" t="s">
        <v>7862</v>
      </c>
      <c r="X4575" s="2" t="s">
        <v>471</v>
      </c>
      <c r="Y4575" s="2">
        <v>1456</v>
      </c>
      <c r="Z4575" s="19" t="str">
        <f>HYPERLINK("https://ssdweb.co/ssdweb/hd/Vision360.html?d=941261096&amp;zoomslide=1&amp;z=1941261096&amp;ISCONFIRM=0","VIDEO")</f>
        <v>VIDEO</v>
      </c>
      <c r="AA4575" s="19" t="str">
        <f>HYPERLINK("https://ssdweb.co/ssdweb/CERTH/689543224.pdf","CERTI")</f>
        <v>CERTI</v>
      </c>
    </row>
    <row r="4576" spans="1:27" ht="15" x14ac:dyDescent="0.25">
      <c r="A4576" s="2">
        <v>4571</v>
      </c>
      <c r="B4576" s="39">
        <v>927132153</v>
      </c>
      <c r="C4576" s="28" t="str">
        <f>HYPERLINK("https://pld.live/RapDetail.aspx?STONELIST=927132153","DNA")</f>
        <v>DNA</v>
      </c>
      <c r="D4576" s="18" t="s">
        <v>5466</v>
      </c>
      <c r="E4576" s="18" t="s">
        <v>5128</v>
      </c>
      <c r="F4576" s="2" t="s">
        <v>7987</v>
      </c>
      <c r="G4576" s="2" t="s">
        <v>1573</v>
      </c>
      <c r="H4576" s="14">
        <v>0.52</v>
      </c>
      <c r="I4576" s="2" t="s">
        <v>267</v>
      </c>
      <c r="J4576" s="2" t="s">
        <v>3942</v>
      </c>
      <c r="K4576" s="2" t="s">
        <v>1452</v>
      </c>
      <c r="L4576" s="2" t="s">
        <v>5221</v>
      </c>
      <c r="M4576" s="2" t="s">
        <v>5221</v>
      </c>
      <c r="N4576" s="2" t="s">
        <v>2317</v>
      </c>
      <c r="O4576" s="14">
        <v>2800</v>
      </c>
      <c r="P4576" s="14">
        <v>94.29</v>
      </c>
      <c r="Q4576" s="14">
        <v>159.88</v>
      </c>
      <c r="R4576" s="14">
        <v>83.14</v>
      </c>
      <c r="S4576" s="2" t="s">
        <v>3524</v>
      </c>
      <c r="T4576" s="2">
        <v>1.38</v>
      </c>
      <c r="U4576" s="2">
        <v>61.7</v>
      </c>
      <c r="V4576" s="2">
        <v>60</v>
      </c>
      <c r="W4576" s="2" t="s">
        <v>7862</v>
      </c>
      <c r="X4576" s="2" t="s">
        <v>471</v>
      </c>
      <c r="Y4576" s="2">
        <v>1456</v>
      </c>
      <c r="Z4576" s="19" t="str">
        <f>HYPERLINK("https://ssdweb.co/ssdweb/hd/Vision360.html?d=927132153&amp;zoomslide=1&amp;z=1927132153&amp;ISCONFIRM=0","VIDEO")</f>
        <v>VIDEO</v>
      </c>
      <c r="AA4576" s="19" t="str">
        <f>HYPERLINK("https://ssdweb.co/ssdweb/CERTH/689586927.pdf","CERTI")</f>
        <v>CERTI</v>
      </c>
    </row>
    <row r="4577" spans="1:27" ht="15" x14ac:dyDescent="0.25">
      <c r="A4577" s="2">
        <v>4572</v>
      </c>
      <c r="B4577" s="39">
        <v>927132219</v>
      </c>
      <c r="C4577" s="28" t="str">
        <f>HYPERLINK("https://pld.live/RapDetail.aspx?STONELIST=927132219","DNA")</f>
        <v>DNA</v>
      </c>
      <c r="D4577" s="18" t="s">
        <v>5466</v>
      </c>
      <c r="E4577" s="18" t="s">
        <v>5128</v>
      </c>
      <c r="F4577" s="2" t="s">
        <v>7987</v>
      </c>
      <c r="G4577" s="2" t="s">
        <v>1573</v>
      </c>
      <c r="H4577" s="14">
        <v>0.52</v>
      </c>
      <c r="I4577" s="2" t="s">
        <v>267</v>
      </c>
      <c r="J4577" s="2" t="s">
        <v>3942</v>
      </c>
      <c r="K4577" s="2" t="s">
        <v>1452</v>
      </c>
      <c r="L4577" s="2" t="s">
        <v>5221</v>
      </c>
      <c r="M4577" s="2" t="s">
        <v>5221</v>
      </c>
      <c r="N4577" s="2" t="s">
        <v>2317</v>
      </c>
      <c r="O4577" s="14">
        <v>2800</v>
      </c>
      <c r="P4577" s="14">
        <v>94.29</v>
      </c>
      <c r="Q4577" s="14">
        <v>159.88</v>
      </c>
      <c r="R4577" s="14">
        <v>83.14</v>
      </c>
      <c r="S4577" s="2" t="s">
        <v>6307</v>
      </c>
      <c r="T4577" s="2">
        <v>1.38</v>
      </c>
      <c r="U4577" s="2">
        <v>60.3</v>
      </c>
      <c r="V4577" s="2">
        <v>60</v>
      </c>
      <c r="W4577" s="2" t="s">
        <v>7862</v>
      </c>
      <c r="X4577" s="2" t="s">
        <v>471</v>
      </c>
      <c r="Y4577" s="2">
        <v>1456</v>
      </c>
      <c r="Z4577" s="19" t="str">
        <f>HYPERLINK("https://ssdweb.co/ssdweb/hd/Vision360.html?d=927132219&amp;zoomslide=1&amp;z=1927132219&amp;ISCONFIRM=0","VIDEO")</f>
        <v>VIDEO</v>
      </c>
      <c r="AA4577" s="19" t="str">
        <f>HYPERLINK("https://ssdweb.co/ssdweb/CERTH/689586929.pdf","CERTI")</f>
        <v>CERTI</v>
      </c>
    </row>
    <row r="4578" spans="1:27" ht="15" x14ac:dyDescent="0.25">
      <c r="A4578" s="2">
        <v>4573</v>
      </c>
      <c r="B4578" s="39">
        <v>941060526</v>
      </c>
      <c r="C4578" s="28" t="str">
        <f>HYPERLINK("https://pld.live/RapDetail.aspx?STONELIST=941060526","DNA")</f>
        <v>DNA</v>
      </c>
      <c r="D4578" s="18" t="s">
        <v>5466</v>
      </c>
      <c r="E4578" s="18" t="s">
        <v>2186</v>
      </c>
      <c r="F4578" s="2" t="s">
        <v>7987</v>
      </c>
      <c r="G4578" s="2" t="s">
        <v>1573</v>
      </c>
      <c r="H4578" s="14">
        <v>0.52</v>
      </c>
      <c r="I4578" s="2" t="s">
        <v>267</v>
      </c>
      <c r="J4578" s="2" t="s">
        <v>3942</v>
      </c>
      <c r="K4578" s="2" t="s">
        <v>1452</v>
      </c>
      <c r="L4578" s="2" t="s">
        <v>5221</v>
      </c>
      <c r="M4578" s="2" t="s">
        <v>5221</v>
      </c>
      <c r="N4578" s="2" t="s">
        <v>2317</v>
      </c>
      <c r="O4578" s="14">
        <v>2800</v>
      </c>
      <c r="P4578" s="14">
        <v>94.29</v>
      </c>
      <c r="Q4578" s="14">
        <v>159.88</v>
      </c>
      <c r="R4578" s="14">
        <v>83.14</v>
      </c>
      <c r="S4578" s="2" t="s">
        <v>2150</v>
      </c>
      <c r="T4578" s="2">
        <v>1.4</v>
      </c>
      <c r="U4578" s="2">
        <v>61.9</v>
      </c>
      <c r="V4578" s="2">
        <v>60</v>
      </c>
      <c r="W4578" s="2" t="s">
        <v>7862</v>
      </c>
      <c r="X4578" s="2" t="s">
        <v>471</v>
      </c>
      <c r="Y4578" s="2">
        <v>1456</v>
      </c>
      <c r="Z4578" s="19" t="str">
        <f>HYPERLINK("https://ssdweb.co/ssdweb/hd/Vision360.html?d=941060526&amp;zoomslide=1&amp;z=1941060526&amp;ISCONFIRM=0","VIDEO")</f>
        <v>VIDEO</v>
      </c>
      <c r="AA4578" s="19" t="str">
        <f>HYPERLINK("https://ssdweb.co/ssdweb/CERTH/689586933.pdf","CERTI")</f>
        <v>CERTI</v>
      </c>
    </row>
    <row r="4579" spans="1:27" ht="15" x14ac:dyDescent="0.25">
      <c r="A4579" s="2">
        <v>4574</v>
      </c>
      <c r="B4579" s="39">
        <v>941060524</v>
      </c>
      <c r="C4579" s="28" t="str">
        <f>HYPERLINK("https://pld.live/RapDetail.aspx?STONELIST=941060524","DNA")</f>
        <v>DNA</v>
      </c>
      <c r="D4579" s="18" t="s">
        <v>5466</v>
      </c>
      <c r="E4579" s="18" t="s">
        <v>2186</v>
      </c>
      <c r="F4579" s="2" t="s">
        <v>7987</v>
      </c>
      <c r="G4579" s="2" t="s">
        <v>1573</v>
      </c>
      <c r="H4579" s="14">
        <v>0.52</v>
      </c>
      <c r="I4579" s="2" t="s">
        <v>267</v>
      </c>
      <c r="J4579" s="2" t="s">
        <v>3942</v>
      </c>
      <c r="K4579" s="2" t="s">
        <v>1452</v>
      </c>
      <c r="L4579" s="2" t="s">
        <v>5221</v>
      </c>
      <c r="M4579" s="2" t="s">
        <v>5221</v>
      </c>
      <c r="N4579" s="2" t="s">
        <v>2317</v>
      </c>
      <c r="O4579" s="14">
        <v>2800</v>
      </c>
      <c r="P4579" s="14">
        <v>94.29</v>
      </c>
      <c r="Q4579" s="14">
        <v>159.88</v>
      </c>
      <c r="R4579" s="14">
        <v>83.14</v>
      </c>
      <c r="S4579" s="2" t="s">
        <v>5054</v>
      </c>
      <c r="T4579" s="2">
        <v>1.39</v>
      </c>
      <c r="U4579" s="2">
        <v>61.5</v>
      </c>
      <c r="V4579" s="2">
        <v>60</v>
      </c>
      <c r="W4579" s="2" t="s">
        <v>7862</v>
      </c>
      <c r="X4579" s="2" t="s">
        <v>471</v>
      </c>
      <c r="Y4579" s="2">
        <v>1456</v>
      </c>
      <c r="Z4579" s="19" t="str">
        <f>HYPERLINK("https://ssdweb.co/ssdweb/hd/Vision360.html?d=941060524&amp;zoomslide=1&amp;z=1941060524&amp;ISCONFIRM=0","VIDEO")</f>
        <v>VIDEO</v>
      </c>
      <c r="AA4579" s="19" t="str">
        <f>HYPERLINK("https://ssdweb.co/ssdweb/CERTH/689586952.pdf","CERTI")</f>
        <v>CERTI</v>
      </c>
    </row>
    <row r="4580" spans="1:27" ht="15" x14ac:dyDescent="0.25">
      <c r="A4580" s="2">
        <v>4575</v>
      </c>
      <c r="B4580" s="39">
        <v>927152827</v>
      </c>
      <c r="C4580" s="28" t="str">
        <f>HYPERLINK("https://pld.live/RapDetail.aspx?STONELIST=927152827","DNA")</f>
        <v>DNA</v>
      </c>
      <c r="D4580" s="18" t="s">
        <v>5466</v>
      </c>
      <c r="E4580" s="18" t="s">
        <v>5128</v>
      </c>
      <c r="F4580" s="2" t="s">
        <v>7987</v>
      </c>
      <c r="G4580" s="2" t="s">
        <v>1573</v>
      </c>
      <c r="H4580" s="14">
        <v>0.52</v>
      </c>
      <c r="I4580" s="2" t="s">
        <v>267</v>
      </c>
      <c r="J4580" s="2" t="s">
        <v>3942</v>
      </c>
      <c r="K4580" s="2" t="s">
        <v>1452</v>
      </c>
      <c r="L4580" s="2" t="s">
        <v>5221</v>
      </c>
      <c r="M4580" s="2" t="s">
        <v>5221</v>
      </c>
      <c r="N4580" s="2" t="s">
        <v>2317</v>
      </c>
      <c r="O4580" s="14">
        <v>2800</v>
      </c>
      <c r="P4580" s="14">
        <v>94.29</v>
      </c>
      <c r="Q4580" s="14">
        <v>159.88</v>
      </c>
      <c r="R4580" s="14">
        <v>83.14</v>
      </c>
      <c r="S4580" s="2" t="s">
        <v>7362</v>
      </c>
      <c r="T4580" s="2">
        <v>1.4</v>
      </c>
      <c r="U4580" s="2">
        <v>62.6</v>
      </c>
      <c r="V4580" s="2">
        <v>58</v>
      </c>
      <c r="W4580" s="2" t="s">
        <v>7862</v>
      </c>
      <c r="X4580" s="2" t="s">
        <v>471</v>
      </c>
      <c r="Y4580" s="2">
        <v>1456</v>
      </c>
      <c r="Z4580" s="19" t="str">
        <f>HYPERLINK("https://ssdweb.co/ssdweb/hd/Vision360.html?d=927152827&amp;zoomslide=1&amp;z=1927152827&amp;ISCONFIRM=0","VIDEO")</f>
        <v>VIDEO</v>
      </c>
      <c r="AA4580" s="19" t="str">
        <f>HYPERLINK("https://ssdweb.co/ssdweb/CERTH/689587016.pdf","CERTI")</f>
        <v>CERTI</v>
      </c>
    </row>
    <row r="4581" spans="1:27" ht="15" x14ac:dyDescent="0.25">
      <c r="A4581" s="2">
        <v>4576</v>
      </c>
      <c r="B4581" s="39">
        <v>927152841</v>
      </c>
      <c r="C4581" s="28" t="str">
        <f>HYPERLINK("https://pld.live/RapDetail.aspx?STONELIST=927152841","DNA")</f>
        <v>DNA</v>
      </c>
      <c r="D4581" s="18" t="s">
        <v>5466</v>
      </c>
      <c r="E4581" s="18" t="s">
        <v>5128</v>
      </c>
      <c r="F4581" s="2" t="s">
        <v>7987</v>
      </c>
      <c r="G4581" s="2" t="s">
        <v>1573</v>
      </c>
      <c r="H4581" s="14">
        <v>0.52</v>
      </c>
      <c r="I4581" s="2" t="s">
        <v>267</v>
      </c>
      <c r="J4581" s="2" t="s">
        <v>3942</v>
      </c>
      <c r="K4581" s="2" t="s">
        <v>1452</v>
      </c>
      <c r="L4581" s="2" t="s">
        <v>5221</v>
      </c>
      <c r="M4581" s="2" t="s">
        <v>5221</v>
      </c>
      <c r="N4581" s="2" t="s">
        <v>2317</v>
      </c>
      <c r="O4581" s="14">
        <v>2800</v>
      </c>
      <c r="P4581" s="14">
        <v>94.29</v>
      </c>
      <c r="Q4581" s="14">
        <v>159.88</v>
      </c>
      <c r="R4581" s="14">
        <v>83.14</v>
      </c>
      <c r="S4581" s="2" t="s">
        <v>6639</v>
      </c>
      <c r="T4581" s="2">
        <v>1.41</v>
      </c>
      <c r="U4581" s="2">
        <v>62.4</v>
      </c>
      <c r="V4581" s="2">
        <v>59</v>
      </c>
      <c r="W4581" s="2" t="s">
        <v>7862</v>
      </c>
      <c r="X4581" s="2" t="s">
        <v>471</v>
      </c>
      <c r="Y4581" s="2">
        <v>1456</v>
      </c>
      <c r="Z4581" s="19" t="str">
        <f>HYPERLINK("https://ssdweb.co/ssdweb/hd/Vision360.html?d=927152841&amp;zoomslide=1&amp;z=1927152841&amp;ISCONFIRM=0","VIDEO")</f>
        <v>VIDEO</v>
      </c>
      <c r="AA4581" s="19" t="str">
        <f>HYPERLINK("https://ssdweb.co/ssdweb/CERTH/689587019.pdf","CERTI")</f>
        <v>CERTI</v>
      </c>
    </row>
    <row r="4582" spans="1:27" ht="15" x14ac:dyDescent="0.25">
      <c r="A4582" s="2">
        <v>4577</v>
      </c>
      <c r="B4582" s="39">
        <v>927101496</v>
      </c>
      <c r="C4582" s="28" t="str">
        <f>HYPERLINK("https://pld.live/RapDetail.aspx?STONELIST=927101496","DNA")</f>
        <v>DNA</v>
      </c>
      <c r="D4582" s="18" t="s">
        <v>5466</v>
      </c>
      <c r="E4582" s="18" t="s">
        <v>5128</v>
      </c>
      <c r="F4582" s="2" t="s">
        <v>7987</v>
      </c>
      <c r="G4582" s="2" t="s">
        <v>1573</v>
      </c>
      <c r="H4582" s="14">
        <v>0.52</v>
      </c>
      <c r="I4582" s="2" t="s">
        <v>267</v>
      </c>
      <c r="J4582" s="2" t="s">
        <v>3942</v>
      </c>
      <c r="K4582" s="2" t="s">
        <v>1452</v>
      </c>
      <c r="L4582" s="2" t="s">
        <v>5221</v>
      </c>
      <c r="M4582" s="2" t="s">
        <v>5221</v>
      </c>
      <c r="N4582" s="2" t="s">
        <v>2317</v>
      </c>
      <c r="O4582" s="14">
        <v>2800</v>
      </c>
      <c r="P4582" s="14">
        <v>94.29</v>
      </c>
      <c r="Q4582" s="14">
        <v>159.88</v>
      </c>
      <c r="R4582" s="14">
        <v>83.14</v>
      </c>
      <c r="S4582" s="2" t="s">
        <v>1356</v>
      </c>
      <c r="T4582" s="2">
        <v>1.39</v>
      </c>
      <c r="U4582" s="2">
        <v>60.4</v>
      </c>
      <c r="V4582" s="2">
        <v>58</v>
      </c>
      <c r="W4582" s="2" t="s">
        <v>7862</v>
      </c>
      <c r="X4582" s="2" t="s">
        <v>471</v>
      </c>
      <c r="Y4582" s="2">
        <v>1456</v>
      </c>
      <c r="Z4582" s="19" t="str">
        <f>HYPERLINK("https://ssdweb.co/ssdweb/hd/Vision360.html?d=927101496&amp;zoomslide=1&amp;z=1927101496&amp;ISCONFIRM=0","VIDEO")</f>
        <v>VIDEO</v>
      </c>
      <c r="AA4582" s="19" t="str">
        <f>HYPERLINK("https://ssdweb.co/ssdweb/CERTH/689586913.pdf","CERTI")</f>
        <v>CERTI</v>
      </c>
    </row>
    <row r="4583" spans="1:27" ht="15" x14ac:dyDescent="0.25">
      <c r="A4583" s="2">
        <v>4578</v>
      </c>
      <c r="B4583" s="39">
        <v>941040689</v>
      </c>
      <c r="C4583" s="28" t="str">
        <f>HYPERLINK("https://pld.live/RapDetail.aspx?STONELIST=941040689","DNA")</f>
        <v>DNA</v>
      </c>
      <c r="D4583" s="18" t="s">
        <v>5466</v>
      </c>
      <c r="E4583" s="18" t="s">
        <v>5128</v>
      </c>
      <c r="F4583" s="2" t="s">
        <v>7987</v>
      </c>
      <c r="G4583" s="2" t="s">
        <v>1573</v>
      </c>
      <c r="H4583" s="14">
        <v>0.52</v>
      </c>
      <c r="I4583" s="2" t="s">
        <v>267</v>
      </c>
      <c r="J4583" s="2" t="s">
        <v>3942</v>
      </c>
      <c r="K4583" s="2" t="s">
        <v>1452</v>
      </c>
      <c r="L4583" s="2" t="s">
        <v>5221</v>
      </c>
      <c r="M4583" s="2" t="s">
        <v>5221</v>
      </c>
      <c r="N4583" s="2" t="s">
        <v>2317</v>
      </c>
      <c r="O4583" s="14">
        <v>2800</v>
      </c>
      <c r="P4583" s="14">
        <v>94.29</v>
      </c>
      <c r="Q4583" s="14">
        <v>159.88</v>
      </c>
      <c r="R4583" s="14">
        <v>83.14</v>
      </c>
      <c r="S4583" s="2" t="s">
        <v>3394</v>
      </c>
      <c r="T4583" s="2">
        <v>1.39</v>
      </c>
      <c r="U4583" s="2">
        <v>61.8</v>
      </c>
      <c r="V4583" s="2">
        <v>59</v>
      </c>
      <c r="W4583" s="2" t="s">
        <v>7862</v>
      </c>
      <c r="X4583" s="2" t="s">
        <v>471</v>
      </c>
      <c r="Y4583" s="2">
        <v>1456</v>
      </c>
      <c r="Z4583" s="19" t="str">
        <f>HYPERLINK("https://ssdweb.co/ssdweb/hd/Vision360.html?d=941040689&amp;zoomslide=1&amp;z=1941040689&amp;ISCONFIRM=0","VIDEO")</f>
        <v>VIDEO</v>
      </c>
      <c r="AA4583" s="19" t="str">
        <f>HYPERLINK("https://ssdweb.co/ssdweb/CERTH/689586949.pdf","CERTI")</f>
        <v>CERTI</v>
      </c>
    </row>
    <row r="4584" spans="1:27" ht="15" x14ac:dyDescent="0.25">
      <c r="A4584" s="2">
        <v>4579</v>
      </c>
      <c r="B4584" s="39">
        <v>925760672</v>
      </c>
      <c r="C4584" s="28" t="str">
        <f>HYPERLINK("https://pld.live/RapDetail.aspx?STONELIST=925760672","DNA")</f>
        <v>DNA</v>
      </c>
      <c r="D4584" s="18" t="s">
        <v>5466</v>
      </c>
      <c r="E4584" s="18" t="s">
        <v>5128</v>
      </c>
      <c r="F4584" s="2" t="s">
        <v>7987</v>
      </c>
      <c r="G4584" s="2" t="s">
        <v>1573</v>
      </c>
      <c r="H4584" s="14">
        <v>0.52</v>
      </c>
      <c r="I4584" s="2" t="s">
        <v>267</v>
      </c>
      <c r="J4584" s="2" t="s">
        <v>3942</v>
      </c>
      <c r="K4584" s="2" t="s">
        <v>1452</v>
      </c>
      <c r="L4584" s="2" t="s">
        <v>5221</v>
      </c>
      <c r="M4584" s="2" t="s">
        <v>5721</v>
      </c>
      <c r="N4584" s="2" t="s">
        <v>2317</v>
      </c>
      <c r="O4584" s="14">
        <v>2800</v>
      </c>
      <c r="P4584" s="14">
        <v>94.57</v>
      </c>
      <c r="Q4584" s="14">
        <v>152.04</v>
      </c>
      <c r="R4584" s="14">
        <v>79.06</v>
      </c>
      <c r="S4584" s="2" t="s">
        <v>2962</v>
      </c>
      <c r="T4584" s="2">
        <v>1.38</v>
      </c>
      <c r="U4584" s="2">
        <v>61.9</v>
      </c>
      <c r="V4584" s="2">
        <v>59</v>
      </c>
      <c r="W4584" s="2" t="s">
        <v>7862</v>
      </c>
      <c r="X4584" s="2" t="s">
        <v>471</v>
      </c>
      <c r="Y4584" s="2">
        <v>1456</v>
      </c>
      <c r="Z4584" s="19" t="str">
        <f>HYPERLINK("https://ssdweb.co/ssdweb/hd/Vision360.html?d=925760672&amp;zoomslide=1&amp;z=1925760672&amp;ISCONFIRM=0","VIDEO")</f>
        <v>VIDEO</v>
      </c>
      <c r="AA4584" s="19" t="str">
        <f>HYPERLINK("https://ssdweb.co/ssdweb/CERTH/626427302.pdf","CERTI")</f>
        <v>CERTI</v>
      </c>
    </row>
    <row r="4585" spans="1:27" ht="15" x14ac:dyDescent="0.25">
      <c r="A4585" s="2">
        <v>4580</v>
      </c>
      <c r="B4585" s="39">
        <v>926730490</v>
      </c>
      <c r="C4585" s="28" t="str">
        <f>HYPERLINK("https://pld.live/RapDetail.aspx?STONELIST=926730490","DNA")</f>
        <v>DNA</v>
      </c>
      <c r="D4585" s="18" t="s">
        <v>5466</v>
      </c>
      <c r="E4585" s="18" t="s">
        <v>5128</v>
      </c>
      <c r="F4585" s="2" t="s">
        <v>7987</v>
      </c>
      <c r="G4585" s="2" t="s">
        <v>1573</v>
      </c>
      <c r="H4585" s="14">
        <v>0.52</v>
      </c>
      <c r="I4585" s="2" t="s">
        <v>267</v>
      </c>
      <c r="J4585" s="2" t="s">
        <v>3942</v>
      </c>
      <c r="K4585" s="2" t="s">
        <v>1452</v>
      </c>
      <c r="L4585" s="2" t="s">
        <v>5221</v>
      </c>
      <c r="M4585" s="2" t="s">
        <v>5721</v>
      </c>
      <c r="N4585" s="2" t="s">
        <v>2317</v>
      </c>
      <c r="O4585" s="14">
        <v>2800</v>
      </c>
      <c r="P4585" s="14">
        <v>94.43</v>
      </c>
      <c r="Q4585" s="14">
        <v>155.96</v>
      </c>
      <c r="R4585" s="14">
        <v>81.099999999999994</v>
      </c>
      <c r="S4585" s="2" t="s">
        <v>7565</v>
      </c>
      <c r="T4585" s="2">
        <v>1.43</v>
      </c>
      <c r="U4585" s="2">
        <v>51.9</v>
      </c>
      <c r="V4585" s="2">
        <v>62</v>
      </c>
      <c r="W4585" s="2" t="s">
        <v>7862</v>
      </c>
      <c r="X4585" s="2" t="s">
        <v>471</v>
      </c>
      <c r="Y4585" s="2">
        <v>1456</v>
      </c>
      <c r="Z4585" s="19" t="str">
        <f>HYPERLINK("https://ssdweb.co/ssdweb/hd/Vision360.html?d=926730490&amp;zoomslide=1&amp;z=1926730490&amp;ISCONFIRM=0","VIDEO")</f>
        <v>VIDEO</v>
      </c>
      <c r="AA4585" s="19" t="str">
        <f>HYPERLINK("https://ssdweb.co/ssdweb/CERTH/665453086.pdf","CERTI")</f>
        <v>CERTI</v>
      </c>
    </row>
    <row r="4586" spans="1:27" ht="15" x14ac:dyDescent="0.25">
      <c r="A4586" s="2">
        <v>4581</v>
      </c>
      <c r="B4586" s="39">
        <v>927152765</v>
      </c>
      <c r="C4586" s="28" t="str">
        <f>HYPERLINK("https://pld.live/RapDetail.aspx?STONELIST=927152765","DNA")</f>
        <v>DNA</v>
      </c>
      <c r="D4586" s="18" t="s">
        <v>5466</v>
      </c>
      <c r="E4586" s="18" t="s">
        <v>5128</v>
      </c>
      <c r="F4586" s="2" t="s">
        <v>7987</v>
      </c>
      <c r="G4586" s="2" t="s">
        <v>1573</v>
      </c>
      <c r="H4586" s="14">
        <v>0.52</v>
      </c>
      <c r="I4586" s="2" t="s">
        <v>267</v>
      </c>
      <c r="J4586" s="2" t="s">
        <v>3942</v>
      </c>
      <c r="K4586" s="2" t="s">
        <v>1452</v>
      </c>
      <c r="L4586" s="2" t="s">
        <v>5221</v>
      </c>
      <c r="M4586" s="2" t="s">
        <v>5721</v>
      </c>
      <c r="N4586" s="2" t="s">
        <v>2317</v>
      </c>
      <c r="O4586" s="14">
        <v>2800</v>
      </c>
      <c r="P4586" s="14">
        <v>94.36</v>
      </c>
      <c r="Q4586" s="14">
        <v>157.91999999999999</v>
      </c>
      <c r="R4586" s="14">
        <v>82.12</v>
      </c>
      <c r="S4586" s="2" t="s">
        <v>4633</v>
      </c>
      <c r="T4586" s="2">
        <v>1.39</v>
      </c>
      <c r="U4586" s="2">
        <v>60.4</v>
      </c>
      <c r="V4586" s="2">
        <v>60</v>
      </c>
      <c r="W4586" s="2" t="s">
        <v>7862</v>
      </c>
      <c r="X4586" s="2" t="s">
        <v>471</v>
      </c>
      <c r="Y4586" s="2">
        <v>1456</v>
      </c>
      <c r="Z4586" s="19" t="str">
        <f>HYPERLINK("https://ssdweb.co/ssdweb/hd/Vision360.html?d=927152765&amp;zoomslide=1&amp;z=1927152765&amp;ISCONFIRM=0","VIDEO")</f>
        <v>VIDEO</v>
      </c>
      <c r="AA4586" s="19" t="str">
        <f>HYPERLINK("https://ssdweb.co/ssdweb/CERTH/689587002.pdf","CERTI")</f>
        <v>CERTI</v>
      </c>
    </row>
    <row r="4587" spans="1:27" ht="15" x14ac:dyDescent="0.25">
      <c r="A4587" s="2">
        <v>4582</v>
      </c>
      <c r="B4587" s="39">
        <v>927152648</v>
      </c>
      <c r="C4587" s="28" t="str">
        <f>HYPERLINK("https://pld.live/RapDetail.aspx?STONELIST=927152648","DNA")</f>
        <v>DNA</v>
      </c>
      <c r="D4587" s="18" t="s">
        <v>5466</v>
      </c>
      <c r="E4587" s="18" t="s">
        <v>5128</v>
      </c>
      <c r="F4587" s="2" t="s">
        <v>7987</v>
      </c>
      <c r="G4587" s="2" t="s">
        <v>1573</v>
      </c>
      <c r="H4587" s="14">
        <v>0.52</v>
      </c>
      <c r="I4587" s="2" t="s">
        <v>267</v>
      </c>
      <c r="J4587" s="2" t="s">
        <v>3942</v>
      </c>
      <c r="K4587" s="2" t="s">
        <v>1452</v>
      </c>
      <c r="L4587" s="2" t="s">
        <v>5221</v>
      </c>
      <c r="M4587" s="2" t="s">
        <v>5721</v>
      </c>
      <c r="N4587" s="2" t="s">
        <v>2317</v>
      </c>
      <c r="O4587" s="14">
        <v>2800</v>
      </c>
      <c r="P4587" s="14">
        <v>94.36</v>
      </c>
      <c r="Q4587" s="14">
        <v>157.91999999999999</v>
      </c>
      <c r="R4587" s="14">
        <v>82.12</v>
      </c>
      <c r="S4587" s="2" t="s">
        <v>7207</v>
      </c>
      <c r="T4587" s="2">
        <v>1.39</v>
      </c>
      <c r="U4587" s="2">
        <v>60.3</v>
      </c>
      <c r="V4587" s="2">
        <v>58</v>
      </c>
      <c r="W4587" s="2" t="s">
        <v>7862</v>
      </c>
      <c r="X4587" s="2" t="s">
        <v>471</v>
      </c>
      <c r="Y4587" s="2">
        <v>1456</v>
      </c>
      <c r="Z4587" s="19" t="str">
        <f>HYPERLINK("https://ssdweb.co/ssdweb/hd/Vision360.html?d=927152648&amp;zoomslide=1&amp;z=1927152648&amp;ISCONFIRM=0","VIDEO")</f>
        <v>VIDEO</v>
      </c>
      <c r="AA4587" s="19" t="str">
        <f>HYPERLINK("https://ssdweb.co/ssdweb/CERTH/689586999.pdf","CERTI")</f>
        <v>CERTI</v>
      </c>
    </row>
    <row r="4588" spans="1:27" ht="15" x14ac:dyDescent="0.25">
      <c r="A4588" s="2">
        <v>4583</v>
      </c>
      <c r="B4588" s="39">
        <v>927092326</v>
      </c>
      <c r="C4588" s="28" t="str">
        <f>HYPERLINK("https://pld.live/RapDetail.aspx?STONELIST=927092326","DNA")</f>
        <v>DNA</v>
      </c>
      <c r="D4588" s="18" t="s">
        <v>5466</v>
      </c>
      <c r="E4588" s="18" t="s">
        <v>5128</v>
      </c>
      <c r="F4588" s="2" t="s">
        <v>7987</v>
      </c>
      <c r="G4588" s="2" t="s">
        <v>1573</v>
      </c>
      <c r="H4588" s="14">
        <v>0.52</v>
      </c>
      <c r="I4588" s="2" t="s">
        <v>267</v>
      </c>
      <c r="J4588" s="2" t="s">
        <v>3942</v>
      </c>
      <c r="K4588" s="2" t="s">
        <v>1452</v>
      </c>
      <c r="L4588" s="2" t="s">
        <v>5221</v>
      </c>
      <c r="M4588" s="2" t="s">
        <v>5721</v>
      </c>
      <c r="N4588" s="2" t="s">
        <v>2317</v>
      </c>
      <c r="O4588" s="14">
        <v>2800</v>
      </c>
      <c r="P4588" s="14">
        <v>94.36</v>
      </c>
      <c r="Q4588" s="14">
        <v>157.91999999999999</v>
      </c>
      <c r="R4588" s="14">
        <v>82.12</v>
      </c>
      <c r="S4588" s="2" t="s">
        <v>1702</v>
      </c>
      <c r="T4588" s="2">
        <v>1.4</v>
      </c>
      <c r="U4588" s="2">
        <v>63.1</v>
      </c>
      <c r="V4588" s="2">
        <v>59</v>
      </c>
      <c r="W4588" s="2" t="s">
        <v>7862</v>
      </c>
      <c r="X4588" s="2" t="s">
        <v>471</v>
      </c>
      <c r="Y4588" s="2">
        <v>1456</v>
      </c>
      <c r="Z4588" s="19" t="str">
        <f>HYPERLINK("https://ssdweb.co/ssdweb/hd/Vision360.html?d=927092326&amp;zoomslide=1&amp;z=1927092326&amp;ISCONFIRM=0","VIDEO")</f>
        <v>VIDEO</v>
      </c>
      <c r="AA4588" s="19" t="str">
        <f>HYPERLINK("https://ssdweb.co/ssdweb/CERTH/670484210.pdf","CERTI")</f>
        <v>CERTI</v>
      </c>
    </row>
    <row r="4589" spans="1:27" ht="15" x14ac:dyDescent="0.25">
      <c r="A4589" s="2">
        <v>4584</v>
      </c>
      <c r="B4589" s="39">
        <v>927101359</v>
      </c>
      <c r="C4589" s="28" t="str">
        <f>HYPERLINK("https://pld.live/RapDetail.aspx?STONELIST=927101359","DNA")</f>
        <v>DNA</v>
      </c>
      <c r="D4589" s="18" t="s">
        <v>5466</v>
      </c>
      <c r="E4589" s="18" t="s">
        <v>5128</v>
      </c>
      <c r="F4589" s="2" t="s">
        <v>7987</v>
      </c>
      <c r="G4589" s="2" t="s">
        <v>1573</v>
      </c>
      <c r="H4589" s="14">
        <v>0.52</v>
      </c>
      <c r="I4589" s="2" t="s">
        <v>267</v>
      </c>
      <c r="J4589" s="2" t="s">
        <v>3942</v>
      </c>
      <c r="K4589" s="2" t="s">
        <v>1452</v>
      </c>
      <c r="L4589" s="2" t="s">
        <v>5221</v>
      </c>
      <c r="M4589" s="2" t="s">
        <v>5721</v>
      </c>
      <c r="N4589" s="2" t="s">
        <v>2317</v>
      </c>
      <c r="O4589" s="14">
        <v>2800</v>
      </c>
      <c r="P4589" s="14">
        <v>94.36</v>
      </c>
      <c r="Q4589" s="14">
        <v>157.91999999999999</v>
      </c>
      <c r="R4589" s="14">
        <v>82.12</v>
      </c>
      <c r="S4589" s="2" t="s">
        <v>1450</v>
      </c>
      <c r="T4589" s="2">
        <v>1.38</v>
      </c>
      <c r="U4589" s="2">
        <v>62.1</v>
      </c>
      <c r="V4589" s="2">
        <v>57</v>
      </c>
      <c r="W4589" s="2" t="s">
        <v>7862</v>
      </c>
      <c r="X4589" s="2" t="s">
        <v>471</v>
      </c>
      <c r="Y4589" s="2">
        <v>1456</v>
      </c>
      <c r="Z4589" s="19" t="str">
        <f>HYPERLINK("https://ssdweb.co/ssdweb/hd/Vision360.html?d=927101359&amp;zoomslide=1&amp;z=1927101359&amp;ISCONFIRM=0","VIDEO")</f>
        <v>VIDEO</v>
      </c>
      <c r="AA4589" s="19" t="str">
        <f>HYPERLINK("https://ssdweb.co/ssdweb/CERTH/670484164.pdf","CERTI")</f>
        <v>CERTI</v>
      </c>
    </row>
    <row r="4590" spans="1:27" ht="15" x14ac:dyDescent="0.25">
      <c r="A4590" s="2">
        <v>4585</v>
      </c>
      <c r="B4590" s="39">
        <v>927152830</v>
      </c>
      <c r="C4590" s="28" t="str">
        <f>HYPERLINK("https://pld.live/RapDetail.aspx?STONELIST=927152830","DNA")</f>
        <v>DNA</v>
      </c>
      <c r="D4590" s="18" t="s">
        <v>5466</v>
      </c>
      <c r="E4590" s="18" t="s">
        <v>5128</v>
      </c>
      <c r="F4590" s="2" t="s">
        <v>7987</v>
      </c>
      <c r="G4590" s="2" t="s">
        <v>1573</v>
      </c>
      <c r="H4590" s="14">
        <v>0.52</v>
      </c>
      <c r="I4590" s="2" t="s">
        <v>267</v>
      </c>
      <c r="J4590" s="2" t="s">
        <v>3942</v>
      </c>
      <c r="K4590" s="2" t="s">
        <v>1452</v>
      </c>
      <c r="L4590" s="2" t="s">
        <v>5221</v>
      </c>
      <c r="M4590" s="2" t="s">
        <v>5721</v>
      </c>
      <c r="N4590" s="2" t="s">
        <v>2317</v>
      </c>
      <c r="O4590" s="14">
        <v>2800</v>
      </c>
      <c r="P4590" s="14">
        <v>94.36</v>
      </c>
      <c r="Q4590" s="14">
        <v>157.91999999999999</v>
      </c>
      <c r="R4590" s="14">
        <v>82.12</v>
      </c>
      <c r="S4590" s="2" t="s">
        <v>6944</v>
      </c>
      <c r="T4590" s="2">
        <v>1.38</v>
      </c>
      <c r="U4590" s="2">
        <v>62.2</v>
      </c>
      <c r="V4590" s="2">
        <v>61</v>
      </c>
      <c r="W4590" s="2" t="s">
        <v>7862</v>
      </c>
      <c r="X4590" s="2" t="s">
        <v>471</v>
      </c>
      <c r="Y4590" s="2">
        <v>1456</v>
      </c>
      <c r="Z4590" s="19" t="str">
        <f>HYPERLINK("https://ssdweb.co/ssdweb/hd/Vision360.html?d=927152830&amp;zoomslide=1&amp;z=1927152830&amp;ISCONFIRM=0","VIDEO")</f>
        <v>VIDEO</v>
      </c>
      <c r="AA4590" s="19" t="str">
        <f>HYPERLINK("https://ssdweb.co/ssdweb/CERTH/689587017.pdf","CERTI")</f>
        <v>CERTI</v>
      </c>
    </row>
    <row r="4591" spans="1:27" ht="15" x14ac:dyDescent="0.25">
      <c r="A4591" s="2">
        <v>4586</v>
      </c>
      <c r="B4591" s="39">
        <v>927052629</v>
      </c>
      <c r="C4591" s="28" t="str">
        <f>HYPERLINK("https://pld.live/RapDetail.aspx?STONELIST=927052629","DNA")</f>
        <v>DNA</v>
      </c>
      <c r="D4591" s="18" t="s">
        <v>5466</v>
      </c>
      <c r="E4591" s="18" t="s">
        <v>5128</v>
      </c>
      <c r="F4591" s="2" t="s">
        <v>7987</v>
      </c>
      <c r="G4591" s="2" t="s">
        <v>1573</v>
      </c>
      <c r="H4591" s="14">
        <v>0.52</v>
      </c>
      <c r="I4591" s="2" t="s">
        <v>267</v>
      </c>
      <c r="J4591" s="2" t="s">
        <v>3942</v>
      </c>
      <c r="K4591" s="2" t="s">
        <v>1452</v>
      </c>
      <c r="L4591" s="2" t="s">
        <v>5221</v>
      </c>
      <c r="M4591" s="2" t="s">
        <v>5721</v>
      </c>
      <c r="N4591" s="2" t="s">
        <v>2317</v>
      </c>
      <c r="O4591" s="14">
        <v>2800</v>
      </c>
      <c r="P4591" s="14">
        <v>94.36</v>
      </c>
      <c r="Q4591" s="14">
        <v>157.91999999999999</v>
      </c>
      <c r="R4591" s="14">
        <v>82.12</v>
      </c>
      <c r="S4591" s="2" t="s">
        <v>2774</v>
      </c>
      <c r="T4591" s="2">
        <v>1.38</v>
      </c>
      <c r="U4591" s="2">
        <v>61.1</v>
      </c>
      <c r="V4591" s="2">
        <v>57</v>
      </c>
      <c r="W4591" s="2" t="s">
        <v>7862</v>
      </c>
      <c r="X4591" s="2" t="s">
        <v>471</v>
      </c>
      <c r="Y4591" s="2">
        <v>1456</v>
      </c>
      <c r="Z4591" s="19" t="str">
        <f>HYPERLINK("https://ssdweb.co/ssdweb/hd/Vision360.html?d=927052629&amp;zoomslide=1&amp;z=1927052629&amp;ISCONFIRM=0","VIDEO")</f>
        <v>VIDEO</v>
      </c>
      <c r="AA4591" s="19" t="str">
        <f>HYPERLINK("https://ssdweb.co/ssdweb/CERTH/670484174.pdf","CERTI")</f>
        <v>CERTI</v>
      </c>
    </row>
    <row r="4592" spans="1:27" ht="15" x14ac:dyDescent="0.25">
      <c r="A4592" s="2">
        <v>4587</v>
      </c>
      <c r="B4592" s="39">
        <v>927052573</v>
      </c>
      <c r="C4592" s="28" t="str">
        <f>HYPERLINK("https://pld.live/RapDetail.aspx?STONELIST=927052573","DNA")</f>
        <v>DNA</v>
      </c>
      <c r="D4592" s="18" t="s">
        <v>5466</v>
      </c>
      <c r="E4592" s="18" t="s">
        <v>5128</v>
      </c>
      <c r="F4592" s="2" t="s">
        <v>7987</v>
      </c>
      <c r="G4592" s="2" t="s">
        <v>1573</v>
      </c>
      <c r="H4592" s="14">
        <v>0.52</v>
      </c>
      <c r="I4592" s="2" t="s">
        <v>267</v>
      </c>
      <c r="J4592" s="2" t="s">
        <v>3942</v>
      </c>
      <c r="K4592" s="2" t="s">
        <v>1452</v>
      </c>
      <c r="L4592" s="2" t="s">
        <v>5221</v>
      </c>
      <c r="M4592" s="2" t="s">
        <v>5721</v>
      </c>
      <c r="N4592" s="2" t="s">
        <v>2317</v>
      </c>
      <c r="O4592" s="14">
        <v>2800</v>
      </c>
      <c r="P4592" s="14">
        <v>94.36</v>
      </c>
      <c r="Q4592" s="14">
        <v>157.91999999999999</v>
      </c>
      <c r="R4592" s="14">
        <v>82.12</v>
      </c>
      <c r="S4592" s="2" t="s">
        <v>2211</v>
      </c>
      <c r="T4592" s="2">
        <v>1.41</v>
      </c>
      <c r="U4592" s="2">
        <v>62.3</v>
      </c>
      <c r="V4592" s="2">
        <v>58</v>
      </c>
      <c r="W4592" s="2" t="s">
        <v>7862</v>
      </c>
      <c r="X4592" s="2" t="s">
        <v>471</v>
      </c>
      <c r="Y4592" s="2">
        <v>1456</v>
      </c>
      <c r="Z4592" s="19" t="str">
        <f>HYPERLINK("https://ssdweb.co/ssdweb/hd/Vision360.html?d=927052573&amp;zoomslide=1&amp;z=1927052573&amp;ISCONFIRM=0","VIDEO")</f>
        <v>VIDEO</v>
      </c>
      <c r="AA4592" s="19" t="str">
        <f>HYPERLINK("https://ssdweb.co/ssdweb/CERTH/670484169.pdf","CERTI")</f>
        <v>CERTI</v>
      </c>
    </row>
    <row r="4593" spans="1:27" ht="15" x14ac:dyDescent="0.25">
      <c r="A4593" s="2">
        <v>4588</v>
      </c>
      <c r="B4593" s="39">
        <v>941040665</v>
      </c>
      <c r="C4593" s="28" t="str">
        <f>HYPERLINK("https://pld.live/RapDetail.aspx?STONELIST=941040665","DNA")</f>
        <v>DNA</v>
      </c>
      <c r="D4593" s="18" t="s">
        <v>5466</v>
      </c>
      <c r="E4593" s="18" t="s">
        <v>5128</v>
      </c>
      <c r="F4593" s="2" t="s">
        <v>7987</v>
      </c>
      <c r="G4593" s="2" t="s">
        <v>1573</v>
      </c>
      <c r="H4593" s="14">
        <v>0.52</v>
      </c>
      <c r="I4593" s="2" t="s">
        <v>267</v>
      </c>
      <c r="J4593" s="2" t="s">
        <v>3942</v>
      </c>
      <c r="K4593" s="2" t="s">
        <v>1452</v>
      </c>
      <c r="L4593" s="2" t="s">
        <v>5221</v>
      </c>
      <c r="M4593" s="2" t="s">
        <v>5721</v>
      </c>
      <c r="N4593" s="2" t="s">
        <v>2317</v>
      </c>
      <c r="O4593" s="14">
        <v>2800</v>
      </c>
      <c r="P4593" s="14">
        <v>94.36</v>
      </c>
      <c r="Q4593" s="14">
        <v>157.91999999999999</v>
      </c>
      <c r="R4593" s="14">
        <v>82.12</v>
      </c>
      <c r="S4593" s="2" t="s">
        <v>1357</v>
      </c>
      <c r="T4593" s="2">
        <v>1.39</v>
      </c>
      <c r="U4593" s="2">
        <v>60.6</v>
      </c>
      <c r="V4593" s="2">
        <v>60</v>
      </c>
      <c r="W4593" s="2" t="s">
        <v>7862</v>
      </c>
      <c r="X4593" s="2" t="s">
        <v>471</v>
      </c>
      <c r="Y4593" s="2">
        <v>1456</v>
      </c>
      <c r="Z4593" s="19" t="str">
        <f>HYPERLINK("https://ssdweb.co/ssdweb/hd/Vision360.html?d=941040665&amp;zoomslide=1&amp;z=1941040665&amp;ISCONFIRM=0","VIDEO")</f>
        <v>VIDEO</v>
      </c>
      <c r="AA4593" s="19" t="str">
        <f>HYPERLINK("https://ssdweb.co/ssdweb/CERTH/670484350.pdf","CERTI")</f>
        <v>CERTI</v>
      </c>
    </row>
    <row r="4594" spans="1:27" ht="15" x14ac:dyDescent="0.25">
      <c r="A4594" s="2">
        <v>4589</v>
      </c>
      <c r="B4594" s="39">
        <v>927052561</v>
      </c>
      <c r="C4594" s="28" t="str">
        <f>HYPERLINK("https://pld.live/RapDetail.aspx?STONELIST=927052561","DNA")</f>
        <v>DNA</v>
      </c>
      <c r="D4594" s="18" t="s">
        <v>5466</v>
      </c>
      <c r="E4594" s="18" t="s">
        <v>5128</v>
      </c>
      <c r="F4594" s="2" t="s">
        <v>7987</v>
      </c>
      <c r="G4594" s="2" t="s">
        <v>1573</v>
      </c>
      <c r="H4594" s="14">
        <v>0.52</v>
      </c>
      <c r="I4594" s="2" t="s">
        <v>267</v>
      </c>
      <c r="J4594" s="2" t="s">
        <v>3942</v>
      </c>
      <c r="K4594" s="2" t="s">
        <v>1452</v>
      </c>
      <c r="L4594" s="2" t="s">
        <v>5221</v>
      </c>
      <c r="M4594" s="2" t="s">
        <v>5721</v>
      </c>
      <c r="N4594" s="2" t="s">
        <v>2317</v>
      </c>
      <c r="O4594" s="14">
        <v>2800</v>
      </c>
      <c r="P4594" s="14">
        <v>94.36</v>
      </c>
      <c r="Q4594" s="14">
        <v>157.91999999999999</v>
      </c>
      <c r="R4594" s="14">
        <v>82.12</v>
      </c>
      <c r="S4594" s="2" t="s">
        <v>7189</v>
      </c>
      <c r="T4594" s="2">
        <v>1.4</v>
      </c>
      <c r="U4594" s="2">
        <v>63</v>
      </c>
      <c r="V4594" s="2">
        <v>59</v>
      </c>
      <c r="W4594" s="2" t="s">
        <v>7862</v>
      </c>
      <c r="X4594" s="2" t="s">
        <v>471</v>
      </c>
      <c r="Y4594" s="2">
        <v>1456</v>
      </c>
      <c r="Z4594" s="19" t="str">
        <f>HYPERLINK("https://ssdweb.co/ssdweb/hd/Vision360.html?d=927052561&amp;zoomslide=1&amp;z=1927052561&amp;ISCONFIRM=0","VIDEO")</f>
        <v>VIDEO</v>
      </c>
      <c r="AA4594" s="19" t="str">
        <f>HYPERLINK("https://ssdweb.co/ssdweb/CERTH/670484165.pdf","CERTI")</f>
        <v>CERTI</v>
      </c>
    </row>
    <row r="4595" spans="1:27" ht="15" x14ac:dyDescent="0.25">
      <c r="A4595" s="2">
        <v>4590</v>
      </c>
      <c r="B4595" s="39">
        <v>941040666</v>
      </c>
      <c r="C4595" s="28" t="str">
        <f>HYPERLINK("https://pld.live/RapDetail.aspx?STONELIST=941040666","DNA")</f>
        <v>DNA</v>
      </c>
      <c r="D4595" s="18" t="s">
        <v>5466</v>
      </c>
      <c r="E4595" s="18" t="s">
        <v>5128</v>
      </c>
      <c r="F4595" s="2" t="s">
        <v>7987</v>
      </c>
      <c r="G4595" s="2" t="s">
        <v>1573</v>
      </c>
      <c r="H4595" s="14">
        <v>0.52</v>
      </c>
      <c r="I4595" s="2" t="s">
        <v>267</v>
      </c>
      <c r="J4595" s="2" t="s">
        <v>3942</v>
      </c>
      <c r="K4595" s="2" t="s">
        <v>1452</v>
      </c>
      <c r="L4595" s="2" t="s">
        <v>5221</v>
      </c>
      <c r="M4595" s="2" t="s">
        <v>5721</v>
      </c>
      <c r="N4595" s="2" t="s">
        <v>2317</v>
      </c>
      <c r="O4595" s="14">
        <v>2800</v>
      </c>
      <c r="P4595" s="14">
        <v>94.36</v>
      </c>
      <c r="Q4595" s="14">
        <v>157.91999999999999</v>
      </c>
      <c r="R4595" s="14">
        <v>82.12</v>
      </c>
      <c r="S4595" s="2" t="s">
        <v>7467</v>
      </c>
      <c r="T4595" s="2">
        <v>1.4</v>
      </c>
      <c r="U4595" s="2">
        <v>61.7</v>
      </c>
      <c r="V4595" s="2">
        <v>59</v>
      </c>
      <c r="W4595" s="2" t="s">
        <v>7862</v>
      </c>
      <c r="X4595" s="2" t="s">
        <v>471</v>
      </c>
      <c r="Y4595" s="2">
        <v>1456</v>
      </c>
      <c r="Z4595" s="19" t="str">
        <f>HYPERLINK("https://ssdweb.co/ssdweb/hd/Vision360.html?d=941040666&amp;zoomslide=1&amp;z=1941040666&amp;ISCONFIRM=0","VIDEO")</f>
        <v>VIDEO</v>
      </c>
      <c r="AA4595" s="19" t="str">
        <f>HYPERLINK("https://ssdweb.co/ssdweb/CERTH/670484351.pdf","CERTI")</f>
        <v>CERTI</v>
      </c>
    </row>
    <row r="4596" spans="1:27" ht="15" x14ac:dyDescent="0.25">
      <c r="A4596" s="2">
        <v>4591</v>
      </c>
      <c r="B4596" s="39">
        <v>927132351</v>
      </c>
      <c r="C4596" s="28" t="str">
        <f>HYPERLINK("https://pld.live/RapDetail.aspx?STONELIST=927132351","DNA")</f>
        <v>DNA</v>
      </c>
      <c r="D4596" s="18" t="s">
        <v>5466</v>
      </c>
      <c r="E4596" s="18" t="s">
        <v>5128</v>
      </c>
      <c r="F4596" s="2" t="s">
        <v>7987</v>
      </c>
      <c r="G4596" s="2" t="s">
        <v>1573</v>
      </c>
      <c r="H4596" s="14">
        <v>0.52</v>
      </c>
      <c r="I4596" s="2" t="s">
        <v>267</v>
      </c>
      <c r="J4596" s="2" t="s">
        <v>3942</v>
      </c>
      <c r="K4596" s="2" t="s">
        <v>1452</v>
      </c>
      <c r="L4596" s="2" t="s">
        <v>5721</v>
      </c>
      <c r="M4596" s="2" t="s">
        <v>5221</v>
      </c>
      <c r="N4596" s="2" t="s">
        <v>2317</v>
      </c>
      <c r="O4596" s="14">
        <v>2800</v>
      </c>
      <c r="P4596" s="14">
        <v>94.36</v>
      </c>
      <c r="Q4596" s="14">
        <v>157.91999999999999</v>
      </c>
      <c r="R4596" s="14">
        <v>82.12</v>
      </c>
      <c r="S4596" s="2" t="s">
        <v>148</v>
      </c>
      <c r="T4596" s="2">
        <v>1.39</v>
      </c>
      <c r="U4596" s="2">
        <v>61.9</v>
      </c>
      <c r="V4596" s="2">
        <v>61</v>
      </c>
      <c r="W4596" s="2" t="s">
        <v>7862</v>
      </c>
      <c r="X4596" s="2" t="s">
        <v>471</v>
      </c>
      <c r="Y4596" s="2">
        <v>1456</v>
      </c>
      <c r="Z4596" s="19" t="str">
        <f>HYPERLINK("https://ssdweb.co/ssdweb/hd/Vision360.html?d=927132351&amp;zoomslide=1&amp;z=1927132351&amp;ISCONFIRM=0","VIDEO")</f>
        <v>VIDEO</v>
      </c>
      <c r="AA4596" s="19" t="str">
        <f>HYPERLINK("https://ssdweb.co/ssdweb/CERTH/670484313.pdf","CERTI")</f>
        <v>CERTI</v>
      </c>
    </row>
    <row r="4597" spans="1:27" ht="15" x14ac:dyDescent="0.25">
      <c r="A4597" s="2">
        <v>4592</v>
      </c>
      <c r="B4597" s="39">
        <v>941270779</v>
      </c>
      <c r="C4597" s="28" t="str">
        <f>HYPERLINK("https://pld.live/RapDetail.aspx?STONELIST=941270779","DNA")</f>
        <v>DNA</v>
      </c>
      <c r="D4597" s="18" t="s">
        <v>5466</v>
      </c>
      <c r="E4597" s="18" t="s">
        <v>5128</v>
      </c>
      <c r="F4597" s="2" t="s">
        <v>7987</v>
      </c>
      <c r="G4597" s="2" t="s">
        <v>1573</v>
      </c>
      <c r="H4597" s="14">
        <v>0.52</v>
      </c>
      <c r="I4597" s="2" t="s">
        <v>267</v>
      </c>
      <c r="J4597" s="2" t="s">
        <v>13</v>
      </c>
      <c r="K4597" s="2" t="s">
        <v>1452</v>
      </c>
      <c r="L4597" s="2" t="s">
        <v>5221</v>
      </c>
      <c r="M4597" s="2" t="s">
        <v>5221</v>
      </c>
      <c r="N4597" s="2" t="s">
        <v>2317</v>
      </c>
      <c r="O4597" s="14">
        <v>2600</v>
      </c>
      <c r="P4597" s="14">
        <v>94.04</v>
      </c>
      <c r="Q4597" s="14">
        <v>154.96</v>
      </c>
      <c r="R4597" s="14">
        <v>80.58</v>
      </c>
      <c r="S4597" s="2" t="s">
        <v>4231</v>
      </c>
      <c r="T4597" s="2">
        <v>1.38</v>
      </c>
      <c r="U4597" s="2">
        <v>61.5</v>
      </c>
      <c r="V4597" s="2">
        <v>60</v>
      </c>
      <c r="W4597" s="2" t="s">
        <v>7862</v>
      </c>
      <c r="X4597" s="2" t="s">
        <v>471</v>
      </c>
      <c r="Y4597" s="2">
        <v>1352</v>
      </c>
      <c r="Z4597" s="19" t="str">
        <f>HYPERLINK("https://ssdweb.co/ssdweb/hd/Vision360.html?d=941270779&amp;zoomslide=1&amp;z=1941270779&amp;ISCONFIRM=0","VIDEO")</f>
        <v>VIDEO</v>
      </c>
      <c r="AA4597" s="19" t="str">
        <f>HYPERLINK("https://ssdweb.co/ssdweb/CERTH/691577892.pdf","CERTI")</f>
        <v>CERTI</v>
      </c>
    </row>
    <row r="4598" spans="1:27" ht="15" x14ac:dyDescent="0.25">
      <c r="A4598" s="2">
        <v>4593</v>
      </c>
      <c r="B4598" s="39">
        <v>941270789</v>
      </c>
      <c r="C4598" s="28" t="str">
        <f>HYPERLINK("https://pld.live/RapDetail.aspx?STONELIST=941270789","DNA")</f>
        <v>DNA</v>
      </c>
      <c r="D4598" s="18" t="s">
        <v>5466</v>
      </c>
      <c r="E4598" s="18" t="s">
        <v>5128</v>
      </c>
      <c r="F4598" s="2" t="s">
        <v>7987</v>
      </c>
      <c r="G4598" s="2" t="s">
        <v>1573</v>
      </c>
      <c r="H4598" s="14">
        <v>0.52</v>
      </c>
      <c r="I4598" s="2" t="s">
        <v>267</v>
      </c>
      <c r="J4598" s="2" t="s">
        <v>13</v>
      </c>
      <c r="K4598" s="2" t="s">
        <v>1452</v>
      </c>
      <c r="L4598" s="2" t="s">
        <v>5221</v>
      </c>
      <c r="M4598" s="2" t="s">
        <v>5221</v>
      </c>
      <c r="N4598" s="2" t="s">
        <v>2317</v>
      </c>
      <c r="O4598" s="14">
        <v>2600</v>
      </c>
      <c r="P4598" s="14">
        <v>94.04</v>
      </c>
      <c r="Q4598" s="14">
        <v>154.96</v>
      </c>
      <c r="R4598" s="14">
        <v>80.58</v>
      </c>
      <c r="S4598" s="2" t="s">
        <v>2733</v>
      </c>
      <c r="T4598" s="2">
        <v>1.38</v>
      </c>
      <c r="U4598" s="2">
        <v>62.1</v>
      </c>
      <c r="V4598" s="2">
        <v>62</v>
      </c>
      <c r="W4598" s="2" t="s">
        <v>7862</v>
      </c>
      <c r="X4598" s="2" t="s">
        <v>471</v>
      </c>
      <c r="Y4598" s="2">
        <v>1352</v>
      </c>
      <c r="Z4598" s="19" t="str">
        <f>HYPERLINK("https://ssdweb.co/ssdweb/hd/Vision360.html?d=941270789&amp;zoomslide=1&amp;z=1941270789&amp;ISCONFIRM=0","VIDEO")</f>
        <v>VIDEO</v>
      </c>
      <c r="AA4598" s="19" t="str">
        <f>HYPERLINK("https://ssdweb.co/ssdweb/CERTH/692505646.pdf","CERTI")</f>
        <v>CERTI</v>
      </c>
    </row>
    <row r="4599" spans="1:27" ht="15" x14ac:dyDescent="0.25">
      <c r="A4599" s="2">
        <v>4594</v>
      </c>
      <c r="B4599" s="39">
        <v>941261112</v>
      </c>
      <c r="C4599" s="28" t="str">
        <f>HYPERLINK("https://pld.live/RapDetail.aspx?STONELIST=941261112","DNA")</f>
        <v>DNA</v>
      </c>
      <c r="D4599" s="18" t="s">
        <v>5466</v>
      </c>
      <c r="E4599" s="18" t="s">
        <v>5128</v>
      </c>
      <c r="F4599" s="2" t="s">
        <v>7987</v>
      </c>
      <c r="G4599" s="2" t="s">
        <v>1573</v>
      </c>
      <c r="H4599" s="14">
        <v>0.52</v>
      </c>
      <c r="I4599" s="2" t="s">
        <v>267</v>
      </c>
      <c r="J4599" s="2" t="s">
        <v>13</v>
      </c>
      <c r="K4599" s="2" t="s">
        <v>1452</v>
      </c>
      <c r="L4599" s="2" t="s">
        <v>5221</v>
      </c>
      <c r="M4599" s="2" t="s">
        <v>5221</v>
      </c>
      <c r="N4599" s="2" t="s">
        <v>2317</v>
      </c>
      <c r="O4599" s="14">
        <v>2600</v>
      </c>
      <c r="P4599" s="14">
        <v>94.04</v>
      </c>
      <c r="Q4599" s="14">
        <v>154.96</v>
      </c>
      <c r="R4599" s="14">
        <v>80.58</v>
      </c>
      <c r="S4599" s="2" t="s">
        <v>5279</v>
      </c>
      <c r="T4599" s="2">
        <v>1.38</v>
      </c>
      <c r="U4599" s="2">
        <v>61.7</v>
      </c>
      <c r="V4599" s="2">
        <v>59</v>
      </c>
      <c r="W4599" s="2" t="s">
        <v>7862</v>
      </c>
      <c r="X4599" s="2" t="s">
        <v>471</v>
      </c>
      <c r="Y4599" s="2">
        <v>1352</v>
      </c>
      <c r="Z4599" s="19" t="str">
        <f>HYPERLINK("https://ssdweb.co/ssdweb/hd/Vision360.html?d=941261112&amp;zoomslide=1&amp;z=1941261112&amp;ISCONFIRM=0","VIDEO")</f>
        <v>VIDEO</v>
      </c>
      <c r="AA4599" s="19" t="str">
        <f>HYPERLINK("https://ssdweb.co/ssdweb/CERTH/691533664.pdf","CERTI")</f>
        <v>CERTI</v>
      </c>
    </row>
    <row r="4600" spans="1:27" ht="15" x14ac:dyDescent="0.25">
      <c r="A4600" s="2">
        <v>4595</v>
      </c>
      <c r="B4600" s="39">
        <v>927132043</v>
      </c>
      <c r="C4600" s="28" t="str">
        <f>HYPERLINK("https://pld.live/RapDetail.aspx?STONELIST=927132043","DNA")</f>
        <v>DNA</v>
      </c>
      <c r="D4600" s="18" t="s">
        <v>5466</v>
      </c>
      <c r="E4600" s="18" t="s">
        <v>5128</v>
      </c>
      <c r="F4600" s="2" t="s">
        <v>7987</v>
      </c>
      <c r="G4600" s="2" t="s">
        <v>1573</v>
      </c>
      <c r="H4600" s="14">
        <v>0.52</v>
      </c>
      <c r="I4600" s="2" t="s">
        <v>267</v>
      </c>
      <c r="J4600" s="2" t="s">
        <v>13</v>
      </c>
      <c r="K4600" s="2" t="s">
        <v>1452</v>
      </c>
      <c r="L4600" s="2" t="s">
        <v>5221</v>
      </c>
      <c r="M4600" s="2" t="s">
        <v>5221</v>
      </c>
      <c r="N4600" s="2" t="s">
        <v>2317</v>
      </c>
      <c r="O4600" s="14">
        <v>2600</v>
      </c>
      <c r="P4600" s="14">
        <v>94.04</v>
      </c>
      <c r="Q4600" s="14">
        <v>154.96</v>
      </c>
      <c r="R4600" s="14">
        <v>80.58</v>
      </c>
      <c r="S4600" s="2" t="s">
        <v>45</v>
      </c>
      <c r="T4600" s="2">
        <v>1.38</v>
      </c>
      <c r="U4600" s="2">
        <v>62.3</v>
      </c>
      <c r="V4600" s="2">
        <v>59</v>
      </c>
      <c r="W4600" s="2" t="s">
        <v>7862</v>
      </c>
      <c r="X4600" s="2" t="s">
        <v>471</v>
      </c>
      <c r="Y4600" s="2">
        <v>1352</v>
      </c>
      <c r="Z4600" s="19" t="str">
        <f>HYPERLINK("https://ssdweb.co/ssdweb/hd/Vision360.html?d=927132043&amp;zoomslide=1&amp;z=1927132043&amp;ISCONFIRM=0","VIDEO")</f>
        <v>VIDEO</v>
      </c>
      <c r="AA4600" s="19" t="str">
        <f>HYPERLINK("https://ssdweb.co/ssdweb/CERTH/689586926.pdf","CERTI")</f>
        <v>CERTI</v>
      </c>
    </row>
    <row r="4601" spans="1:27" ht="15" x14ac:dyDescent="0.25">
      <c r="A4601" s="2">
        <v>4596</v>
      </c>
      <c r="B4601" s="39">
        <v>926960848</v>
      </c>
      <c r="C4601" s="28" t="str">
        <f>HYPERLINK("https://pld.live/RapDetail.aspx?STONELIST=926960848","DNA")</f>
        <v>DNA</v>
      </c>
      <c r="D4601" s="18" t="s">
        <v>5466</v>
      </c>
      <c r="E4601" s="18" t="s">
        <v>5128</v>
      </c>
      <c r="F4601" s="2" t="s">
        <v>7987</v>
      </c>
      <c r="G4601" s="2" t="s">
        <v>1573</v>
      </c>
      <c r="H4601" s="14">
        <v>0.52</v>
      </c>
      <c r="I4601" s="2" t="s">
        <v>267</v>
      </c>
      <c r="J4601" s="2" t="s">
        <v>13</v>
      </c>
      <c r="K4601" s="2" t="s">
        <v>1452</v>
      </c>
      <c r="L4601" s="2" t="s">
        <v>5221</v>
      </c>
      <c r="M4601" s="2" t="s">
        <v>5721</v>
      </c>
      <c r="N4601" s="2" t="s">
        <v>2317</v>
      </c>
      <c r="O4601" s="14">
        <v>2600</v>
      </c>
      <c r="P4601" s="14">
        <v>94.12</v>
      </c>
      <c r="Q4601" s="14">
        <v>152.88</v>
      </c>
      <c r="R4601" s="14">
        <v>79.5</v>
      </c>
      <c r="S4601" s="2" t="s">
        <v>338</v>
      </c>
      <c r="T4601" s="2">
        <v>1.41</v>
      </c>
      <c r="U4601" s="2">
        <v>62.8</v>
      </c>
      <c r="V4601" s="2">
        <v>59</v>
      </c>
      <c r="W4601" s="2" t="s">
        <v>7862</v>
      </c>
      <c r="X4601" s="2" t="s">
        <v>471</v>
      </c>
      <c r="Y4601" s="2">
        <v>1352</v>
      </c>
      <c r="Z4601" s="19" t="str">
        <f>HYPERLINK("https://ssdweb.co/ssdweb/hd/Vision360.html?d=926960848&amp;zoomslide=1&amp;z=1926960848&amp;ISCONFIRM=0","VIDEO")</f>
        <v>VIDEO</v>
      </c>
      <c r="AA4601" s="19" t="str">
        <f>HYPERLINK("https://ssdweb.co/ssdweb/CERTH/670484338.pdf","CERTI")</f>
        <v>CERTI</v>
      </c>
    </row>
    <row r="4602" spans="1:27" ht="15" x14ac:dyDescent="0.25">
      <c r="A4602" s="2">
        <v>4597</v>
      </c>
      <c r="B4602" s="39">
        <v>927052568</v>
      </c>
      <c r="C4602" s="28" t="str">
        <f>HYPERLINK("https://pld.live/RapDetail.aspx?STONELIST=927052568","DNA")</f>
        <v>DNA</v>
      </c>
      <c r="D4602" s="18" t="s">
        <v>5466</v>
      </c>
      <c r="E4602" s="18" t="s">
        <v>5128</v>
      </c>
      <c r="F4602" s="2" t="s">
        <v>7987</v>
      </c>
      <c r="G4602" s="2" t="s">
        <v>1573</v>
      </c>
      <c r="H4602" s="14">
        <v>0.52</v>
      </c>
      <c r="I4602" s="2" t="s">
        <v>267</v>
      </c>
      <c r="J4602" s="2" t="s">
        <v>13</v>
      </c>
      <c r="K4602" s="2" t="s">
        <v>1452</v>
      </c>
      <c r="L4602" s="2" t="s">
        <v>5221</v>
      </c>
      <c r="M4602" s="2" t="s">
        <v>5721</v>
      </c>
      <c r="N4602" s="2" t="s">
        <v>2317</v>
      </c>
      <c r="O4602" s="14">
        <v>2600</v>
      </c>
      <c r="P4602" s="14">
        <v>94.12</v>
      </c>
      <c r="Q4602" s="14">
        <v>152.88</v>
      </c>
      <c r="R4602" s="14">
        <v>79.5</v>
      </c>
      <c r="S4602" s="2" t="s">
        <v>409</v>
      </c>
      <c r="T4602" s="2">
        <v>1.39</v>
      </c>
      <c r="U4602" s="2">
        <v>63</v>
      </c>
      <c r="V4602" s="2">
        <v>57</v>
      </c>
      <c r="W4602" s="2" t="s">
        <v>7862</v>
      </c>
      <c r="X4602" s="2" t="s">
        <v>471</v>
      </c>
      <c r="Y4602" s="2">
        <v>1352</v>
      </c>
      <c r="Z4602" s="19" t="str">
        <f>HYPERLINK("https://ssdweb.co/ssdweb/hd/Vision360.html?d=927052568&amp;zoomslide=1&amp;z=1927052568&amp;ISCONFIRM=0","VIDEO")</f>
        <v>VIDEO</v>
      </c>
      <c r="AA4602" s="19" t="str">
        <f>HYPERLINK("https://ssdweb.co/ssdweb/CERTH/670484167.pdf","CERTI")</f>
        <v>CERTI</v>
      </c>
    </row>
    <row r="4603" spans="1:27" ht="15" x14ac:dyDescent="0.25">
      <c r="A4603" s="2">
        <v>4598</v>
      </c>
      <c r="B4603" s="39">
        <v>927152738</v>
      </c>
      <c r="C4603" s="28" t="str">
        <f>HYPERLINK("https://pld.live/RapDetail.aspx?STONELIST=927152738","DNA")</f>
        <v>DNA</v>
      </c>
      <c r="D4603" s="18" t="s">
        <v>5466</v>
      </c>
      <c r="E4603" s="18" t="s">
        <v>5128</v>
      </c>
      <c r="F4603" s="2" t="s">
        <v>7987</v>
      </c>
      <c r="G4603" s="2" t="s">
        <v>1573</v>
      </c>
      <c r="H4603" s="14">
        <v>0.52</v>
      </c>
      <c r="I4603" s="2" t="s">
        <v>267</v>
      </c>
      <c r="J4603" s="2" t="s">
        <v>5144</v>
      </c>
      <c r="K4603" s="2" t="s">
        <v>1452</v>
      </c>
      <c r="L4603" s="2" t="s">
        <v>5221</v>
      </c>
      <c r="M4603" s="2" t="s">
        <v>5721</v>
      </c>
      <c r="N4603" s="2" t="s">
        <v>2317</v>
      </c>
      <c r="O4603" s="14">
        <v>2400</v>
      </c>
      <c r="P4603" s="14">
        <v>93.96</v>
      </c>
      <c r="Q4603" s="14">
        <v>144.96</v>
      </c>
      <c r="R4603" s="14">
        <v>75.38</v>
      </c>
      <c r="S4603" s="2" t="s">
        <v>5172</v>
      </c>
      <c r="T4603" s="2">
        <v>1.41</v>
      </c>
      <c r="U4603" s="2">
        <v>60.4</v>
      </c>
      <c r="V4603" s="2">
        <v>59</v>
      </c>
      <c r="W4603" s="2" t="s">
        <v>7862</v>
      </c>
      <c r="X4603" s="2" t="s">
        <v>471</v>
      </c>
      <c r="Y4603" s="2">
        <v>1248</v>
      </c>
      <c r="Z4603" s="19" t="str">
        <f>HYPERLINK("https://ssdweb.co/ssdweb/hd/Vision360.html?d=927152738&amp;zoomslide=1&amp;z=1927152738&amp;ISCONFIRM=0","VIDEO")</f>
        <v>VIDEO</v>
      </c>
      <c r="AA4603" s="19" t="str">
        <f>HYPERLINK("https://ssdweb.co/ssdweb/CERTH/669458169.pdf","CERTI")</f>
        <v>CERTI</v>
      </c>
    </row>
    <row r="4604" spans="1:27" ht="15" x14ac:dyDescent="0.25">
      <c r="A4604" s="2">
        <v>4599</v>
      </c>
      <c r="B4604" s="39">
        <v>927092366</v>
      </c>
      <c r="C4604" s="28" t="str">
        <f>HYPERLINK("https://pld.live/RapDetail.aspx?STONELIST=927092366","DNA")</f>
        <v>DNA</v>
      </c>
      <c r="D4604" s="18" t="s">
        <v>5466</v>
      </c>
      <c r="E4604" s="18" t="s">
        <v>5128</v>
      </c>
      <c r="F4604" s="2" t="s">
        <v>7987</v>
      </c>
      <c r="G4604" s="2" t="s">
        <v>1573</v>
      </c>
      <c r="H4604" s="14">
        <v>0.52</v>
      </c>
      <c r="I4604" s="2" t="s">
        <v>267</v>
      </c>
      <c r="J4604" s="2" t="s">
        <v>5144</v>
      </c>
      <c r="K4604" s="2" t="s">
        <v>1452</v>
      </c>
      <c r="L4604" s="2" t="s">
        <v>5221</v>
      </c>
      <c r="M4604" s="2" t="s">
        <v>5721</v>
      </c>
      <c r="N4604" s="2" t="s">
        <v>2317</v>
      </c>
      <c r="O4604" s="14">
        <v>2400</v>
      </c>
      <c r="P4604" s="14">
        <v>93.96</v>
      </c>
      <c r="Q4604" s="14">
        <v>144.96</v>
      </c>
      <c r="R4604" s="14">
        <v>75.38</v>
      </c>
      <c r="S4604" s="2" t="s">
        <v>2105</v>
      </c>
      <c r="T4604" s="2">
        <v>1.38</v>
      </c>
      <c r="U4604" s="2">
        <v>61.9</v>
      </c>
      <c r="V4604" s="2">
        <v>58</v>
      </c>
      <c r="W4604" s="2" t="s">
        <v>7862</v>
      </c>
      <c r="X4604" s="2" t="s">
        <v>471</v>
      </c>
      <c r="Y4604" s="2">
        <v>1248</v>
      </c>
      <c r="Z4604" s="19" t="str">
        <f>HYPERLINK("https://ssdweb.co/ssdweb/hd/Vision360.html?d=927092366&amp;zoomslide=1&amp;z=1927092366&amp;ISCONFIRM=0","VIDEO")</f>
        <v>VIDEO</v>
      </c>
      <c r="AA4604" s="19" t="str">
        <f>HYPERLINK("https://ssdweb.co/ssdweb/CERTH/670484214.pdf","CERTI")</f>
        <v>CERTI</v>
      </c>
    </row>
    <row r="4605" spans="1:27" ht="15" x14ac:dyDescent="0.25">
      <c r="A4605" s="2">
        <v>4600</v>
      </c>
      <c r="B4605" s="39">
        <v>927132220</v>
      </c>
      <c r="C4605" s="28" t="str">
        <f>HYPERLINK("https://pld.live/RapDetail.aspx?STONELIST=927132220","DNA")</f>
        <v>DNA</v>
      </c>
      <c r="D4605" s="18" t="s">
        <v>5466</v>
      </c>
      <c r="E4605" s="18" t="s">
        <v>5128</v>
      </c>
      <c r="F4605" s="2" t="s">
        <v>7987</v>
      </c>
      <c r="G4605" s="2" t="s">
        <v>1573</v>
      </c>
      <c r="H4605" s="14">
        <v>0.52</v>
      </c>
      <c r="I4605" s="2" t="s">
        <v>267</v>
      </c>
      <c r="J4605" s="2" t="s">
        <v>5144</v>
      </c>
      <c r="K4605" s="2" t="s">
        <v>1452</v>
      </c>
      <c r="L4605" s="2" t="s">
        <v>5221</v>
      </c>
      <c r="M4605" s="2" t="s">
        <v>5721</v>
      </c>
      <c r="N4605" s="2" t="s">
        <v>2317</v>
      </c>
      <c r="O4605" s="14">
        <v>2400</v>
      </c>
      <c r="P4605" s="14">
        <v>93.96</v>
      </c>
      <c r="Q4605" s="14">
        <v>144.96</v>
      </c>
      <c r="R4605" s="14">
        <v>75.38</v>
      </c>
      <c r="S4605" s="2" t="s">
        <v>1910</v>
      </c>
      <c r="T4605" s="2">
        <v>1.38</v>
      </c>
      <c r="U4605" s="2">
        <v>61.5</v>
      </c>
      <c r="V4605" s="2">
        <v>59</v>
      </c>
      <c r="W4605" s="2" t="s">
        <v>7862</v>
      </c>
      <c r="X4605" s="2" t="s">
        <v>471</v>
      </c>
      <c r="Y4605" s="2">
        <v>1248</v>
      </c>
      <c r="Z4605" s="19" t="str">
        <f>HYPERLINK("https://ssdweb.co/ssdweb/hd/Vision360.html?d=927132220&amp;zoomslide=1&amp;z=1927132220&amp;ISCONFIRM=0","VIDEO")</f>
        <v>VIDEO</v>
      </c>
      <c r="AA4605" s="19" t="str">
        <f>HYPERLINK("https://ssdweb.co/ssdweb/CERTH/670484311.pdf","CERTI")</f>
        <v>CERTI</v>
      </c>
    </row>
    <row r="4606" spans="1:27" ht="15" x14ac:dyDescent="0.25">
      <c r="A4606" s="2">
        <v>4601</v>
      </c>
      <c r="B4606" s="39">
        <v>927092336</v>
      </c>
      <c r="C4606" s="28" t="str">
        <f>HYPERLINK("https://pld.live/RapDetail.aspx?STONELIST=927092336","DNA")</f>
        <v>DNA</v>
      </c>
      <c r="D4606" s="18" t="s">
        <v>5466</v>
      </c>
      <c r="E4606" s="18" t="s">
        <v>5128</v>
      </c>
      <c r="F4606" s="2" t="s">
        <v>7987</v>
      </c>
      <c r="G4606" s="2" t="s">
        <v>1573</v>
      </c>
      <c r="H4606" s="14">
        <v>0.52</v>
      </c>
      <c r="I4606" s="2" t="s">
        <v>267</v>
      </c>
      <c r="J4606" s="2" t="s">
        <v>5144</v>
      </c>
      <c r="K4606" s="2" t="s">
        <v>1452</v>
      </c>
      <c r="L4606" s="2" t="s">
        <v>5721</v>
      </c>
      <c r="M4606" s="2" t="s">
        <v>5721</v>
      </c>
      <c r="N4606" s="2" t="s">
        <v>2317</v>
      </c>
      <c r="O4606" s="14">
        <v>2400</v>
      </c>
      <c r="P4606" s="14">
        <v>94.04</v>
      </c>
      <c r="Q4606" s="14">
        <v>143.04</v>
      </c>
      <c r="R4606" s="14">
        <v>74.38</v>
      </c>
      <c r="S4606" s="2" t="s">
        <v>1260</v>
      </c>
      <c r="T4606" s="2">
        <v>1.4</v>
      </c>
      <c r="U4606" s="2">
        <v>62.4</v>
      </c>
      <c r="V4606" s="2">
        <v>59</v>
      </c>
      <c r="W4606" s="2" t="s">
        <v>7862</v>
      </c>
      <c r="X4606" s="2" t="s">
        <v>471</v>
      </c>
      <c r="Y4606" s="2">
        <v>1248</v>
      </c>
      <c r="Z4606" s="19" t="str">
        <f>HYPERLINK("https://ssdweb.co/ssdweb/hd/Vision360.html?d=927092336&amp;zoomslide=1&amp;z=1927092336&amp;ISCONFIRM=0","VIDEO")</f>
        <v>VIDEO</v>
      </c>
      <c r="AA4606" s="19" t="str">
        <f>HYPERLINK("https://ssdweb.co/ssdweb/CERTH/670484212.pdf","CERTI")</f>
        <v>CERTI</v>
      </c>
    </row>
    <row r="4607" spans="1:27" ht="15" x14ac:dyDescent="0.25">
      <c r="A4607" s="2">
        <v>4602</v>
      </c>
      <c r="B4607" s="39">
        <v>927101427</v>
      </c>
      <c r="C4607" s="28" t="str">
        <f>HYPERLINK("https://pld.live/RapDetail.aspx?STONELIST=927101427","DNA")</f>
        <v>DNA</v>
      </c>
      <c r="D4607" s="18" t="s">
        <v>5466</v>
      </c>
      <c r="E4607" s="18" t="s">
        <v>5128</v>
      </c>
      <c r="F4607" s="2" t="s">
        <v>7987</v>
      </c>
      <c r="G4607" s="2" t="s">
        <v>1573</v>
      </c>
      <c r="H4607" s="14">
        <v>0.52</v>
      </c>
      <c r="I4607" s="2" t="s">
        <v>4761</v>
      </c>
      <c r="J4607" s="2" t="s">
        <v>7032</v>
      </c>
      <c r="K4607" s="2" t="s">
        <v>1452</v>
      </c>
      <c r="L4607" s="2" t="s">
        <v>5221</v>
      </c>
      <c r="M4607" s="2" t="s">
        <v>5221</v>
      </c>
      <c r="N4607" s="2" t="s">
        <v>2317</v>
      </c>
      <c r="O4607" s="14">
        <v>3000</v>
      </c>
      <c r="P4607" s="14">
        <v>91</v>
      </c>
      <c r="Q4607" s="14">
        <v>270</v>
      </c>
      <c r="R4607" s="14">
        <v>140.4</v>
      </c>
      <c r="S4607" s="2" t="s">
        <v>4342</v>
      </c>
      <c r="T4607" s="2">
        <v>1.38</v>
      </c>
      <c r="U4607" s="2">
        <v>62.7</v>
      </c>
      <c r="V4607" s="2">
        <v>59</v>
      </c>
      <c r="W4607" s="2" t="s">
        <v>7862</v>
      </c>
      <c r="X4607" s="2" t="s">
        <v>471</v>
      </c>
      <c r="Y4607" s="2">
        <v>1560</v>
      </c>
      <c r="Z4607" s="19" t="str">
        <f>HYPERLINK("https://ssdweb.co/ssdweb/hd/Vision360.html?d=927101427&amp;zoomslide=1&amp;z=1927101427&amp;ISCONFIRM=0","VIDEO")</f>
        <v>VIDEO</v>
      </c>
      <c r="AA4607" s="19" t="str">
        <f>HYPERLINK("https://ssdweb.co/ssdweb/CERTH/689586882.pdf","CERTI")</f>
        <v>CERTI</v>
      </c>
    </row>
    <row r="4608" spans="1:27" ht="15" x14ac:dyDescent="0.25">
      <c r="A4608" s="2">
        <v>4603</v>
      </c>
      <c r="B4608" s="39">
        <v>927152776</v>
      </c>
      <c r="C4608" s="28" t="str">
        <f>HYPERLINK("https://pld.live/RapDetail.aspx?STONELIST=927152776","DNA")</f>
        <v>DNA</v>
      </c>
      <c r="D4608" s="18" t="s">
        <v>5466</v>
      </c>
      <c r="E4608" s="18" t="s">
        <v>5128</v>
      </c>
      <c r="F4608" s="2" t="s">
        <v>7987</v>
      </c>
      <c r="G4608" s="2" t="s">
        <v>1573</v>
      </c>
      <c r="H4608" s="14">
        <v>0.52</v>
      </c>
      <c r="I4608" s="2" t="s">
        <v>4761</v>
      </c>
      <c r="J4608" s="2" t="s">
        <v>6555</v>
      </c>
      <c r="K4608" s="2" t="s">
        <v>1452</v>
      </c>
      <c r="L4608" s="2" t="s">
        <v>5221</v>
      </c>
      <c r="M4608" s="2" t="s">
        <v>5221</v>
      </c>
      <c r="N4608" s="2" t="s">
        <v>2317</v>
      </c>
      <c r="O4608" s="14">
        <v>2800</v>
      </c>
      <c r="P4608" s="14">
        <v>93.75</v>
      </c>
      <c r="Q4608" s="14">
        <v>175</v>
      </c>
      <c r="R4608" s="14">
        <v>91</v>
      </c>
      <c r="S4608" s="2" t="s">
        <v>2776</v>
      </c>
      <c r="T4608" s="2">
        <v>1.39</v>
      </c>
      <c r="U4608" s="2">
        <v>62</v>
      </c>
      <c r="V4608" s="2">
        <v>61</v>
      </c>
      <c r="W4608" s="2" t="s">
        <v>7862</v>
      </c>
      <c r="X4608" s="2" t="s">
        <v>471</v>
      </c>
      <c r="Y4608" s="2">
        <v>1456</v>
      </c>
      <c r="Z4608" s="19" t="str">
        <f>HYPERLINK("https://ssdweb.co/ssdweb/hd/Vision360.html?d=927152776&amp;zoomslide=1&amp;z=1927152776&amp;ISCONFIRM=0","VIDEO")</f>
        <v>VIDEO</v>
      </c>
      <c r="AA4608" s="19" t="str">
        <f>HYPERLINK("https://ssdweb.co/ssdweb/CERTH/689587013.pdf","CERTI")</f>
        <v>CERTI</v>
      </c>
    </row>
    <row r="4609" spans="1:27" ht="15" x14ac:dyDescent="0.25">
      <c r="A4609" s="2">
        <v>4604</v>
      </c>
      <c r="B4609" s="39">
        <v>927152820</v>
      </c>
      <c r="C4609" s="28" t="str">
        <f>HYPERLINK("https://pld.live/RapDetail.aspx?STONELIST=927152820","DNA")</f>
        <v>DNA</v>
      </c>
      <c r="D4609" s="18" t="s">
        <v>5466</v>
      </c>
      <c r="E4609" s="18" t="s">
        <v>5128</v>
      </c>
      <c r="F4609" s="2" t="s">
        <v>7987</v>
      </c>
      <c r="G4609" s="2" t="s">
        <v>1573</v>
      </c>
      <c r="H4609" s="14">
        <v>0.52</v>
      </c>
      <c r="I4609" s="2" t="s">
        <v>4761</v>
      </c>
      <c r="J4609" s="2" t="s">
        <v>6555</v>
      </c>
      <c r="K4609" s="2" t="s">
        <v>1452</v>
      </c>
      <c r="L4609" s="2" t="s">
        <v>5221</v>
      </c>
      <c r="M4609" s="2" t="s">
        <v>5221</v>
      </c>
      <c r="N4609" s="2" t="s">
        <v>2317</v>
      </c>
      <c r="O4609" s="14">
        <v>2800</v>
      </c>
      <c r="P4609" s="14">
        <v>93.75</v>
      </c>
      <c r="Q4609" s="14">
        <v>175</v>
      </c>
      <c r="R4609" s="14">
        <v>91</v>
      </c>
      <c r="S4609" s="2" t="s">
        <v>6479</v>
      </c>
      <c r="T4609" s="2">
        <v>1.39</v>
      </c>
      <c r="U4609" s="2">
        <v>62.3</v>
      </c>
      <c r="V4609" s="2">
        <v>59</v>
      </c>
      <c r="W4609" s="2" t="s">
        <v>7862</v>
      </c>
      <c r="X4609" s="2" t="s">
        <v>471</v>
      </c>
      <c r="Y4609" s="2">
        <v>1456</v>
      </c>
      <c r="Z4609" s="19" t="str">
        <f>HYPERLINK("https://ssdweb.co/ssdweb/hd/Vision360.html?d=927152820&amp;zoomslide=1&amp;z=1927152820&amp;ISCONFIRM=0","VIDEO")</f>
        <v>VIDEO</v>
      </c>
      <c r="AA4609" s="19" t="str">
        <f>HYPERLINK("https://ssdweb.co/ssdweb/CERTH/689587014.pdf","CERTI")</f>
        <v>CERTI</v>
      </c>
    </row>
    <row r="4610" spans="1:27" ht="15" x14ac:dyDescent="0.25">
      <c r="A4610" s="2">
        <v>4605</v>
      </c>
      <c r="B4610" s="39">
        <v>927092492</v>
      </c>
      <c r="C4610" s="28" t="str">
        <f>HYPERLINK("https://pld.live/RapDetail.aspx?STONELIST=927092492","DNA")</f>
        <v>DNA</v>
      </c>
      <c r="D4610" s="18" t="s">
        <v>5466</v>
      </c>
      <c r="E4610" s="18" t="s">
        <v>5128</v>
      </c>
      <c r="F4610" s="2" t="s">
        <v>7987</v>
      </c>
      <c r="G4610" s="2" t="s">
        <v>1573</v>
      </c>
      <c r="H4610" s="14">
        <v>0.52</v>
      </c>
      <c r="I4610" s="2" t="s">
        <v>4761</v>
      </c>
      <c r="J4610" s="2" t="s">
        <v>6555</v>
      </c>
      <c r="K4610" s="2" t="s">
        <v>1452</v>
      </c>
      <c r="L4610" s="2" t="s">
        <v>5221</v>
      </c>
      <c r="M4610" s="2" t="s">
        <v>5221</v>
      </c>
      <c r="N4610" s="2" t="s">
        <v>2317</v>
      </c>
      <c r="O4610" s="14">
        <v>2800</v>
      </c>
      <c r="P4610" s="14">
        <v>93.75</v>
      </c>
      <c r="Q4610" s="14">
        <v>175</v>
      </c>
      <c r="R4610" s="14">
        <v>91</v>
      </c>
      <c r="S4610" s="2" t="s">
        <v>6599</v>
      </c>
      <c r="T4610" s="2">
        <v>1.4</v>
      </c>
      <c r="U4610" s="2">
        <v>62.3</v>
      </c>
      <c r="V4610" s="2">
        <v>61</v>
      </c>
      <c r="W4610" s="2" t="s">
        <v>7862</v>
      </c>
      <c r="X4610" s="2" t="s">
        <v>471</v>
      </c>
      <c r="Y4610" s="2">
        <v>1456</v>
      </c>
      <c r="Z4610" s="19" t="str">
        <f>HYPERLINK("https://ssdweb.co/ssdweb/hd/Vision360.html?d=927092492&amp;zoomslide=1&amp;z=1927092492&amp;ISCONFIRM=0","VIDEO")</f>
        <v>VIDEO</v>
      </c>
      <c r="AA4610" s="19" t="str">
        <f>HYPERLINK("https://ssdweb.co/ssdweb/CERTH/689586912.pdf","CERTI")</f>
        <v>CERTI</v>
      </c>
    </row>
    <row r="4611" spans="1:27" ht="15" x14ac:dyDescent="0.25">
      <c r="A4611" s="2">
        <v>4606</v>
      </c>
      <c r="B4611" s="39">
        <v>927092496</v>
      </c>
      <c r="C4611" s="28" t="str">
        <f>HYPERLINK("https://pld.live/RapDetail.aspx?STONELIST=927092496","DNA")</f>
        <v>DNA</v>
      </c>
      <c r="D4611" s="18" t="s">
        <v>5466</v>
      </c>
      <c r="E4611" s="18" t="s">
        <v>5128</v>
      </c>
      <c r="F4611" s="2" t="s">
        <v>7987</v>
      </c>
      <c r="G4611" s="2" t="s">
        <v>1573</v>
      </c>
      <c r="H4611" s="14">
        <v>0.52</v>
      </c>
      <c r="I4611" s="2" t="s">
        <v>4761</v>
      </c>
      <c r="J4611" s="2" t="s">
        <v>6555</v>
      </c>
      <c r="K4611" s="2" t="s">
        <v>1452</v>
      </c>
      <c r="L4611" s="2" t="s">
        <v>5221</v>
      </c>
      <c r="M4611" s="2" t="s">
        <v>5221</v>
      </c>
      <c r="N4611" s="2" t="s">
        <v>2317</v>
      </c>
      <c r="O4611" s="14">
        <v>2800</v>
      </c>
      <c r="P4611" s="14">
        <v>93.75</v>
      </c>
      <c r="Q4611" s="14">
        <v>175</v>
      </c>
      <c r="R4611" s="14">
        <v>91</v>
      </c>
      <c r="S4611" s="2" t="s">
        <v>1174</v>
      </c>
      <c r="T4611" s="2">
        <v>1.39</v>
      </c>
      <c r="U4611" s="2">
        <v>61.4</v>
      </c>
      <c r="V4611" s="2">
        <v>59</v>
      </c>
      <c r="W4611" s="2" t="s">
        <v>7862</v>
      </c>
      <c r="X4611" s="2" t="s">
        <v>471</v>
      </c>
      <c r="Y4611" s="2">
        <v>1456</v>
      </c>
      <c r="Z4611" s="19" t="str">
        <f>HYPERLINK("https://ssdweb.co/ssdweb/hd/Vision360.html?d=927092496&amp;zoomslide=1&amp;z=1927092496&amp;ISCONFIRM=0","VIDEO")</f>
        <v>VIDEO</v>
      </c>
      <c r="AA4611" s="19" t="str">
        <f>HYPERLINK("https://ssdweb.co/ssdweb/CERTH/689586883.pdf","CERTI")</f>
        <v>CERTI</v>
      </c>
    </row>
    <row r="4612" spans="1:27" ht="15" x14ac:dyDescent="0.25">
      <c r="A4612" s="2">
        <v>4607</v>
      </c>
      <c r="B4612" s="39">
        <v>927152844</v>
      </c>
      <c r="C4612" s="28" t="str">
        <f>HYPERLINK("https://pld.live/RapDetail.aspx?STONELIST=927152844","DNA")</f>
        <v>DNA</v>
      </c>
      <c r="D4612" s="18" t="s">
        <v>5466</v>
      </c>
      <c r="E4612" s="18" t="s">
        <v>5128</v>
      </c>
      <c r="F4612" s="2" t="s">
        <v>7987</v>
      </c>
      <c r="G4612" s="2" t="s">
        <v>1573</v>
      </c>
      <c r="H4612" s="14">
        <v>0.52</v>
      </c>
      <c r="I4612" s="2" t="s">
        <v>4761</v>
      </c>
      <c r="J4612" s="2" t="s">
        <v>6555</v>
      </c>
      <c r="K4612" s="2" t="s">
        <v>1452</v>
      </c>
      <c r="L4612" s="2" t="s">
        <v>5221</v>
      </c>
      <c r="M4612" s="2" t="s">
        <v>5221</v>
      </c>
      <c r="N4612" s="2" t="s">
        <v>2317</v>
      </c>
      <c r="O4612" s="14">
        <v>2800</v>
      </c>
      <c r="P4612" s="14">
        <v>93.75</v>
      </c>
      <c r="Q4612" s="14">
        <v>175</v>
      </c>
      <c r="R4612" s="14">
        <v>91</v>
      </c>
      <c r="S4612" s="2" t="s">
        <v>1000</v>
      </c>
      <c r="T4612" s="2">
        <v>1.4</v>
      </c>
      <c r="U4612" s="2">
        <v>62.6</v>
      </c>
      <c r="V4612" s="2">
        <v>61</v>
      </c>
      <c r="W4612" s="2" t="s">
        <v>7862</v>
      </c>
      <c r="X4612" s="2" t="s">
        <v>471</v>
      </c>
      <c r="Y4612" s="2">
        <v>1456</v>
      </c>
      <c r="Z4612" s="19" t="str">
        <f>HYPERLINK("https://ssdweb.co/ssdweb/hd/Vision360.html?d=927152844&amp;zoomslide=1&amp;z=1927152844&amp;ISCONFIRM=0","VIDEO")</f>
        <v>VIDEO</v>
      </c>
      <c r="AA4612" s="19" t="str">
        <f>HYPERLINK("https://ssdweb.co/ssdweb/CERTH/689587021.pdf","CERTI")</f>
        <v>CERTI</v>
      </c>
    </row>
    <row r="4613" spans="1:27" ht="15" x14ac:dyDescent="0.25">
      <c r="A4613" s="2">
        <v>4608</v>
      </c>
      <c r="B4613" s="39">
        <v>927130753</v>
      </c>
      <c r="C4613" s="28" t="str">
        <f>HYPERLINK("https://pld.live/RapDetail.aspx?STONELIST=927130753","DNA")</f>
        <v>DNA</v>
      </c>
      <c r="D4613" s="18" t="s">
        <v>5466</v>
      </c>
      <c r="E4613" s="18" t="s">
        <v>5128</v>
      </c>
      <c r="F4613" s="2" t="s">
        <v>7987</v>
      </c>
      <c r="G4613" s="2" t="s">
        <v>1573</v>
      </c>
      <c r="H4613" s="14">
        <v>0.52</v>
      </c>
      <c r="I4613" s="2" t="s">
        <v>4761</v>
      </c>
      <c r="J4613" s="2" t="s">
        <v>6555</v>
      </c>
      <c r="K4613" s="2" t="s">
        <v>1452</v>
      </c>
      <c r="L4613" s="2" t="s">
        <v>5221</v>
      </c>
      <c r="M4613" s="2" t="s">
        <v>5221</v>
      </c>
      <c r="N4613" s="2" t="s">
        <v>2317</v>
      </c>
      <c r="O4613" s="14">
        <v>2800</v>
      </c>
      <c r="P4613" s="14">
        <v>93.75</v>
      </c>
      <c r="Q4613" s="14">
        <v>175</v>
      </c>
      <c r="R4613" s="14">
        <v>91</v>
      </c>
      <c r="S4613" s="2" t="s">
        <v>5949</v>
      </c>
      <c r="T4613" s="2">
        <v>1.4</v>
      </c>
      <c r="U4613" s="2">
        <v>60.7</v>
      </c>
      <c r="V4613" s="2">
        <v>60</v>
      </c>
      <c r="W4613" s="2" t="s">
        <v>7862</v>
      </c>
      <c r="X4613" s="2" t="s">
        <v>471</v>
      </c>
      <c r="Y4613" s="2">
        <v>1456</v>
      </c>
      <c r="Z4613" s="19" t="str">
        <f>HYPERLINK("https://ssdweb.co/ssdweb/hd/Vision360.html?d=927130753&amp;zoomslide=1&amp;z=1927130753&amp;ISCONFIRM=0","VIDEO")</f>
        <v>VIDEO</v>
      </c>
      <c r="AA4613" s="19" t="str">
        <f>HYPERLINK("https://ssdweb.co/ssdweb/CERTH/689586925.pdf","CERTI")</f>
        <v>CERTI</v>
      </c>
    </row>
    <row r="4614" spans="1:27" ht="15" x14ac:dyDescent="0.25">
      <c r="A4614" s="2">
        <v>4609</v>
      </c>
      <c r="B4614" s="39">
        <v>927101353</v>
      </c>
      <c r="C4614" s="28" t="str">
        <f>HYPERLINK("https://pld.live/RapDetail.aspx?STONELIST=927101353","DNA")</f>
        <v>DNA</v>
      </c>
      <c r="D4614" s="18" t="s">
        <v>5466</v>
      </c>
      <c r="E4614" s="18" t="s">
        <v>5128</v>
      </c>
      <c r="F4614" s="2" t="s">
        <v>7987</v>
      </c>
      <c r="G4614" s="2" t="s">
        <v>1573</v>
      </c>
      <c r="H4614" s="14">
        <v>0.52</v>
      </c>
      <c r="I4614" s="2" t="s">
        <v>4761</v>
      </c>
      <c r="J4614" s="2" t="s">
        <v>3942</v>
      </c>
      <c r="K4614" s="2" t="s">
        <v>1452</v>
      </c>
      <c r="L4614" s="2" t="s">
        <v>5221</v>
      </c>
      <c r="M4614" s="2" t="s">
        <v>5221</v>
      </c>
      <c r="N4614" s="2" t="s">
        <v>2317</v>
      </c>
      <c r="O4614" s="14">
        <v>2600</v>
      </c>
      <c r="P4614" s="14">
        <v>93.96</v>
      </c>
      <c r="Q4614" s="14">
        <v>157.04</v>
      </c>
      <c r="R4614" s="14">
        <v>81.66</v>
      </c>
      <c r="S4614" s="2" t="s">
        <v>4109</v>
      </c>
      <c r="T4614" s="2">
        <v>1.39</v>
      </c>
      <c r="U4614" s="2">
        <v>61</v>
      </c>
      <c r="V4614" s="2">
        <v>60</v>
      </c>
      <c r="W4614" s="2" t="s">
        <v>7862</v>
      </c>
      <c r="X4614" s="2" t="s">
        <v>471</v>
      </c>
      <c r="Y4614" s="2">
        <v>1352</v>
      </c>
      <c r="Z4614" s="19" t="str">
        <f>HYPERLINK("https://ssdweb.co/ssdweb/hd/Vision360.html?d=927101353&amp;zoomslide=1&amp;z=1927101353&amp;ISCONFIRM=0","VIDEO")</f>
        <v>VIDEO</v>
      </c>
      <c r="AA4614" s="19" t="str">
        <f>HYPERLINK("https://ssdweb.co/ssdweb/CERTH/689586881.pdf","CERTI")</f>
        <v>CERTI</v>
      </c>
    </row>
    <row r="4615" spans="1:27" ht="15" x14ac:dyDescent="0.25">
      <c r="A4615" s="2">
        <v>4610</v>
      </c>
      <c r="B4615" s="39">
        <v>941040521</v>
      </c>
      <c r="C4615" s="28" t="str">
        <f>HYPERLINK("https://pld.live/RapDetail.aspx?STONELIST=941040521","DNA")</f>
        <v>DNA</v>
      </c>
      <c r="D4615" s="18" t="s">
        <v>5466</v>
      </c>
      <c r="E4615" s="18" t="s">
        <v>5128</v>
      </c>
      <c r="F4615" s="2" t="s">
        <v>7987</v>
      </c>
      <c r="G4615" s="2" t="s">
        <v>1573</v>
      </c>
      <c r="H4615" s="14">
        <v>0.52</v>
      </c>
      <c r="I4615" s="2" t="s">
        <v>4761</v>
      </c>
      <c r="J4615" s="2" t="s">
        <v>3942</v>
      </c>
      <c r="K4615" s="2" t="s">
        <v>1452</v>
      </c>
      <c r="L4615" s="2" t="s">
        <v>5221</v>
      </c>
      <c r="M4615" s="2" t="s">
        <v>5721</v>
      </c>
      <c r="N4615" s="2" t="s">
        <v>2317</v>
      </c>
      <c r="O4615" s="14">
        <v>2600</v>
      </c>
      <c r="P4615" s="14">
        <v>94.04</v>
      </c>
      <c r="Q4615" s="14">
        <v>154.96</v>
      </c>
      <c r="R4615" s="14">
        <v>80.58</v>
      </c>
      <c r="S4615" s="2" t="s">
        <v>2063</v>
      </c>
      <c r="T4615" s="2">
        <v>1.4</v>
      </c>
      <c r="U4615" s="2">
        <v>60.7</v>
      </c>
      <c r="V4615" s="2">
        <v>63</v>
      </c>
      <c r="W4615" s="2" t="s">
        <v>7862</v>
      </c>
      <c r="X4615" s="2" t="s">
        <v>471</v>
      </c>
      <c r="Y4615" s="2">
        <v>1352</v>
      </c>
      <c r="Z4615" s="19" t="str">
        <f>HYPERLINK("https://ssdweb.co/ssdweb/hd/Vision360.html?d=941040521&amp;zoomslide=1&amp;z=1941040521&amp;ISCONFIRM=0","VIDEO")</f>
        <v>VIDEO</v>
      </c>
      <c r="AA4615" s="19" t="str">
        <f>HYPERLINK("https://ssdweb.co/ssdweb/CERTH/670484323.pdf","CERTI")</f>
        <v>CERTI</v>
      </c>
    </row>
    <row r="4616" spans="1:27" ht="15" x14ac:dyDescent="0.25">
      <c r="A4616" s="2">
        <v>4611</v>
      </c>
      <c r="B4616" s="39">
        <v>927101973</v>
      </c>
      <c r="C4616" s="28" t="str">
        <f>HYPERLINK("https://pld.live/RapDetail.aspx?STONELIST=927101973","DNA")</f>
        <v>DNA</v>
      </c>
      <c r="D4616" s="18" t="s">
        <v>5466</v>
      </c>
      <c r="E4616" s="18" t="s">
        <v>5128</v>
      </c>
      <c r="F4616" s="2" t="s">
        <v>7987</v>
      </c>
      <c r="G4616" s="2" t="s">
        <v>1573</v>
      </c>
      <c r="H4616" s="14">
        <v>0.52</v>
      </c>
      <c r="I4616" s="2" t="s">
        <v>4761</v>
      </c>
      <c r="J4616" s="2" t="s">
        <v>3942</v>
      </c>
      <c r="K4616" s="2" t="s">
        <v>1452</v>
      </c>
      <c r="L4616" s="2" t="s">
        <v>5221</v>
      </c>
      <c r="M4616" s="2" t="s">
        <v>5721</v>
      </c>
      <c r="N4616" s="2" t="s">
        <v>2317</v>
      </c>
      <c r="O4616" s="14">
        <v>2600</v>
      </c>
      <c r="P4616" s="14">
        <v>94.04</v>
      </c>
      <c r="Q4616" s="14">
        <v>154.96</v>
      </c>
      <c r="R4616" s="14">
        <v>80.58</v>
      </c>
      <c r="S4616" s="2" t="s">
        <v>6065</v>
      </c>
      <c r="T4616" s="2">
        <v>1.4</v>
      </c>
      <c r="U4616" s="2">
        <v>62.8</v>
      </c>
      <c r="V4616" s="2">
        <v>61</v>
      </c>
      <c r="W4616" s="2" t="s">
        <v>7862</v>
      </c>
      <c r="X4616" s="2" t="s">
        <v>471</v>
      </c>
      <c r="Y4616" s="2">
        <v>1352</v>
      </c>
      <c r="Z4616" s="19" t="str">
        <f>HYPERLINK("https://ssdweb.co/ssdweb/hd/Vision360.html?d=927101973&amp;zoomslide=1&amp;z=1927101973&amp;ISCONFIRM=0","VIDEO")</f>
        <v>VIDEO</v>
      </c>
      <c r="AA4616" s="19" t="str">
        <f>HYPERLINK("https://ssdweb.co/ssdweb/CERTH/689586914.pdf","CERTI")</f>
        <v>CERTI</v>
      </c>
    </row>
    <row r="4617" spans="1:27" ht="15" x14ac:dyDescent="0.25">
      <c r="A4617" s="2">
        <v>4612</v>
      </c>
      <c r="B4617" s="39">
        <v>927052569</v>
      </c>
      <c r="C4617" s="28" t="str">
        <f>HYPERLINK("https://pld.live/RapDetail.aspx?STONELIST=927052569","DNA")</f>
        <v>DNA</v>
      </c>
      <c r="D4617" s="18" t="s">
        <v>5466</v>
      </c>
      <c r="E4617" s="18" t="s">
        <v>5128</v>
      </c>
      <c r="F4617" s="2" t="s">
        <v>7987</v>
      </c>
      <c r="G4617" s="2" t="s">
        <v>1573</v>
      </c>
      <c r="H4617" s="14">
        <v>0.52</v>
      </c>
      <c r="I4617" s="2" t="s">
        <v>4761</v>
      </c>
      <c r="J4617" s="2" t="s">
        <v>3942</v>
      </c>
      <c r="K4617" s="2" t="s">
        <v>1452</v>
      </c>
      <c r="L4617" s="2" t="s">
        <v>5221</v>
      </c>
      <c r="M4617" s="2" t="s">
        <v>5721</v>
      </c>
      <c r="N4617" s="2" t="s">
        <v>2317</v>
      </c>
      <c r="O4617" s="14">
        <v>2600</v>
      </c>
      <c r="P4617" s="14">
        <v>94.04</v>
      </c>
      <c r="Q4617" s="14">
        <v>154.96</v>
      </c>
      <c r="R4617" s="14">
        <v>80.58</v>
      </c>
      <c r="S4617" s="2" t="s">
        <v>765</v>
      </c>
      <c r="T4617" s="2">
        <v>1.41</v>
      </c>
      <c r="U4617" s="2">
        <v>61.4</v>
      </c>
      <c r="V4617" s="2">
        <v>60</v>
      </c>
      <c r="W4617" s="2" t="s">
        <v>7862</v>
      </c>
      <c r="X4617" s="2" t="s">
        <v>471</v>
      </c>
      <c r="Y4617" s="2">
        <v>1352</v>
      </c>
      <c r="Z4617" s="19" t="str">
        <f>HYPERLINK("https://ssdweb.co/ssdweb/hd/Vision360.html?d=927052569&amp;zoomslide=1&amp;z=1927052569&amp;ISCONFIRM=0","VIDEO")</f>
        <v>VIDEO</v>
      </c>
      <c r="AA4617" s="19" t="str">
        <f>HYPERLINK("https://ssdweb.co/ssdweb/CERTH/670484168.pdf","CERTI")</f>
        <v>CERTI</v>
      </c>
    </row>
    <row r="4618" spans="1:27" ht="15" x14ac:dyDescent="0.25">
      <c r="A4618" s="2">
        <v>4613</v>
      </c>
      <c r="B4618" s="39">
        <v>927102269</v>
      </c>
      <c r="C4618" s="28" t="str">
        <f>HYPERLINK("https://pld.live/RapDetail.aspx?STONELIST=927102269","DNA")</f>
        <v>DNA</v>
      </c>
      <c r="D4618" s="18" t="s">
        <v>5466</v>
      </c>
      <c r="E4618" s="18" t="s">
        <v>5128</v>
      </c>
      <c r="F4618" s="2" t="s">
        <v>7987</v>
      </c>
      <c r="G4618" s="2" t="s">
        <v>1573</v>
      </c>
      <c r="H4618" s="14">
        <v>0.52</v>
      </c>
      <c r="I4618" s="2" t="s">
        <v>4761</v>
      </c>
      <c r="J4618" s="2" t="s">
        <v>3942</v>
      </c>
      <c r="K4618" s="2" t="s">
        <v>1452</v>
      </c>
      <c r="L4618" s="2" t="s">
        <v>5221</v>
      </c>
      <c r="M4618" s="2" t="s">
        <v>5721</v>
      </c>
      <c r="N4618" s="2" t="s">
        <v>2317</v>
      </c>
      <c r="O4618" s="14">
        <v>2600</v>
      </c>
      <c r="P4618" s="14">
        <v>94.04</v>
      </c>
      <c r="Q4618" s="14">
        <v>154.96</v>
      </c>
      <c r="R4618" s="14">
        <v>80.58</v>
      </c>
      <c r="S4618" s="2" t="s">
        <v>5451</v>
      </c>
      <c r="T4618" s="2">
        <v>1.39</v>
      </c>
      <c r="U4618" s="2">
        <v>61</v>
      </c>
      <c r="V4618" s="2">
        <v>61</v>
      </c>
      <c r="W4618" s="2" t="s">
        <v>7862</v>
      </c>
      <c r="X4618" s="2" t="s">
        <v>471</v>
      </c>
      <c r="Y4618" s="2">
        <v>1352</v>
      </c>
      <c r="Z4618" s="19" t="str">
        <f>HYPERLINK("https://ssdweb.co/ssdweb/hd/Vision360.html?d=927102269&amp;zoomslide=1&amp;z=1927102269&amp;ISCONFIRM=0","VIDEO")</f>
        <v>VIDEO</v>
      </c>
      <c r="AA4618" s="19" t="str">
        <f>HYPERLINK("https://ssdweb.co/ssdweb/CERTH/670484147.pdf","CERTI")</f>
        <v>CERTI</v>
      </c>
    </row>
    <row r="4619" spans="1:27" ht="15" x14ac:dyDescent="0.25">
      <c r="A4619" s="2">
        <v>4614</v>
      </c>
      <c r="B4619" s="39">
        <v>927092512</v>
      </c>
      <c r="C4619" s="28" t="str">
        <f>HYPERLINK("https://pld.live/RapDetail.aspx?STONELIST=927092512","DNA")</f>
        <v>DNA</v>
      </c>
      <c r="D4619" s="18" t="s">
        <v>5466</v>
      </c>
      <c r="E4619" s="18" t="s">
        <v>5128</v>
      </c>
      <c r="F4619" s="2" t="s">
        <v>7987</v>
      </c>
      <c r="G4619" s="2" t="s">
        <v>1573</v>
      </c>
      <c r="H4619" s="14">
        <v>0.52</v>
      </c>
      <c r="I4619" s="2" t="s">
        <v>4761</v>
      </c>
      <c r="J4619" s="2" t="s">
        <v>13</v>
      </c>
      <c r="K4619" s="2" t="s">
        <v>1452</v>
      </c>
      <c r="L4619" s="2" t="s">
        <v>5221</v>
      </c>
      <c r="M4619" s="2" t="s">
        <v>5221</v>
      </c>
      <c r="N4619" s="2" t="s">
        <v>2317</v>
      </c>
      <c r="O4619" s="14">
        <v>2500</v>
      </c>
      <c r="P4619" s="14">
        <v>94.2</v>
      </c>
      <c r="Q4619" s="14">
        <v>145</v>
      </c>
      <c r="R4619" s="14">
        <v>75.400000000000006</v>
      </c>
      <c r="S4619" s="2" t="s">
        <v>838</v>
      </c>
      <c r="T4619" s="2">
        <v>1.38</v>
      </c>
      <c r="U4619" s="2">
        <v>61.5</v>
      </c>
      <c r="V4619" s="2">
        <v>63</v>
      </c>
      <c r="W4619" s="2" t="s">
        <v>7862</v>
      </c>
      <c r="X4619" s="2" t="s">
        <v>471</v>
      </c>
      <c r="Y4619" s="2">
        <v>1300</v>
      </c>
      <c r="Z4619" s="19" t="str">
        <f>HYPERLINK("https://ssdweb.co/ssdweb/hd/Vision360.html?d=927092512&amp;zoomslide=1&amp;z=1927092512&amp;ISCONFIRM=0","VIDEO")</f>
        <v>VIDEO</v>
      </c>
      <c r="AA4619" s="19" t="str">
        <f>HYPERLINK("https://ssdweb.co/ssdweb/CERTH/689586884.pdf","CERTI")</f>
        <v>CERTI</v>
      </c>
    </row>
    <row r="4620" spans="1:27" ht="15" x14ac:dyDescent="0.25">
      <c r="A4620" s="2">
        <v>4615</v>
      </c>
      <c r="B4620" s="39">
        <v>831010854</v>
      </c>
      <c r="C4620" s="28" t="str">
        <f>HYPERLINK("https://pld.live/RapDetail.aspx?STONELIST=831010854","DNA")</f>
        <v>DNA</v>
      </c>
      <c r="D4620" s="18" t="s">
        <v>5466</v>
      </c>
      <c r="E4620" s="18" t="s">
        <v>5128</v>
      </c>
      <c r="F4620" s="2" t="s">
        <v>7987</v>
      </c>
      <c r="G4620" s="2" t="s">
        <v>1573</v>
      </c>
      <c r="H4620" s="14">
        <v>0.51</v>
      </c>
      <c r="I4620" s="2" t="s">
        <v>267</v>
      </c>
      <c r="J4620" s="2" t="s">
        <v>7032</v>
      </c>
      <c r="K4620" s="2" t="s">
        <v>1452</v>
      </c>
      <c r="L4620" s="2" t="s">
        <v>5221</v>
      </c>
      <c r="M4620" s="2" t="s">
        <v>5221</v>
      </c>
      <c r="N4620" s="2" t="s">
        <v>2317</v>
      </c>
      <c r="O4620" s="14">
        <v>3300</v>
      </c>
      <c r="P4620" s="14">
        <v>91.27</v>
      </c>
      <c r="Q4620" s="14">
        <v>288.08999999999997</v>
      </c>
      <c r="R4620" s="14">
        <v>146.93</v>
      </c>
      <c r="S4620" s="2" t="s">
        <v>1077</v>
      </c>
      <c r="T4620" s="2">
        <v>1.42</v>
      </c>
      <c r="U4620" s="2">
        <v>51.3</v>
      </c>
      <c r="V4620" s="2">
        <v>59</v>
      </c>
      <c r="W4620" s="2" t="s">
        <v>7862</v>
      </c>
      <c r="X4620" s="2" t="s">
        <v>471</v>
      </c>
      <c r="Y4620" s="2">
        <v>1683</v>
      </c>
      <c r="Z4620" s="19" t="str">
        <f>HYPERLINK("https://ssdweb.co/ssdweb/hd/Vision360.html?d=831010854&amp;zoomslide=1&amp;z=1831010854&amp;ISCONFIRM=0","VIDEO")</f>
        <v>VIDEO</v>
      </c>
      <c r="AA4620" s="19" t="str">
        <f>HYPERLINK("https://ssdweb.co/ssdweb/CERTH/665453087.pdf","CERTI")</f>
        <v>CERTI</v>
      </c>
    </row>
    <row r="4621" spans="1:27" ht="15" x14ac:dyDescent="0.25">
      <c r="A4621" s="2">
        <v>4616</v>
      </c>
      <c r="B4621" s="39">
        <v>925502724</v>
      </c>
      <c r="C4621" s="28" t="str">
        <f>HYPERLINK("https://pld.live/RapDetail.aspx?STONELIST=925502724","DNA")</f>
        <v>DNA</v>
      </c>
      <c r="D4621" s="18" t="s">
        <v>5466</v>
      </c>
      <c r="E4621" s="18" t="s">
        <v>5128</v>
      </c>
      <c r="F4621" s="2" t="s">
        <v>7987</v>
      </c>
      <c r="G4621" s="2" t="s">
        <v>1573</v>
      </c>
      <c r="H4621" s="14">
        <v>0.51</v>
      </c>
      <c r="I4621" s="2" t="s">
        <v>267</v>
      </c>
      <c r="J4621" s="2" t="s">
        <v>7032</v>
      </c>
      <c r="K4621" s="2" t="s">
        <v>1452</v>
      </c>
      <c r="L4621" s="2" t="s">
        <v>5721</v>
      </c>
      <c r="M4621" s="2" t="s">
        <v>5721</v>
      </c>
      <c r="N4621" s="2" t="s">
        <v>2317</v>
      </c>
      <c r="O4621" s="14">
        <v>3300</v>
      </c>
      <c r="P4621" s="14">
        <v>91.45</v>
      </c>
      <c r="Q4621" s="14">
        <v>282.14999999999998</v>
      </c>
      <c r="R4621" s="14">
        <v>143.9</v>
      </c>
      <c r="S4621" s="2" t="s">
        <v>5926</v>
      </c>
      <c r="T4621" s="2">
        <v>1.4</v>
      </c>
      <c r="U4621" s="2">
        <v>59.8</v>
      </c>
      <c r="V4621" s="2">
        <v>61</v>
      </c>
      <c r="W4621" s="2" t="s">
        <v>7862</v>
      </c>
      <c r="X4621" s="2" t="s">
        <v>471</v>
      </c>
      <c r="Y4621" s="2">
        <v>1683</v>
      </c>
      <c r="Z4621" s="19" t="str">
        <f>HYPERLINK("https://ssdweb.co/ssdweb/hd/Vision360.html?d=925502724&amp;zoomslide=1&amp;z=1925502724&amp;ISCONFIRM=0","VIDEO")</f>
        <v>VIDEO</v>
      </c>
      <c r="AA4621" s="19" t="str">
        <f>HYPERLINK("https://ssdweb.co/ssdweb/CERTH/636429979.pdf","CERTI")</f>
        <v>CERTI</v>
      </c>
    </row>
    <row r="4622" spans="1:27" ht="15" x14ac:dyDescent="0.25">
      <c r="A4622" s="2">
        <v>4617</v>
      </c>
      <c r="B4622" s="39">
        <v>941021711</v>
      </c>
      <c r="C4622" s="28" t="str">
        <f>HYPERLINK("https://pld.live/RapDetail.aspx?STONELIST=941021711","DNA")</f>
        <v>DNA</v>
      </c>
      <c r="D4622" s="18" t="s">
        <v>5466</v>
      </c>
      <c r="E4622" s="18" t="s">
        <v>5128</v>
      </c>
      <c r="F4622" s="2" t="s">
        <v>7987</v>
      </c>
      <c r="G4622" s="2" t="s">
        <v>1573</v>
      </c>
      <c r="H4622" s="14">
        <v>0.51</v>
      </c>
      <c r="I4622" s="2" t="s">
        <v>267</v>
      </c>
      <c r="J4622" s="2" t="s">
        <v>6555</v>
      </c>
      <c r="K4622" s="2" t="s">
        <v>1452</v>
      </c>
      <c r="L4622" s="2" t="s">
        <v>5221</v>
      </c>
      <c r="M4622" s="2" t="s">
        <v>5221</v>
      </c>
      <c r="N4622" s="2" t="s">
        <v>2317</v>
      </c>
      <c r="O4622" s="14">
        <v>3000</v>
      </c>
      <c r="P4622" s="14">
        <v>94</v>
      </c>
      <c r="Q4622" s="14">
        <v>180</v>
      </c>
      <c r="R4622" s="14">
        <v>91.8</v>
      </c>
      <c r="S4622" s="2" t="s">
        <v>4507</v>
      </c>
      <c r="T4622" s="2">
        <v>1.4</v>
      </c>
      <c r="U4622" s="2">
        <v>62.6</v>
      </c>
      <c r="V4622" s="2">
        <v>59</v>
      </c>
      <c r="W4622" s="2" t="s">
        <v>7862</v>
      </c>
      <c r="X4622" s="2" t="s">
        <v>471</v>
      </c>
      <c r="Y4622" s="2">
        <v>1530</v>
      </c>
      <c r="Z4622" s="19" t="str">
        <f>HYPERLINK("https://ssdweb.co/ssdweb/hd/Vision360.html?d=941021711&amp;zoomslide=1&amp;z=1941021711&amp;ISCONFIRM=0","VIDEO")</f>
        <v>VIDEO</v>
      </c>
      <c r="AA4622" s="19" t="str">
        <f>HYPERLINK("https://ssdweb.co/ssdweb/CERTH/689586947.pdf","CERTI")</f>
        <v>CERTI</v>
      </c>
    </row>
    <row r="4623" spans="1:27" ht="15" x14ac:dyDescent="0.25">
      <c r="A4623" s="2">
        <v>4618</v>
      </c>
      <c r="B4623" s="39">
        <v>927092518</v>
      </c>
      <c r="C4623" s="28" t="str">
        <f>HYPERLINK("https://pld.live/RapDetail.aspx?STONELIST=927092518","DNA")</f>
        <v>DNA</v>
      </c>
      <c r="D4623" s="18" t="s">
        <v>5466</v>
      </c>
      <c r="E4623" s="18" t="s">
        <v>5128</v>
      </c>
      <c r="F4623" s="2" t="s">
        <v>7987</v>
      </c>
      <c r="G4623" s="2" t="s">
        <v>1573</v>
      </c>
      <c r="H4623" s="14">
        <v>0.51</v>
      </c>
      <c r="I4623" s="2" t="s">
        <v>267</v>
      </c>
      <c r="J4623" s="2" t="s">
        <v>6555</v>
      </c>
      <c r="K4623" s="2" t="s">
        <v>1452</v>
      </c>
      <c r="L4623" s="2" t="s">
        <v>5221</v>
      </c>
      <c r="M4623" s="2" t="s">
        <v>5221</v>
      </c>
      <c r="N4623" s="2" t="s">
        <v>2317</v>
      </c>
      <c r="O4623" s="14">
        <v>3000</v>
      </c>
      <c r="P4623" s="14">
        <v>94</v>
      </c>
      <c r="Q4623" s="14">
        <v>180</v>
      </c>
      <c r="R4623" s="14">
        <v>91.8</v>
      </c>
      <c r="S4623" s="2" t="s">
        <v>176</v>
      </c>
      <c r="T4623" s="2">
        <v>1.4</v>
      </c>
      <c r="U4623" s="2">
        <v>62.4</v>
      </c>
      <c r="V4623" s="2">
        <v>62</v>
      </c>
      <c r="W4623" s="2" t="s">
        <v>7862</v>
      </c>
      <c r="X4623" s="2" t="s">
        <v>471</v>
      </c>
      <c r="Y4623" s="2">
        <v>1530</v>
      </c>
      <c r="Z4623" s="19" t="str">
        <f>HYPERLINK("https://ssdweb.co/ssdweb/hd/Vision360.html?d=927092518&amp;zoomslide=1&amp;z=1927092518&amp;ISCONFIRM=0","VIDEO")</f>
        <v>VIDEO</v>
      </c>
      <c r="AA4623" s="19" t="str">
        <f>HYPERLINK("https://ssdweb.co/ssdweb/CERTH/689586885.pdf","CERTI")</f>
        <v>CERTI</v>
      </c>
    </row>
    <row r="4624" spans="1:27" ht="15" x14ac:dyDescent="0.25">
      <c r="A4624" s="2">
        <v>4619</v>
      </c>
      <c r="B4624" s="39">
        <v>927152859</v>
      </c>
      <c r="C4624" s="28" t="str">
        <f>HYPERLINK("https://pld.live/RapDetail.aspx?STONELIST=927152859","DNA")</f>
        <v>DNA</v>
      </c>
      <c r="D4624" s="18" t="s">
        <v>5466</v>
      </c>
      <c r="E4624" s="18" t="s">
        <v>5128</v>
      </c>
      <c r="F4624" s="2" t="s">
        <v>7987</v>
      </c>
      <c r="G4624" s="2" t="s">
        <v>1573</v>
      </c>
      <c r="H4624" s="14">
        <v>0.51</v>
      </c>
      <c r="I4624" s="2" t="s">
        <v>267</v>
      </c>
      <c r="J4624" s="2" t="s">
        <v>6555</v>
      </c>
      <c r="K4624" s="2" t="s">
        <v>1452</v>
      </c>
      <c r="L4624" s="2" t="s">
        <v>5221</v>
      </c>
      <c r="M4624" s="2" t="s">
        <v>5721</v>
      </c>
      <c r="N4624" s="2" t="s">
        <v>2317</v>
      </c>
      <c r="O4624" s="14">
        <v>3000</v>
      </c>
      <c r="P4624" s="14">
        <v>94.07</v>
      </c>
      <c r="Q4624" s="14">
        <v>177.9</v>
      </c>
      <c r="R4624" s="14">
        <v>90.73</v>
      </c>
      <c r="S4624" s="2" t="s">
        <v>7781</v>
      </c>
      <c r="T4624" s="2">
        <v>1.39</v>
      </c>
      <c r="U4624" s="2">
        <v>62.9</v>
      </c>
      <c r="V4624" s="2">
        <v>60</v>
      </c>
      <c r="W4624" s="2" t="s">
        <v>7862</v>
      </c>
      <c r="X4624" s="2" t="s">
        <v>471</v>
      </c>
      <c r="Y4624" s="2">
        <v>1530</v>
      </c>
      <c r="Z4624" s="19" t="str">
        <f>HYPERLINK("https://ssdweb.co/ssdweb/hd/Vision360.html?d=927152859&amp;zoomslide=1&amp;z=1927152859&amp;ISCONFIRM=0","VIDEO")</f>
        <v>VIDEO</v>
      </c>
      <c r="AA4624" s="19" t="str">
        <f>HYPERLINK("https://ssdweb.co/ssdweb/CERTH/689587022.pdf","CERTI")</f>
        <v>CERTI</v>
      </c>
    </row>
    <row r="4625" spans="1:27" ht="15" x14ac:dyDescent="0.25">
      <c r="A4625" s="2">
        <v>4620</v>
      </c>
      <c r="B4625" s="39">
        <v>926960861</v>
      </c>
      <c r="C4625" s="28" t="str">
        <f>HYPERLINK("https://pld.live/RapDetail.aspx?STONELIST=926960861","DNA")</f>
        <v>DNA</v>
      </c>
      <c r="D4625" s="18" t="s">
        <v>5466</v>
      </c>
      <c r="E4625" s="18" t="s">
        <v>5128</v>
      </c>
      <c r="F4625" s="2" t="s">
        <v>7987</v>
      </c>
      <c r="G4625" s="2" t="s">
        <v>1573</v>
      </c>
      <c r="H4625" s="14">
        <v>0.51</v>
      </c>
      <c r="I4625" s="2" t="s">
        <v>267</v>
      </c>
      <c r="J4625" s="2" t="s">
        <v>3942</v>
      </c>
      <c r="K4625" s="2" t="s">
        <v>1452</v>
      </c>
      <c r="L4625" s="2" t="s">
        <v>5221</v>
      </c>
      <c r="M4625" s="2" t="s">
        <v>5221</v>
      </c>
      <c r="N4625" s="2" t="s">
        <v>2317</v>
      </c>
      <c r="O4625" s="14">
        <v>2800</v>
      </c>
      <c r="P4625" s="14">
        <v>94.29</v>
      </c>
      <c r="Q4625" s="14">
        <v>159.88</v>
      </c>
      <c r="R4625" s="14">
        <v>81.540000000000006</v>
      </c>
      <c r="S4625" s="2" t="s">
        <v>1318</v>
      </c>
      <c r="T4625" s="2">
        <v>1.38</v>
      </c>
      <c r="U4625" s="2">
        <v>61.1</v>
      </c>
      <c r="V4625" s="2">
        <v>59</v>
      </c>
      <c r="W4625" s="2" t="s">
        <v>7862</v>
      </c>
      <c r="X4625" s="2" t="s">
        <v>471</v>
      </c>
      <c r="Y4625" s="2">
        <v>1428</v>
      </c>
      <c r="Z4625" s="19" t="str">
        <f>HYPERLINK("https://ssdweb.co/ssdweb/hd/Vision360.html?d=926960861&amp;zoomslide=1&amp;z=1926960861&amp;ISCONFIRM=0","VIDEO")</f>
        <v>VIDEO</v>
      </c>
      <c r="AA4625" s="19" t="str">
        <f>HYPERLINK("https://ssdweb.co/ssdweb/CERTH/689586896.pdf","CERTI")</f>
        <v>CERTI</v>
      </c>
    </row>
    <row r="4626" spans="1:27" ht="15" x14ac:dyDescent="0.25">
      <c r="A4626" s="2">
        <v>4621</v>
      </c>
      <c r="B4626" s="39">
        <v>927152826</v>
      </c>
      <c r="C4626" s="28" t="str">
        <f>HYPERLINK("https://pld.live/RapDetail.aspx?STONELIST=927152826","DNA")</f>
        <v>DNA</v>
      </c>
      <c r="D4626" s="18" t="s">
        <v>5466</v>
      </c>
      <c r="E4626" s="18" t="s">
        <v>5128</v>
      </c>
      <c r="F4626" s="2" t="s">
        <v>7987</v>
      </c>
      <c r="G4626" s="2" t="s">
        <v>1573</v>
      </c>
      <c r="H4626" s="14">
        <v>0.51</v>
      </c>
      <c r="I4626" s="2" t="s">
        <v>267</v>
      </c>
      <c r="J4626" s="2" t="s">
        <v>3942</v>
      </c>
      <c r="K4626" s="2" t="s">
        <v>1452</v>
      </c>
      <c r="L4626" s="2" t="s">
        <v>5221</v>
      </c>
      <c r="M4626" s="2" t="s">
        <v>5221</v>
      </c>
      <c r="N4626" s="2" t="s">
        <v>2317</v>
      </c>
      <c r="O4626" s="14">
        <v>2800</v>
      </c>
      <c r="P4626" s="14">
        <v>94.29</v>
      </c>
      <c r="Q4626" s="14">
        <v>159.88</v>
      </c>
      <c r="R4626" s="14">
        <v>81.540000000000006</v>
      </c>
      <c r="S4626" s="2" t="s">
        <v>1785</v>
      </c>
      <c r="T4626" s="2">
        <v>1.4</v>
      </c>
      <c r="U4626" s="2">
        <v>62</v>
      </c>
      <c r="V4626" s="2">
        <v>58</v>
      </c>
      <c r="W4626" s="2" t="s">
        <v>7862</v>
      </c>
      <c r="X4626" s="2" t="s">
        <v>471</v>
      </c>
      <c r="Y4626" s="2">
        <v>1428</v>
      </c>
      <c r="Z4626" s="19" t="str">
        <f>HYPERLINK("https://ssdweb.co/ssdweb/hd/Vision360.html?d=927152826&amp;zoomslide=1&amp;z=1927152826&amp;ISCONFIRM=0","VIDEO")</f>
        <v>VIDEO</v>
      </c>
      <c r="AA4626" s="19" t="str">
        <f>HYPERLINK("https://ssdweb.co/ssdweb/CERTH/689587015.pdf","CERTI")</f>
        <v>CERTI</v>
      </c>
    </row>
    <row r="4627" spans="1:27" ht="15" x14ac:dyDescent="0.25">
      <c r="A4627" s="2">
        <v>4622</v>
      </c>
      <c r="B4627" s="39">
        <v>941040330</v>
      </c>
      <c r="C4627" s="28" t="str">
        <f>HYPERLINK("https://pld.live/RapDetail.aspx?STONELIST=941040330","DNA")</f>
        <v>DNA</v>
      </c>
      <c r="D4627" s="18" t="s">
        <v>5466</v>
      </c>
      <c r="E4627" s="18" t="s">
        <v>5128</v>
      </c>
      <c r="F4627" s="2" t="s">
        <v>7987</v>
      </c>
      <c r="G4627" s="2" t="s">
        <v>1573</v>
      </c>
      <c r="H4627" s="14">
        <v>0.51</v>
      </c>
      <c r="I4627" s="2" t="s">
        <v>267</v>
      </c>
      <c r="J4627" s="2" t="s">
        <v>3942</v>
      </c>
      <c r="K4627" s="2" t="s">
        <v>1452</v>
      </c>
      <c r="L4627" s="2" t="s">
        <v>5221</v>
      </c>
      <c r="M4627" s="2" t="s">
        <v>5221</v>
      </c>
      <c r="N4627" s="2" t="s">
        <v>2317</v>
      </c>
      <c r="O4627" s="14">
        <v>2800</v>
      </c>
      <c r="P4627" s="14">
        <v>94.29</v>
      </c>
      <c r="Q4627" s="14">
        <v>159.88</v>
      </c>
      <c r="R4627" s="14">
        <v>81.540000000000006</v>
      </c>
      <c r="S4627" s="2" t="s">
        <v>7507</v>
      </c>
      <c r="T4627" s="2">
        <v>1.39</v>
      </c>
      <c r="U4627" s="2">
        <v>62.1</v>
      </c>
      <c r="V4627" s="2">
        <v>58</v>
      </c>
      <c r="W4627" s="2" t="s">
        <v>7862</v>
      </c>
      <c r="X4627" s="2" t="s">
        <v>471</v>
      </c>
      <c r="Y4627" s="2">
        <v>1428</v>
      </c>
      <c r="Z4627" s="19" t="str">
        <f>HYPERLINK("https://ssdweb.co/ssdweb/hd/Vision360.html?d=941040330&amp;zoomslide=1&amp;z=1941040330&amp;ISCONFIRM=0","VIDEO")</f>
        <v>VIDEO</v>
      </c>
      <c r="AA4627" s="19" t="str">
        <f>HYPERLINK("https://ssdweb.co/ssdweb/CERTH/689586948.pdf","CERTI")</f>
        <v>CERTI</v>
      </c>
    </row>
    <row r="4628" spans="1:27" ht="15" x14ac:dyDescent="0.25">
      <c r="A4628" s="2">
        <v>4623</v>
      </c>
      <c r="B4628" s="39">
        <v>927101984</v>
      </c>
      <c r="C4628" s="28" t="str">
        <f>HYPERLINK("https://pld.live/RapDetail.aspx?STONELIST=927101984","DNA")</f>
        <v>DNA</v>
      </c>
      <c r="D4628" s="18" t="s">
        <v>5466</v>
      </c>
      <c r="E4628" s="18" t="s">
        <v>5128</v>
      </c>
      <c r="F4628" s="2" t="s">
        <v>7987</v>
      </c>
      <c r="G4628" s="2" t="s">
        <v>1573</v>
      </c>
      <c r="H4628" s="14">
        <v>0.51</v>
      </c>
      <c r="I4628" s="2" t="s">
        <v>267</v>
      </c>
      <c r="J4628" s="2" t="s">
        <v>3942</v>
      </c>
      <c r="K4628" s="2" t="s">
        <v>1452</v>
      </c>
      <c r="L4628" s="2" t="s">
        <v>5221</v>
      </c>
      <c r="M4628" s="2" t="s">
        <v>5221</v>
      </c>
      <c r="N4628" s="2" t="s">
        <v>2317</v>
      </c>
      <c r="O4628" s="14">
        <v>2800</v>
      </c>
      <c r="P4628" s="14">
        <v>94.29</v>
      </c>
      <c r="Q4628" s="14">
        <v>159.88</v>
      </c>
      <c r="R4628" s="14">
        <v>81.540000000000006</v>
      </c>
      <c r="S4628" s="2" t="s">
        <v>6640</v>
      </c>
      <c r="T4628" s="2">
        <v>1.39</v>
      </c>
      <c r="U4628" s="2">
        <v>62.3</v>
      </c>
      <c r="V4628" s="2">
        <v>60</v>
      </c>
      <c r="W4628" s="2" t="s">
        <v>7862</v>
      </c>
      <c r="X4628" s="2" t="s">
        <v>471</v>
      </c>
      <c r="Y4628" s="2">
        <v>1428</v>
      </c>
      <c r="Z4628" s="19" t="str">
        <f>HYPERLINK("https://ssdweb.co/ssdweb/hd/Vision360.html?d=927101984&amp;zoomslide=1&amp;z=1927101984&amp;ISCONFIRM=0","VIDEO")</f>
        <v>VIDEO</v>
      </c>
      <c r="AA4628" s="19" t="str">
        <f>HYPERLINK("https://ssdweb.co/ssdweb/CERTH/689586915.pdf","CERTI")</f>
        <v>CERTI</v>
      </c>
    </row>
    <row r="4629" spans="1:27" ht="15" x14ac:dyDescent="0.25">
      <c r="A4629" s="2">
        <v>4624</v>
      </c>
      <c r="B4629" s="39">
        <v>941060534</v>
      </c>
      <c r="C4629" s="28" t="str">
        <f>HYPERLINK("https://pld.live/RapDetail.aspx?STONELIST=941060534","DNA")</f>
        <v>DNA</v>
      </c>
      <c r="D4629" s="18" t="s">
        <v>5466</v>
      </c>
      <c r="E4629" s="18" t="s">
        <v>2186</v>
      </c>
      <c r="F4629" s="2" t="s">
        <v>7987</v>
      </c>
      <c r="G4629" s="2" t="s">
        <v>1573</v>
      </c>
      <c r="H4629" s="14">
        <v>0.51</v>
      </c>
      <c r="I4629" s="2" t="s">
        <v>267</v>
      </c>
      <c r="J4629" s="2" t="s">
        <v>3942</v>
      </c>
      <c r="K4629" s="2" t="s">
        <v>1452</v>
      </c>
      <c r="L4629" s="2" t="s">
        <v>5221</v>
      </c>
      <c r="M4629" s="2" t="s">
        <v>5221</v>
      </c>
      <c r="N4629" s="2" t="s">
        <v>2317</v>
      </c>
      <c r="O4629" s="14">
        <v>2800</v>
      </c>
      <c r="P4629" s="14">
        <v>94.29</v>
      </c>
      <c r="Q4629" s="14">
        <v>159.88</v>
      </c>
      <c r="R4629" s="14">
        <v>81.540000000000006</v>
      </c>
      <c r="S4629" s="2" t="s">
        <v>2013</v>
      </c>
      <c r="T4629" s="2">
        <v>1.41</v>
      </c>
      <c r="U4629" s="2">
        <v>62.2</v>
      </c>
      <c r="V4629" s="2">
        <v>59</v>
      </c>
      <c r="W4629" s="2" t="s">
        <v>7862</v>
      </c>
      <c r="X4629" s="2" t="s">
        <v>471</v>
      </c>
      <c r="Y4629" s="2">
        <v>1428</v>
      </c>
      <c r="Z4629" s="19" t="str">
        <f>HYPERLINK("https://ssdweb.co/ssdweb/hd/Vision360.html?d=941060534&amp;zoomslide=1&amp;z=1941060534&amp;ISCONFIRM=0","VIDEO")</f>
        <v>VIDEO</v>
      </c>
      <c r="AA4629" s="19" t="str">
        <f>HYPERLINK("https://ssdweb.co/ssdweb/CERTH/689586934.pdf","CERTI")</f>
        <v>CERTI</v>
      </c>
    </row>
    <row r="4630" spans="1:27" ht="15" x14ac:dyDescent="0.25">
      <c r="A4630" s="2">
        <v>4625</v>
      </c>
      <c r="B4630" s="39">
        <v>941190783</v>
      </c>
      <c r="C4630" s="28" t="str">
        <f>HYPERLINK("https://pld.live/RapDetail.aspx?STONELIST=941190783","DNA")</f>
        <v>DNA</v>
      </c>
      <c r="D4630" s="18" t="s">
        <v>5466</v>
      </c>
      <c r="E4630" s="18" t="s">
        <v>5128</v>
      </c>
      <c r="F4630" s="2" t="s">
        <v>7987</v>
      </c>
      <c r="G4630" s="2" t="s">
        <v>1573</v>
      </c>
      <c r="H4630" s="14">
        <v>0.51</v>
      </c>
      <c r="I4630" s="2" t="s">
        <v>267</v>
      </c>
      <c r="J4630" s="2" t="s">
        <v>3942</v>
      </c>
      <c r="K4630" s="2" t="s">
        <v>1452</v>
      </c>
      <c r="L4630" s="2" t="s">
        <v>5221</v>
      </c>
      <c r="M4630" s="2" t="s">
        <v>5721</v>
      </c>
      <c r="N4630" s="2" t="s">
        <v>2317</v>
      </c>
      <c r="O4630" s="14">
        <v>2800</v>
      </c>
      <c r="P4630" s="14">
        <v>94.36</v>
      </c>
      <c r="Q4630" s="14">
        <v>157.91999999999999</v>
      </c>
      <c r="R4630" s="14">
        <v>80.540000000000006</v>
      </c>
      <c r="S4630" s="2" t="s">
        <v>5837</v>
      </c>
      <c r="T4630" s="2">
        <v>1.38</v>
      </c>
      <c r="U4630" s="2">
        <v>61.8</v>
      </c>
      <c r="V4630" s="2">
        <v>62</v>
      </c>
      <c r="W4630" s="2" t="s">
        <v>7862</v>
      </c>
      <c r="X4630" s="2" t="s">
        <v>471</v>
      </c>
      <c r="Y4630" s="2">
        <v>1428</v>
      </c>
      <c r="Z4630" s="19" t="str">
        <f>HYPERLINK("https://ssdweb.co/ssdweb/hd/Vision360.html?d=941190783&amp;zoomslide=1&amp;z=1941190783&amp;ISCONFIRM=0","VIDEO")</f>
        <v>VIDEO</v>
      </c>
      <c r="AA4630" s="19" t="str">
        <f>HYPERLINK("https://ssdweb.co/ssdweb/CERTH/678550410.pdf","CERTI")</f>
        <v>CERTI</v>
      </c>
    </row>
    <row r="4631" spans="1:27" ht="15" x14ac:dyDescent="0.25">
      <c r="A4631" s="2">
        <v>4626</v>
      </c>
      <c r="B4631" s="39">
        <v>927052632</v>
      </c>
      <c r="C4631" s="28" t="str">
        <f>HYPERLINK("https://pld.live/RapDetail.aspx?STONELIST=927052632","DNA")</f>
        <v>DNA</v>
      </c>
      <c r="D4631" s="18" t="s">
        <v>5466</v>
      </c>
      <c r="E4631" s="18" t="s">
        <v>5128</v>
      </c>
      <c r="F4631" s="2" t="s">
        <v>7987</v>
      </c>
      <c r="G4631" s="2" t="s">
        <v>1573</v>
      </c>
      <c r="H4631" s="14">
        <v>0.51</v>
      </c>
      <c r="I4631" s="2" t="s">
        <v>267</v>
      </c>
      <c r="J4631" s="2" t="s">
        <v>3942</v>
      </c>
      <c r="K4631" s="2" t="s">
        <v>1452</v>
      </c>
      <c r="L4631" s="2" t="s">
        <v>5721</v>
      </c>
      <c r="M4631" s="2" t="s">
        <v>5221</v>
      </c>
      <c r="N4631" s="2" t="s">
        <v>2317</v>
      </c>
      <c r="O4631" s="14">
        <v>2800</v>
      </c>
      <c r="P4631" s="14">
        <v>94.43</v>
      </c>
      <c r="Q4631" s="14">
        <v>155.96</v>
      </c>
      <c r="R4631" s="14">
        <v>79.540000000000006</v>
      </c>
      <c r="S4631" s="2" t="s">
        <v>7473</v>
      </c>
      <c r="T4631" s="2">
        <v>1.38</v>
      </c>
      <c r="U4631" s="2">
        <v>63.5</v>
      </c>
      <c r="V4631" s="2">
        <v>63</v>
      </c>
      <c r="W4631" s="2" t="s">
        <v>7862</v>
      </c>
      <c r="X4631" s="2" t="s">
        <v>471</v>
      </c>
      <c r="Y4631" s="2">
        <v>1428</v>
      </c>
      <c r="Z4631" s="19" t="str">
        <f>HYPERLINK("https://ssdweb.co/ssdweb/hd/Vision360.html?d=927052632&amp;zoomslide=1&amp;z=1927052632&amp;ISCONFIRM=0","VIDEO")</f>
        <v>VIDEO</v>
      </c>
      <c r="AA4631" s="19" t="str">
        <f>HYPERLINK("https://ssdweb.co/ssdweb/CERTH/668477276.pdf","CERTI")</f>
        <v>CERTI</v>
      </c>
    </row>
    <row r="4632" spans="1:27" ht="15" x14ac:dyDescent="0.25">
      <c r="A4632" s="2">
        <v>4627</v>
      </c>
      <c r="B4632" s="39">
        <v>941261111</v>
      </c>
      <c r="C4632" s="28" t="str">
        <f>HYPERLINK("https://pld.live/RapDetail.aspx?STONELIST=941261111","DNA")</f>
        <v>DNA</v>
      </c>
      <c r="D4632" s="18" t="s">
        <v>5466</v>
      </c>
      <c r="E4632" s="18" t="s">
        <v>5128</v>
      </c>
      <c r="F4632" s="2" t="s">
        <v>7987</v>
      </c>
      <c r="G4632" s="2" t="s">
        <v>1573</v>
      </c>
      <c r="H4632" s="14">
        <v>0.51</v>
      </c>
      <c r="I4632" s="2" t="s">
        <v>267</v>
      </c>
      <c r="J4632" s="2" t="s">
        <v>13</v>
      </c>
      <c r="K4632" s="2" t="s">
        <v>1452</v>
      </c>
      <c r="L4632" s="2" t="s">
        <v>5221</v>
      </c>
      <c r="M4632" s="2" t="s">
        <v>5221</v>
      </c>
      <c r="N4632" s="2" t="s">
        <v>2317</v>
      </c>
      <c r="O4632" s="14">
        <v>2600</v>
      </c>
      <c r="P4632" s="14">
        <v>94.04</v>
      </c>
      <c r="Q4632" s="14">
        <v>154.96</v>
      </c>
      <c r="R4632" s="14">
        <v>79.03</v>
      </c>
      <c r="S4632" s="2" t="s">
        <v>6910</v>
      </c>
      <c r="T4632" s="2">
        <v>1.38</v>
      </c>
      <c r="U4632" s="2">
        <v>62.2</v>
      </c>
      <c r="V4632" s="2">
        <v>61</v>
      </c>
      <c r="W4632" s="2" t="s">
        <v>7862</v>
      </c>
      <c r="X4632" s="2" t="s">
        <v>471</v>
      </c>
      <c r="Y4632" s="2">
        <v>1326</v>
      </c>
      <c r="Z4632" s="19" t="str">
        <f>HYPERLINK("https://ssdweb.co/ssdweb/hd/Vision360.html?d=941261111&amp;zoomslide=1&amp;z=1941261111&amp;ISCONFIRM=0","VIDEO")</f>
        <v>VIDEO</v>
      </c>
      <c r="AA4632" s="19" t="str">
        <f>HYPERLINK("https://ssdweb.co/ssdweb/CERTH/691533663.pdf","CERTI")</f>
        <v>CERTI</v>
      </c>
    </row>
    <row r="4633" spans="1:27" ht="15" x14ac:dyDescent="0.25">
      <c r="A4633" s="2">
        <v>4628</v>
      </c>
      <c r="B4633" s="39">
        <v>925502727</v>
      </c>
      <c r="C4633" s="28" t="str">
        <f>HYPERLINK("https://pld.live/RapDetail.aspx?STONELIST=925502727","DNA")</f>
        <v>DNA</v>
      </c>
      <c r="D4633" s="18" t="s">
        <v>5466</v>
      </c>
      <c r="E4633" s="18" t="s">
        <v>5128</v>
      </c>
      <c r="F4633" s="2" t="s">
        <v>7987</v>
      </c>
      <c r="G4633" s="2" t="s">
        <v>1573</v>
      </c>
      <c r="H4633" s="14">
        <v>0.51</v>
      </c>
      <c r="I4633" s="2" t="s">
        <v>267</v>
      </c>
      <c r="J4633" s="2" t="s">
        <v>13</v>
      </c>
      <c r="K4633" s="2" t="s">
        <v>1452</v>
      </c>
      <c r="L4633" s="2" t="s">
        <v>5221</v>
      </c>
      <c r="M4633" s="2" t="s">
        <v>5721</v>
      </c>
      <c r="N4633" s="2" t="s">
        <v>2317</v>
      </c>
      <c r="O4633" s="14">
        <v>2600</v>
      </c>
      <c r="P4633" s="14">
        <v>94.19</v>
      </c>
      <c r="Q4633" s="14">
        <v>151.06</v>
      </c>
      <c r="R4633" s="14">
        <v>77.040000000000006</v>
      </c>
      <c r="S4633" s="2" t="s">
        <v>1164</v>
      </c>
      <c r="T4633" s="2">
        <v>1.39</v>
      </c>
      <c r="U4633" s="2">
        <v>60.3</v>
      </c>
      <c r="V4633" s="2">
        <v>66</v>
      </c>
      <c r="W4633" s="2" t="s">
        <v>7862</v>
      </c>
      <c r="X4633" s="2" t="s">
        <v>471</v>
      </c>
      <c r="Y4633" s="2">
        <v>1326</v>
      </c>
      <c r="Z4633" s="19" t="str">
        <f>HYPERLINK("https://ssdweb.co/ssdweb/hd/Vision360.html?d=925502727&amp;zoomslide=1&amp;z=1925502727&amp;ISCONFIRM=0","VIDEO")</f>
        <v>VIDEO</v>
      </c>
      <c r="AA4633" s="19" t="str">
        <f>HYPERLINK("https://ssdweb.co/ssdweb/CERTH/651400994.pdf","CERTI")</f>
        <v>CERTI</v>
      </c>
    </row>
    <row r="4634" spans="1:27" ht="15" x14ac:dyDescent="0.25">
      <c r="A4634" s="2">
        <v>4629</v>
      </c>
      <c r="B4634" s="39">
        <v>941190588</v>
      </c>
      <c r="C4634" s="28" t="str">
        <f>HYPERLINK("https://pld.live/RapDetail.aspx?STONELIST=941190588","DNA")</f>
        <v>DNA</v>
      </c>
      <c r="D4634" s="18" t="s">
        <v>5466</v>
      </c>
      <c r="E4634" s="18" t="s">
        <v>5128</v>
      </c>
      <c r="F4634" s="2" t="s">
        <v>7987</v>
      </c>
      <c r="G4634" s="2" t="s">
        <v>1573</v>
      </c>
      <c r="H4634" s="14">
        <v>0.51</v>
      </c>
      <c r="I4634" s="2" t="s">
        <v>267</v>
      </c>
      <c r="J4634" s="2" t="s">
        <v>13</v>
      </c>
      <c r="K4634" s="2" t="s">
        <v>1452</v>
      </c>
      <c r="L4634" s="2" t="s">
        <v>5221</v>
      </c>
      <c r="M4634" s="2" t="s">
        <v>5721</v>
      </c>
      <c r="N4634" s="2" t="s">
        <v>2317</v>
      </c>
      <c r="O4634" s="14">
        <v>2600</v>
      </c>
      <c r="P4634" s="14">
        <v>94.12</v>
      </c>
      <c r="Q4634" s="14">
        <v>152.88</v>
      </c>
      <c r="R4634" s="14">
        <v>77.97</v>
      </c>
      <c r="S4634" s="2" t="s">
        <v>5309</v>
      </c>
      <c r="T4634" s="2">
        <v>1.38</v>
      </c>
      <c r="U4634" s="2">
        <v>61.6</v>
      </c>
      <c r="V4634" s="2">
        <v>59</v>
      </c>
      <c r="W4634" s="2" t="s">
        <v>7862</v>
      </c>
      <c r="X4634" s="2" t="s">
        <v>471</v>
      </c>
      <c r="Y4634" s="2">
        <v>1326</v>
      </c>
      <c r="Z4634" s="19" t="str">
        <f>HYPERLINK("https://ssdweb.co/ssdweb/hd/Vision360.html?d=941190588&amp;zoomslide=1&amp;z=1941190588&amp;ISCONFIRM=0","VIDEO")</f>
        <v>VIDEO</v>
      </c>
      <c r="AA4634" s="19" t="str">
        <f>HYPERLINK("https://ssdweb.co/ssdweb/CERTH/678550408.pdf","CERTI")</f>
        <v>CERTI</v>
      </c>
    </row>
    <row r="4635" spans="1:27" ht="15" x14ac:dyDescent="0.25">
      <c r="A4635" s="2">
        <v>4630</v>
      </c>
      <c r="B4635" s="39">
        <v>927132344</v>
      </c>
      <c r="C4635" s="28" t="str">
        <f>HYPERLINK("https://pld.live/RapDetail.aspx?STONELIST=927132344","DNA")</f>
        <v>DNA</v>
      </c>
      <c r="D4635" s="18" t="s">
        <v>5466</v>
      </c>
      <c r="E4635" s="18" t="s">
        <v>5128</v>
      </c>
      <c r="F4635" s="2" t="s">
        <v>7987</v>
      </c>
      <c r="G4635" s="2" t="s">
        <v>1573</v>
      </c>
      <c r="H4635" s="14">
        <v>0.51</v>
      </c>
      <c r="I4635" s="2" t="s">
        <v>267</v>
      </c>
      <c r="J4635" s="2" t="s">
        <v>13</v>
      </c>
      <c r="K4635" s="2" t="s">
        <v>1452</v>
      </c>
      <c r="L4635" s="2" t="s">
        <v>5221</v>
      </c>
      <c r="M4635" s="2" t="s">
        <v>5721</v>
      </c>
      <c r="N4635" s="2" t="s">
        <v>2317</v>
      </c>
      <c r="O4635" s="14">
        <v>2600</v>
      </c>
      <c r="P4635" s="14">
        <v>94.12</v>
      </c>
      <c r="Q4635" s="14">
        <v>152.88</v>
      </c>
      <c r="R4635" s="14">
        <v>77.97</v>
      </c>
      <c r="S4635" s="2" t="s">
        <v>83</v>
      </c>
      <c r="T4635" s="2">
        <v>1.39</v>
      </c>
      <c r="U4635" s="2">
        <v>62.4</v>
      </c>
      <c r="V4635" s="2">
        <v>57</v>
      </c>
      <c r="W4635" s="2" t="s">
        <v>7862</v>
      </c>
      <c r="X4635" s="2" t="s">
        <v>471</v>
      </c>
      <c r="Y4635" s="2">
        <v>1326</v>
      </c>
      <c r="Z4635" s="19" t="str">
        <f>HYPERLINK("https://ssdweb.co/ssdweb/hd/Vision360.html?d=927132344&amp;zoomslide=1&amp;z=1927132344&amp;ISCONFIRM=0","VIDEO")</f>
        <v>VIDEO</v>
      </c>
      <c r="AA4635" s="19" t="str">
        <f>HYPERLINK("https://ssdweb.co/ssdweb/CERTH/670484312.pdf","CERTI")</f>
        <v>CERTI</v>
      </c>
    </row>
    <row r="4636" spans="1:27" ht="15" x14ac:dyDescent="0.25">
      <c r="A4636" s="2">
        <v>4631</v>
      </c>
      <c r="B4636" s="39">
        <v>927150494</v>
      </c>
      <c r="C4636" s="28" t="str">
        <f>HYPERLINK("https://pld.live/RapDetail.aspx?STONELIST=927150494","DNA")</f>
        <v>DNA</v>
      </c>
      <c r="D4636" s="18" t="s">
        <v>5466</v>
      </c>
      <c r="E4636" s="18" t="s">
        <v>5128</v>
      </c>
      <c r="F4636" s="2" t="s">
        <v>7987</v>
      </c>
      <c r="G4636" s="2" t="s">
        <v>1573</v>
      </c>
      <c r="H4636" s="14">
        <v>0.51</v>
      </c>
      <c r="I4636" s="2" t="s">
        <v>4761</v>
      </c>
      <c r="J4636" s="2" t="s">
        <v>7032</v>
      </c>
      <c r="K4636" s="2" t="s">
        <v>1452</v>
      </c>
      <c r="L4636" s="2" t="s">
        <v>5221</v>
      </c>
      <c r="M4636" s="2" t="s">
        <v>5221</v>
      </c>
      <c r="N4636" s="2" t="s">
        <v>2317</v>
      </c>
      <c r="O4636" s="14">
        <v>3000</v>
      </c>
      <c r="P4636" s="14">
        <v>91</v>
      </c>
      <c r="Q4636" s="14">
        <v>270</v>
      </c>
      <c r="R4636" s="14">
        <v>137.69999999999999</v>
      </c>
      <c r="S4636" s="2" t="s">
        <v>3603</v>
      </c>
      <c r="T4636" s="2">
        <v>1.39</v>
      </c>
      <c r="U4636" s="2">
        <v>62.7</v>
      </c>
      <c r="V4636" s="2">
        <v>58</v>
      </c>
      <c r="W4636" s="2" t="s">
        <v>7862</v>
      </c>
      <c r="X4636" s="2" t="s">
        <v>471</v>
      </c>
      <c r="Y4636" s="2">
        <v>1530</v>
      </c>
      <c r="Z4636" s="19" t="str">
        <f>HYPERLINK("https://ssdweb.co/ssdweb/hd/Vision360.html?d=927150494&amp;zoomslide=1&amp;z=1927150494&amp;ISCONFIRM=0","VIDEO")</f>
        <v>VIDEO</v>
      </c>
      <c r="AA4636" s="19" t="str">
        <f>HYPERLINK("https://ssdweb.co/ssdweb/CERTH/689586998.pdf","CERTI")</f>
        <v>CERTI</v>
      </c>
    </row>
    <row r="4637" spans="1:27" ht="15" x14ac:dyDescent="0.25">
      <c r="A4637" s="2">
        <v>4632</v>
      </c>
      <c r="B4637" s="39">
        <v>927102316</v>
      </c>
      <c r="C4637" s="28" t="str">
        <f>HYPERLINK("https://pld.live/RapDetail.aspx?STONELIST=927102316","DNA")</f>
        <v>DNA</v>
      </c>
      <c r="D4637" s="18" t="s">
        <v>5466</v>
      </c>
      <c r="E4637" s="18" t="s">
        <v>5128</v>
      </c>
      <c r="F4637" s="2" t="s">
        <v>7987</v>
      </c>
      <c r="G4637" s="2" t="s">
        <v>1573</v>
      </c>
      <c r="H4637" s="14">
        <v>0.51</v>
      </c>
      <c r="I4637" s="2" t="s">
        <v>4761</v>
      </c>
      <c r="J4637" s="2" t="s">
        <v>6555</v>
      </c>
      <c r="K4637" s="2" t="s">
        <v>1452</v>
      </c>
      <c r="L4637" s="2" t="s">
        <v>5221</v>
      </c>
      <c r="M4637" s="2" t="s">
        <v>5221</v>
      </c>
      <c r="N4637" s="2" t="s">
        <v>2317</v>
      </c>
      <c r="O4637" s="14">
        <v>2800</v>
      </c>
      <c r="P4637" s="14">
        <v>93.75</v>
      </c>
      <c r="Q4637" s="14">
        <v>175</v>
      </c>
      <c r="R4637" s="14">
        <v>89.25</v>
      </c>
      <c r="S4637" s="2" t="s">
        <v>2839</v>
      </c>
      <c r="T4637" s="2">
        <v>1.39</v>
      </c>
      <c r="U4637" s="2">
        <v>62.2</v>
      </c>
      <c r="V4637" s="2">
        <v>60</v>
      </c>
      <c r="W4637" s="2" t="s">
        <v>7862</v>
      </c>
      <c r="X4637" s="2" t="s">
        <v>471</v>
      </c>
      <c r="Y4637" s="2">
        <v>1428</v>
      </c>
      <c r="Z4637" s="19" t="str">
        <f>HYPERLINK("https://ssdweb.co/ssdweb/hd/Vision360.html?d=927102316&amp;zoomslide=1&amp;z=1927102316&amp;ISCONFIRM=0","VIDEO")</f>
        <v>VIDEO</v>
      </c>
      <c r="AA4637" s="19" t="str">
        <f>HYPERLINK("https://ssdweb.co/ssdweb/CERTH/689586918.pdf","CERTI")</f>
        <v>CERTI</v>
      </c>
    </row>
    <row r="4638" spans="1:27" ht="15" x14ac:dyDescent="0.25">
      <c r="A4638" s="2">
        <v>4633</v>
      </c>
      <c r="B4638" s="39">
        <v>927152877</v>
      </c>
      <c r="C4638" s="28" t="str">
        <f>HYPERLINK("https://pld.live/RapDetail.aspx?STONELIST=927152877","DNA")</f>
        <v>DNA</v>
      </c>
      <c r="D4638" s="18" t="s">
        <v>5466</v>
      </c>
      <c r="E4638" s="18" t="s">
        <v>5128</v>
      </c>
      <c r="F4638" s="2" t="s">
        <v>7987</v>
      </c>
      <c r="G4638" s="2" t="s">
        <v>1573</v>
      </c>
      <c r="H4638" s="14">
        <v>0.51</v>
      </c>
      <c r="I4638" s="2" t="s">
        <v>4761</v>
      </c>
      <c r="J4638" s="2" t="s">
        <v>6555</v>
      </c>
      <c r="K4638" s="2" t="s">
        <v>1452</v>
      </c>
      <c r="L4638" s="2" t="s">
        <v>5221</v>
      </c>
      <c r="M4638" s="2" t="s">
        <v>5721</v>
      </c>
      <c r="N4638" s="2" t="s">
        <v>2317</v>
      </c>
      <c r="O4638" s="14">
        <v>2800</v>
      </c>
      <c r="P4638" s="14">
        <v>93.75</v>
      </c>
      <c r="Q4638" s="14">
        <v>175</v>
      </c>
      <c r="R4638" s="14">
        <v>89.25</v>
      </c>
      <c r="S4638" s="2" t="s">
        <v>6988</v>
      </c>
      <c r="T4638" s="2">
        <v>1.42</v>
      </c>
      <c r="U4638" s="2">
        <v>60.1</v>
      </c>
      <c r="V4638" s="2">
        <v>61</v>
      </c>
      <c r="W4638" s="2" t="s">
        <v>7862</v>
      </c>
      <c r="X4638" s="2" t="s">
        <v>471</v>
      </c>
      <c r="Y4638" s="2">
        <v>1428</v>
      </c>
      <c r="Z4638" s="19" t="str">
        <f>HYPERLINK("https://ssdweb.co/ssdweb/hd/Vision360.html?d=927152877&amp;zoomslide=1&amp;z=1927152877&amp;ISCONFIRM=0","VIDEO")</f>
        <v>VIDEO</v>
      </c>
      <c r="AA4638" s="19" t="str">
        <f>HYPERLINK("https://ssdweb.co/ssdweb/CERTH/689587025.pdf","CERTI")</f>
        <v>CERTI</v>
      </c>
    </row>
    <row r="4639" spans="1:27" ht="15" x14ac:dyDescent="0.25">
      <c r="A4639" s="2">
        <v>4634</v>
      </c>
      <c r="B4639" s="39">
        <v>941261073</v>
      </c>
      <c r="C4639" s="28" t="str">
        <f>HYPERLINK("https://pld.live/RapDetail.aspx?STONELIST=941261073","DNA")</f>
        <v>DNA</v>
      </c>
      <c r="D4639" s="18" t="s">
        <v>5466</v>
      </c>
      <c r="E4639" s="18" t="s">
        <v>5128</v>
      </c>
      <c r="F4639" s="2" t="s">
        <v>7987</v>
      </c>
      <c r="G4639" s="2" t="s">
        <v>1573</v>
      </c>
      <c r="H4639" s="14">
        <v>0.51</v>
      </c>
      <c r="I4639" s="2" t="s">
        <v>4761</v>
      </c>
      <c r="J4639" s="2" t="s">
        <v>3942</v>
      </c>
      <c r="K4639" s="2" t="s">
        <v>1452</v>
      </c>
      <c r="L4639" s="2" t="s">
        <v>5221</v>
      </c>
      <c r="M4639" s="2" t="s">
        <v>5221</v>
      </c>
      <c r="N4639" s="2" t="s">
        <v>2317</v>
      </c>
      <c r="O4639" s="14">
        <v>2600</v>
      </c>
      <c r="P4639" s="14">
        <v>93.96</v>
      </c>
      <c r="Q4639" s="14">
        <v>157.04</v>
      </c>
      <c r="R4639" s="14">
        <v>80.09</v>
      </c>
      <c r="S4639" s="2" t="s">
        <v>4369</v>
      </c>
      <c r="T4639" s="2">
        <v>1.37</v>
      </c>
      <c r="U4639" s="2">
        <v>61.6</v>
      </c>
      <c r="V4639" s="2">
        <v>61</v>
      </c>
      <c r="W4639" s="2" t="s">
        <v>7862</v>
      </c>
      <c r="X4639" s="2" t="s">
        <v>471</v>
      </c>
      <c r="Y4639" s="2">
        <v>1326</v>
      </c>
      <c r="Z4639" s="19" t="str">
        <f>HYPERLINK("https://ssdweb.co/ssdweb/hd/Vision360.html?d=941261073&amp;zoomslide=1&amp;z=1941261073&amp;ISCONFIRM=0","VIDEO")</f>
        <v>VIDEO</v>
      </c>
      <c r="AA4639" s="19" t="str">
        <f>HYPERLINK("https://ssdweb.co/ssdweb/CERTH/692505632.pdf","CERTI")</f>
        <v>CERTI</v>
      </c>
    </row>
    <row r="4640" spans="1:27" ht="15" x14ac:dyDescent="0.25">
      <c r="A4640" s="2">
        <v>4635</v>
      </c>
      <c r="B4640" s="39">
        <v>941050577</v>
      </c>
      <c r="C4640" s="28" t="str">
        <f>HYPERLINK("https://pld.live/RapDetail.aspx?STONELIST=941050577","DNA")</f>
        <v>DNA</v>
      </c>
      <c r="D4640" s="18" t="s">
        <v>5466</v>
      </c>
      <c r="E4640" s="18" t="s">
        <v>2186</v>
      </c>
      <c r="F4640" s="2" t="s">
        <v>7987</v>
      </c>
      <c r="G4640" s="2" t="s">
        <v>1573</v>
      </c>
      <c r="H4640" s="14">
        <v>0.51</v>
      </c>
      <c r="I4640" s="2" t="s">
        <v>4761</v>
      </c>
      <c r="J4640" s="2" t="s">
        <v>3942</v>
      </c>
      <c r="K4640" s="2" t="s">
        <v>1452</v>
      </c>
      <c r="L4640" s="2" t="s">
        <v>5221</v>
      </c>
      <c r="M4640" s="2" t="s">
        <v>5221</v>
      </c>
      <c r="N4640" s="2" t="s">
        <v>2317</v>
      </c>
      <c r="O4640" s="14">
        <v>2600</v>
      </c>
      <c r="P4640" s="14">
        <v>93.96</v>
      </c>
      <c r="Q4640" s="14">
        <v>157.04</v>
      </c>
      <c r="R4640" s="14">
        <v>80.09</v>
      </c>
      <c r="S4640" s="2" t="s">
        <v>1400</v>
      </c>
      <c r="T4640" s="2">
        <v>1.4</v>
      </c>
      <c r="U4640" s="2">
        <v>62.3</v>
      </c>
      <c r="V4640" s="2">
        <v>58</v>
      </c>
      <c r="W4640" s="2" t="s">
        <v>7862</v>
      </c>
      <c r="X4640" s="2" t="s">
        <v>471</v>
      </c>
      <c r="Y4640" s="2">
        <v>1326</v>
      </c>
      <c r="Z4640" s="19" t="str">
        <f>HYPERLINK("https://ssdweb.co/ssdweb/hd/Vision360.html?d=941050577&amp;zoomslide=1&amp;z=1941050577&amp;ISCONFIRM=0","VIDEO")</f>
        <v>VIDEO</v>
      </c>
      <c r="AA4640" s="19" t="str">
        <f>HYPERLINK("https://ssdweb.co/ssdweb/CERTH/689586951.pdf","CERTI")</f>
        <v>CERTI</v>
      </c>
    </row>
    <row r="4641" spans="1:27" ht="15" x14ac:dyDescent="0.25">
      <c r="A4641" s="2">
        <v>4636</v>
      </c>
      <c r="B4641" s="39">
        <v>927052635</v>
      </c>
      <c r="C4641" s="28" t="str">
        <f>HYPERLINK("https://pld.live/RapDetail.aspx?STONELIST=927052635","DNA")</f>
        <v>DNA</v>
      </c>
      <c r="D4641" s="18" t="s">
        <v>5466</v>
      </c>
      <c r="E4641" s="18" t="s">
        <v>5128</v>
      </c>
      <c r="F4641" s="2" t="s">
        <v>7987</v>
      </c>
      <c r="G4641" s="2" t="s">
        <v>1573</v>
      </c>
      <c r="H4641" s="14">
        <v>0.51</v>
      </c>
      <c r="I4641" s="2" t="s">
        <v>4761</v>
      </c>
      <c r="J4641" s="2" t="s">
        <v>3942</v>
      </c>
      <c r="K4641" s="2" t="s">
        <v>1452</v>
      </c>
      <c r="L4641" s="2" t="s">
        <v>5221</v>
      </c>
      <c r="M4641" s="2" t="s">
        <v>5221</v>
      </c>
      <c r="N4641" s="2" t="s">
        <v>2317</v>
      </c>
      <c r="O4641" s="14">
        <v>2600</v>
      </c>
      <c r="P4641" s="14">
        <v>93.96</v>
      </c>
      <c r="Q4641" s="14">
        <v>157.04</v>
      </c>
      <c r="R4641" s="14">
        <v>80.09</v>
      </c>
      <c r="S4641" s="2" t="s">
        <v>3710</v>
      </c>
      <c r="T4641" s="2">
        <v>1.39</v>
      </c>
      <c r="U4641" s="2">
        <v>62.6</v>
      </c>
      <c r="V4641" s="2">
        <v>58</v>
      </c>
      <c r="W4641" s="2" t="s">
        <v>7862</v>
      </c>
      <c r="X4641" s="2" t="s">
        <v>471</v>
      </c>
      <c r="Y4641" s="2">
        <v>1326</v>
      </c>
      <c r="Z4641" s="19" t="str">
        <f>HYPERLINK("https://ssdweb.co/ssdweb/hd/Vision360.html?d=927052635&amp;zoomslide=1&amp;z=1927052635&amp;ISCONFIRM=0","VIDEO")</f>
        <v>VIDEO</v>
      </c>
      <c r="AA4641" s="19" t="str">
        <f>HYPERLINK("https://ssdweb.co/ssdweb/CERTH/689586908.pdf","CERTI")</f>
        <v>CERTI</v>
      </c>
    </row>
    <row r="4642" spans="1:27" ht="15" x14ac:dyDescent="0.25">
      <c r="A4642" s="2">
        <v>4637</v>
      </c>
      <c r="B4642" s="39">
        <v>926730502</v>
      </c>
      <c r="C4642" s="28" t="str">
        <f>HYPERLINK("https://pld.live/RapDetail.aspx?STONELIST=926730502","DNA")</f>
        <v>DNA</v>
      </c>
      <c r="D4642" s="18" t="s">
        <v>5466</v>
      </c>
      <c r="E4642" s="18" t="s">
        <v>5128</v>
      </c>
      <c r="F4642" s="2" t="s">
        <v>7987</v>
      </c>
      <c r="G4642" s="2" t="s">
        <v>1573</v>
      </c>
      <c r="H4642" s="14">
        <v>0.51</v>
      </c>
      <c r="I4642" s="2" t="s">
        <v>4761</v>
      </c>
      <c r="J4642" s="2" t="s">
        <v>3942</v>
      </c>
      <c r="K4642" s="2" t="s">
        <v>1452</v>
      </c>
      <c r="L4642" s="2" t="s">
        <v>5221</v>
      </c>
      <c r="M4642" s="2" t="s">
        <v>5721</v>
      </c>
      <c r="N4642" s="2" t="s">
        <v>2317</v>
      </c>
      <c r="O4642" s="14">
        <v>2600</v>
      </c>
      <c r="P4642" s="14">
        <v>94.12</v>
      </c>
      <c r="Q4642" s="14">
        <v>152.88</v>
      </c>
      <c r="R4642" s="14">
        <v>77.97</v>
      </c>
      <c r="S4642" s="2" t="s">
        <v>3024</v>
      </c>
      <c r="T4642" s="2">
        <v>1.43</v>
      </c>
      <c r="U4642" s="2">
        <v>51.2</v>
      </c>
      <c r="V4642" s="2">
        <v>63</v>
      </c>
      <c r="W4642" s="2" t="s">
        <v>7862</v>
      </c>
      <c r="X4642" s="2" t="s">
        <v>471</v>
      </c>
      <c r="Y4642" s="2">
        <v>1326</v>
      </c>
      <c r="Z4642" s="19" t="str">
        <f>HYPERLINK("https://ssdweb.co/ssdweb/hd/Vision360.html?d=926730502&amp;zoomslide=1&amp;z=1926730502&amp;ISCONFIRM=0","VIDEO")</f>
        <v>VIDEO</v>
      </c>
      <c r="AA4642" s="19" t="str">
        <f>HYPERLINK("https://ssdweb.co/ssdweb/CERTH/662452700.pdf","CERTI")</f>
        <v>CERTI</v>
      </c>
    </row>
    <row r="4643" spans="1:27" ht="15" x14ac:dyDescent="0.25">
      <c r="A4643" s="2">
        <v>4638</v>
      </c>
      <c r="B4643" s="39">
        <v>927132312</v>
      </c>
      <c r="C4643" s="28" t="str">
        <f>HYPERLINK("https://pld.live/RapDetail.aspx?STONELIST=927132312","DNA")</f>
        <v>DNA</v>
      </c>
      <c r="D4643" s="18" t="s">
        <v>5466</v>
      </c>
      <c r="E4643" s="18" t="s">
        <v>5128</v>
      </c>
      <c r="F4643" s="2" t="s">
        <v>7987</v>
      </c>
      <c r="G4643" s="2" t="s">
        <v>1573</v>
      </c>
      <c r="H4643" s="14">
        <v>0.51</v>
      </c>
      <c r="I4643" s="2" t="s">
        <v>4761</v>
      </c>
      <c r="J4643" s="2" t="s">
        <v>3942</v>
      </c>
      <c r="K4643" s="2" t="s">
        <v>1452</v>
      </c>
      <c r="L4643" s="2" t="s">
        <v>5221</v>
      </c>
      <c r="M4643" s="2" t="s">
        <v>5721</v>
      </c>
      <c r="N4643" s="2" t="s">
        <v>2317</v>
      </c>
      <c r="O4643" s="14">
        <v>2600</v>
      </c>
      <c r="P4643" s="14">
        <v>93.96</v>
      </c>
      <c r="Q4643" s="14">
        <v>157.04</v>
      </c>
      <c r="R4643" s="14">
        <v>80.09</v>
      </c>
      <c r="S4643" s="2" t="s">
        <v>4301</v>
      </c>
      <c r="T4643" s="2">
        <v>1.39</v>
      </c>
      <c r="U4643" s="2">
        <v>61</v>
      </c>
      <c r="V4643" s="2">
        <v>60</v>
      </c>
      <c r="W4643" s="2" t="s">
        <v>7862</v>
      </c>
      <c r="X4643" s="2" t="s">
        <v>471</v>
      </c>
      <c r="Y4643" s="2">
        <v>1326</v>
      </c>
      <c r="Z4643" s="19" t="str">
        <f>HYPERLINK("https://ssdweb.co/ssdweb/hd/Vision360.html?d=927132312&amp;zoomslide=1&amp;z=1927132312&amp;ISCONFIRM=0","VIDEO")</f>
        <v>VIDEO</v>
      </c>
      <c r="AA4643" s="19" t="str">
        <f>HYPERLINK("https://ssdweb.co/ssdweb/CERTH/689586930.pdf","CERTI")</f>
        <v>CERTI</v>
      </c>
    </row>
    <row r="4644" spans="1:27" ht="15" x14ac:dyDescent="0.25">
      <c r="A4644" s="2">
        <v>4639</v>
      </c>
      <c r="B4644" s="39">
        <v>927132284</v>
      </c>
      <c r="C4644" s="28" t="str">
        <f>HYPERLINK("https://pld.live/RapDetail.aspx?STONELIST=927132284","DNA")</f>
        <v>DNA</v>
      </c>
      <c r="D4644" s="18" t="s">
        <v>5466</v>
      </c>
      <c r="E4644" s="18" t="s">
        <v>5128</v>
      </c>
      <c r="F4644" s="2" t="s">
        <v>7987</v>
      </c>
      <c r="G4644" s="2" t="s">
        <v>1573</v>
      </c>
      <c r="H4644" s="14">
        <v>0.51</v>
      </c>
      <c r="I4644" s="2" t="s">
        <v>4761</v>
      </c>
      <c r="J4644" s="2" t="s">
        <v>5144</v>
      </c>
      <c r="K4644" s="2" t="s">
        <v>1452</v>
      </c>
      <c r="L4644" s="2" t="s">
        <v>5221</v>
      </c>
      <c r="M4644" s="2" t="s">
        <v>5721</v>
      </c>
      <c r="N4644" s="2" t="s">
        <v>2317</v>
      </c>
      <c r="O4644" s="14">
        <v>2300</v>
      </c>
      <c r="P4644" s="14">
        <v>94.22</v>
      </c>
      <c r="Q4644" s="14">
        <v>132.94</v>
      </c>
      <c r="R4644" s="14">
        <v>67.8</v>
      </c>
      <c r="S4644" s="2" t="s">
        <v>6558</v>
      </c>
      <c r="T4644" s="2">
        <v>1.39</v>
      </c>
      <c r="U4644" s="2">
        <v>62.3</v>
      </c>
      <c r="V4644" s="2">
        <v>59</v>
      </c>
      <c r="W4644" s="2" t="s">
        <v>7862</v>
      </c>
      <c r="X4644" s="2" t="s">
        <v>471</v>
      </c>
      <c r="Y4644" s="2">
        <v>1173</v>
      </c>
      <c r="Z4644" s="19" t="str">
        <f>HYPERLINK("https://ssdweb.co/ssdweb/hd/Vision360.html?d=927132284&amp;zoomslide=1&amp;z=1927132284&amp;ISCONFIRM=0","VIDEO")</f>
        <v>VIDEO</v>
      </c>
      <c r="AA4644" s="19" t="str">
        <f>HYPERLINK("https://ssdweb.co/ssdweb/CERTH/669458143.pdf","CERTI")</f>
        <v>CERTI</v>
      </c>
    </row>
    <row r="4645" spans="1:27" ht="15" x14ac:dyDescent="0.25">
      <c r="A4645" s="2">
        <v>4640</v>
      </c>
      <c r="B4645" s="39">
        <v>924960428</v>
      </c>
      <c r="C4645" s="28" t="str">
        <f>HYPERLINK("https://pld.live/RapDetail.aspx?STONELIST=924960428","DNA")</f>
        <v>DNA</v>
      </c>
      <c r="D4645" s="18" t="s">
        <v>5466</v>
      </c>
      <c r="E4645" s="18" t="s">
        <v>5128</v>
      </c>
      <c r="F4645" s="2" t="s">
        <v>7987</v>
      </c>
      <c r="G4645" s="2" t="s">
        <v>1573</v>
      </c>
      <c r="H4645" s="14">
        <v>0.5</v>
      </c>
      <c r="I4645" s="2" t="s">
        <v>267</v>
      </c>
      <c r="J4645" s="2" t="s">
        <v>7032</v>
      </c>
      <c r="K4645" s="2" t="s">
        <v>1452</v>
      </c>
      <c r="L4645" s="2" t="s">
        <v>5221</v>
      </c>
      <c r="M4645" s="2" t="s">
        <v>5721</v>
      </c>
      <c r="N4645" s="2" t="s">
        <v>2317</v>
      </c>
      <c r="O4645" s="14">
        <v>3300</v>
      </c>
      <c r="P4645" s="14">
        <v>91.52</v>
      </c>
      <c r="Q4645" s="14">
        <v>279.83999999999997</v>
      </c>
      <c r="R4645" s="14">
        <v>139.91999999999999</v>
      </c>
      <c r="S4645" s="2" t="s">
        <v>2133</v>
      </c>
      <c r="T4645" s="2">
        <v>1.38</v>
      </c>
      <c r="U4645" s="2">
        <v>62.5</v>
      </c>
      <c r="V4645" s="2">
        <v>61</v>
      </c>
      <c r="W4645" s="2" t="s">
        <v>7862</v>
      </c>
      <c r="X4645" s="2" t="s">
        <v>471</v>
      </c>
      <c r="Y4645" s="2">
        <v>1650</v>
      </c>
      <c r="Z4645" s="19" t="str">
        <f>HYPERLINK("https://ssdweb.co/ssdweb/hd/Vision360.html?d=924960428&amp;zoomslide=1&amp;z=1924960428&amp;ISCONFIRM=0","VIDEO")</f>
        <v>VIDEO</v>
      </c>
      <c r="AA4645" s="19" t="str">
        <f>HYPERLINK("https://ssdweb.co/ssdweb/CERTH/607357719.pdf","CERTI")</f>
        <v>CERTI</v>
      </c>
    </row>
    <row r="4646" spans="1:27" ht="15" x14ac:dyDescent="0.25">
      <c r="A4646" s="2">
        <v>4641</v>
      </c>
      <c r="B4646" s="39">
        <v>941170329</v>
      </c>
      <c r="C4646" s="28" t="str">
        <f>HYPERLINK("https://pld.live/RapDetail.aspx?STONELIST=941170329","DNA")</f>
        <v>DNA</v>
      </c>
      <c r="D4646" s="18" t="s">
        <v>5466</v>
      </c>
      <c r="E4646" s="18" t="s">
        <v>5128</v>
      </c>
      <c r="F4646" s="2" t="s">
        <v>7987</v>
      </c>
      <c r="G4646" s="2" t="s">
        <v>1573</v>
      </c>
      <c r="H4646" s="14">
        <v>0.5</v>
      </c>
      <c r="I4646" s="2" t="s">
        <v>267</v>
      </c>
      <c r="J4646" s="2" t="s">
        <v>6555</v>
      </c>
      <c r="K4646" s="2" t="s">
        <v>1452</v>
      </c>
      <c r="L4646" s="2" t="s">
        <v>5221</v>
      </c>
      <c r="M4646" s="2" t="s">
        <v>5221</v>
      </c>
      <c r="N4646" s="2" t="s">
        <v>2317</v>
      </c>
      <c r="O4646" s="14">
        <v>3000</v>
      </c>
      <c r="P4646" s="14">
        <v>94</v>
      </c>
      <c r="Q4646" s="14">
        <v>180</v>
      </c>
      <c r="R4646" s="14">
        <v>90</v>
      </c>
      <c r="S4646" s="2" t="s">
        <v>794</v>
      </c>
      <c r="T4646" s="2">
        <v>1.4</v>
      </c>
      <c r="U4646" s="2">
        <v>60.4</v>
      </c>
      <c r="V4646" s="2">
        <v>64</v>
      </c>
      <c r="W4646" s="2" t="s">
        <v>7862</v>
      </c>
      <c r="X4646" s="2" t="s">
        <v>471</v>
      </c>
      <c r="Y4646" s="2">
        <v>1500</v>
      </c>
      <c r="Z4646" s="19" t="str">
        <f>HYPERLINK("https://ssdweb.co/ssdweb/hd/Vision360.html?d=941170329&amp;zoomslide=1&amp;z=1941170329&amp;ISCONFIRM=0","VIDEO")</f>
        <v>VIDEO</v>
      </c>
      <c r="AA4646" s="19" t="str">
        <f>HYPERLINK("https://ssdweb.co/ssdweb/CERTH/689586940.pdf","CERTI")</f>
        <v>CERTI</v>
      </c>
    </row>
    <row r="4647" spans="1:27" ht="15" x14ac:dyDescent="0.25">
      <c r="A4647" s="2">
        <v>4642</v>
      </c>
      <c r="B4647" s="39">
        <v>927052559</v>
      </c>
      <c r="C4647" s="28" t="str">
        <f>HYPERLINK("https://pld.live/RapDetail.aspx?STONELIST=927052559","DNA")</f>
        <v>DNA</v>
      </c>
      <c r="D4647" s="18" t="s">
        <v>5466</v>
      </c>
      <c r="E4647" s="18" t="s">
        <v>5128</v>
      </c>
      <c r="F4647" s="2" t="s">
        <v>7987</v>
      </c>
      <c r="G4647" s="2" t="s">
        <v>1573</v>
      </c>
      <c r="H4647" s="14">
        <v>0.5</v>
      </c>
      <c r="I4647" s="2" t="s">
        <v>267</v>
      </c>
      <c r="J4647" s="2" t="s">
        <v>6555</v>
      </c>
      <c r="K4647" s="2" t="s">
        <v>1452</v>
      </c>
      <c r="L4647" s="2" t="s">
        <v>5221</v>
      </c>
      <c r="M4647" s="2" t="s">
        <v>5221</v>
      </c>
      <c r="N4647" s="2" t="s">
        <v>2317</v>
      </c>
      <c r="O4647" s="14">
        <v>3000</v>
      </c>
      <c r="P4647" s="14">
        <v>94</v>
      </c>
      <c r="Q4647" s="14">
        <v>180</v>
      </c>
      <c r="R4647" s="14">
        <v>90</v>
      </c>
      <c r="S4647" s="2" t="s">
        <v>4894</v>
      </c>
      <c r="T4647" s="2">
        <v>1.4</v>
      </c>
      <c r="U4647" s="2">
        <v>60.4</v>
      </c>
      <c r="V4647" s="2">
        <v>61</v>
      </c>
      <c r="W4647" s="2" t="s">
        <v>7862</v>
      </c>
      <c r="X4647" s="2" t="s">
        <v>471</v>
      </c>
      <c r="Y4647" s="2">
        <v>1500</v>
      </c>
      <c r="Z4647" s="19" t="str">
        <f>HYPERLINK("https://ssdweb.co/ssdweb/hd/Vision360.html?d=927052559&amp;zoomslide=1&amp;z=1927052559&amp;ISCONFIRM=0","VIDEO")</f>
        <v>VIDEO</v>
      </c>
      <c r="AA4647" s="19" t="str">
        <f>HYPERLINK("https://ssdweb.co/ssdweb/CERTH/689586906.pdf","CERTI")</f>
        <v>CERTI</v>
      </c>
    </row>
    <row r="4648" spans="1:27" ht="15" x14ac:dyDescent="0.25">
      <c r="A4648" s="2">
        <v>4643</v>
      </c>
      <c r="B4648" s="39">
        <v>925870593</v>
      </c>
      <c r="C4648" s="28" t="str">
        <f>HYPERLINK("https://pld.live/RapDetail.aspx?STONELIST=925870593","DNA")</f>
        <v>DNA</v>
      </c>
      <c r="D4648" s="18" t="s">
        <v>5466</v>
      </c>
      <c r="E4648" s="18" t="s">
        <v>5128</v>
      </c>
      <c r="F4648" s="2" t="s">
        <v>7987</v>
      </c>
      <c r="G4648" s="2" t="s">
        <v>1573</v>
      </c>
      <c r="H4648" s="14">
        <v>0.5</v>
      </c>
      <c r="I4648" s="2" t="s">
        <v>267</v>
      </c>
      <c r="J4648" s="2" t="s">
        <v>6555</v>
      </c>
      <c r="K4648" s="2" t="s">
        <v>1452</v>
      </c>
      <c r="L4648" s="2" t="s">
        <v>5221</v>
      </c>
      <c r="M4648" s="2" t="s">
        <v>5721</v>
      </c>
      <c r="N4648" s="2" t="s">
        <v>2317</v>
      </c>
      <c r="O4648" s="14">
        <v>3000</v>
      </c>
      <c r="P4648" s="14">
        <v>94.2</v>
      </c>
      <c r="Q4648" s="14">
        <v>174</v>
      </c>
      <c r="R4648" s="14">
        <v>87</v>
      </c>
      <c r="S4648" s="2" t="s">
        <v>3992</v>
      </c>
      <c r="T4648" s="2">
        <v>1.44</v>
      </c>
      <c r="U4648" s="2">
        <v>60.7</v>
      </c>
      <c r="V4648" s="2">
        <v>56</v>
      </c>
      <c r="W4648" s="2" t="s">
        <v>7862</v>
      </c>
      <c r="X4648" s="2" t="s">
        <v>471</v>
      </c>
      <c r="Y4648" s="2">
        <v>1500</v>
      </c>
      <c r="Z4648" s="19" t="str">
        <f>HYPERLINK("https://ssdweb.co/ssdweb/hd/Vision360.html?d=925870593&amp;zoomslide=1&amp;z=1925870593&amp;ISCONFIRM=0","VIDEO")</f>
        <v>VIDEO</v>
      </c>
      <c r="AA4648" s="19" t="str">
        <f>HYPERLINK("https://ssdweb.co/ssdweb/CERTH/636429987.pdf","CERTI")</f>
        <v>CERTI</v>
      </c>
    </row>
    <row r="4649" spans="1:27" ht="15" x14ac:dyDescent="0.25">
      <c r="A4649" s="2">
        <v>4644</v>
      </c>
      <c r="B4649" s="39">
        <v>926110103</v>
      </c>
      <c r="C4649" s="28" t="str">
        <f>HYPERLINK("https://pld.live/RapDetail.aspx?STONELIST=926110103","DNA")</f>
        <v>DNA</v>
      </c>
      <c r="D4649" s="18" t="s">
        <v>5466</v>
      </c>
      <c r="E4649" s="18" t="s">
        <v>5128</v>
      </c>
      <c r="F4649" s="2" t="s">
        <v>7987</v>
      </c>
      <c r="G4649" s="2" t="s">
        <v>1573</v>
      </c>
      <c r="H4649" s="14">
        <v>0.5</v>
      </c>
      <c r="I4649" s="2" t="s">
        <v>267</v>
      </c>
      <c r="J4649" s="2" t="s">
        <v>6555</v>
      </c>
      <c r="K4649" s="2" t="s">
        <v>1452</v>
      </c>
      <c r="L4649" s="2" t="s">
        <v>5221</v>
      </c>
      <c r="M4649" s="2" t="s">
        <v>5721</v>
      </c>
      <c r="N4649" s="2" t="s">
        <v>2317</v>
      </c>
      <c r="O4649" s="14">
        <v>3000</v>
      </c>
      <c r="P4649" s="14">
        <v>94.2</v>
      </c>
      <c r="Q4649" s="14">
        <v>174</v>
      </c>
      <c r="R4649" s="14">
        <v>87</v>
      </c>
      <c r="S4649" s="2" t="s">
        <v>6133</v>
      </c>
      <c r="T4649" s="2">
        <v>1.48</v>
      </c>
      <c r="U4649" s="2">
        <v>62.2</v>
      </c>
      <c r="V4649" s="2">
        <v>61</v>
      </c>
      <c r="W4649" s="2" t="s">
        <v>7862</v>
      </c>
      <c r="X4649" s="2" t="s">
        <v>471</v>
      </c>
      <c r="Y4649" s="2">
        <v>1500</v>
      </c>
      <c r="Z4649" s="19" t="str">
        <f>HYPERLINK("https://ssdweb.co/ssdweb/hd/Vision360.html?d=926110103&amp;zoomslide=1&amp;z=1926110103&amp;ISCONFIRM=0","VIDEO")</f>
        <v>VIDEO</v>
      </c>
      <c r="AA4649" s="19" t="str">
        <f>HYPERLINK("https://ssdweb.co/ssdweb/CERTH/636429953.pdf","CERTI")</f>
        <v>CERTI</v>
      </c>
    </row>
    <row r="4650" spans="1:27" ht="15" x14ac:dyDescent="0.25">
      <c r="A4650" s="2">
        <v>4645</v>
      </c>
      <c r="B4650" s="39">
        <v>941270800</v>
      </c>
      <c r="C4650" s="28" t="str">
        <f>HYPERLINK("https://pld.live/RapDetail.aspx?STONELIST=941270800","DNA")</f>
        <v>DNA</v>
      </c>
      <c r="D4650" s="18" t="s">
        <v>5466</v>
      </c>
      <c r="E4650" s="18" t="s">
        <v>5128</v>
      </c>
      <c r="F4650" s="2" t="s">
        <v>7987</v>
      </c>
      <c r="G4650" s="2" t="s">
        <v>1573</v>
      </c>
      <c r="H4650" s="14">
        <v>0.5</v>
      </c>
      <c r="I4650" s="2" t="s">
        <v>267</v>
      </c>
      <c r="J4650" s="2" t="s">
        <v>3942</v>
      </c>
      <c r="K4650" s="2" t="s">
        <v>1452</v>
      </c>
      <c r="L4650" s="2" t="s">
        <v>5221</v>
      </c>
      <c r="M4650" s="2" t="s">
        <v>5221</v>
      </c>
      <c r="N4650" s="2" t="s">
        <v>2317</v>
      </c>
      <c r="O4650" s="14">
        <v>2800</v>
      </c>
      <c r="P4650" s="14">
        <v>94.29</v>
      </c>
      <c r="Q4650" s="14">
        <v>159.88</v>
      </c>
      <c r="R4650" s="14">
        <v>79.94</v>
      </c>
      <c r="S4650" s="2" t="s">
        <v>2227</v>
      </c>
      <c r="T4650" s="2">
        <v>1.38</v>
      </c>
      <c r="U4650" s="2">
        <v>61.6</v>
      </c>
      <c r="V4650" s="2">
        <v>61</v>
      </c>
      <c r="W4650" s="2" t="s">
        <v>7862</v>
      </c>
      <c r="X4650" s="2" t="s">
        <v>471</v>
      </c>
      <c r="Y4650" s="2">
        <v>1400</v>
      </c>
      <c r="Z4650" s="19" t="str">
        <f>HYPERLINK("https://ssdweb.co/ssdweb/hd/Vision360.html?d=941270800&amp;zoomslide=1&amp;z=1941270800&amp;ISCONFIRM=0","VIDEO")</f>
        <v>VIDEO</v>
      </c>
      <c r="AA4650" s="19" t="str">
        <f>HYPERLINK("https://ssdweb.co/ssdweb/CERTH/692505635.pdf","CERTI")</f>
        <v>CERTI</v>
      </c>
    </row>
    <row r="4651" spans="1:27" ht="15" x14ac:dyDescent="0.25">
      <c r="A4651" s="2">
        <v>4646</v>
      </c>
      <c r="B4651" s="39">
        <v>941270774</v>
      </c>
      <c r="C4651" s="28" t="str">
        <f>HYPERLINK("https://pld.live/RapDetail.aspx?STONELIST=941270774","DNA")</f>
        <v>DNA</v>
      </c>
      <c r="D4651" s="18" t="s">
        <v>5466</v>
      </c>
      <c r="E4651" s="18" t="s">
        <v>5128</v>
      </c>
      <c r="F4651" s="2" t="s">
        <v>7987</v>
      </c>
      <c r="G4651" s="2" t="s">
        <v>1573</v>
      </c>
      <c r="H4651" s="14">
        <v>0.5</v>
      </c>
      <c r="I4651" s="2" t="s">
        <v>267</v>
      </c>
      <c r="J4651" s="2" t="s">
        <v>3942</v>
      </c>
      <c r="K4651" s="2" t="s">
        <v>1452</v>
      </c>
      <c r="L4651" s="2" t="s">
        <v>5221</v>
      </c>
      <c r="M4651" s="2" t="s">
        <v>5221</v>
      </c>
      <c r="N4651" s="2" t="s">
        <v>2317</v>
      </c>
      <c r="O4651" s="14">
        <v>2800</v>
      </c>
      <c r="P4651" s="14">
        <v>94.29</v>
      </c>
      <c r="Q4651" s="14">
        <v>159.88</v>
      </c>
      <c r="R4651" s="14">
        <v>79.94</v>
      </c>
      <c r="S4651" s="2" t="s">
        <v>6832</v>
      </c>
      <c r="T4651" s="2">
        <v>1.38</v>
      </c>
      <c r="U4651" s="2">
        <v>62.4</v>
      </c>
      <c r="V4651" s="2">
        <v>59</v>
      </c>
      <c r="W4651" s="2" t="s">
        <v>7862</v>
      </c>
      <c r="X4651" s="2" t="s">
        <v>471</v>
      </c>
      <c r="Y4651" s="2">
        <v>1400</v>
      </c>
      <c r="Z4651" s="19" t="str">
        <f>HYPERLINK("https://ssdweb.co/ssdweb/hd/Vision360.html?d=941270774&amp;zoomslide=1&amp;z=1941270774&amp;ISCONFIRM=0","VIDEO")</f>
        <v>VIDEO</v>
      </c>
      <c r="AA4651" s="19" t="str">
        <f>HYPERLINK("https://ssdweb.co/ssdweb/CERTH/691577887.pdf","CERTI")</f>
        <v>CERTI</v>
      </c>
    </row>
    <row r="4652" spans="1:27" ht="15" x14ac:dyDescent="0.25">
      <c r="A4652" s="2">
        <v>4647</v>
      </c>
      <c r="B4652" s="39">
        <v>927052524</v>
      </c>
      <c r="C4652" s="28" t="str">
        <f>HYPERLINK("https://pld.live/RapDetail.aspx?STONELIST=927052524","DNA")</f>
        <v>DNA</v>
      </c>
      <c r="D4652" s="18" t="s">
        <v>5466</v>
      </c>
      <c r="E4652" s="18" t="s">
        <v>5128</v>
      </c>
      <c r="F4652" s="2" t="s">
        <v>7987</v>
      </c>
      <c r="G4652" s="2" t="s">
        <v>1573</v>
      </c>
      <c r="H4652" s="14">
        <v>0.5</v>
      </c>
      <c r="I4652" s="2" t="s">
        <v>267</v>
      </c>
      <c r="J4652" s="2" t="s">
        <v>3942</v>
      </c>
      <c r="K4652" s="2" t="s">
        <v>1452</v>
      </c>
      <c r="L4652" s="2" t="s">
        <v>5221</v>
      </c>
      <c r="M4652" s="2" t="s">
        <v>5221</v>
      </c>
      <c r="N4652" s="2" t="s">
        <v>2317</v>
      </c>
      <c r="O4652" s="14">
        <v>2800</v>
      </c>
      <c r="P4652" s="14">
        <v>94.29</v>
      </c>
      <c r="Q4652" s="14">
        <v>159.88</v>
      </c>
      <c r="R4652" s="14">
        <v>79.94</v>
      </c>
      <c r="S4652" s="2" t="s">
        <v>6659</v>
      </c>
      <c r="T4652" s="2">
        <v>1.38</v>
      </c>
      <c r="U4652" s="2">
        <v>62.7</v>
      </c>
      <c r="V4652" s="2">
        <v>61</v>
      </c>
      <c r="W4652" s="2" t="s">
        <v>7862</v>
      </c>
      <c r="X4652" s="2" t="s">
        <v>471</v>
      </c>
      <c r="Y4652" s="2">
        <v>1400</v>
      </c>
      <c r="Z4652" s="19" t="str">
        <f>HYPERLINK("https://ssdweb.co/ssdweb/hd/Vision360.html?d=927052524&amp;zoomslide=1&amp;z=1927052524&amp;ISCONFIRM=0","VIDEO")</f>
        <v>VIDEO</v>
      </c>
      <c r="AA4652" s="19" t="str">
        <f>HYPERLINK("https://ssdweb.co/ssdweb/CERTH/689586905.pdf","CERTI")</f>
        <v>CERTI</v>
      </c>
    </row>
    <row r="4653" spans="1:27" ht="15" x14ac:dyDescent="0.25">
      <c r="A4653" s="2">
        <v>4648</v>
      </c>
      <c r="B4653" s="39">
        <v>927052576</v>
      </c>
      <c r="C4653" s="28" t="str">
        <f>HYPERLINK("https://pld.live/RapDetail.aspx?STONELIST=927052576","DNA")</f>
        <v>DNA</v>
      </c>
      <c r="D4653" s="18" t="s">
        <v>5466</v>
      </c>
      <c r="E4653" s="18" t="s">
        <v>5128</v>
      </c>
      <c r="F4653" s="2" t="s">
        <v>7987</v>
      </c>
      <c r="G4653" s="2" t="s">
        <v>1573</v>
      </c>
      <c r="H4653" s="14">
        <v>0.5</v>
      </c>
      <c r="I4653" s="2" t="s">
        <v>267</v>
      </c>
      <c r="J4653" s="2" t="s">
        <v>3942</v>
      </c>
      <c r="K4653" s="2" t="s">
        <v>1452</v>
      </c>
      <c r="L4653" s="2" t="s">
        <v>5221</v>
      </c>
      <c r="M4653" s="2" t="s">
        <v>5221</v>
      </c>
      <c r="N4653" s="2" t="s">
        <v>2317</v>
      </c>
      <c r="O4653" s="14">
        <v>2800</v>
      </c>
      <c r="P4653" s="14">
        <v>94.29</v>
      </c>
      <c r="Q4653" s="14">
        <v>159.88</v>
      </c>
      <c r="R4653" s="14">
        <v>79.94</v>
      </c>
      <c r="S4653" s="2" t="s">
        <v>8087</v>
      </c>
      <c r="T4653" s="2">
        <v>1.4</v>
      </c>
      <c r="U4653" s="2">
        <v>62.7</v>
      </c>
      <c r="V4653" s="2">
        <v>59</v>
      </c>
      <c r="W4653" s="2" t="s">
        <v>7862</v>
      </c>
      <c r="X4653" s="2" t="s">
        <v>471</v>
      </c>
      <c r="Y4653" s="2">
        <v>1400</v>
      </c>
      <c r="Z4653" s="19" t="str">
        <f>HYPERLINK("https://ssdweb.co/ssdweb/hd/Vision360.html?d=927052576&amp;zoomslide=1&amp;z=1927052576&amp;ISCONFIRM=0","VIDEO")</f>
        <v>VIDEO</v>
      </c>
      <c r="AA4653" s="19" t="str">
        <f>HYPERLINK("https://ssdweb.co/ssdweb/CERTH/689586907.pdf","CERTI")</f>
        <v>CERTI</v>
      </c>
    </row>
    <row r="4654" spans="1:27" ht="15" x14ac:dyDescent="0.25">
      <c r="A4654" s="2">
        <v>4649</v>
      </c>
      <c r="B4654" s="39">
        <v>926630727</v>
      </c>
      <c r="C4654" s="28" t="str">
        <f>HYPERLINK("https://pld.live/RapDetail.aspx?STONELIST=926630727","DNA")</f>
        <v>DNA</v>
      </c>
      <c r="D4654" s="18" t="s">
        <v>5466</v>
      </c>
      <c r="E4654" s="18" t="s">
        <v>5128</v>
      </c>
      <c r="F4654" s="2" t="s">
        <v>7987</v>
      </c>
      <c r="G4654" s="2" t="s">
        <v>1573</v>
      </c>
      <c r="H4654" s="14">
        <v>0.5</v>
      </c>
      <c r="I4654" s="2" t="s">
        <v>267</v>
      </c>
      <c r="J4654" s="2" t="s">
        <v>3942</v>
      </c>
      <c r="K4654" s="2" t="s">
        <v>1452</v>
      </c>
      <c r="L4654" s="2" t="s">
        <v>5221</v>
      </c>
      <c r="M4654" s="2" t="s">
        <v>5721</v>
      </c>
      <c r="N4654" s="2" t="s">
        <v>2317</v>
      </c>
      <c r="O4654" s="14">
        <v>2800</v>
      </c>
      <c r="P4654" s="14">
        <v>94.43</v>
      </c>
      <c r="Q4654" s="14">
        <v>155.96</v>
      </c>
      <c r="R4654" s="14">
        <v>77.98</v>
      </c>
      <c r="S4654" s="2" t="s">
        <v>672</v>
      </c>
      <c r="T4654" s="2">
        <v>1.37</v>
      </c>
      <c r="U4654" s="2">
        <v>62.8</v>
      </c>
      <c r="V4654" s="2">
        <v>61</v>
      </c>
      <c r="W4654" s="2" t="s">
        <v>7862</v>
      </c>
      <c r="X4654" s="2" t="s">
        <v>471</v>
      </c>
      <c r="Y4654" s="2">
        <v>1400</v>
      </c>
      <c r="Z4654" s="19" t="str">
        <f>HYPERLINK("https://ssdweb.co/ssdweb/hd/Vision360.html?d=926630727&amp;zoomslide=1&amp;z=1926630727&amp;ISCONFIRM=0","VIDEO")</f>
        <v>VIDEO</v>
      </c>
      <c r="AA4654" s="19" t="str">
        <f>HYPERLINK("https://ssdweb.co/ssdweb/CERTH/652471190.pdf","CERTI")</f>
        <v>CERTI</v>
      </c>
    </row>
    <row r="4655" spans="1:27" ht="15" x14ac:dyDescent="0.25">
      <c r="A4655" s="2">
        <v>4650</v>
      </c>
      <c r="B4655" s="39">
        <v>926730514</v>
      </c>
      <c r="C4655" s="28" t="str">
        <f>HYPERLINK("https://pld.live/RapDetail.aspx?STONELIST=926730514","DNA")</f>
        <v>DNA</v>
      </c>
      <c r="D4655" s="18" t="s">
        <v>5466</v>
      </c>
      <c r="E4655" s="18" t="s">
        <v>5128</v>
      </c>
      <c r="F4655" s="2" t="s">
        <v>7987</v>
      </c>
      <c r="G4655" s="2" t="s">
        <v>1573</v>
      </c>
      <c r="H4655" s="14">
        <v>0.5</v>
      </c>
      <c r="I4655" s="2" t="s">
        <v>267</v>
      </c>
      <c r="J4655" s="2" t="s">
        <v>3942</v>
      </c>
      <c r="K4655" s="2" t="s">
        <v>1452</v>
      </c>
      <c r="L4655" s="2" t="s">
        <v>5221</v>
      </c>
      <c r="M4655" s="2" t="s">
        <v>5721</v>
      </c>
      <c r="N4655" s="2" t="s">
        <v>2317</v>
      </c>
      <c r="O4655" s="14">
        <v>2800</v>
      </c>
      <c r="P4655" s="14">
        <v>94.43</v>
      </c>
      <c r="Q4655" s="14">
        <v>155.96</v>
      </c>
      <c r="R4655" s="14">
        <v>77.98</v>
      </c>
      <c r="S4655" s="2" t="s">
        <v>5539</v>
      </c>
      <c r="T4655" s="2">
        <v>1.43</v>
      </c>
      <c r="U4655" s="2">
        <v>51.5</v>
      </c>
      <c r="V4655" s="2">
        <v>61</v>
      </c>
      <c r="W4655" s="2" t="s">
        <v>7862</v>
      </c>
      <c r="X4655" s="2" t="s">
        <v>471</v>
      </c>
      <c r="Y4655" s="2">
        <v>1400</v>
      </c>
      <c r="Z4655" s="19" t="str">
        <f>HYPERLINK("https://ssdweb.co/ssdweb/hd/Vision360.html?d=926730514&amp;zoomslide=1&amp;z=1926730514&amp;ISCONFIRM=0","VIDEO")</f>
        <v>VIDEO</v>
      </c>
      <c r="AA4655" s="19" t="str">
        <f>HYPERLINK("https://ssdweb.co/ssdweb/CERTH/662452708.pdf","CERTI")</f>
        <v>CERTI</v>
      </c>
    </row>
    <row r="4656" spans="1:27" ht="15" x14ac:dyDescent="0.25">
      <c r="A4656" s="2">
        <v>4651</v>
      </c>
      <c r="B4656" s="39">
        <v>926730530</v>
      </c>
      <c r="C4656" s="28" t="str">
        <f>HYPERLINK("https://pld.live/RapDetail.aspx?STONELIST=926730530","DNA")</f>
        <v>DNA</v>
      </c>
      <c r="D4656" s="18" t="s">
        <v>5466</v>
      </c>
      <c r="E4656" s="18" t="s">
        <v>5128</v>
      </c>
      <c r="F4656" s="2" t="s">
        <v>7987</v>
      </c>
      <c r="G4656" s="2" t="s">
        <v>1573</v>
      </c>
      <c r="H4656" s="14">
        <v>0.5</v>
      </c>
      <c r="I4656" s="2" t="s">
        <v>267</v>
      </c>
      <c r="J4656" s="2" t="s">
        <v>3942</v>
      </c>
      <c r="K4656" s="2" t="s">
        <v>1452</v>
      </c>
      <c r="L4656" s="2" t="s">
        <v>5221</v>
      </c>
      <c r="M4656" s="2" t="s">
        <v>5721</v>
      </c>
      <c r="N4656" s="2" t="s">
        <v>2317</v>
      </c>
      <c r="O4656" s="14">
        <v>2800</v>
      </c>
      <c r="P4656" s="14">
        <v>94.43</v>
      </c>
      <c r="Q4656" s="14">
        <v>155.96</v>
      </c>
      <c r="R4656" s="14">
        <v>77.98</v>
      </c>
      <c r="S4656" s="2" t="s">
        <v>6582</v>
      </c>
      <c r="T4656" s="2">
        <v>1.43</v>
      </c>
      <c r="U4656" s="2">
        <v>49.8</v>
      </c>
      <c r="V4656" s="2">
        <v>62</v>
      </c>
      <c r="W4656" s="2" t="s">
        <v>7862</v>
      </c>
      <c r="X4656" s="2" t="s">
        <v>471</v>
      </c>
      <c r="Y4656" s="2">
        <v>1400</v>
      </c>
      <c r="Z4656" s="19" t="str">
        <f>HYPERLINK("https://ssdweb.co/ssdweb/hd/Vision360.html?d=926730530&amp;zoomslide=1&amp;z=1926730530&amp;ISCONFIRM=0","VIDEO")</f>
        <v>VIDEO</v>
      </c>
      <c r="AA4656" s="19" t="str">
        <f>HYPERLINK("https://ssdweb.co/ssdweb/CERTH/665453088.pdf","CERTI")</f>
        <v>CERTI</v>
      </c>
    </row>
    <row r="4657" spans="1:27" ht="15" x14ac:dyDescent="0.25">
      <c r="A4657" s="2">
        <v>4652</v>
      </c>
      <c r="B4657" s="39">
        <v>941190394</v>
      </c>
      <c r="C4657" s="28" t="str">
        <f>HYPERLINK("https://pld.live/RapDetail.aspx?STONELIST=941190394","DNA")</f>
        <v>DNA</v>
      </c>
      <c r="D4657" s="18" t="s">
        <v>5466</v>
      </c>
      <c r="E4657" s="18" t="s">
        <v>5128</v>
      </c>
      <c r="F4657" s="2" t="s">
        <v>7987</v>
      </c>
      <c r="G4657" s="2" t="s">
        <v>1573</v>
      </c>
      <c r="H4657" s="14">
        <v>0.5</v>
      </c>
      <c r="I4657" s="2" t="s">
        <v>267</v>
      </c>
      <c r="J4657" s="2" t="s">
        <v>3942</v>
      </c>
      <c r="K4657" s="2" t="s">
        <v>1452</v>
      </c>
      <c r="L4657" s="2" t="s">
        <v>5221</v>
      </c>
      <c r="M4657" s="2" t="s">
        <v>5721</v>
      </c>
      <c r="N4657" s="2" t="s">
        <v>2317</v>
      </c>
      <c r="O4657" s="14">
        <v>2800</v>
      </c>
      <c r="P4657" s="14">
        <v>94.36</v>
      </c>
      <c r="Q4657" s="14">
        <v>157.91999999999999</v>
      </c>
      <c r="R4657" s="14">
        <v>78.959999999999994</v>
      </c>
      <c r="S4657" s="2" t="s">
        <v>1997</v>
      </c>
      <c r="T4657" s="2">
        <v>1.44</v>
      </c>
      <c r="U4657" s="2">
        <v>59.1</v>
      </c>
      <c r="V4657" s="2">
        <v>58</v>
      </c>
      <c r="W4657" s="2" t="s">
        <v>7862</v>
      </c>
      <c r="X4657" s="2" t="s">
        <v>471</v>
      </c>
      <c r="Y4657" s="2">
        <v>1400</v>
      </c>
      <c r="Z4657" s="19" t="str">
        <f>HYPERLINK("https://ssdweb.co/ssdweb/hd/Vision360.html?d=941190394&amp;zoomslide=1&amp;z=1941190394&amp;ISCONFIRM=0","VIDEO")</f>
        <v>VIDEO</v>
      </c>
      <c r="AA4657" s="19" t="str">
        <f>HYPERLINK("https://ssdweb.co/ssdweb/CERTH/677510686.pdf","CERTI")</f>
        <v>CERTI</v>
      </c>
    </row>
    <row r="4658" spans="1:27" ht="15" x14ac:dyDescent="0.25">
      <c r="A4658" s="2">
        <v>4653</v>
      </c>
      <c r="B4658" s="39">
        <v>927130714</v>
      </c>
      <c r="C4658" s="28" t="str">
        <f>HYPERLINK("https://pld.live/RapDetail.aspx?STONELIST=927130714","DNA")</f>
        <v>DNA</v>
      </c>
      <c r="D4658" s="18" t="s">
        <v>5466</v>
      </c>
      <c r="E4658" s="18" t="s">
        <v>5128</v>
      </c>
      <c r="F4658" s="2" t="s">
        <v>7987</v>
      </c>
      <c r="G4658" s="2" t="s">
        <v>1573</v>
      </c>
      <c r="H4658" s="14">
        <v>0.5</v>
      </c>
      <c r="I4658" s="2" t="s">
        <v>267</v>
      </c>
      <c r="J4658" s="2" t="s">
        <v>3942</v>
      </c>
      <c r="K4658" s="2" t="s">
        <v>1452</v>
      </c>
      <c r="L4658" s="2" t="s">
        <v>5221</v>
      </c>
      <c r="M4658" s="2" t="s">
        <v>5721</v>
      </c>
      <c r="N4658" s="2" t="s">
        <v>2317</v>
      </c>
      <c r="O4658" s="14">
        <v>2800</v>
      </c>
      <c r="P4658" s="14">
        <v>94.36</v>
      </c>
      <c r="Q4658" s="14">
        <v>157.91999999999999</v>
      </c>
      <c r="R4658" s="14">
        <v>78.959999999999994</v>
      </c>
      <c r="S4658" s="2" t="s">
        <v>6202</v>
      </c>
      <c r="T4658" s="2">
        <v>1.38</v>
      </c>
      <c r="U4658" s="2">
        <v>60.3</v>
      </c>
      <c r="V4658" s="2">
        <v>60</v>
      </c>
      <c r="W4658" s="2" t="s">
        <v>7862</v>
      </c>
      <c r="X4658" s="2" t="s">
        <v>471</v>
      </c>
      <c r="Y4658" s="2">
        <v>1400</v>
      </c>
      <c r="Z4658" s="19" t="str">
        <f>HYPERLINK("https://ssdweb.co/ssdweb/hd/Vision360.html?d=927130714&amp;zoomslide=1&amp;z=1927130714&amp;ISCONFIRM=0","VIDEO")</f>
        <v>VIDEO</v>
      </c>
      <c r="AA4658" s="19" t="str">
        <f>HYPERLINK("https://ssdweb.co/ssdweb/CERTH/689586923.pdf","CERTI")</f>
        <v>CERTI</v>
      </c>
    </row>
    <row r="4659" spans="1:27" ht="15" x14ac:dyDescent="0.25">
      <c r="A4659" s="2">
        <v>4654</v>
      </c>
      <c r="B4659" s="39">
        <v>941191850</v>
      </c>
      <c r="C4659" s="28" t="str">
        <f>HYPERLINK("https://pld.live/RapDetail.aspx?STONELIST=941191850","DNA")</f>
        <v>DNA</v>
      </c>
      <c r="D4659" s="18" t="s">
        <v>5466</v>
      </c>
      <c r="E4659" s="18" t="s">
        <v>5128</v>
      </c>
      <c r="F4659" s="2" t="s">
        <v>7987</v>
      </c>
      <c r="G4659" s="2" t="s">
        <v>1573</v>
      </c>
      <c r="H4659" s="14">
        <v>0.5</v>
      </c>
      <c r="I4659" s="2" t="s">
        <v>267</v>
      </c>
      <c r="J4659" s="2" t="s">
        <v>13</v>
      </c>
      <c r="K4659" s="2" t="s">
        <v>1452</v>
      </c>
      <c r="L4659" s="2" t="s">
        <v>5221</v>
      </c>
      <c r="M4659" s="2" t="s">
        <v>5221</v>
      </c>
      <c r="N4659" s="2" t="s">
        <v>2317</v>
      </c>
      <c r="O4659" s="14">
        <v>2600</v>
      </c>
      <c r="P4659" s="14">
        <v>94.04</v>
      </c>
      <c r="Q4659" s="14">
        <v>154.96</v>
      </c>
      <c r="R4659" s="14">
        <v>77.48</v>
      </c>
      <c r="S4659" s="2" t="s">
        <v>8090</v>
      </c>
      <c r="T4659" s="2">
        <v>1.44</v>
      </c>
      <c r="U4659" s="2">
        <v>60.6</v>
      </c>
      <c r="V4659" s="2">
        <v>59</v>
      </c>
      <c r="W4659" s="2" t="s">
        <v>7862</v>
      </c>
      <c r="X4659" s="2" t="s">
        <v>471</v>
      </c>
      <c r="Y4659" s="2">
        <v>1300</v>
      </c>
      <c r="Z4659" s="19" t="str">
        <f>HYPERLINK("https://ssdweb.co/ssdweb/hd/Vision360.html?d=941191850&amp;zoomslide=1&amp;z=1941191850&amp;ISCONFIRM=0","VIDEO")</f>
        <v>VIDEO</v>
      </c>
      <c r="AA4659" s="19" t="str">
        <f>HYPERLINK("https://ssdweb.co/ssdweb/CERTH/689586968.pdf","CERTI")</f>
        <v>CERTI</v>
      </c>
    </row>
    <row r="4660" spans="1:27" ht="15" x14ac:dyDescent="0.25">
      <c r="A4660" s="2">
        <v>4655</v>
      </c>
      <c r="B4660" s="39">
        <v>941351112</v>
      </c>
      <c r="C4660" s="28" t="str">
        <f>HYPERLINK("https://pld.live/RapDetail.aspx?STONELIST=941351112","DNA")</f>
        <v>DNA</v>
      </c>
      <c r="D4660" s="18" t="s">
        <v>5466</v>
      </c>
      <c r="E4660" s="18" t="s">
        <v>5128</v>
      </c>
      <c r="F4660" s="2" t="s">
        <v>7987</v>
      </c>
      <c r="G4660" s="2" t="s">
        <v>1573</v>
      </c>
      <c r="H4660" s="14">
        <v>0.5</v>
      </c>
      <c r="I4660" s="2" t="s">
        <v>267</v>
      </c>
      <c r="J4660" s="2" t="s">
        <v>13</v>
      </c>
      <c r="K4660" s="2" t="s">
        <v>1452</v>
      </c>
      <c r="L4660" s="2" t="s">
        <v>5221</v>
      </c>
      <c r="M4660" s="2" t="s">
        <v>5221</v>
      </c>
      <c r="N4660" s="2" t="s">
        <v>2317</v>
      </c>
      <c r="O4660" s="14">
        <v>2600</v>
      </c>
      <c r="P4660" s="14">
        <v>94.04</v>
      </c>
      <c r="Q4660" s="14">
        <v>154.96</v>
      </c>
      <c r="R4660" s="14">
        <v>77.48</v>
      </c>
      <c r="S4660" s="2" t="s">
        <v>5059</v>
      </c>
      <c r="T4660" s="2">
        <v>1.47</v>
      </c>
      <c r="U4660" s="2">
        <v>62.9</v>
      </c>
      <c r="V4660" s="2">
        <v>59</v>
      </c>
      <c r="W4660" s="2" t="s">
        <v>7862</v>
      </c>
      <c r="X4660" s="2" t="s">
        <v>471</v>
      </c>
      <c r="Y4660" s="2">
        <v>1300</v>
      </c>
      <c r="Z4660" s="19" t="str">
        <f>HYPERLINK("https://ssdweb.co/ssdweb/hd/Vision360.html?d=941351112&amp;zoomslide=1&amp;z=1941351112&amp;ISCONFIRM=0","VIDEO")</f>
        <v>VIDEO</v>
      </c>
      <c r="AA4660" s="19" t="str">
        <f>HYPERLINK("https://ssdweb.co/ssdweb/CERTH/692505654.pdf","CERTI")</f>
        <v>CERTI</v>
      </c>
    </row>
    <row r="4661" spans="1:27" ht="15" x14ac:dyDescent="0.25">
      <c r="A4661" s="2">
        <v>4656</v>
      </c>
      <c r="B4661" s="39">
        <v>926730531</v>
      </c>
      <c r="C4661" s="28" t="str">
        <f>HYPERLINK("https://pld.live/RapDetail.aspx?STONELIST=926730531","DNA")</f>
        <v>DNA</v>
      </c>
      <c r="D4661" s="18" t="s">
        <v>5466</v>
      </c>
      <c r="E4661" s="18" t="s">
        <v>5128</v>
      </c>
      <c r="F4661" s="2" t="s">
        <v>7987</v>
      </c>
      <c r="G4661" s="2" t="s">
        <v>1573</v>
      </c>
      <c r="H4661" s="14">
        <v>0.5</v>
      </c>
      <c r="I4661" s="2" t="s">
        <v>267</v>
      </c>
      <c r="J4661" s="2" t="s">
        <v>13</v>
      </c>
      <c r="K4661" s="2" t="s">
        <v>1452</v>
      </c>
      <c r="L4661" s="2" t="s">
        <v>5221</v>
      </c>
      <c r="M4661" s="2" t="s">
        <v>5721</v>
      </c>
      <c r="N4661" s="2" t="s">
        <v>2317</v>
      </c>
      <c r="O4661" s="14">
        <v>2600</v>
      </c>
      <c r="P4661" s="14">
        <v>94.19</v>
      </c>
      <c r="Q4661" s="14">
        <v>151.06</v>
      </c>
      <c r="R4661" s="14">
        <v>75.53</v>
      </c>
      <c r="S4661" s="2" t="s">
        <v>34</v>
      </c>
      <c r="T4661" s="2">
        <v>1.42</v>
      </c>
      <c r="U4661" s="2">
        <v>51.9</v>
      </c>
      <c r="V4661" s="2">
        <v>58</v>
      </c>
      <c r="W4661" s="2" t="s">
        <v>7862</v>
      </c>
      <c r="X4661" s="2" t="s">
        <v>471</v>
      </c>
      <c r="Y4661" s="2">
        <v>1300</v>
      </c>
      <c r="Z4661" s="19" t="str">
        <f>HYPERLINK("https://ssdweb.co/ssdweb/hd/Vision360.html?d=926730531&amp;zoomslide=1&amp;z=1926730531&amp;ISCONFIRM=0","VIDEO")</f>
        <v>VIDEO</v>
      </c>
      <c r="AA4661" s="19" t="str">
        <f>HYPERLINK("https://ssdweb.co/ssdweb/CERTH/665453089.pdf","CERTI")</f>
        <v>CERTI</v>
      </c>
    </row>
    <row r="4662" spans="1:27" ht="15" x14ac:dyDescent="0.25">
      <c r="A4662" s="2">
        <v>4657</v>
      </c>
      <c r="B4662" s="39">
        <v>941190461</v>
      </c>
      <c r="C4662" s="28" t="str">
        <f>HYPERLINK("https://pld.live/RapDetail.aspx?STONELIST=941190461","DNA")</f>
        <v>DNA</v>
      </c>
      <c r="D4662" s="18" t="s">
        <v>5466</v>
      </c>
      <c r="E4662" s="18" t="s">
        <v>5128</v>
      </c>
      <c r="F4662" s="2" t="s">
        <v>7987</v>
      </c>
      <c r="G4662" s="2" t="s">
        <v>1573</v>
      </c>
      <c r="H4662" s="14">
        <v>0.5</v>
      </c>
      <c r="I4662" s="2" t="s">
        <v>267</v>
      </c>
      <c r="J4662" s="2" t="s">
        <v>13</v>
      </c>
      <c r="K4662" s="2" t="s">
        <v>1452</v>
      </c>
      <c r="L4662" s="2" t="s">
        <v>5221</v>
      </c>
      <c r="M4662" s="2" t="s">
        <v>5721</v>
      </c>
      <c r="N4662" s="2" t="s">
        <v>2317</v>
      </c>
      <c r="O4662" s="14">
        <v>2600</v>
      </c>
      <c r="P4662" s="14">
        <v>94.12</v>
      </c>
      <c r="Q4662" s="14">
        <v>152.88</v>
      </c>
      <c r="R4662" s="14">
        <v>76.44</v>
      </c>
      <c r="S4662" s="2" t="s">
        <v>5129</v>
      </c>
      <c r="T4662" s="2">
        <v>1.47</v>
      </c>
      <c r="U4662" s="2">
        <v>62.2</v>
      </c>
      <c r="V4662" s="2">
        <v>59</v>
      </c>
      <c r="W4662" s="2" t="s">
        <v>7862</v>
      </c>
      <c r="X4662" s="2" t="s">
        <v>471</v>
      </c>
      <c r="Y4662" s="2">
        <v>1300</v>
      </c>
      <c r="Z4662" s="19" t="str">
        <f>HYPERLINK("https://ssdweb.co/ssdweb/hd/Vision360.html?d=941190461&amp;zoomslide=1&amp;z=1941190461&amp;ISCONFIRM=0","VIDEO")</f>
        <v>VIDEO</v>
      </c>
      <c r="AA4662" s="19" t="str">
        <f>HYPERLINK("https://ssdweb.co/ssdweb/CERTH/677510735.pdf","CERTI")</f>
        <v>CERTI</v>
      </c>
    </row>
    <row r="4663" spans="1:27" ht="15" x14ac:dyDescent="0.25">
      <c r="A4663" s="2">
        <v>4658</v>
      </c>
      <c r="B4663" s="39">
        <v>941280514</v>
      </c>
      <c r="C4663" s="28" t="str">
        <f>HYPERLINK("https://pld.live/RapDetail.aspx?STONELIST=941280514","DNA")</f>
        <v>DNA</v>
      </c>
      <c r="D4663" s="18" t="s">
        <v>5466</v>
      </c>
      <c r="E4663" s="18" t="s">
        <v>2186</v>
      </c>
      <c r="F4663" s="2" t="s">
        <v>7987</v>
      </c>
      <c r="G4663" s="2" t="s">
        <v>1573</v>
      </c>
      <c r="H4663" s="14">
        <v>0.5</v>
      </c>
      <c r="I4663" s="2" t="s">
        <v>267</v>
      </c>
      <c r="J4663" s="2" t="s">
        <v>5144</v>
      </c>
      <c r="K4663" s="2" t="s">
        <v>1452</v>
      </c>
      <c r="L4663" s="2" t="s">
        <v>5221</v>
      </c>
      <c r="M4663" s="2" t="s">
        <v>5221</v>
      </c>
      <c r="N4663" s="2" t="s">
        <v>2317</v>
      </c>
      <c r="O4663" s="14">
        <v>2400</v>
      </c>
      <c r="P4663" s="14">
        <v>93.88</v>
      </c>
      <c r="Q4663" s="14">
        <v>146.88</v>
      </c>
      <c r="R4663" s="14">
        <v>73.44</v>
      </c>
      <c r="S4663" s="2" t="s">
        <v>1741</v>
      </c>
      <c r="T4663" s="2">
        <v>1.48</v>
      </c>
      <c r="U4663" s="2">
        <v>60.2</v>
      </c>
      <c r="V4663" s="2">
        <v>62</v>
      </c>
      <c r="W4663" s="2" t="s">
        <v>7862</v>
      </c>
      <c r="X4663" s="2" t="s">
        <v>471</v>
      </c>
      <c r="Y4663" s="2">
        <v>1200</v>
      </c>
      <c r="Z4663" s="19" t="str">
        <f>HYPERLINK("https://ssdweb.co/ssdweb/hd/Vision360.html?d=941280514&amp;zoomslide=1&amp;z=1941280514&amp;ISCONFIRM=0","VIDEO")</f>
        <v>VIDEO</v>
      </c>
      <c r="AA4663" s="19" t="str">
        <f>HYPERLINK("https://ssdweb.co/ssdweb/CERTH/691533697.pdf","CERTI")</f>
        <v>CERTI</v>
      </c>
    </row>
    <row r="4664" spans="1:27" ht="15" x14ac:dyDescent="0.25">
      <c r="A4664" s="2">
        <v>4659</v>
      </c>
      <c r="B4664" s="39">
        <v>941261106</v>
      </c>
      <c r="C4664" s="28" t="str">
        <f>HYPERLINK("https://pld.live/RapDetail.aspx?STONELIST=941261106","DNA")</f>
        <v>DNA</v>
      </c>
      <c r="D4664" s="18" t="s">
        <v>5466</v>
      </c>
      <c r="E4664" s="18" t="s">
        <v>5128</v>
      </c>
      <c r="F4664" s="2" t="s">
        <v>7987</v>
      </c>
      <c r="G4664" s="2" t="s">
        <v>1573</v>
      </c>
      <c r="H4664" s="14">
        <v>0.5</v>
      </c>
      <c r="I4664" s="2" t="s">
        <v>4761</v>
      </c>
      <c r="J4664" s="2" t="s">
        <v>3942</v>
      </c>
      <c r="K4664" s="2" t="s">
        <v>1452</v>
      </c>
      <c r="L4664" s="2" t="s">
        <v>5221</v>
      </c>
      <c r="M4664" s="2" t="s">
        <v>5221</v>
      </c>
      <c r="N4664" s="2" t="s">
        <v>2317</v>
      </c>
      <c r="O4664" s="14">
        <v>2600</v>
      </c>
      <c r="P4664" s="14">
        <v>93.96</v>
      </c>
      <c r="Q4664" s="14">
        <v>157.04</v>
      </c>
      <c r="R4664" s="14">
        <v>78.52</v>
      </c>
      <c r="S4664" s="2" t="s">
        <v>2832</v>
      </c>
      <c r="T4664" s="2">
        <v>1.39</v>
      </c>
      <c r="U4664" s="2">
        <v>61.8</v>
      </c>
      <c r="V4664" s="2">
        <v>61</v>
      </c>
      <c r="W4664" s="2" t="s">
        <v>7862</v>
      </c>
      <c r="X4664" s="2" t="s">
        <v>471</v>
      </c>
      <c r="Y4664" s="2">
        <v>1300</v>
      </c>
      <c r="Z4664" s="19" t="str">
        <f>HYPERLINK("https://ssdweb.co/ssdweb/hd/Vision360.html?d=941261106&amp;zoomslide=1&amp;z=1941261106&amp;ISCONFIRM=0","VIDEO")</f>
        <v>VIDEO</v>
      </c>
      <c r="AA4664" s="19" t="str">
        <f>HYPERLINK("https://ssdweb.co/ssdweb/CERTH/689587164.pdf","CERTI")</f>
        <v>CERTI</v>
      </c>
    </row>
    <row r="4665" spans="1:27" ht="15" x14ac:dyDescent="0.25">
      <c r="A4665" s="2">
        <v>4660</v>
      </c>
      <c r="B4665" s="39">
        <v>927152870</v>
      </c>
      <c r="C4665" s="28" t="str">
        <f>HYPERLINK("https://pld.live/RapDetail.aspx?STONELIST=927152870","DNA")</f>
        <v>DNA</v>
      </c>
      <c r="D4665" s="18" t="s">
        <v>5466</v>
      </c>
      <c r="E4665" s="18" t="s">
        <v>5128</v>
      </c>
      <c r="F4665" s="2" t="s">
        <v>7987</v>
      </c>
      <c r="G4665" s="2" t="s">
        <v>1573</v>
      </c>
      <c r="H4665" s="14">
        <v>0.5</v>
      </c>
      <c r="I4665" s="2" t="s">
        <v>4761</v>
      </c>
      <c r="J4665" s="2" t="s">
        <v>3942</v>
      </c>
      <c r="K4665" s="2" t="s">
        <v>1452</v>
      </c>
      <c r="L4665" s="2" t="s">
        <v>5221</v>
      </c>
      <c r="M4665" s="2" t="s">
        <v>5221</v>
      </c>
      <c r="N4665" s="2" t="s">
        <v>2317</v>
      </c>
      <c r="O4665" s="14">
        <v>2600</v>
      </c>
      <c r="P4665" s="14">
        <v>93.96</v>
      </c>
      <c r="Q4665" s="14">
        <v>157.04</v>
      </c>
      <c r="R4665" s="14">
        <v>78.52</v>
      </c>
      <c r="S4665" s="2" t="s">
        <v>6871</v>
      </c>
      <c r="T4665" s="2">
        <v>1.4</v>
      </c>
      <c r="U4665" s="2">
        <v>62.5</v>
      </c>
      <c r="V4665" s="2">
        <v>62</v>
      </c>
      <c r="W4665" s="2" t="s">
        <v>7862</v>
      </c>
      <c r="X4665" s="2" t="s">
        <v>471</v>
      </c>
      <c r="Y4665" s="2">
        <v>1300</v>
      </c>
      <c r="Z4665" s="19" t="str">
        <f>HYPERLINK("https://ssdweb.co/ssdweb/hd/Vision360.html?d=927152870&amp;zoomslide=1&amp;z=1927152870&amp;ISCONFIRM=0","VIDEO")</f>
        <v>VIDEO</v>
      </c>
      <c r="AA4665" s="19" t="str">
        <f>HYPERLINK("https://ssdweb.co/ssdweb/CERTH/689587024.pdf","CERTI")</f>
        <v>CERTI</v>
      </c>
    </row>
    <row r="4666" spans="1:27" ht="15" x14ac:dyDescent="0.25">
      <c r="A4666" s="2">
        <v>4661</v>
      </c>
      <c r="B4666" s="39">
        <v>927132415</v>
      </c>
      <c r="C4666" s="28" t="str">
        <f>HYPERLINK("https://pld.live/RapDetail.aspx?STONELIST=927132415","DNA")</f>
        <v>DNA</v>
      </c>
      <c r="D4666" s="18" t="s">
        <v>5466</v>
      </c>
      <c r="E4666" s="18" t="s">
        <v>5128</v>
      </c>
      <c r="F4666" s="2" t="s">
        <v>7987</v>
      </c>
      <c r="G4666" s="2" t="s">
        <v>1573</v>
      </c>
      <c r="H4666" s="14">
        <v>0.5</v>
      </c>
      <c r="I4666" s="2" t="s">
        <v>4761</v>
      </c>
      <c r="J4666" s="2" t="s">
        <v>3942</v>
      </c>
      <c r="K4666" s="2" t="s">
        <v>1452</v>
      </c>
      <c r="L4666" s="2" t="s">
        <v>5221</v>
      </c>
      <c r="M4666" s="2" t="s">
        <v>5721</v>
      </c>
      <c r="N4666" s="2" t="s">
        <v>2317</v>
      </c>
      <c r="O4666" s="14">
        <v>2600</v>
      </c>
      <c r="P4666" s="14">
        <v>94.04</v>
      </c>
      <c r="Q4666" s="14">
        <v>154.96</v>
      </c>
      <c r="R4666" s="14">
        <v>77.48</v>
      </c>
      <c r="S4666" s="2" t="s">
        <v>7776</v>
      </c>
      <c r="T4666" s="2">
        <v>1.4</v>
      </c>
      <c r="U4666" s="2">
        <v>62.2</v>
      </c>
      <c r="V4666" s="2">
        <v>61</v>
      </c>
      <c r="W4666" s="2" t="s">
        <v>7862</v>
      </c>
      <c r="X4666" s="2" t="s">
        <v>471</v>
      </c>
      <c r="Y4666" s="2">
        <v>1300</v>
      </c>
      <c r="Z4666" s="19" t="str">
        <f>HYPERLINK("https://ssdweb.co/ssdweb/hd/Vision360.html?d=927132415&amp;zoomslide=1&amp;z=1927132415&amp;ISCONFIRM=0","VIDEO")</f>
        <v>VIDEO</v>
      </c>
      <c r="AA4666" s="19" t="str">
        <f>HYPERLINK("https://ssdweb.co/ssdweb/CERTH/689586931.pdf","CERTI")</f>
        <v>CERTI</v>
      </c>
    </row>
    <row r="4667" spans="1:27" ht="15" x14ac:dyDescent="0.25">
      <c r="A4667" s="2">
        <v>4662</v>
      </c>
      <c r="B4667" s="39">
        <v>927152760</v>
      </c>
      <c r="C4667" s="28" t="str">
        <f>HYPERLINK("https://pld.live/RapDetail.aspx?STONELIST=927152760","DNA")</f>
        <v>DNA</v>
      </c>
      <c r="D4667" s="18" t="s">
        <v>5466</v>
      </c>
      <c r="E4667" s="18" t="s">
        <v>5128</v>
      </c>
      <c r="F4667" s="2" t="s">
        <v>7987</v>
      </c>
      <c r="G4667" s="2" t="s">
        <v>1573</v>
      </c>
      <c r="H4667" s="14">
        <v>0.5</v>
      </c>
      <c r="I4667" s="2" t="s">
        <v>4761</v>
      </c>
      <c r="J4667" s="2" t="s">
        <v>3942</v>
      </c>
      <c r="K4667" s="2" t="s">
        <v>1452</v>
      </c>
      <c r="L4667" s="2" t="s">
        <v>5221</v>
      </c>
      <c r="M4667" s="2" t="s">
        <v>5721</v>
      </c>
      <c r="N4667" s="2" t="s">
        <v>2317</v>
      </c>
      <c r="O4667" s="14">
        <v>2600</v>
      </c>
      <c r="P4667" s="14">
        <v>94.04</v>
      </c>
      <c r="Q4667" s="14">
        <v>154.96</v>
      </c>
      <c r="R4667" s="14">
        <v>77.48</v>
      </c>
      <c r="S4667" s="2" t="s">
        <v>7883</v>
      </c>
      <c r="T4667" s="2">
        <v>1.4</v>
      </c>
      <c r="U4667" s="2">
        <v>60.6</v>
      </c>
      <c r="V4667" s="2">
        <v>60</v>
      </c>
      <c r="W4667" s="2" t="s">
        <v>7862</v>
      </c>
      <c r="X4667" s="2" t="s">
        <v>471</v>
      </c>
      <c r="Y4667" s="2">
        <v>1300</v>
      </c>
      <c r="Z4667" s="19" t="str">
        <f>HYPERLINK("https://ssdweb.co/ssdweb/hd/Vision360.html?d=927152760&amp;zoomslide=1&amp;z=1927152760&amp;ISCONFIRM=0","VIDEO")</f>
        <v>VIDEO</v>
      </c>
      <c r="AA4667" s="19" t="str">
        <f>HYPERLINK("https://ssdweb.co/ssdweb/CERTH/689587001.pdf","CERTI")</f>
        <v>CERTI</v>
      </c>
    </row>
    <row r="4668" spans="1:27" ht="15" x14ac:dyDescent="0.25">
      <c r="A4668" s="2">
        <v>4663</v>
      </c>
      <c r="B4668" s="39">
        <v>924341592</v>
      </c>
      <c r="C4668" s="28" t="str">
        <f>HYPERLINK("https://pld.live/RapDetail.aspx?STONELIST=924341592","DNA")</f>
        <v>DNA</v>
      </c>
      <c r="D4668" s="18" t="s">
        <v>2802</v>
      </c>
      <c r="E4668" s="18" t="s">
        <v>5128</v>
      </c>
      <c r="F4668" s="2" t="s">
        <v>7987</v>
      </c>
      <c r="G4668" s="2" t="s">
        <v>1573</v>
      </c>
      <c r="H4668" s="14">
        <v>0.43</v>
      </c>
      <c r="I4668" s="2" t="s">
        <v>267</v>
      </c>
      <c r="J4668" s="2" t="s">
        <v>3942</v>
      </c>
      <c r="K4668" s="2" t="s">
        <v>1452</v>
      </c>
      <c r="L4668" s="2" t="s">
        <v>5721</v>
      </c>
      <c r="M4668" s="2" t="s">
        <v>5721</v>
      </c>
      <c r="N4668" s="2" t="s">
        <v>2317</v>
      </c>
      <c r="O4668" s="14">
        <v>2400</v>
      </c>
      <c r="P4668" s="14">
        <v>93.46</v>
      </c>
      <c r="Q4668" s="14">
        <v>156.96</v>
      </c>
      <c r="R4668" s="14">
        <v>67.489999999999995</v>
      </c>
      <c r="S4668" s="2" t="s">
        <v>1892</v>
      </c>
      <c r="T4668" s="2">
        <v>1.37</v>
      </c>
      <c r="U4668" s="2">
        <v>64.5</v>
      </c>
      <c r="V4668" s="2">
        <v>61</v>
      </c>
      <c r="W4668" s="2" t="s">
        <v>7862</v>
      </c>
      <c r="X4668" s="2" t="s">
        <v>471</v>
      </c>
      <c r="Y4668" s="2">
        <v>1032</v>
      </c>
      <c r="Z4668" s="19" t="str">
        <f>HYPERLINK("https://ssdweb.co/ssdweb/hd/Vision360.html?d=924341592&amp;zoomslide=1&amp;z=1924341592&amp;ISCONFIRM=0","VIDEO")</f>
        <v>VIDEO</v>
      </c>
      <c r="AA4668" s="19" t="str">
        <f>HYPERLINK("https://ssdweb.co/ssdweb/CERTH/589306281.pdf","CERTI")</f>
        <v>CERTI</v>
      </c>
    </row>
    <row r="4669" spans="1:27" ht="15" x14ac:dyDescent="0.25">
      <c r="A4669" s="2">
        <v>4664</v>
      </c>
      <c r="B4669" s="39">
        <v>924341601</v>
      </c>
      <c r="C4669" s="28" t="str">
        <f>HYPERLINK("https://pld.live/RapDetail.aspx?STONELIST=924341601","DNA")</f>
        <v>DNA</v>
      </c>
      <c r="D4669" s="18" t="s">
        <v>533</v>
      </c>
      <c r="E4669" s="18" t="s">
        <v>5128</v>
      </c>
      <c r="F4669" s="2" t="s">
        <v>7987</v>
      </c>
      <c r="G4669" s="2" t="s">
        <v>1573</v>
      </c>
      <c r="H4669" s="14">
        <v>0.36</v>
      </c>
      <c r="I4669" s="2" t="s">
        <v>267</v>
      </c>
      <c r="J4669" s="2" t="s">
        <v>6555</v>
      </c>
      <c r="K4669" s="2" t="s">
        <v>1452</v>
      </c>
      <c r="L4669" s="2" t="s">
        <v>5721</v>
      </c>
      <c r="M4669" s="2" t="s">
        <v>5721</v>
      </c>
      <c r="N4669" s="2" t="s">
        <v>2317</v>
      </c>
      <c r="O4669" s="14">
        <v>2200</v>
      </c>
      <c r="P4669" s="14">
        <v>91.96</v>
      </c>
      <c r="Q4669" s="14">
        <v>176.88</v>
      </c>
      <c r="R4669" s="14">
        <v>63.68</v>
      </c>
      <c r="S4669" s="2" t="s">
        <v>704</v>
      </c>
      <c r="T4669" s="2">
        <v>1.44</v>
      </c>
      <c r="U4669" s="2">
        <v>59.6</v>
      </c>
      <c r="V4669" s="2">
        <v>60</v>
      </c>
      <c r="W4669" s="2" t="s">
        <v>7862</v>
      </c>
      <c r="X4669" s="2" t="s">
        <v>471</v>
      </c>
      <c r="Y4669" s="2">
        <v>792</v>
      </c>
      <c r="Z4669" s="19" t="str">
        <f>HYPERLINK("https://ssdweb.co/ssdweb/hd/Vision360.html?d=924341601&amp;zoomslide=1&amp;z=1924341601&amp;ISCONFIRM=0","VIDEO")</f>
        <v>VIDEO</v>
      </c>
      <c r="AA4669" s="19" t="str">
        <f>HYPERLINK("https://ssdweb.co/ssdweb/CERTH/589306318.pdf","CERTI")</f>
        <v>CERTI</v>
      </c>
    </row>
    <row r="4670" spans="1:27" ht="15" x14ac:dyDescent="0.25">
      <c r="A4670" s="2">
        <v>4665</v>
      </c>
      <c r="B4670" s="39">
        <v>831010367</v>
      </c>
      <c r="C4670" s="28" t="str">
        <f>HYPERLINK("https://pld.live/RapDetail.aspx?STONELIST=831010367","DNA")</f>
        <v>DNA</v>
      </c>
      <c r="D4670" s="18" t="s">
        <v>7954</v>
      </c>
      <c r="E4670" s="18" t="s">
        <v>5128</v>
      </c>
      <c r="F4670" s="2" t="s">
        <v>7987</v>
      </c>
      <c r="G4670" s="2" t="s">
        <v>1573</v>
      </c>
      <c r="H4670" s="14">
        <v>0.32</v>
      </c>
      <c r="I4670" s="2" t="s">
        <v>4761</v>
      </c>
      <c r="J4670" s="2" t="s">
        <v>5144</v>
      </c>
      <c r="K4670" s="2" t="s">
        <v>1452</v>
      </c>
      <c r="L4670" s="2" t="s">
        <v>5721</v>
      </c>
      <c r="M4670" s="2" t="s">
        <v>5721</v>
      </c>
      <c r="N4670" s="2" t="s">
        <v>2317</v>
      </c>
      <c r="O4670" s="14">
        <v>1600</v>
      </c>
      <c r="P4670" s="14">
        <v>91.88</v>
      </c>
      <c r="Q4670" s="14">
        <v>129.91999999999999</v>
      </c>
      <c r="R4670" s="14">
        <v>41.57</v>
      </c>
      <c r="S4670" s="2" t="s">
        <v>2967</v>
      </c>
      <c r="T4670" s="2">
        <v>1.37</v>
      </c>
      <c r="U4670" s="2">
        <v>63.6</v>
      </c>
      <c r="V4670" s="2">
        <v>60</v>
      </c>
      <c r="W4670" s="2" t="s">
        <v>7862</v>
      </c>
      <c r="X4670" s="2" t="s">
        <v>471</v>
      </c>
      <c r="Y4670" s="2">
        <v>512</v>
      </c>
      <c r="Z4670" s="19" t="str">
        <f>HYPERLINK("https://ssdweb.co/ssdweb/hd/Vision360.html?d=831010367&amp;zoomslide=1&amp;z=1831010367&amp;ISCONFIRM=0","VIDEO")</f>
        <v>VIDEO</v>
      </c>
      <c r="AA4670" s="19" t="str">
        <f>HYPERLINK("https://ssdweb.co/ssdweb/CERTH/593373060.pdf","CERTI")</f>
        <v>CERTI</v>
      </c>
    </row>
    <row r="4671" spans="1:27" ht="15" x14ac:dyDescent="0.25">
      <c r="A4671" s="2">
        <v>4666</v>
      </c>
      <c r="B4671" s="39">
        <v>926780083</v>
      </c>
      <c r="C4671" s="28" t="str">
        <f>HYPERLINK("https://pld.live/RapDetail.aspx?STONELIST=926780083","DNA")</f>
        <v>DNA</v>
      </c>
      <c r="D4671" s="18" t="s">
        <v>2845</v>
      </c>
      <c r="E4671" s="18" t="s">
        <v>2186</v>
      </c>
      <c r="F4671" s="2" t="s">
        <v>7987</v>
      </c>
      <c r="G4671" s="2" t="s">
        <v>7322</v>
      </c>
      <c r="H4671" s="14">
        <v>20.51</v>
      </c>
      <c r="I4671" s="2" t="s">
        <v>4699</v>
      </c>
      <c r="J4671" s="2" t="s">
        <v>5144</v>
      </c>
      <c r="K4671" s="2" t="s">
        <v>1452</v>
      </c>
      <c r="L4671" s="2" t="s">
        <v>5221</v>
      </c>
      <c r="M4671" s="2" t="s">
        <v>5221</v>
      </c>
      <c r="N4671" s="2" t="s">
        <v>2317</v>
      </c>
      <c r="O4671" s="14">
        <v>66500</v>
      </c>
      <c r="P4671" s="14">
        <v>98.72</v>
      </c>
      <c r="Q4671" s="14">
        <v>851.2</v>
      </c>
      <c r="R4671" s="14">
        <v>17458.11</v>
      </c>
      <c r="S4671" s="2" t="s">
        <v>3263</v>
      </c>
      <c r="T4671" s="2">
        <v>1.44</v>
      </c>
      <c r="U4671" s="2">
        <v>66.7</v>
      </c>
      <c r="V4671" s="2">
        <v>67</v>
      </c>
      <c r="W4671" s="2" t="s">
        <v>7862</v>
      </c>
      <c r="X4671" s="2" t="s">
        <v>2897</v>
      </c>
      <c r="Y4671" s="2">
        <v>1363915</v>
      </c>
      <c r="Z4671" s="19" t="str">
        <f>HYPERLINK("https://ssdweb.co/ssdweb/hd/Vision360.html?d=926780083&amp;zoomslide=1&amp;z=1926780083&amp;ISCONFIRM=0","VIDEO")</f>
        <v>VIDEO</v>
      </c>
      <c r="AA4671" s="19" t="str">
        <f>HYPERLINK("https://ssdweb.co/ssdweb/CERTH/654408169.pdf","CERTI")</f>
        <v>CERTI</v>
      </c>
    </row>
    <row r="4672" spans="1:27" ht="15" x14ac:dyDescent="0.25">
      <c r="A4672" s="2">
        <v>4667</v>
      </c>
      <c r="B4672" s="39">
        <v>926780101</v>
      </c>
      <c r="C4672" s="28" t="str">
        <f>HYPERLINK("https://pld.live/RapDetail.aspx?STONELIST=926780101","DNA")</f>
        <v>DNA</v>
      </c>
      <c r="D4672" s="18" t="s">
        <v>38</v>
      </c>
      <c r="E4672" s="18" t="s">
        <v>2186</v>
      </c>
      <c r="F4672" s="2" t="s">
        <v>7987</v>
      </c>
      <c r="G4672" s="2" t="s">
        <v>7322</v>
      </c>
      <c r="H4672" s="14">
        <v>19</v>
      </c>
      <c r="I4672" s="2" t="s">
        <v>4699</v>
      </c>
      <c r="J4672" s="2" t="s">
        <v>13</v>
      </c>
      <c r="K4672" s="2" t="s">
        <v>1452</v>
      </c>
      <c r="L4672" s="2" t="s">
        <v>5221</v>
      </c>
      <c r="M4672" s="2" t="s">
        <v>5221</v>
      </c>
      <c r="N4672" s="2" t="s">
        <v>2317</v>
      </c>
      <c r="O4672" s="14">
        <v>76500</v>
      </c>
      <c r="P4672" s="14">
        <v>99.11</v>
      </c>
      <c r="Q4672" s="14">
        <v>680.85</v>
      </c>
      <c r="R4672" s="14">
        <v>12936.15</v>
      </c>
      <c r="S4672" s="2" t="s">
        <v>3404</v>
      </c>
      <c r="T4672" s="2">
        <v>1.41</v>
      </c>
      <c r="U4672" s="2">
        <v>66.5</v>
      </c>
      <c r="V4672" s="2">
        <v>69</v>
      </c>
      <c r="W4672" s="2" t="s">
        <v>7862</v>
      </c>
      <c r="X4672" s="2" t="s">
        <v>2897</v>
      </c>
      <c r="Y4672" s="2">
        <v>1453500</v>
      </c>
      <c r="Z4672" s="19" t="str">
        <f>HYPERLINK("https://ssdweb.co/ssdweb/hd/Vision360.html?d=926780101&amp;zoomslide=1&amp;z=1926780101&amp;ISCONFIRM=0","VIDEO")</f>
        <v>VIDEO</v>
      </c>
      <c r="AA4672" s="19" t="str">
        <f>HYPERLINK("https://ssdweb.co/ssdweb/CERTH/655441416.pdf","CERTI")</f>
        <v>CERTI</v>
      </c>
    </row>
    <row r="4673" spans="1:27" ht="15" x14ac:dyDescent="0.25">
      <c r="A4673" s="2">
        <v>4668</v>
      </c>
      <c r="B4673" s="39">
        <v>926780097</v>
      </c>
      <c r="C4673" s="28" t="str">
        <f>HYPERLINK("https://pld.live/RapDetail.aspx?STONELIST=926780097","DNA")</f>
        <v>DNA</v>
      </c>
      <c r="D4673" s="18" t="s">
        <v>38</v>
      </c>
      <c r="E4673" s="18" t="s">
        <v>2186</v>
      </c>
      <c r="F4673" s="2" t="s">
        <v>7987</v>
      </c>
      <c r="G4673" s="2" t="s">
        <v>7322</v>
      </c>
      <c r="H4673" s="14">
        <v>18.010000000000002</v>
      </c>
      <c r="I4673" s="2" t="s">
        <v>4699</v>
      </c>
      <c r="J4673" s="2" t="s">
        <v>3942</v>
      </c>
      <c r="K4673" s="2" t="s">
        <v>1452</v>
      </c>
      <c r="L4673" s="2" t="s">
        <v>5221</v>
      </c>
      <c r="M4673" s="2" t="s">
        <v>5221</v>
      </c>
      <c r="N4673" s="2" t="s">
        <v>2317</v>
      </c>
      <c r="O4673" s="14">
        <v>83500</v>
      </c>
      <c r="P4673" s="14">
        <v>99.13</v>
      </c>
      <c r="Q4673" s="14">
        <v>726.45</v>
      </c>
      <c r="R4673" s="14">
        <v>13083.36</v>
      </c>
      <c r="S4673" s="2" t="s">
        <v>2843</v>
      </c>
      <c r="T4673" s="2">
        <v>1.41</v>
      </c>
      <c r="U4673" s="2">
        <v>65.3</v>
      </c>
      <c r="V4673" s="2">
        <v>71</v>
      </c>
      <c r="W4673" s="2" t="s">
        <v>7862</v>
      </c>
      <c r="X4673" s="2" t="s">
        <v>2897</v>
      </c>
      <c r="Y4673" s="2">
        <v>1503835</v>
      </c>
      <c r="Z4673" s="19" t="str">
        <f>HYPERLINK("https://ssdweb.co/ssdweb/hd/Vision360.html?d=926780097&amp;zoomslide=1&amp;z=1926780097&amp;ISCONFIRM=0","VIDEO")</f>
        <v>VIDEO</v>
      </c>
      <c r="AA4673" s="19" t="str">
        <f>HYPERLINK("https://ssdweb.co/ssdweb/CERTH/654408168.pdf","CERTI")</f>
        <v>CERTI</v>
      </c>
    </row>
    <row r="4674" spans="1:27" ht="15" x14ac:dyDescent="0.25">
      <c r="A4674" s="2">
        <v>4669</v>
      </c>
      <c r="B4674" s="39">
        <v>927120045</v>
      </c>
      <c r="C4674" s="28" t="str">
        <f>HYPERLINK("https://pld.live/RapDetail.aspx?STONELIST=927120045","DNA")</f>
        <v>DNA</v>
      </c>
      <c r="D4674" s="18" t="s">
        <v>38</v>
      </c>
      <c r="E4674" s="18" t="s">
        <v>2186</v>
      </c>
      <c r="F4674" s="2" t="s">
        <v>7987</v>
      </c>
      <c r="G4674" s="2" t="s">
        <v>7322</v>
      </c>
      <c r="H4674" s="14">
        <v>11.02</v>
      </c>
      <c r="I4674" s="2" t="s">
        <v>6845</v>
      </c>
      <c r="J4674" s="2" t="s">
        <v>13</v>
      </c>
      <c r="K4674" s="2" t="s">
        <v>1452</v>
      </c>
      <c r="L4674" s="2" t="s">
        <v>5221</v>
      </c>
      <c r="M4674" s="2" t="s">
        <v>5221</v>
      </c>
      <c r="N4674" s="2" t="s">
        <v>2317</v>
      </c>
      <c r="O4674" s="14">
        <v>14500</v>
      </c>
      <c r="P4674" s="14">
        <v>97.31</v>
      </c>
      <c r="Q4674" s="14">
        <v>390.05</v>
      </c>
      <c r="R4674" s="14">
        <v>4298.3500000000004</v>
      </c>
      <c r="S4674" s="2" t="s">
        <v>933</v>
      </c>
      <c r="T4674" s="2">
        <v>1.57</v>
      </c>
      <c r="U4674" s="2">
        <v>64.900000000000006</v>
      </c>
      <c r="V4674" s="2">
        <v>65</v>
      </c>
      <c r="W4674" s="2" t="s">
        <v>7862</v>
      </c>
      <c r="X4674" s="2" t="s">
        <v>2897</v>
      </c>
      <c r="Y4674" s="2">
        <v>159790</v>
      </c>
      <c r="Z4674" s="19" t="str">
        <f>HYPERLINK("https://ssdweb.co/ssdweb/hd/Vision360.html?d=927120045&amp;zoomslide=1&amp;z=1927120045&amp;ISCONFIRM=0","VIDEO")</f>
        <v>VIDEO</v>
      </c>
      <c r="AA4674" s="19" t="str">
        <f>HYPERLINK("https://ssdweb.co/ssdweb/CERTH/681593707.pdf","CERTI")</f>
        <v>CERTI</v>
      </c>
    </row>
    <row r="4675" spans="1:27" ht="15" x14ac:dyDescent="0.25">
      <c r="A4675" s="2">
        <v>4670</v>
      </c>
      <c r="B4675" s="39">
        <v>926560417</v>
      </c>
      <c r="C4675" s="28" t="str">
        <f>HYPERLINK("https://pld.live/RapDetail.aspx?STONELIST=926560417","DNA")</f>
        <v>DNA</v>
      </c>
      <c r="D4675" s="18" t="s">
        <v>1255</v>
      </c>
      <c r="E4675" s="18" t="s">
        <v>2186</v>
      </c>
      <c r="F4675" s="2" t="s">
        <v>7987</v>
      </c>
      <c r="G4675" s="2" t="s">
        <v>7322</v>
      </c>
      <c r="H4675" s="14">
        <v>10.54</v>
      </c>
      <c r="I4675" s="2" t="s">
        <v>6845</v>
      </c>
      <c r="J4675" s="2" t="s">
        <v>13</v>
      </c>
      <c r="K4675" s="2" t="s">
        <v>1452</v>
      </c>
      <c r="L4675" s="2" t="s">
        <v>5221</v>
      </c>
      <c r="M4675" s="2" t="s">
        <v>5221</v>
      </c>
      <c r="N4675" s="2" t="s">
        <v>2317</v>
      </c>
      <c r="O4675" s="14">
        <v>14500</v>
      </c>
      <c r="P4675" s="14">
        <v>97.31</v>
      </c>
      <c r="Q4675" s="14">
        <v>390.05</v>
      </c>
      <c r="R4675" s="14">
        <v>4111.13</v>
      </c>
      <c r="S4675" s="2" t="s">
        <v>3414</v>
      </c>
      <c r="T4675" s="2">
        <v>1.57</v>
      </c>
      <c r="U4675" s="2">
        <v>63.1</v>
      </c>
      <c r="V4675" s="2">
        <v>67</v>
      </c>
      <c r="W4675" s="2" t="s">
        <v>7862</v>
      </c>
      <c r="X4675" s="2" t="s">
        <v>2897</v>
      </c>
      <c r="Y4675" s="2">
        <v>152830</v>
      </c>
      <c r="Z4675" s="19" t="str">
        <f>HYPERLINK("https://ssdweb.co/ssdweb/hd/Vision360.html?d=926560417&amp;zoomslide=1&amp;z=1926560417&amp;ISCONFIRM=0","VIDEO")</f>
        <v>VIDEO</v>
      </c>
      <c r="AA4675" s="19" t="str">
        <f>HYPERLINK("https://ssdweb.co/ssdweb/CERTH/652471024.pdf","CERTI")</f>
        <v>CERTI</v>
      </c>
    </row>
    <row r="4676" spans="1:27" ht="15" x14ac:dyDescent="0.25">
      <c r="A4676" s="2">
        <v>4671</v>
      </c>
      <c r="B4676" s="39">
        <v>926560416</v>
      </c>
      <c r="C4676" s="28" t="str">
        <f>HYPERLINK("https://pld.live/RapDetail.aspx?STONELIST=926560416","DNA")</f>
        <v>DNA</v>
      </c>
      <c r="D4676" s="18" t="s">
        <v>1255</v>
      </c>
      <c r="E4676" s="18" t="s">
        <v>2186</v>
      </c>
      <c r="F4676" s="2" t="s">
        <v>7987</v>
      </c>
      <c r="G4676" s="2" t="s">
        <v>7322</v>
      </c>
      <c r="H4676" s="14">
        <v>10.51</v>
      </c>
      <c r="I4676" s="2" t="s">
        <v>6845</v>
      </c>
      <c r="J4676" s="2" t="s">
        <v>3942</v>
      </c>
      <c r="K4676" s="2" t="s">
        <v>1452</v>
      </c>
      <c r="L4676" s="2" t="s">
        <v>5221</v>
      </c>
      <c r="M4676" s="2" t="s">
        <v>5221</v>
      </c>
      <c r="N4676" s="2" t="s">
        <v>2317</v>
      </c>
      <c r="O4676" s="14">
        <v>15500</v>
      </c>
      <c r="P4676" s="14">
        <v>97.26</v>
      </c>
      <c r="Q4676" s="14">
        <v>424.7</v>
      </c>
      <c r="R4676" s="14">
        <v>4463.6000000000004</v>
      </c>
      <c r="S4676" s="2" t="s">
        <v>6694</v>
      </c>
      <c r="T4676" s="2">
        <v>1.48</v>
      </c>
      <c r="U4676" s="2">
        <v>64.3</v>
      </c>
      <c r="V4676" s="2">
        <v>67</v>
      </c>
      <c r="W4676" s="2" t="s">
        <v>7862</v>
      </c>
      <c r="X4676" s="2" t="s">
        <v>2897</v>
      </c>
      <c r="Y4676" s="2">
        <v>162905</v>
      </c>
      <c r="Z4676" s="19" t="str">
        <f>HYPERLINK("https://ssdweb.co/ssdweb/hd/Vision360.html?d=926560416&amp;zoomslide=1&amp;z=1926560416&amp;ISCONFIRM=0","VIDEO")</f>
        <v>VIDEO</v>
      </c>
      <c r="AA4676" s="19" t="str">
        <f>HYPERLINK("https://ssdweb.co/ssdweb/CERTH/652471023.pdf","CERTI")</f>
        <v>CERTI</v>
      </c>
    </row>
    <row r="4677" spans="1:27" ht="15" x14ac:dyDescent="0.25">
      <c r="A4677" s="2">
        <v>4672</v>
      </c>
      <c r="B4677" s="39">
        <v>926560384</v>
      </c>
      <c r="C4677" s="28" t="str">
        <f>HYPERLINK("https://pld.live/RapDetail.aspx?STONELIST=926560384","DNA")</f>
        <v>DNA</v>
      </c>
      <c r="D4677" s="18" t="s">
        <v>1255</v>
      </c>
      <c r="E4677" s="18" t="s">
        <v>2186</v>
      </c>
      <c r="F4677" s="2" t="s">
        <v>7987</v>
      </c>
      <c r="G4677" s="2" t="s">
        <v>7322</v>
      </c>
      <c r="H4677" s="14">
        <v>10.25</v>
      </c>
      <c r="I4677" s="2" t="s">
        <v>6845</v>
      </c>
      <c r="J4677" s="2" t="s">
        <v>13</v>
      </c>
      <c r="K4677" s="2" t="s">
        <v>1452</v>
      </c>
      <c r="L4677" s="2" t="s">
        <v>5221</v>
      </c>
      <c r="M4677" s="2" t="s">
        <v>5221</v>
      </c>
      <c r="N4677" s="2" t="s">
        <v>2317</v>
      </c>
      <c r="O4677" s="14">
        <v>14500</v>
      </c>
      <c r="P4677" s="14">
        <v>97.31</v>
      </c>
      <c r="Q4677" s="14">
        <v>390.05</v>
      </c>
      <c r="R4677" s="14">
        <v>3998.01</v>
      </c>
      <c r="S4677" s="2" t="s">
        <v>1444</v>
      </c>
      <c r="T4677" s="2">
        <v>1.55</v>
      </c>
      <c r="U4677" s="2">
        <v>64.5</v>
      </c>
      <c r="V4677" s="2">
        <v>67</v>
      </c>
      <c r="W4677" s="2" t="s">
        <v>7862</v>
      </c>
      <c r="X4677" s="2" t="s">
        <v>2897</v>
      </c>
      <c r="Y4677" s="2">
        <v>148625</v>
      </c>
      <c r="Z4677" s="19" t="str">
        <f>HYPERLINK("https://ssdweb.co/ssdweb/hd/Vision360.html?d=926560384&amp;zoomslide=1&amp;z=1926560384&amp;ISCONFIRM=0","VIDEO")</f>
        <v>VIDEO</v>
      </c>
      <c r="AA4677" s="19" t="str">
        <f>HYPERLINK("https://ssdweb.co/ssdweb/CERTH/649417211.pdf","CERTI")</f>
        <v>CERTI</v>
      </c>
    </row>
    <row r="4678" spans="1:27" ht="15" x14ac:dyDescent="0.25">
      <c r="A4678" s="2">
        <v>4673</v>
      </c>
      <c r="B4678" s="39">
        <v>926560422</v>
      </c>
      <c r="C4678" s="28" t="str">
        <f>HYPERLINK("https://pld.live/RapDetail.aspx?STONELIST=926560422","DNA")</f>
        <v>DNA</v>
      </c>
      <c r="D4678" s="18" t="s">
        <v>1255</v>
      </c>
      <c r="E4678" s="18" t="s">
        <v>2186</v>
      </c>
      <c r="F4678" s="2" t="s">
        <v>7987</v>
      </c>
      <c r="G4678" s="2" t="s">
        <v>7322</v>
      </c>
      <c r="H4678" s="14">
        <v>10.24</v>
      </c>
      <c r="I4678" s="2" t="s">
        <v>4699</v>
      </c>
      <c r="J4678" s="2" t="s">
        <v>13</v>
      </c>
      <c r="K4678" s="2" t="s">
        <v>1452</v>
      </c>
      <c r="L4678" s="2" t="s">
        <v>5221</v>
      </c>
      <c r="M4678" s="2" t="s">
        <v>5221</v>
      </c>
      <c r="N4678" s="2" t="s">
        <v>2317</v>
      </c>
      <c r="O4678" s="14">
        <v>76500</v>
      </c>
      <c r="P4678" s="14">
        <v>99.63</v>
      </c>
      <c r="Q4678" s="14">
        <v>283.05</v>
      </c>
      <c r="R4678" s="14">
        <v>2898.43</v>
      </c>
      <c r="S4678" s="2" t="s">
        <v>4430</v>
      </c>
      <c r="T4678" s="2">
        <v>1.46</v>
      </c>
      <c r="U4678" s="2">
        <v>64.8</v>
      </c>
      <c r="V4678" s="2">
        <v>66</v>
      </c>
      <c r="W4678" s="2" t="s">
        <v>7862</v>
      </c>
      <c r="X4678" s="2" t="s">
        <v>2897</v>
      </c>
      <c r="Y4678" s="2">
        <v>783360</v>
      </c>
      <c r="Z4678" s="19" t="str">
        <f>HYPERLINK("https://ssdweb.co/ssdweb/hd/Vision360.html?d=926560422&amp;zoomslide=1&amp;z=1926560422&amp;ISCONFIRM=0","VIDEO")</f>
        <v>VIDEO</v>
      </c>
      <c r="AA4678" s="19" t="str">
        <f>HYPERLINK("https://ssdweb.co/ssdweb/CERTH/651454985.pdf","CERTI")</f>
        <v>CERTI</v>
      </c>
    </row>
    <row r="4679" spans="1:27" ht="15" x14ac:dyDescent="0.25">
      <c r="A4679" s="2">
        <v>4674</v>
      </c>
      <c r="B4679" s="39">
        <v>926560415</v>
      </c>
      <c r="C4679" s="28" t="str">
        <f>HYPERLINK("https://pld.live/RapDetail.aspx?STONELIST=926560415","DNA")</f>
        <v>DNA</v>
      </c>
      <c r="D4679" s="18" t="s">
        <v>1255</v>
      </c>
      <c r="E4679" s="18" t="s">
        <v>2186</v>
      </c>
      <c r="F4679" s="2" t="s">
        <v>7987</v>
      </c>
      <c r="G4679" s="2" t="s">
        <v>7322</v>
      </c>
      <c r="H4679" s="14">
        <v>10.210000000000001</v>
      </c>
      <c r="I4679" s="2" t="s">
        <v>6748</v>
      </c>
      <c r="J4679" s="2" t="s">
        <v>13</v>
      </c>
      <c r="K4679" s="2" t="s">
        <v>1452</v>
      </c>
      <c r="L4679" s="2" t="s">
        <v>5221</v>
      </c>
      <c r="M4679" s="2" t="s">
        <v>5221</v>
      </c>
      <c r="N4679" s="2" t="s">
        <v>2317</v>
      </c>
      <c r="O4679" s="14">
        <v>14500</v>
      </c>
      <c r="P4679" s="14">
        <v>97.24</v>
      </c>
      <c r="Q4679" s="14">
        <v>400.2</v>
      </c>
      <c r="R4679" s="14">
        <v>4086.04</v>
      </c>
      <c r="S4679" s="2" t="s">
        <v>7830</v>
      </c>
      <c r="T4679" s="2">
        <v>1.59</v>
      </c>
      <c r="U4679" s="2">
        <v>62.3</v>
      </c>
      <c r="V4679" s="2">
        <v>70</v>
      </c>
      <c r="W4679" s="2" t="s">
        <v>7862</v>
      </c>
      <c r="X4679" s="2" t="s">
        <v>2897</v>
      </c>
      <c r="Y4679" s="2">
        <v>148045</v>
      </c>
      <c r="Z4679" s="19" t="str">
        <f>HYPERLINK("https://ssdweb.co/ssdweb/hd/Vision360.html?d=926560415&amp;zoomslide=1&amp;z=1926560415&amp;ISCONFIRM=0","VIDEO")</f>
        <v>VIDEO</v>
      </c>
      <c r="AA4679" s="19" t="str">
        <f>HYPERLINK("https://ssdweb.co/ssdweb/CERTH/651454981.pdf","CERTI")</f>
        <v>CERTI</v>
      </c>
    </row>
    <row r="4680" spans="1:27" ht="15" x14ac:dyDescent="0.25">
      <c r="A4680" s="2">
        <v>4675</v>
      </c>
      <c r="B4680" s="39">
        <v>926470462</v>
      </c>
      <c r="C4680" s="28" t="str">
        <f>HYPERLINK("https://pld.live/RapDetail.aspx?STONELIST=926470462","DNA")</f>
        <v>DNA</v>
      </c>
      <c r="D4680" s="18" t="s">
        <v>1255</v>
      </c>
      <c r="E4680" s="18" t="s">
        <v>2186</v>
      </c>
      <c r="F4680" s="2" t="s">
        <v>7987</v>
      </c>
      <c r="G4680" s="2" t="s">
        <v>7322</v>
      </c>
      <c r="H4680" s="14">
        <v>10.029999999999999</v>
      </c>
      <c r="I4680" s="2" t="s">
        <v>7289</v>
      </c>
      <c r="J4680" s="2" t="s">
        <v>13</v>
      </c>
      <c r="K4680" s="2" t="s">
        <v>1452</v>
      </c>
      <c r="L4680" s="2" t="s">
        <v>5221</v>
      </c>
      <c r="M4680" s="2" t="s">
        <v>5221</v>
      </c>
      <c r="N4680" s="2" t="s">
        <v>5284</v>
      </c>
      <c r="O4680" s="14">
        <v>14500</v>
      </c>
      <c r="P4680" s="14">
        <v>96.62</v>
      </c>
      <c r="Q4680" s="14">
        <v>490.1</v>
      </c>
      <c r="R4680" s="14">
        <v>4915.7</v>
      </c>
      <c r="S4680" s="2" t="s">
        <v>453</v>
      </c>
      <c r="T4680" s="2">
        <v>1.45</v>
      </c>
      <c r="U4680" s="2">
        <v>65.8</v>
      </c>
      <c r="V4680" s="2">
        <v>67</v>
      </c>
      <c r="W4680" s="2" t="s">
        <v>7862</v>
      </c>
      <c r="X4680" s="2" t="s">
        <v>2897</v>
      </c>
      <c r="Y4680" s="2">
        <v>145435</v>
      </c>
      <c r="Z4680" s="19" t="str">
        <f>HYPERLINK("https://ssdweb.co/ssdweb/hd/Vision360.html?d=926470462&amp;zoomslide=1&amp;z=1926470462&amp;ISCONFIRM=0","VIDEO")</f>
        <v>VIDEO</v>
      </c>
      <c r="AA4680" s="19" t="str">
        <f>HYPERLINK("https://ssdweb.co/ssdweb/CERTH/659414251.pdf","CERTI")</f>
        <v>CERTI</v>
      </c>
    </row>
    <row r="4681" spans="1:27" ht="15" x14ac:dyDescent="0.25">
      <c r="A4681" s="2">
        <v>4676</v>
      </c>
      <c r="B4681" s="39">
        <v>831020186</v>
      </c>
      <c r="C4681" s="28" t="str">
        <f>HYPERLINK("https://pld.live/RapDetail.aspx?STONELIST=831020186","DNA")</f>
        <v>DNA</v>
      </c>
      <c r="D4681" s="18" t="s">
        <v>1255</v>
      </c>
      <c r="E4681" s="18" t="s">
        <v>2186</v>
      </c>
      <c r="F4681" s="2" t="s">
        <v>5597</v>
      </c>
      <c r="G4681" s="2" t="s">
        <v>7322</v>
      </c>
      <c r="H4681" s="14">
        <v>10.02</v>
      </c>
      <c r="I4681" s="2" t="s">
        <v>4699</v>
      </c>
      <c r="J4681" s="2" t="s">
        <v>444</v>
      </c>
      <c r="K4681" s="2" t="s">
        <v>1452</v>
      </c>
      <c r="L4681" s="2" t="s">
        <v>5221</v>
      </c>
      <c r="M4681" s="2" t="s">
        <v>5221</v>
      </c>
      <c r="N4681" s="2" t="s">
        <v>2317</v>
      </c>
      <c r="O4681" s="14">
        <v>49500</v>
      </c>
      <c r="P4681" s="14">
        <v>99.25</v>
      </c>
      <c r="Q4681" s="14">
        <v>371.25</v>
      </c>
      <c r="R4681" s="14">
        <v>3719.93</v>
      </c>
      <c r="S4681" s="2" t="s">
        <v>4486</v>
      </c>
      <c r="T4681" s="2">
        <v>1.4</v>
      </c>
      <c r="U4681" s="2">
        <v>71.8</v>
      </c>
      <c r="V4681" s="2">
        <v>75</v>
      </c>
      <c r="W4681" s="2" t="s">
        <v>7862</v>
      </c>
      <c r="X4681" s="2" t="s">
        <v>2897</v>
      </c>
      <c r="Y4681" s="2">
        <v>495990</v>
      </c>
      <c r="Z4681" s="19" t="str">
        <f>HYPERLINK("https://ssdweb.co/ssdweb/hd/Vision360.html?d=831020186&amp;zoomslide=1&amp;z=1831020186&amp;ISCONFIRM=0","VIDEO")</f>
        <v>VIDEO</v>
      </c>
      <c r="AA4681" s="19" t="str">
        <f>HYPERLINK("https://ssdweb.co/ssdweb/CERTH/5222630066.pdf","CERTI")</f>
        <v>CERTI</v>
      </c>
    </row>
    <row r="4682" spans="1:27" ht="15" x14ac:dyDescent="0.25">
      <c r="A4682" s="2">
        <v>4677</v>
      </c>
      <c r="B4682" s="39">
        <v>831020187</v>
      </c>
      <c r="C4682" s="28" t="str">
        <f>HYPERLINK("https://pld.live/RapDetail.aspx?STONELIST=831020187","DNA")</f>
        <v>DNA</v>
      </c>
      <c r="D4682" s="18" t="s">
        <v>1255</v>
      </c>
      <c r="E4682" s="18" t="s">
        <v>2186</v>
      </c>
      <c r="F4682" s="2" t="s">
        <v>5597</v>
      </c>
      <c r="G4682" s="2" t="s">
        <v>7322</v>
      </c>
      <c r="H4682" s="14">
        <v>10.02</v>
      </c>
      <c r="I4682" s="2" t="s">
        <v>6587</v>
      </c>
      <c r="J4682" s="2" t="s">
        <v>5144</v>
      </c>
      <c r="K4682" s="2" t="s">
        <v>1452</v>
      </c>
      <c r="L4682" s="2" t="s">
        <v>5221</v>
      </c>
      <c r="M4682" s="2" t="s">
        <v>5221</v>
      </c>
      <c r="N4682" s="2" t="s">
        <v>2317</v>
      </c>
      <c r="O4682" s="14">
        <v>57500</v>
      </c>
      <c r="P4682" s="14">
        <v>99.3</v>
      </c>
      <c r="Q4682" s="14">
        <v>402.5</v>
      </c>
      <c r="R4682" s="14">
        <v>4033.05</v>
      </c>
      <c r="S4682" s="2" t="s">
        <v>1460</v>
      </c>
      <c r="T4682" s="2">
        <v>1.37</v>
      </c>
      <c r="U4682" s="2">
        <v>71.3</v>
      </c>
      <c r="V4682" s="2">
        <v>69</v>
      </c>
      <c r="W4682" s="2" t="s">
        <v>7862</v>
      </c>
      <c r="X4682" s="2" t="s">
        <v>2897</v>
      </c>
      <c r="Y4682" s="2">
        <v>576150</v>
      </c>
      <c r="Z4682" s="19" t="str">
        <f>HYPERLINK("https://ssdweb.co/ssdweb/hd/Vision360.html?d=831020187&amp;zoomslide=1&amp;z=1831020187&amp;ISCONFIRM=0","VIDEO")</f>
        <v>VIDEO</v>
      </c>
      <c r="AA4682" s="19" t="str">
        <f>HYPERLINK("https://ssdweb.co/ssdweb/CERTH/2225699207.pdf","CERTI")</f>
        <v>CERTI</v>
      </c>
    </row>
    <row r="4683" spans="1:27" ht="15" x14ac:dyDescent="0.25">
      <c r="A4683" s="2">
        <v>4678</v>
      </c>
      <c r="B4683" s="39">
        <v>924500072</v>
      </c>
      <c r="C4683" s="28" t="str">
        <f>HYPERLINK("https://pld.live/RapDetail.aspx?STONELIST=924500072","DNA")</f>
        <v>DNA</v>
      </c>
      <c r="D4683" s="18" t="s">
        <v>1255</v>
      </c>
      <c r="E4683" s="18" t="s">
        <v>2186</v>
      </c>
      <c r="F4683" s="2" t="s">
        <v>7987</v>
      </c>
      <c r="G4683" s="2" t="s">
        <v>7322</v>
      </c>
      <c r="H4683" s="14">
        <v>10</v>
      </c>
      <c r="I4683" s="2" t="s">
        <v>1066</v>
      </c>
      <c r="J4683" s="2" t="s">
        <v>444</v>
      </c>
      <c r="K4683" s="2" t="s">
        <v>1452</v>
      </c>
      <c r="L4683" s="2" t="s">
        <v>5221</v>
      </c>
      <c r="M4683" s="2" t="s">
        <v>5221</v>
      </c>
      <c r="N4683" s="2" t="s">
        <v>924</v>
      </c>
      <c r="O4683" s="14">
        <v>12500</v>
      </c>
      <c r="P4683" s="14">
        <v>96.8</v>
      </c>
      <c r="Q4683" s="14">
        <v>400</v>
      </c>
      <c r="R4683" s="14">
        <v>4000</v>
      </c>
      <c r="S4683" s="2" t="s">
        <v>932</v>
      </c>
      <c r="T4683" s="2">
        <v>1.38</v>
      </c>
      <c r="U4683" s="2">
        <v>64</v>
      </c>
      <c r="V4683" s="2">
        <v>68</v>
      </c>
      <c r="W4683" s="2" t="s">
        <v>7862</v>
      </c>
      <c r="X4683" s="2" t="s">
        <v>2897</v>
      </c>
      <c r="Y4683" s="2">
        <v>125000</v>
      </c>
      <c r="Z4683" s="19" t="str">
        <f>HYPERLINK("https://ssdweb.co/ssdweb/hd/Vision360.html?d=924500072&amp;zoomslide=1&amp;z=1924500072&amp;ISCONFIRM=0","VIDEO")</f>
        <v>VIDEO</v>
      </c>
      <c r="AA4683" s="19" t="str">
        <f>HYPERLINK("https://ssdweb.co/ssdweb/CERTH/628496687.pdf","CERTI")</f>
        <v>CERTI</v>
      </c>
    </row>
    <row r="4684" spans="1:27" ht="15" x14ac:dyDescent="0.25">
      <c r="A4684" s="2">
        <v>4679</v>
      </c>
      <c r="B4684" s="39">
        <v>919300004</v>
      </c>
      <c r="C4684" s="28" t="str">
        <f>HYPERLINK("https://pld.live/RapDetail.aspx?STONELIST=919300004","DNA")</f>
        <v>DNA</v>
      </c>
      <c r="D4684" s="18" t="s">
        <v>2896</v>
      </c>
      <c r="E4684" s="18" t="s">
        <v>2186</v>
      </c>
      <c r="F4684" s="2" t="s">
        <v>7987</v>
      </c>
      <c r="G4684" s="2" t="s">
        <v>7322</v>
      </c>
      <c r="H4684" s="14">
        <v>9.0299999999999994</v>
      </c>
      <c r="I4684" s="2" t="s">
        <v>1505</v>
      </c>
      <c r="J4684" s="2" t="s">
        <v>5144</v>
      </c>
      <c r="K4684" s="2" t="s">
        <v>1452</v>
      </c>
      <c r="L4684" s="2" t="s">
        <v>5221</v>
      </c>
      <c r="M4684" s="2" t="s">
        <v>5221</v>
      </c>
      <c r="N4684" s="2" t="s">
        <v>2317</v>
      </c>
      <c r="O4684" s="14">
        <v>30000</v>
      </c>
      <c r="P4684" s="14">
        <v>99.37</v>
      </c>
      <c r="Q4684" s="14">
        <v>189</v>
      </c>
      <c r="R4684" s="14">
        <v>1706.67</v>
      </c>
      <c r="S4684" s="2" t="s">
        <v>2198</v>
      </c>
      <c r="T4684" s="2">
        <v>1.56</v>
      </c>
      <c r="U4684" s="2">
        <v>63.3</v>
      </c>
      <c r="V4684" s="2">
        <v>68</v>
      </c>
      <c r="W4684" s="2" t="s">
        <v>7862</v>
      </c>
      <c r="X4684" s="2" t="s">
        <v>2897</v>
      </c>
      <c r="Y4684" s="2">
        <v>270900</v>
      </c>
      <c r="Z4684" s="19" t="str">
        <f>HYPERLINK("https://ssdweb.co/ssdweb/hd/Vision360.html?d=919300004&amp;zoomslide=1&amp;z=1919300004&amp;ISCONFIRM=0","VIDEO")</f>
        <v>VIDEO</v>
      </c>
      <c r="AA4684" s="19" t="str">
        <f>HYPERLINK("https://ssdweb.co/ssdweb/CERTH/601323624.pdf","CERTI")</f>
        <v>CERTI</v>
      </c>
    </row>
    <row r="4685" spans="1:27" ht="15" x14ac:dyDescent="0.25">
      <c r="A4685" s="2">
        <v>4680</v>
      </c>
      <c r="B4685" s="39">
        <v>926600053</v>
      </c>
      <c r="C4685" s="28" t="str">
        <f>HYPERLINK("https://pld.live/RapDetail.aspx?STONELIST=926600053","DNA")</f>
        <v>DNA</v>
      </c>
      <c r="D4685" s="18" t="s">
        <v>1966</v>
      </c>
      <c r="E4685" s="18" t="s">
        <v>2186</v>
      </c>
      <c r="F4685" s="2" t="s">
        <v>7987</v>
      </c>
      <c r="G4685" s="2" t="s">
        <v>7322</v>
      </c>
      <c r="H4685" s="14">
        <v>7.25</v>
      </c>
      <c r="I4685" s="2" t="s">
        <v>1066</v>
      </c>
      <c r="J4685" s="2" t="s">
        <v>13</v>
      </c>
      <c r="K4685" s="2" t="s">
        <v>1452</v>
      </c>
      <c r="L4685" s="2" t="s">
        <v>5721</v>
      </c>
      <c r="M4685" s="2" t="s">
        <v>5221</v>
      </c>
      <c r="N4685" s="2" t="s">
        <v>924</v>
      </c>
      <c r="O4685" s="14">
        <v>9500</v>
      </c>
      <c r="P4685" s="14">
        <v>96.53</v>
      </c>
      <c r="Q4685" s="14">
        <v>329.65</v>
      </c>
      <c r="R4685" s="14">
        <v>2389.96</v>
      </c>
      <c r="S4685" s="2" t="s">
        <v>5118</v>
      </c>
      <c r="T4685" s="2">
        <v>1.46</v>
      </c>
      <c r="U4685" s="2">
        <v>66.7</v>
      </c>
      <c r="V4685" s="2">
        <v>68</v>
      </c>
      <c r="W4685" s="2" t="s">
        <v>7862</v>
      </c>
      <c r="X4685" s="2" t="s">
        <v>2897</v>
      </c>
      <c r="Y4685" s="2">
        <v>68875</v>
      </c>
      <c r="Z4685" s="19" t="str">
        <f>HYPERLINK("https://ssdweb.co/ssdweb/hd/Vision360.html?d=926600053&amp;zoomslide=1&amp;z=1926600053&amp;ISCONFIRM=0","VIDEO")</f>
        <v>VIDEO</v>
      </c>
      <c r="AA4685" s="19" t="str">
        <f>HYPERLINK("https://ssdweb.co/ssdweb/CERTH/659414248.pdf","CERTI")</f>
        <v>CERTI</v>
      </c>
    </row>
    <row r="4686" spans="1:27" ht="15" x14ac:dyDescent="0.25">
      <c r="A4686" s="2">
        <v>4681</v>
      </c>
      <c r="B4686" s="39">
        <v>925930173</v>
      </c>
      <c r="C4686" s="28" t="str">
        <f>HYPERLINK("https://pld.live/RapDetail.aspx?STONELIST=925930173","DNA")</f>
        <v>DNA</v>
      </c>
      <c r="D4686" s="18" t="s">
        <v>4061</v>
      </c>
      <c r="E4686" s="18" t="s">
        <v>2186</v>
      </c>
      <c r="F4686" s="2" t="s">
        <v>5597</v>
      </c>
      <c r="G4686" s="2" t="s">
        <v>7322</v>
      </c>
      <c r="H4686" s="14">
        <v>6.06</v>
      </c>
      <c r="I4686" s="2" t="s">
        <v>4761</v>
      </c>
      <c r="J4686" s="2" t="s">
        <v>13</v>
      </c>
      <c r="K4686" s="2" t="s">
        <v>1452</v>
      </c>
      <c r="L4686" s="2" t="s">
        <v>5221</v>
      </c>
      <c r="M4686" s="2" t="s">
        <v>5221</v>
      </c>
      <c r="N4686" s="2" t="s">
        <v>2317</v>
      </c>
      <c r="O4686" s="14">
        <v>52500</v>
      </c>
      <c r="P4686" s="14">
        <v>99.19</v>
      </c>
      <c r="Q4686" s="14">
        <v>425.25</v>
      </c>
      <c r="R4686" s="14">
        <v>2577.02</v>
      </c>
      <c r="S4686" s="2" t="s">
        <v>1132</v>
      </c>
      <c r="T4686" s="2">
        <v>1.46</v>
      </c>
      <c r="U4686" s="2">
        <v>67.7</v>
      </c>
      <c r="V4686" s="2">
        <v>63</v>
      </c>
      <c r="W4686" s="2" t="s">
        <v>7862</v>
      </c>
      <c r="X4686" s="2" t="s">
        <v>2897</v>
      </c>
      <c r="Y4686" s="2">
        <v>318150</v>
      </c>
      <c r="Z4686" s="19" t="str">
        <f>HYPERLINK("https://ssdweb.co/ssdweb/hd/Vision360.html?d=925930173&amp;zoomslide=1&amp;z=1925930173&amp;ISCONFIRM=0","VIDEO")</f>
        <v>VIDEO</v>
      </c>
      <c r="AA4686" s="19" t="str">
        <f>HYPERLINK("https://ssdweb.co/ssdweb/CERTH/6491087960.pdf","CERTI")</f>
        <v>CERTI</v>
      </c>
    </row>
    <row r="4687" spans="1:27" ht="15" x14ac:dyDescent="0.25">
      <c r="A4687" s="2">
        <v>4682</v>
      </c>
      <c r="B4687" s="39">
        <v>925930275</v>
      </c>
      <c r="C4687" s="28" t="str">
        <f>HYPERLINK("https://pld.live/RapDetail.aspx?STONELIST=925930275","DNA")</f>
        <v>DNA</v>
      </c>
      <c r="D4687" s="18" t="s">
        <v>3174</v>
      </c>
      <c r="E4687" s="18" t="s">
        <v>2186</v>
      </c>
      <c r="F4687" s="2" t="s">
        <v>7987</v>
      </c>
      <c r="G4687" s="2" t="s">
        <v>7322</v>
      </c>
      <c r="H4687" s="14">
        <v>5.51</v>
      </c>
      <c r="I4687" s="2" t="s">
        <v>267</v>
      </c>
      <c r="J4687" s="2" t="s">
        <v>3942</v>
      </c>
      <c r="K4687" s="2" t="s">
        <v>1452</v>
      </c>
      <c r="L4687" s="2" t="s">
        <v>5221</v>
      </c>
      <c r="M4687" s="2" t="s">
        <v>5221</v>
      </c>
      <c r="N4687" s="2" t="s">
        <v>2317</v>
      </c>
      <c r="O4687" s="14">
        <v>60000</v>
      </c>
      <c r="P4687" s="14">
        <v>99.69</v>
      </c>
      <c r="Q4687" s="14">
        <v>186</v>
      </c>
      <c r="R4687" s="14">
        <v>1024.8599999999999</v>
      </c>
      <c r="S4687" s="2" t="s">
        <v>1628</v>
      </c>
      <c r="T4687" s="2">
        <v>1.4</v>
      </c>
      <c r="U4687" s="2">
        <v>67.7</v>
      </c>
      <c r="V4687" s="2">
        <v>65</v>
      </c>
      <c r="W4687" s="2" t="s">
        <v>7862</v>
      </c>
      <c r="X4687" s="2" t="s">
        <v>2897</v>
      </c>
      <c r="Y4687" s="2">
        <v>330600</v>
      </c>
      <c r="Z4687" s="19" t="str">
        <f>HYPERLINK("https://ssdweb.co/ssdweb/hd/Vision360.html?d=925930275&amp;zoomslide=1&amp;z=1925930275&amp;ISCONFIRM=0","VIDEO")</f>
        <v>VIDEO</v>
      </c>
      <c r="AA4687" s="19" t="str">
        <f>HYPERLINK("https://ssdweb.co/ssdweb/CERTH/630453813.pdf","CERTI")</f>
        <v>CERTI</v>
      </c>
    </row>
    <row r="4688" spans="1:27" ht="15" x14ac:dyDescent="0.25">
      <c r="A4688" s="2">
        <v>4683</v>
      </c>
      <c r="B4688" s="39">
        <v>925930236</v>
      </c>
      <c r="C4688" s="28" t="str">
        <f>HYPERLINK("https://pld.live/RapDetail.aspx?STONELIST=925930236","DNA")</f>
        <v>DNA</v>
      </c>
      <c r="D4688" s="18" t="s">
        <v>3174</v>
      </c>
      <c r="E4688" s="18" t="s">
        <v>2186</v>
      </c>
      <c r="F4688" s="2" t="s">
        <v>7987</v>
      </c>
      <c r="G4688" s="2" t="s">
        <v>7322</v>
      </c>
      <c r="H4688" s="14">
        <v>5.51</v>
      </c>
      <c r="I4688" s="2" t="s">
        <v>267</v>
      </c>
      <c r="J4688" s="2" t="s">
        <v>3942</v>
      </c>
      <c r="K4688" s="2" t="s">
        <v>1452</v>
      </c>
      <c r="L4688" s="2" t="s">
        <v>5221</v>
      </c>
      <c r="M4688" s="2" t="s">
        <v>5221</v>
      </c>
      <c r="N4688" s="2" t="s">
        <v>2317</v>
      </c>
      <c r="O4688" s="14">
        <v>60000</v>
      </c>
      <c r="P4688" s="14">
        <v>99.69</v>
      </c>
      <c r="Q4688" s="14">
        <v>186</v>
      </c>
      <c r="R4688" s="14">
        <v>1024.8599999999999</v>
      </c>
      <c r="S4688" s="2" t="s">
        <v>5563</v>
      </c>
      <c r="T4688" s="2">
        <v>1.4</v>
      </c>
      <c r="U4688" s="2">
        <v>67.400000000000006</v>
      </c>
      <c r="V4688" s="2">
        <v>66</v>
      </c>
      <c r="W4688" s="2" t="s">
        <v>7862</v>
      </c>
      <c r="X4688" s="2" t="s">
        <v>2897</v>
      </c>
      <c r="Y4688" s="2">
        <v>330600</v>
      </c>
      <c r="Z4688" s="19" t="str">
        <f>HYPERLINK("https://ssdweb.co/ssdweb/hd/Vision360.html?d=925930236&amp;zoomslide=1&amp;z=1925930236&amp;ISCONFIRM=0","VIDEO")</f>
        <v>VIDEO</v>
      </c>
      <c r="AA4688" s="19" t="str">
        <f>HYPERLINK("https://ssdweb.co/ssdweb/CERTH/629404711.pdf","CERTI")</f>
        <v>CERTI</v>
      </c>
    </row>
    <row r="4689" spans="1:27" ht="15" x14ac:dyDescent="0.25">
      <c r="A4689" s="2">
        <v>4684</v>
      </c>
      <c r="B4689" s="39">
        <v>941180098</v>
      </c>
      <c r="C4689" s="28" t="str">
        <f>HYPERLINK("https://pld.live/RapDetail.aspx?STONELIST=941180098","DNA")</f>
        <v>DNA</v>
      </c>
      <c r="D4689" s="18" t="s">
        <v>3174</v>
      </c>
      <c r="E4689" s="18" t="s">
        <v>2186</v>
      </c>
      <c r="F4689" s="2" t="s">
        <v>7987</v>
      </c>
      <c r="G4689" s="2" t="s">
        <v>7322</v>
      </c>
      <c r="H4689" s="14">
        <v>5.51</v>
      </c>
      <c r="I4689" s="2" t="s">
        <v>4699</v>
      </c>
      <c r="J4689" s="2" t="s">
        <v>3942</v>
      </c>
      <c r="K4689" s="2" t="s">
        <v>1452</v>
      </c>
      <c r="L4689" s="2" t="s">
        <v>5221</v>
      </c>
      <c r="M4689" s="2" t="s">
        <v>5221</v>
      </c>
      <c r="N4689" s="2" t="s">
        <v>2317</v>
      </c>
      <c r="O4689" s="14">
        <v>51000</v>
      </c>
      <c r="P4689" s="14">
        <v>99.7</v>
      </c>
      <c r="Q4689" s="14">
        <v>153</v>
      </c>
      <c r="R4689" s="14">
        <v>843.03</v>
      </c>
      <c r="S4689" s="2" t="s">
        <v>7877</v>
      </c>
      <c r="T4689" s="2">
        <v>1.48</v>
      </c>
      <c r="U4689" s="2">
        <v>67.3</v>
      </c>
      <c r="V4689" s="2">
        <v>63</v>
      </c>
      <c r="W4689" s="2" t="s">
        <v>7862</v>
      </c>
      <c r="X4689" s="2" t="s">
        <v>2897</v>
      </c>
      <c r="Y4689" s="2">
        <v>281010</v>
      </c>
      <c r="Z4689" s="19" t="str">
        <f>HYPERLINK("https://ssdweb.co/ssdweb/hd/Vision360.html?d=941180098&amp;zoomslide=1&amp;z=1941180098&amp;ISCONFIRM=0","VIDEO")</f>
        <v>VIDEO</v>
      </c>
      <c r="AA4689" s="19" t="str">
        <f>HYPERLINK("https://ssdweb.co/ssdweb/CERTH/678550343.pdf","CERTI")</f>
        <v>CERTI</v>
      </c>
    </row>
    <row r="4690" spans="1:27" ht="15" x14ac:dyDescent="0.25">
      <c r="A4690" s="2">
        <v>4685</v>
      </c>
      <c r="B4690" s="39">
        <v>925930251</v>
      </c>
      <c r="C4690" s="28" t="str">
        <f>HYPERLINK("https://pld.live/RapDetail.aspx?STONELIST=925930251","DNA")</f>
        <v>DNA</v>
      </c>
      <c r="D4690" s="18" t="s">
        <v>3174</v>
      </c>
      <c r="E4690" s="18" t="s">
        <v>2186</v>
      </c>
      <c r="F4690" s="2" t="s">
        <v>7987</v>
      </c>
      <c r="G4690" s="2" t="s">
        <v>7322</v>
      </c>
      <c r="H4690" s="14">
        <v>5.35</v>
      </c>
      <c r="I4690" s="2" t="s">
        <v>4761</v>
      </c>
      <c r="J4690" s="2" t="s">
        <v>7032</v>
      </c>
      <c r="K4690" s="2" t="s">
        <v>1452</v>
      </c>
      <c r="L4690" s="2" t="s">
        <v>5221</v>
      </c>
      <c r="M4690" s="2" t="s">
        <v>5221</v>
      </c>
      <c r="N4690" s="2" t="s">
        <v>2317</v>
      </c>
      <c r="O4690" s="14">
        <v>63000</v>
      </c>
      <c r="P4690" s="14">
        <v>98.77</v>
      </c>
      <c r="Q4690" s="14">
        <v>774.9</v>
      </c>
      <c r="R4690" s="14">
        <v>4145.72</v>
      </c>
      <c r="S4690" s="2" t="s">
        <v>6288</v>
      </c>
      <c r="T4690" s="2">
        <v>1.46</v>
      </c>
      <c r="U4690" s="2">
        <v>66</v>
      </c>
      <c r="V4690" s="2">
        <v>65</v>
      </c>
      <c r="W4690" s="2" t="s">
        <v>7862</v>
      </c>
      <c r="X4690" s="2" t="s">
        <v>2897</v>
      </c>
      <c r="Y4690" s="2">
        <v>337050</v>
      </c>
      <c r="Z4690" s="19" t="str">
        <f>HYPERLINK("https://ssdweb.co/ssdweb/hd/Vision360.html?d=925930251&amp;zoomslide=1&amp;z=1925930251&amp;ISCONFIRM=0","VIDEO")</f>
        <v>VIDEO</v>
      </c>
      <c r="AA4690" s="19" t="str">
        <f>HYPERLINK("https://ssdweb.co/ssdweb/CERTH/629404714.pdf","CERTI")</f>
        <v>CERTI</v>
      </c>
    </row>
    <row r="4691" spans="1:27" ht="15" x14ac:dyDescent="0.25">
      <c r="A4691" s="2">
        <v>4686</v>
      </c>
      <c r="B4691" s="39">
        <v>941220355</v>
      </c>
      <c r="C4691" s="28" t="str">
        <f>HYPERLINK("https://pld.live/RapDetail.aspx?STONELIST=941220355","DNA")</f>
        <v>DNA</v>
      </c>
      <c r="D4691" s="18" t="s">
        <v>3174</v>
      </c>
      <c r="E4691" s="18" t="s">
        <v>2186</v>
      </c>
      <c r="F4691" s="2" t="s">
        <v>7987</v>
      </c>
      <c r="G4691" s="2" t="s">
        <v>7322</v>
      </c>
      <c r="H4691" s="14">
        <v>5.25</v>
      </c>
      <c r="I4691" s="2" t="s">
        <v>4761</v>
      </c>
      <c r="J4691" s="2" t="s">
        <v>13</v>
      </c>
      <c r="K4691" s="2" t="s">
        <v>1452</v>
      </c>
      <c r="L4691" s="2" t="s">
        <v>5221</v>
      </c>
      <c r="M4691" s="2" t="s">
        <v>5221</v>
      </c>
      <c r="N4691" s="2" t="s">
        <v>2317</v>
      </c>
      <c r="O4691" s="14">
        <v>52500</v>
      </c>
      <c r="P4691" s="14">
        <v>99.7</v>
      </c>
      <c r="Q4691" s="14">
        <v>157.5</v>
      </c>
      <c r="R4691" s="14">
        <v>826.88</v>
      </c>
      <c r="S4691" s="2" t="s">
        <v>1869</v>
      </c>
      <c r="T4691" s="2">
        <v>1.4</v>
      </c>
      <c r="U4691" s="2">
        <v>66.7</v>
      </c>
      <c r="V4691" s="2">
        <v>65</v>
      </c>
      <c r="W4691" s="2" t="s">
        <v>7862</v>
      </c>
      <c r="X4691" s="2" t="s">
        <v>2897</v>
      </c>
      <c r="Y4691" s="2">
        <v>275625</v>
      </c>
      <c r="Z4691" s="19" t="str">
        <f>HYPERLINK("https://ssdweb.co/ssdweb/hd/Vision360.html?d=941220355&amp;zoomslide=1&amp;z=1941220355&amp;ISCONFIRM=0","VIDEO")</f>
        <v>VIDEO</v>
      </c>
      <c r="AA4691" s="19" t="str">
        <f>HYPERLINK("https://ssdweb.co/ssdweb/CERTH/680505446.pdf","CERTI")</f>
        <v>CERTI</v>
      </c>
    </row>
    <row r="4692" spans="1:27" ht="15" x14ac:dyDescent="0.25">
      <c r="A4692" s="2">
        <v>4687</v>
      </c>
      <c r="B4692" s="39">
        <v>941180014</v>
      </c>
      <c r="C4692" s="28" t="str">
        <f>HYPERLINK("https://pld.live/RapDetail.aspx?STONELIST=941180014","DNA")</f>
        <v>DNA</v>
      </c>
      <c r="D4692" s="18" t="s">
        <v>3174</v>
      </c>
      <c r="E4692" s="18" t="s">
        <v>2186</v>
      </c>
      <c r="F4692" s="2" t="s">
        <v>7987</v>
      </c>
      <c r="G4692" s="2" t="s">
        <v>7322</v>
      </c>
      <c r="H4692" s="14">
        <v>5.25</v>
      </c>
      <c r="I4692" s="2" t="s">
        <v>4699</v>
      </c>
      <c r="J4692" s="2" t="s">
        <v>13</v>
      </c>
      <c r="K4692" s="2" t="s">
        <v>1452</v>
      </c>
      <c r="L4692" s="2" t="s">
        <v>5221</v>
      </c>
      <c r="M4692" s="2" t="s">
        <v>5221</v>
      </c>
      <c r="N4692" s="2" t="s">
        <v>2317</v>
      </c>
      <c r="O4692" s="14">
        <v>48500</v>
      </c>
      <c r="P4692" s="14">
        <v>99.7</v>
      </c>
      <c r="Q4692" s="14">
        <v>145.5</v>
      </c>
      <c r="R4692" s="14">
        <v>763.88</v>
      </c>
      <c r="S4692" s="2" t="s">
        <v>6311</v>
      </c>
      <c r="T4692" s="2">
        <v>1.46</v>
      </c>
      <c r="U4692" s="2">
        <v>65.2</v>
      </c>
      <c r="V4692" s="2">
        <v>66</v>
      </c>
      <c r="W4692" s="2" t="s">
        <v>7862</v>
      </c>
      <c r="X4692" s="2" t="s">
        <v>2897</v>
      </c>
      <c r="Y4692" s="2">
        <v>254625</v>
      </c>
      <c r="Z4692" s="19" t="str">
        <f>HYPERLINK("https://ssdweb.co/ssdweb/hd/Vision360.html?d=941180014&amp;zoomslide=1&amp;z=1941180014&amp;ISCONFIRM=0","VIDEO")</f>
        <v>VIDEO</v>
      </c>
      <c r="AA4692" s="19" t="str">
        <f>HYPERLINK("https://ssdweb.co/ssdweb/CERTH/674532635.pdf","CERTI")</f>
        <v>CERTI</v>
      </c>
    </row>
    <row r="4693" spans="1:27" ht="15" x14ac:dyDescent="0.25">
      <c r="A4693" s="2">
        <v>4688</v>
      </c>
      <c r="B4693" s="39">
        <v>941180067</v>
      </c>
      <c r="C4693" s="28" t="str">
        <f>HYPERLINK("https://pld.live/RapDetail.aspx?STONELIST=941180067","DNA")</f>
        <v>DNA</v>
      </c>
      <c r="D4693" s="18" t="s">
        <v>3174</v>
      </c>
      <c r="E4693" s="18" t="s">
        <v>2186</v>
      </c>
      <c r="F4693" s="2" t="s">
        <v>7987</v>
      </c>
      <c r="G4693" s="2" t="s">
        <v>7322</v>
      </c>
      <c r="H4693" s="14">
        <v>5.24</v>
      </c>
      <c r="I4693" s="2" t="s">
        <v>4699</v>
      </c>
      <c r="J4693" s="2" t="s">
        <v>13</v>
      </c>
      <c r="K4693" s="2" t="s">
        <v>1452</v>
      </c>
      <c r="L4693" s="2" t="s">
        <v>5221</v>
      </c>
      <c r="M4693" s="2" t="s">
        <v>5221</v>
      </c>
      <c r="N4693" s="2" t="s">
        <v>2317</v>
      </c>
      <c r="O4693" s="14">
        <v>48500</v>
      </c>
      <c r="P4693" s="14">
        <v>99.7</v>
      </c>
      <c r="Q4693" s="14">
        <v>145.5</v>
      </c>
      <c r="R4693" s="14">
        <v>762.42</v>
      </c>
      <c r="S4693" s="2" t="s">
        <v>6906</v>
      </c>
      <c r="T4693" s="2">
        <v>1.45</v>
      </c>
      <c r="U4693" s="2">
        <v>65.3</v>
      </c>
      <c r="V4693" s="2">
        <v>67</v>
      </c>
      <c r="W4693" s="2" t="s">
        <v>7862</v>
      </c>
      <c r="X4693" s="2" t="s">
        <v>2897</v>
      </c>
      <c r="Y4693" s="2">
        <v>254140</v>
      </c>
      <c r="Z4693" s="19" t="str">
        <f>HYPERLINK("https://ssdweb.co/ssdweb/hd/Vision360.html?d=941180067&amp;zoomslide=1&amp;z=1941180067&amp;ISCONFIRM=0","VIDEO")</f>
        <v>VIDEO</v>
      </c>
      <c r="AA4693" s="19" t="str">
        <f>HYPERLINK("https://ssdweb.co/ssdweb/CERTH/675504736.pdf","CERTI")</f>
        <v>CERTI</v>
      </c>
    </row>
    <row r="4694" spans="1:27" ht="15" x14ac:dyDescent="0.25">
      <c r="A4694" s="2">
        <v>4689</v>
      </c>
      <c r="B4694" s="39">
        <v>925930165</v>
      </c>
      <c r="C4694" s="28" t="str">
        <f>HYPERLINK("https://pld.live/RapDetail.aspx?STONELIST=925930165","DNA")</f>
        <v>DNA</v>
      </c>
      <c r="D4694" s="18" t="s">
        <v>3174</v>
      </c>
      <c r="E4694" s="18" t="s">
        <v>2186</v>
      </c>
      <c r="F4694" s="2" t="s">
        <v>7987</v>
      </c>
      <c r="G4694" s="2" t="s">
        <v>7322</v>
      </c>
      <c r="H4694" s="14">
        <v>5.23</v>
      </c>
      <c r="I4694" s="2" t="s">
        <v>4761</v>
      </c>
      <c r="J4694" s="2" t="s">
        <v>3942</v>
      </c>
      <c r="K4694" s="2" t="s">
        <v>1452</v>
      </c>
      <c r="L4694" s="2" t="s">
        <v>5221</v>
      </c>
      <c r="M4694" s="2" t="s">
        <v>5221</v>
      </c>
      <c r="N4694" s="2" t="s">
        <v>2317</v>
      </c>
      <c r="O4694" s="14">
        <v>55000</v>
      </c>
      <c r="P4694" s="14">
        <v>99.7</v>
      </c>
      <c r="Q4694" s="14">
        <v>165</v>
      </c>
      <c r="R4694" s="14">
        <v>862.95</v>
      </c>
      <c r="S4694" s="2" t="s">
        <v>7639</v>
      </c>
      <c r="T4694" s="2">
        <v>1.43</v>
      </c>
      <c r="U4694" s="2">
        <v>65.900000000000006</v>
      </c>
      <c r="V4694" s="2">
        <v>66</v>
      </c>
      <c r="W4694" s="2" t="s">
        <v>7862</v>
      </c>
      <c r="X4694" s="2" t="s">
        <v>2897</v>
      </c>
      <c r="Y4694" s="2">
        <v>287650</v>
      </c>
      <c r="Z4694" s="19" t="str">
        <f>HYPERLINK("https://ssdweb.co/ssdweb/hd/Vision360.html?d=925930165&amp;zoomslide=1&amp;z=1925930165&amp;ISCONFIRM=0","VIDEO")</f>
        <v>VIDEO</v>
      </c>
      <c r="AA4694" s="19" t="str">
        <f>HYPERLINK("https://ssdweb.co/ssdweb/CERTH/629490583.pdf","CERTI")</f>
        <v>CERTI</v>
      </c>
    </row>
    <row r="4695" spans="1:27" ht="15" x14ac:dyDescent="0.25">
      <c r="A4695" s="2">
        <v>4690</v>
      </c>
      <c r="B4695" s="39">
        <v>927120044</v>
      </c>
      <c r="C4695" s="28" t="str">
        <f>HYPERLINK("https://pld.live/RapDetail.aspx?STONELIST=927120044","DNA")</f>
        <v>DNA</v>
      </c>
      <c r="D4695" s="18" t="s">
        <v>3174</v>
      </c>
      <c r="E4695" s="18" t="s">
        <v>2186</v>
      </c>
      <c r="F4695" s="2" t="s">
        <v>7987</v>
      </c>
      <c r="G4695" s="2" t="s">
        <v>7322</v>
      </c>
      <c r="H4695" s="14">
        <v>5.23</v>
      </c>
      <c r="I4695" s="2" t="s">
        <v>6845</v>
      </c>
      <c r="J4695" s="2" t="s">
        <v>13</v>
      </c>
      <c r="K4695" s="2" t="s">
        <v>1452</v>
      </c>
      <c r="L4695" s="2" t="s">
        <v>5221</v>
      </c>
      <c r="M4695" s="2" t="s">
        <v>5221</v>
      </c>
      <c r="N4695" s="2" t="s">
        <v>2317</v>
      </c>
      <c r="O4695" s="14">
        <v>9500</v>
      </c>
      <c r="P4695" s="14">
        <v>96.32</v>
      </c>
      <c r="Q4695" s="14">
        <v>349.6</v>
      </c>
      <c r="R4695" s="14">
        <v>1828.41</v>
      </c>
      <c r="S4695" s="2" t="s">
        <v>7754</v>
      </c>
      <c r="T4695" s="2">
        <v>1.41</v>
      </c>
      <c r="U4695" s="2">
        <v>66.3</v>
      </c>
      <c r="V4695" s="2">
        <v>66</v>
      </c>
      <c r="W4695" s="2" t="s">
        <v>7862</v>
      </c>
      <c r="X4695" s="2" t="s">
        <v>2897</v>
      </c>
      <c r="Y4695" s="2">
        <v>49685</v>
      </c>
      <c r="Z4695" s="19" t="str">
        <f>HYPERLINK("https://ssdweb.co/ssdweb/hd/Vision360.html?d=927120044&amp;zoomslide=1&amp;z=1927120044&amp;ISCONFIRM=0","VIDEO")</f>
        <v>VIDEO</v>
      </c>
      <c r="AA4695" s="19" t="str">
        <f>HYPERLINK("https://ssdweb.co/ssdweb/CERTH/681593700.pdf","CERTI")</f>
        <v>CERTI</v>
      </c>
    </row>
    <row r="4696" spans="1:27" ht="15" x14ac:dyDescent="0.25">
      <c r="A4696" s="2">
        <v>4691</v>
      </c>
      <c r="B4696" s="39">
        <v>926470396</v>
      </c>
      <c r="C4696" s="28" t="str">
        <f>HYPERLINK("https://pld.live/RapDetail.aspx?STONELIST=926470396","DNA")</f>
        <v>DNA</v>
      </c>
      <c r="D4696" s="18" t="s">
        <v>3174</v>
      </c>
      <c r="E4696" s="18" t="s">
        <v>2186</v>
      </c>
      <c r="F4696" s="2" t="s">
        <v>7987</v>
      </c>
      <c r="G4696" s="2" t="s">
        <v>7322</v>
      </c>
      <c r="H4696" s="14">
        <v>5.22</v>
      </c>
      <c r="I4696" s="2" t="s">
        <v>4699</v>
      </c>
      <c r="J4696" s="2" t="s">
        <v>13</v>
      </c>
      <c r="K4696" s="2" t="s">
        <v>1452</v>
      </c>
      <c r="L4696" s="2" t="s">
        <v>5221</v>
      </c>
      <c r="M4696" s="2" t="s">
        <v>5221</v>
      </c>
      <c r="N4696" s="2" t="s">
        <v>2317</v>
      </c>
      <c r="O4696" s="14">
        <v>48500</v>
      </c>
      <c r="P4696" s="14">
        <v>99.71</v>
      </c>
      <c r="Q4696" s="14">
        <v>140.65</v>
      </c>
      <c r="R4696" s="14">
        <v>734.19</v>
      </c>
      <c r="S4696" s="2" t="s">
        <v>5475</v>
      </c>
      <c r="T4696" s="2">
        <v>1.42</v>
      </c>
      <c r="U4696" s="2">
        <v>66</v>
      </c>
      <c r="V4696" s="2">
        <v>66</v>
      </c>
      <c r="W4696" s="2" t="s">
        <v>7862</v>
      </c>
      <c r="X4696" s="2" t="s">
        <v>2897</v>
      </c>
      <c r="Y4696" s="2">
        <v>253170</v>
      </c>
      <c r="Z4696" s="19" t="str">
        <f>HYPERLINK("https://ssdweb.co/ssdweb/hd/Vision360.html?d=926470396&amp;zoomslide=1&amp;z=1926470396&amp;ISCONFIRM=0","VIDEO")</f>
        <v>VIDEO</v>
      </c>
      <c r="AA4696" s="19" t="str">
        <f>HYPERLINK("https://ssdweb.co/ssdweb/CERTH/645459276.pdf","CERTI")</f>
        <v>CERTI</v>
      </c>
    </row>
    <row r="4697" spans="1:27" ht="15" x14ac:dyDescent="0.25">
      <c r="A4697" s="2">
        <v>4692</v>
      </c>
      <c r="B4697" s="39">
        <v>926470465</v>
      </c>
      <c r="C4697" s="28" t="str">
        <f>HYPERLINK("https://pld.live/RapDetail.aspx?STONELIST=926470465","DNA")</f>
        <v>DNA</v>
      </c>
      <c r="D4697" s="18" t="s">
        <v>3174</v>
      </c>
      <c r="E4697" s="18" t="s">
        <v>2186</v>
      </c>
      <c r="F4697" s="2" t="s">
        <v>7987</v>
      </c>
      <c r="G4697" s="2" t="s">
        <v>7322</v>
      </c>
      <c r="H4697" s="14">
        <v>5.18</v>
      </c>
      <c r="I4697" s="2" t="s">
        <v>7289</v>
      </c>
      <c r="J4697" s="2" t="s">
        <v>13</v>
      </c>
      <c r="K4697" s="2" t="s">
        <v>1452</v>
      </c>
      <c r="L4697" s="2" t="s">
        <v>5221</v>
      </c>
      <c r="M4697" s="2" t="s">
        <v>5221</v>
      </c>
      <c r="N4697" s="2" t="s">
        <v>5284</v>
      </c>
      <c r="O4697" s="14">
        <v>9500</v>
      </c>
      <c r="P4697" s="14">
        <v>96.89</v>
      </c>
      <c r="Q4697" s="14">
        <v>295.45</v>
      </c>
      <c r="R4697" s="14">
        <v>1530.43</v>
      </c>
      <c r="S4697" s="2" t="s">
        <v>6500</v>
      </c>
      <c r="T4697" s="2">
        <v>1.45</v>
      </c>
      <c r="U4697" s="2">
        <v>65</v>
      </c>
      <c r="V4697" s="2">
        <v>62</v>
      </c>
      <c r="W4697" s="2" t="s">
        <v>7862</v>
      </c>
      <c r="X4697" s="2" t="s">
        <v>2897</v>
      </c>
      <c r="Y4697" s="2">
        <v>49210</v>
      </c>
      <c r="Z4697" s="19" t="str">
        <f>HYPERLINK("https://ssdweb.co/ssdweb/hd/Vision360.html?d=926470465&amp;zoomslide=1&amp;z=1926470465&amp;ISCONFIRM=0","VIDEO")</f>
        <v>VIDEO</v>
      </c>
      <c r="AA4697" s="19" t="str">
        <f>HYPERLINK("https://ssdweb.co/ssdweb/CERTH/652467604.pdf","CERTI")</f>
        <v>CERTI</v>
      </c>
    </row>
    <row r="4698" spans="1:27" ht="15" x14ac:dyDescent="0.25">
      <c r="A4698" s="2">
        <v>4693</v>
      </c>
      <c r="B4698" s="39">
        <v>924590304</v>
      </c>
      <c r="C4698" s="28" t="str">
        <f>HYPERLINK("https://pld.live/RapDetail.aspx?STONELIST=924590304","DNA")</f>
        <v>DNA</v>
      </c>
      <c r="D4698" s="18" t="s">
        <v>3174</v>
      </c>
      <c r="E4698" s="18" t="s">
        <v>2186</v>
      </c>
      <c r="F4698" s="2" t="s">
        <v>7987</v>
      </c>
      <c r="G4698" s="2" t="s">
        <v>7322</v>
      </c>
      <c r="H4698" s="14">
        <v>5.09</v>
      </c>
      <c r="I4698" s="2" t="s">
        <v>1505</v>
      </c>
      <c r="J4698" s="2" t="s">
        <v>13</v>
      </c>
      <c r="K4698" s="2" t="s">
        <v>1452</v>
      </c>
      <c r="L4698" s="2" t="s">
        <v>5221</v>
      </c>
      <c r="M4698" s="2" t="s">
        <v>5221</v>
      </c>
      <c r="N4698" s="2" t="s">
        <v>2317</v>
      </c>
      <c r="O4698" s="14">
        <v>33500</v>
      </c>
      <c r="P4698" s="14">
        <v>99.63</v>
      </c>
      <c r="Q4698" s="14">
        <v>123.95</v>
      </c>
      <c r="R4698" s="14">
        <v>630.91</v>
      </c>
      <c r="S4698" s="2" t="s">
        <v>107</v>
      </c>
      <c r="T4698" s="2">
        <v>1.46</v>
      </c>
      <c r="U4698" s="2">
        <v>64.400000000000006</v>
      </c>
      <c r="V4698" s="2">
        <v>65</v>
      </c>
      <c r="W4698" s="2" t="s">
        <v>7862</v>
      </c>
      <c r="X4698" s="2" t="s">
        <v>2897</v>
      </c>
      <c r="Y4698" s="2">
        <v>170515</v>
      </c>
      <c r="Z4698" s="19" t="str">
        <f>HYPERLINK("https://ssdweb.co/ssdweb/hd/Vision360.html?d=924590304&amp;zoomslide=1&amp;z=1924590304&amp;ISCONFIRM=0","VIDEO")</f>
        <v>VIDEO</v>
      </c>
      <c r="AA4698" s="19" t="str">
        <f>HYPERLINK("https://ssdweb.co/ssdweb/CERTH/600304779.pdf","CERTI")</f>
        <v>CERTI</v>
      </c>
    </row>
    <row r="4699" spans="1:27" ht="15" x14ac:dyDescent="0.25">
      <c r="A4699" s="2">
        <v>4694</v>
      </c>
      <c r="B4699" s="39">
        <v>925710141</v>
      </c>
      <c r="C4699" s="28" t="str">
        <f>HYPERLINK("https://pld.live/RapDetail.aspx?STONELIST=925710141","DNA")</f>
        <v>DNA</v>
      </c>
      <c r="D4699" s="18" t="s">
        <v>3174</v>
      </c>
      <c r="E4699" s="18" t="s">
        <v>2186</v>
      </c>
      <c r="F4699" s="2" t="s">
        <v>7987</v>
      </c>
      <c r="G4699" s="2" t="s">
        <v>7322</v>
      </c>
      <c r="H4699" s="14">
        <v>5.0599999999999996</v>
      </c>
      <c r="I4699" s="2" t="s">
        <v>1505</v>
      </c>
      <c r="J4699" s="2" t="s">
        <v>5144</v>
      </c>
      <c r="K4699" s="2" t="s">
        <v>1452</v>
      </c>
      <c r="L4699" s="2" t="s">
        <v>5221</v>
      </c>
      <c r="M4699" s="2" t="s">
        <v>5221</v>
      </c>
      <c r="N4699" s="2" t="s">
        <v>2317</v>
      </c>
      <c r="O4699" s="14">
        <v>30000</v>
      </c>
      <c r="P4699" s="14">
        <v>99.6</v>
      </c>
      <c r="Q4699" s="14">
        <v>120</v>
      </c>
      <c r="R4699" s="14">
        <v>607.20000000000005</v>
      </c>
      <c r="S4699" s="2" t="s">
        <v>458</v>
      </c>
      <c r="T4699" s="2">
        <v>1.38</v>
      </c>
      <c r="U4699" s="2">
        <v>68.2</v>
      </c>
      <c r="V4699" s="2">
        <v>67</v>
      </c>
      <c r="W4699" s="2" t="s">
        <v>7862</v>
      </c>
      <c r="X4699" s="2" t="s">
        <v>2897</v>
      </c>
      <c r="Y4699" s="2">
        <v>151800</v>
      </c>
      <c r="Z4699" s="19" t="str">
        <f>HYPERLINK("https://ssdweb.co/ssdweb/hd/Vision360.html?d=925710141&amp;zoomslide=1&amp;z=1925710141&amp;ISCONFIRM=0","VIDEO")</f>
        <v>VIDEO</v>
      </c>
      <c r="AA4699" s="19" t="str">
        <f>HYPERLINK("https://ssdweb.co/ssdweb/CERTH/629404717.pdf","CERTI")</f>
        <v>CERTI</v>
      </c>
    </row>
    <row r="4700" spans="1:27" ht="15" x14ac:dyDescent="0.25">
      <c r="A4700" s="2">
        <v>4695</v>
      </c>
      <c r="B4700" s="39">
        <v>941220293</v>
      </c>
      <c r="C4700" s="28" t="str">
        <f>HYPERLINK("https://pld.live/RapDetail.aspx?STONELIST=941220293","DNA")</f>
        <v>DNA</v>
      </c>
      <c r="D4700" s="18" t="s">
        <v>3174</v>
      </c>
      <c r="E4700" s="18" t="s">
        <v>2186</v>
      </c>
      <c r="F4700" s="2" t="s">
        <v>7987</v>
      </c>
      <c r="G4700" s="2" t="s">
        <v>7322</v>
      </c>
      <c r="H4700" s="14">
        <v>5.0199999999999996</v>
      </c>
      <c r="I4700" s="2" t="s">
        <v>4761</v>
      </c>
      <c r="J4700" s="2" t="s">
        <v>13</v>
      </c>
      <c r="K4700" s="2" t="s">
        <v>1452</v>
      </c>
      <c r="L4700" s="2" t="s">
        <v>5221</v>
      </c>
      <c r="M4700" s="2" t="s">
        <v>5221</v>
      </c>
      <c r="N4700" s="2" t="s">
        <v>2317</v>
      </c>
      <c r="O4700" s="14">
        <v>52500</v>
      </c>
      <c r="P4700" s="14">
        <v>99.7</v>
      </c>
      <c r="Q4700" s="14">
        <v>157.5</v>
      </c>
      <c r="R4700" s="14">
        <v>790.65</v>
      </c>
      <c r="S4700" s="2" t="s">
        <v>1522</v>
      </c>
      <c r="T4700" s="2">
        <v>1.44</v>
      </c>
      <c r="U4700" s="2">
        <v>66.7</v>
      </c>
      <c r="V4700" s="2">
        <v>63</v>
      </c>
      <c r="W4700" s="2" t="s">
        <v>7862</v>
      </c>
      <c r="X4700" s="2" t="s">
        <v>2897</v>
      </c>
      <c r="Y4700" s="2">
        <v>263550</v>
      </c>
      <c r="Z4700" s="19" t="str">
        <f>HYPERLINK("https://ssdweb.co/ssdweb/hd/Vision360.html?d=941220293&amp;zoomslide=1&amp;z=1941220293&amp;ISCONFIRM=0","VIDEO")</f>
        <v>VIDEO</v>
      </c>
      <c r="AA4700" s="19" t="str">
        <f>HYPERLINK("https://ssdweb.co/ssdweb/CERTH/680505445.pdf","CERTI")</f>
        <v>CERTI</v>
      </c>
    </row>
    <row r="4701" spans="1:27" ht="15" x14ac:dyDescent="0.25">
      <c r="A4701" s="2">
        <v>4696</v>
      </c>
      <c r="B4701" s="39">
        <v>941230267</v>
      </c>
      <c r="C4701" s="28" t="str">
        <f>HYPERLINK("https://pld.live/RapDetail.aspx?STONELIST=941230267","DNA")</f>
        <v>DNA</v>
      </c>
      <c r="D4701" s="18" t="s">
        <v>3174</v>
      </c>
      <c r="E4701" s="18" t="s">
        <v>2186</v>
      </c>
      <c r="F4701" s="2" t="s">
        <v>7987</v>
      </c>
      <c r="G4701" s="2" t="s">
        <v>7322</v>
      </c>
      <c r="H4701" s="14">
        <v>5.0199999999999996</v>
      </c>
      <c r="I4701" s="2" t="s">
        <v>4699</v>
      </c>
      <c r="J4701" s="2" t="s">
        <v>3942</v>
      </c>
      <c r="K4701" s="2" t="s">
        <v>1452</v>
      </c>
      <c r="L4701" s="2" t="s">
        <v>5221</v>
      </c>
      <c r="M4701" s="2" t="s">
        <v>5221</v>
      </c>
      <c r="N4701" s="2" t="s">
        <v>2317</v>
      </c>
      <c r="O4701" s="14">
        <v>51000</v>
      </c>
      <c r="P4701" s="14">
        <v>99.7</v>
      </c>
      <c r="Q4701" s="14">
        <v>153</v>
      </c>
      <c r="R4701" s="14">
        <v>768.06</v>
      </c>
      <c r="S4701" s="2" t="s">
        <v>2793</v>
      </c>
      <c r="T4701" s="2">
        <v>1.42</v>
      </c>
      <c r="U4701" s="2">
        <v>64.7</v>
      </c>
      <c r="V4701" s="2">
        <v>65</v>
      </c>
      <c r="W4701" s="2" t="s">
        <v>7862</v>
      </c>
      <c r="X4701" s="2" t="s">
        <v>2897</v>
      </c>
      <c r="Y4701" s="2">
        <v>256020</v>
      </c>
      <c r="Z4701" s="19" t="str">
        <f>HYPERLINK("https://ssdweb.co/ssdweb/hd/Vision360.html?d=941230267&amp;zoomslide=1&amp;z=1941230267&amp;ISCONFIRM=0","VIDEO")</f>
        <v>VIDEO</v>
      </c>
      <c r="AA4701" s="19" t="str">
        <f>HYPERLINK("https://ssdweb.co/ssdweb/CERTH/680505449.pdf","CERTI")</f>
        <v>CERTI</v>
      </c>
    </row>
    <row r="4702" spans="1:27" ht="15" x14ac:dyDescent="0.25">
      <c r="A4702" s="2">
        <v>4697</v>
      </c>
      <c r="B4702" s="39">
        <v>924450161</v>
      </c>
      <c r="C4702" s="28" t="str">
        <f>HYPERLINK("https://pld.live/RapDetail.aspx?STONELIST=924450161","DNA")</f>
        <v>DNA</v>
      </c>
      <c r="D4702" s="18" t="s">
        <v>3174</v>
      </c>
      <c r="E4702" s="18" t="s">
        <v>2186</v>
      </c>
      <c r="F4702" s="2" t="s">
        <v>7987</v>
      </c>
      <c r="G4702" s="2" t="s">
        <v>7322</v>
      </c>
      <c r="H4702" s="14">
        <v>5.0199999999999996</v>
      </c>
      <c r="I4702" s="2" t="s">
        <v>1505</v>
      </c>
      <c r="J4702" s="2" t="s">
        <v>13</v>
      </c>
      <c r="K4702" s="2" t="s">
        <v>1452</v>
      </c>
      <c r="L4702" s="2" t="s">
        <v>5221</v>
      </c>
      <c r="M4702" s="2" t="s">
        <v>5221</v>
      </c>
      <c r="N4702" s="2" t="s">
        <v>2317</v>
      </c>
      <c r="O4702" s="14">
        <v>33500</v>
      </c>
      <c r="P4702" s="14">
        <v>99.63</v>
      </c>
      <c r="Q4702" s="14">
        <v>123.95</v>
      </c>
      <c r="R4702" s="14">
        <v>622.23</v>
      </c>
      <c r="S4702" s="2" t="s">
        <v>7298</v>
      </c>
      <c r="T4702" s="2">
        <v>1.35</v>
      </c>
      <c r="U4702" s="2">
        <v>65.900000000000006</v>
      </c>
      <c r="V4702" s="2">
        <v>67</v>
      </c>
      <c r="W4702" s="2" t="s">
        <v>8016</v>
      </c>
      <c r="X4702" s="2" t="s">
        <v>2897</v>
      </c>
      <c r="Y4702" s="2">
        <v>168170</v>
      </c>
      <c r="Z4702" s="19" t="str">
        <f>HYPERLINK("https://ssdweb.co/ssdweb/hd/Vision360.html?d=924450161&amp;zoomslide=1&amp;z=1924450161&amp;ISCONFIRM=0","VIDEO")</f>
        <v>VIDEO</v>
      </c>
      <c r="AA4702" s="19" t="str">
        <f>HYPERLINK("https://ssdweb.co/ssdweb/CERTH/597389645.pdf","CERTI")</f>
        <v>CERTI</v>
      </c>
    </row>
    <row r="4703" spans="1:27" ht="15" x14ac:dyDescent="0.25">
      <c r="A4703" s="2">
        <v>4698</v>
      </c>
      <c r="B4703" s="39">
        <v>927120053</v>
      </c>
      <c r="C4703" s="28" t="str">
        <f>HYPERLINK("https://pld.live/RapDetail.aspx?STONELIST=927120053","DNA")</f>
        <v>DNA</v>
      </c>
      <c r="D4703" s="18" t="s">
        <v>3174</v>
      </c>
      <c r="E4703" s="18" t="s">
        <v>2186</v>
      </c>
      <c r="F4703" s="2" t="s">
        <v>7987</v>
      </c>
      <c r="G4703" s="2" t="s">
        <v>7322</v>
      </c>
      <c r="H4703" s="14">
        <v>5.0199999999999996</v>
      </c>
      <c r="I4703" s="2" t="s">
        <v>1066</v>
      </c>
      <c r="J4703" s="2" t="s">
        <v>13</v>
      </c>
      <c r="K4703" s="2" t="s">
        <v>1452</v>
      </c>
      <c r="L4703" s="2" t="s">
        <v>5221</v>
      </c>
      <c r="M4703" s="2" t="s">
        <v>5221</v>
      </c>
      <c r="N4703" s="2" t="s">
        <v>924</v>
      </c>
      <c r="O4703" s="14">
        <v>9500</v>
      </c>
      <c r="P4703" s="14">
        <v>96.63</v>
      </c>
      <c r="Q4703" s="14">
        <v>320.14999999999998</v>
      </c>
      <c r="R4703" s="14">
        <v>1607.15</v>
      </c>
      <c r="S4703" s="2" t="s">
        <v>6706</v>
      </c>
      <c r="T4703" s="2">
        <v>1.58</v>
      </c>
      <c r="U4703" s="2">
        <v>63.5</v>
      </c>
      <c r="V4703" s="2">
        <v>67</v>
      </c>
      <c r="W4703" s="2" t="s">
        <v>7862</v>
      </c>
      <c r="X4703" s="2" t="s">
        <v>2897</v>
      </c>
      <c r="Y4703" s="2">
        <v>47690</v>
      </c>
      <c r="Z4703" s="19" t="str">
        <f>HYPERLINK("https://ssdweb.co/ssdweb/hd/Vision360.html?d=927120053&amp;zoomslide=1&amp;z=1927120053&amp;ISCONFIRM=0","VIDEO")</f>
        <v>VIDEO</v>
      </c>
      <c r="AA4703" s="19" t="str">
        <f>HYPERLINK("https://ssdweb.co/ssdweb/CERTH/684506647.pdf","CERTI")</f>
        <v>CERTI</v>
      </c>
    </row>
    <row r="4704" spans="1:27" ht="15" x14ac:dyDescent="0.25">
      <c r="A4704" s="2">
        <v>4699</v>
      </c>
      <c r="B4704" s="39">
        <v>941180064</v>
      </c>
      <c r="C4704" s="28" t="str">
        <f>HYPERLINK("https://pld.live/RapDetail.aspx?STONELIST=941180064","DNA")</f>
        <v>DNA</v>
      </c>
      <c r="D4704" s="18" t="s">
        <v>3174</v>
      </c>
      <c r="E4704" s="18" t="s">
        <v>2186</v>
      </c>
      <c r="F4704" s="2" t="s">
        <v>7987</v>
      </c>
      <c r="G4704" s="2" t="s">
        <v>7322</v>
      </c>
      <c r="H4704" s="14">
        <v>5.01</v>
      </c>
      <c r="I4704" s="2" t="s">
        <v>4699</v>
      </c>
      <c r="J4704" s="2" t="s">
        <v>3942</v>
      </c>
      <c r="K4704" s="2" t="s">
        <v>1452</v>
      </c>
      <c r="L4704" s="2" t="s">
        <v>5221</v>
      </c>
      <c r="M4704" s="2" t="s">
        <v>5221</v>
      </c>
      <c r="N4704" s="2" t="s">
        <v>2317</v>
      </c>
      <c r="O4704" s="14">
        <v>51000</v>
      </c>
      <c r="P4704" s="14">
        <v>99.7</v>
      </c>
      <c r="Q4704" s="14">
        <v>153</v>
      </c>
      <c r="R4704" s="14">
        <v>766.53</v>
      </c>
      <c r="S4704" s="2" t="s">
        <v>7714</v>
      </c>
      <c r="T4704" s="2">
        <v>1.47</v>
      </c>
      <c r="U4704" s="2">
        <v>62.8</v>
      </c>
      <c r="V4704" s="2">
        <v>65</v>
      </c>
      <c r="W4704" s="2" t="s">
        <v>7862</v>
      </c>
      <c r="X4704" s="2" t="s">
        <v>2897</v>
      </c>
      <c r="Y4704" s="2">
        <v>255510</v>
      </c>
      <c r="Z4704" s="19" t="str">
        <f>HYPERLINK("https://ssdweb.co/ssdweb/hd/Vision360.html?d=941180064&amp;zoomslide=1&amp;z=1941180064&amp;ISCONFIRM=0","VIDEO")</f>
        <v>VIDEO</v>
      </c>
      <c r="AA4704" s="19" t="str">
        <f>HYPERLINK("https://ssdweb.co/ssdweb/CERTH/675504735.pdf","CERTI")</f>
        <v>CERTI</v>
      </c>
    </row>
    <row r="4705" spans="1:27" ht="15" x14ac:dyDescent="0.25">
      <c r="A4705" s="2">
        <v>4700</v>
      </c>
      <c r="B4705" s="39">
        <v>831020650</v>
      </c>
      <c r="C4705" s="28" t="str">
        <f>HYPERLINK("https://pld.live/RapDetail.aspx?STONELIST=831020650","DNA")</f>
        <v>DNA</v>
      </c>
      <c r="D4705" s="18" t="s">
        <v>3174</v>
      </c>
      <c r="E4705" s="18" t="s">
        <v>2186</v>
      </c>
      <c r="F4705" s="2" t="s">
        <v>7987</v>
      </c>
      <c r="G4705" s="2" t="s">
        <v>7322</v>
      </c>
      <c r="H4705" s="14">
        <v>5.01</v>
      </c>
      <c r="I4705" s="2" t="s">
        <v>6587</v>
      </c>
      <c r="J4705" s="2" t="s">
        <v>13</v>
      </c>
      <c r="K4705" s="2" t="s">
        <v>1452</v>
      </c>
      <c r="L4705" s="2" t="s">
        <v>5221</v>
      </c>
      <c r="M4705" s="2" t="s">
        <v>5221</v>
      </c>
      <c r="N4705" s="2" t="s">
        <v>2317</v>
      </c>
      <c r="O4705" s="14">
        <v>42500</v>
      </c>
      <c r="P4705" s="14">
        <v>99.69</v>
      </c>
      <c r="Q4705" s="14">
        <v>131.75</v>
      </c>
      <c r="R4705" s="14">
        <v>660.07</v>
      </c>
      <c r="S4705" s="2" t="s">
        <v>1465</v>
      </c>
      <c r="T4705" s="2">
        <v>1.35</v>
      </c>
      <c r="U4705" s="2">
        <v>68.8</v>
      </c>
      <c r="V4705" s="2">
        <v>68</v>
      </c>
      <c r="W4705" s="2" t="s">
        <v>7862</v>
      </c>
      <c r="X4705" s="2" t="s">
        <v>2897</v>
      </c>
      <c r="Y4705" s="2">
        <v>212925</v>
      </c>
      <c r="Z4705" s="19" t="str">
        <f>HYPERLINK("https://ssdweb.co/ssdweb/hd/Vision360.html?d=831020650&amp;zoomslide=1&amp;z=1831020650&amp;ISCONFIRM=0","VIDEO")</f>
        <v>VIDEO</v>
      </c>
      <c r="AA4705" s="19" t="str">
        <f>HYPERLINK("https://ssdweb.co/ssdweb/CERTH/621420370.pdf","CERTI")</f>
        <v>CERTI</v>
      </c>
    </row>
    <row r="4706" spans="1:27" ht="15" x14ac:dyDescent="0.25">
      <c r="A4706" s="2">
        <v>4701</v>
      </c>
      <c r="B4706" s="39">
        <v>926450621</v>
      </c>
      <c r="C4706" s="28" t="str">
        <f>HYPERLINK("https://pld.live/RapDetail.aspx?STONELIST=926450621","DNA")</f>
        <v>DNA</v>
      </c>
      <c r="D4706" s="18" t="s">
        <v>3174</v>
      </c>
      <c r="E4706" s="18" t="s">
        <v>2186</v>
      </c>
      <c r="F4706" s="2" t="s">
        <v>7987</v>
      </c>
      <c r="G4706" s="2" t="s">
        <v>7322</v>
      </c>
      <c r="H4706" s="14">
        <v>5.01</v>
      </c>
      <c r="I4706" s="2" t="s">
        <v>1066</v>
      </c>
      <c r="J4706" s="2" t="s">
        <v>13</v>
      </c>
      <c r="K4706" s="2" t="s">
        <v>1452</v>
      </c>
      <c r="L4706" s="2" t="s">
        <v>5221</v>
      </c>
      <c r="M4706" s="2" t="s">
        <v>5221</v>
      </c>
      <c r="N4706" s="2" t="s">
        <v>924</v>
      </c>
      <c r="O4706" s="14">
        <v>9500</v>
      </c>
      <c r="P4706" s="14">
        <v>96.42</v>
      </c>
      <c r="Q4706" s="14">
        <v>340.1</v>
      </c>
      <c r="R4706" s="14">
        <v>1703.9</v>
      </c>
      <c r="S4706" s="2" t="s">
        <v>7447</v>
      </c>
      <c r="T4706" s="2">
        <v>1.35</v>
      </c>
      <c r="U4706" s="2">
        <v>68.400000000000006</v>
      </c>
      <c r="V4706" s="2">
        <v>65</v>
      </c>
      <c r="W4706" s="2" t="s">
        <v>7862</v>
      </c>
      <c r="X4706" s="2" t="s">
        <v>2897</v>
      </c>
      <c r="Y4706" s="2">
        <v>47595</v>
      </c>
      <c r="Z4706" s="19" t="str">
        <f>HYPERLINK("https://ssdweb.co/ssdweb/hd/Vision360.html?d=926450621&amp;zoomslide=1&amp;z=1926450621&amp;ISCONFIRM=0","VIDEO")</f>
        <v>VIDEO</v>
      </c>
      <c r="AA4706" s="19" t="str">
        <f>HYPERLINK("https://ssdweb.co/ssdweb/CERTH/651454590.pdf","CERTI")</f>
        <v>CERTI</v>
      </c>
    </row>
    <row r="4707" spans="1:27" ht="15" x14ac:dyDescent="0.25">
      <c r="A4707" s="2">
        <v>4702</v>
      </c>
      <c r="B4707" s="39">
        <v>924950451</v>
      </c>
      <c r="C4707" s="28" t="str">
        <f>HYPERLINK("https://pld.live/RapDetail.aspx?STONELIST=924950451","DNA")</f>
        <v>DNA</v>
      </c>
      <c r="D4707" s="18" t="s">
        <v>3543</v>
      </c>
      <c r="E4707" s="18" t="s">
        <v>2186</v>
      </c>
      <c r="F4707" s="2" t="s">
        <v>7987</v>
      </c>
      <c r="G4707" s="2" t="s">
        <v>7322</v>
      </c>
      <c r="H4707" s="14">
        <v>4.9400000000000004</v>
      </c>
      <c r="I4707" s="2" t="s">
        <v>6845</v>
      </c>
      <c r="J4707" s="2" t="s">
        <v>13</v>
      </c>
      <c r="K4707" s="2" t="s">
        <v>1452</v>
      </c>
      <c r="L4707" s="2" t="s">
        <v>5221</v>
      </c>
      <c r="M4707" s="2" t="s">
        <v>5221</v>
      </c>
      <c r="N4707" s="2" t="s">
        <v>2317</v>
      </c>
      <c r="O4707" s="14">
        <v>7100</v>
      </c>
      <c r="P4707" s="14">
        <v>95.49</v>
      </c>
      <c r="Q4707" s="14">
        <v>320.20999999999998</v>
      </c>
      <c r="R4707" s="14">
        <v>1581.84</v>
      </c>
      <c r="S4707" s="2" t="s">
        <v>2573</v>
      </c>
      <c r="T4707" s="2">
        <v>1.36</v>
      </c>
      <c r="U4707" s="2">
        <v>67</v>
      </c>
      <c r="V4707" s="2">
        <v>68</v>
      </c>
      <c r="W4707" s="2" t="s">
        <v>7862</v>
      </c>
      <c r="X4707" s="2" t="s">
        <v>2897</v>
      </c>
      <c r="Y4707" s="2">
        <v>35074</v>
      </c>
      <c r="Z4707" s="19" t="str">
        <f>HYPERLINK("https://ssdweb.co/ssdweb/hd/Vision360.html?d=924950451&amp;zoomslide=1&amp;z=1924950451&amp;ISCONFIRM=0","VIDEO")</f>
        <v>VIDEO</v>
      </c>
      <c r="AA4707" s="19" t="str">
        <f>HYPERLINK("https://ssdweb.co/ssdweb/CERTH/668437271.pdf","CERTI")</f>
        <v>CERTI</v>
      </c>
    </row>
    <row r="4708" spans="1:27" ht="15" x14ac:dyDescent="0.25">
      <c r="A4708" s="2">
        <v>4703</v>
      </c>
      <c r="B4708" s="39">
        <v>941220727</v>
      </c>
      <c r="C4708" s="28" t="str">
        <f>HYPERLINK("https://pld.live/RapDetail.aspx?STONELIST=941220727","DNA")</f>
        <v>DNA</v>
      </c>
      <c r="D4708" s="18" t="s">
        <v>3543</v>
      </c>
      <c r="E4708" s="18" t="s">
        <v>2186</v>
      </c>
      <c r="F4708" s="2" t="s">
        <v>7987</v>
      </c>
      <c r="G4708" s="2" t="s">
        <v>7322</v>
      </c>
      <c r="H4708" s="14">
        <v>4.8499999999999996</v>
      </c>
      <c r="I4708" s="2" t="s">
        <v>4761</v>
      </c>
      <c r="J4708" s="2" t="s">
        <v>13</v>
      </c>
      <c r="K4708" s="2" t="s">
        <v>1452</v>
      </c>
      <c r="L4708" s="2" t="s">
        <v>5221</v>
      </c>
      <c r="M4708" s="2" t="s">
        <v>5221</v>
      </c>
      <c r="N4708" s="2" t="s">
        <v>2317</v>
      </c>
      <c r="O4708" s="14">
        <v>37500</v>
      </c>
      <c r="P4708" s="14">
        <v>99.61</v>
      </c>
      <c r="Q4708" s="14">
        <v>146.25</v>
      </c>
      <c r="R4708" s="14">
        <v>709.31</v>
      </c>
      <c r="S4708" s="2" t="s">
        <v>6002</v>
      </c>
      <c r="T4708" s="2">
        <v>1.57</v>
      </c>
      <c r="U4708" s="2">
        <v>65.5</v>
      </c>
      <c r="V4708" s="2">
        <v>62</v>
      </c>
      <c r="W4708" s="2" t="s">
        <v>7862</v>
      </c>
      <c r="X4708" s="2" t="s">
        <v>2897</v>
      </c>
      <c r="Y4708" s="2">
        <v>181875</v>
      </c>
      <c r="Z4708" s="19" t="str">
        <f>HYPERLINK("https://ssdweb.co/ssdweb/hd/Vision360.html?d=941220727&amp;zoomslide=1&amp;z=1941220727&amp;ISCONFIRM=0","VIDEO")</f>
        <v>VIDEO</v>
      </c>
      <c r="AA4708" s="19" t="str">
        <f>HYPERLINK("https://ssdweb.co/ssdweb/CERTH/691509990.pdf","CERTI")</f>
        <v>CERTI</v>
      </c>
    </row>
    <row r="4709" spans="1:27" ht="15" x14ac:dyDescent="0.25">
      <c r="A4709" s="2">
        <v>4704</v>
      </c>
      <c r="B4709" s="39">
        <v>925610471</v>
      </c>
      <c r="C4709" s="28" t="str">
        <f>HYPERLINK("https://pld.live/RapDetail.aspx?STONELIST=925610471","DNA")</f>
        <v>DNA</v>
      </c>
      <c r="D4709" s="18" t="s">
        <v>3543</v>
      </c>
      <c r="E4709" s="18" t="s">
        <v>2186</v>
      </c>
      <c r="F4709" s="2" t="s">
        <v>7987</v>
      </c>
      <c r="G4709" s="2" t="s">
        <v>7322</v>
      </c>
      <c r="H4709" s="14">
        <v>4.8</v>
      </c>
      <c r="I4709" s="2" t="s">
        <v>267</v>
      </c>
      <c r="J4709" s="2" t="s">
        <v>5144</v>
      </c>
      <c r="K4709" s="2" t="s">
        <v>1452</v>
      </c>
      <c r="L4709" s="2" t="s">
        <v>5221</v>
      </c>
      <c r="M4709" s="2" t="s">
        <v>5221</v>
      </c>
      <c r="N4709" s="2" t="s">
        <v>2317</v>
      </c>
      <c r="O4709" s="14">
        <v>37500</v>
      </c>
      <c r="P4709" s="14">
        <v>99.6</v>
      </c>
      <c r="Q4709" s="14">
        <v>150</v>
      </c>
      <c r="R4709" s="14">
        <v>720</v>
      </c>
      <c r="S4709" s="2" t="s">
        <v>170</v>
      </c>
      <c r="T4709" s="2">
        <v>1.4</v>
      </c>
      <c r="U4709" s="2">
        <v>67.099999999999994</v>
      </c>
      <c r="V4709" s="2">
        <v>67</v>
      </c>
      <c r="W4709" s="2" t="s">
        <v>7862</v>
      </c>
      <c r="X4709" s="2" t="s">
        <v>2897</v>
      </c>
      <c r="Y4709" s="2">
        <v>180000</v>
      </c>
      <c r="Z4709" s="19" t="str">
        <f>HYPERLINK("https://ssdweb.co/ssdweb/hd/Vision360.html?d=925610471&amp;zoomslide=1&amp;z=1925610471&amp;ISCONFIRM=0","VIDEO")</f>
        <v>VIDEO</v>
      </c>
      <c r="AA4709" s="19" t="str">
        <f>HYPERLINK("https://ssdweb.co/ssdweb/CERTH/624499748.pdf","CERTI")</f>
        <v>CERTI</v>
      </c>
    </row>
    <row r="4710" spans="1:27" ht="15" x14ac:dyDescent="0.25">
      <c r="A4710" s="2">
        <v>4705</v>
      </c>
      <c r="B4710" s="39">
        <v>925610482</v>
      </c>
      <c r="C4710" s="28" t="str">
        <f>HYPERLINK("https://pld.live/RapDetail.aspx?STONELIST=925610482","DNA")</f>
        <v>DNA</v>
      </c>
      <c r="D4710" s="18" t="s">
        <v>3543</v>
      </c>
      <c r="E4710" s="18" t="s">
        <v>2186</v>
      </c>
      <c r="F4710" s="2" t="s">
        <v>7987</v>
      </c>
      <c r="G4710" s="2" t="s">
        <v>7322</v>
      </c>
      <c r="H4710" s="14">
        <v>4.7300000000000004</v>
      </c>
      <c r="I4710" s="2" t="s">
        <v>4761</v>
      </c>
      <c r="J4710" s="2" t="s">
        <v>3942</v>
      </c>
      <c r="K4710" s="2" t="s">
        <v>1452</v>
      </c>
      <c r="L4710" s="2" t="s">
        <v>5221</v>
      </c>
      <c r="M4710" s="2" t="s">
        <v>5221</v>
      </c>
      <c r="N4710" s="2" t="s">
        <v>2317</v>
      </c>
      <c r="O4710" s="14">
        <v>40000</v>
      </c>
      <c r="P4710" s="14">
        <v>99.6</v>
      </c>
      <c r="Q4710" s="14">
        <v>160</v>
      </c>
      <c r="R4710" s="14">
        <v>756.8</v>
      </c>
      <c r="S4710" s="2" t="s">
        <v>5425</v>
      </c>
      <c r="T4710" s="2">
        <v>1.45</v>
      </c>
      <c r="U4710" s="2">
        <v>66.8</v>
      </c>
      <c r="V4710" s="2">
        <v>65</v>
      </c>
      <c r="W4710" s="2" t="s">
        <v>7862</v>
      </c>
      <c r="X4710" s="2" t="s">
        <v>2897</v>
      </c>
      <c r="Y4710" s="2">
        <v>189200</v>
      </c>
      <c r="Z4710" s="19" t="str">
        <f>HYPERLINK("https://ssdweb.co/ssdweb/hd/Vision360.html?d=925610482&amp;zoomslide=1&amp;z=1925610482&amp;ISCONFIRM=0","VIDEO")</f>
        <v>VIDEO</v>
      </c>
      <c r="AA4710" s="19" t="str">
        <f>HYPERLINK("https://ssdweb.co/ssdweb/CERTH/624440178.pdf","CERTI")</f>
        <v>CERTI</v>
      </c>
    </row>
    <row r="4711" spans="1:27" ht="15" x14ac:dyDescent="0.25">
      <c r="A4711" s="2">
        <v>4706</v>
      </c>
      <c r="B4711" s="39">
        <v>925600393</v>
      </c>
      <c r="C4711" s="28" t="str">
        <f>HYPERLINK("https://pld.live/RapDetail.aspx?STONELIST=925600393","DNA")</f>
        <v>DNA</v>
      </c>
      <c r="D4711" s="18" t="s">
        <v>8111</v>
      </c>
      <c r="E4711" s="18" t="s">
        <v>2186</v>
      </c>
      <c r="F4711" s="2" t="s">
        <v>7987</v>
      </c>
      <c r="G4711" s="2" t="s">
        <v>7322</v>
      </c>
      <c r="H4711" s="14">
        <v>4.66</v>
      </c>
      <c r="I4711" s="2" t="s">
        <v>4761</v>
      </c>
      <c r="J4711" s="2" t="s">
        <v>13</v>
      </c>
      <c r="K4711" s="2" t="s">
        <v>1452</v>
      </c>
      <c r="L4711" s="2" t="s">
        <v>5221</v>
      </c>
      <c r="M4711" s="2" t="s">
        <v>5221</v>
      </c>
      <c r="N4711" s="2" t="s">
        <v>2317</v>
      </c>
      <c r="O4711" s="14">
        <v>37500</v>
      </c>
      <c r="P4711" s="14">
        <v>99.63</v>
      </c>
      <c r="Q4711" s="14">
        <v>138.75</v>
      </c>
      <c r="R4711" s="14">
        <v>646.58000000000004</v>
      </c>
      <c r="S4711" s="2" t="s">
        <v>3756</v>
      </c>
      <c r="T4711" s="2">
        <v>1.41</v>
      </c>
      <c r="U4711" s="2">
        <v>66.5</v>
      </c>
      <c r="V4711" s="2">
        <v>68</v>
      </c>
      <c r="W4711" s="2" t="s">
        <v>7862</v>
      </c>
      <c r="X4711" s="2" t="s">
        <v>2897</v>
      </c>
      <c r="Y4711" s="2">
        <v>174750</v>
      </c>
      <c r="Z4711" s="19" t="str">
        <f>HYPERLINK("https://ssdweb.co/ssdweb/hd/Vision360.html?d=925600393&amp;zoomslide=1&amp;z=1925600393&amp;ISCONFIRM=0","VIDEO")</f>
        <v>VIDEO</v>
      </c>
      <c r="AA4711" s="19" t="str">
        <f>HYPERLINK("https://ssdweb.co/ssdweb/CERTH/623446233.pdf","CERTI")</f>
        <v>CERTI</v>
      </c>
    </row>
    <row r="4712" spans="1:27" ht="15" x14ac:dyDescent="0.25">
      <c r="A4712" s="2">
        <v>4707</v>
      </c>
      <c r="B4712" s="39">
        <v>925820261</v>
      </c>
      <c r="C4712" s="28" t="str">
        <f>HYPERLINK("https://pld.live/RapDetail.aspx?STONELIST=925820261","DNA")</f>
        <v>DNA</v>
      </c>
      <c r="D4712" s="18" t="s">
        <v>8111</v>
      </c>
      <c r="E4712" s="18" t="s">
        <v>2186</v>
      </c>
      <c r="F4712" s="2" t="s">
        <v>7987</v>
      </c>
      <c r="G4712" s="2" t="s">
        <v>7322</v>
      </c>
      <c r="H4712" s="14">
        <v>4.6399999999999997</v>
      </c>
      <c r="I4712" s="2" t="s">
        <v>267</v>
      </c>
      <c r="J4712" s="2" t="s">
        <v>13</v>
      </c>
      <c r="K4712" s="2" t="s">
        <v>1452</v>
      </c>
      <c r="L4712" s="2" t="s">
        <v>5221</v>
      </c>
      <c r="M4712" s="2" t="s">
        <v>5221</v>
      </c>
      <c r="N4712" s="2" t="s">
        <v>2317</v>
      </c>
      <c r="O4712" s="14">
        <v>40500</v>
      </c>
      <c r="P4712" s="14">
        <v>99.6</v>
      </c>
      <c r="Q4712" s="14">
        <v>162</v>
      </c>
      <c r="R4712" s="14">
        <v>751.68</v>
      </c>
      <c r="S4712" s="2" t="s">
        <v>7204</v>
      </c>
      <c r="T4712" s="2">
        <v>1.43</v>
      </c>
      <c r="U4712" s="2">
        <v>65.3</v>
      </c>
      <c r="V4712" s="2">
        <v>67</v>
      </c>
      <c r="W4712" s="2" t="s">
        <v>7862</v>
      </c>
      <c r="X4712" s="2" t="s">
        <v>2897</v>
      </c>
      <c r="Y4712" s="2">
        <v>187920</v>
      </c>
      <c r="Z4712" s="19" t="str">
        <f>HYPERLINK("https://ssdweb.co/ssdweb/hd/Vision360.html?d=925820261&amp;zoomslide=1&amp;z=1925820261&amp;ISCONFIRM=0","VIDEO")</f>
        <v>VIDEO</v>
      </c>
      <c r="AA4712" s="19" t="str">
        <f>HYPERLINK("https://ssdweb.co/ssdweb/CERTH/629432398.pdf","CERTI")</f>
        <v>CERTI</v>
      </c>
    </row>
    <row r="4713" spans="1:27" ht="15" x14ac:dyDescent="0.25">
      <c r="A4713" s="2">
        <v>4708</v>
      </c>
      <c r="B4713" s="39">
        <v>926540071</v>
      </c>
      <c r="C4713" s="28" t="str">
        <f>HYPERLINK("https://pld.live/RapDetail.aspx?STONELIST=926540071","DNA")</f>
        <v>DNA</v>
      </c>
      <c r="D4713" s="18" t="s">
        <v>8111</v>
      </c>
      <c r="E4713" s="18" t="s">
        <v>2186</v>
      </c>
      <c r="F4713" s="2" t="s">
        <v>7987</v>
      </c>
      <c r="G4713" s="2" t="s">
        <v>7322</v>
      </c>
      <c r="H4713" s="14">
        <v>4.5199999999999996</v>
      </c>
      <c r="I4713" s="2" t="s">
        <v>1066</v>
      </c>
      <c r="J4713" s="2" t="s">
        <v>3942</v>
      </c>
      <c r="K4713" s="2" t="s">
        <v>1452</v>
      </c>
      <c r="L4713" s="2" t="s">
        <v>5221</v>
      </c>
      <c r="M4713" s="2" t="s">
        <v>5221</v>
      </c>
      <c r="N4713" s="2" t="s">
        <v>924</v>
      </c>
      <c r="O4713" s="14">
        <v>7400</v>
      </c>
      <c r="P4713" s="14">
        <v>94.19</v>
      </c>
      <c r="Q4713" s="14">
        <v>429.94</v>
      </c>
      <c r="R4713" s="14">
        <v>1943.33</v>
      </c>
      <c r="S4713" s="2" t="s">
        <v>6356</v>
      </c>
      <c r="T4713" s="2">
        <v>1.36</v>
      </c>
      <c r="U4713" s="2">
        <v>68.599999999999994</v>
      </c>
      <c r="V4713" s="2">
        <v>61</v>
      </c>
      <c r="W4713" s="2" t="s">
        <v>7862</v>
      </c>
      <c r="X4713" s="2" t="s">
        <v>2897</v>
      </c>
      <c r="Y4713" s="2">
        <v>33448</v>
      </c>
      <c r="Z4713" s="19" t="str">
        <f>HYPERLINK("https://ssdweb.co/ssdweb/hd/Vision360.html?d=926540071&amp;zoomslide=1&amp;z=1926540071&amp;ISCONFIRM=0","VIDEO")</f>
        <v>VIDEO</v>
      </c>
      <c r="AA4713" s="19" t="str">
        <f>HYPERLINK("https://ssdweb.co/ssdweb/CERTH/651466444.pdf","CERTI")</f>
        <v>CERTI</v>
      </c>
    </row>
    <row r="4714" spans="1:27" ht="15" x14ac:dyDescent="0.25">
      <c r="A4714" s="2">
        <v>4709</v>
      </c>
      <c r="B4714" s="39">
        <v>925820206</v>
      </c>
      <c r="C4714" s="28" t="str">
        <f>HYPERLINK("https://pld.live/RapDetail.aspx?STONELIST=925820206","DNA")</f>
        <v>DNA</v>
      </c>
      <c r="D4714" s="18" t="s">
        <v>437</v>
      </c>
      <c r="E4714" s="18" t="s">
        <v>2186</v>
      </c>
      <c r="F4714" s="2" t="s">
        <v>7987</v>
      </c>
      <c r="G4714" s="2" t="s">
        <v>7322</v>
      </c>
      <c r="H4714" s="14">
        <v>4.41</v>
      </c>
      <c r="I4714" s="2" t="s">
        <v>4761</v>
      </c>
      <c r="J4714" s="2" t="s">
        <v>13</v>
      </c>
      <c r="K4714" s="2" t="s">
        <v>1452</v>
      </c>
      <c r="L4714" s="2" t="s">
        <v>5221</v>
      </c>
      <c r="M4714" s="2" t="s">
        <v>5221</v>
      </c>
      <c r="N4714" s="2" t="s">
        <v>2317</v>
      </c>
      <c r="O4714" s="14">
        <v>37500</v>
      </c>
      <c r="P4714" s="14">
        <v>99.63</v>
      </c>
      <c r="Q4714" s="14">
        <v>138.75</v>
      </c>
      <c r="R4714" s="14">
        <v>611.89</v>
      </c>
      <c r="S4714" s="2" t="s">
        <v>8114</v>
      </c>
      <c r="T4714" s="2">
        <v>1.44</v>
      </c>
      <c r="U4714" s="2">
        <v>67.5</v>
      </c>
      <c r="V4714" s="2">
        <v>62</v>
      </c>
      <c r="W4714" s="2" t="s">
        <v>7862</v>
      </c>
      <c r="X4714" s="2" t="s">
        <v>2897</v>
      </c>
      <c r="Y4714" s="2">
        <v>165375</v>
      </c>
      <c r="Z4714" s="19" t="str">
        <f>HYPERLINK("https://ssdweb.co/ssdweb/hd/Vision360.html?d=925820206&amp;zoomslide=1&amp;z=1925820206&amp;ISCONFIRM=0","VIDEO")</f>
        <v>VIDEO</v>
      </c>
      <c r="AA4714" s="19" t="str">
        <f>HYPERLINK("https://ssdweb.co/ssdweb/CERTH/627415227.pdf","CERTI")</f>
        <v>CERTI</v>
      </c>
    </row>
    <row r="4715" spans="1:27" ht="15" x14ac:dyDescent="0.25">
      <c r="A4715" s="2">
        <v>4710</v>
      </c>
      <c r="B4715" s="39">
        <v>925600336</v>
      </c>
      <c r="C4715" s="28" t="str">
        <f>HYPERLINK("https://pld.live/RapDetail.aspx?STONELIST=925600336","DNA")</f>
        <v>DNA</v>
      </c>
      <c r="D4715" s="18" t="s">
        <v>437</v>
      </c>
      <c r="E4715" s="18" t="s">
        <v>2186</v>
      </c>
      <c r="F4715" s="2" t="s">
        <v>7987</v>
      </c>
      <c r="G4715" s="2" t="s">
        <v>7322</v>
      </c>
      <c r="H4715" s="14">
        <v>4.3899999999999997</v>
      </c>
      <c r="I4715" s="2" t="s">
        <v>4761</v>
      </c>
      <c r="J4715" s="2" t="s">
        <v>13</v>
      </c>
      <c r="K4715" s="2" t="s">
        <v>1452</v>
      </c>
      <c r="L4715" s="2" t="s">
        <v>5221</v>
      </c>
      <c r="M4715" s="2" t="s">
        <v>5221</v>
      </c>
      <c r="N4715" s="2" t="s">
        <v>2317</v>
      </c>
      <c r="O4715" s="14">
        <v>37500</v>
      </c>
      <c r="P4715" s="14">
        <v>99.63</v>
      </c>
      <c r="Q4715" s="14">
        <v>138.75</v>
      </c>
      <c r="R4715" s="14">
        <v>609.11</v>
      </c>
      <c r="S4715" s="2" t="s">
        <v>8112</v>
      </c>
      <c r="T4715" s="2">
        <v>1.41</v>
      </c>
      <c r="U4715" s="2">
        <v>65</v>
      </c>
      <c r="V4715" s="2">
        <v>65</v>
      </c>
      <c r="W4715" s="2" t="s">
        <v>7862</v>
      </c>
      <c r="X4715" s="2" t="s">
        <v>2897</v>
      </c>
      <c r="Y4715" s="2">
        <v>164625</v>
      </c>
      <c r="Z4715" s="19" t="str">
        <f>HYPERLINK("https://ssdweb.co/ssdweb/hd/Vision360.html?d=925600336&amp;zoomslide=1&amp;z=1925600336&amp;ISCONFIRM=0","VIDEO")</f>
        <v>VIDEO</v>
      </c>
      <c r="AA4715" s="19" t="str">
        <f>HYPERLINK("https://ssdweb.co/ssdweb/CERTH/622461262.pdf","CERTI")</f>
        <v>CERTI</v>
      </c>
    </row>
    <row r="4716" spans="1:27" ht="15" x14ac:dyDescent="0.25">
      <c r="A4716" s="2">
        <v>4711</v>
      </c>
      <c r="B4716" s="39">
        <v>924450168</v>
      </c>
      <c r="C4716" s="28" t="str">
        <f>HYPERLINK("https://pld.live/RapDetail.aspx?STONELIST=924450168","DNA")</f>
        <v>DNA</v>
      </c>
      <c r="D4716" s="18" t="s">
        <v>437</v>
      </c>
      <c r="E4716" s="18" t="s">
        <v>2186</v>
      </c>
      <c r="F4716" s="2" t="s">
        <v>7987</v>
      </c>
      <c r="G4716" s="2" t="s">
        <v>7322</v>
      </c>
      <c r="H4716" s="14">
        <v>4.3899999999999997</v>
      </c>
      <c r="I4716" s="2" t="s">
        <v>4699</v>
      </c>
      <c r="J4716" s="2" t="s">
        <v>5144</v>
      </c>
      <c r="K4716" s="2" t="s">
        <v>1452</v>
      </c>
      <c r="L4716" s="2" t="s">
        <v>5221</v>
      </c>
      <c r="M4716" s="2" t="s">
        <v>5221</v>
      </c>
      <c r="N4716" s="2" t="s">
        <v>2317</v>
      </c>
      <c r="O4716" s="14">
        <v>31500</v>
      </c>
      <c r="P4716" s="14">
        <v>99.59</v>
      </c>
      <c r="Q4716" s="14">
        <v>129.15</v>
      </c>
      <c r="R4716" s="14">
        <v>566.97</v>
      </c>
      <c r="S4716" s="2" t="s">
        <v>90</v>
      </c>
      <c r="T4716" s="2">
        <v>1.45</v>
      </c>
      <c r="U4716" s="2">
        <v>67.599999999999994</v>
      </c>
      <c r="V4716" s="2">
        <v>64</v>
      </c>
      <c r="W4716" s="2" t="s">
        <v>7862</v>
      </c>
      <c r="X4716" s="2" t="s">
        <v>2897</v>
      </c>
      <c r="Y4716" s="2">
        <v>138285</v>
      </c>
      <c r="Z4716" s="19" t="str">
        <f>HYPERLINK("https://ssdweb.co/ssdweb/hd/Vision360.html?d=924450168&amp;zoomslide=1&amp;z=1924450168&amp;ISCONFIRM=0","VIDEO")</f>
        <v>VIDEO</v>
      </c>
      <c r="AA4716" s="19" t="str">
        <f>HYPERLINK("https://ssdweb.co/ssdweb/CERTH/598312919.pdf","CERTI")</f>
        <v>CERTI</v>
      </c>
    </row>
    <row r="4717" spans="1:27" ht="15" x14ac:dyDescent="0.25">
      <c r="A4717" s="2">
        <v>4712</v>
      </c>
      <c r="B4717" s="39">
        <v>923330003</v>
      </c>
      <c r="C4717" s="28" t="str">
        <f>HYPERLINK("https://pld.live/RapDetail.aspx?STONELIST=923330003","DNA")</f>
        <v>DNA</v>
      </c>
      <c r="D4717" s="18" t="s">
        <v>437</v>
      </c>
      <c r="E4717" s="18" t="s">
        <v>2186</v>
      </c>
      <c r="F4717" s="2" t="s">
        <v>7987</v>
      </c>
      <c r="G4717" s="2" t="s">
        <v>7322</v>
      </c>
      <c r="H4717" s="14">
        <v>4.3499999999999996</v>
      </c>
      <c r="I4717" s="2" t="s">
        <v>4761</v>
      </c>
      <c r="J4717" s="2" t="s">
        <v>5144</v>
      </c>
      <c r="K4717" s="2" t="s">
        <v>1452</v>
      </c>
      <c r="L4717" s="2" t="s">
        <v>5221</v>
      </c>
      <c r="M4717" s="2" t="s">
        <v>5221</v>
      </c>
      <c r="N4717" s="2" t="s">
        <v>2317</v>
      </c>
      <c r="O4717" s="14">
        <v>34500</v>
      </c>
      <c r="P4717" s="14">
        <v>99.61</v>
      </c>
      <c r="Q4717" s="14">
        <v>134.55000000000001</v>
      </c>
      <c r="R4717" s="14">
        <v>585.29</v>
      </c>
      <c r="S4717" s="2" t="s">
        <v>1503</v>
      </c>
      <c r="T4717" s="2">
        <v>1.44</v>
      </c>
      <c r="U4717" s="2">
        <v>66.2</v>
      </c>
      <c r="V4717" s="2">
        <v>65.5</v>
      </c>
      <c r="W4717" s="2" t="s">
        <v>7862</v>
      </c>
      <c r="X4717" s="2" t="s">
        <v>2897</v>
      </c>
      <c r="Y4717" s="2">
        <v>150075</v>
      </c>
      <c r="Z4717" s="19" t="str">
        <f>HYPERLINK("https://ssdweb.co/ssdweb/hd/Vision360.html?d=923330003&amp;zoomslide=1&amp;z=1923330003&amp;ISCONFIRM=0","VIDEO")</f>
        <v>VIDEO</v>
      </c>
      <c r="AA4717" s="19" t="str">
        <f>HYPERLINK("https://ssdweb.co/ssdweb/CERTH/539236092.pdf","CERTI")</f>
        <v>CERTI</v>
      </c>
    </row>
    <row r="4718" spans="1:27" ht="15" x14ac:dyDescent="0.25">
      <c r="A4718" s="2">
        <v>4713</v>
      </c>
      <c r="B4718" s="39">
        <v>924450172</v>
      </c>
      <c r="C4718" s="28" t="str">
        <f>HYPERLINK("https://pld.live/RapDetail.aspx?STONELIST=924450172","DNA")</f>
        <v>DNA</v>
      </c>
      <c r="D4718" s="18" t="s">
        <v>437</v>
      </c>
      <c r="E4718" s="18" t="s">
        <v>2186</v>
      </c>
      <c r="F4718" s="2" t="s">
        <v>7987</v>
      </c>
      <c r="G4718" s="2" t="s">
        <v>7322</v>
      </c>
      <c r="H4718" s="14">
        <v>4.3499999999999996</v>
      </c>
      <c r="I4718" s="2" t="s">
        <v>4761</v>
      </c>
      <c r="J4718" s="2" t="s">
        <v>444</v>
      </c>
      <c r="K4718" s="2" t="s">
        <v>1452</v>
      </c>
      <c r="L4718" s="2" t="s">
        <v>5221</v>
      </c>
      <c r="M4718" s="2" t="s">
        <v>5221</v>
      </c>
      <c r="N4718" s="2" t="s">
        <v>2317</v>
      </c>
      <c r="O4718" s="14">
        <v>24500</v>
      </c>
      <c r="P4718" s="14">
        <v>99.49</v>
      </c>
      <c r="Q4718" s="14">
        <v>124.95</v>
      </c>
      <c r="R4718" s="14">
        <v>543.53</v>
      </c>
      <c r="S4718" s="2" t="s">
        <v>22</v>
      </c>
      <c r="T4718" s="2">
        <v>1.46</v>
      </c>
      <c r="U4718" s="2">
        <v>67.099999999999994</v>
      </c>
      <c r="V4718" s="2">
        <v>64</v>
      </c>
      <c r="W4718" s="2" t="s">
        <v>7862</v>
      </c>
      <c r="X4718" s="2" t="s">
        <v>2897</v>
      </c>
      <c r="Y4718" s="2">
        <v>106575</v>
      </c>
      <c r="Z4718" s="19" t="str">
        <f>HYPERLINK("https://ssdweb.co/ssdweb/hd/Vision360.html?d=924450172&amp;zoomslide=1&amp;z=1924450172&amp;ISCONFIRM=0","VIDEO")</f>
        <v>VIDEO</v>
      </c>
      <c r="AA4718" s="19" t="str">
        <f>HYPERLINK("https://ssdweb.co/ssdweb/CERTH/598316310.pdf","CERTI")</f>
        <v>CERTI</v>
      </c>
    </row>
    <row r="4719" spans="1:27" ht="15" x14ac:dyDescent="0.25">
      <c r="A4719" s="2">
        <v>4714</v>
      </c>
      <c r="B4719" s="39">
        <v>923330002</v>
      </c>
      <c r="C4719" s="28" t="str">
        <f>HYPERLINK("https://pld.live/RapDetail.aspx?STONELIST=923330002","DNA")</f>
        <v>DNA</v>
      </c>
      <c r="D4719" s="18" t="s">
        <v>437</v>
      </c>
      <c r="E4719" s="18" t="s">
        <v>2186</v>
      </c>
      <c r="F4719" s="2" t="s">
        <v>7987</v>
      </c>
      <c r="G4719" s="2" t="s">
        <v>7322</v>
      </c>
      <c r="H4719" s="14">
        <v>4.32</v>
      </c>
      <c r="I4719" s="2" t="s">
        <v>4761</v>
      </c>
      <c r="J4719" s="2" t="s">
        <v>13</v>
      </c>
      <c r="K4719" s="2" t="s">
        <v>1452</v>
      </c>
      <c r="L4719" s="2" t="s">
        <v>5221</v>
      </c>
      <c r="M4719" s="2" t="s">
        <v>5221</v>
      </c>
      <c r="N4719" s="2" t="s">
        <v>2317</v>
      </c>
      <c r="O4719" s="14">
        <v>37500</v>
      </c>
      <c r="P4719" s="14">
        <v>99.63</v>
      </c>
      <c r="Q4719" s="14">
        <v>138.75</v>
      </c>
      <c r="R4719" s="14">
        <v>599.4</v>
      </c>
      <c r="S4719" s="2" t="s">
        <v>4941</v>
      </c>
      <c r="T4719" s="2">
        <v>1.54</v>
      </c>
      <c r="U4719" s="2">
        <v>68.2</v>
      </c>
      <c r="V4719" s="2">
        <v>66</v>
      </c>
      <c r="W4719" s="2" t="s">
        <v>7862</v>
      </c>
      <c r="X4719" s="2" t="s">
        <v>2897</v>
      </c>
      <c r="Y4719" s="2">
        <v>162000</v>
      </c>
      <c r="Z4719" s="19" t="str">
        <f>HYPERLINK("https://ssdweb.co/ssdweb/hd/Vision360.html?d=923330002&amp;zoomslide=1&amp;z=1923330002&amp;ISCONFIRM=0","VIDEO")</f>
        <v>VIDEO</v>
      </c>
      <c r="AA4719" s="19" t="str">
        <f>HYPERLINK("https://ssdweb.co/ssdweb/CERTH/539227771.pdf","CERTI")</f>
        <v>CERTI</v>
      </c>
    </row>
    <row r="4720" spans="1:27" ht="15" x14ac:dyDescent="0.25">
      <c r="A4720" s="2">
        <v>4715</v>
      </c>
      <c r="B4720" s="39">
        <v>831020630</v>
      </c>
      <c r="C4720" s="28" t="str">
        <f>HYPERLINK("https://pld.live/RapDetail.aspx?STONELIST=831020630","DNA")</f>
        <v>DNA</v>
      </c>
      <c r="D4720" s="18" t="s">
        <v>3134</v>
      </c>
      <c r="E4720" s="18" t="s">
        <v>2186</v>
      </c>
      <c r="F4720" s="2" t="s">
        <v>7987</v>
      </c>
      <c r="G4720" s="2" t="s">
        <v>7322</v>
      </c>
      <c r="H4720" s="14">
        <v>4.28</v>
      </c>
      <c r="I4720" s="2" t="s">
        <v>4761</v>
      </c>
      <c r="J4720" s="2" t="s">
        <v>13</v>
      </c>
      <c r="K4720" s="2" t="s">
        <v>1452</v>
      </c>
      <c r="L4720" s="2" t="s">
        <v>5221</v>
      </c>
      <c r="M4720" s="2" t="s">
        <v>5221</v>
      </c>
      <c r="N4720" s="2" t="s">
        <v>2317</v>
      </c>
      <c r="O4720" s="14">
        <v>37500</v>
      </c>
      <c r="P4720" s="14">
        <v>99.63</v>
      </c>
      <c r="Q4720" s="14">
        <v>138.75</v>
      </c>
      <c r="R4720" s="14">
        <v>593.85</v>
      </c>
      <c r="S4720" s="2" t="s">
        <v>4855</v>
      </c>
      <c r="T4720" s="2">
        <v>1.42</v>
      </c>
      <c r="U4720" s="2">
        <v>66.400000000000006</v>
      </c>
      <c r="V4720" s="2">
        <v>65</v>
      </c>
      <c r="W4720" s="2" t="s">
        <v>7862</v>
      </c>
      <c r="X4720" s="2" t="s">
        <v>2897</v>
      </c>
      <c r="Y4720" s="2">
        <v>160500</v>
      </c>
      <c r="Z4720" s="19" t="str">
        <f>HYPERLINK("https://ssdweb.co/ssdweb/hd/Vision360.html?d=831020630&amp;zoomslide=1&amp;z=1831020630&amp;ISCONFIRM=0","VIDEO")</f>
        <v>VIDEO</v>
      </c>
      <c r="AA4720" s="19" t="str">
        <f>HYPERLINK("https://ssdweb.co/ssdweb/CERTH/541276210.pdf","CERTI")</f>
        <v>CERTI</v>
      </c>
    </row>
    <row r="4721" spans="1:27" ht="15" x14ac:dyDescent="0.25">
      <c r="A4721" s="2">
        <v>4716</v>
      </c>
      <c r="B4721" s="39">
        <v>831020716</v>
      </c>
      <c r="C4721" s="28" t="str">
        <f>HYPERLINK("https://pld.live/RapDetail.aspx?STONELIST=831020716","DNA")</f>
        <v>DNA</v>
      </c>
      <c r="D4721" s="18" t="s">
        <v>3134</v>
      </c>
      <c r="E4721" s="18" t="s">
        <v>2186</v>
      </c>
      <c r="F4721" s="2" t="s">
        <v>7987</v>
      </c>
      <c r="G4721" s="2" t="s">
        <v>7322</v>
      </c>
      <c r="H4721" s="14">
        <v>4.28</v>
      </c>
      <c r="I4721" s="2" t="s">
        <v>4699</v>
      </c>
      <c r="J4721" s="2" t="s">
        <v>3942</v>
      </c>
      <c r="K4721" s="2" t="s">
        <v>1452</v>
      </c>
      <c r="L4721" s="2" t="s">
        <v>5221</v>
      </c>
      <c r="M4721" s="2" t="s">
        <v>5221</v>
      </c>
      <c r="N4721" s="2" t="s">
        <v>2317</v>
      </c>
      <c r="O4721" s="14">
        <v>37000</v>
      </c>
      <c r="P4721" s="14">
        <v>99.59</v>
      </c>
      <c r="Q4721" s="14">
        <v>151.69999999999999</v>
      </c>
      <c r="R4721" s="14">
        <v>649.28</v>
      </c>
      <c r="S4721" s="2" t="s">
        <v>2413</v>
      </c>
      <c r="T4721" s="2">
        <v>1.42</v>
      </c>
      <c r="U4721" s="2">
        <v>66.3</v>
      </c>
      <c r="V4721" s="2">
        <v>66</v>
      </c>
      <c r="W4721" s="2" t="s">
        <v>7862</v>
      </c>
      <c r="X4721" s="2" t="s">
        <v>2897</v>
      </c>
      <c r="Y4721" s="2">
        <v>158360</v>
      </c>
      <c r="Z4721" s="19" t="str">
        <f>HYPERLINK("https://ssdweb.co/ssdweb/hd/Vision360.html?d=831020716&amp;zoomslide=1&amp;z=1831020716&amp;ISCONFIRM=0","VIDEO")</f>
        <v>VIDEO</v>
      </c>
      <c r="AA4721" s="19" t="str">
        <f>HYPERLINK("https://ssdweb.co/ssdweb/CERTH/597389639.pdf","CERTI")</f>
        <v>CERTI</v>
      </c>
    </row>
    <row r="4722" spans="1:27" ht="15" x14ac:dyDescent="0.25">
      <c r="A4722" s="2">
        <v>4717</v>
      </c>
      <c r="B4722" s="39">
        <v>831020596</v>
      </c>
      <c r="C4722" s="28" t="str">
        <f>HYPERLINK("https://pld.live/RapDetail.aspx?STONELIST=831020596","DNA")</f>
        <v>DNA</v>
      </c>
      <c r="D4722" s="18" t="s">
        <v>3134</v>
      </c>
      <c r="E4722" s="18" t="s">
        <v>2186</v>
      </c>
      <c r="F4722" s="2" t="s">
        <v>7987</v>
      </c>
      <c r="G4722" s="2" t="s">
        <v>7322</v>
      </c>
      <c r="H4722" s="14">
        <v>4.26</v>
      </c>
      <c r="I4722" s="2" t="s">
        <v>4761</v>
      </c>
      <c r="J4722" s="2" t="s">
        <v>13</v>
      </c>
      <c r="K4722" s="2" t="s">
        <v>1452</v>
      </c>
      <c r="L4722" s="2" t="s">
        <v>5221</v>
      </c>
      <c r="M4722" s="2" t="s">
        <v>5221</v>
      </c>
      <c r="N4722" s="2" t="s">
        <v>2317</v>
      </c>
      <c r="O4722" s="14">
        <v>37500</v>
      </c>
      <c r="P4722" s="14">
        <v>99.63</v>
      </c>
      <c r="Q4722" s="14">
        <v>138.75</v>
      </c>
      <c r="R4722" s="14">
        <v>591.08000000000004</v>
      </c>
      <c r="S4722" s="2" t="s">
        <v>5243</v>
      </c>
      <c r="T4722" s="2">
        <v>1.38</v>
      </c>
      <c r="U4722" s="2">
        <v>66.8</v>
      </c>
      <c r="V4722" s="2">
        <v>67</v>
      </c>
      <c r="W4722" s="2" t="s">
        <v>7862</v>
      </c>
      <c r="X4722" s="2" t="s">
        <v>2897</v>
      </c>
      <c r="Y4722" s="2">
        <v>159750</v>
      </c>
      <c r="Z4722" s="19" t="str">
        <f>HYPERLINK("https://ssdweb.co/ssdweb/hd/Vision360.html?d=831020596&amp;zoomslide=1&amp;z=1831020596&amp;ISCONFIRM=0","VIDEO")</f>
        <v>VIDEO</v>
      </c>
      <c r="AA4722" s="19" t="str">
        <f>HYPERLINK("https://ssdweb.co/ssdweb/CERTH/478103584.pdf","CERTI")</f>
        <v>CERTI</v>
      </c>
    </row>
    <row r="4723" spans="1:27" ht="15" x14ac:dyDescent="0.25">
      <c r="A4723" s="2">
        <v>4718</v>
      </c>
      <c r="B4723" s="39">
        <v>924450169</v>
      </c>
      <c r="C4723" s="28" t="str">
        <f>HYPERLINK("https://pld.live/RapDetail.aspx?STONELIST=924450169","DNA")</f>
        <v>DNA</v>
      </c>
      <c r="D4723" s="18" t="s">
        <v>3134</v>
      </c>
      <c r="E4723" s="18" t="s">
        <v>2186</v>
      </c>
      <c r="F4723" s="2" t="s">
        <v>7987</v>
      </c>
      <c r="G4723" s="2" t="s">
        <v>7322</v>
      </c>
      <c r="H4723" s="14">
        <v>4.26</v>
      </c>
      <c r="I4723" s="2" t="s">
        <v>4699</v>
      </c>
      <c r="J4723" s="2" t="s">
        <v>5144</v>
      </c>
      <c r="K4723" s="2" t="s">
        <v>1452</v>
      </c>
      <c r="L4723" s="2" t="s">
        <v>5221</v>
      </c>
      <c r="M4723" s="2" t="s">
        <v>5221</v>
      </c>
      <c r="N4723" s="2" t="s">
        <v>2317</v>
      </c>
      <c r="O4723" s="14">
        <v>31500</v>
      </c>
      <c r="P4723" s="14">
        <v>99.59</v>
      </c>
      <c r="Q4723" s="14">
        <v>129.15</v>
      </c>
      <c r="R4723" s="14">
        <v>550.17999999999995</v>
      </c>
      <c r="S4723" s="2" t="s">
        <v>7807</v>
      </c>
      <c r="T4723" s="2">
        <v>1.47</v>
      </c>
      <c r="U4723" s="2">
        <v>66</v>
      </c>
      <c r="V4723" s="2">
        <v>66</v>
      </c>
      <c r="W4723" s="2" t="s">
        <v>8016</v>
      </c>
      <c r="X4723" s="2" t="s">
        <v>2897</v>
      </c>
      <c r="Y4723" s="2">
        <v>134190</v>
      </c>
      <c r="Z4723" s="19" t="str">
        <f>HYPERLINK("https://ssdweb.co/ssdweb/hd/Vision360.html?d=924450169&amp;zoomslide=1&amp;z=1924450169&amp;ISCONFIRM=0","VIDEO")</f>
        <v>VIDEO</v>
      </c>
      <c r="AA4723" s="19" t="str">
        <f>HYPERLINK("https://ssdweb.co/ssdweb/CERTH/598316304.pdf","CERTI")</f>
        <v>CERTI</v>
      </c>
    </row>
    <row r="4724" spans="1:27" ht="15" x14ac:dyDescent="0.25">
      <c r="A4724" s="2">
        <v>4719</v>
      </c>
      <c r="B4724" s="39">
        <v>926540038</v>
      </c>
      <c r="C4724" s="28" t="str">
        <f>HYPERLINK("https://pld.live/RapDetail.aspx?STONELIST=926540038","DNA")</f>
        <v>DNA</v>
      </c>
      <c r="D4724" s="18" t="s">
        <v>3134</v>
      </c>
      <c r="E4724" s="18" t="s">
        <v>2186</v>
      </c>
      <c r="F4724" s="2" t="s">
        <v>7987</v>
      </c>
      <c r="G4724" s="2" t="s">
        <v>7322</v>
      </c>
      <c r="H4724" s="14">
        <v>4.2300000000000004</v>
      </c>
      <c r="I4724" s="2" t="s">
        <v>1066</v>
      </c>
      <c r="J4724" s="2" t="s">
        <v>13</v>
      </c>
      <c r="K4724" s="2" t="s">
        <v>1452</v>
      </c>
      <c r="L4724" s="2" t="s">
        <v>5221</v>
      </c>
      <c r="M4724" s="2" t="s">
        <v>5221</v>
      </c>
      <c r="N4724" s="2" t="s">
        <v>924</v>
      </c>
      <c r="O4724" s="14">
        <v>7100</v>
      </c>
      <c r="P4724" s="14">
        <v>94.93</v>
      </c>
      <c r="Q4724" s="14">
        <v>359.97</v>
      </c>
      <c r="R4724" s="14">
        <v>1522.67</v>
      </c>
      <c r="S4724" s="2" t="s">
        <v>4782</v>
      </c>
      <c r="T4724" s="2">
        <v>1.41</v>
      </c>
      <c r="U4724" s="2">
        <v>67.2</v>
      </c>
      <c r="V4724" s="2">
        <v>66</v>
      </c>
      <c r="W4724" s="2" t="s">
        <v>7862</v>
      </c>
      <c r="X4724" s="2" t="s">
        <v>2897</v>
      </c>
      <c r="Y4724" s="2">
        <v>30033</v>
      </c>
      <c r="Z4724" s="19" t="str">
        <f>HYPERLINK("https://ssdweb.co/ssdweb/hd/Vision360.html?d=926540038&amp;zoomslide=1&amp;z=1926540038&amp;ISCONFIRM=0","VIDEO")</f>
        <v>VIDEO</v>
      </c>
      <c r="AA4724" s="19" t="str">
        <f>HYPERLINK("https://ssdweb.co/ssdweb/CERTH/647475697.pdf","CERTI")</f>
        <v>CERTI</v>
      </c>
    </row>
    <row r="4725" spans="1:27" ht="15" x14ac:dyDescent="0.25">
      <c r="A4725" s="2">
        <v>4720</v>
      </c>
      <c r="B4725" s="39">
        <v>831020203</v>
      </c>
      <c r="C4725" s="28" t="str">
        <f>HYPERLINK("https://pld.live/RapDetail.aspx?STONELIST=831020203","DNA")</f>
        <v>DNA</v>
      </c>
      <c r="D4725" s="18" t="s">
        <v>3134</v>
      </c>
      <c r="E4725" s="18" t="s">
        <v>2186</v>
      </c>
      <c r="F4725" s="2" t="s">
        <v>5597</v>
      </c>
      <c r="G4725" s="2" t="s">
        <v>7322</v>
      </c>
      <c r="H4725" s="14">
        <v>4.22</v>
      </c>
      <c r="I4725" s="2" t="s">
        <v>4761</v>
      </c>
      <c r="J4725" s="2" t="s">
        <v>5144</v>
      </c>
      <c r="K4725" s="2" t="s">
        <v>1452</v>
      </c>
      <c r="L4725" s="2" t="s">
        <v>5221</v>
      </c>
      <c r="M4725" s="2" t="s">
        <v>5221</v>
      </c>
      <c r="N4725" s="2" t="s">
        <v>2317</v>
      </c>
      <c r="O4725" s="14">
        <v>34500</v>
      </c>
      <c r="P4725" s="14">
        <v>99.14</v>
      </c>
      <c r="Q4725" s="14">
        <v>296.7</v>
      </c>
      <c r="R4725" s="14">
        <v>1252.07</v>
      </c>
      <c r="S4725" s="2" t="s">
        <v>281</v>
      </c>
      <c r="T4725" s="2">
        <v>1.45</v>
      </c>
      <c r="U4725" s="2">
        <v>65.900000000000006</v>
      </c>
      <c r="V4725" s="2">
        <v>66</v>
      </c>
      <c r="W4725" s="2" t="s">
        <v>7862</v>
      </c>
      <c r="X4725" s="2" t="s">
        <v>2897</v>
      </c>
      <c r="Y4725" s="2">
        <v>145590</v>
      </c>
      <c r="Z4725" s="19" t="str">
        <f>HYPERLINK("https://ssdweb.co/ssdweb/hd/Vision360.html?d=831020203&amp;zoomslide=1&amp;z=1831020203&amp;ISCONFIRM=0","VIDEO")</f>
        <v>VIDEO</v>
      </c>
      <c r="AA4725" s="19" t="str">
        <f>HYPERLINK("https://ssdweb.co/ssdweb/CERTH/2446429760.pdf","CERTI")</f>
        <v>CERTI</v>
      </c>
    </row>
    <row r="4726" spans="1:27" ht="15" x14ac:dyDescent="0.25">
      <c r="A4726" s="2">
        <v>4721</v>
      </c>
      <c r="B4726" s="39">
        <v>925820174</v>
      </c>
      <c r="C4726" s="28" t="str">
        <f>HYPERLINK("https://pld.live/RapDetail.aspx?STONELIST=925820174","DNA")</f>
        <v>DNA</v>
      </c>
      <c r="D4726" s="18" t="s">
        <v>3134</v>
      </c>
      <c r="E4726" s="18" t="s">
        <v>2186</v>
      </c>
      <c r="F4726" s="2" t="s">
        <v>7987</v>
      </c>
      <c r="G4726" s="2" t="s">
        <v>7322</v>
      </c>
      <c r="H4726" s="14">
        <v>4.2</v>
      </c>
      <c r="I4726" s="2" t="s">
        <v>4761</v>
      </c>
      <c r="J4726" s="2" t="s">
        <v>13</v>
      </c>
      <c r="K4726" s="2" t="s">
        <v>1452</v>
      </c>
      <c r="L4726" s="2" t="s">
        <v>5221</v>
      </c>
      <c r="M4726" s="2" t="s">
        <v>5221</v>
      </c>
      <c r="N4726" s="2" t="s">
        <v>2317</v>
      </c>
      <c r="O4726" s="14">
        <v>37500</v>
      </c>
      <c r="P4726" s="14">
        <v>99.63</v>
      </c>
      <c r="Q4726" s="14">
        <v>138.75</v>
      </c>
      <c r="R4726" s="14">
        <v>582.75</v>
      </c>
      <c r="S4726" s="2" t="s">
        <v>3304</v>
      </c>
      <c r="T4726" s="2">
        <v>1.4</v>
      </c>
      <c r="U4726" s="2">
        <v>65.400000000000006</v>
      </c>
      <c r="V4726" s="2">
        <v>64</v>
      </c>
      <c r="W4726" s="2" t="s">
        <v>7862</v>
      </c>
      <c r="X4726" s="2" t="s">
        <v>2897</v>
      </c>
      <c r="Y4726" s="2">
        <v>157500</v>
      </c>
      <c r="Z4726" s="19" t="str">
        <f>HYPERLINK("https://ssdweb.co/ssdweb/hd/Vision360.html?d=925820174&amp;zoomslide=1&amp;z=1925820174&amp;ISCONFIRM=0","VIDEO")</f>
        <v>VIDEO</v>
      </c>
      <c r="AA4726" s="19" t="str">
        <f>HYPERLINK("https://ssdweb.co/ssdweb/CERTH/627497119.pdf","CERTI")</f>
        <v>CERTI</v>
      </c>
    </row>
    <row r="4727" spans="1:27" ht="15" x14ac:dyDescent="0.25">
      <c r="A4727" s="2">
        <v>4722</v>
      </c>
      <c r="B4727" s="39">
        <v>924090152</v>
      </c>
      <c r="C4727" s="28" t="str">
        <f>HYPERLINK("https://pld.live/RapDetail.aspx?STONELIST=924090152","DNA")</f>
        <v>DNA</v>
      </c>
      <c r="D4727" s="18" t="s">
        <v>3134</v>
      </c>
      <c r="E4727" s="18" t="s">
        <v>2186</v>
      </c>
      <c r="F4727" s="2" t="s">
        <v>7987</v>
      </c>
      <c r="G4727" s="2" t="s">
        <v>7322</v>
      </c>
      <c r="H4727" s="14">
        <v>4.1900000000000004</v>
      </c>
      <c r="I4727" s="2" t="s">
        <v>4699</v>
      </c>
      <c r="J4727" s="2" t="s">
        <v>5144</v>
      </c>
      <c r="K4727" s="2" t="s">
        <v>1452</v>
      </c>
      <c r="L4727" s="2" t="s">
        <v>5221</v>
      </c>
      <c r="M4727" s="2" t="s">
        <v>5221</v>
      </c>
      <c r="N4727" s="2" t="s">
        <v>2317</v>
      </c>
      <c r="O4727" s="14">
        <v>31500</v>
      </c>
      <c r="P4727" s="14">
        <v>99.59</v>
      </c>
      <c r="Q4727" s="14">
        <v>129.15</v>
      </c>
      <c r="R4727" s="14">
        <v>541.14</v>
      </c>
      <c r="S4727" s="2" t="s">
        <v>3301</v>
      </c>
      <c r="T4727" s="2">
        <v>1.41</v>
      </c>
      <c r="U4727" s="2">
        <v>66.400000000000006</v>
      </c>
      <c r="V4727" s="2">
        <v>64</v>
      </c>
      <c r="W4727" s="2" t="s">
        <v>7862</v>
      </c>
      <c r="X4727" s="2" t="s">
        <v>2897</v>
      </c>
      <c r="Y4727" s="2">
        <v>131985</v>
      </c>
      <c r="Z4727" s="19" t="str">
        <f>HYPERLINK("https://ssdweb.co/ssdweb/hd/Vision360.html?d=924090152&amp;zoomslide=1&amp;z=1924090152&amp;ISCONFIRM=0","VIDEO")</f>
        <v>VIDEO</v>
      </c>
      <c r="AA4727" s="19" t="str">
        <f>HYPERLINK("https://ssdweb.co/ssdweb/CERTH/575374290.pdf","CERTI")</f>
        <v>CERTI</v>
      </c>
    </row>
    <row r="4728" spans="1:27" ht="15" x14ac:dyDescent="0.25">
      <c r="A4728" s="2">
        <v>4723</v>
      </c>
      <c r="B4728" s="39">
        <v>925820235</v>
      </c>
      <c r="C4728" s="28" t="str">
        <f>HYPERLINK("https://pld.live/RapDetail.aspx?STONELIST=925820235","DNA")</f>
        <v>DNA</v>
      </c>
      <c r="D4728" s="18" t="s">
        <v>3134</v>
      </c>
      <c r="E4728" s="18" t="s">
        <v>2186</v>
      </c>
      <c r="F4728" s="2" t="s">
        <v>7987</v>
      </c>
      <c r="G4728" s="2" t="s">
        <v>7322</v>
      </c>
      <c r="H4728" s="14">
        <v>4.1100000000000003</v>
      </c>
      <c r="I4728" s="2" t="s">
        <v>4761</v>
      </c>
      <c r="J4728" s="2" t="s">
        <v>13</v>
      </c>
      <c r="K4728" s="2" t="s">
        <v>1452</v>
      </c>
      <c r="L4728" s="2" t="s">
        <v>5221</v>
      </c>
      <c r="M4728" s="2" t="s">
        <v>5221</v>
      </c>
      <c r="N4728" s="2" t="s">
        <v>2317</v>
      </c>
      <c r="O4728" s="14">
        <v>37500</v>
      </c>
      <c r="P4728" s="14">
        <v>99.63</v>
      </c>
      <c r="Q4728" s="14">
        <v>138.75</v>
      </c>
      <c r="R4728" s="14">
        <v>570.26</v>
      </c>
      <c r="S4728" s="2" t="s">
        <v>7396</v>
      </c>
      <c r="T4728" s="2">
        <v>1.46</v>
      </c>
      <c r="U4728" s="2">
        <v>66.599999999999994</v>
      </c>
      <c r="V4728" s="2">
        <v>64</v>
      </c>
      <c r="W4728" s="2" t="s">
        <v>7862</v>
      </c>
      <c r="X4728" s="2" t="s">
        <v>2897</v>
      </c>
      <c r="Y4728" s="2">
        <v>154125</v>
      </c>
      <c r="Z4728" s="19" t="str">
        <f>HYPERLINK("https://ssdweb.co/ssdweb/hd/Vision360.html?d=925820235&amp;zoomslide=1&amp;z=1925820235&amp;ISCONFIRM=0","VIDEO")</f>
        <v>VIDEO</v>
      </c>
      <c r="AA4728" s="19" t="str">
        <f>HYPERLINK("https://ssdweb.co/ssdweb/CERTH/627431868.pdf","CERTI")</f>
        <v>CERTI</v>
      </c>
    </row>
    <row r="4729" spans="1:27" ht="15" x14ac:dyDescent="0.25">
      <c r="A4729" s="2">
        <v>4724</v>
      </c>
      <c r="B4729" s="39">
        <v>925820123</v>
      </c>
      <c r="C4729" s="28" t="str">
        <f>HYPERLINK("https://pld.live/RapDetail.aspx?STONELIST=925820123","DNA")</f>
        <v>DNA</v>
      </c>
      <c r="D4729" s="18" t="s">
        <v>3134</v>
      </c>
      <c r="E4729" s="18" t="s">
        <v>2186</v>
      </c>
      <c r="F4729" s="2" t="s">
        <v>7987</v>
      </c>
      <c r="G4729" s="2" t="s">
        <v>7322</v>
      </c>
      <c r="H4729" s="14">
        <v>4.1100000000000003</v>
      </c>
      <c r="I4729" s="2" t="s">
        <v>4761</v>
      </c>
      <c r="J4729" s="2" t="s">
        <v>13</v>
      </c>
      <c r="K4729" s="2" t="s">
        <v>1452</v>
      </c>
      <c r="L4729" s="2" t="s">
        <v>5221</v>
      </c>
      <c r="M4729" s="2" t="s">
        <v>5221</v>
      </c>
      <c r="N4729" s="2" t="s">
        <v>2317</v>
      </c>
      <c r="O4729" s="14">
        <v>37500</v>
      </c>
      <c r="P4729" s="14">
        <v>99.63</v>
      </c>
      <c r="Q4729" s="14">
        <v>138.75</v>
      </c>
      <c r="R4729" s="14">
        <v>570.26</v>
      </c>
      <c r="S4729" s="2" t="s">
        <v>5113</v>
      </c>
      <c r="T4729" s="2">
        <v>1.43</v>
      </c>
      <c r="U4729" s="2">
        <v>66.599999999999994</v>
      </c>
      <c r="V4729" s="2">
        <v>59</v>
      </c>
      <c r="W4729" s="2" t="s">
        <v>7862</v>
      </c>
      <c r="X4729" s="2" t="s">
        <v>2897</v>
      </c>
      <c r="Y4729" s="2">
        <v>154125</v>
      </c>
      <c r="Z4729" s="19" t="str">
        <f>HYPERLINK("https://ssdweb.co/ssdweb/hd/Vision360.html?d=925820123&amp;zoomslide=1&amp;z=1925820123&amp;ISCONFIRM=0","VIDEO")</f>
        <v>VIDEO</v>
      </c>
      <c r="AA4729" s="19" t="str">
        <f>HYPERLINK("https://ssdweb.co/ssdweb/CERTH/627474795.pdf","CERTI")</f>
        <v>CERTI</v>
      </c>
    </row>
    <row r="4730" spans="1:27" ht="15" x14ac:dyDescent="0.25">
      <c r="A4730" s="2">
        <v>4725</v>
      </c>
      <c r="B4730" s="39">
        <v>924450170</v>
      </c>
      <c r="C4730" s="28" t="str">
        <f>HYPERLINK("https://pld.live/RapDetail.aspx?STONELIST=924450170","DNA")</f>
        <v>DNA</v>
      </c>
      <c r="D4730" s="18" t="s">
        <v>3134</v>
      </c>
      <c r="E4730" s="18" t="s">
        <v>2186</v>
      </c>
      <c r="F4730" s="2" t="s">
        <v>5597</v>
      </c>
      <c r="G4730" s="2" t="s">
        <v>7322</v>
      </c>
      <c r="H4730" s="14">
        <v>4.1100000000000003</v>
      </c>
      <c r="I4730" s="2" t="s">
        <v>4761</v>
      </c>
      <c r="J4730" s="2" t="s">
        <v>13</v>
      </c>
      <c r="K4730" s="2" t="s">
        <v>1452</v>
      </c>
      <c r="L4730" s="2" t="s">
        <v>5221</v>
      </c>
      <c r="M4730" s="2" t="s">
        <v>5221</v>
      </c>
      <c r="N4730" s="2" t="s">
        <v>2317</v>
      </c>
      <c r="O4730" s="14">
        <v>37500</v>
      </c>
      <c r="P4730" s="14">
        <v>99.17</v>
      </c>
      <c r="Q4730" s="14">
        <v>311.25</v>
      </c>
      <c r="R4730" s="14">
        <v>1279.24</v>
      </c>
      <c r="S4730" s="2" t="s">
        <v>6351</v>
      </c>
      <c r="T4730" s="2">
        <v>1.46</v>
      </c>
      <c r="U4730" s="2">
        <v>67.3</v>
      </c>
      <c r="V4730" s="2">
        <v>65</v>
      </c>
      <c r="W4730" s="2" t="s">
        <v>7862</v>
      </c>
      <c r="X4730" s="2" t="s">
        <v>2897</v>
      </c>
      <c r="Y4730" s="2">
        <v>154125</v>
      </c>
      <c r="Z4730" s="19" t="str">
        <f>HYPERLINK("https://ssdweb.co/ssdweb/hd/Vision360.html?d=924450170&amp;zoomslide=1&amp;z=1924450170&amp;ISCONFIRM=0","VIDEO")</f>
        <v>VIDEO</v>
      </c>
      <c r="AA4730" s="19" t="str">
        <f>HYPERLINK("https://ssdweb.co/ssdweb/CERTH/1478522059.pdf","CERTI")</f>
        <v>CERTI</v>
      </c>
    </row>
    <row r="4731" spans="1:27" ht="15" x14ac:dyDescent="0.25">
      <c r="A4731" s="2">
        <v>4726</v>
      </c>
      <c r="B4731" s="39">
        <v>924430146</v>
      </c>
      <c r="C4731" s="28" t="str">
        <f>HYPERLINK("https://pld.live/RapDetail.aspx?STONELIST=924430146","DNA")</f>
        <v>DNA</v>
      </c>
      <c r="D4731" s="18" t="s">
        <v>3134</v>
      </c>
      <c r="E4731" s="18" t="s">
        <v>2186</v>
      </c>
      <c r="F4731" s="2" t="s">
        <v>7987</v>
      </c>
      <c r="G4731" s="2" t="s">
        <v>7322</v>
      </c>
      <c r="H4731" s="14">
        <v>4.0999999999999996</v>
      </c>
      <c r="I4731" s="2" t="s">
        <v>4761</v>
      </c>
      <c r="J4731" s="2" t="s">
        <v>3942</v>
      </c>
      <c r="K4731" s="2" t="s">
        <v>1452</v>
      </c>
      <c r="L4731" s="2" t="s">
        <v>5221</v>
      </c>
      <c r="M4731" s="2" t="s">
        <v>5221</v>
      </c>
      <c r="N4731" s="2" t="s">
        <v>2317</v>
      </c>
      <c r="O4731" s="14">
        <v>40000</v>
      </c>
      <c r="P4731" s="14">
        <v>99.6</v>
      </c>
      <c r="Q4731" s="14">
        <v>160</v>
      </c>
      <c r="R4731" s="14">
        <v>656</v>
      </c>
      <c r="S4731" s="2" t="s">
        <v>2036</v>
      </c>
      <c r="T4731" s="2">
        <v>1.41</v>
      </c>
      <c r="U4731" s="2">
        <v>67.5</v>
      </c>
      <c r="V4731" s="2">
        <v>66</v>
      </c>
      <c r="W4731" s="2" t="s">
        <v>7862</v>
      </c>
      <c r="X4731" s="2" t="s">
        <v>2897</v>
      </c>
      <c r="Y4731" s="2">
        <v>164000</v>
      </c>
      <c r="Z4731" s="19" t="str">
        <f>HYPERLINK("https://ssdweb.co/ssdweb/hd/Vision360.html?d=924430146&amp;zoomslide=1&amp;z=1924430146&amp;ISCONFIRM=0","VIDEO")</f>
        <v>VIDEO</v>
      </c>
      <c r="AA4731" s="19" t="str">
        <f>HYPERLINK("https://ssdweb.co/ssdweb/CERTH/595398365.pdf","CERTI")</f>
        <v>CERTI</v>
      </c>
    </row>
    <row r="4732" spans="1:27" ht="15" x14ac:dyDescent="0.25">
      <c r="A4732" s="2">
        <v>4727</v>
      </c>
      <c r="B4732" s="39">
        <v>924430156</v>
      </c>
      <c r="C4732" s="28" t="str">
        <f>HYPERLINK("https://pld.live/RapDetail.aspx?STONELIST=924430156","DNA")</f>
        <v>DNA</v>
      </c>
      <c r="D4732" s="18" t="s">
        <v>3134</v>
      </c>
      <c r="E4732" s="18" t="s">
        <v>2186</v>
      </c>
      <c r="F4732" s="2" t="s">
        <v>7987</v>
      </c>
      <c r="G4732" s="2" t="s">
        <v>7322</v>
      </c>
      <c r="H4732" s="14">
        <v>4.0999999999999996</v>
      </c>
      <c r="I4732" s="2" t="s">
        <v>4699</v>
      </c>
      <c r="J4732" s="2" t="s">
        <v>5144</v>
      </c>
      <c r="K4732" s="2" t="s">
        <v>1452</v>
      </c>
      <c r="L4732" s="2" t="s">
        <v>5221</v>
      </c>
      <c r="M4732" s="2" t="s">
        <v>5221</v>
      </c>
      <c r="N4732" s="2" t="s">
        <v>2317</v>
      </c>
      <c r="O4732" s="14">
        <v>31500</v>
      </c>
      <c r="P4732" s="14">
        <v>99.59</v>
      </c>
      <c r="Q4732" s="14">
        <v>129.15</v>
      </c>
      <c r="R4732" s="14">
        <v>529.52</v>
      </c>
      <c r="S4732" s="2" t="s">
        <v>3529</v>
      </c>
      <c r="T4732" s="2">
        <v>1.44</v>
      </c>
      <c r="U4732" s="2">
        <v>68.099999999999994</v>
      </c>
      <c r="V4732" s="2">
        <v>66</v>
      </c>
      <c r="W4732" s="2" t="s">
        <v>7862</v>
      </c>
      <c r="X4732" s="2" t="s">
        <v>2897</v>
      </c>
      <c r="Y4732" s="2">
        <v>129150</v>
      </c>
      <c r="Z4732" s="19" t="str">
        <f>HYPERLINK("https://ssdweb.co/ssdweb/hd/Vision360.html?d=924430156&amp;zoomslide=1&amp;z=1924430156&amp;ISCONFIRM=0","VIDEO")</f>
        <v>VIDEO</v>
      </c>
      <c r="AA4732" s="19" t="str">
        <f>HYPERLINK("https://ssdweb.co/ssdweb/CERTH/596330943.pdf","CERTI")</f>
        <v>CERTI</v>
      </c>
    </row>
    <row r="4733" spans="1:27" ht="15" x14ac:dyDescent="0.25">
      <c r="A4733" s="2">
        <v>4728</v>
      </c>
      <c r="B4733" s="39">
        <v>925510214</v>
      </c>
      <c r="C4733" s="28" t="str">
        <f>HYPERLINK("https://pld.live/RapDetail.aspx?STONELIST=925510214","DNA")</f>
        <v>DNA</v>
      </c>
      <c r="D4733" s="18" t="s">
        <v>3134</v>
      </c>
      <c r="E4733" s="18" t="s">
        <v>2186</v>
      </c>
      <c r="F4733" s="2" t="s">
        <v>7987</v>
      </c>
      <c r="G4733" s="2" t="s">
        <v>7322</v>
      </c>
      <c r="H4733" s="14">
        <v>4.09</v>
      </c>
      <c r="I4733" s="2" t="s">
        <v>267</v>
      </c>
      <c r="J4733" s="2" t="s">
        <v>13</v>
      </c>
      <c r="K4733" s="2" t="s">
        <v>1452</v>
      </c>
      <c r="L4733" s="2" t="s">
        <v>5221</v>
      </c>
      <c r="M4733" s="2" t="s">
        <v>5221</v>
      </c>
      <c r="N4733" s="2" t="s">
        <v>2317</v>
      </c>
      <c r="O4733" s="14">
        <v>40500</v>
      </c>
      <c r="P4733" s="14">
        <v>99.6</v>
      </c>
      <c r="Q4733" s="14">
        <v>162</v>
      </c>
      <c r="R4733" s="14">
        <v>662.58</v>
      </c>
      <c r="S4733" s="2" t="s">
        <v>5920</v>
      </c>
      <c r="T4733" s="2">
        <v>1.43</v>
      </c>
      <c r="U4733" s="2">
        <v>65.8</v>
      </c>
      <c r="V4733" s="2">
        <v>64</v>
      </c>
      <c r="W4733" s="2" t="s">
        <v>7862</v>
      </c>
      <c r="X4733" s="2" t="s">
        <v>2897</v>
      </c>
      <c r="Y4733" s="2">
        <v>165645</v>
      </c>
      <c r="Z4733" s="19" t="str">
        <f>HYPERLINK("https://ssdweb.co/ssdweb/hd/Vision360.html?d=925510214&amp;zoomslide=1&amp;z=1925510214&amp;ISCONFIRM=0","VIDEO")</f>
        <v>VIDEO</v>
      </c>
      <c r="AA4733" s="19" t="str">
        <f>HYPERLINK("https://ssdweb.co/ssdweb/CERTH/622499919.pdf","CERTI")</f>
        <v>CERTI</v>
      </c>
    </row>
    <row r="4734" spans="1:27" ht="15" x14ac:dyDescent="0.25">
      <c r="A4734" s="2">
        <v>4729</v>
      </c>
      <c r="B4734" s="39">
        <v>925600083</v>
      </c>
      <c r="C4734" s="28" t="str">
        <f>HYPERLINK("https://pld.live/RapDetail.aspx?STONELIST=925600083","DNA")</f>
        <v>DNA</v>
      </c>
      <c r="D4734" s="18" t="s">
        <v>3134</v>
      </c>
      <c r="E4734" s="18" t="s">
        <v>2186</v>
      </c>
      <c r="F4734" s="2" t="s">
        <v>7987</v>
      </c>
      <c r="G4734" s="2" t="s">
        <v>7322</v>
      </c>
      <c r="H4734" s="14">
        <v>4.07</v>
      </c>
      <c r="I4734" s="2" t="s">
        <v>267</v>
      </c>
      <c r="J4734" s="2" t="s">
        <v>5144</v>
      </c>
      <c r="K4734" s="2" t="s">
        <v>1452</v>
      </c>
      <c r="L4734" s="2" t="s">
        <v>5221</v>
      </c>
      <c r="M4734" s="2" t="s">
        <v>5221</v>
      </c>
      <c r="N4734" s="2" t="s">
        <v>2317</v>
      </c>
      <c r="O4734" s="14">
        <v>37500</v>
      </c>
      <c r="P4734" s="14">
        <v>99.6</v>
      </c>
      <c r="Q4734" s="14">
        <v>150</v>
      </c>
      <c r="R4734" s="14">
        <v>610.5</v>
      </c>
      <c r="S4734" s="2" t="s">
        <v>7576</v>
      </c>
      <c r="T4734" s="2">
        <v>1.41</v>
      </c>
      <c r="U4734" s="2">
        <v>67.5</v>
      </c>
      <c r="V4734" s="2">
        <v>66</v>
      </c>
      <c r="W4734" s="2" t="s">
        <v>7862</v>
      </c>
      <c r="X4734" s="2" t="s">
        <v>2897</v>
      </c>
      <c r="Y4734" s="2">
        <v>152625</v>
      </c>
      <c r="Z4734" s="19" t="str">
        <f>HYPERLINK("https://ssdweb.co/ssdweb/hd/Vision360.html?d=925600083&amp;zoomslide=1&amp;z=1925600083&amp;ISCONFIRM=0","VIDEO")</f>
        <v>VIDEO</v>
      </c>
      <c r="AA4734" s="19" t="str">
        <f>HYPERLINK("https://ssdweb.co/ssdweb/CERTH/620449034.pdf","CERTI")</f>
        <v>CERTI</v>
      </c>
    </row>
    <row r="4735" spans="1:27" ht="15" x14ac:dyDescent="0.25">
      <c r="A4735" s="2">
        <v>4730</v>
      </c>
      <c r="B4735" s="39">
        <v>923330023</v>
      </c>
      <c r="C4735" s="28" t="str">
        <f>HYPERLINK("https://pld.live/RapDetail.aspx?STONELIST=923330023","DNA")</f>
        <v>DNA</v>
      </c>
      <c r="D4735" s="18" t="s">
        <v>3134</v>
      </c>
      <c r="E4735" s="18" t="s">
        <v>2186</v>
      </c>
      <c r="F4735" s="2" t="s">
        <v>5597</v>
      </c>
      <c r="G4735" s="2" t="s">
        <v>7322</v>
      </c>
      <c r="H4735" s="14">
        <v>4.07</v>
      </c>
      <c r="I4735" s="2" t="s">
        <v>4761</v>
      </c>
      <c r="J4735" s="2" t="s">
        <v>13</v>
      </c>
      <c r="K4735" s="2" t="s">
        <v>1452</v>
      </c>
      <c r="L4735" s="2" t="s">
        <v>5221</v>
      </c>
      <c r="M4735" s="2" t="s">
        <v>5221</v>
      </c>
      <c r="N4735" s="2" t="s">
        <v>2317</v>
      </c>
      <c r="O4735" s="14">
        <v>37500</v>
      </c>
      <c r="P4735" s="14">
        <v>99.17</v>
      </c>
      <c r="Q4735" s="14">
        <v>311.25</v>
      </c>
      <c r="R4735" s="14">
        <v>1266.79</v>
      </c>
      <c r="S4735" s="2" t="s">
        <v>7787</v>
      </c>
      <c r="T4735" s="2">
        <v>1.44</v>
      </c>
      <c r="U4735" s="2">
        <v>66.5</v>
      </c>
      <c r="V4735" s="2">
        <v>65</v>
      </c>
      <c r="W4735" s="2" t="s">
        <v>7862</v>
      </c>
      <c r="X4735" s="2" t="s">
        <v>2897</v>
      </c>
      <c r="Y4735" s="2">
        <v>152625</v>
      </c>
      <c r="Z4735" s="19" t="str">
        <f>HYPERLINK("https://ssdweb.co/ssdweb/hd/Vision360.html?d=923330023&amp;zoomslide=1&amp;z=1923330023&amp;ISCONFIRM=0","VIDEO")</f>
        <v>VIDEO</v>
      </c>
      <c r="AA4735" s="19" t="str">
        <f>HYPERLINK("https://ssdweb.co/ssdweb/CERTH/7448715932.pdf","CERTI")</f>
        <v>CERTI</v>
      </c>
    </row>
    <row r="4736" spans="1:27" ht="15" x14ac:dyDescent="0.25">
      <c r="A4736" s="2">
        <v>4731</v>
      </c>
      <c r="B4736" s="39">
        <v>925600054</v>
      </c>
      <c r="C4736" s="28" t="str">
        <f>HYPERLINK("https://pld.live/RapDetail.aspx?STONELIST=925600054","DNA")</f>
        <v>DNA</v>
      </c>
      <c r="D4736" s="18" t="s">
        <v>3134</v>
      </c>
      <c r="E4736" s="18" t="s">
        <v>2186</v>
      </c>
      <c r="F4736" s="2" t="s">
        <v>7987</v>
      </c>
      <c r="G4736" s="2" t="s">
        <v>7322</v>
      </c>
      <c r="H4736" s="14">
        <v>4.07</v>
      </c>
      <c r="I4736" s="2" t="s">
        <v>4761</v>
      </c>
      <c r="J4736" s="2" t="s">
        <v>13</v>
      </c>
      <c r="K4736" s="2" t="s">
        <v>1452</v>
      </c>
      <c r="L4736" s="2" t="s">
        <v>5221</v>
      </c>
      <c r="M4736" s="2" t="s">
        <v>5221</v>
      </c>
      <c r="N4736" s="2" t="s">
        <v>2317</v>
      </c>
      <c r="O4736" s="14">
        <v>37500</v>
      </c>
      <c r="P4736" s="14">
        <v>99.63</v>
      </c>
      <c r="Q4736" s="14">
        <v>138.75</v>
      </c>
      <c r="R4736" s="14">
        <v>564.71</v>
      </c>
      <c r="S4736" s="2" t="s">
        <v>5093</v>
      </c>
      <c r="T4736" s="2">
        <v>1.46</v>
      </c>
      <c r="U4736" s="2">
        <v>67</v>
      </c>
      <c r="V4736" s="2">
        <v>66</v>
      </c>
      <c r="W4736" s="2" t="s">
        <v>7862</v>
      </c>
      <c r="X4736" s="2" t="s">
        <v>2897</v>
      </c>
      <c r="Y4736" s="2">
        <v>152625</v>
      </c>
      <c r="Z4736" s="19" t="str">
        <f>HYPERLINK("https://ssdweb.co/ssdweb/hd/Vision360.html?d=925600054&amp;zoomslide=1&amp;z=1925600054&amp;ISCONFIRM=0","VIDEO")</f>
        <v>VIDEO</v>
      </c>
      <c r="AA4736" s="19" t="str">
        <f>HYPERLINK("https://ssdweb.co/ssdweb/CERTH/620449033.pdf","CERTI")</f>
        <v>CERTI</v>
      </c>
    </row>
    <row r="4737" spans="1:27" ht="15" x14ac:dyDescent="0.25">
      <c r="A4737" s="2">
        <v>4732</v>
      </c>
      <c r="B4737" s="39">
        <v>924590283</v>
      </c>
      <c r="C4737" s="28" t="str">
        <f>HYPERLINK("https://pld.live/RapDetail.aspx?STONELIST=924590283","DNA")</f>
        <v>DNA</v>
      </c>
      <c r="D4737" s="18" t="s">
        <v>3134</v>
      </c>
      <c r="E4737" s="18" t="s">
        <v>2186</v>
      </c>
      <c r="F4737" s="2" t="s">
        <v>7987</v>
      </c>
      <c r="G4737" s="2" t="s">
        <v>7322</v>
      </c>
      <c r="H4737" s="14">
        <v>4.0599999999999996</v>
      </c>
      <c r="I4737" s="2" t="s">
        <v>4699</v>
      </c>
      <c r="J4737" s="2" t="s">
        <v>5144</v>
      </c>
      <c r="K4737" s="2" t="s">
        <v>1452</v>
      </c>
      <c r="L4737" s="2" t="s">
        <v>5221</v>
      </c>
      <c r="M4737" s="2" t="s">
        <v>5221</v>
      </c>
      <c r="N4737" s="2" t="s">
        <v>2317</v>
      </c>
      <c r="O4737" s="14">
        <v>31500</v>
      </c>
      <c r="P4737" s="14">
        <v>99.59</v>
      </c>
      <c r="Q4737" s="14">
        <v>129.15</v>
      </c>
      <c r="R4737" s="14">
        <v>524.35</v>
      </c>
      <c r="S4737" s="2" t="s">
        <v>3435</v>
      </c>
      <c r="T4737" s="2">
        <v>1.57</v>
      </c>
      <c r="U4737" s="2">
        <v>64.099999999999994</v>
      </c>
      <c r="V4737" s="2">
        <v>58</v>
      </c>
      <c r="W4737" s="2" t="s">
        <v>7862</v>
      </c>
      <c r="X4737" s="2" t="s">
        <v>2897</v>
      </c>
      <c r="Y4737" s="2">
        <v>127890</v>
      </c>
      <c r="Z4737" s="19" t="str">
        <f>HYPERLINK("https://ssdweb.co/ssdweb/hd/Vision360.html?d=924590283&amp;zoomslide=1&amp;z=1924590283&amp;ISCONFIRM=0","VIDEO")</f>
        <v>VIDEO</v>
      </c>
      <c r="AA4737" s="19" t="str">
        <f>HYPERLINK("https://ssdweb.co/ssdweb/CERTH/600345115.pdf","CERTI")</f>
        <v>CERTI</v>
      </c>
    </row>
    <row r="4738" spans="1:27" ht="15" x14ac:dyDescent="0.25">
      <c r="A4738" s="2">
        <v>4733</v>
      </c>
      <c r="B4738" s="39">
        <v>925510182</v>
      </c>
      <c r="C4738" s="28" t="str">
        <f>HYPERLINK("https://pld.live/RapDetail.aspx?STONELIST=925510182","DNA")</f>
        <v>DNA</v>
      </c>
      <c r="D4738" s="18" t="s">
        <v>3134</v>
      </c>
      <c r="E4738" s="18" t="s">
        <v>2186</v>
      </c>
      <c r="F4738" s="2" t="s">
        <v>7987</v>
      </c>
      <c r="G4738" s="2" t="s">
        <v>7322</v>
      </c>
      <c r="H4738" s="14">
        <v>4.05</v>
      </c>
      <c r="I4738" s="2" t="s">
        <v>4761</v>
      </c>
      <c r="J4738" s="2" t="s">
        <v>13</v>
      </c>
      <c r="K4738" s="2" t="s">
        <v>1452</v>
      </c>
      <c r="L4738" s="2" t="s">
        <v>5221</v>
      </c>
      <c r="M4738" s="2" t="s">
        <v>5221</v>
      </c>
      <c r="N4738" s="2" t="s">
        <v>2317</v>
      </c>
      <c r="O4738" s="14">
        <v>37500</v>
      </c>
      <c r="P4738" s="14">
        <v>99.63</v>
      </c>
      <c r="Q4738" s="14">
        <v>138.75</v>
      </c>
      <c r="R4738" s="14">
        <v>561.94000000000005</v>
      </c>
      <c r="S4738" s="2" t="s">
        <v>6435</v>
      </c>
      <c r="T4738" s="2">
        <v>1.47</v>
      </c>
      <c r="U4738" s="2">
        <v>67.3</v>
      </c>
      <c r="V4738" s="2">
        <v>64</v>
      </c>
      <c r="W4738" s="2" t="s">
        <v>7862</v>
      </c>
      <c r="X4738" s="2" t="s">
        <v>2897</v>
      </c>
      <c r="Y4738" s="2">
        <v>151875</v>
      </c>
      <c r="Z4738" s="19" t="str">
        <f>HYPERLINK("https://ssdweb.co/ssdweb/hd/Vision360.html?d=925510182&amp;zoomslide=1&amp;z=1925510182&amp;ISCONFIRM=0","VIDEO")</f>
        <v>VIDEO</v>
      </c>
      <c r="AA4738" s="19" t="str">
        <f>HYPERLINK("https://ssdweb.co/ssdweb/CERTH/620469826.pdf","CERTI")</f>
        <v>CERTI</v>
      </c>
    </row>
    <row r="4739" spans="1:27" ht="15" x14ac:dyDescent="0.25">
      <c r="A4739" s="2">
        <v>4734</v>
      </c>
      <c r="B4739" s="39">
        <v>941060129</v>
      </c>
      <c r="C4739" s="28" t="str">
        <f>HYPERLINK("https://pld.live/RapDetail.aspx?STONELIST=941060129","DNA")</f>
        <v>DNA</v>
      </c>
      <c r="D4739" s="18" t="s">
        <v>3134</v>
      </c>
      <c r="E4739" s="18" t="s">
        <v>2186</v>
      </c>
      <c r="F4739" s="2" t="s">
        <v>7987</v>
      </c>
      <c r="G4739" s="2" t="s">
        <v>7322</v>
      </c>
      <c r="H4739" s="14">
        <v>4.04</v>
      </c>
      <c r="I4739" s="2" t="s">
        <v>4761</v>
      </c>
      <c r="J4739" s="2" t="s">
        <v>3942</v>
      </c>
      <c r="K4739" s="2" t="s">
        <v>1452</v>
      </c>
      <c r="L4739" s="2" t="s">
        <v>5221</v>
      </c>
      <c r="M4739" s="2" t="s">
        <v>5221</v>
      </c>
      <c r="N4739" s="2" t="s">
        <v>2317</v>
      </c>
      <c r="O4739" s="14">
        <v>40000</v>
      </c>
      <c r="P4739" s="14">
        <v>99.59</v>
      </c>
      <c r="Q4739" s="14">
        <v>164</v>
      </c>
      <c r="R4739" s="14">
        <v>662.56</v>
      </c>
      <c r="S4739" s="2" t="s">
        <v>5418</v>
      </c>
      <c r="T4739" s="2">
        <v>1.38</v>
      </c>
      <c r="U4739" s="2">
        <v>67.2</v>
      </c>
      <c r="V4739" s="2">
        <v>64</v>
      </c>
      <c r="W4739" s="2" t="s">
        <v>7862</v>
      </c>
      <c r="X4739" s="2" t="s">
        <v>2897</v>
      </c>
      <c r="Y4739" s="2">
        <v>161600</v>
      </c>
      <c r="Z4739" s="19" t="str">
        <f>HYPERLINK("https://ssdweb.co/ssdweb/hd/Vision360.html?d=941060129&amp;zoomslide=1&amp;z=1941060129&amp;ISCONFIRM=0","VIDEO")</f>
        <v>VIDEO</v>
      </c>
      <c r="AA4739" s="19" t="str">
        <f>HYPERLINK("https://ssdweb.co/ssdweb/CERTH/670484544.pdf","CERTI")</f>
        <v>CERTI</v>
      </c>
    </row>
    <row r="4740" spans="1:27" ht="15" x14ac:dyDescent="0.25">
      <c r="A4740" s="2">
        <v>4735</v>
      </c>
      <c r="B4740" s="39">
        <v>925820068</v>
      </c>
      <c r="C4740" s="28" t="str">
        <f>HYPERLINK("https://pld.live/RapDetail.aspx?STONELIST=925820068","DNA")</f>
        <v>DNA</v>
      </c>
      <c r="D4740" s="18" t="s">
        <v>3134</v>
      </c>
      <c r="E4740" s="18" t="s">
        <v>2186</v>
      </c>
      <c r="F4740" s="2" t="s">
        <v>7987</v>
      </c>
      <c r="G4740" s="2" t="s">
        <v>7322</v>
      </c>
      <c r="H4740" s="14">
        <v>4.04</v>
      </c>
      <c r="I4740" s="2" t="s">
        <v>4761</v>
      </c>
      <c r="J4740" s="2" t="s">
        <v>13</v>
      </c>
      <c r="K4740" s="2" t="s">
        <v>1452</v>
      </c>
      <c r="L4740" s="2" t="s">
        <v>5221</v>
      </c>
      <c r="M4740" s="2" t="s">
        <v>5221</v>
      </c>
      <c r="N4740" s="2" t="s">
        <v>2317</v>
      </c>
      <c r="O4740" s="14">
        <v>37500</v>
      </c>
      <c r="P4740" s="14">
        <v>99.63</v>
      </c>
      <c r="Q4740" s="14">
        <v>138.75</v>
      </c>
      <c r="R4740" s="14">
        <v>560.54999999999995</v>
      </c>
      <c r="S4740" s="2" t="s">
        <v>2137</v>
      </c>
      <c r="T4740" s="2">
        <v>1.47</v>
      </c>
      <c r="U4740" s="2">
        <v>67.5</v>
      </c>
      <c r="V4740" s="2">
        <v>68</v>
      </c>
      <c r="W4740" s="2" t="s">
        <v>7862</v>
      </c>
      <c r="X4740" s="2" t="s">
        <v>2897</v>
      </c>
      <c r="Y4740" s="2">
        <v>151500</v>
      </c>
      <c r="Z4740" s="19" t="str">
        <f>HYPERLINK("https://ssdweb.co/ssdweb/hd/Vision360.html?d=925820068&amp;zoomslide=1&amp;z=1925820068&amp;ISCONFIRM=0","VIDEO")</f>
        <v>VIDEO</v>
      </c>
      <c r="AA4740" s="19" t="str">
        <f>HYPERLINK("https://ssdweb.co/ssdweb/CERTH/626427744.pdf","CERTI")</f>
        <v>CERTI</v>
      </c>
    </row>
    <row r="4741" spans="1:27" ht="15" x14ac:dyDescent="0.25">
      <c r="A4741" s="2">
        <v>4736</v>
      </c>
      <c r="B4741" s="39">
        <v>925820066</v>
      </c>
      <c r="C4741" s="28" t="str">
        <f>HYPERLINK("https://pld.live/RapDetail.aspx?STONELIST=925820066","DNA")</f>
        <v>DNA</v>
      </c>
      <c r="D4741" s="18" t="s">
        <v>3134</v>
      </c>
      <c r="E4741" s="18" t="s">
        <v>2186</v>
      </c>
      <c r="F4741" s="2" t="s">
        <v>7987</v>
      </c>
      <c r="G4741" s="2" t="s">
        <v>7322</v>
      </c>
      <c r="H4741" s="14">
        <v>4.0199999999999996</v>
      </c>
      <c r="I4741" s="2" t="s">
        <v>4761</v>
      </c>
      <c r="J4741" s="2" t="s">
        <v>13</v>
      </c>
      <c r="K4741" s="2" t="s">
        <v>1452</v>
      </c>
      <c r="L4741" s="2" t="s">
        <v>5221</v>
      </c>
      <c r="M4741" s="2" t="s">
        <v>5221</v>
      </c>
      <c r="N4741" s="2" t="s">
        <v>2317</v>
      </c>
      <c r="O4741" s="14">
        <v>37500</v>
      </c>
      <c r="P4741" s="14">
        <v>99.63</v>
      </c>
      <c r="Q4741" s="14">
        <v>138.75</v>
      </c>
      <c r="R4741" s="14">
        <v>557.78</v>
      </c>
      <c r="S4741" s="2" t="s">
        <v>6139</v>
      </c>
      <c r="T4741" s="2">
        <v>1.42</v>
      </c>
      <c r="U4741" s="2">
        <v>67.099999999999994</v>
      </c>
      <c r="V4741" s="2">
        <v>64</v>
      </c>
      <c r="W4741" s="2" t="s">
        <v>7862</v>
      </c>
      <c r="X4741" s="2" t="s">
        <v>2897</v>
      </c>
      <c r="Y4741" s="2">
        <v>150750</v>
      </c>
      <c r="Z4741" s="19" t="str">
        <f>HYPERLINK("https://ssdweb.co/ssdweb/hd/Vision360.html?d=925820066&amp;zoomslide=1&amp;z=1925820066&amp;ISCONFIRM=0","VIDEO")</f>
        <v>VIDEO</v>
      </c>
      <c r="AA4741" s="19" t="str">
        <f>HYPERLINK("https://ssdweb.co/ssdweb/CERTH/626427724.pdf","CERTI")</f>
        <v>CERTI</v>
      </c>
    </row>
    <row r="4742" spans="1:27" ht="15" x14ac:dyDescent="0.25">
      <c r="A4742" s="2">
        <v>4737</v>
      </c>
      <c r="B4742" s="39">
        <v>926930813</v>
      </c>
      <c r="C4742" s="28" t="str">
        <f>HYPERLINK("https://pld.live/RapDetail.aspx?STONELIST=926930813","DNA")</f>
        <v>DNA</v>
      </c>
      <c r="D4742" s="18" t="s">
        <v>3134</v>
      </c>
      <c r="E4742" s="18" t="s">
        <v>2186</v>
      </c>
      <c r="F4742" s="2" t="s">
        <v>7987</v>
      </c>
      <c r="G4742" s="2" t="s">
        <v>7322</v>
      </c>
      <c r="H4742" s="14">
        <v>4.0199999999999996</v>
      </c>
      <c r="I4742" s="2" t="s">
        <v>4699</v>
      </c>
      <c r="J4742" s="2" t="s">
        <v>5144</v>
      </c>
      <c r="K4742" s="2" t="s">
        <v>1452</v>
      </c>
      <c r="L4742" s="2" t="s">
        <v>5221</v>
      </c>
      <c r="M4742" s="2" t="s">
        <v>5221</v>
      </c>
      <c r="N4742" s="2" t="s">
        <v>2317</v>
      </c>
      <c r="O4742" s="14">
        <v>31500</v>
      </c>
      <c r="P4742" s="14">
        <v>99.58</v>
      </c>
      <c r="Q4742" s="14">
        <v>132.30000000000001</v>
      </c>
      <c r="R4742" s="14">
        <v>531.85</v>
      </c>
      <c r="S4742" s="2" t="s">
        <v>3695</v>
      </c>
      <c r="T4742" s="2">
        <v>1.38</v>
      </c>
      <c r="U4742" s="2">
        <v>66.5</v>
      </c>
      <c r="V4742" s="2">
        <v>66</v>
      </c>
      <c r="W4742" s="2" t="s">
        <v>7862</v>
      </c>
      <c r="X4742" s="2" t="s">
        <v>2897</v>
      </c>
      <c r="Y4742" s="2">
        <v>126630</v>
      </c>
      <c r="Z4742" s="19" t="str">
        <f>HYPERLINK("https://ssdweb.co/ssdweb/hd/Vision360.html?d=926930813&amp;zoomslide=1&amp;z=1926930813&amp;ISCONFIRM=0","VIDEO")</f>
        <v>VIDEO</v>
      </c>
      <c r="AA4742" s="19" t="str">
        <f>HYPERLINK("https://ssdweb.co/ssdweb/CERTH/659437031.pdf","CERTI")</f>
        <v>CERTI</v>
      </c>
    </row>
    <row r="4743" spans="1:27" ht="15" x14ac:dyDescent="0.25">
      <c r="A4743" s="2">
        <v>4738</v>
      </c>
      <c r="B4743" s="39">
        <v>926910551</v>
      </c>
      <c r="C4743" s="28" t="str">
        <f>HYPERLINK("https://pld.live/RapDetail.aspx?STONELIST=926910551","DNA")</f>
        <v>DNA</v>
      </c>
      <c r="D4743" s="18" t="s">
        <v>3134</v>
      </c>
      <c r="E4743" s="18" t="s">
        <v>2186</v>
      </c>
      <c r="F4743" s="2" t="s">
        <v>7987</v>
      </c>
      <c r="G4743" s="2" t="s">
        <v>7322</v>
      </c>
      <c r="H4743" s="14">
        <v>4.0199999999999996</v>
      </c>
      <c r="I4743" s="2" t="s">
        <v>6587</v>
      </c>
      <c r="J4743" s="2" t="s">
        <v>3942</v>
      </c>
      <c r="K4743" s="2" t="s">
        <v>1452</v>
      </c>
      <c r="L4743" s="2" t="s">
        <v>5221</v>
      </c>
      <c r="M4743" s="2" t="s">
        <v>5221</v>
      </c>
      <c r="N4743" s="2" t="s">
        <v>2317</v>
      </c>
      <c r="O4743" s="14">
        <v>32000</v>
      </c>
      <c r="P4743" s="14">
        <v>99.56</v>
      </c>
      <c r="Q4743" s="14">
        <v>140.80000000000001</v>
      </c>
      <c r="R4743" s="14">
        <v>566.02</v>
      </c>
      <c r="S4743" s="2" t="s">
        <v>5334</v>
      </c>
      <c r="T4743" s="2">
        <v>1.4</v>
      </c>
      <c r="U4743" s="2">
        <v>67.900000000000006</v>
      </c>
      <c r="V4743" s="2">
        <v>66</v>
      </c>
      <c r="W4743" s="2" t="s">
        <v>7862</v>
      </c>
      <c r="X4743" s="2" t="s">
        <v>2897</v>
      </c>
      <c r="Y4743" s="2">
        <v>128640</v>
      </c>
      <c r="Z4743" s="19" t="str">
        <f>HYPERLINK("https://ssdweb.co/ssdweb/hd/Vision360.html?d=926910551&amp;zoomslide=1&amp;z=1926910551&amp;ISCONFIRM=0","VIDEO")</f>
        <v>VIDEO</v>
      </c>
      <c r="AA4743" s="19" t="str">
        <f>HYPERLINK("https://ssdweb.co/ssdweb/CERTH/659414620.pdf","CERTI")</f>
        <v>CERTI</v>
      </c>
    </row>
    <row r="4744" spans="1:27" ht="15" x14ac:dyDescent="0.25">
      <c r="A4744" s="2">
        <v>4739</v>
      </c>
      <c r="B4744" s="39">
        <v>925510188</v>
      </c>
      <c r="C4744" s="28" t="str">
        <f>HYPERLINK("https://pld.live/RapDetail.aspx?STONELIST=925510188","DNA")</f>
        <v>DNA</v>
      </c>
      <c r="D4744" s="18" t="s">
        <v>3134</v>
      </c>
      <c r="E4744" s="18" t="s">
        <v>2186</v>
      </c>
      <c r="F4744" s="2" t="s">
        <v>7987</v>
      </c>
      <c r="G4744" s="2" t="s">
        <v>7322</v>
      </c>
      <c r="H4744" s="14">
        <v>4.01</v>
      </c>
      <c r="I4744" s="2" t="s">
        <v>267</v>
      </c>
      <c r="J4744" s="2" t="s">
        <v>13</v>
      </c>
      <c r="K4744" s="2" t="s">
        <v>1452</v>
      </c>
      <c r="L4744" s="2" t="s">
        <v>5221</v>
      </c>
      <c r="M4744" s="2" t="s">
        <v>5221</v>
      </c>
      <c r="N4744" s="2" t="s">
        <v>2317</v>
      </c>
      <c r="O4744" s="14">
        <v>40500</v>
      </c>
      <c r="P4744" s="14">
        <v>99.6</v>
      </c>
      <c r="Q4744" s="14">
        <v>162</v>
      </c>
      <c r="R4744" s="14">
        <v>649.62</v>
      </c>
      <c r="S4744" s="2" t="s">
        <v>7994</v>
      </c>
      <c r="T4744" s="2">
        <v>1.46</v>
      </c>
      <c r="U4744" s="2">
        <v>68.099999999999994</v>
      </c>
      <c r="V4744" s="2">
        <v>66</v>
      </c>
      <c r="W4744" s="2" t="s">
        <v>7862</v>
      </c>
      <c r="X4744" s="2" t="s">
        <v>2897</v>
      </c>
      <c r="Y4744" s="2">
        <v>162405</v>
      </c>
      <c r="Z4744" s="19" t="str">
        <f>HYPERLINK("https://ssdweb.co/ssdweb/hd/Vision360.html?d=925510188&amp;zoomslide=1&amp;z=1925510188&amp;ISCONFIRM=0","VIDEO")</f>
        <v>VIDEO</v>
      </c>
      <c r="AA4744" s="19" t="str">
        <f>HYPERLINK("https://ssdweb.co/ssdweb/CERTH/620403276.pdf","CERTI")</f>
        <v>CERTI</v>
      </c>
    </row>
    <row r="4745" spans="1:27" ht="15" x14ac:dyDescent="0.25">
      <c r="A4745" s="2">
        <v>4740</v>
      </c>
      <c r="B4745" s="39">
        <v>924430176</v>
      </c>
      <c r="C4745" s="28" t="str">
        <f>HYPERLINK("https://pld.live/RapDetail.aspx?STONELIST=924430176","DNA")</f>
        <v>DNA</v>
      </c>
      <c r="D4745" s="18" t="s">
        <v>3134</v>
      </c>
      <c r="E4745" s="18" t="s">
        <v>2186</v>
      </c>
      <c r="F4745" s="2" t="s">
        <v>7987</v>
      </c>
      <c r="G4745" s="2" t="s">
        <v>7322</v>
      </c>
      <c r="H4745" s="14">
        <v>4.01</v>
      </c>
      <c r="I4745" s="2" t="s">
        <v>4761</v>
      </c>
      <c r="J4745" s="2" t="s">
        <v>5144</v>
      </c>
      <c r="K4745" s="2" t="s">
        <v>1452</v>
      </c>
      <c r="L4745" s="2" t="s">
        <v>5221</v>
      </c>
      <c r="M4745" s="2" t="s">
        <v>5221</v>
      </c>
      <c r="N4745" s="2" t="s">
        <v>2317</v>
      </c>
      <c r="O4745" s="14">
        <v>34500</v>
      </c>
      <c r="P4745" s="14">
        <v>99.61</v>
      </c>
      <c r="Q4745" s="14">
        <v>134.55000000000001</v>
      </c>
      <c r="R4745" s="14">
        <v>539.54999999999995</v>
      </c>
      <c r="S4745" s="2" t="s">
        <v>2655</v>
      </c>
      <c r="T4745" s="2">
        <v>1.38</v>
      </c>
      <c r="U4745" s="2">
        <v>65.5</v>
      </c>
      <c r="V4745" s="2">
        <v>65</v>
      </c>
      <c r="W4745" s="2" t="s">
        <v>7862</v>
      </c>
      <c r="X4745" s="2" t="s">
        <v>2897</v>
      </c>
      <c r="Y4745" s="2">
        <v>138345</v>
      </c>
      <c r="Z4745" s="19" t="str">
        <f>HYPERLINK("https://ssdweb.co/ssdweb/hd/Vision360.html?d=924430176&amp;zoomslide=1&amp;z=1924430176&amp;ISCONFIRM=0","VIDEO")</f>
        <v>VIDEO</v>
      </c>
      <c r="AA4745" s="19" t="str">
        <f>HYPERLINK("https://ssdweb.co/ssdweb/CERTH/597388407.pdf","CERTI")</f>
        <v>CERTI</v>
      </c>
    </row>
    <row r="4746" spans="1:27" ht="15" x14ac:dyDescent="0.25">
      <c r="A4746" s="2">
        <v>4741</v>
      </c>
      <c r="B4746" s="39">
        <v>924430152</v>
      </c>
      <c r="C4746" s="28" t="str">
        <f>HYPERLINK("https://pld.live/RapDetail.aspx?STONELIST=924430152","DNA")</f>
        <v>DNA</v>
      </c>
      <c r="D4746" s="18" t="s">
        <v>3134</v>
      </c>
      <c r="E4746" s="18" t="s">
        <v>2186</v>
      </c>
      <c r="F4746" s="2" t="s">
        <v>7987</v>
      </c>
      <c r="G4746" s="2" t="s">
        <v>7322</v>
      </c>
      <c r="H4746" s="14">
        <v>4.01</v>
      </c>
      <c r="I4746" s="2" t="s">
        <v>4761</v>
      </c>
      <c r="J4746" s="2" t="s">
        <v>5144</v>
      </c>
      <c r="K4746" s="2" t="s">
        <v>1452</v>
      </c>
      <c r="L4746" s="2" t="s">
        <v>5221</v>
      </c>
      <c r="M4746" s="2" t="s">
        <v>5221</v>
      </c>
      <c r="N4746" s="2" t="s">
        <v>2317</v>
      </c>
      <c r="O4746" s="14">
        <v>34500</v>
      </c>
      <c r="P4746" s="14">
        <v>99.61</v>
      </c>
      <c r="Q4746" s="14">
        <v>134.55000000000001</v>
      </c>
      <c r="R4746" s="14">
        <v>539.54999999999995</v>
      </c>
      <c r="S4746" s="2" t="s">
        <v>6662</v>
      </c>
      <c r="T4746" s="2">
        <v>1.43</v>
      </c>
      <c r="U4746" s="2">
        <v>68.7</v>
      </c>
      <c r="V4746" s="2">
        <v>68</v>
      </c>
      <c r="W4746" s="2" t="s">
        <v>7862</v>
      </c>
      <c r="X4746" s="2" t="s">
        <v>2897</v>
      </c>
      <c r="Y4746" s="2">
        <v>138345</v>
      </c>
      <c r="Z4746" s="19" t="str">
        <f>HYPERLINK("https://ssdweb.co/ssdweb/hd/Vision360.html?d=924430152&amp;zoomslide=1&amp;z=1924430152&amp;ISCONFIRM=0","VIDEO")</f>
        <v>VIDEO</v>
      </c>
      <c r="AA4746" s="19" t="str">
        <f>HYPERLINK("https://ssdweb.co/ssdweb/CERTH/596332068.pdf","CERTI")</f>
        <v>CERTI</v>
      </c>
    </row>
    <row r="4747" spans="1:27" ht="15" x14ac:dyDescent="0.25">
      <c r="A4747" s="2">
        <v>4742</v>
      </c>
      <c r="B4747" s="39">
        <v>831020707</v>
      </c>
      <c r="C4747" s="28" t="str">
        <f>HYPERLINK("https://pld.live/RapDetail.aspx?STONELIST=831020707","DNA")</f>
        <v>DNA</v>
      </c>
      <c r="D4747" s="18" t="s">
        <v>3134</v>
      </c>
      <c r="E4747" s="18" t="s">
        <v>2186</v>
      </c>
      <c r="F4747" s="2" t="s">
        <v>7987</v>
      </c>
      <c r="G4747" s="2" t="s">
        <v>7322</v>
      </c>
      <c r="H4747" s="14">
        <v>4.01</v>
      </c>
      <c r="I4747" s="2" t="s">
        <v>4699</v>
      </c>
      <c r="J4747" s="2" t="s">
        <v>13</v>
      </c>
      <c r="K4747" s="2" t="s">
        <v>1452</v>
      </c>
      <c r="L4747" s="2" t="s">
        <v>5221</v>
      </c>
      <c r="M4747" s="2" t="s">
        <v>5221</v>
      </c>
      <c r="N4747" s="2" t="s">
        <v>2317</v>
      </c>
      <c r="O4747" s="14">
        <v>34500</v>
      </c>
      <c r="P4747" s="14">
        <v>99.61</v>
      </c>
      <c r="Q4747" s="14">
        <v>134.55000000000001</v>
      </c>
      <c r="R4747" s="14">
        <v>539.54999999999995</v>
      </c>
      <c r="S4747" s="2" t="s">
        <v>2950</v>
      </c>
      <c r="T4747" s="2">
        <v>1.4</v>
      </c>
      <c r="U4747" s="2">
        <v>67.8</v>
      </c>
      <c r="V4747" s="2">
        <v>69</v>
      </c>
      <c r="W4747" s="2" t="s">
        <v>7862</v>
      </c>
      <c r="X4747" s="2" t="s">
        <v>2897</v>
      </c>
      <c r="Y4747" s="2">
        <v>138345</v>
      </c>
      <c r="Z4747" s="19" t="str">
        <f>HYPERLINK("https://ssdweb.co/ssdweb/hd/Vision360.html?d=831020707&amp;zoomslide=1&amp;z=1831020707&amp;ISCONFIRM=0","VIDEO")</f>
        <v>VIDEO</v>
      </c>
      <c r="AA4747" s="19" t="str">
        <f>HYPERLINK("https://ssdweb.co/ssdweb/CERTH/541276208.pdf","CERTI")</f>
        <v>CERTI</v>
      </c>
    </row>
    <row r="4748" spans="1:27" ht="15" x14ac:dyDescent="0.25">
      <c r="A4748" s="2">
        <v>4743</v>
      </c>
      <c r="B4748" s="39">
        <v>831020098</v>
      </c>
      <c r="C4748" s="28" t="str">
        <f>HYPERLINK("https://pld.live/RapDetail.aspx?STONELIST=831020098","DNA")</f>
        <v>DNA</v>
      </c>
      <c r="D4748" s="18" t="s">
        <v>3134</v>
      </c>
      <c r="E4748" s="18" t="s">
        <v>2186</v>
      </c>
      <c r="F4748" s="2" t="s">
        <v>7987</v>
      </c>
      <c r="G4748" s="2" t="s">
        <v>7322</v>
      </c>
      <c r="H4748" s="14">
        <v>4.01</v>
      </c>
      <c r="I4748" s="2" t="s">
        <v>6587</v>
      </c>
      <c r="J4748" s="2" t="s">
        <v>444</v>
      </c>
      <c r="K4748" s="2" t="s">
        <v>1452</v>
      </c>
      <c r="L4748" s="2" t="s">
        <v>5221</v>
      </c>
      <c r="M4748" s="2" t="s">
        <v>5221</v>
      </c>
      <c r="N4748" s="2" t="s">
        <v>2317</v>
      </c>
      <c r="O4748" s="14">
        <v>21500</v>
      </c>
      <c r="P4748" s="14">
        <v>99.47</v>
      </c>
      <c r="Q4748" s="14">
        <v>113.95</v>
      </c>
      <c r="R4748" s="14">
        <v>456.94</v>
      </c>
      <c r="S4748" s="2" t="s">
        <v>8082</v>
      </c>
      <c r="T4748" s="2">
        <v>1.38</v>
      </c>
      <c r="U4748" s="2">
        <v>68.7</v>
      </c>
      <c r="V4748" s="2">
        <v>63</v>
      </c>
      <c r="W4748" s="2" t="s">
        <v>7862</v>
      </c>
      <c r="X4748" s="2" t="s">
        <v>2897</v>
      </c>
      <c r="Y4748" s="2">
        <v>86215</v>
      </c>
      <c r="Z4748" s="19" t="str">
        <f>HYPERLINK("https://ssdweb.co/ssdweb/hd/Vision360.html?d=831020098&amp;zoomslide=1&amp;z=1831020098&amp;ISCONFIRM=0","VIDEO")</f>
        <v>VIDEO</v>
      </c>
      <c r="AA4748" s="19" t="str">
        <f>HYPERLINK("https://ssdweb.co/ssdweb/CERTH/544272862.pdf","CERTI")</f>
        <v>CERTI</v>
      </c>
    </row>
    <row r="4749" spans="1:27" ht="15" x14ac:dyDescent="0.25">
      <c r="A4749" s="2">
        <v>4744</v>
      </c>
      <c r="B4749" s="39">
        <v>926930074</v>
      </c>
      <c r="C4749" s="28" t="str">
        <f>HYPERLINK("https://pld.live/RapDetail.aspx?STONELIST=926930074","DNA")</f>
        <v>DNA</v>
      </c>
      <c r="D4749" s="18" t="s">
        <v>3134</v>
      </c>
      <c r="E4749" s="18" t="s">
        <v>2186</v>
      </c>
      <c r="F4749" s="2" t="s">
        <v>7987</v>
      </c>
      <c r="G4749" s="2" t="s">
        <v>7322</v>
      </c>
      <c r="H4749" s="14">
        <v>4</v>
      </c>
      <c r="I4749" s="2" t="s">
        <v>4699</v>
      </c>
      <c r="J4749" s="2" t="s">
        <v>5144</v>
      </c>
      <c r="K4749" s="2" t="s">
        <v>1452</v>
      </c>
      <c r="L4749" s="2" t="s">
        <v>5221</v>
      </c>
      <c r="M4749" s="2" t="s">
        <v>5221</v>
      </c>
      <c r="N4749" s="2" t="s">
        <v>2317</v>
      </c>
      <c r="O4749" s="14">
        <v>31500</v>
      </c>
      <c r="P4749" s="14">
        <v>99.58</v>
      </c>
      <c r="Q4749" s="14">
        <v>132.30000000000001</v>
      </c>
      <c r="R4749" s="14">
        <v>529.20000000000005</v>
      </c>
      <c r="S4749" s="2" t="s">
        <v>2724</v>
      </c>
      <c r="T4749" s="2">
        <v>1.4</v>
      </c>
      <c r="U4749" s="2">
        <v>68.2</v>
      </c>
      <c r="V4749" s="2">
        <v>65</v>
      </c>
      <c r="W4749" s="2" t="s">
        <v>7862</v>
      </c>
      <c r="X4749" s="2" t="s">
        <v>2897</v>
      </c>
      <c r="Y4749" s="2">
        <v>126000</v>
      </c>
      <c r="Z4749" s="19" t="str">
        <f>HYPERLINK("https://ssdweb.co/ssdweb/hd/Vision360.html?d=926930074&amp;zoomslide=1&amp;z=1926930074&amp;ISCONFIRM=0","VIDEO")</f>
        <v>VIDEO</v>
      </c>
      <c r="AA4749" s="19" t="str">
        <f>HYPERLINK("https://ssdweb.co/ssdweb/CERTH/655451685.pdf","CERTI")</f>
        <v>CERTI</v>
      </c>
    </row>
    <row r="4750" spans="1:27" ht="15" x14ac:dyDescent="0.25">
      <c r="A4750" s="2">
        <v>4745</v>
      </c>
      <c r="B4750" s="39">
        <v>924210078</v>
      </c>
      <c r="C4750" s="28" t="str">
        <f>HYPERLINK("https://pld.live/RapDetail.aspx?STONELIST=924210078","DNA")</f>
        <v>DNA</v>
      </c>
      <c r="D4750" s="18" t="s">
        <v>7401</v>
      </c>
      <c r="E4750" s="18" t="s">
        <v>2186</v>
      </c>
      <c r="F4750" s="2" t="s">
        <v>7987</v>
      </c>
      <c r="G4750" s="2" t="s">
        <v>7322</v>
      </c>
      <c r="H4750" s="14">
        <v>3.9</v>
      </c>
      <c r="I4750" s="2" t="s">
        <v>4699</v>
      </c>
      <c r="J4750" s="2" t="s">
        <v>13</v>
      </c>
      <c r="K4750" s="2" t="s">
        <v>1452</v>
      </c>
      <c r="L4750" s="2" t="s">
        <v>5221</v>
      </c>
      <c r="M4750" s="2" t="s">
        <v>5221</v>
      </c>
      <c r="N4750" s="2" t="s">
        <v>2317</v>
      </c>
      <c r="O4750" s="14">
        <v>25000</v>
      </c>
      <c r="P4750" s="14">
        <v>99.5</v>
      </c>
      <c r="Q4750" s="14">
        <v>125</v>
      </c>
      <c r="R4750" s="14">
        <v>487.5</v>
      </c>
      <c r="S4750" s="2" t="s">
        <v>687</v>
      </c>
      <c r="T4750" s="2">
        <v>1.51</v>
      </c>
      <c r="U4750" s="2">
        <v>65.900000000000006</v>
      </c>
      <c r="V4750" s="2">
        <v>69</v>
      </c>
      <c r="W4750" s="2" t="s">
        <v>7862</v>
      </c>
      <c r="X4750" s="2" t="s">
        <v>2897</v>
      </c>
      <c r="Y4750" s="2">
        <v>97500</v>
      </c>
      <c r="Z4750" s="19" t="str">
        <f>HYPERLINK("https://ssdweb.co/ssdweb/hd/Vision360.html?d=924210078&amp;zoomslide=1&amp;z=1924210078&amp;ISCONFIRM=0","VIDEO")</f>
        <v>VIDEO</v>
      </c>
      <c r="AA4750" s="19" t="str">
        <f>HYPERLINK("https://ssdweb.co/ssdweb/CERTH/579394924.pdf","CERTI")</f>
        <v>CERTI</v>
      </c>
    </row>
    <row r="4751" spans="1:27" ht="15" x14ac:dyDescent="0.25">
      <c r="A4751" s="2">
        <v>4746</v>
      </c>
      <c r="B4751" s="39">
        <v>924380506</v>
      </c>
      <c r="C4751" s="28" t="str">
        <f>HYPERLINK("https://pld.live/RapDetail.aspx?STONELIST=924380506","DNA")</f>
        <v>DNA</v>
      </c>
      <c r="D4751" s="18" t="s">
        <v>3628</v>
      </c>
      <c r="E4751" s="18" t="s">
        <v>2186</v>
      </c>
      <c r="F4751" s="2" t="s">
        <v>5597</v>
      </c>
      <c r="G4751" s="2" t="s">
        <v>7322</v>
      </c>
      <c r="H4751" s="14">
        <v>3.68</v>
      </c>
      <c r="I4751" s="2" t="s">
        <v>6587</v>
      </c>
      <c r="J4751" s="2" t="s">
        <v>13</v>
      </c>
      <c r="K4751" s="2" t="s">
        <v>1452</v>
      </c>
      <c r="L4751" s="2" t="s">
        <v>5221</v>
      </c>
      <c r="M4751" s="2" t="s">
        <v>5221</v>
      </c>
      <c r="N4751" s="2" t="s">
        <v>2317</v>
      </c>
      <c r="O4751" s="14">
        <v>22500</v>
      </c>
      <c r="P4751" s="14">
        <v>98.96</v>
      </c>
      <c r="Q4751" s="14">
        <v>234</v>
      </c>
      <c r="R4751" s="14">
        <v>861.12</v>
      </c>
      <c r="S4751" s="2" t="s">
        <v>7404</v>
      </c>
      <c r="T4751" s="2">
        <v>1.41</v>
      </c>
      <c r="U4751" s="2">
        <v>65.599999999999994</v>
      </c>
      <c r="V4751" s="2">
        <v>64</v>
      </c>
      <c r="W4751" s="2" t="s">
        <v>7862</v>
      </c>
      <c r="X4751" s="2" t="s">
        <v>2897</v>
      </c>
      <c r="Y4751" s="2">
        <v>82800</v>
      </c>
      <c r="Z4751" s="19" t="str">
        <f>HYPERLINK("https://ssdweb.co/ssdweb/hd/Vision360.html?d=924380506&amp;zoomslide=1&amp;z=1924380506&amp;ISCONFIRM=0","VIDEO")</f>
        <v>VIDEO</v>
      </c>
      <c r="AA4751" s="19" t="str">
        <f>HYPERLINK("https://ssdweb.co/ssdweb/CERTH/7471311693.pdf","CERTI")</f>
        <v>CERTI</v>
      </c>
    </row>
    <row r="4752" spans="1:27" ht="15" x14ac:dyDescent="0.25">
      <c r="A4752" s="2">
        <v>4747</v>
      </c>
      <c r="B4752" s="39">
        <v>924380492</v>
      </c>
      <c r="C4752" s="28" t="str">
        <f>HYPERLINK("https://pld.live/RapDetail.aspx?STONELIST=924380492","DNA")</f>
        <v>DNA</v>
      </c>
      <c r="D4752" s="18" t="s">
        <v>3628</v>
      </c>
      <c r="E4752" s="18" t="s">
        <v>2186</v>
      </c>
      <c r="F4752" s="2" t="s">
        <v>5597</v>
      </c>
      <c r="G4752" s="2" t="s">
        <v>7322</v>
      </c>
      <c r="H4752" s="14">
        <v>3.63</v>
      </c>
      <c r="I4752" s="2" t="s">
        <v>4699</v>
      </c>
      <c r="J4752" s="2" t="s">
        <v>444</v>
      </c>
      <c r="K4752" s="2" t="s">
        <v>1452</v>
      </c>
      <c r="L4752" s="2" t="s">
        <v>5221</v>
      </c>
      <c r="M4752" s="2" t="s">
        <v>5221</v>
      </c>
      <c r="N4752" s="2" t="s">
        <v>2317</v>
      </c>
      <c r="O4752" s="14">
        <v>19500</v>
      </c>
      <c r="P4752" s="14">
        <v>98.95</v>
      </c>
      <c r="Q4752" s="14">
        <v>204.75</v>
      </c>
      <c r="R4752" s="14">
        <v>743.24</v>
      </c>
      <c r="S4752" s="2" t="s">
        <v>5735</v>
      </c>
      <c r="T4752" s="2">
        <v>1.46</v>
      </c>
      <c r="U4752" s="2">
        <v>66.3</v>
      </c>
      <c r="V4752" s="2">
        <v>65</v>
      </c>
      <c r="W4752" s="2" t="s">
        <v>7862</v>
      </c>
      <c r="X4752" s="2" t="s">
        <v>2897</v>
      </c>
      <c r="Y4752" s="2">
        <v>70785</v>
      </c>
      <c r="Z4752" s="19" t="str">
        <f>HYPERLINK("https://ssdweb.co/ssdweb/hd/Vision360.html?d=924380492&amp;zoomslide=1&amp;z=1924380492&amp;ISCONFIRM=0","VIDEO")</f>
        <v>VIDEO</v>
      </c>
      <c r="AA4752" s="19" t="str">
        <f>HYPERLINK("https://ssdweb.co/ssdweb/CERTH/3475311626.pdf","CERTI")</f>
        <v>CERTI</v>
      </c>
    </row>
    <row r="4753" spans="1:27" ht="15" x14ac:dyDescent="0.25">
      <c r="A4753" s="2">
        <v>4748</v>
      </c>
      <c r="B4753" s="39">
        <v>924430130</v>
      </c>
      <c r="C4753" s="28" t="str">
        <f>HYPERLINK("https://pld.live/RapDetail.aspx?STONELIST=924430130","DNA")</f>
        <v>DNA</v>
      </c>
      <c r="D4753" s="18" t="s">
        <v>3628</v>
      </c>
      <c r="E4753" s="18" t="s">
        <v>2186</v>
      </c>
      <c r="F4753" s="2" t="s">
        <v>5597</v>
      </c>
      <c r="G4753" s="2" t="s">
        <v>7322</v>
      </c>
      <c r="H4753" s="14">
        <v>3.61</v>
      </c>
      <c r="I4753" s="2" t="s">
        <v>4761</v>
      </c>
      <c r="J4753" s="2" t="s">
        <v>13</v>
      </c>
      <c r="K4753" s="2" t="s">
        <v>1452</v>
      </c>
      <c r="L4753" s="2" t="s">
        <v>5221</v>
      </c>
      <c r="M4753" s="2" t="s">
        <v>5221</v>
      </c>
      <c r="N4753" s="2" t="s">
        <v>2317</v>
      </c>
      <c r="O4753" s="14">
        <v>27500</v>
      </c>
      <c r="P4753" s="14">
        <v>98.93</v>
      </c>
      <c r="Q4753" s="14">
        <v>294.25</v>
      </c>
      <c r="R4753" s="14">
        <v>1062.24</v>
      </c>
      <c r="S4753" s="2" t="s">
        <v>8059</v>
      </c>
      <c r="T4753" s="2">
        <v>1.41</v>
      </c>
      <c r="U4753" s="2">
        <v>65.400000000000006</v>
      </c>
      <c r="V4753" s="2">
        <v>67</v>
      </c>
      <c r="W4753" s="2" t="s">
        <v>7862</v>
      </c>
      <c r="X4753" s="2" t="s">
        <v>2897</v>
      </c>
      <c r="Y4753" s="2">
        <v>99275</v>
      </c>
      <c r="Z4753" s="19" t="str">
        <f>HYPERLINK("https://ssdweb.co/ssdweb/hd/Vision360.html?d=924430130&amp;zoomslide=1&amp;z=1924430130&amp;ISCONFIRM=0","VIDEO")</f>
        <v>VIDEO</v>
      </c>
      <c r="AA4753" s="19" t="str">
        <f>HYPERLINK("https://ssdweb.co/ssdweb/CERTH/6475329107.pdf","CERTI")</f>
        <v>CERTI</v>
      </c>
    </row>
    <row r="4754" spans="1:27" ht="15" x14ac:dyDescent="0.25">
      <c r="A4754" s="2">
        <v>4749</v>
      </c>
      <c r="B4754" s="39">
        <v>925690174</v>
      </c>
      <c r="C4754" s="28" t="str">
        <f>HYPERLINK("https://pld.live/RapDetail.aspx?STONELIST=925690174","DNA")</f>
        <v>DNA</v>
      </c>
      <c r="D4754" s="18" t="s">
        <v>3628</v>
      </c>
      <c r="E4754" s="18" t="s">
        <v>2186</v>
      </c>
      <c r="F4754" s="2" t="s">
        <v>7987</v>
      </c>
      <c r="G4754" s="2" t="s">
        <v>7322</v>
      </c>
      <c r="H4754" s="14">
        <v>3.57</v>
      </c>
      <c r="I4754" s="2" t="s">
        <v>1505</v>
      </c>
      <c r="J4754" s="2" t="s">
        <v>13</v>
      </c>
      <c r="K4754" s="2" t="s">
        <v>1452</v>
      </c>
      <c r="L4754" s="2" t="s">
        <v>5221</v>
      </c>
      <c r="M4754" s="2" t="s">
        <v>5221</v>
      </c>
      <c r="N4754" s="2" t="s">
        <v>2317</v>
      </c>
      <c r="O4754" s="14">
        <v>19500</v>
      </c>
      <c r="P4754" s="14">
        <v>99.41</v>
      </c>
      <c r="Q4754" s="14">
        <v>115.05</v>
      </c>
      <c r="R4754" s="14">
        <v>410.73</v>
      </c>
      <c r="S4754" s="2" t="s">
        <v>7295</v>
      </c>
      <c r="T4754" s="2">
        <v>1.4</v>
      </c>
      <c r="U4754" s="2">
        <v>65.8</v>
      </c>
      <c r="V4754" s="2">
        <v>63</v>
      </c>
      <c r="W4754" s="2" t="s">
        <v>7862</v>
      </c>
      <c r="X4754" s="2" t="s">
        <v>2897</v>
      </c>
      <c r="Y4754" s="2">
        <v>69615</v>
      </c>
      <c r="Z4754" s="19" t="str">
        <f>HYPERLINK("https://ssdweb.co/ssdweb/hd/Vision360.html?d=925690174&amp;zoomslide=1&amp;z=1925690174&amp;ISCONFIRM=0","VIDEO")</f>
        <v>VIDEO</v>
      </c>
      <c r="AA4754" s="19" t="str">
        <f>HYPERLINK("https://ssdweb.co/ssdweb/CERTH/625432373.pdf","CERTI")</f>
        <v>CERTI</v>
      </c>
    </row>
    <row r="4755" spans="1:27" ht="15" x14ac:dyDescent="0.25">
      <c r="A4755" s="2">
        <v>4750</v>
      </c>
      <c r="B4755" s="39">
        <v>924430123</v>
      </c>
      <c r="C4755" s="28" t="str">
        <f>HYPERLINK("https://pld.live/RapDetail.aspx?STONELIST=924430123","DNA")</f>
        <v>DNA</v>
      </c>
      <c r="D4755" s="18" t="s">
        <v>3628</v>
      </c>
      <c r="E4755" s="18" t="s">
        <v>2186</v>
      </c>
      <c r="F4755" s="2" t="s">
        <v>5597</v>
      </c>
      <c r="G4755" s="2" t="s">
        <v>7322</v>
      </c>
      <c r="H4755" s="14">
        <v>3.51</v>
      </c>
      <c r="I4755" s="2" t="s">
        <v>4761</v>
      </c>
      <c r="J4755" s="2" t="s">
        <v>13</v>
      </c>
      <c r="K4755" s="2" t="s">
        <v>1452</v>
      </c>
      <c r="L4755" s="2" t="s">
        <v>5221</v>
      </c>
      <c r="M4755" s="2" t="s">
        <v>5221</v>
      </c>
      <c r="N4755" s="2" t="s">
        <v>2317</v>
      </c>
      <c r="O4755" s="14">
        <v>27500</v>
      </c>
      <c r="P4755" s="14">
        <v>98.93</v>
      </c>
      <c r="Q4755" s="14">
        <v>294.25</v>
      </c>
      <c r="R4755" s="14">
        <v>1032.82</v>
      </c>
      <c r="S4755" s="2" t="s">
        <v>3384</v>
      </c>
      <c r="T4755" s="2">
        <v>1.43</v>
      </c>
      <c r="U4755" s="2">
        <v>66.2</v>
      </c>
      <c r="V4755" s="2">
        <v>65</v>
      </c>
      <c r="W4755" s="2" t="s">
        <v>7862</v>
      </c>
      <c r="X4755" s="2" t="s">
        <v>2897</v>
      </c>
      <c r="Y4755" s="2">
        <v>96525</v>
      </c>
      <c r="Z4755" s="19" t="str">
        <f>HYPERLINK("https://ssdweb.co/ssdweb/hd/Vision360.html?d=924430123&amp;zoomslide=1&amp;z=1924430123&amp;ISCONFIRM=0","VIDEO")</f>
        <v>VIDEO</v>
      </c>
      <c r="AA4755" s="19" t="str">
        <f>HYPERLINK("https://ssdweb.co/ssdweb/CERTH/6472329035.pdf","CERTI")</f>
        <v>CERTI</v>
      </c>
    </row>
    <row r="4756" spans="1:27" ht="15" x14ac:dyDescent="0.25">
      <c r="A4756" s="2">
        <v>4751</v>
      </c>
      <c r="B4756" s="39">
        <v>831020284</v>
      </c>
      <c r="C4756" s="28" t="str">
        <f>HYPERLINK("https://pld.live/RapDetail.aspx?STONELIST=831020284","DNA")</f>
        <v>DNA</v>
      </c>
      <c r="D4756" s="18" t="s">
        <v>3628</v>
      </c>
      <c r="E4756" s="18" t="s">
        <v>2186</v>
      </c>
      <c r="F4756" s="2" t="s">
        <v>7987</v>
      </c>
      <c r="G4756" s="2" t="s">
        <v>7322</v>
      </c>
      <c r="H4756" s="14">
        <v>3.51</v>
      </c>
      <c r="I4756" s="2" t="s">
        <v>1505</v>
      </c>
      <c r="J4756" s="2" t="s">
        <v>5144</v>
      </c>
      <c r="K4756" s="2" t="s">
        <v>1452</v>
      </c>
      <c r="L4756" s="2" t="s">
        <v>5221</v>
      </c>
      <c r="M4756" s="2" t="s">
        <v>5221</v>
      </c>
      <c r="N4756" s="2" t="s">
        <v>2317</v>
      </c>
      <c r="O4756" s="14">
        <v>18000</v>
      </c>
      <c r="P4756" s="14">
        <v>99.39</v>
      </c>
      <c r="Q4756" s="14">
        <v>109.8</v>
      </c>
      <c r="R4756" s="14">
        <v>385.4</v>
      </c>
      <c r="S4756" s="2" t="s">
        <v>2209</v>
      </c>
      <c r="T4756" s="2">
        <v>1.41</v>
      </c>
      <c r="U4756" s="2">
        <v>67.3</v>
      </c>
      <c r="V4756" s="2">
        <v>64</v>
      </c>
      <c r="W4756" s="2" t="s">
        <v>7862</v>
      </c>
      <c r="X4756" s="2" t="s">
        <v>2897</v>
      </c>
      <c r="Y4756" s="2">
        <v>63180</v>
      </c>
      <c r="Z4756" s="19" t="str">
        <f>HYPERLINK("https://ssdweb.co/ssdweb/hd/Vision360.html?d=831020284&amp;zoomslide=1&amp;z=1831020284&amp;ISCONFIRM=0","VIDEO")</f>
        <v>VIDEO</v>
      </c>
      <c r="AA4756" s="19" t="str">
        <f>HYPERLINK("https://ssdweb.co/ssdweb/CERTH/602361393.pdf","CERTI")</f>
        <v>CERTI</v>
      </c>
    </row>
    <row r="4757" spans="1:27" ht="15" x14ac:dyDescent="0.25">
      <c r="A4757" s="2">
        <v>4752</v>
      </c>
      <c r="B4757" s="39">
        <v>924930192</v>
      </c>
      <c r="C4757" s="28" t="str">
        <f>HYPERLINK("https://pld.live/RapDetail.aspx?STONELIST=924930192","DNA")</f>
        <v>DNA</v>
      </c>
      <c r="D4757" s="18" t="s">
        <v>6469</v>
      </c>
      <c r="E4757" s="18" t="s">
        <v>2186</v>
      </c>
      <c r="F4757" s="2" t="s">
        <v>7987</v>
      </c>
      <c r="G4757" s="2" t="s">
        <v>7322</v>
      </c>
      <c r="H4757" s="14">
        <v>3.49</v>
      </c>
      <c r="I4757" s="2" t="s">
        <v>1505</v>
      </c>
      <c r="J4757" s="2" t="s">
        <v>444</v>
      </c>
      <c r="K4757" s="2" t="s">
        <v>1452</v>
      </c>
      <c r="L4757" s="2" t="s">
        <v>5221</v>
      </c>
      <c r="M4757" s="2" t="s">
        <v>5221</v>
      </c>
      <c r="N4757" s="2" t="s">
        <v>2317</v>
      </c>
      <c r="O4757" s="14">
        <v>16000</v>
      </c>
      <c r="P4757" s="14">
        <v>99.34</v>
      </c>
      <c r="Q4757" s="14">
        <v>105.6</v>
      </c>
      <c r="R4757" s="14">
        <v>368.54</v>
      </c>
      <c r="S4757" s="2" t="s">
        <v>748</v>
      </c>
      <c r="T4757" s="2">
        <v>1.4</v>
      </c>
      <c r="U4757" s="2">
        <v>67.400000000000006</v>
      </c>
      <c r="V4757" s="2">
        <v>66</v>
      </c>
      <c r="W4757" s="2" t="s">
        <v>7862</v>
      </c>
      <c r="X4757" s="2" t="s">
        <v>2897</v>
      </c>
      <c r="Y4757" s="2">
        <v>55840</v>
      </c>
      <c r="Z4757" s="19" t="str">
        <f>HYPERLINK("https://ssdweb.co/ssdweb/hd/Vision360.html?d=924930192&amp;zoomslide=1&amp;z=1924930192&amp;ISCONFIRM=0","VIDEO")</f>
        <v>VIDEO</v>
      </c>
      <c r="AA4757" s="19" t="str">
        <f>HYPERLINK("https://ssdweb.co/ssdweb/CERTH/604379498.pdf","CERTI")</f>
        <v>CERTI</v>
      </c>
    </row>
    <row r="4758" spans="1:27" ht="15" x14ac:dyDescent="0.25">
      <c r="A4758" s="2">
        <v>4753</v>
      </c>
      <c r="B4758" s="39">
        <v>925060303</v>
      </c>
      <c r="C4758" s="28" t="str">
        <f>HYPERLINK("https://pld.live/RapDetail.aspx?STONELIST=925060303","DNA")</f>
        <v>DNA</v>
      </c>
      <c r="D4758" s="18" t="s">
        <v>6469</v>
      </c>
      <c r="E4758" s="18" t="s">
        <v>2186</v>
      </c>
      <c r="F4758" s="2" t="s">
        <v>7987</v>
      </c>
      <c r="G4758" s="2" t="s">
        <v>7322</v>
      </c>
      <c r="H4758" s="14">
        <v>3.31</v>
      </c>
      <c r="I4758" s="2" t="s">
        <v>6587</v>
      </c>
      <c r="J4758" s="2" t="s">
        <v>444</v>
      </c>
      <c r="K4758" s="2" t="s">
        <v>1452</v>
      </c>
      <c r="L4758" s="2" t="s">
        <v>5221</v>
      </c>
      <c r="M4758" s="2" t="s">
        <v>5221</v>
      </c>
      <c r="N4758" s="2" t="s">
        <v>2317</v>
      </c>
      <c r="O4758" s="14">
        <v>18000</v>
      </c>
      <c r="P4758" s="14">
        <v>99.39</v>
      </c>
      <c r="Q4758" s="14">
        <v>109.8</v>
      </c>
      <c r="R4758" s="14">
        <v>363.44</v>
      </c>
      <c r="S4758" s="2" t="s">
        <v>4387</v>
      </c>
      <c r="T4758" s="2">
        <v>1.46</v>
      </c>
      <c r="U4758" s="2">
        <v>66</v>
      </c>
      <c r="V4758" s="2">
        <v>66</v>
      </c>
      <c r="W4758" s="2" t="s">
        <v>7862</v>
      </c>
      <c r="X4758" s="2" t="s">
        <v>2897</v>
      </c>
      <c r="Y4758" s="2">
        <v>59580</v>
      </c>
      <c r="Z4758" s="19" t="str">
        <f>HYPERLINK("https://ssdweb.co/ssdweb/hd/Vision360.html?d=925060303&amp;zoomslide=1&amp;z=1925060303&amp;ISCONFIRM=0","VIDEO")</f>
        <v>VIDEO</v>
      </c>
      <c r="AA4758" s="19" t="str">
        <f>HYPERLINK("https://ssdweb.co/ssdweb/CERTH/607345524.pdf","CERTI")</f>
        <v>CERTI</v>
      </c>
    </row>
    <row r="4759" spans="1:27" ht="15" x14ac:dyDescent="0.25">
      <c r="A4759" s="2">
        <v>4754</v>
      </c>
      <c r="B4759" s="39">
        <v>925510158</v>
      </c>
      <c r="C4759" s="28" t="str">
        <f>HYPERLINK("https://pld.live/RapDetail.aspx?STONELIST=925510158","DNA")</f>
        <v>DNA</v>
      </c>
      <c r="D4759" s="18" t="s">
        <v>4563</v>
      </c>
      <c r="E4759" s="18" t="s">
        <v>2186</v>
      </c>
      <c r="F4759" s="2" t="s">
        <v>7987</v>
      </c>
      <c r="G4759" s="2" t="s">
        <v>7322</v>
      </c>
      <c r="H4759" s="14">
        <v>3.26</v>
      </c>
      <c r="I4759" s="2" t="s">
        <v>4761</v>
      </c>
      <c r="J4759" s="2" t="s">
        <v>5144</v>
      </c>
      <c r="K4759" s="2" t="s">
        <v>1452</v>
      </c>
      <c r="L4759" s="2" t="s">
        <v>5221</v>
      </c>
      <c r="M4759" s="2" t="s">
        <v>5221</v>
      </c>
      <c r="N4759" s="2" t="s">
        <v>2317</v>
      </c>
      <c r="O4759" s="14">
        <v>24500</v>
      </c>
      <c r="P4759" s="14">
        <v>99.49</v>
      </c>
      <c r="Q4759" s="14">
        <v>124.95</v>
      </c>
      <c r="R4759" s="14">
        <v>407.34</v>
      </c>
      <c r="S4759" s="2" t="s">
        <v>4818</v>
      </c>
      <c r="T4759" s="2">
        <v>1.41</v>
      </c>
      <c r="U4759" s="2">
        <v>66.3</v>
      </c>
      <c r="V4759" s="2">
        <v>64</v>
      </c>
      <c r="W4759" s="2" t="s">
        <v>7862</v>
      </c>
      <c r="X4759" s="2" t="s">
        <v>2897</v>
      </c>
      <c r="Y4759" s="2">
        <v>79870</v>
      </c>
      <c r="Z4759" s="19" t="str">
        <f>HYPERLINK("https://ssdweb.co/ssdweb/hd/Vision360.html?d=925510158&amp;zoomslide=1&amp;z=1925510158&amp;ISCONFIRM=0","VIDEO")</f>
        <v>VIDEO</v>
      </c>
      <c r="AA4759" s="19" t="str">
        <f>HYPERLINK("https://ssdweb.co/ssdweb/CERTH/619453528.pdf","CERTI")</f>
        <v>CERTI</v>
      </c>
    </row>
    <row r="4760" spans="1:27" ht="15" x14ac:dyDescent="0.25">
      <c r="A4760" s="2">
        <v>4755</v>
      </c>
      <c r="B4760" s="39">
        <v>927000573</v>
      </c>
      <c r="C4760" s="28" t="str">
        <f>HYPERLINK("https://pld.live/RapDetail.aspx?STONELIST=927000573","DNA")</f>
        <v>DNA</v>
      </c>
      <c r="D4760" s="18" t="s">
        <v>4563</v>
      </c>
      <c r="E4760" s="18" t="s">
        <v>2186</v>
      </c>
      <c r="F4760" s="2" t="s">
        <v>7987</v>
      </c>
      <c r="G4760" s="2" t="s">
        <v>7322</v>
      </c>
      <c r="H4760" s="14">
        <v>3.25</v>
      </c>
      <c r="I4760" s="2" t="s">
        <v>4761</v>
      </c>
      <c r="J4760" s="2" t="s">
        <v>13</v>
      </c>
      <c r="K4760" s="2" t="s">
        <v>1452</v>
      </c>
      <c r="L4760" s="2" t="s">
        <v>5221</v>
      </c>
      <c r="M4760" s="2" t="s">
        <v>5221</v>
      </c>
      <c r="N4760" s="2" t="s">
        <v>2317</v>
      </c>
      <c r="O4760" s="14">
        <v>27500</v>
      </c>
      <c r="P4760" s="14">
        <v>99.51</v>
      </c>
      <c r="Q4760" s="14">
        <v>134.75</v>
      </c>
      <c r="R4760" s="14">
        <v>437.94</v>
      </c>
      <c r="S4760" s="2" t="s">
        <v>82</v>
      </c>
      <c r="T4760" s="2">
        <v>1.4</v>
      </c>
      <c r="U4760" s="2">
        <v>67.099999999999994</v>
      </c>
      <c r="V4760" s="2">
        <v>62</v>
      </c>
      <c r="W4760" s="2" t="s">
        <v>7862</v>
      </c>
      <c r="X4760" s="2" t="s">
        <v>2897</v>
      </c>
      <c r="Y4760" s="2">
        <v>89375</v>
      </c>
      <c r="Z4760" s="19" t="str">
        <f>HYPERLINK("https://ssdweb.co/ssdweb/hd/Vision360.html?d=927000573&amp;zoomslide=1&amp;z=1927000573&amp;ISCONFIRM=0","VIDEO")</f>
        <v>VIDEO</v>
      </c>
      <c r="AA4760" s="19" t="str">
        <f>HYPERLINK("https://ssdweb.co/ssdweb/CERTH/670484540.pdf","CERTI")</f>
        <v>CERTI</v>
      </c>
    </row>
    <row r="4761" spans="1:27" ht="15" x14ac:dyDescent="0.25">
      <c r="A4761" s="2">
        <v>4756</v>
      </c>
      <c r="B4761" s="39">
        <v>926890558</v>
      </c>
      <c r="C4761" s="28" t="str">
        <f>HYPERLINK("https://pld.live/RapDetail.aspx?STONELIST=926890558","DNA")</f>
        <v>DNA</v>
      </c>
      <c r="D4761" s="18" t="s">
        <v>4563</v>
      </c>
      <c r="E4761" s="18" t="s">
        <v>2186</v>
      </c>
      <c r="F4761" s="2" t="s">
        <v>7987</v>
      </c>
      <c r="G4761" s="2" t="s">
        <v>7322</v>
      </c>
      <c r="H4761" s="14">
        <v>3.25</v>
      </c>
      <c r="I4761" s="2" t="s">
        <v>4761</v>
      </c>
      <c r="J4761" s="2" t="s">
        <v>13</v>
      </c>
      <c r="K4761" s="2" t="s">
        <v>1452</v>
      </c>
      <c r="L4761" s="2" t="s">
        <v>5221</v>
      </c>
      <c r="M4761" s="2" t="s">
        <v>5221</v>
      </c>
      <c r="N4761" s="2" t="s">
        <v>2317</v>
      </c>
      <c r="O4761" s="14">
        <v>27500</v>
      </c>
      <c r="P4761" s="14">
        <v>99.51</v>
      </c>
      <c r="Q4761" s="14">
        <v>134.75</v>
      </c>
      <c r="R4761" s="14">
        <v>437.94</v>
      </c>
      <c r="S4761" s="2" t="s">
        <v>3137</v>
      </c>
      <c r="T4761" s="2">
        <v>1.4</v>
      </c>
      <c r="U4761" s="2">
        <v>65.3</v>
      </c>
      <c r="V4761" s="2">
        <v>64</v>
      </c>
      <c r="W4761" s="2" t="s">
        <v>7862</v>
      </c>
      <c r="X4761" s="2" t="s">
        <v>2897</v>
      </c>
      <c r="Y4761" s="2">
        <v>89375</v>
      </c>
      <c r="Z4761" s="19" t="str">
        <f>HYPERLINK("https://ssdweb.co/ssdweb/hd/Vision360.html?d=926890558&amp;zoomslide=1&amp;z=1926890558&amp;ISCONFIRM=0","VIDEO")</f>
        <v>VIDEO</v>
      </c>
      <c r="AA4761" s="19" t="str">
        <f>HYPERLINK("https://ssdweb.co/ssdweb/CERTH/670484537.pdf","CERTI")</f>
        <v>CERTI</v>
      </c>
    </row>
    <row r="4762" spans="1:27" ht="15" x14ac:dyDescent="0.25">
      <c r="A4762" s="2">
        <v>4757</v>
      </c>
      <c r="B4762" s="39">
        <v>926420173</v>
      </c>
      <c r="C4762" s="28" t="str">
        <f>HYPERLINK("https://pld.live/RapDetail.aspx?STONELIST=926420173","DNA")</f>
        <v>DNA</v>
      </c>
      <c r="D4762" s="18" t="s">
        <v>4563</v>
      </c>
      <c r="E4762" s="18" t="s">
        <v>2186</v>
      </c>
      <c r="F4762" s="2" t="s">
        <v>7987</v>
      </c>
      <c r="G4762" s="2" t="s">
        <v>7322</v>
      </c>
      <c r="H4762" s="14">
        <v>3.25</v>
      </c>
      <c r="I4762" s="2" t="s">
        <v>1505</v>
      </c>
      <c r="J4762" s="2" t="s">
        <v>3942</v>
      </c>
      <c r="K4762" s="2" t="s">
        <v>1452</v>
      </c>
      <c r="L4762" s="2" t="s">
        <v>5221</v>
      </c>
      <c r="M4762" s="2" t="s">
        <v>5221</v>
      </c>
      <c r="N4762" s="2" t="s">
        <v>2317</v>
      </c>
      <c r="O4762" s="14">
        <v>21000</v>
      </c>
      <c r="P4762" s="14">
        <v>99.41</v>
      </c>
      <c r="Q4762" s="14">
        <v>123.9</v>
      </c>
      <c r="R4762" s="14">
        <v>402.68</v>
      </c>
      <c r="S4762" s="2" t="s">
        <v>3832</v>
      </c>
      <c r="T4762" s="2">
        <v>1.43</v>
      </c>
      <c r="U4762" s="2">
        <v>66.099999999999994</v>
      </c>
      <c r="V4762" s="2">
        <v>62</v>
      </c>
      <c r="W4762" s="2" t="s">
        <v>7862</v>
      </c>
      <c r="X4762" s="2" t="s">
        <v>2897</v>
      </c>
      <c r="Y4762" s="2">
        <v>68250</v>
      </c>
      <c r="Z4762" s="19" t="str">
        <f>HYPERLINK("https://ssdweb.co/ssdweb/hd/Vision360.html?d=926420173&amp;zoomslide=1&amp;z=1926420173&amp;ISCONFIRM=0","VIDEO")</f>
        <v>VIDEO</v>
      </c>
      <c r="AA4762" s="19" t="str">
        <f>HYPERLINK("https://ssdweb.co/ssdweb/CERTH/642497708.pdf","CERTI")</f>
        <v>CERTI</v>
      </c>
    </row>
    <row r="4763" spans="1:27" ht="15" x14ac:dyDescent="0.25">
      <c r="A4763" s="2">
        <v>4758</v>
      </c>
      <c r="B4763" s="39">
        <v>924930202</v>
      </c>
      <c r="C4763" s="28" t="str">
        <f>HYPERLINK("https://pld.live/RapDetail.aspx?STONELIST=924930202","DNA")</f>
        <v>DNA</v>
      </c>
      <c r="D4763" s="18" t="s">
        <v>4563</v>
      </c>
      <c r="E4763" s="18" t="s">
        <v>2186</v>
      </c>
      <c r="F4763" s="2" t="s">
        <v>7987</v>
      </c>
      <c r="G4763" s="2" t="s">
        <v>7322</v>
      </c>
      <c r="H4763" s="14">
        <v>3.24</v>
      </c>
      <c r="I4763" s="2" t="s">
        <v>1505</v>
      </c>
      <c r="J4763" s="2" t="s">
        <v>13</v>
      </c>
      <c r="K4763" s="2" t="s">
        <v>1452</v>
      </c>
      <c r="L4763" s="2" t="s">
        <v>5221</v>
      </c>
      <c r="M4763" s="2" t="s">
        <v>5221</v>
      </c>
      <c r="N4763" s="2" t="s">
        <v>2317</v>
      </c>
      <c r="O4763" s="14">
        <v>19500</v>
      </c>
      <c r="P4763" s="14">
        <v>99.41</v>
      </c>
      <c r="Q4763" s="14">
        <v>115.05</v>
      </c>
      <c r="R4763" s="14">
        <v>372.76</v>
      </c>
      <c r="S4763" s="2" t="s">
        <v>7690</v>
      </c>
      <c r="T4763" s="2">
        <v>1.42</v>
      </c>
      <c r="U4763" s="2">
        <v>67.099999999999994</v>
      </c>
      <c r="V4763" s="2">
        <v>64</v>
      </c>
      <c r="W4763" s="2" t="s">
        <v>7862</v>
      </c>
      <c r="X4763" s="2" t="s">
        <v>2897</v>
      </c>
      <c r="Y4763" s="2">
        <v>63180</v>
      </c>
      <c r="Z4763" s="19" t="str">
        <f>HYPERLINK("https://ssdweb.co/ssdweb/hd/Vision360.html?d=924930202&amp;zoomslide=1&amp;z=1924930202&amp;ISCONFIRM=0","VIDEO")</f>
        <v>VIDEO</v>
      </c>
      <c r="AA4763" s="19" t="str">
        <f>HYPERLINK("https://ssdweb.co/ssdweb/CERTH/604379502.pdf","CERTI")</f>
        <v>CERTI</v>
      </c>
    </row>
    <row r="4764" spans="1:27" ht="15" x14ac:dyDescent="0.25">
      <c r="A4764" s="2">
        <v>4759</v>
      </c>
      <c r="B4764" s="39">
        <v>924430101</v>
      </c>
      <c r="C4764" s="28" t="str">
        <f>HYPERLINK("https://pld.live/RapDetail.aspx?STONELIST=924430101","DNA")</f>
        <v>DNA</v>
      </c>
      <c r="D4764" s="18" t="s">
        <v>4563</v>
      </c>
      <c r="E4764" s="18" t="s">
        <v>2186</v>
      </c>
      <c r="F4764" s="2" t="s">
        <v>5597</v>
      </c>
      <c r="G4764" s="2" t="s">
        <v>7322</v>
      </c>
      <c r="H4764" s="14">
        <v>3.23</v>
      </c>
      <c r="I4764" s="2" t="s">
        <v>4761</v>
      </c>
      <c r="J4764" s="2" t="s">
        <v>13</v>
      </c>
      <c r="K4764" s="2" t="s">
        <v>1452</v>
      </c>
      <c r="L4764" s="2" t="s">
        <v>5221</v>
      </c>
      <c r="M4764" s="2" t="s">
        <v>5221</v>
      </c>
      <c r="N4764" s="2" t="s">
        <v>2317</v>
      </c>
      <c r="O4764" s="14">
        <v>27500</v>
      </c>
      <c r="P4764" s="14">
        <v>99.07</v>
      </c>
      <c r="Q4764" s="14">
        <v>255.75</v>
      </c>
      <c r="R4764" s="14">
        <v>826.07</v>
      </c>
      <c r="S4764" s="2" t="s">
        <v>7391</v>
      </c>
      <c r="T4764" s="2">
        <v>1.43</v>
      </c>
      <c r="U4764" s="2">
        <v>65.8</v>
      </c>
      <c r="V4764" s="2">
        <v>64</v>
      </c>
      <c r="W4764" s="2" t="s">
        <v>7862</v>
      </c>
      <c r="X4764" s="2" t="s">
        <v>2897</v>
      </c>
      <c r="Y4764" s="2">
        <v>88825</v>
      </c>
      <c r="Z4764" s="19" t="str">
        <f>HYPERLINK("https://ssdweb.co/ssdweb/hd/Vision360.html?d=924430101&amp;zoomslide=1&amp;z=1924430101&amp;ISCONFIRM=0","VIDEO")</f>
        <v>VIDEO</v>
      </c>
      <c r="AA4764" s="19" t="str">
        <f>HYPERLINK("https://ssdweb.co/ssdweb/CERTH/6472311563.pdf","CERTI")</f>
        <v>CERTI</v>
      </c>
    </row>
    <row r="4765" spans="1:27" ht="15" x14ac:dyDescent="0.25">
      <c r="A4765" s="2">
        <v>4760</v>
      </c>
      <c r="B4765" s="39">
        <v>941310021</v>
      </c>
      <c r="C4765" s="28" t="str">
        <f>HYPERLINK("https://pld.live/RapDetail.aspx?STONELIST=941310021","DNA")</f>
        <v>DNA</v>
      </c>
      <c r="D4765" s="18" t="s">
        <v>4563</v>
      </c>
      <c r="E4765" s="18" t="s">
        <v>2186</v>
      </c>
      <c r="F4765" s="2" t="s">
        <v>7987</v>
      </c>
      <c r="G4765" s="2" t="s">
        <v>7322</v>
      </c>
      <c r="H4765" s="14">
        <v>3.22</v>
      </c>
      <c r="I4765" s="2" t="s">
        <v>4699</v>
      </c>
      <c r="J4765" s="2" t="s">
        <v>3942</v>
      </c>
      <c r="K4765" s="2" t="s">
        <v>1452</v>
      </c>
      <c r="L4765" s="2" t="s">
        <v>5221</v>
      </c>
      <c r="M4765" s="2" t="s">
        <v>5221</v>
      </c>
      <c r="N4765" s="2" t="s">
        <v>2317</v>
      </c>
      <c r="O4765" s="14">
        <v>27000</v>
      </c>
      <c r="P4765" s="14">
        <v>99.46</v>
      </c>
      <c r="Q4765" s="14">
        <v>145.80000000000001</v>
      </c>
      <c r="R4765" s="14">
        <v>469.48</v>
      </c>
      <c r="S4765" s="2" t="s">
        <v>3555</v>
      </c>
      <c r="T4765" s="2">
        <v>1.46</v>
      </c>
      <c r="U4765" s="2">
        <v>64.7</v>
      </c>
      <c r="V4765" s="2">
        <v>62</v>
      </c>
      <c r="W4765" s="2" t="s">
        <v>7862</v>
      </c>
      <c r="X4765" s="2" t="s">
        <v>2897</v>
      </c>
      <c r="Y4765" s="2">
        <v>86940</v>
      </c>
      <c r="Z4765" s="19" t="str">
        <f>HYPERLINK("https://ssdweb.co/ssdweb/hd/Vision360.html?d=941310021&amp;zoomslide=1&amp;z=1941310021&amp;ISCONFIRM=0","VIDEO")</f>
        <v>VIDEO</v>
      </c>
      <c r="AA4765" s="19" t="str">
        <f>HYPERLINK("https://ssdweb.co/ssdweb/CERTH/687573316.pdf","CERTI")</f>
        <v>CERTI</v>
      </c>
    </row>
    <row r="4766" spans="1:27" ht="15" x14ac:dyDescent="0.25">
      <c r="A4766" s="2">
        <v>4761</v>
      </c>
      <c r="B4766" s="39">
        <v>926010083</v>
      </c>
      <c r="C4766" s="28" t="str">
        <f>HYPERLINK("https://pld.live/RapDetail.aspx?STONELIST=926010083","DNA")</f>
        <v>DNA</v>
      </c>
      <c r="D4766" s="18" t="s">
        <v>4563</v>
      </c>
      <c r="E4766" s="18" t="s">
        <v>2186</v>
      </c>
      <c r="F4766" s="2" t="s">
        <v>7987</v>
      </c>
      <c r="G4766" s="2" t="s">
        <v>7322</v>
      </c>
      <c r="H4766" s="14">
        <v>3.22</v>
      </c>
      <c r="I4766" s="2" t="s">
        <v>1066</v>
      </c>
      <c r="J4766" s="2" t="s">
        <v>13</v>
      </c>
      <c r="K4766" s="2" t="s">
        <v>1452</v>
      </c>
      <c r="L4766" s="2" t="s">
        <v>5221</v>
      </c>
      <c r="M4766" s="2" t="s">
        <v>5221</v>
      </c>
      <c r="N4766" s="2" t="s">
        <v>924</v>
      </c>
      <c r="O4766" s="14">
        <v>5700</v>
      </c>
      <c r="P4766" s="14">
        <v>93.86</v>
      </c>
      <c r="Q4766" s="14">
        <v>349.98</v>
      </c>
      <c r="R4766" s="14">
        <v>1126.94</v>
      </c>
      <c r="S4766" s="2" t="s">
        <v>4396</v>
      </c>
      <c r="T4766" s="2">
        <v>1.47</v>
      </c>
      <c r="U4766" s="2">
        <v>67.400000000000006</v>
      </c>
      <c r="V4766" s="2">
        <v>65</v>
      </c>
      <c r="W4766" s="2" t="s">
        <v>7862</v>
      </c>
      <c r="X4766" s="2" t="s">
        <v>2897</v>
      </c>
      <c r="Y4766" s="2">
        <v>18354</v>
      </c>
      <c r="Z4766" s="19" t="str">
        <f>HYPERLINK("https://ssdweb.co/ssdweb/hd/Vision360.html?d=926010083&amp;zoomslide=1&amp;z=1926010083&amp;ISCONFIRM=0","VIDEO")</f>
        <v>VIDEO</v>
      </c>
      <c r="AA4766" s="19" t="str">
        <f>HYPERLINK("https://ssdweb.co/ssdweb/CERTH/639406136.pdf","CERTI")</f>
        <v>CERTI</v>
      </c>
    </row>
    <row r="4767" spans="1:27" ht="15" x14ac:dyDescent="0.25">
      <c r="A4767" s="2">
        <v>4762</v>
      </c>
      <c r="B4767" s="39">
        <v>924930055</v>
      </c>
      <c r="C4767" s="28" t="str">
        <f>HYPERLINK("https://pld.live/RapDetail.aspx?STONELIST=924930055","DNA")</f>
        <v>DNA</v>
      </c>
      <c r="D4767" s="18" t="s">
        <v>4563</v>
      </c>
      <c r="E4767" s="18" t="s">
        <v>2186</v>
      </c>
      <c r="F4767" s="2" t="s">
        <v>7987</v>
      </c>
      <c r="G4767" s="2" t="s">
        <v>7322</v>
      </c>
      <c r="H4767" s="14">
        <v>3.2</v>
      </c>
      <c r="I4767" s="2" t="s">
        <v>3722</v>
      </c>
      <c r="J4767" s="2" t="s">
        <v>5144</v>
      </c>
      <c r="K4767" s="2" t="s">
        <v>1452</v>
      </c>
      <c r="L4767" s="2" t="s">
        <v>5221</v>
      </c>
      <c r="M4767" s="2" t="s">
        <v>5221</v>
      </c>
      <c r="N4767" s="2" t="s">
        <v>2317</v>
      </c>
      <c r="O4767" s="14">
        <v>15500</v>
      </c>
      <c r="P4767" s="14">
        <v>99.32</v>
      </c>
      <c r="Q4767" s="14">
        <v>105.4</v>
      </c>
      <c r="R4767" s="14">
        <v>337.28</v>
      </c>
      <c r="S4767" s="2" t="s">
        <v>5795</v>
      </c>
      <c r="T4767" s="2">
        <v>1.4</v>
      </c>
      <c r="U4767" s="2">
        <v>67.7</v>
      </c>
      <c r="V4767" s="2">
        <v>65</v>
      </c>
      <c r="W4767" s="2" t="s">
        <v>7862</v>
      </c>
      <c r="X4767" s="2" t="s">
        <v>2897</v>
      </c>
      <c r="Y4767" s="2">
        <v>49600</v>
      </c>
      <c r="Z4767" s="19" t="str">
        <f>HYPERLINK("https://ssdweb.co/ssdweb/hd/Vision360.html?d=924930055&amp;zoomslide=1&amp;z=1924930055&amp;ISCONFIRM=0","VIDEO")</f>
        <v>VIDEO</v>
      </c>
      <c r="AA4767" s="19" t="str">
        <f>HYPERLINK("https://ssdweb.co/ssdweb/CERTH/602358446.pdf","CERTI")</f>
        <v>CERTI</v>
      </c>
    </row>
    <row r="4768" spans="1:27" ht="15" x14ac:dyDescent="0.25">
      <c r="A4768" s="2">
        <v>4763</v>
      </c>
      <c r="B4768" s="39">
        <v>922130044</v>
      </c>
      <c r="C4768" s="28" t="str">
        <f>HYPERLINK("https://pld.live/RapDetail.aspx?STONELIST=922130044","DNA")</f>
        <v>DNA</v>
      </c>
      <c r="D4768" s="18" t="s">
        <v>4563</v>
      </c>
      <c r="E4768" s="18" t="s">
        <v>2186</v>
      </c>
      <c r="F4768" s="2" t="s">
        <v>7987</v>
      </c>
      <c r="G4768" s="2" t="s">
        <v>7322</v>
      </c>
      <c r="H4768" s="14">
        <v>3.12</v>
      </c>
      <c r="I4768" s="2" t="s">
        <v>1505</v>
      </c>
      <c r="J4768" s="2" t="s">
        <v>3942</v>
      </c>
      <c r="K4768" s="2" t="s">
        <v>1452</v>
      </c>
      <c r="L4768" s="2" t="s">
        <v>5221</v>
      </c>
      <c r="M4768" s="2" t="s">
        <v>5221</v>
      </c>
      <c r="N4768" s="2" t="s">
        <v>2317</v>
      </c>
      <c r="O4768" s="14">
        <v>21000</v>
      </c>
      <c r="P4768" s="14">
        <v>99.44</v>
      </c>
      <c r="Q4768" s="14">
        <v>117.6</v>
      </c>
      <c r="R4768" s="14">
        <v>366.91</v>
      </c>
      <c r="S4768" s="2" t="s">
        <v>7597</v>
      </c>
      <c r="T4768" s="2">
        <v>1.41</v>
      </c>
      <c r="U4768" s="2">
        <v>67.5</v>
      </c>
      <c r="V4768" s="2">
        <v>67</v>
      </c>
      <c r="W4768" s="2" t="s">
        <v>8016</v>
      </c>
      <c r="X4768" s="2" t="s">
        <v>2897</v>
      </c>
      <c r="Y4768" s="2">
        <v>65520</v>
      </c>
      <c r="Z4768" s="19" t="str">
        <f>HYPERLINK("https://ssdweb.co/ssdweb/hd/Vision360.html?d=922130044&amp;zoomslide=1&amp;z=1922130044&amp;ISCONFIRM=0","VIDEO")</f>
        <v>VIDEO</v>
      </c>
      <c r="AA4768" s="19" t="str">
        <f>HYPERLINK("https://ssdweb.co/ssdweb/CERTH/508138453.pdf","CERTI")</f>
        <v>CERTI</v>
      </c>
    </row>
    <row r="4769" spans="1:27" ht="15" x14ac:dyDescent="0.25">
      <c r="A4769" s="2">
        <v>4764</v>
      </c>
      <c r="B4769" s="39">
        <v>926010107</v>
      </c>
      <c r="C4769" s="28" t="str">
        <f>HYPERLINK("https://pld.live/RapDetail.aspx?STONELIST=926010107","DNA")</f>
        <v>DNA</v>
      </c>
      <c r="D4769" s="18" t="s">
        <v>4563</v>
      </c>
      <c r="E4769" s="18" t="s">
        <v>2186</v>
      </c>
      <c r="F4769" s="2" t="s">
        <v>7987</v>
      </c>
      <c r="G4769" s="2" t="s">
        <v>7322</v>
      </c>
      <c r="H4769" s="14">
        <v>3.12</v>
      </c>
      <c r="I4769" s="2" t="s">
        <v>1066</v>
      </c>
      <c r="J4769" s="2" t="s">
        <v>13</v>
      </c>
      <c r="K4769" s="2" t="s">
        <v>1452</v>
      </c>
      <c r="L4769" s="2" t="s">
        <v>5221</v>
      </c>
      <c r="M4769" s="2" t="s">
        <v>5221</v>
      </c>
      <c r="N4769" s="2" t="s">
        <v>924</v>
      </c>
      <c r="O4769" s="14">
        <v>5700</v>
      </c>
      <c r="P4769" s="14">
        <v>93.68</v>
      </c>
      <c r="Q4769" s="14">
        <v>360.24</v>
      </c>
      <c r="R4769" s="14">
        <v>1123.95</v>
      </c>
      <c r="S4769" s="2" t="s">
        <v>5003</v>
      </c>
      <c r="T4769" s="2">
        <v>1.46</v>
      </c>
      <c r="U4769" s="2">
        <v>65</v>
      </c>
      <c r="V4769" s="2">
        <v>66</v>
      </c>
      <c r="W4769" s="2" t="s">
        <v>7862</v>
      </c>
      <c r="X4769" s="2" t="s">
        <v>2897</v>
      </c>
      <c r="Y4769" s="2">
        <v>17784</v>
      </c>
      <c r="Z4769" s="19" t="str">
        <f>HYPERLINK("https://ssdweb.co/ssdweb/hd/Vision360.html?d=926010107&amp;zoomslide=1&amp;z=1926010107&amp;ISCONFIRM=0","VIDEO")</f>
        <v>VIDEO</v>
      </c>
      <c r="AA4769" s="19" t="str">
        <f>HYPERLINK("https://ssdweb.co/ssdweb/CERTH/635427159.pdf","CERTI")</f>
        <v>CERTI</v>
      </c>
    </row>
    <row r="4770" spans="1:27" ht="15" x14ac:dyDescent="0.25">
      <c r="A4770" s="2">
        <v>4765</v>
      </c>
      <c r="B4770" s="39">
        <v>831020721</v>
      </c>
      <c r="C4770" s="28" t="str">
        <f>HYPERLINK("https://pld.live/RapDetail.aspx?STONELIST=831020721","DNA")</f>
        <v>DNA</v>
      </c>
      <c r="D4770" s="18" t="s">
        <v>4563</v>
      </c>
      <c r="E4770" s="18" t="s">
        <v>2186</v>
      </c>
      <c r="F4770" s="2" t="s">
        <v>5597</v>
      </c>
      <c r="G4770" s="2" t="s">
        <v>7322</v>
      </c>
      <c r="H4770" s="14">
        <v>3.1</v>
      </c>
      <c r="I4770" s="2" t="s">
        <v>4761</v>
      </c>
      <c r="J4770" s="2" t="s">
        <v>3942</v>
      </c>
      <c r="K4770" s="2" t="s">
        <v>1452</v>
      </c>
      <c r="L4770" s="2" t="s">
        <v>5221</v>
      </c>
      <c r="M4770" s="2" t="s">
        <v>5221</v>
      </c>
      <c r="N4770" s="2" t="s">
        <v>2317</v>
      </c>
      <c r="O4770" s="14">
        <v>29500</v>
      </c>
      <c r="P4770" s="14">
        <v>99.05</v>
      </c>
      <c r="Q4770" s="14">
        <v>280.25</v>
      </c>
      <c r="R4770" s="14">
        <v>868.78</v>
      </c>
      <c r="S4770" s="2" t="s">
        <v>487</v>
      </c>
      <c r="T4770" s="2">
        <v>1.43</v>
      </c>
      <c r="U4770" s="2">
        <v>65.2</v>
      </c>
      <c r="V4770" s="2">
        <v>66</v>
      </c>
      <c r="W4770" s="2" t="s">
        <v>7862</v>
      </c>
      <c r="X4770" s="2" t="s">
        <v>2897</v>
      </c>
      <c r="Y4770" s="2">
        <v>91450</v>
      </c>
      <c r="Z4770" s="19" t="str">
        <f>HYPERLINK("https://ssdweb.co/ssdweb/hd/Vision360.html?d=831020721&amp;zoomslide=1&amp;z=1831020721&amp;ISCONFIRM=0","VIDEO")</f>
        <v>VIDEO</v>
      </c>
      <c r="AA4770" s="19" t="str">
        <f>HYPERLINK("https://ssdweb.co/ssdweb/CERTH/2476329118.pdf","CERTI")</f>
        <v>CERTI</v>
      </c>
    </row>
    <row r="4771" spans="1:27" ht="15" x14ac:dyDescent="0.25">
      <c r="A4771" s="2">
        <v>4766</v>
      </c>
      <c r="B4771" s="39">
        <v>925060256</v>
      </c>
      <c r="C4771" s="28" t="str">
        <f>HYPERLINK("https://pld.live/RapDetail.aspx?STONELIST=925060256","DNA")</f>
        <v>DNA</v>
      </c>
      <c r="D4771" s="18" t="s">
        <v>4563</v>
      </c>
      <c r="E4771" s="18" t="s">
        <v>2186</v>
      </c>
      <c r="F4771" s="2" t="s">
        <v>7987</v>
      </c>
      <c r="G4771" s="2" t="s">
        <v>7322</v>
      </c>
      <c r="H4771" s="14">
        <v>3.1</v>
      </c>
      <c r="I4771" s="2" t="s">
        <v>1505</v>
      </c>
      <c r="J4771" s="2" t="s">
        <v>5144</v>
      </c>
      <c r="K4771" s="2" t="s">
        <v>1452</v>
      </c>
      <c r="L4771" s="2" t="s">
        <v>5221</v>
      </c>
      <c r="M4771" s="2" t="s">
        <v>5221</v>
      </c>
      <c r="N4771" s="2" t="s">
        <v>2317</v>
      </c>
      <c r="O4771" s="14">
        <v>18000</v>
      </c>
      <c r="P4771" s="14">
        <v>99.39</v>
      </c>
      <c r="Q4771" s="14">
        <v>109.8</v>
      </c>
      <c r="R4771" s="14">
        <v>340.38</v>
      </c>
      <c r="S4771" s="2" t="s">
        <v>6402</v>
      </c>
      <c r="T4771" s="2">
        <v>1.45</v>
      </c>
      <c r="U4771" s="2">
        <v>66.5</v>
      </c>
      <c r="V4771" s="2">
        <v>65</v>
      </c>
      <c r="W4771" s="2" t="s">
        <v>7862</v>
      </c>
      <c r="X4771" s="2" t="s">
        <v>2897</v>
      </c>
      <c r="Y4771" s="2">
        <v>55800</v>
      </c>
      <c r="Z4771" s="19" t="str">
        <f>HYPERLINK("https://ssdweb.co/ssdweb/hd/Vision360.html?d=925060256&amp;zoomslide=1&amp;z=1925060256&amp;ISCONFIRM=0","VIDEO")</f>
        <v>VIDEO</v>
      </c>
      <c r="AA4771" s="19" t="str">
        <f>HYPERLINK("https://ssdweb.co/ssdweb/CERTH/607398242.pdf","CERTI")</f>
        <v>CERTI</v>
      </c>
    </row>
    <row r="4772" spans="1:27" ht="15" x14ac:dyDescent="0.25">
      <c r="A4772" s="2">
        <v>4767</v>
      </c>
      <c r="B4772" s="39">
        <v>924250390</v>
      </c>
      <c r="C4772" s="28" t="str">
        <f>HYPERLINK("https://pld.live/RapDetail.aspx?STONELIST=924250390","DNA")</f>
        <v>DNA</v>
      </c>
      <c r="D4772" s="18" t="s">
        <v>4563</v>
      </c>
      <c r="E4772" s="18" t="s">
        <v>2186</v>
      </c>
      <c r="F4772" s="2" t="s">
        <v>5597</v>
      </c>
      <c r="G4772" s="2" t="s">
        <v>7322</v>
      </c>
      <c r="H4772" s="14">
        <v>3.08</v>
      </c>
      <c r="I4772" s="2" t="s">
        <v>3722</v>
      </c>
      <c r="J4772" s="2" t="s">
        <v>13</v>
      </c>
      <c r="K4772" s="2" t="s">
        <v>1452</v>
      </c>
      <c r="L4772" s="2" t="s">
        <v>5221</v>
      </c>
      <c r="M4772" s="2" t="s">
        <v>5221</v>
      </c>
      <c r="N4772" s="2" t="s">
        <v>2317</v>
      </c>
      <c r="O4772" s="14">
        <v>16500</v>
      </c>
      <c r="P4772" s="14">
        <v>98.82</v>
      </c>
      <c r="Q4772" s="14">
        <v>194.7</v>
      </c>
      <c r="R4772" s="14">
        <v>599.67999999999995</v>
      </c>
      <c r="S4772" s="2" t="s">
        <v>2643</v>
      </c>
      <c r="T4772" s="2">
        <v>1.35</v>
      </c>
      <c r="U4772" s="2">
        <v>68.3</v>
      </c>
      <c r="V4772" s="2">
        <v>67</v>
      </c>
      <c r="W4772" s="2" t="s">
        <v>7862</v>
      </c>
      <c r="X4772" s="2" t="s">
        <v>2897</v>
      </c>
      <c r="Y4772" s="2">
        <v>50820</v>
      </c>
      <c r="Z4772" s="19" t="str">
        <f>HYPERLINK("https://ssdweb.co/ssdweb/hd/Vision360.html?d=924250390&amp;zoomslide=1&amp;z=1924250390&amp;ISCONFIRM=0","VIDEO")</f>
        <v>VIDEO</v>
      </c>
      <c r="AA4772" s="19" t="str">
        <f>HYPERLINK("https://ssdweb.co/ssdweb/CERTH/1465584541.pdf","CERTI")</f>
        <v>CERTI</v>
      </c>
    </row>
    <row r="4773" spans="1:27" ht="15" x14ac:dyDescent="0.25">
      <c r="A4773" s="2">
        <v>4768</v>
      </c>
      <c r="B4773" s="39">
        <v>831020100</v>
      </c>
      <c r="C4773" s="28" t="str">
        <f>HYPERLINK("https://pld.live/RapDetail.aspx?STONELIST=831020100","DNA")</f>
        <v>DNA</v>
      </c>
      <c r="D4773" s="18" t="s">
        <v>4563</v>
      </c>
      <c r="E4773" s="18" t="s">
        <v>2186</v>
      </c>
      <c r="F4773" s="2" t="s">
        <v>5597</v>
      </c>
      <c r="G4773" s="2" t="s">
        <v>7322</v>
      </c>
      <c r="H4773" s="14">
        <v>3.08</v>
      </c>
      <c r="I4773" s="2" t="s">
        <v>3722</v>
      </c>
      <c r="J4773" s="2" t="s">
        <v>13</v>
      </c>
      <c r="K4773" s="2" t="s">
        <v>1452</v>
      </c>
      <c r="L4773" s="2" t="s">
        <v>5221</v>
      </c>
      <c r="M4773" s="2" t="s">
        <v>5221</v>
      </c>
      <c r="N4773" s="2" t="s">
        <v>2317</v>
      </c>
      <c r="O4773" s="14">
        <v>16500</v>
      </c>
      <c r="P4773" s="14">
        <v>98.82</v>
      </c>
      <c r="Q4773" s="14">
        <v>194.7</v>
      </c>
      <c r="R4773" s="14">
        <v>599.67999999999995</v>
      </c>
      <c r="S4773" s="2" t="s">
        <v>4722</v>
      </c>
      <c r="T4773" s="2">
        <v>1.39</v>
      </c>
      <c r="U4773" s="2">
        <v>68.099999999999994</v>
      </c>
      <c r="V4773" s="2">
        <v>66</v>
      </c>
      <c r="W4773" s="2" t="s">
        <v>7862</v>
      </c>
      <c r="X4773" s="2" t="s">
        <v>2897</v>
      </c>
      <c r="Y4773" s="2">
        <v>50820</v>
      </c>
      <c r="Z4773" s="19" t="str">
        <f>HYPERLINK("https://ssdweb.co/ssdweb/hd/Vision360.html?d=831020100&amp;zoomslide=1&amp;z=1831020100&amp;ISCONFIRM=0","VIDEO")</f>
        <v>VIDEO</v>
      </c>
      <c r="AA4773" s="19" t="str">
        <f>HYPERLINK("https://ssdweb.co/ssdweb/CERTH/6405408224.pdf","CERTI")</f>
        <v>CERTI</v>
      </c>
    </row>
    <row r="4774" spans="1:27" ht="15" x14ac:dyDescent="0.25">
      <c r="A4774" s="2">
        <v>4769</v>
      </c>
      <c r="B4774" s="39">
        <v>925630395</v>
      </c>
      <c r="C4774" s="28" t="str">
        <f>HYPERLINK("https://pld.live/RapDetail.aspx?STONELIST=925630395","DNA")</f>
        <v>DNA</v>
      </c>
      <c r="D4774" s="18" t="s">
        <v>4563</v>
      </c>
      <c r="E4774" s="18" t="s">
        <v>2186</v>
      </c>
      <c r="F4774" s="2" t="s">
        <v>7987</v>
      </c>
      <c r="G4774" s="2" t="s">
        <v>7322</v>
      </c>
      <c r="H4774" s="14">
        <v>3.05</v>
      </c>
      <c r="I4774" s="2" t="s">
        <v>1505</v>
      </c>
      <c r="J4774" s="2" t="s">
        <v>13</v>
      </c>
      <c r="K4774" s="2" t="s">
        <v>1452</v>
      </c>
      <c r="L4774" s="2" t="s">
        <v>5221</v>
      </c>
      <c r="M4774" s="2" t="s">
        <v>5221</v>
      </c>
      <c r="N4774" s="2" t="s">
        <v>2317</v>
      </c>
      <c r="O4774" s="14">
        <v>19500</v>
      </c>
      <c r="P4774" s="14">
        <v>99.42</v>
      </c>
      <c r="Q4774" s="14">
        <v>113.1</v>
      </c>
      <c r="R4774" s="14">
        <v>344.96</v>
      </c>
      <c r="S4774" s="2" t="s">
        <v>6122</v>
      </c>
      <c r="T4774" s="2">
        <v>1.47</v>
      </c>
      <c r="U4774" s="2">
        <v>65.8</v>
      </c>
      <c r="V4774" s="2">
        <v>66</v>
      </c>
      <c r="W4774" s="2" t="s">
        <v>8016</v>
      </c>
      <c r="X4774" s="2" t="s">
        <v>2897</v>
      </c>
      <c r="Y4774" s="2">
        <v>59475</v>
      </c>
      <c r="Z4774" s="19" t="str">
        <f>HYPERLINK("https://ssdweb.co/ssdweb/hd/Vision360.html?d=925630395&amp;zoomslide=1&amp;z=1925630395&amp;ISCONFIRM=0","VIDEO")</f>
        <v>VIDEO</v>
      </c>
      <c r="AA4774" s="19" t="str">
        <f>HYPERLINK("https://ssdweb.co/ssdweb/CERTH/623446224.pdf","CERTI")</f>
        <v>CERTI</v>
      </c>
    </row>
    <row r="4775" spans="1:27" ht="15" x14ac:dyDescent="0.25">
      <c r="A4775" s="2">
        <v>4770</v>
      </c>
      <c r="B4775" s="39">
        <v>924260883</v>
      </c>
      <c r="C4775" s="28" t="str">
        <f>HYPERLINK("https://pld.live/RapDetail.aspx?STONELIST=924260883","DNA")</f>
        <v>DNA</v>
      </c>
      <c r="D4775" s="18" t="s">
        <v>4563</v>
      </c>
      <c r="E4775" s="18" t="s">
        <v>2186</v>
      </c>
      <c r="F4775" s="2" t="s">
        <v>5597</v>
      </c>
      <c r="G4775" s="2" t="s">
        <v>7322</v>
      </c>
      <c r="H4775" s="14">
        <v>3.04</v>
      </c>
      <c r="I4775" s="2" t="s">
        <v>6587</v>
      </c>
      <c r="J4775" s="2" t="s">
        <v>5144</v>
      </c>
      <c r="K4775" s="2" t="s">
        <v>1452</v>
      </c>
      <c r="L4775" s="2" t="s">
        <v>5221</v>
      </c>
      <c r="M4775" s="2" t="s">
        <v>5221</v>
      </c>
      <c r="N4775" s="2" t="s">
        <v>2317</v>
      </c>
      <c r="O4775" s="14">
        <v>20500</v>
      </c>
      <c r="P4775" s="14">
        <v>98.93</v>
      </c>
      <c r="Q4775" s="14">
        <v>219.35</v>
      </c>
      <c r="R4775" s="14">
        <v>666.82</v>
      </c>
      <c r="S4775" s="2" t="s">
        <v>4575</v>
      </c>
      <c r="T4775" s="2">
        <v>1.38</v>
      </c>
      <c r="U4775" s="2">
        <v>67.8</v>
      </c>
      <c r="V4775" s="2">
        <v>64</v>
      </c>
      <c r="W4775" s="2" t="s">
        <v>7862</v>
      </c>
      <c r="X4775" s="2" t="s">
        <v>2897</v>
      </c>
      <c r="Y4775" s="2">
        <v>62320</v>
      </c>
      <c r="Z4775" s="19" t="str">
        <f>HYPERLINK("https://ssdweb.co/ssdweb/hd/Vision360.html?d=924260883&amp;zoomslide=1&amp;z=1924260883&amp;ISCONFIRM=0","VIDEO")</f>
        <v>VIDEO</v>
      </c>
      <c r="AA4775" s="19" t="str">
        <f>HYPERLINK("https://ssdweb.co/ssdweb/CERTH/6465917857.pdf","CERTI")</f>
        <v>CERTI</v>
      </c>
    </row>
    <row r="4776" spans="1:27" ht="15" x14ac:dyDescent="0.25">
      <c r="A4776" s="2">
        <v>4771</v>
      </c>
      <c r="B4776" s="39">
        <v>925880071</v>
      </c>
      <c r="C4776" s="28" t="str">
        <f>HYPERLINK("https://pld.live/RapDetail.aspx?STONELIST=925880071","DNA")</f>
        <v>DNA</v>
      </c>
      <c r="D4776" s="18" t="s">
        <v>4563</v>
      </c>
      <c r="E4776" s="18" t="s">
        <v>2186</v>
      </c>
      <c r="F4776" s="2" t="s">
        <v>5597</v>
      </c>
      <c r="G4776" s="2" t="s">
        <v>7322</v>
      </c>
      <c r="H4776" s="14">
        <v>3.03</v>
      </c>
      <c r="I4776" s="2" t="s">
        <v>4761</v>
      </c>
      <c r="J4776" s="2" t="s">
        <v>13</v>
      </c>
      <c r="K4776" s="2" t="s">
        <v>1452</v>
      </c>
      <c r="L4776" s="2" t="s">
        <v>5221</v>
      </c>
      <c r="M4776" s="2" t="s">
        <v>5221</v>
      </c>
      <c r="N4776" s="2" t="s">
        <v>2317</v>
      </c>
      <c r="O4776" s="14">
        <v>27500</v>
      </c>
      <c r="P4776" s="14">
        <v>99.07</v>
      </c>
      <c r="Q4776" s="14">
        <v>255.75</v>
      </c>
      <c r="R4776" s="14">
        <v>774.92</v>
      </c>
      <c r="S4776" s="2" t="s">
        <v>54</v>
      </c>
      <c r="T4776" s="2">
        <v>1.4</v>
      </c>
      <c r="U4776" s="2">
        <v>66.5</v>
      </c>
      <c r="V4776" s="2">
        <v>66</v>
      </c>
      <c r="W4776" s="2" t="s">
        <v>7862</v>
      </c>
      <c r="X4776" s="2" t="s">
        <v>2897</v>
      </c>
      <c r="Y4776" s="2">
        <v>83325</v>
      </c>
      <c r="Z4776" s="19" t="str">
        <f>HYPERLINK("https://ssdweb.co/ssdweb/hd/Vision360.html?d=925880071&amp;zoomslide=1&amp;z=1925880071&amp;ISCONFIRM=0","VIDEO")</f>
        <v>VIDEO</v>
      </c>
      <c r="AA4776" s="19" t="str">
        <f>HYPERLINK("https://ssdweb.co/ssdweb/CERTH/5493050497.pdf","CERTI")</f>
        <v>CERTI</v>
      </c>
    </row>
    <row r="4777" spans="1:27" ht="15" x14ac:dyDescent="0.25">
      <c r="A4777" s="2">
        <v>4772</v>
      </c>
      <c r="B4777" s="39">
        <v>821115764</v>
      </c>
      <c r="C4777" s="28" t="str">
        <f>HYPERLINK("https://pld.live/RapDetail.aspx?STONELIST=821115764","DNA")</f>
        <v>DNA</v>
      </c>
      <c r="D4777" s="18" t="s">
        <v>4563</v>
      </c>
      <c r="E4777" s="18" t="s">
        <v>2186</v>
      </c>
      <c r="F4777" s="2" t="s">
        <v>7987</v>
      </c>
      <c r="G4777" s="2" t="s">
        <v>7322</v>
      </c>
      <c r="H4777" s="14">
        <v>3.03</v>
      </c>
      <c r="I4777" s="2" t="s">
        <v>6587</v>
      </c>
      <c r="J4777" s="2" t="s">
        <v>13</v>
      </c>
      <c r="K4777" s="2" t="s">
        <v>1452</v>
      </c>
      <c r="L4777" s="2" t="s">
        <v>5221</v>
      </c>
      <c r="M4777" s="2" t="s">
        <v>5221</v>
      </c>
      <c r="N4777" s="2" t="s">
        <v>1452</v>
      </c>
      <c r="O4777" s="14">
        <v>22500</v>
      </c>
      <c r="P4777" s="14">
        <v>99.45</v>
      </c>
      <c r="Q4777" s="14">
        <v>123.75</v>
      </c>
      <c r="R4777" s="14">
        <v>374.96</v>
      </c>
      <c r="S4777" s="2" t="s">
        <v>572</v>
      </c>
      <c r="T4777" s="2">
        <v>1.44</v>
      </c>
      <c r="U4777" s="2">
        <v>66.3</v>
      </c>
      <c r="V4777" s="2">
        <v>64</v>
      </c>
      <c r="W4777" s="2" t="s">
        <v>7862</v>
      </c>
      <c r="X4777" s="2" t="s">
        <v>2897</v>
      </c>
      <c r="Y4777" s="2">
        <v>68175</v>
      </c>
      <c r="Z4777" s="19" t="str">
        <f>HYPERLINK("https://ssdweb.co/ssdweb/hd/Vision360.html?d=821115764&amp;zoomslide=1&amp;z=1821115764&amp;ISCONFIRM=0","VIDEO")</f>
        <v>VIDEO</v>
      </c>
      <c r="AA4777" s="19" t="str">
        <f>HYPERLINK("https://ssdweb.co/ssdweb/CERTH/640490037.pdf","CERTI")</f>
        <v>CERTI</v>
      </c>
    </row>
    <row r="4778" spans="1:27" ht="15" x14ac:dyDescent="0.25">
      <c r="A4778" s="2">
        <v>4773</v>
      </c>
      <c r="B4778" s="39">
        <v>922180018</v>
      </c>
      <c r="C4778" s="28" t="str">
        <f>HYPERLINK("https://pld.live/RapDetail.aspx?STONELIST=922180018","DNA")</f>
        <v>DNA</v>
      </c>
      <c r="D4778" s="18" t="s">
        <v>4563</v>
      </c>
      <c r="E4778" s="18" t="s">
        <v>2186</v>
      </c>
      <c r="F4778" s="2" t="s">
        <v>5597</v>
      </c>
      <c r="G4778" s="2" t="s">
        <v>7322</v>
      </c>
      <c r="H4778" s="14">
        <v>3.03</v>
      </c>
      <c r="I4778" s="2" t="s">
        <v>3722</v>
      </c>
      <c r="J4778" s="2" t="s">
        <v>13</v>
      </c>
      <c r="K4778" s="2" t="s">
        <v>1452</v>
      </c>
      <c r="L4778" s="2" t="s">
        <v>5221</v>
      </c>
      <c r="M4778" s="2" t="s">
        <v>5221</v>
      </c>
      <c r="N4778" s="2" t="s">
        <v>2317</v>
      </c>
      <c r="O4778" s="14">
        <v>16500</v>
      </c>
      <c r="P4778" s="14">
        <v>98.82</v>
      </c>
      <c r="Q4778" s="14">
        <v>194.7</v>
      </c>
      <c r="R4778" s="14">
        <v>589.94000000000005</v>
      </c>
      <c r="S4778" s="2" t="s">
        <v>5062</v>
      </c>
      <c r="T4778" s="2">
        <v>1.36</v>
      </c>
      <c r="U4778" s="2">
        <v>68.8</v>
      </c>
      <c r="V4778" s="2">
        <v>69</v>
      </c>
      <c r="W4778" s="2" t="s">
        <v>7862</v>
      </c>
      <c r="X4778" s="2" t="s">
        <v>2897</v>
      </c>
      <c r="Y4778" s="2">
        <v>49995</v>
      </c>
      <c r="Z4778" s="19" t="str">
        <f>HYPERLINK("https://ssdweb.co/ssdweb/hd/Vision360.html?d=922180018&amp;zoomslide=1&amp;z=1922180018&amp;ISCONFIRM=0","VIDEO")</f>
        <v>VIDEO</v>
      </c>
      <c r="AA4778" s="19" t="str">
        <f>HYPERLINK("https://ssdweb.co/ssdweb/CERTH/6422191692.pdf","CERTI")</f>
        <v>CERTI</v>
      </c>
    </row>
    <row r="4779" spans="1:27" ht="15" x14ac:dyDescent="0.25">
      <c r="A4779" s="2">
        <v>4774</v>
      </c>
      <c r="B4779" s="39">
        <v>941120108</v>
      </c>
      <c r="C4779" s="28" t="str">
        <f>HYPERLINK("https://pld.live/RapDetail.aspx?STONELIST=941120108","DNA")</f>
        <v>DNA</v>
      </c>
      <c r="D4779" s="18" t="s">
        <v>4563</v>
      </c>
      <c r="E4779" s="18" t="s">
        <v>2186</v>
      </c>
      <c r="F4779" s="2" t="s">
        <v>7987</v>
      </c>
      <c r="G4779" s="2" t="s">
        <v>7322</v>
      </c>
      <c r="H4779" s="14">
        <v>3.02</v>
      </c>
      <c r="I4779" s="2" t="s">
        <v>4761</v>
      </c>
      <c r="J4779" s="2" t="s">
        <v>13</v>
      </c>
      <c r="K4779" s="2" t="s">
        <v>1452</v>
      </c>
      <c r="L4779" s="2" t="s">
        <v>5221</v>
      </c>
      <c r="M4779" s="2" t="s">
        <v>5221</v>
      </c>
      <c r="N4779" s="2" t="s">
        <v>2317</v>
      </c>
      <c r="O4779" s="14">
        <v>27500</v>
      </c>
      <c r="P4779" s="14">
        <v>99.51</v>
      </c>
      <c r="Q4779" s="14">
        <v>134.75</v>
      </c>
      <c r="R4779" s="14">
        <v>406.95</v>
      </c>
      <c r="S4779" s="2" t="s">
        <v>5651</v>
      </c>
      <c r="T4779" s="2">
        <v>1.41</v>
      </c>
      <c r="U4779" s="2">
        <v>66.099999999999994</v>
      </c>
      <c r="V4779" s="2">
        <v>65</v>
      </c>
      <c r="W4779" s="2" t="s">
        <v>7862</v>
      </c>
      <c r="X4779" s="2" t="s">
        <v>2897</v>
      </c>
      <c r="Y4779" s="2">
        <v>83050</v>
      </c>
      <c r="Z4779" s="19" t="str">
        <f>HYPERLINK("https://ssdweb.co/ssdweb/hd/Vision360.html?d=941120108&amp;zoomslide=1&amp;z=1941120108&amp;ISCONFIRM=0","VIDEO")</f>
        <v>VIDEO</v>
      </c>
      <c r="AA4779" s="19" t="str">
        <f>HYPERLINK("https://ssdweb.co/ssdweb/CERTH/671477268.pdf","CERTI")</f>
        <v>CERTI</v>
      </c>
    </row>
    <row r="4780" spans="1:27" ht="15" x14ac:dyDescent="0.25">
      <c r="A4780" s="2">
        <v>4775</v>
      </c>
      <c r="B4780" s="39">
        <v>926450297</v>
      </c>
      <c r="C4780" s="28" t="str">
        <f>HYPERLINK("https://pld.live/RapDetail.aspx?STONELIST=926450297","DNA")</f>
        <v>DNA</v>
      </c>
      <c r="D4780" s="18" t="s">
        <v>4563</v>
      </c>
      <c r="E4780" s="18" t="s">
        <v>2186</v>
      </c>
      <c r="F4780" s="2" t="s">
        <v>7987</v>
      </c>
      <c r="G4780" s="2" t="s">
        <v>7322</v>
      </c>
      <c r="H4780" s="14">
        <v>3.02</v>
      </c>
      <c r="I4780" s="2" t="s">
        <v>6587</v>
      </c>
      <c r="J4780" s="2" t="s">
        <v>5144</v>
      </c>
      <c r="K4780" s="2" t="s">
        <v>1452</v>
      </c>
      <c r="L4780" s="2" t="s">
        <v>5221</v>
      </c>
      <c r="M4780" s="2" t="s">
        <v>5221</v>
      </c>
      <c r="N4780" s="2" t="s">
        <v>2317</v>
      </c>
      <c r="O4780" s="14">
        <v>20500</v>
      </c>
      <c r="P4780" s="14">
        <v>99.42</v>
      </c>
      <c r="Q4780" s="14">
        <v>118.9</v>
      </c>
      <c r="R4780" s="14">
        <v>359.08</v>
      </c>
      <c r="S4780" s="2" t="s">
        <v>1703</v>
      </c>
      <c r="T4780" s="2">
        <v>1.41</v>
      </c>
      <c r="U4780" s="2">
        <v>67.400000000000006</v>
      </c>
      <c r="V4780" s="2">
        <v>66</v>
      </c>
      <c r="W4780" s="2" t="s">
        <v>7862</v>
      </c>
      <c r="X4780" s="2" t="s">
        <v>2897</v>
      </c>
      <c r="Y4780" s="2">
        <v>61910</v>
      </c>
      <c r="Z4780" s="19" t="str">
        <f>HYPERLINK("https://ssdweb.co/ssdweb/hd/Vision360.html?d=926450297&amp;zoomslide=1&amp;z=1926450297&amp;ISCONFIRM=0","VIDEO")</f>
        <v>VIDEO</v>
      </c>
      <c r="AA4780" s="19" t="str">
        <f>HYPERLINK("https://ssdweb.co/ssdweb/CERTH/644472763.pdf","CERTI")</f>
        <v>CERTI</v>
      </c>
    </row>
    <row r="4781" spans="1:27" ht="15" x14ac:dyDescent="0.25">
      <c r="A4781" s="2">
        <v>4776</v>
      </c>
      <c r="B4781" s="39">
        <v>925700060</v>
      </c>
      <c r="C4781" s="28" t="str">
        <f>HYPERLINK("https://pld.live/RapDetail.aspx?STONELIST=925700060","DNA")</f>
        <v>DNA</v>
      </c>
      <c r="D4781" s="18" t="s">
        <v>4563</v>
      </c>
      <c r="E4781" s="18" t="s">
        <v>2186</v>
      </c>
      <c r="F4781" s="2" t="s">
        <v>7987</v>
      </c>
      <c r="G4781" s="2" t="s">
        <v>7322</v>
      </c>
      <c r="H4781" s="14">
        <v>3.02</v>
      </c>
      <c r="I4781" s="2" t="s">
        <v>1066</v>
      </c>
      <c r="J4781" s="2" t="s">
        <v>13</v>
      </c>
      <c r="K4781" s="2" t="s">
        <v>1452</v>
      </c>
      <c r="L4781" s="2" t="s">
        <v>5221</v>
      </c>
      <c r="M4781" s="2" t="s">
        <v>5221</v>
      </c>
      <c r="N4781" s="2" t="s">
        <v>924</v>
      </c>
      <c r="O4781" s="14">
        <v>5700</v>
      </c>
      <c r="P4781" s="14">
        <v>93.68</v>
      </c>
      <c r="Q4781" s="14">
        <v>360.24</v>
      </c>
      <c r="R4781" s="14">
        <v>1087.92</v>
      </c>
      <c r="S4781" s="2" t="s">
        <v>5636</v>
      </c>
      <c r="T4781" s="2">
        <v>1.43</v>
      </c>
      <c r="U4781" s="2">
        <v>65.900000000000006</v>
      </c>
      <c r="V4781" s="2">
        <v>66</v>
      </c>
      <c r="W4781" s="2" t="s">
        <v>7862</v>
      </c>
      <c r="X4781" s="2" t="s">
        <v>2897</v>
      </c>
      <c r="Y4781" s="2">
        <v>17214</v>
      </c>
      <c r="Z4781" s="19" t="str">
        <f>HYPERLINK("https://ssdweb.co/ssdweb/hd/Vision360.html?d=925700060&amp;zoomslide=1&amp;z=1925700060&amp;ISCONFIRM=0","VIDEO")</f>
        <v>VIDEO</v>
      </c>
      <c r="AA4781" s="19" t="str">
        <f>HYPERLINK("https://ssdweb.co/ssdweb/CERTH/629479345.pdf","CERTI")</f>
        <v>CERTI</v>
      </c>
    </row>
    <row r="4782" spans="1:27" ht="15" x14ac:dyDescent="0.25">
      <c r="A4782" s="2">
        <v>4777</v>
      </c>
      <c r="B4782" s="39">
        <v>926910592</v>
      </c>
      <c r="C4782" s="28" t="str">
        <f>HYPERLINK("https://pld.live/RapDetail.aspx?STONELIST=926910592","DNA")</f>
        <v>DNA</v>
      </c>
      <c r="D4782" s="18" t="s">
        <v>4563</v>
      </c>
      <c r="E4782" s="18" t="s">
        <v>2186</v>
      </c>
      <c r="F4782" s="2" t="s">
        <v>7987</v>
      </c>
      <c r="G4782" s="2" t="s">
        <v>7322</v>
      </c>
      <c r="H4782" s="14">
        <v>3.01</v>
      </c>
      <c r="I4782" s="2" t="s">
        <v>6587</v>
      </c>
      <c r="J4782" s="2" t="s">
        <v>3942</v>
      </c>
      <c r="K4782" s="2" t="s">
        <v>1452</v>
      </c>
      <c r="L4782" s="2" t="s">
        <v>5221</v>
      </c>
      <c r="M4782" s="2" t="s">
        <v>5221</v>
      </c>
      <c r="N4782" s="2" t="s">
        <v>2317</v>
      </c>
      <c r="O4782" s="14">
        <v>24500</v>
      </c>
      <c r="P4782" s="14">
        <v>99.44</v>
      </c>
      <c r="Q4782" s="14">
        <v>137.19999999999999</v>
      </c>
      <c r="R4782" s="14">
        <v>412.97</v>
      </c>
      <c r="S4782" s="2" t="s">
        <v>3816</v>
      </c>
      <c r="T4782" s="2">
        <v>1.47</v>
      </c>
      <c r="U4782" s="2">
        <v>68.5</v>
      </c>
      <c r="V4782" s="2">
        <v>66</v>
      </c>
      <c r="W4782" s="2" t="s">
        <v>7862</v>
      </c>
      <c r="X4782" s="2" t="s">
        <v>2897</v>
      </c>
      <c r="Y4782" s="2">
        <v>73745</v>
      </c>
      <c r="Z4782" s="19" t="str">
        <f>HYPERLINK("https://ssdweb.co/ssdweb/hd/Vision360.html?d=926910592&amp;zoomslide=1&amp;z=1926910592&amp;ISCONFIRM=0","VIDEO")</f>
        <v>VIDEO</v>
      </c>
      <c r="AA4782" s="19" t="str">
        <f>HYPERLINK("https://ssdweb.co/ssdweb/CERTH/659437033.pdf","CERTI")</f>
        <v>CERTI</v>
      </c>
    </row>
    <row r="4783" spans="1:27" ht="15" x14ac:dyDescent="0.25">
      <c r="A4783" s="2">
        <v>4778</v>
      </c>
      <c r="B4783" s="39">
        <v>924250635</v>
      </c>
      <c r="C4783" s="28" t="str">
        <f>HYPERLINK("https://pld.live/RapDetail.aspx?STONELIST=924250635","DNA")</f>
        <v>DNA</v>
      </c>
      <c r="D4783" s="18" t="s">
        <v>4563</v>
      </c>
      <c r="E4783" s="18" t="s">
        <v>2186</v>
      </c>
      <c r="F4783" s="2" t="s">
        <v>5597</v>
      </c>
      <c r="G4783" s="2" t="s">
        <v>7322</v>
      </c>
      <c r="H4783" s="14">
        <v>3.01</v>
      </c>
      <c r="I4783" s="2" t="s">
        <v>6587</v>
      </c>
      <c r="J4783" s="2" t="s">
        <v>13</v>
      </c>
      <c r="K4783" s="2" t="s">
        <v>1452</v>
      </c>
      <c r="L4783" s="2" t="s">
        <v>5221</v>
      </c>
      <c r="M4783" s="2" t="s">
        <v>5221</v>
      </c>
      <c r="N4783" s="2" t="s">
        <v>2317</v>
      </c>
      <c r="O4783" s="14">
        <v>22500</v>
      </c>
      <c r="P4783" s="14">
        <v>99</v>
      </c>
      <c r="Q4783" s="14">
        <v>225</v>
      </c>
      <c r="R4783" s="14">
        <v>677.25</v>
      </c>
      <c r="S4783" s="2" t="s">
        <v>2849</v>
      </c>
      <c r="T4783" s="2">
        <v>1.36</v>
      </c>
      <c r="U4783" s="2">
        <v>68.5</v>
      </c>
      <c r="V4783" s="2">
        <v>66</v>
      </c>
      <c r="W4783" s="2" t="s">
        <v>7862</v>
      </c>
      <c r="X4783" s="2" t="s">
        <v>2897</v>
      </c>
      <c r="Y4783" s="2">
        <v>67725</v>
      </c>
      <c r="Z4783" s="19" t="str">
        <f>HYPERLINK("https://ssdweb.co/ssdweb/hd/Vision360.html?d=924250635&amp;zoomslide=1&amp;z=1924250635&amp;ISCONFIRM=0","VIDEO")</f>
        <v>VIDEO</v>
      </c>
      <c r="AA4783" s="19" t="str">
        <f>HYPERLINK("https://ssdweb.co/ssdweb/CERTH/2468637352.pdf","CERTI")</f>
        <v>CERTI</v>
      </c>
    </row>
    <row r="4784" spans="1:27" ht="15" x14ac:dyDescent="0.25">
      <c r="A4784" s="2">
        <v>4779</v>
      </c>
      <c r="B4784" s="39">
        <v>821115765</v>
      </c>
      <c r="C4784" s="28" t="str">
        <f>HYPERLINK("https://pld.live/RapDetail.aspx?STONELIST=821115765","DNA")</f>
        <v>DNA</v>
      </c>
      <c r="D4784" s="18" t="s">
        <v>4563</v>
      </c>
      <c r="E4784" s="18" t="s">
        <v>2186</v>
      </c>
      <c r="F4784" s="2" t="s">
        <v>7987</v>
      </c>
      <c r="G4784" s="2" t="s">
        <v>7322</v>
      </c>
      <c r="H4784" s="14">
        <v>3.01</v>
      </c>
      <c r="I4784" s="2" t="s">
        <v>6587</v>
      </c>
      <c r="J4784" s="2" t="s">
        <v>13</v>
      </c>
      <c r="K4784" s="2" t="s">
        <v>1452</v>
      </c>
      <c r="L4784" s="2" t="s">
        <v>5221</v>
      </c>
      <c r="M4784" s="2" t="s">
        <v>5221</v>
      </c>
      <c r="N4784" s="2" t="s">
        <v>1452</v>
      </c>
      <c r="O4784" s="14">
        <v>22500</v>
      </c>
      <c r="P4784" s="14">
        <v>99.45</v>
      </c>
      <c r="Q4784" s="14">
        <v>123.75</v>
      </c>
      <c r="R4784" s="14">
        <v>372.49</v>
      </c>
      <c r="S4784" s="2" t="s">
        <v>7550</v>
      </c>
      <c r="T4784" s="2">
        <v>1.46</v>
      </c>
      <c r="U4784" s="2">
        <v>67.5</v>
      </c>
      <c r="V4784" s="2">
        <v>63</v>
      </c>
      <c r="W4784" s="2" t="s">
        <v>7862</v>
      </c>
      <c r="X4784" s="2" t="s">
        <v>2897</v>
      </c>
      <c r="Y4784" s="2">
        <v>67725</v>
      </c>
      <c r="Z4784" s="19" t="str">
        <f>HYPERLINK("https://ssdweb.co/ssdweb/hd/Vision360.html?d=821115765&amp;zoomslide=1&amp;z=1821115765&amp;ISCONFIRM=0","VIDEO")</f>
        <v>VIDEO</v>
      </c>
      <c r="AA4784" s="19" t="str">
        <f>HYPERLINK("https://ssdweb.co/ssdweb/CERTH/636408055.pdf","CERTI")</f>
        <v>CERTI</v>
      </c>
    </row>
    <row r="4785" spans="1:27" ht="15" x14ac:dyDescent="0.25">
      <c r="A4785" s="2">
        <v>4780</v>
      </c>
      <c r="B4785" s="39">
        <v>925700202</v>
      </c>
      <c r="C4785" s="28" t="str">
        <f>HYPERLINK("https://pld.live/RapDetail.aspx?STONELIST=925700202","DNA")</f>
        <v>DNA</v>
      </c>
      <c r="D4785" s="18" t="s">
        <v>4563</v>
      </c>
      <c r="E4785" s="18" t="s">
        <v>2186</v>
      </c>
      <c r="F4785" s="2" t="s">
        <v>7987</v>
      </c>
      <c r="G4785" s="2" t="s">
        <v>7322</v>
      </c>
      <c r="H4785" s="14">
        <v>3.01</v>
      </c>
      <c r="I4785" s="2" t="s">
        <v>6587</v>
      </c>
      <c r="J4785" s="2" t="s">
        <v>13</v>
      </c>
      <c r="K4785" s="2" t="s">
        <v>1452</v>
      </c>
      <c r="L4785" s="2" t="s">
        <v>5221</v>
      </c>
      <c r="M4785" s="2" t="s">
        <v>5221</v>
      </c>
      <c r="N4785" s="2" t="s">
        <v>2317</v>
      </c>
      <c r="O4785" s="14">
        <v>22500</v>
      </c>
      <c r="P4785" s="14">
        <v>99.48</v>
      </c>
      <c r="Q4785" s="14">
        <v>117</v>
      </c>
      <c r="R4785" s="14">
        <v>352.17</v>
      </c>
      <c r="S4785" s="2" t="s">
        <v>492</v>
      </c>
      <c r="T4785" s="2">
        <v>1.41</v>
      </c>
      <c r="U4785" s="2">
        <v>65.099999999999994</v>
      </c>
      <c r="V4785" s="2">
        <v>64</v>
      </c>
      <c r="W4785" s="2" t="s">
        <v>8016</v>
      </c>
      <c r="X4785" s="2" t="s">
        <v>2897</v>
      </c>
      <c r="Y4785" s="2">
        <v>67725</v>
      </c>
      <c r="Z4785" s="19" t="str">
        <f>HYPERLINK("https://ssdweb.co/ssdweb/hd/Vision360.html?d=925700202&amp;zoomslide=1&amp;z=1925700202&amp;ISCONFIRM=0","VIDEO")</f>
        <v>VIDEO</v>
      </c>
      <c r="AA4785" s="19" t="str">
        <f>HYPERLINK("https://ssdweb.co/ssdweb/CERTH/626415023.pdf","CERTI")</f>
        <v>CERTI</v>
      </c>
    </row>
    <row r="4786" spans="1:27" ht="15" x14ac:dyDescent="0.25">
      <c r="A4786" s="2">
        <v>4781</v>
      </c>
      <c r="B4786" s="39">
        <v>925700057</v>
      </c>
      <c r="C4786" s="28" t="str">
        <f>HYPERLINK("https://pld.live/RapDetail.aspx?STONELIST=925700057","DNA")</f>
        <v>DNA</v>
      </c>
      <c r="D4786" s="18" t="s">
        <v>4563</v>
      </c>
      <c r="E4786" s="18" t="s">
        <v>2186</v>
      </c>
      <c r="F4786" s="2" t="s">
        <v>7987</v>
      </c>
      <c r="G4786" s="2" t="s">
        <v>7322</v>
      </c>
      <c r="H4786" s="14">
        <v>3.01</v>
      </c>
      <c r="I4786" s="2" t="s">
        <v>1505</v>
      </c>
      <c r="J4786" s="2" t="s">
        <v>5144</v>
      </c>
      <c r="K4786" s="2" t="s">
        <v>1452</v>
      </c>
      <c r="L4786" s="2" t="s">
        <v>5221</v>
      </c>
      <c r="M4786" s="2" t="s">
        <v>5221</v>
      </c>
      <c r="N4786" s="2" t="s">
        <v>2317</v>
      </c>
      <c r="O4786" s="14">
        <v>18000</v>
      </c>
      <c r="P4786" s="14">
        <v>99.4</v>
      </c>
      <c r="Q4786" s="14">
        <v>108</v>
      </c>
      <c r="R4786" s="14">
        <v>325.08</v>
      </c>
      <c r="S4786" s="2" t="s">
        <v>1348</v>
      </c>
      <c r="T4786" s="2">
        <v>1.4</v>
      </c>
      <c r="U4786" s="2">
        <v>65.900000000000006</v>
      </c>
      <c r="V4786" s="2">
        <v>64</v>
      </c>
      <c r="W4786" s="2" t="s">
        <v>8016</v>
      </c>
      <c r="X4786" s="2" t="s">
        <v>2897</v>
      </c>
      <c r="Y4786" s="2">
        <v>54180</v>
      </c>
      <c r="Z4786" s="19" t="str">
        <f>HYPERLINK("https://ssdweb.co/ssdweb/hd/Vision360.html?d=925700057&amp;zoomslide=1&amp;z=1925700057&amp;ISCONFIRM=0","VIDEO")</f>
        <v>VIDEO</v>
      </c>
      <c r="AA4786" s="19" t="str">
        <f>HYPERLINK("https://ssdweb.co/ssdweb/CERTH/625432375.pdf","CERTI")</f>
        <v>CERTI</v>
      </c>
    </row>
    <row r="4787" spans="1:27" ht="15" x14ac:dyDescent="0.25">
      <c r="A4787" s="2">
        <v>4782</v>
      </c>
      <c r="B4787" s="39">
        <v>926010284</v>
      </c>
      <c r="C4787" s="28" t="str">
        <f>HYPERLINK("https://pld.live/RapDetail.aspx?STONELIST=926010284","DNA")</f>
        <v>DNA</v>
      </c>
      <c r="D4787" s="18" t="s">
        <v>4563</v>
      </c>
      <c r="E4787" s="18" t="s">
        <v>2186</v>
      </c>
      <c r="F4787" s="2" t="s">
        <v>7987</v>
      </c>
      <c r="G4787" s="2" t="s">
        <v>7322</v>
      </c>
      <c r="H4787" s="14">
        <v>3</v>
      </c>
      <c r="I4787" s="2" t="s">
        <v>6587</v>
      </c>
      <c r="J4787" s="2" t="s">
        <v>13</v>
      </c>
      <c r="K4787" s="2" t="s">
        <v>1452</v>
      </c>
      <c r="L4787" s="2" t="s">
        <v>5221</v>
      </c>
      <c r="M4787" s="2" t="s">
        <v>5221</v>
      </c>
      <c r="N4787" s="2" t="s">
        <v>2317</v>
      </c>
      <c r="O4787" s="14">
        <v>22500</v>
      </c>
      <c r="P4787" s="14">
        <v>99.47</v>
      </c>
      <c r="Q4787" s="14">
        <v>119.25</v>
      </c>
      <c r="R4787" s="14">
        <v>357.75</v>
      </c>
      <c r="S4787" s="2" t="s">
        <v>1694</v>
      </c>
      <c r="T4787" s="2">
        <v>1.33</v>
      </c>
      <c r="U4787" s="2">
        <v>65.599999999999994</v>
      </c>
      <c r="V4787" s="2">
        <v>72</v>
      </c>
      <c r="W4787" s="2" t="s">
        <v>7862</v>
      </c>
      <c r="X4787" s="2" t="s">
        <v>2897</v>
      </c>
      <c r="Y4787" s="2">
        <v>67500</v>
      </c>
      <c r="Z4787" s="19" t="str">
        <f>HYPERLINK("https://ssdweb.co/ssdweb/hd/Vision360.html?d=926010284&amp;zoomslide=1&amp;z=1926010284&amp;ISCONFIRM=0","VIDEO")</f>
        <v>VIDEO</v>
      </c>
      <c r="AA4787" s="19" t="str">
        <f>HYPERLINK("https://ssdweb.co/ssdweb/CERTH/631464401.pdf","CERTI")</f>
        <v>CERTI</v>
      </c>
    </row>
    <row r="4788" spans="1:27" ht="15" x14ac:dyDescent="0.25">
      <c r="A4788" s="2">
        <v>4783</v>
      </c>
      <c r="B4788" s="39">
        <v>821115766</v>
      </c>
      <c r="C4788" s="28" t="str">
        <f>HYPERLINK("https://pld.live/RapDetail.aspx?STONELIST=821115766","DNA")</f>
        <v>DNA</v>
      </c>
      <c r="D4788" s="18" t="s">
        <v>2694</v>
      </c>
      <c r="E4788" s="18" t="s">
        <v>2186</v>
      </c>
      <c r="F4788" s="2" t="s">
        <v>7987</v>
      </c>
      <c r="G4788" s="2" t="s">
        <v>7322</v>
      </c>
      <c r="H4788" s="14">
        <v>2.92</v>
      </c>
      <c r="I4788" s="2" t="s">
        <v>6587</v>
      </c>
      <c r="J4788" s="2" t="s">
        <v>13</v>
      </c>
      <c r="K4788" s="2" t="s">
        <v>1452</v>
      </c>
      <c r="L4788" s="2" t="s">
        <v>5221</v>
      </c>
      <c r="M4788" s="2" t="s">
        <v>5221</v>
      </c>
      <c r="N4788" s="2" t="s">
        <v>1452</v>
      </c>
      <c r="O4788" s="14">
        <v>14000</v>
      </c>
      <c r="P4788" s="14">
        <v>99.19</v>
      </c>
      <c r="Q4788" s="14">
        <v>113.4</v>
      </c>
      <c r="R4788" s="14">
        <v>331.13</v>
      </c>
      <c r="S4788" s="2" t="s">
        <v>2721</v>
      </c>
      <c r="T4788" s="2">
        <v>1.43</v>
      </c>
      <c r="U4788" s="2">
        <v>67.2</v>
      </c>
      <c r="V4788" s="2">
        <v>67</v>
      </c>
      <c r="W4788" s="2" t="s">
        <v>7862</v>
      </c>
      <c r="X4788" s="2" t="s">
        <v>2897</v>
      </c>
      <c r="Y4788" s="2">
        <v>40880</v>
      </c>
      <c r="Z4788" s="19" t="str">
        <f>HYPERLINK("https://ssdweb.co/ssdweb/hd/Vision360.html?d=821115766&amp;zoomslide=1&amp;z=1821115766&amp;ISCONFIRM=0","VIDEO")</f>
        <v>VIDEO</v>
      </c>
      <c r="AA4788" s="19" t="str">
        <f>HYPERLINK("https://ssdweb.co/ssdweb/CERTH/641406717.pdf","CERTI")</f>
        <v>CERTI</v>
      </c>
    </row>
    <row r="4789" spans="1:27" ht="15" x14ac:dyDescent="0.25">
      <c r="A4789" s="2">
        <v>4784</v>
      </c>
      <c r="B4789" s="39">
        <v>924930086</v>
      </c>
      <c r="C4789" s="28" t="str">
        <f>HYPERLINK("https://pld.live/RapDetail.aspx?STONELIST=924930086","DNA")</f>
        <v>DNA</v>
      </c>
      <c r="D4789" s="18" t="s">
        <v>2694</v>
      </c>
      <c r="E4789" s="18" t="s">
        <v>2186</v>
      </c>
      <c r="F4789" s="2" t="s">
        <v>7987</v>
      </c>
      <c r="G4789" s="2" t="s">
        <v>7322</v>
      </c>
      <c r="H4789" s="14">
        <v>2.91</v>
      </c>
      <c r="I4789" s="2" t="s">
        <v>6587</v>
      </c>
      <c r="J4789" s="2" t="s">
        <v>444</v>
      </c>
      <c r="K4789" s="2" t="s">
        <v>1452</v>
      </c>
      <c r="L4789" s="2" t="s">
        <v>5221</v>
      </c>
      <c r="M4789" s="2" t="s">
        <v>5221</v>
      </c>
      <c r="N4789" s="2" t="s">
        <v>2317</v>
      </c>
      <c r="O4789" s="14">
        <v>10700</v>
      </c>
      <c r="P4789" s="14">
        <v>99.07</v>
      </c>
      <c r="Q4789" s="14">
        <v>99.51</v>
      </c>
      <c r="R4789" s="14">
        <v>289.57</v>
      </c>
      <c r="S4789" s="2" t="s">
        <v>5407</v>
      </c>
      <c r="T4789" s="2">
        <v>1.4</v>
      </c>
      <c r="U4789" s="2">
        <v>67.3</v>
      </c>
      <c r="V4789" s="2">
        <v>60</v>
      </c>
      <c r="W4789" s="2" t="s">
        <v>7862</v>
      </c>
      <c r="X4789" s="2" t="s">
        <v>2897</v>
      </c>
      <c r="Y4789" s="2">
        <v>31137</v>
      </c>
      <c r="Z4789" s="19" t="str">
        <f>HYPERLINK("https://ssdweb.co/ssdweb/hd/Vision360.html?d=924930086&amp;zoomslide=1&amp;z=1924930086&amp;ISCONFIRM=0","VIDEO")</f>
        <v>VIDEO</v>
      </c>
      <c r="AA4789" s="19" t="str">
        <f>HYPERLINK("https://ssdweb.co/ssdweb/CERTH/602358437.pdf","CERTI")</f>
        <v>CERTI</v>
      </c>
    </row>
    <row r="4790" spans="1:27" ht="15" x14ac:dyDescent="0.25">
      <c r="A4790" s="2">
        <v>4785</v>
      </c>
      <c r="B4790" s="39">
        <v>926450098</v>
      </c>
      <c r="C4790" s="28" t="str">
        <f>HYPERLINK("https://pld.live/RapDetail.aspx?STONELIST=926450098","DNA")</f>
        <v>DNA</v>
      </c>
      <c r="D4790" s="18" t="s">
        <v>2694</v>
      </c>
      <c r="E4790" s="18" t="s">
        <v>2186</v>
      </c>
      <c r="F4790" s="2" t="s">
        <v>7987</v>
      </c>
      <c r="G4790" s="2" t="s">
        <v>7322</v>
      </c>
      <c r="H4790" s="14">
        <v>2.89</v>
      </c>
      <c r="I4790" s="2" t="s">
        <v>6748</v>
      </c>
      <c r="J4790" s="2" t="s">
        <v>13</v>
      </c>
      <c r="K4790" s="2" t="s">
        <v>1452</v>
      </c>
      <c r="L4790" s="2" t="s">
        <v>5221</v>
      </c>
      <c r="M4790" s="2" t="s">
        <v>5221</v>
      </c>
      <c r="N4790" s="2" t="s">
        <v>2317</v>
      </c>
      <c r="O4790" s="14">
        <v>4200</v>
      </c>
      <c r="P4790" s="14">
        <v>93.57</v>
      </c>
      <c r="Q4790" s="14">
        <v>270.06</v>
      </c>
      <c r="R4790" s="14">
        <v>780.47</v>
      </c>
      <c r="S4790" s="2" t="s">
        <v>5826</v>
      </c>
      <c r="T4790" s="2">
        <v>1.42</v>
      </c>
      <c r="U4790" s="2">
        <v>66.400000000000006</v>
      </c>
      <c r="V4790" s="2">
        <v>62</v>
      </c>
      <c r="W4790" s="2" t="s">
        <v>7862</v>
      </c>
      <c r="X4790" s="2" t="s">
        <v>2897</v>
      </c>
      <c r="Y4790" s="2">
        <v>12138</v>
      </c>
      <c r="Z4790" s="19" t="str">
        <f>HYPERLINK("https://ssdweb.co/ssdweb/hd/Vision360.html?d=926450098&amp;zoomslide=1&amp;z=1926450098&amp;ISCONFIRM=0","VIDEO")</f>
        <v>VIDEO</v>
      </c>
      <c r="AA4790" s="19" t="str">
        <f>HYPERLINK("https://ssdweb.co/ssdweb/CERTH/647475679.pdf","CERTI")</f>
        <v>CERTI</v>
      </c>
    </row>
    <row r="4791" spans="1:27" ht="15" x14ac:dyDescent="0.25">
      <c r="A4791" s="2">
        <v>4786</v>
      </c>
      <c r="B4791" s="39">
        <v>925060273</v>
      </c>
      <c r="C4791" s="28" t="str">
        <f>HYPERLINK("https://pld.live/RapDetail.aspx?STONELIST=925060273","DNA")</f>
        <v>DNA</v>
      </c>
      <c r="D4791" s="18" t="s">
        <v>2694</v>
      </c>
      <c r="E4791" s="18" t="s">
        <v>2186</v>
      </c>
      <c r="F4791" s="2" t="s">
        <v>7987</v>
      </c>
      <c r="G4791" s="2" t="s">
        <v>7322</v>
      </c>
      <c r="H4791" s="14">
        <v>2.83</v>
      </c>
      <c r="I4791" s="2" t="s">
        <v>6845</v>
      </c>
      <c r="J4791" s="2" t="s">
        <v>5144</v>
      </c>
      <c r="K4791" s="2" t="s">
        <v>1452</v>
      </c>
      <c r="L4791" s="2" t="s">
        <v>5221</v>
      </c>
      <c r="M4791" s="2" t="s">
        <v>5221</v>
      </c>
      <c r="N4791" s="2" t="s">
        <v>2317</v>
      </c>
      <c r="O4791" s="14">
        <v>4100</v>
      </c>
      <c r="P4791" s="14">
        <v>94.63</v>
      </c>
      <c r="Q4791" s="14">
        <v>220.17</v>
      </c>
      <c r="R4791" s="14">
        <v>623.08000000000004</v>
      </c>
      <c r="S4791" s="2" t="s">
        <v>3579</v>
      </c>
      <c r="T4791" s="2">
        <v>1.41</v>
      </c>
      <c r="U4791" s="2">
        <v>67.400000000000006</v>
      </c>
      <c r="V4791" s="2">
        <v>65</v>
      </c>
      <c r="W4791" s="2" t="s">
        <v>7862</v>
      </c>
      <c r="X4791" s="2" t="s">
        <v>2897</v>
      </c>
      <c r="Y4791" s="2">
        <v>11603</v>
      </c>
      <c r="Z4791" s="19" t="str">
        <f>HYPERLINK("https://ssdweb.co/ssdweb/hd/Vision360.html?d=925060273&amp;zoomslide=1&amp;z=1925060273&amp;ISCONFIRM=0","VIDEO")</f>
        <v>VIDEO</v>
      </c>
      <c r="AA4791" s="19" t="str">
        <f>HYPERLINK("https://ssdweb.co/ssdweb/CERTH/613350045.pdf","CERTI")</f>
        <v>CERTI</v>
      </c>
    </row>
    <row r="4792" spans="1:27" ht="15" x14ac:dyDescent="0.25">
      <c r="A4792" s="2">
        <v>4787</v>
      </c>
      <c r="B4792" s="39">
        <v>926980683</v>
      </c>
      <c r="C4792" s="28" t="str">
        <f>HYPERLINK("https://pld.live/RapDetail.aspx?STONELIST=926980683","DNA")</f>
        <v>DNA</v>
      </c>
      <c r="D4792" s="18" t="s">
        <v>2694</v>
      </c>
      <c r="E4792" s="18" t="s">
        <v>2186</v>
      </c>
      <c r="F4792" s="2" t="s">
        <v>7987</v>
      </c>
      <c r="G4792" s="2" t="s">
        <v>7322</v>
      </c>
      <c r="H4792" s="14">
        <v>2.81</v>
      </c>
      <c r="I4792" s="2" t="s">
        <v>4699</v>
      </c>
      <c r="J4792" s="2" t="s">
        <v>3942</v>
      </c>
      <c r="K4792" s="2" t="s">
        <v>1452</v>
      </c>
      <c r="L4792" s="2" t="s">
        <v>5221</v>
      </c>
      <c r="M4792" s="2" t="s">
        <v>5221</v>
      </c>
      <c r="N4792" s="2" t="s">
        <v>2317</v>
      </c>
      <c r="O4792" s="14">
        <v>16000</v>
      </c>
      <c r="P4792" s="14">
        <v>99.19</v>
      </c>
      <c r="Q4792" s="14">
        <v>129.6</v>
      </c>
      <c r="R4792" s="14">
        <v>364.18</v>
      </c>
      <c r="S4792" s="2" t="s">
        <v>6349</v>
      </c>
      <c r="T4792" s="2">
        <v>1.4</v>
      </c>
      <c r="U4792" s="2">
        <v>67.2</v>
      </c>
      <c r="V4792" s="2">
        <v>65</v>
      </c>
      <c r="W4792" s="2" t="s">
        <v>7862</v>
      </c>
      <c r="X4792" s="2" t="s">
        <v>2897</v>
      </c>
      <c r="Y4792" s="2">
        <v>44960</v>
      </c>
      <c r="Z4792" s="19" t="str">
        <f>HYPERLINK("https://ssdweb.co/ssdweb/hd/Vision360.html?d=926980683&amp;zoomslide=1&amp;z=1926980683&amp;ISCONFIRM=0","VIDEO")</f>
        <v>VIDEO</v>
      </c>
      <c r="AA4792" s="19" t="str">
        <f>HYPERLINK("https://ssdweb.co/ssdweb/CERTH/670484499.pdf","CERTI")</f>
        <v>CERTI</v>
      </c>
    </row>
    <row r="4793" spans="1:27" ht="15" x14ac:dyDescent="0.25">
      <c r="A4793" s="2">
        <v>4788</v>
      </c>
      <c r="B4793" s="39">
        <v>926910577</v>
      </c>
      <c r="C4793" s="28" t="str">
        <f>HYPERLINK("https://pld.live/RapDetail.aspx?STONELIST=926910577","DNA")</f>
        <v>DNA</v>
      </c>
      <c r="D4793" s="18" t="s">
        <v>2694</v>
      </c>
      <c r="E4793" s="18" t="s">
        <v>2186</v>
      </c>
      <c r="F4793" s="2" t="s">
        <v>7987</v>
      </c>
      <c r="G4793" s="2" t="s">
        <v>7322</v>
      </c>
      <c r="H4793" s="14">
        <v>2.76</v>
      </c>
      <c r="I4793" s="2" t="s">
        <v>4761</v>
      </c>
      <c r="J4793" s="2" t="s">
        <v>13</v>
      </c>
      <c r="K4793" s="2" t="s">
        <v>1452</v>
      </c>
      <c r="L4793" s="2" t="s">
        <v>5221</v>
      </c>
      <c r="M4793" s="2" t="s">
        <v>5221</v>
      </c>
      <c r="N4793" s="2" t="s">
        <v>2317</v>
      </c>
      <c r="O4793" s="14">
        <v>16000</v>
      </c>
      <c r="P4793" s="14">
        <v>99.2</v>
      </c>
      <c r="Q4793" s="14">
        <v>128</v>
      </c>
      <c r="R4793" s="14">
        <v>353.28</v>
      </c>
      <c r="S4793" s="2" t="s">
        <v>7728</v>
      </c>
      <c r="T4793" s="2">
        <v>1.36</v>
      </c>
      <c r="U4793" s="2">
        <v>68.5</v>
      </c>
      <c r="V4793" s="2">
        <v>63</v>
      </c>
      <c r="W4793" s="2" t="s">
        <v>7862</v>
      </c>
      <c r="X4793" s="2" t="s">
        <v>2897</v>
      </c>
      <c r="Y4793" s="2">
        <v>44160</v>
      </c>
      <c r="Z4793" s="19" t="str">
        <f>HYPERLINK("https://ssdweb.co/ssdweb/hd/Vision360.html?d=926910577&amp;zoomslide=1&amp;z=1926910577&amp;ISCONFIRM=0","VIDEO")</f>
        <v>VIDEO</v>
      </c>
      <c r="AA4793" s="19" t="str">
        <f>HYPERLINK("https://ssdweb.co/ssdweb/CERTH/659436955.pdf","CERTI")</f>
        <v>CERTI</v>
      </c>
    </row>
    <row r="4794" spans="1:27" ht="15" x14ac:dyDescent="0.25">
      <c r="A4794" s="2">
        <v>4789</v>
      </c>
      <c r="B4794" s="39">
        <v>821115767</v>
      </c>
      <c r="C4794" s="28" t="str">
        <f>HYPERLINK("https://pld.live/RapDetail.aspx?STONELIST=821115767","DNA")</f>
        <v>DNA</v>
      </c>
      <c r="D4794" s="18" t="s">
        <v>2694</v>
      </c>
      <c r="E4794" s="18" t="s">
        <v>2186</v>
      </c>
      <c r="F4794" s="2" t="s">
        <v>7987</v>
      </c>
      <c r="G4794" s="2" t="s">
        <v>7322</v>
      </c>
      <c r="H4794" s="14">
        <v>2.72</v>
      </c>
      <c r="I4794" s="2" t="s">
        <v>6587</v>
      </c>
      <c r="J4794" s="2" t="s">
        <v>13</v>
      </c>
      <c r="K4794" s="2" t="s">
        <v>1452</v>
      </c>
      <c r="L4794" s="2" t="s">
        <v>5221</v>
      </c>
      <c r="M4794" s="2" t="s">
        <v>5221</v>
      </c>
      <c r="N4794" s="2" t="s">
        <v>1452</v>
      </c>
      <c r="O4794" s="14">
        <v>14000</v>
      </c>
      <c r="P4794" s="14">
        <v>99.21</v>
      </c>
      <c r="Q4794" s="14">
        <v>110.6</v>
      </c>
      <c r="R4794" s="14">
        <v>300.83</v>
      </c>
      <c r="S4794" s="2" t="s">
        <v>3496</v>
      </c>
      <c r="T4794" s="2">
        <v>1.44</v>
      </c>
      <c r="U4794" s="2">
        <v>68.2</v>
      </c>
      <c r="V4794" s="2">
        <v>62</v>
      </c>
      <c r="W4794" s="2" t="s">
        <v>7862</v>
      </c>
      <c r="X4794" s="2" t="s">
        <v>2897</v>
      </c>
      <c r="Y4794" s="2">
        <v>38080</v>
      </c>
      <c r="Z4794" s="19" t="str">
        <f>HYPERLINK("https://ssdweb.co/ssdweb/hd/Vision360.html?d=821115767&amp;zoomslide=1&amp;z=1821115767&amp;ISCONFIRM=0","VIDEO")</f>
        <v>VIDEO</v>
      </c>
      <c r="AA4794" s="19" t="str">
        <f>HYPERLINK("https://ssdweb.co/ssdweb/CERTH/620450210.pdf","CERTI")</f>
        <v>CERTI</v>
      </c>
    </row>
    <row r="4795" spans="1:27" ht="15" x14ac:dyDescent="0.25">
      <c r="A4795" s="2">
        <v>4790</v>
      </c>
      <c r="B4795" s="39">
        <v>926910118</v>
      </c>
      <c r="C4795" s="28" t="str">
        <f>HYPERLINK("https://pld.live/RapDetail.aspx?STONELIST=926910118","DNA")</f>
        <v>DNA</v>
      </c>
      <c r="D4795" s="18" t="s">
        <v>2694</v>
      </c>
      <c r="E4795" s="18" t="s">
        <v>2186</v>
      </c>
      <c r="F4795" s="2" t="s">
        <v>7987</v>
      </c>
      <c r="G4795" s="2" t="s">
        <v>7322</v>
      </c>
      <c r="H4795" s="14">
        <v>2.71</v>
      </c>
      <c r="I4795" s="2" t="s">
        <v>6587</v>
      </c>
      <c r="J4795" s="2" t="s">
        <v>13</v>
      </c>
      <c r="K4795" s="2" t="s">
        <v>1452</v>
      </c>
      <c r="L4795" s="2" t="s">
        <v>5221</v>
      </c>
      <c r="M4795" s="2" t="s">
        <v>5221</v>
      </c>
      <c r="N4795" s="2" t="s">
        <v>2317</v>
      </c>
      <c r="O4795" s="14">
        <v>14000</v>
      </c>
      <c r="P4795" s="14">
        <v>99.19</v>
      </c>
      <c r="Q4795" s="14">
        <v>113.4</v>
      </c>
      <c r="R4795" s="14">
        <v>307.31</v>
      </c>
      <c r="S4795" s="2" t="s">
        <v>493</v>
      </c>
      <c r="T4795" s="2">
        <v>1.38</v>
      </c>
      <c r="U4795" s="2">
        <v>68</v>
      </c>
      <c r="V4795" s="2">
        <v>63</v>
      </c>
      <c r="W4795" s="2" t="s">
        <v>7862</v>
      </c>
      <c r="X4795" s="2" t="s">
        <v>2897</v>
      </c>
      <c r="Y4795" s="2">
        <v>37940</v>
      </c>
      <c r="Z4795" s="19" t="str">
        <f>HYPERLINK("https://ssdweb.co/ssdweb/hd/Vision360.html?d=926910118&amp;zoomslide=1&amp;z=1926910118&amp;ISCONFIRM=0","VIDEO")</f>
        <v>VIDEO</v>
      </c>
      <c r="AA4795" s="19" t="str">
        <f>HYPERLINK("https://ssdweb.co/ssdweb/CERTH/655451759.pdf","CERTI")</f>
        <v>CERTI</v>
      </c>
    </row>
    <row r="4796" spans="1:27" ht="15" x14ac:dyDescent="0.25">
      <c r="A4796" s="2">
        <v>4791</v>
      </c>
      <c r="B4796" s="39">
        <v>923510637</v>
      </c>
      <c r="C4796" s="28" t="str">
        <f>HYPERLINK("https://pld.live/RapDetail.aspx?STONELIST=923510637","DNA")</f>
        <v>DNA</v>
      </c>
      <c r="D4796" s="18" t="s">
        <v>4032</v>
      </c>
      <c r="E4796" s="18" t="s">
        <v>2186</v>
      </c>
      <c r="F4796" s="2" t="s">
        <v>5597</v>
      </c>
      <c r="G4796" s="2" t="s">
        <v>7322</v>
      </c>
      <c r="H4796" s="14">
        <v>2.68</v>
      </c>
      <c r="I4796" s="2" t="s">
        <v>6587</v>
      </c>
      <c r="J4796" s="2" t="s">
        <v>13</v>
      </c>
      <c r="K4796" s="2" t="s">
        <v>1452</v>
      </c>
      <c r="L4796" s="2" t="s">
        <v>5221</v>
      </c>
      <c r="M4796" s="2" t="s">
        <v>5721</v>
      </c>
      <c r="N4796" s="2" t="s">
        <v>2317</v>
      </c>
      <c r="O4796" s="14">
        <v>14000</v>
      </c>
      <c r="P4796" s="14">
        <v>98.48</v>
      </c>
      <c r="Q4796" s="14">
        <v>212.8</v>
      </c>
      <c r="R4796" s="14">
        <v>570.29999999999995</v>
      </c>
      <c r="S4796" s="2" t="s">
        <v>6451</v>
      </c>
      <c r="T4796" s="2">
        <v>1.37</v>
      </c>
      <c r="U4796" s="2">
        <v>65.7</v>
      </c>
      <c r="V4796" s="2">
        <v>64</v>
      </c>
      <c r="W4796" s="2" t="s">
        <v>7862</v>
      </c>
      <c r="X4796" s="2" t="s">
        <v>2897</v>
      </c>
      <c r="Y4796" s="2">
        <v>37520</v>
      </c>
      <c r="Z4796" s="19" t="str">
        <f>HYPERLINK("https://ssdweb.co/ssdweb/hd/Vision360.html?d=923510637&amp;zoomslide=1&amp;z=1923510637&amp;ISCONFIRM=0","VIDEO")</f>
        <v>VIDEO</v>
      </c>
      <c r="AA4796" s="19" t="str">
        <f>HYPERLINK("https://ssdweb.co/ssdweb/CERTH/7451208371.pdf","CERTI")</f>
        <v>CERTI</v>
      </c>
    </row>
    <row r="4797" spans="1:27" ht="15" x14ac:dyDescent="0.25">
      <c r="A4797" s="2">
        <v>4792</v>
      </c>
      <c r="B4797" s="39">
        <v>927070663</v>
      </c>
      <c r="C4797" s="28" t="str">
        <f>HYPERLINK("https://pld.live/RapDetail.aspx?STONELIST=927070663","DNA")</f>
        <v>DNA</v>
      </c>
      <c r="D4797" s="18" t="s">
        <v>4032</v>
      </c>
      <c r="E4797" s="18" t="s">
        <v>2186</v>
      </c>
      <c r="F4797" s="2" t="s">
        <v>7987</v>
      </c>
      <c r="G4797" s="2" t="s">
        <v>7322</v>
      </c>
      <c r="H4797" s="14">
        <v>2.67</v>
      </c>
      <c r="I4797" s="2" t="s">
        <v>4699</v>
      </c>
      <c r="J4797" s="2" t="s">
        <v>13</v>
      </c>
      <c r="K4797" s="2" t="s">
        <v>1452</v>
      </c>
      <c r="L4797" s="2" t="s">
        <v>5221</v>
      </c>
      <c r="M4797" s="2" t="s">
        <v>5221</v>
      </c>
      <c r="N4797" s="2" t="s">
        <v>2317</v>
      </c>
      <c r="O4797" s="14">
        <v>15000</v>
      </c>
      <c r="P4797" s="14">
        <v>99.2</v>
      </c>
      <c r="Q4797" s="14">
        <v>120</v>
      </c>
      <c r="R4797" s="14">
        <v>320.39999999999998</v>
      </c>
      <c r="S4797" s="2" t="s">
        <v>7866</v>
      </c>
      <c r="T4797" s="2">
        <v>1.37</v>
      </c>
      <c r="U4797" s="2">
        <v>68.099999999999994</v>
      </c>
      <c r="V4797" s="2">
        <v>68</v>
      </c>
      <c r="W4797" s="2" t="s">
        <v>7862</v>
      </c>
      <c r="X4797" s="2" t="s">
        <v>2897</v>
      </c>
      <c r="Y4797" s="2">
        <v>40050</v>
      </c>
      <c r="Z4797" s="19" t="str">
        <f>HYPERLINK("https://ssdweb.co/ssdweb/hd/Vision360.html?d=927070663&amp;zoomslide=1&amp;z=1927070663&amp;ISCONFIRM=0","VIDEO")</f>
        <v>VIDEO</v>
      </c>
      <c r="AA4797" s="19" t="str">
        <f>HYPERLINK("https://ssdweb.co/ssdweb/CERTH/670484366.pdf","CERTI")</f>
        <v>CERTI</v>
      </c>
    </row>
    <row r="4798" spans="1:27" ht="15" x14ac:dyDescent="0.25">
      <c r="A4798" s="2">
        <v>4793</v>
      </c>
      <c r="B4798" s="39">
        <v>925700314</v>
      </c>
      <c r="C4798" s="28" t="str">
        <f>HYPERLINK("https://pld.live/RapDetail.aspx?STONELIST=925700314","DNA")</f>
        <v>DNA</v>
      </c>
      <c r="D4798" s="18" t="s">
        <v>4032</v>
      </c>
      <c r="E4798" s="18" t="s">
        <v>2186</v>
      </c>
      <c r="F4798" s="2" t="s">
        <v>7987</v>
      </c>
      <c r="G4798" s="2" t="s">
        <v>7322</v>
      </c>
      <c r="H4798" s="14">
        <v>2.67</v>
      </c>
      <c r="I4798" s="2" t="s">
        <v>1066</v>
      </c>
      <c r="J4798" s="2" t="s">
        <v>13</v>
      </c>
      <c r="K4798" s="2" t="s">
        <v>1452</v>
      </c>
      <c r="L4798" s="2" t="s">
        <v>5221</v>
      </c>
      <c r="M4798" s="2" t="s">
        <v>5221</v>
      </c>
      <c r="N4798" s="2" t="s">
        <v>924</v>
      </c>
      <c r="O4798" s="14">
        <v>4300</v>
      </c>
      <c r="P4798" s="14">
        <v>93.02</v>
      </c>
      <c r="Q4798" s="14">
        <v>300.14</v>
      </c>
      <c r="R4798" s="14">
        <v>801.37</v>
      </c>
      <c r="S4798" s="2" t="s">
        <v>3701</v>
      </c>
      <c r="T4798" s="2">
        <v>1.46</v>
      </c>
      <c r="U4798" s="2">
        <v>64.599999999999994</v>
      </c>
      <c r="V4798" s="2">
        <v>62</v>
      </c>
      <c r="W4798" s="2" t="s">
        <v>7862</v>
      </c>
      <c r="X4798" s="2" t="s">
        <v>2897</v>
      </c>
      <c r="Y4798" s="2">
        <v>11481</v>
      </c>
      <c r="Z4798" s="19" t="str">
        <f>HYPERLINK("https://ssdweb.co/ssdweb/hd/Vision360.html?d=925700314&amp;zoomslide=1&amp;z=1925700314&amp;ISCONFIRM=0","VIDEO")</f>
        <v>VIDEO</v>
      </c>
      <c r="AA4798" s="19" t="str">
        <f>HYPERLINK("https://ssdweb.co/ssdweb/CERTH/631429910.pdf","CERTI")</f>
        <v>CERTI</v>
      </c>
    </row>
    <row r="4799" spans="1:27" ht="15" x14ac:dyDescent="0.25">
      <c r="A4799" s="2">
        <v>4794</v>
      </c>
      <c r="B4799" s="39">
        <v>924950061</v>
      </c>
      <c r="C4799" s="28" t="str">
        <f>HYPERLINK("https://pld.live/RapDetail.aspx?STONELIST=924950061","DNA")</f>
        <v>DNA</v>
      </c>
      <c r="D4799" s="18" t="s">
        <v>4032</v>
      </c>
      <c r="E4799" s="18" t="s">
        <v>2186</v>
      </c>
      <c r="F4799" s="2" t="s">
        <v>7987</v>
      </c>
      <c r="G4799" s="2" t="s">
        <v>7322</v>
      </c>
      <c r="H4799" s="14">
        <v>2.66</v>
      </c>
      <c r="I4799" s="2" t="s">
        <v>6587</v>
      </c>
      <c r="J4799" s="2" t="s">
        <v>5144</v>
      </c>
      <c r="K4799" s="2" t="s">
        <v>1452</v>
      </c>
      <c r="L4799" s="2" t="s">
        <v>5221</v>
      </c>
      <c r="M4799" s="2" t="s">
        <v>5221</v>
      </c>
      <c r="N4799" s="2" t="s">
        <v>2317</v>
      </c>
      <c r="O4799" s="14">
        <v>13000</v>
      </c>
      <c r="P4799" s="14">
        <v>99.21</v>
      </c>
      <c r="Q4799" s="14">
        <v>102.7</v>
      </c>
      <c r="R4799" s="14">
        <v>273.18</v>
      </c>
      <c r="S4799" s="2" t="s">
        <v>1296</v>
      </c>
      <c r="T4799" s="2">
        <v>1.39</v>
      </c>
      <c r="U4799" s="2">
        <v>64</v>
      </c>
      <c r="V4799" s="2">
        <v>62</v>
      </c>
      <c r="W4799" s="2" t="s">
        <v>8016</v>
      </c>
      <c r="X4799" s="2" t="s">
        <v>2897</v>
      </c>
      <c r="Y4799" s="2">
        <v>34580</v>
      </c>
      <c r="Z4799" s="19" t="str">
        <f>HYPERLINK("https://ssdweb.co/ssdweb/hd/Vision360.html?d=924950061&amp;zoomslide=1&amp;z=1924950061&amp;ISCONFIRM=0","VIDEO")</f>
        <v>VIDEO</v>
      </c>
      <c r="AA4799" s="19" t="str">
        <f>HYPERLINK("https://ssdweb.co/ssdweb/CERTH/602358466.pdf","CERTI")</f>
        <v>CERTI</v>
      </c>
    </row>
    <row r="4800" spans="1:27" ht="15" x14ac:dyDescent="0.25">
      <c r="A4800" s="2">
        <v>4795</v>
      </c>
      <c r="B4800" s="39">
        <v>821115768</v>
      </c>
      <c r="C4800" s="28" t="str">
        <f>HYPERLINK("https://pld.live/RapDetail.aspx?STONELIST=821115768","DNA")</f>
        <v>DNA</v>
      </c>
      <c r="D4800" s="18" t="s">
        <v>4032</v>
      </c>
      <c r="E4800" s="18" t="s">
        <v>2186</v>
      </c>
      <c r="F4800" s="2" t="s">
        <v>7987</v>
      </c>
      <c r="G4800" s="2" t="s">
        <v>7322</v>
      </c>
      <c r="H4800" s="14">
        <v>2.64</v>
      </c>
      <c r="I4800" s="2" t="s">
        <v>267</v>
      </c>
      <c r="J4800" s="2" t="s">
        <v>5144</v>
      </c>
      <c r="K4800" s="2" t="s">
        <v>1452</v>
      </c>
      <c r="L4800" s="2" t="s">
        <v>5221</v>
      </c>
      <c r="M4800" s="2" t="s">
        <v>5221</v>
      </c>
      <c r="N4800" s="2" t="s">
        <v>1452</v>
      </c>
      <c r="O4800" s="14">
        <v>16000</v>
      </c>
      <c r="P4800" s="14">
        <v>99.23</v>
      </c>
      <c r="Q4800" s="14">
        <v>123.2</v>
      </c>
      <c r="R4800" s="14">
        <v>325.25</v>
      </c>
      <c r="S4800" s="2" t="s">
        <v>6948</v>
      </c>
      <c r="T4800" s="2">
        <v>1.49</v>
      </c>
      <c r="U4800" s="2">
        <v>68.7</v>
      </c>
      <c r="V4800" s="2">
        <v>64</v>
      </c>
      <c r="W4800" s="2" t="s">
        <v>7862</v>
      </c>
      <c r="X4800" s="2" t="s">
        <v>2897</v>
      </c>
      <c r="Y4800" s="2">
        <v>42240</v>
      </c>
      <c r="Z4800" s="19" t="str">
        <f>HYPERLINK("https://ssdweb.co/ssdweb/hd/Vision360.html?d=821115768&amp;zoomslide=1&amp;z=1821115768&amp;ISCONFIRM=0","VIDEO")</f>
        <v>VIDEO</v>
      </c>
      <c r="AA4800" s="19" t="str">
        <f>HYPERLINK("https://ssdweb.co/ssdweb/CERTH/641408798.pdf","CERTI")</f>
        <v>CERTI</v>
      </c>
    </row>
    <row r="4801" spans="1:27" ht="15" x14ac:dyDescent="0.25">
      <c r="A4801" s="2">
        <v>4796</v>
      </c>
      <c r="B4801" s="39">
        <v>927000540</v>
      </c>
      <c r="C4801" s="28" t="str">
        <f>HYPERLINK("https://pld.live/RapDetail.aspx?STONELIST=927000540","DNA")</f>
        <v>DNA</v>
      </c>
      <c r="D4801" s="18" t="s">
        <v>4032</v>
      </c>
      <c r="E4801" s="18" t="s">
        <v>2186</v>
      </c>
      <c r="F4801" s="2" t="s">
        <v>7987</v>
      </c>
      <c r="G4801" s="2" t="s">
        <v>7322</v>
      </c>
      <c r="H4801" s="14">
        <v>2.56</v>
      </c>
      <c r="I4801" s="2" t="s">
        <v>4761</v>
      </c>
      <c r="J4801" s="2" t="s">
        <v>6555</v>
      </c>
      <c r="K4801" s="2" t="s">
        <v>1452</v>
      </c>
      <c r="L4801" s="2" t="s">
        <v>5221</v>
      </c>
      <c r="M4801" s="2" t="s">
        <v>5221</v>
      </c>
      <c r="N4801" s="2" t="s">
        <v>2317</v>
      </c>
      <c r="O4801" s="14">
        <v>18500</v>
      </c>
      <c r="P4801" s="14">
        <v>98.78</v>
      </c>
      <c r="Q4801" s="14">
        <v>225.7</v>
      </c>
      <c r="R4801" s="14">
        <v>577.79</v>
      </c>
      <c r="S4801" s="2" t="s">
        <v>3067</v>
      </c>
      <c r="T4801" s="2">
        <v>1.4</v>
      </c>
      <c r="U4801" s="2">
        <v>67.400000000000006</v>
      </c>
      <c r="V4801" s="2">
        <v>67</v>
      </c>
      <c r="W4801" s="2" t="s">
        <v>7862</v>
      </c>
      <c r="X4801" s="2" t="s">
        <v>2897</v>
      </c>
      <c r="Y4801" s="2">
        <v>47360</v>
      </c>
      <c r="Z4801" s="19" t="str">
        <f>HYPERLINK("https://ssdweb.co/ssdweb/hd/Vision360.html?d=927000540&amp;zoomslide=1&amp;z=1927000540&amp;ISCONFIRM=0","VIDEO")</f>
        <v>VIDEO</v>
      </c>
      <c r="AA4801" s="19" t="str">
        <f>HYPERLINK("https://ssdweb.co/ssdweb/CERTH/662417149.pdf","CERTI")</f>
        <v>CERTI</v>
      </c>
    </row>
    <row r="4802" spans="1:27" ht="15" x14ac:dyDescent="0.25">
      <c r="A4802" s="2">
        <v>4797</v>
      </c>
      <c r="B4802" s="39">
        <v>926980676</v>
      </c>
      <c r="C4802" s="28" t="str">
        <f>HYPERLINK("https://pld.live/RapDetail.aspx?STONELIST=926980676","DNA")</f>
        <v>DNA</v>
      </c>
      <c r="D4802" s="18" t="s">
        <v>4032</v>
      </c>
      <c r="E4802" s="18" t="s">
        <v>2186</v>
      </c>
      <c r="F4802" s="2" t="s">
        <v>7987</v>
      </c>
      <c r="G4802" s="2" t="s">
        <v>7322</v>
      </c>
      <c r="H4802" s="14">
        <v>2.54</v>
      </c>
      <c r="I4802" s="2" t="s">
        <v>4699</v>
      </c>
      <c r="J4802" s="2" t="s">
        <v>3942</v>
      </c>
      <c r="K4802" s="2" t="s">
        <v>1452</v>
      </c>
      <c r="L4802" s="2" t="s">
        <v>5221</v>
      </c>
      <c r="M4802" s="2" t="s">
        <v>5221</v>
      </c>
      <c r="N4802" s="2" t="s">
        <v>2317</v>
      </c>
      <c r="O4802" s="14">
        <v>16000</v>
      </c>
      <c r="P4802" s="14">
        <v>99.19</v>
      </c>
      <c r="Q4802" s="14">
        <v>129.6</v>
      </c>
      <c r="R4802" s="14">
        <v>329.18</v>
      </c>
      <c r="S4802" s="2" t="s">
        <v>7527</v>
      </c>
      <c r="T4802" s="2">
        <v>1.42</v>
      </c>
      <c r="U4802" s="2">
        <v>66.099999999999994</v>
      </c>
      <c r="V4802" s="2">
        <v>64</v>
      </c>
      <c r="W4802" s="2" t="s">
        <v>7862</v>
      </c>
      <c r="X4802" s="2" t="s">
        <v>2897</v>
      </c>
      <c r="Y4802" s="2">
        <v>40640</v>
      </c>
      <c r="Z4802" s="19" t="str">
        <f>HYPERLINK("https://ssdweb.co/ssdweb/hd/Vision360.html?d=926980676&amp;zoomslide=1&amp;z=1926980676&amp;ISCONFIRM=0","VIDEO")</f>
        <v>VIDEO</v>
      </c>
      <c r="AA4802" s="19" t="str">
        <f>HYPERLINK("https://ssdweb.co/ssdweb/CERTH/670484498.pdf","CERTI")</f>
        <v>CERTI</v>
      </c>
    </row>
    <row r="4803" spans="1:27" ht="15" x14ac:dyDescent="0.25">
      <c r="A4803" s="2">
        <v>4798</v>
      </c>
      <c r="B4803" s="39">
        <v>926380147</v>
      </c>
      <c r="C4803" s="28" t="str">
        <f>HYPERLINK("https://pld.live/RapDetail.aspx?STONELIST=926380147","DNA")</f>
        <v>DNA</v>
      </c>
      <c r="D4803" s="18" t="s">
        <v>4032</v>
      </c>
      <c r="E4803" s="18" t="s">
        <v>2186</v>
      </c>
      <c r="F4803" s="2" t="s">
        <v>7987</v>
      </c>
      <c r="G4803" s="2" t="s">
        <v>7322</v>
      </c>
      <c r="H4803" s="14">
        <v>2.5299999999999998</v>
      </c>
      <c r="I4803" s="2" t="s">
        <v>1066</v>
      </c>
      <c r="J4803" s="2" t="s">
        <v>13</v>
      </c>
      <c r="K4803" s="2" t="s">
        <v>1452</v>
      </c>
      <c r="L4803" s="2" t="s">
        <v>5221</v>
      </c>
      <c r="M4803" s="2" t="s">
        <v>5221</v>
      </c>
      <c r="N4803" s="2" t="s">
        <v>924</v>
      </c>
      <c r="O4803" s="14">
        <v>4000</v>
      </c>
      <c r="P4803" s="14">
        <v>92.5</v>
      </c>
      <c r="Q4803" s="14">
        <v>300</v>
      </c>
      <c r="R4803" s="14">
        <v>759</v>
      </c>
      <c r="S4803" s="2" t="s">
        <v>5577</v>
      </c>
      <c r="T4803" s="2">
        <v>1.43</v>
      </c>
      <c r="U4803" s="2">
        <v>65.7</v>
      </c>
      <c r="V4803" s="2">
        <v>67</v>
      </c>
      <c r="W4803" s="2" t="s">
        <v>7862</v>
      </c>
      <c r="X4803" s="2" t="s">
        <v>2897</v>
      </c>
      <c r="Y4803" s="2">
        <v>10120</v>
      </c>
      <c r="Z4803" s="19" t="str">
        <f>HYPERLINK("https://ssdweb.co/ssdweb/hd/Vision360.html?d=926380147&amp;zoomslide=1&amp;z=1926380147&amp;ISCONFIRM=0","VIDEO")</f>
        <v>VIDEO</v>
      </c>
      <c r="AA4803" s="19" t="str">
        <f>HYPERLINK("https://ssdweb.co/ssdweb/CERTH/651466434.pdf","CERTI")</f>
        <v>CERTI</v>
      </c>
    </row>
    <row r="4804" spans="1:27" ht="15" x14ac:dyDescent="0.25">
      <c r="A4804" s="2">
        <v>4799</v>
      </c>
      <c r="B4804" s="39">
        <v>926010030</v>
      </c>
      <c r="C4804" s="28" t="str">
        <f>HYPERLINK("https://pld.live/RapDetail.aspx?STONELIST=926010030","DNA")</f>
        <v>DNA</v>
      </c>
      <c r="D4804" s="18" t="s">
        <v>4032</v>
      </c>
      <c r="E4804" s="18" t="s">
        <v>2186</v>
      </c>
      <c r="F4804" s="2" t="s">
        <v>7987</v>
      </c>
      <c r="G4804" s="2" t="s">
        <v>7322</v>
      </c>
      <c r="H4804" s="14">
        <v>2.5099999999999998</v>
      </c>
      <c r="I4804" s="2" t="s">
        <v>1066</v>
      </c>
      <c r="J4804" s="2" t="s">
        <v>5144</v>
      </c>
      <c r="K4804" s="2" t="s">
        <v>1452</v>
      </c>
      <c r="L4804" s="2" t="s">
        <v>5221</v>
      </c>
      <c r="M4804" s="2" t="s">
        <v>5221</v>
      </c>
      <c r="N4804" s="2" t="s">
        <v>924</v>
      </c>
      <c r="O4804" s="14">
        <v>4100</v>
      </c>
      <c r="P4804" s="14">
        <v>92.93</v>
      </c>
      <c r="Q4804" s="14">
        <v>289.87</v>
      </c>
      <c r="R4804" s="14">
        <v>727.57</v>
      </c>
      <c r="S4804" s="2" t="s">
        <v>3288</v>
      </c>
      <c r="T4804" s="2">
        <v>1.38</v>
      </c>
      <c r="U4804" s="2">
        <v>64.400000000000006</v>
      </c>
      <c r="V4804" s="2">
        <v>66</v>
      </c>
      <c r="W4804" s="2" t="s">
        <v>7862</v>
      </c>
      <c r="X4804" s="2" t="s">
        <v>2897</v>
      </c>
      <c r="Y4804" s="2">
        <v>10291</v>
      </c>
      <c r="Z4804" s="19" t="str">
        <f>HYPERLINK("https://ssdweb.co/ssdweb/hd/Vision360.html?d=926010030&amp;zoomslide=1&amp;z=1926010030&amp;ISCONFIRM=0","VIDEO")</f>
        <v>VIDEO</v>
      </c>
      <c r="AA4804" s="19" t="str">
        <f>HYPERLINK("https://ssdweb.co/ssdweb/CERTH/631429915.pdf","CERTI")</f>
        <v>CERTI</v>
      </c>
    </row>
    <row r="4805" spans="1:27" ht="15" x14ac:dyDescent="0.25">
      <c r="A4805" s="2">
        <v>4800</v>
      </c>
      <c r="B4805" s="39">
        <v>831020400</v>
      </c>
      <c r="C4805" s="28" t="str">
        <f>HYPERLINK("https://pld.live/RapDetail.aspx?STONELIST=831020400","DNA")</f>
        <v>DNA</v>
      </c>
      <c r="D4805" s="18" t="s">
        <v>5154</v>
      </c>
      <c r="E4805" s="18" t="s">
        <v>2186</v>
      </c>
      <c r="F4805" s="2" t="s">
        <v>5597</v>
      </c>
      <c r="G4805" s="2" t="s">
        <v>7322</v>
      </c>
      <c r="H4805" s="14">
        <v>2.42</v>
      </c>
      <c r="I4805" s="2" t="s">
        <v>6587</v>
      </c>
      <c r="J4805" s="2" t="s">
        <v>13</v>
      </c>
      <c r="K4805" s="2" t="s">
        <v>1452</v>
      </c>
      <c r="L4805" s="2" t="s">
        <v>5221</v>
      </c>
      <c r="M4805" s="2" t="s">
        <v>5221</v>
      </c>
      <c r="N4805" s="2" t="s">
        <v>2317</v>
      </c>
      <c r="O4805" s="14">
        <v>14000</v>
      </c>
      <c r="P4805" s="14">
        <v>98.46</v>
      </c>
      <c r="Q4805" s="14">
        <v>215.6</v>
      </c>
      <c r="R4805" s="14">
        <v>521.75</v>
      </c>
      <c r="S4805" s="2" t="s">
        <v>4835</v>
      </c>
      <c r="T4805" s="2">
        <v>1.39</v>
      </c>
      <c r="U4805" s="2">
        <v>67.900000000000006</v>
      </c>
      <c r="V4805" s="2">
        <v>67</v>
      </c>
      <c r="W4805" s="2" t="s">
        <v>7862</v>
      </c>
      <c r="X4805" s="2" t="s">
        <v>2897</v>
      </c>
      <c r="Y4805" s="2">
        <v>33880</v>
      </c>
      <c r="Z4805" s="19" t="str">
        <f>HYPERLINK("https://ssdweb.co/ssdweb/hd/Vision360.html?d=831020400&amp;zoomslide=1&amp;z=1831020400&amp;ISCONFIRM=0","VIDEO")</f>
        <v>VIDEO</v>
      </c>
      <c r="AA4805" s="19" t="str">
        <f>HYPERLINK("https://ssdweb.co/ssdweb/CERTH/1453330424.pdf","CERTI")</f>
        <v>CERTI</v>
      </c>
    </row>
    <row r="4806" spans="1:27" ht="15" x14ac:dyDescent="0.25">
      <c r="A4806" s="2">
        <v>4801</v>
      </c>
      <c r="B4806" s="39">
        <v>926380170</v>
      </c>
      <c r="C4806" s="28" t="str">
        <f>HYPERLINK("https://pld.live/RapDetail.aspx?STONELIST=926380170","DNA")</f>
        <v>DNA</v>
      </c>
      <c r="D4806" s="18" t="s">
        <v>5154</v>
      </c>
      <c r="E4806" s="18" t="s">
        <v>2186</v>
      </c>
      <c r="F4806" s="2" t="s">
        <v>7987</v>
      </c>
      <c r="G4806" s="2" t="s">
        <v>7322</v>
      </c>
      <c r="H4806" s="14">
        <v>2.42</v>
      </c>
      <c r="I4806" s="2" t="s">
        <v>6587</v>
      </c>
      <c r="J4806" s="2" t="s">
        <v>5144</v>
      </c>
      <c r="K4806" s="2" t="s">
        <v>1452</v>
      </c>
      <c r="L4806" s="2" t="s">
        <v>5221</v>
      </c>
      <c r="M4806" s="2" t="s">
        <v>5221</v>
      </c>
      <c r="N4806" s="2" t="s">
        <v>2317</v>
      </c>
      <c r="O4806" s="14">
        <v>13000</v>
      </c>
      <c r="P4806" s="14">
        <v>99.22</v>
      </c>
      <c r="Q4806" s="14">
        <v>101.4</v>
      </c>
      <c r="R4806" s="14">
        <v>245.39</v>
      </c>
      <c r="S4806" s="2" t="s">
        <v>5141</v>
      </c>
      <c r="T4806" s="2">
        <v>1.43</v>
      </c>
      <c r="U4806" s="2">
        <v>63.2</v>
      </c>
      <c r="V4806" s="2">
        <v>66</v>
      </c>
      <c r="W4806" s="2" t="s">
        <v>8016</v>
      </c>
      <c r="X4806" s="2" t="s">
        <v>2897</v>
      </c>
      <c r="Y4806" s="2">
        <v>31460</v>
      </c>
      <c r="Z4806" s="19" t="str">
        <f>HYPERLINK("https://ssdweb.co/ssdweb/hd/Vision360.html?d=926380170&amp;zoomslide=1&amp;z=1926380170&amp;ISCONFIRM=0","VIDEO")</f>
        <v>VIDEO</v>
      </c>
      <c r="AA4806" s="19" t="str">
        <f>HYPERLINK("https://ssdweb.co/ssdweb/CERTH/642443363.pdf","CERTI")</f>
        <v>CERTI</v>
      </c>
    </row>
    <row r="4807" spans="1:27" ht="15" x14ac:dyDescent="0.25">
      <c r="A4807" s="2">
        <v>4802</v>
      </c>
      <c r="B4807" s="39">
        <v>926380197</v>
      </c>
      <c r="C4807" s="28" t="str">
        <f>HYPERLINK("https://pld.live/RapDetail.aspx?STONELIST=926380197","DNA")</f>
        <v>DNA</v>
      </c>
      <c r="D4807" s="18" t="s">
        <v>5154</v>
      </c>
      <c r="E4807" s="18" t="s">
        <v>2186</v>
      </c>
      <c r="F4807" s="2" t="s">
        <v>7987</v>
      </c>
      <c r="G4807" s="2" t="s">
        <v>7322</v>
      </c>
      <c r="H4807" s="14">
        <v>2.33</v>
      </c>
      <c r="I4807" s="2" t="s">
        <v>6587</v>
      </c>
      <c r="J4807" s="2" t="s">
        <v>13</v>
      </c>
      <c r="K4807" s="2" t="s">
        <v>1452</v>
      </c>
      <c r="L4807" s="2" t="s">
        <v>5221</v>
      </c>
      <c r="M4807" s="2" t="s">
        <v>5221</v>
      </c>
      <c r="N4807" s="2" t="s">
        <v>2317</v>
      </c>
      <c r="O4807" s="14">
        <v>14000</v>
      </c>
      <c r="P4807" s="14">
        <v>99.23</v>
      </c>
      <c r="Q4807" s="14">
        <v>107.8</v>
      </c>
      <c r="R4807" s="14">
        <v>251.17</v>
      </c>
      <c r="S4807" s="2" t="s">
        <v>7973</v>
      </c>
      <c r="T4807" s="2">
        <v>1.52</v>
      </c>
      <c r="U4807" s="2">
        <v>65.8</v>
      </c>
      <c r="V4807" s="2">
        <v>67</v>
      </c>
      <c r="W4807" s="2" t="s">
        <v>7862</v>
      </c>
      <c r="X4807" s="2" t="s">
        <v>2897</v>
      </c>
      <c r="Y4807" s="2">
        <v>32620</v>
      </c>
      <c r="Z4807" s="19" t="str">
        <f>HYPERLINK("https://ssdweb.co/ssdweb/hd/Vision360.html?d=926380197&amp;zoomslide=1&amp;z=1926380197&amp;ISCONFIRM=0","VIDEO")</f>
        <v>VIDEO</v>
      </c>
      <c r="AA4807" s="19" t="str">
        <f>HYPERLINK("https://ssdweb.co/ssdweb/CERTH/642443360.pdf","CERTI")</f>
        <v>CERTI</v>
      </c>
    </row>
    <row r="4808" spans="1:27" ht="15" x14ac:dyDescent="0.25">
      <c r="A4808" s="2">
        <v>4803</v>
      </c>
      <c r="B4808" s="39">
        <v>925570088</v>
      </c>
      <c r="C4808" s="28" t="str">
        <f>HYPERLINK("https://pld.live/RapDetail.aspx?STONELIST=925570088","DNA")</f>
        <v>DNA</v>
      </c>
      <c r="D4808" s="18" t="s">
        <v>5154</v>
      </c>
      <c r="E4808" s="18" t="s">
        <v>2186</v>
      </c>
      <c r="F4808" s="2" t="s">
        <v>7987</v>
      </c>
      <c r="G4808" s="2" t="s">
        <v>7322</v>
      </c>
      <c r="H4808" s="14">
        <v>2.3199999999999998</v>
      </c>
      <c r="I4808" s="2" t="s">
        <v>1066</v>
      </c>
      <c r="J4808" s="2" t="s">
        <v>5144</v>
      </c>
      <c r="K4808" s="2" t="s">
        <v>1452</v>
      </c>
      <c r="L4808" s="2" t="s">
        <v>5221</v>
      </c>
      <c r="M4808" s="2" t="s">
        <v>5221</v>
      </c>
      <c r="N4808" s="2" t="s">
        <v>924</v>
      </c>
      <c r="O4808" s="14">
        <v>4100</v>
      </c>
      <c r="P4808" s="14">
        <v>92.93</v>
      </c>
      <c r="Q4808" s="14">
        <v>289.87</v>
      </c>
      <c r="R4808" s="14">
        <v>672.5</v>
      </c>
      <c r="S4808" s="2" t="s">
        <v>4536</v>
      </c>
      <c r="T4808" s="2">
        <v>1.46</v>
      </c>
      <c r="U4808" s="2">
        <v>65.900000000000006</v>
      </c>
      <c r="V4808" s="2">
        <v>65</v>
      </c>
      <c r="W4808" s="2" t="s">
        <v>7862</v>
      </c>
      <c r="X4808" s="2" t="s">
        <v>2897</v>
      </c>
      <c r="Y4808" s="2">
        <v>9512</v>
      </c>
      <c r="Z4808" s="19" t="str">
        <f>HYPERLINK("https://ssdweb.co/ssdweb/hd/Vision360.html?d=925570088&amp;zoomslide=1&amp;z=1925570088&amp;ISCONFIRM=0","VIDEO")</f>
        <v>VIDEO</v>
      </c>
      <c r="AA4808" s="19" t="str">
        <f>HYPERLINK("https://ssdweb.co/ssdweb/CERTH/625432418.pdf","CERTI")</f>
        <v>CERTI</v>
      </c>
    </row>
    <row r="4809" spans="1:27" ht="15" x14ac:dyDescent="0.25">
      <c r="A4809" s="2">
        <v>4804</v>
      </c>
      <c r="B4809" s="39">
        <v>925050192</v>
      </c>
      <c r="C4809" s="28" t="str">
        <f>HYPERLINK("https://pld.live/RapDetail.aspx?STONELIST=925050192","DNA")</f>
        <v>DNA</v>
      </c>
      <c r="D4809" s="18" t="s">
        <v>3658</v>
      </c>
      <c r="E4809" s="18" t="s">
        <v>2186</v>
      </c>
      <c r="F4809" s="2" t="s">
        <v>7987</v>
      </c>
      <c r="G4809" s="2" t="s">
        <v>7322</v>
      </c>
      <c r="H4809" s="14">
        <v>2.2599999999999998</v>
      </c>
      <c r="I4809" s="2" t="s">
        <v>267</v>
      </c>
      <c r="J4809" s="2" t="s">
        <v>5144</v>
      </c>
      <c r="K4809" s="2" t="s">
        <v>1452</v>
      </c>
      <c r="L4809" s="2" t="s">
        <v>5221</v>
      </c>
      <c r="M4809" s="2" t="s">
        <v>5221</v>
      </c>
      <c r="N4809" s="2" t="s">
        <v>2317</v>
      </c>
      <c r="O4809" s="14">
        <v>16000</v>
      </c>
      <c r="P4809" s="14">
        <v>99.25</v>
      </c>
      <c r="Q4809" s="14">
        <v>120</v>
      </c>
      <c r="R4809" s="14">
        <v>271.2</v>
      </c>
      <c r="S4809" s="2" t="s">
        <v>3553</v>
      </c>
      <c r="T4809" s="2">
        <v>1.36</v>
      </c>
      <c r="U4809" s="2">
        <v>68.7</v>
      </c>
      <c r="V4809" s="2">
        <v>65</v>
      </c>
      <c r="W4809" s="2" t="s">
        <v>7862</v>
      </c>
      <c r="X4809" s="2" t="s">
        <v>2897</v>
      </c>
      <c r="Y4809" s="2">
        <v>36160</v>
      </c>
      <c r="Z4809" s="19" t="str">
        <f>HYPERLINK("https://ssdweb.co/ssdweb/hd/Vision360.html?d=925050192&amp;zoomslide=1&amp;z=1925050192&amp;ISCONFIRM=0","VIDEO")</f>
        <v>VIDEO</v>
      </c>
      <c r="AA4809" s="19" t="str">
        <f>HYPERLINK("https://ssdweb.co/ssdweb/CERTH/613393243.pdf","CERTI")</f>
        <v>CERTI</v>
      </c>
    </row>
    <row r="4810" spans="1:27" ht="15" x14ac:dyDescent="0.25">
      <c r="A4810" s="2">
        <v>4805</v>
      </c>
      <c r="B4810" s="39">
        <v>925710043</v>
      </c>
      <c r="C4810" s="28" t="str">
        <f>HYPERLINK("https://pld.live/RapDetail.aspx?STONELIST=925710043","DNA")</f>
        <v>DNA</v>
      </c>
      <c r="D4810" s="18" t="s">
        <v>3658</v>
      </c>
      <c r="E4810" s="18" t="s">
        <v>2186</v>
      </c>
      <c r="F4810" s="2" t="s">
        <v>7987</v>
      </c>
      <c r="G4810" s="2" t="s">
        <v>7322</v>
      </c>
      <c r="H4810" s="14">
        <v>2.23</v>
      </c>
      <c r="I4810" s="2" t="s">
        <v>6587</v>
      </c>
      <c r="J4810" s="2" t="s">
        <v>13</v>
      </c>
      <c r="K4810" s="2" t="s">
        <v>1452</v>
      </c>
      <c r="L4810" s="2" t="s">
        <v>5221</v>
      </c>
      <c r="M4810" s="2" t="s">
        <v>5221</v>
      </c>
      <c r="N4810" s="2" t="s">
        <v>2317</v>
      </c>
      <c r="O4810" s="14">
        <v>14000</v>
      </c>
      <c r="P4810" s="14">
        <v>99.26</v>
      </c>
      <c r="Q4810" s="14">
        <v>103.6</v>
      </c>
      <c r="R4810" s="14">
        <v>231.03</v>
      </c>
      <c r="S4810" s="2" t="s">
        <v>3522</v>
      </c>
      <c r="T4810" s="2">
        <v>1.38</v>
      </c>
      <c r="U4810" s="2">
        <v>65</v>
      </c>
      <c r="V4810" s="2">
        <v>68</v>
      </c>
      <c r="W4810" s="2" t="s">
        <v>8016</v>
      </c>
      <c r="X4810" s="2" t="s">
        <v>2897</v>
      </c>
      <c r="Y4810" s="2">
        <v>31220</v>
      </c>
      <c r="Z4810" s="19" t="str">
        <f>HYPERLINK("https://ssdweb.co/ssdweb/hd/Vision360.html?d=925710043&amp;zoomslide=1&amp;z=1925710043&amp;ISCONFIRM=0","VIDEO")</f>
        <v>VIDEO</v>
      </c>
      <c r="AA4810" s="19" t="str">
        <f>HYPERLINK("https://ssdweb.co/ssdweb/CERTH/626457325.pdf","CERTI")</f>
        <v>CERTI</v>
      </c>
    </row>
    <row r="4811" spans="1:27" ht="15" x14ac:dyDescent="0.25">
      <c r="A4811" s="2">
        <v>4806</v>
      </c>
      <c r="B4811" s="39">
        <v>925060372</v>
      </c>
      <c r="C4811" s="28" t="str">
        <f>HYPERLINK("https://pld.live/RapDetail.aspx?STONELIST=925060372","DNA")</f>
        <v>DNA</v>
      </c>
      <c r="D4811" s="18" t="s">
        <v>3658</v>
      </c>
      <c r="E4811" s="18" t="s">
        <v>2186</v>
      </c>
      <c r="F4811" s="2" t="s">
        <v>7987</v>
      </c>
      <c r="G4811" s="2" t="s">
        <v>7322</v>
      </c>
      <c r="H4811" s="14">
        <v>2.2000000000000002</v>
      </c>
      <c r="I4811" s="2" t="s">
        <v>6587</v>
      </c>
      <c r="J4811" s="2" t="s">
        <v>13</v>
      </c>
      <c r="K4811" s="2" t="s">
        <v>1452</v>
      </c>
      <c r="L4811" s="2" t="s">
        <v>5221</v>
      </c>
      <c r="M4811" s="2" t="s">
        <v>5221</v>
      </c>
      <c r="N4811" s="2" t="s">
        <v>2317</v>
      </c>
      <c r="O4811" s="14">
        <v>14000</v>
      </c>
      <c r="P4811" s="14">
        <v>99.25</v>
      </c>
      <c r="Q4811" s="14">
        <v>105</v>
      </c>
      <c r="R4811" s="14">
        <v>231</v>
      </c>
      <c r="S4811" s="2" t="s">
        <v>5417</v>
      </c>
      <c r="T4811" s="2">
        <v>1.46</v>
      </c>
      <c r="U4811" s="2">
        <v>66.5</v>
      </c>
      <c r="V4811" s="2">
        <v>63</v>
      </c>
      <c r="W4811" s="2" t="s">
        <v>7862</v>
      </c>
      <c r="X4811" s="2" t="s">
        <v>2897</v>
      </c>
      <c r="Y4811" s="2">
        <v>30800</v>
      </c>
      <c r="Z4811" s="19" t="str">
        <f>HYPERLINK("https://ssdweb.co/ssdweb/hd/Vision360.html?d=925060372&amp;zoomslide=1&amp;z=1925060372&amp;ISCONFIRM=0","VIDEO")</f>
        <v>VIDEO</v>
      </c>
      <c r="AA4811" s="19" t="str">
        <f>HYPERLINK("https://ssdweb.co/ssdweb/CERTH/610341110.pdf","CERTI")</f>
        <v>CERTI</v>
      </c>
    </row>
    <row r="4812" spans="1:27" ht="15" x14ac:dyDescent="0.25">
      <c r="A4812" s="2">
        <v>4807</v>
      </c>
      <c r="B4812" s="39">
        <v>821115773</v>
      </c>
      <c r="C4812" s="28" t="str">
        <f>HYPERLINK("https://pld.live/RapDetail.aspx?STONELIST=821115773","DNA")</f>
        <v>DNA</v>
      </c>
      <c r="D4812" s="18" t="s">
        <v>3658</v>
      </c>
      <c r="E4812" s="18" t="s">
        <v>2186</v>
      </c>
      <c r="F4812" s="2" t="s">
        <v>7987</v>
      </c>
      <c r="G4812" s="2" t="s">
        <v>7322</v>
      </c>
      <c r="H4812" s="14">
        <v>2.1800000000000002</v>
      </c>
      <c r="I4812" s="2" t="s">
        <v>6587</v>
      </c>
      <c r="J4812" s="2" t="s">
        <v>13</v>
      </c>
      <c r="K4812" s="2" t="s">
        <v>1452</v>
      </c>
      <c r="L4812" s="2" t="s">
        <v>5221</v>
      </c>
      <c r="M4812" s="2" t="s">
        <v>5221</v>
      </c>
      <c r="N4812" s="2" t="s">
        <v>1452</v>
      </c>
      <c r="O4812" s="14">
        <v>14000</v>
      </c>
      <c r="P4812" s="14">
        <v>99.23</v>
      </c>
      <c r="Q4812" s="14">
        <v>107.8</v>
      </c>
      <c r="R4812" s="14">
        <v>235</v>
      </c>
      <c r="S4812" s="2" t="s">
        <v>6476</v>
      </c>
      <c r="T4812" s="2">
        <v>1.51</v>
      </c>
      <c r="U4812" s="2">
        <v>67.7</v>
      </c>
      <c r="V4812" s="2">
        <v>64</v>
      </c>
      <c r="W4812" s="2" t="s">
        <v>7862</v>
      </c>
      <c r="X4812" s="2" t="s">
        <v>2897</v>
      </c>
      <c r="Y4812" s="2">
        <v>30520</v>
      </c>
      <c r="Z4812" s="19" t="str">
        <f>HYPERLINK("https://ssdweb.co/ssdweb/hd/Vision360.html?d=821115773&amp;zoomslide=1&amp;z=1821115773&amp;ISCONFIRM=0","VIDEO")</f>
        <v>VIDEO</v>
      </c>
      <c r="AA4812" s="19" t="str">
        <f>HYPERLINK("https://ssdweb.co/ssdweb/CERTH/642457975.pdf","CERTI")</f>
        <v>CERTI</v>
      </c>
    </row>
    <row r="4813" spans="1:27" ht="15" x14ac:dyDescent="0.25">
      <c r="A4813" s="2">
        <v>4808</v>
      </c>
      <c r="B4813" s="39">
        <v>821115776</v>
      </c>
      <c r="C4813" s="28" t="str">
        <f>HYPERLINK("https://pld.live/RapDetail.aspx?STONELIST=821115776","DNA")</f>
        <v>DNA</v>
      </c>
      <c r="D4813" s="18" t="s">
        <v>3658</v>
      </c>
      <c r="E4813" s="18" t="s">
        <v>2186</v>
      </c>
      <c r="F4813" s="2" t="s">
        <v>7987</v>
      </c>
      <c r="G4813" s="2" t="s">
        <v>7322</v>
      </c>
      <c r="H4813" s="14">
        <v>2.11</v>
      </c>
      <c r="I4813" s="2" t="s">
        <v>267</v>
      </c>
      <c r="J4813" s="2" t="s">
        <v>13</v>
      </c>
      <c r="K4813" s="2" t="s">
        <v>1452</v>
      </c>
      <c r="L4813" s="2" t="s">
        <v>5221</v>
      </c>
      <c r="M4813" s="2" t="s">
        <v>5221</v>
      </c>
      <c r="N4813" s="2" t="s">
        <v>1452</v>
      </c>
      <c r="O4813" s="14">
        <v>17500</v>
      </c>
      <c r="P4813" s="14">
        <v>99.24</v>
      </c>
      <c r="Q4813" s="14">
        <v>133</v>
      </c>
      <c r="R4813" s="14">
        <v>280.63</v>
      </c>
      <c r="S4813" s="2" t="s">
        <v>6134</v>
      </c>
      <c r="T4813" s="2">
        <v>1.44</v>
      </c>
      <c r="U4813" s="2">
        <v>68.099999999999994</v>
      </c>
      <c r="V4813" s="2">
        <v>64</v>
      </c>
      <c r="W4813" s="2" t="s">
        <v>7862</v>
      </c>
      <c r="X4813" s="2" t="s">
        <v>2897</v>
      </c>
      <c r="Y4813" s="2">
        <v>36925</v>
      </c>
      <c r="Z4813" s="19" t="str">
        <f>HYPERLINK("https://ssdweb.co/ssdweb/hd/Vision360.html?d=821115776&amp;zoomslide=1&amp;z=1821115776&amp;ISCONFIRM=0","VIDEO")</f>
        <v>VIDEO</v>
      </c>
      <c r="AA4813" s="19" t="str">
        <f>HYPERLINK("https://ssdweb.co/ssdweb/CERTH/642446554.pdf","CERTI")</f>
        <v>CERTI</v>
      </c>
    </row>
    <row r="4814" spans="1:27" ht="15" x14ac:dyDescent="0.25">
      <c r="A4814" s="2">
        <v>4809</v>
      </c>
      <c r="B4814" s="39">
        <v>925050154</v>
      </c>
      <c r="C4814" s="28" t="str">
        <f>HYPERLINK("https://pld.live/RapDetail.aspx?STONELIST=925050154","DNA")</f>
        <v>DNA</v>
      </c>
      <c r="D4814" s="18" t="s">
        <v>3658</v>
      </c>
      <c r="E4814" s="18" t="s">
        <v>2186</v>
      </c>
      <c r="F4814" s="2" t="s">
        <v>7987</v>
      </c>
      <c r="G4814" s="2" t="s">
        <v>7322</v>
      </c>
      <c r="H4814" s="14">
        <v>2.1</v>
      </c>
      <c r="I4814" s="2" t="s">
        <v>267</v>
      </c>
      <c r="J4814" s="2" t="s">
        <v>444</v>
      </c>
      <c r="K4814" s="2" t="s">
        <v>1452</v>
      </c>
      <c r="L4814" s="2" t="s">
        <v>5221</v>
      </c>
      <c r="M4814" s="2" t="s">
        <v>5221</v>
      </c>
      <c r="N4814" s="2" t="s">
        <v>2317</v>
      </c>
      <c r="O4814" s="14">
        <v>13500</v>
      </c>
      <c r="P4814" s="14">
        <v>99.15</v>
      </c>
      <c r="Q4814" s="14">
        <v>114.75</v>
      </c>
      <c r="R4814" s="14">
        <v>240.98</v>
      </c>
      <c r="S4814" s="2" t="s">
        <v>5216</v>
      </c>
      <c r="T4814" s="2">
        <v>1.45</v>
      </c>
      <c r="U4814" s="2">
        <v>65.099999999999994</v>
      </c>
      <c r="V4814" s="2">
        <v>64</v>
      </c>
      <c r="W4814" s="2" t="s">
        <v>7862</v>
      </c>
      <c r="X4814" s="2" t="s">
        <v>2897</v>
      </c>
      <c r="Y4814" s="2">
        <v>28350</v>
      </c>
      <c r="Z4814" s="19" t="str">
        <f>HYPERLINK("https://ssdweb.co/ssdweb/hd/Vision360.html?d=925050154&amp;zoomslide=1&amp;z=1925050154&amp;ISCONFIRM=0","VIDEO")</f>
        <v>VIDEO</v>
      </c>
      <c r="AA4814" s="19" t="str">
        <f>HYPERLINK("https://ssdweb.co/ssdweb/CERTH/611357044.pdf","CERTI")</f>
        <v>CERTI</v>
      </c>
    </row>
    <row r="4815" spans="1:27" ht="15" x14ac:dyDescent="0.25">
      <c r="A4815" s="2">
        <v>4810</v>
      </c>
      <c r="B4815" s="39">
        <v>924090421</v>
      </c>
      <c r="C4815" s="28" t="str">
        <f>HYPERLINK("https://pld.live/RapDetail.aspx?STONELIST=924090421","DNA")</f>
        <v>DNA</v>
      </c>
      <c r="D4815" s="18" t="s">
        <v>3658</v>
      </c>
      <c r="E4815" s="18" t="s">
        <v>2186</v>
      </c>
      <c r="F4815" s="2" t="s">
        <v>5597</v>
      </c>
      <c r="G4815" s="2" t="s">
        <v>7322</v>
      </c>
      <c r="H4815" s="14">
        <v>2.1</v>
      </c>
      <c r="I4815" s="2" t="s">
        <v>4761</v>
      </c>
      <c r="J4815" s="2" t="s">
        <v>5144</v>
      </c>
      <c r="K4815" s="2" t="s">
        <v>1452</v>
      </c>
      <c r="L4815" s="2" t="s">
        <v>5221</v>
      </c>
      <c r="M4815" s="2" t="s">
        <v>5221</v>
      </c>
      <c r="N4815" s="2" t="s">
        <v>2317</v>
      </c>
      <c r="O4815" s="14">
        <v>15000</v>
      </c>
      <c r="P4815" s="14">
        <v>98.5</v>
      </c>
      <c r="Q4815" s="14">
        <v>225</v>
      </c>
      <c r="R4815" s="14">
        <v>472.5</v>
      </c>
      <c r="S4815" s="2" t="s">
        <v>6889</v>
      </c>
      <c r="T4815" s="2">
        <v>1.46</v>
      </c>
      <c r="U4815" s="2">
        <v>65.599999999999994</v>
      </c>
      <c r="V4815" s="2">
        <v>63</v>
      </c>
      <c r="W4815" s="2" t="s">
        <v>7862</v>
      </c>
      <c r="X4815" s="2" t="s">
        <v>2897</v>
      </c>
      <c r="Y4815" s="2">
        <v>31500</v>
      </c>
      <c r="Z4815" s="19" t="str">
        <f>HYPERLINK("https://ssdweb.co/ssdweb/hd/Vision360.html?d=924090421&amp;zoomslide=1&amp;z=1924090421&amp;ISCONFIRM=0","VIDEO")</f>
        <v>VIDEO</v>
      </c>
      <c r="AA4815" s="19" t="str">
        <f>HYPERLINK("https://ssdweb.co/ssdweb/CERTH/2467299213.pdf","CERTI")</f>
        <v>CERTI</v>
      </c>
    </row>
    <row r="4816" spans="1:27" ht="15" x14ac:dyDescent="0.25">
      <c r="A4816" s="2">
        <v>4811</v>
      </c>
      <c r="B4816" s="39">
        <v>926540237</v>
      </c>
      <c r="C4816" s="28" t="str">
        <f>HYPERLINK("https://pld.live/RapDetail.aspx?STONELIST=926540237","DNA")</f>
        <v>DNA</v>
      </c>
      <c r="D4816" s="18" t="s">
        <v>3658</v>
      </c>
      <c r="E4816" s="18" t="s">
        <v>2186</v>
      </c>
      <c r="F4816" s="2" t="s">
        <v>7987</v>
      </c>
      <c r="G4816" s="2" t="s">
        <v>7322</v>
      </c>
      <c r="H4816" s="14">
        <v>2.09</v>
      </c>
      <c r="I4816" s="2" t="s">
        <v>6587</v>
      </c>
      <c r="J4816" s="2" t="s">
        <v>13</v>
      </c>
      <c r="K4816" s="2" t="s">
        <v>1452</v>
      </c>
      <c r="L4816" s="2" t="s">
        <v>5221</v>
      </c>
      <c r="M4816" s="2" t="s">
        <v>5221</v>
      </c>
      <c r="N4816" s="2" t="s">
        <v>2317</v>
      </c>
      <c r="O4816" s="14">
        <v>14000</v>
      </c>
      <c r="P4816" s="14">
        <v>99.23</v>
      </c>
      <c r="Q4816" s="14">
        <v>107.8</v>
      </c>
      <c r="R4816" s="14">
        <v>225.3</v>
      </c>
      <c r="S4816" s="2" t="s">
        <v>4679</v>
      </c>
      <c r="T4816" s="2">
        <v>1.47</v>
      </c>
      <c r="U4816" s="2">
        <v>67</v>
      </c>
      <c r="V4816" s="2">
        <v>66</v>
      </c>
      <c r="W4816" s="2" t="s">
        <v>7862</v>
      </c>
      <c r="X4816" s="2" t="s">
        <v>2897</v>
      </c>
      <c r="Y4816" s="2">
        <v>29260</v>
      </c>
      <c r="Z4816" s="19" t="str">
        <f>HYPERLINK("https://ssdweb.co/ssdweb/hd/Vision360.html?d=926540237&amp;zoomslide=1&amp;z=1926540237&amp;ISCONFIRM=0","VIDEO")</f>
        <v>VIDEO</v>
      </c>
      <c r="AA4816" s="19" t="str">
        <f>HYPERLINK("https://ssdweb.co/ssdweb/CERTH/648419665.pdf","CERTI")</f>
        <v>CERTI</v>
      </c>
    </row>
    <row r="4817" spans="1:27" ht="15" x14ac:dyDescent="0.25">
      <c r="A4817" s="2">
        <v>4812</v>
      </c>
      <c r="B4817" s="39">
        <v>925721002</v>
      </c>
      <c r="C4817" s="28" t="str">
        <f>HYPERLINK("https://pld.live/RapDetail.aspx?STONELIST=925721002","DNA")</f>
        <v>DNA</v>
      </c>
      <c r="D4817" s="18" t="s">
        <v>3658</v>
      </c>
      <c r="E4817" s="18" t="s">
        <v>5128</v>
      </c>
      <c r="F4817" s="2" t="s">
        <v>7987</v>
      </c>
      <c r="G4817" s="2" t="s">
        <v>7322</v>
      </c>
      <c r="H4817" s="14">
        <v>2.08</v>
      </c>
      <c r="I4817" s="2" t="s">
        <v>4761</v>
      </c>
      <c r="J4817" s="2" t="s">
        <v>13</v>
      </c>
      <c r="K4817" s="2" t="s">
        <v>1452</v>
      </c>
      <c r="L4817" s="2" t="s">
        <v>5221</v>
      </c>
      <c r="M4817" s="2" t="s">
        <v>5221</v>
      </c>
      <c r="N4817" s="2" t="s">
        <v>2317</v>
      </c>
      <c r="O4817" s="14">
        <v>16000</v>
      </c>
      <c r="P4817" s="14">
        <v>99.29</v>
      </c>
      <c r="Q4817" s="14">
        <v>113.6</v>
      </c>
      <c r="R4817" s="14">
        <v>236.29</v>
      </c>
      <c r="S4817" s="2" t="s">
        <v>7183</v>
      </c>
      <c r="T4817" s="2">
        <v>1.38</v>
      </c>
      <c r="U4817" s="2">
        <v>68</v>
      </c>
      <c r="V4817" s="2">
        <v>66</v>
      </c>
      <c r="W4817" s="2" t="s">
        <v>4336</v>
      </c>
      <c r="X4817" s="2" t="s">
        <v>2897</v>
      </c>
      <c r="Y4817" s="2">
        <v>33280</v>
      </c>
      <c r="Z4817" s="19" t="str">
        <f>HYPERLINK("https://ssdweb.co/ssdweb/hd/Vision360.html?d=925721002&amp;zoomslide=1&amp;z=1925721002&amp;ISCONFIRM=0","VIDEO")</f>
        <v>VIDEO</v>
      </c>
      <c r="AA4817" s="19" t="str">
        <f>HYPERLINK("https://ssdweb.co/ssdweb/CERTH/623449384.pdf","CERTI")</f>
        <v>CERTI</v>
      </c>
    </row>
    <row r="4818" spans="1:27" ht="15" x14ac:dyDescent="0.25">
      <c r="A4818" s="2">
        <v>4813</v>
      </c>
      <c r="B4818" s="39">
        <v>926000048</v>
      </c>
      <c r="C4818" s="28" t="str">
        <f>HYPERLINK("https://pld.live/RapDetail.aspx?STONELIST=926000048","DNA")</f>
        <v>DNA</v>
      </c>
      <c r="D4818" s="18" t="s">
        <v>3658</v>
      </c>
      <c r="E4818" s="18" t="s">
        <v>2186</v>
      </c>
      <c r="F4818" s="2" t="s">
        <v>7987</v>
      </c>
      <c r="G4818" s="2" t="s">
        <v>7322</v>
      </c>
      <c r="H4818" s="14">
        <v>2.08</v>
      </c>
      <c r="I4818" s="2" t="s">
        <v>6587</v>
      </c>
      <c r="J4818" s="2" t="s">
        <v>5144</v>
      </c>
      <c r="K4818" s="2" t="s">
        <v>1452</v>
      </c>
      <c r="L4818" s="2" t="s">
        <v>5221</v>
      </c>
      <c r="M4818" s="2" t="s">
        <v>5221</v>
      </c>
      <c r="N4818" s="2" t="s">
        <v>2317</v>
      </c>
      <c r="O4818" s="14">
        <v>13000</v>
      </c>
      <c r="P4818" s="14">
        <v>99.25</v>
      </c>
      <c r="Q4818" s="14">
        <v>97.5</v>
      </c>
      <c r="R4818" s="14">
        <v>202.8</v>
      </c>
      <c r="S4818" s="2" t="s">
        <v>7352</v>
      </c>
      <c r="T4818" s="2">
        <v>1.52</v>
      </c>
      <c r="U4818" s="2">
        <v>68.2</v>
      </c>
      <c r="V4818" s="2">
        <v>66</v>
      </c>
      <c r="W4818" s="2" t="s">
        <v>8016</v>
      </c>
      <c r="X4818" s="2" t="s">
        <v>2897</v>
      </c>
      <c r="Y4818" s="2">
        <v>27040</v>
      </c>
      <c r="Z4818" s="19" t="str">
        <f>HYPERLINK("https://ssdweb.co/ssdweb/hd/Vision360.html?d=926000048&amp;zoomslide=1&amp;z=1926000048&amp;ISCONFIRM=0","VIDEO")</f>
        <v>VIDEO</v>
      </c>
      <c r="AA4818" s="19" t="str">
        <f>HYPERLINK("https://ssdweb.co/ssdweb/CERTH/630447523.pdf","CERTI")</f>
        <v>CERTI</v>
      </c>
    </row>
    <row r="4819" spans="1:27" ht="15" x14ac:dyDescent="0.25">
      <c r="A4819" s="2">
        <v>4814</v>
      </c>
      <c r="B4819" s="39">
        <v>831020725</v>
      </c>
      <c r="C4819" s="28" t="str">
        <f>HYPERLINK("https://pld.live/RapDetail.aspx?STONELIST=831020725","DNA")</f>
        <v>DNA</v>
      </c>
      <c r="D4819" s="18" t="s">
        <v>3658</v>
      </c>
      <c r="E4819" s="18" t="s">
        <v>2186</v>
      </c>
      <c r="F4819" s="2" t="s">
        <v>7987</v>
      </c>
      <c r="G4819" s="2" t="s">
        <v>7322</v>
      </c>
      <c r="H4819" s="14">
        <v>2.0699999999999998</v>
      </c>
      <c r="I4819" s="2" t="s">
        <v>267</v>
      </c>
      <c r="J4819" s="2" t="s">
        <v>3942</v>
      </c>
      <c r="K4819" s="2" t="s">
        <v>1452</v>
      </c>
      <c r="L4819" s="2" t="s">
        <v>5221</v>
      </c>
      <c r="M4819" s="2" t="s">
        <v>5221</v>
      </c>
      <c r="N4819" s="2" t="s">
        <v>2317</v>
      </c>
      <c r="O4819" s="14">
        <v>18500</v>
      </c>
      <c r="P4819" s="14">
        <v>99.19</v>
      </c>
      <c r="Q4819" s="14">
        <v>149.85</v>
      </c>
      <c r="R4819" s="14">
        <v>310.19</v>
      </c>
      <c r="S4819" s="2" t="s">
        <v>6877</v>
      </c>
      <c r="T4819" s="2">
        <v>1.43</v>
      </c>
      <c r="U4819" s="2">
        <v>66.3</v>
      </c>
      <c r="V4819" s="2">
        <v>65</v>
      </c>
      <c r="W4819" s="2" t="s">
        <v>7862</v>
      </c>
      <c r="X4819" s="2" t="s">
        <v>2897</v>
      </c>
      <c r="Y4819" s="2">
        <v>38295</v>
      </c>
      <c r="Z4819" s="19" t="str">
        <f>HYPERLINK("https://ssdweb.co/ssdweb/hd/Vision360.html?d=831020725&amp;zoomslide=1&amp;z=1831020725&amp;ISCONFIRM=0","VIDEO")</f>
        <v>VIDEO</v>
      </c>
      <c r="AA4819" s="19" t="str">
        <f>HYPERLINK("https://ssdweb.co/ssdweb/CERTH/607332475.pdf","CERTI")</f>
        <v>CERTI</v>
      </c>
    </row>
    <row r="4820" spans="1:27" ht="15" x14ac:dyDescent="0.25">
      <c r="A4820" s="2">
        <v>4815</v>
      </c>
      <c r="B4820" s="39">
        <v>926450448</v>
      </c>
      <c r="C4820" s="28" t="str">
        <f>HYPERLINK("https://pld.live/RapDetail.aspx?STONELIST=926450448","DNA")</f>
        <v>DNA</v>
      </c>
      <c r="D4820" s="18" t="s">
        <v>3658</v>
      </c>
      <c r="E4820" s="18" t="s">
        <v>2186</v>
      </c>
      <c r="F4820" s="2" t="s">
        <v>7987</v>
      </c>
      <c r="G4820" s="2" t="s">
        <v>7322</v>
      </c>
      <c r="H4820" s="14">
        <v>2.06</v>
      </c>
      <c r="I4820" s="2" t="s">
        <v>4699</v>
      </c>
      <c r="J4820" s="2" t="s">
        <v>13</v>
      </c>
      <c r="K4820" s="2" t="s">
        <v>1452</v>
      </c>
      <c r="L4820" s="2" t="s">
        <v>5221</v>
      </c>
      <c r="M4820" s="2" t="s">
        <v>5221</v>
      </c>
      <c r="N4820" s="2" t="s">
        <v>2317</v>
      </c>
      <c r="O4820" s="14">
        <v>15000</v>
      </c>
      <c r="P4820" s="14">
        <v>99.25</v>
      </c>
      <c r="Q4820" s="14">
        <v>112.5</v>
      </c>
      <c r="R4820" s="14">
        <v>231.75</v>
      </c>
      <c r="S4820" s="2" t="s">
        <v>8095</v>
      </c>
      <c r="T4820" s="2">
        <v>1.46</v>
      </c>
      <c r="U4820" s="2">
        <v>65.2</v>
      </c>
      <c r="V4820" s="2">
        <v>65</v>
      </c>
      <c r="W4820" s="2" t="s">
        <v>7862</v>
      </c>
      <c r="X4820" s="2" t="s">
        <v>2897</v>
      </c>
      <c r="Y4820" s="2">
        <v>30900</v>
      </c>
      <c r="Z4820" s="19" t="str">
        <f>HYPERLINK("https://ssdweb.co/ssdweb/hd/Vision360.html?d=926450448&amp;zoomslide=1&amp;z=1926450448&amp;ISCONFIRM=0","VIDEO")</f>
        <v>VIDEO</v>
      </c>
      <c r="AA4820" s="19" t="str">
        <f>HYPERLINK("https://ssdweb.co/ssdweb/CERTH/644490490.pdf","CERTI")</f>
        <v>CERTI</v>
      </c>
    </row>
    <row r="4821" spans="1:27" ht="15" x14ac:dyDescent="0.25">
      <c r="A4821" s="2">
        <v>4816</v>
      </c>
      <c r="B4821" s="39">
        <v>925500678</v>
      </c>
      <c r="C4821" s="28" t="str">
        <f>HYPERLINK("https://pld.live/RapDetail.aspx?STONELIST=925500678","DNA")</f>
        <v>DNA</v>
      </c>
      <c r="D4821" s="18" t="s">
        <v>3658</v>
      </c>
      <c r="E4821" s="18" t="s">
        <v>5128</v>
      </c>
      <c r="F4821" s="2" t="s">
        <v>7987</v>
      </c>
      <c r="G4821" s="2" t="s">
        <v>7322</v>
      </c>
      <c r="H4821" s="14">
        <v>2.0499999999999998</v>
      </c>
      <c r="I4821" s="2" t="s">
        <v>267</v>
      </c>
      <c r="J4821" s="2" t="s">
        <v>6555</v>
      </c>
      <c r="K4821" s="2" t="s">
        <v>1452</v>
      </c>
      <c r="L4821" s="2" t="s">
        <v>5221</v>
      </c>
      <c r="M4821" s="2" t="s">
        <v>5221</v>
      </c>
      <c r="N4821" s="2" t="s">
        <v>2317</v>
      </c>
      <c r="O4821" s="14">
        <v>20000</v>
      </c>
      <c r="P4821" s="14">
        <v>98.83</v>
      </c>
      <c r="Q4821" s="14">
        <v>234</v>
      </c>
      <c r="R4821" s="14">
        <v>479.7</v>
      </c>
      <c r="S4821" s="2" t="s">
        <v>2226</v>
      </c>
      <c r="T4821" s="2">
        <v>1.36</v>
      </c>
      <c r="U4821" s="2">
        <v>64.599999999999994</v>
      </c>
      <c r="V4821" s="2">
        <v>65</v>
      </c>
      <c r="W4821" s="2" t="s">
        <v>7862</v>
      </c>
      <c r="X4821" s="2" t="s">
        <v>2897</v>
      </c>
      <c r="Y4821" s="2">
        <v>41000</v>
      </c>
      <c r="Z4821" s="19" t="str">
        <f>HYPERLINK("https://ssdweb.co/ssdweb/hd/Vision360.html?d=925500678&amp;zoomslide=1&amp;z=1925500678&amp;ISCONFIRM=0","VIDEO")</f>
        <v>VIDEO</v>
      </c>
      <c r="AA4821" s="19" t="str">
        <f>HYPERLINK("https://ssdweb.co/ssdweb/CERTH/616434320.pdf","CERTI")</f>
        <v>CERTI</v>
      </c>
    </row>
    <row r="4822" spans="1:27" ht="15" x14ac:dyDescent="0.25">
      <c r="A4822" s="2">
        <v>4817</v>
      </c>
      <c r="B4822" s="39">
        <v>925500060</v>
      </c>
      <c r="C4822" s="28" t="str">
        <f>HYPERLINK("https://pld.live/RapDetail.aspx?STONELIST=925500060","DNA")</f>
        <v>DNA</v>
      </c>
      <c r="D4822" s="18" t="s">
        <v>3658</v>
      </c>
      <c r="E4822" s="18" t="s">
        <v>5128</v>
      </c>
      <c r="F4822" s="2" t="s">
        <v>7987</v>
      </c>
      <c r="G4822" s="2" t="s">
        <v>7322</v>
      </c>
      <c r="H4822" s="14">
        <v>2.0499999999999998</v>
      </c>
      <c r="I4822" s="2" t="s">
        <v>267</v>
      </c>
      <c r="J4822" s="2" t="s">
        <v>6555</v>
      </c>
      <c r="K4822" s="2" t="s">
        <v>1452</v>
      </c>
      <c r="L4822" s="2" t="s">
        <v>5221</v>
      </c>
      <c r="M4822" s="2" t="s">
        <v>5221</v>
      </c>
      <c r="N4822" s="2" t="s">
        <v>2317</v>
      </c>
      <c r="O4822" s="14">
        <v>20000</v>
      </c>
      <c r="P4822" s="14">
        <v>98.83</v>
      </c>
      <c r="Q4822" s="14">
        <v>234</v>
      </c>
      <c r="R4822" s="14">
        <v>479.7</v>
      </c>
      <c r="S4822" s="2" t="s">
        <v>7995</v>
      </c>
      <c r="T4822" s="2">
        <v>1.38</v>
      </c>
      <c r="U4822" s="2">
        <v>67.8</v>
      </c>
      <c r="V4822" s="2">
        <v>64</v>
      </c>
      <c r="W4822" s="2" t="s">
        <v>7862</v>
      </c>
      <c r="X4822" s="2" t="s">
        <v>2897</v>
      </c>
      <c r="Y4822" s="2">
        <v>41000</v>
      </c>
      <c r="Z4822" s="19" t="str">
        <f>HYPERLINK("https://ssdweb.co/ssdweb/hd/Vision360.html?d=925500060&amp;zoomslide=1&amp;z=1925500060&amp;ISCONFIRM=0","VIDEO")</f>
        <v>VIDEO</v>
      </c>
      <c r="AA4822" s="19" t="str">
        <f>HYPERLINK("https://ssdweb.co/ssdweb/CERTH/616491983.pdf","CERTI")</f>
        <v>CERTI</v>
      </c>
    </row>
    <row r="4823" spans="1:27" ht="15" x14ac:dyDescent="0.25">
      <c r="A4823" s="2">
        <v>4818</v>
      </c>
      <c r="B4823" s="39">
        <v>926170152</v>
      </c>
      <c r="C4823" s="28" t="str">
        <f>HYPERLINK("https://pld.live/RapDetail.aspx?STONELIST=926170152","DNA")</f>
        <v>DNA</v>
      </c>
      <c r="D4823" s="18" t="s">
        <v>3658</v>
      </c>
      <c r="E4823" s="18" t="s">
        <v>5128</v>
      </c>
      <c r="F4823" s="2" t="s">
        <v>7987</v>
      </c>
      <c r="G4823" s="2" t="s">
        <v>7322</v>
      </c>
      <c r="H4823" s="14">
        <v>2.0499999999999998</v>
      </c>
      <c r="I4823" s="2" t="s">
        <v>267</v>
      </c>
      <c r="J4823" s="2" t="s">
        <v>13</v>
      </c>
      <c r="K4823" s="2" t="s">
        <v>1452</v>
      </c>
      <c r="L4823" s="2" t="s">
        <v>5221</v>
      </c>
      <c r="M4823" s="2" t="s">
        <v>5221</v>
      </c>
      <c r="N4823" s="2" t="s">
        <v>2317</v>
      </c>
      <c r="O4823" s="14">
        <v>17500</v>
      </c>
      <c r="P4823" s="14">
        <v>99.26</v>
      </c>
      <c r="Q4823" s="14">
        <v>129.5</v>
      </c>
      <c r="R4823" s="14">
        <v>265.48</v>
      </c>
      <c r="S4823" s="2" t="s">
        <v>6738</v>
      </c>
      <c r="T4823" s="2">
        <v>1.41</v>
      </c>
      <c r="U4823" s="2">
        <v>67.2</v>
      </c>
      <c r="V4823" s="2">
        <v>65</v>
      </c>
      <c r="W4823" s="2" t="s">
        <v>7862</v>
      </c>
      <c r="X4823" s="2" t="s">
        <v>2897</v>
      </c>
      <c r="Y4823" s="2">
        <v>35875</v>
      </c>
      <c r="Z4823" s="19" t="str">
        <f>HYPERLINK("https://ssdweb.co/ssdweb/hd/Vision360.html?d=926170152&amp;zoomslide=1&amp;z=1926170152&amp;ISCONFIRM=0","VIDEO")</f>
        <v>VIDEO</v>
      </c>
      <c r="AA4823" s="19" t="str">
        <f>HYPERLINK("https://ssdweb.co/ssdweb/CERTH/632449619.pdf","CERTI")</f>
        <v>CERTI</v>
      </c>
    </row>
    <row r="4824" spans="1:27" ht="15" x14ac:dyDescent="0.25">
      <c r="A4824" s="2">
        <v>4819</v>
      </c>
      <c r="B4824" s="39">
        <v>926200757</v>
      </c>
      <c r="C4824" s="28" t="str">
        <f>HYPERLINK("https://pld.live/RapDetail.aspx?STONELIST=926200757","DNA")</f>
        <v>DNA</v>
      </c>
      <c r="D4824" s="18" t="s">
        <v>3658</v>
      </c>
      <c r="E4824" s="18" t="s">
        <v>5128</v>
      </c>
      <c r="F4824" s="2" t="s">
        <v>7987</v>
      </c>
      <c r="G4824" s="2" t="s">
        <v>7322</v>
      </c>
      <c r="H4824" s="14">
        <v>2.0499999999999998</v>
      </c>
      <c r="I4824" s="2" t="s">
        <v>267</v>
      </c>
      <c r="J4824" s="2" t="s">
        <v>5144</v>
      </c>
      <c r="K4824" s="2" t="s">
        <v>1452</v>
      </c>
      <c r="L4824" s="2" t="s">
        <v>5221</v>
      </c>
      <c r="M4824" s="2" t="s">
        <v>5221</v>
      </c>
      <c r="N4824" s="2" t="s">
        <v>2317</v>
      </c>
      <c r="O4824" s="14">
        <v>16000</v>
      </c>
      <c r="P4824" s="14">
        <v>99.23</v>
      </c>
      <c r="Q4824" s="14">
        <v>123.2</v>
      </c>
      <c r="R4824" s="14">
        <v>252.56</v>
      </c>
      <c r="S4824" s="2" t="s">
        <v>2089</v>
      </c>
      <c r="T4824" s="2">
        <v>1.36</v>
      </c>
      <c r="U4824" s="2">
        <v>68</v>
      </c>
      <c r="V4824" s="2">
        <v>64</v>
      </c>
      <c r="W4824" s="2" t="s">
        <v>7862</v>
      </c>
      <c r="X4824" s="2" t="s">
        <v>2897</v>
      </c>
      <c r="Y4824" s="2">
        <v>32800</v>
      </c>
      <c r="Z4824" s="19" t="str">
        <f>HYPERLINK("https://ssdweb.co/ssdweb/hd/Vision360.html?d=926200757&amp;zoomslide=1&amp;z=1926200757&amp;ISCONFIRM=0","VIDEO")</f>
        <v>VIDEO</v>
      </c>
      <c r="AA4824" s="19" t="str">
        <f>HYPERLINK("https://ssdweb.co/ssdweb/CERTH/634431462.pdf","CERTI")</f>
        <v>CERTI</v>
      </c>
    </row>
    <row r="4825" spans="1:27" ht="15" x14ac:dyDescent="0.25">
      <c r="A4825" s="2">
        <v>4820</v>
      </c>
      <c r="B4825" s="39">
        <v>925980917</v>
      </c>
      <c r="C4825" s="28" t="str">
        <f>HYPERLINK("https://pld.live/RapDetail.aspx?STONELIST=925980917","DNA")</f>
        <v>DNA</v>
      </c>
      <c r="D4825" s="18" t="s">
        <v>3658</v>
      </c>
      <c r="E4825" s="18" t="s">
        <v>5128</v>
      </c>
      <c r="F4825" s="2" t="s">
        <v>7987</v>
      </c>
      <c r="G4825" s="2" t="s">
        <v>7322</v>
      </c>
      <c r="H4825" s="14">
        <v>2.0499999999999998</v>
      </c>
      <c r="I4825" s="2" t="s">
        <v>4761</v>
      </c>
      <c r="J4825" s="2" t="s">
        <v>7032</v>
      </c>
      <c r="K4825" s="2" t="s">
        <v>1452</v>
      </c>
      <c r="L4825" s="2" t="s">
        <v>5221</v>
      </c>
      <c r="M4825" s="2" t="s">
        <v>5221</v>
      </c>
      <c r="N4825" s="2" t="s">
        <v>2317</v>
      </c>
      <c r="O4825" s="14">
        <v>20000</v>
      </c>
      <c r="P4825" s="14">
        <v>97.54</v>
      </c>
      <c r="Q4825" s="14">
        <v>492</v>
      </c>
      <c r="R4825" s="14">
        <v>1008.6</v>
      </c>
      <c r="S4825" s="2" t="s">
        <v>660</v>
      </c>
      <c r="T4825" s="2">
        <v>1.36</v>
      </c>
      <c r="U4825" s="2">
        <v>67.400000000000006</v>
      </c>
      <c r="V4825" s="2">
        <v>63</v>
      </c>
      <c r="W4825" s="2" t="s">
        <v>4336</v>
      </c>
      <c r="X4825" s="2" t="s">
        <v>2897</v>
      </c>
      <c r="Y4825" s="2">
        <v>41000</v>
      </c>
      <c r="Z4825" s="19" t="str">
        <f>HYPERLINK("https://ssdweb.co/ssdweb/hd/Vision360.html?d=925980917&amp;zoomslide=1&amp;z=1925980917&amp;ISCONFIRM=0","VIDEO")</f>
        <v>VIDEO</v>
      </c>
      <c r="AA4825" s="19" t="str">
        <f>HYPERLINK("https://ssdweb.co/ssdweb/CERTH/629453262.pdf","CERTI")</f>
        <v>CERTI</v>
      </c>
    </row>
    <row r="4826" spans="1:27" ht="15" x14ac:dyDescent="0.25">
      <c r="A4826" s="2">
        <v>4821</v>
      </c>
      <c r="B4826" s="39">
        <v>821113474</v>
      </c>
      <c r="C4826" s="28" t="str">
        <f>HYPERLINK("https://pld.live/RapDetail.aspx?STONELIST=821113474","DNA")</f>
        <v>DNA</v>
      </c>
      <c r="D4826" s="18" t="s">
        <v>3658</v>
      </c>
      <c r="E4826" s="18" t="s">
        <v>2186</v>
      </c>
      <c r="F4826" s="2" t="s">
        <v>7987</v>
      </c>
      <c r="G4826" s="2" t="s">
        <v>7322</v>
      </c>
      <c r="H4826" s="14">
        <v>2.0499999999999998</v>
      </c>
      <c r="I4826" s="2" t="s">
        <v>4699</v>
      </c>
      <c r="J4826" s="2" t="s">
        <v>13</v>
      </c>
      <c r="K4826" s="2" t="s">
        <v>1452</v>
      </c>
      <c r="L4826" s="2" t="s">
        <v>5221</v>
      </c>
      <c r="M4826" s="2" t="s">
        <v>5221</v>
      </c>
      <c r="N4826" s="2" t="s">
        <v>2317</v>
      </c>
      <c r="O4826" s="14">
        <v>15000</v>
      </c>
      <c r="P4826" s="14">
        <v>99.27</v>
      </c>
      <c r="Q4826" s="14">
        <v>109.5</v>
      </c>
      <c r="R4826" s="14">
        <v>224.48</v>
      </c>
      <c r="S4826" s="2" t="s">
        <v>3168</v>
      </c>
      <c r="T4826" s="2">
        <v>1.41</v>
      </c>
      <c r="U4826" s="2">
        <v>68.599999999999994</v>
      </c>
      <c r="V4826" s="2">
        <v>66</v>
      </c>
      <c r="W4826" s="2" t="s">
        <v>7862</v>
      </c>
      <c r="X4826" s="2" t="s">
        <v>2897</v>
      </c>
      <c r="Y4826" s="2">
        <v>30750</v>
      </c>
      <c r="Z4826" s="19" t="str">
        <f>HYPERLINK("https://ssdweb.co/ssdweb/hd/Vision360.html?d=821113474&amp;zoomslide=1&amp;z=1821113474&amp;ISCONFIRM=0","VIDEO")</f>
        <v>VIDEO</v>
      </c>
      <c r="AA4826" s="19" t="str">
        <f>HYPERLINK("https://ssdweb.co/ssdweb/CERTH/620428508.pdf","CERTI")</f>
        <v>CERTI</v>
      </c>
    </row>
    <row r="4827" spans="1:27" ht="15" x14ac:dyDescent="0.25">
      <c r="A4827" s="2">
        <v>4822</v>
      </c>
      <c r="B4827" s="39">
        <v>821113236</v>
      </c>
      <c r="C4827" s="28" t="str">
        <f>HYPERLINK("https://pld.live/RapDetail.aspx?STONELIST=821113236","DNA")</f>
        <v>DNA</v>
      </c>
      <c r="D4827" s="18" t="s">
        <v>3658</v>
      </c>
      <c r="E4827" s="18" t="s">
        <v>2186</v>
      </c>
      <c r="F4827" s="2" t="s">
        <v>7987</v>
      </c>
      <c r="G4827" s="2" t="s">
        <v>7322</v>
      </c>
      <c r="H4827" s="14">
        <v>2.0499999999999998</v>
      </c>
      <c r="I4827" s="2" t="s">
        <v>4699</v>
      </c>
      <c r="J4827" s="2" t="s">
        <v>13</v>
      </c>
      <c r="K4827" s="2" t="s">
        <v>1452</v>
      </c>
      <c r="L4827" s="2" t="s">
        <v>5221</v>
      </c>
      <c r="M4827" s="2" t="s">
        <v>5221</v>
      </c>
      <c r="N4827" s="2" t="s">
        <v>2317</v>
      </c>
      <c r="O4827" s="14">
        <v>15000</v>
      </c>
      <c r="P4827" s="14">
        <v>99.27</v>
      </c>
      <c r="Q4827" s="14">
        <v>109.5</v>
      </c>
      <c r="R4827" s="14">
        <v>224.48</v>
      </c>
      <c r="S4827" s="2" t="s">
        <v>3233</v>
      </c>
      <c r="T4827" s="2">
        <v>1.4</v>
      </c>
      <c r="U4827" s="2">
        <v>68</v>
      </c>
      <c r="V4827" s="2">
        <v>66</v>
      </c>
      <c r="W4827" s="2" t="s">
        <v>7862</v>
      </c>
      <c r="X4827" s="2" t="s">
        <v>2897</v>
      </c>
      <c r="Y4827" s="2">
        <v>30750</v>
      </c>
      <c r="Z4827" s="19" t="str">
        <f>HYPERLINK("https://ssdweb.co/ssdweb/hd/Vision360.html?d=821113236&amp;zoomslide=1&amp;z=1821113236&amp;ISCONFIRM=0","VIDEO")</f>
        <v>VIDEO</v>
      </c>
      <c r="AA4827" s="19" t="str">
        <f>HYPERLINK("https://ssdweb.co/ssdweb/CERTH/622487410.pdf","CERTI")</f>
        <v>CERTI</v>
      </c>
    </row>
    <row r="4828" spans="1:27" ht="15" x14ac:dyDescent="0.25">
      <c r="A4828" s="2">
        <v>4823</v>
      </c>
      <c r="B4828" s="39">
        <v>831020528</v>
      </c>
      <c r="C4828" s="28" t="str">
        <f>HYPERLINK("https://pld.live/RapDetail.aspx?STONELIST=831020528","DNA")</f>
        <v>DNA</v>
      </c>
      <c r="D4828" s="18" t="s">
        <v>3658</v>
      </c>
      <c r="E4828" s="18" t="s">
        <v>2186</v>
      </c>
      <c r="F4828" s="2" t="s">
        <v>7987</v>
      </c>
      <c r="G4828" s="2" t="s">
        <v>7322</v>
      </c>
      <c r="H4828" s="14">
        <v>2.0499999999999998</v>
      </c>
      <c r="I4828" s="2" t="s">
        <v>4699</v>
      </c>
      <c r="J4828" s="2" t="s">
        <v>5144</v>
      </c>
      <c r="K4828" s="2" t="s">
        <v>1452</v>
      </c>
      <c r="L4828" s="2" t="s">
        <v>5221</v>
      </c>
      <c r="M4828" s="2" t="s">
        <v>5221</v>
      </c>
      <c r="N4828" s="2" t="s">
        <v>2317</v>
      </c>
      <c r="O4828" s="14">
        <v>14000</v>
      </c>
      <c r="P4828" s="14">
        <v>99.26</v>
      </c>
      <c r="Q4828" s="14">
        <v>103.6</v>
      </c>
      <c r="R4828" s="14">
        <v>212.38</v>
      </c>
      <c r="S4828" s="2" t="s">
        <v>3245</v>
      </c>
      <c r="T4828" s="2">
        <v>1.44</v>
      </c>
      <c r="U4828" s="2">
        <v>66.8</v>
      </c>
      <c r="V4828" s="2">
        <v>64</v>
      </c>
      <c r="W4828" s="2" t="s">
        <v>8016</v>
      </c>
      <c r="X4828" s="2" t="s">
        <v>2897</v>
      </c>
      <c r="Y4828" s="2">
        <v>28700</v>
      </c>
      <c r="Z4828" s="19" t="str">
        <f>HYPERLINK("https://ssdweb.co/ssdweb/hd/Vision360.html?d=831020528&amp;zoomslide=1&amp;z=1831020528&amp;ISCONFIRM=0","VIDEO")</f>
        <v>VIDEO</v>
      </c>
      <c r="AA4828" s="19" t="str">
        <f>HYPERLINK("https://ssdweb.co/ssdweb/CERTH/594332673.pdf","CERTI")</f>
        <v>CERTI</v>
      </c>
    </row>
    <row r="4829" spans="1:27" ht="15" x14ac:dyDescent="0.25">
      <c r="A4829" s="2">
        <v>4824</v>
      </c>
      <c r="B4829" s="39">
        <v>821115777</v>
      </c>
      <c r="C4829" s="28" t="str">
        <f>HYPERLINK("https://pld.live/RapDetail.aspx?STONELIST=821115777","DNA")</f>
        <v>DNA</v>
      </c>
      <c r="D4829" s="18" t="s">
        <v>3658</v>
      </c>
      <c r="E4829" s="18" t="s">
        <v>2186</v>
      </c>
      <c r="F4829" s="2" t="s">
        <v>7987</v>
      </c>
      <c r="G4829" s="2" t="s">
        <v>7322</v>
      </c>
      <c r="H4829" s="14">
        <v>2.0499999999999998</v>
      </c>
      <c r="I4829" s="2" t="s">
        <v>6587</v>
      </c>
      <c r="J4829" s="2" t="s">
        <v>3942</v>
      </c>
      <c r="K4829" s="2" t="s">
        <v>1452</v>
      </c>
      <c r="L4829" s="2" t="s">
        <v>5221</v>
      </c>
      <c r="M4829" s="2" t="s">
        <v>5221</v>
      </c>
      <c r="N4829" s="2" t="s">
        <v>1452</v>
      </c>
      <c r="O4829" s="14">
        <v>15000</v>
      </c>
      <c r="P4829" s="14">
        <v>99.18</v>
      </c>
      <c r="Q4829" s="14">
        <v>123</v>
      </c>
      <c r="R4829" s="14">
        <v>252.15</v>
      </c>
      <c r="S4829" s="2" t="s">
        <v>2820</v>
      </c>
      <c r="T4829" s="2">
        <v>1.45</v>
      </c>
      <c r="U4829" s="2">
        <v>66.5</v>
      </c>
      <c r="V4829" s="2">
        <v>64</v>
      </c>
      <c r="W4829" s="2" t="s">
        <v>7862</v>
      </c>
      <c r="X4829" s="2" t="s">
        <v>2897</v>
      </c>
      <c r="Y4829" s="2">
        <v>30750</v>
      </c>
      <c r="Z4829" s="19" t="str">
        <f>HYPERLINK("https://ssdweb.co/ssdweb/hd/Vision360.html?d=821115777&amp;zoomslide=1&amp;z=1821115777&amp;ISCONFIRM=0","VIDEO")</f>
        <v>VIDEO</v>
      </c>
      <c r="AA4829" s="19" t="str">
        <f>HYPERLINK("https://ssdweb.co/ssdweb/CERTH/639429334.pdf","CERTI")</f>
        <v>CERTI</v>
      </c>
    </row>
    <row r="4830" spans="1:27" ht="15" x14ac:dyDescent="0.25">
      <c r="A4830" s="2">
        <v>4825</v>
      </c>
      <c r="B4830" s="39">
        <v>926560043</v>
      </c>
      <c r="C4830" s="28" t="str">
        <f>HYPERLINK("https://pld.live/RapDetail.aspx?STONELIST=926560043","DNA")</f>
        <v>DNA</v>
      </c>
      <c r="D4830" s="18" t="s">
        <v>3658</v>
      </c>
      <c r="E4830" s="18" t="s">
        <v>2186</v>
      </c>
      <c r="F4830" s="2" t="s">
        <v>7987</v>
      </c>
      <c r="G4830" s="2" t="s">
        <v>7322</v>
      </c>
      <c r="H4830" s="14">
        <v>2.0499999999999998</v>
      </c>
      <c r="I4830" s="2" t="s">
        <v>6587</v>
      </c>
      <c r="J4830" s="2" t="s">
        <v>5144</v>
      </c>
      <c r="K4830" s="2" t="s">
        <v>1452</v>
      </c>
      <c r="L4830" s="2" t="s">
        <v>5221</v>
      </c>
      <c r="M4830" s="2" t="s">
        <v>5221</v>
      </c>
      <c r="N4830" s="2" t="s">
        <v>2317</v>
      </c>
      <c r="O4830" s="14">
        <v>13000</v>
      </c>
      <c r="P4830" s="14">
        <v>99.21</v>
      </c>
      <c r="Q4830" s="14">
        <v>102.7</v>
      </c>
      <c r="R4830" s="14">
        <v>210.54</v>
      </c>
      <c r="S4830" s="2" t="s">
        <v>4149</v>
      </c>
      <c r="T4830" s="2">
        <v>1.35</v>
      </c>
      <c r="U4830" s="2">
        <v>64.400000000000006</v>
      </c>
      <c r="V4830" s="2">
        <v>67</v>
      </c>
      <c r="W4830" s="2" t="s">
        <v>7862</v>
      </c>
      <c r="X4830" s="2" t="s">
        <v>2897</v>
      </c>
      <c r="Y4830" s="2">
        <v>26650</v>
      </c>
      <c r="Z4830" s="19" t="str">
        <f>HYPERLINK("https://ssdweb.co/ssdweb/hd/Vision360.html?d=926560043&amp;zoomslide=1&amp;z=1926560043&amp;ISCONFIRM=0","VIDEO")</f>
        <v>VIDEO</v>
      </c>
      <c r="AA4830" s="19" t="str">
        <f>HYPERLINK("https://ssdweb.co/ssdweb/CERTH/647424291.pdf","CERTI")</f>
        <v>CERTI</v>
      </c>
    </row>
    <row r="4831" spans="1:27" ht="15" x14ac:dyDescent="0.25">
      <c r="A4831" s="2">
        <v>4826</v>
      </c>
      <c r="B4831" s="39">
        <v>925971090</v>
      </c>
      <c r="C4831" s="28" t="str">
        <f>HYPERLINK("https://pld.live/RapDetail.aspx?STONELIST=925971090","DNA")</f>
        <v>DNA</v>
      </c>
      <c r="D4831" s="18" t="s">
        <v>3658</v>
      </c>
      <c r="E4831" s="18" t="s">
        <v>5128</v>
      </c>
      <c r="F4831" s="2" t="s">
        <v>7987</v>
      </c>
      <c r="G4831" s="2" t="s">
        <v>7322</v>
      </c>
      <c r="H4831" s="14">
        <v>2.04</v>
      </c>
      <c r="I4831" s="2" t="s">
        <v>267</v>
      </c>
      <c r="J4831" s="2" t="s">
        <v>5144</v>
      </c>
      <c r="K4831" s="2" t="s">
        <v>1452</v>
      </c>
      <c r="L4831" s="2" t="s">
        <v>5221</v>
      </c>
      <c r="M4831" s="2" t="s">
        <v>5221</v>
      </c>
      <c r="N4831" s="2" t="s">
        <v>2317</v>
      </c>
      <c r="O4831" s="14">
        <v>16000</v>
      </c>
      <c r="P4831" s="14">
        <v>99.25</v>
      </c>
      <c r="Q4831" s="14">
        <v>120</v>
      </c>
      <c r="R4831" s="14">
        <v>244.8</v>
      </c>
      <c r="S4831" s="2" t="s">
        <v>2609</v>
      </c>
      <c r="T4831" s="2">
        <v>1.41</v>
      </c>
      <c r="U4831" s="2">
        <v>66.599999999999994</v>
      </c>
      <c r="V4831" s="2">
        <v>60</v>
      </c>
      <c r="W4831" s="2" t="s">
        <v>7862</v>
      </c>
      <c r="X4831" s="2" t="s">
        <v>2897</v>
      </c>
      <c r="Y4831" s="2">
        <v>32640</v>
      </c>
      <c r="Z4831" s="19" t="str">
        <f>HYPERLINK("https://ssdweb.co/ssdweb/hd/Vision360.html?d=925971090&amp;zoomslide=1&amp;z=1925971090&amp;ISCONFIRM=0","VIDEO")</f>
        <v>VIDEO</v>
      </c>
      <c r="AA4831" s="19" t="str">
        <f>HYPERLINK("https://ssdweb.co/ssdweb/CERTH/629453450.pdf","CERTI")</f>
        <v>CERTI</v>
      </c>
    </row>
    <row r="4832" spans="1:27" ht="15" x14ac:dyDescent="0.25">
      <c r="A4832" s="2">
        <v>4827</v>
      </c>
      <c r="B4832" s="39">
        <v>925851209</v>
      </c>
      <c r="C4832" s="28" t="str">
        <f>HYPERLINK("https://pld.live/RapDetail.aspx?STONELIST=925851209","DNA")</f>
        <v>DNA</v>
      </c>
      <c r="D4832" s="18" t="s">
        <v>3658</v>
      </c>
      <c r="E4832" s="18" t="s">
        <v>5128</v>
      </c>
      <c r="F4832" s="2" t="s">
        <v>7987</v>
      </c>
      <c r="G4832" s="2" t="s">
        <v>7322</v>
      </c>
      <c r="H4832" s="14">
        <v>2.04</v>
      </c>
      <c r="I4832" s="2" t="s">
        <v>4761</v>
      </c>
      <c r="J4832" s="2" t="s">
        <v>13</v>
      </c>
      <c r="K4832" s="2" t="s">
        <v>1452</v>
      </c>
      <c r="L4832" s="2" t="s">
        <v>5221</v>
      </c>
      <c r="M4832" s="2" t="s">
        <v>5221</v>
      </c>
      <c r="N4832" s="2" t="s">
        <v>2317</v>
      </c>
      <c r="O4832" s="14">
        <v>16000</v>
      </c>
      <c r="P4832" s="14">
        <v>99.28</v>
      </c>
      <c r="Q4832" s="14">
        <v>115.2</v>
      </c>
      <c r="R4832" s="14">
        <v>235.01</v>
      </c>
      <c r="S4832" s="2" t="s">
        <v>6224</v>
      </c>
      <c r="T4832" s="2">
        <v>1.55</v>
      </c>
      <c r="U4832" s="2">
        <v>65.400000000000006</v>
      </c>
      <c r="V4832" s="2">
        <v>63</v>
      </c>
      <c r="W4832" s="2" t="s">
        <v>7862</v>
      </c>
      <c r="X4832" s="2" t="s">
        <v>2897</v>
      </c>
      <c r="Y4832" s="2">
        <v>32640</v>
      </c>
      <c r="Z4832" s="19" t="str">
        <f>HYPERLINK("https://ssdweb.co/ssdweb/hd/Vision360.html?d=925851209&amp;zoomslide=1&amp;z=1925851209&amp;ISCONFIRM=0","VIDEO")</f>
        <v>VIDEO</v>
      </c>
      <c r="AA4832" s="19" t="str">
        <f>HYPERLINK("https://ssdweb.co/ssdweb/CERTH/627410510.pdf","CERTI")</f>
        <v>CERTI</v>
      </c>
    </row>
    <row r="4833" spans="1:27" ht="15" x14ac:dyDescent="0.25">
      <c r="A4833" s="2">
        <v>4828</v>
      </c>
      <c r="B4833" s="39">
        <v>926100623</v>
      </c>
      <c r="C4833" s="28" t="str">
        <f>HYPERLINK("https://pld.live/RapDetail.aspx?STONELIST=926100623","DNA")</f>
        <v>DNA</v>
      </c>
      <c r="D4833" s="18" t="s">
        <v>3658</v>
      </c>
      <c r="E4833" s="18" t="s">
        <v>5128</v>
      </c>
      <c r="F4833" s="2" t="s">
        <v>7987</v>
      </c>
      <c r="G4833" s="2" t="s">
        <v>7322</v>
      </c>
      <c r="H4833" s="14">
        <v>2.04</v>
      </c>
      <c r="I4833" s="2" t="s">
        <v>4761</v>
      </c>
      <c r="J4833" s="2" t="s">
        <v>5144</v>
      </c>
      <c r="K4833" s="2" t="s">
        <v>1452</v>
      </c>
      <c r="L4833" s="2" t="s">
        <v>5221</v>
      </c>
      <c r="M4833" s="2" t="s">
        <v>5221</v>
      </c>
      <c r="N4833" s="2" t="s">
        <v>2317</v>
      </c>
      <c r="O4833" s="14">
        <v>15000</v>
      </c>
      <c r="P4833" s="14">
        <v>99.27</v>
      </c>
      <c r="Q4833" s="14">
        <v>109.5</v>
      </c>
      <c r="R4833" s="14">
        <v>223.38</v>
      </c>
      <c r="S4833" s="2" t="s">
        <v>1652</v>
      </c>
      <c r="T4833" s="2">
        <v>1.37</v>
      </c>
      <c r="U4833" s="2">
        <v>68.5</v>
      </c>
      <c r="V4833" s="2">
        <v>65</v>
      </c>
      <c r="W4833" s="2" t="s">
        <v>7862</v>
      </c>
      <c r="X4833" s="2" t="s">
        <v>2897</v>
      </c>
      <c r="Y4833" s="2">
        <v>30600</v>
      </c>
      <c r="Z4833" s="19" t="str">
        <f>HYPERLINK("https://ssdweb.co/ssdweb/hd/Vision360.html?d=926100623&amp;zoomslide=1&amp;z=1926100623&amp;ISCONFIRM=0","VIDEO")</f>
        <v>VIDEO</v>
      </c>
      <c r="AA4833" s="19" t="str">
        <f>HYPERLINK("https://ssdweb.co/ssdweb/CERTH/631430177.pdf","CERTI")</f>
        <v>CERTI</v>
      </c>
    </row>
    <row r="4834" spans="1:27" ht="15" x14ac:dyDescent="0.25">
      <c r="A4834" s="2">
        <v>4829</v>
      </c>
      <c r="B4834" s="39">
        <v>821113210</v>
      </c>
      <c r="C4834" s="28" t="str">
        <f>HYPERLINK("https://pld.live/RapDetail.aspx?STONELIST=821113210","DNA")</f>
        <v>DNA</v>
      </c>
      <c r="D4834" s="18" t="s">
        <v>3658</v>
      </c>
      <c r="E4834" s="18" t="s">
        <v>2186</v>
      </c>
      <c r="F4834" s="2" t="s">
        <v>7987</v>
      </c>
      <c r="G4834" s="2" t="s">
        <v>7322</v>
      </c>
      <c r="H4834" s="14">
        <v>2.04</v>
      </c>
      <c r="I4834" s="2" t="s">
        <v>4699</v>
      </c>
      <c r="J4834" s="2" t="s">
        <v>13</v>
      </c>
      <c r="K4834" s="2" t="s">
        <v>1452</v>
      </c>
      <c r="L4834" s="2" t="s">
        <v>5221</v>
      </c>
      <c r="M4834" s="2" t="s">
        <v>5221</v>
      </c>
      <c r="N4834" s="2" t="s">
        <v>2317</v>
      </c>
      <c r="O4834" s="14">
        <v>15000</v>
      </c>
      <c r="P4834" s="14">
        <v>99.27</v>
      </c>
      <c r="Q4834" s="14">
        <v>109.5</v>
      </c>
      <c r="R4834" s="14">
        <v>223.38</v>
      </c>
      <c r="S4834" s="2" t="s">
        <v>554</v>
      </c>
      <c r="T4834" s="2">
        <v>1.46</v>
      </c>
      <c r="U4834" s="2">
        <v>69.3</v>
      </c>
      <c r="V4834" s="2">
        <v>59</v>
      </c>
      <c r="W4834" s="2" t="s">
        <v>7862</v>
      </c>
      <c r="X4834" s="2" t="s">
        <v>2897</v>
      </c>
      <c r="Y4834" s="2">
        <v>30600</v>
      </c>
      <c r="Z4834" s="19" t="str">
        <f>HYPERLINK("https://ssdweb.co/ssdweb/hd/Vision360.html?d=821113210&amp;zoomslide=1&amp;z=1821113210&amp;ISCONFIRM=0","VIDEO")</f>
        <v>VIDEO</v>
      </c>
      <c r="AA4834" s="19" t="str">
        <f>HYPERLINK("https://ssdweb.co/ssdweb/CERTH/622494058.pdf","CERTI")</f>
        <v>CERTI</v>
      </c>
    </row>
    <row r="4835" spans="1:27" ht="15" x14ac:dyDescent="0.25">
      <c r="A4835" s="2">
        <v>4830</v>
      </c>
      <c r="B4835" s="39">
        <v>925770920</v>
      </c>
      <c r="C4835" s="28" t="str">
        <f>HYPERLINK("https://pld.live/RapDetail.aspx?STONELIST=925770920","DNA")</f>
        <v>DNA</v>
      </c>
      <c r="D4835" s="18" t="s">
        <v>3658</v>
      </c>
      <c r="E4835" s="18" t="s">
        <v>5128</v>
      </c>
      <c r="F4835" s="2" t="s">
        <v>7987</v>
      </c>
      <c r="G4835" s="2" t="s">
        <v>7322</v>
      </c>
      <c r="H4835" s="14">
        <v>2.0299999999999998</v>
      </c>
      <c r="I4835" s="2" t="s">
        <v>267</v>
      </c>
      <c r="J4835" s="2" t="s">
        <v>6555</v>
      </c>
      <c r="K4835" s="2" t="s">
        <v>1452</v>
      </c>
      <c r="L4835" s="2" t="s">
        <v>5221</v>
      </c>
      <c r="M4835" s="2" t="s">
        <v>5221</v>
      </c>
      <c r="N4835" s="2" t="s">
        <v>2317</v>
      </c>
      <c r="O4835" s="14">
        <v>20000</v>
      </c>
      <c r="P4835" s="14">
        <v>98.83</v>
      </c>
      <c r="Q4835" s="14">
        <v>234</v>
      </c>
      <c r="R4835" s="14">
        <v>475.02</v>
      </c>
      <c r="S4835" s="2" t="s">
        <v>2143</v>
      </c>
      <c r="T4835" s="2">
        <v>1.4</v>
      </c>
      <c r="U4835" s="2">
        <v>65.900000000000006</v>
      </c>
      <c r="V4835" s="2">
        <v>64</v>
      </c>
      <c r="W4835" s="2" t="s">
        <v>7862</v>
      </c>
      <c r="X4835" s="2" t="s">
        <v>2897</v>
      </c>
      <c r="Y4835" s="2">
        <v>40600</v>
      </c>
      <c r="Z4835" s="19" t="str">
        <f>HYPERLINK("https://ssdweb.co/ssdweb/hd/Vision360.html?d=925770920&amp;zoomslide=1&amp;z=1925770920&amp;ISCONFIRM=0","VIDEO")</f>
        <v>VIDEO</v>
      </c>
      <c r="AA4835" s="19" t="str">
        <f>HYPERLINK("https://ssdweb.co/ssdweb/CERTH/625432278.pdf","CERTI")</f>
        <v>CERTI</v>
      </c>
    </row>
    <row r="4836" spans="1:27" ht="15" x14ac:dyDescent="0.25">
      <c r="A4836" s="2">
        <v>4831</v>
      </c>
      <c r="B4836" s="39">
        <v>925960527</v>
      </c>
      <c r="C4836" s="28" t="str">
        <f>HYPERLINK("https://pld.live/RapDetail.aspx?STONELIST=925960527","DNA")</f>
        <v>DNA</v>
      </c>
      <c r="D4836" s="18" t="s">
        <v>3658</v>
      </c>
      <c r="E4836" s="18" t="s">
        <v>5128</v>
      </c>
      <c r="F4836" s="2" t="s">
        <v>7987</v>
      </c>
      <c r="G4836" s="2" t="s">
        <v>7322</v>
      </c>
      <c r="H4836" s="14">
        <v>2.0299999999999998</v>
      </c>
      <c r="I4836" s="2" t="s">
        <v>267</v>
      </c>
      <c r="J4836" s="2" t="s">
        <v>6555</v>
      </c>
      <c r="K4836" s="2" t="s">
        <v>1452</v>
      </c>
      <c r="L4836" s="2" t="s">
        <v>5221</v>
      </c>
      <c r="M4836" s="2" t="s">
        <v>5221</v>
      </c>
      <c r="N4836" s="2" t="s">
        <v>2317</v>
      </c>
      <c r="O4836" s="14">
        <v>20000</v>
      </c>
      <c r="P4836" s="14">
        <v>98.83</v>
      </c>
      <c r="Q4836" s="14">
        <v>234</v>
      </c>
      <c r="R4836" s="14">
        <v>475.02</v>
      </c>
      <c r="S4836" s="2" t="s">
        <v>7312</v>
      </c>
      <c r="T4836" s="2">
        <v>1.37</v>
      </c>
      <c r="U4836" s="2">
        <v>66.3</v>
      </c>
      <c r="V4836" s="2">
        <v>62</v>
      </c>
      <c r="W4836" s="2" t="s">
        <v>7862</v>
      </c>
      <c r="X4836" s="2" t="s">
        <v>2897</v>
      </c>
      <c r="Y4836" s="2">
        <v>40600</v>
      </c>
      <c r="Z4836" s="19" t="str">
        <f>HYPERLINK("https://ssdweb.co/ssdweb/hd/Vision360.html?d=925960527&amp;zoomslide=1&amp;z=1925960527&amp;ISCONFIRM=0","VIDEO")</f>
        <v>VIDEO</v>
      </c>
      <c r="AA4836" s="19" t="str">
        <f>HYPERLINK("https://ssdweb.co/ssdweb/CERTH/627410459.pdf","CERTI")</f>
        <v>CERTI</v>
      </c>
    </row>
    <row r="4837" spans="1:27" ht="15" x14ac:dyDescent="0.25">
      <c r="A4837" s="2">
        <v>4832</v>
      </c>
      <c r="B4837" s="39">
        <v>925960726</v>
      </c>
      <c r="C4837" s="28" t="str">
        <f>HYPERLINK("https://pld.live/RapDetail.aspx?STONELIST=925960726","DNA")</f>
        <v>DNA</v>
      </c>
      <c r="D4837" s="18" t="s">
        <v>3658</v>
      </c>
      <c r="E4837" s="18" t="s">
        <v>5128</v>
      </c>
      <c r="F4837" s="2" t="s">
        <v>7987</v>
      </c>
      <c r="G4837" s="2" t="s">
        <v>7322</v>
      </c>
      <c r="H4837" s="14">
        <v>2.0299999999999998</v>
      </c>
      <c r="I4837" s="2" t="s">
        <v>267</v>
      </c>
      <c r="J4837" s="2" t="s">
        <v>6555</v>
      </c>
      <c r="K4837" s="2" t="s">
        <v>1452</v>
      </c>
      <c r="L4837" s="2" t="s">
        <v>5221</v>
      </c>
      <c r="M4837" s="2" t="s">
        <v>5221</v>
      </c>
      <c r="N4837" s="2" t="s">
        <v>2317</v>
      </c>
      <c r="O4837" s="14">
        <v>20000</v>
      </c>
      <c r="P4837" s="14">
        <v>98.83</v>
      </c>
      <c r="Q4837" s="14">
        <v>234</v>
      </c>
      <c r="R4837" s="14">
        <v>475.02</v>
      </c>
      <c r="S4837" s="2" t="s">
        <v>2024</v>
      </c>
      <c r="T4837" s="2">
        <v>1.37</v>
      </c>
      <c r="U4837" s="2">
        <v>67.400000000000006</v>
      </c>
      <c r="V4837" s="2">
        <v>63</v>
      </c>
      <c r="W4837" s="2" t="s">
        <v>7862</v>
      </c>
      <c r="X4837" s="2" t="s">
        <v>2897</v>
      </c>
      <c r="Y4837" s="2">
        <v>40600</v>
      </c>
      <c r="Z4837" s="19" t="str">
        <f>HYPERLINK("https://ssdweb.co/ssdweb/hd/Vision360.html?d=925960726&amp;zoomslide=1&amp;z=1925960726&amp;ISCONFIRM=0","VIDEO")</f>
        <v>VIDEO</v>
      </c>
      <c r="AA4837" s="19" t="str">
        <f>HYPERLINK("https://ssdweb.co/ssdweb/CERTH/628427049.pdf","CERTI")</f>
        <v>CERTI</v>
      </c>
    </row>
    <row r="4838" spans="1:27" ht="15" x14ac:dyDescent="0.25">
      <c r="A4838" s="2">
        <v>4833</v>
      </c>
      <c r="B4838" s="39">
        <v>925501954</v>
      </c>
      <c r="C4838" s="28" t="str">
        <f>HYPERLINK("https://pld.live/RapDetail.aspx?STONELIST=925501954","DNA")</f>
        <v>DNA</v>
      </c>
      <c r="D4838" s="18" t="s">
        <v>3658</v>
      </c>
      <c r="E4838" s="18" t="s">
        <v>5128</v>
      </c>
      <c r="F4838" s="2" t="s">
        <v>7987</v>
      </c>
      <c r="G4838" s="2" t="s">
        <v>7322</v>
      </c>
      <c r="H4838" s="14">
        <v>2.0299999999999998</v>
      </c>
      <c r="I4838" s="2" t="s">
        <v>267</v>
      </c>
      <c r="J4838" s="2" t="s">
        <v>6555</v>
      </c>
      <c r="K4838" s="2" t="s">
        <v>1452</v>
      </c>
      <c r="L4838" s="2" t="s">
        <v>5221</v>
      </c>
      <c r="M4838" s="2" t="s">
        <v>5221</v>
      </c>
      <c r="N4838" s="2" t="s">
        <v>2317</v>
      </c>
      <c r="O4838" s="14">
        <v>20000</v>
      </c>
      <c r="P4838" s="14">
        <v>98.83</v>
      </c>
      <c r="Q4838" s="14">
        <v>234</v>
      </c>
      <c r="R4838" s="14">
        <v>475.02</v>
      </c>
      <c r="S4838" s="2" t="s">
        <v>7492</v>
      </c>
      <c r="T4838" s="2">
        <v>1.41</v>
      </c>
      <c r="U4838" s="2">
        <v>65.8</v>
      </c>
      <c r="V4838" s="2">
        <v>66</v>
      </c>
      <c r="W4838" s="2" t="s">
        <v>7862</v>
      </c>
      <c r="X4838" s="2" t="s">
        <v>2897</v>
      </c>
      <c r="Y4838" s="2">
        <v>40600</v>
      </c>
      <c r="Z4838" s="19" t="str">
        <f>HYPERLINK("https://ssdweb.co/ssdweb/hd/Vision360.html?d=925501954&amp;zoomslide=1&amp;z=1925501954&amp;ISCONFIRM=0","VIDEO")</f>
        <v>VIDEO</v>
      </c>
      <c r="AA4838" s="19" t="str">
        <f>HYPERLINK("https://ssdweb.co/ssdweb/CERTH/617412995.pdf","CERTI")</f>
        <v>CERTI</v>
      </c>
    </row>
    <row r="4839" spans="1:27" ht="15" x14ac:dyDescent="0.25">
      <c r="A4839" s="2">
        <v>4834</v>
      </c>
      <c r="B4839" s="39">
        <v>925621799</v>
      </c>
      <c r="C4839" s="28" t="str">
        <f>HYPERLINK("https://pld.live/RapDetail.aspx?STONELIST=925621799","DNA")</f>
        <v>DNA</v>
      </c>
      <c r="D4839" s="18" t="s">
        <v>3658</v>
      </c>
      <c r="E4839" s="18" t="s">
        <v>5128</v>
      </c>
      <c r="F4839" s="2" t="s">
        <v>7987</v>
      </c>
      <c r="G4839" s="2" t="s">
        <v>7322</v>
      </c>
      <c r="H4839" s="14">
        <v>2.0299999999999998</v>
      </c>
      <c r="I4839" s="2" t="s">
        <v>267</v>
      </c>
      <c r="J4839" s="2" t="s">
        <v>3942</v>
      </c>
      <c r="K4839" s="2" t="s">
        <v>1452</v>
      </c>
      <c r="L4839" s="2" t="s">
        <v>5221</v>
      </c>
      <c r="M4839" s="2" t="s">
        <v>5221</v>
      </c>
      <c r="N4839" s="2" t="s">
        <v>2317</v>
      </c>
      <c r="O4839" s="14">
        <v>18500</v>
      </c>
      <c r="P4839" s="14">
        <v>99.19</v>
      </c>
      <c r="Q4839" s="14">
        <v>149.85</v>
      </c>
      <c r="R4839" s="14">
        <v>304.2</v>
      </c>
      <c r="S4839" s="2" t="s">
        <v>4548</v>
      </c>
      <c r="T4839" s="2">
        <v>1.35</v>
      </c>
      <c r="U4839" s="2">
        <v>68.400000000000006</v>
      </c>
      <c r="V4839" s="2">
        <v>69</v>
      </c>
      <c r="W4839" s="2" t="s">
        <v>7862</v>
      </c>
      <c r="X4839" s="2" t="s">
        <v>2897</v>
      </c>
      <c r="Y4839" s="2">
        <v>37555</v>
      </c>
      <c r="Z4839" s="19" t="str">
        <f>HYPERLINK("https://ssdweb.co/ssdweb/hd/Vision360.html?d=925621799&amp;zoomslide=1&amp;z=1925621799&amp;ISCONFIRM=0","VIDEO")</f>
        <v>VIDEO</v>
      </c>
      <c r="AA4839" s="19" t="str">
        <f>HYPERLINK("https://ssdweb.co/ssdweb/CERTH/623449267.pdf","CERTI")</f>
        <v>CERTI</v>
      </c>
    </row>
    <row r="4840" spans="1:27" ht="15" x14ac:dyDescent="0.25">
      <c r="A4840" s="2">
        <v>4835</v>
      </c>
      <c r="B4840" s="39">
        <v>926040895</v>
      </c>
      <c r="C4840" s="28" t="str">
        <f>HYPERLINK("https://pld.live/RapDetail.aspx?STONELIST=926040895","DNA")</f>
        <v>DNA</v>
      </c>
      <c r="D4840" s="18" t="s">
        <v>3658</v>
      </c>
      <c r="E4840" s="18" t="s">
        <v>5128</v>
      </c>
      <c r="F4840" s="2" t="s">
        <v>7987</v>
      </c>
      <c r="G4840" s="2" t="s">
        <v>7322</v>
      </c>
      <c r="H4840" s="14">
        <v>2.0299999999999998</v>
      </c>
      <c r="I4840" s="2" t="s">
        <v>267</v>
      </c>
      <c r="J4840" s="2" t="s">
        <v>3942</v>
      </c>
      <c r="K4840" s="2" t="s">
        <v>1452</v>
      </c>
      <c r="L4840" s="2" t="s">
        <v>5221</v>
      </c>
      <c r="M4840" s="2" t="s">
        <v>5221</v>
      </c>
      <c r="N4840" s="2" t="s">
        <v>2317</v>
      </c>
      <c r="O4840" s="14">
        <v>18500</v>
      </c>
      <c r="P4840" s="14">
        <v>99.19</v>
      </c>
      <c r="Q4840" s="14">
        <v>149.85</v>
      </c>
      <c r="R4840" s="14">
        <v>304.2</v>
      </c>
      <c r="S4840" s="2" t="s">
        <v>4843</v>
      </c>
      <c r="T4840" s="2">
        <v>1.38</v>
      </c>
      <c r="U4840" s="2">
        <v>67.900000000000006</v>
      </c>
      <c r="V4840" s="2">
        <v>62</v>
      </c>
      <c r="W4840" s="2" t="s">
        <v>7862</v>
      </c>
      <c r="X4840" s="2" t="s">
        <v>2897</v>
      </c>
      <c r="Y4840" s="2">
        <v>37555</v>
      </c>
      <c r="Z4840" s="19" t="str">
        <f>HYPERLINK("https://ssdweb.co/ssdweb/hd/Vision360.html?d=926040895&amp;zoomslide=1&amp;z=1926040895&amp;ISCONFIRM=0","VIDEO")</f>
        <v>VIDEO</v>
      </c>
      <c r="AA4840" s="19" t="str">
        <f>HYPERLINK("https://ssdweb.co/ssdweb/CERTH/630447882.pdf","CERTI")</f>
        <v>CERTI</v>
      </c>
    </row>
    <row r="4841" spans="1:27" ht="15" x14ac:dyDescent="0.25">
      <c r="A4841" s="2">
        <v>4836</v>
      </c>
      <c r="B4841" s="39">
        <v>925951211</v>
      </c>
      <c r="C4841" s="28" t="str">
        <f>HYPERLINK("https://pld.live/RapDetail.aspx?STONELIST=925951211","DNA")</f>
        <v>DNA</v>
      </c>
      <c r="D4841" s="18" t="s">
        <v>3658</v>
      </c>
      <c r="E4841" s="18" t="s">
        <v>5128</v>
      </c>
      <c r="F4841" s="2" t="s">
        <v>7987</v>
      </c>
      <c r="G4841" s="2" t="s">
        <v>7322</v>
      </c>
      <c r="H4841" s="14">
        <v>2.0299999999999998</v>
      </c>
      <c r="I4841" s="2" t="s">
        <v>267</v>
      </c>
      <c r="J4841" s="2" t="s">
        <v>13</v>
      </c>
      <c r="K4841" s="2" t="s">
        <v>1452</v>
      </c>
      <c r="L4841" s="2" t="s">
        <v>5221</v>
      </c>
      <c r="M4841" s="2" t="s">
        <v>5221</v>
      </c>
      <c r="N4841" s="2" t="s">
        <v>2317</v>
      </c>
      <c r="O4841" s="14">
        <v>17500</v>
      </c>
      <c r="P4841" s="14">
        <v>99.26</v>
      </c>
      <c r="Q4841" s="14">
        <v>129.5</v>
      </c>
      <c r="R4841" s="14">
        <v>262.89</v>
      </c>
      <c r="S4841" s="2" t="s">
        <v>6686</v>
      </c>
      <c r="T4841" s="2">
        <v>1.38</v>
      </c>
      <c r="U4841" s="2">
        <v>67.8</v>
      </c>
      <c r="V4841" s="2">
        <v>62</v>
      </c>
      <c r="W4841" s="2" t="s">
        <v>7862</v>
      </c>
      <c r="X4841" s="2" t="s">
        <v>2897</v>
      </c>
      <c r="Y4841" s="2">
        <v>35525</v>
      </c>
      <c r="Z4841" s="19" t="str">
        <f>HYPERLINK("https://ssdweb.co/ssdweb/hd/Vision360.html?d=925951211&amp;zoomslide=1&amp;z=1925951211&amp;ISCONFIRM=0","VIDEO")</f>
        <v>VIDEO</v>
      </c>
      <c r="AA4841" s="19" t="str">
        <f>HYPERLINK("https://ssdweb.co/ssdweb/CERTH/629453386.pdf","CERTI")</f>
        <v>CERTI</v>
      </c>
    </row>
    <row r="4842" spans="1:27" ht="15" x14ac:dyDescent="0.25">
      <c r="A4842" s="2">
        <v>4837</v>
      </c>
      <c r="B4842" s="39">
        <v>831020526</v>
      </c>
      <c r="C4842" s="28" t="str">
        <f>HYPERLINK("https://pld.live/RapDetail.aspx?STONELIST=831020526","DNA")</f>
        <v>DNA</v>
      </c>
      <c r="D4842" s="18" t="s">
        <v>3658</v>
      </c>
      <c r="E4842" s="18" t="s">
        <v>2186</v>
      </c>
      <c r="F4842" s="2" t="s">
        <v>5597</v>
      </c>
      <c r="G4842" s="2" t="s">
        <v>7322</v>
      </c>
      <c r="H4842" s="14">
        <v>2.0299999999999998</v>
      </c>
      <c r="I4842" s="2" t="s">
        <v>4761</v>
      </c>
      <c r="J4842" s="2" t="s">
        <v>5144</v>
      </c>
      <c r="K4842" s="2" t="s">
        <v>1452</v>
      </c>
      <c r="L4842" s="2" t="s">
        <v>5221</v>
      </c>
      <c r="M4842" s="2" t="s">
        <v>5221</v>
      </c>
      <c r="N4842" s="2" t="s">
        <v>2317</v>
      </c>
      <c r="O4842" s="14">
        <v>15000</v>
      </c>
      <c r="P4842" s="14">
        <v>98.53</v>
      </c>
      <c r="Q4842" s="14">
        <v>220.5</v>
      </c>
      <c r="R4842" s="14">
        <v>447.62</v>
      </c>
      <c r="S4842" s="2" t="s">
        <v>3374</v>
      </c>
      <c r="T4842" s="2">
        <v>1.51</v>
      </c>
      <c r="U4842" s="2">
        <v>63</v>
      </c>
      <c r="V4842" s="2">
        <v>66</v>
      </c>
      <c r="W4842" s="2" t="s">
        <v>7862</v>
      </c>
      <c r="X4842" s="2" t="s">
        <v>2897</v>
      </c>
      <c r="Y4842" s="2">
        <v>30450</v>
      </c>
      <c r="Z4842" s="19" t="str">
        <f>HYPERLINK("https://ssdweb.co/ssdweb/hd/Vision360.html?d=831020526&amp;zoomslide=1&amp;z=1831020526&amp;ISCONFIRM=0","VIDEO")</f>
        <v>VIDEO</v>
      </c>
      <c r="AA4842" s="19" t="str">
        <f>HYPERLINK("https://ssdweb.co/ssdweb/CERTH/5433024619.pdf","CERTI")</f>
        <v>CERTI</v>
      </c>
    </row>
    <row r="4843" spans="1:27" ht="15" x14ac:dyDescent="0.25">
      <c r="A4843" s="2">
        <v>4838</v>
      </c>
      <c r="B4843" s="39">
        <v>926100836</v>
      </c>
      <c r="C4843" s="28" t="str">
        <f>HYPERLINK("https://pld.live/RapDetail.aspx?STONELIST=926100836","DNA")</f>
        <v>DNA</v>
      </c>
      <c r="D4843" s="18" t="s">
        <v>3658</v>
      </c>
      <c r="E4843" s="18" t="s">
        <v>5128</v>
      </c>
      <c r="F4843" s="2" t="s">
        <v>7987</v>
      </c>
      <c r="G4843" s="2" t="s">
        <v>7322</v>
      </c>
      <c r="H4843" s="14">
        <v>2.0299999999999998</v>
      </c>
      <c r="I4843" s="2" t="s">
        <v>4761</v>
      </c>
      <c r="J4843" s="2" t="s">
        <v>5144</v>
      </c>
      <c r="K4843" s="2" t="s">
        <v>1452</v>
      </c>
      <c r="L4843" s="2" t="s">
        <v>5221</v>
      </c>
      <c r="M4843" s="2" t="s">
        <v>5221</v>
      </c>
      <c r="N4843" s="2" t="s">
        <v>2317</v>
      </c>
      <c r="O4843" s="14">
        <v>15000</v>
      </c>
      <c r="P4843" s="14">
        <v>99.27</v>
      </c>
      <c r="Q4843" s="14">
        <v>109.5</v>
      </c>
      <c r="R4843" s="14">
        <v>222.29</v>
      </c>
      <c r="S4843" s="2" t="s">
        <v>1073</v>
      </c>
      <c r="T4843" s="2">
        <v>1.36</v>
      </c>
      <c r="U4843" s="2">
        <v>65.599999999999994</v>
      </c>
      <c r="V4843" s="2">
        <v>68</v>
      </c>
      <c r="W4843" s="2" t="s">
        <v>7862</v>
      </c>
      <c r="X4843" s="2" t="s">
        <v>2897</v>
      </c>
      <c r="Y4843" s="2">
        <v>30450</v>
      </c>
      <c r="Z4843" s="19" t="str">
        <f>HYPERLINK("https://ssdweb.co/ssdweb/hd/Vision360.html?d=926100836&amp;zoomslide=1&amp;z=1926100836&amp;ISCONFIRM=0","VIDEO")</f>
        <v>VIDEO</v>
      </c>
      <c r="AA4843" s="19" t="str">
        <f>HYPERLINK("https://ssdweb.co/ssdweb/CERTH/631464033.pdf","CERTI")</f>
        <v>CERTI</v>
      </c>
    </row>
    <row r="4844" spans="1:27" ht="15" x14ac:dyDescent="0.25">
      <c r="A4844" s="2">
        <v>4839</v>
      </c>
      <c r="B4844" s="39">
        <v>925971252</v>
      </c>
      <c r="C4844" s="28" t="str">
        <f>HYPERLINK("https://pld.live/RapDetail.aspx?STONELIST=925971252","DNA")</f>
        <v>DNA</v>
      </c>
      <c r="D4844" s="18" t="s">
        <v>3658</v>
      </c>
      <c r="E4844" s="18" t="s">
        <v>5128</v>
      </c>
      <c r="F4844" s="2" t="s">
        <v>7987</v>
      </c>
      <c r="G4844" s="2" t="s">
        <v>7322</v>
      </c>
      <c r="H4844" s="14">
        <v>2.0299999999999998</v>
      </c>
      <c r="I4844" s="2" t="s">
        <v>4761</v>
      </c>
      <c r="J4844" s="2" t="s">
        <v>5144</v>
      </c>
      <c r="K4844" s="2" t="s">
        <v>1452</v>
      </c>
      <c r="L4844" s="2" t="s">
        <v>5221</v>
      </c>
      <c r="M4844" s="2" t="s">
        <v>5221</v>
      </c>
      <c r="N4844" s="2" t="s">
        <v>2317</v>
      </c>
      <c r="O4844" s="14">
        <v>15000</v>
      </c>
      <c r="P4844" s="14">
        <v>99.27</v>
      </c>
      <c r="Q4844" s="14">
        <v>109.5</v>
      </c>
      <c r="R4844" s="14">
        <v>222.29</v>
      </c>
      <c r="S4844" s="2" t="s">
        <v>2366</v>
      </c>
      <c r="T4844" s="2">
        <v>1.39</v>
      </c>
      <c r="U4844" s="2">
        <v>67.5</v>
      </c>
      <c r="V4844" s="2">
        <v>64</v>
      </c>
      <c r="W4844" s="2" t="s">
        <v>7862</v>
      </c>
      <c r="X4844" s="2" t="s">
        <v>2897</v>
      </c>
      <c r="Y4844" s="2">
        <v>30450</v>
      </c>
      <c r="Z4844" s="19" t="str">
        <f>HYPERLINK("https://ssdweb.co/ssdweb/hd/Vision360.html?d=925971252&amp;zoomslide=1&amp;z=1925971252&amp;ISCONFIRM=0","VIDEO")</f>
        <v>VIDEO</v>
      </c>
      <c r="AA4844" s="19" t="str">
        <f>HYPERLINK("https://ssdweb.co/ssdweb/CERTH/629481860.pdf","CERTI")</f>
        <v>CERTI</v>
      </c>
    </row>
    <row r="4845" spans="1:27" ht="15" x14ac:dyDescent="0.25">
      <c r="A4845" s="2">
        <v>4840</v>
      </c>
      <c r="B4845" s="39">
        <v>926910425</v>
      </c>
      <c r="C4845" s="28" t="str">
        <f>HYPERLINK("https://pld.live/RapDetail.aspx?STONELIST=926910425","DNA")</f>
        <v>DNA</v>
      </c>
      <c r="D4845" s="18" t="s">
        <v>3658</v>
      </c>
      <c r="E4845" s="18" t="s">
        <v>2186</v>
      </c>
      <c r="F4845" s="2" t="s">
        <v>7987</v>
      </c>
      <c r="G4845" s="2" t="s">
        <v>7322</v>
      </c>
      <c r="H4845" s="14">
        <v>2.0299999999999998</v>
      </c>
      <c r="I4845" s="2" t="s">
        <v>4699</v>
      </c>
      <c r="J4845" s="2" t="s">
        <v>3942</v>
      </c>
      <c r="K4845" s="2" t="s">
        <v>1452</v>
      </c>
      <c r="L4845" s="2" t="s">
        <v>5221</v>
      </c>
      <c r="M4845" s="2" t="s">
        <v>5221</v>
      </c>
      <c r="N4845" s="2" t="s">
        <v>2317</v>
      </c>
      <c r="O4845" s="14">
        <v>16000</v>
      </c>
      <c r="P4845" s="14">
        <v>99.2</v>
      </c>
      <c r="Q4845" s="14">
        <v>128</v>
      </c>
      <c r="R4845" s="14">
        <v>259.83999999999997</v>
      </c>
      <c r="S4845" s="2" t="s">
        <v>3343</v>
      </c>
      <c r="T4845" s="2">
        <v>1.38</v>
      </c>
      <c r="U4845" s="2">
        <v>68.099999999999994</v>
      </c>
      <c r="V4845" s="2">
        <v>67</v>
      </c>
      <c r="W4845" s="2" t="s">
        <v>7862</v>
      </c>
      <c r="X4845" s="2" t="s">
        <v>2897</v>
      </c>
      <c r="Y4845" s="2">
        <v>32480</v>
      </c>
      <c r="Z4845" s="19" t="str">
        <f>HYPERLINK("https://ssdweb.co/ssdweb/hd/Vision360.html?d=926910425&amp;zoomslide=1&amp;z=1926910425&amp;ISCONFIRM=0","VIDEO")</f>
        <v>VIDEO</v>
      </c>
      <c r="AA4845" s="19" t="str">
        <f>HYPERLINK("https://ssdweb.co/ssdweb/CERTH/656479454.pdf","CERTI")</f>
        <v>CERTI</v>
      </c>
    </row>
    <row r="4846" spans="1:27" ht="15" x14ac:dyDescent="0.25">
      <c r="A4846" s="2">
        <v>4841</v>
      </c>
      <c r="B4846" s="39">
        <v>925540673</v>
      </c>
      <c r="C4846" s="28" t="str">
        <f>HYPERLINK("https://pld.live/RapDetail.aspx?STONELIST=925540673","DNA")</f>
        <v>DNA</v>
      </c>
      <c r="D4846" s="18" t="s">
        <v>3658</v>
      </c>
      <c r="E4846" s="18" t="s">
        <v>5128</v>
      </c>
      <c r="F4846" s="2" t="s">
        <v>7987</v>
      </c>
      <c r="G4846" s="2" t="s">
        <v>7322</v>
      </c>
      <c r="H4846" s="14">
        <v>2.02</v>
      </c>
      <c r="I4846" s="2" t="s">
        <v>267</v>
      </c>
      <c r="J4846" s="2" t="s">
        <v>6555</v>
      </c>
      <c r="K4846" s="2" t="s">
        <v>1452</v>
      </c>
      <c r="L4846" s="2" t="s">
        <v>5221</v>
      </c>
      <c r="M4846" s="2" t="s">
        <v>5221</v>
      </c>
      <c r="N4846" s="2" t="s">
        <v>2317</v>
      </c>
      <c r="O4846" s="14">
        <v>20000</v>
      </c>
      <c r="P4846" s="14">
        <v>98.83</v>
      </c>
      <c r="Q4846" s="14">
        <v>234</v>
      </c>
      <c r="R4846" s="14">
        <v>472.68</v>
      </c>
      <c r="S4846" s="2" t="s">
        <v>117</v>
      </c>
      <c r="T4846" s="2">
        <v>1.42</v>
      </c>
      <c r="U4846" s="2">
        <v>66.2</v>
      </c>
      <c r="V4846" s="2">
        <v>66</v>
      </c>
      <c r="W4846" s="2" t="s">
        <v>7862</v>
      </c>
      <c r="X4846" s="2" t="s">
        <v>2897</v>
      </c>
      <c r="Y4846" s="2">
        <v>40400</v>
      </c>
      <c r="Z4846" s="19" t="str">
        <f>HYPERLINK("https://ssdweb.co/ssdweb/hd/Vision360.html?d=925540673&amp;zoomslide=1&amp;z=1925540673&amp;ISCONFIRM=0","VIDEO")</f>
        <v>VIDEO</v>
      </c>
      <c r="AA4846" s="19" t="str">
        <f>HYPERLINK("https://ssdweb.co/ssdweb/CERTH/617413138.pdf","CERTI")</f>
        <v>CERTI</v>
      </c>
    </row>
    <row r="4847" spans="1:27" ht="15" x14ac:dyDescent="0.25">
      <c r="A4847" s="2">
        <v>4842</v>
      </c>
      <c r="B4847" s="39">
        <v>925500742</v>
      </c>
      <c r="C4847" s="28" t="str">
        <f>HYPERLINK("https://pld.live/RapDetail.aspx?STONELIST=925500742","DNA")</f>
        <v>DNA</v>
      </c>
      <c r="D4847" s="18" t="s">
        <v>3658</v>
      </c>
      <c r="E4847" s="18" t="s">
        <v>5128</v>
      </c>
      <c r="F4847" s="2" t="s">
        <v>7987</v>
      </c>
      <c r="G4847" s="2" t="s">
        <v>7322</v>
      </c>
      <c r="H4847" s="14">
        <v>2.02</v>
      </c>
      <c r="I4847" s="2" t="s">
        <v>267</v>
      </c>
      <c r="J4847" s="2" t="s">
        <v>6555</v>
      </c>
      <c r="K4847" s="2" t="s">
        <v>1452</v>
      </c>
      <c r="L4847" s="2" t="s">
        <v>5221</v>
      </c>
      <c r="M4847" s="2" t="s">
        <v>5221</v>
      </c>
      <c r="N4847" s="2" t="s">
        <v>2317</v>
      </c>
      <c r="O4847" s="14">
        <v>20000</v>
      </c>
      <c r="P4847" s="14">
        <v>98.83</v>
      </c>
      <c r="Q4847" s="14">
        <v>234</v>
      </c>
      <c r="R4847" s="14">
        <v>472.68</v>
      </c>
      <c r="S4847" s="2" t="s">
        <v>3965</v>
      </c>
      <c r="T4847" s="2">
        <v>1.36</v>
      </c>
      <c r="U4847" s="2">
        <v>67.7</v>
      </c>
      <c r="V4847" s="2">
        <v>66</v>
      </c>
      <c r="W4847" s="2" t="s">
        <v>7862</v>
      </c>
      <c r="X4847" s="2" t="s">
        <v>2897</v>
      </c>
      <c r="Y4847" s="2">
        <v>40400</v>
      </c>
      <c r="Z4847" s="19" t="str">
        <f>HYPERLINK("https://ssdweb.co/ssdweb/hd/Vision360.html?d=925500742&amp;zoomslide=1&amp;z=1925500742&amp;ISCONFIRM=0","VIDEO")</f>
        <v>VIDEO</v>
      </c>
      <c r="AA4847" s="19" t="str">
        <f>HYPERLINK("https://ssdweb.co/ssdweb/CERTH/616434332.pdf","CERTI")</f>
        <v>CERTI</v>
      </c>
    </row>
    <row r="4848" spans="1:27" ht="15" x14ac:dyDescent="0.25">
      <c r="A4848" s="2">
        <v>4843</v>
      </c>
      <c r="B4848" s="39">
        <v>925971093</v>
      </c>
      <c r="C4848" s="28" t="str">
        <f>HYPERLINK("https://pld.live/RapDetail.aspx?STONELIST=925971093","DNA")</f>
        <v>DNA</v>
      </c>
      <c r="D4848" s="18" t="s">
        <v>3658</v>
      </c>
      <c r="E4848" s="18" t="s">
        <v>5128</v>
      </c>
      <c r="F4848" s="2" t="s">
        <v>7987</v>
      </c>
      <c r="G4848" s="2" t="s">
        <v>7322</v>
      </c>
      <c r="H4848" s="14">
        <v>2.02</v>
      </c>
      <c r="I4848" s="2" t="s">
        <v>267</v>
      </c>
      <c r="J4848" s="2" t="s">
        <v>6555</v>
      </c>
      <c r="K4848" s="2" t="s">
        <v>1452</v>
      </c>
      <c r="L4848" s="2" t="s">
        <v>5221</v>
      </c>
      <c r="M4848" s="2" t="s">
        <v>5221</v>
      </c>
      <c r="N4848" s="2" t="s">
        <v>2317</v>
      </c>
      <c r="O4848" s="14">
        <v>20000</v>
      </c>
      <c r="P4848" s="14">
        <v>98.83</v>
      </c>
      <c r="Q4848" s="14">
        <v>234</v>
      </c>
      <c r="R4848" s="14">
        <v>472.68</v>
      </c>
      <c r="S4848" s="2" t="s">
        <v>7851</v>
      </c>
      <c r="T4848" s="2">
        <v>1.38</v>
      </c>
      <c r="U4848" s="2">
        <v>67.599999999999994</v>
      </c>
      <c r="V4848" s="2">
        <v>67</v>
      </c>
      <c r="W4848" s="2" t="s">
        <v>7862</v>
      </c>
      <c r="X4848" s="2" t="s">
        <v>2897</v>
      </c>
      <c r="Y4848" s="2">
        <v>40400</v>
      </c>
      <c r="Z4848" s="19" t="str">
        <f>HYPERLINK("https://ssdweb.co/ssdweb/hd/Vision360.html?d=925971093&amp;zoomslide=1&amp;z=1925971093&amp;ISCONFIRM=0","VIDEO")</f>
        <v>VIDEO</v>
      </c>
      <c r="AA4848" s="19" t="str">
        <f>HYPERLINK("https://ssdweb.co/ssdweb/CERTH/629453411.pdf","CERTI")</f>
        <v>CERTI</v>
      </c>
    </row>
    <row r="4849" spans="1:27" ht="15" x14ac:dyDescent="0.25">
      <c r="A4849" s="2">
        <v>4844</v>
      </c>
      <c r="B4849" s="39">
        <v>925960924</v>
      </c>
      <c r="C4849" s="28" t="str">
        <f>HYPERLINK("https://pld.live/RapDetail.aspx?STONELIST=925960924","DNA")</f>
        <v>DNA</v>
      </c>
      <c r="D4849" s="18" t="s">
        <v>3658</v>
      </c>
      <c r="E4849" s="18" t="s">
        <v>5128</v>
      </c>
      <c r="F4849" s="2" t="s">
        <v>7987</v>
      </c>
      <c r="G4849" s="2" t="s">
        <v>7322</v>
      </c>
      <c r="H4849" s="14">
        <v>2.02</v>
      </c>
      <c r="I4849" s="2" t="s">
        <v>267</v>
      </c>
      <c r="J4849" s="2" t="s">
        <v>3942</v>
      </c>
      <c r="K4849" s="2" t="s">
        <v>1452</v>
      </c>
      <c r="L4849" s="2" t="s">
        <v>5221</v>
      </c>
      <c r="M4849" s="2" t="s">
        <v>5221</v>
      </c>
      <c r="N4849" s="2" t="s">
        <v>2317</v>
      </c>
      <c r="O4849" s="14">
        <v>18500</v>
      </c>
      <c r="P4849" s="14">
        <v>99.19</v>
      </c>
      <c r="Q4849" s="14">
        <v>149.85</v>
      </c>
      <c r="R4849" s="14">
        <v>302.7</v>
      </c>
      <c r="S4849" s="2" t="s">
        <v>2386</v>
      </c>
      <c r="T4849" s="2">
        <v>1.38</v>
      </c>
      <c r="U4849" s="2">
        <v>67.599999999999994</v>
      </c>
      <c r="V4849" s="2">
        <v>65</v>
      </c>
      <c r="W4849" s="2" t="s">
        <v>7862</v>
      </c>
      <c r="X4849" s="2" t="s">
        <v>2897</v>
      </c>
      <c r="Y4849" s="2">
        <v>37370</v>
      </c>
      <c r="Z4849" s="19" t="str">
        <f>HYPERLINK("https://ssdweb.co/ssdweb/hd/Vision360.html?d=925960924&amp;zoomslide=1&amp;z=1925960924&amp;ISCONFIRM=0","VIDEO")</f>
        <v>VIDEO</v>
      </c>
      <c r="AA4849" s="19" t="str">
        <f>HYPERLINK("https://ssdweb.co/ssdweb/CERTH/628463213.pdf","CERTI")</f>
        <v>CERTI</v>
      </c>
    </row>
    <row r="4850" spans="1:27" ht="15" x14ac:dyDescent="0.25">
      <c r="A4850" s="2">
        <v>4845</v>
      </c>
      <c r="B4850" s="39">
        <v>926040923</v>
      </c>
      <c r="C4850" s="28" t="str">
        <f>HYPERLINK("https://pld.live/RapDetail.aspx?STONELIST=926040923","DNA")</f>
        <v>DNA</v>
      </c>
      <c r="D4850" s="18" t="s">
        <v>3658</v>
      </c>
      <c r="E4850" s="18" t="s">
        <v>5128</v>
      </c>
      <c r="F4850" s="2" t="s">
        <v>7987</v>
      </c>
      <c r="G4850" s="2" t="s">
        <v>7322</v>
      </c>
      <c r="H4850" s="14">
        <v>2.02</v>
      </c>
      <c r="I4850" s="2" t="s">
        <v>267</v>
      </c>
      <c r="J4850" s="2" t="s">
        <v>3942</v>
      </c>
      <c r="K4850" s="2" t="s">
        <v>1452</v>
      </c>
      <c r="L4850" s="2" t="s">
        <v>5221</v>
      </c>
      <c r="M4850" s="2" t="s">
        <v>5221</v>
      </c>
      <c r="N4850" s="2" t="s">
        <v>2317</v>
      </c>
      <c r="O4850" s="14">
        <v>18500</v>
      </c>
      <c r="P4850" s="14">
        <v>99.19</v>
      </c>
      <c r="Q4850" s="14">
        <v>149.85</v>
      </c>
      <c r="R4850" s="14">
        <v>302.7</v>
      </c>
      <c r="S4850" s="2" t="s">
        <v>5718</v>
      </c>
      <c r="T4850" s="2">
        <v>1.38</v>
      </c>
      <c r="U4850" s="2">
        <v>67.900000000000006</v>
      </c>
      <c r="V4850" s="2">
        <v>65</v>
      </c>
      <c r="W4850" s="2" t="s">
        <v>7862</v>
      </c>
      <c r="X4850" s="2" t="s">
        <v>2897</v>
      </c>
      <c r="Y4850" s="2">
        <v>37370</v>
      </c>
      <c r="Z4850" s="19" t="str">
        <f>HYPERLINK("https://ssdweb.co/ssdweb/hd/Vision360.html?d=926040923&amp;zoomslide=1&amp;z=1926040923&amp;ISCONFIRM=0","VIDEO")</f>
        <v>VIDEO</v>
      </c>
      <c r="AA4850" s="19" t="str">
        <f>HYPERLINK("https://ssdweb.co/ssdweb/CERTH/630447701.pdf","CERTI")</f>
        <v>CERTI</v>
      </c>
    </row>
    <row r="4851" spans="1:27" ht="15" x14ac:dyDescent="0.25">
      <c r="A4851" s="2">
        <v>4846</v>
      </c>
      <c r="B4851" s="39">
        <v>926020683</v>
      </c>
      <c r="C4851" s="28" t="str">
        <f>HYPERLINK("https://pld.live/RapDetail.aspx?STONELIST=926020683","DNA")</f>
        <v>DNA</v>
      </c>
      <c r="D4851" s="18" t="s">
        <v>3658</v>
      </c>
      <c r="E4851" s="18" t="s">
        <v>5128</v>
      </c>
      <c r="F4851" s="2" t="s">
        <v>7987</v>
      </c>
      <c r="G4851" s="2" t="s">
        <v>7322</v>
      </c>
      <c r="H4851" s="14">
        <v>2.02</v>
      </c>
      <c r="I4851" s="2" t="s">
        <v>267</v>
      </c>
      <c r="J4851" s="2" t="s">
        <v>3942</v>
      </c>
      <c r="K4851" s="2" t="s">
        <v>1452</v>
      </c>
      <c r="L4851" s="2" t="s">
        <v>5221</v>
      </c>
      <c r="M4851" s="2" t="s">
        <v>5221</v>
      </c>
      <c r="N4851" s="2" t="s">
        <v>2317</v>
      </c>
      <c r="O4851" s="14">
        <v>18500</v>
      </c>
      <c r="P4851" s="14">
        <v>99.19</v>
      </c>
      <c r="Q4851" s="14">
        <v>149.85</v>
      </c>
      <c r="R4851" s="14">
        <v>302.7</v>
      </c>
      <c r="S4851" s="2" t="s">
        <v>7377</v>
      </c>
      <c r="T4851" s="2">
        <v>1.38</v>
      </c>
      <c r="U4851" s="2">
        <v>66.400000000000006</v>
      </c>
      <c r="V4851" s="2">
        <v>66</v>
      </c>
      <c r="W4851" s="2" t="s">
        <v>7862</v>
      </c>
      <c r="X4851" s="2" t="s">
        <v>2897</v>
      </c>
      <c r="Y4851" s="2">
        <v>37370</v>
      </c>
      <c r="Z4851" s="19" t="str">
        <f>HYPERLINK("https://ssdweb.co/ssdweb/hd/Vision360.html?d=926020683&amp;zoomslide=1&amp;z=1926020683&amp;ISCONFIRM=0","VIDEO")</f>
        <v>VIDEO</v>
      </c>
      <c r="AA4851" s="19" t="str">
        <f>HYPERLINK("https://ssdweb.co/ssdweb/CERTH/630447865.pdf","CERTI")</f>
        <v>CERTI</v>
      </c>
    </row>
    <row r="4852" spans="1:27" ht="15" x14ac:dyDescent="0.25">
      <c r="A4852" s="2">
        <v>4847</v>
      </c>
      <c r="B4852" s="39">
        <v>925961077</v>
      </c>
      <c r="C4852" s="28" t="str">
        <f>HYPERLINK("https://pld.live/RapDetail.aspx?STONELIST=925961077","DNA")</f>
        <v>DNA</v>
      </c>
      <c r="D4852" s="18" t="s">
        <v>3658</v>
      </c>
      <c r="E4852" s="18" t="s">
        <v>5128</v>
      </c>
      <c r="F4852" s="2" t="s">
        <v>7987</v>
      </c>
      <c r="G4852" s="2" t="s">
        <v>7322</v>
      </c>
      <c r="H4852" s="14">
        <v>2.02</v>
      </c>
      <c r="I4852" s="2" t="s">
        <v>267</v>
      </c>
      <c r="J4852" s="2" t="s">
        <v>13</v>
      </c>
      <c r="K4852" s="2" t="s">
        <v>1452</v>
      </c>
      <c r="L4852" s="2" t="s">
        <v>5221</v>
      </c>
      <c r="M4852" s="2" t="s">
        <v>5221</v>
      </c>
      <c r="N4852" s="2" t="s">
        <v>2317</v>
      </c>
      <c r="O4852" s="14">
        <v>17500</v>
      </c>
      <c r="P4852" s="14">
        <v>99.26</v>
      </c>
      <c r="Q4852" s="14">
        <v>129.5</v>
      </c>
      <c r="R4852" s="14">
        <v>261.58999999999997</v>
      </c>
      <c r="S4852" s="2" t="s">
        <v>3348</v>
      </c>
      <c r="T4852" s="2">
        <v>1.35</v>
      </c>
      <c r="U4852" s="2">
        <v>63.9</v>
      </c>
      <c r="V4852" s="2">
        <v>66</v>
      </c>
      <c r="W4852" s="2" t="s">
        <v>7862</v>
      </c>
      <c r="X4852" s="2" t="s">
        <v>2897</v>
      </c>
      <c r="Y4852" s="2">
        <v>35350</v>
      </c>
      <c r="Z4852" s="19" t="str">
        <f>HYPERLINK("https://ssdweb.co/ssdweb/hd/Vision360.html?d=925961077&amp;zoomslide=1&amp;z=1925961077&amp;ISCONFIRM=0","VIDEO")</f>
        <v>VIDEO</v>
      </c>
      <c r="AA4852" s="19" t="str">
        <f>HYPERLINK("https://ssdweb.co/ssdweb/CERTH/629453424.pdf","CERTI")</f>
        <v>CERTI</v>
      </c>
    </row>
    <row r="4853" spans="1:27" ht="15" x14ac:dyDescent="0.25">
      <c r="A4853" s="2">
        <v>4848</v>
      </c>
      <c r="B4853" s="39">
        <v>925771196</v>
      </c>
      <c r="C4853" s="28" t="str">
        <f>HYPERLINK("https://pld.live/RapDetail.aspx?STONELIST=925771196","DNA")</f>
        <v>DNA</v>
      </c>
      <c r="D4853" s="18" t="s">
        <v>3658</v>
      </c>
      <c r="E4853" s="18" t="s">
        <v>5128</v>
      </c>
      <c r="F4853" s="2" t="s">
        <v>7987</v>
      </c>
      <c r="G4853" s="2" t="s">
        <v>7322</v>
      </c>
      <c r="H4853" s="14">
        <v>2.02</v>
      </c>
      <c r="I4853" s="2" t="s">
        <v>267</v>
      </c>
      <c r="J4853" s="2" t="s">
        <v>13</v>
      </c>
      <c r="K4853" s="2" t="s">
        <v>1452</v>
      </c>
      <c r="L4853" s="2" t="s">
        <v>5221</v>
      </c>
      <c r="M4853" s="2" t="s">
        <v>5221</v>
      </c>
      <c r="N4853" s="2" t="s">
        <v>2317</v>
      </c>
      <c r="O4853" s="14">
        <v>17500</v>
      </c>
      <c r="P4853" s="14">
        <v>99.26</v>
      </c>
      <c r="Q4853" s="14">
        <v>129.5</v>
      </c>
      <c r="R4853" s="14">
        <v>261.58999999999997</v>
      </c>
      <c r="S4853" s="2" t="s">
        <v>4524</v>
      </c>
      <c r="T4853" s="2">
        <v>1.39</v>
      </c>
      <c r="U4853" s="2">
        <v>67.900000000000006</v>
      </c>
      <c r="V4853" s="2">
        <v>61</v>
      </c>
      <c r="W4853" s="2" t="s">
        <v>7862</v>
      </c>
      <c r="X4853" s="2" t="s">
        <v>2897</v>
      </c>
      <c r="Y4853" s="2">
        <v>35350</v>
      </c>
      <c r="Z4853" s="19" t="str">
        <f>HYPERLINK("https://ssdweb.co/ssdweb/hd/Vision360.html?d=925771196&amp;zoomslide=1&amp;z=1925771196&amp;ISCONFIRM=0","VIDEO")</f>
        <v>VIDEO</v>
      </c>
      <c r="AA4853" s="19" t="str">
        <f>HYPERLINK("https://ssdweb.co/ssdweb/CERTH/626466223.pdf","CERTI")</f>
        <v>CERTI</v>
      </c>
    </row>
    <row r="4854" spans="1:27" ht="15" x14ac:dyDescent="0.25">
      <c r="A4854" s="2">
        <v>4849</v>
      </c>
      <c r="B4854" s="39">
        <v>925961275</v>
      </c>
      <c r="C4854" s="28" t="str">
        <f>HYPERLINK("https://pld.live/RapDetail.aspx?STONELIST=925961275","DNA")</f>
        <v>DNA</v>
      </c>
      <c r="D4854" s="18" t="s">
        <v>3658</v>
      </c>
      <c r="E4854" s="18" t="s">
        <v>5128</v>
      </c>
      <c r="F4854" s="2" t="s">
        <v>7987</v>
      </c>
      <c r="G4854" s="2" t="s">
        <v>7322</v>
      </c>
      <c r="H4854" s="14">
        <v>2.02</v>
      </c>
      <c r="I4854" s="2" t="s">
        <v>267</v>
      </c>
      <c r="J4854" s="2" t="s">
        <v>13</v>
      </c>
      <c r="K4854" s="2" t="s">
        <v>1452</v>
      </c>
      <c r="L4854" s="2" t="s">
        <v>5221</v>
      </c>
      <c r="M4854" s="2" t="s">
        <v>5221</v>
      </c>
      <c r="N4854" s="2" t="s">
        <v>2317</v>
      </c>
      <c r="O4854" s="14">
        <v>17500</v>
      </c>
      <c r="P4854" s="14">
        <v>99.26</v>
      </c>
      <c r="Q4854" s="14">
        <v>129.5</v>
      </c>
      <c r="R4854" s="14">
        <v>261.58999999999997</v>
      </c>
      <c r="S4854" s="2" t="s">
        <v>1079</v>
      </c>
      <c r="T4854" s="2">
        <v>1.36</v>
      </c>
      <c r="U4854" s="2">
        <v>68.3</v>
      </c>
      <c r="V4854" s="2">
        <v>63</v>
      </c>
      <c r="W4854" s="2" t="s">
        <v>7862</v>
      </c>
      <c r="X4854" s="2" t="s">
        <v>2897</v>
      </c>
      <c r="Y4854" s="2">
        <v>35350</v>
      </c>
      <c r="Z4854" s="19" t="str">
        <f>HYPERLINK("https://ssdweb.co/ssdweb/hd/Vision360.html?d=925961275&amp;zoomslide=1&amp;z=1925961275&amp;ISCONFIRM=0","VIDEO")</f>
        <v>VIDEO</v>
      </c>
      <c r="AA4854" s="19" t="str">
        <f>HYPERLINK("https://ssdweb.co/ssdweb/CERTH/629481847.pdf","CERTI")</f>
        <v>CERTI</v>
      </c>
    </row>
    <row r="4855" spans="1:27" ht="15" x14ac:dyDescent="0.25">
      <c r="A4855" s="2">
        <v>4850</v>
      </c>
      <c r="B4855" s="39">
        <v>925951144</v>
      </c>
      <c r="C4855" s="28" t="str">
        <f>HYPERLINK("https://pld.live/RapDetail.aspx?STONELIST=925951144","DNA")</f>
        <v>DNA</v>
      </c>
      <c r="D4855" s="18" t="s">
        <v>3658</v>
      </c>
      <c r="E4855" s="18" t="s">
        <v>5128</v>
      </c>
      <c r="F4855" s="2" t="s">
        <v>7987</v>
      </c>
      <c r="G4855" s="2" t="s">
        <v>7322</v>
      </c>
      <c r="H4855" s="14">
        <v>2.02</v>
      </c>
      <c r="I4855" s="2" t="s">
        <v>267</v>
      </c>
      <c r="J4855" s="2" t="s">
        <v>13</v>
      </c>
      <c r="K4855" s="2" t="s">
        <v>1452</v>
      </c>
      <c r="L4855" s="2" t="s">
        <v>5221</v>
      </c>
      <c r="M4855" s="2" t="s">
        <v>5221</v>
      </c>
      <c r="N4855" s="2" t="s">
        <v>2317</v>
      </c>
      <c r="O4855" s="14">
        <v>17500</v>
      </c>
      <c r="P4855" s="14">
        <v>99.26</v>
      </c>
      <c r="Q4855" s="14">
        <v>129.5</v>
      </c>
      <c r="R4855" s="14">
        <v>261.58999999999997</v>
      </c>
      <c r="S4855" s="2" t="s">
        <v>2751</v>
      </c>
      <c r="T4855" s="2">
        <v>1.39</v>
      </c>
      <c r="U4855" s="2">
        <v>64</v>
      </c>
      <c r="V4855" s="2">
        <v>66</v>
      </c>
      <c r="W4855" s="2" t="s">
        <v>7862</v>
      </c>
      <c r="X4855" s="2" t="s">
        <v>2897</v>
      </c>
      <c r="Y4855" s="2">
        <v>35350</v>
      </c>
      <c r="Z4855" s="19" t="str">
        <f>HYPERLINK("https://ssdweb.co/ssdweb/hd/Vision360.html?d=925951144&amp;zoomslide=1&amp;z=1925951144&amp;ISCONFIRM=0","VIDEO")</f>
        <v>VIDEO</v>
      </c>
      <c r="AA4855" s="19" t="str">
        <f>HYPERLINK("https://ssdweb.co/ssdweb/CERTH/629453024.pdf","CERTI")</f>
        <v>CERTI</v>
      </c>
    </row>
    <row r="4856" spans="1:27" ht="15" x14ac:dyDescent="0.25">
      <c r="A4856" s="2">
        <v>4851</v>
      </c>
      <c r="B4856" s="39">
        <v>926200691</v>
      </c>
      <c r="C4856" s="28" t="str">
        <f>HYPERLINK("https://pld.live/RapDetail.aspx?STONELIST=926200691","DNA")</f>
        <v>DNA</v>
      </c>
      <c r="D4856" s="18" t="s">
        <v>3658</v>
      </c>
      <c r="E4856" s="18" t="s">
        <v>5128</v>
      </c>
      <c r="F4856" s="2" t="s">
        <v>7987</v>
      </c>
      <c r="G4856" s="2" t="s">
        <v>7322</v>
      </c>
      <c r="H4856" s="14">
        <v>2.02</v>
      </c>
      <c r="I4856" s="2" t="s">
        <v>267</v>
      </c>
      <c r="J4856" s="2" t="s">
        <v>13</v>
      </c>
      <c r="K4856" s="2" t="s">
        <v>1452</v>
      </c>
      <c r="L4856" s="2" t="s">
        <v>5221</v>
      </c>
      <c r="M4856" s="2" t="s">
        <v>5221</v>
      </c>
      <c r="N4856" s="2" t="s">
        <v>2317</v>
      </c>
      <c r="O4856" s="14">
        <v>17500</v>
      </c>
      <c r="P4856" s="14">
        <v>99.24</v>
      </c>
      <c r="Q4856" s="14">
        <v>133</v>
      </c>
      <c r="R4856" s="14">
        <v>268.66000000000003</v>
      </c>
      <c r="S4856" s="2" t="s">
        <v>6421</v>
      </c>
      <c r="T4856" s="2">
        <v>1.4</v>
      </c>
      <c r="U4856" s="2">
        <v>67.3</v>
      </c>
      <c r="V4856" s="2">
        <v>66</v>
      </c>
      <c r="W4856" s="2" t="s">
        <v>7862</v>
      </c>
      <c r="X4856" s="2" t="s">
        <v>2897</v>
      </c>
      <c r="Y4856" s="2">
        <v>35350</v>
      </c>
      <c r="Z4856" s="19" t="str">
        <f>HYPERLINK("https://ssdweb.co/ssdweb/hd/Vision360.html?d=926200691&amp;zoomslide=1&amp;z=1926200691&amp;ISCONFIRM=0","VIDEO")</f>
        <v>VIDEO</v>
      </c>
      <c r="AA4856" s="19" t="str">
        <f>HYPERLINK("https://ssdweb.co/ssdweb/CERTH/634431508.pdf","CERTI")</f>
        <v>CERTI</v>
      </c>
    </row>
    <row r="4857" spans="1:27" ht="15" x14ac:dyDescent="0.25">
      <c r="A4857" s="2">
        <v>4852</v>
      </c>
      <c r="B4857" s="39">
        <v>926020593</v>
      </c>
      <c r="C4857" s="28" t="str">
        <f>HYPERLINK("https://pld.live/RapDetail.aspx?STONELIST=926020593","DNA")</f>
        <v>DNA</v>
      </c>
      <c r="D4857" s="18" t="s">
        <v>3658</v>
      </c>
      <c r="E4857" s="18" t="s">
        <v>5128</v>
      </c>
      <c r="F4857" s="2" t="s">
        <v>7987</v>
      </c>
      <c r="G4857" s="2" t="s">
        <v>7322</v>
      </c>
      <c r="H4857" s="14">
        <v>2.02</v>
      </c>
      <c r="I4857" s="2" t="s">
        <v>267</v>
      </c>
      <c r="J4857" s="2" t="s">
        <v>13</v>
      </c>
      <c r="K4857" s="2" t="s">
        <v>1452</v>
      </c>
      <c r="L4857" s="2" t="s">
        <v>5221</v>
      </c>
      <c r="M4857" s="2" t="s">
        <v>5221</v>
      </c>
      <c r="N4857" s="2" t="s">
        <v>2317</v>
      </c>
      <c r="O4857" s="14">
        <v>17500</v>
      </c>
      <c r="P4857" s="14">
        <v>99.26</v>
      </c>
      <c r="Q4857" s="14">
        <v>129.5</v>
      </c>
      <c r="R4857" s="14">
        <v>261.58999999999997</v>
      </c>
      <c r="S4857" s="2" t="s">
        <v>3947</v>
      </c>
      <c r="T4857" s="2">
        <v>1.36</v>
      </c>
      <c r="U4857" s="2">
        <v>68.5</v>
      </c>
      <c r="V4857" s="2">
        <v>67</v>
      </c>
      <c r="W4857" s="2" t="s">
        <v>7862</v>
      </c>
      <c r="X4857" s="2" t="s">
        <v>2897</v>
      </c>
      <c r="Y4857" s="2">
        <v>35350</v>
      </c>
      <c r="Z4857" s="19" t="str">
        <f>HYPERLINK("https://ssdweb.co/ssdweb/hd/Vision360.html?d=926020593&amp;zoomslide=1&amp;z=1926020593&amp;ISCONFIRM=0","VIDEO")</f>
        <v>VIDEO</v>
      </c>
      <c r="AA4857" s="19" t="str">
        <f>HYPERLINK("https://ssdweb.co/ssdweb/CERTH/629481839.pdf","CERTI")</f>
        <v>CERTI</v>
      </c>
    </row>
    <row r="4858" spans="1:27" ht="15" x14ac:dyDescent="0.25">
      <c r="A4858" s="2">
        <v>4853</v>
      </c>
      <c r="B4858" s="39">
        <v>926020596</v>
      </c>
      <c r="C4858" s="28" t="str">
        <f>HYPERLINK("https://pld.live/RapDetail.aspx?STONELIST=926020596","DNA")</f>
        <v>DNA</v>
      </c>
      <c r="D4858" s="18" t="s">
        <v>3658</v>
      </c>
      <c r="E4858" s="18" t="s">
        <v>5128</v>
      </c>
      <c r="F4858" s="2" t="s">
        <v>7987</v>
      </c>
      <c r="G4858" s="2" t="s">
        <v>7322</v>
      </c>
      <c r="H4858" s="14">
        <v>2.02</v>
      </c>
      <c r="I4858" s="2" t="s">
        <v>4761</v>
      </c>
      <c r="J4858" s="2" t="s">
        <v>6555</v>
      </c>
      <c r="K4858" s="2" t="s">
        <v>1452</v>
      </c>
      <c r="L4858" s="2" t="s">
        <v>5221</v>
      </c>
      <c r="M4858" s="2" t="s">
        <v>5221</v>
      </c>
      <c r="N4858" s="2" t="s">
        <v>2317</v>
      </c>
      <c r="O4858" s="14">
        <v>18500</v>
      </c>
      <c r="P4858" s="14">
        <v>98.89</v>
      </c>
      <c r="Q4858" s="14">
        <v>205.35</v>
      </c>
      <c r="R4858" s="14">
        <v>414.81</v>
      </c>
      <c r="S4858" s="2" t="s">
        <v>7211</v>
      </c>
      <c r="T4858" s="2">
        <v>1.37</v>
      </c>
      <c r="U4858" s="2">
        <v>68.2</v>
      </c>
      <c r="V4858" s="2">
        <v>64</v>
      </c>
      <c r="W4858" s="2" t="s">
        <v>7862</v>
      </c>
      <c r="X4858" s="2" t="s">
        <v>2897</v>
      </c>
      <c r="Y4858" s="2">
        <v>37370</v>
      </c>
      <c r="Z4858" s="19" t="str">
        <f>HYPERLINK("https://ssdweb.co/ssdweb/hd/Vision360.html?d=926020596&amp;zoomslide=1&amp;z=1926020596&amp;ISCONFIRM=0","VIDEO")</f>
        <v>VIDEO</v>
      </c>
      <c r="AA4858" s="19" t="str">
        <f>HYPERLINK("https://ssdweb.co/ssdweb/CERTH/629479176.pdf","CERTI")</f>
        <v>CERTI</v>
      </c>
    </row>
    <row r="4859" spans="1:27" ht="15" x14ac:dyDescent="0.25">
      <c r="A4859" s="2">
        <v>4854</v>
      </c>
      <c r="B4859" s="39">
        <v>926910587</v>
      </c>
      <c r="C4859" s="28" t="str">
        <f>HYPERLINK("https://pld.live/RapDetail.aspx?STONELIST=926910587","DNA")</f>
        <v>DNA</v>
      </c>
      <c r="D4859" s="18" t="s">
        <v>3658</v>
      </c>
      <c r="E4859" s="18" t="s">
        <v>2186</v>
      </c>
      <c r="F4859" s="2" t="s">
        <v>7987</v>
      </c>
      <c r="G4859" s="2" t="s">
        <v>7322</v>
      </c>
      <c r="H4859" s="14">
        <v>2.02</v>
      </c>
      <c r="I4859" s="2" t="s">
        <v>4761</v>
      </c>
      <c r="J4859" s="2" t="s">
        <v>3942</v>
      </c>
      <c r="K4859" s="2" t="s">
        <v>1452</v>
      </c>
      <c r="L4859" s="2" t="s">
        <v>5221</v>
      </c>
      <c r="M4859" s="2" t="s">
        <v>5221</v>
      </c>
      <c r="N4859" s="2" t="s">
        <v>2317</v>
      </c>
      <c r="O4859" s="14">
        <v>17000</v>
      </c>
      <c r="P4859" s="14">
        <v>99.19</v>
      </c>
      <c r="Q4859" s="14">
        <v>137.69999999999999</v>
      </c>
      <c r="R4859" s="14">
        <v>278.14999999999998</v>
      </c>
      <c r="S4859" s="2" t="s">
        <v>1911</v>
      </c>
      <c r="T4859" s="2">
        <v>1.53</v>
      </c>
      <c r="U4859" s="2">
        <v>65.900000000000006</v>
      </c>
      <c r="V4859" s="2">
        <v>64</v>
      </c>
      <c r="W4859" s="2" t="s">
        <v>7862</v>
      </c>
      <c r="X4859" s="2" t="s">
        <v>2897</v>
      </c>
      <c r="Y4859" s="2">
        <v>34340</v>
      </c>
      <c r="Z4859" s="19" t="str">
        <f>HYPERLINK("https://ssdweb.co/ssdweb/hd/Vision360.html?d=926910587&amp;zoomslide=1&amp;z=1926910587&amp;ISCONFIRM=0","VIDEO")</f>
        <v>VIDEO</v>
      </c>
      <c r="AA4859" s="19" t="str">
        <f>HYPERLINK("https://ssdweb.co/ssdweb/CERTH/659436981.pdf","CERTI")</f>
        <v>CERTI</v>
      </c>
    </row>
    <row r="4860" spans="1:27" ht="15" x14ac:dyDescent="0.25">
      <c r="A4860" s="2">
        <v>4855</v>
      </c>
      <c r="B4860" s="39">
        <v>927060759</v>
      </c>
      <c r="C4860" s="28" t="str">
        <f>HYPERLINK("https://pld.live/RapDetail.aspx?STONELIST=927060759","DNA")</f>
        <v>DNA</v>
      </c>
      <c r="D4860" s="18" t="s">
        <v>3658</v>
      </c>
      <c r="E4860" s="18" t="s">
        <v>2186</v>
      </c>
      <c r="F4860" s="2" t="s">
        <v>7987</v>
      </c>
      <c r="G4860" s="2" t="s">
        <v>7322</v>
      </c>
      <c r="H4860" s="14">
        <v>2.02</v>
      </c>
      <c r="I4860" s="2" t="s">
        <v>4761</v>
      </c>
      <c r="J4860" s="2" t="s">
        <v>13</v>
      </c>
      <c r="K4860" s="2" t="s">
        <v>1452</v>
      </c>
      <c r="L4860" s="2" t="s">
        <v>5221</v>
      </c>
      <c r="M4860" s="2" t="s">
        <v>5221</v>
      </c>
      <c r="N4860" s="2" t="s">
        <v>2317</v>
      </c>
      <c r="O4860" s="14">
        <v>16000</v>
      </c>
      <c r="P4860" s="14">
        <v>99.25</v>
      </c>
      <c r="Q4860" s="14">
        <v>120</v>
      </c>
      <c r="R4860" s="14">
        <v>242.4</v>
      </c>
      <c r="S4860" s="2" t="s">
        <v>7724</v>
      </c>
      <c r="T4860" s="2">
        <v>1.42</v>
      </c>
      <c r="U4860" s="2">
        <v>65.400000000000006</v>
      </c>
      <c r="V4860" s="2">
        <v>66</v>
      </c>
      <c r="W4860" s="2" t="s">
        <v>7862</v>
      </c>
      <c r="X4860" s="2" t="s">
        <v>2897</v>
      </c>
      <c r="Y4860" s="2">
        <v>32320</v>
      </c>
      <c r="Z4860" s="19" t="str">
        <f>HYPERLINK("https://ssdweb.co/ssdweb/hd/Vision360.html?d=927060759&amp;zoomslide=1&amp;z=1927060759&amp;ISCONFIRM=0","VIDEO")</f>
        <v>VIDEO</v>
      </c>
      <c r="AA4860" s="19" t="str">
        <f>HYPERLINK("https://ssdweb.co/ssdweb/CERTH/665453169.pdf","CERTI")</f>
        <v>CERTI</v>
      </c>
    </row>
    <row r="4861" spans="1:27" ht="15" x14ac:dyDescent="0.25">
      <c r="A4861" s="2">
        <v>4856</v>
      </c>
      <c r="B4861" s="39">
        <v>927070605</v>
      </c>
      <c r="C4861" s="28" t="str">
        <f>HYPERLINK("https://pld.live/RapDetail.aspx?STONELIST=927070605","DNA")</f>
        <v>DNA</v>
      </c>
      <c r="D4861" s="18" t="s">
        <v>3658</v>
      </c>
      <c r="E4861" s="18" t="s">
        <v>2186</v>
      </c>
      <c r="F4861" s="2" t="s">
        <v>7987</v>
      </c>
      <c r="G4861" s="2" t="s">
        <v>7322</v>
      </c>
      <c r="H4861" s="14">
        <v>2.02</v>
      </c>
      <c r="I4861" s="2" t="s">
        <v>4761</v>
      </c>
      <c r="J4861" s="2" t="s">
        <v>13</v>
      </c>
      <c r="K4861" s="2" t="s">
        <v>1452</v>
      </c>
      <c r="L4861" s="2" t="s">
        <v>5221</v>
      </c>
      <c r="M4861" s="2" t="s">
        <v>5221</v>
      </c>
      <c r="N4861" s="2" t="s">
        <v>2317</v>
      </c>
      <c r="O4861" s="14">
        <v>16000</v>
      </c>
      <c r="P4861" s="14">
        <v>99.25</v>
      </c>
      <c r="Q4861" s="14">
        <v>120</v>
      </c>
      <c r="R4861" s="14">
        <v>242.4</v>
      </c>
      <c r="S4861" s="2" t="s">
        <v>7532</v>
      </c>
      <c r="T4861" s="2">
        <v>1.4</v>
      </c>
      <c r="U4861" s="2">
        <v>66.599999999999994</v>
      </c>
      <c r="V4861" s="2">
        <v>66</v>
      </c>
      <c r="W4861" s="2" t="s">
        <v>7862</v>
      </c>
      <c r="X4861" s="2" t="s">
        <v>2897</v>
      </c>
      <c r="Y4861" s="2">
        <v>32320</v>
      </c>
      <c r="Z4861" s="19" t="str">
        <f>HYPERLINK("https://ssdweb.co/ssdweb/hd/Vision360.html?d=927070605&amp;zoomslide=1&amp;z=1927070605&amp;ISCONFIRM=0","VIDEO")</f>
        <v>VIDEO</v>
      </c>
      <c r="AA4861" s="19" t="str">
        <f>HYPERLINK("https://ssdweb.co/ssdweb/CERTH/662473894.pdf","CERTI")</f>
        <v>CERTI</v>
      </c>
    </row>
    <row r="4862" spans="1:27" ht="15" x14ac:dyDescent="0.25">
      <c r="A4862" s="2">
        <v>4857</v>
      </c>
      <c r="B4862" s="39">
        <v>926631266</v>
      </c>
      <c r="C4862" s="28" t="str">
        <f>HYPERLINK("https://pld.live/RapDetail.aspx?STONELIST=926631266","DNA")</f>
        <v>DNA</v>
      </c>
      <c r="D4862" s="18" t="s">
        <v>3658</v>
      </c>
      <c r="E4862" s="18" t="s">
        <v>5128</v>
      </c>
      <c r="F4862" s="2" t="s">
        <v>7987</v>
      </c>
      <c r="G4862" s="2" t="s">
        <v>7322</v>
      </c>
      <c r="H4862" s="14">
        <v>2.02</v>
      </c>
      <c r="I4862" s="2" t="s">
        <v>6587</v>
      </c>
      <c r="J4862" s="2" t="s">
        <v>6555</v>
      </c>
      <c r="K4862" s="2" t="s">
        <v>1452</v>
      </c>
      <c r="L4862" s="2" t="s">
        <v>5221</v>
      </c>
      <c r="M4862" s="2" t="s">
        <v>5221</v>
      </c>
      <c r="N4862" s="2" t="s">
        <v>2317</v>
      </c>
      <c r="O4862" s="14">
        <v>16000</v>
      </c>
      <c r="P4862" s="14">
        <v>99.09</v>
      </c>
      <c r="Q4862" s="14">
        <v>145.6</v>
      </c>
      <c r="R4862" s="14">
        <v>294.11</v>
      </c>
      <c r="S4862" s="2" t="s">
        <v>1598</v>
      </c>
      <c r="T4862" s="2">
        <v>1.36</v>
      </c>
      <c r="U4862" s="2">
        <v>63</v>
      </c>
      <c r="V4862" s="2">
        <v>67</v>
      </c>
      <c r="W4862" s="2" t="s">
        <v>4336</v>
      </c>
      <c r="X4862" s="2" t="s">
        <v>2897</v>
      </c>
      <c r="Y4862" s="2">
        <v>32320</v>
      </c>
      <c r="Z4862" s="19" t="str">
        <f>HYPERLINK("https://ssdweb.co/ssdweb/hd/Vision360.html?d=926631266&amp;zoomslide=1&amp;z=1926631266&amp;ISCONFIRM=0","VIDEO")</f>
        <v>VIDEO</v>
      </c>
      <c r="AA4862" s="19" t="str">
        <f>HYPERLINK("https://ssdweb.co/ssdweb/CERTH/649489302.pdf","CERTI")</f>
        <v>CERTI</v>
      </c>
    </row>
    <row r="4863" spans="1:27" ht="15" x14ac:dyDescent="0.25">
      <c r="A4863" s="2">
        <v>4858</v>
      </c>
      <c r="B4863" s="39">
        <v>926910284</v>
      </c>
      <c r="C4863" s="28" t="str">
        <f>HYPERLINK("https://pld.live/RapDetail.aspx?STONELIST=926910284","DNA")</f>
        <v>DNA</v>
      </c>
      <c r="D4863" s="18" t="s">
        <v>3658</v>
      </c>
      <c r="E4863" s="18" t="s">
        <v>2186</v>
      </c>
      <c r="F4863" s="2" t="s">
        <v>7987</v>
      </c>
      <c r="G4863" s="2" t="s">
        <v>7322</v>
      </c>
      <c r="H4863" s="14">
        <v>2.02</v>
      </c>
      <c r="I4863" s="2" t="s">
        <v>6587</v>
      </c>
      <c r="J4863" s="2" t="s">
        <v>13</v>
      </c>
      <c r="K4863" s="2" t="s">
        <v>1452</v>
      </c>
      <c r="L4863" s="2" t="s">
        <v>5221</v>
      </c>
      <c r="M4863" s="2" t="s">
        <v>5221</v>
      </c>
      <c r="N4863" s="2" t="s">
        <v>2317</v>
      </c>
      <c r="O4863" s="14">
        <v>14000</v>
      </c>
      <c r="P4863" s="14">
        <v>99.23</v>
      </c>
      <c r="Q4863" s="14">
        <v>107.8</v>
      </c>
      <c r="R4863" s="14">
        <v>217.76</v>
      </c>
      <c r="S4863" s="2" t="s">
        <v>2281</v>
      </c>
      <c r="T4863" s="2">
        <v>1.37</v>
      </c>
      <c r="U4863" s="2">
        <v>67.7</v>
      </c>
      <c r="V4863" s="2">
        <v>66</v>
      </c>
      <c r="W4863" s="2" t="s">
        <v>7862</v>
      </c>
      <c r="X4863" s="2" t="s">
        <v>2897</v>
      </c>
      <c r="Y4863" s="2">
        <v>28280</v>
      </c>
      <c r="Z4863" s="19" t="str">
        <f>HYPERLINK("https://ssdweb.co/ssdweb/hd/Vision360.html?d=926910284&amp;zoomslide=1&amp;z=1926910284&amp;ISCONFIRM=0","VIDEO")</f>
        <v>VIDEO</v>
      </c>
      <c r="AA4863" s="19" t="str">
        <f>HYPERLINK("https://ssdweb.co/ssdweb/CERTH/656479443.pdf","CERTI")</f>
        <v>CERTI</v>
      </c>
    </row>
    <row r="4864" spans="1:27" ht="15" x14ac:dyDescent="0.25">
      <c r="A4864" s="2">
        <v>4859</v>
      </c>
      <c r="B4864" s="39">
        <v>925501270</v>
      </c>
      <c r="C4864" s="28" t="str">
        <f>HYPERLINK("https://pld.live/RapDetail.aspx?STONELIST=925501270","DNA")</f>
        <v>DNA</v>
      </c>
      <c r="D4864" s="18" t="s">
        <v>3658</v>
      </c>
      <c r="E4864" s="18" t="s">
        <v>5128</v>
      </c>
      <c r="F4864" s="2" t="s">
        <v>7987</v>
      </c>
      <c r="G4864" s="2" t="s">
        <v>7322</v>
      </c>
      <c r="H4864" s="14">
        <v>2.0099999999999998</v>
      </c>
      <c r="I4864" s="2" t="s">
        <v>267</v>
      </c>
      <c r="J4864" s="2" t="s">
        <v>6555</v>
      </c>
      <c r="K4864" s="2" t="s">
        <v>1452</v>
      </c>
      <c r="L4864" s="2" t="s">
        <v>5221</v>
      </c>
      <c r="M4864" s="2" t="s">
        <v>5221</v>
      </c>
      <c r="N4864" s="2" t="s">
        <v>2317</v>
      </c>
      <c r="O4864" s="14">
        <v>20000</v>
      </c>
      <c r="P4864" s="14">
        <v>98.83</v>
      </c>
      <c r="Q4864" s="14">
        <v>234</v>
      </c>
      <c r="R4864" s="14">
        <v>470.34</v>
      </c>
      <c r="S4864" s="2" t="s">
        <v>4124</v>
      </c>
      <c r="T4864" s="2">
        <v>1.36</v>
      </c>
      <c r="U4864" s="2">
        <v>68.2</v>
      </c>
      <c r="V4864" s="2">
        <v>68</v>
      </c>
      <c r="W4864" s="2" t="s">
        <v>7862</v>
      </c>
      <c r="X4864" s="2" t="s">
        <v>2897</v>
      </c>
      <c r="Y4864" s="2">
        <v>40200</v>
      </c>
      <c r="Z4864" s="19" t="str">
        <f>HYPERLINK("https://ssdweb.co/ssdweb/hd/Vision360.html?d=925501270&amp;zoomslide=1&amp;z=1925501270&amp;ISCONFIRM=0","VIDEO")</f>
        <v>VIDEO</v>
      </c>
      <c r="AA4864" s="19" t="str">
        <f>HYPERLINK("https://ssdweb.co/ssdweb/CERTH/617476090.pdf","CERTI")</f>
        <v>CERTI</v>
      </c>
    </row>
    <row r="4865" spans="1:27" ht="15" x14ac:dyDescent="0.25">
      <c r="A4865" s="2">
        <v>4860</v>
      </c>
      <c r="B4865" s="39">
        <v>925500269</v>
      </c>
      <c r="C4865" s="28" t="str">
        <f>HYPERLINK("https://pld.live/RapDetail.aspx?STONELIST=925500269","DNA")</f>
        <v>DNA</v>
      </c>
      <c r="D4865" s="18" t="s">
        <v>3658</v>
      </c>
      <c r="E4865" s="18" t="s">
        <v>5128</v>
      </c>
      <c r="F4865" s="2" t="s">
        <v>7987</v>
      </c>
      <c r="G4865" s="2" t="s">
        <v>7322</v>
      </c>
      <c r="H4865" s="14">
        <v>2.0099999999999998</v>
      </c>
      <c r="I4865" s="2" t="s">
        <v>267</v>
      </c>
      <c r="J4865" s="2" t="s">
        <v>6555</v>
      </c>
      <c r="K4865" s="2" t="s">
        <v>1452</v>
      </c>
      <c r="L4865" s="2" t="s">
        <v>5221</v>
      </c>
      <c r="M4865" s="2" t="s">
        <v>5221</v>
      </c>
      <c r="N4865" s="2" t="s">
        <v>2317</v>
      </c>
      <c r="O4865" s="14">
        <v>20000</v>
      </c>
      <c r="P4865" s="14">
        <v>98.83</v>
      </c>
      <c r="Q4865" s="14">
        <v>234</v>
      </c>
      <c r="R4865" s="14">
        <v>470.34</v>
      </c>
      <c r="S4865" s="2" t="s">
        <v>3626</v>
      </c>
      <c r="T4865" s="2">
        <v>1.36</v>
      </c>
      <c r="U4865" s="2">
        <v>68.2</v>
      </c>
      <c r="V4865" s="2">
        <v>68</v>
      </c>
      <c r="W4865" s="2" t="s">
        <v>7862</v>
      </c>
      <c r="X4865" s="2" t="s">
        <v>2897</v>
      </c>
      <c r="Y4865" s="2">
        <v>40200</v>
      </c>
      <c r="Z4865" s="19" t="str">
        <f>HYPERLINK("https://ssdweb.co/ssdweb/hd/Vision360.html?d=925500269&amp;zoomslide=1&amp;z=1925500269&amp;ISCONFIRM=0","VIDEO")</f>
        <v>VIDEO</v>
      </c>
      <c r="AA4865" s="19" t="str">
        <f>HYPERLINK("https://ssdweb.co/ssdweb/CERTH/616492009.pdf","CERTI")</f>
        <v>CERTI</v>
      </c>
    </row>
    <row r="4866" spans="1:27" ht="15" x14ac:dyDescent="0.25">
      <c r="A4866" s="2">
        <v>4861</v>
      </c>
      <c r="B4866" s="39">
        <v>926100928</v>
      </c>
      <c r="C4866" s="28" t="str">
        <f>HYPERLINK("https://pld.live/RapDetail.aspx?STONELIST=926100928","DNA")</f>
        <v>DNA</v>
      </c>
      <c r="D4866" s="18" t="s">
        <v>3658</v>
      </c>
      <c r="E4866" s="18" t="s">
        <v>5128</v>
      </c>
      <c r="F4866" s="2" t="s">
        <v>7987</v>
      </c>
      <c r="G4866" s="2" t="s">
        <v>7322</v>
      </c>
      <c r="H4866" s="14">
        <v>2.0099999999999998</v>
      </c>
      <c r="I4866" s="2" t="s">
        <v>267</v>
      </c>
      <c r="J4866" s="2" t="s">
        <v>13</v>
      </c>
      <c r="K4866" s="2" t="s">
        <v>1452</v>
      </c>
      <c r="L4866" s="2" t="s">
        <v>5221</v>
      </c>
      <c r="M4866" s="2" t="s">
        <v>5221</v>
      </c>
      <c r="N4866" s="2" t="s">
        <v>2317</v>
      </c>
      <c r="O4866" s="14">
        <v>17500</v>
      </c>
      <c r="P4866" s="14">
        <v>99.26</v>
      </c>
      <c r="Q4866" s="14">
        <v>129.5</v>
      </c>
      <c r="R4866" s="14">
        <v>260.3</v>
      </c>
      <c r="S4866" s="2" t="s">
        <v>6819</v>
      </c>
      <c r="T4866" s="2">
        <v>1.36</v>
      </c>
      <c r="U4866" s="2">
        <v>68.599999999999994</v>
      </c>
      <c r="V4866" s="2">
        <v>60</v>
      </c>
      <c r="W4866" s="2" t="s">
        <v>7862</v>
      </c>
      <c r="X4866" s="2" t="s">
        <v>2897</v>
      </c>
      <c r="Y4866" s="2">
        <v>35175</v>
      </c>
      <c r="Z4866" s="19" t="str">
        <f>HYPERLINK("https://ssdweb.co/ssdweb/hd/Vision360.html?d=926100928&amp;zoomslide=1&amp;z=1926100928&amp;ISCONFIRM=0","VIDEO")</f>
        <v>VIDEO</v>
      </c>
      <c r="AA4866" s="19" t="str">
        <f>HYPERLINK("https://ssdweb.co/ssdweb/CERTH/632488348.pdf","CERTI")</f>
        <v>CERTI</v>
      </c>
    </row>
    <row r="4867" spans="1:27" ht="15" x14ac:dyDescent="0.25">
      <c r="A4867" s="2">
        <v>4862</v>
      </c>
      <c r="B4867" s="39">
        <v>925920772</v>
      </c>
      <c r="C4867" s="28" t="str">
        <f>HYPERLINK("https://pld.live/RapDetail.aspx?STONELIST=925920772","DNA")</f>
        <v>DNA</v>
      </c>
      <c r="D4867" s="18" t="s">
        <v>3658</v>
      </c>
      <c r="E4867" s="18" t="s">
        <v>5128</v>
      </c>
      <c r="F4867" s="2" t="s">
        <v>7987</v>
      </c>
      <c r="G4867" s="2" t="s">
        <v>7322</v>
      </c>
      <c r="H4867" s="14">
        <v>2.0099999999999998</v>
      </c>
      <c r="I4867" s="2" t="s">
        <v>267</v>
      </c>
      <c r="J4867" s="2" t="s">
        <v>5144</v>
      </c>
      <c r="K4867" s="2" t="s">
        <v>1452</v>
      </c>
      <c r="L4867" s="2" t="s">
        <v>5221</v>
      </c>
      <c r="M4867" s="2" t="s">
        <v>5221</v>
      </c>
      <c r="N4867" s="2" t="s">
        <v>2317</v>
      </c>
      <c r="O4867" s="14">
        <v>16000</v>
      </c>
      <c r="P4867" s="14">
        <v>99.25</v>
      </c>
      <c r="Q4867" s="14">
        <v>120</v>
      </c>
      <c r="R4867" s="14">
        <v>241.2</v>
      </c>
      <c r="S4867" s="2" t="s">
        <v>6206</v>
      </c>
      <c r="T4867" s="2">
        <v>1.36</v>
      </c>
      <c r="U4867" s="2">
        <v>67.8</v>
      </c>
      <c r="V4867" s="2">
        <v>64</v>
      </c>
      <c r="W4867" s="2" t="s">
        <v>7862</v>
      </c>
      <c r="X4867" s="2" t="s">
        <v>2897</v>
      </c>
      <c r="Y4867" s="2">
        <v>32160</v>
      </c>
      <c r="Z4867" s="19" t="str">
        <f>HYPERLINK("https://ssdweb.co/ssdweb/hd/Vision360.html?d=925920772&amp;zoomslide=1&amp;z=1925920772&amp;ISCONFIRM=0","VIDEO")</f>
        <v>VIDEO</v>
      </c>
      <c r="AA4867" s="19" t="str">
        <f>HYPERLINK("https://ssdweb.co/ssdweb/CERTH/628426954.pdf","CERTI")</f>
        <v>CERTI</v>
      </c>
    </row>
    <row r="4868" spans="1:27" ht="15" x14ac:dyDescent="0.25">
      <c r="A4868" s="2">
        <v>4863</v>
      </c>
      <c r="B4868" s="39">
        <v>831020724</v>
      </c>
      <c r="C4868" s="28" t="str">
        <f>HYPERLINK("https://pld.live/RapDetail.aspx?STONELIST=831020724","DNA")</f>
        <v>DNA</v>
      </c>
      <c r="D4868" s="18" t="s">
        <v>3658</v>
      </c>
      <c r="E4868" s="18" t="s">
        <v>2186</v>
      </c>
      <c r="F4868" s="2" t="s">
        <v>7987</v>
      </c>
      <c r="G4868" s="2" t="s">
        <v>7322</v>
      </c>
      <c r="H4868" s="14">
        <v>2.0099999999999998</v>
      </c>
      <c r="I4868" s="2" t="s">
        <v>267</v>
      </c>
      <c r="J4868" s="2" t="s">
        <v>5144</v>
      </c>
      <c r="K4868" s="2" t="s">
        <v>1452</v>
      </c>
      <c r="L4868" s="2" t="s">
        <v>5221</v>
      </c>
      <c r="M4868" s="2" t="s">
        <v>5221</v>
      </c>
      <c r="N4868" s="2" t="s">
        <v>2317</v>
      </c>
      <c r="O4868" s="14">
        <v>16000</v>
      </c>
      <c r="P4868" s="14">
        <v>99.25</v>
      </c>
      <c r="Q4868" s="14">
        <v>120</v>
      </c>
      <c r="R4868" s="14">
        <v>241.2</v>
      </c>
      <c r="S4868" s="2" t="s">
        <v>4083</v>
      </c>
      <c r="T4868" s="2">
        <v>1.46</v>
      </c>
      <c r="U4868" s="2">
        <v>66.2</v>
      </c>
      <c r="V4868" s="2">
        <v>64</v>
      </c>
      <c r="W4868" s="2" t="s">
        <v>7862</v>
      </c>
      <c r="X4868" s="2" t="s">
        <v>2897</v>
      </c>
      <c r="Y4868" s="2">
        <v>32160</v>
      </c>
      <c r="Z4868" s="19" t="str">
        <f>HYPERLINK("https://ssdweb.co/ssdweb/hd/Vision360.html?d=831020724&amp;zoomslide=1&amp;z=1831020724&amp;ISCONFIRM=0","VIDEO")</f>
        <v>VIDEO</v>
      </c>
      <c r="AA4868" s="19" t="str">
        <f>HYPERLINK("https://ssdweb.co/ssdweb/CERTH/607332534.pdf","CERTI")</f>
        <v>CERTI</v>
      </c>
    </row>
    <row r="4869" spans="1:27" ht="15" x14ac:dyDescent="0.25">
      <c r="A4869" s="2">
        <v>4864</v>
      </c>
      <c r="B4869" s="39">
        <v>925971248</v>
      </c>
      <c r="C4869" s="28" t="str">
        <f>HYPERLINK("https://pld.live/RapDetail.aspx?STONELIST=925971248","DNA")</f>
        <v>DNA</v>
      </c>
      <c r="D4869" s="18" t="s">
        <v>3658</v>
      </c>
      <c r="E4869" s="18" t="s">
        <v>5128</v>
      </c>
      <c r="F4869" s="2" t="s">
        <v>7987</v>
      </c>
      <c r="G4869" s="2" t="s">
        <v>7322</v>
      </c>
      <c r="H4869" s="14">
        <v>2.0099999999999998</v>
      </c>
      <c r="I4869" s="2" t="s">
        <v>267</v>
      </c>
      <c r="J4869" s="2" t="s">
        <v>5144</v>
      </c>
      <c r="K4869" s="2" t="s">
        <v>1452</v>
      </c>
      <c r="L4869" s="2" t="s">
        <v>5221</v>
      </c>
      <c r="M4869" s="2" t="s">
        <v>5221</v>
      </c>
      <c r="N4869" s="2" t="s">
        <v>2317</v>
      </c>
      <c r="O4869" s="14">
        <v>16000</v>
      </c>
      <c r="P4869" s="14">
        <v>99.25</v>
      </c>
      <c r="Q4869" s="14">
        <v>120</v>
      </c>
      <c r="R4869" s="14">
        <v>241.2</v>
      </c>
      <c r="S4869" s="2" t="s">
        <v>4056</v>
      </c>
      <c r="T4869" s="2">
        <v>1.42</v>
      </c>
      <c r="U4869" s="2">
        <v>67.400000000000006</v>
      </c>
      <c r="V4869" s="2">
        <v>65</v>
      </c>
      <c r="W4869" s="2" t="s">
        <v>7862</v>
      </c>
      <c r="X4869" s="2" t="s">
        <v>2897</v>
      </c>
      <c r="Y4869" s="2">
        <v>32160</v>
      </c>
      <c r="Z4869" s="19" t="str">
        <f>HYPERLINK("https://ssdweb.co/ssdweb/hd/Vision360.html?d=925971248&amp;zoomslide=1&amp;z=1925971248&amp;ISCONFIRM=0","VIDEO")</f>
        <v>VIDEO</v>
      </c>
      <c r="AA4869" s="19" t="str">
        <f>HYPERLINK("https://ssdweb.co/ssdweb/CERTH/629481859.pdf","CERTI")</f>
        <v>CERTI</v>
      </c>
    </row>
    <row r="4870" spans="1:27" ht="15" x14ac:dyDescent="0.25">
      <c r="A4870" s="2">
        <v>4865</v>
      </c>
      <c r="B4870" s="39">
        <v>922230110</v>
      </c>
      <c r="C4870" s="28" t="str">
        <f>HYPERLINK("https://pld.live/RapDetail.aspx?STONELIST=922230110","DNA")</f>
        <v>DNA</v>
      </c>
      <c r="D4870" s="18" t="s">
        <v>3658</v>
      </c>
      <c r="E4870" s="18" t="s">
        <v>5128</v>
      </c>
      <c r="F4870" s="2" t="s">
        <v>5597</v>
      </c>
      <c r="G4870" s="2" t="s">
        <v>7322</v>
      </c>
      <c r="H4870" s="14">
        <v>2.0099999999999998</v>
      </c>
      <c r="I4870" s="2" t="s">
        <v>267</v>
      </c>
      <c r="J4870" s="2" t="s">
        <v>444</v>
      </c>
      <c r="K4870" s="2" t="s">
        <v>1452</v>
      </c>
      <c r="L4870" s="2" t="s">
        <v>5221</v>
      </c>
      <c r="M4870" s="2" t="s">
        <v>5221</v>
      </c>
      <c r="N4870" s="2" t="s">
        <v>2317</v>
      </c>
      <c r="O4870" s="14">
        <v>13500</v>
      </c>
      <c r="P4870" s="14">
        <v>98.41</v>
      </c>
      <c r="Q4870" s="14">
        <v>214.65</v>
      </c>
      <c r="R4870" s="14">
        <v>431.45</v>
      </c>
      <c r="S4870" s="2" t="s">
        <v>135</v>
      </c>
      <c r="T4870" s="2">
        <v>1.38</v>
      </c>
      <c r="U4870" s="2">
        <v>65.3</v>
      </c>
      <c r="V4870" s="2">
        <v>66</v>
      </c>
      <c r="W4870" s="2" t="s">
        <v>7862</v>
      </c>
      <c r="X4870" s="2" t="s">
        <v>2897</v>
      </c>
      <c r="Y4870" s="2">
        <v>27135</v>
      </c>
      <c r="Z4870" s="19" t="str">
        <f>HYPERLINK("https://ssdweb.co/ssdweb/hd/Vision360.html?d=922230110&amp;zoomslide=1&amp;z=1922230110&amp;ISCONFIRM=0","VIDEO")</f>
        <v>VIDEO</v>
      </c>
      <c r="AA4870" s="19" t="str">
        <f>HYPERLINK("https://ssdweb.co/ssdweb/CERTH/6422112401.pdf","CERTI")</f>
        <v>CERTI</v>
      </c>
    </row>
    <row r="4871" spans="1:27" ht="15" x14ac:dyDescent="0.25">
      <c r="A4871" s="2">
        <v>4866</v>
      </c>
      <c r="B4871" s="39">
        <v>927070588</v>
      </c>
      <c r="C4871" s="28" t="str">
        <f>HYPERLINK("https://pld.live/RapDetail.aspx?STONELIST=927070588","DNA")</f>
        <v>DNA</v>
      </c>
      <c r="D4871" s="18" t="s">
        <v>3658</v>
      </c>
      <c r="E4871" s="18" t="s">
        <v>2186</v>
      </c>
      <c r="F4871" s="2" t="s">
        <v>7987</v>
      </c>
      <c r="G4871" s="2" t="s">
        <v>7322</v>
      </c>
      <c r="H4871" s="14">
        <v>2.0099999999999998</v>
      </c>
      <c r="I4871" s="2" t="s">
        <v>4761</v>
      </c>
      <c r="J4871" s="2" t="s">
        <v>6555</v>
      </c>
      <c r="K4871" s="2" t="s">
        <v>1452</v>
      </c>
      <c r="L4871" s="2" t="s">
        <v>5221</v>
      </c>
      <c r="M4871" s="2" t="s">
        <v>5221</v>
      </c>
      <c r="N4871" s="2" t="s">
        <v>2317</v>
      </c>
      <c r="O4871" s="14">
        <v>18500</v>
      </c>
      <c r="P4871" s="14">
        <v>98.86</v>
      </c>
      <c r="Q4871" s="14">
        <v>210.9</v>
      </c>
      <c r="R4871" s="14">
        <v>423.91</v>
      </c>
      <c r="S4871" s="2" t="s">
        <v>7437</v>
      </c>
      <c r="T4871" s="2">
        <v>1.41</v>
      </c>
      <c r="U4871" s="2">
        <v>66.599999999999994</v>
      </c>
      <c r="V4871" s="2">
        <v>64</v>
      </c>
      <c r="W4871" s="2" t="s">
        <v>7862</v>
      </c>
      <c r="X4871" s="2" t="s">
        <v>2897</v>
      </c>
      <c r="Y4871" s="2">
        <v>37185</v>
      </c>
      <c r="Z4871" s="19" t="str">
        <f>HYPERLINK("https://ssdweb.co/ssdweb/hd/Vision360.html?d=927070588&amp;zoomslide=1&amp;z=1927070588&amp;ISCONFIRM=0","VIDEO")</f>
        <v>VIDEO</v>
      </c>
      <c r="AA4871" s="19" t="str">
        <f>HYPERLINK("https://ssdweb.co/ssdweb/CERTH/662473893.pdf","CERTI")</f>
        <v>CERTI</v>
      </c>
    </row>
    <row r="4872" spans="1:27" ht="15" x14ac:dyDescent="0.25">
      <c r="A4872" s="2">
        <v>4867</v>
      </c>
      <c r="B4872" s="39">
        <v>926910440</v>
      </c>
      <c r="C4872" s="28" t="str">
        <f>HYPERLINK("https://pld.live/RapDetail.aspx?STONELIST=926910440","DNA")</f>
        <v>DNA</v>
      </c>
      <c r="D4872" s="18" t="s">
        <v>3658</v>
      </c>
      <c r="E4872" s="18" t="s">
        <v>2186</v>
      </c>
      <c r="F4872" s="2" t="s">
        <v>7987</v>
      </c>
      <c r="G4872" s="2" t="s">
        <v>7322</v>
      </c>
      <c r="H4872" s="14">
        <v>2.0099999999999998</v>
      </c>
      <c r="I4872" s="2" t="s">
        <v>4761</v>
      </c>
      <c r="J4872" s="2" t="s">
        <v>13</v>
      </c>
      <c r="K4872" s="2" t="s">
        <v>1452</v>
      </c>
      <c r="L4872" s="2" t="s">
        <v>5221</v>
      </c>
      <c r="M4872" s="2" t="s">
        <v>5221</v>
      </c>
      <c r="N4872" s="2" t="s">
        <v>2317</v>
      </c>
      <c r="O4872" s="14">
        <v>16000</v>
      </c>
      <c r="P4872" s="14">
        <v>99.26</v>
      </c>
      <c r="Q4872" s="14">
        <v>118.4</v>
      </c>
      <c r="R4872" s="14">
        <v>237.98</v>
      </c>
      <c r="S4872" s="2" t="s">
        <v>4422</v>
      </c>
      <c r="T4872" s="2">
        <v>1.36</v>
      </c>
      <c r="U4872" s="2">
        <v>66.599999999999994</v>
      </c>
      <c r="V4872" s="2">
        <v>68</v>
      </c>
      <c r="W4872" s="2" t="s">
        <v>7862</v>
      </c>
      <c r="X4872" s="2" t="s">
        <v>2897</v>
      </c>
      <c r="Y4872" s="2">
        <v>32160</v>
      </c>
      <c r="Z4872" s="19" t="str">
        <f>HYPERLINK("https://ssdweb.co/ssdweb/hd/Vision360.html?d=926910440&amp;zoomslide=1&amp;z=1926910440&amp;ISCONFIRM=0","VIDEO")</f>
        <v>VIDEO</v>
      </c>
      <c r="AA4872" s="19" t="str">
        <f>HYPERLINK("https://ssdweb.co/ssdweb/CERTH/659414267.pdf","CERTI")</f>
        <v>CERTI</v>
      </c>
    </row>
    <row r="4873" spans="1:27" ht="15" x14ac:dyDescent="0.25">
      <c r="A4873" s="2">
        <v>4868</v>
      </c>
      <c r="B4873" s="39">
        <v>925621861</v>
      </c>
      <c r="C4873" s="28" t="str">
        <f>HYPERLINK("https://pld.live/RapDetail.aspx?STONELIST=925621861","DNA")</f>
        <v>DNA</v>
      </c>
      <c r="D4873" s="18" t="s">
        <v>3658</v>
      </c>
      <c r="E4873" s="18" t="s">
        <v>5128</v>
      </c>
      <c r="F4873" s="2" t="s">
        <v>7987</v>
      </c>
      <c r="G4873" s="2" t="s">
        <v>7322</v>
      </c>
      <c r="H4873" s="14">
        <v>2.0099999999999998</v>
      </c>
      <c r="I4873" s="2" t="s">
        <v>4761</v>
      </c>
      <c r="J4873" s="2" t="s">
        <v>5144</v>
      </c>
      <c r="K4873" s="2" t="s">
        <v>1452</v>
      </c>
      <c r="L4873" s="2" t="s">
        <v>5221</v>
      </c>
      <c r="M4873" s="2" t="s">
        <v>5221</v>
      </c>
      <c r="N4873" s="2" t="s">
        <v>2317</v>
      </c>
      <c r="O4873" s="14">
        <v>15000</v>
      </c>
      <c r="P4873" s="14">
        <v>99.27</v>
      </c>
      <c r="Q4873" s="14">
        <v>109.5</v>
      </c>
      <c r="R4873" s="14">
        <v>220.1</v>
      </c>
      <c r="S4873" s="2" t="s">
        <v>1371</v>
      </c>
      <c r="T4873" s="2">
        <v>1.36</v>
      </c>
      <c r="U4873" s="2">
        <v>68.5</v>
      </c>
      <c r="V4873" s="2">
        <v>67</v>
      </c>
      <c r="W4873" s="2" t="s">
        <v>7862</v>
      </c>
      <c r="X4873" s="2" t="s">
        <v>2897</v>
      </c>
      <c r="Y4873" s="2">
        <v>30150</v>
      </c>
      <c r="Z4873" s="19" t="str">
        <f>HYPERLINK("https://ssdweb.co/ssdweb/hd/Vision360.html?d=925621861&amp;zoomslide=1&amp;z=1925621861&amp;ISCONFIRM=0","VIDEO")</f>
        <v>VIDEO</v>
      </c>
      <c r="AA4873" s="19" t="str">
        <f>HYPERLINK("https://ssdweb.co/ssdweb/CERTH/622461239.pdf","CERTI")</f>
        <v>CERTI</v>
      </c>
    </row>
    <row r="4874" spans="1:27" ht="15" x14ac:dyDescent="0.25">
      <c r="A4874" s="2">
        <v>4869</v>
      </c>
      <c r="B4874" s="39">
        <v>926910164</v>
      </c>
      <c r="C4874" s="28" t="str">
        <f>HYPERLINK("https://pld.live/RapDetail.aspx?STONELIST=926910164","DNA")</f>
        <v>DNA</v>
      </c>
      <c r="D4874" s="18" t="s">
        <v>3658</v>
      </c>
      <c r="E4874" s="18" t="s">
        <v>2186</v>
      </c>
      <c r="F4874" s="2" t="s">
        <v>7987</v>
      </c>
      <c r="G4874" s="2" t="s">
        <v>7322</v>
      </c>
      <c r="H4874" s="14">
        <v>2.0099999999999998</v>
      </c>
      <c r="I4874" s="2" t="s">
        <v>4699</v>
      </c>
      <c r="J4874" s="2" t="s">
        <v>3942</v>
      </c>
      <c r="K4874" s="2" t="s">
        <v>1452</v>
      </c>
      <c r="L4874" s="2" t="s">
        <v>5221</v>
      </c>
      <c r="M4874" s="2" t="s">
        <v>5221</v>
      </c>
      <c r="N4874" s="2" t="s">
        <v>2317</v>
      </c>
      <c r="O4874" s="14">
        <v>16000</v>
      </c>
      <c r="P4874" s="14">
        <v>99.2</v>
      </c>
      <c r="Q4874" s="14">
        <v>128</v>
      </c>
      <c r="R4874" s="14">
        <v>257.27999999999997</v>
      </c>
      <c r="S4874" s="2" t="s">
        <v>1880</v>
      </c>
      <c r="T4874" s="2">
        <v>1.35</v>
      </c>
      <c r="U4874" s="2">
        <v>67.900000000000006</v>
      </c>
      <c r="V4874" s="2">
        <v>64</v>
      </c>
      <c r="W4874" s="2" t="s">
        <v>7862</v>
      </c>
      <c r="X4874" s="2" t="s">
        <v>2897</v>
      </c>
      <c r="Y4874" s="2">
        <v>32160</v>
      </c>
      <c r="Z4874" s="19" t="str">
        <f>HYPERLINK("https://ssdweb.co/ssdweb/hd/Vision360.html?d=926910164&amp;zoomslide=1&amp;z=1926910164&amp;ISCONFIRM=0","VIDEO")</f>
        <v>VIDEO</v>
      </c>
      <c r="AA4874" s="19" t="str">
        <f>HYPERLINK("https://ssdweb.co/ssdweb/CERTH/655451799.pdf","CERTI")</f>
        <v>CERTI</v>
      </c>
    </row>
    <row r="4875" spans="1:27" ht="15" x14ac:dyDescent="0.25">
      <c r="A4875" s="2">
        <v>4870</v>
      </c>
      <c r="B4875" s="39">
        <v>925551814</v>
      </c>
      <c r="C4875" s="28" t="str">
        <f>HYPERLINK("https://pld.live/RapDetail.aspx?STONELIST=925551814","DNA")</f>
        <v>DNA</v>
      </c>
      <c r="D4875" s="18" t="s">
        <v>3658</v>
      </c>
      <c r="E4875" s="18" t="s">
        <v>5128</v>
      </c>
      <c r="F4875" s="2" t="s">
        <v>7987</v>
      </c>
      <c r="G4875" s="2" t="s">
        <v>7322</v>
      </c>
      <c r="H4875" s="14">
        <v>2.0099999999999998</v>
      </c>
      <c r="I4875" s="2" t="s">
        <v>4699</v>
      </c>
      <c r="J4875" s="2" t="s">
        <v>3942</v>
      </c>
      <c r="K4875" s="2" t="s">
        <v>1452</v>
      </c>
      <c r="L4875" s="2" t="s">
        <v>5221</v>
      </c>
      <c r="M4875" s="2" t="s">
        <v>5221</v>
      </c>
      <c r="N4875" s="2" t="s">
        <v>2317</v>
      </c>
      <c r="O4875" s="14">
        <v>16000</v>
      </c>
      <c r="P4875" s="14">
        <v>99.23</v>
      </c>
      <c r="Q4875" s="14">
        <v>123.2</v>
      </c>
      <c r="R4875" s="14">
        <v>247.63</v>
      </c>
      <c r="S4875" s="2" t="s">
        <v>3452</v>
      </c>
      <c r="T4875" s="2">
        <v>1.37</v>
      </c>
      <c r="U4875" s="2">
        <v>67.099999999999994</v>
      </c>
      <c r="V4875" s="2">
        <v>67</v>
      </c>
      <c r="W4875" s="2" t="s">
        <v>4336</v>
      </c>
      <c r="X4875" s="2" t="s">
        <v>2897</v>
      </c>
      <c r="Y4875" s="2">
        <v>32160</v>
      </c>
      <c r="Z4875" s="19" t="str">
        <f>HYPERLINK("https://ssdweb.co/ssdweb/hd/Vision360.html?d=925551814&amp;zoomslide=1&amp;z=1925551814&amp;ISCONFIRM=0","VIDEO")</f>
        <v>VIDEO</v>
      </c>
      <c r="AA4875" s="19" t="str">
        <f>HYPERLINK("https://ssdweb.co/ssdweb/CERTH/620469742.pdf","CERTI")</f>
        <v>CERTI</v>
      </c>
    </row>
    <row r="4876" spans="1:27" ht="15" x14ac:dyDescent="0.25">
      <c r="A4876" s="2">
        <v>4871</v>
      </c>
      <c r="B4876" s="39">
        <v>927070635</v>
      </c>
      <c r="C4876" s="28" t="str">
        <f>HYPERLINK("https://pld.live/RapDetail.aspx?STONELIST=927070635","DNA")</f>
        <v>DNA</v>
      </c>
      <c r="D4876" s="18" t="s">
        <v>3658</v>
      </c>
      <c r="E4876" s="18" t="s">
        <v>2186</v>
      </c>
      <c r="F4876" s="2" t="s">
        <v>7987</v>
      </c>
      <c r="G4876" s="2" t="s">
        <v>7322</v>
      </c>
      <c r="H4876" s="14">
        <v>2.0099999999999998</v>
      </c>
      <c r="I4876" s="2" t="s">
        <v>4699</v>
      </c>
      <c r="J4876" s="2" t="s">
        <v>13</v>
      </c>
      <c r="K4876" s="2" t="s">
        <v>1452</v>
      </c>
      <c r="L4876" s="2" t="s">
        <v>5221</v>
      </c>
      <c r="M4876" s="2" t="s">
        <v>5221</v>
      </c>
      <c r="N4876" s="2" t="s">
        <v>2317</v>
      </c>
      <c r="O4876" s="14">
        <v>15000</v>
      </c>
      <c r="P4876" s="14">
        <v>99.23</v>
      </c>
      <c r="Q4876" s="14">
        <v>115.5</v>
      </c>
      <c r="R4876" s="14">
        <v>232.16</v>
      </c>
      <c r="S4876" s="2" t="s">
        <v>5644</v>
      </c>
      <c r="T4876" s="2">
        <v>1.43</v>
      </c>
      <c r="U4876" s="2">
        <v>66.3</v>
      </c>
      <c r="V4876" s="2">
        <v>62</v>
      </c>
      <c r="W4876" s="2" t="s">
        <v>7862</v>
      </c>
      <c r="X4876" s="2" t="s">
        <v>2897</v>
      </c>
      <c r="Y4876" s="2">
        <v>30150</v>
      </c>
      <c r="Z4876" s="19" t="str">
        <f>HYPERLINK("https://ssdweb.co/ssdweb/hd/Vision360.html?d=927070635&amp;zoomslide=1&amp;z=1927070635&amp;ISCONFIRM=0","VIDEO")</f>
        <v>VIDEO</v>
      </c>
      <c r="AA4876" s="19" t="str">
        <f>HYPERLINK("https://ssdweb.co/ssdweb/CERTH/662473921.pdf","CERTI")</f>
        <v>CERTI</v>
      </c>
    </row>
    <row r="4877" spans="1:27" ht="15" x14ac:dyDescent="0.25">
      <c r="A4877" s="2">
        <v>4872</v>
      </c>
      <c r="B4877" s="39">
        <v>831020615</v>
      </c>
      <c r="C4877" s="28" t="str">
        <f>HYPERLINK("https://pld.live/RapDetail.aspx?STONELIST=831020615","DNA")</f>
        <v>DNA</v>
      </c>
      <c r="D4877" s="18" t="s">
        <v>3658</v>
      </c>
      <c r="E4877" s="18" t="s">
        <v>2186</v>
      </c>
      <c r="F4877" s="2" t="s">
        <v>7987</v>
      </c>
      <c r="G4877" s="2" t="s">
        <v>7322</v>
      </c>
      <c r="H4877" s="14">
        <v>2.0099999999999998</v>
      </c>
      <c r="I4877" s="2" t="s">
        <v>6587</v>
      </c>
      <c r="J4877" s="2" t="s">
        <v>13</v>
      </c>
      <c r="K4877" s="2" t="s">
        <v>1452</v>
      </c>
      <c r="L4877" s="2" t="s">
        <v>5221</v>
      </c>
      <c r="M4877" s="2" t="s">
        <v>5221</v>
      </c>
      <c r="N4877" s="2" t="s">
        <v>2317</v>
      </c>
      <c r="O4877" s="14">
        <v>14000</v>
      </c>
      <c r="P4877" s="14">
        <v>99.25</v>
      </c>
      <c r="Q4877" s="14">
        <v>105</v>
      </c>
      <c r="R4877" s="14">
        <v>211.05</v>
      </c>
      <c r="S4877" s="2" t="s">
        <v>1424</v>
      </c>
      <c r="T4877" s="2">
        <v>1.47</v>
      </c>
      <c r="U4877" s="2">
        <v>64.900000000000006</v>
      </c>
      <c r="V4877" s="2">
        <v>66.5</v>
      </c>
      <c r="W4877" s="2" t="s">
        <v>7862</v>
      </c>
      <c r="X4877" s="2" t="s">
        <v>2897</v>
      </c>
      <c r="Y4877" s="2">
        <v>28140</v>
      </c>
      <c r="Z4877" s="19" t="str">
        <f>HYPERLINK("https://ssdweb.co/ssdweb/hd/Vision360.html?d=831020615&amp;zoomslide=1&amp;z=1831020615&amp;ISCONFIRM=0","VIDEO")</f>
        <v>VIDEO</v>
      </c>
      <c r="AA4877" s="19" t="str">
        <f>HYPERLINK("https://ssdweb.co/ssdweb/CERTH/564370901.pdf","CERTI")</f>
        <v>CERTI</v>
      </c>
    </row>
    <row r="4878" spans="1:27" ht="15" x14ac:dyDescent="0.25">
      <c r="A4878" s="2">
        <v>4873</v>
      </c>
      <c r="B4878" s="39">
        <v>821115778</v>
      </c>
      <c r="C4878" s="28" t="str">
        <f>HYPERLINK("https://pld.live/RapDetail.aspx?STONELIST=821115778","DNA")</f>
        <v>DNA</v>
      </c>
      <c r="D4878" s="18" t="s">
        <v>3658</v>
      </c>
      <c r="E4878" s="18" t="s">
        <v>2186</v>
      </c>
      <c r="F4878" s="2" t="s">
        <v>7987</v>
      </c>
      <c r="G4878" s="2" t="s">
        <v>7322</v>
      </c>
      <c r="H4878" s="14">
        <v>2.0099999999999998</v>
      </c>
      <c r="I4878" s="2" t="s">
        <v>1505</v>
      </c>
      <c r="J4878" s="2" t="s">
        <v>3942</v>
      </c>
      <c r="K4878" s="2" t="s">
        <v>1452</v>
      </c>
      <c r="L4878" s="2" t="s">
        <v>5221</v>
      </c>
      <c r="M4878" s="2" t="s">
        <v>5221</v>
      </c>
      <c r="N4878" s="2" t="s">
        <v>1452</v>
      </c>
      <c r="O4878" s="14">
        <v>12000</v>
      </c>
      <c r="P4878" s="14">
        <v>99.06</v>
      </c>
      <c r="Q4878" s="14">
        <v>112.8</v>
      </c>
      <c r="R4878" s="14">
        <v>226.73</v>
      </c>
      <c r="S4878" s="2" t="s">
        <v>6873</v>
      </c>
      <c r="T4878" s="2">
        <v>1.48</v>
      </c>
      <c r="U4878" s="2">
        <v>67.400000000000006</v>
      </c>
      <c r="V4878" s="2">
        <v>64</v>
      </c>
      <c r="W4878" s="2" t="s">
        <v>7862</v>
      </c>
      <c r="X4878" s="2" t="s">
        <v>2897</v>
      </c>
      <c r="Y4878" s="2">
        <v>24120</v>
      </c>
      <c r="Z4878" s="19" t="str">
        <f>HYPERLINK("https://ssdweb.co/ssdweb/hd/Vision360.html?d=821115778&amp;zoomslide=1&amp;z=1821115778&amp;ISCONFIRM=0","VIDEO")</f>
        <v>VIDEO</v>
      </c>
      <c r="AA4878" s="19" t="str">
        <f>HYPERLINK("https://ssdweb.co/ssdweb/CERTH/636490543.pdf","CERTI")</f>
        <v>CERTI</v>
      </c>
    </row>
    <row r="4879" spans="1:27" ht="15" x14ac:dyDescent="0.25">
      <c r="A4879" s="2">
        <v>4874</v>
      </c>
      <c r="B4879" s="39">
        <v>926540090</v>
      </c>
      <c r="C4879" s="28" t="str">
        <f>HYPERLINK("https://pld.live/RapDetail.aspx?STONELIST=926540090","DNA")</f>
        <v>DNA</v>
      </c>
      <c r="D4879" s="18" t="s">
        <v>3658</v>
      </c>
      <c r="E4879" s="18" t="s">
        <v>2186</v>
      </c>
      <c r="F4879" s="2" t="s">
        <v>7987</v>
      </c>
      <c r="G4879" s="2" t="s">
        <v>7322</v>
      </c>
      <c r="H4879" s="14">
        <v>2.0099999999999998</v>
      </c>
      <c r="I4879" s="2" t="s">
        <v>1066</v>
      </c>
      <c r="J4879" s="2" t="s">
        <v>13</v>
      </c>
      <c r="K4879" s="2" t="s">
        <v>1452</v>
      </c>
      <c r="L4879" s="2" t="s">
        <v>5221</v>
      </c>
      <c r="M4879" s="2" t="s">
        <v>5221</v>
      </c>
      <c r="N4879" s="2" t="s">
        <v>924</v>
      </c>
      <c r="O4879" s="14">
        <v>4000</v>
      </c>
      <c r="P4879" s="14">
        <v>92.5</v>
      </c>
      <c r="Q4879" s="14">
        <v>300</v>
      </c>
      <c r="R4879" s="14">
        <v>603</v>
      </c>
      <c r="S4879" s="2" t="s">
        <v>1844</v>
      </c>
      <c r="T4879" s="2">
        <v>1.45</v>
      </c>
      <c r="U4879" s="2">
        <v>64.8</v>
      </c>
      <c r="V4879" s="2">
        <v>63</v>
      </c>
      <c r="W4879" s="2" t="s">
        <v>7862</v>
      </c>
      <c r="X4879" s="2" t="s">
        <v>2897</v>
      </c>
      <c r="Y4879" s="2">
        <v>8040</v>
      </c>
      <c r="Z4879" s="19" t="str">
        <f>HYPERLINK("https://ssdweb.co/ssdweb/hd/Vision360.html?d=926540090&amp;zoomslide=1&amp;z=1926540090&amp;ISCONFIRM=0","VIDEO")</f>
        <v>VIDEO</v>
      </c>
      <c r="AA4879" s="19" t="str">
        <f>HYPERLINK("https://ssdweb.co/ssdweb/CERTH/651466437.pdf","CERTI")</f>
        <v>CERTI</v>
      </c>
    </row>
    <row r="4880" spans="1:27" ht="15" x14ac:dyDescent="0.25">
      <c r="A4880" s="2">
        <v>4875</v>
      </c>
      <c r="B4880" s="39">
        <v>925951134</v>
      </c>
      <c r="C4880" s="28" t="str">
        <f>HYPERLINK("https://pld.live/RapDetail.aspx?STONELIST=925951134","DNA")</f>
        <v>DNA</v>
      </c>
      <c r="D4880" s="18" t="s">
        <v>3658</v>
      </c>
      <c r="E4880" s="18" t="s">
        <v>5128</v>
      </c>
      <c r="F4880" s="2" t="s">
        <v>7987</v>
      </c>
      <c r="G4880" s="2" t="s">
        <v>7322</v>
      </c>
      <c r="H4880" s="14">
        <v>2</v>
      </c>
      <c r="I4880" s="2" t="s">
        <v>267</v>
      </c>
      <c r="J4880" s="2" t="s">
        <v>3942</v>
      </c>
      <c r="K4880" s="2" t="s">
        <v>1452</v>
      </c>
      <c r="L4880" s="2" t="s">
        <v>5221</v>
      </c>
      <c r="M4880" s="2" t="s">
        <v>5221</v>
      </c>
      <c r="N4880" s="2" t="s">
        <v>2317</v>
      </c>
      <c r="O4880" s="14">
        <v>18500</v>
      </c>
      <c r="P4880" s="14">
        <v>99.19</v>
      </c>
      <c r="Q4880" s="14">
        <v>149.85</v>
      </c>
      <c r="R4880" s="14">
        <v>299.7</v>
      </c>
      <c r="S4880" s="2" t="s">
        <v>4246</v>
      </c>
      <c r="T4880" s="2">
        <v>1.37</v>
      </c>
      <c r="U4880" s="2">
        <v>67.900000000000006</v>
      </c>
      <c r="V4880" s="2">
        <v>67</v>
      </c>
      <c r="W4880" s="2" t="s">
        <v>7862</v>
      </c>
      <c r="X4880" s="2" t="s">
        <v>2897</v>
      </c>
      <c r="Y4880" s="2">
        <v>37000</v>
      </c>
      <c r="Z4880" s="19" t="str">
        <f>HYPERLINK("https://ssdweb.co/ssdweb/hd/Vision360.html?d=925951134&amp;zoomslide=1&amp;z=1925951134&amp;ISCONFIRM=0","VIDEO")</f>
        <v>VIDEO</v>
      </c>
      <c r="AA4880" s="19" t="str">
        <f>HYPERLINK("https://ssdweb.co/ssdweb/CERTH/629453023.pdf","CERTI")</f>
        <v>CERTI</v>
      </c>
    </row>
    <row r="4881" spans="1:27" ht="15" x14ac:dyDescent="0.25">
      <c r="A4881" s="2">
        <v>4876</v>
      </c>
      <c r="B4881" s="39">
        <v>926171461</v>
      </c>
      <c r="C4881" s="28" t="str">
        <f>HYPERLINK("https://pld.live/RapDetail.aspx?STONELIST=926171461","DNA")</f>
        <v>DNA</v>
      </c>
      <c r="D4881" s="18" t="s">
        <v>3658</v>
      </c>
      <c r="E4881" s="18" t="s">
        <v>5128</v>
      </c>
      <c r="F4881" s="2" t="s">
        <v>7987</v>
      </c>
      <c r="G4881" s="2" t="s">
        <v>7322</v>
      </c>
      <c r="H4881" s="14">
        <v>2</v>
      </c>
      <c r="I4881" s="2" t="s">
        <v>267</v>
      </c>
      <c r="J4881" s="2" t="s">
        <v>3942</v>
      </c>
      <c r="K4881" s="2" t="s">
        <v>1452</v>
      </c>
      <c r="L4881" s="2" t="s">
        <v>5221</v>
      </c>
      <c r="M4881" s="2" t="s">
        <v>5221</v>
      </c>
      <c r="N4881" s="2" t="s">
        <v>2317</v>
      </c>
      <c r="O4881" s="14">
        <v>18500</v>
      </c>
      <c r="P4881" s="14">
        <v>99.17</v>
      </c>
      <c r="Q4881" s="14">
        <v>153.55000000000001</v>
      </c>
      <c r="R4881" s="14">
        <v>307.10000000000002</v>
      </c>
      <c r="S4881" s="2" t="s">
        <v>2053</v>
      </c>
      <c r="T4881" s="2">
        <v>1.38</v>
      </c>
      <c r="U4881" s="2">
        <v>66.5</v>
      </c>
      <c r="V4881" s="2">
        <v>68</v>
      </c>
      <c r="W4881" s="2" t="s">
        <v>7862</v>
      </c>
      <c r="X4881" s="2" t="s">
        <v>2897</v>
      </c>
      <c r="Y4881" s="2">
        <v>37000</v>
      </c>
      <c r="Z4881" s="19" t="str">
        <f>HYPERLINK("https://ssdweb.co/ssdweb/hd/Vision360.html?d=926171461&amp;zoomslide=1&amp;z=1926171461&amp;ISCONFIRM=0","VIDEO")</f>
        <v>VIDEO</v>
      </c>
      <c r="AA4881" s="19" t="str">
        <f>HYPERLINK("https://ssdweb.co/ssdweb/CERTH/634431512.pdf","CERTI")</f>
        <v>CERTI</v>
      </c>
    </row>
    <row r="4882" spans="1:27" ht="15" x14ac:dyDescent="0.25">
      <c r="A4882" s="2">
        <v>4877</v>
      </c>
      <c r="B4882" s="39">
        <v>925981066</v>
      </c>
      <c r="C4882" s="28" t="str">
        <f>HYPERLINK("https://pld.live/RapDetail.aspx?STONELIST=925981066","DNA")</f>
        <v>DNA</v>
      </c>
      <c r="D4882" s="18" t="s">
        <v>3658</v>
      </c>
      <c r="E4882" s="18" t="s">
        <v>5128</v>
      </c>
      <c r="F4882" s="2" t="s">
        <v>7987</v>
      </c>
      <c r="G4882" s="2" t="s">
        <v>7322</v>
      </c>
      <c r="H4882" s="14">
        <v>2</v>
      </c>
      <c r="I4882" s="2" t="s">
        <v>267</v>
      </c>
      <c r="J4882" s="2" t="s">
        <v>3942</v>
      </c>
      <c r="K4882" s="2" t="s">
        <v>1452</v>
      </c>
      <c r="L4882" s="2" t="s">
        <v>5221</v>
      </c>
      <c r="M4882" s="2" t="s">
        <v>5221</v>
      </c>
      <c r="N4882" s="2" t="s">
        <v>2317</v>
      </c>
      <c r="O4882" s="14">
        <v>18500</v>
      </c>
      <c r="P4882" s="14">
        <v>99.19</v>
      </c>
      <c r="Q4882" s="14">
        <v>149.85</v>
      </c>
      <c r="R4882" s="14">
        <v>299.7</v>
      </c>
      <c r="S4882" s="2" t="s">
        <v>4191</v>
      </c>
      <c r="T4882" s="2">
        <v>1.37</v>
      </c>
      <c r="U4882" s="2">
        <v>67</v>
      </c>
      <c r="V4882" s="2">
        <v>62</v>
      </c>
      <c r="W4882" s="2" t="s">
        <v>7862</v>
      </c>
      <c r="X4882" s="2" t="s">
        <v>2897</v>
      </c>
      <c r="Y4882" s="2">
        <v>37000</v>
      </c>
      <c r="Z4882" s="19" t="str">
        <f>HYPERLINK("https://ssdweb.co/ssdweb/hd/Vision360.html?d=925981066&amp;zoomslide=1&amp;z=1925981066&amp;ISCONFIRM=0","VIDEO")</f>
        <v>VIDEO</v>
      </c>
      <c r="AA4882" s="19" t="str">
        <f>HYPERLINK("https://ssdweb.co/ssdweb/CERTH/629481870.pdf","CERTI")</f>
        <v>CERTI</v>
      </c>
    </row>
    <row r="4883" spans="1:27" ht="15" x14ac:dyDescent="0.25">
      <c r="A4883" s="2">
        <v>4878</v>
      </c>
      <c r="B4883" s="39">
        <v>925861494</v>
      </c>
      <c r="C4883" s="28" t="str">
        <f>HYPERLINK("https://pld.live/RapDetail.aspx?STONELIST=925861494","DNA")</f>
        <v>DNA</v>
      </c>
      <c r="D4883" s="18" t="s">
        <v>3658</v>
      </c>
      <c r="E4883" s="18" t="s">
        <v>5128</v>
      </c>
      <c r="F4883" s="2" t="s">
        <v>7987</v>
      </c>
      <c r="G4883" s="2" t="s">
        <v>7322</v>
      </c>
      <c r="H4883" s="14">
        <v>2</v>
      </c>
      <c r="I4883" s="2" t="s">
        <v>267</v>
      </c>
      <c r="J4883" s="2" t="s">
        <v>13</v>
      </c>
      <c r="K4883" s="2" t="s">
        <v>1452</v>
      </c>
      <c r="L4883" s="2" t="s">
        <v>5221</v>
      </c>
      <c r="M4883" s="2" t="s">
        <v>5221</v>
      </c>
      <c r="N4883" s="2" t="s">
        <v>2317</v>
      </c>
      <c r="O4883" s="14">
        <v>17500</v>
      </c>
      <c r="P4883" s="14">
        <v>99.26</v>
      </c>
      <c r="Q4883" s="14">
        <v>129.5</v>
      </c>
      <c r="R4883" s="14">
        <v>259</v>
      </c>
      <c r="S4883" s="2" t="s">
        <v>2722</v>
      </c>
      <c r="T4883" s="2">
        <v>1.36</v>
      </c>
      <c r="U4883" s="2">
        <v>67.900000000000006</v>
      </c>
      <c r="V4883" s="2">
        <v>62</v>
      </c>
      <c r="W4883" s="2" t="s">
        <v>7862</v>
      </c>
      <c r="X4883" s="2" t="s">
        <v>2897</v>
      </c>
      <c r="Y4883" s="2">
        <v>35000</v>
      </c>
      <c r="Z4883" s="19" t="str">
        <f>HYPERLINK("https://ssdweb.co/ssdweb/hd/Vision360.html?d=925861494&amp;zoomslide=1&amp;z=1925861494&amp;ISCONFIRM=0","VIDEO")</f>
        <v>VIDEO</v>
      </c>
      <c r="AA4883" s="19" t="str">
        <f>HYPERLINK("https://ssdweb.co/ssdweb/CERTH/627415190.pdf","CERTI")</f>
        <v>CERTI</v>
      </c>
    </row>
    <row r="4884" spans="1:27" ht="15" x14ac:dyDescent="0.25">
      <c r="A4884" s="2">
        <v>4879</v>
      </c>
      <c r="B4884" s="39">
        <v>925961132</v>
      </c>
      <c r="C4884" s="28" t="str">
        <f>HYPERLINK("https://pld.live/RapDetail.aspx?STONELIST=925961132","DNA")</f>
        <v>DNA</v>
      </c>
      <c r="D4884" s="18" t="s">
        <v>3658</v>
      </c>
      <c r="E4884" s="18" t="s">
        <v>5128</v>
      </c>
      <c r="F4884" s="2" t="s">
        <v>7987</v>
      </c>
      <c r="G4884" s="2" t="s">
        <v>7322</v>
      </c>
      <c r="H4884" s="14">
        <v>2</v>
      </c>
      <c r="I4884" s="2" t="s">
        <v>267</v>
      </c>
      <c r="J4884" s="2" t="s">
        <v>13</v>
      </c>
      <c r="K4884" s="2" t="s">
        <v>1452</v>
      </c>
      <c r="L4884" s="2" t="s">
        <v>5221</v>
      </c>
      <c r="M4884" s="2" t="s">
        <v>5221</v>
      </c>
      <c r="N4884" s="2" t="s">
        <v>2317</v>
      </c>
      <c r="O4884" s="14">
        <v>17500</v>
      </c>
      <c r="P4884" s="14">
        <v>99.26</v>
      </c>
      <c r="Q4884" s="14">
        <v>129.5</v>
      </c>
      <c r="R4884" s="14">
        <v>259</v>
      </c>
      <c r="S4884" s="2" t="s">
        <v>1738</v>
      </c>
      <c r="T4884" s="2">
        <v>1.38</v>
      </c>
      <c r="U4884" s="2">
        <v>67.7</v>
      </c>
      <c r="V4884" s="2">
        <v>62</v>
      </c>
      <c r="W4884" s="2" t="s">
        <v>7862</v>
      </c>
      <c r="X4884" s="2" t="s">
        <v>2897</v>
      </c>
      <c r="Y4884" s="2">
        <v>35000</v>
      </c>
      <c r="Z4884" s="19" t="str">
        <f>HYPERLINK("https://ssdweb.co/ssdweb/hd/Vision360.html?d=925961132&amp;zoomslide=1&amp;z=1925961132&amp;ISCONFIRM=0","VIDEO")</f>
        <v>VIDEO</v>
      </c>
      <c r="AA4884" s="19" t="str">
        <f>HYPERLINK("https://ssdweb.co/ssdweb/CERTH/629453253.pdf","CERTI")</f>
        <v>CERTI</v>
      </c>
    </row>
    <row r="4885" spans="1:27" ht="15" x14ac:dyDescent="0.25">
      <c r="A4885" s="2">
        <v>4880</v>
      </c>
      <c r="B4885" s="39">
        <v>925732044</v>
      </c>
      <c r="C4885" s="28" t="str">
        <f>HYPERLINK("https://pld.live/RapDetail.aspx?STONELIST=925732044","DNA")</f>
        <v>DNA</v>
      </c>
      <c r="D4885" s="18" t="s">
        <v>3658</v>
      </c>
      <c r="E4885" s="18" t="s">
        <v>5128</v>
      </c>
      <c r="F4885" s="2" t="s">
        <v>7987</v>
      </c>
      <c r="G4885" s="2" t="s">
        <v>7322</v>
      </c>
      <c r="H4885" s="14">
        <v>2</v>
      </c>
      <c r="I4885" s="2" t="s">
        <v>267</v>
      </c>
      <c r="J4885" s="2" t="s">
        <v>13</v>
      </c>
      <c r="K4885" s="2" t="s">
        <v>1452</v>
      </c>
      <c r="L4885" s="2" t="s">
        <v>5221</v>
      </c>
      <c r="M4885" s="2" t="s">
        <v>5221</v>
      </c>
      <c r="N4885" s="2" t="s">
        <v>2317</v>
      </c>
      <c r="O4885" s="14">
        <v>17500</v>
      </c>
      <c r="P4885" s="14">
        <v>99.26</v>
      </c>
      <c r="Q4885" s="14">
        <v>129.5</v>
      </c>
      <c r="R4885" s="14">
        <v>259</v>
      </c>
      <c r="S4885" s="2" t="s">
        <v>4508</v>
      </c>
      <c r="T4885" s="2">
        <v>1.36</v>
      </c>
      <c r="U4885" s="2">
        <v>68.5</v>
      </c>
      <c r="V4885" s="2">
        <v>63</v>
      </c>
      <c r="W4885" s="2" t="s">
        <v>7862</v>
      </c>
      <c r="X4885" s="2" t="s">
        <v>2897</v>
      </c>
      <c r="Y4885" s="2">
        <v>35000</v>
      </c>
      <c r="Z4885" s="19" t="str">
        <f>HYPERLINK("https://ssdweb.co/ssdweb/hd/Vision360.html?d=925732044&amp;zoomslide=1&amp;z=1925732044&amp;ISCONFIRM=0","VIDEO")</f>
        <v>VIDEO</v>
      </c>
      <c r="AA4885" s="19" t="str">
        <f>HYPERLINK("https://ssdweb.co/ssdweb/CERTH/625432310.pdf","CERTI")</f>
        <v>CERTI</v>
      </c>
    </row>
    <row r="4886" spans="1:27" ht="15" x14ac:dyDescent="0.25">
      <c r="A4886" s="2">
        <v>4881</v>
      </c>
      <c r="B4886" s="39">
        <v>926200333</v>
      </c>
      <c r="C4886" s="28" t="str">
        <f>HYPERLINK("https://pld.live/RapDetail.aspx?STONELIST=926200333","DNA")</f>
        <v>DNA</v>
      </c>
      <c r="D4886" s="18" t="s">
        <v>3658</v>
      </c>
      <c r="E4886" s="18" t="s">
        <v>5128</v>
      </c>
      <c r="F4886" s="2" t="s">
        <v>7987</v>
      </c>
      <c r="G4886" s="2" t="s">
        <v>7322</v>
      </c>
      <c r="H4886" s="14">
        <v>2</v>
      </c>
      <c r="I4886" s="2" t="s">
        <v>267</v>
      </c>
      <c r="J4886" s="2" t="s">
        <v>13</v>
      </c>
      <c r="K4886" s="2" t="s">
        <v>1452</v>
      </c>
      <c r="L4886" s="2" t="s">
        <v>5221</v>
      </c>
      <c r="M4886" s="2" t="s">
        <v>5221</v>
      </c>
      <c r="N4886" s="2" t="s">
        <v>2317</v>
      </c>
      <c r="O4886" s="14">
        <v>17500</v>
      </c>
      <c r="P4886" s="14">
        <v>99.24</v>
      </c>
      <c r="Q4886" s="14">
        <v>133</v>
      </c>
      <c r="R4886" s="14">
        <v>266</v>
      </c>
      <c r="S4886" s="2" t="s">
        <v>274</v>
      </c>
      <c r="T4886" s="2">
        <v>1.37</v>
      </c>
      <c r="U4886" s="2">
        <v>65.400000000000006</v>
      </c>
      <c r="V4886" s="2">
        <v>59</v>
      </c>
      <c r="W4886" s="2" t="s">
        <v>7862</v>
      </c>
      <c r="X4886" s="2" t="s">
        <v>2897</v>
      </c>
      <c r="Y4886" s="2">
        <v>35000</v>
      </c>
      <c r="Z4886" s="19" t="str">
        <f>HYPERLINK("https://ssdweb.co/ssdweb/hd/Vision360.html?d=926200333&amp;zoomslide=1&amp;z=1926200333&amp;ISCONFIRM=0","VIDEO")</f>
        <v>VIDEO</v>
      </c>
      <c r="AA4886" s="19" t="str">
        <f>HYPERLINK("https://ssdweb.co/ssdweb/CERTH/634431454.pdf","CERTI")</f>
        <v>CERTI</v>
      </c>
    </row>
    <row r="4887" spans="1:27" ht="15" x14ac:dyDescent="0.25">
      <c r="A4887" s="2">
        <v>4882</v>
      </c>
      <c r="B4887" s="39">
        <v>926200735</v>
      </c>
      <c r="C4887" s="28" t="str">
        <f>HYPERLINK("https://pld.live/RapDetail.aspx?STONELIST=926200735","DNA")</f>
        <v>DNA</v>
      </c>
      <c r="D4887" s="18" t="s">
        <v>3658</v>
      </c>
      <c r="E4887" s="18" t="s">
        <v>5128</v>
      </c>
      <c r="F4887" s="2" t="s">
        <v>7987</v>
      </c>
      <c r="G4887" s="2" t="s">
        <v>7322</v>
      </c>
      <c r="H4887" s="14">
        <v>2</v>
      </c>
      <c r="I4887" s="2" t="s">
        <v>267</v>
      </c>
      <c r="J4887" s="2" t="s">
        <v>13</v>
      </c>
      <c r="K4887" s="2" t="s">
        <v>1452</v>
      </c>
      <c r="L4887" s="2" t="s">
        <v>5221</v>
      </c>
      <c r="M4887" s="2" t="s">
        <v>5221</v>
      </c>
      <c r="N4887" s="2" t="s">
        <v>2317</v>
      </c>
      <c r="O4887" s="14">
        <v>17500</v>
      </c>
      <c r="P4887" s="14">
        <v>99.24</v>
      </c>
      <c r="Q4887" s="14">
        <v>133</v>
      </c>
      <c r="R4887" s="14">
        <v>266</v>
      </c>
      <c r="S4887" s="2" t="s">
        <v>6614</v>
      </c>
      <c r="T4887" s="2">
        <v>1.36</v>
      </c>
      <c r="U4887" s="2">
        <v>67.7</v>
      </c>
      <c r="V4887" s="2">
        <v>69</v>
      </c>
      <c r="W4887" s="2" t="s">
        <v>7862</v>
      </c>
      <c r="X4887" s="2" t="s">
        <v>2897</v>
      </c>
      <c r="Y4887" s="2">
        <v>35000</v>
      </c>
      <c r="Z4887" s="19" t="str">
        <f>HYPERLINK("https://ssdweb.co/ssdweb/hd/Vision360.html?d=926200735&amp;zoomslide=1&amp;z=1926200735&amp;ISCONFIRM=0","VIDEO")</f>
        <v>VIDEO</v>
      </c>
      <c r="AA4887" s="19" t="str">
        <f>HYPERLINK("https://ssdweb.co/ssdweb/CERTH/634431402.pdf","CERTI")</f>
        <v>CERTI</v>
      </c>
    </row>
    <row r="4888" spans="1:27" ht="15" x14ac:dyDescent="0.25">
      <c r="A4888" s="2">
        <v>4883</v>
      </c>
      <c r="B4888" s="39">
        <v>925502152</v>
      </c>
      <c r="C4888" s="28" t="str">
        <f>HYPERLINK("https://pld.live/RapDetail.aspx?STONELIST=925502152","DNA")</f>
        <v>DNA</v>
      </c>
      <c r="D4888" s="18" t="s">
        <v>3658</v>
      </c>
      <c r="E4888" s="18" t="s">
        <v>5128</v>
      </c>
      <c r="F4888" s="2" t="s">
        <v>7987</v>
      </c>
      <c r="G4888" s="2" t="s">
        <v>7322</v>
      </c>
      <c r="H4888" s="14">
        <v>2</v>
      </c>
      <c r="I4888" s="2" t="s">
        <v>267</v>
      </c>
      <c r="J4888" s="2" t="s">
        <v>13</v>
      </c>
      <c r="K4888" s="2" t="s">
        <v>1452</v>
      </c>
      <c r="L4888" s="2" t="s">
        <v>5221</v>
      </c>
      <c r="M4888" s="2" t="s">
        <v>5221</v>
      </c>
      <c r="N4888" s="2" t="s">
        <v>2317</v>
      </c>
      <c r="O4888" s="14">
        <v>17500</v>
      </c>
      <c r="P4888" s="14">
        <v>99.26</v>
      </c>
      <c r="Q4888" s="14">
        <v>129.5</v>
      </c>
      <c r="R4888" s="14">
        <v>259</v>
      </c>
      <c r="S4888" s="2" t="s">
        <v>5784</v>
      </c>
      <c r="T4888" s="2">
        <v>1.37</v>
      </c>
      <c r="U4888" s="2">
        <v>67.5</v>
      </c>
      <c r="V4888" s="2">
        <v>64</v>
      </c>
      <c r="W4888" s="2" t="s">
        <v>7862</v>
      </c>
      <c r="X4888" s="2" t="s">
        <v>2897</v>
      </c>
      <c r="Y4888" s="2">
        <v>35000</v>
      </c>
      <c r="Z4888" s="19" t="str">
        <f>HYPERLINK("https://ssdweb.co/ssdweb/hd/Vision360.html?d=925502152&amp;zoomslide=1&amp;z=1925502152&amp;ISCONFIRM=0","VIDEO")</f>
        <v>VIDEO</v>
      </c>
      <c r="AA4888" s="19" t="str">
        <f>HYPERLINK("https://ssdweb.co/ssdweb/CERTH/617413012.pdf","CERTI")</f>
        <v>CERTI</v>
      </c>
    </row>
    <row r="4889" spans="1:27" ht="15" x14ac:dyDescent="0.25">
      <c r="A4889" s="2">
        <v>4884</v>
      </c>
      <c r="B4889" s="39">
        <v>925980772</v>
      </c>
      <c r="C4889" s="28" t="str">
        <f>HYPERLINK("https://pld.live/RapDetail.aspx?STONELIST=925980772","DNA")</f>
        <v>DNA</v>
      </c>
      <c r="D4889" s="18" t="s">
        <v>3658</v>
      </c>
      <c r="E4889" s="18" t="s">
        <v>5128</v>
      </c>
      <c r="F4889" s="2" t="s">
        <v>7987</v>
      </c>
      <c r="G4889" s="2" t="s">
        <v>7322</v>
      </c>
      <c r="H4889" s="14">
        <v>2</v>
      </c>
      <c r="I4889" s="2" t="s">
        <v>267</v>
      </c>
      <c r="J4889" s="2" t="s">
        <v>13</v>
      </c>
      <c r="K4889" s="2" t="s">
        <v>1452</v>
      </c>
      <c r="L4889" s="2" t="s">
        <v>5221</v>
      </c>
      <c r="M4889" s="2" t="s">
        <v>5221</v>
      </c>
      <c r="N4889" s="2" t="s">
        <v>2317</v>
      </c>
      <c r="O4889" s="14">
        <v>17500</v>
      </c>
      <c r="P4889" s="14">
        <v>99.26</v>
      </c>
      <c r="Q4889" s="14">
        <v>129.5</v>
      </c>
      <c r="R4889" s="14">
        <v>259</v>
      </c>
      <c r="S4889" s="2" t="s">
        <v>7599</v>
      </c>
      <c r="T4889" s="2">
        <v>1.38</v>
      </c>
      <c r="U4889" s="2">
        <v>68.099999999999994</v>
      </c>
      <c r="V4889" s="2">
        <v>65</v>
      </c>
      <c r="W4889" s="2" t="s">
        <v>7862</v>
      </c>
      <c r="X4889" s="2" t="s">
        <v>2897</v>
      </c>
      <c r="Y4889" s="2">
        <v>35000</v>
      </c>
      <c r="Z4889" s="19" t="str">
        <f>HYPERLINK("https://ssdweb.co/ssdweb/hd/Vision360.html?d=925980772&amp;zoomslide=1&amp;z=1925980772&amp;ISCONFIRM=0","VIDEO")</f>
        <v>VIDEO</v>
      </c>
      <c r="AA4889" s="19" t="str">
        <f>HYPERLINK("https://ssdweb.co/ssdweb/CERTH/629453425.pdf","CERTI")</f>
        <v>CERTI</v>
      </c>
    </row>
    <row r="4890" spans="1:27" ht="15" x14ac:dyDescent="0.25">
      <c r="A4890" s="2">
        <v>4885</v>
      </c>
      <c r="B4890" s="39">
        <v>926020701</v>
      </c>
      <c r="C4890" s="28" t="str">
        <f>HYPERLINK("https://pld.live/RapDetail.aspx?STONELIST=926020701","DNA")</f>
        <v>DNA</v>
      </c>
      <c r="D4890" s="18" t="s">
        <v>3658</v>
      </c>
      <c r="E4890" s="18" t="s">
        <v>5128</v>
      </c>
      <c r="F4890" s="2" t="s">
        <v>7987</v>
      </c>
      <c r="G4890" s="2" t="s">
        <v>7322</v>
      </c>
      <c r="H4890" s="14">
        <v>2</v>
      </c>
      <c r="I4890" s="2" t="s">
        <v>267</v>
      </c>
      <c r="J4890" s="2" t="s">
        <v>13</v>
      </c>
      <c r="K4890" s="2" t="s">
        <v>1452</v>
      </c>
      <c r="L4890" s="2" t="s">
        <v>5221</v>
      </c>
      <c r="M4890" s="2" t="s">
        <v>5221</v>
      </c>
      <c r="N4890" s="2" t="s">
        <v>2317</v>
      </c>
      <c r="O4890" s="14">
        <v>17500</v>
      </c>
      <c r="P4890" s="14">
        <v>99.26</v>
      </c>
      <c r="Q4890" s="14">
        <v>129.5</v>
      </c>
      <c r="R4890" s="14">
        <v>259</v>
      </c>
      <c r="S4890" s="2" t="s">
        <v>8006</v>
      </c>
      <c r="T4890" s="2">
        <v>1.36</v>
      </c>
      <c r="U4890" s="2">
        <v>68.2</v>
      </c>
      <c r="V4890" s="2">
        <v>65</v>
      </c>
      <c r="W4890" s="2" t="s">
        <v>7862</v>
      </c>
      <c r="X4890" s="2" t="s">
        <v>2897</v>
      </c>
      <c r="Y4890" s="2">
        <v>35000</v>
      </c>
      <c r="Z4890" s="19" t="str">
        <f>HYPERLINK("https://ssdweb.co/ssdweb/hd/Vision360.html?d=926020701&amp;zoomslide=1&amp;z=1926020701&amp;ISCONFIRM=0","VIDEO")</f>
        <v>VIDEO</v>
      </c>
      <c r="AA4890" s="19" t="str">
        <f>HYPERLINK("https://ssdweb.co/ssdweb/CERTH/630447697.pdf","CERTI")</f>
        <v>CERTI</v>
      </c>
    </row>
    <row r="4891" spans="1:27" ht="15" x14ac:dyDescent="0.25">
      <c r="A4891" s="2">
        <v>4886</v>
      </c>
      <c r="B4891" s="39">
        <v>925981052</v>
      </c>
      <c r="C4891" s="28" t="str">
        <f>HYPERLINK("https://pld.live/RapDetail.aspx?STONELIST=925981052","DNA")</f>
        <v>DNA</v>
      </c>
      <c r="D4891" s="18" t="s">
        <v>3658</v>
      </c>
      <c r="E4891" s="18" t="s">
        <v>5128</v>
      </c>
      <c r="F4891" s="2" t="s">
        <v>7987</v>
      </c>
      <c r="G4891" s="2" t="s">
        <v>7322</v>
      </c>
      <c r="H4891" s="14">
        <v>2</v>
      </c>
      <c r="I4891" s="2" t="s">
        <v>267</v>
      </c>
      <c r="J4891" s="2" t="s">
        <v>13</v>
      </c>
      <c r="K4891" s="2" t="s">
        <v>1452</v>
      </c>
      <c r="L4891" s="2" t="s">
        <v>5221</v>
      </c>
      <c r="M4891" s="2" t="s">
        <v>5221</v>
      </c>
      <c r="N4891" s="2" t="s">
        <v>2317</v>
      </c>
      <c r="O4891" s="14">
        <v>17500</v>
      </c>
      <c r="P4891" s="14">
        <v>99.26</v>
      </c>
      <c r="Q4891" s="14">
        <v>129.5</v>
      </c>
      <c r="R4891" s="14">
        <v>259</v>
      </c>
      <c r="S4891" s="2" t="s">
        <v>2696</v>
      </c>
      <c r="T4891" s="2">
        <v>1.36</v>
      </c>
      <c r="U4891" s="2">
        <v>67.7</v>
      </c>
      <c r="V4891" s="2">
        <v>64</v>
      </c>
      <c r="W4891" s="2" t="s">
        <v>7862</v>
      </c>
      <c r="X4891" s="2" t="s">
        <v>2897</v>
      </c>
      <c r="Y4891" s="2">
        <v>35000</v>
      </c>
      <c r="Z4891" s="19" t="str">
        <f>HYPERLINK("https://ssdweb.co/ssdweb/hd/Vision360.html?d=925981052&amp;zoomslide=1&amp;z=1925981052&amp;ISCONFIRM=0","VIDEO")</f>
        <v>VIDEO</v>
      </c>
      <c r="AA4891" s="19" t="str">
        <f>HYPERLINK("https://ssdweb.co/ssdweb/CERTH/629481871.pdf","CERTI")</f>
        <v>CERTI</v>
      </c>
    </row>
    <row r="4892" spans="1:27" ht="15" x14ac:dyDescent="0.25">
      <c r="A4892" s="2">
        <v>4887</v>
      </c>
      <c r="B4892" s="39">
        <v>925850942</v>
      </c>
      <c r="C4892" s="28" t="str">
        <f>HYPERLINK("https://pld.live/RapDetail.aspx?STONELIST=925850942","DNA")</f>
        <v>DNA</v>
      </c>
      <c r="D4892" s="18" t="s">
        <v>3658</v>
      </c>
      <c r="E4892" s="18" t="s">
        <v>5128</v>
      </c>
      <c r="F4892" s="2" t="s">
        <v>7987</v>
      </c>
      <c r="G4892" s="2" t="s">
        <v>7322</v>
      </c>
      <c r="H4892" s="14">
        <v>2</v>
      </c>
      <c r="I4892" s="2" t="s">
        <v>267</v>
      </c>
      <c r="J4892" s="2" t="s">
        <v>5144</v>
      </c>
      <c r="K4892" s="2" t="s">
        <v>1452</v>
      </c>
      <c r="L4892" s="2" t="s">
        <v>5221</v>
      </c>
      <c r="M4892" s="2" t="s">
        <v>5721</v>
      </c>
      <c r="N4892" s="2" t="s">
        <v>2317</v>
      </c>
      <c r="O4892" s="14">
        <v>16000</v>
      </c>
      <c r="P4892" s="14">
        <v>99.26</v>
      </c>
      <c r="Q4892" s="14">
        <v>118.4</v>
      </c>
      <c r="R4892" s="14">
        <v>236.8</v>
      </c>
      <c r="S4892" s="2" t="s">
        <v>3565</v>
      </c>
      <c r="T4892" s="2">
        <v>1.41</v>
      </c>
      <c r="U4892" s="2">
        <v>66</v>
      </c>
      <c r="V4892" s="2">
        <v>66</v>
      </c>
      <c r="W4892" s="2" t="s">
        <v>7862</v>
      </c>
      <c r="X4892" s="2" t="s">
        <v>2897</v>
      </c>
      <c r="Y4892" s="2">
        <v>32000</v>
      </c>
      <c r="Z4892" s="19" t="str">
        <f>HYPERLINK("https://ssdweb.co/ssdweb/hd/Vision360.html?d=925850942&amp;zoomslide=1&amp;z=1925850942&amp;ISCONFIRM=0","VIDEO")</f>
        <v>VIDEO</v>
      </c>
      <c r="AA4892" s="19" t="str">
        <f>HYPERLINK("https://ssdweb.co/ssdweb/CERTH/627497109.pdf","CERTI")</f>
        <v>CERTI</v>
      </c>
    </row>
    <row r="4893" spans="1:27" ht="15" x14ac:dyDescent="0.25">
      <c r="A4893" s="2">
        <v>4888</v>
      </c>
      <c r="B4893" s="39">
        <v>925960928</v>
      </c>
      <c r="C4893" s="28" t="str">
        <f>HYPERLINK("https://pld.live/RapDetail.aspx?STONELIST=925960928","DNA")</f>
        <v>DNA</v>
      </c>
      <c r="D4893" s="18" t="s">
        <v>3658</v>
      </c>
      <c r="E4893" s="18" t="s">
        <v>5128</v>
      </c>
      <c r="F4893" s="2" t="s">
        <v>7987</v>
      </c>
      <c r="G4893" s="2" t="s">
        <v>7322</v>
      </c>
      <c r="H4893" s="14">
        <v>2</v>
      </c>
      <c r="I4893" s="2" t="s">
        <v>267</v>
      </c>
      <c r="J4893" s="2" t="s">
        <v>444</v>
      </c>
      <c r="K4893" s="2" t="s">
        <v>1452</v>
      </c>
      <c r="L4893" s="2" t="s">
        <v>5221</v>
      </c>
      <c r="M4893" s="2" t="s">
        <v>5221</v>
      </c>
      <c r="N4893" s="2" t="s">
        <v>2317</v>
      </c>
      <c r="O4893" s="14">
        <v>13500</v>
      </c>
      <c r="P4893" s="14">
        <v>99.15</v>
      </c>
      <c r="Q4893" s="14">
        <v>114.75</v>
      </c>
      <c r="R4893" s="14">
        <v>229.5</v>
      </c>
      <c r="S4893" s="2" t="s">
        <v>1731</v>
      </c>
      <c r="T4893" s="2">
        <v>1.37</v>
      </c>
      <c r="U4893" s="2">
        <v>63.5</v>
      </c>
      <c r="V4893" s="2">
        <v>65</v>
      </c>
      <c r="W4893" s="2" t="s">
        <v>7862</v>
      </c>
      <c r="X4893" s="2" t="s">
        <v>2897</v>
      </c>
      <c r="Y4893" s="2">
        <v>27000</v>
      </c>
      <c r="Z4893" s="19" t="str">
        <f>HYPERLINK("https://ssdweb.co/ssdweb/hd/Vision360.html?d=925960928&amp;zoomslide=1&amp;z=1925960928&amp;ISCONFIRM=0","VIDEO")</f>
        <v>VIDEO</v>
      </c>
      <c r="AA4893" s="19" t="str">
        <f>HYPERLINK("https://ssdweb.co/ssdweb/CERTH/630447916.pdf","CERTI")</f>
        <v>CERTI</v>
      </c>
    </row>
    <row r="4894" spans="1:27" ht="15" x14ac:dyDescent="0.25">
      <c r="A4894" s="2">
        <v>4889</v>
      </c>
      <c r="B4894" s="39">
        <v>831020720</v>
      </c>
      <c r="C4894" s="28" t="str">
        <f>HYPERLINK("https://pld.live/RapDetail.aspx?STONELIST=831020720","DNA")</f>
        <v>DNA</v>
      </c>
      <c r="D4894" s="18" t="s">
        <v>3658</v>
      </c>
      <c r="E4894" s="18" t="s">
        <v>2186</v>
      </c>
      <c r="F4894" s="2" t="s">
        <v>7987</v>
      </c>
      <c r="G4894" s="2" t="s">
        <v>7322</v>
      </c>
      <c r="H4894" s="14">
        <v>2</v>
      </c>
      <c r="I4894" s="2" t="s">
        <v>4761</v>
      </c>
      <c r="J4894" s="2" t="s">
        <v>5144</v>
      </c>
      <c r="K4894" s="2" t="s">
        <v>1452</v>
      </c>
      <c r="L4894" s="2" t="s">
        <v>5221</v>
      </c>
      <c r="M4894" s="2" t="s">
        <v>5221</v>
      </c>
      <c r="N4894" s="2" t="s">
        <v>2317</v>
      </c>
      <c r="O4894" s="14">
        <v>15000</v>
      </c>
      <c r="P4894" s="14">
        <v>99.27</v>
      </c>
      <c r="Q4894" s="14">
        <v>109.5</v>
      </c>
      <c r="R4894" s="14">
        <v>219</v>
      </c>
      <c r="S4894" s="2" t="s">
        <v>5895</v>
      </c>
      <c r="T4894" s="2">
        <v>1.44</v>
      </c>
      <c r="U4894" s="2">
        <v>67.8</v>
      </c>
      <c r="V4894" s="2">
        <v>62</v>
      </c>
      <c r="W4894" s="2" t="s">
        <v>7862</v>
      </c>
      <c r="X4894" s="2" t="s">
        <v>2897</v>
      </c>
      <c r="Y4894" s="2">
        <v>30000</v>
      </c>
      <c r="Z4894" s="19" t="str">
        <f>HYPERLINK("https://ssdweb.co/ssdweb/hd/Vision360.html?d=831020720&amp;zoomslide=1&amp;z=1831020720&amp;ISCONFIRM=0","VIDEO")</f>
        <v>VIDEO</v>
      </c>
      <c r="AA4894" s="19" t="str">
        <f>HYPERLINK("https://ssdweb.co/ssdweb/CERTH/605346304.pdf","CERTI")</f>
        <v>CERTI</v>
      </c>
    </row>
    <row r="4895" spans="1:27" ht="15" x14ac:dyDescent="0.25">
      <c r="A4895" s="2">
        <v>4890</v>
      </c>
      <c r="B4895" s="39">
        <v>925850518</v>
      </c>
      <c r="C4895" s="28" t="str">
        <f>HYPERLINK("https://pld.live/RapDetail.aspx?STONELIST=925850518","DNA")</f>
        <v>DNA</v>
      </c>
      <c r="D4895" s="18" t="s">
        <v>3658</v>
      </c>
      <c r="E4895" s="18" t="s">
        <v>5128</v>
      </c>
      <c r="F4895" s="2" t="s">
        <v>7987</v>
      </c>
      <c r="G4895" s="2" t="s">
        <v>7322</v>
      </c>
      <c r="H4895" s="14">
        <v>2</v>
      </c>
      <c r="I4895" s="2" t="s">
        <v>4699</v>
      </c>
      <c r="J4895" s="2" t="s">
        <v>3942</v>
      </c>
      <c r="K4895" s="2" t="s">
        <v>1452</v>
      </c>
      <c r="L4895" s="2" t="s">
        <v>5221</v>
      </c>
      <c r="M4895" s="2" t="s">
        <v>5221</v>
      </c>
      <c r="N4895" s="2" t="s">
        <v>2317</v>
      </c>
      <c r="O4895" s="14">
        <v>16000</v>
      </c>
      <c r="P4895" s="14">
        <v>99.22</v>
      </c>
      <c r="Q4895" s="14">
        <v>124.8</v>
      </c>
      <c r="R4895" s="14">
        <v>249.6</v>
      </c>
      <c r="S4895" s="2" t="s">
        <v>3752</v>
      </c>
      <c r="T4895" s="2">
        <v>1.45</v>
      </c>
      <c r="U4895" s="2">
        <v>64.599999999999994</v>
      </c>
      <c r="V4895" s="2">
        <v>65</v>
      </c>
      <c r="W4895" s="2" t="s">
        <v>7862</v>
      </c>
      <c r="X4895" s="2" t="s">
        <v>2897</v>
      </c>
      <c r="Y4895" s="2">
        <v>32000</v>
      </c>
      <c r="Z4895" s="19" t="str">
        <f>HYPERLINK("https://ssdweb.co/ssdweb/hd/Vision360.html?d=925850518&amp;zoomslide=1&amp;z=1925850518&amp;ISCONFIRM=0","VIDEO")</f>
        <v>VIDEO</v>
      </c>
      <c r="AA4895" s="19" t="str">
        <f>HYPERLINK("https://ssdweb.co/ssdweb/CERTH/626499211.pdf","CERTI")</f>
        <v>CERTI</v>
      </c>
    </row>
    <row r="4896" spans="1:27" ht="15" x14ac:dyDescent="0.25">
      <c r="A4896" s="2">
        <v>4891</v>
      </c>
      <c r="B4896" s="39">
        <v>926380252</v>
      </c>
      <c r="C4896" s="28" t="str">
        <f>HYPERLINK("https://pld.live/RapDetail.aspx?STONELIST=926380252","DNA")</f>
        <v>DNA</v>
      </c>
      <c r="D4896" s="18" t="s">
        <v>3658</v>
      </c>
      <c r="E4896" s="18" t="s">
        <v>2186</v>
      </c>
      <c r="F4896" s="2" t="s">
        <v>7987</v>
      </c>
      <c r="G4896" s="2" t="s">
        <v>7322</v>
      </c>
      <c r="H4896" s="14">
        <v>2</v>
      </c>
      <c r="I4896" s="2" t="s">
        <v>6587</v>
      </c>
      <c r="J4896" s="2" t="s">
        <v>13</v>
      </c>
      <c r="K4896" s="2" t="s">
        <v>1452</v>
      </c>
      <c r="L4896" s="2" t="s">
        <v>5221</v>
      </c>
      <c r="M4896" s="2" t="s">
        <v>5221</v>
      </c>
      <c r="N4896" s="2" t="s">
        <v>2317</v>
      </c>
      <c r="O4896" s="14">
        <v>14000</v>
      </c>
      <c r="P4896" s="14">
        <v>99.23</v>
      </c>
      <c r="Q4896" s="14">
        <v>107.8</v>
      </c>
      <c r="R4896" s="14">
        <v>215.6</v>
      </c>
      <c r="S4896" s="2" t="s">
        <v>2340</v>
      </c>
      <c r="T4896" s="2">
        <v>1.57</v>
      </c>
      <c r="U4896" s="2">
        <v>68.599999999999994</v>
      </c>
      <c r="V4896" s="2">
        <v>67</v>
      </c>
      <c r="W4896" s="2" t="s">
        <v>7862</v>
      </c>
      <c r="X4896" s="2" t="s">
        <v>2897</v>
      </c>
      <c r="Y4896" s="2">
        <v>28000</v>
      </c>
      <c r="Z4896" s="19" t="str">
        <f>HYPERLINK("https://ssdweb.co/ssdweb/hd/Vision360.html?d=926380252&amp;zoomslide=1&amp;z=1926380252&amp;ISCONFIRM=0","VIDEO")</f>
        <v>VIDEO</v>
      </c>
      <c r="AA4896" s="19" t="str">
        <f>HYPERLINK("https://ssdweb.co/ssdweb/CERTH/642460626.pdf","CERTI")</f>
        <v>CERTI</v>
      </c>
    </row>
    <row r="4897" spans="1:27" ht="15" x14ac:dyDescent="0.25">
      <c r="A4897" s="2">
        <v>4892</v>
      </c>
      <c r="B4897" s="39">
        <v>926450346</v>
      </c>
      <c r="C4897" s="28" t="str">
        <f>HYPERLINK("https://pld.live/RapDetail.aspx?STONELIST=926450346","DNA")</f>
        <v>DNA</v>
      </c>
      <c r="D4897" s="18" t="s">
        <v>3658</v>
      </c>
      <c r="E4897" s="18" t="s">
        <v>2186</v>
      </c>
      <c r="F4897" s="2" t="s">
        <v>7987</v>
      </c>
      <c r="G4897" s="2" t="s">
        <v>7322</v>
      </c>
      <c r="H4897" s="14">
        <v>2</v>
      </c>
      <c r="I4897" s="2" t="s">
        <v>6587</v>
      </c>
      <c r="J4897" s="2" t="s">
        <v>5144</v>
      </c>
      <c r="K4897" s="2" t="s">
        <v>1452</v>
      </c>
      <c r="L4897" s="2" t="s">
        <v>5221</v>
      </c>
      <c r="M4897" s="2" t="s">
        <v>5221</v>
      </c>
      <c r="N4897" s="2" t="s">
        <v>2317</v>
      </c>
      <c r="O4897" s="14">
        <v>13000</v>
      </c>
      <c r="P4897" s="14">
        <v>99.21</v>
      </c>
      <c r="Q4897" s="14">
        <v>102.7</v>
      </c>
      <c r="R4897" s="14">
        <v>205.4</v>
      </c>
      <c r="S4897" s="2" t="s">
        <v>6141</v>
      </c>
      <c r="T4897" s="2">
        <v>1.43</v>
      </c>
      <c r="U4897" s="2">
        <v>68</v>
      </c>
      <c r="V4897" s="2">
        <v>63</v>
      </c>
      <c r="W4897" s="2" t="s">
        <v>7862</v>
      </c>
      <c r="X4897" s="2" t="s">
        <v>2897</v>
      </c>
      <c r="Y4897" s="2">
        <v>26000</v>
      </c>
      <c r="Z4897" s="19" t="str">
        <f>HYPERLINK("https://ssdweb.co/ssdweb/hd/Vision360.html?d=926450346&amp;zoomslide=1&amp;z=1926450346&amp;ISCONFIRM=0","VIDEO")</f>
        <v>VIDEO</v>
      </c>
      <c r="AA4897" s="19" t="str">
        <f>HYPERLINK("https://ssdweb.co/ssdweb/CERTH/644466912.pdf","CERTI")</f>
        <v>CERTI</v>
      </c>
    </row>
    <row r="4898" spans="1:27" ht="15" x14ac:dyDescent="0.25">
      <c r="A4898" s="2">
        <v>4893</v>
      </c>
      <c r="B4898" s="39">
        <v>926041154</v>
      </c>
      <c r="C4898" s="28" t="str">
        <f>HYPERLINK("https://pld.live/RapDetail.aspx?STONELIST=926041154","DNA")</f>
        <v>DNA</v>
      </c>
      <c r="D4898" s="18" t="s">
        <v>6675</v>
      </c>
      <c r="E4898" s="18" t="s">
        <v>5128</v>
      </c>
      <c r="F4898" s="2" t="s">
        <v>7987</v>
      </c>
      <c r="G4898" s="2" t="s">
        <v>7322</v>
      </c>
      <c r="H4898" s="14">
        <v>1.99</v>
      </c>
      <c r="I4898" s="2" t="s">
        <v>267</v>
      </c>
      <c r="J4898" s="2" t="s">
        <v>13</v>
      </c>
      <c r="K4898" s="2" t="s">
        <v>1452</v>
      </c>
      <c r="L4898" s="2" t="s">
        <v>5221</v>
      </c>
      <c r="M4898" s="2" t="s">
        <v>5221</v>
      </c>
      <c r="N4898" s="2" t="s">
        <v>2317</v>
      </c>
      <c r="O4898" s="14">
        <v>11600</v>
      </c>
      <c r="P4898" s="14">
        <v>98.98</v>
      </c>
      <c r="Q4898" s="14">
        <v>118.32</v>
      </c>
      <c r="R4898" s="14">
        <v>235.46</v>
      </c>
      <c r="S4898" s="2" t="s">
        <v>7774</v>
      </c>
      <c r="T4898" s="2">
        <v>1.36</v>
      </c>
      <c r="U4898" s="2">
        <v>67.2</v>
      </c>
      <c r="V4898" s="2">
        <v>70</v>
      </c>
      <c r="W4898" s="2" t="s">
        <v>7862</v>
      </c>
      <c r="X4898" s="2" t="s">
        <v>2897</v>
      </c>
      <c r="Y4898" s="2">
        <v>23084</v>
      </c>
      <c r="Z4898" s="19" t="str">
        <f>HYPERLINK("https://ssdweb.co/ssdweb/hd/Vision360.html?d=926041154&amp;zoomslide=1&amp;z=1926041154&amp;ISCONFIRM=0","VIDEO")</f>
        <v>VIDEO</v>
      </c>
      <c r="AA4898" s="19" t="str">
        <f>HYPERLINK("https://ssdweb.co/ssdweb/CERTH/631404579.pdf","CERTI")</f>
        <v>CERTI</v>
      </c>
    </row>
    <row r="4899" spans="1:27" ht="15" x14ac:dyDescent="0.25">
      <c r="A4899" s="2">
        <v>4894</v>
      </c>
      <c r="B4899" s="39">
        <v>925542519</v>
      </c>
      <c r="C4899" s="28" t="str">
        <f>HYPERLINK("https://pld.live/RapDetail.aspx?STONELIST=925542519","DNA")</f>
        <v>DNA</v>
      </c>
      <c r="D4899" s="18" t="s">
        <v>6675</v>
      </c>
      <c r="E4899" s="18" t="s">
        <v>5128</v>
      </c>
      <c r="F4899" s="2" t="s">
        <v>7987</v>
      </c>
      <c r="G4899" s="2" t="s">
        <v>7322</v>
      </c>
      <c r="H4899" s="14">
        <v>1.99</v>
      </c>
      <c r="I4899" s="2" t="s">
        <v>4761</v>
      </c>
      <c r="J4899" s="2" t="s">
        <v>13</v>
      </c>
      <c r="K4899" s="2" t="s">
        <v>1452</v>
      </c>
      <c r="L4899" s="2" t="s">
        <v>5221</v>
      </c>
      <c r="M4899" s="2" t="s">
        <v>5221</v>
      </c>
      <c r="N4899" s="2" t="s">
        <v>2317</v>
      </c>
      <c r="O4899" s="14">
        <v>10800</v>
      </c>
      <c r="P4899" s="14">
        <v>98.97</v>
      </c>
      <c r="Q4899" s="14">
        <v>111.24</v>
      </c>
      <c r="R4899" s="14">
        <v>221.37</v>
      </c>
      <c r="S4899" s="2" t="s">
        <v>6900</v>
      </c>
      <c r="T4899" s="2">
        <v>1.4</v>
      </c>
      <c r="U4899" s="2">
        <v>64.599999999999994</v>
      </c>
      <c r="V4899" s="2">
        <v>67</v>
      </c>
      <c r="W4899" s="2" t="s">
        <v>7862</v>
      </c>
      <c r="X4899" s="2" t="s">
        <v>2897</v>
      </c>
      <c r="Y4899" s="2">
        <v>21492</v>
      </c>
      <c r="Z4899" s="19" t="str">
        <f>HYPERLINK("https://ssdweb.co/ssdweb/hd/Vision360.html?d=925542519&amp;zoomslide=1&amp;z=1925542519&amp;ISCONFIRM=0","VIDEO")</f>
        <v>VIDEO</v>
      </c>
      <c r="AA4899" s="19" t="str">
        <f>HYPERLINK("https://ssdweb.co/ssdweb/CERTH/619453468.pdf","CERTI")</f>
        <v>CERTI</v>
      </c>
    </row>
    <row r="4900" spans="1:27" ht="15" x14ac:dyDescent="0.25">
      <c r="A4900" s="2">
        <v>4895</v>
      </c>
      <c r="B4900" s="39">
        <v>821113635</v>
      </c>
      <c r="C4900" s="28" t="str">
        <f>HYPERLINK("https://pld.live/RapDetail.aspx?STONELIST=821113635","DNA")</f>
        <v>DNA</v>
      </c>
      <c r="D4900" s="18" t="s">
        <v>6675</v>
      </c>
      <c r="E4900" s="18" t="s">
        <v>2186</v>
      </c>
      <c r="F4900" s="2" t="s">
        <v>7987</v>
      </c>
      <c r="G4900" s="2" t="s">
        <v>7322</v>
      </c>
      <c r="H4900" s="14">
        <v>1.99</v>
      </c>
      <c r="I4900" s="2" t="s">
        <v>4699</v>
      </c>
      <c r="J4900" s="2" t="s">
        <v>13</v>
      </c>
      <c r="K4900" s="2" t="s">
        <v>1452</v>
      </c>
      <c r="L4900" s="2" t="s">
        <v>5221</v>
      </c>
      <c r="M4900" s="2" t="s">
        <v>5221</v>
      </c>
      <c r="N4900" s="2" t="s">
        <v>2317</v>
      </c>
      <c r="O4900" s="14">
        <v>10200</v>
      </c>
      <c r="P4900" s="14">
        <v>98.97</v>
      </c>
      <c r="Q4900" s="14">
        <v>105.06</v>
      </c>
      <c r="R4900" s="14">
        <v>209.07</v>
      </c>
      <c r="S4900" s="2" t="s">
        <v>1102</v>
      </c>
      <c r="T4900" s="2">
        <v>1.37</v>
      </c>
      <c r="U4900" s="2">
        <v>68.7</v>
      </c>
      <c r="V4900" s="2">
        <v>66</v>
      </c>
      <c r="W4900" s="2" t="s">
        <v>7862</v>
      </c>
      <c r="X4900" s="2" t="s">
        <v>2897</v>
      </c>
      <c r="Y4900" s="2">
        <v>20298</v>
      </c>
      <c r="Z4900" s="19" t="str">
        <f>HYPERLINK("https://ssdweb.co/ssdweb/hd/Vision360.html?d=821113635&amp;zoomslide=1&amp;z=1821113635&amp;ISCONFIRM=0","VIDEO")</f>
        <v>VIDEO</v>
      </c>
      <c r="AA4900" s="19" t="str">
        <f>HYPERLINK("https://ssdweb.co/ssdweb/CERTH/623464751.pdf","CERTI")</f>
        <v>CERTI</v>
      </c>
    </row>
    <row r="4901" spans="1:27" ht="15" x14ac:dyDescent="0.25">
      <c r="A4901" s="2">
        <v>4896</v>
      </c>
      <c r="B4901" s="39">
        <v>925542168</v>
      </c>
      <c r="C4901" s="28" t="str">
        <f>HYPERLINK("https://pld.live/RapDetail.aspx?STONELIST=925542168","DNA")</f>
        <v>DNA</v>
      </c>
      <c r="D4901" s="18" t="s">
        <v>6675</v>
      </c>
      <c r="E4901" s="18" t="s">
        <v>5128</v>
      </c>
      <c r="F4901" s="2" t="s">
        <v>7987</v>
      </c>
      <c r="G4901" s="2" t="s">
        <v>7322</v>
      </c>
      <c r="H4901" s="14">
        <v>1.97</v>
      </c>
      <c r="I4901" s="2" t="s">
        <v>267</v>
      </c>
      <c r="J4901" s="2" t="s">
        <v>13</v>
      </c>
      <c r="K4901" s="2" t="s">
        <v>1452</v>
      </c>
      <c r="L4901" s="2" t="s">
        <v>5221</v>
      </c>
      <c r="M4901" s="2" t="s">
        <v>5221</v>
      </c>
      <c r="N4901" s="2" t="s">
        <v>2317</v>
      </c>
      <c r="O4901" s="14">
        <v>11600</v>
      </c>
      <c r="P4901" s="14">
        <v>99</v>
      </c>
      <c r="Q4901" s="14">
        <v>116</v>
      </c>
      <c r="R4901" s="14">
        <v>228.52</v>
      </c>
      <c r="S4901" s="2" t="s">
        <v>7318</v>
      </c>
      <c r="T4901" s="2">
        <v>1.38</v>
      </c>
      <c r="U4901" s="2">
        <v>67.8</v>
      </c>
      <c r="V4901" s="2">
        <v>61</v>
      </c>
      <c r="W4901" s="2" t="s">
        <v>7862</v>
      </c>
      <c r="X4901" s="2" t="s">
        <v>2897</v>
      </c>
      <c r="Y4901" s="2">
        <v>22852</v>
      </c>
      <c r="Z4901" s="19" t="str">
        <f>HYPERLINK("https://ssdweb.co/ssdweb/hd/Vision360.html?d=925542168&amp;zoomslide=1&amp;z=1925542168&amp;ISCONFIRM=0","VIDEO")</f>
        <v>VIDEO</v>
      </c>
      <c r="AA4901" s="19" t="str">
        <f>HYPERLINK("https://ssdweb.co/ssdweb/CERTH/619424052.pdf","CERTI")</f>
        <v>CERTI</v>
      </c>
    </row>
    <row r="4902" spans="1:27" ht="15" x14ac:dyDescent="0.25">
      <c r="A4902" s="2">
        <v>4897</v>
      </c>
      <c r="B4902" s="39">
        <v>925502469</v>
      </c>
      <c r="C4902" s="28" t="str">
        <f>HYPERLINK("https://pld.live/RapDetail.aspx?STONELIST=925502469","DNA")</f>
        <v>DNA</v>
      </c>
      <c r="D4902" s="18" t="s">
        <v>6675</v>
      </c>
      <c r="E4902" s="18" t="s">
        <v>5128</v>
      </c>
      <c r="F4902" s="2" t="s">
        <v>7987</v>
      </c>
      <c r="G4902" s="2" t="s">
        <v>7322</v>
      </c>
      <c r="H4902" s="14">
        <v>1.97</v>
      </c>
      <c r="I4902" s="2" t="s">
        <v>267</v>
      </c>
      <c r="J4902" s="2" t="s">
        <v>13</v>
      </c>
      <c r="K4902" s="2" t="s">
        <v>1452</v>
      </c>
      <c r="L4902" s="2" t="s">
        <v>5221</v>
      </c>
      <c r="M4902" s="2" t="s">
        <v>5221</v>
      </c>
      <c r="N4902" s="2" t="s">
        <v>2317</v>
      </c>
      <c r="O4902" s="14">
        <v>11600</v>
      </c>
      <c r="P4902" s="14">
        <v>99</v>
      </c>
      <c r="Q4902" s="14">
        <v>116</v>
      </c>
      <c r="R4902" s="14">
        <v>228.52</v>
      </c>
      <c r="S4902" s="2" t="s">
        <v>4071</v>
      </c>
      <c r="T4902" s="2">
        <v>1.37</v>
      </c>
      <c r="U4902" s="2">
        <v>68.5</v>
      </c>
      <c r="V4902" s="2">
        <v>65</v>
      </c>
      <c r="W4902" s="2" t="s">
        <v>7862</v>
      </c>
      <c r="X4902" s="2" t="s">
        <v>2897</v>
      </c>
      <c r="Y4902" s="2">
        <v>22852</v>
      </c>
      <c r="Z4902" s="19" t="str">
        <f>HYPERLINK("https://ssdweb.co/ssdweb/hd/Vision360.html?d=925502469&amp;zoomslide=1&amp;z=1925502469&amp;ISCONFIRM=0","VIDEO")</f>
        <v>VIDEO</v>
      </c>
      <c r="AA4902" s="19" t="str">
        <f>HYPERLINK("https://ssdweb.co/ssdweb/CERTH/618453054.pdf","CERTI")</f>
        <v>CERTI</v>
      </c>
    </row>
    <row r="4903" spans="1:27" ht="15" x14ac:dyDescent="0.25">
      <c r="A4903" s="2">
        <v>4898</v>
      </c>
      <c r="B4903" s="39">
        <v>927060747</v>
      </c>
      <c r="C4903" s="28" t="str">
        <f>HYPERLINK("https://pld.live/RapDetail.aspx?STONELIST=927060747","DNA")</f>
        <v>DNA</v>
      </c>
      <c r="D4903" s="18" t="s">
        <v>6675</v>
      </c>
      <c r="E4903" s="18" t="s">
        <v>2186</v>
      </c>
      <c r="F4903" s="2" t="s">
        <v>7987</v>
      </c>
      <c r="G4903" s="2" t="s">
        <v>7322</v>
      </c>
      <c r="H4903" s="14">
        <v>1.97</v>
      </c>
      <c r="I4903" s="2" t="s">
        <v>4761</v>
      </c>
      <c r="J4903" s="2" t="s">
        <v>13</v>
      </c>
      <c r="K4903" s="2" t="s">
        <v>1452</v>
      </c>
      <c r="L4903" s="2" t="s">
        <v>5221</v>
      </c>
      <c r="M4903" s="2" t="s">
        <v>5221</v>
      </c>
      <c r="N4903" s="2" t="s">
        <v>2317</v>
      </c>
      <c r="O4903" s="14">
        <v>10800</v>
      </c>
      <c r="P4903" s="14">
        <v>98.94</v>
      </c>
      <c r="Q4903" s="14">
        <v>114.48</v>
      </c>
      <c r="R4903" s="14">
        <v>225.53</v>
      </c>
      <c r="S4903" s="2" t="s">
        <v>5772</v>
      </c>
      <c r="T4903" s="2">
        <v>1.37</v>
      </c>
      <c r="U4903" s="2">
        <v>68.2</v>
      </c>
      <c r="V4903" s="2">
        <v>68</v>
      </c>
      <c r="W4903" s="2" t="s">
        <v>7862</v>
      </c>
      <c r="X4903" s="2" t="s">
        <v>2897</v>
      </c>
      <c r="Y4903" s="2">
        <v>21276</v>
      </c>
      <c r="Z4903" s="19" t="str">
        <f>HYPERLINK("https://ssdweb.co/ssdweb/hd/Vision360.html?d=927060747&amp;zoomslide=1&amp;z=1927060747&amp;ISCONFIRM=0","VIDEO")</f>
        <v>VIDEO</v>
      </c>
      <c r="AA4903" s="19" t="str">
        <f>HYPERLINK("https://ssdweb.co/ssdweb/CERTH/665453167.pdf","CERTI")</f>
        <v>CERTI</v>
      </c>
    </row>
    <row r="4904" spans="1:27" ht="15" x14ac:dyDescent="0.25">
      <c r="A4904" s="2">
        <v>4899</v>
      </c>
      <c r="B4904" s="39">
        <v>925771354</v>
      </c>
      <c r="C4904" s="28" t="str">
        <f>HYPERLINK("https://pld.live/RapDetail.aspx?STONELIST=925771354","DNA")</f>
        <v>DNA</v>
      </c>
      <c r="D4904" s="18" t="s">
        <v>6675</v>
      </c>
      <c r="E4904" s="18" t="s">
        <v>5128</v>
      </c>
      <c r="F4904" s="2" t="s">
        <v>7987</v>
      </c>
      <c r="G4904" s="2" t="s">
        <v>7322</v>
      </c>
      <c r="H4904" s="14">
        <v>1.97</v>
      </c>
      <c r="I4904" s="2" t="s">
        <v>4761</v>
      </c>
      <c r="J4904" s="2" t="s">
        <v>5144</v>
      </c>
      <c r="K4904" s="2" t="s">
        <v>1452</v>
      </c>
      <c r="L4904" s="2" t="s">
        <v>5221</v>
      </c>
      <c r="M4904" s="2" t="s">
        <v>5221</v>
      </c>
      <c r="N4904" s="2" t="s">
        <v>2317</v>
      </c>
      <c r="O4904" s="14">
        <v>9300</v>
      </c>
      <c r="P4904" s="14">
        <v>98.87</v>
      </c>
      <c r="Q4904" s="14">
        <v>105.09</v>
      </c>
      <c r="R4904" s="14">
        <v>207.03</v>
      </c>
      <c r="S4904" s="2" t="s">
        <v>6144</v>
      </c>
      <c r="T4904" s="2">
        <v>1.38</v>
      </c>
      <c r="U4904" s="2">
        <v>67.5</v>
      </c>
      <c r="V4904" s="2">
        <v>61</v>
      </c>
      <c r="W4904" s="2" t="s">
        <v>7862</v>
      </c>
      <c r="X4904" s="2" t="s">
        <v>2897</v>
      </c>
      <c r="Y4904" s="2">
        <v>18321</v>
      </c>
      <c r="Z4904" s="19" t="str">
        <f>HYPERLINK("https://ssdweb.co/ssdweb/hd/Vision360.html?d=925771354&amp;zoomslide=1&amp;z=1925771354&amp;ISCONFIRM=0","VIDEO")</f>
        <v>VIDEO</v>
      </c>
      <c r="AA4904" s="19" t="str">
        <f>HYPERLINK("https://ssdweb.co/ssdweb/CERTH/627431836.pdf","CERTI")</f>
        <v>CERTI</v>
      </c>
    </row>
    <row r="4905" spans="1:27" ht="15" x14ac:dyDescent="0.25">
      <c r="A4905" s="2">
        <v>4900</v>
      </c>
      <c r="B4905" s="39">
        <v>821113477</v>
      </c>
      <c r="C4905" s="28" t="str">
        <f>HYPERLINK("https://pld.live/RapDetail.aspx?STONELIST=821113477","DNA")</f>
        <v>DNA</v>
      </c>
      <c r="D4905" s="18" t="s">
        <v>6675</v>
      </c>
      <c r="E4905" s="18" t="s">
        <v>2186</v>
      </c>
      <c r="F4905" s="2" t="s">
        <v>7987</v>
      </c>
      <c r="G4905" s="2" t="s">
        <v>7322</v>
      </c>
      <c r="H4905" s="14">
        <v>1.97</v>
      </c>
      <c r="I4905" s="2" t="s">
        <v>4699</v>
      </c>
      <c r="J4905" s="2" t="s">
        <v>13</v>
      </c>
      <c r="K4905" s="2" t="s">
        <v>1452</v>
      </c>
      <c r="L4905" s="2" t="s">
        <v>5221</v>
      </c>
      <c r="M4905" s="2" t="s">
        <v>5221</v>
      </c>
      <c r="N4905" s="2" t="s">
        <v>2317</v>
      </c>
      <c r="O4905" s="14">
        <v>10200</v>
      </c>
      <c r="P4905" s="14">
        <v>98.97</v>
      </c>
      <c r="Q4905" s="14">
        <v>105.06</v>
      </c>
      <c r="R4905" s="14">
        <v>206.97</v>
      </c>
      <c r="S4905" s="2" t="s">
        <v>7846</v>
      </c>
      <c r="T4905" s="2">
        <v>1.41</v>
      </c>
      <c r="U4905" s="2">
        <v>67.7</v>
      </c>
      <c r="V4905" s="2">
        <v>66</v>
      </c>
      <c r="W4905" s="2" t="s">
        <v>7862</v>
      </c>
      <c r="X4905" s="2" t="s">
        <v>2897</v>
      </c>
      <c r="Y4905" s="2">
        <v>20094</v>
      </c>
      <c r="Z4905" s="19" t="str">
        <f>HYPERLINK("https://ssdweb.co/ssdweb/hd/Vision360.html?d=821113477&amp;zoomslide=1&amp;z=1821113477&amp;ISCONFIRM=0","VIDEO")</f>
        <v>VIDEO</v>
      </c>
      <c r="AA4905" s="19" t="str">
        <f>HYPERLINK("https://ssdweb.co/ssdweb/CERTH/621407023.pdf","CERTI")</f>
        <v>CERTI</v>
      </c>
    </row>
    <row r="4906" spans="1:27" ht="15" x14ac:dyDescent="0.25">
      <c r="A4906" s="2">
        <v>4901</v>
      </c>
      <c r="B4906" s="39">
        <v>821113627</v>
      </c>
      <c r="C4906" s="28" t="str">
        <f>HYPERLINK("https://pld.live/RapDetail.aspx?STONELIST=821113627","DNA")</f>
        <v>DNA</v>
      </c>
      <c r="D4906" s="18" t="s">
        <v>6675</v>
      </c>
      <c r="E4906" s="18" t="s">
        <v>2186</v>
      </c>
      <c r="F4906" s="2" t="s">
        <v>7987</v>
      </c>
      <c r="G4906" s="2" t="s">
        <v>7322</v>
      </c>
      <c r="H4906" s="14">
        <v>1.97</v>
      </c>
      <c r="I4906" s="2" t="s">
        <v>4699</v>
      </c>
      <c r="J4906" s="2" t="s">
        <v>13</v>
      </c>
      <c r="K4906" s="2" t="s">
        <v>1452</v>
      </c>
      <c r="L4906" s="2" t="s">
        <v>5221</v>
      </c>
      <c r="M4906" s="2" t="s">
        <v>5221</v>
      </c>
      <c r="N4906" s="2" t="s">
        <v>2317</v>
      </c>
      <c r="O4906" s="14">
        <v>10200</v>
      </c>
      <c r="P4906" s="14">
        <v>98.97</v>
      </c>
      <c r="Q4906" s="14">
        <v>105.06</v>
      </c>
      <c r="R4906" s="14">
        <v>206.97</v>
      </c>
      <c r="S4906" s="2" t="s">
        <v>4984</v>
      </c>
      <c r="T4906" s="2">
        <v>1.4</v>
      </c>
      <c r="U4906" s="2">
        <v>68.900000000000006</v>
      </c>
      <c r="V4906" s="2">
        <v>66</v>
      </c>
      <c r="W4906" s="2" t="s">
        <v>7862</v>
      </c>
      <c r="X4906" s="2" t="s">
        <v>2897</v>
      </c>
      <c r="Y4906" s="2">
        <v>20094</v>
      </c>
      <c r="Z4906" s="19" t="str">
        <f>HYPERLINK("https://ssdweb.co/ssdweb/hd/Vision360.html?d=821113627&amp;zoomslide=1&amp;z=1821113627&amp;ISCONFIRM=0","VIDEO")</f>
        <v>VIDEO</v>
      </c>
      <c r="AA4906" s="19" t="str">
        <f>HYPERLINK("https://ssdweb.co/ssdweb/CERTH/623433629.pdf","CERTI")</f>
        <v>CERTI</v>
      </c>
    </row>
    <row r="4907" spans="1:27" ht="15" x14ac:dyDescent="0.25">
      <c r="A4907" s="2">
        <v>4902</v>
      </c>
      <c r="B4907" s="39">
        <v>925501604</v>
      </c>
      <c r="C4907" s="28" t="str">
        <f>HYPERLINK("https://pld.live/RapDetail.aspx?STONELIST=925501604","DNA")</f>
        <v>DNA</v>
      </c>
      <c r="D4907" s="18" t="s">
        <v>6675</v>
      </c>
      <c r="E4907" s="18" t="s">
        <v>5128</v>
      </c>
      <c r="F4907" s="2" t="s">
        <v>7987</v>
      </c>
      <c r="G4907" s="2" t="s">
        <v>7322</v>
      </c>
      <c r="H4907" s="14">
        <v>1.96</v>
      </c>
      <c r="I4907" s="2" t="s">
        <v>267</v>
      </c>
      <c r="J4907" s="2" t="s">
        <v>6555</v>
      </c>
      <c r="K4907" s="2" t="s">
        <v>1452</v>
      </c>
      <c r="L4907" s="2" t="s">
        <v>5221</v>
      </c>
      <c r="M4907" s="2" t="s">
        <v>5221</v>
      </c>
      <c r="N4907" s="2" t="s">
        <v>2317</v>
      </c>
      <c r="O4907" s="14">
        <v>13200</v>
      </c>
      <c r="P4907" s="14">
        <v>98.33</v>
      </c>
      <c r="Q4907" s="14">
        <v>220.44</v>
      </c>
      <c r="R4907" s="14">
        <v>432.06</v>
      </c>
      <c r="S4907" s="2" t="s">
        <v>7503</v>
      </c>
      <c r="T4907" s="2">
        <v>1.37</v>
      </c>
      <c r="U4907" s="2">
        <v>62.8</v>
      </c>
      <c r="V4907" s="2">
        <v>67</v>
      </c>
      <c r="W4907" s="2" t="s">
        <v>7862</v>
      </c>
      <c r="X4907" s="2" t="s">
        <v>2897</v>
      </c>
      <c r="Y4907" s="2">
        <v>25872</v>
      </c>
      <c r="Z4907" s="19" t="str">
        <f>HYPERLINK("https://ssdweb.co/ssdweb/hd/Vision360.html?d=925501604&amp;zoomslide=1&amp;z=1925501604&amp;ISCONFIRM=0","VIDEO")</f>
        <v>VIDEO</v>
      </c>
      <c r="AA4907" s="19" t="str">
        <f>HYPERLINK("https://ssdweb.co/ssdweb/CERTH/617485931.pdf","CERTI")</f>
        <v>CERTI</v>
      </c>
    </row>
    <row r="4908" spans="1:27" ht="15" x14ac:dyDescent="0.25">
      <c r="A4908" s="2">
        <v>4903</v>
      </c>
      <c r="B4908" s="39">
        <v>821113238</v>
      </c>
      <c r="C4908" s="28" t="str">
        <f>HYPERLINK("https://pld.live/RapDetail.aspx?STONELIST=821113238","DNA")</f>
        <v>DNA</v>
      </c>
      <c r="D4908" s="18" t="s">
        <v>6675</v>
      </c>
      <c r="E4908" s="18" t="s">
        <v>2186</v>
      </c>
      <c r="F4908" s="2" t="s">
        <v>7987</v>
      </c>
      <c r="G4908" s="2" t="s">
        <v>7322</v>
      </c>
      <c r="H4908" s="14">
        <v>1.96</v>
      </c>
      <c r="I4908" s="2" t="s">
        <v>4761</v>
      </c>
      <c r="J4908" s="2" t="s">
        <v>13</v>
      </c>
      <c r="K4908" s="2" t="s">
        <v>1452</v>
      </c>
      <c r="L4908" s="2" t="s">
        <v>5221</v>
      </c>
      <c r="M4908" s="2" t="s">
        <v>5221</v>
      </c>
      <c r="N4908" s="2" t="s">
        <v>2317</v>
      </c>
      <c r="O4908" s="14">
        <v>10800</v>
      </c>
      <c r="P4908" s="14">
        <v>98.97</v>
      </c>
      <c r="Q4908" s="14">
        <v>111.24</v>
      </c>
      <c r="R4908" s="14">
        <v>218.03</v>
      </c>
      <c r="S4908" s="2" t="s">
        <v>7938</v>
      </c>
      <c r="T4908" s="2">
        <v>1.37</v>
      </c>
      <c r="U4908" s="2">
        <v>68.3</v>
      </c>
      <c r="V4908" s="2">
        <v>65</v>
      </c>
      <c r="W4908" s="2" t="s">
        <v>7862</v>
      </c>
      <c r="X4908" s="2" t="s">
        <v>2897</v>
      </c>
      <c r="Y4908" s="2">
        <v>21168</v>
      </c>
      <c r="Z4908" s="19" t="str">
        <f>HYPERLINK("https://ssdweb.co/ssdweb/hd/Vision360.html?d=821113238&amp;zoomslide=1&amp;z=1821113238&amp;ISCONFIRM=0","VIDEO")</f>
        <v>VIDEO</v>
      </c>
      <c r="AA4908" s="19" t="str">
        <f>HYPERLINK("https://ssdweb.co/ssdweb/CERTH/622487506.pdf","CERTI")</f>
        <v>CERTI</v>
      </c>
    </row>
    <row r="4909" spans="1:27" ht="15" x14ac:dyDescent="0.25">
      <c r="A4909" s="2">
        <v>4904</v>
      </c>
      <c r="B4909" s="39">
        <v>821113275</v>
      </c>
      <c r="C4909" s="28" t="str">
        <f>HYPERLINK("https://pld.live/RapDetail.aspx?STONELIST=821113275","DNA")</f>
        <v>DNA</v>
      </c>
      <c r="D4909" s="18" t="s">
        <v>6675</v>
      </c>
      <c r="E4909" s="18" t="s">
        <v>2186</v>
      </c>
      <c r="F4909" s="2" t="s">
        <v>7987</v>
      </c>
      <c r="G4909" s="2" t="s">
        <v>7322</v>
      </c>
      <c r="H4909" s="14">
        <v>1.95</v>
      </c>
      <c r="I4909" s="2" t="s">
        <v>267</v>
      </c>
      <c r="J4909" s="2" t="s">
        <v>13</v>
      </c>
      <c r="K4909" s="2" t="s">
        <v>1452</v>
      </c>
      <c r="L4909" s="2" t="s">
        <v>5221</v>
      </c>
      <c r="M4909" s="2" t="s">
        <v>5221</v>
      </c>
      <c r="N4909" s="2" t="s">
        <v>2317</v>
      </c>
      <c r="O4909" s="14">
        <v>11600</v>
      </c>
      <c r="P4909" s="14">
        <v>99</v>
      </c>
      <c r="Q4909" s="14">
        <v>116</v>
      </c>
      <c r="R4909" s="14">
        <v>226.2</v>
      </c>
      <c r="S4909" s="2" t="s">
        <v>6285</v>
      </c>
      <c r="T4909" s="2">
        <v>1.36</v>
      </c>
      <c r="U4909" s="2">
        <v>68.7</v>
      </c>
      <c r="V4909" s="2">
        <v>63</v>
      </c>
      <c r="W4909" s="2" t="s">
        <v>7862</v>
      </c>
      <c r="X4909" s="2" t="s">
        <v>2897</v>
      </c>
      <c r="Y4909" s="2">
        <v>22620</v>
      </c>
      <c r="Z4909" s="19" t="str">
        <f>HYPERLINK("https://ssdweb.co/ssdweb/hd/Vision360.html?d=821113275&amp;zoomslide=1&amp;z=1821113275&amp;ISCONFIRM=0","VIDEO")</f>
        <v>VIDEO</v>
      </c>
      <c r="AA4909" s="19" t="str">
        <f>HYPERLINK("https://ssdweb.co/ssdweb/CERTH/622494380.pdf","CERTI")</f>
        <v>CERTI</v>
      </c>
    </row>
    <row r="4910" spans="1:27" ht="15" x14ac:dyDescent="0.25">
      <c r="A4910" s="2">
        <v>4905</v>
      </c>
      <c r="B4910" s="39">
        <v>925501963</v>
      </c>
      <c r="C4910" s="28" t="str">
        <f>HYPERLINK("https://pld.live/RapDetail.aspx?STONELIST=925501963","DNA")</f>
        <v>DNA</v>
      </c>
      <c r="D4910" s="18" t="s">
        <v>6675</v>
      </c>
      <c r="E4910" s="18" t="s">
        <v>5128</v>
      </c>
      <c r="F4910" s="2" t="s">
        <v>7987</v>
      </c>
      <c r="G4910" s="2" t="s">
        <v>7322</v>
      </c>
      <c r="H4910" s="14">
        <v>1.95</v>
      </c>
      <c r="I4910" s="2" t="s">
        <v>267</v>
      </c>
      <c r="J4910" s="2" t="s">
        <v>5144</v>
      </c>
      <c r="K4910" s="2" t="s">
        <v>1452</v>
      </c>
      <c r="L4910" s="2" t="s">
        <v>5221</v>
      </c>
      <c r="M4910" s="2" t="s">
        <v>5221</v>
      </c>
      <c r="N4910" s="2" t="s">
        <v>2317</v>
      </c>
      <c r="O4910" s="14">
        <v>9900</v>
      </c>
      <c r="P4910" s="14">
        <v>98.88</v>
      </c>
      <c r="Q4910" s="14">
        <v>110.88</v>
      </c>
      <c r="R4910" s="14">
        <v>216.22</v>
      </c>
      <c r="S4910" s="2" t="s">
        <v>245</v>
      </c>
      <c r="T4910" s="2">
        <v>1.36</v>
      </c>
      <c r="U4910" s="2">
        <v>68.3</v>
      </c>
      <c r="V4910" s="2">
        <v>67</v>
      </c>
      <c r="W4910" s="2" t="s">
        <v>7862</v>
      </c>
      <c r="X4910" s="2" t="s">
        <v>2897</v>
      </c>
      <c r="Y4910" s="2">
        <v>19305</v>
      </c>
      <c r="Z4910" s="19" t="str">
        <f>HYPERLINK("https://ssdweb.co/ssdweb/hd/Vision360.html?d=925501963&amp;zoomslide=1&amp;z=1925501963&amp;ISCONFIRM=0","VIDEO")</f>
        <v>VIDEO</v>
      </c>
      <c r="AA4910" s="19" t="str">
        <f>HYPERLINK("https://ssdweb.co/ssdweb/CERTH/617413113.pdf","CERTI")</f>
        <v>CERTI</v>
      </c>
    </row>
    <row r="4911" spans="1:27" ht="15" x14ac:dyDescent="0.25">
      <c r="A4911" s="2">
        <v>4906</v>
      </c>
      <c r="B4911" s="39">
        <v>925230070</v>
      </c>
      <c r="C4911" s="28" t="str">
        <f>HYPERLINK("https://pld.live/RapDetail.aspx?STONELIST=925230070","DNA")</f>
        <v>DNA</v>
      </c>
      <c r="D4911" s="18" t="s">
        <v>6675</v>
      </c>
      <c r="E4911" s="18" t="s">
        <v>5128</v>
      </c>
      <c r="F4911" s="2" t="s">
        <v>7987</v>
      </c>
      <c r="G4911" s="2" t="s">
        <v>7322</v>
      </c>
      <c r="H4911" s="14">
        <v>1.95</v>
      </c>
      <c r="I4911" s="2" t="s">
        <v>6587</v>
      </c>
      <c r="J4911" s="2" t="s">
        <v>13</v>
      </c>
      <c r="K4911" s="2" t="s">
        <v>1452</v>
      </c>
      <c r="L4911" s="2" t="s">
        <v>5221</v>
      </c>
      <c r="M4911" s="2" t="s">
        <v>5221</v>
      </c>
      <c r="N4911" s="2" t="s">
        <v>2317</v>
      </c>
      <c r="O4911" s="14">
        <v>9300</v>
      </c>
      <c r="P4911" s="14">
        <v>98.96</v>
      </c>
      <c r="Q4911" s="14">
        <v>96.72</v>
      </c>
      <c r="R4911" s="14">
        <v>188.6</v>
      </c>
      <c r="S4911" s="2" t="s">
        <v>123</v>
      </c>
      <c r="T4911" s="2">
        <v>1.41</v>
      </c>
      <c r="U4911" s="2">
        <v>63</v>
      </c>
      <c r="V4911" s="2">
        <v>69</v>
      </c>
      <c r="W4911" s="2" t="s">
        <v>7862</v>
      </c>
      <c r="X4911" s="2" t="s">
        <v>2897</v>
      </c>
      <c r="Y4911" s="2">
        <v>18135</v>
      </c>
      <c r="Z4911" s="19" t="str">
        <f>HYPERLINK("https://ssdweb.co/ssdweb/hd/Vision360.html?d=925230070&amp;zoomslide=1&amp;z=1925230070&amp;ISCONFIRM=0","VIDEO")</f>
        <v>VIDEO</v>
      </c>
      <c r="AA4911" s="19" t="str">
        <f>HYPERLINK("https://ssdweb.co/ssdweb/CERTH/614319018.pdf","CERTI")</f>
        <v>CERTI</v>
      </c>
    </row>
    <row r="4912" spans="1:27" ht="15" x14ac:dyDescent="0.25">
      <c r="A4912" s="2">
        <v>4907</v>
      </c>
      <c r="B4912" s="39">
        <v>926910194</v>
      </c>
      <c r="C4912" s="28" t="str">
        <f>HYPERLINK("https://pld.live/RapDetail.aspx?STONELIST=926910194","DNA")</f>
        <v>DNA</v>
      </c>
      <c r="D4912" s="18" t="s">
        <v>6675</v>
      </c>
      <c r="E4912" s="18" t="s">
        <v>2186</v>
      </c>
      <c r="F4912" s="2" t="s">
        <v>7987</v>
      </c>
      <c r="G4912" s="2" t="s">
        <v>7322</v>
      </c>
      <c r="H4912" s="14">
        <v>1.92</v>
      </c>
      <c r="I4912" s="2" t="s">
        <v>4761</v>
      </c>
      <c r="J4912" s="2" t="s">
        <v>5144</v>
      </c>
      <c r="K4912" s="2" t="s">
        <v>1452</v>
      </c>
      <c r="L4912" s="2" t="s">
        <v>5221</v>
      </c>
      <c r="M4912" s="2" t="s">
        <v>5221</v>
      </c>
      <c r="N4912" s="2" t="s">
        <v>2317</v>
      </c>
      <c r="O4912" s="14">
        <v>9300</v>
      </c>
      <c r="P4912" s="14">
        <v>98.84</v>
      </c>
      <c r="Q4912" s="14">
        <v>107.88</v>
      </c>
      <c r="R4912" s="14">
        <v>207.13</v>
      </c>
      <c r="S4912" s="2" t="s">
        <v>3101</v>
      </c>
      <c r="T4912" s="2">
        <v>1.36</v>
      </c>
      <c r="U4912" s="2">
        <v>67.900000000000006</v>
      </c>
      <c r="V4912" s="2">
        <v>69</v>
      </c>
      <c r="W4912" s="2" t="s">
        <v>7862</v>
      </c>
      <c r="X4912" s="2" t="s">
        <v>2897</v>
      </c>
      <c r="Y4912" s="2">
        <v>17856</v>
      </c>
      <c r="Z4912" s="19" t="str">
        <f>HYPERLINK("https://ssdweb.co/ssdweb/hd/Vision360.html?d=926910194&amp;zoomslide=1&amp;z=1926910194&amp;ISCONFIRM=0","VIDEO")</f>
        <v>VIDEO</v>
      </c>
      <c r="AA4912" s="19" t="str">
        <f>HYPERLINK("https://ssdweb.co/ssdweb/CERTH/655451797.pdf","CERTI")</f>
        <v>CERTI</v>
      </c>
    </row>
    <row r="4913" spans="1:27" ht="15" x14ac:dyDescent="0.25">
      <c r="A4913" s="2">
        <v>4908</v>
      </c>
      <c r="B4913" s="39">
        <v>926910424</v>
      </c>
      <c r="C4913" s="28" t="str">
        <f>HYPERLINK("https://pld.live/RapDetail.aspx?STONELIST=926910424","DNA")</f>
        <v>DNA</v>
      </c>
      <c r="D4913" s="18" t="s">
        <v>6675</v>
      </c>
      <c r="E4913" s="18" t="s">
        <v>2186</v>
      </c>
      <c r="F4913" s="2" t="s">
        <v>7987</v>
      </c>
      <c r="G4913" s="2" t="s">
        <v>7322</v>
      </c>
      <c r="H4913" s="14">
        <v>1.92</v>
      </c>
      <c r="I4913" s="2" t="s">
        <v>6587</v>
      </c>
      <c r="J4913" s="2" t="s">
        <v>3942</v>
      </c>
      <c r="K4913" s="2" t="s">
        <v>1452</v>
      </c>
      <c r="L4913" s="2" t="s">
        <v>5221</v>
      </c>
      <c r="M4913" s="2" t="s">
        <v>5221</v>
      </c>
      <c r="N4913" s="2" t="s">
        <v>2317</v>
      </c>
      <c r="O4913" s="14">
        <v>10000</v>
      </c>
      <c r="P4913" s="14">
        <v>98.89</v>
      </c>
      <c r="Q4913" s="14">
        <v>111</v>
      </c>
      <c r="R4913" s="14">
        <v>213.12</v>
      </c>
      <c r="S4913" s="2" t="s">
        <v>7219</v>
      </c>
      <c r="T4913" s="2">
        <v>1.36</v>
      </c>
      <c r="U4913" s="2">
        <v>68.7</v>
      </c>
      <c r="V4913" s="2">
        <v>68</v>
      </c>
      <c r="W4913" s="2" t="s">
        <v>7862</v>
      </c>
      <c r="X4913" s="2" t="s">
        <v>2897</v>
      </c>
      <c r="Y4913" s="2">
        <v>19200</v>
      </c>
      <c r="Z4913" s="19" t="str">
        <f>HYPERLINK("https://ssdweb.co/ssdweb/hd/Vision360.html?d=926910424&amp;zoomslide=1&amp;z=1926910424&amp;ISCONFIRM=0","VIDEO")</f>
        <v>VIDEO</v>
      </c>
      <c r="AA4913" s="19" t="str">
        <f>HYPERLINK("https://ssdweb.co/ssdweb/CERTH/656479455.pdf","CERTI")</f>
        <v>CERTI</v>
      </c>
    </row>
    <row r="4914" spans="1:27" ht="15" x14ac:dyDescent="0.25">
      <c r="A4914" s="2">
        <v>4909</v>
      </c>
      <c r="B4914" s="39">
        <v>925930164</v>
      </c>
      <c r="C4914" s="28" t="str">
        <f>HYPERLINK("https://pld.live/RapDetail.aspx?STONELIST=925930164","DNA")</f>
        <v>DNA</v>
      </c>
      <c r="D4914" s="18" t="s">
        <v>6675</v>
      </c>
      <c r="E4914" s="18" t="s">
        <v>2186</v>
      </c>
      <c r="F4914" s="2" t="s">
        <v>7987</v>
      </c>
      <c r="G4914" s="2" t="s">
        <v>7322</v>
      </c>
      <c r="H4914" s="14">
        <v>1.91</v>
      </c>
      <c r="I4914" s="2" t="s">
        <v>267</v>
      </c>
      <c r="J4914" s="2" t="s">
        <v>13</v>
      </c>
      <c r="K4914" s="2" t="s">
        <v>1452</v>
      </c>
      <c r="L4914" s="2" t="s">
        <v>5221</v>
      </c>
      <c r="M4914" s="2" t="s">
        <v>5221</v>
      </c>
      <c r="N4914" s="2" t="s">
        <v>2317</v>
      </c>
      <c r="O4914" s="14">
        <v>11600</v>
      </c>
      <c r="P4914" s="14">
        <v>98.98</v>
      </c>
      <c r="Q4914" s="14">
        <v>118.32</v>
      </c>
      <c r="R4914" s="14">
        <v>225.99</v>
      </c>
      <c r="S4914" s="2" t="s">
        <v>55</v>
      </c>
      <c r="T4914" s="2">
        <v>1.37</v>
      </c>
      <c r="U4914" s="2">
        <v>68.3</v>
      </c>
      <c r="V4914" s="2">
        <v>65</v>
      </c>
      <c r="W4914" s="2" t="s">
        <v>7862</v>
      </c>
      <c r="X4914" s="2" t="s">
        <v>2897</v>
      </c>
      <c r="Y4914" s="2">
        <v>22156</v>
      </c>
      <c r="Z4914" s="19" t="str">
        <f>HYPERLINK("https://ssdweb.co/ssdweb/hd/Vision360.html?d=925930164&amp;zoomslide=1&amp;z=1925930164&amp;ISCONFIRM=0","VIDEO")</f>
        <v>VIDEO</v>
      </c>
      <c r="AA4914" s="19" t="str">
        <f>HYPERLINK("https://ssdweb.co/ssdweb/CERTH/629479013.pdf","CERTI")</f>
        <v>CERTI</v>
      </c>
    </row>
    <row r="4915" spans="1:27" ht="15" x14ac:dyDescent="0.25">
      <c r="A4915" s="2">
        <v>4910</v>
      </c>
      <c r="B4915" s="39">
        <v>923570760</v>
      </c>
      <c r="C4915" s="28" t="str">
        <f>HYPERLINK("https://pld.live/RapDetail.aspx?STONELIST=923570760","DNA")</f>
        <v>DNA</v>
      </c>
      <c r="D4915" s="18" t="s">
        <v>6675</v>
      </c>
      <c r="E4915" s="18" t="s">
        <v>5128</v>
      </c>
      <c r="F4915" s="2" t="s">
        <v>7987</v>
      </c>
      <c r="G4915" s="2" t="s">
        <v>7322</v>
      </c>
      <c r="H4915" s="14">
        <v>1.91</v>
      </c>
      <c r="I4915" s="2" t="s">
        <v>4761</v>
      </c>
      <c r="J4915" s="2" t="s">
        <v>5144</v>
      </c>
      <c r="K4915" s="2" t="s">
        <v>1452</v>
      </c>
      <c r="L4915" s="2" t="s">
        <v>5221</v>
      </c>
      <c r="M4915" s="2" t="s">
        <v>5221</v>
      </c>
      <c r="N4915" s="2" t="s">
        <v>2317</v>
      </c>
      <c r="O4915" s="14">
        <v>9300</v>
      </c>
      <c r="P4915" s="14">
        <v>98.88</v>
      </c>
      <c r="Q4915" s="14">
        <v>104.16</v>
      </c>
      <c r="R4915" s="14">
        <v>198.95</v>
      </c>
      <c r="S4915" s="2" t="s">
        <v>724</v>
      </c>
      <c r="T4915" s="2">
        <v>1.41</v>
      </c>
      <c r="U4915" s="2">
        <v>62.9</v>
      </c>
      <c r="V4915" s="2">
        <v>66</v>
      </c>
      <c r="W4915" s="2" t="s">
        <v>4336</v>
      </c>
      <c r="X4915" s="2" t="s">
        <v>2897</v>
      </c>
      <c r="Y4915" s="2">
        <v>17763</v>
      </c>
      <c r="Z4915" s="19" t="str">
        <f>HYPERLINK("https://ssdweb.co/ssdweb/hd/Vision360.html?d=923570760&amp;zoomslide=1&amp;z=1923570760&amp;ISCONFIRM=0","VIDEO")</f>
        <v>VIDEO</v>
      </c>
      <c r="AA4915" s="19" t="str">
        <f>HYPERLINK("https://ssdweb.co/ssdweb/CERTH/555266616.pdf","CERTI")</f>
        <v>CERTI</v>
      </c>
    </row>
    <row r="4916" spans="1:27" ht="15" x14ac:dyDescent="0.25">
      <c r="A4916" s="2">
        <v>4911</v>
      </c>
      <c r="B4916" s="39">
        <v>925551925</v>
      </c>
      <c r="C4916" s="28" t="str">
        <f>HYPERLINK("https://pld.live/RapDetail.aspx?STONELIST=925551925","DNA")</f>
        <v>DNA</v>
      </c>
      <c r="D4916" s="18" t="s">
        <v>6675</v>
      </c>
      <c r="E4916" s="18" t="s">
        <v>5128</v>
      </c>
      <c r="F4916" s="2" t="s">
        <v>7987</v>
      </c>
      <c r="G4916" s="2" t="s">
        <v>7322</v>
      </c>
      <c r="H4916" s="14">
        <v>1.9</v>
      </c>
      <c r="I4916" s="2" t="s">
        <v>267</v>
      </c>
      <c r="J4916" s="2" t="s">
        <v>13</v>
      </c>
      <c r="K4916" s="2" t="s">
        <v>1452</v>
      </c>
      <c r="L4916" s="2" t="s">
        <v>5221</v>
      </c>
      <c r="M4916" s="2" t="s">
        <v>5221</v>
      </c>
      <c r="N4916" s="2" t="s">
        <v>2317</v>
      </c>
      <c r="O4916" s="14">
        <v>11600</v>
      </c>
      <c r="P4916" s="14">
        <v>99</v>
      </c>
      <c r="Q4916" s="14">
        <v>116</v>
      </c>
      <c r="R4916" s="14">
        <v>220.4</v>
      </c>
      <c r="S4916" s="2" t="s">
        <v>7594</v>
      </c>
      <c r="T4916" s="2">
        <v>1.37</v>
      </c>
      <c r="U4916" s="2">
        <v>65.400000000000006</v>
      </c>
      <c r="V4916" s="2">
        <v>68</v>
      </c>
      <c r="W4916" s="2" t="s">
        <v>7862</v>
      </c>
      <c r="X4916" s="2" t="s">
        <v>2897</v>
      </c>
      <c r="Y4916" s="2">
        <v>22040</v>
      </c>
      <c r="Z4916" s="19" t="str">
        <f>HYPERLINK("https://ssdweb.co/ssdweb/hd/Vision360.html?d=925551925&amp;zoomslide=1&amp;z=1925551925&amp;ISCONFIRM=0","VIDEO")</f>
        <v>VIDEO</v>
      </c>
      <c r="AA4916" s="19" t="str">
        <f>HYPERLINK("https://ssdweb.co/ssdweb/CERTH/620448918.pdf","CERTI")</f>
        <v>CERTI</v>
      </c>
    </row>
    <row r="4917" spans="1:27" ht="15" x14ac:dyDescent="0.25">
      <c r="A4917" s="2">
        <v>4912</v>
      </c>
      <c r="B4917" s="39">
        <v>926910072</v>
      </c>
      <c r="C4917" s="28" t="str">
        <f>HYPERLINK("https://pld.live/RapDetail.aspx?STONELIST=926910072","DNA")</f>
        <v>DNA</v>
      </c>
      <c r="D4917" s="18" t="s">
        <v>6675</v>
      </c>
      <c r="E4917" s="18" t="s">
        <v>2186</v>
      </c>
      <c r="F4917" s="2" t="s">
        <v>7987</v>
      </c>
      <c r="G4917" s="2" t="s">
        <v>7322</v>
      </c>
      <c r="H4917" s="14">
        <v>1.9</v>
      </c>
      <c r="I4917" s="2" t="s">
        <v>4761</v>
      </c>
      <c r="J4917" s="2" t="s">
        <v>3942</v>
      </c>
      <c r="K4917" s="2" t="s">
        <v>1452</v>
      </c>
      <c r="L4917" s="2" t="s">
        <v>5221</v>
      </c>
      <c r="M4917" s="2" t="s">
        <v>5221</v>
      </c>
      <c r="N4917" s="2" t="s">
        <v>2317</v>
      </c>
      <c r="O4917" s="14">
        <v>11600</v>
      </c>
      <c r="P4917" s="14">
        <v>98.92</v>
      </c>
      <c r="Q4917" s="14">
        <v>125.28</v>
      </c>
      <c r="R4917" s="14">
        <v>238.03</v>
      </c>
      <c r="S4917" s="2" t="s">
        <v>3598</v>
      </c>
      <c r="T4917" s="2">
        <v>1.38</v>
      </c>
      <c r="U4917" s="2">
        <v>67.900000000000006</v>
      </c>
      <c r="V4917" s="2">
        <v>66</v>
      </c>
      <c r="W4917" s="2" t="s">
        <v>7862</v>
      </c>
      <c r="X4917" s="2" t="s">
        <v>2897</v>
      </c>
      <c r="Y4917" s="2">
        <v>22040</v>
      </c>
      <c r="Z4917" s="19" t="str">
        <f>HYPERLINK("https://ssdweb.co/ssdweb/hd/Vision360.html?d=926910072&amp;zoomslide=1&amp;z=1926910072&amp;ISCONFIRM=0","VIDEO")</f>
        <v>VIDEO</v>
      </c>
      <c r="AA4917" s="19" t="str">
        <f>HYPERLINK("https://ssdweb.co/ssdweb/CERTH/670484377.pdf","CERTI")</f>
        <v>CERTI</v>
      </c>
    </row>
    <row r="4918" spans="1:27" ht="15" x14ac:dyDescent="0.25">
      <c r="A4918" s="2">
        <v>4913</v>
      </c>
      <c r="B4918" s="39">
        <v>927040696</v>
      </c>
      <c r="C4918" s="28" t="str">
        <f>HYPERLINK("https://pld.live/RapDetail.aspx?STONELIST=927040696","DNA")</f>
        <v>DNA</v>
      </c>
      <c r="D4918" s="18" t="s">
        <v>6675</v>
      </c>
      <c r="E4918" s="18" t="s">
        <v>2186</v>
      </c>
      <c r="F4918" s="2" t="s">
        <v>7987</v>
      </c>
      <c r="G4918" s="2" t="s">
        <v>7322</v>
      </c>
      <c r="H4918" s="14">
        <v>1.9</v>
      </c>
      <c r="I4918" s="2" t="s">
        <v>4699</v>
      </c>
      <c r="J4918" s="2" t="s">
        <v>13</v>
      </c>
      <c r="K4918" s="2" t="s">
        <v>1452</v>
      </c>
      <c r="L4918" s="2" t="s">
        <v>5221</v>
      </c>
      <c r="M4918" s="2" t="s">
        <v>5221</v>
      </c>
      <c r="N4918" s="2" t="s">
        <v>2317</v>
      </c>
      <c r="O4918" s="14">
        <v>10200</v>
      </c>
      <c r="P4918" s="14">
        <v>98.94</v>
      </c>
      <c r="Q4918" s="14">
        <v>108.12</v>
      </c>
      <c r="R4918" s="14">
        <v>205.43</v>
      </c>
      <c r="S4918" s="2" t="s">
        <v>1219</v>
      </c>
      <c r="T4918" s="2">
        <v>1.42</v>
      </c>
      <c r="U4918" s="2">
        <v>68.2</v>
      </c>
      <c r="V4918" s="2">
        <v>65</v>
      </c>
      <c r="W4918" s="2" t="s">
        <v>7862</v>
      </c>
      <c r="X4918" s="2" t="s">
        <v>2897</v>
      </c>
      <c r="Y4918" s="2">
        <v>19380</v>
      </c>
      <c r="Z4918" s="19" t="str">
        <f>HYPERLINK("https://ssdweb.co/ssdweb/hd/Vision360.html?d=927040696&amp;zoomslide=1&amp;z=1927040696&amp;ISCONFIRM=0","VIDEO")</f>
        <v>VIDEO</v>
      </c>
      <c r="AA4918" s="19" t="str">
        <f>HYPERLINK("https://ssdweb.co/ssdweb/CERTH/665411178.pdf","CERTI")</f>
        <v>CERTI</v>
      </c>
    </row>
    <row r="4919" spans="1:27" ht="15" x14ac:dyDescent="0.25">
      <c r="A4919" s="2">
        <v>4914</v>
      </c>
      <c r="B4919" s="39">
        <v>831020509</v>
      </c>
      <c r="C4919" s="28" t="str">
        <f>HYPERLINK("https://pld.live/RapDetail.aspx?STONELIST=831020509","DNA")</f>
        <v>DNA</v>
      </c>
      <c r="D4919" s="18" t="s">
        <v>6675</v>
      </c>
      <c r="E4919" s="18" t="s">
        <v>2186</v>
      </c>
      <c r="F4919" s="2" t="s">
        <v>7987</v>
      </c>
      <c r="G4919" s="2" t="s">
        <v>7322</v>
      </c>
      <c r="H4919" s="14">
        <v>1.9</v>
      </c>
      <c r="I4919" s="2" t="s">
        <v>6587</v>
      </c>
      <c r="J4919" s="2" t="s">
        <v>13</v>
      </c>
      <c r="K4919" s="2" t="s">
        <v>1452</v>
      </c>
      <c r="L4919" s="2" t="s">
        <v>5221</v>
      </c>
      <c r="M4919" s="2" t="s">
        <v>5221</v>
      </c>
      <c r="N4919" s="2" t="s">
        <v>2317</v>
      </c>
      <c r="O4919" s="14">
        <v>9300</v>
      </c>
      <c r="P4919" s="14">
        <v>98.96</v>
      </c>
      <c r="Q4919" s="14">
        <v>96.72</v>
      </c>
      <c r="R4919" s="14">
        <v>183.77</v>
      </c>
      <c r="S4919" s="2" t="s">
        <v>3399</v>
      </c>
      <c r="T4919" s="2">
        <v>1.53</v>
      </c>
      <c r="U4919" s="2">
        <v>63.8</v>
      </c>
      <c r="V4919" s="2">
        <v>63</v>
      </c>
      <c r="W4919" s="2" t="s">
        <v>7862</v>
      </c>
      <c r="X4919" s="2" t="s">
        <v>2897</v>
      </c>
      <c r="Y4919" s="2">
        <v>17670</v>
      </c>
      <c r="Z4919" s="19" t="str">
        <f>HYPERLINK("https://ssdweb.co/ssdweb/hd/Vision360.html?d=831020509&amp;zoomslide=1&amp;z=1831020509&amp;ISCONFIRM=0","VIDEO")</f>
        <v>VIDEO</v>
      </c>
      <c r="AA4919" s="19" t="str">
        <f>HYPERLINK("https://ssdweb.co/ssdweb/CERTH/550244451.pdf","CERTI")</f>
        <v>CERTI</v>
      </c>
    </row>
    <row r="4920" spans="1:27" ht="15" x14ac:dyDescent="0.25">
      <c r="A4920" s="2">
        <v>4915</v>
      </c>
      <c r="B4920" s="39">
        <v>926200587</v>
      </c>
      <c r="C4920" s="28" t="str">
        <f>HYPERLINK("https://pld.live/RapDetail.aspx?STONELIST=926200587","DNA")</f>
        <v>DNA</v>
      </c>
      <c r="D4920" s="18" t="s">
        <v>5313</v>
      </c>
      <c r="E4920" s="18" t="s">
        <v>5128</v>
      </c>
      <c r="F4920" s="2" t="s">
        <v>7987</v>
      </c>
      <c r="G4920" s="2" t="s">
        <v>7322</v>
      </c>
      <c r="H4920" s="14">
        <v>1.89</v>
      </c>
      <c r="I4920" s="2" t="s">
        <v>267</v>
      </c>
      <c r="J4920" s="2" t="s">
        <v>6555</v>
      </c>
      <c r="K4920" s="2" t="s">
        <v>1452</v>
      </c>
      <c r="L4920" s="2" t="s">
        <v>5221</v>
      </c>
      <c r="M4920" s="2" t="s">
        <v>5221</v>
      </c>
      <c r="N4920" s="2" t="s">
        <v>2317</v>
      </c>
      <c r="O4920" s="14">
        <v>13200</v>
      </c>
      <c r="P4920" s="14">
        <v>98.61</v>
      </c>
      <c r="Q4920" s="14">
        <v>183.48</v>
      </c>
      <c r="R4920" s="14">
        <v>346.78</v>
      </c>
      <c r="S4920" s="2" t="s">
        <v>4819</v>
      </c>
      <c r="T4920" s="2">
        <v>1.36</v>
      </c>
      <c r="U4920" s="2">
        <v>67.7</v>
      </c>
      <c r="V4920" s="2">
        <v>63</v>
      </c>
      <c r="W4920" s="2" t="s">
        <v>7862</v>
      </c>
      <c r="X4920" s="2" t="s">
        <v>2897</v>
      </c>
      <c r="Y4920" s="2">
        <v>24948</v>
      </c>
      <c r="Z4920" s="19" t="str">
        <f>HYPERLINK("https://ssdweb.co/ssdweb/hd/Vision360.html?d=926200587&amp;zoomslide=1&amp;z=1926200587&amp;ISCONFIRM=0","VIDEO")</f>
        <v>VIDEO</v>
      </c>
      <c r="AA4920" s="19" t="str">
        <f>HYPERLINK("https://ssdweb.co/ssdweb/CERTH/634431505.pdf","CERTI")</f>
        <v>CERTI</v>
      </c>
    </row>
    <row r="4921" spans="1:27" ht="15" x14ac:dyDescent="0.25">
      <c r="A4921" s="2">
        <v>4916</v>
      </c>
      <c r="B4921" s="39">
        <v>926200898</v>
      </c>
      <c r="C4921" s="28" t="str">
        <f>HYPERLINK("https://pld.live/RapDetail.aspx?STONELIST=926200898","DNA")</f>
        <v>DNA</v>
      </c>
      <c r="D4921" s="18" t="s">
        <v>5313</v>
      </c>
      <c r="E4921" s="18" t="s">
        <v>5128</v>
      </c>
      <c r="F4921" s="2" t="s">
        <v>7987</v>
      </c>
      <c r="G4921" s="2" t="s">
        <v>7322</v>
      </c>
      <c r="H4921" s="14">
        <v>1.84</v>
      </c>
      <c r="I4921" s="2" t="s">
        <v>4699</v>
      </c>
      <c r="J4921" s="2" t="s">
        <v>3942</v>
      </c>
      <c r="K4921" s="2" t="s">
        <v>1452</v>
      </c>
      <c r="L4921" s="2" t="s">
        <v>5221</v>
      </c>
      <c r="M4921" s="2" t="s">
        <v>5221</v>
      </c>
      <c r="N4921" s="2" t="s">
        <v>2317</v>
      </c>
      <c r="O4921" s="14">
        <v>10800</v>
      </c>
      <c r="P4921" s="14">
        <v>98.94</v>
      </c>
      <c r="Q4921" s="14">
        <v>114.48</v>
      </c>
      <c r="R4921" s="14">
        <v>210.64</v>
      </c>
      <c r="S4921" s="2" t="s">
        <v>629</v>
      </c>
      <c r="T4921" s="2">
        <v>1.37</v>
      </c>
      <c r="U4921" s="2">
        <v>67.8</v>
      </c>
      <c r="V4921" s="2">
        <v>65</v>
      </c>
      <c r="W4921" s="2" t="s">
        <v>4336</v>
      </c>
      <c r="X4921" s="2" t="s">
        <v>2897</v>
      </c>
      <c r="Y4921" s="2">
        <v>19872</v>
      </c>
      <c r="Z4921" s="19" t="str">
        <f>HYPERLINK("https://ssdweb.co/ssdweb/hd/Vision360.html?d=926200898&amp;zoomslide=1&amp;z=1926200898&amp;ISCONFIRM=0","VIDEO")</f>
        <v>VIDEO</v>
      </c>
      <c r="AA4921" s="19" t="str">
        <f>HYPERLINK("https://ssdweb.co/ssdweb/CERTH/635424003.pdf","CERTI")</f>
        <v>CERTI</v>
      </c>
    </row>
    <row r="4922" spans="1:27" ht="15" x14ac:dyDescent="0.25">
      <c r="A4922" s="2">
        <v>4917</v>
      </c>
      <c r="B4922" s="39">
        <v>926020420</v>
      </c>
      <c r="C4922" s="28" t="str">
        <f>HYPERLINK("https://pld.live/RapDetail.aspx?STONELIST=926020420","DNA")</f>
        <v>DNA</v>
      </c>
      <c r="D4922" s="18" t="s">
        <v>5313</v>
      </c>
      <c r="E4922" s="18" t="s">
        <v>5128</v>
      </c>
      <c r="F4922" s="2" t="s">
        <v>7987</v>
      </c>
      <c r="G4922" s="2" t="s">
        <v>7322</v>
      </c>
      <c r="H4922" s="14">
        <v>1.82</v>
      </c>
      <c r="I4922" s="2" t="s">
        <v>267</v>
      </c>
      <c r="J4922" s="2" t="s">
        <v>3942</v>
      </c>
      <c r="K4922" s="2" t="s">
        <v>1452</v>
      </c>
      <c r="L4922" s="2" t="s">
        <v>5221</v>
      </c>
      <c r="M4922" s="2" t="s">
        <v>5221</v>
      </c>
      <c r="N4922" s="2" t="s">
        <v>2317</v>
      </c>
      <c r="O4922" s="14">
        <v>12500</v>
      </c>
      <c r="P4922" s="14">
        <v>99.02</v>
      </c>
      <c r="Q4922" s="14">
        <v>122.5</v>
      </c>
      <c r="R4922" s="14">
        <v>222.95</v>
      </c>
      <c r="S4922" s="2" t="s">
        <v>2816</v>
      </c>
      <c r="T4922" s="2">
        <v>1.43</v>
      </c>
      <c r="U4922" s="2">
        <v>65.2</v>
      </c>
      <c r="V4922" s="2">
        <v>65</v>
      </c>
      <c r="W4922" s="2" t="s">
        <v>7862</v>
      </c>
      <c r="X4922" s="2" t="s">
        <v>2897</v>
      </c>
      <c r="Y4922" s="2">
        <v>22750</v>
      </c>
      <c r="Z4922" s="19" t="str">
        <f>HYPERLINK("https://ssdweb.co/ssdweb/hd/Vision360.html?d=926020420&amp;zoomslide=1&amp;z=1926020420&amp;ISCONFIRM=0","VIDEO")</f>
        <v>VIDEO</v>
      </c>
      <c r="AA4922" s="19" t="str">
        <f>HYPERLINK("https://ssdweb.co/ssdweb/CERTH/629453003.pdf","CERTI")</f>
        <v>CERTI</v>
      </c>
    </row>
    <row r="4923" spans="1:27" ht="15" x14ac:dyDescent="0.25">
      <c r="A4923" s="2">
        <v>4918</v>
      </c>
      <c r="B4923" s="39">
        <v>926100889</v>
      </c>
      <c r="C4923" s="28" t="str">
        <f>HYPERLINK("https://pld.live/RapDetail.aspx?STONELIST=926100889","DNA")</f>
        <v>DNA</v>
      </c>
      <c r="D4923" s="18" t="s">
        <v>5313</v>
      </c>
      <c r="E4923" s="18" t="s">
        <v>5128</v>
      </c>
      <c r="F4923" s="2" t="s">
        <v>7987</v>
      </c>
      <c r="G4923" s="2" t="s">
        <v>7322</v>
      </c>
      <c r="H4923" s="14">
        <v>1.82</v>
      </c>
      <c r="I4923" s="2" t="s">
        <v>267</v>
      </c>
      <c r="J4923" s="2" t="s">
        <v>5144</v>
      </c>
      <c r="K4923" s="2" t="s">
        <v>1452</v>
      </c>
      <c r="L4923" s="2" t="s">
        <v>5221</v>
      </c>
      <c r="M4923" s="2" t="s">
        <v>5221</v>
      </c>
      <c r="N4923" s="2" t="s">
        <v>2317</v>
      </c>
      <c r="O4923" s="14">
        <v>9900</v>
      </c>
      <c r="P4923" s="14">
        <v>98.89</v>
      </c>
      <c r="Q4923" s="14">
        <v>109.89</v>
      </c>
      <c r="R4923" s="14">
        <v>200</v>
      </c>
      <c r="S4923" s="2" t="s">
        <v>3309</v>
      </c>
      <c r="T4923" s="2">
        <v>1.37</v>
      </c>
      <c r="U4923" s="2">
        <v>66.5</v>
      </c>
      <c r="V4923" s="2">
        <v>67</v>
      </c>
      <c r="W4923" s="2" t="s">
        <v>7862</v>
      </c>
      <c r="X4923" s="2" t="s">
        <v>2897</v>
      </c>
      <c r="Y4923" s="2">
        <v>18018</v>
      </c>
      <c r="Z4923" s="19" t="str">
        <f>HYPERLINK("https://ssdweb.co/ssdweb/hd/Vision360.html?d=926100889&amp;zoomslide=1&amp;z=1926100889&amp;ISCONFIRM=0","VIDEO")</f>
        <v>VIDEO</v>
      </c>
      <c r="AA4923" s="19" t="str">
        <f>HYPERLINK("https://ssdweb.co/ssdweb/CERTH/631464306.pdf","CERTI")</f>
        <v>CERTI</v>
      </c>
    </row>
    <row r="4924" spans="1:27" ht="15" x14ac:dyDescent="0.25">
      <c r="A4924" s="2">
        <v>4919</v>
      </c>
      <c r="B4924" s="39">
        <v>926910557</v>
      </c>
      <c r="C4924" s="28" t="str">
        <f>HYPERLINK("https://pld.live/RapDetail.aspx?STONELIST=926910557","DNA")</f>
        <v>DNA</v>
      </c>
      <c r="D4924" s="18" t="s">
        <v>5313</v>
      </c>
      <c r="E4924" s="18" t="s">
        <v>2186</v>
      </c>
      <c r="F4924" s="2" t="s">
        <v>7987</v>
      </c>
      <c r="G4924" s="2" t="s">
        <v>7322</v>
      </c>
      <c r="H4924" s="14">
        <v>1.8</v>
      </c>
      <c r="I4924" s="2" t="s">
        <v>4699</v>
      </c>
      <c r="J4924" s="2" t="s">
        <v>13</v>
      </c>
      <c r="K4924" s="2" t="s">
        <v>1452</v>
      </c>
      <c r="L4924" s="2" t="s">
        <v>5221</v>
      </c>
      <c r="M4924" s="2" t="s">
        <v>5221</v>
      </c>
      <c r="N4924" s="2" t="s">
        <v>2317</v>
      </c>
      <c r="O4924" s="14">
        <v>10200</v>
      </c>
      <c r="P4924" s="14">
        <v>98.96</v>
      </c>
      <c r="Q4924" s="14">
        <v>106.08</v>
      </c>
      <c r="R4924" s="14">
        <v>190.94</v>
      </c>
      <c r="S4924" s="2" t="s">
        <v>3040</v>
      </c>
      <c r="T4924" s="2">
        <v>1.4</v>
      </c>
      <c r="U4924" s="2">
        <v>67.7</v>
      </c>
      <c r="V4924" s="2">
        <v>65</v>
      </c>
      <c r="W4924" s="2" t="s">
        <v>7862</v>
      </c>
      <c r="X4924" s="2" t="s">
        <v>2897</v>
      </c>
      <c r="Y4924" s="2">
        <v>18360</v>
      </c>
      <c r="Z4924" s="19" t="str">
        <f>HYPERLINK("https://ssdweb.co/ssdweb/hd/Vision360.html?d=926910557&amp;zoomslide=1&amp;z=1926910557&amp;ISCONFIRM=0","VIDEO")</f>
        <v>VIDEO</v>
      </c>
      <c r="AA4924" s="19" t="str">
        <f>HYPERLINK("https://ssdweb.co/ssdweb/CERTH/659414273.pdf","CERTI")</f>
        <v>CERTI</v>
      </c>
    </row>
    <row r="4925" spans="1:27" ht="15" x14ac:dyDescent="0.25">
      <c r="A4925" s="2">
        <v>4920</v>
      </c>
      <c r="B4925" s="39">
        <v>926101425</v>
      </c>
      <c r="C4925" s="28" t="str">
        <f>HYPERLINK("https://pld.live/RapDetail.aspx?STONELIST=926101425","DNA")</f>
        <v>DNA</v>
      </c>
      <c r="D4925" s="18" t="s">
        <v>5313</v>
      </c>
      <c r="E4925" s="18" t="s">
        <v>5128</v>
      </c>
      <c r="F4925" s="2" t="s">
        <v>7987</v>
      </c>
      <c r="G4925" s="2" t="s">
        <v>7322</v>
      </c>
      <c r="H4925" s="14">
        <v>1.74</v>
      </c>
      <c r="I4925" s="2" t="s">
        <v>267</v>
      </c>
      <c r="J4925" s="2" t="s">
        <v>3942</v>
      </c>
      <c r="K4925" s="2" t="s">
        <v>1452</v>
      </c>
      <c r="L4925" s="2" t="s">
        <v>5221</v>
      </c>
      <c r="M4925" s="2" t="s">
        <v>5221</v>
      </c>
      <c r="N4925" s="2" t="s">
        <v>2317</v>
      </c>
      <c r="O4925" s="14">
        <v>12500</v>
      </c>
      <c r="P4925" s="14">
        <v>99.04</v>
      </c>
      <c r="Q4925" s="14">
        <v>120</v>
      </c>
      <c r="R4925" s="14">
        <v>208.8</v>
      </c>
      <c r="S4925" s="2" t="s">
        <v>6911</v>
      </c>
      <c r="T4925" s="2">
        <v>1.4</v>
      </c>
      <c r="U4925" s="2">
        <v>67.400000000000006</v>
      </c>
      <c r="V4925" s="2">
        <v>64</v>
      </c>
      <c r="W4925" s="2" t="s">
        <v>7862</v>
      </c>
      <c r="X4925" s="2" t="s">
        <v>2897</v>
      </c>
      <c r="Y4925" s="2">
        <v>21750</v>
      </c>
      <c r="Z4925" s="19" t="str">
        <f>HYPERLINK("https://ssdweb.co/ssdweb/hd/Vision360.html?d=926101425&amp;zoomslide=1&amp;z=1926101425&amp;ISCONFIRM=0","VIDEO")</f>
        <v>VIDEO</v>
      </c>
      <c r="AA4925" s="19" t="str">
        <f>HYPERLINK("https://ssdweb.co/ssdweb/CERTH/632403852.pdf","CERTI")</f>
        <v>CERTI</v>
      </c>
    </row>
    <row r="4926" spans="1:27" ht="15" x14ac:dyDescent="0.25">
      <c r="A4926" s="2">
        <v>4921</v>
      </c>
      <c r="B4926" s="39">
        <v>925890412</v>
      </c>
      <c r="C4926" s="28" t="str">
        <f>HYPERLINK("https://pld.live/RapDetail.aspx?STONELIST=925890412","DNA")</f>
        <v>DNA</v>
      </c>
      <c r="D4926" s="18" t="s">
        <v>5313</v>
      </c>
      <c r="E4926" s="18" t="s">
        <v>5128</v>
      </c>
      <c r="F4926" s="2" t="s">
        <v>7987</v>
      </c>
      <c r="G4926" s="2" t="s">
        <v>7322</v>
      </c>
      <c r="H4926" s="14">
        <v>1.74</v>
      </c>
      <c r="I4926" s="2" t="s">
        <v>4761</v>
      </c>
      <c r="J4926" s="2" t="s">
        <v>13</v>
      </c>
      <c r="K4926" s="2" t="s">
        <v>1452</v>
      </c>
      <c r="L4926" s="2" t="s">
        <v>5221</v>
      </c>
      <c r="M4926" s="2" t="s">
        <v>5221</v>
      </c>
      <c r="N4926" s="2" t="s">
        <v>2317</v>
      </c>
      <c r="O4926" s="14">
        <v>10800</v>
      </c>
      <c r="P4926" s="14">
        <v>98.97</v>
      </c>
      <c r="Q4926" s="14">
        <v>111.24</v>
      </c>
      <c r="R4926" s="14">
        <v>193.56</v>
      </c>
      <c r="S4926" s="2" t="s">
        <v>2264</v>
      </c>
      <c r="T4926" s="2">
        <v>1.4</v>
      </c>
      <c r="U4926" s="2">
        <v>66.7</v>
      </c>
      <c r="V4926" s="2">
        <v>61</v>
      </c>
      <c r="W4926" s="2" t="s">
        <v>7862</v>
      </c>
      <c r="X4926" s="2" t="s">
        <v>2897</v>
      </c>
      <c r="Y4926" s="2">
        <v>18792</v>
      </c>
      <c r="Z4926" s="19" t="str">
        <f>HYPERLINK("https://ssdweb.co/ssdweb/hd/Vision360.html?d=925890412&amp;zoomslide=1&amp;z=1925890412&amp;ISCONFIRM=0","VIDEO")</f>
        <v>VIDEO</v>
      </c>
      <c r="AA4926" s="19" t="str">
        <f>HYPERLINK("https://ssdweb.co/ssdweb/CERTH/627431832.pdf","CERTI")</f>
        <v>CERTI</v>
      </c>
    </row>
    <row r="4927" spans="1:27" ht="15" x14ac:dyDescent="0.25">
      <c r="A4927" s="2">
        <v>4922</v>
      </c>
      <c r="B4927" s="39">
        <v>926040891</v>
      </c>
      <c r="C4927" s="28" t="str">
        <f>HYPERLINK("https://pld.live/RapDetail.aspx?STONELIST=926040891","DNA")</f>
        <v>DNA</v>
      </c>
      <c r="D4927" s="18" t="s">
        <v>5313</v>
      </c>
      <c r="E4927" s="18" t="s">
        <v>5128</v>
      </c>
      <c r="F4927" s="2" t="s">
        <v>7987</v>
      </c>
      <c r="G4927" s="2" t="s">
        <v>7322</v>
      </c>
      <c r="H4927" s="14">
        <v>1.73</v>
      </c>
      <c r="I4927" s="2" t="s">
        <v>267</v>
      </c>
      <c r="J4927" s="2" t="s">
        <v>13</v>
      </c>
      <c r="K4927" s="2" t="s">
        <v>1452</v>
      </c>
      <c r="L4927" s="2" t="s">
        <v>5221</v>
      </c>
      <c r="M4927" s="2" t="s">
        <v>5221</v>
      </c>
      <c r="N4927" s="2" t="s">
        <v>2317</v>
      </c>
      <c r="O4927" s="14">
        <v>11600</v>
      </c>
      <c r="P4927" s="14">
        <v>99</v>
      </c>
      <c r="Q4927" s="14">
        <v>116</v>
      </c>
      <c r="R4927" s="14">
        <v>200.68</v>
      </c>
      <c r="S4927" s="2" t="s">
        <v>958</v>
      </c>
      <c r="T4927" s="2">
        <v>1.37</v>
      </c>
      <c r="U4927" s="2">
        <v>68.2</v>
      </c>
      <c r="V4927" s="2">
        <v>66</v>
      </c>
      <c r="W4927" s="2" t="s">
        <v>7862</v>
      </c>
      <c r="X4927" s="2" t="s">
        <v>2897</v>
      </c>
      <c r="Y4927" s="2">
        <v>20068</v>
      </c>
      <c r="Z4927" s="19" t="str">
        <f>HYPERLINK("https://ssdweb.co/ssdweb/hd/Vision360.html?d=926040891&amp;zoomslide=1&amp;z=1926040891&amp;ISCONFIRM=0","VIDEO")</f>
        <v>VIDEO</v>
      </c>
      <c r="AA4927" s="19" t="str">
        <f>HYPERLINK("https://ssdweb.co/ssdweb/CERTH/630447856.pdf","CERTI")</f>
        <v>CERTI</v>
      </c>
    </row>
    <row r="4928" spans="1:27" ht="15" x14ac:dyDescent="0.25">
      <c r="A4928" s="2">
        <v>4923</v>
      </c>
      <c r="B4928" s="39">
        <v>925920979</v>
      </c>
      <c r="C4928" s="28" t="str">
        <f>HYPERLINK("https://pld.live/RapDetail.aspx?STONELIST=925920979","DNA")</f>
        <v>DNA</v>
      </c>
      <c r="D4928" s="18" t="s">
        <v>5313</v>
      </c>
      <c r="E4928" s="18" t="s">
        <v>5128</v>
      </c>
      <c r="F4928" s="2" t="s">
        <v>7987</v>
      </c>
      <c r="G4928" s="2" t="s">
        <v>7322</v>
      </c>
      <c r="H4928" s="14">
        <v>1.72</v>
      </c>
      <c r="I4928" s="2" t="s">
        <v>267</v>
      </c>
      <c r="J4928" s="2" t="s">
        <v>13</v>
      </c>
      <c r="K4928" s="2" t="s">
        <v>1452</v>
      </c>
      <c r="L4928" s="2" t="s">
        <v>5221</v>
      </c>
      <c r="M4928" s="2" t="s">
        <v>5221</v>
      </c>
      <c r="N4928" s="2" t="s">
        <v>2317</v>
      </c>
      <c r="O4928" s="14">
        <v>11600</v>
      </c>
      <c r="P4928" s="14">
        <v>99</v>
      </c>
      <c r="Q4928" s="14">
        <v>116</v>
      </c>
      <c r="R4928" s="14">
        <v>199.52</v>
      </c>
      <c r="S4928" s="2" t="s">
        <v>4164</v>
      </c>
      <c r="T4928" s="2">
        <v>1.4</v>
      </c>
      <c r="U4928" s="2">
        <v>66.099999999999994</v>
      </c>
      <c r="V4928" s="2">
        <v>66</v>
      </c>
      <c r="W4928" s="2" t="s">
        <v>7862</v>
      </c>
      <c r="X4928" s="2" t="s">
        <v>2897</v>
      </c>
      <c r="Y4928" s="2">
        <v>19952</v>
      </c>
      <c r="Z4928" s="19" t="str">
        <f>HYPERLINK("https://ssdweb.co/ssdweb/hd/Vision360.html?d=925920979&amp;zoomslide=1&amp;z=1925920979&amp;ISCONFIRM=0","VIDEO")</f>
        <v>VIDEO</v>
      </c>
      <c r="AA4928" s="19" t="str">
        <f>HYPERLINK("https://ssdweb.co/ssdweb/CERTH/629453342.pdf","CERTI")</f>
        <v>CERTI</v>
      </c>
    </row>
    <row r="4929" spans="1:27" ht="15" x14ac:dyDescent="0.25">
      <c r="A4929" s="2">
        <v>4924</v>
      </c>
      <c r="B4929" s="39">
        <v>926200295</v>
      </c>
      <c r="C4929" s="28" t="str">
        <f>HYPERLINK("https://pld.live/RapDetail.aspx?STONELIST=926200295","DNA")</f>
        <v>DNA</v>
      </c>
      <c r="D4929" s="18" t="s">
        <v>5313</v>
      </c>
      <c r="E4929" s="18" t="s">
        <v>5128</v>
      </c>
      <c r="F4929" s="2" t="s">
        <v>7987</v>
      </c>
      <c r="G4929" s="2" t="s">
        <v>7322</v>
      </c>
      <c r="H4929" s="14">
        <v>1.72</v>
      </c>
      <c r="I4929" s="2" t="s">
        <v>267</v>
      </c>
      <c r="J4929" s="2" t="s">
        <v>13</v>
      </c>
      <c r="K4929" s="2" t="s">
        <v>1452</v>
      </c>
      <c r="L4929" s="2" t="s">
        <v>5221</v>
      </c>
      <c r="M4929" s="2" t="s">
        <v>5221</v>
      </c>
      <c r="N4929" s="2" t="s">
        <v>2317</v>
      </c>
      <c r="O4929" s="14">
        <v>11600</v>
      </c>
      <c r="P4929" s="14">
        <v>99</v>
      </c>
      <c r="Q4929" s="14">
        <v>116</v>
      </c>
      <c r="R4929" s="14">
        <v>199.52</v>
      </c>
      <c r="S4929" s="2" t="s">
        <v>5814</v>
      </c>
      <c r="T4929" s="2">
        <v>1.36</v>
      </c>
      <c r="U4929" s="2">
        <v>68</v>
      </c>
      <c r="V4929" s="2">
        <v>64</v>
      </c>
      <c r="W4929" s="2" t="s">
        <v>7862</v>
      </c>
      <c r="X4929" s="2" t="s">
        <v>2897</v>
      </c>
      <c r="Y4929" s="2">
        <v>19952</v>
      </c>
      <c r="Z4929" s="19" t="str">
        <f>HYPERLINK("https://ssdweb.co/ssdweb/hd/Vision360.html?d=926200295&amp;zoomslide=1&amp;z=1926200295&amp;ISCONFIRM=0","VIDEO")</f>
        <v>VIDEO</v>
      </c>
      <c r="AA4929" s="19" t="str">
        <f>HYPERLINK("https://ssdweb.co/ssdweb/CERTH/634472310.pdf","CERTI")</f>
        <v>CERTI</v>
      </c>
    </row>
    <row r="4930" spans="1:27" ht="15" x14ac:dyDescent="0.25">
      <c r="A4930" s="2">
        <v>4925</v>
      </c>
      <c r="B4930" s="39">
        <v>924720186</v>
      </c>
      <c r="C4930" s="28" t="str">
        <f>HYPERLINK("https://pld.live/RapDetail.aspx?STONELIST=924720186","DNA")</f>
        <v>DNA</v>
      </c>
      <c r="D4930" s="18" t="s">
        <v>5313</v>
      </c>
      <c r="E4930" s="18" t="s">
        <v>5128</v>
      </c>
      <c r="F4930" s="2" t="s">
        <v>7987</v>
      </c>
      <c r="G4930" s="2" t="s">
        <v>7322</v>
      </c>
      <c r="H4930" s="14">
        <v>1.72</v>
      </c>
      <c r="I4930" s="2" t="s">
        <v>267</v>
      </c>
      <c r="J4930" s="2" t="s">
        <v>444</v>
      </c>
      <c r="K4930" s="2" t="s">
        <v>1452</v>
      </c>
      <c r="L4930" s="2" t="s">
        <v>5221</v>
      </c>
      <c r="M4930" s="2" t="s">
        <v>5221</v>
      </c>
      <c r="N4930" s="2" t="s">
        <v>2317</v>
      </c>
      <c r="O4930" s="14">
        <v>8100</v>
      </c>
      <c r="P4930" s="14">
        <v>98.75</v>
      </c>
      <c r="Q4930" s="14">
        <v>101.25</v>
      </c>
      <c r="R4930" s="14">
        <v>174.15</v>
      </c>
      <c r="S4930" s="2" t="s">
        <v>1852</v>
      </c>
      <c r="T4930" s="2">
        <v>1.4</v>
      </c>
      <c r="U4930" s="2">
        <v>67.3</v>
      </c>
      <c r="V4930" s="2">
        <v>62</v>
      </c>
      <c r="W4930" s="2" t="s">
        <v>7862</v>
      </c>
      <c r="X4930" s="2" t="s">
        <v>2897</v>
      </c>
      <c r="Y4930" s="2">
        <v>13932</v>
      </c>
      <c r="Z4930" s="19" t="str">
        <f>HYPERLINK("https://ssdweb.co/ssdweb/hd/Vision360.html?d=924720186&amp;zoomslide=1&amp;z=1924720186&amp;ISCONFIRM=0","VIDEO")</f>
        <v>VIDEO</v>
      </c>
      <c r="AA4930" s="19" t="str">
        <f>HYPERLINK("https://ssdweb.co/ssdweb/CERTH/600385242.pdf","CERTI")</f>
        <v>CERTI</v>
      </c>
    </row>
    <row r="4931" spans="1:27" ht="15" x14ac:dyDescent="0.25">
      <c r="A4931" s="2">
        <v>4926</v>
      </c>
      <c r="B4931" s="39">
        <v>926200696</v>
      </c>
      <c r="C4931" s="28" t="str">
        <f>HYPERLINK("https://pld.live/RapDetail.aspx?STONELIST=926200696","DNA")</f>
        <v>DNA</v>
      </c>
      <c r="D4931" s="18" t="s">
        <v>5313</v>
      </c>
      <c r="E4931" s="18" t="s">
        <v>5128</v>
      </c>
      <c r="F4931" s="2" t="s">
        <v>7987</v>
      </c>
      <c r="G4931" s="2" t="s">
        <v>7322</v>
      </c>
      <c r="H4931" s="14">
        <v>1.71</v>
      </c>
      <c r="I4931" s="2" t="s">
        <v>267</v>
      </c>
      <c r="J4931" s="2" t="s">
        <v>6555</v>
      </c>
      <c r="K4931" s="2" t="s">
        <v>1452</v>
      </c>
      <c r="L4931" s="2" t="s">
        <v>5221</v>
      </c>
      <c r="M4931" s="2" t="s">
        <v>5221</v>
      </c>
      <c r="N4931" s="2" t="s">
        <v>2317</v>
      </c>
      <c r="O4931" s="14">
        <v>13200</v>
      </c>
      <c r="P4931" s="14">
        <v>98.82</v>
      </c>
      <c r="Q4931" s="14">
        <v>155.76</v>
      </c>
      <c r="R4931" s="14">
        <v>266.35000000000002</v>
      </c>
      <c r="S4931" s="2" t="s">
        <v>5356</v>
      </c>
      <c r="T4931" s="2">
        <v>1.37</v>
      </c>
      <c r="U4931" s="2">
        <v>64.2</v>
      </c>
      <c r="V4931" s="2">
        <v>67</v>
      </c>
      <c r="W4931" s="2" t="s">
        <v>7862</v>
      </c>
      <c r="X4931" s="2" t="s">
        <v>2897</v>
      </c>
      <c r="Y4931" s="2">
        <v>22572</v>
      </c>
      <c r="Z4931" s="19" t="str">
        <f>HYPERLINK("https://ssdweb.co/ssdweb/hd/Vision360.html?d=926200696&amp;zoomslide=1&amp;z=1926200696&amp;ISCONFIRM=0","VIDEO")</f>
        <v>VIDEO</v>
      </c>
      <c r="AA4931" s="19" t="str">
        <f>HYPERLINK("https://ssdweb.co/ssdweb/CERTH/634431480.pdf","CERTI")</f>
        <v>CERTI</v>
      </c>
    </row>
    <row r="4932" spans="1:27" ht="15" x14ac:dyDescent="0.25">
      <c r="A4932" s="2">
        <v>4927</v>
      </c>
      <c r="B4932" s="39">
        <v>926200798</v>
      </c>
      <c r="C4932" s="28" t="str">
        <f>HYPERLINK("https://pld.live/RapDetail.aspx?STONELIST=926200798","DNA")</f>
        <v>DNA</v>
      </c>
      <c r="D4932" s="18" t="s">
        <v>5313</v>
      </c>
      <c r="E4932" s="18" t="s">
        <v>5128</v>
      </c>
      <c r="F4932" s="2" t="s">
        <v>7987</v>
      </c>
      <c r="G4932" s="2" t="s">
        <v>7322</v>
      </c>
      <c r="H4932" s="14">
        <v>1.71</v>
      </c>
      <c r="I4932" s="2" t="s">
        <v>267</v>
      </c>
      <c r="J4932" s="2" t="s">
        <v>13</v>
      </c>
      <c r="K4932" s="2" t="s">
        <v>1452</v>
      </c>
      <c r="L4932" s="2" t="s">
        <v>5221</v>
      </c>
      <c r="M4932" s="2" t="s">
        <v>5221</v>
      </c>
      <c r="N4932" s="2" t="s">
        <v>2317</v>
      </c>
      <c r="O4932" s="14">
        <v>11600</v>
      </c>
      <c r="P4932" s="14">
        <v>99</v>
      </c>
      <c r="Q4932" s="14">
        <v>116</v>
      </c>
      <c r="R4932" s="14">
        <v>198.36</v>
      </c>
      <c r="S4932" s="2" t="s">
        <v>7662</v>
      </c>
      <c r="T4932" s="2">
        <v>1.37</v>
      </c>
      <c r="U4932" s="2">
        <v>68.2</v>
      </c>
      <c r="V4932" s="2">
        <v>65</v>
      </c>
      <c r="W4932" s="2" t="s">
        <v>7862</v>
      </c>
      <c r="X4932" s="2" t="s">
        <v>2897</v>
      </c>
      <c r="Y4932" s="2">
        <v>19836</v>
      </c>
      <c r="Z4932" s="19" t="str">
        <f>HYPERLINK("https://ssdweb.co/ssdweb/hd/Vision360.html?d=926200798&amp;zoomslide=1&amp;z=1926200798&amp;ISCONFIRM=0","VIDEO")</f>
        <v>VIDEO</v>
      </c>
      <c r="AA4932" s="19" t="str">
        <f>HYPERLINK("https://ssdweb.co/ssdweb/CERTH/635426988.pdf","CERTI")</f>
        <v>CERTI</v>
      </c>
    </row>
    <row r="4933" spans="1:27" ht="15" x14ac:dyDescent="0.25">
      <c r="A4933" s="2">
        <v>4928</v>
      </c>
      <c r="B4933" s="39">
        <v>925890099</v>
      </c>
      <c r="C4933" s="28" t="str">
        <f>HYPERLINK("https://pld.live/RapDetail.aspx?STONELIST=925890099","DNA")</f>
        <v>DNA</v>
      </c>
      <c r="D4933" s="18" t="s">
        <v>5313</v>
      </c>
      <c r="E4933" s="18" t="s">
        <v>5128</v>
      </c>
      <c r="F4933" s="2" t="s">
        <v>7987</v>
      </c>
      <c r="G4933" s="2" t="s">
        <v>7322</v>
      </c>
      <c r="H4933" s="14">
        <v>1.71</v>
      </c>
      <c r="I4933" s="2" t="s">
        <v>4761</v>
      </c>
      <c r="J4933" s="2" t="s">
        <v>13</v>
      </c>
      <c r="K4933" s="2" t="s">
        <v>1452</v>
      </c>
      <c r="L4933" s="2" t="s">
        <v>5221</v>
      </c>
      <c r="M4933" s="2" t="s">
        <v>5221</v>
      </c>
      <c r="N4933" s="2" t="s">
        <v>2317</v>
      </c>
      <c r="O4933" s="14">
        <v>10800</v>
      </c>
      <c r="P4933" s="14">
        <v>98.98</v>
      </c>
      <c r="Q4933" s="14">
        <v>110.16</v>
      </c>
      <c r="R4933" s="14">
        <v>188.37</v>
      </c>
      <c r="S4933" s="2" t="s">
        <v>3745</v>
      </c>
      <c r="T4933" s="2">
        <v>1.37</v>
      </c>
      <c r="U4933" s="2">
        <v>68.7</v>
      </c>
      <c r="V4933" s="2">
        <v>63</v>
      </c>
      <c r="W4933" s="2" t="s">
        <v>4336</v>
      </c>
      <c r="X4933" s="2" t="s">
        <v>2897</v>
      </c>
      <c r="Y4933" s="2">
        <v>18468</v>
      </c>
      <c r="Z4933" s="19" t="str">
        <f>HYPERLINK("https://ssdweb.co/ssdweb/hd/Vision360.html?d=925890099&amp;zoomslide=1&amp;z=1925890099&amp;ISCONFIRM=0","VIDEO")</f>
        <v>VIDEO</v>
      </c>
      <c r="AA4933" s="19" t="str">
        <f>HYPERLINK("https://ssdweb.co/ssdweb/CERTH/627471570.pdf","CERTI")</f>
        <v>CERTI</v>
      </c>
    </row>
    <row r="4934" spans="1:27" ht="15" x14ac:dyDescent="0.25">
      <c r="A4934" s="2">
        <v>4929</v>
      </c>
      <c r="B4934" s="39">
        <v>926200086</v>
      </c>
      <c r="C4934" s="28" t="str">
        <f>HYPERLINK("https://pld.live/RapDetail.aspx?STONELIST=926200086","DNA")</f>
        <v>DNA</v>
      </c>
      <c r="D4934" s="18" t="s">
        <v>5313</v>
      </c>
      <c r="E4934" s="18" t="s">
        <v>5128</v>
      </c>
      <c r="F4934" s="2" t="s">
        <v>7987</v>
      </c>
      <c r="G4934" s="2" t="s">
        <v>7322</v>
      </c>
      <c r="H4934" s="14">
        <v>1.7</v>
      </c>
      <c r="I4934" s="2" t="s">
        <v>4761</v>
      </c>
      <c r="J4934" s="2" t="s">
        <v>3942</v>
      </c>
      <c r="K4934" s="2" t="s">
        <v>1452</v>
      </c>
      <c r="L4934" s="2" t="s">
        <v>5221</v>
      </c>
      <c r="M4934" s="2" t="s">
        <v>5221</v>
      </c>
      <c r="N4934" s="2" t="s">
        <v>2317</v>
      </c>
      <c r="O4934" s="14">
        <v>11600</v>
      </c>
      <c r="P4934" s="14">
        <v>98.99</v>
      </c>
      <c r="Q4934" s="14">
        <v>117.16</v>
      </c>
      <c r="R4934" s="14">
        <v>199.17</v>
      </c>
      <c r="S4934" s="2" t="s">
        <v>3664</v>
      </c>
      <c r="T4934" s="2">
        <v>1.4</v>
      </c>
      <c r="U4934" s="2">
        <v>66.8</v>
      </c>
      <c r="V4934" s="2">
        <v>64</v>
      </c>
      <c r="W4934" s="2" t="s">
        <v>7862</v>
      </c>
      <c r="X4934" s="2" t="s">
        <v>2897</v>
      </c>
      <c r="Y4934" s="2">
        <v>19720</v>
      </c>
      <c r="Z4934" s="19" t="str">
        <f>HYPERLINK("https://ssdweb.co/ssdweb/hd/Vision360.html?d=926200086&amp;zoomslide=1&amp;z=1926200086&amp;ISCONFIRM=0","VIDEO")</f>
        <v>VIDEO</v>
      </c>
      <c r="AA4934" s="19" t="str">
        <f>HYPERLINK("https://ssdweb.co/ssdweb/CERTH/634472388.pdf","CERTI")</f>
        <v>CERTI</v>
      </c>
    </row>
    <row r="4935" spans="1:27" ht="15" x14ac:dyDescent="0.25">
      <c r="A4935" s="2">
        <v>4930</v>
      </c>
      <c r="B4935" s="39">
        <v>924690210</v>
      </c>
      <c r="C4935" s="28" t="str">
        <f>HYPERLINK("https://pld.live/RapDetail.aspx?STONELIST=924690210","DNA")</f>
        <v>DNA</v>
      </c>
      <c r="D4935" s="18" t="s">
        <v>5313</v>
      </c>
      <c r="E4935" s="18" t="s">
        <v>5128</v>
      </c>
      <c r="F4935" s="2" t="s">
        <v>7987</v>
      </c>
      <c r="G4935" s="2" t="s">
        <v>7322</v>
      </c>
      <c r="H4935" s="14">
        <v>1.7</v>
      </c>
      <c r="I4935" s="2" t="s">
        <v>4699</v>
      </c>
      <c r="J4935" s="2" t="s">
        <v>3942</v>
      </c>
      <c r="K4935" s="2" t="s">
        <v>1452</v>
      </c>
      <c r="L4935" s="2" t="s">
        <v>5221</v>
      </c>
      <c r="M4935" s="2" t="s">
        <v>5221</v>
      </c>
      <c r="N4935" s="2" t="s">
        <v>2317</v>
      </c>
      <c r="O4935" s="14">
        <v>10800</v>
      </c>
      <c r="P4935" s="14">
        <v>98.98</v>
      </c>
      <c r="Q4935" s="14">
        <v>110.16</v>
      </c>
      <c r="R4935" s="14">
        <v>187.27</v>
      </c>
      <c r="S4935" s="2" t="s">
        <v>7875</v>
      </c>
      <c r="T4935" s="2">
        <v>1.4</v>
      </c>
      <c r="U4935" s="2">
        <v>67.5</v>
      </c>
      <c r="V4935" s="2">
        <v>66</v>
      </c>
      <c r="W4935" s="2" t="s">
        <v>4336</v>
      </c>
      <c r="X4935" s="2" t="s">
        <v>2897</v>
      </c>
      <c r="Y4935" s="2">
        <v>18360</v>
      </c>
      <c r="Z4935" s="19" t="str">
        <f>HYPERLINK("https://ssdweb.co/ssdweb/hd/Vision360.html?d=924690210&amp;zoomslide=1&amp;z=1924690210&amp;ISCONFIRM=0","VIDEO")</f>
        <v>VIDEO</v>
      </c>
      <c r="AA4935" s="19" t="str">
        <f>HYPERLINK("https://ssdweb.co/ssdweb/CERTH/600385188.pdf","CERTI")</f>
        <v>CERTI</v>
      </c>
    </row>
    <row r="4936" spans="1:27" ht="15" x14ac:dyDescent="0.25">
      <c r="A4936" s="2">
        <v>4931</v>
      </c>
      <c r="B4936" s="39">
        <v>926200299</v>
      </c>
      <c r="C4936" s="28" t="str">
        <f>HYPERLINK("https://pld.live/RapDetail.aspx?STONELIST=926200299","DNA")</f>
        <v>DNA</v>
      </c>
      <c r="D4936" s="18" t="s">
        <v>711</v>
      </c>
      <c r="E4936" s="18" t="s">
        <v>5128</v>
      </c>
      <c r="F4936" s="2" t="s">
        <v>7987</v>
      </c>
      <c r="G4936" s="2" t="s">
        <v>7322</v>
      </c>
      <c r="H4936" s="14">
        <v>1.68</v>
      </c>
      <c r="I4936" s="2" t="s">
        <v>267</v>
      </c>
      <c r="J4936" s="2" t="s">
        <v>6555</v>
      </c>
      <c r="K4936" s="2" t="s">
        <v>1452</v>
      </c>
      <c r="L4936" s="2" t="s">
        <v>5221</v>
      </c>
      <c r="M4936" s="2" t="s">
        <v>5221</v>
      </c>
      <c r="N4936" s="2" t="s">
        <v>2317</v>
      </c>
      <c r="O4936" s="14">
        <v>13200</v>
      </c>
      <c r="P4936" s="14">
        <v>99.14</v>
      </c>
      <c r="Q4936" s="14">
        <v>113.52</v>
      </c>
      <c r="R4936" s="14">
        <v>190.71</v>
      </c>
      <c r="S4936" s="2" t="s">
        <v>7499</v>
      </c>
      <c r="T4936" s="2">
        <v>1.45</v>
      </c>
      <c r="U4936" s="2">
        <v>63.1</v>
      </c>
      <c r="V4936" s="2">
        <v>69</v>
      </c>
      <c r="W4936" s="2" t="s">
        <v>7862</v>
      </c>
      <c r="X4936" s="2" t="s">
        <v>2897</v>
      </c>
      <c r="Y4936" s="2">
        <v>22176</v>
      </c>
      <c r="Z4936" s="19" t="str">
        <f>HYPERLINK("https://ssdweb.co/ssdweb/hd/Vision360.html?d=926200299&amp;zoomslide=1&amp;z=1926200299&amp;ISCONFIRM=0","VIDEO")</f>
        <v>VIDEO</v>
      </c>
      <c r="AA4936" s="19" t="str">
        <f>HYPERLINK("https://ssdweb.co/ssdweb/CERTH/634472375.pdf","CERTI")</f>
        <v>CERTI</v>
      </c>
    </row>
    <row r="4937" spans="1:27" ht="15" x14ac:dyDescent="0.25">
      <c r="A4937" s="2">
        <v>4932</v>
      </c>
      <c r="B4937" s="39">
        <v>926200899</v>
      </c>
      <c r="C4937" s="28" t="str">
        <f>HYPERLINK("https://pld.live/RapDetail.aspx?STONELIST=926200899","DNA")</f>
        <v>DNA</v>
      </c>
      <c r="D4937" s="18" t="s">
        <v>711</v>
      </c>
      <c r="E4937" s="18" t="s">
        <v>5128</v>
      </c>
      <c r="F4937" s="2" t="s">
        <v>7987</v>
      </c>
      <c r="G4937" s="2" t="s">
        <v>7322</v>
      </c>
      <c r="H4937" s="14">
        <v>1.68</v>
      </c>
      <c r="I4937" s="2" t="s">
        <v>6587</v>
      </c>
      <c r="J4937" s="2" t="s">
        <v>3942</v>
      </c>
      <c r="K4937" s="2" t="s">
        <v>1452</v>
      </c>
      <c r="L4937" s="2" t="s">
        <v>5221</v>
      </c>
      <c r="M4937" s="2" t="s">
        <v>5221</v>
      </c>
      <c r="N4937" s="2" t="s">
        <v>2317</v>
      </c>
      <c r="O4937" s="14">
        <v>10000</v>
      </c>
      <c r="P4937" s="14">
        <v>98.95</v>
      </c>
      <c r="Q4937" s="14">
        <v>105</v>
      </c>
      <c r="R4937" s="14">
        <v>176.4</v>
      </c>
      <c r="S4937" s="2" t="s">
        <v>252</v>
      </c>
      <c r="T4937" s="2">
        <v>1.36</v>
      </c>
      <c r="U4937" s="2">
        <v>67.7</v>
      </c>
      <c r="V4937" s="2">
        <v>62</v>
      </c>
      <c r="W4937" s="2" t="s">
        <v>4336</v>
      </c>
      <c r="X4937" s="2" t="s">
        <v>2897</v>
      </c>
      <c r="Y4937" s="2">
        <v>16800</v>
      </c>
      <c r="Z4937" s="19" t="str">
        <f>HYPERLINK("https://ssdweb.co/ssdweb/hd/Vision360.html?d=926200899&amp;zoomslide=1&amp;z=1926200899&amp;ISCONFIRM=0","VIDEO")</f>
        <v>VIDEO</v>
      </c>
      <c r="AA4937" s="19" t="str">
        <f>HYPERLINK("https://ssdweb.co/ssdweb/CERTH/635424004.pdf","CERTI")</f>
        <v>CERTI</v>
      </c>
    </row>
    <row r="4938" spans="1:27" ht="15" x14ac:dyDescent="0.25">
      <c r="A4938" s="2">
        <v>4933</v>
      </c>
      <c r="B4938" s="39">
        <v>925862001</v>
      </c>
      <c r="C4938" s="28" t="str">
        <f>HYPERLINK("https://pld.live/RapDetail.aspx?STONELIST=925862001","DNA")</f>
        <v>DNA</v>
      </c>
      <c r="D4938" s="18" t="s">
        <v>711</v>
      </c>
      <c r="E4938" s="18" t="s">
        <v>5128</v>
      </c>
      <c r="F4938" s="2" t="s">
        <v>7987</v>
      </c>
      <c r="G4938" s="2" t="s">
        <v>7322</v>
      </c>
      <c r="H4938" s="14">
        <v>1.66</v>
      </c>
      <c r="I4938" s="2" t="s">
        <v>267</v>
      </c>
      <c r="J4938" s="2" t="s">
        <v>6555</v>
      </c>
      <c r="K4938" s="2" t="s">
        <v>1452</v>
      </c>
      <c r="L4938" s="2" t="s">
        <v>5221</v>
      </c>
      <c r="M4938" s="2" t="s">
        <v>5221</v>
      </c>
      <c r="N4938" s="2" t="s">
        <v>2317</v>
      </c>
      <c r="O4938" s="14">
        <v>13200</v>
      </c>
      <c r="P4938" s="14">
        <v>98.88</v>
      </c>
      <c r="Q4938" s="14">
        <v>147.84</v>
      </c>
      <c r="R4938" s="14">
        <v>245.41</v>
      </c>
      <c r="S4938" s="2" t="s">
        <v>4266</v>
      </c>
      <c r="T4938" s="2">
        <v>1.36</v>
      </c>
      <c r="U4938" s="2">
        <v>68.5</v>
      </c>
      <c r="V4938" s="2">
        <v>64</v>
      </c>
      <c r="W4938" s="2" t="s">
        <v>7862</v>
      </c>
      <c r="X4938" s="2" t="s">
        <v>2897</v>
      </c>
      <c r="Y4938" s="2">
        <v>21912</v>
      </c>
      <c r="Z4938" s="19" t="str">
        <f>HYPERLINK("https://ssdweb.co/ssdweb/hd/Vision360.html?d=925862001&amp;zoomslide=1&amp;z=1925862001&amp;ISCONFIRM=0","VIDEO")</f>
        <v>VIDEO</v>
      </c>
      <c r="AA4938" s="19" t="str">
        <f>HYPERLINK("https://ssdweb.co/ssdweb/CERTH/628426965.pdf","CERTI")</f>
        <v>CERTI</v>
      </c>
    </row>
    <row r="4939" spans="1:27" ht="15" x14ac:dyDescent="0.25">
      <c r="A4939" s="2">
        <v>4934</v>
      </c>
      <c r="B4939" s="39">
        <v>925290433</v>
      </c>
      <c r="C4939" s="28" t="str">
        <f>HYPERLINK("https://pld.live/RapDetail.aspx?STONELIST=925290433","DNA")</f>
        <v>DNA</v>
      </c>
      <c r="D4939" s="18" t="s">
        <v>711</v>
      </c>
      <c r="E4939" s="18" t="s">
        <v>5128</v>
      </c>
      <c r="F4939" s="2" t="s">
        <v>7987</v>
      </c>
      <c r="G4939" s="2" t="s">
        <v>7322</v>
      </c>
      <c r="H4939" s="14">
        <v>1.66</v>
      </c>
      <c r="I4939" s="2" t="s">
        <v>4761</v>
      </c>
      <c r="J4939" s="2" t="s">
        <v>13</v>
      </c>
      <c r="K4939" s="2" t="s">
        <v>1452</v>
      </c>
      <c r="L4939" s="2" t="s">
        <v>5221</v>
      </c>
      <c r="M4939" s="2" t="s">
        <v>5221</v>
      </c>
      <c r="N4939" s="2" t="s">
        <v>2317</v>
      </c>
      <c r="O4939" s="14">
        <v>10800</v>
      </c>
      <c r="P4939" s="14">
        <v>99.01</v>
      </c>
      <c r="Q4939" s="14">
        <v>106.92</v>
      </c>
      <c r="R4939" s="14">
        <v>177.49</v>
      </c>
      <c r="S4939" s="2" t="s">
        <v>6053</v>
      </c>
      <c r="T4939" s="2">
        <v>1.4</v>
      </c>
      <c r="U4939" s="2">
        <v>67.3</v>
      </c>
      <c r="V4939" s="2">
        <v>66</v>
      </c>
      <c r="W4939" s="2" t="s">
        <v>7862</v>
      </c>
      <c r="X4939" s="2" t="s">
        <v>2897</v>
      </c>
      <c r="Y4939" s="2">
        <v>17928</v>
      </c>
      <c r="Z4939" s="19" t="str">
        <f>HYPERLINK("https://ssdweb.co/ssdweb/hd/Vision360.html?d=925290433&amp;zoomslide=1&amp;z=1925290433&amp;ISCONFIRM=0","VIDEO")</f>
        <v>VIDEO</v>
      </c>
      <c r="AA4939" s="19" t="str">
        <f>HYPERLINK("https://ssdweb.co/ssdweb/CERTH/616403478.pdf","CERTI")</f>
        <v>CERTI</v>
      </c>
    </row>
    <row r="4940" spans="1:27" ht="15" x14ac:dyDescent="0.25">
      <c r="A4940" s="2">
        <v>4935</v>
      </c>
      <c r="B4940" s="39">
        <v>925920785</v>
      </c>
      <c r="C4940" s="28" t="str">
        <f>HYPERLINK("https://pld.live/RapDetail.aspx?STONELIST=925920785","DNA")</f>
        <v>DNA</v>
      </c>
      <c r="D4940" s="18" t="s">
        <v>711</v>
      </c>
      <c r="E4940" s="18" t="s">
        <v>5128</v>
      </c>
      <c r="F4940" s="2" t="s">
        <v>7987</v>
      </c>
      <c r="G4940" s="2" t="s">
        <v>7322</v>
      </c>
      <c r="H4940" s="14">
        <v>1.65</v>
      </c>
      <c r="I4940" s="2" t="s">
        <v>4761</v>
      </c>
      <c r="J4940" s="2" t="s">
        <v>3942</v>
      </c>
      <c r="K4940" s="2" t="s">
        <v>1452</v>
      </c>
      <c r="L4940" s="2" t="s">
        <v>5221</v>
      </c>
      <c r="M4940" s="2" t="s">
        <v>5221</v>
      </c>
      <c r="N4940" s="2" t="s">
        <v>2317</v>
      </c>
      <c r="O4940" s="14">
        <v>11600</v>
      </c>
      <c r="P4940" s="14">
        <v>99.04</v>
      </c>
      <c r="Q4940" s="14">
        <v>111.36</v>
      </c>
      <c r="R4940" s="14">
        <v>183.74</v>
      </c>
      <c r="S4940" s="2" t="s">
        <v>7940</v>
      </c>
      <c r="T4940" s="2">
        <v>1.4</v>
      </c>
      <c r="U4940" s="2">
        <v>65.2</v>
      </c>
      <c r="V4940" s="2">
        <v>64</v>
      </c>
      <c r="W4940" s="2" t="s">
        <v>4336</v>
      </c>
      <c r="X4940" s="2" t="s">
        <v>2897</v>
      </c>
      <c r="Y4940" s="2">
        <v>19140</v>
      </c>
      <c r="Z4940" s="19" t="str">
        <f>HYPERLINK("https://ssdweb.co/ssdweb/hd/Vision360.html?d=925920785&amp;zoomslide=1&amp;z=1925920785&amp;ISCONFIRM=0","VIDEO")</f>
        <v>VIDEO</v>
      </c>
      <c r="AA4940" s="19" t="str">
        <f>HYPERLINK("https://ssdweb.co/ssdweb/CERTH/628463252.pdf","CERTI")</f>
        <v>CERTI</v>
      </c>
    </row>
    <row r="4941" spans="1:27" ht="15" x14ac:dyDescent="0.25">
      <c r="A4941" s="2">
        <v>4936</v>
      </c>
      <c r="B4941" s="39">
        <v>925551869</v>
      </c>
      <c r="C4941" s="28" t="str">
        <f>HYPERLINK("https://pld.live/RapDetail.aspx?STONELIST=925551869","DNA")</f>
        <v>DNA</v>
      </c>
      <c r="D4941" s="18" t="s">
        <v>711</v>
      </c>
      <c r="E4941" s="18" t="s">
        <v>5128</v>
      </c>
      <c r="F4941" s="2" t="s">
        <v>7987</v>
      </c>
      <c r="G4941" s="2" t="s">
        <v>7322</v>
      </c>
      <c r="H4941" s="14">
        <v>1.63</v>
      </c>
      <c r="I4941" s="2" t="s">
        <v>267</v>
      </c>
      <c r="J4941" s="2" t="s">
        <v>6555</v>
      </c>
      <c r="K4941" s="2" t="s">
        <v>1452</v>
      </c>
      <c r="L4941" s="2" t="s">
        <v>5221</v>
      </c>
      <c r="M4941" s="2" t="s">
        <v>5221</v>
      </c>
      <c r="N4941" s="2" t="s">
        <v>2317</v>
      </c>
      <c r="O4941" s="14">
        <v>13200</v>
      </c>
      <c r="P4941" s="14">
        <v>98.89</v>
      </c>
      <c r="Q4941" s="14">
        <v>146.52000000000001</v>
      </c>
      <c r="R4941" s="14">
        <v>238.83</v>
      </c>
      <c r="S4941" s="2" t="s">
        <v>995</v>
      </c>
      <c r="T4941" s="2">
        <v>1.37</v>
      </c>
      <c r="U4941" s="2">
        <v>68.3</v>
      </c>
      <c r="V4941" s="2">
        <v>67</v>
      </c>
      <c r="W4941" s="2" t="s">
        <v>7862</v>
      </c>
      <c r="X4941" s="2" t="s">
        <v>2897</v>
      </c>
      <c r="Y4941" s="2">
        <v>21516</v>
      </c>
      <c r="Z4941" s="19" t="str">
        <f>HYPERLINK("https://ssdweb.co/ssdweb/hd/Vision360.html?d=925551869&amp;zoomslide=1&amp;z=1925551869&amp;ISCONFIRM=0","VIDEO")</f>
        <v>VIDEO</v>
      </c>
      <c r="AA4941" s="19" t="str">
        <f>HYPERLINK("https://ssdweb.co/ssdweb/CERTH/620403192.pdf","CERTI")</f>
        <v>CERTI</v>
      </c>
    </row>
    <row r="4942" spans="1:27" ht="15" x14ac:dyDescent="0.25">
      <c r="A4942" s="2">
        <v>4937</v>
      </c>
      <c r="B4942" s="39">
        <v>926040461</v>
      </c>
      <c r="C4942" s="28" t="str">
        <f>HYPERLINK("https://pld.live/RapDetail.aspx?STONELIST=926040461","DNA")</f>
        <v>DNA</v>
      </c>
      <c r="D4942" s="18" t="s">
        <v>711</v>
      </c>
      <c r="E4942" s="18" t="s">
        <v>5128</v>
      </c>
      <c r="F4942" s="2" t="s">
        <v>7987</v>
      </c>
      <c r="G4942" s="2" t="s">
        <v>7322</v>
      </c>
      <c r="H4942" s="14">
        <v>1.62</v>
      </c>
      <c r="I4942" s="2" t="s">
        <v>267</v>
      </c>
      <c r="J4942" s="2" t="s">
        <v>3942</v>
      </c>
      <c r="K4942" s="2" t="s">
        <v>1452</v>
      </c>
      <c r="L4942" s="2" t="s">
        <v>5221</v>
      </c>
      <c r="M4942" s="2" t="s">
        <v>5221</v>
      </c>
      <c r="N4942" s="2" t="s">
        <v>2317</v>
      </c>
      <c r="O4942" s="14">
        <v>12500</v>
      </c>
      <c r="P4942" s="14">
        <v>99.05</v>
      </c>
      <c r="Q4942" s="14">
        <v>118.75</v>
      </c>
      <c r="R4942" s="14">
        <v>192.38</v>
      </c>
      <c r="S4942" s="2" t="s">
        <v>576</v>
      </c>
      <c r="T4942" s="2">
        <v>1.46</v>
      </c>
      <c r="U4942" s="2">
        <v>65.400000000000006</v>
      </c>
      <c r="V4942" s="2">
        <v>62</v>
      </c>
      <c r="W4942" s="2" t="s">
        <v>7862</v>
      </c>
      <c r="X4942" s="2" t="s">
        <v>2897</v>
      </c>
      <c r="Y4942" s="2">
        <v>20250</v>
      </c>
      <c r="Z4942" s="19" t="str">
        <f>HYPERLINK("https://ssdweb.co/ssdweb/hd/Vision360.html?d=926040461&amp;zoomslide=1&amp;z=1926040461&amp;ISCONFIRM=0","VIDEO")</f>
        <v>VIDEO</v>
      </c>
      <c r="AA4942" s="19" t="str">
        <f>HYPERLINK("https://ssdweb.co/ssdweb/CERTH/629481845.pdf","CERTI")</f>
        <v>CERTI</v>
      </c>
    </row>
    <row r="4943" spans="1:27" ht="15" x14ac:dyDescent="0.25">
      <c r="A4943" s="2">
        <v>4938</v>
      </c>
      <c r="B4943" s="39">
        <v>925970910</v>
      </c>
      <c r="C4943" s="28" t="str">
        <f>HYPERLINK("https://pld.live/RapDetail.aspx?STONELIST=925970910","DNA")</f>
        <v>DNA</v>
      </c>
      <c r="D4943" s="18" t="s">
        <v>711</v>
      </c>
      <c r="E4943" s="18" t="s">
        <v>5128</v>
      </c>
      <c r="F4943" s="2" t="s">
        <v>7987</v>
      </c>
      <c r="G4943" s="2" t="s">
        <v>7322</v>
      </c>
      <c r="H4943" s="14">
        <v>1.62</v>
      </c>
      <c r="I4943" s="2" t="s">
        <v>267</v>
      </c>
      <c r="J4943" s="2" t="s">
        <v>3942</v>
      </c>
      <c r="K4943" s="2" t="s">
        <v>1452</v>
      </c>
      <c r="L4943" s="2" t="s">
        <v>5221</v>
      </c>
      <c r="M4943" s="2" t="s">
        <v>5221</v>
      </c>
      <c r="N4943" s="2" t="s">
        <v>2317</v>
      </c>
      <c r="O4943" s="14">
        <v>12500</v>
      </c>
      <c r="P4943" s="14">
        <v>99.06</v>
      </c>
      <c r="Q4943" s="14">
        <v>117.5</v>
      </c>
      <c r="R4943" s="14">
        <v>190.35</v>
      </c>
      <c r="S4943" s="2" t="s">
        <v>4839</v>
      </c>
      <c r="T4943" s="2">
        <v>1.42</v>
      </c>
      <c r="U4943" s="2">
        <v>66.099999999999994</v>
      </c>
      <c r="V4943" s="2">
        <v>65</v>
      </c>
      <c r="W4943" s="2" t="s">
        <v>7862</v>
      </c>
      <c r="X4943" s="2" t="s">
        <v>2897</v>
      </c>
      <c r="Y4943" s="2">
        <v>20250</v>
      </c>
      <c r="Z4943" s="19" t="str">
        <f>HYPERLINK("https://ssdweb.co/ssdweb/hd/Vision360.html?d=925970910&amp;zoomslide=1&amp;z=1925970910&amp;ISCONFIRM=0","VIDEO")</f>
        <v>VIDEO</v>
      </c>
      <c r="AA4943" s="19" t="str">
        <f>HYPERLINK("https://ssdweb.co/ssdweb/CERTH/628463147.pdf","CERTI")</f>
        <v>CERTI</v>
      </c>
    </row>
    <row r="4944" spans="1:27" ht="15" x14ac:dyDescent="0.25">
      <c r="A4944" s="2">
        <v>4939</v>
      </c>
      <c r="B4944" s="39">
        <v>926171447</v>
      </c>
      <c r="C4944" s="28" t="str">
        <f>HYPERLINK("https://pld.live/RapDetail.aspx?STONELIST=926171447","DNA")</f>
        <v>DNA</v>
      </c>
      <c r="D4944" s="18" t="s">
        <v>711</v>
      </c>
      <c r="E4944" s="18" t="s">
        <v>5128</v>
      </c>
      <c r="F4944" s="2" t="s">
        <v>7987</v>
      </c>
      <c r="G4944" s="2" t="s">
        <v>7322</v>
      </c>
      <c r="H4944" s="14">
        <v>1.62</v>
      </c>
      <c r="I4944" s="2" t="s">
        <v>267</v>
      </c>
      <c r="J4944" s="2" t="s">
        <v>13</v>
      </c>
      <c r="K4944" s="2" t="s">
        <v>1452</v>
      </c>
      <c r="L4944" s="2" t="s">
        <v>5221</v>
      </c>
      <c r="M4944" s="2" t="s">
        <v>5221</v>
      </c>
      <c r="N4944" s="2" t="s">
        <v>2317</v>
      </c>
      <c r="O4944" s="14">
        <v>11600</v>
      </c>
      <c r="P4944" s="14">
        <v>99.03</v>
      </c>
      <c r="Q4944" s="14">
        <v>112.52</v>
      </c>
      <c r="R4944" s="14">
        <v>182.28</v>
      </c>
      <c r="S4944" s="2" t="s">
        <v>306</v>
      </c>
      <c r="T4944" s="2">
        <v>1.36</v>
      </c>
      <c r="U4944" s="2">
        <v>67.8</v>
      </c>
      <c r="V4944" s="2">
        <v>62</v>
      </c>
      <c r="W4944" s="2" t="s">
        <v>7862</v>
      </c>
      <c r="X4944" s="2" t="s">
        <v>2897</v>
      </c>
      <c r="Y4944" s="2">
        <v>18792</v>
      </c>
      <c r="Z4944" s="19" t="str">
        <f>HYPERLINK("https://ssdweb.co/ssdweb/hd/Vision360.html?d=926171447&amp;zoomslide=1&amp;z=1926171447&amp;ISCONFIRM=0","VIDEO")</f>
        <v>VIDEO</v>
      </c>
      <c r="AA4944" s="19" t="str">
        <f>HYPERLINK("https://ssdweb.co/ssdweb/CERTH/634431390.pdf","CERTI")</f>
        <v>CERTI</v>
      </c>
    </row>
    <row r="4945" spans="1:27" ht="15" x14ac:dyDescent="0.25">
      <c r="A4945" s="2">
        <v>4940</v>
      </c>
      <c r="B4945" s="39">
        <v>925862058</v>
      </c>
      <c r="C4945" s="28" t="str">
        <f>HYPERLINK("https://pld.live/RapDetail.aspx?STONELIST=925862058","DNA")</f>
        <v>DNA</v>
      </c>
      <c r="D4945" s="18" t="s">
        <v>711</v>
      </c>
      <c r="E4945" s="18" t="s">
        <v>5128</v>
      </c>
      <c r="F4945" s="2" t="s">
        <v>7987</v>
      </c>
      <c r="G4945" s="2" t="s">
        <v>7322</v>
      </c>
      <c r="H4945" s="14">
        <v>1.61</v>
      </c>
      <c r="I4945" s="2" t="s">
        <v>267</v>
      </c>
      <c r="J4945" s="2" t="s">
        <v>6555</v>
      </c>
      <c r="K4945" s="2" t="s">
        <v>1452</v>
      </c>
      <c r="L4945" s="2" t="s">
        <v>5221</v>
      </c>
      <c r="M4945" s="2" t="s">
        <v>5221</v>
      </c>
      <c r="N4945" s="2" t="s">
        <v>2317</v>
      </c>
      <c r="O4945" s="14">
        <v>13200</v>
      </c>
      <c r="P4945" s="14">
        <v>98.88</v>
      </c>
      <c r="Q4945" s="14">
        <v>147.84</v>
      </c>
      <c r="R4945" s="14">
        <v>238.02</v>
      </c>
      <c r="S4945" s="2" t="s">
        <v>5684</v>
      </c>
      <c r="T4945" s="2">
        <v>1.43</v>
      </c>
      <c r="U4945" s="2">
        <v>64.7</v>
      </c>
      <c r="V4945" s="2">
        <v>65</v>
      </c>
      <c r="W4945" s="2" t="s">
        <v>7862</v>
      </c>
      <c r="X4945" s="2" t="s">
        <v>2897</v>
      </c>
      <c r="Y4945" s="2">
        <v>21252</v>
      </c>
      <c r="Z4945" s="19" t="str">
        <f>HYPERLINK("https://ssdweb.co/ssdweb/hd/Vision360.html?d=925862058&amp;zoomslide=1&amp;z=1925862058&amp;ISCONFIRM=0","VIDEO")</f>
        <v>VIDEO</v>
      </c>
      <c r="AA4945" s="19" t="str">
        <f>HYPERLINK("https://ssdweb.co/ssdweb/CERTH/629453445.pdf","CERTI")</f>
        <v>CERTI</v>
      </c>
    </row>
    <row r="4946" spans="1:27" ht="15" x14ac:dyDescent="0.25">
      <c r="A4946" s="2">
        <v>4941</v>
      </c>
      <c r="B4946" s="39">
        <v>925862010</v>
      </c>
      <c r="C4946" s="28" t="str">
        <f>HYPERLINK("https://pld.live/RapDetail.aspx?STONELIST=925862010","DNA")</f>
        <v>DNA</v>
      </c>
      <c r="D4946" s="18" t="s">
        <v>711</v>
      </c>
      <c r="E4946" s="18" t="s">
        <v>5128</v>
      </c>
      <c r="F4946" s="2" t="s">
        <v>7987</v>
      </c>
      <c r="G4946" s="2" t="s">
        <v>7322</v>
      </c>
      <c r="H4946" s="14">
        <v>1.61</v>
      </c>
      <c r="I4946" s="2" t="s">
        <v>267</v>
      </c>
      <c r="J4946" s="2" t="s">
        <v>13</v>
      </c>
      <c r="K4946" s="2" t="s">
        <v>1452</v>
      </c>
      <c r="L4946" s="2" t="s">
        <v>5221</v>
      </c>
      <c r="M4946" s="2" t="s">
        <v>5221</v>
      </c>
      <c r="N4946" s="2" t="s">
        <v>2317</v>
      </c>
      <c r="O4946" s="14">
        <v>11600</v>
      </c>
      <c r="P4946" s="14">
        <v>99.04</v>
      </c>
      <c r="Q4946" s="14">
        <v>111.36</v>
      </c>
      <c r="R4946" s="14">
        <v>179.29</v>
      </c>
      <c r="S4946" s="2" t="s">
        <v>546</v>
      </c>
      <c r="T4946" s="2">
        <v>1.37</v>
      </c>
      <c r="U4946" s="2">
        <v>67.5</v>
      </c>
      <c r="V4946" s="2">
        <v>67</v>
      </c>
      <c r="W4946" s="2" t="s">
        <v>7862</v>
      </c>
      <c r="X4946" s="2" t="s">
        <v>2897</v>
      </c>
      <c r="Y4946" s="2">
        <v>18676</v>
      </c>
      <c r="Z4946" s="19" t="str">
        <f>HYPERLINK("https://ssdweb.co/ssdweb/hd/Vision360.html?d=925862010&amp;zoomslide=1&amp;z=1925862010&amp;ISCONFIRM=0","VIDEO")</f>
        <v>VIDEO</v>
      </c>
      <c r="AA4946" s="19" t="str">
        <f>HYPERLINK("https://ssdweb.co/ssdweb/CERTH/628463127.pdf","CERTI")</f>
        <v>CERTI</v>
      </c>
    </row>
    <row r="4947" spans="1:27" ht="15" x14ac:dyDescent="0.25">
      <c r="A4947" s="2">
        <v>4942</v>
      </c>
      <c r="B4947" s="39">
        <v>926170674</v>
      </c>
      <c r="C4947" s="28" t="str">
        <f>HYPERLINK("https://pld.live/RapDetail.aspx?STONELIST=926170674","DNA")</f>
        <v>DNA</v>
      </c>
      <c r="D4947" s="18" t="s">
        <v>711</v>
      </c>
      <c r="E4947" s="18" t="s">
        <v>5128</v>
      </c>
      <c r="F4947" s="2" t="s">
        <v>7987</v>
      </c>
      <c r="G4947" s="2" t="s">
        <v>7322</v>
      </c>
      <c r="H4947" s="14">
        <v>1.61</v>
      </c>
      <c r="I4947" s="2" t="s">
        <v>267</v>
      </c>
      <c r="J4947" s="2" t="s">
        <v>13</v>
      </c>
      <c r="K4947" s="2" t="s">
        <v>1452</v>
      </c>
      <c r="L4947" s="2" t="s">
        <v>5221</v>
      </c>
      <c r="M4947" s="2" t="s">
        <v>5221</v>
      </c>
      <c r="N4947" s="2" t="s">
        <v>2317</v>
      </c>
      <c r="O4947" s="14">
        <v>11600</v>
      </c>
      <c r="P4947" s="14">
        <v>99.03</v>
      </c>
      <c r="Q4947" s="14">
        <v>112.52</v>
      </c>
      <c r="R4947" s="14">
        <v>181.16</v>
      </c>
      <c r="S4947" s="2" t="s">
        <v>7679</v>
      </c>
      <c r="T4947" s="2">
        <v>1.36</v>
      </c>
      <c r="U4947" s="2">
        <v>65.5</v>
      </c>
      <c r="V4947" s="2">
        <v>67</v>
      </c>
      <c r="W4947" s="2" t="s">
        <v>7862</v>
      </c>
      <c r="X4947" s="2" t="s">
        <v>2897</v>
      </c>
      <c r="Y4947" s="2">
        <v>18676</v>
      </c>
      <c r="Z4947" s="19" t="str">
        <f>HYPERLINK("https://ssdweb.co/ssdweb/hd/Vision360.html?d=926170674&amp;zoomslide=1&amp;z=1926170674&amp;ISCONFIRM=0","VIDEO")</f>
        <v>VIDEO</v>
      </c>
      <c r="AA4947" s="19" t="str">
        <f>HYPERLINK("https://ssdweb.co/ssdweb/CERTH/633490550.pdf","CERTI")</f>
        <v>CERTI</v>
      </c>
    </row>
    <row r="4948" spans="1:27" ht="15" x14ac:dyDescent="0.25">
      <c r="A4948" s="2">
        <v>4943</v>
      </c>
      <c r="B4948" s="39">
        <v>926071713</v>
      </c>
      <c r="C4948" s="28" t="str">
        <f>HYPERLINK("https://pld.live/RapDetail.aspx?STONELIST=926071713","DNA")</f>
        <v>DNA</v>
      </c>
      <c r="D4948" s="18" t="s">
        <v>711</v>
      </c>
      <c r="E4948" s="18" t="s">
        <v>5128</v>
      </c>
      <c r="F4948" s="2" t="s">
        <v>7987</v>
      </c>
      <c r="G4948" s="2" t="s">
        <v>7322</v>
      </c>
      <c r="H4948" s="14">
        <v>1.61</v>
      </c>
      <c r="I4948" s="2" t="s">
        <v>4761</v>
      </c>
      <c r="J4948" s="2" t="s">
        <v>3942</v>
      </c>
      <c r="K4948" s="2" t="s">
        <v>1452</v>
      </c>
      <c r="L4948" s="2" t="s">
        <v>5221</v>
      </c>
      <c r="M4948" s="2" t="s">
        <v>5221</v>
      </c>
      <c r="N4948" s="2" t="s">
        <v>2317</v>
      </c>
      <c r="O4948" s="14">
        <v>11600</v>
      </c>
      <c r="P4948" s="14">
        <v>99.02</v>
      </c>
      <c r="Q4948" s="14">
        <v>113.68</v>
      </c>
      <c r="R4948" s="14">
        <v>183.02</v>
      </c>
      <c r="S4948" s="2" t="s">
        <v>2914</v>
      </c>
      <c r="T4948" s="2">
        <v>1.36</v>
      </c>
      <c r="U4948" s="2">
        <v>67.900000000000006</v>
      </c>
      <c r="V4948" s="2">
        <v>67</v>
      </c>
      <c r="W4948" s="2" t="s">
        <v>7862</v>
      </c>
      <c r="X4948" s="2" t="s">
        <v>2897</v>
      </c>
      <c r="Y4948" s="2">
        <v>18676</v>
      </c>
      <c r="Z4948" s="19" t="str">
        <f>HYPERLINK("https://ssdweb.co/ssdweb/hd/Vision360.html?d=926071713&amp;zoomslide=1&amp;z=1926071713&amp;ISCONFIRM=0","VIDEO")</f>
        <v>VIDEO</v>
      </c>
      <c r="AA4948" s="19" t="str">
        <f>HYPERLINK("https://ssdweb.co/ssdweb/CERTH/631464096.pdf","CERTI")</f>
        <v>CERTI</v>
      </c>
    </row>
    <row r="4949" spans="1:27" ht="15" x14ac:dyDescent="0.25">
      <c r="A4949" s="2">
        <v>4944</v>
      </c>
      <c r="B4949" s="39">
        <v>926200789</v>
      </c>
      <c r="C4949" s="28" t="str">
        <f>HYPERLINK("https://pld.live/RapDetail.aspx?STONELIST=926200789","DNA")</f>
        <v>DNA</v>
      </c>
      <c r="D4949" s="18" t="s">
        <v>711</v>
      </c>
      <c r="E4949" s="18" t="s">
        <v>5128</v>
      </c>
      <c r="F4949" s="2" t="s">
        <v>7987</v>
      </c>
      <c r="G4949" s="2" t="s">
        <v>7322</v>
      </c>
      <c r="H4949" s="14">
        <v>1.59</v>
      </c>
      <c r="I4949" s="2" t="s">
        <v>267</v>
      </c>
      <c r="J4949" s="2" t="s">
        <v>5144</v>
      </c>
      <c r="K4949" s="2" t="s">
        <v>1452</v>
      </c>
      <c r="L4949" s="2" t="s">
        <v>5221</v>
      </c>
      <c r="M4949" s="2" t="s">
        <v>5221</v>
      </c>
      <c r="N4949" s="2" t="s">
        <v>2317</v>
      </c>
      <c r="O4949" s="14">
        <v>9900</v>
      </c>
      <c r="P4949" s="14">
        <v>98.91</v>
      </c>
      <c r="Q4949" s="14">
        <v>107.91</v>
      </c>
      <c r="R4949" s="14">
        <v>171.58</v>
      </c>
      <c r="S4949" s="2" t="s">
        <v>5921</v>
      </c>
      <c r="T4949" s="2">
        <v>1.41</v>
      </c>
      <c r="U4949" s="2">
        <v>64</v>
      </c>
      <c r="V4949" s="2">
        <v>68</v>
      </c>
      <c r="W4949" s="2" t="s">
        <v>7862</v>
      </c>
      <c r="X4949" s="2" t="s">
        <v>2897</v>
      </c>
      <c r="Y4949" s="2">
        <v>15741</v>
      </c>
      <c r="Z4949" s="19" t="str">
        <f>HYPERLINK("https://ssdweb.co/ssdweb/hd/Vision360.html?d=926200789&amp;zoomslide=1&amp;z=1926200789&amp;ISCONFIRM=0","VIDEO")</f>
        <v>VIDEO</v>
      </c>
      <c r="AA4949" s="19" t="str">
        <f>HYPERLINK("https://ssdweb.co/ssdweb/CERTH/635423992.pdf","CERTI")</f>
        <v>CERTI</v>
      </c>
    </row>
    <row r="4950" spans="1:27" ht="15" x14ac:dyDescent="0.25">
      <c r="A4950" s="2">
        <v>4945</v>
      </c>
      <c r="B4950" s="39">
        <v>926100904</v>
      </c>
      <c r="C4950" s="28" t="str">
        <f>HYPERLINK("https://pld.live/RapDetail.aspx?STONELIST=926100904","DNA")</f>
        <v>DNA</v>
      </c>
      <c r="D4950" s="18" t="s">
        <v>711</v>
      </c>
      <c r="E4950" s="18" t="s">
        <v>5128</v>
      </c>
      <c r="F4950" s="2" t="s">
        <v>7987</v>
      </c>
      <c r="G4950" s="2" t="s">
        <v>7322</v>
      </c>
      <c r="H4950" s="14">
        <v>1.59</v>
      </c>
      <c r="I4950" s="2" t="s">
        <v>4761</v>
      </c>
      <c r="J4950" s="2" t="s">
        <v>6555</v>
      </c>
      <c r="K4950" s="2" t="s">
        <v>1452</v>
      </c>
      <c r="L4950" s="2" t="s">
        <v>5221</v>
      </c>
      <c r="M4950" s="2" t="s">
        <v>5221</v>
      </c>
      <c r="N4950" s="2" t="s">
        <v>2317</v>
      </c>
      <c r="O4950" s="14">
        <v>12400</v>
      </c>
      <c r="P4950" s="14">
        <v>98.9</v>
      </c>
      <c r="Q4950" s="14">
        <v>136.4</v>
      </c>
      <c r="R4950" s="14">
        <v>216.88</v>
      </c>
      <c r="S4950" s="2" t="s">
        <v>2563</v>
      </c>
      <c r="T4950" s="2">
        <v>1.36</v>
      </c>
      <c r="U4950" s="2">
        <v>66.7</v>
      </c>
      <c r="V4950" s="2">
        <v>63</v>
      </c>
      <c r="W4950" s="2" t="s">
        <v>7862</v>
      </c>
      <c r="X4950" s="2" t="s">
        <v>2897</v>
      </c>
      <c r="Y4950" s="2">
        <v>19716</v>
      </c>
      <c r="Z4950" s="19" t="str">
        <f>HYPERLINK("https://ssdweb.co/ssdweb/hd/Vision360.html?d=926100904&amp;zoomslide=1&amp;z=1926100904&amp;ISCONFIRM=0","VIDEO")</f>
        <v>VIDEO</v>
      </c>
      <c r="AA4950" s="19" t="str">
        <f>HYPERLINK("https://ssdweb.co/ssdweb/CERTH/631464298.pdf","CERTI")</f>
        <v>CERTI</v>
      </c>
    </row>
    <row r="4951" spans="1:27" ht="15" x14ac:dyDescent="0.25">
      <c r="A4951" s="2">
        <v>4946</v>
      </c>
      <c r="B4951" s="39">
        <v>924500122</v>
      </c>
      <c r="C4951" s="28" t="str">
        <f>HYPERLINK("https://pld.live/RapDetail.aspx?STONELIST=924500122","DNA")</f>
        <v>DNA</v>
      </c>
      <c r="D4951" s="18" t="s">
        <v>711</v>
      </c>
      <c r="E4951" s="18" t="s">
        <v>2186</v>
      </c>
      <c r="F4951" s="2" t="s">
        <v>7987</v>
      </c>
      <c r="G4951" s="2" t="s">
        <v>7322</v>
      </c>
      <c r="H4951" s="14">
        <v>1.59</v>
      </c>
      <c r="I4951" s="2" t="s">
        <v>1505</v>
      </c>
      <c r="J4951" s="2" t="s">
        <v>5144</v>
      </c>
      <c r="K4951" s="2" t="s">
        <v>1452</v>
      </c>
      <c r="L4951" s="2" t="s">
        <v>5221</v>
      </c>
      <c r="M4951" s="2" t="s">
        <v>5221</v>
      </c>
      <c r="N4951" s="2" t="s">
        <v>2317</v>
      </c>
      <c r="O4951" s="14">
        <v>7100</v>
      </c>
      <c r="P4951" s="14">
        <v>98.7</v>
      </c>
      <c r="Q4951" s="14">
        <v>92.3</v>
      </c>
      <c r="R4951" s="14">
        <v>146.76</v>
      </c>
      <c r="S4951" s="2" t="s">
        <v>1058</v>
      </c>
      <c r="T4951" s="2">
        <v>1.42</v>
      </c>
      <c r="U4951" s="2">
        <v>67.599999999999994</v>
      </c>
      <c r="V4951" s="2">
        <v>63</v>
      </c>
      <c r="W4951" s="2" t="s">
        <v>8016</v>
      </c>
      <c r="X4951" s="2" t="s">
        <v>2897</v>
      </c>
      <c r="Y4951" s="2">
        <v>11289</v>
      </c>
      <c r="Z4951" s="19" t="str">
        <f>HYPERLINK("https://ssdweb.co/ssdweb/hd/Vision360.html?d=924500122&amp;zoomslide=1&amp;z=1924500122&amp;ISCONFIRM=0","VIDEO")</f>
        <v>VIDEO</v>
      </c>
      <c r="AA4951" s="19" t="str">
        <f>HYPERLINK("https://ssdweb.co/ssdweb/CERTH/597387029.pdf","CERTI")</f>
        <v>CERTI</v>
      </c>
    </row>
    <row r="4952" spans="1:27" ht="15" x14ac:dyDescent="0.25">
      <c r="A4952" s="2">
        <v>4947</v>
      </c>
      <c r="B4952" s="39">
        <v>926100939</v>
      </c>
      <c r="C4952" s="28" t="str">
        <f>HYPERLINK("https://pld.live/RapDetail.aspx?STONELIST=926100939","DNA")</f>
        <v>DNA</v>
      </c>
      <c r="D4952" s="18" t="s">
        <v>711</v>
      </c>
      <c r="E4952" s="18" t="s">
        <v>5128</v>
      </c>
      <c r="F4952" s="2" t="s">
        <v>7987</v>
      </c>
      <c r="G4952" s="2" t="s">
        <v>7322</v>
      </c>
      <c r="H4952" s="14">
        <v>1.58</v>
      </c>
      <c r="I4952" s="2" t="s">
        <v>4761</v>
      </c>
      <c r="J4952" s="2" t="s">
        <v>5144</v>
      </c>
      <c r="K4952" s="2" t="s">
        <v>1452</v>
      </c>
      <c r="L4952" s="2" t="s">
        <v>5221</v>
      </c>
      <c r="M4952" s="2" t="s">
        <v>5221</v>
      </c>
      <c r="N4952" s="2" t="s">
        <v>2317</v>
      </c>
      <c r="O4952" s="14">
        <v>9300</v>
      </c>
      <c r="P4952" s="14">
        <v>98.91</v>
      </c>
      <c r="Q4952" s="14">
        <v>101.37</v>
      </c>
      <c r="R4952" s="14">
        <v>160.16</v>
      </c>
      <c r="S4952" s="2" t="s">
        <v>6904</v>
      </c>
      <c r="T4952" s="2">
        <v>1.45</v>
      </c>
      <c r="U4952" s="2">
        <v>66.900000000000006</v>
      </c>
      <c r="V4952" s="2">
        <v>62</v>
      </c>
      <c r="W4952" s="2" t="s">
        <v>7862</v>
      </c>
      <c r="X4952" s="2" t="s">
        <v>2897</v>
      </c>
      <c r="Y4952" s="2">
        <v>14694</v>
      </c>
      <c r="Z4952" s="19" t="str">
        <f>HYPERLINK("https://ssdweb.co/ssdweb/hd/Vision360.html?d=926100939&amp;zoomslide=1&amp;z=1926100939&amp;ISCONFIRM=0","VIDEO")</f>
        <v>VIDEO</v>
      </c>
      <c r="AA4952" s="19" t="str">
        <f>HYPERLINK("https://ssdweb.co/ssdweb/CERTH/632488353.pdf","CERTI")</f>
        <v>CERTI</v>
      </c>
    </row>
    <row r="4953" spans="1:27" ht="15" x14ac:dyDescent="0.25">
      <c r="A4953" s="2">
        <v>4948</v>
      </c>
      <c r="B4953" s="39">
        <v>926170428</v>
      </c>
      <c r="C4953" s="28" t="str">
        <f>HYPERLINK("https://pld.live/RapDetail.aspx?STONELIST=926170428","DNA")</f>
        <v>DNA</v>
      </c>
      <c r="D4953" s="18" t="s">
        <v>711</v>
      </c>
      <c r="E4953" s="18" t="s">
        <v>5128</v>
      </c>
      <c r="F4953" s="2" t="s">
        <v>7987</v>
      </c>
      <c r="G4953" s="2" t="s">
        <v>7322</v>
      </c>
      <c r="H4953" s="14">
        <v>1.57</v>
      </c>
      <c r="I4953" s="2" t="s">
        <v>267</v>
      </c>
      <c r="J4953" s="2" t="s">
        <v>3942</v>
      </c>
      <c r="K4953" s="2" t="s">
        <v>1452</v>
      </c>
      <c r="L4953" s="2" t="s">
        <v>5221</v>
      </c>
      <c r="M4953" s="2" t="s">
        <v>5221</v>
      </c>
      <c r="N4953" s="2" t="s">
        <v>2317</v>
      </c>
      <c r="O4953" s="14">
        <v>12500</v>
      </c>
      <c r="P4953" s="14">
        <v>99.05</v>
      </c>
      <c r="Q4953" s="14">
        <v>118.75</v>
      </c>
      <c r="R4953" s="14">
        <v>186.44</v>
      </c>
      <c r="S4953" s="2" t="s">
        <v>5395</v>
      </c>
      <c r="T4953" s="2">
        <v>1.4</v>
      </c>
      <c r="U4953" s="2">
        <v>66.599999999999994</v>
      </c>
      <c r="V4953" s="2">
        <v>65</v>
      </c>
      <c r="W4953" s="2" t="s">
        <v>7862</v>
      </c>
      <c r="X4953" s="2" t="s">
        <v>2897</v>
      </c>
      <c r="Y4953" s="2">
        <v>19625</v>
      </c>
      <c r="Z4953" s="19" t="str">
        <f>HYPERLINK("https://ssdweb.co/ssdweb/hd/Vision360.html?d=926170428&amp;zoomslide=1&amp;z=1926170428&amp;ISCONFIRM=0","VIDEO")</f>
        <v>VIDEO</v>
      </c>
      <c r="AA4953" s="19" t="str">
        <f>HYPERLINK("https://ssdweb.co/ssdweb/CERTH/633474079.pdf","CERTI")</f>
        <v>CERTI</v>
      </c>
    </row>
    <row r="4954" spans="1:27" ht="15" x14ac:dyDescent="0.25">
      <c r="A4954" s="2">
        <v>4949</v>
      </c>
      <c r="B4954" s="39">
        <v>926040725</v>
      </c>
      <c r="C4954" s="28" t="str">
        <f>HYPERLINK("https://pld.live/RapDetail.aspx?STONELIST=926040725","DNA")</f>
        <v>DNA</v>
      </c>
      <c r="D4954" s="18" t="s">
        <v>711</v>
      </c>
      <c r="E4954" s="18" t="s">
        <v>5128</v>
      </c>
      <c r="F4954" s="2" t="s">
        <v>5597</v>
      </c>
      <c r="G4954" s="2" t="s">
        <v>7322</v>
      </c>
      <c r="H4954" s="14">
        <v>1.57</v>
      </c>
      <c r="I4954" s="2" t="s">
        <v>267</v>
      </c>
      <c r="J4954" s="2" t="s">
        <v>3942</v>
      </c>
      <c r="K4954" s="2" t="s">
        <v>1452</v>
      </c>
      <c r="L4954" s="2" t="s">
        <v>5221</v>
      </c>
      <c r="M4954" s="2" t="s">
        <v>5221</v>
      </c>
      <c r="N4954" s="2" t="s">
        <v>2317</v>
      </c>
      <c r="O4954" s="14">
        <v>12500</v>
      </c>
      <c r="P4954" s="14">
        <v>97.9</v>
      </c>
      <c r="Q4954" s="14">
        <v>262.5</v>
      </c>
      <c r="R4954" s="14">
        <v>412.13</v>
      </c>
      <c r="S4954" s="2" t="s">
        <v>2925</v>
      </c>
      <c r="T4954" s="2">
        <v>1.37</v>
      </c>
      <c r="U4954" s="2">
        <v>64.7</v>
      </c>
      <c r="V4954" s="2">
        <v>64</v>
      </c>
      <c r="W4954" s="2" t="s">
        <v>7862</v>
      </c>
      <c r="X4954" s="2" t="s">
        <v>2897</v>
      </c>
      <c r="Y4954" s="2">
        <v>19625</v>
      </c>
      <c r="Z4954" s="19" t="str">
        <f>HYPERLINK("https://ssdweb.co/ssdweb/hd/Vision360.html?d=926040725&amp;zoomslide=1&amp;z=1926040725&amp;ISCONFIRM=0","VIDEO")</f>
        <v>VIDEO</v>
      </c>
      <c r="AA4954" s="19" t="str">
        <f>HYPERLINK("https://ssdweb.co/ssdweb/CERTH/5496139578.pdf","CERTI")</f>
        <v>CERTI</v>
      </c>
    </row>
    <row r="4955" spans="1:27" ht="15" x14ac:dyDescent="0.25">
      <c r="A4955" s="2">
        <v>4950</v>
      </c>
      <c r="B4955" s="39">
        <v>926200750</v>
      </c>
      <c r="C4955" s="28" t="str">
        <f>HYPERLINK("https://pld.live/RapDetail.aspx?STONELIST=926200750","DNA")</f>
        <v>DNA</v>
      </c>
      <c r="D4955" s="18" t="s">
        <v>711</v>
      </c>
      <c r="E4955" s="18" t="s">
        <v>5128</v>
      </c>
      <c r="F4955" s="2" t="s">
        <v>7987</v>
      </c>
      <c r="G4955" s="2" t="s">
        <v>7322</v>
      </c>
      <c r="H4955" s="14">
        <v>1.57</v>
      </c>
      <c r="I4955" s="2" t="s">
        <v>267</v>
      </c>
      <c r="J4955" s="2" t="s">
        <v>13</v>
      </c>
      <c r="K4955" s="2" t="s">
        <v>1452</v>
      </c>
      <c r="L4955" s="2" t="s">
        <v>5221</v>
      </c>
      <c r="M4955" s="2" t="s">
        <v>5221</v>
      </c>
      <c r="N4955" s="2" t="s">
        <v>2317</v>
      </c>
      <c r="O4955" s="14">
        <v>11600</v>
      </c>
      <c r="P4955" s="14">
        <v>99.03</v>
      </c>
      <c r="Q4955" s="14">
        <v>112.52</v>
      </c>
      <c r="R4955" s="14">
        <v>176.66</v>
      </c>
      <c r="S4955" s="2" t="s">
        <v>7835</v>
      </c>
      <c r="T4955" s="2">
        <v>1.39</v>
      </c>
      <c r="U4955" s="2">
        <v>66.5</v>
      </c>
      <c r="V4955" s="2">
        <v>63</v>
      </c>
      <c r="W4955" s="2" t="s">
        <v>7862</v>
      </c>
      <c r="X4955" s="2" t="s">
        <v>2897</v>
      </c>
      <c r="Y4955" s="2">
        <v>18212</v>
      </c>
      <c r="Z4955" s="19" t="str">
        <f>HYPERLINK("https://ssdweb.co/ssdweb/hd/Vision360.html?d=926200750&amp;zoomslide=1&amp;z=1926200750&amp;ISCONFIRM=0","VIDEO")</f>
        <v>VIDEO</v>
      </c>
      <c r="AA4955" s="19" t="str">
        <f>HYPERLINK("https://ssdweb.co/ssdweb/CERTH/634431415.pdf","CERTI")</f>
        <v>CERTI</v>
      </c>
    </row>
    <row r="4956" spans="1:27" ht="15" x14ac:dyDescent="0.25">
      <c r="A4956" s="2">
        <v>4951</v>
      </c>
      <c r="B4956" s="39">
        <v>926170787</v>
      </c>
      <c r="C4956" s="28" t="str">
        <f>HYPERLINK("https://pld.live/RapDetail.aspx?STONELIST=926170787","DNA")</f>
        <v>DNA</v>
      </c>
      <c r="D4956" s="18" t="s">
        <v>711</v>
      </c>
      <c r="E4956" s="18" t="s">
        <v>5128</v>
      </c>
      <c r="F4956" s="2" t="s">
        <v>7987</v>
      </c>
      <c r="G4956" s="2" t="s">
        <v>7322</v>
      </c>
      <c r="H4956" s="14">
        <v>1.57</v>
      </c>
      <c r="I4956" s="2" t="s">
        <v>267</v>
      </c>
      <c r="J4956" s="2" t="s">
        <v>13</v>
      </c>
      <c r="K4956" s="2" t="s">
        <v>1452</v>
      </c>
      <c r="L4956" s="2" t="s">
        <v>5221</v>
      </c>
      <c r="M4956" s="2" t="s">
        <v>5221</v>
      </c>
      <c r="N4956" s="2" t="s">
        <v>2317</v>
      </c>
      <c r="O4956" s="14">
        <v>11600</v>
      </c>
      <c r="P4956" s="14">
        <v>99.03</v>
      </c>
      <c r="Q4956" s="14">
        <v>112.52</v>
      </c>
      <c r="R4956" s="14">
        <v>176.66</v>
      </c>
      <c r="S4956" s="2" t="s">
        <v>7123</v>
      </c>
      <c r="T4956" s="2">
        <v>1.38</v>
      </c>
      <c r="U4956" s="2">
        <v>63.6</v>
      </c>
      <c r="V4956" s="2">
        <v>67</v>
      </c>
      <c r="W4956" s="2" t="s">
        <v>7862</v>
      </c>
      <c r="X4956" s="2" t="s">
        <v>2897</v>
      </c>
      <c r="Y4956" s="2">
        <v>18212</v>
      </c>
      <c r="Z4956" s="19" t="str">
        <f>HYPERLINK("https://ssdweb.co/ssdweb/hd/Vision360.html?d=926170787&amp;zoomslide=1&amp;z=1926170787&amp;ISCONFIRM=0","VIDEO")</f>
        <v>VIDEO</v>
      </c>
      <c r="AA4956" s="19" t="str">
        <f>HYPERLINK("https://ssdweb.co/ssdweb/CERTH/633490500.pdf","CERTI")</f>
        <v>CERTI</v>
      </c>
    </row>
    <row r="4957" spans="1:27" ht="15" x14ac:dyDescent="0.25">
      <c r="A4957" s="2">
        <v>4952</v>
      </c>
      <c r="B4957" s="39">
        <v>831010158</v>
      </c>
      <c r="C4957" s="28" t="str">
        <f>HYPERLINK("https://pld.live/RapDetail.aspx?STONELIST=831010158","DNA")</f>
        <v>DNA</v>
      </c>
      <c r="D4957" s="18" t="s">
        <v>711</v>
      </c>
      <c r="E4957" s="18" t="s">
        <v>5128</v>
      </c>
      <c r="F4957" s="2" t="s">
        <v>5597</v>
      </c>
      <c r="G4957" s="2" t="s">
        <v>7322</v>
      </c>
      <c r="H4957" s="14">
        <v>1.57</v>
      </c>
      <c r="I4957" s="2" t="s">
        <v>267</v>
      </c>
      <c r="J4957" s="2" t="s">
        <v>5144</v>
      </c>
      <c r="K4957" s="2" t="s">
        <v>1452</v>
      </c>
      <c r="L4957" s="2" t="s">
        <v>5221</v>
      </c>
      <c r="M4957" s="2" t="s">
        <v>5221</v>
      </c>
      <c r="N4957" s="2" t="s">
        <v>2317</v>
      </c>
      <c r="O4957" s="14">
        <v>9900</v>
      </c>
      <c r="P4957" s="14">
        <v>97.72</v>
      </c>
      <c r="Q4957" s="14">
        <v>225.72</v>
      </c>
      <c r="R4957" s="14">
        <v>354.38</v>
      </c>
      <c r="S4957" s="2" t="s">
        <v>2121</v>
      </c>
      <c r="T4957" s="2">
        <v>1.4</v>
      </c>
      <c r="U4957" s="2">
        <v>66.3</v>
      </c>
      <c r="V4957" s="2">
        <v>62</v>
      </c>
      <c r="W4957" s="2" t="s">
        <v>7862</v>
      </c>
      <c r="X4957" s="2" t="s">
        <v>2897</v>
      </c>
      <c r="Y4957" s="2">
        <v>15543</v>
      </c>
      <c r="Z4957" s="19" t="str">
        <f>HYPERLINK("https://ssdweb.co/ssdweb/hd/Vision360.html?d=831010158&amp;zoomslide=1&amp;z=1831010158&amp;ISCONFIRM=0","VIDEO")</f>
        <v>VIDEO</v>
      </c>
      <c r="AA4957" s="19" t="str">
        <f>HYPERLINK("https://ssdweb.co/ssdweb/CERTH/7452301690.pdf","CERTI")</f>
        <v>CERTI</v>
      </c>
    </row>
    <row r="4958" spans="1:27" ht="15" x14ac:dyDescent="0.25">
      <c r="A4958" s="2">
        <v>4953</v>
      </c>
      <c r="B4958" s="39">
        <v>926071508</v>
      </c>
      <c r="C4958" s="28" t="str">
        <f>HYPERLINK("https://pld.live/RapDetail.aspx?STONELIST=926071508","DNA")</f>
        <v>DNA</v>
      </c>
      <c r="D4958" s="18" t="s">
        <v>711</v>
      </c>
      <c r="E4958" s="18" t="s">
        <v>5128</v>
      </c>
      <c r="F4958" s="2" t="s">
        <v>7987</v>
      </c>
      <c r="G4958" s="2" t="s">
        <v>7322</v>
      </c>
      <c r="H4958" s="14">
        <v>1.57</v>
      </c>
      <c r="I4958" s="2" t="s">
        <v>4761</v>
      </c>
      <c r="J4958" s="2" t="s">
        <v>3942</v>
      </c>
      <c r="K4958" s="2" t="s">
        <v>1452</v>
      </c>
      <c r="L4958" s="2" t="s">
        <v>5221</v>
      </c>
      <c r="M4958" s="2" t="s">
        <v>5221</v>
      </c>
      <c r="N4958" s="2" t="s">
        <v>2317</v>
      </c>
      <c r="O4958" s="14">
        <v>11600</v>
      </c>
      <c r="P4958" s="14">
        <v>99.02</v>
      </c>
      <c r="Q4958" s="14">
        <v>113.68</v>
      </c>
      <c r="R4958" s="14">
        <v>178.48</v>
      </c>
      <c r="S4958" s="2" t="s">
        <v>1639</v>
      </c>
      <c r="T4958" s="2">
        <v>1.4</v>
      </c>
      <c r="U4958" s="2">
        <v>67</v>
      </c>
      <c r="V4958" s="2">
        <v>63</v>
      </c>
      <c r="W4958" s="2" t="s">
        <v>7862</v>
      </c>
      <c r="X4958" s="2" t="s">
        <v>2897</v>
      </c>
      <c r="Y4958" s="2">
        <v>18212</v>
      </c>
      <c r="Z4958" s="19" t="str">
        <f>HYPERLINK("https://ssdweb.co/ssdweb/hd/Vision360.html?d=926071508&amp;zoomslide=1&amp;z=1926071508&amp;ISCONFIRM=0","VIDEO")</f>
        <v>VIDEO</v>
      </c>
      <c r="AA4958" s="19" t="str">
        <f>HYPERLINK("https://ssdweb.co/ssdweb/CERTH/631430313.pdf","CERTI")</f>
        <v>CERTI</v>
      </c>
    </row>
    <row r="4959" spans="1:27" ht="15" x14ac:dyDescent="0.25">
      <c r="A4959" s="2">
        <v>4954</v>
      </c>
      <c r="B4959" s="39">
        <v>925980661</v>
      </c>
      <c r="C4959" s="28" t="str">
        <f>HYPERLINK("https://pld.live/RapDetail.aspx?STONELIST=925980661","DNA")</f>
        <v>DNA</v>
      </c>
      <c r="D4959" s="18" t="s">
        <v>711</v>
      </c>
      <c r="E4959" s="18" t="s">
        <v>5128</v>
      </c>
      <c r="F4959" s="2" t="s">
        <v>7987</v>
      </c>
      <c r="G4959" s="2" t="s">
        <v>7322</v>
      </c>
      <c r="H4959" s="14">
        <v>1.57</v>
      </c>
      <c r="I4959" s="2" t="s">
        <v>4761</v>
      </c>
      <c r="J4959" s="2" t="s">
        <v>3942</v>
      </c>
      <c r="K4959" s="2" t="s">
        <v>1452</v>
      </c>
      <c r="L4959" s="2" t="s">
        <v>5221</v>
      </c>
      <c r="M4959" s="2" t="s">
        <v>5221</v>
      </c>
      <c r="N4959" s="2" t="s">
        <v>2317</v>
      </c>
      <c r="O4959" s="14">
        <v>11600</v>
      </c>
      <c r="P4959" s="14">
        <v>99.03</v>
      </c>
      <c r="Q4959" s="14">
        <v>112.52</v>
      </c>
      <c r="R4959" s="14">
        <v>176.66</v>
      </c>
      <c r="S4959" s="2" t="s">
        <v>3354</v>
      </c>
      <c r="T4959" s="2">
        <v>1.39</v>
      </c>
      <c r="U4959" s="2">
        <v>67.2</v>
      </c>
      <c r="V4959" s="2">
        <v>66</v>
      </c>
      <c r="W4959" s="2" t="s">
        <v>7862</v>
      </c>
      <c r="X4959" s="2" t="s">
        <v>2897</v>
      </c>
      <c r="Y4959" s="2">
        <v>18212</v>
      </c>
      <c r="Z4959" s="19" t="str">
        <f>HYPERLINK("https://ssdweb.co/ssdweb/hd/Vision360.html?d=925980661&amp;zoomslide=1&amp;z=1925980661&amp;ISCONFIRM=0","VIDEO")</f>
        <v>VIDEO</v>
      </c>
      <c r="AA4959" s="19" t="str">
        <f>HYPERLINK("https://ssdweb.co/ssdweb/CERTH/628463339.pdf","CERTI")</f>
        <v>CERTI</v>
      </c>
    </row>
    <row r="4960" spans="1:27" ht="15" x14ac:dyDescent="0.25">
      <c r="A4960" s="2">
        <v>4955</v>
      </c>
      <c r="B4960" s="39">
        <v>926540075</v>
      </c>
      <c r="C4960" s="28" t="str">
        <f>HYPERLINK("https://pld.live/RapDetail.aspx?STONELIST=926540075","DNA")</f>
        <v>DNA</v>
      </c>
      <c r="D4960" s="18" t="s">
        <v>711</v>
      </c>
      <c r="E4960" s="18" t="s">
        <v>2186</v>
      </c>
      <c r="F4960" s="2" t="s">
        <v>7987</v>
      </c>
      <c r="G4960" s="2" t="s">
        <v>7322</v>
      </c>
      <c r="H4960" s="14">
        <v>1.57</v>
      </c>
      <c r="I4960" s="2" t="s">
        <v>6748</v>
      </c>
      <c r="J4960" s="2" t="s">
        <v>13</v>
      </c>
      <c r="K4960" s="2" t="s">
        <v>1452</v>
      </c>
      <c r="L4960" s="2" t="s">
        <v>5221</v>
      </c>
      <c r="M4960" s="2" t="s">
        <v>5221</v>
      </c>
      <c r="N4960" s="2" t="s">
        <v>2317</v>
      </c>
      <c r="O4960" s="14">
        <v>3200</v>
      </c>
      <c r="P4960" s="14">
        <v>92.5</v>
      </c>
      <c r="Q4960" s="14">
        <v>240</v>
      </c>
      <c r="R4960" s="14">
        <v>376.8</v>
      </c>
      <c r="S4960" s="2" t="s">
        <v>2652</v>
      </c>
      <c r="T4960" s="2">
        <v>1.41</v>
      </c>
      <c r="U4960" s="2">
        <v>68.099999999999994</v>
      </c>
      <c r="V4960" s="2">
        <v>66</v>
      </c>
      <c r="W4960" s="2" t="s">
        <v>7862</v>
      </c>
      <c r="X4960" s="2" t="s">
        <v>2897</v>
      </c>
      <c r="Y4960" s="2">
        <v>5024</v>
      </c>
      <c r="Z4960" s="19" t="str">
        <f>HYPERLINK("https://ssdweb.co/ssdweb/hd/Vision360.html?d=926540075&amp;zoomslide=1&amp;z=1926540075&amp;ISCONFIRM=0","VIDEO")</f>
        <v>VIDEO</v>
      </c>
      <c r="AA4960" s="19" t="str">
        <f>HYPERLINK("https://ssdweb.co/ssdweb/CERTH/649434562.pdf","CERTI")</f>
        <v>CERTI</v>
      </c>
    </row>
    <row r="4961" spans="1:27" ht="15" x14ac:dyDescent="0.25">
      <c r="A4961" s="2">
        <v>4956</v>
      </c>
      <c r="B4961" s="39">
        <v>925732066</v>
      </c>
      <c r="C4961" s="28" t="str">
        <f>HYPERLINK("https://pld.live/RapDetail.aspx?STONELIST=925732066","DNA")</f>
        <v>DNA</v>
      </c>
      <c r="D4961" s="18" t="s">
        <v>711</v>
      </c>
      <c r="E4961" s="18" t="s">
        <v>5128</v>
      </c>
      <c r="F4961" s="2" t="s">
        <v>7987</v>
      </c>
      <c r="G4961" s="2" t="s">
        <v>7322</v>
      </c>
      <c r="H4961" s="14">
        <v>1.56</v>
      </c>
      <c r="I4961" s="2" t="s">
        <v>267</v>
      </c>
      <c r="J4961" s="2" t="s">
        <v>7032</v>
      </c>
      <c r="K4961" s="2" t="s">
        <v>1452</v>
      </c>
      <c r="L4961" s="2" t="s">
        <v>5221</v>
      </c>
      <c r="M4961" s="2" t="s">
        <v>5221</v>
      </c>
      <c r="N4961" s="2" t="s">
        <v>2317</v>
      </c>
      <c r="O4961" s="14">
        <v>14100</v>
      </c>
      <c r="P4961" s="14">
        <v>97.19</v>
      </c>
      <c r="Q4961" s="14">
        <v>396.21</v>
      </c>
      <c r="R4961" s="14">
        <v>618.09</v>
      </c>
      <c r="S4961" s="2" t="s">
        <v>7287</v>
      </c>
      <c r="T4961" s="2">
        <v>1.45</v>
      </c>
      <c r="U4961" s="2">
        <v>66.099999999999994</v>
      </c>
      <c r="V4961" s="2">
        <v>63</v>
      </c>
      <c r="W4961" s="2" t="s">
        <v>7862</v>
      </c>
      <c r="X4961" s="2" t="s">
        <v>2897</v>
      </c>
      <c r="Y4961" s="2">
        <v>21996</v>
      </c>
      <c r="Z4961" s="19" t="str">
        <f>HYPERLINK("https://ssdweb.co/ssdweb/hd/Vision360.html?d=925732066&amp;zoomslide=1&amp;z=1925732066&amp;ISCONFIRM=0","VIDEO")</f>
        <v>VIDEO</v>
      </c>
      <c r="AA4961" s="19" t="str">
        <f>HYPERLINK("https://ssdweb.co/ssdweb/CERTH/626457283.pdf","CERTI")</f>
        <v>CERTI</v>
      </c>
    </row>
    <row r="4962" spans="1:27" ht="15" x14ac:dyDescent="0.25">
      <c r="A4962" s="2">
        <v>4957</v>
      </c>
      <c r="B4962" s="39">
        <v>925930166</v>
      </c>
      <c r="C4962" s="28" t="str">
        <f>HYPERLINK("https://pld.live/RapDetail.aspx?STONELIST=925930166","DNA")</f>
        <v>DNA</v>
      </c>
      <c r="D4962" s="18" t="s">
        <v>711</v>
      </c>
      <c r="E4962" s="18" t="s">
        <v>2186</v>
      </c>
      <c r="F4962" s="2" t="s">
        <v>7987</v>
      </c>
      <c r="G4962" s="2" t="s">
        <v>7322</v>
      </c>
      <c r="H4962" s="14">
        <v>1.56</v>
      </c>
      <c r="I4962" s="2" t="s">
        <v>267</v>
      </c>
      <c r="J4962" s="2" t="s">
        <v>3942</v>
      </c>
      <c r="K4962" s="2" t="s">
        <v>1452</v>
      </c>
      <c r="L4962" s="2" t="s">
        <v>5221</v>
      </c>
      <c r="M4962" s="2" t="s">
        <v>5221</v>
      </c>
      <c r="N4962" s="2" t="s">
        <v>2317</v>
      </c>
      <c r="O4962" s="14">
        <v>12500</v>
      </c>
      <c r="P4962" s="14">
        <v>99.05</v>
      </c>
      <c r="Q4962" s="14">
        <v>118.75</v>
      </c>
      <c r="R4962" s="14">
        <v>185.25</v>
      </c>
      <c r="S4962" s="2" t="s">
        <v>2320</v>
      </c>
      <c r="T4962" s="2">
        <v>1.4</v>
      </c>
      <c r="U4962" s="2">
        <v>64.7</v>
      </c>
      <c r="V4962" s="2">
        <v>66</v>
      </c>
      <c r="W4962" s="2" t="s">
        <v>7862</v>
      </c>
      <c r="X4962" s="2" t="s">
        <v>2897</v>
      </c>
      <c r="Y4962" s="2">
        <v>19500</v>
      </c>
      <c r="Z4962" s="19" t="str">
        <f>HYPERLINK("https://ssdweb.co/ssdweb/hd/Vision360.html?d=925930166&amp;zoomslide=1&amp;z=1925930166&amp;ISCONFIRM=0","VIDEO")</f>
        <v>VIDEO</v>
      </c>
      <c r="AA4962" s="19" t="str">
        <f>HYPERLINK("https://ssdweb.co/ssdweb/CERTH/629481848.pdf","CERTI")</f>
        <v>CERTI</v>
      </c>
    </row>
    <row r="4963" spans="1:27" ht="15" x14ac:dyDescent="0.25">
      <c r="A4963" s="2">
        <v>4958</v>
      </c>
      <c r="B4963" s="39">
        <v>925890313</v>
      </c>
      <c r="C4963" s="28" t="str">
        <f>HYPERLINK("https://pld.live/RapDetail.aspx?STONELIST=925890313","DNA")</f>
        <v>DNA</v>
      </c>
      <c r="D4963" s="18" t="s">
        <v>711</v>
      </c>
      <c r="E4963" s="18" t="s">
        <v>5128</v>
      </c>
      <c r="F4963" s="2" t="s">
        <v>7987</v>
      </c>
      <c r="G4963" s="2" t="s">
        <v>7322</v>
      </c>
      <c r="H4963" s="14">
        <v>1.56</v>
      </c>
      <c r="I4963" s="2" t="s">
        <v>267</v>
      </c>
      <c r="J4963" s="2" t="s">
        <v>13</v>
      </c>
      <c r="K4963" s="2" t="s">
        <v>1452</v>
      </c>
      <c r="L4963" s="2" t="s">
        <v>5221</v>
      </c>
      <c r="M4963" s="2" t="s">
        <v>5221</v>
      </c>
      <c r="N4963" s="2" t="s">
        <v>2317</v>
      </c>
      <c r="O4963" s="14">
        <v>11600</v>
      </c>
      <c r="P4963" s="14">
        <v>99.04</v>
      </c>
      <c r="Q4963" s="14">
        <v>111.36</v>
      </c>
      <c r="R4963" s="14">
        <v>173.72</v>
      </c>
      <c r="S4963" s="2" t="s">
        <v>3709</v>
      </c>
      <c r="T4963" s="2">
        <v>1.41</v>
      </c>
      <c r="U4963" s="2">
        <v>67.599999999999994</v>
      </c>
      <c r="V4963" s="2">
        <v>62</v>
      </c>
      <c r="W4963" s="2" t="s">
        <v>7862</v>
      </c>
      <c r="X4963" s="2" t="s">
        <v>2897</v>
      </c>
      <c r="Y4963" s="2">
        <v>18096</v>
      </c>
      <c r="Z4963" s="19" t="str">
        <f>HYPERLINK("https://ssdweb.co/ssdweb/hd/Vision360.html?d=925890313&amp;zoomslide=1&amp;z=1925890313&amp;ISCONFIRM=0","VIDEO")</f>
        <v>VIDEO</v>
      </c>
      <c r="AA4963" s="19" t="str">
        <f>HYPERLINK("https://ssdweb.co/ssdweb/CERTH/627431820.pdf","CERTI")</f>
        <v>CERTI</v>
      </c>
    </row>
    <row r="4964" spans="1:27" ht="15" x14ac:dyDescent="0.25">
      <c r="A4964" s="2">
        <v>4959</v>
      </c>
      <c r="B4964" s="39">
        <v>925621630</v>
      </c>
      <c r="C4964" s="28" t="str">
        <f>HYPERLINK("https://pld.live/RapDetail.aspx?STONELIST=925621630","DNA")</f>
        <v>DNA</v>
      </c>
      <c r="D4964" s="18" t="s">
        <v>711</v>
      </c>
      <c r="E4964" s="18" t="s">
        <v>5128</v>
      </c>
      <c r="F4964" s="2" t="s">
        <v>7987</v>
      </c>
      <c r="G4964" s="2" t="s">
        <v>7322</v>
      </c>
      <c r="H4964" s="14">
        <v>1.56</v>
      </c>
      <c r="I4964" s="2" t="s">
        <v>267</v>
      </c>
      <c r="J4964" s="2" t="s">
        <v>13</v>
      </c>
      <c r="K4964" s="2" t="s">
        <v>1452</v>
      </c>
      <c r="L4964" s="2" t="s">
        <v>5221</v>
      </c>
      <c r="M4964" s="2" t="s">
        <v>5221</v>
      </c>
      <c r="N4964" s="2" t="s">
        <v>2317</v>
      </c>
      <c r="O4964" s="14">
        <v>11600</v>
      </c>
      <c r="P4964" s="14">
        <v>99.04</v>
      </c>
      <c r="Q4964" s="14">
        <v>111.36</v>
      </c>
      <c r="R4964" s="14">
        <v>173.72</v>
      </c>
      <c r="S4964" s="2" t="s">
        <v>8061</v>
      </c>
      <c r="T4964" s="2">
        <v>1.38</v>
      </c>
      <c r="U4964" s="2">
        <v>67.5</v>
      </c>
      <c r="V4964" s="2">
        <v>64</v>
      </c>
      <c r="W4964" s="2" t="s">
        <v>7862</v>
      </c>
      <c r="X4964" s="2" t="s">
        <v>2897</v>
      </c>
      <c r="Y4964" s="2">
        <v>18096</v>
      </c>
      <c r="Z4964" s="19" t="str">
        <f>HYPERLINK("https://ssdweb.co/ssdweb/hd/Vision360.html?d=925621630&amp;zoomslide=1&amp;z=1925621630&amp;ISCONFIRM=0","VIDEO")</f>
        <v>VIDEO</v>
      </c>
      <c r="AA4964" s="19" t="str">
        <f>HYPERLINK("https://ssdweb.co/ssdweb/CERTH/621475759.pdf","CERTI")</f>
        <v>CERTI</v>
      </c>
    </row>
    <row r="4965" spans="1:27" ht="15" x14ac:dyDescent="0.25">
      <c r="A4965" s="2">
        <v>4960</v>
      </c>
      <c r="B4965" s="39">
        <v>926101469</v>
      </c>
      <c r="C4965" s="28" t="str">
        <f>HYPERLINK("https://pld.live/RapDetail.aspx?STONELIST=926101469","DNA")</f>
        <v>DNA</v>
      </c>
      <c r="D4965" s="18" t="s">
        <v>711</v>
      </c>
      <c r="E4965" s="18" t="s">
        <v>5128</v>
      </c>
      <c r="F4965" s="2" t="s">
        <v>7987</v>
      </c>
      <c r="G4965" s="2" t="s">
        <v>7322</v>
      </c>
      <c r="H4965" s="14">
        <v>1.56</v>
      </c>
      <c r="I4965" s="2" t="s">
        <v>267</v>
      </c>
      <c r="J4965" s="2" t="s">
        <v>13</v>
      </c>
      <c r="K4965" s="2" t="s">
        <v>1452</v>
      </c>
      <c r="L4965" s="2" t="s">
        <v>5221</v>
      </c>
      <c r="M4965" s="2" t="s">
        <v>5221</v>
      </c>
      <c r="N4965" s="2" t="s">
        <v>2317</v>
      </c>
      <c r="O4965" s="14">
        <v>11600</v>
      </c>
      <c r="P4965" s="14">
        <v>99.03</v>
      </c>
      <c r="Q4965" s="14">
        <v>112.52</v>
      </c>
      <c r="R4965" s="14">
        <v>175.53</v>
      </c>
      <c r="S4965" s="2" t="s">
        <v>515</v>
      </c>
      <c r="T4965" s="2">
        <v>1.37</v>
      </c>
      <c r="U4965" s="2">
        <v>67.8</v>
      </c>
      <c r="V4965" s="2">
        <v>65</v>
      </c>
      <c r="W4965" s="2" t="s">
        <v>7862</v>
      </c>
      <c r="X4965" s="2" t="s">
        <v>2897</v>
      </c>
      <c r="Y4965" s="2">
        <v>18096</v>
      </c>
      <c r="Z4965" s="19" t="str">
        <f>HYPERLINK("https://ssdweb.co/ssdweb/hd/Vision360.html?d=926101469&amp;zoomslide=1&amp;z=1926101469&amp;ISCONFIRM=0","VIDEO")</f>
        <v>VIDEO</v>
      </c>
      <c r="AA4965" s="19" t="str">
        <f>HYPERLINK("https://ssdweb.co/ssdweb/CERTH/632403832.pdf","CERTI")</f>
        <v>CERTI</v>
      </c>
    </row>
    <row r="4966" spans="1:27" ht="15" x14ac:dyDescent="0.25">
      <c r="A4966" s="2">
        <v>4961</v>
      </c>
      <c r="B4966" s="39">
        <v>926100879</v>
      </c>
      <c r="C4966" s="28" t="str">
        <f>HYPERLINK("https://pld.live/RapDetail.aspx?STONELIST=926100879","DNA")</f>
        <v>DNA</v>
      </c>
      <c r="D4966" s="18" t="s">
        <v>711</v>
      </c>
      <c r="E4966" s="18" t="s">
        <v>5128</v>
      </c>
      <c r="F4966" s="2" t="s">
        <v>7987</v>
      </c>
      <c r="G4966" s="2" t="s">
        <v>7322</v>
      </c>
      <c r="H4966" s="14">
        <v>1.56</v>
      </c>
      <c r="I4966" s="2" t="s">
        <v>267</v>
      </c>
      <c r="J4966" s="2" t="s">
        <v>13</v>
      </c>
      <c r="K4966" s="2" t="s">
        <v>1452</v>
      </c>
      <c r="L4966" s="2" t="s">
        <v>5221</v>
      </c>
      <c r="M4966" s="2" t="s">
        <v>5221</v>
      </c>
      <c r="N4966" s="2" t="s">
        <v>2317</v>
      </c>
      <c r="O4966" s="14">
        <v>11600</v>
      </c>
      <c r="P4966" s="14">
        <v>99.03</v>
      </c>
      <c r="Q4966" s="14">
        <v>112.52</v>
      </c>
      <c r="R4966" s="14">
        <v>175.53</v>
      </c>
      <c r="S4966" s="2" t="s">
        <v>247</v>
      </c>
      <c r="T4966" s="2">
        <v>1.36</v>
      </c>
      <c r="U4966" s="2">
        <v>67.400000000000006</v>
      </c>
      <c r="V4966" s="2">
        <v>62</v>
      </c>
      <c r="W4966" s="2" t="s">
        <v>7862</v>
      </c>
      <c r="X4966" s="2" t="s">
        <v>2897</v>
      </c>
      <c r="Y4966" s="2">
        <v>18096</v>
      </c>
      <c r="Z4966" s="19" t="str">
        <f>HYPERLINK("https://ssdweb.co/ssdweb/hd/Vision360.html?d=926100879&amp;zoomslide=1&amp;z=1926100879&amp;ISCONFIRM=0","VIDEO")</f>
        <v>VIDEO</v>
      </c>
      <c r="AA4966" s="19" t="str">
        <f>HYPERLINK("https://ssdweb.co/ssdweb/CERTH/631464158.pdf","CERTI")</f>
        <v>CERTI</v>
      </c>
    </row>
    <row r="4967" spans="1:27" ht="15" x14ac:dyDescent="0.25">
      <c r="A4967" s="2">
        <v>4962</v>
      </c>
      <c r="B4967" s="39">
        <v>925980582</v>
      </c>
      <c r="C4967" s="28" t="str">
        <f>HYPERLINK("https://pld.live/RapDetail.aspx?STONELIST=925980582","DNA")</f>
        <v>DNA</v>
      </c>
      <c r="D4967" s="18" t="s">
        <v>711</v>
      </c>
      <c r="E4967" s="18" t="s">
        <v>5128</v>
      </c>
      <c r="F4967" s="2" t="s">
        <v>7987</v>
      </c>
      <c r="G4967" s="2" t="s">
        <v>7322</v>
      </c>
      <c r="H4967" s="14">
        <v>1.56</v>
      </c>
      <c r="I4967" s="2" t="s">
        <v>267</v>
      </c>
      <c r="J4967" s="2" t="s">
        <v>13</v>
      </c>
      <c r="K4967" s="2" t="s">
        <v>1452</v>
      </c>
      <c r="L4967" s="2" t="s">
        <v>5221</v>
      </c>
      <c r="M4967" s="2" t="s">
        <v>5221</v>
      </c>
      <c r="N4967" s="2" t="s">
        <v>2317</v>
      </c>
      <c r="O4967" s="14">
        <v>11600</v>
      </c>
      <c r="P4967" s="14">
        <v>99.04</v>
      </c>
      <c r="Q4967" s="14">
        <v>111.36</v>
      </c>
      <c r="R4967" s="14">
        <v>173.72</v>
      </c>
      <c r="S4967" s="2" t="s">
        <v>5958</v>
      </c>
      <c r="T4967" s="2">
        <v>1.4</v>
      </c>
      <c r="U4967" s="2">
        <v>64.8</v>
      </c>
      <c r="V4967" s="2">
        <v>65</v>
      </c>
      <c r="W4967" s="2" t="s">
        <v>7862</v>
      </c>
      <c r="X4967" s="2" t="s">
        <v>2897</v>
      </c>
      <c r="Y4967" s="2">
        <v>18096</v>
      </c>
      <c r="Z4967" s="19" t="str">
        <f>HYPERLINK("https://ssdweb.co/ssdweb/hd/Vision360.html?d=925980582&amp;zoomslide=1&amp;z=1925980582&amp;ISCONFIRM=0","VIDEO")</f>
        <v>VIDEO</v>
      </c>
      <c r="AA4967" s="19" t="str">
        <f>HYPERLINK("https://ssdweb.co/ssdweb/CERTH/628463145.pdf","CERTI")</f>
        <v>CERTI</v>
      </c>
    </row>
    <row r="4968" spans="1:27" ht="15" x14ac:dyDescent="0.25">
      <c r="A4968" s="2">
        <v>4963</v>
      </c>
      <c r="B4968" s="39">
        <v>925500410</v>
      </c>
      <c r="C4968" s="28" t="str">
        <f>HYPERLINK("https://pld.live/RapDetail.aspx?STONELIST=925500410","DNA")</f>
        <v>DNA</v>
      </c>
      <c r="D4968" s="18" t="s">
        <v>711</v>
      </c>
      <c r="E4968" s="18" t="s">
        <v>5128</v>
      </c>
      <c r="F4968" s="2" t="s">
        <v>7987</v>
      </c>
      <c r="G4968" s="2" t="s">
        <v>7322</v>
      </c>
      <c r="H4968" s="14">
        <v>1.56</v>
      </c>
      <c r="I4968" s="2" t="s">
        <v>4761</v>
      </c>
      <c r="J4968" s="2" t="s">
        <v>6555</v>
      </c>
      <c r="K4968" s="2" t="s">
        <v>1452</v>
      </c>
      <c r="L4968" s="2" t="s">
        <v>5221</v>
      </c>
      <c r="M4968" s="2" t="s">
        <v>5221</v>
      </c>
      <c r="N4968" s="2" t="s">
        <v>2317</v>
      </c>
      <c r="O4968" s="14">
        <v>12400</v>
      </c>
      <c r="P4968" s="14">
        <v>98.91</v>
      </c>
      <c r="Q4968" s="14">
        <v>135.16</v>
      </c>
      <c r="R4968" s="14">
        <v>210.85</v>
      </c>
      <c r="S4968" s="2" t="s">
        <v>5323</v>
      </c>
      <c r="T4968" s="2">
        <v>1.37</v>
      </c>
      <c r="U4968" s="2">
        <v>67.099999999999994</v>
      </c>
      <c r="V4968" s="2">
        <v>67</v>
      </c>
      <c r="W4968" s="2" t="s">
        <v>7862</v>
      </c>
      <c r="X4968" s="2" t="s">
        <v>2897</v>
      </c>
      <c r="Y4968" s="2">
        <v>19344</v>
      </c>
      <c r="Z4968" s="19" t="str">
        <f>HYPERLINK("https://ssdweb.co/ssdweb/hd/Vision360.html?d=925500410&amp;zoomslide=1&amp;z=1925500410&amp;ISCONFIRM=0","VIDEO")</f>
        <v>VIDEO</v>
      </c>
      <c r="AA4968" s="19" t="str">
        <f>HYPERLINK("https://ssdweb.co/ssdweb/CERTH/616423513.pdf","CERTI")</f>
        <v>CERTI</v>
      </c>
    </row>
    <row r="4969" spans="1:27" ht="15" x14ac:dyDescent="0.25">
      <c r="A4969" s="2">
        <v>4964</v>
      </c>
      <c r="B4969" s="39">
        <v>925060042</v>
      </c>
      <c r="C4969" s="28" t="str">
        <f>HYPERLINK("https://pld.live/RapDetail.aspx?STONELIST=925060042","DNA")</f>
        <v>DNA</v>
      </c>
      <c r="D4969" s="18" t="s">
        <v>711</v>
      </c>
      <c r="E4969" s="18" t="s">
        <v>2186</v>
      </c>
      <c r="F4969" s="2" t="s">
        <v>7987</v>
      </c>
      <c r="G4969" s="2" t="s">
        <v>7322</v>
      </c>
      <c r="H4969" s="14">
        <v>1.56</v>
      </c>
      <c r="I4969" s="2" t="s">
        <v>6587</v>
      </c>
      <c r="J4969" s="2" t="s">
        <v>5144</v>
      </c>
      <c r="K4969" s="2" t="s">
        <v>1452</v>
      </c>
      <c r="L4969" s="2" t="s">
        <v>5221</v>
      </c>
      <c r="M4969" s="2" t="s">
        <v>5221</v>
      </c>
      <c r="N4969" s="2" t="s">
        <v>2317</v>
      </c>
      <c r="O4969" s="14">
        <v>8200</v>
      </c>
      <c r="P4969" s="14">
        <v>98.84</v>
      </c>
      <c r="Q4969" s="14">
        <v>95.12</v>
      </c>
      <c r="R4969" s="14">
        <v>148.38999999999999</v>
      </c>
      <c r="S4969" s="2" t="s">
        <v>2490</v>
      </c>
      <c r="T4969" s="2">
        <v>1.43</v>
      </c>
      <c r="U4969" s="2">
        <v>66.5</v>
      </c>
      <c r="V4969" s="2">
        <v>64</v>
      </c>
      <c r="W4969" s="2" t="s">
        <v>7862</v>
      </c>
      <c r="X4969" s="2" t="s">
        <v>2897</v>
      </c>
      <c r="Y4969" s="2">
        <v>12792</v>
      </c>
      <c r="Z4969" s="19" t="str">
        <f>HYPERLINK("https://ssdweb.co/ssdweb/hd/Vision360.html?d=925060042&amp;zoomslide=1&amp;z=1925060042&amp;ISCONFIRM=0","VIDEO")</f>
        <v>VIDEO</v>
      </c>
      <c r="AA4969" s="19" t="str">
        <f>HYPERLINK("https://ssdweb.co/ssdweb/CERTH/605371080.pdf","CERTI")</f>
        <v>CERTI</v>
      </c>
    </row>
    <row r="4970" spans="1:27" ht="15" x14ac:dyDescent="0.25">
      <c r="A4970" s="2">
        <v>4965</v>
      </c>
      <c r="B4970" s="39">
        <v>926040708</v>
      </c>
      <c r="C4970" s="28" t="str">
        <f>HYPERLINK("https://pld.live/RapDetail.aspx?STONELIST=926040708","DNA")</f>
        <v>DNA</v>
      </c>
      <c r="D4970" s="18" t="s">
        <v>711</v>
      </c>
      <c r="E4970" s="18" t="s">
        <v>5128</v>
      </c>
      <c r="F4970" s="2" t="s">
        <v>7987</v>
      </c>
      <c r="G4970" s="2" t="s">
        <v>7322</v>
      </c>
      <c r="H4970" s="14">
        <v>1.55</v>
      </c>
      <c r="I4970" s="2" t="s">
        <v>267</v>
      </c>
      <c r="J4970" s="2" t="s">
        <v>7032</v>
      </c>
      <c r="K4970" s="2" t="s">
        <v>1452</v>
      </c>
      <c r="L4970" s="2" t="s">
        <v>5221</v>
      </c>
      <c r="M4970" s="2" t="s">
        <v>5221</v>
      </c>
      <c r="N4970" s="2" t="s">
        <v>2317</v>
      </c>
      <c r="O4970" s="14">
        <v>14100</v>
      </c>
      <c r="P4970" s="14">
        <v>97.18</v>
      </c>
      <c r="Q4970" s="14">
        <v>397.62</v>
      </c>
      <c r="R4970" s="14">
        <v>616.30999999999995</v>
      </c>
      <c r="S4970" s="2" t="s">
        <v>6418</v>
      </c>
      <c r="T4970" s="2">
        <v>1.37</v>
      </c>
      <c r="U4970" s="2">
        <v>67.8</v>
      </c>
      <c r="V4970" s="2">
        <v>66</v>
      </c>
      <c r="W4970" s="2" t="s">
        <v>7862</v>
      </c>
      <c r="X4970" s="2" t="s">
        <v>2897</v>
      </c>
      <c r="Y4970" s="2">
        <v>21855</v>
      </c>
      <c r="Z4970" s="19" t="str">
        <f>HYPERLINK("https://ssdweb.co/ssdweb/hd/Vision360.html?d=926040708&amp;zoomslide=1&amp;z=1926040708&amp;ISCONFIRM=0","VIDEO")</f>
        <v>VIDEO</v>
      </c>
      <c r="AA4970" s="19" t="str">
        <f>HYPERLINK("https://ssdweb.co/ssdweb/CERTH/629497387.pdf","CERTI")</f>
        <v>CERTI</v>
      </c>
    </row>
    <row r="4971" spans="1:27" ht="15" x14ac:dyDescent="0.25">
      <c r="A4971" s="2">
        <v>4966</v>
      </c>
      <c r="B4971" s="39">
        <v>925861899</v>
      </c>
      <c r="C4971" s="28" t="str">
        <f>HYPERLINK("https://pld.live/RapDetail.aspx?STONELIST=925861899","DNA")</f>
        <v>DNA</v>
      </c>
      <c r="D4971" s="18" t="s">
        <v>711</v>
      </c>
      <c r="E4971" s="18" t="s">
        <v>5128</v>
      </c>
      <c r="F4971" s="2" t="s">
        <v>7987</v>
      </c>
      <c r="G4971" s="2" t="s">
        <v>7322</v>
      </c>
      <c r="H4971" s="14">
        <v>1.55</v>
      </c>
      <c r="I4971" s="2" t="s">
        <v>267</v>
      </c>
      <c r="J4971" s="2" t="s">
        <v>6555</v>
      </c>
      <c r="K4971" s="2" t="s">
        <v>1452</v>
      </c>
      <c r="L4971" s="2" t="s">
        <v>5221</v>
      </c>
      <c r="M4971" s="2" t="s">
        <v>5221</v>
      </c>
      <c r="N4971" s="2" t="s">
        <v>2317</v>
      </c>
      <c r="O4971" s="14">
        <v>13200</v>
      </c>
      <c r="P4971" s="14">
        <v>98.89</v>
      </c>
      <c r="Q4971" s="14">
        <v>146.52000000000001</v>
      </c>
      <c r="R4971" s="14">
        <v>227.11</v>
      </c>
      <c r="S4971" s="2" t="s">
        <v>7867</v>
      </c>
      <c r="T4971" s="2">
        <v>1.4</v>
      </c>
      <c r="U4971" s="2">
        <v>66.5</v>
      </c>
      <c r="V4971" s="2">
        <v>65</v>
      </c>
      <c r="W4971" s="2" t="s">
        <v>7862</v>
      </c>
      <c r="X4971" s="2" t="s">
        <v>2897</v>
      </c>
      <c r="Y4971" s="2">
        <v>20460</v>
      </c>
      <c r="Z4971" s="19" t="str">
        <f>HYPERLINK("https://ssdweb.co/ssdweb/hd/Vision360.html?d=925861899&amp;zoomslide=1&amp;z=1925861899&amp;ISCONFIRM=0","VIDEO")</f>
        <v>VIDEO</v>
      </c>
      <c r="AA4971" s="19" t="str">
        <f>HYPERLINK("https://ssdweb.co/ssdweb/CERTH/627410560.pdf","CERTI")</f>
        <v>CERTI</v>
      </c>
    </row>
    <row r="4972" spans="1:27" ht="15" x14ac:dyDescent="0.25">
      <c r="A4972" s="2">
        <v>4967</v>
      </c>
      <c r="B4972" s="39">
        <v>925732045</v>
      </c>
      <c r="C4972" s="28" t="str">
        <f>HYPERLINK("https://pld.live/RapDetail.aspx?STONELIST=925732045","DNA")</f>
        <v>DNA</v>
      </c>
      <c r="D4972" s="18" t="s">
        <v>711</v>
      </c>
      <c r="E4972" s="18" t="s">
        <v>5128</v>
      </c>
      <c r="F4972" s="2" t="s">
        <v>7987</v>
      </c>
      <c r="G4972" s="2" t="s">
        <v>7322</v>
      </c>
      <c r="H4972" s="14">
        <v>1.55</v>
      </c>
      <c r="I4972" s="2" t="s">
        <v>267</v>
      </c>
      <c r="J4972" s="2" t="s">
        <v>6555</v>
      </c>
      <c r="K4972" s="2" t="s">
        <v>1452</v>
      </c>
      <c r="L4972" s="2" t="s">
        <v>5221</v>
      </c>
      <c r="M4972" s="2" t="s">
        <v>5221</v>
      </c>
      <c r="N4972" s="2" t="s">
        <v>2317</v>
      </c>
      <c r="O4972" s="14">
        <v>13200</v>
      </c>
      <c r="P4972" s="14">
        <v>98.89</v>
      </c>
      <c r="Q4972" s="14">
        <v>146.52000000000001</v>
      </c>
      <c r="R4972" s="14">
        <v>227.11</v>
      </c>
      <c r="S4972" s="2" t="s">
        <v>4335</v>
      </c>
      <c r="T4972" s="2">
        <v>1.39</v>
      </c>
      <c r="U4972" s="2">
        <v>64.5</v>
      </c>
      <c r="V4972" s="2">
        <v>60</v>
      </c>
      <c r="W4972" s="2" t="s">
        <v>7862</v>
      </c>
      <c r="X4972" s="2" t="s">
        <v>2897</v>
      </c>
      <c r="Y4972" s="2">
        <v>20460</v>
      </c>
      <c r="Z4972" s="19" t="str">
        <f>HYPERLINK("https://ssdweb.co/ssdweb/hd/Vision360.html?d=925732045&amp;zoomslide=1&amp;z=1925732045&amp;ISCONFIRM=0","VIDEO")</f>
        <v>VIDEO</v>
      </c>
      <c r="AA4972" s="19" t="str">
        <f>HYPERLINK("https://ssdweb.co/ssdweb/CERTH/625432311.pdf","CERTI")</f>
        <v>CERTI</v>
      </c>
    </row>
    <row r="4973" spans="1:27" ht="15" x14ac:dyDescent="0.25">
      <c r="A4973" s="2">
        <v>4968</v>
      </c>
      <c r="B4973" s="39">
        <v>821126920</v>
      </c>
      <c r="C4973" s="28" t="str">
        <f>HYPERLINK("https://pld.live/RapDetail.aspx?STONELIST=821126920","DNA")</f>
        <v>DNA</v>
      </c>
      <c r="D4973" s="18" t="s">
        <v>711</v>
      </c>
      <c r="E4973" s="18" t="s">
        <v>5128</v>
      </c>
      <c r="F4973" s="2" t="s">
        <v>7987</v>
      </c>
      <c r="G4973" s="2" t="s">
        <v>7322</v>
      </c>
      <c r="H4973" s="14">
        <v>1.55</v>
      </c>
      <c r="I4973" s="2" t="s">
        <v>267</v>
      </c>
      <c r="J4973" s="2" t="s">
        <v>6555</v>
      </c>
      <c r="K4973" s="2" t="s">
        <v>1452</v>
      </c>
      <c r="L4973" s="2" t="s">
        <v>5221</v>
      </c>
      <c r="M4973" s="2" t="s">
        <v>5221</v>
      </c>
      <c r="N4973" s="2" t="s">
        <v>2317</v>
      </c>
      <c r="O4973" s="14">
        <v>13200</v>
      </c>
      <c r="P4973" s="14">
        <v>98.89</v>
      </c>
      <c r="Q4973" s="14">
        <v>146.52000000000001</v>
      </c>
      <c r="R4973" s="14">
        <v>227.11</v>
      </c>
      <c r="S4973" s="2" t="s">
        <v>1674</v>
      </c>
      <c r="T4973" s="2">
        <v>1.44</v>
      </c>
      <c r="U4973" s="2">
        <v>64.400000000000006</v>
      </c>
      <c r="V4973" s="2">
        <v>61</v>
      </c>
      <c r="W4973" s="2" t="s">
        <v>7862</v>
      </c>
      <c r="X4973" s="2" t="s">
        <v>2897</v>
      </c>
      <c r="Y4973" s="2">
        <v>20460</v>
      </c>
      <c r="Z4973" s="19" t="str">
        <f>HYPERLINK("https://ssdweb.co/ssdweb/hd/Vision360.html?d=821126920&amp;zoomslide=1&amp;z=1821126920&amp;ISCONFIRM=0","VIDEO")</f>
        <v>VIDEO</v>
      </c>
      <c r="AA4973" s="19" t="str">
        <f>HYPERLINK("https://ssdweb.co/ssdweb/CERTH/621411017.pdf","CERTI")</f>
        <v>CERTI</v>
      </c>
    </row>
    <row r="4974" spans="1:27" ht="15" x14ac:dyDescent="0.25">
      <c r="A4974" s="2">
        <v>4969</v>
      </c>
      <c r="B4974" s="39">
        <v>925551850</v>
      </c>
      <c r="C4974" s="28" t="str">
        <f>HYPERLINK("https://pld.live/RapDetail.aspx?STONELIST=925551850","DNA")</f>
        <v>DNA</v>
      </c>
      <c r="D4974" s="18" t="s">
        <v>711</v>
      </c>
      <c r="E4974" s="18" t="s">
        <v>5128</v>
      </c>
      <c r="F4974" s="2" t="s">
        <v>7987</v>
      </c>
      <c r="G4974" s="2" t="s">
        <v>7322</v>
      </c>
      <c r="H4974" s="14">
        <v>1.55</v>
      </c>
      <c r="I4974" s="2" t="s">
        <v>267</v>
      </c>
      <c r="J4974" s="2" t="s">
        <v>6555</v>
      </c>
      <c r="K4974" s="2" t="s">
        <v>1452</v>
      </c>
      <c r="L4974" s="2" t="s">
        <v>5221</v>
      </c>
      <c r="M4974" s="2" t="s">
        <v>5221</v>
      </c>
      <c r="N4974" s="2" t="s">
        <v>2317</v>
      </c>
      <c r="O4974" s="14">
        <v>13200</v>
      </c>
      <c r="P4974" s="14">
        <v>98.89</v>
      </c>
      <c r="Q4974" s="14">
        <v>146.52000000000001</v>
      </c>
      <c r="R4974" s="14">
        <v>227.11</v>
      </c>
      <c r="S4974" s="2" t="s">
        <v>2942</v>
      </c>
      <c r="T4974" s="2">
        <v>1.46</v>
      </c>
      <c r="U4974" s="2">
        <v>64.599999999999994</v>
      </c>
      <c r="V4974" s="2">
        <v>65</v>
      </c>
      <c r="W4974" s="2" t="s">
        <v>7862</v>
      </c>
      <c r="X4974" s="2" t="s">
        <v>2897</v>
      </c>
      <c r="Y4974" s="2">
        <v>20460</v>
      </c>
      <c r="Z4974" s="19" t="str">
        <f>HYPERLINK("https://ssdweb.co/ssdweb/hd/Vision360.html?d=925551850&amp;zoomslide=1&amp;z=1925551850&amp;ISCONFIRM=0","VIDEO")</f>
        <v>VIDEO</v>
      </c>
      <c r="AA4974" s="19" t="str">
        <f>HYPERLINK("https://ssdweb.co/ssdweb/CERTH/620403124.pdf","CERTI")</f>
        <v>CERTI</v>
      </c>
    </row>
    <row r="4975" spans="1:27" ht="15" x14ac:dyDescent="0.25">
      <c r="A4975" s="2">
        <v>4970</v>
      </c>
      <c r="B4975" s="39">
        <v>925500650</v>
      </c>
      <c r="C4975" s="28" t="str">
        <f>HYPERLINK("https://pld.live/RapDetail.aspx?STONELIST=925500650","DNA")</f>
        <v>DNA</v>
      </c>
      <c r="D4975" s="18" t="s">
        <v>711</v>
      </c>
      <c r="E4975" s="18" t="s">
        <v>5128</v>
      </c>
      <c r="F4975" s="2" t="s">
        <v>7987</v>
      </c>
      <c r="G4975" s="2" t="s">
        <v>7322</v>
      </c>
      <c r="H4975" s="14">
        <v>1.55</v>
      </c>
      <c r="I4975" s="2" t="s">
        <v>267</v>
      </c>
      <c r="J4975" s="2" t="s">
        <v>6555</v>
      </c>
      <c r="K4975" s="2" t="s">
        <v>1452</v>
      </c>
      <c r="L4975" s="2" t="s">
        <v>5221</v>
      </c>
      <c r="M4975" s="2" t="s">
        <v>5221</v>
      </c>
      <c r="N4975" s="2" t="s">
        <v>2317</v>
      </c>
      <c r="O4975" s="14">
        <v>13200</v>
      </c>
      <c r="P4975" s="14">
        <v>98.89</v>
      </c>
      <c r="Q4975" s="14">
        <v>146.52000000000001</v>
      </c>
      <c r="R4975" s="14">
        <v>227.11</v>
      </c>
      <c r="S4975" s="2" t="s">
        <v>7450</v>
      </c>
      <c r="T4975" s="2">
        <v>1.36</v>
      </c>
      <c r="U4975" s="2">
        <v>65.2</v>
      </c>
      <c r="V4975" s="2">
        <v>63</v>
      </c>
      <c r="W4975" s="2" t="s">
        <v>7862</v>
      </c>
      <c r="X4975" s="2" t="s">
        <v>2897</v>
      </c>
      <c r="Y4975" s="2">
        <v>20460</v>
      </c>
      <c r="Z4975" s="19" t="str">
        <f>HYPERLINK("https://ssdweb.co/ssdweb/hd/Vision360.html?d=925500650&amp;zoomslide=1&amp;z=1925500650&amp;ISCONFIRM=0","VIDEO")</f>
        <v>VIDEO</v>
      </c>
      <c r="AA4975" s="19" t="str">
        <f>HYPERLINK("https://ssdweb.co/ssdweb/CERTH/616434360.pdf","CERTI")</f>
        <v>CERTI</v>
      </c>
    </row>
    <row r="4976" spans="1:27" ht="15" x14ac:dyDescent="0.25">
      <c r="A4976" s="2">
        <v>4971</v>
      </c>
      <c r="B4976" s="39">
        <v>926101480</v>
      </c>
      <c r="C4976" s="28" t="str">
        <f>HYPERLINK("https://pld.live/RapDetail.aspx?STONELIST=926101480","DNA")</f>
        <v>DNA</v>
      </c>
      <c r="D4976" s="18" t="s">
        <v>711</v>
      </c>
      <c r="E4976" s="18" t="s">
        <v>5128</v>
      </c>
      <c r="F4976" s="2" t="s">
        <v>7987</v>
      </c>
      <c r="G4976" s="2" t="s">
        <v>7322</v>
      </c>
      <c r="H4976" s="14">
        <v>1.55</v>
      </c>
      <c r="I4976" s="2" t="s">
        <v>267</v>
      </c>
      <c r="J4976" s="2" t="s">
        <v>6555</v>
      </c>
      <c r="K4976" s="2" t="s">
        <v>1452</v>
      </c>
      <c r="L4976" s="2" t="s">
        <v>5221</v>
      </c>
      <c r="M4976" s="2" t="s">
        <v>5221</v>
      </c>
      <c r="N4976" s="2" t="s">
        <v>2317</v>
      </c>
      <c r="O4976" s="14">
        <v>13200</v>
      </c>
      <c r="P4976" s="14">
        <v>98.88</v>
      </c>
      <c r="Q4976" s="14">
        <v>147.84</v>
      </c>
      <c r="R4976" s="14">
        <v>229.15</v>
      </c>
      <c r="S4976" s="2" t="s">
        <v>2300</v>
      </c>
      <c r="T4976" s="2">
        <v>1.4</v>
      </c>
      <c r="U4976" s="2">
        <v>67</v>
      </c>
      <c r="V4976" s="2">
        <v>64</v>
      </c>
      <c r="W4976" s="2" t="s">
        <v>7862</v>
      </c>
      <c r="X4976" s="2" t="s">
        <v>2897</v>
      </c>
      <c r="Y4976" s="2">
        <v>20460</v>
      </c>
      <c r="Z4976" s="19" t="str">
        <f>HYPERLINK("https://ssdweb.co/ssdweb/hd/Vision360.html?d=926101480&amp;zoomslide=1&amp;z=1926101480&amp;ISCONFIRM=0","VIDEO")</f>
        <v>VIDEO</v>
      </c>
      <c r="AA4976" s="19" t="str">
        <f>HYPERLINK("https://ssdweb.co/ssdweb/CERTH/632421519.pdf","CERTI")</f>
        <v>CERTI</v>
      </c>
    </row>
    <row r="4977" spans="1:27" ht="15" x14ac:dyDescent="0.25">
      <c r="A4977" s="2">
        <v>4972</v>
      </c>
      <c r="B4977" s="39">
        <v>925950206</v>
      </c>
      <c r="C4977" s="28" t="str">
        <f>HYPERLINK("https://pld.live/RapDetail.aspx?STONELIST=925950206","DNA")</f>
        <v>DNA</v>
      </c>
      <c r="D4977" s="18" t="s">
        <v>711</v>
      </c>
      <c r="E4977" s="18" t="s">
        <v>5128</v>
      </c>
      <c r="F4977" s="2" t="s">
        <v>7987</v>
      </c>
      <c r="G4977" s="2" t="s">
        <v>7322</v>
      </c>
      <c r="H4977" s="14">
        <v>1.55</v>
      </c>
      <c r="I4977" s="2" t="s">
        <v>267</v>
      </c>
      <c r="J4977" s="2" t="s">
        <v>3942</v>
      </c>
      <c r="K4977" s="2" t="s">
        <v>1452</v>
      </c>
      <c r="L4977" s="2" t="s">
        <v>5221</v>
      </c>
      <c r="M4977" s="2" t="s">
        <v>5221</v>
      </c>
      <c r="N4977" s="2" t="s">
        <v>2317</v>
      </c>
      <c r="O4977" s="14">
        <v>12500</v>
      </c>
      <c r="P4977" s="14">
        <v>99.05</v>
      </c>
      <c r="Q4977" s="14">
        <v>118.75</v>
      </c>
      <c r="R4977" s="14">
        <v>184.06</v>
      </c>
      <c r="S4977" s="2" t="s">
        <v>1202</v>
      </c>
      <c r="T4977" s="2">
        <v>1.39</v>
      </c>
      <c r="U4977" s="2">
        <v>64.8</v>
      </c>
      <c r="V4977" s="2">
        <v>66</v>
      </c>
      <c r="W4977" s="2" t="s">
        <v>7862</v>
      </c>
      <c r="X4977" s="2" t="s">
        <v>2897</v>
      </c>
      <c r="Y4977" s="2">
        <v>19375</v>
      </c>
      <c r="Z4977" s="19" t="str">
        <f>HYPERLINK("https://ssdweb.co/ssdweb/hd/Vision360.html?d=925950206&amp;zoomslide=1&amp;z=1925950206&amp;ISCONFIRM=0","VIDEO")</f>
        <v>VIDEO</v>
      </c>
      <c r="AA4977" s="19" t="str">
        <f>HYPERLINK("https://ssdweb.co/ssdweb/CERTH/636470119.pdf","CERTI")</f>
        <v>CERTI</v>
      </c>
    </row>
    <row r="4978" spans="1:27" ht="15" x14ac:dyDescent="0.25">
      <c r="A4978" s="2">
        <v>4973</v>
      </c>
      <c r="B4978" s="39">
        <v>821126937</v>
      </c>
      <c r="C4978" s="28" t="str">
        <f>HYPERLINK("https://pld.live/RapDetail.aspx?STONELIST=821126937","DNA")</f>
        <v>DNA</v>
      </c>
      <c r="D4978" s="18" t="s">
        <v>711</v>
      </c>
      <c r="E4978" s="18" t="s">
        <v>5128</v>
      </c>
      <c r="F4978" s="2" t="s">
        <v>7987</v>
      </c>
      <c r="G4978" s="2" t="s">
        <v>7322</v>
      </c>
      <c r="H4978" s="14">
        <v>1.55</v>
      </c>
      <c r="I4978" s="2" t="s">
        <v>267</v>
      </c>
      <c r="J4978" s="2" t="s">
        <v>3942</v>
      </c>
      <c r="K4978" s="2" t="s">
        <v>1452</v>
      </c>
      <c r="L4978" s="2" t="s">
        <v>5221</v>
      </c>
      <c r="M4978" s="2" t="s">
        <v>5221</v>
      </c>
      <c r="N4978" s="2" t="s">
        <v>2317</v>
      </c>
      <c r="O4978" s="14">
        <v>12500</v>
      </c>
      <c r="P4978" s="14">
        <v>99.06</v>
      </c>
      <c r="Q4978" s="14">
        <v>117.5</v>
      </c>
      <c r="R4978" s="14">
        <v>182.13</v>
      </c>
      <c r="S4978" s="2" t="s">
        <v>7704</v>
      </c>
      <c r="T4978" s="2">
        <v>1.44</v>
      </c>
      <c r="U4978" s="2">
        <v>67.7</v>
      </c>
      <c r="V4978" s="2">
        <v>63</v>
      </c>
      <c r="W4978" s="2" t="s">
        <v>7862</v>
      </c>
      <c r="X4978" s="2" t="s">
        <v>2897</v>
      </c>
      <c r="Y4978" s="2">
        <v>19375</v>
      </c>
      <c r="Z4978" s="19" t="str">
        <f>HYPERLINK("https://ssdweb.co/ssdweb/hd/Vision360.html?d=821126937&amp;zoomslide=1&amp;z=1821126937&amp;ISCONFIRM=0","VIDEO")</f>
        <v>VIDEO</v>
      </c>
      <c r="AA4978" s="19" t="str">
        <f>HYPERLINK("https://ssdweb.co/ssdweb/CERTH/621411018.pdf","CERTI")</f>
        <v>CERTI</v>
      </c>
    </row>
    <row r="4979" spans="1:27" ht="15" x14ac:dyDescent="0.25">
      <c r="A4979" s="2">
        <v>4974</v>
      </c>
      <c r="B4979" s="39">
        <v>925551880</v>
      </c>
      <c r="C4979" s="28" t="str">
        <f>HYPERLINK("https://pld.live/RapDetail.aspx?STONELIST=925551880","DNA")</f>
        <v>DNA</v>
      </c>
      <c r="D4979" s="18" t="s">
        <v>711</v>
      </c>
      <c r="E4979" s="18" t="s">
        <v>5128</v>
      </c>
      <c r="F4979" s="2" t="s">
        <v>7987</v>
      </c>
      <c r="G4979" s="2" t="s">
        <v>7322</v>
      </c>
      <c r="H4979" s="14">
        <v>1.55</v>
      </c>
      <c r="I4979" s="2" t="s">
        <v>267</v>
      </c>
      <c r="J4979" s="2" t="s">
        <v>3942</v>
      </c>
      <c r="K4979" s="2" t="s">
        <v>1452</v>
      </c>
      <c r="L4979" s="2" t="s">
        <v>5221</v>
      </c>
      <c r="M4979" s="2" t="s">
        <v>5221</v>
      </c>
      <c r="N4979" s="2" t="s">
        <v>2317</v>
      </c>
      <c r="O4979" s="14">
        <v>12500</v>
      </c>
      <c r="P4979" s="14">
        <v>99.06</v>
      </c>
      <c r="Q4979" s="14">
        <v>117.5</v>
      </c>
      <c r="R4979" s="14">
        <v>182.13</v>
      </c>
      <c r="S4979" s="2" t="s">
        <v>5799</v>
      </c>
      <c r="T4979" s="2">
        <v>1.39</v>
      </c>
      <c r="U4979" s="2">
        <v>66.8</v>
      </c>
      <c r="V4979" s="2">
        <v>64</v>
      </c>
      <c r="W4979" s="2" t="s">
        <v>7862</v>
      </c>
      <c r="X4979" s="2" t="s">
        <v>2897</v>
      </c>
      <c r="Y4979" s="2">
        <v>19375</v>
      </c>
      <c r="Z4979" s="19" t="str">
        <f>HYPERLINK("https://ssdweb.co/ssdweb/hd/Vision360.html?d=925551880&amp;zoomslide=1&amp;z=1925551880&amp;ISCONFIRM=0","VIDEO")</f>
        <v>VIDEO</v>
      </c>
      <c r="AA4979" s="19" t="str">
        <f>HYPERLINK("https://ssdweb.co/ssdweb/CERTH/620403182.pdf","CERTI")</f>
        <v>CERTI</v>
      </c>
    </row>
    <row r="4980" spans="1:27" ht="15" x14ac:dyDescent="0.25">
      <c r="A4980" s="2">
        <v>4975</v>
      </c>
      <c r="B4980" s="39">
        <v>925501684</v>
      </c>
      <c r="C4980" s="28" t="str">
        <f>HYPERLINK("https://pld.live/RapDetail.aspx?STONELIST=925501684","DNA")</f>
        <v>DNA</v>
      </c>
      <c r="D4980" s="18" t="s">
        <v>711</v>
      </c>
      <c r="E4980" s="18" t="s">
        <v>5128</v>
      </c>
      <c r="F4980" s="2" t="s">
        <v>7987</v>
      </c>
      <c r="G4980" s="2" t="s">
        <v>7322</v>
      </c>
      <c r="H4980" s="14">
        <v>1.55</v>
      </c>
      <c r="I4980" s="2" t="s">
        <v>267</v>
      </c>
      <c r="J4980" s="2" t="s">
        <v>3942</v>
      </c>
      <c r="K4980" s="2" t="s">
        <v>1452</v>
      </c>
      <c r="L4980" s="2" t="s">
        <v>5221</v>
      </c>
      <c r="M4980" s="2" t="s">
        <v>5221</v>
      </c>
      <c r="N4980" s="2" t="s">
        <v>2317</v>
      </c>
      <c r="O4980" s="14">
        <v>12500</v>
      </c>
      <c r="P4980" s="14">
        <v>99.06</v>
      </c>
      <c r="Q4980" s="14">
        <v>117.5</v>
      </c>
      <c r="R4980" s="14">
        <v>182.13</v>
      </c>
      <c r="S4980" s="2" t="s">
        <v>1059</v>
      </c>
      <c r="T4980" s="2">
        <v>1.37</v>
      </c>
      <c r="U4980" s="2">
        <v>65</v>
      </c>
      <c r="V4980" s="2">
        <v>66</v>
      </c>
      <c r="W4980" s="2" t="s">
        <v>7862</v>
      </c>
      <c r="X4980" s="2" t="s">
        <v>2897</v>
      </c>
      <c r="Y4980" s="2">
        <v>19375</v>
      </c>
      <c r="Z4980" s="19" t="str">
        <f>HYPERLINK("https://ssdweb.co/ssdweb/hd/Vision360.html?d=925501684&amp;zoomslide=1&amp;z=1925501684&amp;ISCONFIRM=0","VIDEO")</f>
        <v>VIDEO</v>
      </c>
      <c r="AA4980" s="19" t="str">
        <f>HYPERLINK("https://ssdweb.co/ssdweb/CERTH/617485912.pdf","CERTI")</f>
        <v>CERTI</v>
      </c>
    </row>
    <row r="4981" spans="1:27" ht="15" x14ac:dyDescent="0.25">
      <c r="A4981" s="2">
        <v>4976</v>
      </c>
      <c r="B4981" s="39">
        <v>925502074</v>
      </c>
      <c r="C4981" s="28" t="str">
        <f>HYPERLINK("https://pld.live/RapDetail.aspx?STONELIST=925502074","DNA")</f>
        <v>DNA</v>
      </c>
      <c r="D4981" s="18" t="s">
        <v>711</v>
      </c>
      <c r="E4981" s="18" t="s">
        <v>5128</v>
      </c>
      <c r="F4981" s="2" t="s">
        <v>7987</v>
      </c>
      <c r="G4981" s="2" t="s">
        <v>7322</v>
      </c>
      <c r="H4981" s="14">
        <v>1.55</v>
      </c>
      <c r="I4981" s="2" t="s">
        <v>267</v>
      </c>
      <c r="J4981" s="2" t="s">
        <v>3942</v>
      </c>
      <c r="K4981" s="2" t="s">
        <v>1452</v>
      </c>
      <c r="L4981" s="2" t="s">
        <v>5221</v>
      </c>
      <c r="M4981" s="2" t="s">
        <v>5221</v>
      </c>
      <c r="N4981" s="2" t="s">
        <v>2317</v>
      </c>
      <c r="O4981" s="14">
        <v>12500</v>
      </c>
      <c r="P4981" s="14">
        <v>99.06</v>
      </c>
      <c r="Q4981" s="14">
        <v>117.5</v>
      </c>
      <c r="R4981" s="14">
        <v>182.13</v>
      </c>
      <c r="S4981" s="2" t="s">
        <v>4355</v>
      </c>
      <c r="T4981" s="2">
        <v>1.38</v>
      </c>
      <c r="U4981" s="2">
        <v>67</v>
      </c>
      <c r="V4981" s="2">
        <v>66</v>
      </c>
      <c r="W4981" s="2" t="s">
        <v>7862</v>
      </c>
      <c r="X4981" s="2" t="s">
        <v>2897</v>
      </c>
      <c r="Y4981" s="2">
        <v>19375</v>
      </c>
      <c r="Z4981" s="19" t="str">
        <f>HYPERLINK("https://ssdweb.co/ssdweb/hd/Vision360.html?d=925502074&amp;zoomslide=1&amp;z=1925502074&amp;ISCONFIRM=0","VIDEO")</f>
        <v>VIDEO</v>
      </c>
      <c r="AA4981" s="19" t="str">
        <f>HYPERLINK("https://ssdweb.co/ssdweb/CERTH/617413124.pdf","CERTI")</f>
        <v>CERTI</v>
      </c>
    </row>
    <row r="4982" spans="1:27" ht="15" x14ac:dyDescent="0.25">
      <c r="A4982" s="2">
        <v>4977</v>
      </c>
      <c r="B4982" s="39">
        <v>926020751</v>
      </c>
      <c r="C4982" s="28" t="str">
        <f>HYPERLINK("https://pld.live/RapDetail.aspx?STONELIST=926020751","DNA")</f>
        <v>DNA</v>
      </c>
      <c r="D4982" s="18" t="s">
        <v>711</v>
      </c>
      <c r="E4982" s="18" t="s">
        <v>5128</v>
      </c>
      <c r="F4982" s="2" t="s">
        <v>7987</v>
      </c>
      <c r="G4982" s="2" t="s">
        <v>7322</v>
      </c>
      <c r="H4982" s="14">
        <v>1.55</v>
      </c>
      <c r="I4982" s="2" t="s">
        <v>267</v>
      </c>
      <c r="J4982" s="2" t="s">
        <v>3942</v>
      </c>
      <c r="K4982" s="2" t="s">
        <v>1452</v>
      </c>
      <c r="L4982" s="2" t="s">
        <v>5221</v>
      </c>
      <c r="M4982" s="2" t="s">
        <v>5221</v>
      </c>
      <c r="N4982" s="2" t="s">
        <v>2317</v>
      </c>
      <c r="O4982" s="14">
        <v>12500</v>
      </c>
      <c r="P4982" s="14">
        <v>99.05</v>
      </c>
      <c r="Q4982" s="14">
        <v>118.75</v>
      </c>
      <c r="R4982" s="14">
        <v>184.06</v>
      </c>
      <c r="S4982" s="2" t="s">
        <v>4748</v>
      </c>
      <c r="T4982" s="2">
        <v>1.41</v>
      </c>
      <c r="U4982" s="2">
        <v>66.400000000000006</v>
      </c>
      <c r="V4982" s="2">
        <v>62</v>
      </c>
      <c r="W4982" s="2" t="s">
        <v>7862</v>
      </c>
      <c r="X4982" s="2" t="s">
        <v>2897</v>
      </c>
      <c r="Y4982" s="2">
        <v>19375</v>
      </c>
      <c r="Z4982" s="19" t="str">
        <f>HYPERLINK("https://ssdweb.co/ssdweb/hd/Vision360.html?d=926020751&amp;zoomslide=1&amp;z=1926020751&amp;ISCONFIRM=0","VIDEO")</f>
        <v>VIDEO</v>
      </c>
      <c r="AA4982" s="19" t="str">
        <f>HYPERLINK("https://ssdweb.co/ssdweb/CERTH/630447512.pdf","CERTI")</f>
        <v>CERTI</v>
      </c>
    </row>
    <row r="4983" spans="1:27" ht="15" x14ac:dyDescent="0.25">
      <c r="A4983" s="2">
        <v>4978</v>
      </c>
      <c r="B4983" s="39">
        <v>925621869</v>
      </c>
      <c r="C4983" s="28" t="str">
        <f>HYPERLINK("https://pld.live/RapDetail.aspx?STONELIST=925621869","DNA")</f>
        <v>DNA</v>
      </c>
      <c r="D4983" s="18" t="s">
        <v>711</v>
      </c>
      <c r="E4983" s="18" t="s">
        <v>5128</v>
      </c>
      <c r="F4983" s="2" t="s">
        <v>5597</v>
      </c>
      <c r="G4983" s="2" t="s">
        <v>7322</v>
      </c>
      <c r="H4983" s="14">
        <v>1.55</v>
      </c>
      <c r="I4983" s="2" t="s">
        <v>267</v>
      </c>
      <c r="J4983" s="2" t="s">
        <v>3942</v>
      </c>
      <c r="K4983" s="2" t="s">
        <v>1452</v>
      </c>
      <c r="L4983" s="2" t="s">
        <v>5221</v>
      </c>
      <c r="M4983" s="2" t="s">
        <v>5221</v>
      </c>
      <c r="N4983" s="2" t="s">
        <v>2317</v>
      </c>
      <c r="O4983" s="14">
        <v>12500</v>
      </c>
      <c r="P4983" s="14">
        <v>97.91</v>
      </c>
      <c r="Q4983" s="14">
        <v>261.25</v>
      </c>
      <c r="R4983" s="14">
        <v>404.94</v>
      </c>
      <c r="S4983" s="2" t="s">
        <v>4031</v>
      </c>
      <c r="T4983" s="2">
        <v>1.38</v>
      </c>
      <c r="U4983" s="2">
        <v>68</v>
      </c>
      <c r="V4983" s="2">
        <v>68</v>
      </c>
      <c r="W4983" s="2" t="s">
        <v>7862</v>
      </c>
      <c r="X4983" s="2" t="s">
        <v>2897</v>
      </c>
      <c r="Y4983" s="2">
        <v>19375</v>
      </c>
      <c r="Z4983" s="19" t="str">
        <f>HYPERLINK("https://ssdweb.co/ssdweb/hd/Vision360.html?d=925621869&amp;zoomslide=1&amp;z=1925621869&amp;ISCONFIRM=0","VIDEO")</f>
        <v>VIDEO</v>
      </c>
      <c r="AA4983" s="19" t="str">
        <f>HYPERLINK("https://ssdweb.co/ssdweb/CERTH/6485686924.pdf","CERTI")</f>
        <v>CERTI</v>
      </c>
    </row>
    <row r="4984" spans="1:27" ht="15" x14ac:dyDescent="0.25">
      <c r="A4984" s="2">
        <v>4979</v>
      </c>
      <c r="B4984" s="39">
        <v>926171042</v>
      </c>
      <c r="C4984" s="28" t="str">
        <f>HYPERLINK("https://pld.live/RapDetail.aspx?STONELIST=926171042","DNA")</f>
        <v>DNA</v>
      </c>
      <c r="D4984" s="18" t="s">
        <v>711</v>
      </c>
      <c r="E4984" s="18" t="s">
        <v>5128</v>
      </c>
      <c r="F4984" s="2" t="s">
        <v>7987</v>
      </c>
      <c r="G4984" s="2" t="s">
        <v>7322</v>
      </c>
      <c r="H4984" s="14">
        <v>1.55</v>
      </c>
      <c r="I4984" s="2" t="s">
        <v>267</v>
      </c>
      <c r="J4984" s="2" t="s">
        <v>3942</v>
      </c>
      <c r="K4984" s="2" t="s">
        <v>1452</v>
      </c>
      <c r="L4984" s="2" t="s">
        <v>5721</v>
      </c>
      <c r="M4984" s="2" t="s">
        <v>5221</v>
      </c>
      <c r="N4984" s="2" t="s">
        <v>2317</v>
      </c>
      <c r="O4984" s="14">
        <v>12500</v>
      </c>
      <c r="P4984" s="14">
        <v>99.06</v>
      </c>
      <c r="Q4984" s="14">
        <v>117.5</v>
      </c>
      <c r="R4984" s="14">
        <v>182.13</v>
      </c>
      <c r="S4984" s="2" t="s">
        <v>2744</v>
      </c>
      <c r="T4984" s="2">
        <v>1.38</v>
      </c>
      <c r="U4984" s="2">
        <v>66.900000000000006</v>
      </c>
      <c r="V4984" s="2">
        <v>67</v>
      </c>
      <c r="W4984" s="2" t="s">
        <v>7862</v>
      </c>
      <c r="X4984" s="2" t="s">
        <v>2897</v>
      </c>
      <c r="Y4984" s="2">
        <v>19375</v>
      </c>
      <c r="Z4984" s="19" t="str">
        <f>HYPERLINK("https://ssdweb.co/ssdweb/hd/Vision360.html?d=926171042&amp;zoomslide=1&amp;z=1926171042&amp;ISCONFIRM=0","VIDEO")</f>
        <v>VIDEO</v>
      </c>
      <c r="AA4984" s="19" t="str">
        <f>HYPERLINK("https://ssdweb.co/ssdweb/CERTH/633431963.pdf","CERTI")</f>
        <v>CERTI</v>
      </c>
    </row>
    <row r="4985" spans="1:27" ht="15" x14ac:dyDescent="0.25">
      <c r="A4985" s="2">
        <v>4980</v>
      </c>
      <c r="B4985" s="39">
        <v>925960064</v>
      </c>
      <c r="C4985" s="28" t="str">
        <f>HYPERLINK("https://pld.live/RapDetail.aspx?STONELIST=925960064","DNA")</f>
        <v>DNA</v>
      </c>
      <c r="D4985" s="18" t="s">
        <v>711</v>
      </c>
      <c r="E4985" s="18" t="s">
        <v>5128</v>
      </c>
      <c r="F4985" s="2" t="s">
        <v>7987</v>
      </c>
      <c r="G4985" s="2" t="s">
        <v>7322</v>
      </c>
      <c r="H4985" s="14">
        <v>1.55</v>
      </c>
      <c r="I4985" s="2" t="s">
        <v>267</v>
      </c>
      <c r="J4985" s="2" t="s">
        <v>13</v>
      </c>
      <c r="K4985" s="2" t="s">
        <v>1452</v>
      </c>
      <c r="L4985" s="2" t="s">
        <v>5221</v>
      </c>
      <c r="M4985" s="2" t="s">
        <v>5221</v>
      </c>
      <c r="N4985" s="2" t="s">
        <v>2317</v>
      </c>
      <c r="O4985" s="14">
        <v>11600</v>
      </c>
      <c r="P4985" s="14">
        <v>99.03</v>
      </c>
      <c r="Q4985" s="14">
        <v>112.52</v>
      </c>
      <c r="R4985" s="14">
        <v>174.41</v>
      </c>
      <c r="S4985" s="2" t="s">
        <v>250</v>
      </c>
      <c r="T4985" s="2">
        <v>1.4</v>
      </c>
      <c r="U4985" s="2">
        <v>65.099999999999994</v>
      </c>
      <c r="V4985" s="2">
        <v>66</v>
      </c>
      <c r="W4985" s="2" t="s">
        <v>7862</v>
      </c>
      <c r="X4985" s="2" t="s">
        <v>2897</v>
      </c>
      <c r="Y4985" s="2">
        <v>17980</v>
      </c>
      <c r="Z4985" s="19" t="str">
        <f>HYPERLINK("https://ssdweb.co/ssdweb/hd/Vision360.html?d=925960064&amp;zoomslide=1&amp;z=1925960064&amp;ISCONFIRM=0","VIDEO")</f>
        <v>VIDEO</v>
      </c>
      <c r="AA4985" s="19" t="str">
        <f>HYPERLINK("https://ssdweb.co/ssdweb/CERTH/636470120.pdf","CERTI")</f>
        <v>CERTI</v>
      </c>
    </row>
    <row r="4986" spans="1:27" ht="15" x14ac:dyDescent="0.25">
      <c r="A4986" s="2">
        <v>4981</v>
      </c>
      <c r="B4986" s="39">
        <v>925960018</v>
      </c>
      <c r="C4986" s="28" t="str">
        <f>HYPERLINK("https://pld.live/RapDetail.aspx?STONELIST=925960018","DNA")</f>
        <v>DNA</v>
      </c>
      <c r="D4986" s="18" t="s">
        <v>711</v>
      </c>
      <c r="E4986" s="18" t="s">
        <v>5128</v>
      </c>
      <c r="F4986" s="2" t="s">
        <v>7987</v>
      </c>
      <c r="G4986" s="2" t="s">
        <v>7322</v>
      </c>
      <c r="H4986" s="14">
        <v>1.55</v>
      </c>
      <c r="I4986" s="2" t="s">
        <v>267</v>
      </c>
      <c r="J4986" s="2" t="s">
        <v>13</v>
      </c>
      <c r="K4986" s="2" t="s">
        <v>1452</v>
      </c>
      <c r="L4986" s="2" t="s">
        <v>5221</v>
      </c>
      <c r="M4986" s="2" t="s">
        <v>5221</v>
      </c>
      <c r="N4986" s="2" t="s">
        <v>2317</v>
      </c>
      <c r="O4986" s="14">
        <v>11600</v>
      </c>
      <c r="P4986" s="14">
        <v>99.03</v>
      </c>
      <c r="Q4986" s="14">
        <v>112.52</v>
      </c>
      <c r="R4986" s="14">
        <v>174.41</v>
      </c>
      <c r="S4986" s="2" t="s">
        <v>6209</v>
      </c>
      <c r="T4986" s="2">
        <v>1.39</v>
      </c>
      <c r="U4986" s="2">
        <v>65.3</v>
      </c>
      <c r="V4986" s="2">
        <v>63</v>
      </c>
      <c r="W4986" s="2" t="s">
        <v>7862</v>
      </c>
      <c r="X4986" s="2" t="s">
        <v>2897</v>
      </c>
      <c r="Y4986" s="2">
        <v>17980</v>
      </c>
      <c r="Z4986" s="19" t="str">
        <f>HYPERLINK("https://ssdweb.co/ssdweb/hd/Vision360.html?d=925960018&amp;zoomslide=1&amp;z=1925960018&amp;ISCONFIRM=0","VIDEO")</f>
        <v>VIDEO</v>
      </c>
      <c r="AA4986" s="19" t="str">
        <f>HYPERLINK("https://ssdweb.co/ssdweb/CERTH/636470108.pdf","CERTI")</f>
        <v>CERTI</v>
      </c>
    </row>
    <row r="4987" spans="1:27" ht="15" x14ac:dyDescent="0.25">
      <c r="A4987" s="2">
        <v>4982</v>
      </c>
      <c r="B4987" s="39">
        <v>925970020</v>
      </c>
      <c r="C4987" s="28" t="str">
        <f>HYPERLINK("https://pld.live/RapDetail.aspx?STONELIST=925970020","DNA")</f>
        <v>DNA</v>
      </c>
      <c r="D4987" s="18" t="s">
        <v>711</v>
      </c>
      <c r="E4987" s="18" t="s">
        <v>5128</v>
      </c>
      <c r="F4987" s="2" t="s">
        <v>7987</v>
      </c>
      <c r="G4987" s="2" t="s">
        <v>7322</v>
      </c>
      <c r="H4987" s="14">
        <v>1.55</v>
      </c>
      <c r="I4987" s="2" t="s">
        <v>267</v>
      </c>
      <c r="J4987" s="2" t="s">
        <v>13</v>
      </c>
      <c r="K4987" s="2" t="s">
        <v>1452</v>
      </c>
      <c r="L4987" s="2" t="s">
        <v>5221</v>
      </c>
      <c r="M4987" s="2" t="s">
        <v>5221</v>
      </c>
      <c r="N4987" s="2" t="s">
        <v>2317</v>
      </c>
      <c r="O4987" s="14">
        <v>11600</v>
      </c>
      <c r="P4987" s="14">
        <v>99.03</v>
      </c>
      <c r="Q4987" s="14">
        <v>112.52</v>
      </c>
      <c r="R4987" s="14">
        <v>174.41</v>
      </c>
      <c r="S4987" s="2" t="s">
        <v>7960</v>
      </c>
      <c r="T4987" s="2">
        <v>1.4</v>
      </c>
      <c r="U4987" s="2">
        <v>66.400000000000006</v>
      </c>
      <c r="V4987" s="2">
        <v>65</v>
      </c>
      <c r="W4987" s="2" t="s">
        <v>7862</v>
      </c>
      <c r="X4987" s="2" t="s">
        <v>2897</v>
      </c>
      <c r="Y4987" s="2">
        <v>17980</v>
      </c>
      <c r="Z4987" s="19" t="str">
        <f>HYPERLINK("https://ssdweb.co/ssdweb/hd/Vision360.html?d=925970020&amp;zoomslide=1&amp;z=1925970020&amp;ISCONFIRM=0","VIDEO")</f>
        <v>VIDEO</v>
      </c>
      <c r="AA4987" s="19" t="str">
        <f>HYPERLINK("https://ssdweb.co/ssdweb/CERTH/636470125.pdf","CERTI")</f>
        <v>CERTI</v>
      </c>
    </row>
    <row r="4988" spans="1:27" ht="15" x14ac:dyDescent="0.25">
      <c r="A4988" s="2">
        <v>4983</v>
      </c>
      <c r="B4988" s="39">
        <v>926171282</v>
      </c>
      <c r="C4988" s="28" t="str">
        <f>HYPERLINK("https://pld.live/RapDetail.aspx?STONELIST=926171282","DNA")</f>
        <v>DNA</v>
      </c>
      <c r="D4988" s="18" t="s">
        <v>711</v>
      </c>
      <c r="E4988" s="18" t="s">
        <v>5128</v>
      </c>
      <c r="F4988" s="2" t="s">
        <v>7987</v>
      </c>
      <c r="G4988" s="2" t="s">
        <v>7322</v>
      </c>
      <c r="H4988" s="14">
        <v>1.55</v>
      </c>
      <c r="I4988" s="2" t="s">
        <v>267</v>
      </c>
      <c r="J4988" s="2" t="s">
        <v>13</v>
      </c>
      <c r="K4988" s="2" t="s">
        <v>1452</v>
      </c>
      <c r="L4988" s="2" t="s">
        <v>5221</v>
      </c>
      <c r="M4988" s="2" t="s">
        <v>5221</v>
      </c>
      <c r="N4988" s="2" t="s">
        <v>2317</v>
      </c>
      <c r="O4988" s="14">
        <v>11600</v>
      </c>
      <c r="P4988" s="14">
        <v>99.03</v>
      </c>
      <c r="Q4988" s="14">
        <v>112.52</v>
      </c>
      <c r="R4988" s="14">
        <v>174.41</v>
      </c>
      <c r="S4988" s="2" t="s">
        <v>6897</v>
      </c>
      <c r="T4988" s="2">
        <v>1.36</v>
      </c>
      <c r="U4988" s="2">
        <v>67.7</v>
      </c>
      <c r="V4988" s="2">
        <v>66</v>
      </c>
      <c r="W4988" s="2" t="s">
        <v>7862</v>
      </c>
      <c r="X4988" s="2" t="s">
        <v>2897</v>
      </c>
      <c r="Y4988" s="2">
        <v>17980</v>
      </c>
      <c r="Z4988" s="19" t="str">
        <f>HYPERLINK("https://ssdweb.co/ssdweb/hd/Vision360.html?d=926171282&amp;zoomslide=1&amp;z=1926171282&amp;ISCONFIRM=0","VIDEO")</f>
        <v>VIDEO</v>
      </c>
      <c r="AA4988" s="19" t="str">
        <f>HYPERLINK("https://ssdweb.co/ssdweb/CERTH/634431436.pdf","CERTI")</f>
        <v>CERTI</v>
      </c>
    </row>
    <row r="4989" spans="1:27" ht="15" x14ac:dyDescent="0.25">
      <c r="A4989" s="2">
        <v>4984</v>
      </c>
      <c r="B4989" s="39">
        <v>926071353</v>
      </c>
      <c r="C4989" s="28" t="str">
        <f>HYPERLINK("https://pld.live/RapDetail.aspx?STONELIST=926071353","DNA")</f>
        <v>DNA</v>
      </c>
      <c r="D4989" s="18" t="s">
        <v>711</v>
      </c>
      <c r="E4989" s="18" t="s">
        <v>5128</v>
      </c>
      <c r="F4989" s="2" t="s">
        <v>7987</v>
      </c>
      <c r="G4989" s="2" t="s">
        <v>7322</v>
      </c>
      <c r="H4989" s="14">
        <v>1.55</v>
      </c>
      <c r="I4989" s="2" t="s">
        <v>267</v>
      </c>
      <c r="J4989" s="2" t="s">
        <v>13</v>
      </c>
      <c r="K4989" s="2" t="s">
        <v>1452</v>
      </c>
      <c r="L4989" s="2" t="s">
        <v>5221</v>
      </c>
      <c r="M4989" s="2" t="s">
        <v>5221</v>
      </c>
      <c r="N4989" s="2" t="s">
        <v>2317</v>
      </c>
      <c r="O4989" s="14">
        <v>11600</v>
      </c>
      <c r="P4989" s="14">
        <v>99.03</v>
      </c>
      <c r="Q4989" s="14">
        <v>112.52</v>
      </c>
      <c r="R4989" s="14">
        <v>174.41</v>
      </c>
      <c r="S4989" s="2" t="s">
        <v>3822</v>
      </c>
      <c r="T4989" s="2">
        <v>1.44</v>
      </c>
      <c r="U4989" s="2">
        <v>63.9</v>
      </c>
      <c r="V4989" s="2">
        <v>64</v>
      </c>
      <c r="W4989" s="2" t="s">
        <v>7862</v>
      </c>
      <c r="X4989" s="2" t="s">
        <v>2897</v>
      </c>
      <c r="Y4989" s="2">
        <v>17980</v>
      </c>
      <c r="Z4989" s="19" t="str">
        <f>HYPERLINK("https://ssdweb.co/ssdweb/hd/Vision360.html?d=926071353&amp;zoomslide=1&amp;z=1926071353&amp;ISCONFIRM=0","VIDEO")</f>
        <v>VIDEO</v>
      </c>
      <c r="AA4989" s="19" t="str">
        <f>HYPERLINK("https://ssdweb.co/ssdweb/CERTH/631404445.pdf","CERTI")</f>
        <v>CERTI</v>
      </c>
    </row>
    <row r="4990" spans="1:27" ht="15" x14ac:dyDescent="0.25">
      <c r="A4990" s="2">
        <v>4985</v>
      </c>
      <c r="B4990" s="39">
        <v>925861245</v>
      </c>
      <c r="C4990" s="28" t="str">
        <f>HYPERLINK("https://pld.live/RapDetail.aspx?STONELIST=925861245","DNA")</f>
        <v>DNA</v>
      </c>
      <c r="D4990" s="18" t="s">
        <v>711</v>
      </c>
      <c r="E4990" s="18" t="s">
        <v>5128</v>
      </c>
      <c r="F4990" s="2" t="s">
        <v>7987</v>
      </c>
      <c r="G4990" s="2" t="s">
        <v>7322</v>
      </c>
      <c r="H4990" s="14">
        <v>1.55</v>
      </c>
      <c r="I4990" s="2" t="s">
        <v>267</v>
      </c>
      <c r="J4990" s="2" t="s">
        <v>5144</v>
      </c>
      <c r="K4990" s="2" t="s">
        <v>1452</v>
      </c>
      <c r="L4990" s="2" t="s">
        <v>5221</v>
      </c>
      <c r="M4990" s="2" t="s">
        <v>5221</v>
      </c>
      <c r="N4990" s="2" t="s">
        <v>2317</v>
      </c>
      <c r="O4990" s="14">
        <v>9900</v>
      </c>
      <c r="P4990" s="14">
        <v>98.93</v>
      </c>
      <c r="Q4990" s="14">
        <v>105.93</v>
      </c>
      <c r="R4990" s="14">
        <v>164.19</v>
      </c>
      <c r="S4990" s="2" t="s">
        <v>251</v>
      </c>
      <c r="T4990" s="2">
        <v>1.36</v>
      </c>
      <c r="U4990" s="2">
        <v>67.900000000000006</v>
      </c>
      <c r="V4990" s="2">
        <v>60</v>
      </c>
      <c r="W4990" s="2" t="s">
        <v>7862</v>
      </c>
      <c r="X4990" s="2" t="s">
        <v>2897</v>
      </c>
      <c r="Y4990" s="2">
        <v>15345</v>
      </c>
      <c r="Z4990" s="19" t="str">
        <f>HYPERLINK("https://ssdweb.co/ssdweb/hd/Vision360.html?d=925861245&amp;zoomslide=1&amp;z=1925861245&amp;ISCONFIRM=0","VIDEO")</f>
        <v>VIDEO</v>
      </c>
      <c r="AA4990" s="19" t="str">
        <f>HYPERLINK("https://ssdweb.co/ssdweb/CERTH/627471630.pdf","CERTI")</f>
        <v>CERTI</v>
      </c>
    </row>
    <row r="4991" spans="1:27" ht="15" x14ac:dyDescent="0.25">
      <c r="A4991" s="2">
        <v>4986</v>
      </c>
      <c r="B4991" s="39">
        <v>926200717</v>
      </c>
      <c r="C4991" s="28" t="str">
        <f>HYPERLINK("https://pld.live/RapDetail.aspx?STONELIST=926200717","DNA")</f>
        <v>DNA</v>
      </c>
      <c r="D4991" s="18" t="s">
        <v>711</v>
      </c>
      <c r="E4991" s="18" t="s">
        <v>5128</v>
      </c>
      <c r="F4991" s="2" t="s">
        <v>7987</v>
      </c>
      <c r="G4991" s="2" t="s">
        <v>7322</v>
      </c>
      <c r="H4991" s="14">
        <v>1.55</v>
      </c>
      <c r="I4991" s="2" t="s">
        <v>267</v>
      </c>
      <c r="J4991" s="2" t="s">
        <v>5144</v>
      </c>
      <c r="K4991" s="2" t="s">
        <v>1452</v>
      </c>
      <c r="L4991" s="2" t="s">
        <v>5221</v>
      </c>
      <c r="M4991" s="2" t="s">
        <v>5221</v>
      </c>
      <c r="N4991" s="2" t="s">
        <v>2317</v>
      </c>
      <c r="O4991" s="14">
        <v>9900</v>
      </c>
      <c r="P4991" s="14">
        <v>98.91</v>
      </c>
      <c r="Q4991" s="14">
        <v>107.91</v>
      </c>
      <c r="R4991" s="14">
        <v>167.26</v>
      </c>
      <c r="S4991" s="2" t="s">
        <v>3455</v>
      </c>
      <c r="T4991" s="2">
        <v>1.38</v>
      </c>
      <c r="U4991" s="2">
        <v>63.5</v>
      </c>
      <c r="V4991" s="2">
        <v>65</v>
      </c>
      <c r="W4991" s="2" t="s">
        <v>7862</v>
      </c>
      <c r="X4991" s="2" t="s">
        <v>2897</v>
      </c>
      <c r="Y4991" s="2">
        <v>15345</v>
      </c>
      <c r="Z4991" s="19" t="str">
        <f>HYPERLINK("https://ssdweb.co/ssdweb/hd/Vision360.html?d=926200717&amp;zoomslide=1&amp;z=1926200717&amp;ISCONFIRM=0","VIDEO")</f>
        <v>VIDEO</v>
      </c>
      <c r="AA4991" s="19" t="str">
        <f>HYPERLINK("https://ssdweb.co/ssdweb/CERTH/634431484.pdf","CERTI")</f>
        <v>CERTI</v>
      </c>
    </row>
    <row r="4992" spans="1:27" ht="15" x14ac:dyDescent="0.25">
      <c r="A4992" s="2">
        <v>4987</v>
      </c>
      <c r="B4992" s="39">
        <v>925960084</v>
      </c>
      <c r="C4992" s="28" t="str">
        <f>HYPERLINK("https://pld.live/RapDetail.aspx?STONELIST=925960084","DNA")</f>
        <v>DNA</v>
      </c>
      <c r="D4992" s="18" t="s">
        <v>711</v>
      </c>
      <c r="E4992" s="18" t="s">
        <v>5128</v>
      </c>
      <c r="F4992" s="2" t="s">
        <v>7987</v>
      </c>
      <c r="G4992" s="2" t="s">
        <v>7322</v>
      </c>
      <c r="H4992" s="14">
        <v>1.55</v>
      </c>
      <c r="I4992" s="2" t="s">
        <v>4761</v>
      </c>
      <c r="J4992" s="2" t="s">
        <v>3942</v>
      </c>
      <c r="K4992" s="2" t="s">
        <v>1452</v>
      </c>
      <c r="L4992" s="2" t="s">
        <v>5221</v>
      </c>
      <c r="M4992" s="2" t="s">
        <v>5221</v>
      </c>
      <c r="N4992" s="2" t="s">
        <v>2317</v>
      </c>
      <c r="O4992" s="14">
        <v>11600</v>
      </c>
      <c r="P4992" s="14">
        <v>99.02</v>
      </c>
      <c r="Q4992" s="14">
        <v>113.68</v>
      </c>
      <c r="R4992" s="14">
        <v>176.2</v>
      </c>
      <c r="S4992" s="2" t="s">
        <v>558</v>
      </c>
      <c r="T4992" s="2">
        <v>1.39</v>
      </c>
      <c r="U4992" s="2">
        <v>65.8</v>
      </c>
      <c r="V4992" s="2">
        <v>65</v>
      </c>
      <c r="W4992" s="2" t="s">
        <v>7862</v>
      </c>
      <c r="X4992" s="2" t="s">
        <v>2897</v>
      </c>
      <c r="Y4992" s="2">
        <v>17980</v>
      </c>
      <c r="Z4992" s="19" t="str">
        <f>HYPERLINK("https://ssdweb.co/ssdweb/hd/Vision360.html?d=925960084&amp;zoomslide=1&amp;z=1925960084&amp;ISCONFIRM=0","VIDEO")</f>
        <v>VIDEO</v>
      </c>
      <c r="AA4992" s="19" t="str">
        <f>HYPERLINK("https://ssdweb.co/ssdweb/CERTH/636470122.pdf","CERTI")</f>
        <v>CERTI</v>
      </c>
    </row>
    <row r="4993" spans="1:27" ht="15" x14ac:dyDescent="0.25">
      <c r="A4993" s="2">
        <v>4988</v>
      </c>
      <c r="B4993" s="39">
        <v>925970396</v>
      </c>
      <c r="C4993" s="28" t="str">
        <f>HYPERLINK("https://pld.live/RapDetail.aspx?STONELIST=925970396","DNA")</f>
        <v>DNA</v>
      </c>
      <c r="D4993" s="18" t="s">
        <v>711</v>
      </c>
      <c r="E4993" s="18" t="s">
        <v>5128</v>
      </c>
      <c r="F4993" s="2" t="s">
        <v>7987</v>
      </c>
      <c r="G4993" s="2" t="s">
        <v>7322</v>
      </c>
      <c r="H4993" s="14">
        <v>1.55</v>
      </c>
      <c r="I4993" s="2" t="s">
        <v>4761</v>
      </c>
      <c r="J4993" s="2" t="s">
        <v>3942</v>
      </c>
      <c r="K4993" s="2" t="s">
        <v>1452</v>
      </c>
      <c r="L4993" s="2" t="s">
        <v>5221</v>
      </c>
      <c r="M4993" s="2" t="s">
        <v>5221</v>
      </c>
      <c r="N4993" s="2" t="s">
        <v>2317</v>
      </c>
      <c r="O4993" s="14">
        <v>11600</v>
      </c>
      <c r="P4993" s="14">
        <v>99.04</v>
      </c>
      <c r="Q4993" s="14">
        <v>111.36</v>
      </c>
      <c r="R4993" s="14">
        <v>172.61</v>
      </c>
      <c r="S4993" s="2" t="s">
        <v>5303</v>
      </c>
      <c r="T4993" s="2">
        <v>1.42</v>
      </c>
      <c r="U4993" s="2">
        <v>67.3</v>
      </c>
      <c r="V4993" s="2">
        <v>66</v>
      </c>
      <c r="W4993" s="2" t="s">
        <v>4336</v>
      </c>
      <c r="X4993" s="2" t="s">
        <v>2897</v>
      </c>
      <c r="Y4993" s="2">
        <v>17980</v>
      </c>
      <c r="Z4993" s="19" t="str">
        <f>HYPERLINK("https://ssdweb.co/ssdweb/hd/Vision360.html?d=925970396&amp;zoomslide=1&amp;z=1925970396&amp;ISCONFIRM=0","VIDEO")</f>
        <v>VIDEO</v>
      </c>
      <c r="AA4993" s="19" t="str">
        <f>HYPERLINK("https://ssdweb.co/ssdweb/CERTH/628463233.pdf","CERTI")</f>
        <v>CERTI</v>
      </c>
    </row>
    <row r="4994" spans="1:27" ht="15" x14ac:dyDescent="0.25">
      <c r="A4994" s="2">
        <v>4989</v>
      </c>
      <c r="B4994" s="39">
        <v>926171364</v>
      </c>
      <c r="C4994" s="28" t="str">
        <f>HYPERLINK("https://pld.live/RapDetail.aspx?STONELIST=926171364","DNA")</f>
        <v>DNA</v>
      </c>
      <c r="D4994" s="18" t="s">
        <v>711</v>
      </c>
      <c r="E4994" s="18" t="s">
        <v>5128</v>
      </c>
      <c r="F4994" s="2" t="s">
        <v>7987</v>
      </c>
      <c r="G4994" s="2" t="s">
        <v>7322</v>
      </c>
      <c r="H4994" s="14">
        <v>1.55</v>
      </c>
      <c r="I4994" s="2" t="s">
        <v>4761</v>
      </c>
      <c r="J4994" s="2" t="s">
        <v>13</v>
      </c>
      <c r="K4994" s="2" t="s">
        <v>1452</v>
      </c>
      <c r="L4994" s="2" t="s">
        <v>5221</v>
      </c>
      <c r="M4994" s="2" t="s">
        <v>5221</v>
      </c>
      <c r="N4994" s="2" t="s">
        <v>2317</v>
      </c>
      <c r="O4994" s="14">
        <v>10800</v>
      </c>
      <c r="P4994" s="14">
        <v>98.99</v>
      </c>
      <c r="Q4994" s="14">
        <v>109.08</v>
      </c>
      <c r="R4994" s="14">
        <v>169.07</v>
      </c>
      <c r="S4994" s="2" t="s">
        <v>891</v>
      </c>
      <c r="T4994" s="2">
        <v>1.34</v>
      </c>
      <c r="U4994" s="2">
        <v>67.5</v>
      </c>
      <c r="V4994" s="2">
        <v>64</v>
      </c>
      <c r="W4994" s="2" t="s">
        <v>7862</v>
      </c>
      <c r="X4994" s="2" t="s">
        <v>2897</v>
      </c>
      <c r="Y4994" s="2">
        <v>16740</v>
      </c>
      <c r="Z4994" s="19" t="str">
        <f>HYPERLINK("https://ssdweb.co/ssdweb/hd/Vision360.html?d=926171364&amp;zoomslide=1&amp;z=1926171364&amp;ISCONFIRM=0","VIDEO")</f>
        <v>VIDEO</v>
      </c>
      <c r="AA4994" s="19" t="str">
        <f>HYPERLINK("https://ssdweb.co/ssdweb/CERTH/634431440.pdf","CERTI")</f>
        <v>CERTI</v>
      </c>
    </row>
    <row r="4995" spans="1:27" ht="15" x14ac:dyDescent="0.25">
      <c r="A4995" s="2">
        <v>4990</v>
      </c>
      <c r="B4995" s="39">
        <v>925110401</v>
      </c>
      <c r="C4995" s="28" t="str">
        <f>HYPERLINK("https://pld.live/RapDetail.aspx?STONELIST=925110401","DNA")</f>
        <v>DNA</v>
      </c>
      <c r="D4995" s="18" t="s">
        <v>711</v>
      </c>
      <c r="E4995" s="18" t="s">
        <v>5128</v>
      </c>
      <c r="F4995" s="2" t="s">
        <v>7987</v>
      </c>
      <c r="G4995" s="2" t="s">
        <v>7322</v>
      </c>
      <c r="H4995" s="14">
        <v>1.55</v>
      </c>
      <c r="I4995" s="2" t="s">
        <v>4761</v>
      </c>
      <c r="J4995" s="2" t="s">
        <v>5144</v>
      </c>
      <c r="K4995" s="2" t="s">
        <v>1452</v>
      </c>
      <c r="L4995" s="2" t="s">
        <v>5221</v>
      </c>
      <c r="M4995" s="2" t="s">
        <v>5221</v>
      </c>
      <c r="N4995" s="2" t="s">
        <v>2317</v>
      </c>
      <c r="O4995" s="14">
        <v>9300</v>
      </c>
      <c r="P4995" s="14">
        <v>98.94</v>
      </c>
      <c r="Q4995" s="14">
        <v>98.58</v>
      </c>
      <c r="R4995" s="14">
        <v>152.80000000000001</v>
      </c>
      <c r="S4995" s="2" t="s">
        <v>6849</v>
      </c>
      <c r="T4995" s="2">
        <v>1.46</v>
      </c>
      <c r="U4995" s="2">
        <v>64.5</v>
      </c>
      <c r="V4995" s="2">
        <v>63</v>
      </c>
      <c r="W4995" s="2" t="s">
        <v>7862</v>
      </c>
      <c r="X4995" s="2" t="s">
        <v>2897</v>
      </c>
      <c r="Y4995" s="2">
        <v>14415</v>
      </c>
      <c r="Z4995" s="19" t="str">
        <f>HYPERLINK("https://ssdweb.co/ssdweb/hd/Vision360.html?d=925110401&amp;zoomslide=1&amp;z=1925110401&amp;ISCONFIRM=0","VIDEO")</f>
        <v>VIDEO</v>
      </c>
      <c r="AA4995" s="19" t="str">
        <f>HYPERLINK("https://ssdweb.co/ssdweb/CERTH/613349710.pdf","CERTI")</f>
        <v>CERTI</v>
      </c>
    </row>
    <row r="4996" spans="1:27" ht="15" x14ac:dyDescent="0.25">
      <c r="A4996" s="2">
        <v>4991</v>
      </c>
      <c r="B4996" s="39">
        <v>925950235</v>
      </c>
      <c r="C4996" s="28" t="str">
        <f>HYPERLINK("https://pld.live/RapDetail.aspx?STONELIST=925950235","DNA")</f>
        <v>DNA</v>
      </c>
      <c r="D4996" s="18" t="s">
        <v>711</v>
      </c>
      <c r="E4996" s="18" t="s">
        <v>5128</v>
      </c>
      <c r="F4996" s="2" t="s">
        <v>7987</v>
      </c>
      <c r="G4996" s="2" t="s">
        <v>7322</v>
      </c>
      <c r="H4996" s="14">
        <v>1.55</v>
      </c>
      <c r="I4996" s="2" t="s">
        <v>4699</v>
      </c>
      <c r="J4996" s="2" t="s">
        <v>3942</v>
      </c>
      <c r="K4996" s="2" t="s">
        <v>1452</v>
      </c>
      <c r="L4996" s="2" t="s">
        <v>5221</v>
      </c>
      <c r="M4996" s="2" t="s">
        <v>5221</v>
      </c>
      <c r="N4996" s="2" t="s">
        <v>2317</v>
      </c>
      <c r="O4996" s="14">
        <v>10800</v>
      </c>
      <c r="P4996" s="14">
        <v>99</v>
      </c>
      <c r="Q4996" s="14">
        <v>108</v>
      </c>
      <c r="R4996" s="14">
        <v>167.4</v>
      </c>
      <c r="S4996" s="2" t="s">
        <v>4119</v>
      </c>
      <c r="T4996" s="2">
        <v>1.4</v>
      </c>
      <c r="U4996" s="2">
        <v>67.5</v>
      </c>
      <c r="V4996" s="2">
        <v>64</v>
      </c>
      <c r="W4996" s="2" t="s">
        <v>4336</v>
      </c>
      <c r="X4996" s="2" t="s">
        <v>2897</v>
      </c>
      <c r="Y4996" s="2">
        <v>16740</v>
      </c>
      <c r="Z4996" s="19" t="str">
        <f>HYPERLINK("https://ssdweb.co/ssdweb/hd/Vision360.html?d=925950235&amp;zoomslide=1&amp;z=1925950235&amp;ISCONFIRM=0","VIDEO")</f>
        <v>VIDEO</v>
      </c>
      <c r="AA4996" s="19" t="str">
        <f>HYPERLINK("https://ssdweb.co/ssdweb/CERTH/629478943.pdf","CERTI")</f>
        <v>CERTI</v>
      </c>
    </row>
    <row r="4997" spans="1:27" ht="15" x14ac:dyDescent="0.25">
      <c r="A4997" s="2">
        <v>4992</v>
      </c>
      <c r="B4997" s="39">
        <v>831020715</v>
      </c>
      <c r="C4997" s="28" t="str">
        <f>HYPERLINK("https://pld.live/RapDetail.aspx?STONELIST=831020715","DNA")</f>
        <v>DNA</v>
      </c>
      <c r="D4997" s="18" t="s">
        <v>711</v>
      </c>
      <c r="E4997" s="18" t="s">
        <v>2186</v>
      </c>
      <c r="F4997" s="2" t="s">
        <v>5597</v>
      </c>
      <c r="G4997" s="2" t="s">
        <v>7322</v>
      </c>
      <c r="H4997" s="14">
        <v>1.55</v>
      </c>
      <c r="I4997" s="2" t="s">
        <v>6587</v>
      </c>
      <c r="J4997" s="2" t="s">
        <v>3942</v>
      </c>
      <c r="K4997" s="2" t="s">
        <v>1452</v>
      </c>
      <c r="L4997" s="2" t="s">
        <v>5221</v>
      </c>
      <c r="M4997" s="2" t="s">
        <v>5221</v>
      </c>
      <c r="N4997" s="2" t="s">
        <v>2317</v>
      </c>
      <c r="O4997" s="14">
        <v>10000</v>
      </c>
      <c r="P4997" s="14">
        <v>97.89</v>
      </c>
      <c r="Q4997" s="14">
        <v>211</v>
      </c>
      <c r="R4997" s="14">
        <v>327.05</v>
      </c>
      <c r="S4997" s="2" t="s">
        <v>1631</v>
      </c>
      <c r="T4997" s="2">
        <v>1.57</v>
      </c>
      <c r="U4997" s="2">
        <v>65.7</v>
      </c>
      <c r="V4997" s="2">
        <v>62</v>
      </c>
      <c r="W4997" s="2" t="s">
        <v>7862</v>
      </c>
      <c r="X4997" s="2" t="s">
        <v>2897</v>
      </c>
      <c r="Y4997" s="2">
        <v>15500</v>
      </c>
      <c r="Z4997" s="19" t="str">
        <f>HYPERLINK("https://ssdweb.co/ssdweb/hd/Vision360.html?d=831020715&amp;zoomslide=1&amp;z=1831020715&amp;ISCONFIRM=0","VIDEO")</f>
        <v>VIDEO</v>
      </c>
      <c r="AA4997" s="19" t="str">
        <f>HYPERLINK("https://ssdweb.co/ssdweb/CERTH/1459528837.pdf","CERTI")</f>
        <v>CERTI</v>
      </c>
    </row>
    <row r="4998" spans="1:27" ht="15" x14ac:dyDescent="0.25">
      <c r="A4998" s="2">
        <v>4993</v>
      </c>
      <c r="B4998" s="39">
        <v>925920992</v>
      </c>
      <c r="C4998" s="28" t="str">
        <f>HYPERLINK("https://pld.live/RapDetail.aspx?STONELIST=925920992","DNA")</f>
        <v>DNA</v>
      </c>
      <c r="D4998" s="18" t="s">
        <v>711</v>
      </c>
      <c r="E4998" s="18" t="s">
        <v>5128</v>
      </c>
      <c r="F4998" s="2" t="s">
        <v>7987</v>
      </c>
      <c r="G4998" s="2" t="s">
        <v>7322</v>
      </c>
      <c r="H4998" s="14">
        <v>1.54</v>
      </c>
      <c r="I4998" s="2" t="s">
        <v>267</v>
      </c>
      <c r="J4998" s="2" t="s">
        <v>6555</v>
      </c>
      <c r="K4998" s="2" t="s">
        <v>1452</v>
      </c>
      <c r="L4998" s="2" t="s">
        <v>5221</v>
      </c>
      <c r="M4998" s="2" t="s">
        <v>5221</v>
      </c>
      <c r="N4998" s="2" t="s">
        <v>2317</v>
      </c>
      <c r="O4998" s="14">
        <v>13200</v>
      </c>
      <c r="P4998" s="14">
        <v>98.88</v>
      </c>
      <c r="Q4998" s="14">
        <v>147.84</v>
      </c>
      <c r="R4998" s="14">
        <v>227.67</v>
      </c>
      <c r="S4998" s="2" t="s">
        <v>2665</v>
      </c>
      <c r="T4998" s="2">
        <v>1.44</v>
      </c>
      <c r="U4998" s="2">
        <v>65.599999999999994</v>
      </c>
      <c r="V4998" s="2">
        <v>66</v>
      </c>
      <c r="W4998" s="2" t="s">
        <v>7862</v>
      </c>
      <c r="X4998" s="2" t="s">
        <v>2897</v>
      </c>
      <c r="Y4998" s="2">
        <v>20328</v>
      </c>
      <c r="Z4998" s="19" t="str">
        <f>HYPERLINK("https://ssdweb.co/ssdweb/hd/Vision360.html?d=925920992&amp;zoomslide=1&amp;z=1925920992&amp;ISCONFIRM=0","VIDEO")</f>
        <v>VIDEO</v>
      </c>
      <c r="AA4998" s="19" t="str">
        <f>HYPERLINK("https://ssdweb.co/ssdweb/CERTH/629453447.pdf","CERTI")</f>
        <v>CERTI</v>
      </c>
    </row>
    <row r="4999" spans="1:27" ht="15" x14ac:dyDescent="0.25">
      <c r="A4999" s="2">
        <v>4994</v>
      </c>
      <c r="B4999" s="39">
        <v>924710001</v>
      </c>
      <c r="C4999" s="28" t="str">
        <f>HYPERLINK("https://pld.live/RapDetail.aspx?STONELIST=924710001","DNA")</f>
        <v>DNA</v>
      </c>
      <c r="D4999" s="18" t="s">
        <v>711</v>
      </c>
      <c r="E4999" s="18" t="s">
        <v>5128</v>
      </c>
      <c r="F4999" s="2" t="s">
        <v>7987</v>
      </c>
      <c r="G4999" s="2" t="s">
        <v>7322</v>
      </c>
      <c r="H4999" s="14">
        <v>1.54</v>
      </c>
      <c r="I4999" s="2" t="s">
        <v>267</v>
      </c>
      <c r="J4999" s="2" t="s">
        <v>6555</v>
      </c>
      <c r="K4999" s="2" t="s">
        <v>1452</v>
      </c>
      <c r="L4999" s="2" t="s">
        <v>5221</v>
      </c>
      <c r="M4999" s="2" t="s">
        <v>5221</v>
      </c>
      <c r="N4999" s="2" t="s">
        <v>2317</v>
      </c>
      <c r="O4999" s="14">
        <v>13200</v>
      </c>
      <c r="P4999" s="14">
        <v>98.89</v>
      </c>
      <c r="Q4999" s="14">
        <v>146.52000000000001</v>
      </c>
      <c r="R4999" s="14">
        <v>225.64</v>
      </c>
      <c r="S4999" s="2" t="s">
        <v>7642</v>
      </c>
      <c r="T4999" s="2">
        <v>1.4</v>
      </c>
      <c r="U4999" s="2">
        <v>67</v>
      </c>
      <c r="V4999" s="2">
        <v>62</v>
      </c>
      <c r="W4999" s="2" t="s">
        <v>7862</v>
      </c>
      <c r="X4999" s="2" t="s">
        <v>2897</v>
      </c>
      <c r="Y4999" s="2">
        <v>20328</v>
      </c>
      <c r="Z4999" s="19" t="str">
        <f>HYPERLINK("https://ssdweb.co/ssdweb/hd/Vision360.html?d=924710001&amp;zoomslide=1&amp;z=1924710001&amp;ISCONFIRM=0","VIDEO")</f>
        <v>VIDEO</v>
      </c>
      <c r="AA4999" s="19" t="str">
        <f>HYPERLINK("https://ssdweb.co/ssdweb/CERTH/596332092.pdf","CERTI")</f>
        <v>CERTI</v>
      </c>
    </row>
    <row r="5000" spans="1:27" ht="15" x14ac:dyDescent="0.25">
      <c r="A5000" s="2">
        <v>4995</v>
      </c>
      <c r="B5000" s="39">
        <v>926200747</v>
      </c>
      <c r="C5000" s="28" t="str">
        <f>HYPERLINK("https://pld.live/RapDetail.aspx?STONELIST=926200747","DNA")</f>
        <v>DNA</v>
      </c>
      <c r="D5000" s="18" t="s">
        <v>711</v>
      </c>
      <c r="E5000" s="18" t="s">
        <v>5128</v>
      </c>
      <c r="F5000" s="2" t="s">
        <v>7987</v>
      </c>
      <c r="G5000" s="2" t="s">
        <v>7322</v>
      </c>
      <c r="H5000" s="14">
        <v>1.54</v>
      </c>
      <c r="I5000" s="2" t="s">
        <v>267</v>
      </c>
      <c r="J5000" s="2" t="s">
        <v>6555</v>
      </c>
      <c r="K5000" s="2" t="s">
        <v>1452</v>
      </c>
      <c r="L5000" s="2" t="s">
        <v>5221</v>
      </c>
      <c r="M5000" s="2" t="s">
        <v>5221</v>
      </c>
      <c r="N5000" s="2" t="s">
        <v>2317</v>
      </c>
      <c r="O5000" s="14">
        <v>13200</v>
      </c>
      <c r="P5000" s="14">
        <v>98.88</v>
      </c>
      <c r="Q5000" s="14">
        <v>147.84</v>
      </c>
      <c r="R5000" s="14">
        <v>227.67</v>
      </c>
      <c r="S5000" s="2" t="s">
        <v>1814</v>
      </c>
      <c r="T5000" s="2">
        <v>1.4</v>
      </c>
      <c r="U5000" s="2">
        <v>66.900000000000006</v>
      </c>
      <c r="V5000" s="2">
        <v>65</v>
      </c>
      <c r="W5000" s="2" t="s">
        <v>7862</v>
      </c>
      <c r="X5000" s="2" t="s">
        <v>2897</v>
      </c>
      <c r="Y5000" s="2">
        <v>20328</v>
      </c>
      <c r="Z5000" s="19" t="str">
        <f>HYPERLINK("https://ssdweb.co/ssdweb/hd/Vision360.html?d=926200747&amp;zoomslide=1&amp;z=1926200747&amp;ISCONFIRM=0","VIDEO")</f>
        <v>VIDEO</v>
      </c>
      <c r="AA5000" s="19" t="str">
        <f>HYPERLINK("https://ssdweb.co/ssdweb/CERTH/634431412.pdf","CERTI")</f>
        <v>CERTI</v>
      </c>
    </row>
    <row r="5001" spans="1:27" ht="15" x14ac:dyDescent="0.25">
      <c r="A5001" s="2">
        <v>4996</v>
      </c>
      <c r="B5001" s="39">
        <v>925621763</v>
      </c>
      <c r="C5001" s="28" t="str">
        <f>HYPERLINK("https://pld.live/RapDetail.aspx?STONELIST=925621763","DNA")</f>
        <v>DNA</v>
      </c>
      <c r="D5001" s="18" t="s">
        <v>711</v>
      </c>
      <c r="E5001" s="18" t="s">
        <v>5128</v>
      </c>
      <c r="F5001" s="2" t="s">
        <v>7987</v>
      </c>
      <c r="G5001" s="2" t="s">
        <v>7322</v>
      </c>
      <c r="H5001" s="14">
        <v>1.54</v>
      </c>
      <c r="I5001" s="2" t="s">
        <v>267</v>
      </c>
      <c r="J5001" s="2" t="s">
        <v>6555</v>
      </c>
      <c r="K5001" s="2" t="s">
        <v>1452</v>
      </c>
      <c r="L5001" s="2" t="s">
        <v>5221</v>
      </c>
      <c r="M5001" s="2" t="s">
        <v>5221</v>
      </c>
      <c r="N5001" s="2" t="s">
        <v>2317</v>
      </c>
      <c r="O5001" s="14">
        <v>13200</v>
      </c>
      <c r="P5001" s="14">
        <v>98.89</v>
      </c>
      <c r="Q5001" s="14">
        <v>146.52000000000001</v>
      </c>
      <c r="R5001" s="14">
        <v>225.64</v>
      </c>
      <c r="S5001" s="2" t="s">
        <v>370</v>
      </c>
      <c r="T5001" s="2">
        <v>1.39</v>
      </c>
      <c r="U5001" s="2">
        <v>67.8</v>
      </c>
      <c r="V5001" s="2">
        <v>64</v>
      </c>
      <c r="W5001" s="2" t="s">
        <v>7862</v>
      </c>
      <c r="X5001" s="2" t="s">
        <v>2897</v>
      </c>
      <c r="Y5001" s="2">
        <v>20328</v>
      </c>
      <c r="Z5001" s="19" t="str">
        <f>HYPERLINK("https://ssdweb.co/ssdweb/hd/Vision360.html?d=925621763&amp;zoomslide=1&amp;z=1925621763&amp;ISCONFIRM=0","VIDEO")</f>
        <v>VIDEO</v>
      </c>
      <c r="AA5001" s="19" t="str">
        <f>HYPERLINK("https://ssdweb.co/ssdweb/CERTH/623449369.pdf","CERTI")</f>
        <v>CERTI</v>
      </c>
    </row>
    <row r="5002" spans="1:27" ht="15" x14ac:dyDescent="0.25">
      <c r="A5002" s="2">
        <v>4997</v>
      </c>
      <c r="B5002" s="39">
        <v>925520510</v>
      </c>
      <c r="C5002" s="28" t="str">
        <f>HYPERLINK("https://pld.live/RapDetail.aspx?STONELIST=925520510","DNA")</f>
        <v>DNA</v>
      </c>
      <c r="D5002" s="18" t="s">
        <v>711</v>
      </c>
      <c r="E5002" s="18" t="s">
        <v>5128</v>
      </c>
      <c r="F5002" s="2" t="s">
        <v>7987</v>
      </c>
      <c r="G5002" s="2" t="s">
        <v>7322</v>
      </c>
      <c r="H5002" s="14">
        <v>1.54</v>
      </c>
      <c r="I5002" s="2" t="s">
        <v>267</v>
      </c>
      <c r="J5002" s="2" t="s">
        <v>6555</v>
      </c>
      <c r="K5002" s="2" t="s">
        <v>1452</v>
      </c>
      <c r="L5002" s="2" t="s">
        <v>5221</v>
      </c>
      <c r="M5002" s="2" t="s">
        <v>5221</v>
      </c>
      <c r="N5002" s="2" t="s">
        <v>2317</v>
      </c>
      <c r="O5002" s="14">
        <v>13200</v>
      </c>
      <c r="P5002" s="14">
        <v>98.89</v>
      </c>
      <c r="Q5002" s="14">
        <v>146.52000000000001</v>
      </c>
      <c r="R5002" s="14">
        <v>225.64</v>
      </c>
      <c r="S5002" s="2" t="s">
        <v>5047</v>
      </c>
      <c r="T5002" s="2">
        <v>1.39</v>
      </c>
      <c r="U5002" s="2">
        <v>63.9</v>
      </c>
      <c r="V5002" s="2">
        <v>67</v>
      </c>
      <c r="W5002" s="2" t="s">
        <v>7862</v>
      </c>
      <c r="X5002" s="2" t="s">
        <v>2897</v>
      </c>
      <c r="Y5002" s="2">
        <v>20328</v>
      </c>
      <c r="Z5002" s="19" t="str">
        <f>HYPERLINK("https://ssdweb.co/ssdweb/hd/Vision360.html?d=925520510&amp;zoomslide=1&amp;z=1925520510&amp;ISCONFIRM=0","VIDEO")</f>
        <v>VIDEO</v>
      </c>
      <c r="AA5002" s="19" t="str">
        <f>HYPERLINK("https://ssdweb.co/ssdweb/CERTH/617413079.pdf","CERTI")</f>
        <v>CERTI</v>
      </c>
    </row>
    <row r="5003" spans="1:27" ht="15" x14ac:dyDescent="0.25">
      <c r="A5003" s="2">
        <v>4998</v>
      </c>
      <c r="B5003" s="39">
        <v>925850223</v>
      </c>
      <c r="C5003" s="28" t="str">
        <f>HYPERLINK("https://pld.live/RapDetail.aspx?STONELIST=925850223","DNA")</f>
        <v>DNA</v>
      </c>
      <c r="D5003" s="18" t="s">
        <v>711</v>
      </c>
      <c r="E5003" s="18" t="s">
        <v>5128</v>
      </c>
      <c r="F5003" s="2" t="s">
        <v>7987</v>
      </c>
      <c r="G5003" s="2" t="s">
        <v>7322</v>
      </c>
      <c r="H5003" s="14">
        <v>1.54</v>
      </c>
      <c r="I5003" s="2" t="s">
        <v>267</v>
      </c>
      <c r="J5003" s="2" t="s">
        <v>3942</v>
      </c>
      <c r="K5003" s="2" t="s">
        <v>1452</v>
      </c>
      <c r="L5003" s="2" t="s">
        <v>5221</v>
      </c>
      <c r="M5003" s="2" t="s">
        <v>5221</v>
      </c>
      <c r="N5003" s="2" t="s">
        <v>2317</v>
      </c>
      <c r="O5003" s="14">
        <v>12500</v>
      </c>
      <c r="P5003" s="14">
        <v>99.06</v>
      </c>
      <c r="Q5003" s="14">
        <v>117.5</v>
      </c>
      <c r="R5003" s="14">
        <v>180.95</v>
      </c>
      <c r="S5003" s="2" t="s">
        <v>3741</v>
      </c>
      <c r="T5003" s="2">
        <v>1.43</v>
      </c>
      <c r="U5003" s="2">
        <v>67.2</v>
      </c>
      <c r="V5003" s="2">
        <v>67</v>
      </c>
      <c r="W5003" s="2" t="s">
        <v>7862</v>
      </c>
      <c r="X5003" s="2" t="s">
        <v>2897</v>
      </c>
      <c r="Y5003" s="2">
        <v>19250</v>
      </c>
      <c r="Z5003" s="19" t="str">
        <f>HYPERLINK("https://ssdweb.co/ssdweb/hd/Vision360.html?d=925850223&amp;zoomslide=1&amp;z=1925850223&amp;ISCONFIRM=0","VIDEO")</f>
        <v>VIDEO</v>
      </c>
      <c r="AA5003" s="19" t="str">
        <f>HYPERLINK("https://ssdweb.co/ssdweb/CERTH/626414911.pdf","CERTI")</f>
        <v>CERTI</v>
      </c>
    </row>
    <row r="5004" spans="1:27" ht="15" x14ac:dyDescent="0.25">
      <c r="A5004" s="2">
        <v>4999</v>
      </c>
      <c r="B5004" s="39">
        <v>925951025</v>
      </c>
      <c r="C5004" s="28" t="str">
        <f>HYPERLINK("https://pld.live/RapDetail.aspx?STONELIST=925951025","DNA")</f>
        <v>DNA</v>
      </c>
      <c r="D5004" s="18" t="s">
        <v>711</v>
      </c>
      <c r="E5004" s="18" t="s">
        <v>5128</v>
      </c>
      <c r="F5004" s="2" t="s">
        <v>7987</v>
      </c>
      <c r="G5004" s="2" t="s">
        <v>7322</v>
      </c>
      <c r="H5004" s="14">
        <v>1.54</v>
      </c>
      <c r="I5004" s="2" t="s">
        <v>267</v>
      </c>
      <c r="J5004" s="2" t="s">
        <v>3942</v>
      </c>
      <c r="K5004" s="2" t="s">
        <v>1452</v>
      </c>
      <c r="L5004" s="2" t="s">
        <v>5221</v>
      </c>
      <c r="M5004" s="2" t="s">
        <v>5221</v>
      </c>
      <c r="N5004" s="2" t="s">
        <v>2317</v>
      </c>
      <c r="O5004" s="14">
        <v>12500</v>
      </c>
      <c r="P5004" s="14">
        <v>99.06</v>
      </c>
      <c r="Q5004" s="14">
        <v>117.5</v>
      </c>
      <c r="R5004" s="14">
        <v>180.95</v>
      </c>
      <c r="S5004" s="2" t="s">
        <v>1309</v>
      </c>
      <c r="T5004" s="2">
        <v>1.4</v>
      </c>
      <c r="U5004" s="2">
        <v>67.2</v>
      </c>
      <c r="V5004" s="2">
        <v>64</v>
      </c>
      <c r="W5004" s="2" t="s">
        <v>7862</v>
      </c>
      <c r="X5004" s="2" t="s">
        <v>2897</v>
      </c>
      <c r="Y5004" s="2">
        <v>19250</v>
      </c>
      <c r="Z5004" s="19" t="str">
        <f>HYPERLINK("https://ssdweb.co/ssdweb/hd/Vision360.html?d=925951025&amp;zoomslide=1&amp;z=1925951025&amp;ISCONFIRM=0","VIDEO")</f>
        <v>VIDEO</v>
      </c>
      <c r="AA5004" s="19" t="str">
        <f>HYPERLINK("https://ssdweb.co/ssdweb/CERTH/628463231.pdf","CERTI")</f>
        <v>CERTI</v>
      </c>
    </row>
    <row r="5005" spans="1:27" ht="15" x14ac:dyDescent="0.25">
      <c r="A5005" s="2">
        <v>5000</v>
      </c>
      <c r="B5005" s="39">
        <v>925801816</v>
      </c>
      <c r="C5005" s="28" t="str">
        <f>HYPERLINK("https://pld.live/RapDetail.aspx?STONELIST=925801816","DNA")</f>
        <v>DNA</v>
      </c>
      <c r="D5005" s="18" t="s">
        <v>711</v>
      </c>
      <c r="E5005" s="18" t="s">
        <v>5128</v>
      </c>
      <c r="F5005" s="2" t="s">
        <v>7987</v>
      </c>
      <c r="G5005" s="2" t="s">
        <v>7322</v>
      </c>
      <c r="H5005" s="14">
        <v>1.54</v>
      </c>
      <c r="I5005" s="2" t="s">
        <v>267</v>
      </c>
      <c r="J5005" s="2" t="s">
        <v>3942</v>
      </c>
      <c r="K5005" s="2" t="s">
        <v>1452</v>
      </c>
      <c r="L5005" s="2" t="s">
        <v>5221</v>
      </c>
      <c r="M5005" s="2" t="s">
        <v>5221</v>
      </c>
      <c r="N5005" s="2" t="s">
        <v>2317</v>
      </c>
      <c r="O5005" s="14">
        <v>12500</v>
      </c>
      <c r="P5005" s="14">
        <v>99.06</v>
      </c>
      <c r="Q5005" s="14">
        <v>117.5</v>
      </c>
      <c r="R5005" s="14">
        <v>180.95</v>
      </c>
      <c r="S5005" s="2" t="s">
        <v>3021</v>
      </c>
      <c r="T5005" s="2">
        <v>1.47</v>
      </c>
      <c r="U5005" s="2">
        <v>67.7</v>
      </c>
      <c r="V5005" s="2">
        <v>65</v>
      </c>
      <c r="W5005" s="2" t="s">
        <v>7862</v>
      </c>
      <c r="X5005" s="2" t="s">
        <v>2897</v>
      </c>
      <c r="Y5005" s="2">
        <v>19250</v>
      </c>
      <c r="Z5005" s="19" t="str">
        <f>HYPERLINK("https://ssdweb.co/ssdweb/hd/Vision360.html?d=925801816&amp;zoomslide=1&amp;z=1925801816&amp;ISCONFIRM=0","VIDEO")</f>
        <v>VIDEO</v>
      </c>
      <c r="AA5005" s="19" t="str">
        <f>HYPERLINK("https://ssdweb.co/ssdweb/CERTH/626499182.pdf","CERTI")</f>
        <v>CERTI</v>
      </c>
    </row>
    <row r="5006" spans="1:27" ht="15" x14ac:dyDescent="0.25">
      <c r="A5006" s="2">
        <v>5001</v>
      </c>
      <c r="B5006" s="39">
        <v>926171163</v>
      </c>
      <c r="C5006" s="28" t="str">
        <f>HYPERLINK("https://pld.live/RapDetail.aspx?STONELIST=926171163","DNA")</f>
        <v>DNA</v>
      </c>
      <c r="D5006" s="18" t="s">
        <v>711</v>
      </c>
      <c r="E5006" s="18" t="s">
        <v>5128</v>
      </c>
      <c r="F5006" s="2" t="s">
        <v>7987</v>
      </c>
      <c r="G5006" s="2" t="s">
        <v>7322</v>
      </c>
      <c r="H5006" s="14">
        <v>1.54</v>
      </c>
      <c r="I5006" s="2" t="s">
        <v>267</v>
      </c>
      <c r="J5006" s="2" t="s">
        <v>3942</v>
      </c>
      <c r="K5006" s="2" t="s">
        <v>1452</v>
      </c>
      <c r="L5006" s="2" t="s">
        <v>5221</v>
      </c>
      <c r="M5006" s="2" t="s">
        <v>5221</v>
      </c>
      <c r="N5006" s="2" t="s">
        <v>2317</v>
      </c>
      <c r="O5006" s="14">
        <v>12500</v>
      </c>
      <c r="P5006" s="14">
        <v>99.05</v>
      </c>
      <c r="Q5006" s="14">
        <v>118.75</v>
      </c>
      <c r="R5006" s="14">
        <v>182.88</v>
      </c>
      <c r="S5006" s="2" t="s">
        <v>434</v>
      </c>
      <c r="T5006" s="2">
        <v>1.43</v>
      </c>
      <c r="U5006" s="2">
        <v>65.2</v>
      </c>
      <c r="V5006" s="2">
        <v>65</v>
      </c>
      <c r="W5006" s="2" t="s">
        <v>7862</v>
      </c>
      <c r="X5006" s="2" t="s">
        <v>2897</v>
      </c>
      <c r="Y5006" s="2">
        <v>19250</v>
      </c>
      <c r="Z5006" s="19" t="str">
        <f>HYPERLINK("https://ssdweb.co/ssdweb/hd/Vision360.html?d=926171163&amp;zoomslide=1&amp;z=1926171163&amp;ISCONFIRM=0","VIDEO")</f>
        <v>VIDEO</v>
      </c>
      <c r="AA5006" s="19" t="str">
        <f>HYPERLINK("https://ssdweb.co/ssdweb/CERTH/634472338.pdf","CERTI")</f>
        <v>CERTI</v>
      </c>
    </row>
    <row r="5007" spans="1:27" ht="15" x14ac:dyDescent="0.25">
      <c r="A5007" s="2">
        <v>5002</v>
      </c>
      <c r="B5007" s="39">
        <v>926071665</v>
      </c>
      <c r="C5007" s="28" t="str">
        <f>HYPERLINK("https://pld.live/RapDetail.aspx?STONELIST=926071665","DNA")</f>
        <v>DNA</v>
      </c>
      <c r="D5007" s="18" t="s">
        <v>711</v>
      </c>
      <c r="E5007" s="18" t="s">
        <v>5128</v>
      </c>
      <c r="F5007" s="2" t="s">
        <v>7987</v>
      </c>
      <c r="G5007" s="2" t="s">
        <v>7322</v>
      </c>
      <c r="H5007" s="14">
        <v>1.54</v>
      </c>
      <c r="I5007" s="2" t="s">
        <v>267</v>
      </c>
      <c r="J5007" s="2" t="s">
        <v>3942</v>
      </c>
      <c r="K5007" s="2" t="s">
        <v>1452</v>
      </c>
      <c r="L5007" s="2" t="s">
        <v>5221</v>
      </c>
      <c r="M5007" s="2" t="s">
        <v>5221</v>
      </c>
      <c r="N5007" s="2" t="s">
        <v>2317</v>
      </c>
      <c r="O5007" s="14">
        <v>12500</v>
      </c>
      <c r="P5007" s="14">
        <v>99.05</v>
      </c>
      <c r="Q5007" s="14">
        <v>118.75</v>
      </c>
      <c r="R5007" s="14">
        <v>182.88</v>
      </c>
      <c r="S5007" s="2" t="s">
        <v>7557</v>
      </c>
      <c r="T5007" s="2">
        <v>1.46</v>
      </c>
      <c r="U5007" s="2">
        <v>62.8</v>
      </c>
      <c r="V5007" s="2">
        <v>65</v>
      </c>
      <c r="W5007" s="2" t="s">
        <v>7862</v>
      </c>
      <c r="X5007" s="2" t="s">
        <v>2897</v>
      </c>
      <c r="Y5007" s="2">
        <v>19250</v>
      </c>
      <c r="Z5007" s="19" t="str">
        <f>HYPERLINK("https://ssdweb.co/ssdweb/hd/Vision360.html?d=926071665&amp;zoomslide=1&amp;z=1926071665&amp;ISCONFIRM=0","VIDEO")</f>
        <v>VIDEO</v>
      </c>
      <c r="AA5007" s="19" t="str">
        <f>HYPERLINK("https://ssdweb.co/ssdweb/CERTH/631430421.pdf","CERTI")</f>
        <v>CERTI</v>
      </c>
    </row>
    <row r="5008" spans="1:27" ht="15" x14ac:dyDescent="0.25">
      <c r="A5008" s="2">
        <v>5003</v>
      </c>
      <c r="B5008" s="39">
        <v>925721783</v>
      </c>
      <c r="C5008" s="28" t="str">
        <f>HYPERLINK("https://pld.live/RapDetail.aspx?STONELIST=925721783","DNA")</f>
        <v>DNA</v>
      </c>
      <c r="D5008" s="18" t="s">
        <v>711</v>
      </c>
      <c r="E5008" s="18" t="s">
        <v>5128</v>
      </c>
      <c r="F5008" s="2" t="s">
        <v>7987</v>
      </c>
      <c r="G5008" s="2" t="s">
        <v>7322</v>
      </c>
      <c r="H5008" s="14">
        <v>1.54</v>
      </c>
      <c r="I5008" s="2" t="s">
        <v>267</v>
      </c>
      <c r="J5008" s="2" t="s">
        <v>3942</v>
      </c>
      <c r="K5008" s="2" t="s">
        <v>1452</v>
      </c>
      <c r="L5008" s="2" t="s">
        <v>5221</v>
      </c>
      <c r="M5008" s="2" t="s">
        <v>5221</v>
      </c>
      <c r="N5008" s="2" t="s">
        <v>2317</v>
      </c>
      <c r="O5008" s="14">
        <v>12500</v>
      </c>
      <c r="P5008" s="14">
        <v>99.06</v>
      </c>
      <c r="Q5008" s="14">
        <v>117.5</v>
      </c>
      <c r="R5008" s="14">
        <v>180.95</v>
      </c>
      <c r="S5008" s="2" t="s">
        <v>3135</v>
      </c>
      <c r="T5008" s="2">
        <v>1.4</v>
      </c>
      <c r="U5008" s="2">
        <v>65</v>
      </c>
      <c r="V5008" s="2">
        <v>62</v>
      </c>
      <c r="W5008" s="2" t="s">
        <v>7862</v>
      </c>
      <c r="X5008" s="2" t="s">
        <v>2897</v>
      </c>
      <c r="Y5008" s="2">
        <v>19250</v>
      </c>
      <c r="Z5008" s="19" t="str">
        <f>HYPERLINK("https://ssdweb.co/ssdweb/hd/Vision360.html?d=925721783&amp;zoomslide=1&amp;z=1925721783&amp;ISCONFIRM=0","VIDEO")</f>
        <v>VIDEO</v>
      </c>
      <c r="AA5008" s="19" t="str">
        <f>HYPERLINK("https://ssdweb.co/ssdweb/CERTH/624499658.pdf","CERTI")</f>
        <v>CERTI</v>
      </c>
    </row>
    <row r="5009" spans="1:27" ht="15" x14ac:dyDescent="0.25">
      <c r="A5009" s="2">
        <v>5004</v>
      </c>
      <c r="B5009" s="39">
        <v>926100768</v>
      </c>
      <c r="C5009" s="28" t="str">
        <f>HYPERLINK("https://pld.live/RapDetail.aspx?STONELIST=926100768","DNA")</f>
        <v>DNA</v>
      </c>
      <c r="D5009" s="18" t="s">
        <v>711</v>
      </c>
      <c r="E5009" s="18" t="s">
        <v>5128</v>
      </c>
      <c r="F5009" s="2" t="s">
        <v>7987</v>
      </c>
      <c r="G5009" s="2" t="s">
        <v>7322</v>
      </c>
      <c r="H5009" s="14">
        <v>1.54</v>
      </c>
      <c r="I5009" s="2" t="s">
        <v>267</v>
      </c>
      <c r="J5009" s="2" t="s">
        <v>3942</v>
      </c>
      <c r="K5009" s="2" t="s">
        <v>1452</v>
      </c>
      <c r="L5009" s="2" t="s">
        <v>5221</v>
      </c>
      <c r="M5009" s="2" t="s">
        <v>5221</v>
      </c>
      <c r="N5009" s="2" t="s">
        <v>2317</v>
      </c>
      <c r="O5009" s="14">
        <v>12500</v>
      </c>
      <c r="P5009" s="14">
        <v>99.05</v>
      </c>
      <c r="Q5009" s="14">
        <v>118.75</v>
      </c>
      <c r="R5009" s="14">
        <v>182.88</v>
      </c>
      <c r="S5009" s="2" t="s">
        <v>3431</v>
      </c>
      <c r="T5009" s="2">
        <v>1.36</v>
      </c>
      <c r="U5009" s="2">
        <v>66.8</v>
      </c>
      <c r="V5009" s="2">
        <v>67</v>
      </c>
      <c r="W5009" s="2" t="s">
        <v>7862</v>
      </c>
      <c r="X5009" s="2" t="s">
        <v>2897</v>
      </c>
      <c r="Y5009" s="2">
        <v>19250</v>
      </c>
      <c r="Z5009" s="19" t="str">
        <f>HYPERLINK("https://ssdweb.co/ssdweb/hd/Vision360.html?d=926100768&amp;zoomslide=1&amp;z=1926100768&amp;ISCONFIRM=0","VIDEO")</f>
        <v>VIDEO</v>
      </c>
      <c r="AA5009" s="19" t="str">
        <f>HYPERLINK("https://ssdweb.co/ssdweb/CERTH/631430179.pdf","CERTI")</f>
        <v>CERTI</v>
      </c>
    </row>
    <row r="5010" spans="1:27" ht="15" x14ac:dyDescent="0.25">
      <c r="A5010" s="2">
        <v>5005</v>
      </c>
      <c r="B5010" s="39">
        <v>926071345</v>
      </c>
      <c r="C5010" s="28" t="str">
        <f>HYPERLINK("https://pld.live/RapDetail.aspx?STONELIST=926071345","DNA")</f>
        <v>DNA</v>
      </c>
      <c r="D5010" s="18" t="s">
        <v>711</v>
      </c>
      <c r="E5010" s="18" t="s">
        <v>5128</v>
      </c>
      <c r="F5010" s="2" t="s">
        <v>7987</v>
      </c>
      <c r="G5010" s="2" t="s">
        <v>7322</v>
      </c>
      <c r="H5010" s="14">
        <v>1.54</v>
      </c>
      <c r="I5010" s="2" t="s">
        <v>267</v>
      </c>
      <c r="J5010" s="2" t="s">
        <v>3942</v>
      </c>
      <c r="K5010" s="2" t="s">
        <v>1452</v>
      </c>
      <c r="L5010" s="2" t="s">
        <v>5221</v>
      </c>
      <c r="M5010" s="2" t="s">
        <v>5221</v>
      </c>
      <c r="N5010" s="2" t="s">
        <v>2317</v>
      </c>
      <c r="O5010" s="14">
        <v>12500</v>
      </c>
      <c r="P5010" s="14">
        <v>99.05</v>
      </c>
      <c r="Q5010" s="14">
        <v>118.75</v>
      </c>
      <c r="R5010" s="14">
        <v>182.88</v>
      </c>
      <c r="S5010" s="2" t="s">
        <v>7538</v>
      </c>
      <c r="T5010" s="2">
        <v>1.36</v>
      </c>
      <c r="U5010" s="2">
        <v>66.8</v>
      </c>
      <c r="V5010" s="2">
        <v>66</v>
      </c>
      <c r="W5010" s="2" t="s">
        <v>7862</v>
      </c>
      <c r="X5010" s="2" t="s">
        <v>2897</v>
      </c>
      <c r="Y5010" s="2">
        <v>19250</v>
      </c>
      <c r="Z5010" s="19" t="str">
        <f>HYPERLINK("https://ssdweb.co/ssdweb/hd/Vision360.html?d=926071345&amp;zoomslide=1&amp;z=1926071345&amp;ISCONFIRM=0","VIDEO")</f>
        <v>VIDEO</v>
      </c>
      <c r="AA5010" s="19" t="str">
        <f>HYPERLINK("https://ssdweb.co/ssdweb/CERTH/631404448.pdf","CERTI")</f>
        <v>CERTI</v>
      </c>
    </row>
    <row r="5011" spans="1:27" ht="15" x14ac:dyDescent="0.25">
      <c r="A5011" s="2">
        <v>5006</v>
      </c>
      <c r="B5011" s="39">
        <v>925951033</v>
      </c>
      <c r="C5011" s="28" t="str">
        <f>HYPERLINK("https://pld.live/RapDetail.aspx?STONELIST=925951033","DNA")</f>
        <v>DNA</v>
      </c>
      <c r="D5011" s="18" t="s">
        <v>711</v>
      </c>
      <c r="E5011" s="18" t="s">
        <v>5128</v>
      </c>
      <c r="F5011" s="2" t="s">
        <v>7987</v>
      </c>
      <c r="G5011" s="2" t="s">
        <v>7322</v>
      </c>
      <c r="H5011" s="14">
        <v>1.54</v>
      </c>
      <c r="I5011" s="2" t="s">
        <v>267</v>
      </c>
      <c r="J5011" s="2" t="s">
        <v>13</v>
      </c>
      <c r="K5011" s="2" t="s">
        <v>1452</v>
      </c>
      <c r="L5011" s="2" t="s">
        <v>5221</v>
      </c>
      <c r="M5011" s="2" t="s">
        <v>5221</v>
      </c>
      <c r="N5011" s="2" t="s">
        <v>2317</v>
      </c>
      <c r="O5011" s="14">
        <v>11600</v>
      </c>
      <c r="P5011" s="14">
        <v>99.04</v>
      </c>
      <c r="Q5011" s="14">
        <v>111.36</v>
      </c>
      <c r="R5011" s="14">
        <v>171.49</v>
      </c>
      <c r="S5011" s="2" t="s">
        <v>7572</v>
      </c>
      <c r="T5011" s="2">
        <v>1.4</v>
      </c>
      <c r="U5011" s="2">
        <v>67.5</v>
      </c>
      <c r="V5011" s="2">
        <v>67</v>
      </c>
      <c r="W5011" s="2" t="s">
        <v>7862</v>
      </c>
      <c r="X5011" s="2" t="s">
        <v>2897</v>
      </c>
      <c r="Y5011" s="2">
        <v>17864</v>
      </c>
      <c r="Z5011" s="19" t="str">
        <f>HYPERLINK("https://ssdweb.co/ssdweb/hd/Vision360.html?d=925951033&amp;zoomslide=1&amp;z=1925951033&amp;ISCONFIRM=0","VIDEO")</f>
        <v>VIDEO</v>
      </c>
      <c r="AA5011" s="19" t="str">
        <f>HYPERLINK("https://ssdweb.co/ssdweb/CERTH/628463149.pdf","CERTI")</f>
        <v>CERTI</v>
      </c>
    </row>
    <row r="5012" spans="1:27" ht="15" x14ac:dyDescent="0.25">
      <c r="A5012" s="2">
        <v>5007</v>
      </c>
      <c r="B5012" s="39">
        <v>925802000</v>
      </c>
      <c r="C5012" s="28" t="str">
        <f>HYPERLINK("https://pld.live/RapDetail.aspx?STONELIST=925802000","DNA")</f>
        <v>DNA</v>
      </c>
      <c r="D5012" s="18" t="s">
        <v>711</v>
      </c>
      <c r="E5012" s="18" t="s">
        <v>5128</v>
      </c>
      <c r="F5012" s="2" t="s">
        <v>7987</v>
      </c>
      <c r="G5012" s="2" t="s">
        <v>7322</v>
      </c>
      <c r="H5012" s="14">
        <v>1.54</v>
      </c>
      <c r="I5012" s="2" t="s">
        <v>267</v>
      </c>
      <c r="J5012" s="2" t="s">
        <v>13</v>
      </c>
      <c r="K5012" s="2" t="s">
        <v>1452</v>
      </c>
      <c r="L5012" s="2" t="s">
        <v>5221</v>
      </c>
      <c r="M5012" s="2" t="s">
        <v>5221</v>
      </c>
      <c r="N5012" s="2" t="s">
        <v>2317</v>
      </c>
      <c r="O5012" s="14">
        <v>11600</v>
      </c>
      <c r="P5012" s="14">
        <v>99.04</v>
      </c>
      <c r="Q5012" s="14">
        <v>111.36</v>
      </c>
      <c r="R5012" s="14">
        <v>171.49</v>
      </c>
      <c r="S5012" s="2" t="s">
        <v>5</v>
      </c>
      <c r="T5012" s="2">
        <v>1.38</v>
      </c>
      <c r="U5012" s="2">
        <v>67.8</v>
      </c>
      <c r="V5012" s="2">
        <v>65</v>
      </c>
      <c r="W5012" s="2" t="s">
        <v>7862</v>
      </c>
      <c r="X5012" s="2" t="s">
        <v>2897</v>
      </c>
      <c r="Y5012" s="2">
        <v>17864</v>
      </c>
      <c r="Z5012" s="19" t="str">
        <f>HYPERLINK("https://ssdweb.co/ssdweb/hd/Vision360.html?d=925802000&amp;zoomslide=1&amp;z=1925802000&amp;ISCONFIRM=0","VIDEO")</f>
        <v>VIDEO</v>
      </c>
      <c r="AA5012" s="19" t="str">
        <f>HYPERLINK("https://ssdweb.co/ssdweb/CERTH/627497095.pdf","CERTI")</f>
        <v>CERTI</v>
      </c>
    </row>
    <row r="5013" spans="1:27" ht="15" x14ac:dyDescent="0.25">
      <c r="A5013" s="2">
        <v>5008</v>
      </c>
      <c r="B5013" s="39">
        <v>925801976</v>
      </c>
      <c r="C5013" s="28" t="str">
        <f>HYPERLINK("https://pld.live/RapDetail.aspx?STONELIST=925801976","DNA")</f>
        <v>DNA</v>
      </c>
      <c r="D5013" s="18" t="s">
        <v>711</v>
      </c>
      <c r="E5013" s="18" t="s">
        <v>5128</v>
      </c>
      <c r="F5013" s="2" t="s">
        <v>7987</v>
      </c>
      <c r="G5013" s="2" t="s">
        <v>7322</v>
      </c>
      <c r="H5013" s="14">
        <v>1.54</v>
      </c>
      <c r="I5013" s="2" t="s">
        <v>267</v>
      </c>
      <c r="J5013" s="2" t="s">
        <v>13</v>
      </c>
      <c r="K5013" s="2" t="s">
        <v>1452</v>
      </c>
      <c r="L5013" s="2" t="s">
        <v>5221</v>
      </c>
      <c r="M5013" s="2" t="s">
        <v>5221</v>
      </c>
      <c r="N5013" s="2" t="s">
        <v>2317</v>
      </c>
      <c r="O5013" s="14">
        <v>11600</v>
      </c>
      <c r="P5013" s="14">
        <v>99.04</v>
      </c>
      <c r="Q5013" s="14">
        <v>111.36</v>
      </c>
      <c r="R5013" s="14">
        <v>171.49</v>
      </c>
      <c r="S5013" s="2" t="s">
        <v>3936</v>
      </c>
      <c r="T5013" s="2">
        <v>1.43</v>
      </c>
      <c r="U5013" s="2">
        <v>64.2</v>
      </c>
      <c r="V5013" s="2">
        <v>61</v>
      </c>
      <c r="W5013" s="2" t="s">
        <v>7862</v>
      </c>
      <c r="X5013" s="2" t="s">
        <v>2897</v>
      </c>
      <c r="Y5013" s="2">
        <v>17864</v>
      </c>
      <c r="Z5013" s="19" t="str">
        <f>HYPERLINK("https://ssdweb.co/ssdweb/hd/Vision360.html?d=925801976&amp;zoomslide=1&amp;z=1925801976&amp;ISCONFIRM=0","VIDEO")</f>
        <v>VIDEO</v>
      </c>
      <c r="AA5013" s="19" t="str">
        <f>HYPERLINK("https://ssdweb.co/ssdweb/CERTH/627415204.pdf","CERTI")</f>
        <v>CERTI</v>
      </c>
    </row>
    <row r="5014" spans="1:27" ht="15" x14ac:dyDescent="0.25">
      <c r="A5014" s="2">
        <v>5009</v>
      </c>
      <c r="B5014" s="39">
        <v>925520490</v>
      </c>
      <c r="C5014" s="28" t="str">
        <f>HYPERLINK("https://pld.live/RapDetail.aspx?STONELIST=925520490","DNA")</f>
        <v>DNA</v>
      </c>
      <c r="D5014" s="18" t="s">
        <v>711</v>
      </c>
      <c r="E5014" s="18" t="s">
        <v>5128</v>
      </c>
      <c r="F5014" s="2" t="s">
        <v>7987</v>
      </c>
      <c r="G5014" s="2" t="s">
        <v>7322</v>
      </c>
      <c r="H5014" s="14">
        <v>1.54</v>
      </c>
      <c r="I5014" s="2" t="s">
        <v>267</v>
      </c>
      <c r="J5014" s="2" t="s">
        <v>13</v>
      </c>
      <c r="K5014" s="2" t="s">
        <v>1452</v>
      </c>
      <c r="L5014" s="2" t="s">
        <v>5221</v>
      </c>
      <c r="M5014" s="2" t="s">
        <v>5221</v>
      </c>
      <c r="N5014" s="2" t="s">
        <v>2317</v>
      </c>
      <c r="O5014" s="14">
        <v>11600</v>
      </c>
      <c r="P5014" s="14">
        <v>99.04</v>
      </c>
      <c r="Q5014" s="14">
        <v>111.36</v>
      </c>
      <c r="R5014" s="14">
        <v>171.49</v>
      </c>
      <c r="S5014" s="2" t="s">
        <v>6633</v>
      </c>
      <c r="T5014" s="2">
        <v>1.4</v>
      </c>
      <c r="U5014" s="2">
        <v>64.8</v>
      </c>
      <c r="V5014" s="2">
        <v>65</v>
      </c>
      <c r="W5014" s="2" t="s">
        <v>7862</v>
      </c>
      <c r="X5014" s="2" t="s">
        <v>2897</v>
      </c>
      <c r="Y5014" s="2">
        <v>17864</v>
      </c>
      <c r="Z5014" s="19" t="str">
        <f>HYPERLINK("https://ssdweb.co/ssdweb/hd/Vision360.html?d=925520490&amp;zoomslide=1&amp;z=1925520490&amp;ISCONFIRM=0","VIDEO")</f>
        <v>VIDEO</v>
      </c>
      <c r="AA5014" s="19" t="str">
        <f>HYPERLINK("https://ssdweb.co/ssdweb/CERTH/617413075.pdf","CERTI")</f>
        <v>CERTI</v>
      </c>
    </row>
    <row r="5015" spans="1:27" ht="15" x14ac:dyDescent="0.25">
      <c r="A5015" s="2">
        <v>5010</v>
      </c>
      <c r="B5015" s="39">
        <v>926020524</v>
      </c>
      <c r="C5015" s="28" t="str">
        <f>HYPERLINK("https://pld.live/RapDetail.aspx?STONELIST=926020524","DNA")</f>
        <v>DNA</v>
      </c>
      <c r="D5015" s="18" t="s">
        <v>711</v>
      </c>
      <c r="E5015" s="18" t="s">
        <v>5128</v>
      </c>
      <c r="F5015" s="2" t="s">
        <v>7987</v>
      </c>
      <c r="G5015" s="2" t="s">
        <v>7322</v>
      </c>
      <c r="H5015" s="14">
        <v>1.54</v>
      </c>
      <c r="I5015" s="2" t="s">
        <v>267</v>
      </c>
      <c r="J5015" s="2" t="s">
        <v>13</v>
      </c>
      <c r="K5015" s="2" t="s">
        <v>1452</v>
      </c>
      <c r="L5015" s="2" t="s">
        <v>5221</v>
      </c>
      <c r="M5015" s="2" t="s">
        <v>5221</v>
      </c>
      <c r="N5015" s="2" t="s">
        <v>2317</v>
      </c>
      <c r="O5015" s="14">
        <v>11600</v>
      </c>
      <c r="P5015" s="14">
        <v>99.03</v>
      </c>
      <c r="Q5015" s="14">
        <v>112.52</v>
      </c>
      <c r="R5015" s="14">
        <v>173.28</v>
      </c>
      <c r="S5015" s="2" t="s">
        <v>7891</v>
      </c>
      <c r="T5015" s="2">
        <v>1.41</v>
      </c>
      <c r="U5015" s="2">
        <v>63.8</v>
      </c>
      <c r="V5015" s="2">
        <v>63</v>
      </c>
      <c r="W5015" s="2" t="s">
        <v>7862</v>
      </c>
      <c r="X5015" s="2" t="s">
        <v>2897</v>
      </c>
      <c r="Y5015" s="2">
        <v>17864</v>
      </c>
      <c r="Z5015" s="19" t="str">
        <f>HYPERLINK("https://ssdweb.co/ssdweb/hd/Vision360.html?d=926020524&amp;zoomslide=1&amp;z=1926020524&amp;ISCONFIRM=0","VIDEO")</f>
        <v>VIDEO</v>
      </c>
      <c r="AA5015" s="19" t="str">
        <f>HYPERLINK("https://ssdweb.co/ssdweb/CERTH/629481836.pdf","CERTI")</f>
        <v>CERTI</v>
      </c>
    </row>
    <row r="5016" spans="1:27" ht="15" x14ac:dyDescent="0.25">
      <c r="A5016" s="2">
        <v>5011</v>
      </c>
      <c r="B5016" s="39">
        <v>925731336</v>
      </c>
      <c r="C5016" s="28" t="str">
        <f>HYPERLINK("https://pld.live/RapDetail.aspx?STONELIST=925731336","DNA")</f>
        <v>DNA</v>
      </c>
      <c r="D5016" s="18" t="s">
        <v>711</v>
      </c>
      <c r="E5016" s="18" t="s">
        <v>5128</v>
      </c>
      <c r="F5016" s="2" t="s">
        <v>7987</v>
      </c>
      <c r="G5016" s="2" t="s">
        <v>7322</v>
      </c>
      <c r="H5016" s="14">
        <v>1.54</v>
      </c>
      <c r="I5016" s="2" t="s">
        <v>267</v>
      </c>
      <c r="J5016" s="2" t="s">
        <v>5144</v>
      </c>
      <c r="K5016" s="2" t="s">
        <v>1452</v>
      </c>
      <c r="L5016" s="2" t="s">
        <v>5221</v>
      </c>
      <c r="M5016" s="2" t="s">
        <v>5221</v>
      </c>
      <c r="N5016" s="2" t="s">
        <v>2317</v>
      </c>
      <c r="O5016" s="14">
        <v>9900</v>
      </c>
      <c r="P5016" s="14">
        <v>98.93</v>
      </c>
      <c r="Q5016" s="14">
        <v>105.93</v>
      </c>
      <c r="R5016" s="14">
        <v>163.13</v>
      </c>
      <c r="S5016" s="2" t="s">
        <v>6411</v>
      </c>
      <c r="T5016" s="2">
        <v>1.4</v>
      </c>
      <c r="U5016" s="2">
        <v>67.3</v>
      </c>
      <c r="V5016" s="2">
        <v>64</v>
      </c>
      <c r="W5016" s="2" t="s">
        <v>7862</v>
      </c>
      <c r="X5016" s="2" t="s">
        <v>2897</v>
      </c>
      <c r="Y5016" s="2">
        <v>15246</v>
      </c>
      <c r="Z5016" s="19" t="str">
        <f>HYPERLINK("https://ssdweb.co/ssdweb/hd/Vision360.html?d=925731336&amp;zoomslide=1&amp;z=1925731336&amp;ISCONFIRM=0","VIDEO")</f>
        <v>VIDEO</v>
      </c>
      <c r="AA5016" s="19" t="str">
        <f>HYPERLINK("https://ssdweb.co/ssdweb/CERTH/624420549.pdf","CERTI")</f>
        <v>CERTI</v>
      </c>
    </row>
    <row r="5017" spans="1:27" ht="15" x14ac:dyDescent="0.25">
      <c r="A5017" s="2">
        <v>5012</v>
      </c>
      <c r="B5017" s="39">
        <v>925920367</v>
      </c>
      <c r="C5017" s="28" t="str">
        <f>HYPERLINK("https://pld.live/RapDetail.aspx?STONELIST=925920367","DNA")</f>
        <v>DNA</v>
      </c>
      <c r="D5017" s="18" t="s">
        <v>711</v>
      </c>
      <c r="E5017" s="18" t="s">
        <v>5128</v>
      </c>
      <c r="F5017" s="2" t="s">
        <v>7987</v>
      </c>
      <c r="G5017" s="2" t="s">
        <v>7322</v>
      </c>
      <c r="H5017" s="14">
        <v>1.54</v>
      </c>
      <c r="I5017" s="2" t="s">
        <v>267</v>
      </c>
      <c r="J5017" s="2" t="s">
        <v>5144</v>
      </c>
      <c r="K5017" s="2" t="s">
        <v>1452</v>
      </c>
      <c r="L5017" s="2" t="s">
        <v>5221</v>
      </c>
      <c r="M5017" s="2" t="s">
        <v>5221</v>
      </c>
      <c r="N5017" s="2" t="s">
        <v>2317</v>
      </c>
      <c r="O5017" s="14">
        <v>9900</v>
      </c>
      <c r="P5017" s="14">
        <v>98.91</v>
      </c>
      <c r="Q5017" s="14">
        <v>107.91</v>
      </c>
      <c r="R5017" s="14">
        <v>166.18</v>
      </c>
      <c r="S5017" s="2" t="s">
        <v>2485</v>
      </c>
      <c r="T5017" s="2">
        <v>1.4</v>
      </c>
      <c r="U5017" s="2">
        <v>65.099999999999994</v>
      </c>
      <c r="V5017" s="2">
        <v>66</v>
      </c>
      <c r="W5017" s="2" t="s">
        <v>7862</v>
      </c>
      <c r="X5017" s="2" t="s">
        <v>2897</v>
      </c>
      <c r="Y5017" s="2">
        <v>15246</v>
      </c>
      <c r="Z5017" s="19" t="str">
        <f>HYPERLINK("https://ssdweb.co/ssdweb/hd/Vision360.html?d=925920367&amp;zoomslide=1&amp;z=1925920367&amp;ISCONFIRM=0","VIDEO")</f>
        <v>VIDEO</v>
      </c>
      <c r="AA5017" s="19" t="str">
        <f>HYPERLINK("https://ssdweb.co/ssdweb/CERTH/636470107.pdf","CERTI")</f>
        <v>CERTI</v>
      </c>
    </row>
    <row r="5018" spans="1:27" ht="15" x14ac:dyDescent="0.25">
      <c r="A5018" s="2">
        <v>5013</v>
      </c>
      <c r="B5018" s="39">
        <v>925551956</v>
      </c>
      <c r="C5018" s="28" t="str">
        <f>HYPERLINK("https://pld.live/RapDetail.aspx?STONELIST=925551956","DNA")</f>
        <v>DNA</v>
      </c>
      <c r="D5018" s="18" t="s">
        <v>711</v>
      </c>
      <c r="E5018" s="18" t="s">
        <v>5128</v>
      </c>
      <c r="F5018" s="2" t="s">
        <v>7987</v>
      </c>
      <c r="G5018" s="2" t="s">
        <v>7322</v>
      </c>
      <c r="H5018" s="14">
        <v>1.54</v>
      </c>
      <c r="I5018" s="2" t="s">
        <v>267</v>
      </c>
      <c r="J5018" s="2" t="s">
        <v>5144</v>
      </c>
      <c r="K5018" s="2" t="s">
        <v>1452</v>
      </c>
      <c r="L5018" s="2" t="s">
        <v>5221</v>
      </c>
      <c r="M5018" s="2" t="s">
        <v>5221</v>
      </c>
      <c r="N5018" s="2" t="s">
        <v>2317</v>
      </c>
      <c r="O5018" s="14">
        <v>9900</v>
      </c>
      <c r="P5018" s="14">
        <v>98.93</v>
      </c>
      <c r="Q5018" s="14">
        <v>105.93</v>
      </c>
      <c r="R5018" s="14">
        <v>163.13</v>
      </c>
      <c r="S5018" s="2" t="s">
        <v>5156</v>
      </c>
      <c r="T5018" s="2">
        <v>1.49</v>
      </c>
      <c r="U5018" s="2">
        <v>67.900000000000006</v>
      </c>
      <c r="V5018" s="2">
        <v>66</v>
      </c>
      <c r="W5018" s="2" t="s">
        <v>7862</v>
      </c>
      <c r="X5018" s="2" t="s">
        <v>2897</v>
      </c>
      <c r="Y5018" s="2">
        <v>15246</v>
      </c>
      <c r="Z5018" s="19" t="str">
        <f>HYPERLINK("https://ssdweb.co/ssdweb/hd/Vision360.html?d=925551956&amp;zoomslide=1&amp;z=1925551956&amp;ISCONFIRM=0","VIDEO")</f>
        <v>VIDEO</v>
      </c>
      <c r="AA5018" s="19" t="str">
        <f>HYPERLINK("https://ssdweb.co/ssdweb/CERTH/621475777.pdf","CERTI")</f>
        <v>CERTI</v>
      </c>
    </row>
    <row r="5019" spans="1:27" ht="15" x14ac:dyDescent="0.25">
      <c r="A5019" s="2">
        <v>5014</v>
      </c>
      <c r="B5019" s="39">
        <v>821126876</v>
      </c>
      <c r="C5019" s="28" t="str">
        <f>HYPERLINK("https://pld.live/RapDetail.aspx?STONELIST=821126876","DNA")</f>
        <v>DNA</v>
      </c>
      <c r="D5019" s="18" t="s">
        <v>711</v>
      </c>
      <c r="E5019" s="18" t="s">
        <v>5128</v>
      </c>
      <c r="F5019" s="2" t="s">
        <v>7987</v>
      </c>
      <c r="G5019" s="2" t="s">
        <v>7322</v>
      </c>
      <c r="H5019" s="14">
        <v>1.54</v>
      </c>
      <c r="I5019" s="2" t="s">
        <v>4761</v>
      </c>
      <c r="J5019" s="2" t="s">
        <v>6555</v>
      </c>
      <c r="K5019" s="2" t="s">
        <v>1452</v>
      </c>
      <c r="L5019" s="2" t="s">
        <v>5221</v>
      </c>
      <c r="M5019" s="2" t="s">
        <v>5221</v>
      </c>
      <c r="N5019" s="2" t="s">
        <v>2317</v>
      </c>
      <c r="O5019" s="14">
        <v>12400</v>
      </c>
      <c r="P5019" s="14">
        <v>98.91</v>
      </c>
      <c r="Q5019" s="14">
        <v>135.16</v>
      </c>
      <c r="R5019" s="14">
        <v>208.15</v>
      </c>
      <c r="S5019" s="2" t="s">
        <v>612</v>
      </c>
      <c r="T5019" s="2">
        <v>1.45</v>
      </c>
      <c r="U5019" s="2">
        <v>63.7</v>
      </c>
      <c r="V5019" s="2">
        <v>60</v>
      </c>
      <c r="W5019" s="2" t="s">
        <v>7862</v>
      </c>
      <c r="X5019" s="2" t="s">
        <v>2897</v>
      </c>
      <c r="Y5019" s="2">
        <v>19096</v>
      </c>
      <c r="Z5019" s="19" t="str">
        <f>HYPERLINK("https://ssdweb.co/ssdweb/hd/Vision360.html?d=821126876&amp;zoomslide=1&amp;z=1821126876&amp;ISCONFIRM=0","VIDEO")</f>
        <v>VIDEO</v>
      </c>
      <c r="AA5019" s="19" t="str">
        <f>HYPERLINK("https://ssdweb.co/ssdweb/CERTH/621411067.pdf","CERTI")</f>
        <v>CERTI</v>
      </c>
    </row>
    <row r="5020" spans="1:27" ht="15" x14ac:dyDescent="0.25">
      <c r="A5020" s="2">
        <v>5015</v>
      </c>
      <c r="B5020" s="39">
        <v>821126902</v>
      </c>
      <c r="C5020" s="28" t="str">
        <f>HYPERLINK("https://pld.live/RapDetail.aspx?STONELIST=821126902","DNA")</f>
        <v>DNA</v>
      </c>
      <c r="D5020" s="18" t="s">
        <v>711</v>
      </c>
      <c r="E5020" s="18" t="s">
        <v>5128</v>
      </c>
      <c r="F5020" s="2" t="s">
        <v>7987</v>
      </c>
      <c r="G5020" s="2" t="s">
        <v>7322</v>
      </c>
      <c r="H5020" s="14">
        <v>1.54</v>
      </c>
      <c r="I5020" s="2" t="s">
        <v>4761</v>
      </c>
      <c r="J5020" s="2" t="s">
        <v>6555</v>
      </c>
      <c r="K5020" s="2" t="s">
        <v>1452</v>
      </c>
      <c r="L5020" s="2" t="s">
        <v>5221</v>
      </c>
      <c r="M5020" s="2" t="s">
        <v>5221</v>
      </c>
      <c r="N5020" s="2" t="s">
        <v>2317</v>
      </c>
      <c r="O5020" s="14">
        <v>12400</v>
      </c>
      <c r="P5020" s="14">
        <v>98.91</v>
      </c>
      <c r="Q5020" s="14">
        <v>135.16</v>
      </c>
      <c r="R5020" s="14">
        <v>208.15</v>
      </c>
      <c r="S5020" s="2" t="s">
        <v>4145</v>
      </c>
      <c r="T5020" s="2">
        <v>1.48</v>
      </c>
      <c r="U5020" s="2">
        <v>64.099999999999994</v>
      </c>
      <c r="V5020" s="2">
        <v>67</v>
      </c>
      <c r="W5020" s="2" t="s">
        <v>7862</v>
      </c>
      <c r="X5020" s="2" t="s">
        <v>2897</v>
      </c>
      <c r="Y5020" s="2">
        <v>19096</v>
      </c>
      <c r="Z5020" s="19" t="str">
        <f>HYPERLINK("https://ssdweb.co/ssdweb/hd/Vision360.html?d=821126902&amp;zoomslide=1&amp;z=1821126902&amp;ISCONFIRM=0","VIDEO")</f>
        <v>VIDEO</v>
      </c>
      <c r="AA5020" s="19" t="str">
        <f>HYPERLINK("https://ssdweb.co/ssdweb/CERTH/621411041.pdf","CERTI")</f>
        <v>CERTI</v>
      </c>
    </row>
    <row r="5021" spans="1:27" ht="15" x14ac:dyDescent="0.25">
      <c r="A5021" s="2">
        <v>5016</v>
      </c>
      <c r="B5021" s="39">
        <v>926901064</v>
      </c>
      <c r="C5021" s="28" t="str">
        <f>HYPERLINK("https://pld.live/RapDetail.aspx?STONELIST=926901064","DNA")</f>
        <v>DNA</v>
      </c>
      <c r="D5021" s="18" t="s">
        <v>711</v>
      </c>
      <c r="E5021" s="18" t="s">
        <v>5128</v>
      </c>
      <c r="F5021" s="2" t="s">
        <v>7987</v>
      </c>
      <c r="G5021" s="2" t="s">
        <v>7322</v>
      </c>
      <c r="H5021" s="14">
        <v>1.54</v>
      </c>
      <c r="I5021" s="2" t="s">
        <v>4761</v>
      </c>
      <c r="J5021" s="2" t="s">
        <v>6555</v>
      </c>
      <c r="K5021" s="2" t="s">
        <v>1452</v>
      </c>
      <c r="L5021" s="2" t="s">
        <v>5221</v>
      </c>
      <c r="M5021" s="2" t="s">
        <v>5221</v>
      </c>
      <c r="N5021" s="2" t="s">
        <v>2317</v>
      </c>
      <c r="O5021" s="14">
        <v>12400</v>
      </c>
      <c r="P5021" s="14">
        <v>98.89</v>
      </c>
      <c r="Q5021" s="14">
        <v>137.63999999999999</v>
      </c>
      <c r="R5021" s="14">
        <v>211.97</v>
      </c>
      <c r="S5021" s="2" t="s">
        <v>4098</v>
      </c>
      <c r="T5021" s="2">
        <v>1.4</v>
      </c>
      <c r="U5021" s="2">
        <v>67.2</v>
      </c>
      <c r="V5021" s="2">
        <v>63</v>
      </c>
      <c r="W5021" s="2" t="s">
        <v>7862</v>
      </c>
      <c r="X5021" s="2" t="s">
        <v>2897</v>
      </c>
      <c r="Y5021" s="2">
        <v>19096</v>
      </c>
      <c r="Z5021" s="19" t="str">
        <f>HYPERLINK("https://ssdweb.co/ssdweb/hd/Vision360.html?d=926901064&amp;zoomslide=1&amp;z=1926901064&amp;ISCONFIRM=0","VIDEO")</f>
        <v>VIDEO</v>
      </c>
      <c r="AA5021" s="19" t="str">
        <f>HYPERLINK("https://ssdweb.co/ssdweb/CERTH/659414321.pdf","CERTI")</f>
        <v>CERTI</v>
      </c>
    </row>
    <row r="5022" spans="1:27" ht="15" x14ac:dyDescent="0.25">
      <c r="A5022" s="2">
        <v>5017</v>
      </c>
      <c r="B5022" s="39">
        <v>925731334</v>
      </c>
      <c r="C5022" s="28" t="str">
        <f>HYPERLINK("https://pld.live/RapDetail.aspx?STONELIST=925731334","DNA")</f>
        <v>DNA</v>
      </c>
      <c r="D5022" s="18" t="s">
        <v>711</v>
      </c>
      <c r="E5022" s="18" t="s">
        <v>5128</v>
      </c>
      <c r="F5022" s="2" t="s">
        <v>7987</v>
      </c>
      <c r="G5022" s="2" t="s">
        <v>7322</v>
      </c>
      <c r="H5022" s="14">
        <v>1.54</v>
      </c>
      <c r="I5022" s="2" t="s">
        <v>4761</v>
      </c>
      <c r="J5022" s="2" t="s">
        <v>3942</v>
      </c>
      <c r="K5022" s="2" t="s">
        <v>1452</v>
      </c>
      <c r="L5022" s="2" t="s">
        <v>5221</v>
      </c>
      <c r="M5022" s="2" t="s">
        <v>5221</v>
      </c>
      <c r="N5022" s="2" t="s">
        <v>2317</v>
      </c>
      <c r="O5022" s="14">
        <v>11600</v>
      </c>
      <c r="P5022" s="14">
        <v>99.03</v>
      </c>
      <c r="Q5022" s="14">
        <v>112.52</v>
      </c>
      <c r="R5022" s="14">
        <v>173.28</v>
      </c>
      <c r="S5022" s="2" t="s">
        <v>5896</v>
      </c>
      <c r="T5022" s="2">
        <v>1.36</v>
      </c>
      <c r="U5022" s="2">
        <v>68.3</v>
      </c>
      <c r="V5022" s="2">
        <v>61</v>
      </c>
      <c r="W5022" s="2" t="s">
        <v>7862</v>
      </c>
      <c r="X5022" s="2" t="s">
        <v>2897</v>
      </c>
      <c r="Y5022" s="2">
        <v>17864</v>
      </c>
      <c r="Z5022" s="19" t="str">
        <f>HYPERLINK("https://ssdweb.co/ssdweb/hd/Vision360.html?d=925731334&amp;zoomslide=1&amp;z=1925731334&amp;ISCONFIRM=0","VIDEO")</f>
        <v>VIDEO</v>
      </c>
      <c r="AA5022" s="19" t="str">
        <f>HYPERLINK("https://ssdweb.co/ssdweb/CERTH/624440103.pdf","CERTI")</f>
        <v>CERTI</v>
      </c>
    </row>
    <row r="5023" spans="1:27" ht="15" x14ac:dyDescent="0.25">
      <c r="A5023" s="2">
        <v>5018</v>
      </c>
      <c r="B5023" s="39">
        <v>925520106</v>
      </c>
      <c r="C5023" s="28" t="str">
        <f>HYPERLINK("https://pld.live/RapDetail.aspx?STONELIST=925520106","DNA")</f>
        <v>DNA</v>
      </c>
      <c r="D5023" s="18" t="s">
        <v>711</v>
      </c>
      <c r="E5023" s="18" t="s">
        <v>5128</v>
      </c>
      <c r="F5023" s="2" t="s">
        <v>7987</v>
      </c>
      <c r="G5023" s="2" t="s">
        <v>7322</v>
      </c>
      <c r="H5023" s="14">
        <v>1.54</v>
      </c>
      <c r="I5023" s="2" t="s">
        <v>4761</v>
      </c>
      <c r="J5023" s="2" t="s">
        <v>3942</v>
      </c>
      <c r="K5023" s="2" t="s">
        <v>1452</v>
      </c>
      <c r="L5023" s="2" t="s">
        <v>5221</v>
      </c>
      <c r="M5023" s="2" t="s">
        <v>5221</v>
      </c>
      <c r="N5023" s="2" t="s">
        <v>2317</v>
      </c>
      <c r="O5023" s="14">
        <v>11600</v>
      </c>
      <c r="P5023" s="14">
        <v>99.03</v>
      </c>
      <c r="Q5023" s="14">
        <v>112.52</v>
      </c>
      <c r="R5023" s="14">
        <v>173.28</v>
      </c>
      <c r="S5023" s="2" t="s">
        <v>5561</v>
      </c>
      <c r="T5023" s="2">
        <v>1.42</v>
      </c>
      <c r="U5023" s="2">
        <v>65.7</v>
      </c>
      <c r="V5023" s="2">
        <v>62</v>
      </c>
      <c r="W5023" s="2" t="s">
        <v>7862</v>
      </c>
      <c r="X5023" s="2" t="s">
        <v>2897</v>
      </c>
      <c r="Y5023" s="2">
        <v>17864</v>
      </c>
      <c r="Z5023" s="19" t="str">
        <f>HYPERLINK("https://ssdweb.co/ssdweb/hd/Vision360.html?d=925520106&amp;zoomslide=1&amp;z=1925520106&amp;ISCONFIRM=0","VIDEO")</f>
        <v>VIDEO</v>
      </c>
      <c r="AA5023" s="19" t="str">
        <f>HYPERLINK("https://ssdweb.co/ssdweb/CERTH/616434350.pdf","CERTI")</f>
        <v>CERTI</v>
      </c>
    </row>
    <row r="5024" spans="1:27" ht="15" x14ac:dyDescent="0.25">
      <c r="A5024" s="2">
        <v>5019</v>
      </c>
      <c r="B5024" s="39">
        <v>925801493</v>
      </c>
      <c r="C5024" s="28" t="str">
        <f>HYPERLINK("https://pld.live/RapDetail.aspx?STONELIST=925801493","DNA")</f>
        <v>DNA</v>
      </c>
      <c r="D5024" s="18" t="s">
        <v>711</v>
      </c>
      <c r="E5024" s="18" t="s">
        <v>5128</v>
      </c>
      <c r="F5024" s="2" t="s">
        <v>7987</v>
      </c>
      <c r="G5024" s="2" t="s">
        <v>7322</v>
      </c>
      <c r="H5024" s="14">
        <v>1.54</v>
      </c>
      <c r="I5024" s="2" t="s">
        <v>6587</v>
      </c>
      <c r="J5024" s="2" t="s">
        <v>6555</v>
      </c>
      <c r="K5024" s="2" t="s">
        <v>1452</v>
      </c>
      <c r="L5024" s="2" t="s">
        <v>5221</v>
      </c>
      <c r="M5024" s="2" t="s">
        <v>5221</v>
      </c>
      <c r="N5024" s="2" t="s">
        <v>2317</v>
      </c>
      <c r="O5024" s="14">
        <v>10500</v>
      </c>
      <c r="P5024" s="14">
        <v>98.82</v>
      </c>
      <c r="Q5024" s="14">
        <v>123.9</v>
      </c>
      <c r="R5024" s="14">
        <v>190.81</v>
      </c>
      <c r="S5024" s="2" t="s">
        <v>1463</v>
      </c>
      <c r="T5024" s="2">
        <v>1.42</v>
      </c>
      <c r="U5024" s="2">
        <v>67</v>
      </c>
      <c r="V5024" s="2">
        <v>65</v>
      </c>
      <c r="W5024" s="2" t="s">
        <v>7862</v>
      </c>
      <c r="X5024" s="2" t="s">
        <v>2897</v>
      </c>
      <c r="Y5024" s="2">
        <v>16170</v>
      </c>
      <c r="Z5024" s="19" t="str">
        <f>HYPERLINK("https://ssdweb.co/ssdweb/hd/Vision360.html?d=925801493&amp;zoomslide=1&amp;z=1925801493&amp;ISCONFIRM=0","VIDEO")</f>
        <v>VIDEO</v>
      </c>
      <c r="AA5024" s="19" t="str">
        <f>HYPERLINK("https://ssdweb.co/ssdweb/CERTH/626414920.pdf","CERTI")</f>
        <v>CERTI</v>
      </c>
    </row>
    <row r="5025" spans="1:27" ht="15" x14ac:dyDescent="0.25">
      <c r="A5025" s="2">
        <v>5020</v>
      </c>
      <c r="B5025" s="39">
        <v>925060415</v>
      </c>
      <c r="C5025" s="28" t="str">
        <f>HYPERLINK("https://pld.live/RapDetail.aspx?STONELIST=925060415","DNA")</f>
        <v>DNA</v>
      </c>
      <c r="D5025" s="18" t="s">
        <v>711</v>
      </c>
      <c r="E5025" s="18" t="s">
        <v>2186</v>
      </c>
      <c r="F5025" s="2" t="s">
        <v>5597</v>
      </c>
      <c r="G5025" s="2" t="s">
        <v>7322</v>
      </c>
      <c r="H5025" s="14">
        <v>1.54</v>
      </c>
      <c r="I5025" s="2" t="s">
        <v>6587</v>
      </c>
      <c r="J5025" s="2" t="s">
        <v>5144</v>
      </c>
      <c r="K5025" s="2" t="s">
        <v>1452</v>
      </c>
      <c r="L5025" s="2" t="s">
        <v>5221</v>
      </c>
      <c r="M5025" s="2" t="s">
        <v>5721</v>
      </c>
      <c r="N5025" s="2" t="s">
        <v>2317</v>
      </c>
      <c r="O5025" s="14">
        <v>8200</v>
      </c>
      <c r="P5025" s="14">
        <v>97.5</v>
      </c>
      <c r="Q5025" s="14">
        <v>205</v>
      </c>
      <c r="R5025" s="14">
        <v>315.7</v>
      </c>
      <c r="S5025" s="2" t="s">
        <v>2027</v>
      </c>
      <c r="T5025" s="2">
        <v>1.41</v>
      </c>
      <c r="U5025" s="2">
        <v>67.5</v>
      </c>
      <c r="V5025" s="2">
        <v>63</v>
      </c>
      <c r="W5025" s="2" t="s">
        <v>7862</v>
      </c>
      <c r="X5025" s="2" t="s">
        <v>2897</v>
      </c>
      <c r="Y5025" s="2">
        <v>12628</v>
      </c>
      <c r="Z5025" s="19" t="str">
        <f>HYPERLINK("https://ssdweb.co/ssdweb/hd/Vision360.html?d=925060415&amp;zoomslide=1&amp;z=1925060415&amp;ISCONFIRM=0","VIDEO")</f>
        <v>VIDEO</v>
      </c>
      <c r="AA5025" s="19" t="str">
        <f>HYPERLINK("https://ssdweb.co/ssdweb/CERTH/6481175035.pdf","CERTI")</f>
        <v>CERTI</v>
      </c>
    </row>
    <row r="5026" spans="1:27" ht="15" x14ac:dyDescent="0.25">
      <c r="A5026" s="2">
        <v>5021</v>
      </c>
      <c r="B5026" s="39">
        <v>924620062</v>
      </c>
      <c r="C5026" s="28" t="str">
        <f>HYPERLINK("https://pld.live/RapDetail.aspx?STONELIST=924620062","DNA")</f>
        <v>DNA</v>
      </c>
      <c r="D5026" s="18" t="s">
        <v>711</v>
      </c>
      <c r="E5026" s="18" t="s">
        <v>2186</v>
      </c>
      <c r="F5026" s="2" t="s">
        <v>7987</v>
      </c>
      <c r="G5026" s="2" t="s">
        <v>7322</v>
      </c>
      <c r="H5026" s="14">
        <v>1.54</v>
      </c>
      <c r="I5026" s="2" t="s">
        <v>1505</v>
      </c>
      <c r="J5026" s="2" t="s">
        <v>3942</v>
      </c>
      <c r="K5026" s="2" t="s">
        <v>1452</v>
      </c>
      <c r="L5026" s="2" t="s">
        <v>5221</v>
      </c>
      <c r="M5026" s="2" t="s">
        <v>5221</v>
      </c>
      <c r="N5026" s="2" t="s">
        <v>2317</v>
      </c>
      <c r="O5026" s="14">
        <v>8400</v>
      </c>
      <c r="P5026" s="14">
        <v>98.82</v>
      </c>
      <c r="Q5026" s="14">
        <v>99.12</v>
      </c>
      <c r="R5026" s="14">
        <v>152.63999999999999</v>
      </c>
      <c r="S5026" s="2" t="s">
        <v>525</v>
      </c>
      <c r="T5026" s="2">
        <v>1.58</v>
      </c>
      <c r="U5026" s="2">
        <v>66</v>
      </c>
      <c r="V5026" s="2">
        <v>61</v>
      </c>
      <c r="W5026" s="2" t="s">
        <v>8016</v>
      </c>
      <c r="X5026" s="2" t="s">
        <v>2897</v>
      </c>
      <c r="Y5026" s="2">
        <v>12936</v>
      </c>
      <c r="Z5026" s="19" t="str">
        <f>HYPERLINK("https://ssdweb.co/ssdweb/hd/Vision360.html?d=924620062&amp;zoomslide=1&amp;z=1924620062&amp;ISCONFIRM=0","VIDEO")</f>
        <v>VIDEO</v>
      </c>
      <c r="AA5026" s="19" t="str">
        <f>HYPERLINK("https://ssdweb.co/ssdweb/CERTH/598352526.pdf","CERTI")</f>
        <v>CERTI</v>
      </c>
    </row>
    <row r="5027" spans="1:27" ht="15" x14ac:dyDescent="0.25">
      <c r="A5027" s="2">
        <v>5022</v>
      </c>
      <c r="B5027" s="39">
        <v>925970841</v>
      </c>
      <c r="C5027" s="28" t="str">
        <f>HYPERLINK("https://pld.live/RapDetail.aspx?STONELIST=925970841","DNA")</f>
        <v>DNA</v>
      </c>
      <c r="D5027" s="18" t="s">
        <v>711</v>
      </c>
      <c r="E5027" s="18" t="s">
        <v>5128</v>
      </c>
      <c r="F5027" s="2" t="s">
        <v>7987</v>
      </c>
      <c r="G5027" s="2" t="s">
        <v>7322</v>
      </c>
      <c r="H5027" s="14">
        <v>1.53</v>
      </c>
      <c r="I5027" s="2" t="s">
        <v>267</v>
      </c>
      <c r="J5027" s="2" t="s">
        <v>7032</v>
      </c>
      <c r="K5027" s="2" t="s">
        <v>1452</v>
      </c>
      <c r="L5027" s="2" t="s">
        <v>5221</v>
      </c>
      <c r="M5027" s="2" t="s">
        <v>5221</v>
      </c>
      <c r="N5027" s="2" t="s">
        <v>2317</v>
      </c>
      <c r="O5027" s="14">
        <v>14100</v>
      </c>
      <c r="P5027" s="14">
        <v>97.19</v>
      </c>
      <c r="Q5027" s="14">
        <v>396.21</v>
      </c>
      <c r="R5027" s="14">
        <v>606.20000000000005</v>
      </c>
      <c r="S5027" s="2" t="s">
        <v>7064</v>
      </c>
      <c r="T5027" s="2">
        <v>1.4</v>
      </c>
      <c r="U5027" s="2">
        <v>67.599999999999994</v>
      </c>
      <c r="V5027" s="2">
        <v>61</v>
      </c>
      <c r="W5027" s="2" t="s">
        <v>7862</v>
      </c>
      <c r="X5027" s="2" t="s">
        <v>2897</v>
      </c>
      <c r="Y5027" s="2">
        <v>21573</v>
      </c>
      <c r="Z5027" s="19" t="str">
        <f>HYPERLINK("https://ssdweb.co/ssdweb/hd/Vision360.html?d=925970841&amp;zoomslide=1&amp;z=1925970841&amp;ISCONFIRM=0","VIDEO")</f>
        <v>VIDEO</v>
      </c>
      <c r="AA5027" s="19" t="str">
        <f>HYPERLINK("https://ssdweb.co/ssdweb/CERTH/628463146.pdf","CERTI")</f>
        <v>CERTI</v>
      </c>
    </row>
    <row r="5028" spans="1:27" ht="15" x14ac:dyDescent="0.25">
      <c r="A5028" s="2">
        <v>5023</v>
      </c>
      <c r="B5028" s="39">
        <v>924830168</v>
      </c>
      <c r="C5028" s="28" t="str">
        <f>HYPERLINK("https://pld.live/RapDetail.aspx?STONELIST=924830168","DNA")</f>
        <v>DNA</v>
      </c>
      <c r="D5028" s="18" t="s">
        <v>711</v>
      </c>
      <c r="E5028" s="18" t="s">
        <v>5128</v>
      </c>
      <c r="F5028" s="2" t="s">
        <v>7987</v>
      </c>
      <c r="G5028" s="2" t="s">
        <v>7322</v>
      </c>
      <c r="H5028" s="14">
        <v>1.53</v>
      </c>
      <c r="I5028" s="2" t="s">
        <v>267</v>
      </c>
      <c r="J5028" s="2" t="s">
        <v>6555</v>
      </c>
      <c r="K5028" s="2" t="s">
        <v>1452</v>
      </c>
      <c r="L5028" s="2" t="s">
        <v>5221</v>
      </c>
      <c r="M5028" s="2" t="s">
        <v>5221</v>
      </c>
      <c r="N5028" s="2" t="s">
        <v>2317</v>
      </c>
      <c r="O5028" s="14">
        <v>13200</v>
      </c>
      <c r="P5028" s="14">
        <v>98.89</v>
      </c>
      <c r="Q5028" s="14">
        <v>146.52000000000001</v>
      </c>
      <c r="R5028" s="14">
        <v>224.18</v>
      </c>
      <c r="S5028" s="2" t="s">
        <v>7116</v>
      </c>
      <c r="T5028" s="2">
        <v>1.45</v>
      </c>
      <c r="U5028" s="2">
        <v>65.2</v>
      </c>
      <c r="V5028" s="2">
        <v>65</v>
      </c>
      <c r="W5028" s="2" t="s">
        <v>7862</v>
      </c>
      <c r="X5028" s="2" t="s">
        <v>2897</v>
      </c>
      <c r="Y5028" s="2">
        <v>20196</v>
      </c>
      <c r="Z5028" s="19" t="str">
        <f>HYPERLINK("https://ssdweb.co/ssdweb/hd/Vision360.html?d=924830168&amp;zoomslide=1&amp;z=1924830168&amp;ISCONFIRM=0","VIDEO")</f>
        <v>VIDEO</v>
      </c>
      <c r="AA5028" s="19" t="str">
        <f>HYPERLINK("https://ssdweb.co/ssdweb/CERTH/600355234.pdf","CERTI")</f>
        <v>CERTI</v>
      </c>
    </row>
    <row r="5029" spans="1:27" ht="15" x14ac:dyDescent="0.25">
      <c r="A5029" s="2">
        <v>5024</v>
      </c>
      <c r="B5029" s="39">
        <v>925980539</v>
      </c>
      <c r="C5029" s="28" t="str">
        <f>HYPERLINK("https://pld.live/RapDetail.aspx?STONELIST=925980539","DNA")</f>
        <v>DNA</v>
      </c>
      <c r="D5029" s="18" t="s">
        <v>711</v>
      </c>
      <c r="E5029" s="18" t="s">
        <v>5128</v>
      </c>
      <c r="F5029" s="2" t="s">
        <v>7987</v>
      </c>
      <c r="G5029" s="2" t="s">
        <v>7322</v>
      </c>
      <c r="H5029" s="14">
        <v>1.53</v>
      </c>
      <c r="I5029" s="2" t="s">
        <v>267</v>
      </c>
      <c r="J5029" s="2" t="s">
        <v>6555</v>
      </c>
      <c r="K5029" s="2" t="s">
        <v>1452</v>
      </c>
      <c r="L5029" s="2" t="s">
        <v>5221</v>
      </c>
      <c r="M5029" s="2" t="s">
        <v>5221</v>
      </c>
      <c r="N5029" s="2" t="s">
        <v>2317</v>
      </c>
      <c r="O5029" s="14">
        <v>13200</v>
      </c>
      <c r="P5029" s="14">
        <v>98.89</v>
      </c>
      <c r="Q5029" s="14">
        <v>146.52000000000001</v>
      </c>
      <c r="R5029" s="14">
        <v>224.18</v>
      </c>
      <c r="S5029" s="2" t="s">
        <v>1052</v>
      </c>
      <c r="T5029" s="2">
        <v>1.36</v>
      </c>
      <c r="U5029" s="2">
        <v>66.3</v>
      </c>
      <c r="V5029" s="2">
        <v>65</v>
      </c>
      <c r="W5029" s="2" t="s">
        <v>7862</v>
      </c>
      <c r="X5029" s="2" t="s">
        <v>2897</v>
      </c>
      <c r="Y5029" s="2">
        <v>20196</v>
      </c>
      <c r="Z5029" s="19" t="str">
        <f>HYPERLINK("https://ssdweb.co/ssdweb/hd/Vision360.html?d=925980539&amp;zoomslide=1&amp;z=1925980539&amp;ISCONFIRM=0","VIDEO")</f>
        <v>VIDEO</v>
      </c>
      <c r="AA5029" s="19" t="str">
        <f>HYPERLINK("https://ssdweb.co/ssdweb/CERTH/628463144.pdf","CERTI")</f>
        <v>CERTI</v>
      </c>
    </row>
    <row r="5030" spans="1:27" ht="15" x14ac:dyDescent="0.25">
      <c r="A5030" s="2">
        <v>5025</v>
      </c>
      <c r="B5030" s="39">
        <v>925801771</v>
      </c>
      <c r="C5030" s="28" t="str">
        <f>HYPERLINK("https://pld.live/RapDetail.aspx?STONELIST=925801771","DNA")</f>
        <v>DNA</v>
      </c>
      <c r="D5030" s="18" t="s">
        <v>711</v>
      </c>
      <c r="E5030" s="18" t="s">
        <v>5128</v>
      </c>
      <c r="F5030" s="2" t="s">
        <v>7987</v>
      </c>
      <c r="G5030" s="2" t="s">
        <v>7322</v>
      </c>
      <c r="H5030" s="14">
        <v>1.53</v>
      </c>
      <c r="I5030" s="2" t="s">
        <v>267</v>
      </c>
      <c r="J5030" s="2" t="s">
        <v>3942</v>
      </c>
      <c r="K5030" s="2" t="s">
        <v>1452</v>
      </c>
      <c r="L5030" s="2" t="s">
        <v>5221</v>
      </c>
      <c r="M5030" s="2" t="s">
        <v>5221</v>
      </c>
      <c r="N5030" s="2" t="s">
        <v>2317</v>
      </c>
      <c r="O5030" s="14">
        <v>12500</v>
      </c>
      <c r="P5030" s="14">
        <v>99.06</v>
      </c>
      <c r="Q5030" s="14">
        <v>117.5</v>
      </c>
      <c r="R5030" s="14">
        <v>179.78</v>
      </c>
      <c r="S5030" s="2" t="s">
        <v>921</v>
      </c>
      <c r="T5030" s="2">
        <v>1.41</v>
      </c>
      <c r="U5030" s="2">
        <v>67.2</v>
      </c>
      <c r="V5030" s="2">
        <v>65</v>
      </c>
      <c r="W5030" s="2" t="s">
        <v>7862</v>
      </c>
      <c r="X5030" s="2" t="s">
        <v>2897</v>
      </c>
      <c r="Y5030" s="2">
        <v>19125</v>
      </c>
      <c r="Z5030" s="19" t="str">
        <f>HYPERLINK("https://ssdweb.co/ssdweb/hd/Vision360.html?d=925801771&amp;zoomslide=1&amp;z=1925801771&amp;ISCONFIRM=0","VIDEO")</f>
        <v>VIDEO</v>
      </c>
      <c r="AA5030" s="19" t="str">
        <f>HYPERLINK("https://ssdweb.co/ssdweb/CERTH/626499203.pdf","CERTI")</f>
        <v>CERTI</v>
      </c>
    </row>
    <row r="5031" spans="1:27" ht="15" x14ac:dyDescent="0.25">
      <c r="A5031" s="2">
        <v>5026</v>
      </c>
      <c r="B5031" s="39">
        <v>925731629</v>
      </c>
      <c r="C5031" s="28" t="str">
        <f>HYPERLINK("https://pld.live/RapDetail.aspx?STONELIST=925731629","DNA")</f>
        <v>DNA</v>
      </c>
      <c r="D5031" s="18" t="s">
        <v>711</v>
      </c>
      <c r="E5031" s="18" t="s">
        <v>5128</v>
      </c>
      <c r="F5031" s="2" t="s">
        <v>7987</v>
      </c>
      <c r="G5031" s="2" t="s">
        <v>7322</v>
      </c>
      <c r="H5031" s="14">
        <v>1.53</v>
      </c>
      <c r="I5031" s="2" t="s">
        <v>267</v>
      </c>
      <c r="J5031" s="2" t="s">
        <v>3942</v>
      </c>
      <c r="K5031" s="2" t="s">
        <v>1452</v>
      </c>
      <c r="L5031" s="2" t="s">
        <v>5221</v>
      </c>
      <c r="M5031" s="2" t="s">
        <v>5221</v>
      </c>
      <c r="N5031" s="2" t="s">
        <v>2317</v>
      </c>
      <c r="O5031" s="14">
        <v>12500</v>
      </c>
      <c r="P5031" s="14">
        <v>99.06</v>
      </c>
      <c r="Q5031" s="14">
        <v>117.5</v>
      </c>
      <c r="R5031" s="14">
        <v>179.78</v>
      </c>
      <c r="S5031" s="2" t="s">
        <v>988</v>
      </c>
      <c r="T5031" s="2">
        <v>1.38</v>
      </c>
      <c r="U5031" s="2">
        <v>67.2</v>
      </c>
      <c r="V5031" s="2">
        <v>65</v>
      </c>
      <c r="W5031" s="2" t="s">
        <v>7862</v>
      </c>
      <c r="X5031" s="2" t="s">
        <v>2897</v>
      </c>
      <c r="Y5031" s="2">
        <v>19125</v>
      </c>
      <c r="Z5031" s="19" t="str">
        <f>HYPERLINK("https://ssdweb.co/ssdweb/hd/Vision360.html?d=925731629&amp;zoomslide=1&amp;z=1925731629&amp;ISCONFIRM=0","VIDEO")</f>
        <v>VIDEO</v>
      </c>
      <c r="AA5031" s="19" t="str">
        <f>HYPERLINK("https://ssdweb.co/ssdweb/CERTH/625457923.pdf","CERTI")</f>
        <v>CERTI</v>
      </c>
    </row>
    <row r="5032" spans="1:27" ht="15" x14ac:dyDescent="0.25">
      <c r="A5032" s="2">
        <v>5027</v>
      </c>
      <c r="B5032" s="39">
        <v>925950907</v>
      </c>
      <c r="C5032" s="28" t="str">
        <f>HYPERLINK("https://pld.live/RapDetail.aspx?STONELIST=925950907","DNA")</f>
        <v>DNA</v>
      </c>
      <c r="D5032" s="18" t="s">
        <v>711</v>
      </c>
      <c r="E5032" s="18" t="s">
        <v>5128</v>
      </c>
      <c r="F5032" s="2" t="s">
        <v>7987</v>
      </c>
      <c r="G5032" s="2" t="s">
        <v>7322</v>
      </c>
      <c r="H5032" s="14">
        <v>1.53</v>
      </c>
      <c r="I5032" s="2" t="s">
        <v>267</v>
      </c>
      <c r="J5032" s="2" t="s">
        <v>3942</v>
      </c>
      <c r="K5032" s="2" t="s">
        <v>1452</v>
      </c>
      <c r="L5032" s="2" t="s">
        <v>5221</v>
      </c>
      <c r="M5032" s="2" t="s">
        <v>5221</v>
      </c>
      <c r="N5032" s="2" t="s">
        <v>2317</v>
      </c>
      <c r="O5032" s="14">
        <v>12500</v>
      </c>
      <c r="P5032" s="14">
        <v>99.05</v>
      </c>
      <c r="Q5032" s="14">
        <v>118.75</v>
      </c>
      <c r="R5032" s="14">
        <v>181.69</v>
      </c>
      <c r="S5032" s="2" t="s">
        <v>6338</v>
      </c>
      <c r="T5032" s="2">
        <v>1.38</v>
      </c>
      <c r="U5032" s="2">
        <v>67.8</v>
      </c>
      <c r="V5032" s="2">
        <v>67</v>
      </c>
      <c r="W5032" s="2" t="s">
        <v>7862</v>
      </c>
      <c r="X5032" s="2" t="s">
        <v>2897</v>
      </c>
      <c r="Y5032" s="2">
        <v>19125</v>
      </c>
      <c r="Z5032" s="19" t="str">
        <f>HYPERLINK("https://ssdweb.co/ssdweb/hd/Vision360.html?d=925950907&amp;zoomslide=1&amp;z=1925950907&amp;ISCONFIRM=0","VIDEO")</f>
        <v>VIDEO</v>
      </c>
      <c r="AA5032" s="19" t="str">
        <f>HYPERLINK("https://ssdweb.co/ssdweb/CERTH/628463265.pdf","CERTI")</f>
        <v>CERTI</v>
      </c>
    </row>
    <row r="5033" spans="1:27" ht="15" x14ac:dyDescent="0.25">
      <c r="A5033" s="2">
        <v>5028</v>
      </c>
      <c r="B5033" s="39">
        <v>925861967</v>
      </c>
      <c r="C5033" s="28" t="str">
        <f>HYPERLINK("https://pld.live/RapDetail.aspx?STONELIST=925861967","DNA")</f>
        <v>DNA</v>
      </c>
      <c r="D5033" s="18" t="s">
        <v>711</v>
      </c>
      <c r="E5033" s="18" t="s">
        <v>5128</v>
      </c>
      <c r="F5033" s="2" t="s">
        <v>7987</v>
      </c>
      <c r="G5033" s="2" t="s">
        <v>7322</v>
      </c>
      <c r="H5033" s="14">
        <v>1.53</v>
      </c>
      <c r="I5033" s="2" t="s">
        <v>267</v>
      </c>
      <c r="J5033" s="2" t="s">
        <v>3942</v>
      </c>
      <c r="K5033" s="2" t="s">
        <v>1452</v>
      </c>
      <c r="L5033" s="2" t="s">
        <v>5221</v>
      </c>
      <c r="M5033" s="2" t="s">
        <v>5221</v>
      </c>
      <c r="N5033" s="2" t="s">
        <v>2317</v>
      </c>
      <c r="O5033" s="14">
        <v>12500</v>
      </c>
      <c r="P5033" s="14">
        <v>99.06</v>
      </c>
      <c r="Q5033" s="14">
        <v>117.5</v>
      </c>
      <c r="R5033" s="14">
        <v>179.78</v>
      </c>
      <c r="S5033" s="2" t="s">
        <v>5638</v>
      </c>
      <c r="T5033" s="2">
        <v>1.38</v>
      </c>
      <c r="U5033" s="2">
        <v>65.5</v>
      </c>
      <c r="V5033" s="2">
        <v>66</v>
      </c>
      <c r="W5033" s="2" t="s">
        <v>7862</v>
      </c>
      <c r="X5033" s="2" t="s">
        <v>2897</v>
      </c>
      <c r="Y5033" s="2">
        <v>19125</v>
      </c>
      <c r="Z5033" s="19" t="str">
        <f>HYPERLINK("https://ssdweb.co/ssdweb/hd/Vision360.html?d=925861967&amp;zoomslide=1&amp;z=1925861967&amp;ISCONFIRM=0","VIDEO")</f>
        <v>VIDEO</v>
      </c>
      <c r="AA5033" s="19" t="str">
        <f>HYPERLINK("https://ssdweb.co/ssdweb/CERTH/628463123.pdf","CERTI")</f>
        <v>CERTI</v>
      </c>
    </row>
    <row r="5034" spans="1:27" ht="15" x14ac:dyDescent="0.25">
      <c r="A5034" s="2">
        <v>5029</v>
      </c>
      <c r="B5034" s="39">
        <v>926200873</v>
      </c>
      <c r="C5034" s="28" t="str">
        <f>HYPERLINK("https://pld.live/RapDetail.aspx?STONELIST=926200873","DNA")</f>
        <v>DNA</v>
      </c>
      <c r="D5034" s="18" t="s">
        <v>711</v>
      </c>
      <c r="E5034" s="18" t="s">
        <v>5128</v>
      </c>
      <c r="F5034" s="2" t="s">
        <v>7987</v>
      </c>
      <c r="G5034" s="2" t="s">
        <v>7322</v>
      </c>
      <c r="H5034" s="14">
        <v>1.53</v>
      </c>
      <c r="I5034" s="2" t="s">
        <v>267</v>
      </c>
      <c r="J5034" s="2" t="s">
        <v>3942</v>
      </c>
      <c r="K5034" s="2" t="s">
        <v>1452</v>
      </c>
      <c r="L5034" s="2" t="s">
        <v>5221</v>
      </c>
      <c r="M5034" s="2" t="s">
        <v>5221</v>
      </c>
      <c r="N5034" s="2" t="s">
        <v>2317</v>
      </c>
      <c r="O5034" s="14">
        <v>12500</v>
      </c>
      <c r="P5034" s="14">
        <v>99.05</v>
      </c>
      <c r="Q5034" s="14">
        <v>118.75</v>
      </c>
      <c r="R5034" s="14">
        <v>181.69</v>
      </c>
      <c r="S5034" s="2" t="s">
        <v>3507</v>
      </c>
      <c r="T5034" s="2">
        <v>1.39</v>
      </c>
      <c r="U5034" s="2">
        <v>66.5</v>
      </c>
      <c r="V5034" s="2">
        <v>65</v>
      </c>
      <c r="W5034" s="2" t="s">
        <v>7862</v>
      </c>
      <c r="X5034" s="2" t="s">
        <v>2897</v>
      </c>
      <c r="Y5034" s="2">
        <v>19125</v>
      </c>
      <c r="Z5034" s="19" t="str">
        <f>HYPERLINK("https://ssdweb.co/ssdweb/hd/Vision360.html?d=926200873&amp;zoomslide=1&amp;z=1926200873&amp;ISCONFIRM=0","VIDEO")</f>
        <v>VIDEO</v>
      </c>
      <c r="AA5034" s="19" t="str">
        <f>HYPERLINK("https://ssdweb.co/ssdweb/CERTH/635423998.pdf","CERTI")</f>
        <v>CERTI</v>
      </c>
    </row>
    <row r="5035" spans="1:27" ht="15" x14ac:dyDescent="0.25">
      <c r="A5035" s="2">
        <v>5030</v>
      </c>
      <c r="B5035" s="39">
        <v>926200733</v>
      </c>
      <c r="C5035" s="28" t="str">
        <f>HYPERLINK("https://pld.live/RapDetail.aspx?STONELIST=926200733","DNA")</f>
        <v>DNA</v>
      </c>
      <c r="D5035" s="18" t="s">
        <v>711</v>
      </c>
      <c r="E5035" s="18" t="s">
        <v>5128</v>
      </c>
      <c r="F5035" s="2" t="s">
        <v>7987</v>
      </c>
      <c r="G5035" s="2" t="s">
        <v>7322</v>
      </c>
      <c r="H5035" s="14">
        <v>1.53</v>
      </c>
      <c r="I5035" s="2" t="s">
        <v>267</v>
      </c>
      <c r="J5035" s="2" t="s">
        <v>3942</v>
      </c>
      <c r="K5035" s="2" t="s">
        <v>1452</v>
      </c>
      <c r="L5035" s="2" t="s">
        <v>5221</v>
      </c>
      <c r="M5035" s="2" t="s">
        <v>5221</v>
      </c>
      <c r="N5035" s="2" t="s">
        <v>2317</v>
      </c>
      <c r="O5035" s="14">
        <v>12500</v>
      </c>
      <c r="P5035" s="14">
        <v>99.05</v>
      </c>
      <c r="Q5035" s="14">
        <v>118.75</v>
      </c>
      <c r="R5035" s="14">
        <v>181.69</v>
      </c>
      <c r="S5035" s="2" t="s">
        <v>5499</v>
      </c>
      <c r="T5035" s="2">
        <v>1.37</v>
      </c>
      <c r="U5035" s="2">
        <v>63.5</v>
      </c>
      <c r="V5035" s="2">
        <v>66</v>
      </c>
      <c r="W5035" s="2" t="s">
        <v>7862</v>
      </c>
      <c r="X5035" s="2" t="s">
        <v>2897</v>
      </c>
      <c r="Y5035" s="2">
        <v>19125</v>
      </c>
      <c r="Z5035" s="19" t="str">
        <f>HYPERLINK("https://ssdweb.co/ssdweb/hd/Vision360.html?d=926200733&amp;zoomslide=1&amp;z=1926200733&amp;ISCONFIRM=0","VIDEO")</f>
        <v>VIDEO</v>
      </c>
      <c r="AA5035" s="19" t="str">
        <f>HYPERLINK("https://ssdweb.co/ssdweb/CERTH/634431400.pdf","CERTI")</f>
        <v>CERTI</v>
      </c>
    </row>
    <row r="5036" spans="1:27" ht="15" x14ac:dyDescent="0.25">
      <c r="A5036" s="2">
        <v>5031</v>
      </c>
      <c r="B5036" s="39">
        <v>926831150</v>
      </c>
      <c r="C5036" s="28" t="str">
        <f>HYPERLINK("https://pld.live/RapDetail.aspx?STONELIST=926831150","DNA")</f>
        <v>DNA</v>
      </c>
      <c r="D5036" s="18" t="s">
        <v>711</v>
      </c>
      <c r="E5036" s="18" t="s">
        <v>5128</v>
      </c>
      <c r="F5036" s="2" t="s">
        <v>7987</v>
      </c>
      <c r="G5036" s="2" t="s">
        <v>7322</v>
      </c>
      <c r="H5036" s="14">
        <v>1.53</v>
      </c>
      <c r="I5036" s="2" t="s">
        <v>267</v>
      </c>
      <c r="J5036" s="2" t="s">
        <v>3942</v>
      </c>
      <c r="K5036" s="2" t="s">
        <v>1452</v>
      </c>
      <c r="L5036" s="2" t="s">
        <v>5221</v>
      </c>
      <c r="M5036" s="2" t="s">
        <v>5221</v>
      </c>
      <c r="N5036" s="2" t="s">
        <v>2317</v>
      </c>
      <c r="O5036" s="14">
        <v>12500</v>
      </c>
      <c r="P5036" s="14">
        <v>99.04</v>
      </c>
      <c r="Q5036" s="14">
        <v>120</v>
      </c>
      <c r="R5036" s="14">
        <v>183.6</v>
      </c>
      <c r="S5036" s="2" t="s">
        <v>4532</v>
      </c>
      <c r="T5036" s="2">
        <v>1.4</v>
      </c>
      <c r="U5036" s="2">
        <v>66.5</v>
      </c>
      <c r="V5036" s="2">
        <v>66</v>
      </c>
      <c r="W5036" s="2" t="s">
        <v>7862</v>
      </c>
      <c r="X5036" s="2" t="s">
        <v>2897</v>
      </c>
      <c r="Y5036" s="2">
        <v>19125</v>
      </c>
      <c r="Z5036" s="19" t="str">
        <f>HYPERLINK("https://ssdweb.co/ssdweb/hd/Vision360.html?d=926831150&amp;zoomslide=1&amp;z=1926831150&amp;ISCONFIRM=0","VIDEO")</f>
        <v>VIDEO</v>
      </c>
      <c r="AA5036" s="19" t="str">
        <f>HYPERLINK("https://ssdweb.co/ssdweb/CERTH/655451819.pdf","CERTI")</f>
        <v>CERTI</v>
      </c>
    </row>
    <row r="5037" spans="1:27" ht="15" x14ac:dyDescent="0.25">
      <c r="A5037" s="2">
        <v>5032</v>
      </c>
      <c r="B5037" s="39">
        <v>925621779</v>
      </c>
      <c r="C5037" s="28" t="str">
        <f>HYPERLINK("https://pld.live/RapDetail.aspx?STONELIST=925621779","DNA")</f>
        <v>DNA</v>
      </c>
      <c r="D5037" s="18" t="s">
        <v>711</v>
      </c>
      <c r="E5037" s="18" t="s">
        <v>5128</v>
      </c>
      <c r="F5037" s="2" t="s">
        <v>5597</v>
      </c>
      <c r="G5037" s="2" t="s">
        <v>7322</v>
      </c>
      <c r="H5037" s="14">
        <v>1.53</v>
      </c>
      <c r="I5037" s="2" t="s">
        <v>267</v>
      </c>
      <c r="J5037" s="2" t="s">
        <v>3942</v>
      </c>
      <c r="K5037" s="2" t="s">
        <v>1452</v>
      </c>
      <c r="L5037" s="2" t="s">
        <v>5221</v>
      </c>
      <c r="M5037" s="2" t="s">
        <v>5221</v>
      </c>
      <c r="N5037" s="2" t="s">
        <v>2317</v>
      </c>
      <c r="O5037" s="14">
        <v>12500</v>
      </c>
      <c r="P5037" s="14">
        <v>97.91</v>
      </c>
      <c r="Q5037" s="14">
        <v>261.25</v>
      </c>
      <c r="R5037" s="14">
        <v>399.71</v>
      </c>
      <c r="S5037" s="2" t="s">
        <v>1277</v>
      </c>
      <c r="T5037" s="2">
        <v>1.4</v>
      </c>
      <c r="U5037" s="2">
        <v>67.5</v>
      </c>
      <c r="V5037" s="2">
        <v>64</v>
      </c>
      <c r="W5037" s="2" t="s">
        <v>7862</v>
      </c>
      <c r="X5037" s="2" t="s">
        <v>2897</v>
      </c>
      <c r="Y5037" s="2">
        <v>19125</v>
      </c>
      <c r="Z5037" s="19" t="str">
        <f>HYPERLINK("https://ssdweb.co/ssdweb/hd/Vision360.html?d=925621779&amp;zoomslide=1&amp;z=1925621779&amp;ISCONFIRM=0","VIDEO")</f>
        <v>VIDEO</v>
      </c>
      <c r="AA5037" s="19" t="str">
        <f>HYPERLINK("https://ssdweb.co/ssdweb/CERTH/1483686921.pdf","CERTI")</f>
        <v>CERTI</v>
      </c>
    </row>
    <row r="5038" spans="1:27" ht="15" x14ac:dyDescent="0.25">
      <c r="A5038" s="2">
        <v>5033</v>
      </c>
      <c r="B5038" s="39">
        <v>925970726</v>
      </c>
      <c r="C5038" s="28" t="str">
        <f>HYPERLINK("https://pld.live/RapDetail.aspx?STONELIST=925970726","DNA")</f>
        <v>DNA</v>
      </c>
      <c r="D5038" s="18" t="s">
        <v>711</v>
      </c>
      <c r="E5038" s="18" t="s">
        <v>5128</v>
      </c>
      <c r="F5038" s="2" t="s">
        <v>7987</v>
      </c>
      <c r="G5038" s="2" t="s">
        <v>7322</v>
      </c>
      <c r="H5038" s="14">
        <v>1.53</v>
      </c>
      <c r="I5038" s="2" t="s">
        <v>267</v>
      </c>
      <c r="J5038" s="2" t="s">
        <v>3942</v>
      </c>
      <c r="K5038" s="2" t="s">
        <v>1452</v>
      </c>
      <c r="L5038" s="2" t="s">
        <v>5221</v>
      </c>
      <c r="M5038" s="2" t="s">
        <v>5221</v>
      </c>
      <c r="N5038" s="2" t="s">
        <v>2317</v>
      </c>
      <c r="O5038" s="14">
        <v>12500</v>
      </c>
      <c r="P5038" s="14">
        <v>99.06</v>
      </c>
      <c r="Q5038" s="14">
        <v>117.5</v>
      </c>
      <c r="R5038" s="14">
        <v>179.78</v>
      </c>
      <c r="S5038" s="2" t="s">
        <v>6324</v>
      </c>
      <c r="T5038" s="2">
        <v>1.36</v>
      </c>
      <c r="U5038" s="2">
        <v>65.3</v>
      </c>
      <c r="V5038" s="2">
        <v>66</v>
      </c>
      <c r="W5038" s="2" t="s">
        <v>7862</v>
      </c>
      <c r="X5038" s="2" t="s">
        <v>2897</v>
      </c>
      <c r="Y5038" s="2">
        <v>19125</v>
      </c>
      <c r="Z5038" s="19" t="str">
        <f>HYPERLINK("https://ssdweb.co/ssdweb/hd/Vision360.html?d=925970726&amp;zoomslide=1&amp;z=1925970726&amp;ISCONFIRM=0","VIDEO")</f>
        <v>VIDEO</v>
      </c>
      <c r="AA5038" s="19" t="str">
        <f>HYPERLINK("https://ssdweb.co/ssdweb/CERTH/628463171.pdf","CERTI")</f>
        <v>CERTI</v>
      </c>
    </row>
    <row r="5039" spans="1:27" ht="15" x14ac:dyDescent="0.25">
      <c r="A5039" s="2">
        <v>5034</v>
      </c>
      <c r="B5039" s="39">
        <v>925971055</v>
      </c>
      <c r="C5039" s="28" t="str">
        <f>HYPERLINK("https://pld.live/RapDetail.aspx?STONELIST=925971055","DNA")</f>
        <v>DNA</v>
      </c>
      <c r="D5039" s="18" t="s">
        <v>711</v>
      </c>
      <c r="E5039" s="18" t="s">
        <v>5128</v>
      </c>
      <c r="F5039" s="2" t="s">
        <v>7987</v>
      </c>
      <c r="G5039" s="2" t="s">
        <v>7322</v>
      </c>
      <c r="H5039" s="14">
        <v>1.53</v>
      </c>
      <c r="I5039" s="2" t="s">
        <v>267</v>
      </c>
      <c r="J5039" s="2" t="s">
        <v>3942</v>
      </c>
      <c r="K5039" s="2" t="s">
        <v>1452</v>
      </c>
      <c r="L5039" s="2" t="s">
        <v>5221</v>
      </c>
      <c r="M5039" s="2" t="s">
        <v>5221</v>
      </c>
      <c r="N5039" s="2" t="s">
        <v>2317</v>
      </c>
      <c r="O5039" s="14">
        <v>12500</v>
      </c>
      <c r="P5039" s="14">
        <v>99.05</v>
      </c>
      <c r="Q5039" s="14">
        <v>118.75</v>
      </c>
      <c r="R5039" s="14">
        <v>181.69</v>
      </c>
      <c r="S5039" s="2" t="s">
        <v>2998</v>
      </c>
      <c r="T5039" s="2">
        <v>1.35</v>
      </c>
      <c r="U5039" s="2">
        <v>68.2</v>
      </c>
      <c r="V5039" s="2">
        <v>62</v>
      </c>
      <c r="W5039" s="2" t="s">
        <v>7862</v>
      </c>
      <c r="X5039" s="2" t="s">
        <v>2897</v>
      </c>
      <c r="Y5039" s="2">
        <v>19125</v>
      </c>
      <c r="Z5039" s="19" t="str">
        <f>HYPERLINK("https://ssdweb.co/ssdweb/hd/Vision360.html?d=925971055&amp;zoomslide=1&amp;z=1925971055&amp;ISCONFIRM=0","VIDEO")</f>
        <v>VIDEO</v>
      </c>
      <c r="AA5039" s="19" t="str">
        <f>HYPERLINK("https://ssdweb.co/ssdweb/CERTH/629453449.pdf","CERTI")</f>
        <v>CERTI</v>
      </c>
    </row>
    <row r="5040" spans="1:27" ht="15" x14ac:dyDescent="0.25">
      <c r="A5040" s="2">
        <v>5035</v>
      </c>
      <c r="B5040" s="39">
        <v>926071347</v>
      </c>
      <c r="C5040" s="28" t="str">
        <f>HYPERLINK("https://pld.live/RapDetail.aspx?STONELIST=926071347","DNA")</f>
        <v>DNA</v>
      </c>
      <c r="D5040" s="18" t="s">
        <v>711</v>
      </c>
      <c r="E5040" s="18" t="s">
        <v>5128</v>
      </c>
      <c r="F5040" s="2" t="s">
        <v>7987</v>
      </c>
      <c r="G5040" s="2" t="s">
        <v>7322</v>
      </c>
      <c r="H5040" s="14">
        <v>1.53</v>
      </c>
      <c r="I5040" s="2" t="s">
        <v>267</v>
      </c>
      <c r="J5040" s="2" t="s">
        <v>3942</v>
      </c>
      <c r="K5040" s="2" t="s">
        <v>1452</v>
      </c>
      <c r="L5040" s="2" t="s">
        <v>5221</v>
      </c>
      <c r="M5040" s="2" t="s">
        <v>5221</v>
      </c>
      <c r="N5040" s="2" t="s">
        <v>2317</v>
      </c>
      <c r="O5040" s="14">
        <v>12500</v>
      </c>
      <c r="P5040" s="14">
        <v>99.05</v>
      </c>
      <c r="Q5040" s="14">
        <v>118.75</v>
      </c>
      <c r="R5040" s="14">
        <v>181.69</v>
      </c>
      <c r="S5040" s="2" t="s">
        <v>7423</v>
      </c>
      <c r="T5040" s="2">
        <v>1.37</v>
      </c>
      <c r="U5040" s="2">
        <v>68.5</v>
      </c>
      <c r="V5040" s="2">
        <v>67</v>
      </c>
      <c r="W5040" s="2" t="s">
        <v>7862</v>
      </c>
      <c r="X5040" s="2" t="s">
        <v>2897</v>
      </c>
      <c r="Y5040" s="2">
        <v>19125</v>
      </c>
      <c r="Z5040" s="19" t="str">
        <f>HYPERLINK("https://ssdweb.co/ssdweb/hd/Vision360.html?d=926071347&amp;zoomslide=1&amp;z=1926071347&amp;ISCONFIRM=0","VIDEO")</f>
        <v>VIDEO</v>
      </c>
      <c r="AA5040" s="19" t="str">
        <f>HYPERLINK("https://ssdweb.co/ssdweb/CERTH/631404450.pdf","CERTI")</f>
        <v>CERTI</v>
      </c>
    </row>
    <row r="5041" spans="1:27" ht="15" x14ac:dyDescent="0.25">
      <c r="A5041" s="2">
        <v>5036</v>
      </c>
      <c r="B5041" s="39">
        <v>925721249</v>
      </c>
      <c r="C5041" s="28" t="str">
        <f>HYPERLINK("https://pld.live/RapDetail.aspx?STONELIST=925721249","DNA")</f>
        <v>DNA</v>
      </c>
      <c r="D5041" s="18" t="s">
        <v>711</v>
      </c>
      <c r="E5041" s="18" t="s">
        <v>5128</v>
      </c>
      <c r="F5041" s="2" t="s">
        <v>7987</v>
      </c>
      <c r="G5041" s="2" t="s">
        <v>7322</v>
      </c>
      <c r="H5041" s="14">
        <v>1.53</v>
      </c>
      <c r="I5041" s="2" t="s">
        <v>267</v>
      </c>
      <c r="J5041" s="2" t="s">
        <v>3942</v>
      </c>
      <c r="K5041" s="2" t="s">
        <v>1452</v>
      </c>
      <c r="L5041" s="2" t="s">
        <v>5221</v>
      </c>
      <c r="M5041" s="2" t="s">
        <v>5221</v>
      </c>
      <c r="N5041" s="2" t="s">
        <v>2317</v>
      </c>
      <c r="O5041" s="14">
        <v>12500</v>
      </c>
      <c r="P5041" s="14">
        <v>99.06</v>
      </c>
      <c r="Q5041" s="14">
        <v>117.5</v>
      </c>
      <c r="R5041" s="14">
        <v>179.78</v>
      </c>
      <c r="S5041" s="2" t="s">
        <v>1230</v>
      </c>
      <c r="T5041" s="2">
        <v>1.36</v>
      </c>
      <c r="U5041" s="2">
        <v>68.599999999999994</v>
      </c>
      <c r="V5041" s="2">
        <v>65</v>
      </c>
      <c r="W5041" s="2" t="s">
        <v>7862</v>
      </c>
      <c r="X5041" s="2" t="s">
        <v>2897</v>
      </c>
      <c r="Y5041" s="2">
        <v>19125</v>
      </c>
      <c r="Z5041" s="19" t="str">
        <f>HYPERLINK("https://ssdweb.co/ssdweb/hd/Vision360.html?d=925721249&amp;zoomslide=1&amp;z=1925721249&amp;ISCONFIRM=0","VIDEO")</f>
        <v>VIDEO</v>
      </c>
      <c r="AA5041" s="19" t="str">
        <f>HYPERLINK("https://ssdweb.co/ssdweb/CERTH/623449374.pdf","CERTI")</f>
        <v>CERTI</v>
      </c>
    </row>
    <row r="5042" spans="1:27" ht="15" x14ac:dyDescent="0.25">
      <c r="A5042" s="2">
        <v>5037</v>
      </c>
      <c r="B5042" s="39">
        <v>925621943</v>
      </c>
      <c r="C5042" s="28" t="str">
        <f>HYPERLINK("https://pld.live/RapDetail.aspx?STONELIST=925621943","DNA")</f>
        <v>DNA</v>
      </c>
      <c r="D5042" s="18" t="s">
        <v>711</v>
      </c>
      <c r="E5042" s="18" t="s">
        <v>5128</v>
      </c>
      <c r="F5042" s="2" t="s">
        <v>7987</v>
      </c>
      <c r="G5042" s="2" t="s">
        <v>7322</v>
      </c>
      <c r="H5042" s="14">
        <v>1.53</v>
      </c>
      <c r="I5042" s="2" t="s">
        <v>267</v>
      </c>
      <c r="J5042" s="2" t="s">
        <v>3942</v>
      </c>
      <c r="K5042" s="2" t="s">
        <v>1452</v>
      </c>
      <c r="L5042" s="2" t="s">
        <v>5221</v>
      </c>
      <c r="M5042" s="2" t="s">
        <v>5221</v>
      </c>
      <c r="N5042" s="2" t="s">
        <v>2317</v>
      </c>
      <c r="O5042" s="14">
        <v>12500</v>
      </c>
      <c r="P5042" s="14">
        <v>99.06</v>
      </c>
      <c r="Q5042" s="14">
        <v>117.5</v>
      </c>
      <c r="R5042" s="14">
        <v>179.78</v>
      </c>
      <c r="S5042" s="2" t="s">
        <v>4391</v>
      </c>
      <c r="T5042" s="2">
        <v>1.36</v>
      </c>
      <c r="U5042" s="2">
        <v>67.8</v>
      </c>
      <c r="V5042" s="2">
        <v>66</v>
      </c>
      <c r="W5042" s="2" t="s">
        <v>7862</v>
      </c>
      <c r="X5042" s="2" t="s">
        <v>2897</v>
      </c>
      <c r="Y5042" s="2">
        <v>19125</v>
      </c>
      <c r="Z5042" s="19" t="str">
        <f>HYPERLINK("https://ssdweb.co/ssdweb/hd/Vision360.html?d=925621943&amp;zoomslide=1&amp;z=1925621943&amp;ISCONFIRM=0","VIDEO")</f>
        <v>VIDEO</v>
      </c>
      <c r="AA5042" s="19" t="str">
        <f>HYPERLINK("https://ssdweb.co/ssdweb/CERTH/623449306.pdf","CERTI")</f>
        <v>CERTI</v>
      </c>
    </row>
    <row r="5043" spans="1:27" ht="15" x14ac:dyDescent="0.25">
      <c r="A5043" s="2">
        <v>5038</v>
      </c>
      <c r="B5043" s="39">
        <v>926171450</v>
      </c>
      <c r="C5043" s="28" t="str">
        <f>HYPERLINK("https://pld.live/RapDetail.aspx?STONELIST=926171450","DNA")</f>
        <v>DNA</v>
      </c>
      <c r="D5043" s="18" t="s">
        <v>711</v>
      </c>
      <c r="E5043" s="18" t="s">
        <v>5128</v>
      </c>
      <c r="F5043" s="2" t="s">
        <v>7987</v>
      </c>
      <c r="G5043" s="2" t="s">
        <v>7322</v>
      </c>
      <c r="H5043" s="14">
        <v>1.53</v>
      </c>
      <c r="I5043" s="2" t="s">
        <v>267</v>
      </c>
      <c r="J5043" s="2" t="s">
        <v>3942</v>
      </c>
      <c r="K5043" s="2" t="s">
        <v>1452</v>
      </c>
      <c r="L5043" s="2" t="s">
        <v>5221</v>
      </c>
      <c r="M5043" s="2" t="s">
        <v>5221</v>
      </c>
      <c r="N5043" s="2" t="s">
        <v>2317</v>
      </c>
      <c r="O5043" s="14">
        <v>12500</v>
      </c>
      <c r="P5043" s="14">
        <v>99.05</v>
      </c>
      <c r="Q5043" s="14">
        <v>118.75</v>
      </c>
      <c r="R5043" s="14">
        <v>181.69</v>
      </c>
      <c r="S5043" s="2" t="s">
        <v>350</v>
      </c>
      <c r="T5043" s="2">
        <v>1.37</v>
      </c>
      <c r="U5043" s="2">
        <v>66</v>
      </c>
      <c r="V5043" s="2">
        <v>63</v>
      </c>
      <c r="W5043" s="2" t="s">
        <v>7862</v>
      </c>
      <c r="X5043" s="2" t="s">
        <v>2897</v>
      </c>
      <c r="Y5043" s="2">
        <v>19125</v>
      </c>
      <c r="Z5043" s="19" t="str">
        <f>HYPERLINK("https://ssdweb.co/ssdweb/hd/Vision360.html?d=926171450&amp;zoomslide=1&amp;z=1926171450&amp;ISCONFIRM=0","VIDEO")</f>
        <v>VIDEO</v>
      </c>
      <c r="AA5043" s="19" t="str">
        <f>HYPERLINK("https://ssdweb.co/ssdweb/CERTH/634431393.pdf","CERTI")</f>
        <v>CERTI</v>
      </c>
    </row>
    <row r="5044" spans="1:27" ht="15" x14ac:dyDescent="0.25">
      <c r="A5044" s="2">
        <v>5039</v>
      </c>
      <c r="B5044" s="39">
        <v>925861610</v>
      </c>
      <c r="C5044" s="28" t="str">
        <f>HYPERLINK("https://pld.live/RapDetail.aspx?STONELIST=925861610","DNA")</f>
        <v>DNA</v>
      </c>
      <c r="D5044" s="18" t="s">
        <v>711</v>
      </c>
      <c r="E5044" s="18" t="s">
        <v>5128</v>
      </c>
      <c r="F5044" s="2" t="s">
        <v>7987</v>
      </c>
      <c r="G5044" s="2" t="s">
        <v>7322</v>
      </c>
      <c r="H5044" s="14">
        <v>1.53</v>
      </c>
      <c r="I5044" s="2" t="s">
        <v>267</v>
      </c>
      <c r="J5044" s="2" t="s">
        <v>13</v>
      </c>
      <c r="K5044" s="2" t="s">
        <v>1452</v>
      </c>
      <c r="L5044" s="2" t="s">
        <v>5221</v>
      </c>
      <c r="M5044" s="2" t="s">
        <v>5221</v>
      </c>
      <c r="N5044" s="2" t="s">
        <v>2317</v>
      </c>
      <c r="O5044" s="14">
        <v>11600</v>
      </c>
      <c r="P5044" s="14">
        <v>99.04</v>
      </c>
      <c r="Q5044" s="14">
        <v>111.36</v>
      </c>
      <c r="R5044" s="14">
        <v>170.38</v>
      </c>
      <c r="S5044" s="2" t="s">
        <v>7128</v>
      </c>
      <c r="T5044" s="2">
        <v>1.41</v>
      </c>
      <c r="U5044" s="2">
        <v>66.099999999999994</v>
      </c>
      <c r="V5044" s="2">
        <v>62</v>
      </c>
      <c r="W5044" s="2" t="s">
        <v>7862</v>
      </c>
      <c r="X5044" s="2" t="s">
        <v>2897</v>
      </c>
      <c r="Y5044" s="2">
        <v>17748</v>
      </c>
      <c r="Z5044" s="19" t="str">
        <f>HYPERLINK("https://ssdweb.co/ssdweb/hd/Vision360.html?d=925861610&amp;zoomslide=1&amp;z=1925861610&amp;ISCONFIRM=0","VIDEO")</f>
        <v>VIDEO</v>
      </c>
      <c r="AA5044" s="19" t="str">
        <f>HYPERLINK("https://ssdweb.co/ssdweb/CERTH/627415148.pdf","CERTI")</f>
        <v>CERTI</v>
      </c>
    </row>
    <row r="5045" spans="1:27" ht="15" x14ac:dyDescent="0.25">
      <c r="A5045" s="2">
        <v>5040</v>
      </c>
      <c r="B5045" s="39">
        <v>925890409</v>
      </c>
      <c r="C5045" s="28" t="str">
        <f>HYPERLINK("https://pld.live/RapDetail.aspx?STONELIST=925890409","DNA")</f>
        <v>DNA</v>
      </c>
      <c r="D5045" s="18" t="s">
        <v>711</v>
      </c>
      <c r="E5045" s="18" t="s">
        <v>5128</v>
      </c>
      <c r="F5045" s="2" t="s">
        <v>7987</v>
      </c>
      <c r="G5045" s="2" t="s">
        <v>7322</v>
      </c>
      <c r="H5045" s="14">
        <v>1.53</v>
      </c>
      <c r="I5045" s="2" t="s">
        <v>267</v>
      </c>
      <c r="J5045" s="2" t="s">
        <v>13</v>
      </c>
      <c r="K5045" s="2" t="s">
        <v>1452</v>
      </c>
      <c r="L5045" s="2" t="s">
        <v>5221</v>
      </c>
      <c r="M5045" s="2" t="s">
        <v>5221</v>
      </c>
      <c r="N5045" s="2" t="s">
        <v>2317</v>
      </c>
      <c r="O5045" s="14">
        <v>11600</v>
      </c>
      <c r="P5045" s="14">
        <v>99.04</v>
      </c>
      <c r="Q5045" s="14">
        <v>111.36</v>
      </c>
      <c r="R5045" s="14">
        <v>170.38</v>
      </c>
      <c r="S5045" s="2" t="s">
        <v>6482</v>
      </c>
      <c r="T5045" s="2">
        <v>1.36</v>
      </c>
      <c r="U5045" s="2">
        <v>68.099999999999994</v>
      </c>
      <c r="V5045" s="2">
        <v>63</v>
      </c>
      <c r="W5045" s="2" t="s">
        <v>7862</v>
      </c>
      <c r="X5045" s="2" t="s">
        <v>2897</v>
      </c>
      <c r="Y5045" s="2">
        <v>17748</v>
      </c>
      <c r="Z5045" s="19" t="str">
        <f>HYPERLINK("https://ssdweb.co/ssdweb/hd/Vision360.html?d=925890409&amp;zoomslide=1&amp;z=1925890409&amp;ISCONFIRM=0","VIDEO")</f>
        <v>VIDEO</v>
      </c>
      <c r="AA5045" s="19" t="str">
        <f>HYPERLINK("https://ssdweb.co/ssdweb/CERTH/627431834.pdf","CERTI")</f>
        <v>CERTI</v>
      </c>
    </row>
    <row r="5046" spans="1:27" ht="15" x14ac:dyDescent="0.25">
      <c r="A5046" s="2">
        <v>5041</v>
      </c>
      <c r="B5046" s="39">
        <v>925520079</v>
      </c>
      <c r="C5046" s="28" t="str">
        <f>HYPERLINK("https://pld.live/RapDetail.aspx?STONELIST=925520079","DNA")</f>
        <v>DNA</v>
      </c>
      <c r="D5046" s="18" t="s">
        <v>711</v>
      </c>
      <c r="E5046" s="18" t="s">
        <v>5128</v>
      </c>
      <c r="F5046" s="2" t="s">
        <v>7987</v>
      </c>
      <c r="G5046" s="2" t="s">
        <v>7322</v>
      </c>
      <c r="H5046" s="14">
        <v>1.53</v>
      </c>
      <c r="I5046" s="2" t="s">
        <v>267</v>
      </c>
      <c r="J5046" s="2" t="s">
        <v>13</v>
      </c>
      <c r="K5046" s="2" t="s">
        <v>1452</v>
      </c>
      <c r="L5046" s="2" t="s">
        <v>5221</v>
      </c>
      <c r="M5046" s="2" t="s">
        <v>5221</v>
      </c>
      <c r="N5046" s="2" t="s">
        <v>2317</v>
      </c>
      <c r="O5046" s="14">
        <v>11600</v>
      </c>
      <c r="P5046" s="14">
        <v>99.04</v>
      </c>
      <c r="Q5046" s="14">
        <v>111.36</v>
      </c>
      <c r="R5046" s="14">
        <v>170.38</v>
      </c>
      <c r="S5046" s="2" t="s">
        <v>7239</v>
      </c>
      <c r="T5046" s="2">
        <v>1.38</v>
      </c>
      <c r="U5046" s="2">
        <v>66.900000000000006</v>
      </c>
      <c r="V5046" s="2">
        <v>63</v>
      </c>
      <c r="W5046" s="2" t="s">
        <v>7862</v>
      </c>
      <c r="X5046" s="2" t="s">
        <v>2897</v>
      </c>
      <c r="Y5046" s="2">
        <v>17748</v>
      </c>
      <c r="Z5046" s="19" t="str">
        <f>HYPERLINK("https://ssdweb.co/ssdweb/hd/Vision360.html?d=925520079&amp;zoomslide=1&amp;z=1925520079&amp;ISCONFIRM=0","VIDEO")</f>
        <v>VIDEO</v>
      </c>
      <c r="AA5046" s="19" t="str">
        <f>HYPERLINK("https://ssdweb.co/ssdweb/CERTH/616434355.pdf","CERTI")</f>
        <v>CERTI</v>
      </c>
    </row>
    <row r="5047" spans="1:27" ht="15" x14ac:dyDescent="0.25">
      <c r="A5047" s="2">
        <v>5042</v>
      </c>
      <c r="B5047" s="39">
        <v>925600257</v>
      </c>
      <c r="C5047" s="28" t="str">
        <f>HYPERLINK("https://pld.live/RapDetail.aspx?STONELIST=925600257","DNA")</f>
        <v>DNA</v>
      </c>
      <c r="D5047" s="18" t="s">
        <v>711</v>
      </c>
      <c r="E5047" s="18" t="s">
        <v>2186</v>
      </c>
      <c r="F5047" s="2" t="s">
        <v>7987</v>
      </c>
      <c r="G5047" s="2" t="s">
        <v>7322</v>
      </c>
      <c r="H5047" s="14">
        <v>1.53</v>
      </c>
      <c r="I5047" s="2" t="s">
        <v>267</v>
      </c>
      <c r="J5047" s="2" t="s">
        <v>13</v>
      </c>
      <c r="K5047" s="2" t="s">
        <v>1452</v>
      </c>
      <c r="L5047" s="2" t="s">
        <v>5221</v>
      </c>
      <c r="M5047" s="2" t="s">
        <v>5221</v>
      </c>
      <c r="N5047" s="2" t="s">
        <v>2317</v>
      </c>
      <c r="O5047" s="14">
        <v>11600</v>
      </c>
      <c r="P5047" s="14">
        <v>99.04</v>
      </c>
      <c r="Q5047" s="14">
        <v>111.36</v>
      </c>
      <c r="R5047" s="14">
        <v>170.38</v>
      </c>
      <c r="S5047" s="2" t="s">
        <v>2953</v>
      </c>
      <c r="T5047" s="2">
        <v>1.43</v>
      </c>
      <c r="U5047" s="2">
        <v>67.400000000000006</v>
      </c>
      <c r="V5047" s="2">
        <v>63</v>
      </c>
      <c r="W5047" s="2" t="s">
        <v>7862</v>
      </c>
      <c r="X5047" s="2" t="s">
        <v>2897</v>
      </c>
      <c r="Y5047" s="2">
        <v>17748</v>
      </c>
      <c r="Z5047" s="19" t="str">
        <f>HYPERLINK("https://ssdweb.co/ssdweb/hd/Vision360.html?d=925600257&amp;zoomslide=1&amp;z=1925600257&amp;ISCONFIRM=0","VIDEO")</f>
        <v>VIDEO</v>
      </c>
      <c r="AA5047" s="19" t="str">
        <f>HYPERLINK("https://ssdweb.co/ssdweb/CERTH/623446107.pdf","CERTI")</f>
        <v>CERTI</v>
      </c>
    </row>
    <row r="5048" spans="1:27" ht="15" x14ac:dyDescent="0.25">
      <c r="A5048" s="2">
        <v>5043</v>
      </c>
      <c r="B5048" s="39">
        <v>926020627</v>
      </c>
      <c r="C5048" s="28" t="str">
        <f>HYPERLINK("https://pld.live/RapDetail.aspx?STONELIST=926020627","DNA")</f>
        <v>DNA</v>
      </c>
      <c r="D5048" s="18" t="s">
        <v>711</v>
      </c>
      <c r="E5048" s="18" t="s">
        <v>5128</v>
      </c>
      <c r="F5048" s="2" t="s">
        <v>7987</v>
      </c>
      <c r="G5048" s="2" t="s">
        <v>7322</v>
      </c>
      <c r="H5048" s="14">
        <v>1.53</v>
      </c>
      <c r="I5048" s="2" t="s">
        <v>267</v>
      </c>
      <c r="J5048" s="2" t="s">
        <v>13</v>
      </c>
      <c r="K5048" s="2" t="s">
        <v>1452</v>
      </c>
      <c r="L5048" s="2" t="s">
        <v>5221</v>
      </c>
      <c r="M5048" s="2" t="s">
        <v>5221</v>
      </c>
      <c r="N5048" s="2" t="s">
        <v>2317</v>
      </c>
      <c r="O5048" s="14">
        <v>11600</v>
      </c>
      <c r="P5048" s="14">
        <v>99.03</v>
      </c>
      <c r="Q5048" s="14">
        <v>112.52</v>
      </c>
      <c r="R5048" s="14">
        <v>172.16</v>
      </c>
      <c r="S5048" s="2" t="s">
        <v>1884</v>
      </c>
      <c r="T5048" s="2">
        <v>1.37</v>
      </c>
      <c r="U5048" s="2">
        <v>68.2</v>
      </c>
      <c r="V5048" s="2">
        <v>62</v>
      </c>
      <c r="W5048" s="2" t="s">
        <v>7862</v>
      </c>
      <c r="X5048" s="2" t="s">
        <v>2897</v>
      </c>
      <c r="Y5048" s="2">
        <v>17748</v>
      </c>
      <c r="Z5048" s="19" t="str">
        <f>HYPERLINK("https://ssdweb.co/ssdweb/hd/Vision360.html?d=926020627&amp;zoomslide=1&amp;z=1926020627&amp;ISCONFIRM=0","VIDEO")</f>
        <v>VIDEO</v>
      </c>
      <c r="AA5048" s="19" t="str">
        <f>HYPERLINK("https://ssdweb.co/ssdweb/CERTH/629481842.pdf","CERTI")</f>
        <v>CERTI</v>
      </c>
    </row>
    <row r="5049" spans="1:27" ht="15" x14ac:dyDescent="0.25">
      <c r="A5049" s="2">
        <v>5044</v>
      </c>
      <c r="B5049" s="39">
        <v>925980001</v>
      </c>
      <c r="C5049" s="28" t="str">
        <f>HYPERLINK("https://pld.live/RapDetail.aspx?STONELIST=925980001","DNA")</f>
        <v>DNA</v>
      </c>
      <c r="D5049" s="18" t="s">
        <v>711</v>
      </c>
      <c r="E5049" s="18" t="s">
        <v>5128</v>
      </c>
      <c r="F5049" s="2" t="s">
        <v>7987</v>
      </c>
      <c r="G5049" s="2" t="s">
        <v>7322</v>
      </c>
      <c r="H5049" s="14">
        <v>1.53</v>
      </c>
      <c r="I5049" s="2" t="s">
        <v>267</v>
      </c>
      <c r="J5049" s="2" t="s">
        <v>13</v>
      </c>
      <c r="K5049" s="2" t="s">
        <v>1452</v>
      </c>
      <c r="L5049" s="2" t="s">
        <v>5221</v>
      </c>
      <c r="M5049" s="2" t="s">
        <v>5221</v>
      </c>
      <c r="N5049" s="2" t="s">
        <v>2317</v>
      </c>
      <c r="O5049" s="14">
        <v>11600</v>
      </c>
      <c r="P5049" s="14">
        <v>99.03</v>
      </c>
      <c r="Q5049" s="14">
        <v>112.52</v>
      </c>
      <c r="R5049" s="14">
        <v>172.16</v>
      </c>
      <c r="S5049" s="2" t="s">
        <v>2059</v>
      </c>
      <c r="T5049" s="2">
        <v>1.4</v>
      </c>
      <c r="U5049" s="2">
        <v>65.5</v>
      </c>
      <c r="V5049" s="2">
        <v>61</v>
      </c>
      <c r="W5049" s="2" t="s">
        <v>7862</v>
      </c>
      <c r="X5049" s="2" t="s">
        <v>2897</v>
      </c>
      <c r="Y5049" s="2">
        <v>17748</v>
      </c>
      <c r="Z5049" s="19" t="str">
        <f>HYPERLINK("https://ssdweb.co/ssdweb/hd/Vision360.html?d=925980001&amp;zoomslide=1&amp;z=1925980001&amp;ISCONFIRM=0","VIDEO")</f>
        <v>VIDEO</v>
      </c>
      <c r="AA5049" s="19" t="str">
        <f>HYPERLINK("https://ssdweb.co/ssdweb/CERTH/629479141.pdf","CERTI")</f>
        <v>CERTI</v>
      </c>
    </row>
    <row r="5050" spans="1:27" ht="15" x14ac:dyDescent="0.25">
      <c r="A5050" s="2">
        <v>5045</v>
      </c>
      <c r="B5050" s="39">
        <v>925961211</v>
      </c>
      <c r="C5050" s="28" t="str">
        <f>HYPERLINK("https://pld.live/RapDetail.aspx?STONELIST=925961211","DNA")</f>
        <v>DNA</v>
      </c>
      <c r="D5050" s="18" t="s">
        <v>711</v>
      </c>
      <c r="E5050" s="18" t="s">
        <v>5128</v>
      </c>
      <c r="F5050" s="2" t="s">
        <v>7987</v>
      </c>
      <c r="G5050" s="2" t="s">
        <v>7322</v>
      </c>
      <c r="H5050" s="14">
        <v>1.53</v>
      </c>
      <c r="I5050" s="2" t="s">
        <v>267</v>
      </c>
      <c r="J5050" s="2" t="s">
        <v>5144</v>
      </c>
      <c r="K5050" s="2" t="s">
        <v>1452</v>
      </c>
      <c r="L5050" s="2" t="s">
        <v>5221</v>
      </c>
      <c r="M5050" s="2" t="s">
        <v>5221</v>
      </c>
      <c r="N5050" s="2" t="s">
        <v>2317</v>
      </c>
      <c r="O5050" s="14">
        <v>9900</v>
      </c>
      <c r="P5050" s="14">
        <v>98.91</v>
      </c>
      <c r="Q5050" s="14">
        <v>107.91</v>
      </c>
      <c r="R5050" s="14">
        <v>165.1</v>
      </c>
      <c r="S5050" s="2" t="s">
        <v>6405</v>
      </c>
      <c r="T5050" s="2">
        <v>1.39</v>
      </c>
      <c r="U5050" s="2">
        <v>64.3</v>
      </c>
      <c r="V5050" s="2">
        <v>65</v>
      </c>
      <c r="W5050" s="2" t="s">
        <v>7862</v>
      </c>
      <c r="X5050" s="2" t="s">
        <v>2897</v>
      </c>
      <c r="Y5050" s="2">
        <v>15147</v>
      </c>
      <c r="Z5050" s="19" t="str">
        <f>HYPERLINK("https://ssdweb.co/ssdweb/hd/Vision360.html?d=925961211&amp;zoomslide=1&amp;z=1925961211&amp;ISCONFIRM=0","VIDEO")</f>
        <v>VIDEO</v>
      </c>
      <c r="AA5050" s="19" t="str">
        <f>HYPERLINK("https://ssdweb.co/ssdweb/CERTH/629453070.pdf","CERTI")</f>
        <v>CERTI</v>
      </c>
    </row>
    <row r="5051" spans="1:27" ht="15" x14ac:dyDescent="0.25">
      <c r="A5051" s="2">
        <v>5046</v>
      </c>
      <c r="B5051" s="39">
        <v>831010604</v>
      </c>
      <c r="C5051" s="28" t="str">
        <f>HYPERLINK("https://pld.live/RapDetail.aspx?STONELIST=831010604","DNA")</f>
        <v>DNA</v>
      </c>
      <c r="D5051" s="18" t="s">
        <v>711</v>
      </c>
      <c r="E5051" s="18" t="s">
        <v>5128</v>
      </c>
      <c r="F5051" s="2" t="s">
        <v>7987</v>
      </c>
      <c r="G5051" s="2" t="s">
        <v>7322</v>
      </c>
      <c r="H5051" s="14">
        <v>1.53</v>
      </c>
      <c r="I5051" s="2" t="s">
        <v>267</v>
      </c>
      <c r="J5051" s="2" t="s">
        <v>5144</v>
      </c>
      <c r="K5051" s="2" t="s">
        <v>1452</v>
      </c>
      <c r="L5051" s="2" t="s">
        <v>5221</v>
      </c>
      <c r="M5051" s="2" t="s">
        <v>5221</v>
      </c>
      <c r="N5051" s="2" t="s">
        <v>2317</v>
      </c>
      <c r="O5051" s="14">
        <v>9900</v>
      </c>
      <c r="P5051" s="14">
        <v>98.93</v>
      </c>
      <c r="Q5051" s="14">
        <v>105.93</v>
      </c>
      <c r="R5051" s="14">
        <v>162.07</v>
      </c>
      <c r="S5051" s="2" t="s">
        <v>2629</v>
      </c>
      <c r="T5051" s="2">
        <v>1.36</v>
      </c>
      <c r="U5051" s="2">
        <v>67.400000000000006</v>
      </c>
      <c r="V5051" s="2">
        <v>63</v>
      </c>
      <c r="W5051" s="2" t="s">
        <v>7862</v>
      </c>
      <c r="X5051" s="2" t="s">
        <v>2897</v>
      </c>
      <c r="Y5051" s="2">
        <v>15147</v>
      </c>
      <c r="Z5051" s="19" t="str">
        <f>HYPERLINK("https://ssdweb.co/ssdweb/hd/Vision360.html?d=831010604&amp;zoomslide=1&amp;z=1831010604&amp;ISCONFIRM=0","VIDEO")</f>
        <v>VIDEO</v>
      </c>
      <c r="AA5051" s="19" t="str">
        <f>HYPERLINK("https://ssdweb.co/ssdweb/CERTH/598316378.pdf","CERTI")</f>
        <v>CERTI</v>
      </c>
    </row>
    <row r="5052" spans="1:27" ht="15" x14ac:dyDescent="0.25">
      <c r="A5052" s="2">
        <v>5047</v>
      </c>
      <c r="B5052" s="39">
        <v>925270266</v>
      </c>
      <c r="C5052" s="28" t="str">
        <f>HYPERLINK("https://pld.live/RapDetail.aspx?STONELIST=925270266","DNA")</f>
        <v>DNA</v>
      </c>
      <c r="D5052" s="18" t="s">
        <v>711</v>
      </c>
      <c r="E5052" s="18" t="s">
        <v>5128</v>
      </c>
      <c r="F5052" s="2" t="s">
        <v>7987</v>
      </c>
      <c r="G5052" s="2" t="s">
        <v>7322</v>
      </c>
      <c r="H5052" s="14">
        <v>1.53</v>
      </c>
      <c r="I5052" s="2" t="s">
        <v>267</v>
      </c>
      <c r="J5052" s="2" t="s">
        <v>5144</v>
      </c>
      <c r="K5052" s="2" t="s">
        <v>1452</v>
      </c>
      <c r="L5052" s="2" t="s">
        <v>5221</v>
      </c>
      <c r="M5052" s="2" t="s">
        <v>5221</v>
      </c>
      <c r="N5052" s="2" t="s">
        <v>2317</v>
      </c>
      <c r="O5052" s="14">
        <v>9900</v>
      </c>
      <c r="P5052" s="14">
        <v>98.93</v>
      </c>
      <c r="Q5052" s="14">
        <v>105.93</v>
      </c>
      <c r="R5052" s="14">
        <v>162.07</v>
      </c>
      <c r="S5052" s="2" t="s">
        <v>3068</v>
      </c>
      <c r="T5052" s="2">
        <v>1.46</v>
      </c>
      <c r="U5052" s="2">
        <v>66.7</v>
      </c>
      <c r="V5052" s="2">
        <v>61</v>
      </c>
      <c r="W5052" s="2" t="s">
        <v>7862</v>
      </c>
      <c r="X5052" s="2" t="s">
        <v>2897</v>
      </c>
      <c r="Y5052" s="2">
        <v>15147</v>
      </c>
      <c r="Z5052" s="19" t="str">
        <f>HYPERLINK("https://ssdweb.co/ssdweb/hd/Vision360.html?d=925270266&amp;zoomslide=1&amp;z=1925270266&amp;ISCONFIRM=0","VIDEO")</f>
        <v>VIDEO</v>
      </c>
      <c r="AA5052" s="19" t="str">
        <f>HYPERLINK("https://ssdweb.co/ssdweb/CERTH/613393326.pdf","CERTI")</f>
        <v>CERTI</v>
      </c>
    </row>
    <row r="5053" spans="1:27" ht="15" x14ac:dyDescent="0.25">
      <c r="A5053" s="2">
        <v>5048</v>
      </c>
      <c r="B5053" s="39">
        <v>925501267</v>
      </c>
      <c r="C5053" s="28" t="str">
        <f>HYPERLINK("https://pld.live/RapDetail.aspx?STONELIST=925501267","DNA")</f>
        <v>DNA</v>
      </c>
      <c r="D5053" s="18" t="s">
        <v>711</v>
      </c>
      <c r="E5053" s="18" t="s">
        <v>5128</v>
      </c>
      <c r="F5053" s="2" t="s">
        <v>7987</v>
      </c>
      <c r="G5053" s="2" t="s">
        <v>7322</v>
      </c>
      <c r="H5053" s="14">
        <v>1.53</v>
      </c>
      <c r="I5053" s="2" t="s">
        <v>4761</v>
      </c>
      <c r="J5053" s="2" t="s">
        <v>6555</v>
      </c>
      <c r="K5053" s="2" t="s">
        <v>1452</v>
      </c>
      <c r="L5053" s="2" t="s">
        <v>5221</v>
      </c>
      <c r="M5053" s="2" t="s">
        <v>5221</v>
      </c>
      <c r="N5053" s="2" t="s">
        <v>2317</v>
      </c>
      <c r="O5053" s="14">
        <v>12400</v>
      </c>
      <c r="P5053" s="14">
        <v>98.91</v>
      </c>
      <c r="Q5053" s="14">
        <v>135.16</v>
      </c>
      <c r="R5053" s="14">
        <v>206.79</v>
      </c>
      <c r="S5053" s="2" t="s">
        <v>4150</v>
      </c>
      <c r="T5053" s="2">
        <v>1.37</v>
      </c>
      <c r="U5053" s="2">
        <v>68.099999999999994</v>
      </c>
      <c r="V5053" s="2">
        <v>68</v>
      </c>
      <c r="W5053" s="2" t="s">
        <v>7862</v>
      </c>
      <c r="X5053" s="2" t="s">
        <v>2897</v>
      </c>
      <c r="Y5053" s="2">
        <v>18972</v>
      </c>
      <c r="Z5053" s="19" t="str">
        <f>HYPERLINK("https://ssdweb.co/ssdweb/hd/Vision360.html?d=925501267&amp;zoomslide=1&amp;z=1925501267&amp;ISCONFIRM=0","VIDEO")</f>
        <v>VIDEO</v>
      </c>
      <c r="AA5053" s="19" t="str">
        <f>HYPERLINK("https://ssdweb.co/ssdweb/CERTH/617476086.pdf","CERTI")</f>
        <v>CERTI</v>
      </c>
    </row>
    <row r="5054" spans="1:27" ht="15" x14ac:dyDescent="0.25">
      <c r="A5054" s="2">
        <v>5049</v>
      </c>
      <c r="B5054" s="39">
        <v>924700005</v>
      </c>
      <c r="C5054" s="28" t="str">
        <f>HYPERLINK("https://pld.live/RapDetail.aspx?STONELIST=924700005","DNA")</f>
        <v>DNA</v>
      </c>
      <c r="D5054" s="18" t="s">
        <v>711</v>
      </c>
      <c r="E5054" s="18" t="s">
        <v>5128</v>
      </c>
      <c r="F5054" s="2" t="s">
        <v>7987</v>
      </c>
      <c r="G5054" s="2" t="s">
        <v>7322</v>
      </c>
      <c r="H5054" s="14">
        <v>1.53</v>
      </c>
      <c r="I5054" s="2" t="s">
        <v>4761</v>
      </c>
      <c r="J5054" s="2" t="s">
        <v>3942</v>
      </c>
      <c r="K5054" s="2" t="s">
        <v>1452</v>
      </c>
      <c r="L5054" s="2" t="s">
        <v>5221</v>
      </c>
      <c r="M5054" s="2" t="s">
        <v>5221</v>
      </c>
      <c r="N5054" s="2" t="s">
        <v>2317</v>
      </c>
      <c r="O5054" s="14">
        <v>11600</v>
      </c>
      <c r="P5054" s="14">
        <v>99.04</v>
      </c>
      <c r="Q5054" s="14">
        <v>111.36</v>
      </c>
      <c r="R5054" s="14">
        <v>170.38</v>
      </c>
      <c r="S5054" s="2" t="s">
        <v>7800</v>
      </c>
      <c r="T5054" s="2">
        <v>1.39</v>
      </c>
      <c r="U5054" s="2">
        <v>67</v>
      </c>
      <c r="V5054" s="2">
        <v>65</v>
      </c>
      <c r="W5054" s="2" t="s">
        <v>4336</v>
      </c>
      <c r="X5054" s="2" t="s">
        <v>2897</v>
      </c>
      <c r="Y5054" s="2">
        <v>17748</v>
      </c>
      <c r="Z5054" s="19" t="str">
        <f>HYPERLINK("https://ssdweb.co/ssdweb/hd/Vision360.html?d=924700005&amp;zoomslide=1&amp;z=1924700005&amp;ISCONFIRM=0","VIDEO")</f>
        <v>VIDEO</v>
      </c>
      <c r="AA5054" s="19" t="str">
        <f>HYPERLINK("https://ssdweb.co/ssdweb/CERTH/596330924.pdf","CERTI")</f>
        <v>CERTI</v>
      </c>
    </row>
    <row r="5055" spans="1:27" ht="15" x14ac:dyDescent="0.25">
      <c r="A5055" s="2">
        <v>5050</v>
      </c>
      <c r="B5055" s="39">
        <v>925950616</v>
      </c>
      <c r="C5055" s="28" t="str">
        <f>HYPERLINK("https://pld.live/RapDetail.aspx?STONELIST=925950616","DNA")</f>
        <v>DNA</v>
      </c>
      <c r="D5055" s="18" t="s">
        <v>711</v>
      </c>
      <c r="E5055" s="18" t="s">
        <v>5128</v>
      </c>
      <c r="F5055" s="2" t="s">
        <v>7987</v>
      </c>
      <c r="G5055" s="2" t="s">
        <v>7322</v>
      </c>
      <c r="H5055" s="14">
        <v>1.53</v>
      </c>
      <c r="I5055" s="2" t="s">
        <v>4761</v>
      </c>
      <c r="J5055" s="2" t="s">
        <v>3942</v>
      </c>
      <c r="K5055" s="2" t="s">
        <v>1452</v>
      </c>
      <c r="L5055" s="2" t="s">
        <v>5221</v>
      </c>
      <c r="M5055" s="2" t="s">
        <v>5221</v>
      </c>
      <c r="N5055" s="2" t="s">
        <v>2317</v>
      </c>
      <c r="O5055" s="14">
        <v>11600</v>
      </c>
      <c r="P5055" s="14">
        <v>99.03</v>
      </c>
      <c r="Q5055" s="14">
        <v>112.52</v>
      </c>
      <c r="R5055" s="14">
        <v>172.16</v>
      </c>
      <c r="S5055" s="2" t="s">
        <v>1261</v>
      </c>
      <c r="T5055" s="2">
        <v>1.41</v>
      </c>
      <c r="U5055" s="2">
        <v>67.3</v>
      </c>
      <c r="V5055" s="2">
        <v>66</v>
      </c>
      <c r="W5055" s="2" t="s">
        <v>7862</v>
      </c>
      <c r="X5055" s="2" t="s">
        <v>2897</v>
      </c>
      <c r="Y5055" s="2">
        <v>17748</v>
      </c>
      <c r="Z5055" s="19" t="str">
        <f>HYPERLINK("https://ssdweb.co/ssdweb/hd/Vision360.html?d=925950616&amp;zoomslide=1&amp;z=1925950616&amp;ISCONFIRM=0","VIDEO")</f>
        <v>VIDEO</v>
      </c>
      <c r="AA5055" s="19" t="str">
        <f>HYPERLINK("https://ssdweb.co/ssdweb/CERTH/627410457.pdf","CERTI")</f>
        <v>CERTI</v>
      </c>
    </row>
    <row r="5056" spans="1:27" ht="15" x14ac:dyDescent="0.25">
      <c r="A5056" s="2">
        <v>5051</v>
      </c>
      <c r="B5056" s="39">
        <v>925860681</v>
      </c>
      <c r="C5056" s="28" t="str">
        <f>HYPERLINK("https://pld.live/RapDetail.aspx?STONELIST=925860681","DNA")</f>
        <v>DNA</v>
      </c>
      <c r="D5056" s="18" t="s">
        <v>711</v>
      </c>
      <c r="E5056" s="18" t="s">
        <v>5128</v>
      </c>
      <c r="F5056" s="2" t="s">
        <v>7987</v>
      </c>
      <c r="G5056" s="2" t="s">
        <v>7322</v>
      </c>
      <c r="H5056" s="14">
        <v>1.53</v>
      </c>
      <c r="I5056" s="2" t="s">
        <v>4761</v>
      </c>
      <c r="J5056" s="2" t="s">
        <v>3942</v>
      </c>
      <c r="K5056" s="2" t="s">
        <v>1452</v>
      </c>
      <c r="L5056" s="2" t="s">
        <v>5221</v>
      </c>
      <c r="M5056" s="2" t="s">
        <v>5221</v>
      </c>
      <c r="N5056" s="2" t="s">
        <v>2317</v>
      </c>
      <c r="O5056" s="14">
        <v>11600</v>
      </c>
      <c r="P5056" s="14">
        <v>99.03</v>
      </c>
      <c r="Q5056" s="14">
        <v>112.52</v>
      </c>
      <c r="R5056" s="14">
        <v>172.16</v>
      </c>
      <c r="S5056" s="2" t="s">
        <v>1342</v>
      </c>
      <c r="T5056" s="2">
        <v>1.4</v>
      </c>
      <c r="U5056" s="2">
        <v>67</v>
      </c>
      <c r="V5056" s="2">
        <v>65</v>
      </c>
      <c r="W5056" s="2" t="s">
        <v>7862</v>
      </c>
      <c r="X5056" s="2" t="s">
        <v>2897</v>
      </c>
      <c r="Y5056" s="2">
        <v>17748</v>
      </c>
      <c r="Z5056" s="19" t="str">
        <f>HYPERLINK("https://ssdweb.co/ssdweb/hd/Vision360.html?d=925860681&amp;zoomslide=1&amp;z=1925860681&amp;ISCONFIRM=0","VIDEO")</f>
        <v>VIDEO</v>
      </c>
      <c r="AA5056" s="19" t="str">
        <f>HYPERLINK("https://ssdweb.co/ssdweb/CERTH/626427588.pdf","CERTI")</f>
        <v>CERTI</v>
      </c>
    </row>
    <row r="5057" spans="1:27" ht="15" x14ac:dyDescent="0.25">
      <c r="A5057" s="2">
        <v>5052</v>
      </c>
      <c r="B5057" s="39">
        <v>925520508</v>
      </c>
      <c r="C5057" s="28" t="str">
        <f>HYPERLINK("https://pld.live/RapDetail.aspx?STONELIST=925520508","DNA")</f>
        <v>DNA</v>
      </c>
      <c r="D5057" s="18" t="s">
        <v>711</v>
      </c>
      <c r="E5057" s="18" t="s">
        <v>5128</v>
      </c>
      <c r="F5057" s="2" t="s">
        <v>7987</v>
      </c>
      <c r="G5057" s="2" t="s">
        <v>7322</v>
      </c>
      <c r="H5057" s="14">
        <v>1.53</v>
      </c>
      <c r="I5057" s="2" t="s">
        <v>4761</v>
      </c>
      <c r="J5057" s="2" t="s">
        <v>3942</v>
      </c>
      <c r="K5057" s="2" t="s">
        <v>1452</v>
      </c>
      <c r="L5057" s="2" t="s">
        <v>5221</v>
      </c>
      <c r="M5057" s="2" t="s">
        <v>5221</v>
      </c>
      <c r="N5057" s="2" t="s">
        <v>2317</v>
      </c>
      <c r="O5057" s="14">
        <v>11600</v>
      </c>
      <c r="P5057" s="14">
        <v>99.03</v>
      </c>
      <c r="Q5057" s="14">
        <v>112.52</v>
      </c>
      <c r="R5057" s="14">
        <v>172.16</v>
      </c>
      <c r="S5057" s="2" t="s">
        <v>7425</v>
      </c>
      <c r="T5057" s="2">
        <v>1.37</v>
      </c>
      <c r="U5057" s="2">
        <v>67.599999999999994</v>
      </c>
      <c r="V5057" s="2">
        <v>64</v>
      </c>
      <c r="W5057" s="2" t="s">
        <v>7862</v>
      </c>
      <c r="X5057" s="2" t="s">
        <v>2897</v>
      </c>
      <c r="Y5057" s="2">
        <v>17748</v>
      </c>
      <c r="Z5057" s="19" t="str">
        <f>HYPERLINK("https://ssdweb.co/ssdweb/hd/Vision360.html?d=925520508&amp;zoomslide=1&amp;z=1925520508&amp;ISCONFIRM=0","VIDEO")</f>
        <v>VIDEO</v>
      </c>
      <c r="AA5057" s="19" t="str">
        <f>HYPERLINK("https://ssdweb.co/ssdweb/CERTH/617413077.pdf","CERTI")</f>
        <v>CERTI</v>
      </c>
    </row>
    <row r="5058" spans="1:27" ht="15" x14ac:dyDescent="0.25">
      <c r="A5058" s="2">
        <v>5053</v>
      </c>
      <c r="B5058" s="39">
        <v>925502682</v>
      </c>
      <c r="C5058" s="28" t="str">
        <f>HYPERLINK("https://pld.live/RapDetail.aspx?STONELIST=925502682","DNA")</f>
        <v>DNA</v>
      </c>
      <c r="D5058" s="18" t="s">
        <v>711</v>
      </c>
      <c r="E5058" s="18" t="s">
        <v>5128</v>
      </c>
      <c r="F5058" s="2" t="s">
        <v>7987</v>
      </c>
      <c r="G5058" s="2" t="s">
        <v>7322</v>
      </c>
      <c r="H5058" s="14">
        <v>1.53</v>
      </c>
      <c r="I5058" s="2" t="s">
        <v>4761</v>
      </c>
      <c r="J5058" s="2" t="s">
        <v>13</v>
      </c>
      <c r="K5058" s="2" t="s">
        <v>1452</v>
      </c>
      <c r="L5058" s="2" t="s">
        <v>5221</v>
      </c>
      <c r="M5058" s="2" t="s">
        <v>5221</v>
      </c>
      <c r="N5058" s="2" t="s">
        <v>2317</v>
      </c>
      <c r="O5058" s="14">
        <v>10800</v>
      </c>
      <c r="P5058" s="14">
        <v>99.01</v>
      </c>
      <c r="Q5058" s="14">
        <v>106.92</v>
      </c>
      <c r="R5058" s="14">
        <v>163.59</v>
      </c>
      <c r="S5058" s="2" t="s">
        <v>2260</v>
      </c>
      <c r="T5058" s="2">
        <v>1.46</v>
      </c>
      <c r="U5058" s="2">
        <v>65.900000000000006</v>
      </c>
      <c r="V5058" s="2">
        <v>69</v>
      </c>
      <c r="W5058" s="2" t="s">
        <v>7862</v>
      </c>
      <c r="X5058" s="2" t="s">
        <v>2897</v>
      </c>
      <c r="Y5058" s="2">
        <v>16524</v>
      </c>
      <c r="Z5058" s="19" t="str">
        <f>HYPERLINK("https://ssdweb.co/ssdweb/hd/Vision360.html?d=925502682&amp;zoomslide=1&amp;z=1925502682&amp;ISCONFIRM=0","VIDEO")</f>
        <v>VIDEO</v>
      </c>
      <c r="AA5058" s="19" t="str">
        <f>HYPERLINK("https://ssdweb.co/ssdweb/CERTH/619453445.pdf","CERTI")</f>
        <v>CERTI</v>
      </c>
    </row>
    <row r="5059" spans="1:27" ht="15" x14ac:dyDescent="0.25">
      <c r="A5059" s="2">
        <v>5054</v>
      </c>
      <c r="B5059" s="39">
        <v>941200073</v>
      </c>
      <c r="C5059" s="28" t="str">
        <f>HYPERLINK("https://pld.live/RapDetail.aspx?STONELIST=941200073","DNA")</f>
        <v>DNA</v>
      </c>
      <c r="D5059" s="18" t="s">
        <v>711</v>
      </c>
      <c r="E5059" s="18" t="s">
        <v>2186</v>
      </c>
      <c r="F5059" s="2" t="s">
        <v>7987</v>
      </c>
      <c r="G5059" s="2" t="s">
        <v>7322</v>
      </c>
      <c r="H5059" s="14">
        <v>1.53</v>
      </c>
      <c r="I5059" s="2" t="s">
        <v>4761</v>
      </c>
      <c r="J5059" s="2" t="s">
        <v>13</v>
      </c>
      <c r="K5059" s="2" t="s">
        <v>1452</v>
      </c>
      <c r="L5059" s="2" t="s">
        <v>5221</v>
      </c>
      <c r="M5059" s="2" t="s">
        <v>5221</v>
      </c>
      <c r="N5059" s="2" t="s">
        <v>2317</v>
      </c>
      <c r="O5059" s="14">
        <v>10800</v>
      </c>
      <c r="P5059" s="14">
        <v>98.97</v>
      </c>
      <c r="Q5059" s="14">
        <v>111.24</v>
      </c>
      <c r="R5059" s="14">
        <v>170.2</v>
      </c>
      <c r="S5059" s="2" t="s">
        <v>2553</v>
      </c>
      <c r="T5059" s="2">
        <v>1.4</v>
      </c>
      <c r="U5059" s="2">
        <v>66.599999999999994</v>
      </c>
      <c r="V5059" s="2">
        <v>62</v>
      </c>
      <c r="W5059" s="2" t="s">
        <v>7862</v>
      </c>
      <c r="X5059" s="2" t="s">
        <v>2897</v>
      </c>
      <c r="Y5059" s="2">
        <v>16524</v>
      </c>
      <c r="Z5059" s="19" t="str">
        <f>HYPERLINK("https://ssdweb.co/ssdweb/hd/Vision360.html?d=941200073&amp;zoomslide=1&amp;z=1941200073&amp;ISCONFIRM=0","VIDEO")</f>
        <v>VIDEO</v>
      </c>
      <c r="AA5059" s="19" t="str">
        <f>HYPERLINK("https://ssdweb.co/ssdweb/CERTH/678550317.pdf","CERTI")</f>
        <v>CERTI</v>
      </c>
    </row>
    <row r="5060" spans="1:27" ht="15" x14ac:dyDescent="0.25">
      <c r="A5060" s="2">
        <v>5055</v>
      </c>
      <c r="B5060" s="39">
        <v>925950903</v>
      </c>
      <c r="C5060" s="28" t="str">
        <f>HYPERLINK("https://pld.live/RapDetail.aspx?STONELIST=925950903","DNA")</f>
        <v>DNA</v>
      </c>
      <c r="D5060" s="18" t="s">
        <v>711</v>
      </c>
      <c r="E5060" s="18" t="s">
        <v>5128</v>
      </c>
      <c r="F5060" s="2" t="s">
        <v>7987</v>
      </c>
      <c r="G5060" s="2" t="s">
        <v>7322</v>
      </c>
      <c r="H5060" s="14">
        <v>1.53</v>
      </c>
      <c r="I5060" s="2" t="s">
        <v>4761</v>
      </c>
      <c r="J5060" s="2" t="s">
        <v>5144</v>
      </c>
      <c r="K5060" s="2" t="s">
        <v>1452</v>
      </c>
      <c r="L5060" s="2" t="s">
        <v>5221</v>
      </c>
      <c r="M5060" s="2" t="s">
        <v>5221</v>
      </c>
      <c r="N5060" s="2" t="s">
        <v>2317</v>
      </c>
      <c r="O5060" s="14">
        <v>9300</v>
      </c>
      <c r="P5060" s="14">
        <v>98.94</v>
      </c>
      <c r="Q5060" s="14">
        <v>98.58</v>
      </c>
      <c r="R5060" s="14">
        <v>150.83000000000001</v>
      </c>
      <c r="S5060" s="2" t="s">
        <v>1717</v>
      </c>
      <c r="T5060" s="2">
        <v>1.46</v>
      </c>
      <c r="U5060" s="2">
        <v>64.8</v>
      </c>
      <c r="V5060" s="2">
        <v>66</v>
      </c>
      <c r="W5060" s="2" t="s">
        <v>7862</v>
      </c>
      <c r="X5060" s="2" t="s">
        <v>2897</v>
      </c>
      <c r="Y5060" s="2">
        <v>14229</v>
      </c>
      <c r="Z5060" s="19" t="str">
        <f>HYPERLINK("https://ssdweb.co/ssdweb/hd/Vision360.html?d=925950903&amp;zoomslide=1&amp;z=1925950903&amp;ISCONFIRM=0","VIDEO")</f>
        <v>VIDEO</v>
      </c>
      <c r="AA5060" s="19" t="str">
        <f>HYPERLINK("https://ssdweb.co/ssdweb/CERTH/628463266.pdf","CERTI")</f>
        <v>CERTI</v>
      </c>
    </row>
    <row r="5061" spans="1:27" ht="15" x14ac:dyDescent="0.25">
      <c r="A5061" s="2">
        <v>5056</v>
      </c>
      <c r="B5061" s="39">
        <v>831010605</v>
      </c>
      <c r="C5061" s="28" t="str">
        <f>HYPERLINK("https://pld.live/RapDetail.aspx?STONELIST=831010605","DNA")</f>
        <v>DNA</v>
      </c>
      <c r="D5061" s="18" t="s">
        <v>711</v>
      </c>
      <c r="E5061" s="18" t="s">
        <v>5128</v>
      </c>
      <c r="F5061" s="2" t="s">
        <v>5597</v>
      </c>
      <c r="G5061" s="2" t="s">
        <v>7322</v>
      </c>
      <c r="H5061" s="14">
        <v>1.53</v>
      </c>
      <c r="I5061" s="2" t="s">
        <v>4761</v>
      </c>
      <c r="J5061" s="2" t="s">
        <v>5144</v>
      </c>
      <c r="K5061" s="2" t="s">
        <v>1452</v>
      </c>
      <c r="L5061" s="2" t="s">
        <v>5221</v>
      </c>
      <c r="M5061" s="2" t="s">
        <v>5221</v>
      </c>
      <c r="N5061" s="2" t="s">
        <v>2317</v>
      </c>
      <c r="O5061" s="14">
        <v>9300</v>
      </c>
      <c r="P5061" s="14">
        <v>97.62</v>
      </c>
      <c r="Q5061" s="14">
        <v>221.34</v>
      </c>
      <c r="R5061" s="14">
        <v>338.65</v>
      </c>
      <c r="S5061" s="2" t="s">
        <v>5728</v>
      </c>
      <c r="T5061" s="2">
        <v>1.39</v>
      </c>
      <c r="U5061" s="2">
        <v>67.7</v>
      </c>
      <c r="V5061" s="2">
        <v>64</v>
      </c>
      <c r="W5061" s="2" t="s">
        <v>7862</v>
      </c>
      <c r="X5061" s="2" t="s">
        <v>2897</v>
      </c>
      <c r="Y5061" s="2">
        <v>14229</v>
      </c>
      <c r="Z5061" s="19" t="str">
        <f>HYPERLINK("https://ssdweb.co/ssdweb/hd/Vision360.html?d=831010605&amp;zoomslide=1&amp;z=1831010605&amp;ISCONFIRM=0","VIDEO")</f>
        <v>VIDEO</v>
      </c>
      <c r="AA5061" s="19" t="str">
        <f>HYPERLINK("https://ssdweb.co/ssdweb/CERTH/3485175031.pdf","CERTI")</f>
        <v>CERTI</v>
      </c>
    </row>
    <row r="5062" spans="1:27" ht="15" x14ac:dyDescent="0.25">
      <c r="A5062" s="2">
        <v>5057</v>
      </c>
      <c r="B5062" s="39">
        <v>821113618</v>
      </c>
      <c r="C5062" s="28" t="str">
        <f>HYPERLINK("https://pld.live/RapDetail.aspx?STONELIST=821113618","DNA")</f>
        <v>DNA</v>
      </c>
      <c r="D5062" s="18" t="s">
        <v>711</v>
      </c>
      <c r="E5062" s="18" t="s">
        <v>2186</v>
      </c>
      <c r="F5062" s="2" t="s">
        <v>7987</v>
      </c>
      <c r="G5062" s="2" t="s">
        <v>7322</v>
      </c>
      <c r="H5062" s="14">
        <v>1.53</v>
      </c>
      <c r="I5062" s="2" t="s">
        <v>4761</v>
      </c>
      <c r="J5062" s="2" t="s">
        <v>5144</v>
      </c>
      <c r="K5062" s="2" t="s">
        <v>1452</v>
      </c>
      <c r="L5062" s="2" t="s">
        <v>5221</v>
      </c>
      <c r="M5062" s="2" t="s">
        <v>5221</v>
      </c>
      <c r="N5062" s="2" t="s">
        <v>2317</v>
      </c>
      <c r="O5062" s="14">
        <v>9300</v>
      </c>
      <c r="P5062" s="14">
        <v>98.94</v>
      </c>
      <c r="Q5062" s="14">
        <v>98.58</v>
      </c>
      <c r="R5062" s="14">
        <v>150.83000000000001</v>
      </c>
      <c r="S5062" s="2" t="s">
        <v>3853</v>
      </c>
      <c r="T5062" s="2">
        <v>1.45</v>
      </c>
      <c r="U5062" s="2">
        <v>66.2</v>
      </c>
      <c r="V5062" s="2">
        <v>63</v>
      </c>
      <c r="W5062" s="2" t="s">
        <v>7862</v>
      </c>
      <c r="X5062" s="2" t="s">
        <v>2897</v>
      </c>
      <c r="Y5062" s="2">
        <v>14229</v>
      </c>
      <c r="Z5062" s="19" t="str">
        <f>HYPERLINK("https://ssdweb.co/ssdweb/hd/Vision360.html?d=821113618&amp;zoomslide=1&amp;z=1821113618&amp;ISCONFIRM=0","VIDEO")</f>
        <v>VIDEO</v>
      </c>
      <c r="AA5062" s="19" t="str">
        <f>HYPERLINK("https://ssdweb.co/ssdweb/CERTH/623477387.pdf","CERTI")</f>
        <v>CERTI</v>
      </c>
    </row>
    <row r="5063" spans="1:27" ht="15" x14ac:dyDescent="0.25">
      <c r="A5063" s="2">
        <v>5058</v>
      </c>
      <c r="B5063" s="39">
        <v>926200775</v>
      </c>
      <c r="C5063" s="28" t="str">
        <f>HYPERLINK("https://pld.live/RapDetail.aspx?STONELIST=926200775","DNA")</f>
        <v>DNA</v>
      </c>
      <c r="D5063" s="18" t="s">
        <v>711</v>
      </c>
      <c r="E5063" s="18" t="s">
        <v>5128</v>
      </c>
      <c r="F5063" s="2" t="s">
        <v>7987</v>
      </c>
      <c r="G5063" s="2" t="s">
        <v>7322</v>
      </c>
      <c r="H5063" s="14">
        <v>1.53</v>
      </c>
      <c r="I5063" s="2" t="s">
        <v>4699</v>
      </c>
      <c r="J5063" s="2" t="s">
        <v>3942</v>
      </c>
      <c r="K5063" s="2" t="s">
        <v>1452</v>
      </c>
      <c r="L5063" s="2" t="s">
        <v>5221</v>
      </c>
      <c r="M5063" s="2" t="s">
        <v>5221</v>
      </c>
      <c r="N5063" s="2" t="s">
        <v>2317</v>
      </c>
      <c r="O5063" s="14">
        <v>10800</v>
      </c>
      <c r="P5063" s="14">
        <v>99</v>
      </c>
      <c r="Q5063" s="14">
        <v>108</v>
      </c>
      <c r="R5063" s="14">
        <v>165.24</v>
      </c>
      <c r="S5063" s="2" t="s">
        <v>873</v>
      </c>
      <c r="T5063" s="2">
        <v>1.37</v>
      </c>
      <c r="U5063" s="2">
        <v>65</v>
      </c>
      <c r="V5063" s="2">
        <v>67</v>
      </c>
      <c r="W5063" s="2" t="s">
        <v>4336</v>
      </c>
      <c r="X5063" s="2" t="s">
        <v>2897</v>
      </c>
      <c r="Y5063" s="2">
        <v>16524</v>
      </c>
      <c r="Z5063" s="19" t="str">
        <f>HYPERLINK("https://ssdweb.co/ssdweb/hd/Vision360.html?d=926200775&amp;zoomslide=1&amp;z=1926200775&amp;ISCONFIRM=0","VIDEO")</f>
        <v>VIDEO</v>
      </c>
      <c r="AA5063" s="19" t="str">
        <f>HYPERLINK("https://ssdweb.co/ssdweb/CERTH/635426958.pdf","CERTI")</f>
        <v>CERTI</v>
      </c>
    </row>
    <row r="5064" spans="1:27" ht="15" x14ac:dyDescent="0.25">
      <c r="A5064" s="2">
        <v>5059</v>
      </c>
      <c r="B5064" s="39">
        <v>831020379</v>
      </c>
      <c r="C5064" s="28" t="str">
        <f>HYPERLINK("https://pld.live/RapDetail.aspx?STONELIST=831020379","DNA")</f>
        <v>DNA</v>
      </c>
      <c r="D5064" s="18" t="s">
        <v>711</v>
      </c>
      <c r="E5064" s="18" t="s">
        <v>2186</v>
      </c>
      <c r="F5064" s="2" t="s">
        <v>5597</v>
      </c>
      <c r="G5064" s="2" t="s">
        <v>7322</v>
      </c>
      <c r="H5064" s="14">
        <v>1.53</v>
      </c>
      <c r="I5064" s="2" t="s">
        <v>4699</v>
      </c>
      <c r="J5064" s="2" t="s">
        <v>13</v>
      </c>
      <c r="K5064" s="2" t="s">
        <v>1452</v>
      </c>
      <c r="L5064" s="2" t="s">
        <v>5221</v>
      </c>
      <c r="M5064" s="2" t="s">
        <v>5721</v>
      </c>
      <c r="N5064" s="2" t="s">
        <v>2317</v>
      </c>
      <c r="O5064" s="14">
        <v>10200</v>
      </c>
      <c r="P5064" s="14">
        <v>97.77</v>
      </c>
      <c r="Q5064" s="14">
        <v>227.46</v>
      </c>
      <c r="R5064" s="14">
        <v>348.01</v>
      </c>
      <c r="S5064" s="2" t="s">
        <v>3065</v>
      </c>
      <c r="T5064" s="2">
        <v>1.43</v>
      </c>
      <c r="U5064" s="2">
        <v>66.5</v>
      </c>
      <c r="V5064" s="2">
        <v>64</v>
      </c>
      <c r="W5064" s="2" t="s">
        <v>7862</v>
      </c>
      <c r="X5064" s="2" t="s">
        <v>2897</v>
      </c>
      <c r="Y5064" s="2">
        <v>15606</v>
      </c>
      <c r="Z5064" s="19" t="str">
        <f>HYPERLINK("https://ssdweb.co/ssdweb/hd/Vision360.html?d=831020379&amp;zoomslide=1&amp;z=1831020379&amp;ISCONFIRM=0","VIDEO")</f>
        <v>VIDEO</v>
      </c>
      <c r="AA5064" s="19" t="str">
        <f>HYPERLINK("https://ssdweb.co/ssdweb/CERTH/6471313873.pdf","CERTI")</f>
        <v>CERTI</v>
      </c>
    </row>
    <row r="5065" spans="1:27" ht="15" x14ac:dyDescent="0.25">
      <c r="A5065" s="2">
        <v>5060</v>
      </c>
      <c r="B5065" s="39">
        <v>925660152</v>
      </c>
      <c r="C5065" s="28" t="str">
        <f>HYPERLINK("https://pld.live/RapDetail.aspx?STONELIST=925660152","DNA")</f>
        <v>DNA</v>
      </c>
      <c r="D5065" s="18" t="s">
        <v>711</v>
      </c>
      <c r="E5065" s="18" t="s">
        <v>2186</v>
      </c>
      <c r="F5065" s="2" t="s">
        <v>7987</v>
      </c>
      <c r="G5065" s="2" t="s">
        <v>7322</v>
      </c>
      <c r="H5065" s="14">
        <v>1.53</v>
      </c>
      <c r="I5065" s="2" t="s">
        <v>4699</v>
      </c>
      <c r="J5065" s="2" t="s">
        <v>5144</v>
      </c>
      <c r="K5065" s="2" t="s">
        <v>1452</v>
      </c>
      <c r="L5065" s="2" t="s">
        <v>5221</v>
      </c>
      <c r="M5065" s="2" t="s">
        <v>5221</v>
      </c>
      <c r="N5065" s="2" t="s">
        <v>2317</v>
      </c>
      <c r="O5065" s="14">
        <v>8800</v>
      </c>
      <c r="P5065" s="14">
        <v>98.91</v>
      </c>
      <c r="Q5065" s="14">
        <v>95.92</v>
      </c>
      <c r="R5065" s="14">
        <v>146.76</v>
      </c>
      <c r="S5065" s="2" t="s">
        <v>1032</v>
      </c>
      <c r="T5065" s="2">
        <v>1.41</v>
      </c>
      <c r="U5065" s="2">
        <v>65.8</v>
      </c>
      <c r="V5065" s="2">
        <v>65</v>
      </c>
      <c r="W5065" s="2" t="s">
        <v>8016</v>
      </c>
      <c r="X5065" s="2" t="s">
        <v>2897</v>
      </c>
      <c r="Y5065" s="2">
        <v>13464</v>
      </c>
      <c r="Z5065" s="19" t="str">
        <f>HYPERLINK("https://ssdweb.co/ssdweb/hd/Vision360.html?d=925660152&amp;zoomslide=1&amp;z=1925660152&amp;ISCONFIRM=0","VIDEO")</f>
        <v>VIDEO</v>
      </c>
      <c r="AA5065" s="19" t="str">
        <f>HYPERLINK("https://ssdweb.co/ssdweb/CERTH/624499644.pdf","CERTI")</f>
        <v>CERTI</v>
      </c>
    </row>
    <row r="5066" spans="1:27" ht="15" x14ac:dyDescent="0.25">
      <c r="A5066" s="2">
        <v>5061</v>
      </c>
      <c r="B5066" s="39">
        <v>925521950</v>
      </c>
      <c r="C5066" s="28" t="str">
        <f>HYPERLINK("https://pld.live/RapDetail.aspx?STONELIST=925521950","DNA")</f>
        <v>DNA</v>
      </c>
      <c r="D5066" s="18" t="s">
        <v>711</v>
      </c>
      <c r="E5066" s="18" t="s">
        <v>5128</v>
      </c>
      <c r="F5066" s="2" t="s">
        <v>7987</v>
      </c>
      <c r="G5066" s="2" t="s">
        <v>7322</v>
      </c>
      <c r="H5066" s="14">
        <v>1.53</v>
      </c>
      <c r="I5066" s="2" t="s">
        <v>4699</v>
      </c>
      <c r="J5066" s="2" t="s">
        <v>444</v>
      </c>
      <c r="K5066" s="2" t="s">
        <v>1452</v>
      </c>
      <c r="L5066" s="2" t="s">
        <v>5221</v>
      </c>
      <c r="M5066" s="2" t="s">
        <v>5221</v>
      </c>
      <c r="N5066" s="2" t="s">
        <v>2317</v>
      </c>
      <c r="O5066" s="14">
        <v>7200</v>
      </c>
      <c r="P5066" s="14">
        <v>98.71</v>
      </c>
      <c r="Q5066" s="14">
        <v>92.88</v>
      </c>
      <c r="R5066" s="14">
        <v>142.11000000000001</v>
      </c>
      <c r="S5066" s="2" t="s">
        <v>7350</v>
      </c>
      <c r="T5066" s="2">
        <v>1.4</v>
      </c>
      <c r="U5066" s="2">
        <v>67</v>
      </c>
      <c r="V5066" s="2">
        <v>65</v>
      </c>
      <c r="W5066" s="2" t="s">
        <v>7862</v>
      </c>
      <c r="X5066" s="2" t="s">
        <v>2897</v>
      </c>
      <c r="Y5066" s="2">
        <v>11016</v>
      </c>
      <c r="Z5066" s="19" t="str">
        <f>HYPERLINK("https://ssdweb.co/ssdweb/hd/Vision360.html?d=925521950&amp;zoomslide=1&amp;z=1925521950&amp;ISCONFIRM=0","VIDEO")</f>
        <v>VIDEO</v>
      </c>
      <c r="AA5066" s="19" t="str">
        <f>HYPERLINK("https://ssdweb.co/ssdweb/CERTH/620448974.pdf","CERTI")</f>
        <v>CERTI</v>
      </c>
    </row>
    <row r="5067" spans="1:27" ht="15" x14ac:dyDescent="0.25">
      <c r="A5067" s="2">
        <v>5062</v>
      </c>
      <c r="B5067" s="39">
        <v>925630383</v>
      </c>
      <c r="C5067" s="28" t="str">
        <f>HYPERLINK("https://pld.live/RapDetail.aspx?STONELIST=925630383","DNA")</f>
        <v>DNA</v>
      </c>
      <c r="D5067" s="18" t="s">
        <v>711</v>
      </c>
      <c r="E5067" s="18" t="s">
        <v>2186</v>
      </c>
      <c r="F5067" s="2" t="s">
        <v>7987</v>
      </c>
      <c r="G5067" s="2" t="s">
        <v>7322</v>
      </c>
      <c r="H5067" s="14">
        <v>1.53</v>
      </c>
      <c r="I5067" s="2" t="s">
        <v>6587</v>
      </c>
      <c r="J5067" s="2" t="s">
        <v>13</v>
      </c>
      <c r="K5067" s="2" t="s">
        <v>1452</v>
      </c>
      <c r="L5067" s="2" t="s">
        <v>5221</v>
      </c>
      <c r="M5067" s="2" t="s">
        <v>5221</v>
      </c>
      <c r="N5067" s="2" t="s">
        <v>2317</v>
      </c>
      <c r="O5067" s="14">
        <v>9300</v>
      </c>
      <c r="P5067" s="14">
        <v>98.96</v>
      </c>
      <c r="Q5067" s="14">
        <v>96.72</v>
      </c>
      <c r="R5067" s="14">
        <v>147.97999999999999</v>
      </c>
      <c r="S5067" s="2" t="s">
        <v>4729</v>
      </c>
      <c r="T5067" s="2">
        <v>1.46</v>
      </c>
      <c r="U5067" s="2">
        <v>64.400000000000006</v>
      </c>
      <c r="V5067" s="2">
        <v>66</v>
      </c>
      <c r="W5067" s="2" t="s">
        <v>8016</v>
      </c>
      <c r="X5067" s="2" t="s">
        <v>2897</v>
      </c>
      <c r="Y5067" s="2">
        <v>14229</v>
      </c>
      <c r="Z5067" s="19" t="str">
        <f>HYPERLINK("https://ssdweb.co/ssdweb/hd/Vision360.html?d=925630383&amp;zoomslide=1&amp;z=1925630383&amp;ISCONFIRM=0","VIDEO")</f>
        <v>VIDEO</v>
      </c>
      <c r="AA5067" s="19" t="str">
        <f>HYPERLINK("https://ssdweb.co/ssdweb/CERTH/623412577.pdf","CERTI")</f>
        <v>CERTI</v>
      </c>
    </row>
    <row r="5068" spans="1:27" ht="15" x14ac:dyDescent="0.25">
      <c r="A5068" s="2">
        <v>5063</v>
      </c>
      <c r="B5068" s="39">
        <v>925120325</v>
      </c>
      <c r="C5068" s="28" t="str">
        <f>HYPERLINK("https://pld.live/RapDetail.aspx?STONELIST=925120325","DNA")</f>
        <v>DNA</v>
      </c>
      <c r="D5068" s="18" t="s">
        <v>711</v>
      </c>
      <c r="E5068" s="18" t="s">
        <v>5128</v>
      </c>
      <c r="F5068" s="2" t="s">
        <v>7987</v>
      </c>
      <c r="G5068" s="2" t="s">
        <v>7322</v>
      </c>
      <c r="H5068" s="14">
        <v>1.52</v>
      </c>
      <c r="I5068" s="2" t="s">
        <v>267</v>
      </c>
      <c r="J5068" s="2" t="s">
        <v>7032</v>
      </c>
      <c r="K5068" s="2" t="s">
        <v>1452</v>
      </c>
      <c r="L5068" s="2" t="s">
        <v>5221</v>
      </c>
      <c r="M5068" s="2" t="s">
        <v>5221</v>
      </c>
      <c r="N5068" s="2" t="s">
        <v>2317</v>
      </c>
      <c r="O5068" s="14">
        <v>14100</v>
      </c>
      <c r="P5068" s="14">
        <v>97.19</v>
      </c>
      <c r="Q5068" s="14">
        <v>396.21</v>
      </c>
      <c r="R5068" s="14">
        <v>602.24</v>
      </c>
      <c r="S5068" s="2" t="s">
        <v>1380</v>
      </c>
      <c r="T5068" s="2">
        <v>1.36</v>
      </c>
      <c r="U5068" s="2">
        <v>68.099999999999994</v>
      </c>
      <c r="V5068" s="2">
        <v>68</v>
      </c>
      <c r="W5068" s="2" t="s">
        <v>7862</v>
      </c>
      <c r="X5068" s="2" t="s">
        <v>2897</v>
      </c>
      <c r="Y5068" s="2">
        <v>21432</v>
      </c>
      <c r="Z5068" s="19" t="str">
        <f>HYPERLINK("https://ssdweb.co/ssdweb/hd/Vision360.html?d=925120325&amp;zoomslide=1&amp;z=1925120325&amp;ISCONFIRM=0","VIDEO")</f>
        <v>VIDEO</v>
      </c>
      <c r="AA5068" s="19" t="str">
        <f>HYPERLINK("https://ssdweb.co/ssdweb/CERTH/612322048.pdf","CERTI")</f>
        <v>CERTI</v>
      </c>
    </row>
    <row r="5069" spans="1:27" ht="15" x14ac:dyDescent="0.25">
      <c r="A5069" s="2">
        <v>5064</v>
      </c>
      <c r="B5069" s="39">
        <v>925950666</v>
      </c>
      <c r="C5069" s="28" t="str">
        <f>HYPERLINK("https://pld.live/RapDetail.aspx?STONELIST=925950666","DNA")</f>
        <v>DNA</v>
      </c>
      <c r="D5069" s="18" t="s">
        <v>711</v>
      </c>
      <c r="E5069" s="18" t="s">
        <v>5128</v>
      </c>
      <c r="F5069" s="2" t="s">
        <v>7987</v>
      </c>
      <c r="G5069" s="2" t="s">
        <v>7322</v>
      </c>
      <c r="H5069" s="14">
        <v>1.52</v>
      </c>
      <c r="I5069" s="2" t="s">
        <v>267</v>
      </c>
      <c r="J5069" s="2" t="s">
        <v>6555</v>
      </c>
      <c r="K5069" s="2" t="s">
        <v>1452</v>
      </c>
      <c r="L5069" s="2" t="s">
        <v>5221</v>
      </c>
      <c r="M5069" s="2" t="s">
        <v>5221</v>
      </c>
      <c r="N5069" s="2" t="s">
        <v>2317</v>
      </c>
      <c r="O5069" s="14">
        <v>13200</v>
      </c>
      <c r="P5069" s="14">
        <v>98.89</v>
      </c>
      <c r="Q5069" s="14">
        <v>146.52000000000001</v>
      </c>
      <c r="R5069" s="14">
        <v>222.71</v>
      </c>
      <c r="S5069" s="2" t="s">
        <v>1332</v>
      </c>
      <c r="T5069" s="2">
        <v>1.37</v>
      </c>
      <c r="U5069" s="2">
        <v>66.8</v>
      </c>
      <c r="V5069" s="2">
        <v>63</v>
      </c>
      <c r="W5069" s="2" t="s">
        <v>7862</v>
      </c>
      <c r="X5069" s="2" t="s">
        <v>2897</v>
      </c>
      <c r="Y5069" s="2">
        <v>20064</v>
      </c>
      <c r="Z5069" s="19" t="str">
        <f>HYPERLINK("https://ssdweb.co/ssdweb/hd/Vision360.html?d=925950666&amp;zoomslide=1&amp;z=1925950666&amp;ISCONFIRM=0","VIDEO")</f>
        <v>VIDEO</v>
      </c>
      <c r="AA5069" s="19" t="str">
        <f>HYPERLINK("https://ssdweb.co/ssdweb/CERTH/628463012.pdf","CERTI")</f>
        <v>CERTI</v>
      </c>
    </row>
    <row r="5070" spans="1:27" ht="15" x14ac:dyDescent="0.25">
      <c r="A5070" s="2">
        <v>5065</v>
      </c>
      <c r="B5070" s="39">
        <v>821126877</v>
      </c>
      <c r="C5070" s="28" t="str">
        <f>HYPERLINK("https://pld.live/RapDetail.aspx?STONELIST=821126877","DNA")</f>
        <v>DNA</v>
      </c>
      <c r="D5070" s="18" t="s">
        <v>711</v>
      </c>
      <c r="E5070" s="18" t="s">
        <v>5128</v>
      </c>
      <c r="F5070" s="2" t="s">
        <v>7987</v>
      </c>
      <c r="G5070" s="2" t="s">
        <v>7322</v>
      </c>
      <c r="H5070" s="14">
        <v>1.52</v>
      </c>
      <c r="I5070" s="2" t="s">
        <v>267</v>
      </c>
      <c r="J5070" s="2" t="s">
        <v>6555</v>
      </c>
      <c r="K5070" s="2" t="s">
        <v>1452</v>
      </c>
      <c r="L5070" s="2" t="s">
        <v>5221</v>
      </c>
      <c r="M5070" s="2" t="s">
        <v>5221</v>
      </c>
      <c r="N5070" s="2" t="s">
        <v>2317</v>
      </c>
      <c r="O5070" s="14">
        <v>13200</v>
      </c>
      <c r="P5070" s="14">
        <v>98.89</v>
      </c>
      <c r="Q5070" s="14">
        <v>146.52000000000001</v>
      </c>
      <c r="R5070" s="14">
        <v>222.71</v>
      </c>
      <c r="S5070" s="2" t="s">
        <v>195</v>
      </c>
      <c r="T5070" s="2">
        <v>1.41</v>
      </c>
      <c r="U5070" s="2">
        <v>66.099999999999994</v>
      </c>
      <c r="V5070" s="2">
        <v>66</v>
      </c>
      <c r="W5070" s="2" t="s">
        <v>7862</v>
      </c>
      <c r="X5070" s="2" t="s">
        <v>2897</v>
      </c>
      <c r="Y5070" s="2">
        <v>20064</v>
      </c>
      <c r="Z5070" s="19" t="str">
        <f>HYPERLINK("https://ssdweb.co/ssdweb/hd/Vision360.html?d=821126877&amp;zoomslide=1&amp;z=1821126877&amp;ISCONFIRM=0","VIDEO")</f>
        <v>VIDEO</v>
      </c>
      <c r="AA5070" s="19" t="str">
        <f>HYPERLINK("https://ssdweb.co/ssdweb/CERTH/621411016.pdf","CERTI")</f>
        <v>CERTI</v>
      </c>
    </row>
    <row r="5071" spans="1:27" ht="15" x14ac:dyDescent="0.25">
      <c r="A5071" s="2">
        <v>5066</v>
      </c>
      <c r="B5071" s="39">
        <v>925110368</v>
      </c>
      <c r="C5071" s="28" t="str">
        <f>HYPERLINK("https://pld.live/RapDetail.aspx?STONELIST=925110368","DNA")</f>
        <v>DNA</v>
      </c>
      <c r="D5071" s="18" t="s">
        <v>711</v>
      </c>
      <c r="E5071" s="18" t="s">
        <v>5128</v>
      </c>
      <c r="F5071" s="2" t="s">
        <v>7987</v>
      </c>
      <c r="G5071" s="2" t="s">
        <v>7322</v>
      </c>
      <c r="H5071" s="14">
        <v>1.52</v>
      </c>
      <c r="I5071" s="2" t="s">
        <v>267</v>
      </c>
      <c r="J5071" s="2" t="s">
        <v>6555</v>
      </c>
      <c r="K5071" s="2" t="s">
        <v>1452</v>
      </c>
      <c r="L5071" s="2" t="s">
        <v>5221</v>
      </c>
      <c r="M5071" s="2" t="s">
        <v>5221</v>
      </c>
      <c r="N5071" s="2" t="s">
        <v>2317</v>
      </c>
      <c r="O5071" s="14">
        <v>13200</v>
      </c>
      <c r="P5071" s="14">
        <v>98.89</v>
      </c>
      <c r="Q5071" s="14">
        <v>146.52000000000001</v>
      </c>
      <c r="R5071" s="14">
        <v>222.71</v>
      </c>
      <c r="S5071" s="2" t="s">
        <v>2377</v>
      </c>
      <c r="T5071" s="2">
        <v>1.36</v>
      </c>
      <c r="U5071" s="2">
        <v>68.400000000000006</v>
      </c>
      <c r="V5071" s="2">
        <v>65</v>
      </c>
      <c r="W5071" s="2" t="s">
        <v>7862</v>
      </c>
      <c r="X5071" s="2" t="s">
        <v>2897</v>
      </c>
      <c r="Y5071" s="2">
        <v>20064</v>
      </c>
      <c r="Z5071" s="19" t="str">
        <f>HYPERLINK("https://ssdweb.co/ssdweb/hd/Vision360.html?d=925110368&amp;zoomslide=1&amp;z=1925110368&amp;ISCONFIRM=0","VIDEO")</f>
        <v>VIDEO</v>
      </c>
      <c r="AA5071" s="19" t="str">
        <f>HYPERLINK("https://ssdweb.co/ssdweb/CERTH/611357022.pdf","CERTI")</f>
        <v>CERTI</v>
      </c>
    </row>
    <row r="5072" spans="1:27" ht="15" x14ac:dyDescent="0.25">
      <c r="A5072" s="2">
        <v>5067</v>
      </c>
      <c r="B5072" s="39">
        <v>922240070</v>
      </c>
      <c r="C5072" s="28" t="str">
        <f>HYPERLINK("https://pld.live/RapDetail.aspx?STONELIST=922240070","DNA")</f>
        <v>DNA</v>
      </c>
      <c r="D5072" s="18" t="s">
        <v>711</v>
      </c>
      <c r="E5072" s="18" t="s">
        <v>5128</v>
      </c>
      <c r="F5072" s="2" t="s">
        <v>5597</v>
      </c>
      <c r="G5072" s="2" t="s">
        <v>7322</v>
      </c>
      <c r="H5072" s="14">
        <v>1.52</v>
      </c>
      <c r="I5072" s="2" t="s">
        <v>267</v>
      </c>
      <c r="J5072" s="2" t="s">
        <v>3942</v>
      </c>
      <c r="K5072" s="2" t="s">
        <v>1452</v>
      </c>
      <c r="L5072" s="2" t="s">
        <v>5221</v>
      </c>
      <c r="M5072" s="2" t="s">
        <v>5221</v>
      </c>
      <c r="N5072" s="2" t="s">
        <v>2317</v>
      </c>
      <c r="O5072" s="14">
        <v>12500</v>
      </c>
      <c r="P5072" s="14">
        <v>97.91</v>
      </c>
      <c r="Q5072" s="14">
        <v>261.25</v>
      </c>
      <c r="R5072" s="14">
        <v>397.1</v>
      </c>
      <c r="S5072" s="2" t="s">
        <v>6040</v>
      </c>
      <c r="T5072" s="2">
        <v>1.39</v>
      </c>
      <c r="U5072" s="2">
        <v>68.7</v>
      </c>
      <c r="V5072" s="2">
        <v>67</v>
      </c>
      <c r="W5072" s="2" t="s">
        <v>7862</v>
      </c>
      <c r="X5072" s="2" t="s">
        <v>2897</v>
      </c>
      <c r="Y5072" s="2">
        <v>19000</v>
      </c>
      <c r="Z5072" s="19" t="str">
        <f>HYPERLINK("https://ssdweb.co/ssdweb/hd/Vision360.html?d=922240070&amp;zoomslide=1&amp;z=1922240070&amp;ISCONFIRM=0","VIDEO")</f>
        <v>VIDEO</v>
      </c>
      <c r="AA5072" s="19" t="str">
        <f>HYPERLINK("https://ssdweb.co/ssdweb/CERTH/5426185983.pdf","CERTI")</f>
        <v>CERTI</v>
      </c>
    </row>
    <row r="5073" spans="1:27" ht="15" x14ac:dyDescent="0.25">
      <c r="A5073" s="2">
        <v>5068</v>
      </c>
      <c r="B5073" s="39">
        <v>925930234</v>
      </c>
      <c r="C5073" s="28" t="str">
        <f>HYPERLINK("https://pld.live/RapDetail.aspx?STONELIST=925930234","DNA")</f>
        <v>DNA</v>
      </c>
      <c r="D5073" s="18" t="s">
        <v>711</v>
      </c>
      <c r="E5073" s="18" t="s">
        <v>2186</v>
      </c>
      <c r="F5073" s="2" t="s">
        <v>7987</v>
      </c>
      <c r="G5073" s="2" t="s">
        <v>7322</v>
      </c>
      <c r="H5073" s="14">
        <v>1.52</v>
      </c>
      <c r="I5073" s="2" t="s">
        <v>267</v>
      </c>
      <c r="J5073" s="2" t="s">
        <v>3942</v>
      </c>
      <c r="K5073" s="2" t="s">
        <v>1452</v>
      </c>
      <c r="L5073" s="2" t="s">
        <v>5221</v>
      </c>
      <c r="M5073" s="2" t="s">
        <v>5221</v>
      </c>
      <c r="N5073" s="2" t="s">
        <v>2317</v>
      </c>
      <c r="O5073" s="14">
        <v>12500</v>
      </c>
      <c r="P5073" s="14">
        <v>99.05</v>
      </c>
      <c r="Q5073" s="14">
        <v>118.75</v>
      </c>
      <c r="R5073" s="14">
        <v>180.5</v>
      </c>
      <c r="S5073" s="2" t="s">
        <v>6736</v>
      </c>
      <c r="T5073" s="2">
        <v>1.4</v>
      </c>
      <c r="U5073" s="2">
        <v>67.2</v>
      </c>
      <c r="V5073" s="2">
        <v>62</v>
      </c>
      <c r="W5073" s="2" t="s">
        <v>7862</v>
      </c>
      <c r="X5073" s="2" t="s">
        <v>2897</v>
      </c>
      <c r="Y5073" s="2">
        <v>19000</v>
      </c>
      <c r="Z5073" s="19" t="str">
        <f>HYPERLINK("https://ssdweb.co/ssdweb/hd/Vision360.html?d=925930234&amp;zoomslide=1&amp;z=1925930234&amp;ISCONFIRM=0","VIDEO")</f>
        <v>VIDEO</v>
      </c>
      <c r="AA5073" s="19" t="str">
        <f>HYPERLINK("https://ssdweb.co/ssdweb/CERTH/630447903.pdf","CERTI")</f>
        <v>CERTI</v>
      </c>
    </row>
    <row r="5074" spans="1:27" ht="15" x14ac:dyDescent="0.25">
      <c r="A5074" s="2">
        <v>5069</v>
      </c>
      <c r="B5074" s="39">
        <v>926200791</v>
      </c>
      <c r="C5074" s="28" t="str">
        <f>HYPERLINK("https://pld.live/RapDetail.aspx?STONELIST=926200791","DNA")</f>
        <v>DNA</v>
      </c>
      <c r="D5074" s="18" t="s">
        <v>711</v>
      </c>
      <c r="E5074" s="18" t="s">
        <v>5128</v>
      </c>
      <c r="F5074" s="2" t="s">
        <v>7987</v>
      </c>
      <c r="G5074" s="2" t="s">
        <v>7322</v>
      </c>
      <c r="H5074" s="14">
        <v>1.52</v>
      </c>
      <c r="I5074" s="2" t="s">
        <v>267</v>
      </c>
      <c r="J5074" s="2" t="s">
        <v>3942</v>
      </c>
      <c r="K5074" s="2" t="s">
        <v>1452</v>
      </c>
      <c r="L5074" s="2" t="s">
        <v>5221</v>
      </c>
      <c r="M5074" s="2" t="s">
        <v>5221</v>
      </c>
      <c r="N5074" s="2" t="s">
        <v>2317</v>
      </c>
      <c r="O5074" s="14">
        <v>12500</v>
      </c>
      <c r="P5074" s="14">
        <v>99.05</v>
      </c>
      <c r="Q5074" s="14">
        <v>118.75</v>
      </c>
      <c r="R5074" s="14">
        <v>180.5</v>
      </c>
      <c r="S5074" s="2" t="s">
        <v>5157</v>
      </c>
      <c r="T5074" s="2">
        <v>1.36</v>
      </c>
      <c r="U5074" s="2">
        <v>68.3</v>
      </c>
      <c r="V5074" s="2">
        <v>68</v>
      </c>
      <c r="W5074" s="2" t="s">
        <v>7862</v>
      </c>
      <c r="X5074" s="2" t="s">
        <v>2897</v>
      </c>
      <c r="Y5074" s="2">
        <v>19000</v>
      </c>
      <c r="Z5074" s="19" t="str">
        <f>HYPERLINK("https://ssdweb.co/ssdweb/hd/Vision360.html?d=926200791&amp;zoomslide=1&amp;z=1926200791&amp;ISCONFIRM=0","VIDEO")</f>
        <v>VIDEO</v>
      </c>
      <c r="AA5074" s="19" t="str">
        <f>HYPERLINK("https://ssdweb.co/ssdweb/CERTH/635426985.pdf","CERTI")</f>
        <v>CERTI</v>
      </c>
    </row>
    <row r="5075" spans="1:27" ht="15" x14ac:dyDescent="0.25">
      <c r="A5075" s="2">
        <v>5070</v>
      </c>
      <c r="B5075" s="39">
        <v>926990465</v>
      </c>
      <c r="C5075" s="28" t="str">
        <f>HYPERLINK("https://pld.live/RapDetail.aspx?STONELIST=926990465","DNA")</f>
        <v>DNA</v>
      </c>
      <c r="D5075" s="18" t="s">
        <v>711</v>
      </c>
      <c r="E5075" s="18" t="s">
        <v>2186</v>
      </c>
      <c r="F5075" s="2" t="s">
        <v>7987</v>
      </c>
      <c r="G5075" s="2" t="s">
        <v>7322</v>
      </c>
      <c r="H5075" s="14">
        <v>1.52</v>
      </c>
      <c r="I5075" s="2" t="s">
        <v>267</v>
      </c>
      <c r="J5075" s="2" t="s">
        <v>3942</v>
      </c>
      <c r="K5075" s="2" t="s">
        <v>1452</v>
      </c>
      <c r="L5075" s="2" t="s">
        <v>5221</v>
      </c>
      <c r="M5075" s="2" t="s">
        <v>5221</v>
      </c>
      <c r="N5075" s="2" t="s">
        <v>2317</v>
      </c>
      <c r="O5075" s="14">
        <v>12500</v>
      </c>
      <c r="P5075" s="14">
        <v>99.04</v>
      </c>
      <c r="Q5075" s="14">
        <v>120</v>
      </c>
      <c r="R5075" s="14">
        <v>182.4</v>
      </c>
      <c r="S5075" s="2" t="s">
        <v>1352</v>
      </c>
      <c r="T5075" s="2">
        <v>1.47</v>
      </c>
      <c r="U5075" s="2">
        <v>66.7</v>
      </c>
      <c r="V5075" s="2">
        <v>59</v>
      </c>
      <c r="W5075" s="2" t="s">
        <v>7862</v>
      </c>
      <c r="X5075" s="2" t="s">
        <v>2897</v>
      </c>
      <c r="Y5075" s="2">
        <v>19000</v>
      </c>
      <c r="Z5075" s="19" t="str">
        <f>HYPERLINK("https://ssdweb.co/ssdweb/hd/Vision360.html?d=926990465&amp;zoomslide=1&amp;z=1926990465&amp;ISCONFIRM=0","VIDEO")</f>
        <v>VIDEO</v>
      </c>
      <c r="AA5075" s="19" t="str">
        <f>HYPERLINK("https://ssdweb.co/ssdweb/CERTH/660440563.pdf","CERTI")</f>
        <v>CERTI</v>
      </c>
    </row>
    <row r="5076" spans="1:27" ht="15" x14ac:dyDescent="0.25">
      <c r="A5076" s="2">
        <v>5071</v>
      </c>
      <c r="B5076" s="39">
        <v>926740830</v>
      </c>
      <c r="C5076" s="28" t="str">
        <f>HYPERLINK("https://pld.live/RapDetail.aspx?STONELIST=926740830","DNA")</f>
        <v>DNA</v>
      </c>
      <c r="D5076" s="18" t="s">
        <v>711</v>
      </c>
      <c r="E5076" s="18" t="s">
        <v>5128</v>
      </c>
      <c r="F5076" s="2" t="s">
        <v>7987</v>
      </c>
      <c r="G5076" s="2" t="s">
        <v>7322</v>
      </c>
      <c r="H5076" s="14">
        <v>1.52</v>
      </c>
      <c r="I5076" s="2" t="s">
        <v>267</v>
      </c>
      <c r="J5076" s="2" t="s">
        <v>3942</v>
      </c>
      <c r="K5076" s="2" t="s">
        <v>1452</v>
      </c>
      <c r="L5076" s="2" t="s">
        <v>5221</v>
      </c>
      <c r="M5076" s="2" t="s">
        <v>5221</v>
      </c>
      <c r="N5076" s="2" t="s">
        <v>2317</v>
      </c>
      <c r="O5076" s="14">
        <v>12500</v>
      </c>
      <c r="P5076" s="14">
        <v>99.04</v>
      </c>
      <c r="Q5076" s="14">
        <v>120</v>
      </c>
      <c r="R5076" s="14">
        <v>182.4</v>
      </c>
      <c r="S5076" s="2" t="s">
        <v>7889</v>
      </c>
      <c r="T5076" s="2">
        <v>1.4</v>
      </c>
      <c r="U5076" s="2">
        <v>67.8</v>
      </c>
      <c r="V5076" s="2">
        <v>67</v>
      </c>
      <c r="W5076" s="2" t="s">
        <v>7862</v>
      </c>
      <c r="X5076" s="2" t="s">
        <v>2897</v>
      </c>
      <c r="Y5076" s="2">
        <v>19000</v>
      </c>
      <c r="Z5076" s="19" t="str">
        <f>HYPERLINK("https://ssdweb.co/ssdweb/hd/Vision360.html?d=926740830&amp;zoomslide=1&amp;z=1926740830&amp;ISCONFIRM=0","VIDEO")</f>
        <v>VIDEO</v>
      </c>
      <c r="AA5076" s="19" t="str">
        <f>HYPERLINK("https://ssdweb.co/ssdweb/CERTH/660490583.pdf","CERTI")</f>
        <v>CERTI</v>
      </c>
    </row>
    <row r="5077" spans="1:27" ht="15" x14ac:dyDescent="0.25">
      <c r="A5077" s="2">
        <v>5072</v>
      </c>
      <c r="B5077" s="39">
        <v>926990486</v>
      </c>
      <c r="C5077" s="28" t="str">
        <f>HYPERLINK("https://pld.live/RapDetail.aspx?STONELIST=926990486","DNA")</f>
        <v>DNA</v>
      </c>
      <c r="D5077" s="18" t="s">
        <v>711</v>
      </c>
      <c r="E5077" s="18" t="s">
        <v>2186</v>
      </c>
      <c r="F5077" s="2" t="s">
        <v>7987</v>
      </c>
      <c r="G5077" s="2" t="s">
        <v>7322</v>
      </c>
      <c r="H5077" s="14">
        <v>1.52</v>
      </c>
      <c r="I5077" s="2" t="s">
        <v>267</v>
      </c>
      <c r="J5077" s="2" t="s">
        <v>3942</v>
      </c>
      <c r="K5077" s="2" t="s">
        <v>1452</v>
      </c>
      <c r="L5077" s="2" t="s">
        <v>5221</v>
      </c>
      <c r="M5077" s="2" t="s">
        <v>5221</v>
      </c>
      <c r="N5077" s="2" t="s">
        <v>2317</v>
      </c>
      <c r="O5077" s="14">
        <v>12500</v>
      </c>
      <c r="P5077" s="14">
        <v>99.04</v>
      </c>
      <c r="Q5077" s="14">
        <v>120</v>
      </c>
      <c r="R5077" s="14">
        <v>182.4</v>
      </c>
      <c r="S5077" s="2" t="s">
        <v>6431</v>
      </c>
      <c r="T5077" s="2">
        <v>1.41</v>
      </c>
      <c r="U5077" s="2">
        <v>64.8</v>
      </c>
      <c r="V5077" s="2">
        <v>60</v>
      </c>
      <c r="W5077" s="2" t="s">
        <v>7862</v>
      </c>
      <c r="X5077" s="2" t="s">
        <v>2897</v>
      </c>
      <c r="Y5077" s="2">
        <v>19000</v>
      </c>
      <c r="Z5077" s="19" t="str">
        <f>HYPERLINK("https://ssdweb.co/ssdweb/hd/Vision360.html?d=926990486&amp;zoomslide=1&amp;z=1926990486&amp;ISCONFIRM=0","VIDEO")</f>
        <v>VIDEO</v>
      </c>
      <c r="AA5077" s="19" t="str">
        <f>HYPERLINK("https://ssdweb.co/ssdweb/CERTH/660490589.pdf","CERTI")</f>
        <v>CERTI</v>
      </c>
    </row>
    <row r="5078" spans="1:27" ht="15" x14ac:dyDescent="0.25">
      <c r="A5078" s="2">
        <v>5073</v>
      </c>
      <c r="B5078" s="39">
        <v>925621656</v>
      </c>
      <c r="C5078" s="28" t="str">
        <f>HYPERLINK("https://pld.live/RapDetail.aspx?STONELIST=925621656","DNA")</f>
        <v>DNA</v>
      </c>
      <c r="D5078" s="18" t="s">
        <v>711</v>
      </c>
      <c r="E5078" s="18" t="s">
        <v>5128</v>
      </c>
      <c r="F5078" s="2" t="s">
        <v>7987</v>
      </c>
      <c r="G5078" s="2" t="s">
        <v>7322</v>
      </c>
      <c r="H5078" s="14">
        <v>1.52</v>
      </c>
      <c r="I5078" s="2" t="s">
        <v>267</v>
      </c>
      <c r="J5078" s="2" t="s">
        <v>3942</v>
      </c>
      <c r="K5078" s="2" t="s">
        <v>1452</v>
      </c>
      <c r="L5078" s="2" t="s">
        <v>5221</v>
      </c>
      <c r="M5078" s="2" t="s">
        <v>5221</v>
      </c>
      <c r="N5078" s="2" t="s">
        <v>2317</v>
      </c>
      <c r="O5078" s="14">
        <v>12500</v>
      </c>
      <c r="P5078" s="14">
        <v>99.06</v>
      </c>
      <c r="Q5078" s="14">
        <v>117.5</v>
      </c>
      <c r="R5078" s="14">
        <v>178.6</v>
      </c>
      <c r="S5078" s="2" t="s">
        <v>1241</v>
      </c>
      <c r="T5078" s="2">
        <v>1.38</v>
      </c>
      <c r="U5078" s="2">
        <v>64.7</v>
      </c>
      <c r="V5078" s="2">
        <v>65</v>
      </c>
      <c r="W5078" s="2" t="s">
        <v>7862</v>
      </c>
      <c r="X5078" s="2" t="s">
        <v>2897</v>
      </c>
      <c r="Y5078" s="2">
        <v>19000</v>
      </c>
      <c r="Z5078" s="19" t="str">
        <f>HYPERLINK("https://ssdweb.co/ssdweb/hd/Vision360.html?d=925621656&amp;zoomslide=1&amp;z=1925621656&amp;ISCONFIRM=0","VIDEO")</f>
        <v>VIDEO</v>
      </c>
      <c r="AA5078" s="19" t="str">
        <f>HYPERLINK("https://ssdweb.co/ssdweb/CERTH/621475751.pdf","CERTI")</f>
        <v>CERTI</v>
      </c>
    </row>
    <row r="5079" spans="1:27" ht="15" x14ac:dyDescent="0.25">
      <c r="A5079" s="2">
        <v>5074</v>
      </c>
      <c r="B5079" s="39">
        <v>925621696</v>
      </c>
      <c r="C5079" s="28" t="str">
        <f>HYPERLINK("https://pld.live/RapDetail.aspx?STONELIST=925621696","DNA")</f>
        <v>DNA</v>
      </c>
      <c r="D5079" s="18" t="s">
        <v>711</v>
      </c>
      <c r="E5079" s="18" t="s">
        <v>5128</v>
      </c>
      <c r="F5079" s="2" t="s">
        <v>7987</v>
      </c>
      <c r="G5079" s="2" t="s">
        <v>7322</v>
      </c>
      <c r="H5079" s="14">
        <v>1.52</v>
      </c>
      <c r="I5079" s="2" t="s">
        <v>267</v>
      </c>
      <c r="J5079" s="2" t="s">
        <v>3942</v>
      </c>
      <c r="K5079" s="2" t="s">
        <v>1452</v>
      </c>
      <c r="L5079" s="2" t="s">
        <v>5221</v>
      </c>
      <c r="M5079" s="2" t="s">
        <v>5221</v>
      </c>
      <c r="N5079" s="2" t="s">
        <v>2317</v>
      </c>
      <c r="O5079" s="14">
        <v>12500</v>
      </c>
      <c r="P5079" s="14">
        <v>99.06</v>
      </c>
      <c r="Q5079" s="14">
        <v>117.5</v>
      </c>
      <c r="R5079" s="14">
        <v>178.6</v>
      </c>
      <c r="S5079" s="2" t="s">
        <v>3015</v>
      </c>
      <c r="T5079" s="2">
        <v>1.39</v>
      </c>
      <c r="U5079" s="2">
        <v>67.900000000000006</v>
      </c>
      <c r="V5079" s="2">
        <v>63</v>
      </c>
      <c r="W5079" s="2" t="s">
        <v>7862</v>
      </c>
      <c r="X5079" s="2" t="s">
        <v>2897</v>
      </c>
      <c r="Y5079" s="2">
        <v>19000</v>
      </c>
      <c r="Z5079" s="19" t="str">
        <f>HYPERLINK("https://ssdweb.co/ssdweb/hd/Vision360.html?d=925621696&amp;zoomslide=1&amp;z=1925621696&amp;ISCONFIRM=0","VIDEO")</f>
        <v>VIDEO</v>
      </c>
      <c r="AA5079" s="19" t="str">
        <f>HYPERLINK("https://ssdweb.co/ssdweb/CERTH/621496765.pdf","CERTI")</f>
        <v>CERTI</v>
      </c>
    </row>
    <row r="5080" spans="1:27" ht="15" x14ac:dyDescent="0.25">
      <c r="A5080" s="2">
        <v>5075</v>
      </c>
      <c r="B5080" s="39">
        <v>925520408</v>
      </c>
      <c r="C5080" s="28" t="str">
        <f>HYPERLINK("https://pld.live/RapDetail.aspx?STONELIST=925520408","DNA")</f>
        <v>DNA</v>
      </c>
      <c r="D5080" s="18" t="s">
        <v>711</v>
      </c>
      <c r="E5080" s="18" t="s">
        <v>5128</v>
      </c>
      <c r="F5080" s="2" t="s">
        <v>7987</v>
      </c>
      <c r="G5080" s="2" t="s">
        <v>7322</v>
      </c>
      <c r="H5080" s="14">
        <v>1.52</v>
      </c>
      <c r="I5080" s="2" t="s">
        <v>267</v>
      </c>
      <c r="J5080" s="2" t="s">
        <v>3942</v>
      </c>
      <c r="K5080" s="2" t="s">
        <v>1452</v>
      </c>
      <c r="L5080" s="2" t="s">
        <v>5221</v>
      </c>
      <c r="M5080" s="2" t="s">
        <v>5221</v>
      </c>
      <c r="N5080" s="2" t="s">
        <v>2317</v>
      </c>
      <c r="O5080" s="14">
        <v>12500</v>
      </c>
      <c r="P5080" s="14">
        <v>99.06</v>
      </c>
      <c r="Q5080" s="14">
        <v>117.5</v>
      </c>
      <c r="R5080" s="14">
        <v>178.6</v>
      </c>
      <c r="S5080" s="2" t="s">
        <v>7195</v>
      </c>
      <c r="T5080" s="2">
        <v>1.38</v>
      </c>
      <c r="U5080" s="2">
        <v>67.400000000000006</v>
      </c>
      <c r="V5080" s="2">
        <v>66</v>
      </c>
      <c r="W5080" s="2" t="s">
        <v>7862</v>
      </c>
      <c r="X5080" s="2" t="s">
        <v>2897</v>
      </c>
      <c r="Y5080" s="2">
        <v>19000</v>
      </c>
      <c r="Z5080" s="19" t="str">
        <f>HYPERLINK("https://ssdweb.co/ssdweb/hd/Vision360.html?d=925520408&amp;zoomslide=1&amp;z=1925520408&amp;ISCONFIRM=0","VIDEO")</f>
        <v>VIDEO</v>
      </c>
      <c r="AA5080" s="19" t="str">
        <f>HYPERLINK("https://ssdweb.co/ssdweb/CERTH/617485865.pdf","CERTI")</f>
        <v>CERTI</v>
      </c>
    </row>
    <row r="5081" spans="1:27" ht="15" x14ac:dyDescent="0.25">
      <c r="A5081" s="2">
        <v>5076</v>
      </c>
      <c r="B5081" s="39">
        <v>925542657</v>
      </c>
      <c r="C5081" s="28" t="str">
        <f>HYPERLINK("https://pld.live/RapDetail.aspx?STONELIST=925542657","DNA")</f>
        <v>DNA</v>
      </c>
      <c r="D5081" s="18" t="s">
        <v>711</v>
      </c>
      <c r="E5081" s="18" t="s">
        <v>5128</v>
      </c>
      <c r="F5081" s="2" t="s">
        <v>7987</v>
      </c>
      <c r="G5081" s="2" t="s">
        <v>7322</v>
      </c>
      <c r="H5081" s="14">
        <v>1.52</v>
      </c>
      <c r="I5081" s="2" t="s">
        <v>267</v>
      </c>
      <c r="J5081" s="2" t="s">
        <v>3942</v>
      </c>
      <c r="K5081" s="2" t="s">
        <v>1452</v>
      </c>
      <c r="L5081" s="2" t="s">
        <v>5221</v>
      </c>
      <c r="M5081" s="2" t="s">
        <v>5221</v>
      </c>
      <c r="N5081" s="2" t="s">
        <v>2317</v>
      </c>
      <c r="O5081" s="14">
        <v>12500</v>
      </c>
      <c r="P5081" s="14">
        <v>99.06</v>
      </c>
      <c r="Q5081" s="14">
        <v>117.5</v>
      </c>
      <c r="R5081" s="14">
        <v>178.6</v>
      </c>
      <c r="S5081" s="2" t="s">
        <v>5165</v>
      </c>
      <c r="T5081" s="2">
        <v>1.4</v>
      </c>
      <c r="U5081" s="2">
        <v>66.400000000000006</v>
      </c>
      <c r="V5081" s="2">
        <v>66</v>
      </c>
      <c r="W5081" s="2" t="s">
        <v>7862</v>
      </c>
      <c r="X5081" s="2" t="s">
        <v>2897</v>
      </c>
      <c r="Y5081" s="2">
        <v>19000</v>
      </c>
      <c r="Z5081" s="19" t="str">
        <f>HYPERLINK("https://ssdweb.co/ssdweb/hd/Vision360.html?d=925542657&amp;zoomslide=1&amp;z=1925542657&amp;ISCONFIRM=0","VIDEO")</f>
        <v>VIDEO</v>
      </c>
      <c r="AA5081" s="19" t="str">
        <f>HYPERLINK("https://ssdweb.co/ssdweb/CERTH/620448986.pdf","CERTI")</f>
        <v>CERTI</v>
      </c>
    </row>
    <row r="5082" spans="1:27" ht="15" x14ac:dyDescent="0.25">
      <c r="A5082" s="2">
        <v>5077</v>
      </c>
      <c r="B5082" s="39">
        <v>926171205</v>
      </c>
      <c r="C5082" s="28" t="str">
        <f>HYPERLINK("https://pld.live/RapDetail.aspx?STONELIST=926171205","DNA")</f>
        <v>DNA</v>
      </c>
      <c r="D5082" s="18" t="s">
        <v>711</v>
      </c>
      <c r="E5082" s="18" t="s">
        <v>5128</v>
      </c>
      <c r="F5082" s="2" t="s">
        <v>7987</v>
      </c>
      <c r="G5082" s="2" t="s">
        <v>7322</v>
      </c>
      <c r="H5082" s="14">
        <v>1.52</v>
      </c>
      <c r="I5082" s="2" t="s">
        <v>267</v>
      </c>
      <c r="J5082" s="2" t="s">
        <v>3942</v>
      </c>
      <c r="K5082" s="2" t="s">
        <v>1452</v>
      </c>
      <c r="L5082" s="2" t="s">
        <v>5221</v>
      </c>
      <c r="M5082" s="2" t="s">
        <v>5221</v>
      </c>
      <c r="N5082" s="2" t="s">
        <v>2317</v>
      </c>
      <c r="O5082" s="14">
        <v>12500</v>
      </c>
      <c r="P5082" s="14">
        <v>99.05</v>
      </c>
      <c r="Q5082" s="14">
        <v>118.75</v>
      </c>
      <c r="R5082" s="14">
        <v>180.5</v>
      </c>
      <c r="S5082" s="2" t="s">
        <v>1635</v>
      </c>
      <c r="T5082" s="2">
        <v>1.39</v>
      </c>
      <c r="U5082" s="2">
        <v>68.400000000000006</v>
      </c>
      <c r="V5082" s="2">
        <v>65</v>
      </c>
      <c r="W5082" s="2" t="s">
        <v>7862</v>
      </c>
      <c r="X5082" s="2" t="s">
        <v>2897</v>
      </c>
      <c r="Y5082" s="2">
        <v>19000</v>
      </c>
      <c r="Z5082" s="19" t="str">
        <f>HYPERLINK("https://ssdweb.co/ssdweb/hd/Vision360.html?d=926171205&amp;zoomslide=1&amp;z=1926171205&amp;ISCONFIRM=0","VIDEO")</f>
        <v>VIDEO</v>
      </c>
      <c r="AA5082" s="19" t="str">
        <f>HYPERLINK("https://ssdweb.co/ssdweb/CERTH/634472340.pdf","CERTI")</f>
        <v>CERTI</v>
      </c>
    </row>
    <row r="5083" spans="1:27" ht="15" x14ac:dyDescent="0.25">
      <c r="A5083" s="2">
        <v>5078</v>
      </c>
      <c r="B5083" s="39">
        <v>926020588</v>
      </c>
      <c r="C5083" s="28" t="str">
        <f>HYPERLINK("https://pld.live/RapDetail.aspx?STONELIST=926020588","DNA")</f>
        <v>DNA</v>
      </c>
      <c r="D5083" s="18" t="s">
        <v>711</v>
      </c>
      <c r="E5083" s="18" t="s">
        <v>5128</v>
      </c>
      <c r="F5083" s="2" t="s">
        <v>7987</v>
      </c>
      <c r="G5083" s="2" t="s">
        <v>7322</v>
      </c>
      <c r="H5083" s="14">
        <v>1.52</v>
      </c>
      <c r="I5083" s="2" t="s">
        <v>267</v>
      </c>
      <c r="J5083" s="2" t="s">
        <v>3942</v>
      </c>
      <c r="K5083" s="2" t="s">
        <v>1452</v>
      </c>
      <c r="L5083" s="2" t="s">
        <v>5221</v>
      </c>
      <c r="M5083" s="2" t="s">
        <v>5221</v>
      </c>
      <c r="N5083" s="2" t="s">
        <v>2317</v>
      </c>
      <c r="O5083" s="14">
        <v>12500</v>
      </c>
      <c r="P5083" s="14">
        <v>99.05</v>
      </c>
      <c r="Q5083" s="14">
        <v>118.75</v>
      </c>
      <c r="R5083" s="14">
        <v>180.5</v>
      </c>
      <c r="S5083" s="2" t="s">
        <v>1569</v>
      </c>
      <c r="T5083" s="2">
        <v>1.37</v>
      </c>
      <c r="U5083" s="2">
        <v>68</v>
      </c>
      <c r="V5083" s="2">
        <v>64</v>
      </c>
      <c r="W5083" s="2" t="s">
        <v>7862</v>
      </c>
      <c r="X5083" s="2" t="s">
        <v>2897</v>
      </c>
      <c r="Y5083" s="2">
        <v>19000</v>
      </c>
      <c r="Z5083" s="19" t="str">
        <f>HYPERLINK("https://ssdweb.co/ssdweb/hd/Vision360.html?d=926020588&amp;zoomslide=1&amp;z=1926020588&amp;ISCONFIRM=0","VIDEO")</f>
        <v>VIDEO</v>
      </c>
      <c r="AA5083" s="19" t="str">
        <f>HYPERLINK("https://ssdweb.co/ssdweb/CERTH/629481844.pdf","CERTI")</f>
        <v>CERTI</v>
      </c>
    </row>
    <row r="5084" spans="1:27" ht="15" x14ac:dyDescent="0.25">
      <c r="A5084" s="2">
        <v>5079</v>
      </c>
      <c r="B5084" s="39">
        <v>926170791</v>
      </c>
      <c r="C5084" s="28" t="str">
        <f>HYPERLINK("https://pld.live/RapDetail.aspx?STONELIST=926170791","DNA")</f>
        <v>DNA</v>
      </c>
      <c r="D5084" s="18" t="s">
        <v>711</v>
      </c>
      <c r="E5084" s="18" t="s">
        <v>5128</v>
      </c>
      <c r="F5084" s="2" t="s">
        <v>7987</v>
      </c>
      <c r="G5084" s="2" t="s">
        <v>7322</v>
      </c>
      <c r="H5084" s="14">
        <v>1.52</v>
      </c>
      <c r="I5084" s="2" t="s">
        <v>267</v>
      </c>
      <c r="J5084" s="2" t="s">
        <v>3942</v>
      </c>
      <c r="K5084" s="2" t="s">
        <v>1452</v>
      </c>
      <c r="L5084" s="2" t="s">
        <v>5221</v>
      </c>
      <c r="M5084" s="2" t="s">
        <v>5221</v>
      </c>
      <c r="N5084" s="2" t="s">
        <v>2317</v>
      </c>
      <c r="O5084" s="14">
        <v>12500</v>
      </c>
      <c r="P5084" s="14">
        <v>99.05</v>
      </c>
      <c r="Q5084" s="14">
        <v>118.75</v>
      </c>
      <c r="R5084" s="14">
        <v>180.5</v>
      </c>
      <c r="S5084" s="2" t="s">
        <v>7118</v>
      </c>
      <c r="T5084" s="2">
        <v>1.39</v>
      </c>
      <c r="U5084" s="2">
        <v>68</v>
      </c>
      <c r="V5084" s="2">
        <v>65</v>
      </c>
      <c r="W5084" s="2" t="s">
        <v>7862</v>
      </c>
      <c r="X5084" s="2" t="s">
        <v>2897</v>
      </c>
      <c r="Y5084" s="2">
        <v>19000</v>
      </c>
      <c r="Z5084" s="19" t="str">
        <f>HYPERLINK("https://ssdweb.co/ssdweb/hd/Vision360.html?d=926170791&amp;zoomslide=1&amp;z=1926170791&amp;ISCONFIRM=0","VIDEO")</f>
        <v>VIDEO</v>
      </c>
      <c r="AA5084" s="19" t="str">
        <f>HYPERLINK("https://ssdweb.co/ssdweb/CERTH/633490504.pdf","CERTI")</f>
        <v>CERTI</v>
      </c>
    </row>
    <row r="5085" spans="1:27" ht="15" x14ac:dyDescent="0.25">
      <c r="A5085" s="2">
        <v>5080</v>
      </c>
      <c r="B5085" s="39">
        <v>926041065</v>
      </c>
      <c r="C5085" s="28" t="str">
        <f>HYPERLINK("https://pld.live/RapDetail.aspx?STONELIST=926041065","DNA")</f>
        <v>DNA</v>
      </c>
      <c r="D5085" s="18" t="s">
        <v>711</v>
      </c>
      <c r="E5085" s="18" t="s">
        <v>5128</v>
      </c>
      <c r="F5085" s="2" t="s">
        <v>7987</v>
      </c>
      <c r="G5085" s="2" t="s">
        <v>7322</v>
      </c>
      <c r="H5085" s="14">
        <v>1.52</v>
      </c>
      <c r="I5085" s="2" t="s">
        <v>267</v>
      </c>
      <c r="J5085" s="2" t="s">
        <v>3942</v>
      </c>
      <c r="K5085" s="2" t="s">
        <v>1452</v>
      </c>
      <c r="L5085" s="2" t="s">
        <v>5221</v>
      </c>
      <c r="M5085" s="2" t="s">
        <v>5221</v>
      </c>
      <c r="N5085" s="2" t="s">
        <v>2317</v>
      </c>
      <c r="O5085" s="14">
        <v>12500</v>
      </c>
      <c r="P5085" s="14">
        <v>99.05</v>
      </c>
      <c r="Q5085" s="14">
        <v>118.75</v>
      </c>
      <c r="R5085" s="14">
        <v>180.5</v>
      </c>
      <c r="S5085" s="2" t="s">
        <v>1282</v>
      </c>
      <c r="T5085" s="2">
        <v>1.38</v>
      </c>
      <c r="U5085" s="2">
        <v>63</v>
      </c>
      <c r="V5085" s="2">
        <v>67</v>
      </c>
      <c r="W5085" s="2" t="s">
        <v>7862</v>
      </c>
      <c r="X5085" s="2" t="s">
        <v>2897</v>
      </c>
      <c r="Y5085" s="2">
        <v>19000</v>
      </c>
      <c r="Z5085" s="19" t="str">
        <f>HYPERLINK("https://ssdweb.co/ssdweb/hd/Vision360.html?d=926041065&amp;zoomslide=1&amp;z=1926041065&amp;ISCONFIRM=0","VIDEO")</f>
        <v>VIDEO</v>
      </c>
      <c r="AA5085" s="19" t="str">
        <f>HYPERLINK("https://ssdweb.co/ssdweb/CERTH/630447861.pdf","CERTI")</f>
        <v>CERTI</v>
      </c>
    </row>
    <row r="5086" spans="1:27" ht="15" x14ac:dyDescent="0.25">
      <c r="A5086" s="2">
        <v>5081</v>
      </c>
      <c r="B5086" s="39">
        <v>926100880</v>
      </c>
      <c r="C5086" s="28" t="str">
        <f>HYPERLINK("https://pld.live/RapDetail.aspx?STONELIST=926100880","DNA")</f>
        <v>DNA</v>
      </c>
      <c r="D5086" s="18" t="s">
        <v>711</v>
      </c>
      <c r="E5086" s="18" t="s">
        <v>5128</v>
      </c>
      <c r="F5086" s="2" t="s">
        <v>7987</v>
      </c>
      <c r="G5086" s="2" t="s">
        <v>7322</v>
      </c>
      <c r="H5086" s="14">
        <v>1.52</v>
      </c>
      <c r="I5086" s="2" t="s">
        <v>267</v>
      </c>
      <c r="J5086" s="2" t="s">
        <v>3942</v>
      </c>
      <c r="K5086" s="2" t="s">
        <v>1452</v>
      </c>
      <c r="L5086" s="2" t="s">
        <v>5721</v>
      </c>
      <c r="M5086" s="2" t="s">
        <v>5221</v>
      </c>
      <c r="N5086" s="2" t="s">
        <v>2317</v>
      </c>
      <c r="O5086" s="14">
        <v>12500</v>
      </c>
      <c r="P5086" s="14">
        <v>99.06</v>
      </c>
      <c r="Q5086" s="14">
        <v>117.5</v>
      </c>
      <c r="R5086" s="14">
        <v>178.6</v>
      </c>
      <c r="S5086" s="2" t="s">
        <v>6550</v>
      </c>
      <c r="T5086" s="2">
        <v>1.41</v>
      </c>
      <c r="U5086" s="2">
        <v>65.5</v>
      </c>
      <c r="V5086" s="2">
        <v>66</v>
      </c>
      <c r="W5086" s="2" t="s">
        <v>7862</v>
      </c>
      <c r="X5086" s="2" t="s">
        <v>2897</v>
      </c>
      <c r="Y5086" s="2">
        <v>19000</v>
      </c>
      <c r="Z5086" s="19" t="str">
        <f>HYPERLINK("https://ssdweb.co/ssdweb/hd/Vision360.html?d=926100880&amp;zoomslide=1&amp;z=1926100880&amp;ISCONFIRM=0","VIDEO")</f>
        <v>VIDEO</v>
      </c>
      <c r="AA5086" s="19" t="str">
        <f>HYPERLINK("https://ssdweb.co/ssdweb/CERTH/631464299.pdf","CERTI")</f>
        <v>CERTI</v>
      </c>
    </row>
    <row r="5087" spans="1:27" ht="15" x14ac:dyDescent="0.25">
      <c r="A5087" s="2">
        <v>5082</v>
      </c>
      <c r="B5087" s="39">
        <v>925801581</v>
      </c>
      <c r="C5087" s="28" t="str">
        <f>HYPERLINK("https://pld.live/RapDetail.aspx?STONELIST=925801581","DNA")</f>
        <v>DNA</v>
      </c>
      <c r="D5087" s="18" t="s">
        <v>711</v>
      </c>
      <c r="E5087" s="18" t="s">
        <v>5128</v>
      </c>
      <c r="F5087" s="2" t="s">
        <v>7987</v>
      </c>
      <c r="G5087" s="2" t="s">
        <v>7322</v>
      </c>
      <c r="H5087" s="14">
        <v>1.52</v>
      </c>
      <c r="I5087" s="2" t="s">
        <v>267</v>
      </c>
      <c r="J5087" s="2" t="s">
        <v>13</v>
      </c>
      <c r="K5087" s="2" t="s">
        <v>1452</v>
      </c>
      <c r="L5087" s="2" t="s">
        <v>5221</v>
      </c>
      <c r="M5087" s="2" t="s">
        <v>5221</v>
      </c>
      <c r="N5087" s="2" t="s">
        <v>2317</v>
      </c>
      <c r="O5087" s="14">
        <v>11600</v>
      </c>
      <c r="P5087" s="14">
        <v>99.04</v>
      </c>
      <c r="Q5087" s="14">
        <v>111.36</v>
      </c>
      <c r="R5087" s="14">
        <v>169.27</v>
      </c>
      <c r="S5087" s="2" t="s">
        <v>2134</v>
      </c>
      <c r="T5087" s="2">
        <v>1.44</v>
      </c>
      <c r="U5087" s="2">
        <v>64</v>
      </c>
      <c r="V5087" s="2">
        <v>66</v>
      </c>
      <c r="W5087" s="2" t="s">
        <v>7862</v>
      </c>
      <c r="X5087" s="2" t="s">
        <v>2897</v>
      </c>
      <c r="Y5087" s="2">
        <v>17632</v>
      </c>
      <c r="Z5087" s="19" t="str">
        <f>HYPERLINK("https://ssdweb.co/ssdweb/hd/Vision360.html?d=925801581&amp;zoomslide=1&amp;z=1925801581&amp;ISCONFIRM=0","VIDEO")</f>
        <v>VIDEO</v>
      </c>
      <c r="AA5087" s="19" t="str">
        <f>HYPERLINK("https://ssdweb.co/ssdweb/CERTH/626427602.pdf","CERTI")</f>
        <v>CERTI</v>
      </c>
    </row>
    <row r="5088" spans="1:27" ht="15" x14ac:dyDescent="0.25">
      <c r="A5088" s="2">
        <v>5083</v>
      </c>
      <c r="B5088" s="39">
        <v>925861556</v>
      </c>
      <c r="C5088" s="28" t="str">
        <f>HYPERLINK("https://pld.live/RapDetail.aspx?STONELIST=925861556","DNA")</f>
        <v>DNA</v>
      </c>
      <c r="D5088" s="18" t="s">
        <v>711</v>
      </c>
      <c r="E5088" s="18" t="s">
        <v>5128</v>
      </c>
      <c r="F5088" s="2" t="s">
        <v>7987</v>
      </c>
      <c r="G5088" s="2" t="s">
        <v>7322</v>
      </c>
      <c r="H5088" s="14">
        <v>1.52</v>
      </c>
      <c r="I5088" s="2" t="s">
        <v>267</v>
      </c>
      <c r="J5088" s="2" t="s">
        <v>13</v>
      </c>
      <c r="K5088" s="2" t="s">
        <v>1452</v>
      </c>
      <c r="L5088" s="2" t="s">
        <v>5221</v>
      </c>
      <c r="M5088" s="2" t="s">
        <v>5221</v>
      </c>
      <c r="N5088" s="2" t="s">
        <v>2317</v>
      </c>
      <c r="O5088" s="14">
        <v>11600</v>
      </c>
      <c r="P5088" s="14">
        <v>99.04</v>
      </c>
      <c r="Q5088" s="14">
        <v>111.36</v>
      </c>
      <c r="R5088" s="14">
        <v>169.27</v>
      </c>
      <c r="S5088" s="2" t="s">
        <v>3002</v>
      </c>
      <c r="T5088" s="2">
        <v>1.44</v>
      </c>
      <c r="U5088" s="2">
        <v>65.7</v>
      </c>
      <c r="V5088" s="2">
        <v>64</v>
      </c>
      <c r="W5088" s="2" t="s">
        <v>7862</v>
      </c>
      <c r="X5088" s="2" t="s">
        <v>2897</v>
      </c>
      <c r="Y5088" s="2">
        <v>17632</v>
      </c>
      <c r="Z5088" s="19" t="str">
        <f>HYPERLINK("https://ssdweb.co/ssdweb/hd/Vision360.html?d=925861556&amp;zoomslide=1&amp;z=1925861556&amp;ISCONFIRM=0","VIDEO")</f>
        <v>VIDEO</v>
      </c>
      <c r="AA5088" s="19" t="str">
        <f>HYPERLINK("https://ssdweb.co/ssdweb/CERTH/627497057.pdf","CERTI")</f>
        <v>CERTI</v>
      </c>
    </row>
    <row r="5089" spans="1:27" ht="15" x14ac:dyDescent="0.25">
      <c r="A5089" s="2">
        <v>5084</v>
      </c>
      <c r="B5089" s="39">
        <v>925930092</v>
      </c>
      <c r="C5089" s="28" t="str">
        <f>HYPERLINK("https://pld.live/RapDetail.aspx?STONELIST=925930092","DNA")</f>
        <v>DNA</v>
      </c>
      <c r="D5089" s="18" t="s">
        <v>711</v>
      </c>
      <c r="E5089" s="18" t="s">
        <v>2186</v>
      </c>
      <c r="F5089" s="2" t="s">
        <v>7987</v>
      </c>
      <c r="G5089" s="2" t="s">
        <v>7322</v>
      </c>
      <c r="H5089" s="14">
        <v>1.52</v>
      </c>
      <c r="I5089" s="2" t="s">
        <v>267</v>
      </c>
      <c r="J5089" s="2" t="s">
        <v>13</v>
      </c>
      <c r="K5089" s="2" t="s">
        <v>1452</v>
      </c>
      <c r="L5089" s="2" t="s">
        <v>5221</v>
      </c>
      <c r="M5089" s="2" t="s">
        <v>5221</v>
      </c>
      <c r="N5089" s="2" t="s">
        <v>2317</v>
      </c>
      <c r="O5089" s="14">
        <v>11600</v>
      </c>
      <c r="P5089" s="14">
        <v>99.03</v>
      </c>
      <c r="Q5089" s="14">
        <v>112.52</v>
      </c>
      <c r="R5089" s="14">
        <v>171.03</v>
      </c>
      <c r="S5089" s="2" t="s">
        <v>5670</v>
      </c>
      <c r="T5089" s="2">
        <v>1.36</v>
      </c>
      <c r="U5089" s="2">
        <v>65.7</v>
      </c>
      <c r="V5089" s="2">
        <v>66</v>
      </c>
      <c r="W5089" s="2" t="s">
        <v>7862</v>
      </c>
      <c r="X5089" s="2" t="s">
        <v>2897</v>
      </c>
      <c r="Y5089" s="2">
        <v>17632</v>
      </c>
      <c r="Z5089" s="19" t="str">
        <f>HYPERLINK("https://ssdweb.co/ssdweb/hd/Vision360.html?d=925930092&amp;zoomslide=1&amp;z=1925930092&amp;ISCONFIRM=0","VIDEO")</f>
        <v>VIDEO</v>
      </c>
      <c r="AA5089" s="19" t="str">
        <f>HYPERLINK("https://ssdweb.co/ssdweb/CERTH/629453043.pdf","CERTI")</f>
        <v>CERTI</v>
      </c>
    </row>
    <row r="5090" spans="1:27" ht="15" x14ac:dyDescent="0.25">
      <c r="A5090" s="2">
        <v>5085</v>
      </c>
      <c r="B5090" s="39">
        <v>926071479</v>
      </c>
      <c r="C5090" s="28" t="str">
        <f>HYPERLINK("https://pld.live/RapDetail.aspx?STONELIST=926071479","DNA")</f>
        <v>DNA</v>
      </c>
      <c r="D5090" s="18" t="s">
        <v>711</v>
      </c>
      <c r="E5090" s="18" t="s">
        <v>5128</v>
      </c>
      <c r="F5090" s="2" t="s">
        <v>7987</v>
      </c>
      <c r="G5090" s="2" t="s">
        <v>7322</v>
      </c>
      <c r="H5090" s="14">
        <v>1.52</v>
      </c>
      <c r="I5090" s="2" t="s">
        <v>267</v>
      </c>
      <c r="J5090" s="2" t="s">
        <v>13</v>
      </c>
      <c r="K5090" s="2" t="s">
        <v>1452</v>
      </c>
      <c r="L5090" s="2" t="s">
        <v>5221</v>
      </c>
      <c r="M5090" s="2" t="s">
        <v>5221</v>
      </c>
      <c r="N5090" s="2" t="s">
        <v>2317</v>
      </c>
      <c r="O5090" s="14">
        <v>11600</v>
      </c>
      <c r="P5090" s="14">
        <v>99.03</v>
      </c>
      <c r="Q5090" s="14">
        <v>112.52</v>
      </c>
      <c r="R5090" s="14">
        <v>171.03</v>
      </c>
      <c r="S5090" s="2" t="s">
        <v>1416</v>
      </c>
      <c r="T5090" s="2">
        <v>1.35</v>
      </c>
      <c r="U5090" s="2">
        <v>65.7</v>
      </c>
      <c r="V5090" s="2">
        <v>62</v>
      </c>
      <c r="W5090" s="2" t="s">
        <v>7862</v>
      </c>
      <c r="X5090" s="2" t="s">
        <v>2897</v>
      </c>
      <c r="Y5090" s="2">
        <v>17632</v>
      </c>
      <c r="Z5090" s="19" t="str">
        <f>HYPERLINK("https://ssdweb.co/ssdweb/hd/Vision360.html?d=926071479&amp;zoomslide=1&amp;z=1926071479&amp;ISCONFIRM=0","VIDEO")</f>
        <v>VIDEO</v>
      </c>
      <c r="AA5090" s="19" t="str">
        <f>HYPERLINK("https://ssdweb.co/ssdweb/CERTH/631430284.pdf","CERTI")</f>
        <v>CERTI</v>
      </c>
    </row>
    <row r="5091" spans="1:27" ht="15" x14ac:dyDescent="0.25">
      <c r="A5091" s="2">
        <v>5086</v>
      </c>
      <c r="B5091" s="39">
        <v>925981006</v>
      </c>
      <c r="C5091" s="28" t="str">
        <f>HYPERLINK("https://pld.live/RapDetail.aspx?STONELIST=925981006","DNA")</f>
        <v>DNA</v>
      </c>
      <c r="D5091" s="18" t="s">
        <v>711</v>
      </c>
      <c r="E5091" s="18" t="s">
        <v>5128</v>
      </c>
      <c r="F5091" s="2" t="s">
        <v>7987</v>
      </c>
      <c r="G5091" s="2" t="s">
        <v>7322</v>
      </c>
      <c r="H5091" s="14">
        <v>1.52</v>
      </c>
      <c r="I5091" s="2" t="s">
        <v>267</v>
      </c>
      <c r="J5091" s="2" t="s">
        <v>13</v>
      </c>
      <c r="K5091" s="2" t="s">
        <v>1452</v>
      </c>
      <c r="L5091" s="2" t="s">
        <v>5221</v>
      </c>
      <c r="M5091" s="2" t="s">
        <v>5221</v>
      </c>
      <c r="N5091" s="2" t="s">
        <v>2317</v>
      </c>
      <c r="O5091" s="14">
        <v>11600</v>
      </c>
      <c r="P5091" s="14">
        <v>99.03</v>
      </c>
      <c r="Q5091" s="14">
        <v>112.52</v>
      </c>
      <c r="R5091" s="14">
        <v>171.03</v>
      </c>
      <c r="S5091" s="2" t="s">
        <v>6442</v>
      </c>
      <c r="T5091" s="2">
        <v>1.36</v>
      </c>
      <c r="U5091" s="2">
        <v>63.3</v>
      </c>
      <c r="V5091" s="2">
        <v>68</v>
      </c>
      <c r="W5091" s="2" t="s">
        <v>7862</v>
      </c>
      <c r="X5091" s="2" t="s">
        <v>2897</v>
      </c>
      <c r="Y5091" s="2">
        <v>17632</v>
      </c>
      <c r="Z5091" s="19" t="str">
        <f>HYPERLINK("https://ssdweb.co/ssdweb/hd/Vision360.html?d=925981006&amp;zoomslide=1&amp;z=1925981006&amp;ISCONFIRM=0","VIDEO")</f>
        <v>VIDEO</v>
      </c>
      <c r="AA5091" s="19" t="str">
        <f>HYPERLINK("https://ssdweb.co/ssdweb/CERTH/629453028.pdf","CERTI")</f>
        <v>CERTI</v>
      </c>
    </row>
    <row r="5092" spans="1:27" ht="15" x14ac:dyDescent="0.25">
      <c r="A5092" s="2">
        <v>5087</v>
      </c>
      <c r="B5092" s="39">
        <v>925980906</v>
      </c>
      <c r="C5092" s="28" t="str">
        <f>HYPERLINK("https://pld.live/RapDetail.aspx?STONELIST=925980906","DNA")</f>
        <v>DNA</v>
      </c>
      <c r="D5092" s="18" t="s">
        <v>711</v>
      </c>
      <c r="E5092" s="18" t="s">
        <v>5128</v>
      </c>
      <c r="F5092" s="2" t="s">
        <v>7987</v>
      </c>
      <c r="G5092" s="2" t="s">
        <v>7322</v>
      </c>
      <c r="H5092" s="14">
        <v>1.52</v>
      </c>
      <c r="I5092" s="2" t="s">
        <v>267</v>
      </c>
      <c r="J5092" s="2" t="s">
        <v>13</v>
      </c>
      <c r="K5092" s="2" t="s">
        <v>1452</v>
      </c>
      <c r="L5092" s="2" t="s">
        <v>5221</v>
      </c>
      <c r="M5092" s="2" t="s">
        <v>5221</v>
      </c>
      <c r="N5092" s="2" t="s">
        <v>2317</v>
      </c>
      <c r="O5092" s="14">
        <v>11600</v>
      </c>
      <c r="P5092" s="14">
        <v>99.03</v>
      </c>
      <c r="Q5092" s="14">
        <v>112.52</v>
      </c>
      <c r="R5092" s="14">
        <v>171.03</v>
      </c>
      <c r="S5092" s="2" t="s">
        <v>6939</v>
      </c>
      <c r="T5092" s="2">
        <v>1.41</v>
      </c>
      <c r="U5092" s="2">
        <v>67.2</v>
      </c>
      <c r="V5092" s="2">
        <v>66</v>
      </c>
      <c r="W5092" s="2" t="s">
        <v>7862</v>
      </c>
      <c r="X5092" s="2" t="s">
        <v>2897</v>
      </c>
      <c r="Y5092" s="2">
        <v>17632</v>
      </c>
      <c r="Z5092" s="19" t="str">
        <f>HYPERLINK("https://ssdweb.co/ssdweb/hd/Vision360.html?d=925980906&amp;zoomslide=1&amp;z=1925980906&amp;ISCONFIRM=0","VIDEO")</f>
        <v>VIDEO</v>
      </c>
      <c r="AA5092" s="19" t="str">
        <f>HYPERLINK("https://ssdweb.co/ssdweb/CERTH/629453429.pdf","CERTI")</f>
        <v>CERTI</v>
      </c>
    </row>
    <row r="5093" spans="1:27" ht="15" x14ac:dyDescent="0.25">
      <c r="A5093" s="2">
        <v>5088</v>
      </c>
      <c r="B5093" s="39">
        <v>925890527</v>
      </c>
      <c r="C5093" s="28" t="str">
        <f>HYPERLINK("https://pld.live/RapDetail.aspx?STONELIST=925890527","DNA")</f>
        <v>DNA</v>
      </c>
      <c r="D5093" s="18" t="s">
        <v>711</v>
      </c>
      <c r="E5093" s="18" t="s">
        <v>5128</v>
      </c>
      <c r="F5093" s="2" t="s">
        <v>7987</v>
      </c>
      <c r="G5093" s="2" t="s">
        <v>7322</v>
      </c>
      <c r="H5093" s="14">
        <v>1.52</v>
      </c>
      <c r="I5093" s="2" t="s">
        <v>267</v>
      </c>
      <c r="J5093" s="2" t="s">
        <v>5144</v>
      </c>
      <c r="K5093" s="2" t="s">
        <v>1452</v>
      </c>
      <c r="L5093" s="2" t="s">
        <v>5221</v>
      </c>
      <c r="M5093" s="2" t="s">
        <v>5221</v>
      </c>
      <c r="N5093" s="2" t="s">
        <v>2317</v>
      </c>
      <c r="O5093" s="14">
        <v>9900</v>
      </c>
      <c r="P5093" s="14">
        <v>98.91</v>
      </c>
      <c r="Q5093" s="14">
        <v>107.91</v>
      </c>
      <c r="R5093" s="14">
        <v>164.02</v>
      </c>
      <c r="S5093" s="2" t="s">
        <v>220</v>
      </c>
      <c r="T5093" s="2">
        <v>1.37</v>
      </c>
      <c r="U5093" s="2">
        <v>64.5</v>
      </c>
      <c r="V5093" s="2">
        <v>66</v>
      </c>
      <c r="W5093" s="2" t="s">
        <v>7862</v>
      </c>
      <c r="X5093" s="2" t="s">
        <v>2897</v>
      </c>
      <c r="Y5093" s="2">
        <v>15048</v>
      </c>
      <c r="Z5093" s="19" t="str">
        <f>HYPERLINK("https://ssdweb.co/ssdweb/hd/Vision360.html?d=925890527&amp;zoomslide=1&amp;z=1925890527&amp;ISCONFIRM=0","VIDEO")</f>
        <v>VIDEO</v>
      </c>
      <c r="AA5093" s="19" t="str">
        <f>HYPERLINK("https://ssdweb.co/ssdweb/CERTH/628463269.pdf","CERTI")</f>
        <v>CERTI</v>
      </c>
    </row>
    <row r="5094" spans="1:27" ht="15" x14ac:dyDescent="0.25">
      <c r="A5094" s="2">
        <v>5089</v>
      </c>
      <c r="B5094" s="39">
        <v>925801084</v>
      </c>
      <c r="C5094" s="28" t="str">
        <f>HYPERLINK("https://pld.live/RapDetail.aspx?STONELIST=925801084","DNA")</f>
        <v>DNA</v>
      </c>
      <c r="D5094" s="18" t="s">
        <v>711</v>
      </c>
      <c r="E5094" s="18" t="s">
        <v>5128</v>
      </c>
      <c r="F5094" s="2" t="s">
        <v>7987</v>
      </c>
      <c r="G5094" s="2" t="s">
        <v>7322</v>
      </c>
      <c r="H5094" s="14">
        <v>1.52</v>
      </c>
      <c r="I5094" s="2" t="s">
        <v>267</v>
      </c>
      <c r="J5094" s="2" t="s">
        <v>5144</v>
      </c>
      <c r="K5094" s="2" t="s">
        <v>1452</v>
      </c>
      <c r="L5094" s="2" t="s">
        <v>5221</v>
      </c>
      <c r="M5094" s="2" t="s">
        <v>5221</v>
      </c>
      <c r="N5094" s="2" t="s">
        <v>2317</v>
      </c>
      <c r="O5094" s="14">
        <v>9900</v>
      </c>
      <c r="P5094" s="14">
        <v>98.93</v>
      </c>
      <c r="Q5094" s="14">
        <v>105.93</v>
      </c>
      <c r="R5094" s="14">
        <v>161.01</v>
      </c>
      <c r="S5094" s="2" t="s">
        <v>2463</v>
      </c>
      <c r="T5094" s="2">
        <v>1.42</v>
      </c>
      <c r="U5094" s="2">
        <v>67.3</v>
      </c>
      <c r="V5094" s="2">
        <v>66</v>
      </c>
      <c r="W5094" s="2" t="s">
        <v>7862</v>
      </c>
      <c r="X5094" s="2" t="s">
        <v>2897</v>
      </c>
      <c r="Y5094" s="2">
        <v>15048</v>
      </c>
      <c r="Z5094" s="19" t="str">
        <f>HYPERLINK("https://ssdweb.co/ssdweb/hd/Vision360.html?d=925801084&amp;zoomslide=1&amp;z=1925801084&amp;ISCONFIRM=0","VIDEO")</f>
        <v>VIDEO</v>
      </c>
      <c r="AA5094" s="19" t="str">
        <f>HYPERLINK("https://ssdweb.co/ssdweb/CERTH/626457445.pdf","CERTI")</f>
        <v>CERTI</v>
      </c>
    </row>
    <row r="5095" spans="1:27" ht="15" x14ac:dyDescent="0.25">
      <c r="A5095" s="2">
        <v>5090</v>
      </c>
      <c r="B5095" s="39">
        <v>925551940</v>
      </c>
      <c r="C5095" s="28" t="str">
        <f>HYPERLINK("https://pld.live/RapDetail.aspx?STONELIST=925551940","DNA")</f>
        <v>DNA</v>
      </c>
      <c r="D5095" s="18" t="s">
        <v>711</v>
      </c>
      <c r="E5095" s="18" t="s">
        <v>5128</v>
      </c>
      <c r="F5095" s="2" t="s">
        <v>7987</v>
      </c>
      <c r="G5095" s="2" t="s">
        <v>7322</v>
      </c>
      <c r="H5095" s="14">
        <v>1.52</v>
      </c>
      <c r="I5095" s="2" t="s">
        <v>267</v>
      </c>
      <c r="J5095" s="2" t="s">
        <v>5144</v>
      </c>
      <c r="K5095" s="2" t="s">
        <v>1452</v>
      </c>
      <c r="L5095" s="2" t="s">
        <v>5221</v>
      </c>
      <c r="M5095" s="2" t="s">
        <v>5221</v>
      </c>
      <c r="N5095" s="2" t="s">
        <v>2317</v>
      </c>
      <c r="O5095" s="14">
        <v>9900</v>
      </c>
      <c r="P5095" s="14">
        <v>98.93</v>
      </c>
      <c r="Q5095" s="14">
        <v>105.93</v>
      </c>
      <c r="R5095" s="14">
        <v>161.01</v>
      </c>
      <c r="S5095" s="2" t="s">
        <v>5480</v>
      </c>
      <c r="T5095" s="2">
        <v>1.36</v>
      </c>
      <c r="U5095" s="2">
        <v>68.3</v>
      </c>
      <c r="V5095" s="2">
        <v>67</v>
      </c>
      <c r="W5095" s="2" t="s">
        <v>7862</v>
      </c>
      <c r="X5095" s="2" t="s">
        <v>2897</v>
      </c>
      <c r="Y5095" s="2">
        <v>15048</v>
      </c>
      <c r="Z5095" s="19" t="str">
        <f>HYPERLINK("https://ssdweb.co/ssdweb/hd/Vision360.html?d=925551940&amp;zoomslide=1&amp;z=1925551940&amp;ISCONFIRM=0","VIDEO")</f>
        <v>VIDEO</v>
      </c>
      <c r="AA5095" s="19" t="str">
        <f>HYPERLINK("https://ssdweb.co/ssdweb/CERTH/620448896.pdf","CERTI")</f>
        <v>CERTI</v>
      </c>
    </row>
    <row r="5096" spans="1:27" ht="15" x14ac:dyDescent="0.25">
      <c r="A5096" s="2">
        <v>5091</v>
      </c>
      <c r="B5096" s="39">
        <v>925521265</v>
      </c>
      <c r="C5096" s="28" t="str">
        <f>HYPERLINK("https://pld.live/RapDetail.aspx?STONELIST=925521265","DNA")</f>
        <v>DNA</v>
      </c>
      <c r="D5096" s="18" t="s">
        <v>711</v>
      </c>
      <c r="E5096" s="18" t="s">
        <v>5128</v>
      </c>
      <c r="F5096" s="2" t="s">
        <v>7987</v>
      </c>
      <c r="G5096" s="2" t="s">
        <v>7322</v>
      </c>
      <c r="H5096" s="14">
        <v>1.52</v>
      </c>
      <c r="I5096" s="2" t="s">
        <v>267</v>
      </c>
      <c r="J5096" s="2" t="s">
        <v>5144</v>
      </c>
      <c r="K5096" s="2" t="s">
        <v>1452</v>
      </c>
      <c r="L5096" s="2" t="s">
        <v>5221</v>
      </c>
      <c r="M5096" s="2" t="s">
        <v>5221</v>
      </c>
      <c r="N5096" s="2" t="s">
        <v>2317</v>
      </c>
      <c r="O5096" s="14">
        <v>9900</v>
      </c>
      <c r="P5096" s="14">
        <v>98.93</v>
      </c>
      <c r="Q5096" s="14">
        <v>105.93</v>
      </c>
      <c r="R5096" s="14">
        <v>161.01</v>
      </c>
      <c r="S5096" s="2" t="s">
        <v>341</v>
      </c>
      <c r="T5096" s="2">
        <v>1.38</v>
      </c>
      <c r="U5096" s="2">
        <v>67.5</v>
      </c>
      <c r="V5096" s="2">
        <v>66</v>
      </c>
      <c r="W5096" s="2" t="s">
        <v>7862</v>
      </c>
      <c r="X5096" s="2" t="s">
        <v>2897</v>
      </c>
      <c r="Y5096" s="2">
        <v>15048</v>
      </c>
      <c r="Z5096" s="19" t="str">
        <f>HYPERLINK("https://ssdweb.co/ssdweb/hd/Vision360.html?d=925521265&amp;zoomslide=1&amp;z=1925521265&amp;ISCONFIRM=0","VIDEO")</f>
        <v>VIDEO</v>
      </c>
      <c r="AA5096" s="19" t="str">
        <f>HYPERLINK("https://ssdweb.co/ssdweb/CERTH/618480887.pdf","CERTI")</f>
        <v>CERTI</v>
      </c>
    </row>
    <row r="5097" spans="1:27" ht="15" x14ac:dyDescent="0.25">
      <c r="A5097" s="2">
        <v>5092</v>
      </c>
      <c r="B5097" s="39">
        <v>926020696</v>
      </c>
      <c r="C5097" s="28" t="str">
        <f>HYPERLINK("https://pld.live/RapDetail.aspx?STONELIST=926020696","DNA")</f>
        <v>DNA</v>
      </c>
      <c r="D5097" s="18" t="s">
        <v>711</v>
      </c>
      <c r="E5097" s="18" t="s">
        <v>5128</v>
      </c>
      <c r="F5097" s="2" t="s">
        <v>7987</v>
      </c>
      <c r="G5097" s="2" t="s">
        <v>7322</v>
      </c>
      <c r="H5097" s="14">
        <v>1.52</v>
      </c>
      <c r="I5097" s="2" t="s">
        <v>267</v>
      </c>
      <c r="J5097" s="2" t="s">
        <v>5144</v>
      </c>
      <c r="K5097" s="2" t="s">
        <v>1452</v>
      </c>
      <c r="L5097" s="2" t="s">
        <v>5221</v>
      </c>
      <c r="M5097" s="2" t="s">
        <v>5221</v>
      </c>
      <c r="N5097" s="2" t="s">
        <v>2317</v>
      </c>
      <c r="O5097" s="14">
        <v>9900</v>
      </c>
      <c r="P5097" s="14">
        <v>98.91</v>
      </c>
      <c r="Q5097" s="14">
        <v>107.91</v>
      </c>
      <c r="R5097" s="14">
        <v>164.02</v>
      </c>
      <c r="S5097" s="2" t="s">
        <v>1658</v>
      </c>
      <c r="T5097" s="2">
        <v>1.38</v>
      </c>
      <c r="U5097" s="2">
        <v>62.7</v>
      </c>
      <c r="V5097" s="2">
        <v>68</v>
      </c>
      <c r="W5097" s="2" t="s">
        <v>7862</v>
      </c>
      <c r="X5097" s="2" t="s">
        <v>2897</v>
      </c>
      <c r="Y5097" s="2">
        <v>15048</v>
      </c>
      <c r="Z5097" s="19" t="str">
        <f>HYPERLINK("https://ssdweb.co/ssdweb/hd/Vision360.html?d=926020696&amp;zoomslide=1&amp;z=1926020696&amp;ISCONFIRM=0","VIDEO")</f>
        <v>VIDEO</v>
      </c>
      <c r="AA5097" s="19" t="str">
        <f>HYPERLINK("https://ssdweb.co/ssdweb/CERTH/629497396.pdf","CERTI")</f>
        <v>CERTI</v>
      </c>
    </row>
    <row r="5098" spans="1:27" ht="15" x14ac:dyDescent="0.25">
      <c r="A5098" s="2">
        <v>5093</v>
      </c>
      <c r="B5098" s="39">
        <v>925730813</v>
      </c>
      <c r="C5098" s="28" t="str">
        <f>HYPERLINK("https://pld.live/RapDetail.aspx?STONELIST=925730813","DNA")</f>
        <v>DNA</v>
      </c>
      <c r="D5098" s="18" t="s">
        <v>711</v>
      </c>
      <c r="E5098" s="18" t="s">
        <v>5128</v>
      </c>
      <c r="F5098" s="2" t="s">
        <v>7987</v>
      </c>
      <c r="G5098" s="2" t="s">
        <v>7322</v>
      </c>
      <c r="H5098" s="14">
        <v>1.52</v>
      </c>
      <c r="I5098" s="2" t="s">
        <v>267</v>
      </c>
      <c r="J5098" s="2" t="s">
        <v>5144</v>
      </c>
      <c r="K5098" s="2" t="s">
        <v>1452</v>
      </c>
      <c r="L5098" s="2" t="s">
        <v>5221</v>
      </c>
      <c r="M5098" s="2" t="s">
        <v>5221</v>
      </c>
      <c r="N5098" s="2" t="s">
        <v>2317</v>
      </c>
      <c r="O5098" s="14">
        <v>9900</v>
      </c>
      <c r="P5098" s="14">
        <v>98.93</v>
      </c>
      <c r="Q5098" s="14">
        <v>105.93</v>
      </c>
      <c r="R5098" s="14">
        <v>161.01</v>
      </c>
      <c r="S5098" s="2" t="s">
        <v>3498</v>
      </c>
      <c r="T5098" s="2">
        <v>1.38</v>
      </c>
      <c r="U5098" s="2">
        <v>66.5</v>
      </c>
      <c r="V5098" s="2">
        <v>66</v>
      </c>
      <c r="W5098" s="2" t="s">
        <v>7862</v>
      </c>
      <c r="X5098" s="2" t="s">
        <v>2897</v>
      </c>
      <c r="Y5098" s="2">
        <v>15048</v>
      </c>
      <c r="Z5098" s="19" t="str">
        <f>HYPERLINK("https://ssdweb.co/ssdweb/hd/Vision360.html?d=925730813&amp;zoomslide=1&amp;z=1925730813&amp;ISCONFIRM=0","VIDEO")</f>
        <v>VIDEO</v>
      </c>
      <c r="AA5098" s="19" t="str">
        <f>HYPERLINK("https://ssdweb.co/ssdweb/CERTH/623493306.pdf","CERTI")</f>
        <v>CERTI</v>
      </c>
    </row>
    <row r="5099" spans="1:27" ht="15" x14ac:dyDescent="0.25">
      <c r="A5099" s="2">
        <v>5094</v>
      </c>
      <c r="B5099" s="39">
        <v>923800378</v>
      </c>
      <c r="C5099" s="28" t="str">
        <f>HYPERLINK("https://pld.live/RapDetail.aspx?STONELIST=923800378","DNA")</f>
        <v>DNA</v>
      </c>
      <c r="D5099" s="18" t="s">
        <v>711</v>
      </c>
      <c r="E5099" s="18" t="s">
        <v>5128</v>
      </c>
      <c r="F5099" s="2" t="s">
        <v>7987</v>
      </c>
      <c r="G5099" s="2" t="s">
        <v>7322</v>
      </c>
      <c r="H5099" s="14">
        <v>1.52</v>
      </c>
      <c r="I5099" s="2" t="s">
        <v>267</v>
      </c>
      <c r="J5099" s="2" t="s">
        <v>444</v>
      </c>
      <c r="K5099" s="2" t="s">
        <v>1452</v>
      </c>
      <c r="L5099" s="2" t="s">
        <v>5221</v>
      </c>
      <c r="M5099" s="2" t="s">
        <v>5221</v>
      </c>
      <c r="N5099" s="2" t="s">
        <v>2317</v>
      </c>
      <c r="O5099" s="14">
        <v>8100</v>
      </c>
      <c r="P5099" s="14">
        <v>98.78</v>
      </c>
      <c r="Q5099" s="14">
        <v>98.82</v>
      </c>
      <c r="R5099" s="14">
        <v>150.21</v>
      </c>
      <c r="S5099" s="2" t="s">
        <v>647</v>
      </c>
      <c r="T5099" s="2">
        <v>1.4</v>
      </c>
      <c r="U5099" s="2">
        <v>67.2</v>
      </c>
      <c r="V5099" s="2">
        <v>61.5</v>
      </c>
      <c r="W5099" s="2" t="s">
        <v>7862</v>
      </c>
      <c r="X5099" s="2" t="s">
        <v>2897</v>
      </c>
      <c r="Y5099" s="2">
        <v>12312</v>
      </c>
      <c r="Z5099" s="19" t="str">
        <f>HYPERLINK("https://ssdweb.co/ssdweb/hd/Vision360.html?d=923800378&amp;zoomslide=1&amp;z=1923800378&amp;ISCONFIRM=0","VIDEO")</f>
        <v>VIDEO</v>
      </c>
      <c r="AA5099" s="19" t="str">
        <f>HYPERLINK("https://ssdweb.co/ssdweb/CERTH/567357056.pdf","CERTI")</f>
        <v>CERTI</v>
      </c>
    </row>
    <row r="5100" spans="1:27" ht="15" x14ac:dyDescent="0.25">
      <c r="A5100" s="2">
        <v>5095</v>
      </c>
      <c r="B5100" s="39">
        <v>925860680</v>
      </c>
      <c r="C5100" s="28" t="str">
        <f>HYPERLINK("https://pld.live/RapDetail.aspx?STONELIST=925860680","DNA")</f>
        <v>DNA</v>
      </c>
      <c r="D5100" s="18" t="s">
        <v>711</v>
      </c>
      <c r="E5100" s="18" t="s">
        <v>5128</v>
      </c>
      <c r="F5100" s="2" t="s">
        <v>7987</v>
      </c>
      <c r="G5100" s="2" t="s">
        <v>7322</v>
      </c>
      <c r="H5100" s="14">
        <v>1.52</v>
      </c>
      <c r="I5100" s="2" t="s">
        <v>4761</v>
      </c>
      <c r="J5100" s="2" t="s">
        <v>7032</v>
      </c>
      <c r="K5100" s="2" t="s">
        <v>1452</v>
      </c>
      <c r="L5100" s="2" t="s">
        <v>5221</v>
      </c>
      <c r="M5100" s="2" t="s">
        <v>5221</v>
      </c>
      <c r="N5100" s="2" t="s">
        <v>2317</v>
      </c>
      <c r="O5100" s="14">
        <v>13200</v>
      </c>
      <c r="P5100" s="14">
        <v>97.38</v>
      </c>
      <c r="Q5100" s="14">
        <v>345.84</v>
      </c>
      <c r="R5100" s="14">
        <v>525.67999999999995</v>
      </c>
      <c r="S5100" s="2" t="s">
        <v>4637</v>
      </c>
      <c r="T5100" s="2">
        <v>1.38</v>
      </c>
      <c r="U5100" s="2">
        <v>68.099999999999994</v>
      </c>
      <c r="V5100" s="2">
        <v>67</v>
      </c>
      <c r="W5100" s="2" t="s">
        <v>7862</v>
      </c>
      <c r="X5100" s="2" t="s">
        <v>2897</v>
      </c>
      <c r="Y5100" s="2">
        <v>20064</v>
      </c>
      <c r="Z5100" s="19" t="str">
        <f>HYPERLINK("https://ssdweb.co/ssdweb/hd/Vision360.html?d=925860680&amp;zoomslide=1&amp;z=1925860680&amp;ISCONFIRM=0","VIDEO")</f>
        <v>VIDEO</v>
      </c>
      <c r="AA5100" s="19" t="str">
        <f>HYPERLINK("https://ssdweb.co/ssdweb/CERTH/626427586.pdf","CERTI")</f>
        <v>CERTI</v>
      </c>
    </row>
    <row r="5101" spans="1:27" ht="15" x14ac:dyDescent="0.25">
      <c r="A5101" s="2">
        <v>5096</v>
      </c>
      <c r="B5101" s="39">
        <v>926740380</v>
      </c>
      <c r="C5101" s="28" t="str">
        <f>HYPERLINK("https://pld.live/RapDetail.aspx?STONELIST=926740380","DNA")</f>
        <v>DNA</v>
      </c>
      <c r="D5101" s="18" t="s">
        <v>711</v>
      </c>
      <c r="E5101" s="18" t="s">
        <v>5128</v>
      </c>
      <c r="F5101" s="2" t="s">
        <v>7987</v>
      </c>
      <c r="G5101" s="2" t="s">
        <v>7322</v>
      </c>
      <c r="H5101" s="14">
        <v>1.52</v>
      </c>
      <c r="I5101" s="2" t="s">
        <v>4761</v>
      </c>
      <c r="J5101" s="2" t="s">
        <v>6555</v>
      </c>
      <c r="K5101" s="2" t="s">
        <v>1452</v>
      </c>
      <c r="L5101" s="2" t="s">
        <v>5221</v>
      </c>
      <c r="M5101" s="2" t="s">
        <v>5221</v>
      </c>
      <c r="N5101" s="2" t="s">
        <v>2317</v>
      </c>
      <c r="O5101" s="14">
        <v>12400</v>
      </c>
      <c r="P5101" s="14">
        <v>98.89</v>
      </c>
      <c r="Q5101" s="14">
        <v>137.63999999999999</v>
      </c>
      <c r="R5101" s="14">
        <v>209.21</v>
      </c>
      <c r="S5101" s="2" t="s">
        <v>6178</v>
      </c>
      <c r="T5101" s="2">
        <v>1.39</v>
      </c>
      <c r="U5101" s="2">
        <v>67.2</v>
      </c>
      <c r="V5101" s="2">
        <v>62</v>
      </c>
      <c r="W5101" s="2" t="s">
        <v>7862</v>
      </c>
      <c r="X5101" s="2" t="s">
        <v>2897</v>
      </c>
      <c r="Y5101" s="2">
        <v>18848</v>
      </c>
      <c r="Z5101" s="19" t="str">
        <f>HYPERLINK("https://ssdweb.co/ssdweb/hd/Vision360.html?d=926740380&amp;zoomslide=1&amp;z=1926740380&amp;ISCONFIRM=0","VIDEO")</f>
        <v>VIDEO</v>
      </c>
      <c r="AA5101" s="19" t="str">
        <f>HYPERLINK("https://ssdweb.co/ssdweb/CERTH/660490615.pdf","CERTI")</f>
        <v>CERTI</v>
      </c>
    </row>
    <row r="5102" spans="1:27" ht="15" x14ac:dyDescent="0.25">
      <c r="A5102" s="2">
        <v>5097</v>
      </c>
      <c r="B5102" s="39">
        <v>925720792</v>
      </c>
      <c r="C5102" s="28" t="str">
        <f>HYPERLINK("https://pld.live/RapDetail.aspx?STONELIST=925720792","DNA")</f>
        <v>DNA</v>
      </c>
      <c r="D5102" s="18" t="s">
        <v>711</v>
      </c>
      <c r="E5102" s="18" t="s">
        <v>5128</v>
      </c>
      <c r="F5102" s="2" t="s">
        <v>7987</v>
      </c>
      <c r="G5102" s="2" t="s">
        <v>7322</v>
      </c>
      <c r="H5102" s="14">
        <v>1.52</v>
      </c>
      <c r="I5102" s="2" t="s">
        <v>4761</v>
      </c>
      <c r="J5102" s="2" t="s">
        <v>6555</v>
      </c>
      <c r="K5102" s="2" t="s">
        <v>1452</v>
      </c>
      <c r="L5102" s="2" t="s">
        <v>5221</v>
      </c>
      <c r="M5102" s="2" t="s">
        <v>5221</v>
      </c>
      <c r="N5102" s="2" t="s">
        <v>2317</v>
      </c>
      <c r="O5102" s="14">
        <v>12400</v>
      </c>
      <c r="P5102" s="14">
        <v>98.91</v>
      </c>
      <c r="Q5102" s="14">
        <v>135.16</v>
      </c>
      <c r="R5102" s="14">
        <v>205.44</v>
      </c>
      <c r="S5102" s="2" t="s">
        <v>839</v>
      </c>
      <c r="T5102" s="2">
        <v>1.36</v>
      </c>
      <c r="U5102" s="2">
        <v>68.099999999999994</v>
      </c>
      <c r="V5102" s="2">
        <v>67</v>
      </c>
      <c r="W5102" s="2" t="s">
        <v>7862</v>
      </c>
      <c r="X5102" s="2" t="s">
        <v>2897</v>
      </c>
      <c r="Y5102" s="2">
        <v>18848</v>
      </c>
      <c r="Z5102" s="19" t="str">
        <f>HYPERLINK("https://ssdweb.co/ssdweb/hd/Vision360.html?d=925720792&amp;zoomslide=1&amp;z=1925720792&amp;ISCONFIRM=0","VIDEO")</f>
        <v>VIDEO</v>
      </c>
      <c r="AA5102" s="19" t="str">
        <f>HYPERLINK("https://ssdweb.co/ssdweb/CERTH/623446160.pdf","CERTI")</f>
        <v>CERTI</v>
      </c>
    </row>
    <row r="5103" spans="1:27" ht="15" x14ac:dyDescent="0.25">
      <c r="A5103" s="2">
        <v>5098</v>
      </c>
      <c r="B5103" s="39">
        <v>925861277</v>
      </c>
      <c r="C5103" s="28" t="str">
        <f>HYPERLINK("https://pld.live/RapDetail.aspx?STONELIST=925861277","DNA")</f>
        <v>DNA</v>
      </c>
      <c r="D5103" s="18" t="s">
        <v>711</v>
      </c>
      <c r="E5103" s="18" t="s">
        <v>5128</v>
      </c>
      <c r="F5103" s="2" t="s">
        <v>7987</v>
      </c>
      <c r="G5103" s="2" t="s">
        <v>7322</v>
      </c>
      <c r="H5103" s="14">
        <v>1.52</v>
      </c>
      <c r="I5103" s="2" t="s">
        <v>4761</v>
      </c>
      <c r="J5103" s="2" t="s">
        <v>3942</v>
      </c>
      <c r="K5103" s="2" t="s">
        <v>1452</v>
      </c>
      <c r="L5103" s="2" t="s">
        <v>5221</v>
      </c>
      <c r="M5103" s="2" t="s">
        <v>5221</v>
      </c>
      <c r="N5103" s="2" t="s">
        <v>2317</v>
      </c>
      <c r="O5103" s="14">
        <v>11600</v>
      </c>
      <c r="P5103" s="14">
        <v>99.03</v>
      </c>
      <c r="Q5103" s="14">
        <v>112.52</v>
      </c>
      <c r="R5103" s="14">
        <v>171.03</v>
      </c>
      <c r="S5103" s="2" t="s">
        <v>485</v>
      </c>
      <c r="T5103" s="2">
        <v>1.41</v>
      </c>
      <c r="U5103" s="2">
        <v>64.8</v>
      </c>
      <c r="V5103" s="2">
        <v>64</v>
      </c>
      <c r="W5103" s="2" t="s">
        <v>7862</v>
      </c>
      <c r="X5103" s="2" t="s">
        <v>2897</v>
      </c>
      <c r="Y5103" s="2">
        <v>17632</v>
      </c>
      <c r="Z5103" s="19" t="str">
        <f>HYPERLINK("https://ssdweb.co/ssdweb/hd/Vision360.html?d=925861277&amp;zoomslide=1&amp;z=1925861277&amp;ISCONFIRM=0","VIDEO")</f>
        <v>VIDEO</v>
      </c>
      <c r="AA5103" s="19" t="str">
        <f>HYPERLINK("https://ssdweb.co/ssdweb/CERTH/627473221.pdf","CERTI")</f>
        <v>CERTI</v>
      </c>
    </row>
    <row r="5104" spans="1:27" ht="15" x14ac:dyDescent="0.25">
      <c r="A5104" s="2">
        <v>5099</v>
      </c>
      <c r="B5104" s="39">
        <v>925731744</v>
      </c>
      <c r="C5104" s="28" t="str">
        <f>HYPERLINK("https://pld.live/RapDetail.aspx?STONELIST=925731744","DNA")</f>
        <v>DNA</v>
      </c>
      <c r="D5104" s="18" t="s">
        <v>711</v>
      </c>
      <c r="E5104" s="18" t="s">
        <v>5128</v>
      </c>
      <c r="F5104" s="2" t="s">
        <v>7987</v>
      </c>
      <c r="G5104" s="2" t="s">
        <v>7322</v>
      </c>
      <c r="H5104" s="14">
        <v>1.52</v>
      </c>
      <c r="I5104" s="2" t="s">
        <v>4761</v>
      </c>
      <c r="J5104" s="2" t="s">
        <v>3942</v>
      </c>
      <c r="K5104" s="2" t="s">
        <v>1452</v>
      </c>
      <c r="L5104" s="2" t="s">
        <v>5221</v>
      </c>
      <c r="M5104" s="2" t="s">
        <v>5221</v>
      </c>
      <c r="N5104" s="2" t="s">
        <v>2317</v>
      </c>
      <c r="O5104" s="14">
        <v>11600</v>
      </c>
      <c r="P5104" s="14">
        <v>99.03</v>
      </c>
      <c r="Q5104" s="14">
        <v>112.52</v>
      </c>
      <c r="R5104" s="14">
        <v>171.03</v>
      </c>
      <c r="S5104" s="2" t="s">
        <v>3249</v>
      </c>
      <c r="T5104" s="2">
        <v>1.37</v>
      </c>
      <c r="U5104" s="2">
        <v>65.599999999999994</v>
      </c>
      <c r="V5104" s="2">
        <v>63</v>
      </c>
      <c r="W5104" s="2" t="s">
        <v>7862</v>
      </c>
      <c r="X5104" s="2" t="s">
        <v>2897</v>
      </c>
      <c r="Y5104" s="2">
        <v>17632</v>
      </c>
      <c r="Z5104" s="19" t="str">
        <f>HYPERLINK("https://ssdweb.co/ssdweb/hd/Vision360.html?d=925731744&amp;zoomslide=1&amp;z=1925731744&amp;ISCONFIRM=0","VIDEO")</f>
        <v>VIDEO</v>
      </c>
      <c r="AA5104" s="19" t="str">
        <f>HYPERLINK("https://ssdweb.co/ssdweb/CERTH/625457973.pdf","CERTI")</f>
        <v>CERTI</v>
      </c>
    </row>
    <row r="5105" spans="1:27" ht="15" x14ac:dyDescent="0.25">
      <c r="A5105" s="2">
        <v>5100</v>
      </c>
      <c r="B5105" s="39">
        <v>926740890</v>
      </c>
      <c r="C5105" s="28" t="str">
        <f>HYPERLINK("https://pld.live/RapDetail.aspx?STONELIST=926740890","DNA")</f>
        <v>DNA</v>
      </c>
      <c r="D5105" s="18" t="s">
        <v>711</v>
      </c>
      <c r="E5105" s="18" t="s">
        <v>5128</v>
      </c>
      <c r="F5105" s="2" t="s">
        <v>7987</v>
      </c>
      <c r="G5105" s="2" t="s">
        <v>7322</v>
      </c>
      <c r="H5105" s="14">
        <v>1.52</v>
      </c>
      <c r="I5105" s="2" t="s">
        <v>4761</v>
      </c>
      <c r="J5105" s="2" t="s">
        <v>3942</v>
      </c>
      <c r="K5105" s="2" t="s">
        <v>1452</v>
      </c>
      <c r="L5105" s="2" t="s">
        <v>5221</v>
      </c>
      <c r="M5105" s="2" t="s">
        <v>5221</v>
      </c>
      <c r="N5105" s="2" t="s">
        <v>2317</v>
      </c>
      <c r="O5105" s="14">
        <v>11600</v>
      </c>
      <c r="P5105" s="14">
        <v>99.01</v>
      </c>
      <c r="Q5105" s="14">
        <v>114.84</v>
      </c>
      <c r="R5105" s="14">
        <v>174.56</v>
      </c>
      <c r="S5105" s="2" t="s">
        <v>2922</v>
      </c>
      <c r="T5105" s="2">
        <v>1.38</v>
      </c>
      <c r="U5105" s="2">
        <v>68</v>
      </c>
      <c r="V5105" s="2">
        <v>66</v>
      </c>
      <c r="W5105" s="2" t="s">
        <v>7862</v>
      </c>
      <c r="X5105" s="2" t="s">
        <v>2897</v>
      </c>
      <c r="Y5105" s="2">
        <v>17632</v>
      </c>
      <c r="Z5105" s="19" t="str">
        <f>HYPERLINK("https://ssdweb.co/ssdweb/hd/Vision360.html?d=926740890&amp;zoomslide=1&amp;z=1926740890&amp;ISCONFIRM=0","VIDEO")</f>
        <v>VIDEO</v>
      </c>
      <c r="AA5105" s="19" t="str">
        <f>HYPERLINK("https://ssdweb.co/ssdweb/CERTH/660490582.pdf","CERTI")</f>
        <v>CERTI</v>
      </c>
    </row>
    <row r="5106" spans="1:27" ht="15" x14ac:dyDescent="0.25">
      <c r="A5106" s="2">
        <v>5101</v>
      </c>
      <c r="B5106" s="39">
        <v>925520250</v>
      </c>
      <c r="C5106" s="28" t="str">
        <f>HYPERLINK("https://pld.live/RapDetail.aspx?STONELIST=925520250","DNA")</f>
        <v>DNA</v>
      </c>
      <c r="D5106" s="18" t="s">
        <v>711</v>
      </c>
      <c r="E5106" s="18" t="s">
        <v>5128</v>
      </c>
      <c r="F5106" s="2" t="s">
        <v>7987</v>
      </c>
      <c r="G5106" s="2" t="s">
        <v>7322</v>
      </c>
      <c r="H5106" s="14">
        <v>1.52</v>
      </c>
      <c r="I5106" s="2" t="s">
        <v>4761</v>
      </c>
      <c r="J5106" s="2" t="s">
        <v>3942</v>
      </c>
      <c r="K5106" s="2" t="s">
        <v>1452</v>
      </c>
      <c r="L5106" s="2" t="s">
        <v>5221</v>
      </c>
      <c r="M5106" s="2" t="s">
        <v>5221</v>
      </c>
      <c r="N5106" s="2" t="s">
        <v>2317</v>
      </c>
      <c r="O5106" s="14">
        <v>11600</v>
      </c>
      <c r="P5106" s="14">
        <v>99.03</v>
      </c>
      <c r="Q5106" s="14">
        <v>112.52</v>
      </c>
      <c r="R5106" s="14">
        <v>171.03</v>
      </c>
      <c r="S5106" s="2" t="s">
        <v>3241</v>
      </c>
      <c r="T5106" s="2">
        <v>1.37</v>
      </c>
      <c r="U5106" s="2">
        <v>68</v>
      </c>
      <c r="V5106" s="2">
        <v>64</v>
      </c>
      <c r="W5106" s="2" t="s">
        <v>7862</v>
      </c>
      <c r="X5106" s="2" t="s">
        <v>2897</v>
      </c>
      <c r="Y5106" s="2">
        <v>17632</v>
      </c>
      <c r="Z5106" s="19" t="str">
        <f>HYPERLINK("https://ssdweb.co/ssdweb/hd/Vision360.html?d=925520250&amp;zoomslide=1&amp;z=1925520250&amp;ISCONFIRM=0","VIDEO")</f>
        <v>VIDEO</v>
      </c>
      <c r="AA5106" s="19" t="str">
        <f>HYPERLINK("https://ssdweb.co/ssdweb/CERTH/617476119.pdf","CERTI")</f>
        <v>CERTI</v>
      </c>
    </row>
    <row r="5107" spans="1:27" ht="15" x14ac:dyDescent="0.25">
      <c r="A5107" s="2">
        <v>5102</v>
      </c>
      <c r="B5107" s="39">
        <v>925880261</v>
      </c>
      <c r="C5107" s="28" t="str">
        <f>HYPERLINK("https://pld.live/RapDetail.aspx?STONELIST=925880261","DNA")</f>
        <v>DNA</v>
      </c>
      <c r="D5107" s="18" t="s">
        <v>711</v>
      </c>
      <c r="E5107" s="18" t="s">
        <v>2186</v>
      </c>
      <c r="F5107" s="2" t="s">
        <v>5597</v>
      </c>
      <c r="G5107" s="2" t="s">
        <v>7322</v>
      </c>
      <c r="H5107" s="14">
        <v>1.52</v>
      </c>
      <c r="I5107" s="2" t="s">
        <v>4761</v>
      </c>
      <c r="J5107" s="2" t="s">
        <v>3942</v>
      </c>
      <c r="K5107" s="2" t="s">
        <v>1452</v>
      </c>
      <c r="L5107" s="2" t="s">
        <v>5221</v>
      </c>
      <c r="M5107" s="2" t="s">
        <v>5721</v>
      </c>
      <c r="N5107" s="2" t="s">
        <v>2317</v>
      </c>
      <c r="O5107" s="14">
        <v>11600</v>
      </c>
      <c r="P5107" s="14">
        <v>97.87</v>
      </c>
      <c r="Q5107" s="14">
        <v>247.08</v>
      </c>
      <c r="R5107" s="14">
        <v>375.56</v>
      </c>
      <c r="S5107" s="2" t="s">
        <v>648</v>
      </c>
      <c r="T5107" s="2">
        <v>1.57</v>
      </c>
      <c r="U5107" s="2">
        <v>68.3</v>
      </c>
      <c r="V5107" s="2">
        <v>65</v>
      </c>
      <c r="W5107" s="2" t="s">
        <v>7862</v>
      </c>
      <c r="X5107" s="2" t="s">
        <v>2897</v>
      </c>
      <c r="Y5107" s="2">
        <v>17632</v>
      </c>
      <c r="Z5107" s="19" t="str">
        <f>HYPERLINK("https://ssdweb.co/ssdweb/hd/Vision360.html?d=925880261&amp;zoomslide=1&amp;z=1925880261&amp;ISCONFIRM=0","VIDEO")</f>
        <v>VIDEO</v>
      </c>
      <c r="AA5107" s="19" t="str">
        <f>HYPERLINK("https://ssdweb.co/ssdweb/CERTH/1493087752.pdf","CERTI")</f>
        <v>CERTI</v>
      </c>
    </row>
    <row r="5108" spans="1:27" ht="15" x14ac:dyDescent="0.25">
      <c r="A5108" s="2">
        <v>5103</v>
      </c>
      <c r="B5108" s="39">
        <v>926901120</v>
      </c>
      <c r="C5108" s="28" t="str">
        <f>HYPERLINK("https://pld.live/RapDetail.aspx?STONELIST=926901120","DNA")</f>
        <v>DNA</v>
      </c>
      <c r="D5108" s="18" t="s">
        <v>711</v>
      </c>
      <c r="E5108" s="18" t="s">
        <v>5128</v>
      </c>
      <c r="F5108" s="2" t="s">
        <v>7987</v>
      </c>
      <c r="G5108" s="2" t="s">
        <v>7322</v>
      </c>
      <c r="H5108" s="14">
        <v>1.52</v>
      </c>
      <c r="I5108" s="2" t="s">
        <v>4761</v>
      </c>
      <c r="J5108" s="2" t="s">
        <v>13</v>
      </c>
      <c r="K5108" s="2" t="s">
        <v>1452</v>
      </c>
      <c r="L5108" s="2" t="s">
        <v>5221</v>
      </c>
      <c r="M5108" s="2" t="s">
        <v>5221</v>
      </c>
      <c r="N5108" s="2" t="s">
        <v>2317</v>
      </c>
      <c r="O5108" s="14">
        <v>10800</v>
      </c>
      <c r="P5108" s="14">
        <v>98.98</v>
      </c>
      <c r="Q5108" s="14">
        <v>110.16</v>
      </c>
      <c r="R5108" s="14">
        <v>167.44</v>
      </c>
      <c r="S5108" s="2" t="s">
        <v>3102</v>
      </c>
      <c r="T5108" s="2">
        <v>1.4</v>
      </c>
      <c r="U5108" s="2">
        <v>64.8</v>
      </c>
      <c r="V5108" s="2">
        <v>65</v>
      </c>
      <c r="W5108" s="2" t="s">
        <v>7862</v>
      </c>
      <c r="X5108" s="2" t="s">
        <v>2897</v>
      </c>
      <c r="Y5108" s="2">
        <v>16416</v>
      </c>
      <c r="Z5108" s="19" t="str">
        <f>HYPERLINK("https://ssdweb.co/ssdweb/hd/Vision360.html?d=926901120&amp;zoomslide=1&amp;z=1926901120&amp;ISCONFIRM=0","VIDEO")</f>
        <v>VIDEO</v>
      </c>
      <c r="AA5108" s="19" t="str">
        <f>HYPERLINK("https://ssdweb.co/ssdweb/CERTH/659436953.pdf","CERTI")</f>
        <v>CERTI</v>
      </c>
    </row>
    <row r="5109" spans="1:27" ht="15" x14ac:dyDescent="0.25">
      <c r="A5109" s="2">
        <v>5104</v>
      </c>
      <c r="B5109" s="39">
        <v>926171452</v>
      </c>
      <c r="C5109" s="28" t="str">
        <f>HYPERLINK("https://pld.live/RapDetail.aspx?STONELIST=926171452","DNA")</f>
        <v>DNA</v>
      </c>
      <c r="D5109" s="18" t="s">
        <v>711</v>
      </c>
      <c r="E5109" s="18" t="s">
        <v>5128</v>
      </c>
      <c r="F5109" s="2" t="s">
        <v>7987</v>
      </c>
      <c r="G5109" s="2" t="s">
        <v>7322</v>
      </c>
      <c r="H5109" s="14">
        <v>1.52</v>
      </c>
      <c r="I5109" s="2" t="s">
        <v>4761</v>
      </c>
      <c r="J5109" s="2" t="s">
        <v>13</v>
      </c>
      <c r="K5109" s="2" t="s">
        <v>1452</v>
      </c>
      <c r="L5109" s="2" t="s">
        <v>5221</v>
      </c>
      <c r="M5109" s="2" t="s">
        <v>5221</v>
      </c>
      <c r="N5109" s="2" t="s">
        <v>2317</v>
      </c>
      <c r="O5109" s="14">
        <v>10800</v>
      </c>
      <c r="P5109" s="14">
        <v>98.99</v>
      </c>
      <c r="Q5109" s="14">
        <v>109.08</v>
      </c>
      <c r="R5109" s="14">
        <v>165.8</v>
      </c>
      <c r="S5109" s="2" t="s">
        <v>719</v>
      </c>
      <c r="T5109" s="2">
        <v>1.38</v>
      </c>
      <c r="U5109" s="2">
        <v>67.599999999999994</v>
      </c>
      <c r="V5109" s="2">
        <v>64</v>
      </c>
      <c r="W5109" s="2" t="s">
        <v>7862</v>
      </c>
      <c r="X5109" s="2" t="s">
        <v>2897</v>
      </c>
      <c r="Y5109" s="2">
        <v>16416</v>
      </c>
      <c r="Z5109" s="19" t="str">
        <f>HYPERLINK("https://ssdweb.co/ssdweb/hd/Vision360.html?d=926171452&amp;zoomslide=1&amp;z=1926171452&amp;ISCONFIRM=0","VIDEO")</f>
        <v>VIDEO</v>
      </c>
      <c r="AA5109" s="19" t="str">
        <f>HYPERLINK("https://ssdweb.co/ssdweb/CERTH/634431394.pdf","CERTI")</f>
        <v>CERTI</v>
      </c>
    </row>
    <row r="5110" spans="1:27" ht="15" x14ac:dyDescent="0.25">
      <c r="A5110" s="2">
        <v>5105</v>
      </c>
      <c r="B5110" s="39">
        <v>925521944</v>
      </c>
      <c r="C5110" s="28" t="str">
        <f>HYPERLINK("https://pld.live/RapDetail.aspx?STONELIST=925521944","DNA")</f>
        <v>DNA</v>
      </c>
      <c r="D5110" s="18" t="s">
        <v>711</v>
      </c>
      <c r="E5110" s="18" t="s">
        <v>5128</v>
      </c>
      <c r="F5110" s="2" t="s">
        <v>7987</v>
      </c>
      <c r="G5110" s="2" t="s">
        <v>7322</v>
      </c>
      <c r="H5110" s="14">
        <v>1.52</v>
      </c>
      <c r="I5110" s="2" t="s">
        <v>4761</v>
      </c>
      <c r="J5110" s="2" t="s">
        <v>5144</v>
      </c>
      <c r="K5110" s="2" t="s">
        <v>1452</v>
      </c>
      <c r="L5110" s="2" t="s">
        <v>5221</v>
      </c>
      <c r="M5110" s="2" t="s">
        <v>5221</v>
      </c>
      <c r="N5110" s="2" t="s">
        <v>2317</v>
      </c>
      <c r="O5110" s="14">
        <v>9300</v>
      </c>
      <c r="P5110" s="14">
        <v>98.94</v>
      </c>
      <c r="Q5110" s="14">
        <v>98.58</v>
      </c>
      <c r="R5110" s="14">
        <v>149.84</v>
      </c>
      <c r="S5110" s="2" t="s">
        <v>4580</v>
      </c>
      <c r="T5110" s="2">
        <v>1.36</v>
      </c>
      <c r="U5110" s="2">
        <v>68</v>
      </c>
      <c r="V5110" s="2">
        <v>66</v>
      </c>
      <c r="W5110" s="2" t="s">
        <v>7862</v>
      </c>
      <c r="X5110" s="2" t="s">
        <v>2897</v>
      </c>
      <c r="Y5110" s="2">
        <v>14136</v>
      </c>
      <c r="Z5110" s="19" t="str">
        <f>HYPERLINK("https://ssdweb.co/ssdweb/hd/Vision360.html?d=925521944&amp;zoomslide=1&amp;z=1925521944&amp;ISCONFIRM=0","VIDEO")</f>
        <v>VIDEO</v>
      </c>
      <c r="AA5110" s="19" t="str">
        <f>HYPERLINK("https://ssdweb.co/ssdweb/CERTH/620448976.pdf","CERTI")</f>
        <v>CERTI</v>
      </c>
    </row>
    <row r="5111" spans="1:27" ht="15" x14ac:dyDescent="0.25">
      <c r="A5111" s="2">
        <v>5106</v>
      </c>
      <c r="B5111" s="39">
        <v>926040919</v>
      </c>
      <c r="C5111" s="28" t="str">
        <f>HYPERLINK("https://pld.live/RapDetail.aspx?STONELIST=926040919","DNA")</f>
        <v>DNA</v>
      </c>
      <c r="D5111" s="18" t="s">
        <v>711</v>
      </c>
      <c r="E5111" s="18" t="s">
        <v>5128</v>
      </c>
      <c r="F5111" s="2" t="s">
        <v>7987</v>
      </c>
      <c r="G5111" s="2" t="s">
        <v>7322</v>
      </c>
      <c r="H5111" s="14">
        <v>1.52</v>
      </c>
      <c r="I5111" s="2" t="s">
        <v>4761</v>
      </c>
      <c r="J5111" s="2" t="s">
        <v>5144</v>
      </c>
      <c r="K5111" s="2" t="s">
        <v>1452</v>
      </c>
      <c r="L5111" s="2" t="s">
        <v>5221</v>
      </c>
      <c r="M5111" s="2" t="s">
        <v>5221</v>
      </c>
      <c r="N5111" s="2" t="s">
        <v>2317</v>
      </c>
      <c r="O5111" s="14">
        <v>9300</v>
      </c>
      <c r="P5111" s="14">
        <v>98.91</v>
      </c>
      <c r="Q5111" s="14">
        <v>101.37</v>
      </c>
      <c r="R5111" s="14">
        <v>154.08000000000001</v>
      </c>
      <c r="S5111" s="2" t="s">
        <v>7464</v>
      </c>
      <c r="T5111" s="2">
        <v>1.42</v>
      </c>
      <c r="U5111" s="2">
        <v>67.3</v>
      </c>
      <c r="V5111" s="2">
        <v>63</v>
      </c>
      <c r="W5111" s="2" t="s">
        <v>7862</v>
      </c>
      <c r="X5111" s="2" t="s">
        <v>2897</v>
      </c>
      <c r="Y5111" s="2">
        <v>14136</v>
      </c>
      <c r="Z5111" s="19" t="str">
        <f>HYPERLINK("https://ssdweb.co/ssdweb/hd/Vision360.html?d=926040919&amp;zoomslide=1&amp;z=1926040919&amp;ISCONFIRM=0","VIDEO")</f>
        <v>VIDEO</v>
      </c>
      <c r="AA5111" s="19" t="str">
        <f>HYPERLINK("https://ssdweb.co/ssdweb/CERTH/630447704.pdf","CERTI")</f>
        <v>CERTI</v>
      </c>
    </row>
    <row r="5112" spans="1:27" ht="15" x14ac:dyDescent="0.25">
      <c r="A5112" s="2">
        <v>5107</v>
      </c>
      <c r="B5112" s="39">
        <v>831010615</v>
      </c>
      <c r="C5112" s="28" t="str">
        <f>HYPERLINK("https://pld.live/RapDetail.aspx?STONELIST=831010615","DNA")</f>
        <v>DNA</v>
      </c>
      <c r="D5112" s="18" t="s">
        <v>711</v>
      </c>
      <c r="E5112" s="18" t="s">
        <v>5128</v>
      </c>
      <c r="F5112" s="2" t="s">
        <v>7987</v>
      </c>
      <c r="G5112" s="2" t="s">
        <v>7322</v>
      </c>
      <c r="H5112" s="14">
        <v>1.52</v>
      </c>
      <c r="I5112" s="2" t="s">
        <v>4761</v>
      </c>
      <c r="J5112" s="2" t="s">
        <v>2613</v>
      </c>
      <c r="K5112" s="2" t="s">
        <v>1452</v>
      </c>
      <c r="L5112" s="2" t="s">
        <v>5221</v>
      </c>
      <c r="M5112" s="2" t="s">
        <v>5221</v>
      </c>
      <c r="N5112" s="2" t="s">
        <v>2317</v>
      </c>
      <c r="O5112" s="14">
        <v>6300</v>
      </c>
      <c r="P5112" s="14">
        <v>98.56</v>
      </c>
      <c r="Q5112" s="14">
        <v>90.72</v>
      </c>
      <c r="R5112" s="14">
        <v>137.88999999999999</v>
      </c>
      <c r="S5112" s="2" t="s">
        <v>1201</v>
      </c>
      <c r="T5112" s="2">
        <v>1.41</v>
      </c>
      <c r="U5112" s="2">
        <v>68.5</v>
      </c>
      <c r="V5112" s="2">
        <v>65</v>
      </c>
      <c r="W5112" s="2" t="s">
        <v>7862</v>
      </c>
      <c r="X5112" s="2" t="s">
        <v>2897</v>
      </c>
      <c r="Y5112" s="2">
        <v>9576</v>
      </c>
      <c r="Z5112" s="19" t="str">
        <f>HYPERLINK("https://ssdweb.co/ssdweb/hd/Vision360.html?d=831010615&amp;zoomslide=1&amp;z=1831010615&amp;ISCONFIRM=0","VIDEO")</f>
        <v>VIDEO</v>
      </c>
      <c r="AA5112" s="19" t="str">
        <f>HYPERLINK("https://ssdweb.co/ssdweb/CERTH/549214237.pdf","CERTI")</f>
        <v>CERTI</v>
      </c>
    </row>
    <row r="5113" spans="1:27" ht="15" x14ac:dyDescent="0.25">
      <c r="A5113" s="2">
        <v>5108</v>
      </c>
      <c r="B5113" s="39">
        <v>831010818</v>
      </c>
      <c r="C5113" s="28" t="str">
        <f>HYPERLINK("https://pld.live/RapDetail.aspx?STONELIST=831010818","DNA")</f>
        <v>DNA</v>
      </c>
      <c r="D5113" s="18" t="s">
        <v>711</v>
      </c>
      <c r="E5113" s="18" t="s">
        <v>5128</v>
      </c>
      <c r="F5113" s="2" t="s">
        <v>7987</v>
      </c>
      <c r="G5113" s="2" t="s">
        <v>7322</v>
      </c>
      <c r="H5113" s="14">
        <v>1.52</v>
      </c>
      <c r="I5113" s="2" t="s">
        <v>4699</v>
      </c>
      <c r="J5113" s="2" t="s">
        <v>13</v>
      </c>
      <c r="K5113" s="2" t="s">
        <v>1452</v>
      </c>
      <c r="L5113" s="2" t="s">
        <v>5221</v>
      </c>
      <c r="M5113" s="2" t="s">
        <v>5221</v>
      </c>
      <c r="N5113" s="2" t="s">
        <v>2317</v>
      </c>
      <c r="O5113" s="14">
        <v>10200</v>
      </c>
      <c r="P5113" s="14">
        <v>99.02</v>
      </c>
      <c r="Q5113" s="14">
        <v>99.96</v>
      </c>
      <c r="R5113" s="14">
        <v>151.94</v>
      </c>
      <c r="S5113" s="2" t="s">
        <v>3697</v>
      </c>
      <c r="T5113" s="2">
        <v>1.38</v>
      </c>
      <c r="U5113" s="2">
        <v>67</v>
      </c>
      <c r="V5113" s="2">
        <v>66</v>
      </c>
      <c r="W5113" s="2" t="s">
        <v>4336</v>
      </c>
      <c r="X5113" s="2" t="s">
        <v>2897</v>
      </c>
      <c r="Y5113" s="2">
        <v>15504</v>
      </c>
      <c r="Z5113" s="19" t="str">
        <f>HYPERLINK("https://ssdweb.co/ssdweb/hd/Vision360.html?d=831010818&amp;zoomslide=1&amp;z=1831010818&amp;ISCONFIRM=0","VIDEO")</f>
        <v>VIDEO</v>
      </c>
      <c r="AA5113" s="19" t="str">
        <f>HYPERLINK("https://ssdweb.co/ssdweb/CERTH/598323191.pdf","CERTI")</f>
        <v>CERTI</v>
      </c>
    </row>
    <row r="5114" spans="1:27" ht="15" x14ac:dyDescent="0.25">
      <c r="A5114" s="2">
        <v>5109</v>
      </c>
      <c r="B5114" s="39">
        <v>924510199</v>
      </c>
      <c r="C5114" s="28" t="str">
        <f>HYPERLINK("https://pld.live/RapDetail.aspx?STONELIST=924510199","DNA")</f>
        <v>DNA</v>
      </c>
      <c r="D5114" s="18" t="s">
        <v>711</v>
      </c>
      <c r="E5114" s="18" t="s">
        <v>2186</v>
      </c>
      <c r="F5114" s="2" t="s">
        <v>5597</v>
      </c>
      <c r="G5114" s="2" t="s">
        <v>7322</v>
      </c>
      <c r="H5114" s="14">
        <v>1.52</v>
      </c>
      <c r="I5114" s="2" t="s">
        <v>4699</v>
      </c>
      <c r="J5114" s="2" t="s">
        <v>444</v>
      </c>
      <c r="K5114" s="2" t="s">
        <v>1452</v>
      </c>
      <c r="L5114" s="2" t="s">
        <v>5221</v>
      </c>
      <c r="M5114" s="2" t="s">
        <v>5221</v>
      </c>
      <c r="N5114" s="2" t="s">
        <v>2317</v>
      </c>
      <c r="O5114" s="14">
        <v>7200</v>
      </c>
      <c r="P5114" s="14">
        <v>97.07</v>
      </c>
      <c r="Q5114" s="14">
        <v>210.96</v>
      </c>
      <c r="R5114" s="14">
        <v>320.66000000000003</v>
      </c>
      <c r="S5114" s="2" t="s">
        <v>432</v>
      </c>
      <c r="T5114" s="2">
        <v>1.56</v>
      </c>
      <c r="U5114" s="2">
        <v>67.099999999999994</v>
      </c>
      <c r="V5114" s="2">
        <v>67</v>
      </c>
      <c r="W5114" s="2" t="s">
        <v>7862</v>
      </c>
      <c r="X5114" s="2" t="s">
        <v>2897</v>
      </c>
      <c r="Y5114" s="2">
        <v>10944</v>
      </c>
      <c r="Z5114" s="19" t="str">
        <f>HYPERLINK("https://ssdweb.co/ssdweb/hd/Vision360.html?d=924510199&amp;zoomslide=1&amp;z=1924510199&amp;ISCONFIRM=0","VIDEO")</f>
        <v>VIDEO</v>
      </c>
      <c r="AA5114" s="19" t="str">
        <f>HYPERLINK("https://ssdweb.co/ssdweb/CERTH/2477520551.pdf","CERTI")</f>
        <v>CERTI</v>
      </c>
    </row>
    <row r="5115" spans="1:27" ht="15" x14ac:dyDescent="0.25">
      <c r="A5115" s="2">
        <v>5110</v>
      </c>
      <c r="B5115" s="39">
        <v>923770357</v>
      </c>
      <c r="C5115" s="28" t="str">
        <f>HYPERLINK("https://pld.live/RapDetail.aspx?STONELIST=923770357","DNA")</f>
        <v>DNA</v>
      </c>
      <c r="D5115" s="18" t="s">
        <v>711</v>
      </c>
      <c r="E5115" s="18" t="s">
        <v>2186</v>
      </c>
      <c r="F5115" s="2" t="s">
        <v>5597</v>
      </c>
      <c r="G5115" s="2" t="s">
        <v>7322</v>
      </c>
      <c r="H5115" s="14">
        <v>1.52</v>
      </c>
      <c r="I5115" s="2" t="s">
        <v>1505</v>
      </c>
      <c r="J5115" s="2" t="s">
        <v>5144</v>
      </c>
      <c r="K5115" s="2" t="s">
        <v>1452</v>
      </c>
      <c r="L5115" s="2" t="s">
        <v>5221</v>
      </c>
      <c r="M5115" s="2" t="s">
        <v>5721</v>
      </c>
      <c r="N5115" s="2" t="s">
        <v>2317</v>
      </c>
      <c r="O5115" s="14">
        <v>7100</v>
      </c>
      <c r="P5115" s="14">
        <v>97.18</v>
      </c>
      <c r="Q5115" s="14">
        <v>200.22</v>
      </c>
      <c r="R5115" s="14">
        <v>304.33</v>
      </c>
      <c r="S5115" s="2" t="s">
        <v>5497</v>
      </c>
      <c r="T5115" s="2">
        <v>1.4</v>
      </c>
      <c r="U5115" s="2">
        <v>67.099999999999994</v>
      </c>
      <c r="V5115" s="2">
        <v>66</v>
      </c>
      <c r="W5115" s="2" t="s">
        <v>7862</v>
      </c>
      <c r="X5115" s="2" t="s">
        <v>2897</v>
      </c>
      <c r="Y5115" s="2">
        <v>10792</v>
      </c>
      <c r="Z5115" s="19" t="str">
        <f>HYPERLINK("https://ssdweb.co/ssdweb/hd/Vision360.html?d=923770357&amp;zoomslide=1&amp;z=1923770357&amp;ISCONFIRM=0","VIDEO")</f>
        <v>VIDEO</v>
      </c>
      <c r="AA5115" s="19" t="str">
        <f>HYPERLINK("https://ssdweb.co/ssdweb/CERTH/6452752196.pdf","CERTI")</f>
        <v>CERTI</v>
      </c>
    </row>
    <row r="5116" spans="1:27" ht="15" x14ac:dyDescent="0.25">
      <c r="A5116" s="2">
        <v>5111</v>
      </c>
      <c r="B5116" s="39">
        <v>926830894</v>
      </c>
      <c r="C5116" s="28" t="str">
        <f>HYPERLINK("https://pld.live/RapDetail.aspx?STONELIST=926830894","DNA")</f>
        <v>DNA</v>
      </c>
      <c r="D5116" s="18" t="s">
        <v>711</v>
      </c>
      <c r="E5116" s="18" t="s">
        <v>5128</v>
      </c>
      <c r="F5116" s="2" t="s">
        <v>7987</v>
      </c>
      <c r="G5116" s="2" t="s">
        <v>7322</v>
      </c>
      <c r="H5116" s="14">
        <v>1.51</v>
      </c>
      <c r="I5116" s="2" t="s">
        <v>267</v>
      </c>
      <c r="J5116" s="2" t="s">
        <v>6555</v>
      </c>
      <c r="K5116" s="2" t="s">
        <v>1452</v>
      </c>
      <c r="L5116" s="2" t="s">
        <v>5221</v>
      </c>
      <c r="M5116" s="2" t="s">
        <v>5221</v>
      </c>
      <c r="N5116" s="2" t="s">
        <v>2317</v>
      </c>
      <c r="O5116" s="14">
        <v>13200</v>
      </c>
      <c r="P5116" s="14">
        <v>98.87</v>
      </c>
      <c r="Q5116" s="14">
        <v>149.16</v>
      </c>
      <c r="R5116" s="14">
        <v>225.23</v>
      </c>
      <c r="S5116" s="2" t="s">
        <v>5700</v>
      </c>
      <c r="T5116" s="2">
        <v>1.41</v>
      </c>
      <c r="U5116" s="2">
        <v>64.900000000000006</v>
      </c>
      <c r="V5116" s="2">
        <v>66</v>
      </c>
      <c r="W5116" s="2" t="s">
        <v>7862</v>
      </c>
      <c r="X5116" s="2" t="s">
        <v>2897</v>
      </c>
      <c r="Y5116" s="2">
        <v>19932</v>
      </c>
      <c r="Z5116" s="19" t="str">
        <f>HYPERLINK("https://ssdweb.co/ssdweb/hd/Vision360.html?d=926830894&amp;zoomslide=1&amp;z=1926830894&amp;ISCONFIRM=0","VIDEO")</f>
        <v>VIDEO</v>
      </c>
      <c r="AA5116" s="19" t="str">
        <f>HYPERLINK("https://ssdweb.co/ssdweb/CERTH/660490591.pdf","CERTI")</f>
        <v>CERTI</v>
      </c>
    </row>
    <row r="5117" spans="1:27" ht="15" x14ac:dyDescent="0.25">
      <c r="A5117" s="2">
        <v>5112</v>
      </c>
      <c r="B5117" s="39">
        <v>925500682</v>
      </c>
      <c r="C5117" s="28" t="str">
        <f>HYPERLINK("https://pld.live/RapDetail.aspx?STONELIST=925500682","DNA")</f>
        <v>DNA</v>
      </c>
      <c r="D5117" s="18" t="s">
        <v>711</v>
      </c>
      <c r="E5117" s="18" t="s">
        <v>5128</v>
      </c>
      <c r="F5117" s="2" t="s">
        <v>7987</v>
      </c>
      <c r="G5117" s="2" t="s">
        <v>7322</v>
      </c>
      <c r="H5117" s="14">
        <v>1.51</v>
      </c>
      <c r="I5117" s="2" t="s">
        <v>267</v>
      </c>
      <c r="J5117" s="2" t="s">
        <v>6555</v>
      </c>
      <c r="K5117" s="2" t="s">
        <v>1452</v>
      </c>
      <c r="L5117" s="2" t="s">
        <v>5221</v>
      </c>
      <c r="M5117" s="2" t="s">
        <v>5221</v>
      </c>
      <c r="N5117" s="2" t="s">
        <v>2317</v>
      </c>
      <c r="O5117" s="14">
        <v>13200</v>
      </c>
      <c r="P5117" s="14">
        <v>98.89</v>
      </c>
      <c r="Q5117" s="14">
        <v>146.52000000000001</v>
      </c>
      <c r="R5117" s="14">
        <v>221.25</v>
      </c>
      <c r="S5117" s="2" t="s">
        <v>1870</v>
      </c>
      <c r="T5117" s="2">
        <v>1.37</v>
      </c>
      <c r="U5117" s="2">
        <v>67.900000000000006</v>
      </c>
      <c r="V5117" s="2">
        <v>63</v>
      </c>
      <c r="W5117" s="2" t="s">
        <v>7862</v>
      </c>
      <c r="X5117" s="2" t="s">
        <v>2897</v>
      </c>
      <c r="Y5117" s="2">
        <v>19932</v>
      </c>
      <c r="Z5117" s="19" t="str">
        <f>HYPERLINK("https://ssdweb.co/ssdweb/hd/Vision360.html?d=925500682&amp;zoomslide=1&amp;z=1925500682&amp;ISCONFIRM=0","VIDEO")</f>
        <v>VIDEO</v>
      </c>
      <c r="AA5117" s="19" t="str">
        <f>HYPERLINK("https://ssdweb.co/ssdweb/CERTH/616434314.pdf","CERTI")</f>
        <v>CERTI</v>
      </c>
    </row>
    <row r="5118" spans="1:27" ht="15" x14ac:dyDescent="0.25">
      <c r="A5118" s="2">
        <v>5113</v>
      </c>
      <c r="B5118" s="39">
        <v>925520305</v>
      </c>
      <c r="C5118" s="28" t="str">
        <f>HYPERLINK("https://pld.live/RapDetail.aspx?STONELIST=925520305","DNA")</f>
        <v>DNA</v>
      </c>
      <c r="D5118" s="18" t="s">
        <v>711</v>
      </c>
      <c r="E5118" s="18" t="s">
        <v>5128</v>
      </c>
      <c r="F5118" s="2" t="s">
        <v>7987</v>
      </c>
      <c r="G5118" s="2" t="s">
        <v>7322</v>
      </c>
      <c r="H5118" s="14">
        <v>1.51</v>
      </c>
      <c r="I5118" s="2" t="s">
        <v>267</v>
      </c>
      <c r="J5118" s="2" t="s">
        <v>6555</v>
      </c>
      <c r="K5118" s="2" t="s">
        <v>1452</v>
      </c>
      <c r="L5118" s="2" t="s">
        <v>5221</v>
      </c>
      <c r="M5118" s="2" t="s">
        <v>5221</v>
      </c>
      <c r="N5118" s="2" t="s">
        <v>2317</v>
      </c>
      <c r="O5118" s="14">
        <v>13200</v>
      </c>
      <c r="P5118" s="14">
        <v>98.89</v>
      </c>
      <c r="Q5118" s="14">
        <v>146.52000000000001</v>
      </c>
      <c r="R5118" s="14">
        <v>221.25</v>
      </c>
      <c r="S5118" s="2" t="s">
        <v>2285</v>
      </c>
      <c r="T5118" s="2">
        <v>1.37</v>
      </c>
      <c r="U5118" s="2">
        <v>66.8</v>
      </c>
      <c r="V5118" s="2">
        <v>61</v>
      </c>
      <c r="W5118" s="2" t="s">
        <v>7862</v>
      </c>
      <c r="X5118" s="2" t="s">
        <v>2897</v>
      </c>
      <c r="Y5118" s="2">
        <v>19932</v>
      </c>
      <c r="Z5118" s="19" t="str">
        <f>HYPERLINK("https://ssdweb.co/ssdweb/hd/Vision360.html?d=925520305&amp;zoomslide=1&amp;z=1925520305&amp;ISCONFIRM=0","VIDEO")</f>
        <v>VIDEO</v>
      </c>
      <c r="AA5118" s="19" t="str">
        <f>HYPERLINK("https://ssdweb.co/ssdweb/CERTH/617485861.pdf","CERTI")</f>
        <v>CERTI</v>
      </c>
    </row>
    <row r="5119" spans="1:27" ht="15" x14ac:dyDescent="0.25">
      <c r="A5119" s="2">
        <v>5114</v>
      </c>
      <c r="B5119" s="39">
        <v>926170672</v>
      </c>
      <c r="C5119" s="28" t="str">
        <f>HYPERLINK("https://pld.live/RapDetail.aspx?STONELIST=926170672","DNA")</f>
        <v>DNA</v>
      </c>
      <c r="D5119" s="18" t="s">
        <v>711</v>
      </c>
      <c r="E5119" s="18" t="s">
        <v>5128</v>
      </c>
      <c r="F5119" s="2" t="s">
        <v>7987</v>
      </c>
      <c r="G5119" s="2" t="s">
        <v>7322</v>
      </c>
      <c r="H5119" s="14">
        <v>1.51</v>
      </c>
      <c r="I5119" s="2" t="s">
        <v>267</v>
      </c>
      <c r="J5119" s="2" t="s">
        <v>6555</v>
      </c>
      <c r="K5119" s="2" t="s">
        <v>1452</v>
      </c>
      <c r="L5119" s="2" t="s">
        <v>5221</v>
      </c>
      <c r="M5119" s="2" t="s">
        <v>5221</v>
      </c>
      <c r="N5119" s="2" t="s">
        <v>2317</v>
      </c>
      <c r="O5119" s="14">
        <v>13200</v>
      </c>
      <c r="P5119" s="14">
        <v>98.88</v>
      </c>
      <c r="Q5119" s="14">
        <v>147.84</v>
      </c>
      <c r="R5119" s="14">
        <v>223.24</v>
      </c>
      <c r="S5119" s="2" t="s">
        <v>5137</v>
      </c>
      <c r="T5119" s="2">
        <v>1.37</v>
      </c>
      <c r="U5119" s="2">
        <v>67.900000000000006</v>
      </c>
      <c r="V5119" s="2">
        <v>64</v>
      </c>
      <c r="W5119" s="2" t="s">
        <v>7862</v>
      </c>
      <c r="X5119" s="2" t="s">
        <v>2897</v>
      </c>
      <c r="Y5119" s="2">
        <v>19932</v>
      </c>
      <c r="Z5119" s="19" t="str">
        <f>HYPERLINK("https://ssdweb.co/ssdweb/hd/Vision360.html?d=926170672&amp;zoomslide=1&amp;z=1926170672&amp;ISCONFIRM=0","VIDEO")</f>
        <v>VIDEO</v>
      </c>
      <c r="AA5119" s="19" t="str">
        <f>HYPERLINK("https://ssdweb.co/ssdweb/CERTH/633490548.pdf","CERTI")</f>
        <v>CERTI</v>
      </c>
    </row>
    <row r="5120" spans="1:27" ht="15" x14ac:dyDescent="0.25">
      <c r="A5120" s="2">
        <v>5115</v>
      </c>
      <c r="B5120" s="39">
        <v>925850482</v>
      </c>
      <c r="C5120" s="28" t="str">
        <f>HYPERLINK("https://pld.live/RapDetail.aspx?STONELIST=925850482","DNA")</f>
        <v>DNA</v>
      </c>
      <c r="D5120" s="18" t="s">
        <v>711</v>
      </c>
      <c r="E5120" s="18" t="s">
        <v>5128</v>
      </c>
      <c r="F5120" s="2" t="s">
        <v>7987</v>
      </c>
      <c r="G5120" s="2" t="s">
        <v>7322</v>
      </c>
      <c r="H5120" s="14">
        <v>1.51</v>
      </c>
      <c r="I5120" s="2" t="s">
        <v>267</v>
      </c>
      <c r="J5120" s="2" t="s">
        <v>3942</v>
      </c>
      <c r="K5120" s="2" t="s">
        <v>1452</v>
      </c>
      <c r="L5120" s="2" t="s">
        <v>5221</v>
      </c>
      <c r="M5120" s="2" t="s">
        <v>5221</v>
      </c>
      <c r="N5120" s="2" t="s">
        <v>2317</v>
      </c>
      <c r="O5120" s="14">
        <v>12500</v>
      </c>
      <c r="P5120" s="14">
        <v>99.06</v>
      </c>
      <c r="Q5120" s="14">
        <v>117.5</v>
      </c>
      <c r="R5120" s="14">
        <v>177.43</v>
      </c>
      <c r="S5120" s="2" t="s">
        <v>3954</v>
      </c>
      <c r="T5120" s="2">
        <v>1.46</v>
      </c>
      <c r="U5120" s="2">
        <v>65.7</v>
      </c>
      <c r="V5120" s="2">
        <v>65</v>
      </c>
      <c r="W5120" s="2" t="s">
        <v>7862</v>
      </c>
      <c r="X5120" s="2" t="s">
        <v>2897</v>
      </c>
      <c r="Y5120" s="2">
        <v>18875</v>
      </c>
      <c r="Z5120" s="19" t="str">
        <f>HYPERLINK("https://ssdweb.co/ssdweb/hd/Vision360.html?d=925850482&amp;zoomslide=1&amp;z=1925850482&amp;ISCONFIRM=0","VIDEO")</f>
        <v>VIDEO</v>
      </c>
      <c r="AA5120" s="19" t="str">
        <f>HYPERLINK("https://ssdweb.co/ssdweb/CERTH/626427467.pdf","CERTI")</f>
        <v>CERTI</v>
      </c>
    </row>
    <row r="5121" spans="1:27" ht="15" x14ac:dyDescent="0.25">
      <c r="A5121" s="2">
        <v>5116</v>
      </c>
      <c r="B5121" s="39">
        <v>925731622</v>
      </c>
      <c r="C5121" s="28" t="str">
        <f>HYPERLINK("https://pld.live/RapDetail.aspx?STONELIST=925731622","DNA")</f>
        <v>DNA</v>
      </c>
      <c r="D5121" s="18" t="s">
        <v>711</v>
      </c>
      <c r="E5121" s="18" t="s">
        <v>5128</v>
      </c>
      <c r="F5121" s="2" t="s">
        <v>7987</v>
      </c>
      <c r="G5121" s="2" t="s">
        <v>7322</v>
      </c>
      <c r="H5121" s="14">
        <v>1.51</v>
      </c>
      <c r="I5121" s="2" t="s">
        <v>267</v>
      </c>
      <c r="J5121" s="2" t="s">
        <v>3942</v>
      </c>
      <c r="K5121" s="2" t="s">
        <v>1452</v>
      </c>
      <c r="L5121" s="2" t="s">
        <v>5221</v>
      </c>
      <c r="M5121" s="2" t="s">
        <v>5221</v>
      </c>
      <c r="N5121" s="2" t="s">
        <v>2317</v>
      </c>
      <c r="O5121" s="14">
        <v>12500</v>
      </c>
      <c r="P5121" s="14">
        <v>99.06</v>
      </c>
      <c r="Q5121" s="14">
        <v>117.5</v>
      </c>
      <c r="R5121" s="14">
        <v>177.43</v>
      </c>
      <c r="S5121" s="2" t="s">
        <v>727</v>
      </c>
      <c r="T5121" s="2">
        <v>1.38</v>
      </c>
      <c r="U5121" s="2">
        <v>67.8</v>
      </c>
      <c r="V5121" s="2">
        <v>65</v>
      </c>
      <c r="W5121" s="2" t="s">
        <v>7862</v>
      </c>
      <c r="X5121" s="2" t="s">
        <v>2897</v>
      </c>
      <c r="Y5121" s="2">
        <v>18875</v>
      </c>
      <c r="Z5121" s="19" t="str">
        <f>HYPERLINK("https://ssdweb.co/ssdweb/hd/Vision360.html?d=925731622&amp;zoomslide=1&amp;z=1925731622&amp;ISCONFIRM=0","VIDEO")</f>
        <v>VIDEO</v>
      </c>
      <c r="AA5121" s="19" t="str">
        <f>HYPERLINK("https://ssdweb.co/ssdweb/CERTH/625457917.pdf","CERTI")</f>
        <v>CERTI</v>
      </c>
    </row>
    <row r="5122" spans="1:27" ht="15" x14ac:dyDescent="0.25">
      <c r="A5122" s="2">
        <v>5117</v>
      </c>
      <c r="B5122" s="39">
        <v>925801699</v>
      </c>
      <c r="C5122" s="28" t="str">
        <f>HYPERLINK("https://pld.live/RapDetail.aspx?STONELIST=925801699","DNA")</f>
        <v>DNA</v>
      </c>
      <c r="D5122" s="18" t="s">
        <v>711</v>
      </c>
      <c r="E5122" s="18" t="s">
        <v>5128</v>
      </c>
      <c r="F5122" s="2" t="s">
        <v>7987</v>
      </c>
      <c r="G5122" s="2" t="s">
        <v>7322</v>
      </c>
      <c r="H5122" s="14">
        <v>1.51</v>
      </c>
      <c r="I5122" s="2" t="s">
        <v>267</v>
      </c>
      <c r="J5122" s="2" t="s">
        <v>3942</v>
      </c>
      <c r="K5122" s="2" t="s">
        <v>1452</v>
      </c>
      <c r="L5122" s="2" t="s">
        <v>5221</v>
      </c>
      <c r="M5122" s="2" t="s">
        <v>5221</v>
      </c>
      <c r="N5122" s="2" t="s">
        <v>2317</v>
      </c>
      <c r="O5122" s="14">
        <v>12500</v>
      </c>
      <c r="P5122" s="14">
        <v>99.06</v>
      </c>
      <c r="Q5122" s="14">
        <v>117.5</v>
      </c>
      <c r="R5122" s="14">
        <v>177.43</v>
      </c>
      <c r="S5122" s="2" t="s">
        <v>3691</v>
      </c>
      <c r="T5122" s="2">
        <v>1.41</v>
      </c>
      <c r="U5122" s="2">
        <v>67.2</v>
      </c>
      <c r="V5122" s="2">
        <v>62</v>
      </c>
      <c r="W5122" s="2" t="s">
        <v>7862</v>
      </c>
      <c r="X5122" s="2" t="s">
        <v>2897</v>
      </c>
      <c r="Y5122" s="2">
        <v>18875</v>
      </c>
      <c r="Z5122" s="19" t="str">
        <f>HYPERLINK("https://ssdweb.co/ssdweb/hd/Vision360.html?d=925801699&amp;zoomslide=1&amp;z=1925801699&amp;ISCONFIRM=0","VIDEO")</f>
        <v>VIDEO</v>
      </c>
      <c r="AA5122" s="19" t="str">
        <f>HYPERLINK("https://ssdweb.co/ssdweb/CERTH/626427482.pdf","CERTI")</f>
        <v>CERTI</v>
      </c>
    </row>
    <row r="5123" spans="1:27" ht="15" x14ac:dyDescent="0.25">
      <c r="A5123" s="2">
        <v>5118</v>
      </c>
      <c r="B5123" s="39">
        <v>925731910</v>
      </c>
      <c r="C5123" s="28" t="str">
        <f>HYPERLINK("https://pld.live/RapDetail.aspx?STONELIST=925731910","DNA")</f>
        <v>DNA</v>
      </c>
      <c r="D5123" s="18" t="s">
        <v>711</v>
      </c>
      <c r="E5123" s="18" t="s">
        <v>5128</v>
      </c>
      <c r="F5123" s="2" t="s">
        <v>7987</v>
      </c>
      <c r="G5123" s="2" t="s">
        <v>7322</v>
      </c>
      <c r="H5123" s="14">
        <v>1.51</v>
      </c>
      <c r="I5123" s="2" t="s">
        <v>267</v>
      </c>
      <c r="J5123" s="2" t="s">
        <v>3942</v>
      </c>
      <c r="K5123" s="2" t="s">
        <v>1452</v>
      </c>
      <c r="L5123" s="2" t="s">
        <v>5221</v>
      </c>
      <c r="M5123" s="2" t="s">
        <v>5221</v>
      </c>
      <c r="N5123" s="2" t="s">
        <v>2317</v>
      </c>
      <c r="O5123" s="14">
        <v>12500</v>
      </c>
      <c r="P5123" s="14">
        <v>99.06</v>
      </c>
      <c r="Q5123" s="14">
        <v>117.5</v>
      </c>
      <c r="R5123" s="14">
        <v>177.43</v>
      </c>
      <c r="S5123" s="2" t="s">
        <v>3105</v>
      </c>
      <c r="T5123" s="2">
        <v>1.36</v>
      </c>
      <c r="U5123" s="2">
        <v>68.3</v>
      </c>
      <c r="V5123" s="2">
        <v>68</v>
      </c>
      <c r="W5123" s="2" t="s">
        <v>7862</v>
      </c>
      <c r="X5123" s="2" t="s">
        <v>2897</v>
      </c>
      <c r="Y5123" s="2">
        <v>18875</v>
      </c>
      <c r="Z5123" s="19" t="str">
        <f>HYPERLINK("https://ssdweb.co/ssdweb/hd/Vision360.html?d=925731910&amp;zoomslide=1&amp;z=1925731910&amp;ISCONFIRM=0","VIDEO")</f>
        <v>VIDEO</v>
      </c>
      <c r="AA5123" s="19" t="str">
        <f>HYPERLINK("https://ssdweb.co/ssdweb/CERTH/625432262.pdf","CERTI")</f>
        <v>CERTI</v>
      </c>
    </row>
    <row r="5124" spans="1:27" ht="15" x14ac:dyDescent="0.25">
      <c r="A5124" s="2">
        <v>5119</v>
      </c>
      <c r="B5124" s="39">
        <v>925890563</v>
      </c>
      <c r="C5124" s="28" t="str">
        <f>HYPERLINK("https://pld.live/RapDetail.aspx?STONELIST=925890563","DNA")</f>
        <v>DNA</v>
      </c>
      <c r="D5124" s="18" t="s">
        <v>711</v>
      </c>
      <c r="E5124" s="18" t="s">
        <v>5128</v>
      </c>
      <c r="F5124" s="2" t="s">
        <v>7987</v>
      </c>
      <c r="G5124" s="2" t="s">
        <v>7322</v>
      </c>
      <c r="H5124" s="14">
        <v>1.51</v>
      </c>
      <c r="I5124" s="2" t="s">
        <v>267</v>
      </c>
      <c r="J5124" s="2" t="s">
        <v>3942</v>
      </c>
      <c r="K5124" s="2" t="s">
        <v>1452</v>
      </c>
      <c r="L5124" s="2" t="s">
        <v>5221</v>
      </c>
      <c r="M5124" s="2" t="s">
        <v>5221</v>
      </c>
      <c r="N5124" s="2" t="s">
        <v>2317</v>
      </c>
      <c r="O5124" s="14">
        <v>12500</v>
      </c>
      <c r="P5124" s="14">
        <v>99.06</v>
      </c>
      <c r="Q5124" s="14">
        <v>117.5</v>
      </c>
      <c r="R5124" s="14">
        <v>177.43</v>
      </c>
      <c r="S5124" s="2" t="s">
        <v>8068</v>
      </c>
      <c r="T5124" s="2">
        <v>1.4</v>
      </c>
      <c r="U5124" s="2">
        <v>67.3</v>
      </c>
      <c r="V5124" s="2">
        <v>65</v>
      </c>
      <c r="W5124" s="2" t="s">
        <v>7862</v>
      </c>
      <c r="X5124" s="2" t="s">
        <v>2897</v>
      </c>
      <c r="Y5124" s="2">
        <v>18875</v>
      </c>
      <c r="Z5124" s="19" t="str">
        <f>HYPERLINK("https://ssdweb.co/ssdweb/hd/Vision360.html?d=925890563&amp;zoomslide=1&amp;z=1925890563&amp;ISCONFIRM=0","VIDEO")</f>
        <v>VIDEO</v>
      </c>
      <c r="AA5124" s="19" t="str">
        <f>HYPERLINK("https://ssdweb.co/ssdweb/CERTH/628463267.pdf","CERTI")</f>
        <v>CERTI</v>
      </c>
    </row>
    <row r="5125" spans="1:27" ht="15" x14ac:dyDescent="0.25">
      <c r="A5125" s="2">
        <v>5120</v>
      </c>
      <c r="B5125" s="39">
        <v>925732043</v>
      </c>
      <c r="C5125" s="28" t="str">
        <f>HYPERLINK("https://pld.live/RapDetail.aspx?STONELIST=925732043","DNA")</f>
        <v>DNA</v>
      </c>
      <c r="D5125" s="18" t="s">
        <v>711</v>
      </c>
      <c r="E5125" s="18" t="s">
        <v>5128</v>
      </c>
      <c r="F5125" s="2" t="s">
        <v>7987</v>
      </c>
      <c r="G5125" s="2" t="s">
        <v>7322</v>
      </c>
      <c r="H5125" s="14">
        <v>1.51</v>
      </c>
      <c r="I5125" s="2" t="s">
        <v>267</v>
      </c>
      <c r="J5125" s="2" t="s">
        <v>3942</v>
      </c>
      <c r="K5125" s="2" t="s">
        <v>1452</v>
      </c>
      <c r="L5125" s="2" t="s">
        <v>5221</v>
      </c>
      <c r="M5125" s="2" t="s">
        <v>5221</v>
      </c>
      <c r="N5125" s="2" t="s">
        <v>2317</v>
      </c>
      <c r="O5125" s="14">
        <v>12500</v>
      </c>
      <c r="P5125" s="14">
        <v>99.06</v>
      </c>
      <c r="Q5125" s="14">
        <v>117.5</v>
      </c>
      <c r="R5125" s="14">
        <v>177.43</v>
      </c>
      <c r="S5125" s="2" t="s">
        <v>2321</v>
      </c>
      <c r="T5125" s="2">
        <v>1.43</v>
      </c>
      <c r="U5125" s="2">
        <v>64.400000000000006</v>
      </c>
      <c r="V5125" s="2">
        <v>65</v>
      </c>
      <c r="W5125" s="2" t="s">
        <v>7862</v>
      </c>
      <c r="X5125" s="2" t="s">
        <v>2897</v>
      </c>
      <c r="Y5125" s="2">
        <v>18875</v>
      </c>
      <c r="Z5125" s="19" t="str">
        <f>HYPERLINK("https://ssdweb.co/ssdweb/hd/Vision360.html?d=925732043&amp;zoomslide=1&amp;z=1925732043&amp;ISCONFIRM=0","VIDEO")</f>
        <v>VIDEO</v>
      </c>
      <c r="AA5125" s="19" t="str">
        <f>HYPERLINK("https://ssdweb.co/ssdweb/CERTH/625432309.pdf","CERTI")</f>
        <v>CERTI</v>
      </c>
    </row>
    <row r="5126" spans="1:27" ht="15" x14ac:dyDescent="0.25">
      <c r="A5126" s="2">
        <v>5121</v>
      </c>
      <c r="B5126" s="39">
        <v>831010694</v>
      </c>
      <c r="C5126" s="28" t="str">
        <f>HYPERLINK("https://pld.live/RapDetail.aspx?STONELIST=831010694","DNA")</f>
        <v>DNA</v>
      </c>
      <c r="D5126" s="18" t="s">
        <v>711</v>
      </c>
      <c r="E5126" s="18" t="s">
        <v>5128</v>
      </c>
      <c r="F5126" s="2" t="s">
        <v>5597</v>
      </c>
      <c r="G5126" s="2" t="s">
        <v>7322</v>
      </c>
      <c r="H5126" s="14">
        <v>1.51</v>
      </c>
      <c r="I5126" s="2" t="s">
        <v>267</v>
      </c>
      <c r="J5126" s="2" t="s">
        <v>3942</v>
      </c>
      <c r="K5126" s="2" t="s">
        <v>1452</v>
      </c>
      <c r="L5126" s="2" t="s">
        <v>5221</v>
      </c>
      <c r="M5126" s="2" t="s">
        <v>5221</v>
      </c>
      <c r="N5126" s="2" t="s">
        <v>2317</v>
      </c>
      <c r="O5126" s="14">
        <v>12500</v>
      </c>
      <c r="P5126" s="14">
        <v>97.91</v>
      </c>
      <c r="Q5126" s="14">
        <v>261.25</v>
      </c>
      <c r="R5126" s="14">
        <v>394.49</v>
      </c>
      <c r="S5126" s="2" t="s">
        <v>5525</v>
      </c>
      <c r="T5126" s="2">
        <v>1.4</v>
      </c>
      <c r="U5126" s="2">
        <v>68.5</v>
      </c>
      <c r="V5126" s="2">
        <v>65</v>
      </c>
      <c r="W5126" s="2" t="s">
        <v>7862</v>
      </c>
      <c r="X5126" s="2" t="s">
        <v>2897</v>
      </c>
      <c r="Y5126" s="2">
        <v>18875</v>
      </c>
      <c r="Z5126" s="19" t="str">
        <f>HYPERLINK("https://ssdweb.co/ssdweb/hd/Vision360.html?d=831010694&amp;zoomslide=1&amp;z=1831010694&amp;ISCONFIRM=0","VIDEO")</f>
        <v>VIDEO</v>
      </c>
      <c r="AA5126" s="19" t="str">
        <f>HYPERLINK("https://ssdweb.co/ssdweb/CERTH/1437025264.pdf","CERTI")</f>
        <v>CERTI</v>
      </c>
    </row>
    <row r="5127" spans="1:27" ht="15" x14ac:dyDescent="0.25">
      <c r="A5127" s="2">
        <v>5122</v>
      </c>
      <c r="B5127" s="39">
        <v>926841351</v>
      </c>
      <c r="C5127" s="28" t="str">
        <f>HYPERLINK("https://pld.live/RapDetail.aspx?STONELIST=926841351","DNA")</f>
        <v>DNA</v>
      </c>
      <c r="D5127" s="18" t="s">
        <v>711</v>
      </c>
      <c r="E5127" s="18" t="s">
        <v>2186</v>
      </c>
      <c r="F5127" s="2" t="s">
        <v>7987</v>
      </c>
      <c r="G5127" s="2" t="s">
        <v>7322</v>
      </c>
      <c r="H5127" s="14">
        <v>1.51</v>
      </c>
      <c r="I5127" s="2" t="s">
        <v>267</v>
      </c>
      <c r="J5127" s="2" t="s">
        <v>3942</v>
      </c>
      <c r="K5127" s="2" t="s">
        <v>1452</v>
      </c>
      <c r="L5127" s="2" t="s">
        <v>5221</v>
      </c>
      <c r="M5127" s="2" t="s">
        <v>5221</v>
      </c>
      <c r="N5127" s="2" t="s">
        <v>2317</v>
      </c>
      <c r="O5127" s="14">
        <v>12500</v>
      </c>
      <c r="P5127" s="14">
        <v>99.04</v>
      </c>
      <c r="Q5127" s="14">
        <v>120</v>
      </c>
      <c r="R5127" s="14">
        <v>181.2</v>
      </c>
      <c r="S5127" s="2" t="s">
        <v>8105</v>
      </c>
      <c r="T5127" s="2">
        <v>1.35</v>
      </c>
      <c r="U5127" s="2">
        <v>68.099999999999994</v>
      </c>
      <c r="V5127" s="2">
        <v>66</v>
      </c>
      <c r="W5127" s="2" t="s">
        <v>7862</v>
      </c>
      <c r="X5127" s="2" t="s">
        <v>2897</v>
      </c>
      <c r="Y5127" s="2">
        <v>18875</v>
      </c>
      <c r="Z5127" s="19" t="str">
        <f>HYPERLINK("https://ssdweb.co/ssdweb/hd/Vision360.html?d=926841351&amp;zoomslide=1&amp;z=1926841351&amp;ISCONFIRM=0","VIDEO")</f>
        <v>VIDEO</v>
      </c>
      <c r="AA5127" s="19" t="str">
        <f>HYPERLINK("https://ssdweb.co/ssdweb/CERTH/659436995.pdf","CERTI")</f>
        <v>CERTI</v>
      </c>
    </row>
    <row r="5128" spans="1:27" ht="15" x14ac:dyDescent="0.25">
      <c r="A5128" s="2">
        <v>5123</v>
      </c>
      <c r="B5128" s="39">
        <v>925552007</v>
      </c>
      <c r="C5128" s="28" t="str">
        <f>HYPERLINK("https://pld.live/RapDetail.aspx?STONELIST=925552007","DNA")</f>
        <v>DNA</v>
      </c>
      <c r="D5128" s="18" t="s">
        <v>711</v>
      </c>
      <c r="E5128" s="18" t="s">
        <v>5128</v>
      </c>
      <c r="F5128" s="2" t="s">
        <v>7987</v>
      </c>
      <c r="G5128" s="2" t="s">
        <v>7322</v>
      </c>
      <c r="H5128" s="14">
        <v>1.51</v>
      </c>
      <c r="I5128" s="2" t="s">
        <v>267</v>
      </c>
      <c r="J5128" s="2" t="s">
        <v>3942</v>
      </c>
      <c r="K5128" s="2" t="s">
        <v>1452</v>
      </c>
      <c r="L5128" s="2" t="s">
        <v>5221</v>
      </c>
      <c r="M5128" s="2" t="s">
        <v>5221</v>
      </c>
      <c r="N5128" s="2" t="s">
        <v>2317</v>
      </c>
      <c r="O5128" s="14">
        <v>12500</v>
      </c>
      <c r="P5128" s="14">
        <v>99.06</v>
      </c>
      <c r="Q5128" s="14">
        <v>117.5</v>
      </c>
      <c r="R5128" s="14">
        <v>177.43</v>
      </c>
      <c r="S5128" s="2" t="s">
        <v>5859</v>
      </c>
      <c r="T5128" s="2">
        <v>1.38</v>
      </c>
      <c r="U5128" s="2">
        <v>64.400000000000006</v>
      </c>
      <c r="V5128" s="2">
        <v>63</v>
      </c>
      <c r="W5128" s="2" t="s">
        <v>7862</v>
      </c>
      <c r="X5128" s="2" t="s">
        <v>2897</v>
      </c>
      <c r="Y5128" s="2">
        <v>18875</v>
      </c>
      <c r="Z5128" s="19" t="str">
        <f>HYPERLINK("https://ssdweb.co/ssdweb/hd/Vision360.html?d=925552007&amp;zoomslide=1&amp;z=1925552007&amp;ISCONFIRM=0","VIDEO")</f>
        <v>VIDEO</v>
      </c>
      <c r="AA5128" s="19" t="str">
        <f>HYPERLINK("https://ssdweb.co/ssdweb/CERTH/623446185.pdf","CERTI")</f>
        <v>CERTI</v>
      </c>
    </row>
    <row r="5129" spans="1:27" ht="15" x14ac:dyDescent="0.25">
      <c r="A5129" s="2">
        <v>5124</v>
      </c>
      <c r="B5129" s="39">
        <v>925610272</v>
      </c>
      <c r="C5129" s="28" t="str">
        <f>HYPERLINK("https://pld.live/RapDetail.aspx?STONELIST=925610272","DNA")</f>
        <v>DNA</v>
      </c>
      <c r="D5129" s="18" t="s">
        <v>711</v>
      </c>
      <c r="E5129" s="18" t="s">
        <v>2186</v>
      </c>
      <c r="F5129" s="2" t="s">
        <v>7987</v>
      </c>
      <c r="G5129" s="2" t="s">
        <v>7322</v>
      </c>
      <c r="H5129" s="14">
        <v>1.51</v>
      </c>
      <c r="I5129" s="2" t="s">
        <v>267</v>
      </c>
      <c r="J5129" s="2" t="s">
        <v>3942</v>
      </c>
      <c r="K5129" s="2" t="s">
        <v>1452</v>
      </c>
      <c r="L5129" s="2" t="s">
        <v>5221</v>
      </c>
      <c r="M5129" s="2" t="s">
        <v>5221</v>
      </c>
      <c r="N5129" s="2" t="s">
        <v>2317</v>
      </c>
      <c r="O5129" s="14">
        <v>12500</v>
      </c>
      <c r="P5129" s="14">
        <v>99.06</v>
      </c>
      <c r="Q5129" s="14">
        <v>117.5</v>
      </c>
      <c r="R5129" s="14">
        <v>177.43</v>
      </c>
      <c r="S5129" s="2" t="s">
        <v>7050</v>
      </c>
      <c r="T5129" s="2">
        <v>1.4</v>
      </c>
      <c r="U5129" s="2">
        <v>66.900000000000006</v>
      </c>
      <c r="V5129" s="2">
        <v>65</v>
      </c>
      <c r="W5129" s="2" t="s">
        <v>7862</v>
      </c>
      <c r="X5129" s="2" t="s">
        <v>2897</v>
      </c>
      <c r="Y5129" s="2">
        <v>18875</v>
      </c>
      <c r="Z5129" s="19" t="str">
        <f>HYPERLINK("https://ssdweb.co/ssdweb/hd/Vision360.html?d=925610272&amp;zoomslide=1&amp;z=1925610272&amp;ISCONFIRM=0","VIDEO")</f>
        <v>VIDEO</v>
      </c>
      <c r="AA5129" s="19" t="str">
        <f>HYPERLINK("https://ssdweb.co/ssdweb/CERTH/623449302.pdf","CERTI")</f>
        <v>CERTI</v>
      </c>
    </row>
    <row r="5130" spans="1:27" ht="15" x14ac:dyDescent="0.25">
      <c r="A5130" s="2">
        <v>5125</v>
      </c>
      <c r="B5130" s="39">
        <v>925721171</v>
      </c>
      <c r="C5130" s="28" t="str">
        <f>HYPERLINK("https://pld.live/RapDetail.aspx?STONELIST=925721171","DNA")</f>
        <v>DNA</v>
      </c>
      <c r="D5130" s="18" t="s">
        <v>711</v>
      </c>
      <c r="E5130" s="18" t="s">
        <v>5128</v>
      </c>
      <c r="F5130" s="2" t="s">
        <v>7987</v>
      </c>
      <c r="G5130" s="2" t="s">
        <v>7322</v>
      </c>
      <c r="H5130" s="14">
        <v>1.51</v>
      </c>
      <c r="I5130" s="2" t="s">
        <v>267</v>
      </c>
      <c r="J5130" s="2" t="s">
        <v>3942</v>
      </c>
      <c r="K5130" s="2" t="s">
        <v>1452</v>
      </c>
      <c r="L5130" s="2" t="s">
        <v>5221</v>
      </c>
      <c r="M5130" s="2" t="s">
        <v>5221</v>
      </c>
      <c r="N5130" s="2" t="s">
        <v>2317</v>
      </c>
      <c r="O5130" s="14">
        <v>12500</v>
      </c>
      <c r="P5130" s="14">
        <v>99.06</v>
      </c>
      <c r="Q5130" s="14">
        <v>117.5</v>
      </c>
      <c r="R5130" s="14">
        <v>177.43</v>
      </c>
      <c r="S5130" s="2" t="s">
        <v>2852</v>
      </c>
      <c r="T5130" s="2">
        <v>1.41</v>
      </c>
      <c r="U5130" s="2">
        <v>67.2</v>
      </c>
      <c r="V5130" s="2">
        <v>63</v>
      </c>
      <c r="W5130" s="2" t="s">
        <v>7862</v>
      </c>
      <c r="X5130" s="2" t="s">
        <v>2897</v>
      </c>
      <c r="Y5130" s="2">
        <v>18875</v>
      </c>
      <c r="Z5130" s="19" t="str">
        <f>HYPERLINK("https://ssdweb.co/ssdweb/hd/Vision360.html?d=925721171&amp;zoomslide=1&amp;z=1925721171&amp;ISCONFIRM=0","VIDEO")</f>
        <v>VIDEO</v>
      </c>
      <c r="AA5130" s="19" t="str">
        <f>HYPERLINK("https://ssdweb.co/ssdweb/CERTH/623449273.pdf","CERTI")</f>
        <v>CERTI</v>
      </c>
    </row>
    <row r="5131" spans="1:27" ht="15" x14ac:dyDescent="0.25">
      <c r="A5131" s="2">
        <v>5126</v>
      </c>
      <c r="B5131" s="39">
        <v>925721993</v>
      </c>
      <c r="C5131" s="28" t="str">
        <f>HYPERLINK("https://pld.live/RapDetail.aspx?STONELIST=925721993","DNA")</f>
        <v>DNA</v>
      </c>
      <c r="D5131" s="18" t="s">
        <v>711</v>
      </c>
      <c r="E5131" s="18" t="s">
        <v>5128</v>
      </c>
      <c r="F5131" s="2" t="s">
        <v>7987</v>
      </c>
      <c r="G5131" s="2" t="s">
        <v>7322</v>
      </c>
      <c r="H5131" s="14">
        <v>1.51</v>
      </c>
      <c r="I5131" s="2" t="s">
        <v>267</v>
      </c>
      <c r="J5131" s="2" t="s">
        <v>3942</v>
      </c>
      <c r="K5131" s="2" t="s">
        <v>1452</v>
      </c>
      <c r="L5131" s="2" t="s">
        <v>5221</v>
      </c>
      <c r="M5131" s="2" t="s">
        <v>5221</v>
      </c>
      <c r="N5131" s="2" t="s">
        <v>2317</v>
      </c>
      <c r="O5131" s="14">
        <v>12500</v>
      </c>
      <c r="P5131" s="14">
        <v>99.06</v>
      </c>
      <c r="Q5131" s="14">
        <v>117.5</v>
      </c>
      <c r="R5131" s="14">
        <v>177.43</v>
      </c>
      <c r="S5131" s="2" t="s">
        <v>7118</v>
      </c>
      <c r="T5131" s="2">
        <v>1.39</v>
      </c>
      <c r="U5131" s="2">
        <v>68</v>
      </c>
      <c r="V5131" s="2">
        <v>63</v>
      </c>
      <c r="W5131" s="2" t="s">
        <v>7862</v>
      </c>
      <c r="X5131" s="2" t="s">
        <v>2897</v>
      </c>
      <c r="Y5131" s="2">
        <v>18875</v>
      </c>
      <c r="Z5131" s="19" t="str">
        <f>HYPERLINK("https://ssdweb.co/ssdweb/hd/Vision360.html?d=925721993&amp;zoomslide=1&amp;z=1925721993&amp;ISCONFIRM=0","VIDEO")</f>
        <v>VIDEO</v>
      </c>
      <c r="AA5131" s="19" t="str">
        <f>HYPERLINK("https://ssdweb.co/ssdweb/CERTH/625457942.pdf","CERTI")</f>
        <v>CERTI</v>
      </c>
    </row>
    <row r="5132" spans="1:27" ht="15" x14ac:dyDescent="0.25">
      <c r="A5132" s="2">
        <v>5127</v>
      </c>
      <c r="B5132" s="39">
        <v>925971274</v>
      </c>
      <c r="C5132" s="28" t="str">
        <f>HYPERLINK("https://pld.live/RapDetail.aspx?STONELIST=925971274","DNA")</f>
        <v>DNA</v>
      </c>
      <c r="D5132" s="18" t="s">
        <v>711</v>
      </c>
      <c r="E5132" s="18" t="s">
        <v>5128</v>
      </c>
      <c r="F5132" s="2" t="s">
        <v>7987</v>
      </c>
      <c r="G5132" s="2" t="s">
        <v>7322</v>
      </c>
      <c r="H5132" s="14">
        <v>1.51</v>
      </c>
      <c r="I5132" s="2" t="s">
        <v>267</v>
      </c>
      <c r="J5132" s="2" t="s">
        <v>3942</v>
      </c>
      <c r="K5132" s="2" t="s">
        <v>1452</v>
      </c>
      <c r="L5132" s="2" t="s">
        <v>5221</v>
      </c>
      <c r="M5132" s="2" t="s">
        <v>5221</v>
      </c>
      <c r="N5132" s="2" t="s">
        <v>2317</v>
      </c>
      <c r="O5132" s="14">
        <v>12500</v>
      </c>
      <c r="P5132" s="14">
        <v>99.05</v>
      </c>
      <c r="Q5132" s="14">
        <v>118.75</v>
      </c>
      <c r="R5132" s="14">
        <v>179.31</v>
      </c>
      <c r="S5132" s="2" t="s">
        <v>3933</v>
      </c>
      <c r="T5132" s="2">
        <v>1.4</v>
      </c>
      <c r="U5132" s="2">
        <v>67.7</v>
      </c>
      <c r="V5132" s="2">
        <v>64</v>
      </c>
      <c r="W5132" s="2" t="s">
        <v>7862</v>
      </c>
      <c r="X5132" s="2" t="s">
        <v>2897</v>
      </c>
      <c r="Y5132" s="2">
        <v>18875</v>
      </c>
      <c r="Z5132" s="19" t="str">
        <f>HYPERLINK("https://ssdweb.co/ssdweb/hd/Vision360.html?d=925971274&amp;zoomslide=1&amp;z=1925971274&amp;ISCONFIRM=0","VIDEO")</f>
        <v>VIDEO</v>
      </c>
      <c r="AA5132" s="19" t="str">
        <f>HYPERLINK("https://ssdweb.co/ssdweb/CERTH/629497541.pdf","CERTI")</f>
        <v>CERTI</v>
      </c>
    </row>
    <row r="5133" spans="1:27" ht="15" x14ac:dyDescent="0.25">
      <c r="A5133" s="2">
        <v>5128</v>
      </c>
      <c r="B5133" s="39">
        <v>925731932</v>
      </c>
      <c r="C5133" s="28" t="str">
        <f>HYPERLINK("https://pld.live/RapDetail.aspx?STONELIST=925731932","DNA")</f>
        <v>DNA</v>
      </c>
      <c r="D5133" s="18" t="s">
        <v>711</v>
      </c>
      <c r="E5133" s="18" t="s">
        <v>5128</v>
      </c>
      <c r="F5133" s="2" t="s">
        <v>7987</v>
      </c>
      <c r="G5133" s="2" t="s">
        <v>7322</v>
      </c>
      <c r="H5133" s="14">
        <v>1.51</v>
      </c>
      <c r="I5133" s="2" t="s">
        <v>267</v>
      </c>
      <c r="J5133" s="2" t="s">
        <v>13</v>
      </c>
      <c r="K5133" s="2" t="s">
        <v>1452</v>
      </c>
      <c r="L5133" s="2" t="s">
        <v>5221</v>
      </c>
      <c r="M5133" s="2" t="s">
        <v>5221</v>
      </c>
      <c r="N5133" s="2" t="s">
        <v>2317</v>
      </c>
      <c r="O5133" s="14">
        <v>11600</v>
      </c>
      <c r="P5133" s="14">
        <v>99.04</v>
      </c>
      <c r="Q5133" s="14">
        <v>111.36</v>
      </c>
      <c r="R5133" s="14">
        <v>168.15</v>
      </c>
      <c r="S5133" s="2" t="s">
        <v>3313</v>
      </c>
      <c r="T5133" s="2">
        <v>1.38</v>
      </c>
      <c r="U5133" s="2">
        <v>67.400000000000006</v>
      </c>
      <c r="V5133" s="2">
        <v>68</v>
      </c>
      <c r="W5133" s="2" t="s">
        <v>7862</v>
      </c>
      <c r="X5133" s="2" t="s">
        <v>2897</v>
      </c>
      <c r="Y5133" s="2">
        <v>17516</v>
      </c>
      <c r="Z5133" s="19" t="str">
        <f>HYPERLINK("https://ssdweb.co/ssdweb/hd/Vision360.html?d=925731932&amp;zoomslide=1&amp;z=1925731932&amp;ISCONFIRM=0","VIDEO")</f>
        <v>VIDEO</v>
      </c>
      <c r="AA5133" s="19" t="str">
        <f>HYPERLINK("https://ssdweb.co/ssdweb/CERTH/625432300.pdf","CERTI")</f>
        <v>CERTI</v>
      </c>
    </row>
    <row r="5134" spans="1:27" ht="15" x14ac:dyDescent="0.25">
      <c r="A5134" s="2">
        <v>5129</v>
      </c>
      <c r="B5134" s="39">
        <v>925731425</v>
      </c>
      <c r="C5134" s="28" t="str">
        <f>HYPERLINK("https://pld.live/RapDetail.aspx?STONELIST=925731425","DNA")</f>
        <v>DNA</v>
      </c>
      <c r="D5134" s="18" t="s">
        <v>711</v>
      </c>
      <c r="E5134" s="18" t="s">
        <v>5128</v>
      </c>
      <c r="F5134" s="2" t="s">
        <v>7987</v>
      </c>
      <c r="G5134" s="2" t="s">
        <v>7322</v>
      </c>
      <c r="H5134" s="14">
        <v>1.51</v>
      </c>
      <c r="I5134" s="2" t="s">
        <v>267</v>
      </c>
      <c r="J5134" s="2" t="s">
        <v>13</v>
      </c>
      <c r="K5134" s="2" t="s">
        <v>1452</v>
      </c>
      <c r="L5134" s="2" t="s">
        <v>5221</v>
      </c>
      <c r="M5134" s="2" t="s">
        <v>5221</v>
      </c>
      <c r="N5134" s="2" t="s">
        <v>2317</v>
      </c>
      <c r="O5134" s="14">
        <v>11600</v>
      </c>
      <c r="P5134" s="14">
        <v>99.04</v>
      </c>
      <c r="Q5134" s="14">
        <v>111.36</v>
      </c>
      <c r="R5134" s="14">
        <v>168.15</v>
      </c>
      <c r="S5134" s="2" t="s">
        <v>5371</v>
      </c>
      <c r="T5134" s="2">
        <v>1.38</v>
      </c>
      <c r="U5134" s="2">
        <v>64.400000000000006</v>
      </c>
      <c r="V5134" s="2">
        <v>66</v>
      </c>
      <c r="W5134" s="2" t="s">
        <v>7862</v>
      </c>
      <c r="X5134" s="2" t="s">
        <v>2897</v>
      </c>
      <c r="Y5134" s="2">
        <v>17516</v>
      </c>
      <c r="Z5134" s="19" t="str">
        <f>HYPERLINK("https://ssdweb.co/ssdweb/hd/Vision360.html?d=925731425&amp;zoomslide=1&amp;z=1925731425&amp;ISCONFIRM=0","VIDEO")</f>
        <v>VIDEO</v>
      </c>
      <c r="AA5134" s="19" t="str">
        <f>HYPERLINK("https://ssdweb.co/ssdweb/CERTH/624420518.pdf","CERTI")</f>
        <v>CERTI</v>
      </c>
    </row>
    <row r="5135" spans="1:27" ht="15" x14ac:dyDescent="0.25">
      <c r="A5135" s="2">
        <v>5130</v>
      </c>
      <c r="B5135" s="39">
        <v>925920640</v>
      </c>
      <c r="C5135" s="28" t="str">
        <f>HYPERLINK("https://pld.live/RapDetail.aspx?STONELIST=925920640","DNA")</f>
        <v>DNA</v>
      </c>
      <c r="D5135" s="18" t="s">
        <v>711</v>
      </c>
      <c r="E5135" s="18" t="s">
        <v>5128</v>
      </c>
      <c r="F5135" s="2" t="s">
        <v>7987</v>
      </c>
      <c r="G5135" s="2" t="s">
        <v>7322</v>
      </c>
      <c r="H5135" s="14">
        <v>1.51</v>
      </c>
      <c r="I5135" s="2" t="s">
        <v>267</v>
      </c>
      <c r="J5135" s="2" t="s">
        <v>13</v>
      </c>
      <c r="K5135" s="2" t="s">
        <v>1452</v>
      </c>
      <c r="L5135" s="2" t="s">
        <v>5221</v>
      </c>
      <c r="M5135" s="2" t="s">
        <v>5221</v>
      </c>
      <c r="N5135" s="2" t="s">
        <v>2317</v>
      </c>
      <c r="O5135" s="14">
        <v>11600</v>
      </c>
      <c r="P5135" s="14">
        <v>99.04</v>
      </c>
      <c r="Q5135" s="14">
        <v>111.36</v>
      </c>
      <c r="R5135" s="14">
        <v>168.15</v>
      </c>
      <c r="S5135" s="2" t="s">
        <v>6961</v>
      </c>
      <c r="T5135" s="2">
        <v>1.39</v>
      </c>
      <c r="U5135" s="2">
        <v>64.400000000000006</v>
      </c>
      <c r="V5135" s="2">
        <v>61</v>
      </c>
      <c r="W5135" s="2" t="s">
        <v>7862</v>
      </c>
      <c r="X5135" s="2" t="s">
        <v>2897</v>
      </c>
      <c r="Y5135" s="2">
        <v>17516</v>
      </c>
      <c r="Z5135" s="19" t="str">
        <f>HYPERLINK("https://ssdweb.co/ssdweb/hd/Vision360.html?d=925920640&amp;zoomslide=1&amp;z=1925920640&amp;ISCONFIRM=0","VIDEO")</f>
        <v>VIDEO</v>
      </c>
      <c r="AA5135" s="19" t="str">
        <f>HYPERLINK("https://ssdweb.co/ssdweb/CERTH/627431777.pdf","CERTI")</f>
        <v>CERTI</v>
      </c>
    </row>
    <row r="5136" spans="1:27" ht="15" x14ac:dyDescent="0.25">
      <c r="A5136" s="2">
        <v>5131</v>
      </c>
      <c r="B5136" s="39">
        <v>925890410</v>
      </c>
      <c r="C5136" s="28" t="str">
        <f>HYPERLINK("https://pld.live/RapDetail.aspx?STONELIST=925890410","DNA")</f>
        <v>DNA</v>
      </c>
      <c r="D5136" s="18" t="s">
        <v>711</v>
      </c>
      <c r="E5136" s="18" t="s">
        <v>5128</v>
      </c>
      <c r="F5136" s="2" t="s">
        <v>7987</v>
      </c>
      <c r="G5136" s="2" t="s">
        <v>7322</v>
      </c>
      <c r="H5136" s="14">
        <v>1.51</v>
      </c>
      <c r="I5136" s="2" t="s">
        <v>267</v>
      </c>
      <c r="J5136" s="2" t="s">
        <v>13</v>
      </c>
      <c r="K5136" s="2" t="s">
        <v>1452</v>
      </c>
      <c r="L5136" s="2" t="s">
        <v>5221</v>
      </c>
      <c r="M5136" s="2" t="s">
        <v>5221</v>
      </c>
      <c r="N5136" s="2" t="s">
        <v>2317</v>
      </c>
      <c r="O5136" s="14">
        <v>11600</v>
      </c>
      <c r="P5136" s="14">
        <v>99.04</v>
      </c>
      <c r="Q5136" s="14">
        <v>111.36</v>
      </c>
      <c r="R5136" s="14">
        <v>168.15</v>
      </c>
      <c r="S5136" s="2" t="s">
        <v>5203</v>
      </c>
      <c r="T5136" s="2">
        <v>1.38</v>
      </c>
      <c r="U5136" s="2">
        <v>67</v>
      </c>
      <c r="V5136" s="2">
        <v>62</v>
      </c>
      <c r="W5136" s="2" t="s">
        <v>7862</v>
      </c>
      <c r="X5136" s="2" t="s">
        <v>2897</v>
      </c>
      <c r="Y5136" s="2">
        <v>17516</v>
      </c>
      <c r="Z5136" s="19" t="str">
        <f>HYPERLINK("https://ssdweb.co/ssdweb/hd/Vision360.html?d=925890410&amp;zoomslide=1&amp;z=1925890410&amp;ISCONFIRM=0","VIDEO")</f>
        <v>VIDEO</v>
      </c>
      <c r="AA5136" s="19" t="str">
        <f>HYPERLINK("https://ssdweb.co/ssdweb/CERTH/627431729.pdf","CERTI")</f>
        <v>CERTI</v>
      </c>
    </row>
    <row r="5137" spans="1:27" ht="15" x14ac:dyDescent="0.25">
      <c r="A5137" s="2">
        <v>5132</v>
      </c>
      <c r="B5137" s="39">
        <v>925890437</v>
      </c>
      <c r="C5137" s="28" t="str">
        <f>HYPERLINK("https://pld.live/RapDetail.aspx?STONELIST=925890437","DNA")</f>
        <v>DNA</v>
      </c>
      <c r="D5137" s="18" t="s">
        <v>711</v>
      </c>
      <c r="E5137" s="18" t="s">
        <v>5128</v>
      </c>
      <c r="F5137" s="2" t="s">
        <v>7987</v>
      </c>
      <c r="G5137" s="2" t="s">
        <v>7322</v>
      </c>
      <c r="H5137" s="14">
        <v>1.51</v>
      </c>
      <c r="I5137" s="2" t="s">
        <v>267</v>
      </c>
      <c r="J5137" s="2" t="s">
        <v>13</v>
      </c>
      <c r="K5137" s="2" t="s">
        <v>1452</v>
      </c>
      <c r="L5137" s="2" t="s">
        <v>5221</v>
      </c>
      <c r="M5137" s="2" t="s">
        <v>5221</v>
      </c>
      <c r="N5137" s="2" t="s">
        <v>2317</v>
      </c>
      <c r="O5137" s="14">
        <v>11600</v>
      </c>
      <c r="P5137" s="14">
        <v>99.04</v>
      </c>
      <c r="Q5137" s="14">
        <v>111.36</v>
      </c>
      <c r="R5137" s="14">
        <v>168.15</v>
      </c>
      <c r="S5137" s="2" t="s">
        <v>3307</v>
      </c>
      <c r="T5137" s="2">
        <v>1.41</v>
      </c>
      <c r="U5137" s="2">
        <v>67</v>
      </c>
      <c r="V5137" s="2">
        <v>65</v>
      </c>
      <c r="W5137" s="2" t="s">
        <v>7862</v>
      </c>
      <c r="X5137" s="2" t="s">
        <v>2897</v>
      </c>
      <c r="Y5137" s="2">
        <v>17516</v>
      </c>
      <c r="Z5137" s="19" t="str">
        <f>HYPERLINK("https://ssdweb.co/ssdweb/hd/Vision360.html?d=925890437&amp;zoomslide=1&amp;z=1925890437&amp;ISCONFIRM=0","VIDEO")</f>
        <v>VIDEO</v>
      </c>
      <c r="AA5137" s="19" t="str">
        <f>HYPERLINK("https://ssdweb.co/ssdweb/CERTH/627410573.pdf","CERTI")</f>
        <v>CERTI</v>
      </c>
    </row>
    <row r="5138" spans="1:27" ht="15" x14ac:dyDescent="0.25">
      <c r="A5138" s="2">
        <v>5133</v>
      </c>
      <c r="B5138" s="39">
        <v>925890529</v>
      </c>
      <c r="C5138" s="28" t="str">
        <f>HYPERLINK("https://pld.live/RapDetail.aspx?STONELIST=925890529","DNA")</f>
        <v>DNA</v>
      </c>
      <c r="D5138" s="18" t="s">
        <v>711</v>
      </c>
      <c r="E5138" s="18" t="s">
        <v>5128</v>
      </c>
      <c r="F5138" s="2" t="s">
        <v>7987</v>
      </c>
      <c r="G5138" s="2" t="s">
        <v>7322</v>
      </c>
      <c r="H5138" s="14">
        <v>1.51</v>
      </c>
      <c r="I5138" s="2" t="s">
        <v>267</v>
      </c>
      <c r="J5138" s="2" t="s">
        <v>13</v>
      </c>
      <c r="K5138" s="2" t="s">
        <v>1452</v>
      </c>
      <c r="L5138" s="2" t="s">
        <v>5221</v>
      </c>
      <c r="M5138" s="2" t="s">
        <v>5221</v>
      </c>
      <c r="N5138" s="2" t="s">
        <v>2317</v>
      </c>
      <c r="O5138" s="14">
        <v>11600</v>
      </c>
      <c r="P5138" s="14">
        <v>99.04</v>
      </c>
      <c r="Q5138" s="14">
        <v>111.36</v>
      </c>
      <c r="R5138" s="14">
        <v>168.15</v>
      </c>
      <c r="S5138" s="2" t="s">
        <v>1457</v>
      </c>
      <c r="T5138" s="2">
        <v>1.38</v>
      </c>
      <c r="U5138" s="2">
        <v>67.5</v>
      </c>
      <c r="V5138" s="2">
        <v>67</v>
      </c>
      <c r="W5138" s="2" t="s">
        <v>7862</v>
      </c>
      <c r="X5138" s="2" t="s">
        <v>2897</v>
      </c>
      <c r="Y5138" s="2">
        <v>17516</v>
      </c>
      <c r="Z5138" s="19" t="str">
        <f>HYPERLINK("https://ssdweb.co/ssdweb/hd/Vision360.html?d=925890529&amp;zoomslide=1&amp;z=1925890529&amp;ISCONFIRM=0","VIDEO")</f>
        <v>VIDEO</v>
      </c>
      <c r="AA5138" s="19" t="str">
        <f>HYPERLINK("https://ssdweb.co/ssdweb/CERTH/628463268.pdf","CERTI")</f>
        <v>CERTI</v>
      </c>
    </row>
    <row r="5139" spans="1:27" ht="15" x14ac:dyDescent="0.25">
      <c r="A5139" s="2">
        <v>5134</v>
      </c>
      <c r="B5139" s="39">
        <v>925801671</v>
      </c>
      <c r="C5139" s="28" t="str">
        <f>HYPERLINK("https://pld.live/RapDetail.aspx?STONELIST=925801671","DNA")</f>
        <v>DNA</v>
      </c>
      <c r="D5139" s="18" t="s">
        <v>711</v>
      </c>
      <c r="E5139" s="18" t="s">
        <v>5128</v>
      </c>
      <c r="F5139" s="2" t="s">
        <v>7987</v>
      </c>
      <c r="G5139" s="2" t="s">
        <v>7322</v>
      </c>
      <c r="H5139" s="14">
        <v>1.51</v>
      </c>
      <c r="I5139" s="2" t="s">
        <v>267</v>
      </c>
      <c r="J5139" s="2" t="s">
        <v>13</v>
      </c>
      <c r="K5139" s="2" t="s">
        <v>1452</v>
      </c>
      <c r="L5139" s="2" t="s">
        <v>5221</v>
      </c>
      <c r="M5139" s="2" t="s">
        <v>5221</v>
      </c>
      <c r="N5139" s="2" t="s">
        <v>2317</v>
      </c>
      <c r="O5139" s="14">
        <v>11600</v>
      </c>
      <c r="P5139" s="14">
        <v>99.04</v>
      </c>
      <c r="Q5139" s="14">
        <v>111.36</v>
      </c>
      <c r="R5139" s="14">
        <v>168.15</v>
      </c>
      <c r="S5139" s="2" t="s">
        <v>1839</v>
      </c>
      <c r="T5139" s="2">
        <v>1.38</v>
      </c>
      <c r="U5139" s="2">
        <v>66.7</v>
      </c>
      <c r="V5139" s="2">
        <v>65</v>
      </c>
      <c r="W5139" s="2" t="s">
        <v>7862</v>
      </c>
      <c r="X5139" s="2" t="s">
        <v>2897</v>
      </c>
      <c r="Y5139" s="2">
        <v>17516</v>
      </c>
      <c r="Z5139" s="19" t="str">
        <f>HYPERLINK("https://ssdweb.co/ssdweb/hd/Vision360.html?d=925801671&amp;zoomslide=1&amp;z=1925801671&amp;ISCONFIRM=0","VIDEO")</f>
        <v>VIDEO</v>
      </c>
      <c r="AA5139" s="19" t="str">
        <f>HYPERLINK("https://ssdweb.co/ssdweb/CERTH/626427641.pdf","CERTI")</f>
        <v>CERTI</v>
      </c>
    </row>
    <row r="5140" spans="1:27" ht="15" x14ac:dyDescent="0.25">
      <c r="A5140" s="2">
        <v>5135</v>
      </c>
      <c r="B5140" s="39">
        <v>926930824</v>
      </c>
      <c r="C5140" s="28" t="str">
        <f>HYPERLINK("https://pld.live/RapDetail.aspx?STONELIST=926930824","DNA")</f>
        <v>DNA</v>
      </c>
      <c r="D5140" s="18" t="s">
        <v>711</v>
      </c>
      <c r="E5140" s="18" t="s">
        <v>2186</v>
      </c>
      <c r="F5140" s="2" t="s">
        <v>7987</v>
      </c>
      <c r="G5140" s="2" t="s">
        <v>7322</v>
      </c>
      <c r="H5140" s="14">
        <v>1.51</v>
      </c>
      <c r="I5140" s="2" t="s">
        <v>267</v>
      </c>
      <c r="J5140" s="2" t="s">
        <v>13</v>
      </c>
      <c r="K5140" s="2" t="s">
        <v>1452</v>
      </c>
      <c r="L5140" s="2" t="s">
        <v>5221</v>
      </c>
      <c r="M5140" s="2" t="s">
        <v>5221</v>
      </c>
      <c r="N5140" s="2" t="s">
        <v>2317</v>
      </c>
      <c r="O5140" s="14">
        <v>11600</v>
      </c>
      <c r="P5140" s="14">
        <v>99.02</v>
      </c>
      <c r="Q5140" s="14">
        <v>113.68</v>
      </c>
      <c r="R5140" s="14">
        <v>171.66</v>
      </c>
      <c r="S5140" s="2" t="s">
        <v>1940</v>
      </c>
      <c r="T5140" s="2">
        <v>1.44</v>
      </c>
      <c r="U5140" s="2">
        <v>64</v>
      </c>
      <c r="V5140" s="2">
        <v>68</v>
      </c>
      <c r="W5140" s="2" t="s">
        <v>7862</v>
      </c>
      <c r="X5140" s="2" t="s">
        <v>2897</v>
      </c>
      <c r="Y5140" s="2">
        <v>17516</v>
      </c>
      <c r="Z5140" s="19" t="str">
        <f>HYPERLINK("https://ssdweb.co/ssdweb/hd/Vision360.html?d=926930824&amp;zoomslide=1&amp;z=1926930824&amp;ISCONFIRM=0","VIDEO")</f>
        <v>VIDEO</v>
      </c>
      <c r="AA5140" s="19" t="str">
        <f>HYPERLINK("https://ssdweb.co/ssdweb/CERTH/659437014.pdf","CERTI")</f>
        <v>CERTI</v>
      </c>
    </row>
    <row r="5141" spans="1:27" ht="15" x14ac:dyDescent="0.25">
      <c r="A5141" s="2">
        <v>5136</v>
      </c>
      <c r="B5141" s="39">
        <v>926200801</v>
      </c>
      <c r="C5141" s="28" t="str">
        <f>HYPERLINK("https://pld.live/RapDetail.aspx?STONELIST=926200801","DNA")</f>
        <v>DNA</v>
      </c>
      <c r="D5141" s="18" t="s">
        <v>711</v>
      </c>
      <c r="E5141" s="18" t="s">
        <v>5128</v>
      </c>
      <c r="F5141" s="2" t="s">
        <v>7987</v>
      </c>
      <c r="G5141" s="2" t="s">
        <v>7322</v>
      </c>
      <c r="H5141" s="14">
        <v>1.51</v>
      </c>
      <c r="I5141" s="2" t="s">
        <v>267</v>
      </c>
      <c r="J5141" s="2" t="s">
        <v>13</v>
      </c>
      <c r="K5141" s="2" t="s">
        <v>1452</v>
      </c>
      <c r="L5141" s="2" t="s">
        <v>5221</v>
      </c>
      <c r="M5141" s="2" t="s">
        <v>5221</v>
      </c>
      <c r="N5141" s="2" t="s">
        <v>2317</v>
      </c>
      <c r="O5141" s="14">
        <v>11600</v>
      </c>
      <c r="P5141" s="14">
        <v>99.03</v>
      </c>
      <c r="Q5141" s="14">
        <v>112.52</v>
      </c>
      <c r="R5141" s="14">
        <v>169.91</v>
      </c>
      <c r="S5141" s="2" t="s">
        <v>4194</v>
      </c>
      <c r="T5141" s="2">
        <v>1.38</v>
      </c>
      <c r="U5141" s="2">
        <v>64.5</v>
      </c>
      <c r="V5141" s="2">
        <v>65</v>
      </c>
      <c r="W5141" s="2" t="s">
        <v>7862</v>
      </c>
      <c r="X5141" s="2" t="s">
        <v>2897</v>
      </c>
      <c r="Y5141" s="2">
        <v>17516</v>
      </c>
      <c r="Z5141" s="19" t="str">
        <f>HYPERLINK("https://ssdweb.co/ssdweb/hd/Vision360.html?d=926200801&amp;zoomslide=1&amp;z=1926200801&amp;ISCONFIRM=0","VIDEO")</f>
        <v>VIDEO</v>
      </c>
      <c r="AA5141" s="19" t="str">
        <f>HYPERLINK("https://ssdweb.co/ssdweb/CERTH/635426990.pdf","CERTI")</f>
        <v>CERTI</v>
      </c>
    </row>
    <row r="5142" spans="1:27" ht="15" x14ac:dyDescent="0.25">
      <c r="A5142" s="2">
        <v>5137</v>
      </c>
      <c r="B5142" s="39">
        <v>925721915</v>
      </c>
      <c r="C5142" s="28" t="str">
        <f>HYPERLINK("https://pld.live/RapDetail.aspx?STONELIST=925721915","DNA")</f>
        <v>DNA</v>
      </c>
      <c r="D5142" s="18" t="s">
        <v>711</v>
      </c>
      <c r="E5142" s="18" t="s">
        <v>5128</v>
      </c>
      <c r="F5142" s="2" t="s">
        <v>7987</v>
      </c>
      <c r="G5142" s="2" t="s">
        <v>7322</v>
      </c>
      <c r="H5142" s="14">
        <v>1.51</v>
      </c>
      <c r="I5142" s="2" t="s">
        <v>267</v>
      </c>
      <c r="J5142" s="2" t="s">
        <v>13</v>
      </c>
      <c r="K5142" s="2" t="s">
        <v>1452</v>
      </c>
      <c r="L5142" s="2" t="s">
        <v>5221</v>
      </c>
      <c r="M5142" s="2" t="s">
        <v>5221</v>
      </c>
      <c r="N5142" s="2" t="s">
        <v>2317</v>
      </c>
      <c r="O5142" s="14">
        <v>11600</v>
      </c>
      <c r="P5142" s="14">
        <v>99.04</v>
      </c>
      <c r="Q5142" s="14">
        <v>111.36</v>
      </c>
      <c r="R5142" s="14">
        <v>168.15</v>
      </c>
      <c r="S5142" s="2" t="s">
        <v>3968</v>
      </c>
      <c r="T5142" s="2">
        <v>1.37</v>
      </c>
      <c r="U5142" s="2">
        <v>66.7</v>
      </c>
      <c r="V5142" s="2">
        <v>63</v>
      </c>
      <c r="W5142" s="2" t="s">
        <v>7862</v>
      </c>
      <c r="X5142" s="2" t="s">
        <v>2897</v>
      </c>
      <c r="Y5142" s="2">
        <v>17516</v>
      </c>
      <c r="Z5142" s="19" t="str">
        <f>HYPERLINK("https://ssdweb.co/ssdweb/hd/Vision360.html?d=925721915&amp;zoomslide=1&amp;z=1925721915&amp;ISCONFIRM=0","VIDEO")</f>
        <v>VIDEO</v>
      </c>
      <c r="AA5142" s="19" t="str">
        <f>HYPERLINK("https://ssdweb.co/ssdweb/CERTH/624420537.pdf","CERTI")</f>
        <v>CERTI</v>
      </c>
    </row>
    <row r="5143" spans="1:27" ht="15" x14ac:dyDescent="0.25">
      <c r="A5143" s="2">
        <v>5138</v>
      </c>
      <c r="B5143" s="39">
        <v>925730812</v>
      </c>
      <c r="C5143" s="28" t="str">
        <f>HYPERLINK("https://pld.live/RapDetail.aspx?STONELIST=925730812","DNA")</f>
        <v>DNA</v>
      </c>
      <c r="D5143" s="18" t="s">
        <v>711</v>
      </c>
      <c r="E5143" s="18" t="s">
        <v>5128</v>
      </c>
      <c r="F5143" s="2" t="s">
        <v>7987</v>
      </c>
      <c r="G5143" s="2" t="s">
        <v>7322</v>
      </c>
      <c r="H5143" s="14">
        <v>1.51</v>
      </c>
      <c r="I5143" s="2" t="s">
        <v>267</v>
      </c>
      <c r="J5143" s="2" t="s">
        <v>13</v>
      </c>
      <c r="K5143" s="2" t="s">
        <v>1452</v>
      </c>
      <c r="L5143" s="2" t="s">
        <v>5221</v>
      </c>
      <c r="M5143" s="2" t="s">
        <v>5221</v>
      </c>
      <c r="N5143" s="2" t="s">
        <v>2317</v>
      </c>
      <c r="O5143" s="14">
        <v>11600</v>
      </c>
      <c r="P5143" s="14">
        <v>99.04</v>
      </c>
      <c r="Q5143" s="14">
        <v>111.36</v>
      </c>
      <c r="R5143" s="14">
        <v>168.15</v>
      </c>
      <c r="S5143" s="2" t="s">
        <v>5177</v>
      </c>
      <c r="T5143" s="2">
        <v>1.43</v>
      </c>
      <c r="U5143" s="2">
        <v>66</v>
      </c>
      <c r="V5143" s="2">
        <v>61</v>
      </c>
      <c r="W5143" s="2" t="s">
        <v>7862</v>
      </c>
      <c r="X5143" s="2" t="s">
        <v>2897</v>
      </c>
      <c r="Y5143" s="2">
        <v>17516</v>
      </c>
      <c r="Z5143" s="19" t="str">
        <f>HYPERLINK("https://ssdweb.co/ssdweb/hd/Vision360.html?d=925730812&amp;zoomslide=1&amp;z=1925730812&amp;ISCONFIRM=0","VIDEO")</f>
        <v>VIDEO</v>
      </c>
      <c r="AA5143" s="19" t="str">
        <f>HYPERLINK("https://ssdweb.co/ssdweb/CERTH/623493305.pdf","CERTI")</f>
        <v>CERTI</v>
      </c>
    </row>
    <row r="5144" spans="1:27" ht="15" x14ac:dyDescent="0.25">
      <c r="A5144" s="2">
        <v>5139</v>
      </c>
      <c r="B5144" s="39">
        <v>926171125</v>
      </c>
      <c r="C5144" s="28" t="str">
        <f>HYPERLINK("https://pld.live/RapDetail.aspx?STONELIST=926171125","DNA")</f>
        <v>DNA</v>
      </c>
      <c r="D5144" s="18" t="s">
        <v>711</v>
      </c>
      <c r="E5144" s="18" t="s">
        <v>5128</v>
      </c>
      <c r="F5144" s="2" t="s">
        <v>7987</v>
      </c>
      <c r="G5144" s="2" t="s">
        <v>7322</v>
      </c>
      <c r="H5144" s="14">
        <v>1.51</v>
      </c>
      <c r="I5144" s="2" t="s">
        <v>267</v>
      </c>
      <c r="J5144" s="2" t="s">
        <v>13</v>
      </c>
      <c r="K5144" s="2" t="s">
        <v>1452</v>
      </c>
      <c r="L5144" s="2" t="s">
        <v>5221</v>
      </c>
      <c r="M5144" s="2" t="s">
        <v>5221</v>
      </c>
      <c r="N5144" s="2" t="s">
        <v>2317</v>
      </c>
      <c r="O5144" s="14">
        <v>11600</v>
      </c>
      <c r="P5144" s="14">
        <v>99.03</v>
      </c>
      <c r="Q5144" s="14">
        <v>112.52</v>
      </c>
      <c r="R5144" s="14">
        <v>169.91</v>
      </c>
      <c r="S5144" s="2" t="s">
        <v>162</v>
      </c>
      <c r="T5144" s="2">
        <v>1.5</v>
      </c>
      <c r="U5144" s="2">
        <v>68.7</v>
      </c>
      <c r="V5144" s="2">
        <v>66</v>
      </c>
      <c r="W5144" s="2" t="s">
        <v>7862</v>
      </c>
      <c r="X5144" s="2" t="s">
        <v>2897</v>
      </c>
      <c r="Y5144" s="2">
        <v>17516</v>
      </c>
      <c r="Z5144" s="19" t="str">
        <f>HYPERLINK("https://ssdweb.co/ssdweb/hd/Vision360.html?d=926171125&amp;zoomslide=1&amp;z=1926171125&amp;ISCONFIRM=0","VIDEO")</f>
        <v>VIDEO</v>
      </c>
      <c r="AA5144" s="19" t="str">
        <f>HYPERLINK("https://ssdweb.co/ssdweb/CERTH/634472349.pdf","CERTI")</f>
        <v>CERTI</v>
      </c>
    </row>
    <row r="5145" spans="1:27" ht="15" x14ac:dyDescent="0.25">
      <c r="A5145" s="2">
        <v>5140</v>
      </c>
      <c r="B5145" s="39">
        <v>926100834</v>
      </c>
      <c r="C5145" s="28" t="str">
        <f>HYPERLINK("https://pld.live/RapDetail.aspx?STONELIST=926100834","DNA")</f>
        <v>DNA</v>
      </c>
      <c r="D5145" s="18" t="s">
        <v>711</v>
      </c>
      <c r="E5145" s="18" t="s">
        <v>5128</v>
      </c>
      <c r="F5145" s="2" t="s">
        <v>7987</v>
      </c>
      <c r="G5145" s="2" t="s">
        <v>7322</v>
      </c>
      <c r="H5145" s="14">
        <v>1.51</v>
      </c>
      <c r="I5145" s="2" t="s">
        <v>267</v>
      </c>
      <c r="J5145" s="2" t="s">
        <v>13</v>
      </c>
      <c r="K5145" s="2" t="s">
        <v>1452</v>
      </c>
      <c r="L5145" s="2" t="s">
        <v>5221</v>
      </c>
      <c r="M5145" s="2" t="s">
        <v>5221</v>
      </c>
      <c r="N5145" s="2" t="s">
        <v>2317</v>
      </c>
      <c r="O5145" s="14">
        <v>11600</v>
      </c>
      <c r="P5145" s="14">
        <v>99.03</v>
      </c>
      <c r="Q5145" s="14">
        <v>112.52</v>
      </c>
      <c r="R5145" s="14">
        <v>169.91</v>
      </c>
      <c r="S5145" s="2" t="s">
        <v>3484</v>
      </c>
      <c r="T5145" s="2">
        <v>1.38</v>
      </c>
      <c r="U5145" s="2">
        <v>64.900000000000006</v>
      </c>
      <c r="V5145" s="2">
        <v>59</v>
      </c>
      <c r="W5145" s="2" t="s">
        <v>7862</v>
      </c>
      <c r="X5145" s="2" t="s">
        <v>2897</v>
      </c>
      <c r="Y5145" s="2">
        <v>17516</v>
      </c>
      <c r="Z5145" s="19" t="str">
        <f>HYPERLINK("https://ssdweb.co/ssdweb/hd/Vision360.html?d=926100834&amp;zoomslide=1&amp;z=1926100834&amp;ISCONFIRM=0","VIDEO")</f>
        <v>VIDEO</v>
      </c>
      <c r="AA5145" s="19" t="str">
        <f>HYPERLINK("https://ssdweb.co/ssdweb/CERTH/631464032.pdf","CERTI")</f>
        <v>CERTI</v>
      </c>
    </row>
    <row r="5146" spans="1:27" ht="15" x14ac:dyDescent="0.25">
      <c r="A5146" s="2">
        <v>5141</v>
      </c>
      <c r="B5146" s="39">
        <v>925621997</v>
      </c>
      <c r="C5146" s="28" t="str">
        <f>HYPERLINK("https://pld.live/RapDetail.aspx?STONELIST=925621997","DNA")</f>
        <v>DNA</v>
      </c>
      <c r="D5146" s="18" t="s">
        <v>711</v>
      </c>
      <c r="E5146" s="18" t="s">
        <v>5128</v>
      </c>
      <c r="F5146" s="2" t="s">
        <v>7987</v>
      </c>
      <c r="G5146" s="2" t="s">
        <v>7322</v>
      </c>
      <c r="H5146" s="14">
        <v>1.51</v>
      </c>
      <c r="I5146" s="2" t="s">
        <v>267</v>
      </c>
      <c r="J5146" s="2" t="s">
        <v>13</v>
      </c>
      <c r="K5146" s="2" t="s">
        <v>1452</v>
      </c>
      <c r="L5146" s="2" t="s">
        <v>5221</v>
      </c>
      <c r="M5146" s="2" t="s">
        <v>5221</v>
      </c>
      <c r="N5146" s="2" t="s">
        <v>2317</v>
      </c>
      <c r="O5146" s="14">
        <v>11600</v>
      </c>
      <c r="P5146" s="14">
        <v>99.04</v>
      </c>
      <c r="Q5146" s="14">
        <v>111.36</v>
      </c>
      <c r="R5146" s="14">
        <v>168.15</v>
      </c>
      <c r="S5146" s="2" t="s">
        <v>5490</v>
      </c>
      <c r="T5146" s="2">
        <v>1.47</v>
      </c>
      <c r="U5146" s="2">
        <v>64.7</v>
      </c>
      <c r="V5146" s="2">
        <v>65</v>
      </c>
      <c r="W5146" s="2" t="s">
        <v>7862</v>
      </c>
      <c r="X5146" s="2" t="s">
        <v>2897</v>
      </c>
      <c r="Y5146" s="2">
        <v>17516</v>
      </c>
      <c r="Z5146" s="19" t="str">
        <f>HYPERLINK("https://ssdweb.co/ssdweb/hd/Vision360.html?d=925621997&amp;zoomslide=1&amp;z=1925621997&amp;ISCONFIRM=0","VIDEO")</f>
        <v>VIDEO</v>
      </c>
      <c r="AA5146" s="19" t="str">
        <f>HYPERLINK("https://ssdweb.co/ssdweb/CERTH/625458012.pdf","CERTI")</f>
        <v>CERTI</v>
      </c>
    </row>
    <row r="5147" spans="1:27" ht="15" x14ac:dyDescent="0.25">
      <c r="A5147" s="2">
        <v>5142</v>
      </c>
      <c r="B5147" s="39">
        <v>926171509</v>
      </c>
      <c r="C5147" s="28" t="str">
        <f>HYPERLINK("https://pld.live/RapDetail.aspx?STONELIST=926171509","DNA")</f>
        <v>DNA</v>
      </c>
      <c r="D5147" s="18" t="s">
        <v>711</v>
      </c>
      <c r="E5147" s="18" t="s">
        <v>5128</v>
      </c>
      <c r="F5147" s="2" t="s">
        <v>7987</v>
      </c>
      <c r="G5147" s="2" t="s">
        <v>7322</v>
      </c>
      <c r="H5147" s="14">
        <v>1.51</v>
      </c>
      <c r="I5147" s="2" t="s">
        <v>267</v>
      </c>
      <c r="J5147" s="2" t="s">
        <v>13</v>
      </c>
      <c r="K5147" s="2" t="s">
        <v>1452</v>
      </c>
      <c r="L5147" s="2" t="s">
        <v>5221</v>
      </c>
      <c r="M5147" s="2" t="s">
        <v>5221</v>
      </c>
      <c r="N5147" s="2" t="s">
        <v>2317</v>
      </c>
      <c r="O5147" s="14">
        <v>11600</v>
      </c>
      <c r="P5147" s="14">
        <v>99.03</v>
      </c>
      <c r="Q5147" s="14">
        <v>112.52</v>
      </c>
      <c r="R5147" s="14">
        <v>169.91</v>
      </c>
      <c r="S5147" s="2" t="s">
        <v>2437</v>
      </c>
      <c r="T5147" s="2">
        <v>1.36</v>
      </c>
      <c r="U5147" s="2">
        <v>64.400000000000006</v>
      </c>
      <c r="V5147" s="2">
        <v>68</v>
      </c>
      <c r="W5147" s="2" t="s">
        <v>7862</v>
      </c>
      <c r="X5147" s="2" t="s">
        <v>2897</v>
      </c>
      <c r="Y5147" s="2">
        <v>17516</v>
      </c>
      <c r="Z5147" s="19" t="str">
        <f>HYPERLINK("https://ssdweb.co/ssdweb/hd/Vision360.html?d=926171509&amp;zoomslide=1&amp;z=1926171509&amp;ISCONFIRM=0","VIDEO")</f>
        <v>VIDEO</v>
      </c>
      <c r="AA5147" s="19" t="str">
        <f>HYPERLINK("https://ssdweb.co/ssdweb/CERTH/635423888.pdf","CERTI")</f>
        <v>CERTI</v>
      </c>
    </row>
    <row r="5148" spans="1:27" ht="15" x14ac:dyDescent="0.25">
      <c r="A5148" s="2">
        <v>5143</v>
      </c>
      <c r="B5148" s="39">
        <v>925731566</v>
      </c>
      <c r="C5148" s="28" t="str">
        <f>HYPERLINK("https://pld.live/RapDetail.aspx?STONELIST=925731566","DNA")</f>
        <v>DNA</v>
      </c>
      <c r="D5148" s="18" t="s">
        <v>711</v>
      </c>
      <c r="E5148" s="18" t="s">
        <v>5128</v>
      </c>
      <c r="F5148" s="2" t="s">
        <v>7987</v>
      </c>
      <c r="G5148" s="2" t="s">
        <v>7322</v>
      </c>
      <c r="H5148" s="14">
        <v>1.51</v>
      </c>
      <c r="I5148" s="2" t="s">
        <v>267</v>
      </c>
      <c r="J5148" s="2" t="s">
        <v>5144</v>
      </c>
      <c r="K5148" s="2" t="s">
        <v>1452</v>
      </c>
      <c r="L5148" s="2" t="s">
        <v>5221</v>
      </c>
      <c r="M5148" s="2" t="s">
        <v>5221</v>
      </c>
      <c r="N5148" s="2" t="s">
        <v>2317</v>
      </c>
      <c r="O5148" s="14">
        <v>9900</v>
      </c>
      <c r="P5148" s="14">
        <v>98.93</v>
      </c>
      <c r="Q5148" s="14">
        <v>105.93</v>
      </c>
      <c r="R5148" s="14">
        <v>159.94999999999999</v>
      </c>
      <c r="S5148" s="2" t="s">
        <v>3401</v>
      </c>
      <c r="T5148" s="2">
        <v>1.38</v>
      </c>
      <c r="U5148" s="2">
        <v>67.900000000000006</v>
      </c>
      <c r="V5148" s="2">
        <v>61</v>
      </c>
      <c r="W5148" s="2" t="s">
        <v>7862</v>
      </c>
      <c r="X5148" s="2" t="s">
        <v>2897</v>
      </c>
      <c r="Y5148" s="2">
        <v>14949</v>
      </c>
      <c r="Z5148" s="19" t="str">
        <f>HYPERLINK("https://ssdweb.co/ssdweb/hd/Vision360.html?d=925731566&amp;zoomslide=1&amp;z=1925731566&amp;ISCONFIRM=0","VIDEO")</f>
        <v>VIDEO</v>
      </c>
      <c r="AA5148" s="19" t="str">
        <f>HYPERLINK("https://ssdweb.co/ssdweb/CERTH/624440113.pdf","CERTI")</f>
        <v>CERTI</v>
      </c>
    </row>
    <row r="5149" spans="1:27" ht="15" x14ac:dyDescent="0.25">
      <c r="A5149" s="2">
        <v>5144</v>
      </c>
      <c r="B5149" s="39">
        <v>831010696</v>
      </c>
      <c r="C5149" s="28" t="str">
        <f>HYPERLINK("https://pld.live/RapDetail.aspx?STONELIST=831010696","DNA")</f>
        <v>DNA</v>
      </c>
      <c r="D5149" s="18" t="s">
        <v>711</v>
      </c>
      <c r="E5149" s="18" t="s">
        <v>5128</v>
      </c>
      <c r="F5149" s="2" t="s">
        <v>7987</v>
      </c>
      <c r="G5149" s="2" t="s">
        <v>7322</v>
      </c>
      <c r="H5149" s="14">
        <v>1.51</v>
      </c>
      <c r="I5149" s="2" t="s">
        <v>267</v>
      </c>
      <c r="J5149" s="2" t="s">
        <v>5144</v>
      </c>
      <c r="K5149" s="2" t="s">
        <v>1452</v>
      </c>
      <c r="L5149" s="2" t="s">
        <v>5221</v>
      </c>
      <c r="M5149" s="2" t="s">
        <v>5221</v>
      </c>
      <c r="N5149" s="2" t="s">
        <v>2317</v>
      </c>
      <c r="O5149" s="14">
        <v>9900</v>
      </c>
      <c r="P5149" s="14">
        <v>98.93</v>
      </c>
      <c r="Q5149" s="14">
        <v>105.93</v>
      </c>
      <c r="R5149" s="14">
        <v>159.94999999999999</v>
      </c>
      <c r="S5149" s="2" t="s">
        <v>1228</v>
      </c>
      <c r="T5149" s="2">
        <v>1.37</v>
      </c>
      <c r="U5149" s="2">
        <v>68.3</v>
      </c>
      <c r="V5149" s="2">
        <v>67.5</v>
      </c>
      <c r="W5149" s="2" t="s">
        <v>7862</v>
      </c>
      <c r="X5149" s="2" t="s">
        <v>2897</v>
      </c>
      <c r="Y5149" s="2">
        <v>14949</v>
      </c>
      <c r="Z5149" s="19" t="str">
        <f>HYPERLINK("https://ssdweb.co/ssdweb/hd/Vision360.html?d=831010696&amp;zoomslide=1&amp;z=1831010696&amp;ISCONFIRM=0","VIDEO")</f>
        <v>VIDEO</v>
      </c>
      <c r="AA5149" s="19" t="str">
        <f>HYPERLINK("https://ssdweb.co/ssdweb/CERTH/551299009.pdf","CERTI")</f>
        <v>CERTI</v>
      </c>
    </row>
    <row r="5150" spans="1:27" ht="15" x14ac:dyDescent="0.25">
      <c r="A5150" s="2">
        <v>5145</v>
      </c>
      <c r="B5150" s="39">
        <v>925521448</v>
      </c>
      <c r="C5150" s="28" t="str">
        <f>HYPERLINK("https://pld.live/RapDetail.aspx?STONELIST=925521448","DNA")</f>
        <v>DNA</v>
      </c>
      <c r="D5150" s="18" t="s">
        <v>711</v>
      </c>
      <c r="E5150" s="18" t="s">
        <v>5128</v>
      </c>
      <c r="F5150" s="2" t="s">
        <v>7987</v>
      </c>
      <c r="G5150" s="2" t="s">
        <v>7322</v>
      </c>
      <c r="H5150" s="14">
        <v>1.51</v>
      </c>
      <c r="I5150" s="2" t="s">
        <v>267</v>
      </c>
      <c r="J5150" s="2" t="s">
        <v>5144</v>
      </c>
      <c r="K5150" s="2" t="s">
        <v>1452</v>
      </c>
      <c r="L5150" s="2" t="s">
        <v>5221</v>
      </c>
      <c r="M5150" s="2" t="s">
        <v>5221</v>
      </c>
      <c r="N5150" s="2" t="s">
        <v>2317</v>
      </c>
      <c r="O5150" s="14">
        <v>9900</v>
      </c>
      <c r="P5150" s="14">
        <v>98.93</v>
      </c>
      <c r="Q5150" s="14">
        <v>105.93</v>
      </c>
      <c r="R5150" s="14">
        <v>159.94999999999999</v>
      </c>
      <c r="S5150" s="2" t="s">
        <v>285</v>
      </c>
      <c r="T5150" s="2">
        <v>1.4</v>
      </c>
      <c r="U5150" s="2">
        <v>67.5</v>
      </c>
      <c r="V5150" s="2">
        <v>63</v>
      </c>
      <c r="W5150" s="2" t="s">
        <v>7862</v>
      </c>
      <c r="X5150" s="2" t="s">
        <v>2897</v>
      </c>
      <c r="Y5150" s="2">
        <v>14949</v>
      </c>
      <c r="Z5150" s="19" t="str">
        <f>HYPERLINK("https://ssdweb.co/ssdweb/hd/Vision360.html?d=925521448&amp;zoomslide=1&amp;z=1925521448&amp;ISCONFIRM=0","VIDEO")</f>
        <v>VIDEO</v>
      </c>
      <c r="AA5150" s="19" t="str">
        <f>HYPERLINK("https://ssdweb.co/ssdweb/CERTH/619424163.pdf","CERTI")</f>
        <v>CERTI</v>
      </c>
    </row>
    <row r="5151" spans="1:27" ht="15" x14ac:dyDescent="0.25">
      <c r="A5151" s="2">
        <v>5146</v>
      </c>
      <c r="B5151" s="39">
        <v>925721183</v>
      </c>
      <c r="C5151" s="28" t="str">
        <f>HYPERLINK("https://pld.live/RapDetail.aspx?STONELIST=925721183","DNA")</f>
        <v>DNA</v>
      </c>
      <c r="D5151" s="18" t="s">
        <v>711</v>
      </c>
      <c r="E5151" s="18" t="s">
        <v>5128</v>
      </c>
      <c r="F5151" s="2" t="s">
        <v>5597</v>
      </c>
      <c r="G5151" s="2" t="s">
        <v>7322</v>
      </c>
      <c r="H5151" s="14">
        <v>1.51</v>
      </c>
      <c r="I5151" s="2" t="s">
        <v>267</v>
      </c>
      <c r="J5151" s="2" t="s">
        <v>5144</v>
      </c>
      <c r="K5151" s="2" t="s">
        <v>1452</v>
      </c>
      <c r="L5151" s="2" t="s">
        <v>5221</v>
      </c>
      <c r="M5151" s="2" t="s">
        <v>5221</v>
      </c>
      <c r="N5151" s="2" t="s">
        <v>2317</v>
      </c>
      <c r="O5151" s="14">
        <v>9900</v>
      </c>
      <c r="P5151" s="14">
        <v>97.72</v>
      </c>
      <c r="Q5151" s="14">
        <v>225.72</v>
      </c>
      <c r="R5151" s="14">
        <v>340.84</v>
      </c>
      <c r="S5151" s="2" t="s">
        <v>7446</v>
      </c>
      <c r="T5151" s="2">
        <v>1.4</v>
      </c>
      <c r="U5151" s="2">
        <v>63</v>
      </c>
      <c r="V5151" s="2">
        <v>68</v>
      </c>
      <c r="W5151" s="2" t="s">
        <v>7862</v>
      </c>
      <c r="X5151" s="2" t="s">
        <v>2897</v>
      </c>
      <c r="Y5151" s="2">
        <v>14949</v>
      </c>
      <c r="Z5151" s="19" t="str">
        <f>HYPERLINK("https://ssdweb.co/ssdweb/hd/Vision360.html?d=925721183&amp;zoomslide=1&amp;z=1925721183&amp;ISCONFIRM=0","VIDEO")</f>
        <v>VIDEO</v>
      </c>
      <c r="AA5151" s="19" t="str">
        <f>HYPERLINK("https://ssdweb.co/ssdweb/CERTH/1489686996.pdf","CERTI")</f>
        <v>CERTI</v>
      </c>
    </row>
    <row r="5152" spans="1:27" ht="15" x14ac:dyDescent="0.25">
      <c r="A5152" s="2">
        <v>5147</v>
      </c>
      <c r="B5152" s="39">
        <v>926200799</v>
      </c>
      <c r="C5152" s="28" t="str">
        <f>HYPERLINK("https://pld.live/RapDetail.aspx?STONELIST=926200799","DNA")</f>
        <v>DNA</v>
      </c>
      <c r="D5152" s="18" t="s">
        <v>711</v>
      </c>
      <c r="E5152" s="18" t="s">
        <v>5128</v>
      </c>
      <c r="F5152" s="2" t="s">
        <v>7987</v>
      </c>
      <c r="G5152" s="2" t="s">
        <v>7322</v>
      </c>
      <c r="H5152" s="14">
        <v>1.51</v>
      </c>
      <c r="I5152" s="2" t="s">
        <v>267</v>
      </c>
      <c r="J5152" s="2" t="s">
        <v>5144</v>
      </c>
      <c r="K5152" s="2" t="s">
        <v>1452</v>
      </c>
      <c r="L5152" s="2" t="s">
        <v>5221</v>
      </c>
      <c r="M5152" s="2" t="s">
        <v>5721</v>
      </c>
      <c r="N5152" s="2" t="s">
        <v>2317</v>
      </c>
      <c r="O5152" s="14">
        <v>9900</v>
      </c>
      <c r="P5152" s="14">
        <v>98.92</v>
      </c>
      <c r="Q5152" s="14">
        <v>106.92</v>
      </c>
      <c r="R5152" s="14">
        <v>161.44999999999999</v>
      </c>
      <c r="S5152" s="2" t="s">
        <v>5030</v>
      </c>
      <c r="T5152" s="2">
        <v>1.36</v>
      </c>
      <c r="U5152" s="2">
        <v>68.2</v>
      </c>
      <c r="V5152" s="2">
        <v>59</v>
      </c>
      <c r="W5152" s="2" t="s">
        <v>7862</v>
      </c>
      <c r="X5152" s="2" t="s">
        <v>2897</v>
      </c>
      <c r="Y5152" s="2">
        <v>14949</v>
      </c>
      <c r="Z5152" s="19" t="str">
        <f>HYPERLINK("https://ssdweb.co/ssdweb/hd/Vision360.html?d=926200799&amp;zoomslide=1&amp;z=1926200799&amp;ISCONFIRM=0","VIDEO")</f>
        <v>VIDEO</v>
      </c>
      <c r="AA5152" s="19" t="str">
        <f>HYPERLINK("https://ssdweb.co/ssdweb/CERTH/635426989.pdf","CERTI")</f>
        <v>CERTI</v>
      </c>
    </row>
    <row r="5153" spans="1:27" ht="15" x14ac:dyDescent="0.25">
      <c r="A5153" s="2">
        <v>5148</v>
      </c>
      <c r="B5153" s="39">
        <v>923780367</v>
      </c>
      <c r="C5153" s="28" t="str">
        <f>HYPERLINK("https://pld.live/RapDetail.aspx?STONELIST=923780367","DNA")</f>
        <v>DNA</v>
      </c>
      <c r="D5153" s="18" t="s">
        <v>711</v>
      </c>
      <c r="E5153" s="18" t="s">
        <v>5128</v>
      </c>
      <c r="F5153" s="2" t="s">
        <v>7987</v>
      </c>
      <c r="G5153" s="2" t="s">
        <v>7322</v>
      </c>
      <c r="H5153" s="14">
        <v>1.51</v>
      </c>
      <c r="I5153" s="2" t="s">
        <v>267</v>
      </c>
      <c r="J5153" s="2" t="s">
        <v>444</v>
      </c>
      <c r="K5153" s="2" t="s">
        <v>1452</v>
      </c>
      <c r="L5153" s="2" t="s">
        <v>5221</v>
      </c>
      <c r="M5153" s="2" t="s">
        <v>5221</v>
      </c>
      <c r="N5153" s="2" t="s">
        <v>2317</v>
      </c>
      <c r="O5153" s="14">
        <v>8100</v>
      </c>
      <c r="P5153" s="14">
        <v>98.78</v>
      </c>
      <c r="Q5153" s="14">
        <v>98.82</v>
      </c>
      <c r="R5153" s="14">
        <v>149.22</v>
      </c>
      <c r="S5153" s="2" t="s">
        <v>6018</v>
      </c>
      <c r="T5153" s="2">
        <v>1.42</v>
      </c>
      <c r="U5153" s="2">
        <v>67.400000000000006</v>
      </c>
      <c r="V5153" s="2">
        <v>65.5</v>
      </c>
      <c r="W5153" s="2" t="s">
        <v>7862</v>
      </c>
      <c r="X5153" s="2" t="s">
        <v>2897</v>
      </c>
      <c r="Y5153" s="2">
        <v>12231</v>
      </c>
      <c r="Z5153" s="19" t="str">
        <f>HYPERLINK("https://ssdweb.co/ssdweb/hd/Vision360.html?d=923780367&amp;zoomslide=1&amp;z=1923780367&amp;ISCONFIRM=0","VIDEO")</f>
        <v>VIDEO</v>
      </c>
      <c r="AA5153" s="19" t="str">
        <f>HYPERLINK("https://ssdweb.co/ssdweb/CERTH/567343086.pdf","CERTI")</f>
        <v>CERTI</v>
      </c>
    </row>
    <row r="5154" spans="1:27" ht="15" x14ac:dyDescent="0.25">
      <c r="A5154" s="2">
        <v>5149</v>
      </c>
      <c r="B5154" s="39">
        <v>831010608</v>
      </c>
      <c r="C5154" s="28" t="str">
        <f>HYPERLINK("https://pld.live/RapDetail.aspx?STONELIST=831010608","DNA")</f>
        <v>DNA</v>
      </c>
      <c r="D5154" s="18" t="s">
        <v>711</v>
      </c>
      <c r="E5154" s="18" t="s">
        <v>5128</v>
      </c>
      <c r="F5154" s="2" t="s">
        <v>7987</v>
      </c>
      <c r="G5154" s="2" t="s">
        <v>7322</v>
      </c>
      <c r="H5154" s="14">
        <v>1.51</v>
      </c>
      <c r="I5154" s="2" t="s">
        <v>267</v>
      </c>
      <c r="J5154" s="2" t="s">
        <v>444</v>
      </c>
      <c r="K5154" s="2" t="s">
        <v>1452</v>
      </c>
      <c r="L5154" s="2" t="s">
        <v>5221</v>
      </c>
      <c r="M5154" s="2" t="s">
        <v>5221</v>
      </c>
      <c r="N5154" s="2" t="s">
        <v>2317</v>
      </c>
      <c r="O5154" s="14">
        <v>8100</v>
      </c>
      <c r="P5154" s="14">
        <v>98.78</v>
      </c>
      <c r="Q5154" s="14">
        <v>98.82</v>
      </c>
      <c r="R5154" s="14">
        <v>149.22</v>
      </c>
      <c r="S5154" s="2" t="s">
        <v>3250</v>
      </c>
      <c r="T5154" s="2">
        <v>1.38</v>
      </c>
      <c r="U5154" s="2">
        <v>64.099999999999994</v>
      </c>
      <c r="V5154" s="2">
        <v>62</v>
      </c>
      <c r="W5154" s="2" t="s">
        <v>7862</v>
      </c>
      <c r="X5154" s="2" t="s">
        <v>2897</v>
      </c>
      <c r="Y5154" s="2">
        <v>12231</v>
      </c>
      <c r="Z5154" s="19" t="str">
        <f>HYPERLINK("https://ssdweb.co/ssdweb/hd/Vision360.html?d=831010608&amp;zoomslide=1&amp;z=1831010608&amp;ISCONFIRM=0","VIDEO")</f>
        <v>VIDEO</v>
      </c>
      <c r="AA5154" s="19" t="str">
        <f>HYPERLINK("https://ssdweb.co/ssdweb/CERTH/598312875.pdf","CERTI")</f>
        <v>CERTI</v>
      </c>
    </row>
    <row r="5155" spans="1:27" ht="15" x14ac:dyDescent="0.25">
      <c r="A5155" s="2">
        <v>5150</v>
      </c>
      <c r="B5155" s="39">
        <v>926830883</v>
      </c>
      <c r="C5155" s="28" t="str">
        <f>HYPERLINK("https://pld.live/RapDetail.aspx?STONELIST=926830883","DNA")</f>
        <v>DNA</v>
      </c>
      <c r="D5155" s="18" t="s">
        <v>711</v>
      </c>
      <c r="E5155" s="18" t="s">
        <v>5128</v>
      </c>
      <c r="F5155" s="2" t="s">
        <v>7987</v>
      </c>
      <c r="G5155" s="2" t="s">
        <v>7322</v>
      </c>
      <c r="H5155" s="14">
        <v>1.51</v>
      </c>
      <c r="I5155" s="2" t="s">
        <v>4761</v>
      </c>
      <c r="J5155" s="2" t="s">
        <v>6555</v>
      </c>
      <c r="K5155" s="2" t="s">
        <v>1452</v>
      </c>
      <c r="L5155" s="2" t="s">
        <v>5221</v>
      </c>
      <c r="M5155" s="2" t="s">
        <v>5221</v>
      </c>
      <c r="N5155" s="2" t="s">
        <v>2317</v>
      </c>
      <c r="O5155" s="14">
        <v>12400</v>
      </c>
      <c r="P5155" s="14">
        <v>98.89</v>
      </c>
      <c r="Q5155" s="14">
        <v>137.63999999999999</v>
      </c>
      <c r="R5155" s="14">
        <v>207.84</v>
      </c>
      <c r="S5155" s="2" t="s">
        <v>7513</v>
      </c>
      <c r="T5155" s="2">
        <v>1.4</v>
      </c>
      <c r="U5155" s="2">
        <v>68.2</v>
      </c>
      <c r="V5155" s="2">
        <v>64</v>
      </c>
      <c r="W5155" s="2" t="s">
        <v>7862</v>
      </c>
      <c r="X5155" s="2" t="s">
        <v>2897</v>
      </c>
      <c r="Y5155" s="2">
        <v>18724</v>
      </c>
      <c r="Z5155" s="19" t="str">
        <f>HYPERLINK("https://ssdweb.co/ssdweb/hd/Vision360.html?d=926830883&amp;zoomslide=1&amp;z=1926830883&amp;ISCONFIRM=0","VIDEO")</f>
        <v>VIDEO</v>
      </c>
      <c r="AA5155" s="19" t="str">
        <f>HYPERLINK("https://ssdweb.co/ssdweb/CERTH/660490592.pdf","CERTI")</f>
        <v>CERTI</v>
      </c>
    </row>
    <row r="5156" spans="1:27" ht="15" x14ac:dyDescent="0.25">
      <c r="A5156" s="2">
        <v>5151</v>
      </c>
      <c r="B5156" s="39">
        <v>941150102</v>
      </c>
      <c r="C5156" s="28" t="str">
        <f>HYPERLINK("https://pld.live/RapDetail.aspx?STONELIST=941150102","DNA")</f>
        <v>DNA</v>
      </c>
      <c r="D5156" s="18" t="s">
        <v>711</v>
      </c>
      <c r="E5156" s="18" t="s">
        <v>2186</v>
      </c>
      <c r="F5156" s="2" t="s">
        <v>7987</v>
      </c>
      <c r="G5156" s="2" t="s">
        <v>7322</v>
      </c>
      <c r="H5156" s="14">
        <v>1.51</v>
      </c>
      <c r="I5156" s="2" t="s">
        <v>4761</v>
      </c>
      <c r="J5156" s="2" t="s">
        <v>6555</v>
      </c>
      <c r="K5156" s="2" t="s">
        <v>1452</v>
      </c>
      <c r="L5156" s="2" t="s">
        <v>5221</v>
      </c>
      <c r="M5156" s="2" t="s">
        <v>5221</v>
      </c>
      <c r="N5156" s="2" t="s">
        <v>2317</v>
      </c>
      <c r="O5156" s="14">
        <v>12400</v>
      </c>
      <c r="P5156" s="14">
        <v>98.88</v>
      </c>
      <c r="Q5156" s="14">
        <v>138.88</v>
      </c>
      <c r="R5156" s="14">
        <v>209.71</v>
      </c>
      <c r="S5156" s="2" t="s">
        <v>5724</v>
      </c>
      <c r="T5156" s="2">
        <v>1.46</v>
      </c>
      <c r="U5156" s="2">
        <v>66.3</v>
      </c>
      <c r="V5156" s="2">
        <v>68</v>
      </c>
      <c r="W5156" s="2" t="s">
        <v>7862</v>
      </c>
      <c r="X5156" s="2" t="s">
        <v>2897</v>
      </c>
      <c r="Y5156" s="2">
        <v>18724</v>
      </c>
      <c r="Z5156" s="19" t="str">
        <f>HYPERLINK("https://ssdweb.co/ssdweb/hd/Vision360.html?d=941150102&amp;zoomslide=1&amp;z=1941150102&amp;ISCONFIRM=0","VIDEO")</f>
        <v>VIDEO</v>
      </c>
      <c r="AA5156" s="19" t="str">
        <f>HYPERLINK("https://ssdweb.co/ssdweb/CERTH/678550314.pdf","CERTI")</f>
        <v>CERTI</v>
      </c>
    </row>
    <row r="5157" spans="1:27" ht="15" x14ac:dyDescent="0.25">
      <c r="A5157" s="2">
        <v>5152</v>
      </c>
      <c r="B5157" s="39">
        <v>925890481</v>
      </c>
      <c r="C5157" s="28" t="str">
        <f>HYPERLINK("https://pld.live/RapDetail.aspx?STONELIST=925890481","DNA")</f>
        <v>DNA</v>
      </c>
      <c r="D5157" s="18" t="s">
        <v>711</v>
      </c>
      <c r="E5157" s="18" t="s">
        <v>5128</v>
      </c>
      <c r="F5157" s="2" t="s">
        <v>7987</v>
      </c>
      <c r="G5157" s="2" t="s">
        <v>7322</v>
      </c>
      <c r="H5157" s="14">
        <v>1.51</v>
      </c>
      <c r="I5157" s="2" t="s">
        <v>4761</v>
      </c>
      <c r="J5157" s="2" t="s">
        <v>3942</v>
      </c>
      <c r="K5157" s="2" t="s">
        <v>1452</v>
      </c>
      <c r="L5157" s="2" t="s">
        <v>5221</v>
      </c>
      <c r="M5157" s="2" t="s">
        <v>5221</v>
      </c>
      <c r="N5157" s="2" t="s">
        <v>2317</v>
      </c>
      <c r="O5157" s="14">
        <v>11600</v>
      </c>
      <c r="P5157" s="14">
        <v>99.03</v>
      </c>
      <c r="Q5157" s="14">
        <v>112.52</v>
      </c>
      <c r="R5157" s="14">
        <v>169.91</v>
      </c>
      <c r="S5157" s="2" t="s">
        <v>6293</v>
      </c>
      <c r="T5157" s="2">
        <v>1.4</v>
      </c>
      <c r="U5157" s="2">
        <v>67.2</v>
      </c>
      <c r="V5157" s="2">
        <v>63</v>
      </c>
      <c r="W5157" s="2" t="s">
        <v>7862</v>
      </c>
      <c r="X5157" s="2" t="s">
        <v>2897</v>
      </c>
      <c r="Y5157" s="2">
        <v>17516</v>
      </c>
      <c r="Z5157" s="19" t="str">
        <f>HYPERLINK("https://ssdweb.co/ssdweb/hd/Vision360.html?d=925890481&amp;zoomslide=1&amp;z=1925890481&amp;ISCONFIRM=0","VIDEO")</f>
        <v>VIDEO</v>
      </c>
      <c r="AA5157" s="19" t="str">
        <f>HYPERLINK("https://ssdweb.co/ssdweb/CERTH/627410575.pdf","CERTI")</f>
        <v>CERTI</v>
      </c>
    </row>
    <row r="5158" spans="1:27" ht="15" x14ac:dyDescent="0.25">
      <c r="A5158" s="2">
        <v>5153</v>
      </c>
      <c r="B5158" s="39">
        <v>926910594</v>
      </c>
      <c r="C5158" s="28" t="str">
        <f>HYPERLINK("https://pld.live/RapDetail.aspx?STONELIST=926910594","DNA")</f>
        <v>DNA</v>
      </c>
      <c r="D5158" s="18" t="s">
        <v>711</v>
      </c>
      <c r="E5158" s="18" t="s">
        <v>2186</v>
      </c>
      <c r="F5158" s="2" t="s">
        <v>7987</v>
      </c>
      <c r="G5158" s="2" t="s">
        <v>7322</v>
      </c>
      <c r="H5158" s="14">
        <v>1.51</v>
      </c>
      <c r="I5158" s="2" t="s">
        <v>4761</v>
      </c>
      <c r="J5158" s="2" t="s">
        <v>3942</v>
      </c>
      <c r="K5158" s="2" t="s">
        <v>1452</v>
      </c>
      <c r="L5158" s="2" t="s">
        <v>5221</v>
      </c>
      <c r="M5158" s="2" t="s">
        <v>5221</v>
      </c>
      <c r="N5158" s="2" t="s">
        <v>2317</v>
      </c>
      <c r="O5158" s="14">
        <v>11600</v>
      </c>
      <c r="P5158" s="14">
        <v>99.01</v>
      </c>
      <c r="Q5158" s="14">
        <v>114.84</v>
      </c>
      <c r="R5158" s="14">
        <v>173.41</v>
      </c>
      <c r="S5158" s="2" t="s">
        <v>4874</v>
      </c>
      <c r="T5158" s="2">
        <v>1.46</v>
      </c>
      <c r="U5158" s="2">
        <v>64.5</v>
      </c>
      <c r="V5158" s="2">
        <v>66</v>
      </c>
      <c r="W5158" s="2" t="s">
        <v>7862</v>
      </c>
      <c r="X5158" s="2" t="s">
        <v>2897</v>
      </c>
      <c r="Y5158" s="2">
        <v>17516</v>
      </c>
      <c r="Z5158" s="19" t="str">
        <f>HYPERLINK("https://ssdweb.co/ssdweb/hd/Vision360.html?d=926910594&amp;zoomslide=1&amp;z=1926910594&amp;ISCONFIRM=0","VIDEO")</f>
        <v>VIDEO</v>
      </c>
      <c r="AA5158" s="19" t="str">
        <f>HYPERLINK("https://ssdweb.co/ssdweb/CERTH/659436983.pdf","CERTI")</f>
        <v>CERTI</v>
      </c>
    </row>
    <row r="5159" spans="1:27" ht="15" x14ac:dyDescent="0.25">
      <c r="A5159" s="2">
        <v>5154</v>
      </c>
      <c r="B5159" s="39">
        <v>925930139</v>
      </c>
      <c r="C5159" s="28" t="str">
        <f>HYPERLINK("https://pld.live/RapDetail.aspx?STONELIST=925930139","DNA")</f>
        <v>DNA</v>
      </c>
      <c r="D5159" s="18" t="s">
        <v>711</v>
      </c>
      <c r="E5159" s="18" t="s">
        <v>2186</v>
      </c>
      <c r="F5159" s="2" t="s">
        <v>7987</v>
      </c>
      <c r="G5159" s="2" t="s">
        <v>7322</v>
      </c>
      <c r="H5159" s="14">
        <v>1.51</v>
      </c>
      <c r="I5159" s="2" t="s">
        <v>4761</v>
      </c>
      <c r="J5159" s="2" t="s">
        <v>13</v>
      </c>
      <c r="K5159" s="2" t="s">
        <v>1452</v>
      </c>
      <c r="L5159" s="2" t="s">
        <v>5221</v>
      </c>
      <c r="M5159" s="2" t="s">
        <v>5221</v>
      </c>
      <c r="N5159" s="2" t="s">
        <v>2317</v>
      </c>
      <c r="O5159" s="14">
        <v>10800</v>
      </c>
      <c r="P5159" s="14">
        <v>98.99</v>
      </c>
      <c r="Q5159" s="14">
        <v>109.08</v>
      </c>
      <c r="R5159" s="14">
        <v>164.71</v>
      </c>
      <c r="S5159" s="2" t="s">
        <v>7418</v>
      </c>
      <c r="T5159" s="2">
        <v>1.36</v>
      </c>
      <c r="U5159" s="2">
        <v>66.8</v>
      </c>
      <c r="V5159" s="2">
        <v>64</v>
      </c>
      <c r="W5159" s="2" t="s">
        <v>7862</v>
      </c>
      <c r="X5159" s="2" t="s">
        <v>2897</v>
      </c>
      <c r="Y5159" s="2">
        <v>16308</v>
      </c>
      <c r="Z5159" s="19" t="str">
        <f>HYPERLINK("https://ssdweb.co/ssdweb/hd/Vision360.html?d=925930139&amp;zoomslide=1&amp;z=1925930139&amp;ISCONFIRM=0","VIDEO")</f>
        <v>VIDEO</v>
      </c>
      <c r="AA5159" s="19" t="str">
        <f>HYPERLINK("https://ssdweb.co/ssdweb/CERTH/629481853.pdf","CERTI")</f>
        <v>CERTI</v>
      </c>
    </row>
    <row r="5160" spans="1:27" ht="15" x14ac:dyDescent="0.25">
      <c r="A5160" s="2">
        <v>5155</v>
      </c>
      <c r="B5160" s="39">
        <v>926910610</v>
      </c>
      <c r="C5160" s="28" t="str">
        <f>HYPERLINK("https://pld.live/RapDetail.aspx?STONELIST=926910610","DNA")</f>
        <v>DNA</v>
      </c>
      <c r="D5160" s="18" t="s">
        <v>711</v>
      </c>
      <c r="E5160" s="18" t="s">
        <v>2186</v>
      </c>
      <c r="F5160" s="2" t="s">
        <v>7987</v>
      </c>
      <c r="G5160" s="2" t="s">
        <v>7322</v>
      </c>
      <c r="H5160" s="14">
        <v>1.51</v>
      </c>
      <c r="I5160" s="2" t="s">
        <v>4761</v>
      </c>
      <c r="J5160" s="2" t="s">
        <v>13</v>
      </c>
      <c r="K5160" s="2" t="s">
        <v>1452</v>
      </c>
      <c r="L5160" s="2" t="s">
        <v>5221</v>
      </c>
      <c r="M5160" s="2" t="s">
        <v>5221</v>
      </c>
      <c r="N5160" s="2" t="s">
        <v>2317</v>
      </c>
      <c r="O5160" s="14">
        <v>10800</v>
      </c>
      <c r="P5160" s="14">
        <v>98.98</v>
      </c>
      <c r="Q5160" s="14">
        <v>110.16</v>
      </c>
      <c r="R5160" s="14">
        <v>166.34</v>
      </c>
      <c r="S5160" s="2" t="s">
        <v>5081</v>
      </c>
      <c r="T5160" s="2">
        <v>1.38</v>
      </c>
      <c r="U5160" s="2">
        <v>66.7</v>
      </c>
      <c r="V5160" s="2">
        <v>72</v>
      </c>
      <c r="W5160" s="2" t="s">
        <v>7862</v>
      </c>
      <c r="X5160" s="2" t="s">
        <v>2897</v>
      </c>
      <c r="Y5160" s="2">
        <v>16308</v>
      </c>
      <c r="Z5160" s="19" t="str">
        <f>HYPERLINK("https://ssdweb.co/ssdweb/hd/Vision360.html?d=926910610&amp;zoomslide=1&amp;z=1926910610&amp;ISCONFIRM=0","VIDEO")</f>
        <v>VIDEO</v>
      </c>
      <c r="AA5160" s="19" t="str">
        <f>HYPERLINK("https://ssdweb.co/ssdweb/CERTH/660440527.pdf","CERTI")</f>
        <v>CERTI</v>
      </c>
    </row>
    <row r="5161" spans="1:27" ht="15" x14ac:dyDescent="0.25">
      <c r="A5161" s="2">
        <v>5156</v>
      </c>
      <c r="B5161" s="39">
        <v>941200080</v>
      </c>
      <c r="C5161" s="28" t="str">
        <f>HYPERLINK("https://pld.live/RapDetail.aspx?STONELIST=941200080","DNA")</f>
        <v>DNA</v>
      </c>
      <c r="D5161" s="18" t="s">
        <v>711</v>
      </c>
      <c r="E5161" s="18" t="s">
        <v>2186</v>
      </c>
      <c r="F5161" s="2" t="s">
        <v>7987</v>
      </c>
      <c r="G5161" s="2" t="s">
        <v>7322</v>
      </c>
      <c r="H5161" s="14">
        <v>1.51</v>
      </c>
      <c r="I5161" s="2" t="s">
        <v>4761</v>
      </c>
      <c r="J5161" s="2" t="s">
        <v>13</v>
      </c>
      <c r="K5161" s="2" t="s">
        <v>1452</v>
      </c>
      <c r="L5161" s="2" t="s">
        <v>5221</v>
      </c>
      <c r="M5161" s="2" t="s">
        <v>5221</v>
      </c>
      <c r="N5161" s="2" t="s">
        <v>2317</v>
      </c>
      <c r="O5161" s="14">
        <v>10800</v>
      </c>
      <c r="P5161" s="14">
        <v>98.97</v>
      </c>
      <c r="Q5161" s="14">
        <v>111.24</v>
      </c>
      <c r="R5161" s="14">
        <v>167.97</v>
      </c>
      <c r="S5161" s="2" t="s">
        <v>2692</v>
      </c>
      <c r="T5161" s="2">
        <v>1.4</v>
      </c>
      <c r="U5161" s="2">
        <v>67.2</v>
      </c>
      <c r="V5161" s="2">
        <v>65</v>
      </c>
      <c r="W5161" s="2" t="s">
        <v>7862</v>
      </c>
      <c r="X5161" s="2" t="s">
        <v>2897</v>
      </c>
      <c r="Y5161" s="2">
        <v>16308</v>
      </c>
      <c r="Z5161" s="19" t="str">
        <f>HYPERLINK("https://ssdweb.co/ssdweb/hd/Vision360.html?d=941200080&amp;zoomslide=1&amp;z=1941200080&amp;ISCONFIRM=0","VIDEO")</f>
        <v>VIDEO</v>
      </c>
      <c r="AA5161" s="19" t="str">
        <f>HYPERLINK("https://ssdweb.co/ssdweb/CERTH/678550316.pdf","CERTI")</f>
        <v>CERTI</v>
      </c>
    </row>
    <row r="5162" spans="1:27" ht="15" x14ac:dyDescent="0.25">
      <c r="A5162" s="2">
        <v>5157</v>
      </c>
      <c r="B5162" s="39">
        <v>925621849</v>
      </c>
      <c r="C5162" s="28" t="str">
        <f>HYPERLINK("https://pld.live/RapDetail.aspx?STONELIST=925621849","DNA")</f>
        <v>DNA</v>
      </c>
      <c r="D5162" s="18" t="s">
        <v>711</v>
      </c>
      <c r="E5162" s="18" t="s">
        <v>5128</v>
      </c>
      <c r="F5162" s="2" t="s">
        <v>7987</v>
      </c>
      <c r="G5162" s="2" t="s">
        <v>7322</v>
      </c>
      <c r="H5162" s="14">
        <v>1.51</v>
      </c>
      <c r="I5162" s="2" t="s">
        <v>4761</v>
      </c>
      <c r="J5162" s="2" t="s">
        <v>13</v>
      </c>
      <c r="K5162" s="2" t="s">
        <v>1452</v>
      </c>
      <c r="L5162" s="2" t="s">
        <v>5221</v>
      </c>
      <c r="M5162" s="2" t="s">
        <v>5221</v>
      </c>
      <c r="N5162" s="2" t="s">
        <v>2317</v>
      </c>
      <c r="O5162" s="14">
        <v>10800</v>
      </c>
      <c r="P5162" s="14">
        <v>99.01</v>
      </c>
      <c r="Q5162" s="14">
        <v>106.92</v>
      </c>
      <c r="R5162" s="14">
        <v>161.44999999999999</v>
      </c>
      <c r="S5162" s="2" t="s">
        <v>1979</v>
      </c>
      <c r="T5162" s="2">
        <v>1.4</v>
      </c>
      <c r="U5162" s="2">
        <v>67.3</v>
      </c>
      <c r="V5162" s="2">
        <v>65</v>
      </c>
      <c r="W5162" s="2" t="s">
        <v>7862</v>
      </c>
      <c r="X5162" s="2" t="s">
        <v>2897</v>
      </c>
      <c r="Y5162" s="2">
        <v>16308</v>
      </c>
      <c r="Z5162" s="19" t="str">
        <f>HYPERLINK("https://ssdweb.co/ssdweb/hd/Vision360.html?d=925621849&amp;zoomslide=1&amp;z=1925621849&amp;ISCONFIRM=0","VIDEO")</f>
        <v>VIDEO</v>
      </c>
      <c r="AA5162" s="19" t="str">
        <f>HYPERLINK("https://ssdweb.co/ssdweb/CERTH/623449411.pdf","CERTI")</f>
        <v>CERTI</v>
      </c>
    </row>
    <row r="5163" spans="1:27" ht="15" x14ac:dyDescent="0.25">
      <c r="A5163" s="2">
        <v>5158</v>
      </c>
      <c r="B5163" s="39">
        <v>927052465</v>
      </c>
      <c r="C5163" s="28" t="str">
        <f>HYPERLINK("https://pld.live/RapDetail.aspx?STONELIST=927052465","DNA")</f>
        <v>DNA</v>
      </c>
      <c r="D5163" s="18" t="s">
        <v>711</v>
      </c>
      <c r="E5163" s="18" t="s">
        <v>5128</v>
      </c>
      <c r="F5163" s="2" t="s">
        <v>7987</v>
      </c>
      <c r="G5163" s="2" t="s">
        <v>7322</v>
      </c>
      <c r="H5163" s="14">
        <v>1.51</v>
      </c>
      <c r="I5163" s="2" t="s">
        <v>4761</v>
      </c>
      <c r="J5163" s="2" t="s">
        <v>13</v>
      </c>
      <c r="K5163" s="2" t="s">
        <v>1452</v>
      </c>
      <c r="L5163" s="2" t="s">
        <v>5221</v>
      </c>
      <c r="M5163" s="2" t="s">
        <v>5221</v>
      </c>
      <c r="N5163" s="2" t="s">
        <v>2317</v>
      </c>
      <c r="O5163" s="14">
        <v>10800</v>
      </c>
      <c r="P5163" s="14">
        <v>98.98</v>
      </c>
      <c r="Q5163" s="14">
        <v>110.16</v>
      </c>
      <c r="R5163" s="14">
        <v>166.34</v>
      </c>
      <c r="S5163" s="2" t="s">
        <v>589</v>
      </c>
      <c r="T5163" s="2">
        <v>1.37</v>
      </c>
      <c r="U5163" s="2">
        <v>68.099999999999994</v>
      </c>
      <c r="V5163" s="2">
        <v>62</v>
      </c>
      <c r="W5163" s="2" t="s">
        <v>7862</v>
      </c>
      <c r="X5163" s="2" t="s">
        <v>2897</v>
      </c>
      <c r="Y5163" s="2">
        <v>16308</v>
      </c>
      <c r="Z5163" s="19" t="str">
        <f>HYPERLINK("https://ssdweb.co/ssdweb/hd/Vision360.html?d=927052465&amp;zoomslide=1&amp;z=1927052465&amp;ISCONFIRM=0","VIDEO")</f>
        <v>VIDEO</v>
      </c>
      <c r="AA5163" s="19" t="str">
        <f>HYPERLINK("https://ssdweb.co/ssdweb/CERTH/665453166.pdf","CERTI")</f>
        <v>CERTI</v>
      </c>
    </row>
    <row r="5164" spans="1:27" ht="15" x14ac:dyDescent="0.25">
      <c r="A5164" s="2">
        <v>5159</v>
      </c>
      <c r="B5164" s="39">
        <v>925961386</v>
      </c>
      <c r="C5164" s="28" t="str">
        <f>HYPERLINK("https://pld.live/RapDetail.aspx?STONELIST=925961386","DNA")</f>
        <v>DNA</v>
      </c>
      <c r="D5164" s="18" t="s">
        <v>711</v>
      </c>
      <c r="E5164" s="18" t="s">
        <v>5128</v>
      </c>
      <c r="F5164" s="2" t="s">
        <v>7987</v>
      </c>
      <c r="G5164" s="2" t="s">
        <v>7322</v>
      </c>
      <c r="H5164" s="14">
        <v>1.51</v>
      </c>
      <c r="I5164" s="2" t="s">
        <v>4761</v>
      </c>
      <c r="J5164" s="2" t="s">
        <v>13</v>
      </c>
      <c r="K5164" s="2" t="s">
        <v>1452</v>
      </c>
      <c r="L5164" s="2" t="s">
        <v>5721</v>
      </c>
      <c r="M5164" s="2" t="s">
        <v>5221</v>
      </c>
      <c r="N5164" s="2" t="s">
        <v>2317</v>
      </c>
      <c r="O5164" s="14">
        <v>10800</v>
      </c>
      <c r="P5164" s="14">
        <v>99</v>
      </c>
      <c r="Q5164" s="14">
        <v>108</v>
      </c>
      <c r="R5164" s="14">
        <v>163.08000000000001</v>
      </c>
      <c r="S5164" s="2" t="s">
        <v>5739</v>
      </c>
      <c r="T5164" s="2">
        <v>1.38</v>
      </c>
      <c r="U5164" s="2">
        <v>66.400000000000006</v>
      </c>
      <c r="V5164" s="2">
        <v>70</v>
      </c>
      <c r="W5164" s="2" t="s">
        <v>7862</v>
      </c>
      <c r="X5164" s="2" t="s">
        <v>2897</v>
      </c>
      <c r="Y5164" s="2">
        <v>16308</v>
      </c>
      <c r="Z5164" s="19" t="str">
        <f>HYPERLINK("https://ssdweb.co/ssdweb/hd/Vision360.html?d=925961386&amp;zoomslide=1&amp;z=1925961386&amp;ISCONFIRM=0","VIDEO")</f>
        <v>VIDEO</v>
      </c>
      <c r="AA5164" s="19" t="str">
        <f>HYPERLINK("https://ssdweb.co/ssdweb/CERTH/631430381.pdf","CERTI")</f>
        <v>CERTI</v>
      </c>
    </row>
    <row r="5165" spans="1:27" ht="15" x14ac:dyDescent="0.25">
      <c r="A5165" s="2">
        <v>5160</v>
      </c>
      <c r="B5165" s="39">
        <v>925950964</v>
      </c>
      <c r="C5165" s="28" t="str">
        <f>HYPERLINK("https://pld.live/RapDetail.aspx?STONELIST=925950964","DNA")</f>
        <v>DNA</v>
      </c>
      <c r="D5165" s="18" t="s">
        <v>711</v>
      </c>
      <c r="E5165" s="18" t="s">
        <v>5128</v>
      </c>
      <c r="F5165" s="2" t="s">
        <v>7987</v>
      </c>
      <c r="G5165" s="2" t="s">
        <v>7322</v>
      </c>
      <c r="H5165" s="14">
        <v>1.51</v>
      </c>
      <c r="I5165" s="2" t="s">
        <v>4761</v>
      </c>
      <c r="J5165" s="2" t="s">
        <v>5144</v>
      </c>
      <c r="K5165" s="2" t="s">
        <v>1452</v>
      </c>
      <c r="L5165" s="2" t="s">
        <v>5221</v>
      </c>
      <c r="M5165" s="2" t="s">
        <v>5221</v>
      </c>
      <c r="N5165" s="2" t="s">
        <v>2317</v>
      </c>
      <c r="O5165" s="14">
        <v>9300</v>
      </c>
      <c r="P5165" s="14">
        <v>98.94</v>
      </c>
      <c r="Q5165" s="14">
        <v>98.58</v>
      </c>
      <c r="R5165" s="14">
        <v>148.86000000000001</v>
      </c>
      <c r="S5165" s="2" t="s">
        <v>548</v>
      </c>
      <c r="T5165" s="2">
        <v>1.38</v>
      </c>
      <c r="U5165" s="2">
        <v>67.8</v>
      </c>
      <c r="V5165" s="2">
        <v>64</v>
      </c>
      <c r="W5165" s="2" t="s">
        <v>7862</v>
      </c>
      <c r="X5165" s="2" t="s">
        <v>2897</v>
      </c>
      <c r="Y5165" s="2">
        <v>14043</v>
      </c>
      <c r="Z5165" s="19" t="str">
        <f>HYPERLINK("https://ssdweb.co/ssdweb/hd/Vision360.html?d=925950964&amp;zoomslide=1&amp;z=1925950964&amp;ISCONFIRM=0","VIDEO")</f>
        <v>VIDEO</v>
      </c>
      <c r="AA5165" s="19" t="str">
        <f>HYPERLINK("https://ssdweb.co/ssdweb/CERTH/628463013.pdf","CERTI")</f>
        <v>CERTI</v>
      </c>
    </row>
    <row r="5166" spans="1:27" ht="15" x14ac:dyDescent="0.25">
      <c r="A5166" s="2">
        <v>5161</v>
      </c>
      <c r="B5166" s="39">
        <v>925420392</v>
      </c>
      <c r="C5166" s="28" t="str">
        <f>HYPERLINK("https://pld.live/RapDetail.aspx?STONELIST=925420392","DNA")</f>
        <v>DNA</v>
      </c>
      <c r="D5166" s="18" t="s">
        <v>711</v>
      </c>
      <c r="E5166" s="18" t="s">
        <v>5128</v>
      </c>
      <c r="F5166" s="2" t="s">
        <v>7987</v>
      </c>
      <c r="G5166" s="2" t="s">
        <v>7322</v>
      </c>
      <c r="H5166" s="14">
        <v>1.51</v>
      </c>
      <c r="I5166" s="2" t="s">
        <v>4761</v>
      </c>
      <c r="J5166" s="2" t="s">
        <v>5144</v>
      </c>
      <c r="K5166" s="2" t="s">
        <v>1452</v>
      </c>
      <c r="L5166" s="2" t="s">
        <v>5221</v>
      </c>
      <c r="M5166" s="2" t="s">
        <v>5221</v>
      </c>
      <c r="N5166" s="2" t="s">
        <v>2317</v>
      </c>
      <c r="O5166" s="14">
        <v>9300</v>
      </c>
      <c r="P5166" s="14">
        <v>98.94</v>
      </c>
      <c r="Q5166" s="14">
        <v>98.58</v>
      </c>
      <c r="R5166" s="14">
        <v>148.86000000000001</v>
      </c>
      <c r="S5166" s="2" t="s">
        <v>275</v>
      </c>
      <c r="T5166" s="2">
        <v>1.45</v>
      </c>
      <c r="U5166" s="2">
        <v>66.5</v>
      </c>
      <c r="V5166" s="2">
        <v>64</v>
      </c>
      <c r="W5166" s="2" t="s">
        <v>7862</v>
      </c>
      <c r="X5166" s="2" t="s">
        <v>2897</v>
      </c>
      <c r="Y5166" s="2">
        <v>14043</v>
      </c>
      <c r="Z5166" s="19" t="str">
        <f>HYPERLINK("https://ssdweb.co/ssdweb/hd/Vision360.html?d=925420392&amp;zoomslide=1&amp;z=1925420392&amp;ISCONFIRM=0","VIDEO")</f>
        <v>VIDEO</v>
      </c>
      <c r="AA5166" s="19" t="str">
        <f>HYPERLINK("https://ssdweb.co/ssdweb/CERTH/617413048.pdf","CERTI")</f>
        <v>CERTI</v>
      </c>
    </row>
    <row r="5167" spans="1:27" ht="15" x14ac:dyDescent="0.25">
      <c r="A5167" s="2">
        <v>5162</v>
      </c>
      <c r="B5167" s="39">
        <v>926170628</v>
      </c>
      <c r="C5167" s="28" t="str">
        <f>HYPERLINK("https://pld.live/RapDetail.aspx?STONELIST=926170628","DNA")</f>
        <v>DNA</v>
      </c>
      <c r="D5167" s="18" t="s">
        <v>711</v>
      </c>
      <c r="E5167" s="18" t="s">
        <v>5128</v>
      </c>
      <c r="F5167" s="2" t="s">
        <v>7987</v>
      </c>
      <c r="G5167" s="2" t="s">
        <v>7322</v>
      </c>
      <c r="H5167" s="14">
        <v>1.51</v>
      </c>
      <c r="I5167" s="2" t="s">
        <v>4761</v>
      </c>
      <c r="J5167" s="2" t="s">
        <v>5144</v>
      </c>
      <c r="K5167" s="2" t="s">
        <v>1452</v>
      </c>
      <c r="L5167" s="2" t="s">
        <v>5221</v>
      </c>
      <c r="M5167" s="2" t="s">
        <v>5221</v>
      </c>
      <c r="N5167" s="2" t="s">
        <v>2317</v>
      </c>
      <c r="O5167" s="14">
        <v>9300</v>
      </c>
      <c r="P5167" s="14">
        <v>98.91</v>
      </c>
      <c r="Q5167" s="14">
        <v>101.37</v>
      </c>
      <c r="R5167" s="14">
        <v>153.07</v>
      </c>
      <c r="S5167" s="2" t="s">
        <v>380</v>
      </c>
      <c r="T5167" s="2">
        <v>1.45</v>
      </c>
      <c r="U5167" s="2">
        <v>63.9</v>
      </c>
      <c r="V5167" s="2">
        <v>68</v>
      </c>
      <c r="W5167" s="2" t="s">
        <v>7862</v>
      </c>
      <c r="X5167" s="2" t="s">
        <v>2897</v>
      </c>
      <c r="Y5167" s="2">
        <v>14043</v>
      </c>
      <c r="Z5167" s="19" t="str">
        <f>HYPERLINK("https://ssdweb.co/ssdweb/hd/Vision360.html?d=926170628&amp;zoomslide=1&amp;z=1926170628&amp;ISCONFIRM=0","VIDEO")</f>
        <v>VIDEO</v>
      </c>
      <c r="AA5167" s="19" t="str">
        <f>HYPERLINK("https://ssdweb.co/ssdweb/CERTH/633474106.pdf","CERTI")</f>
        <v>CERTI</v>
      </c>
    </row>
    <row r="5168" spans="1:27" ht="15" x14ac:dyDescent="0.25">
      <c r="A5168" s="2">
        <v>5163</v>
      </c>
      <c r="B5168" s="39">
        <v>925730637</v>
      </c>
      <c r="C5168" s="28" t="str">
        <f>HYPERLINK("https://pld.live/RapDetail.aspx?STONELIST=925730637","DNA")</f>
        <v>DNA</v>
      </c>
      <c r="D5168" s="18" t="s">
        <v>711</v>
      </c>
      <c r="E5168" s="18" t="s">
        <v>5128</v>
      </c>
      <c r="F5168" s="2" t="s">
        <v>5597</v>
      </c>
      <c r="G5168" s="2" t="s">
        <v>7322</v>
      </c>
      <c r="H5168" s="14">
        <v>1.51</v>
      </c>
      <c r="I5168" s="2" t="s">
        <v>4761</v>
      </c>
      <c r="J5168" s="2" t="s">
        <v>5144</v>
      </c>
      <c r="K5168" s="2" t="s">
        <v>1452</v>
      </c>
      <c r="L5168" s="2" t="s">
        <v>5221</v>
      </c>
      <c r="M5168" s="2" t="s">
        <v>5221</v>
      </c>
      <c r="N5168" s="2" t="s">
        <v>2317</v>
      </c>
      <c r="O5168" s="14">
        <v>9300</v>
      </c>
      <c r="P5168" s="14">
        <v>97.62</v>
      </c>
      <c r="Q5168" s="14">
        <v>221.34</v>
      </c>
      <c r="R5168" s="14">
        <v>334.22</v>
      </c>
      <c r="S5168" s="2" t="s">
        <v>786</v>
      </c>
      <c r="T5168" s="2">
        <v>1.36</v>
      </c>
      <c r="U5168" s="2">
        <v>67.599999999999994</v>
      </c>
      <c r="V5168" s="2">
        <v>62</v>
      </c>
      <c r="W5168" s="2" t="s">
        <v>7862</v>
      </c>
      <c r="X5168" s="2" t="s">
        <v>2897</v>
      </c>
      <c r="Y5168" s="2">
        <v>14043</v>
      </c>
      <c r="Z5168" s="19" t="str">
        <f>HYPERLINK("https://ssdweb.co/ssdweb/hd/Vision360.html?d=925730637&amp;zoomslide=1&amp;z=1925730637&amp;ISCONFIRM=0","VIDEO")</f>
        <v>VIDEO</v>
      </c>
      <c r="AA5168" s="19" t="str">
        <f>HYPERLINK("https://ssdweb.co/ssdweb/CERTH/2487686913.pdf","CERTI")</f>
        <v>CERTI</v>
      </c>
    </row>
    <row r="5169" spans="1:27" ht="15" x14ac:dyDescent="0.25">
      <c r="A5169" s="2">
        <v>5164</v>
      </c>
      <c r="B5169" s="39">
        <v>923660335</v>
      </c>
      <c r="C5169" s="28" t="str">
        <f>HYPERLINK("https://pld.live/RapDetail.aspx?STONELIST=923660335","DNA")</f>
        <v>DNA</v>
      </c>
      <c r="D5169" s="18" t="s">
        <v>711</v>
      </c>
      <c r="E5169" s="18" t="s">
        <v>5128</v>
      </c>
      <c r="F5169" s="2" t="s">
        <v>7987</v>
      </c>
      <c r="G5169" s="2" t="s">
        <v>7322</v>
      </c>
      <c r="H5169" s="14">
        <v>1.51</v>
      </c>
      <c r="I5169" s="2" t="s">
        <v>4761</v>
      </c>
      <c r="J5169" s="2" t="s">
        <v>444</v>
      </c>
      <c r="K5169" s="2" t="s">
        <v>1452</v>
      </c>
      <c r="L5169" s="2" t="s">
        <v>5221</v>
      </c>
      <c r="M5169" s="2" t="s">
        <v>5221</v>
      </c>
      <c r="N5169" s="2" t="s">
        <v>2317</v>
      </c>
      <c r="O5169" s="14">
        <v>7600</v>
      </c>
      <c r="P5169" s="14">
        <v>98.75</v>
      </c>
      <c r="Q5169" s="14">
        <v>95</v>
      </c>
      <c r="R5169" s="14">
        <v>143.44999999999999</v>
      </c>
      <c r="S5169" s="2" t="s">
        <v>7310</v>
      </c>
      <c r="T5169" s="2">
        <v>1.38</v>
      </c>
      <c r="U5169" s="2">
        <v>66.900000000000006</v>
      </c>
      <c r="V5169" s="2">
        <v>63</v>
      </c>
      <c r="W5169" s="2" t="s">
        <v>7862</v>
      </c>
      <c r="X5169" s="2" t="s">
        <v>2897</v>
      </c>
      <c r="Y5169" s="2">
        <v>11476</v>
      </c>
      <c r="Z5169" s="19" t="str">
        <f>HYPERLINK("https://ssdweb.co/ssdweb/hd/Vision360.html?d=923660335&amp;zoomslide=1&amp;z=1923660335&amp;ISCONFIRM=0","VIDEO")</f>
        <v>VIDEO</v>
      </c>
      <c r="AA5169" s="19" t="str">
        <f>HYPERLINK("https://ssdweb.co/ssdweb/CERTH/561255672.pdf","CERTI")</f>
        <v>CERTI</v>
      </c>
    </row>
    <row r="5170" spans="1:27" ht="15" x14ac:dyDescent="0.25">
      <c r="A5170" s="2">
        <v>5165</v>
      </c>
      <c r="B5170" s="39">
        <v>831010482</v>
      </c>
      <c r="C5170" s="28" t="str">
        <f>HYPERLINK("https://pld.live/RapDetail.aspx?STONELIST=831010482","DNA")</f>
        <v>DNA</v>
      </c>
      <c r="D5170" s="18" t="s">
        <v>711</v>
      </c>
      <c r="E5170" s="18" t="s">
        <v>5128</v>
      </c>
      <c r="F5170" s="2" t="s">
        <v>7987</v>
      </c>
      <c r="G5170" s="2" t="s">
        <v>7322</v>
      </c>
      <c r="H5170" s="14">
        <v>1.51</v>
      </c>
      <c r="I5170" s="2" t="s">
        <v>4761</v>
      </c>
      <c r="J5170" s="2" t="s">
        <v>444</v>
      </c>
      <c r="K5170" s="2" t="s">
        <v>1452</v>
      </c>
      <c r="L5170" s="2" t="s">
        <v>5221</v>
      </c>
      <c r="M5170" s="2" t="s">
        <v>5221</v>
      </c>
      <c r="N5170" s="2" t="s">
        <v>2317</v>
      </c>
      <c r="O5170" s="14">
        <v>7600</v>
      </c>
      <c r="P5170" s="14">
        <v>98.75</v>
      </c>
      <c r="Q5170" s="14">
        <v>95</v>
      </c>
      <c r="R5170" s="14">
        <v>143.44999999999999</v>
      </c>
      <c r="S5170" s="2" t="s">
        <v>3334</v>
      </c>
      <c r="T5170" s="2">
        <v>1.36</v>
      </c>
      <c r="U5170" s="2">
        <v>66.2</v>
      </c>
      <c r="V5170" s="2">
        <v>64.5</v>
      </c>
      <c r="W5170" s="2" t="s">
        <v>7862</v>
      </c>
      <c r="X5170" s="2" t="s">
        <v>2897</v>
      </c>
      <c r="Y5170" s="2">
        <v>11476</v>
      </c>
      <c r="Z5170" s="19" t="str">
        <f>HYPERLINK("https://ssdweb.co/ssdweb/hd/Vision360.html?d=831010482&amp;zoomslide=1&amp;z=1831010482&amp;ISCONFIRM=0","VIDEO")</f>
        <v>VIDEO</v>
      </c>
      <c r="AA5170" s="19" t="str">
        <f>HYPERLINK("https://ssdweb.co/ssdweb/CERTH/551299066.pdf","CERTI")</f>
        <v>CERTI</v>
      </c>
    </row>
    <row r="5171" spans="1:27" ht="15" x14ac:dyDescent="0.25">
      <c r="A5171" s="2">
        <v>5166</v>
      </c>
      <c r="B5171" s="39">
        <v>831010817</v>
      </c>
      <c r="C5171" s="28" t="str">
        <f>HYPERLINK("https://pld.live/RapDetail.aspx?STONELIST=831010817","DNA")</f>
        <v>DNA</v>
      </c>
      <c r="D5171" s="18" t="s">
        <v>711</v>
      </c>
      <c r="E5171" s="18" t="s">
        <v>5128</v>
      </c>
      <c r="F5171" s="2" t="s">
        <v>7987</v>
      </c>
      <c r="G5171" s="2" t="s">
        <v>7322</v>
      </c>
      <c r="H5171" s="14">
        <v>1.51</v>
      </c>
      <c r="I5171" s="2" t="s">
        <v>4699</v>
      </c>
      <c r="J5171" s="2" t="s">
        <v>3942</v>
      </c>
      <c r="K5171" s="2" t="s">
        <v>1452</v>
      </c>
      <c r="L5171" s="2" t="s">
        <v>5221</v>
      </c>
      <c r="M5171" s="2" t="s">
        <v>5221</v>
      </c>
      <c r="N5171" s="2" t="s">
        <v>2317</v>
      </c>
      <c r="O5171" s="14">
        <v>10800</v>
      </c>
      <c r="P5171" s="14">
        <v>99.02</v>
      </c>
      <c r="Q5171" s="14">
        <v>105.84</v>
      </c>
      <c r="R5171" s="14">
        <v>159.82</v>
      </c>
      <c r="S5171" s="2" t="s">
        <v>6633</v>
      </c>
      <c r="T5171" s="2">
        <v>1.4</v>
      </c>
      <c r="U5171" s="2">
        <v>64.8</v>
      </c>
      <c r="V5171" s="2">
        <v>65</v>
      </c>
      <c r="W5171" s="2" t="s">
        <v>4336</v>
      </c>
      <c r="X5171" s="2" t="s">
        <v>2897</v>
      </c>
      <c r="Y5171" s="2">
        <v>16308</v>
      </c>
      <c r="Z5171" s="19" t="str">
        <f>HYPERLINK("https://ssdweb.co/ssdweb/hd/Vision360.html?d=831010817&amp;zoomslide=1&amp;z=1831010817&amp;ISCONFIRM=0","VIDEO")</f>
        <v>VIDEO</v>
      </c>
      <c r="AA5171" s="19" t="str">
        <f>HYPERLINK("https://ssdweb.co/ssdweb/CERTH/597360040.pdf","CERTI")</f>
        <v>CERTI</v>
      </c>
    </row>
    <row r="5172" spans="1:27" ht="15" x14ac:dyDescent="0.25">
      <c r="A5172" s="2">
        <v>5167</v>
      </c>
      <c r="B5172" s="39">
        <v>924410605</v>
      </c>
      <c r="C5172" s="28" t="str">
        <f>HYPERLINK("https://pld.live/RapDetail.aspx?STONELIST=924410605","DNA")</f>
        <v>DNA</v>
      </c>
      <c r="D5172" s="18" t="s">
        <v>711</v>
      </c>
      <c r="E5172" s="18" t="s">
        <v>2186</v>
      </c>
      <c r="F5172" s="2" t="s">
        <v>5597</v>
      </c>
      <c r="G5172" s="2" t="s">
        <v>7322</v>
      </c>
      <c r="H5172" s="14">
        <v>1.51</v>
      </c>
      <c r="I5172" s="2" t="s">
        <v>4699</v>
      </c>
      <c r="J5172" s="2" t="s">
        <v>5144</v>
      </c>
      <c r="K5172" s="2" t="s">
        <v>1452</v>
      </c>
      <c r="L5172" s="2" t="s">
        <v>5221</v>
      </c>
      <c r="M5172" s="2" t="s">
        <v>5221</v>
      </c>
      <c r="N5172" s="2" t="s">
        <v>2317</v>
      </c>
      <c r="O5172" s="14">
        <v>8800</v>
      </c>
      <c r="P5172" s="14">
        <v>97.55</v>
      </c>
      <c r="Q5172" s="14">
        <v>215.6</v>
      </c>
      <c r="R5172" s="14">
        <v>325.56</v>
      </c>
      <c r="S5172" s="2" t="s">
        <v>6878</v>
      </c>
      <c r="T5172" s="2">
        <v>1.46</v>
      </c>
      <c r="U5172" s="2">
        <v>64.5</v>
      </c>
      <c r="V5172" s="2">
        <v>60</v>
      </c>
      <c r="W5172" s="2" t="s">
        <v>7862</v>
      </c>
      <c r="X5172" s="2" t="s">
        <v>2897</v>
      </c>
      <c r="Y5172" s="2">
        <v>13288</v>
      </c>
      <c r="Z5172" s="19" t="str">
        <f>HYPERLINK("https://ssdweb.co/ssdweb/hd/Vision360.html?d=924410605&amp;zoomslide=1&amp;z=1924410605&amp;ISCONFIRM=0","VIDEO")</f>
        <v>VIDEO</v>
      </c>
      <c r="AA5172" s="19" t="str">
        <f>HYPERLINK("https://ssdweb.co/ssdweb/CERTH/1473329522.pdf","CERTI")</f>
        <v>CERTI</v>
      </c>
    </row>
    <row r="5173" spans="1:27" ht="15" x14ac:dyDescent="0.25">
      <c r="A5173" s="2">
        <v>5168</v>
      </c>
      <c r="B5173" s="39">
        <v>831010613</v>
      </c>
      <c r="C5173" s="28" t="str">
        <f>HYPERLINK("https://pld.live/RapDetail.aspx?STONELIST=831010613","DNA")</f>
        <v>DNA</v>
      </c>
      <c r="D5173" s="18" t="s">
        <v>711</v>
      </c>
      <c r="E5173" s="18" t="s">
        <v>5128</v>
      </c>
      <c r="F5173" s="2" t="s">
        <v>7987</v>
      </c>
      <c r="G5173" s="2" t="s">
        <v>7322</v>
      </c>
      <c r="H5173" s="14">
        <v>1.51</v>
      </c>
      <c r="I5173" s="2" t="s">
        <v>4699</v>
      </c>
      <c r="J5173" s="2" t="s">
        <v>444</v>
      </c>
      <c r="K5173" s="2" t="s">
        <v>1452</v>
      </c>
      <c r="L5173" s="2" t="s">
        <v>5221</v>
      </c>
      <c r="M5173" s="2" t="s">
        <v>5221</v>
      </c>
      <c r="N5173" s="2" t="s">
        <v>2317</v>
      </c>
      <c r="O5173" s="14">
        <v>7200</v>
      </c>
      <c r="P5173" s="14">
        <v>98.72</v>
      </c>
      <c r="Q5173" s="14">
        <v>92.16</v>
      </c>
      <c r="R5173" s="14">
        <v>139.16</v>
      </c>
      <c r="S5173" s="2" t="s">
        <v>1491</v>
      </c>
      <c r="T5173" s="2">
        <v>1.45</v>
      </c>
      <c r="U5173" s="2">
        <v>66.400000000000006</v>
      </c>
      <c r="V5173" s="2">
        <v>67</v>
      </c>
      <c r="W5173" s="2" t="s">
        <v>8016</v>
      </c>
      <c r="X5173" s="2" t="s">
        <v>2897</v>
      </c>
      <c r="Y5173" s="2">
        <v>10872</v>
      </c>
      <c r="Z5173" s="19" t="str">
        <f>HYPERLINK("https://ssdweb.co/ssdweb/hd/Vision360.html?d=831010613&amp;zoomslide=1&amp;z=1831010613&amp;ISCONFIRM=0","VIDEO")</f>
        <v>VIDEO</v>
      </c>
      <c r="AA5173" s="19" t="str">
        <f>HYPERLINK("https://ssdweb.co/ssdweb/CERTH/597389622.pdf","CERTI")</f>
        <v>CERTI</v>
      </c>
    </row>
    <row r="5174" spans="1:27" ht="15" x14ac:dyDescent="0.25">
      <c r="A5174" s="2">
        <v>5169</v>
      </c>
      <c r="B5174" s="39">
        <v>926410074</v>
      </c>
      <c r="C5174" s="28" t="str">
        <f>HYPERLINK("https://pld.live/RapDetail.aspx?STONELIST=926410074","DNA")</f>
        <v>DNA</v>
      </c>
      <c r="D5174" s="18" t="s">
        <v>711</v>
      </c>
      <c r="E5174" s="18" t="s">
        <v>2186</v>
      </c>
      <c r="F5174" s="2" t="s">
        <v>7987</v>
      </c>
      <c r="G5174" s="2" t="s">
        <v>7322</v>
      </c>
      <c r="H5174" s="14">
        <v>1.51</v>
      </c>
      <c r="I5174" s="2" t="s">
        <v>6587</v>
      </c>
      <c r="J5174" s="2" t="s">
        <v>3942</v>
      </c>
      <c r="K5174" s="2" t="s">
        <v>1452</v>
      </c>
      <c r="L5174" s="2" t="s">
        <v>5221</v>
      </c>
      <c r="M5174" s="2" t="s">
        <v>5221</v>
      </c>
      <c r="N5174" s="2" t="s">
        <v>2317</v>
      </c>
      <c r="O5174" s="14">
        <v>10000</v>
      </c>
      <c r="P5174" s="14">
        <v>98.94</v>
      </c>
      <c r="Q5174" s="14">
        <v>106</v>
      </c>
      <c r="R5174" s="14">
        <v>160.06</v>
      </c>
      <c r="S5174" s="2" t="s">
        <v>3890</v>
      </c>
      <c r="T5174" s="2">
        <v>1.5</v>
      </c>
      <c r="U5174" s="2">
        <v>67.900000000000006</v>
      </c>
      <c r="V5174" s="2">
        <v>65</v>
      </c>
      <c r="W5174" s="2" t="s">
        <v>7862</v>
      </c>
      <c r="X5174" s="2" t="s">
        <v>2897</v>
      </c>
      <c r="Y5174" s="2">
        <v>15100</v>
      </c>
      <c r="Z5174" s="19" t="str">
        <f>HYPERLINK("https://ssdweb.co/ssdweb/hd/Vision360.html?d=926410074&amp;zoomslide=1&amp;z=1926410074&amp;ISCONFIRM=0","VIDEO")</f>
        <v>VIDEO</v>
      </c>
      <c r="AA5174" s="19" t="str">
        <f>HYPERLINK("https://ssdweb.co/ssdweb/CERTH/642443361.pdf","CERTI")</f>
        <v>CERTI</v>
      </c>
    </row>
    <row r="5175" spans="1:27" ht="15" x14ac:dyDescent="0.25">
      <c r="A5175" s="2">
        <v>5170</v>
      </c>
      <c r="B5175" s="39">
        <v>924500121</v>
      </c>
      <c r="C5175" s="28" t="str">
        <f>HYPERLINK("https://pld.live/RapDetail.aspx?STONELIST=924500121","DNA")</f>
        <v>DNA</v>
      </c>
      <c r="D5175" s="18" t="s">
        <v>711</v>
      </c>
      <c r="E5175" s="18" t="s">
        <v>2186</v>
      </c>
      <c r="F5175" s="2" t="s">
        <v>7987</v>
      </c>
      <c r="G5175" s="2" t="s">
        <v>7322</v>
      </c>
      <c r="H5175" s="14">
        <v>1.51</v>
      </c>
      <c r="I5175" s="2" t="s">
        <v>6587</v>
      </c>
      <c r="J5175" s="2" t="s">
        <v>5144</v>
      </c>
      <c r="K5175" s="2" t="s">
        <v>1452</v>
      </c>
      <c r="L5175" s="2" t="s">
        <v>5221</v>
      </c>
      <c r="M5175" s="2" t="s">
        <v>5221</v>
      </c>
      <c r="N5175" s="2" t="s">
        <v>2317</v>
      </c>
      <c r="O5175" s="14">
        <v>8200</v>
      </c>
      <c r="P5175" s="14">
        <v>98.84</v>
      </c>
      <c r="Q5175" s="14">
        <v>95.12</v>
      </c>
      <c r="R5175" s="14">
        <v>143.63</v>
      </c>
      <c r="S5175" s="2" t="s">
        <v>5857</v>
      </c>
      <c r="T5175" s="2">
        <v>1.4</v>
      </c>
      <c r="U5175" s="2">
        <v>65.7</v>
      </c>
      <c r="V5175" s="2">
        <v>63</v>
      </c>
      <c r="W5175" s="2" t="s">
        <v>7862</v>
      </c>
      <c r="X5175" s="2" t="s">
        <v>2897</v>
      </c>
      <c r="Y5175" s="2">
        <v>12382</v>
      </c>
      <c r="Z5175" s="19" t="str">
        <f>HYPERLINK("https://ssdweb.co/ssdweb/hd/Vision360.html?d=924500121&amp;zoomslide=1&amp;z=1924500121&amp;ISCONFIRM=0","VIDEO")</f>
        <v>VIDEO</v>
      </c>
      <c r="AA5175" s="19" t="str">
        <f>HYPERLINK("https://ssdweb.co/ssdweb/CERTH/597387013.pdf","CERTI")</f>
        <v>CERTI</v>
      </c>
    </row>
    <row r="5176" spans="1:27" ht="15" x14ac:dyDescent="0.25">
      <c r="A5176" s="2">
        <v>5171</v>
      </c>
      <c r="B5176" s="39">
        <v>925861873</v>
      </c>
      <c r="C5176" s="28" t="str">
        <f>HYPERLINK("https://pld.live/RapDetail.aspx?STONELIST=925861873","DNA")</f>
        <v>DNA</v>
      </c>
      <c r="D5176" s="18" t="s">
        <v>711</v>
      </c>
      <c r="E5176" s="18" t="s">
        <v>5128</v>
      </c>
      <c r="F5176" s="2" t="s">
        <v>7987</v>
      </c>
      <c r="G5176" s="2" t="s">
        <v>7322</v>
      </c>
      <c r="H5176" s="14">
        <v>1.5</v>
      </c>
      <c r="I5176" s="2" t="s">
        <v>267</v>
      </c>
      <c r="J5176" s="2" t="s">
        <v>7032</v>
      </c>
      <c r="K5176" s="2" t="s">
        <v>1452</v>
      </c>
      <c r="L5176" s="2" t="s">
        <v>5221</v>
      </c>
      <c r="M5176" s="2" t="s">
        <v>5221</v>
      </c>
      <c r="N5176" s="2" t="s">
        <v>2317</v>
      </c>
      <c r="O5176" s="14">
        <v>14100</v>
      </c>
      <c r="P5176" s="14">
        <v>97.19</v>
      </c>
      <c r="Q5176" s="14">
        <v>396.21</v>
      </c>
      <c r="R5176" s="14">
        <v>594.32000000000005</v>
      </c>
      <c r="S5176" s="2" t="s">
        <v>2762</v>
      </c>
      <c r="T5176" s="2">
        <v>1.39</v>
      </c>
      <c r="U5176" s="2">
        <v>67</v>
      </c>
      <c r="V5176" s="2">
        <v>65</v>
      </c>
      <c r="W5176" s="2" t="s">
        <v>7862</v>
      </c>
      <c r="X5176" s="2" t="s">
        <v>2897</v>
      </c>
      <c r="Y5176" s="2">
        <v>21150</v>
      </c>
      <c r="Z5176" s="19" t="str">
        <f>HYPERLINK("https://ssdweb.co/ssdweb/hd/Vision360.html?d=925861873&amp;zoomslide=1&amp;z=1925861873&amp;ISCONFIRM=0","VIDEO")</f>
        <v>VIDEO</v>
      </c>
      <c r="AA5176" s="19" t="str">
        <f>HYPERLINK("https://ssdweb.co/ssdweb/CERTH/627410481.pdf","CERTI")</f>
        <v>CERTI</v>
      </c>
    </row>
    <row r="5177" spans="1:27" ht="15" x14ac:dyDescent="0.25">
      <c r="A5177" s="2">
        <v>5172</v>
      </c>
      <c r="B5177" s="39">
        <v>925370389</v>
      </c>
      <c r="C5177" s="28" t="str">
        <f>HYPERLINK("https://pld.live/RapDetail.aspx?STONELIST=925370389","DNA")</f>
        <v>DNA</v>
      </c>
      <c r="D5177" s="18" t="s">
        <v>711</v>
      </c>
      <c r="E5177" s="18" t="s">
        <v>5128</v>
      </c>
      <c r="F5177" s="2" t="s">
        <v>7987</v>
      </c>
      <c r="G5177" s="2" t="s">
        <v>7322</v>
      </c>
      <c r="H5177" s="14">
        <v>1.5</v>
      </c>
      <c r="I5177" s="2" t="s">
        <v>267</v>
      </c>
      <c r="J5177" s="2" t="s">
        <v>6555</v>
      </c>
      <c r="K5177" s="2" t="s">
        <v>1452</v>
      </c>
      <c r="L5177" s="2" t="s">
        <v>5221</v>
      </c>
      <c r="M5177" s="2" t="s">
        <v>5221</v>
      </c>
      <c r="N5177" s="2" t="s">
        <v>2317</v>
      </c>
      <c r="O5177" s="14">
        <v>13200</v>
      </c>
      <c r="P5177" s="14">
        <v>98.89</v>
      </c>
      <c r="Q5177" s="14">
        <v>146.52000000000001</v>
      </c>
      <c r="R5177" s="14">
        <v>219.78</v>
      </c>
      <c r="S5177" s="2" t="s">
        <v>5480</v>
      </c>
      <c r="T5177" s="2">
        <v>1.36</v>
      </c>
      <c r="U5177" s="2">
        <v>68.3</v>
      </c>
      <c r="V5177" s="2">
        <v>69</v>
      </c>
      <c r="W5177" s="2" t="s">
        <v>7862</v>
      </c>
      <c r="X5177" s="2" t="s">
        <v>2897</v>
      </c>
      <c r="Y5177" s="2">
        <v>19800</v>
      </c>
      <c r="Z5177" s="19" t="str">
        <f>HYPERLINK("https://ssdweb.co/ssdweb/hd/Vision360.html?d=925370389&amp;zoomslide=1&amp;z=1925370389&amp;ISCONFIRM=0","VIDEO")</f>
        <v>VIDEO</v>
      </c>
      <c r="AA5177" s="19" t="str">
        <f>HYPERLINK("https://ssdweb.co/ssdweb/CERTH/616434483.pdf","CERTI")</f>
        <v>CERTI</v>
      </c>
    </row>
    <row r="5178" spans="1:27" ht="15" x14ac:dyDescent="0.25">
      <c r="A5178" s="2">
        <v>5173</v>
      </c>
      <c r="B5178" s="39">
        <v>925621782</v>
      </c>
      <c r="C5178" s="28" t="str">
        <f>HYPERLINK("https://pld.live/RapDetail.aspx?STONELIST=925621782","DNA")</f>
        <v>DNA</v>
      </c>
      <c r="D5178" s="18" t="s">
        <v>711</v>
      </c>
      <c r="E5178" s="18" t="s">
        <v>5128</v>
      </c>
      <c r="F5178" s="2" t="s">
        <v>7987</v>
      </c>
      <c r="G5178" s="2" t="s">
        <v>7322</v>
      </c>
      <c r="H5178" s="14">
        <v>1.5</v>
      </c>
      <c r="I5178" s="2" t="s">
        <v>267</v>
      </c>
      <c r="J5178" s="2" t="s">
        <v>6555</v>
      </c>
      <c r="K5178" s="2" t="s">
        <v>1452</v>
      </c>
      <c r="L5178" s="2" t="s">
        <v>5221</v>
      </c>
      <c r="M5178" s="2" t="s">
        <v>5221</v>
      </c>
      <c r="N5178" s="2" t="s">
        <v>2317</v>
      </c>
      <c r="O5178" s="14">
        <v>13200</v>
      </c>
      <c r="P5178" s="14">
        <v>98.89</v>
      </c>
      <c r="Q5178" s="14">
        <v>146.52000000000001</v>
      </c>
      <c r="R5178" s="14">
        <v>219.78</v>
      </c>
      <c r="S5178" s="2" t="s">
        <v>106</v>
      </c>
      <c r="T5178" s="2">
        <v>1.38</v>
      </c>
      <c r="U5178" s="2">
        <v>68.5</v>
      </c>
      <c r="V5178" s="2">
        <v>68</v>
      </c>
      <c r="W5178" s="2" t="s">
        <v>7862</v>
      </c>
      <c r="X5178" s="2" t="s">
        <v>2897</v>
      </c>
      <c r="Y5178" s="2">
        <v>19800</v>
      </c>
      <c r="Z5178" s="19" t="str">
        <f>HYPERLINK("https://ssdweb.co/ssdweb/hd/Vision360.html?d=925621782&amp;zoomslide=1&amp;z=1925621782&amp;ISCONFIRM=0","VIDEO")</f>
        <v>VIDEO</v>
      </c>
      <c r="AA5178" s="19" t="str">
        <f>HYPERLINK("https://ssdweb.co/ssdweb/CERTH/623446125.pdf","CERTI")</f>
        <v>CERTI</v>
      </c>
    </row>
    <row r="5179" spans="1:27" ht="15" x14ac:dyDescent="0.25">
      <c r="A5179" s="2">
        <v>5174</v>
      </c>
      <c r="B5179" s="39">
        <v>925771193</v>
      </c>
      <c r="C5179" s="28" t="str">
        <f>HYPERLINK("https://pld.live/RapDetail.aspx?STONELIST=925771193","DNA")</f>
        <v>DNA</v>
      </c>
      <c r="D5179" s="18" t="s">
        <v>711</v>
      </c>
      <c r="E5179" s="18" t="s">
        <v>5128</v>
      </c>
      <c r="F5179" s="2" t="s">
        <v>7987</v>
      </c>
      <c r="G5179" s="2" t="s">
        <v>7322</v>
      </c>
      <c r="H5179" s="14">
        <v>1.5</v>
      </c>
      <c r="I5179" s="2" t="s">
        <v>267</v>
      </c>
      <c r="J5179" s="2" t="s">
        <v>3942</v>
      </c>
      <c r="K5179" s="2" t="s">
        <v>1452</v>
      </c>
      <c r="L5179" s="2" t="s">
        <v>5221</v>
      </c>
      <c r="M5179" s="2" t="s">
        <v>5221</v>
      </c>
      <c r="N5179" s="2" t="s">
        <v>2317</v>
      </c>
      <c r="O5179" s="14">
        <v>12500</v>
      </c>
      <c r="P5179" s="14">
        <v>99.06</v>
      </c>
      <c r="Q5179" s="14">
        <v>117.5</v>
      </c>
      <c r="R5179" s="14">
        <v>176.25</v>
      </c>
      <c r="S5179" s="2" t="s">
        <v>4684</v>
      </c>
      <c r="T5179" s="2">
        <v>1.4</v>
      </c>
      <c r="U5179" s="2">
        <v>67.099999999999994</v>
      </c>
      <c r="V5179" s="2">
        <v>66</v>
      </c>
      <c r="W5179" s="2" t="s">
        <v>7862</v>
      </c>
      <c r="X5179" s="2" t="s">
        <v>2897</v>
      </c>
      <c r="Y5179" s="2">
        <v>18750</v>
      </c>
      <c r="Z5179" s="19" t="str">
        <f>HYPERLINK("https://ssdweb.co/ssdweb/hd/Vision360.html?d=925771193&amp;zoomslide=1&amp;z=1925771193&amp;ISCONFIRM=0","VIDEO")</f>
        <v>VIDEO</v>
      </c>
      <c r="AA5179" s="19" t="str">
        <f>HYPERLINK("https://ssdweb.co/ssdweb/CERTH/626466220.pdf","CERTI")</f>
        <v>CERTI</v>
      </c>
    </row>
    <row r="5180" spans="1:27" ht="15" x14ac:dyDescent="0.25">
      <c r="A5180" s="2">
        <v>5175</v>
      </c>
      <c r="B5180" s="39">
        <v>925860974</v>
      </c>
      <c r="C5180" s="28" t="str">
        <f>HYPERLINK("https://pld.live/RapDetail.aspx?STONELIST=925860974","DNA")</f>
        <v>DNA</v>
      </c>
      <c r="D5180" s="18" t="s">
        <v>711</v>
      </c>
      <c r="E5180" s="18" t="s">
        <v>5128</v>
      </c>
      <c r="F5180" s="2" t="s">
        <v>7987</v>
      </c>
      <c r="G5180" s="2" t="s">
        <v>7322</v>
      </c>
      <c r="H5180" s="14">
        <v>1.5</v>
      </c>
      <c r="I5180" s="2" t="s">
        <v>267</v>
      </c>
      <c r="J5180" s="2" t="s">
        <v>3942</v>
      </c>
      <c r="K5180" s="2" t="s">
        <v>1452</v>
      </c>
      <c r="L5180" s="2" t="s">
        <v>5221</v>
      </c>
      <c r="M5180" s="2" t="s">
        <v>5221</v>
      </c>
      <c r="N5180" s="2" t="s">
        <v>2317</v>
      </c>
      <c r="O5180" s="14">
        <v>12500</v>
      </c>
      <c r="P5180" s="14">
        <v>99.06</v>
      </c>
      <c r="Q5180" s="14">
        <v>117.5</v>
      </c>
      <c r="R5180" s="14">
        <v>176.25</v>
      </c>
      <c r="S5180" s="2" t="s">
        <v>3119</v>
      </c>
      <c r="T5180" s="2">
        <v>1.36</v>
      </c>
      <c r="U5180" s="2">
        <v>65.900000000000006</v>
      </c>
      <c r="V5180" s="2">
        <v>66</v>
      </c>
      <c r="W5180" s="2" t="s">
        <v>7862</v>
      </c>
      <c r="X5180" s="2" t="s">
        <v>2897</v>
      </c>
      <c r="Y5180" s="2">
        <v>18750</v>
      </c>
      <c r="Z5180" s="19" t="str">
        <f>HYPERLINK("https://ssdweb.co/ssdweb/hd/Vision360.html?d=925860974&amp;zoomslide=1&amp;z=1925860974&amp;ISCONFIRM=0","VIDEO")</f>
        <v>VIDEO</v>
      </c>
      <c r="AA5180" s="19" t="str">
        <f>HYPERLINK("https://ssdweb.co/ssdweb/CERTH/626499161.pdf","CERTI")</f>
        <v>CERTI</v>
      </c>
    </row>
    <row r="5181" spans="1:27" ht="15" x14ac:dyDescent="0.25">
      <c r="A5181" s="2">
        <v>5176</v>
      </c>
      <c r="B5181" s="39">
        <v>925861499</v>
      </c>
      <c r="C5181" s="28" t="str">
        <f>HYPERLINK("https://pld.live/RapDetail.aspx?STONELIST=925861499","DNA")</f>
        <v>DNA</v>
      </c>
      <c r="D5181" s="18" t="s">
        <v>711</v>
      </c>
      <c r="E5181" s="18" t="s">
        <v>5128</v>
      </c>
      <c r="F5181" s="2" t="s">
        <v>7987</v>
      </c>
      <c r="G5181" s="2" t="s">
        <v>7322</v>
      </c>
      <c r="H5181" s="14">
        <v>1.5</v>
      </c>
      <c r="I5181" s="2" t="s">
        <v>267</v>
      </c>
      <c r="J5181" s="2" t="s">
        <v>3942</v>
      </c>
      <c r="K5181" s="2" t="s">
        <v>1452</v>
      </c>
      <c r="L5181" s="2" t="s">
        <v>5221</v>
      </c>
      <c r="M5181" s="2" t="s">
        <v>5221</v>
      </c>
      <c r="N5181" s="2" t="s">
        <v>2317</v>
      </c>
      <c r="O5181" s="14">
        <v>12500</v>
      </c>
      <c r="P5181" s="14">
        <v>99.06</v>
      </c>
      <c r="Q5181" s="14">
        <v>117.5</v>
      </c>
      <c r="R5181" s="14">
        <v>176.25</v>
      </c>
      <c r="S5181" s="2" t="s">
        <v>3525</v>
      </c>
      <c r="T5181" s="2">
        <v>1.36</v>
      </c>
      <c r="U5181" s="2">
        <v>68.2</v>
      </c>
      <c r="V5181" s="2">
        <v>64</v>
      </c>
      <c r="W5181" s="2" t="s">
        <v>7862</v>
      </c>
      <c r="X5181" s="2" t="s">
        <v>2897</v>
      </c>
      <c r="Y5181" s="2">
        <v>18750</v>
      </c>
      <c r="Z5181" s="19" t="str">
        <f>HYPERLINK("https://ssdweb.co/ssdweb/hd/Vision360.html?d=925861499&amp;zoomslide=1&amp;z=1925861499&amp;ISCONFIRM=0","VIDEO")</f>
        <v>VIDEO</v>
      </c>
      <c r="AA5181" s="19" t="str">
        <f>HYPERLINK("https://ssdweb.co/ssdweb/CERTH/627497048.pdf","CERTI")</f>
        <v>CERTI</v>
      </c>
    </row>
    <row r="5182" spans="1:27" ht="15" x14ac:dyDescent="0.25">
      <c r="A5182" s="2">
        <v>5177</v>
      </c>
      <c r="B5182" s="39">
        <v>923600431</v>
      </c>
      <c r="C5182" s="28" t="str">
        <f>HYPERLINK("https://pld.live/RapDetail.aspx?STONELIST=923600431","DNA")</f>
        <v>DNA</v>
      </c>
      <c r="D5182" s="18" t="s">
        <v>711</v>
      </c>
      <c r="E5182" s="18" t="s">
        <v>5128</v>
      </c>
      <c r="F5182" s="2" t="s">
        <v>5597</v>
      </c>
      <c r="G5182" s="2" t="s">
        <v>7322</v>
      </c>
      <c r="H5182" s="14">
        <v>1.5</v>
      </c>
      <c r="I5182" s="2" t="s">
        <v>267</v>
      </c>
      <c r="J5182" s="2" t="s">
        <v>3942</v>
      </c>
      <c r="K5182" s="2" t="s">
        <v>1452</v>
      </c>
      <c r="L5182" s="2" t="s">
        <v>5221</v>
      </c>
      <c r="M5182" s="2" t="s">
        <v>5221</v>
      </c>
      <c r="N5182" s="2" t="s">
        <v>2317</v>
      </c>
      <c r="O5182" s="14">
        <v>12500</v>
      </c>
      <c r="P5182" s="14">
        <v>97.91</v>
      </c>
      <c r="Q5182" s="14">
        <v>261.25</v>
      </c>
      <c r="R5182" s="14">
        <v>391.88</v>
      </c>
      <c r="S5182" s="2" t="s">
        <v>3297</v>
      </c>
      <c r="T5182" s="2">
        <v>1.36</v>
      </c>
      <c r="U5182" s="2">
        <v>68</v>
      </c>
      <c r="V5182" s="2">
        <v>64</v>
      </c>
      <c r="W5182" s="2" t="s">
        <v>7862</v>
      </c>
      <c r="X5182" s="2" t="s">
        <v>2897</v>
      </c>
      <c r="Y5182" s="2">
        <v>18750</v>
      </c>
      <c r="Z5182" s="19" t="str">
        <f>HYPERLINK("https://ssdweb.co/ssdweb/hd/Vision360.html?d=923600431&amp;zoomslide=1&amp;z=1923600431&amp;ISCONFIRM=0","VIDEO")</f>
        <v>VIDEO</v>
      </c>
      <c r="AA5182" s="19" t="str">
        <f>HYPERLINK("https://ssdweb.co/ssdweb/CERTH/7453340761.pdf","CERTI")</f>
        <v>CERTI</v>
      </c>
    </row>
    <row r="5183" spans="1:27" ht="15" x14ac:dyDescent="0.25">
      <c r="A5183" s="2">
        <v>5178</v>
      </c>
      <c r="B5183" s="39">
        <v>926901010</v>
      </c>
      <c r="C5183" s="28" t="str">
        <f>HYPERLINK("https://pld.live/RapDetail.aspx?STONELIST=926901010","DNA")</f>
        <v>DNA</v>
      </c>
      <c r="D5183" s="18" t="s">
        <v>711</v>
      </c>
      <c r="E5183" s="18" t="s">
        <v>5128</v>
      </c>
      <c r="F5183" s="2" t="s">
        <v>7987</v>
      </c>
      <c r="G5183" s="2" t="s">
        <v>7322</v>
      </c>
      <c r="H5183" s="14">
        <v>1.5</v>
      </c>
      <c r="I5183" s="2" t="s">
        <v>267</v>
      </c>
      <c r="J5183" s="2" t="s">
        <v>3942</v>
      </c>
      <c r="K5183" s="2" t="s">
        <v>1452</v>
      </c>
      <c r="L5183" s="2" t="s">
        <v>5221</v>
      </c>
      <c r="M5183" s="2" t="s">
        <v>5221</v>
      </c>
      <c r="N5183" s="2" t="s">
        <v>2317</v>
      </c>
      <c r="O5183" s="14">
        <v>12500</v>
      </c>
      <c r="P5183" s="14">
        <v>99.04</v>
      </c>
      <c r="Q5183" s="14">
        <v>120</v>
      </c>
      <c r="R5183" s="14">
        <v>180</v>
      </c>
      <c r="S5183" s="2" t="s">
        <v>688</v>
      </c>
      <c r="T5183" s="2">
        <v>1.4</v>
      </c>
      <c r="U5183" s="2">
        <v>63.7</v>
      </c>
      <c r="V5183" s="2">
        <v>68</v>
      </c>
      <c r="W5183" s="2" t="s">
        <v>7862</v>
      </c>
      <c r="X5183" s="2" t="s">
        <v>2897</v>
      </c>
      <c r="Y5183" s="2">
        <v>18750</v>
      </c>
      <c r="Z5183" s="19" t="str">
        <f>HYPERLINK("https://ssdweb.co/ssdweb/hd/Vision360.html?d=926901010&amp;zoomslide=1&amp;z=1926901010&amp;ISCONFIRM=0","VIDEO")</f>
        <v>VIDEO</v>
      </c>
      <c r="AA5183" s="19" t="str">
        <f>HYPERLINK("https://ssdweb.co/ssdweb/CERTH/660490606.pdf","CERTI")</f>
        <v>CERTI</v>
      </c>
    </row>
    <row r="5184" spans="1:27" ht="15" x14ac:dyDescent="0.25">
      <c r="A5184" s="2">
        <v>5179</v>
      </c>
      <c r="B5184" s="39">
        <v>926830942</v>
      </c>
      <c r="C5184" s="28" t="str">
        <f>HYPERLINK("https://pld.live/RapDetail.aspx?STONELIST=926830942","DNA")</f>
        <v>DNA</v>
      </c>
      <c r="D5184" s="18" t="s">
        <v>711</v>
      </c>
      <c r="E5184" s="18" t="s">
        <v>5128</v>
      </c>
      <c r="F5184" s="2" t="s">
        <v>7987</v>
      </c>
      <c r="G5184" s="2" t="s">
        <v>7322</v>
      </c>
      <c r="H5184" s="14">
        <v>1.5</v>
      </c>
      <c r="I5184" s="2" t="s">
        <v>267</v>
      </c>
      <c r="J5184" s="2" t="s">
        <v>3942</v>
      </c>
      <c r="K5184" s="2" t="s">
        <v>1452</v>
      </c>
      <c r="L5184" s="2" t="s">
        <v>5221</v>
      </c>
      <c r="M5184" s="2" t="s">
        <v>5221</v>
      </c>
      <c r="N5184" s="2" t="s">
        <v>2317</v>
      </c>
      <c r="O5184" s="14">
        <v>12500</v>
      </c>
      <c r="P5184" s="14">
        <v>99.04</v>
      </c>
      <c r="Q5184" s="14">
        <v>120</v>
      </c>
      <c r="R5184" s="14">
        <v>180</v>
      </c>
      <c r="S5184" s="2" t="s">
        <v>728</v>
      </c>
      <c r="T5184" s="2">
        <v>1.41</v>
      </c>
      <c r="U5184" s="2">
        <v>64.400000000000006</v>
      </c>
      <c r="V5184" s="2">
        <v>60</v>
      </c>
      <c r="W5184" s="2" t="s">
        <v>7862</v>
      </c>
      <c r="X5184" s="2" t="s">
        <v>2897</v>
      </c>
      <c r="Y5184" s="2">
        <v>18750</v>
      </c>
      <c r="Z5184" s="19" t="str">
        <f>HYPERLINK("https://ssdweb.co/ssdweb/hd/Vision360.html?d=926830942&amp;zoomslide=1&amp;z=1926830942&amp;ISCONFIRM=0","VIDEO")</f>
        <v>VIDEO</v>
      </c>
      <c r="AA5184" s="19" t="str">
        <f>HYPERLINK("https://ssdweb.co/ssdweb/CERTH/660490586.pdf","CERTI")</f>
        <v>CERTI</v>
      </c>
    </row>
    <row r="5185" spans="1:27" ht="15" x14ac:dyDescent="0.25">
      <c r="A5185" s="2">
        <v>5180</v>
      </c>
      <c r="B5185" s="39">
        <v>926740690</v>
      </c>
      <c r="C5185" s="28" t="str">
        <f>HYPERLINK("https://pld.live/RapDetail.aspx?STONELIST=926740690","DNA")</f>
        <v>DNA</v>
      </c>
      <c r="D5185" s="18" t="s">
        <v>711</v>
      </c>
      <c r="E5185" s="18" t="s">
        <v>5128</v>
      </c>
      <c r="F5185" s="2" t="s">
        <v>7987</v>
      </c>
      <c r="G5185" s="2" t="s">
        <v>7322</v>
      </c>
      <c r="H5185" s="14">
        <v>1.5</v>
      </c>
      <c r="I5185" s="2" t="s">
        <v>267</v>
      </c>
      <c r="J5185" s="2" t="s">
        <v>3942</v>
      </c>
      <c r="K5185" s="2" t="s">
        <v>1452</v>
      </c>
      <c r="L5185" s="2" t="s">
        <v>5221</v>
      </c>
      <c r="M5185" s="2" t="s">
        <v>5221</v>
      </c>
      <c r="N5185" s="2" t="s">
        <v>2317</v>
      </c>
      <c r="O5185" s="14">
        <v>12500</v>
      </c>
      <c r="P5185" s="14">
        <v>99.04</v>
      </c>
      <c r="Q5185" s="14">
        <v>120</v>
      </c>
      <c r="R5185" s="14">
        <v>180</v>
      </c>
      <c r="S5185" s="2" t="s">
        <v>1389</v>
      </c>
      <c r="T5185" s="2">
        <v>1.39</v>
      </c>
      <c r="U5185" s="2">
        <v>67.7</v>
      </c>
      <c r="V5185" s="2">
        <v>67</v>
      </c>
      <c r="W5185" s="2" t="s">
        <v>7862</v>
      </c>
      <c r="X5185" s="2" t="s">
        <v>2897</v>
      </c>
      <c r="Y5185" s="2">
        <v>18750</v>
      </c>
      <c r="Z5185" s="19" t="str">
        <f>HYPERLINK("https://ssdweb.co/ssdweb/hd/Vision360.html?d=926740690&amp;zoomslide=1&amp;z=1926740690&amp;ISCONFIRM=0","VIDEO")</f>
        <v>VIDEO</v>
      </c>
      <c r="AA5185" s="19" t="str">
        <f>HYPERLINK("https://ssdweb.co/ssdweb/CERTH/660490585.pdf","CERTI")</f>
        <v>CERTI</v>
      </c>
    </row>
    <row r="5186" spans="1:27" ht="15" x14ac:dyDescent="0.25">
      <c r="A5186" s="2">
        <v>5181</v>
      </c>
      <c r="B5186" s="39">
        <v>925500575</v>
      </c>
      <c r="C5186" s="28" t="str">
        <f>HYPERLINK("https://pld.live/RapDetail.aspx?STONELIST=925500575","DNA")</f>
        <v>DNA</v>
      </c>
      <c r="D5186" s="18" t="s">
        <v>711</v>
      </c>
      <c r="E5186" s="18" t="s">
        <v>5128</v>
      </c>
      <c r="F5186" s="2" t="s">
        <v>7987</v>
      </c>
      <c r="G5186" s="2" t="s">
        <v>7322</v>
      </c>
      <c r="H5186" s="14">
        <v>1.5</v>
      </c>
      <c r="I5186" s="2" t="s">
        <v>267</v>
      </c>
      <c r="J5186" s="2" t="s">
        <v>3942</v>
      </c>
      <c r="K5186" s="2" t="s">
        <v>1452</v>
      </c>
      <c r="L5186" s="2" t="s">
        <v>5221</v>
      </c>
      <c r="M5186" s="2" t="s">
        <v>5221</v>
      </c>
      <c r="N5186" s="2" t="s">
        <v>2317</v>
      </c>
      <c r="O5186" s="14">
        <v>12500</v>
      </c>
      <c r="P5186" s="14">
        <v>99.06</v>
      </c>
      <c r="Q5186" s="14">
        <v>117.5</v>
      </c>
      <c r="R5186" s="14">
        <v>176.25</v>
      </c>
      <c r="S5186" s="2" t="s">
        <v>1225</v>
      </c>
      <c r="T5186" s="2">
        <v>1.36</v>
      </c>
      <c r="U5186" s="2">
        <v>68.099999999999994</v>
      </c>
      <c r="V5186" s="2">
        <v>61</v>
      </c>
      <c r="W5186" s="2" t="s">
        <v>7862</v>
      </c>
      <c r="X5186" s="2" t="s">
        <v>2897</v>
      </c>
      <c r="Y5186" s="2">
        <v>18750</v>
      </c>
      <c r="Z5186" s="19" t="str">
        <f>HYPERLINK("https://ssdweb.co/ssdweb/hd/Vision360.html?d=925500575&amp;zoomslide=1&amp;z=1925500575&amp;ISCONFIRM=0","VIDEO")</f>
        <v>VIDEO</v>
      </c>
      <c r="AA5186" s="19" t="str">
        <f>HYPERLINK("https://ssdweb.co/ssdweb/CERTH/616423483.pdf","CERTI")</f>
        <v>CERTI</v>
      </c>
    </row>
    <row r="5187" spans="1:27" ht="15" x14ac:dyDescent="0.25">
      <c r="A5187" s="2">
        <v>5182</v>
      </c>
      <c r="B5187" s="39">
        <v>925721787</v>
      </c>
      <c r="C5187" s="28" t="str">
        <f>HYPERLINK("https://pld.live/RapDetail.aspx?STONELIST=925721787","DNA")</f>
        <v>DNA</v>
      </c>
      <c r="D5187" s="18" t="s">
        <v>711</v>
      </c>
      <c r="E5187" s="18" t="s">
        <v>5128</v>
      </c>
      <c r="F5187" s="2" t="s">
        <v>7987</v>
      </c>
      <c r="G5187" s="2" t="s">
        <v>7322</v>
      </c>
      <c r="H5187" s="14">
        <v>1.5</v>
      </c>
      <c r="I5187" s="2" t="s">
        <v>267</v>
      </c>
      <c r="J5187" s="2" t="s">
        <v>3942</v>
      </c>
      <c r="K5187" s="2" t="s">
        <v>1452</v>
      </c>
      <c r="L5187" s="2" t="s">
        <v>5221</v>
      </c>
      <c r="M5187" s="2" t="s">
        <v>5221</v>
      </c>
      <c r="N5187" s="2" t="s">
        <v>2317</v>
      </c>
      <c r="O5187" s="14">
        <v>12500</v>
      </c>
      <c r="P5187" s="14">
        <v>99.06</v>
      </c>
      <c r="Q5187" s="14">
        <v>117.5</v>
      </c>
      <c r="R5187" s="14">
        <v>176.25</v>
      </c>
      <c r="S5187" s="2" t="s">
        <v>2454</v>
      </c>
      <c r="T5187" s="2">
        <v>1.38</v>
      </c>
      <c r="U5187" s="2">
        <v>67</v>
      </c>
      <c r="V5187" s="2">
        <v>67</v>
      </c>
      <c r="W5187" s="2" t="s">
        <v>7862</v>
      </c>
      <c r="X5187" s="2" t="s">
        <v>2897</v>
      </c>
      <c r="Y5187" s="2">
        <v>18750</v>
      </c>
      <c r="Z5187" s="19" t="str">
        <f>HYPERLINK("https://ssdweb.co/ssdweb/hd/Vision360.html?d=925721787&amp;zoomslide=1&amp;z=1925721787&amp;ISCONFIRM=0","VIDEO")</f>
        <v>VIDEO</v>
      </c>
      <c r="AA5187" s="19" t="str">
        <f>HYPERLINK("https://ssdweb.co/ssdweb/CERTH/623493225.pdf","CERTI")</f>
        <v>CERTI</v>
      </c>
    </row>
    <row r="5188" spans="1:27" ht="15" x14ac:dyDescent="0.25">
      <c r="A5188" s="2">
        <v>5183</v>
      </c>
      <c r="B5188" s="39">
        <v>926171444</v>
      </c>
      <c r="C5188" s="28" t="str">
        <f>HYPERLINK("https://pld.live/RapDetail.aspx?STONELIST=926171444","DNA")</f>
        <v>DNA</v>
      </c>
      <c r="D5188" s="18" t="s">
        <v>711</v>
      </c>
      <c r="E5188" s="18" t="s">
        <v>5128</v>
      </c>
      <c r="F5188" s="2" t="s">
        <v>7987</v>
      </c>
      <c r="G5188" s="2" t="s">
        <v>7322</v>
      </c>
      <c r="H5188" s="14">
        <v>1.5</v>
      </c>
      <c r="I5188" s="2" t="s">
        <v>267</v>
      </c>
      <c r="J5188" s="2" t="s">
        <v>3942</v>
      </c>
      <c r="K5188" s="2" t="s">
        <v>1452</v>
      </c>
      <c r="L5188" s="2" t="s">
        <v>5221</v>
      </c>
      <c r="M5188" s="2" t="s">
        <v>5221</v>
      </c>
      <c r="N5188" s="2" t="s">
        <v>2317</v>
      </c>
      <c r="O5188" s="14">
        <v>12500</v>
      </c>
      <c r="P5188" s="14">
        <v>99.05</v>
      </c>
      <c r="Q5188" s="14">
        <v>118.75</v>
      </c>
      <c r="R5188" s="14">
        <v>178.13</v>
      </c>
      <c r="S5188" s="2" t="s">
        <v>8007</v>
      </c>
      <c r="T5188" s="2">
        <v>1.36</v>
      </c>
      <c r="U5188" s="2">
        <v>64.7</v>
      </c>
      <c r="V5188" s="2">
        <v>70</v>
      </c>
      <c r="W5188" s="2" t="s">
        <v>7862</v>
      </c>
      <c r="X5188" s="2" t="s">
        <v>2897</v>
      </c>
      <c r="Y5188" s="2">
        <v>18750</v>
      </c>
      <c r="Z5188" s="19" t="str">
        <f>HYPERLINK("https://ssdweb.co/ssdweb/hd/Vision360.html?d=926171444&amp;zoomslide=1&amp;z=1926171444&amp;ISCONFIRM=0","VIDEO")</f>
        <v>VIDEO</v>
      </c>
      <c r="AA5188" s="19" t="str">
        <f>HYPERLINK("https://ssdweb.co/ssdweb/CERTH/634431448.pdf","CERTI")</f>
        <v>CERTI</v>
      </c>
    </row>
    <row r="5189" spans="1:27" ht="15" x14ac:dyDescent="0.25">
      <c r="A5189" s="2">
        <v>5184</v>
      </c>
      <c r="B5189" s="39">
        <v>925970836</v>
      </c>
      <c r="C5189" s="28" t="str">
        <f>HYPERLINK("https://pld.live/RapDetail.aspx?STONELIST=925970836","DNA")</f>
        <v>DNA</v>
      </c>
      <c r="D5189" s="18" t="s">
        <v>711</v>
      </c>
      <c r="E5189" s="18" t="s">
        <v>5128</v>
      </c>
      <c r="F5189" s="2" t="s">
        <v>7987</v>
      </c>
      <c r="G5189" s="2" t="s">
        <v>7322</v>
      </c>
      <c r="H5189" s="14">
        <v>1.5</v>
      </c>
      <c r="I5189" s="2" t="s">
        <v>267</v>
      </c>
      <c r="J5189" s="2" t="s">
        <v>3942</v>
      </c>
      <c r="K5189" s="2" t="s">
        <v>1452</v>
      </c>
      <c r="L5189" s="2" t="s">
        <v>5221</v>
      </c>
      <c r="M5189" s="2" t="s">
        <v>5221</v>
      </c>
      <c r="N5189" s="2" t="s">
        <v>2317</v>
      </c>
      <c r="O5189" s="14">
        <v>12500</v>
      </c>
      <c r="P5189" s="14">
        <v>99.06</v>
      </c>
      <c r="Q5189" s="14">
        <v>117.5</v>
      </c>
      <c r="R5189" s="14">
        <v>176.25</v>
      </c>
      <c r="S5189" s="2" t="s">
        <v>6406</v>
      </c>
      <c r="T5189" s="2">
        <v>1.5</v>
      </c>
      <c r="U5189" s="2">
        <v>68.3</v>
      </c>
      <c r="V5189" s="2">
        <v>65</v>
      </c>
      <c r="W5189" s="2" t="s">
        <v>7862</v>
      </c>
      <c r="X5189" s="2" t="s">
        <v>2897</v>
      </c>
      <c r="Y5189" s="2">
        <v>18750</v>
      </c>
      <c r="Z5189" s="19" t="str">
        <f>HYPERLINK("https://ssdweb.co/ssdweb/hd/Vision360.html?d=925970836&amp;zoomslide=1&amp;z=1925970836&amp;ISCONFIRM=0","VIDEO")</f>
        <v>VIDEO</v>
      </c>
      <c r="AA5189" s="19" t="str">
        <f>HYPERLINK("https://ssdweb.co/ssdweb/CERTH/628463173.pdf","CERTI")</f>
        <v>CERTI</v>
      </c>
    </row>
    <row r="5190" spans="1:27" ht="15" x14ac:dyDescent="0.25">
      <c r="A5190" s="2">
        <v>5185</v>
      </c>
      <c r="B5190" s="39">
        <v>925731602</v>
      </c>
      <c r="C5190" s="28" t="str">
        <f>HYPERLINK("https://pld.live/RapDetail.aspx?STONELIST=925731602","DNA")</f>
        <v>DNA</v>
      </c>
      <c r="D5190" s="18" t="s">
        <v>711</v>
      </c>
      <c r="E5190" s="18" t="s">
        <v>5128</v>
      </c>
      <c r="F5190" s="2" t="s">
        <v>7987</v>
      </c>
      <c r="G5190" s="2" t="s">
        <v>7322</v>
      </c>
      <c r="H5190" s="14">
        <v>1.5</v>
      </c>
      <c r="I5190" s="2" t="s">
        <v>267</v>
      </c>
      <c r="J5190" s="2" t="s">
        <v>13</v>
      </c>
      <c r="K5190" s="2" t="s">
        <v>1452</v>
      </c>
      <c r="L5190" s="2" t="s">
        <v>5221</v>
      </c>
      <c r="M5190" s="2" t="s">
        <v>5221</v>
      </c>
      <c r="N5190" s="2" t="s">
        <v>2317</v>
      </c>
      <c r="O5190" s="14">
        <v>11600</v>
      </c>
      <c r="P5190" s="14">
        <v>99.04</v>
      </c>
      <c r="Q5190" s="14">
        <v>111.36</v>
      </c>
      <c r="R5190" s="14">
        <v>167.04</v>
      </c>
      <c r="S5190" s="2" t="s">
        <v>3131</v>
      </c>
      <c r="T5190" s="2">
        <v>1.44</v>
      </c>
      <c r="U5190" s="2">
        <v>67.599999999999994</v>
      </c>
      <c r="V5190" s="2">
        <v>63</v>
      </c>
      <c r="W5190" s="2" t="s">
        <v>7862</v>
      </c>
      <c r="X5190" s="2" t="s">
        <v>2897</v>
      </c>
      <c r="Y5190" s="2">
        <v>17400</v>
      </c>
      <c r="Z5190" s="19" t="str">
        <f>HYPERLINK("https://ssdweb.co/ssdweb/hd/Vision360.html?d=925731602&amp;zoomslide=1&amp;z=1925731602&amp;ISCONFIRM=0","VIDEO")</f>
        <v>VIDEO</v>
      </c>
      <c r="AA5190" s="19" t="str">
        <f>HYPERLINK("https://ssdweb.co/ssdweb/CERTH/624440143.pdf","CERTI")</f>
        <v>CERTI</v>
      </c>
    </row>
    <row r="5191" spans="1:27" ht="15" x14ac:dyDescent="0.25">
      <c r="A5191" s="2">
        <v>5186</v>
      </c>
      <c r="B5191" s="39">
        <v>923450153</v>
      </c>
      <c r="C5191" s="28" t="str">
        <f>HYPERLINK("https://pld.live/RapDetail.aspx?STONELIST=923450153","DNA")</f>
        <v>DNA</v>
      </c>
      <c r="D5191" s="18" t="s">
        <v>711</v>
      </c>
      <c r="E5191" s="18" t="s">
        <v>5128</v>
      </c>
      <c r="F5191" s="2" t="s">
        <v>7987</v>
      </c>
      <c r="G5191" s="2" t="s">
        <v>7322</v>
      </c>
      <c r="H5191" s="14">
        <v>1.5</v>
      </c>
      <c r="I5191" s="2" t="s">
        <v>267</v>
      </c>
      <c r="J5191" s="2" t="s">
        <v>13</v>
      </c>
      <c r="K5191" s="2" t="s">
        <v>1452</v>
      </c>
      <c r="L5191" s="2" t="s">
        <v>5221</v>
      </c>
      <c r="M5191" s="2" t="s">
        <v>5221</v>
      </c>
      <c r="N5191" s="2" t="s">
        <v>2317</v>
      </c>
      <c r="O5191" s="14">
        <v>11600</v>
      </c>
      <c r="P5191" s="14">
        <v>99.04</v>
      </c>
      <c r="Q5191" s="14">
        <v>111.36</v>
      </c>
      <c r="R5191" s="14">
        <v>167.04</v>
      </c>
      <c r="S5191" s="2" t="s">
        <v>5280</v>
      </c>
      <c r="T5191" s="2">
        <v>1.54</v>
      </c>
      <c r="U5191" s="2">
        <v>68.3</v>
      </c>
      <c r="V5191" s="2">
        <v>65.5</v>
      </c>
      <c r="W5191" s="2" t="s">
        <v>7862</v>
      </c>
      <c r="X5191" s="2" t="s">
        <v>2897</v>
      </c>
      <c r="Y5191" s="2">
        <v>17400</v>
      </c>
      <c r="Z5191" s="19" t="str">
        <f>HYPERLINK("https://ssdweb.co/ssdweb/hd/Vision360.html?d=923450153&amp;zoomslide=1&amp;z=1923450153&amp;ISCONFIRM=0","VIDEO")</f>
        <v>VIDEO</v>
      </c>
      <c r="AA5191" s="19" t="str">
        <f>HYPERLINK("https://ssdweb.co/ssdweb/CERTH/549299456.pdf","CERTI")</f>
        <v>CERTI</v>
      </c>
    </row>
    <row r="5192" spans="1:27" ht="15" x14ac:dyDescent="0.25">
      <c r="A5192" s="2">
        <v>5187</v>
      </c>
      <c r="B5192" s="39">
        <v>925801453</v>
      </c>
      <c r="C5192" s="28" t="str">
        <f>HYPERLINK("https://pld.live/RapDetail.aspx?STONELIST=925801453","DNA")</f>
        <v>DNA</v>
      </c>
      <c r="D5192" s="18" t="s">
        <v>711</v>
      </c>
      <c r="E5192" s="18" t="s">
        <v>5128</v>
      </c>
      <c r="F5192" s="2" t="s">
        <v>7987</v>
      </c>
      <c r="G5192" s="2" t="s">
        <v>7322</v>
      </c>
      <c r="H5192" s="14">
        <v>1.5</v>
      </c>
      <c r="I5192" s="2" t="s">
        <v>267</v>
      </c>
      <c r="J5192" s="2" t="s">
        <v>13</v>
      </c>
      <c r="K5192" s="2" t="s">
        <v>1452</v>
      </c>
      <c r="L5192" s="2" t="s">
        <v>5221</v>
      </c>
      <c r="M5192" s="2" t="s">
        <v>5221</v>
      </c>
      <c r="N5192" s="2" t="s">
        <v>2317</v>
      </c>
      <c r="O5192" s="14">
        <v>11600</v>
      </c>
      <c r="P5192" s="14">
        <v>99.04</v>
      </c>
      <c r="Q5192" s="14">
        <v>111.36</v>
      </c>
      <c r="R5192" s="14">
        <v>167.04</v>
      </c>
      <c r="S5192" s="2" t="s">
        <v>4332</v>
      </c>
      <c r="T5192" s="2">
        <v>1.4</v>
      </c>
      <c r="U5192" s="2">
        <v>68.5</v>
      </c>
      <c r="V5192" s="2">
        <v>66</v>
      </c>
      <c r="W5192" s="2" t="s">
        <v>7862</v>
      </c>
      <c r="X5192" s="2" t="s">
        <v>2897</v>
      </c>
      <c r="Y5192" s="2">
        <v>17400</v>
      </c>
      <c r="Z5192" s="19" t="str">
        <f>HYPERLINK("https://ssdweb.co/ssdweb/hd/Vision360.html?d=925801453&amp;zoomslide=1&amp;z=1925801453&amp;ISCONFIRM=0","VIDEO")</f>
        <v>VIDEO</v>
      </c>
      <c r="AA5192" s="19" t="str">
        <f>HYPERLINK("https://ssdweb.co/ssdweb/CERTH/626466300.pdf","CERTI")</f>
        <v>CERTI</v>
      </c>
    </row>
    <row r="5193" spans="1:27" ht="15" x14ac:dyDescent="0.25">
      <c r="A5193" s="2">
        <v>5188</v>
      </c>
      <c r="B5193" s="39">
        <v>925951050</v>
      </c>
      <c r="C5193" s="28" t="str">
        <f>HYPERLINK("https://pld.live/RapDetail.aspx?STONELIST=925951050","DNA")</f>
        <v>DNA</v>
      </c>
      <c r="D5193" s="18" t="s">
        <v>711</v>
      </c>
      <c r="E5193" s="18" t="s">
        <v>5128</v>
      </c>
      <c r="F5193" s="2" t="s">
        <v>7987</v>
      </c>
      <c r="G5193" s="2" t="s">
        <v>7322</v>
      </c>
      <c r="H5193" s="14">
        <v>1.5</v>
      </c>
      <c r="I5193" s="2" t="s">
        <v>267</v>
      </c>
      <c r="J5193" s="2" t="s">
        <v>13</v>
      </c>
      <c r="K5193" s="2" t="s">
        <v>1452</v>
      </c>
      <c r="L5193" s="2" t="s">
        <v>5221</v>
      </c>
      <c r="M5193" s="2" t="s">
        <v>5221</v>
      </c>
      <c r="N5193" s="2" t="s">
        <v>2317</v>
      </c>
      <c r="O5193" s="14">
        <v>11600</v>
      </c>
      <c r="P5193" s="14">
        <v>99.03</v>
      </c>
      <c r="Q5193" s="14">
        <v>112.52</v>
      </c>
      <c r="R5193" s="14">
        <v>168.78</v>
      </c>
      <c r="S5193" s="2" t="s">
        <v>4528</v>
      </c>
      <c r="T5193" s="2">
        <v>1.38</v>
      </c>
      <c r="U5193" s="2">
        <v>66.8</v>
      </c>
      <c r="V5193" s="2">
        <v>66</v>
      </c>
      <c r="W5193" s="2" t="s">
        <v>7862</v>
      </c>
      <c r="X5193" s="2" t="s">
        <v>2897</v>
      </c>
      <c r="Y5193" s="2">
        <v>17400</v>
      </c>
      <c r="Z5193" s="19" t="str">
        <f>HYPERLINK("https://ssdweb.co/ssdweb/hd/Vision360.html?d=925951050&amp;zoomslide=1&amp;z=1925951050&amp;ISCONFIRM=0","VIDEO")</f>
        <v>VIDEO</v>
      </c>
      <c r="AA5193" s="19" t="str">
        <f>HYPERLINK("https://ssdweb.co/ssdweb/CERTH/628427037.pdf","CERTI")</f>
        <v>CERTI</v>
      </c>
    </row>
    <row r="5194" spans="1:27" ht="15" x14ac:dyDescent="0.25">
      <c r="A5194" s="2">
        <v>5189</v>
      </c>
      <c r="B5194" s="39">
        <v>925732002</v>
      </c>
      <c r="C5194" s="28" t="str">
        <f>HYPERLINK("https://pld.live/RapDetail.aspx?STONELIST=925732002","DNA")</f>
        <v>DNA</v>
      </c>
      <c r="D5194" s="18" t="s">
        <v>711</v>
      </c>
      <c r="E5194" s="18" t="s">
        <v>5128</v>
      </c>
      <c r="F5194" s="2" t="s">
        <v>7987</v>
      </c>
      <c r="G5194" s="2" t="s">
        <v>7322</v>
      </c>
      <c r="H5194" s="14">
        <v>1.5</v>
      </c>
      <c r="I5194" s="2" t="s">
        <v>267</v>
      </c>
      <c r="J5194" s="2" t="s">
        <v>13</v>
      </c>
      <c r="K5194" s="2" t="s">
        <v>1452</v>
      </c>
      <c r="L5194" s="2" t="s">
        <v>5221</v>
      </c>
      <c r="M5194" s="2" t="s">
        <v>5221</v>
      </c>
      <c r="N5194" s="2" t="s">
        <v>2317</v>
      </c>
      <c r="O5194" s="14">
        <v>11600</v>
      </c>
      <c r="P5194" s="14">
        <v>99.04</v>
      </c>
      <c r="Q5194" s="14">
        <v>111.36</v>
      </c>
      <c r="R5194" s="14">
        <v>167.04</v>
      </c>
      <c r="S5194" s="2" t="s">
        <v>4172</v>
      </c>
      <c r="T5194" s="2">
        <v>1.47</v>
      </c>
      <c r="U5194" s="2">
        <v>64.7</v>
      </c>
      <c r="V5194" s="2">
        <v>66</v>
      </c>
      <c r="W5194" s="2" t="s">
        <v>7862</v>
      </c>
      <c r="X5194" s="2" t="s">
        <v>2897</v>
      </c>
      <c r="Y5194" s="2">
        <v>17400</v>
      </c>
      <c r="Z5194" s="19" t="str">
        <f>HYPERLINK("https://ssdweb.co/ssdweb/hd/Vision360.html?d=925732002&amp;zoomslide=1&amp;z=1925732002&amp;ISCONFIRM=0","VIDEO")</f>
        <v>VIDEO</v>
      </c>
      <c r="AA5194" s="19" t="str">
        <f>HYPERLINK("https://ssdweb.co/ssdweb/CERTH/625432322.pdf","CERTI")</f>
        <v>CERTI</v>
      </c>
    </row>
    <row r="5195" spans="1:27" ht="15" x14ac:dyDescent="0.25">
      <c r="A5195" s="2">
        <v>5190</v>
      </c>
      <c r="B5195" s="39">
        <v>925731755</v>
      </c>
      <c r="C5195" s="28" t="str">
        <f>HYPERLINK("https://pld.live/RapDetail.aspx?STONELIST=925731755","DNA")</f>
        <v>DNA</v>
      </c>
      <c r="D5195" s="18" t="s">
        <v>711</v>
      </c>
      <c r="E5195" s="18" t="s">
        <v>5128</v>
      </c>
      <c r="F5195" s="2" t="s">
        <v>7987</v>
      </c>
      <c r="G5195" s="2" t="s">
        <v>7322</v>
      </c>
      <c r="H5195" s="14">
        <v>1.5</v>
      </c>
      <c r="I5195" s="2" t="s">
        <v>267</v>
      </c>
      <c r="J5195" s="2" t="s">
        <v>13</v>
      </c>
      <c r="K5195" s="2" t="s">
        <v>1452</v>
      </c>
      <c r="L5195" s="2" t="s">
        <v>5221</v>
      </c>
      <c r="M5195" s="2" t="s">
        <v>5221</v>
      </c>
      <c r="N5195" s="2" t="s">
        <v>2317</v>
      </c>
      <c r="O5195" s="14">
        <v>11600</v>
      </c>
      <c r="P5195" s="14">
        <v>99.04</v>
      </c>
      <c r="Q5195" s="14">
        <v>111.36</v>
      </c>
      <c r="R5195" s="14">
        <v>167.04</v>
      </c>
      <c r="S5195" s="2" t="s">
        <v>3562</v>
      </c>
      <c r="T5195" s="2">
        <v>1.4</v>
      </c>
      <c r="U5195" s="2">
        <v>66.900000000000006</v>
      </c>
      <c r="V5195" s="2">
        <v>64</v>
      </c>
      <c r="W5195" s="2" t="s">
        <v>7862</v>
      </c>
      <c r="X5195" s="2" t="s">
        <v>2897</v>
      </c>
      <c r="Y5195" s="2">
        <v>17400</v>
      </c>
      <c r="Z5195" s="19" t="str">
        <f>HYPERLINK("https://ssdweb.co/ssdweb/hd/Vision360.html?d=925731755&amp;zoomslide=1&amp;z=1925731755&amp;ISCONFIRM=0","VIDEO")</f>
        <v>VIDEO</v>
      </c>
      <c r="AA5195" s="19" t="str">
        <f>HYPERLINK("https://ssdweb.co/ssdweb/CERTH/625457982.pdf","CERTI")</f>
        <v>CERTI</v>
      </c>
    </row>
    <row r="5196" spans="1:27" ht="15" x14ac:dyDescent="0.25">
      <c r="A5196" s="2">
        <v>5191</v>
      </c>
      <c r="B5196" s="39">
        <v>925861615</v>
      </c>
      <c r="C5196" s="28" t="str">
        <f>HYPERLINK("https://pld.live/RapDetail.aspx?STONELIST=925861615","DNA")</f>
        <v>DNA</v>
      </c>
      <c r="D5196" s="18" t="s">
        <v>711</v>
      </c>
      <c r="E5196" s="18" t="s">
        <v>5128</v>
      </c>
      <c r="F5196" s="2" t="s">
        <v>7987</v>
      </c>
      <c r="G5196" s="2" t="s">
        <v>7322</v>
      </c>
      <c r="H5196" s="14">
        <v>1.5</v>
      </c>
      <c r="I5196" s="2" t="s">
        <v>267</v>
      </c>
      <c r="J5196" s="2" t="s">
        <v>13</v>
      </c>
      <c r="K5196" s="2" t="s">
        <v>1452</v>
      </c>
      <c r="L5196" s="2" t="s">
        <v>5221</v>
      </c>
      <c r="M5196" s="2" t="s">
        <v>5221</v>
      </c>
      <c r="N5196" s="2" t="s">
        <v>2317</v>
      </c>
      <c r="O5196" s="14">
        <v>11600</v>
      </c>
      <c r="P5196" s="14">
        <v>99.04</v>
      </c>
      <c r="Q5196" s="14">
        <v>111.36</v>
      </c>
      <c r="R5196" s="14">
        <v>167.04</v>
      </c>
      <c r="S5196" s="2" t="s">
        <v>6238</v>
      </c>
      <c r="T5196" s="2">
        <v>1.37</v>
      </c>
      <c r="U5196" s="2">
        <v>68.3</v>
      </c>
      <c r="V5196" s="2">
        <v>63</v>
      </c>
      <c r="W5196" s="2" t="s">
        <v>7862</v>
      </c>
      <c r="X5196" s="2" t="s">
        <v>2897</v>
      </c>
      <c r="Y5196" s="2">
        <v>17400</v>
      </c>
      <c r="Z5196" s="19" t="str">
        <f>HYPERLINK("https://ssdweb.co/ssdweb/hd/Vision360.html?d=925861615&amp;zoomslide=1&amp;z=1925861615&amp;ISCONFIRM=0","VIDEO")</f>
        <v>VIDEO</v>
      </c>
      <c r="AA5196" s="19" t="str">
        <f>HYPERLINK("https://ssdweb.co/ssdweb/CERTH/627497066.pdf","CERTI")</f>
        <v>CERTI</v>
      </c>
    </row>
    <row r="5197" spans="1:27" ht="15" x14ac:dyDescent="0.25">
      <c r="A5197" s="2">
        <v>5192</v>
      </c>
      <c r="B5197" s="39">
        <v>925621654</v>
      </c>
      <c r="C5197" s="28" t="str">
        <f>HYPERLINK("https://pld.live/RapDetail.aspx?STONELIST=925621654","DNA")</f>
        <v>DNA</v>
      </c>
      <c r="D5197" s="18" t="s">
        <v>711</v>
      </c>
      <c r="E5197" s="18" t="s">
        <v>5128</v>
      </c>
      <c r="F5197" s="2" t="s">
        <v>7987</v>
      </c>
      <c r="G5197" s="2" t="s">
        <v>7322</v>
      </c>
      <c r="H5197" s="14">
        <v>1.5</v>
      </c>
      <c r="I5197" s="2" t="s">
        <v>267</v>
      </c>
      <c r="J5197" s="2" t="s">
        <v>13</v>
      </c>
      <c r="K5197" s="2" t="s">
        <v>1452</v>
      </c>
      <c r="L5197" s="2" t="s">
        <v>5221</v>
      </c>
      <c r="M5197" s="2" t="s">
        <v>5221</v>
      </c>
      <c r="N5197" s="2" t="s">
        <v>2317</v>
      </c>
      <c r="O5197" s="14">
        <v>11600</v>
      </c>
      <c r="P5197" s="14">
        <v>99.04</v>
      </c>
      <c r="Q5197" s="14">
        <v>111.36</v>
      </c>
      <c r="R5197" s="14">
        <v>167.04</v>
      </c>
      <c r="S5197" s="2" t="s">
        <v>3098</v>
      </c>
      <c r="T5197" s="2">
        <v>1.53</v>
      </c>
      <c r="U5197" s="2">
        <v>68.099999999999994</v>
      </c>
      <c r="V5197" s="2">
        <v>63</v>
      </c>
      <c r="W5197" s="2" t="s">
        <v>7862</v>
      </c>
      <c r="X5197" s="2" t="s">
        <v>2897</v>
      </c>
      <c r="Y5197" s="2">
        <v>17400</v>
      </c>
      <c r="Z5197" s="19" t="str">
        <f>HYPERLINK("https://ssdweb.co/ssdweb/hd/Vision360.html?d=925621654&amp;zoomslide=1&amp;z=1925621654&amp;ISCONFIRM=0","VIDEO")</f>
        <v>VIDEO</v>
      </c>
      <c r="AA5197" s="19" t="str">
        <f>HYPERLINK("https://ssdweb.co/ssdweb/CERTH/621475749.pdf","CERTI")</f>
        <v>CERTI</v>
      </c>
    </row>
    <row r="5198" spans="1:27" ht="15" x14ac:dyDescent="0.25">
      <c r="A5198" s="2">
        <v>5193</v>
      </c>
      <c r="B5198" s="39">
        <v>925861971</v>
      </c>
      <c r="C5198" s="28" t="str">
        <f>HYPERLINK("https://pld.live/RapDetail.aspx?STONELIST=925861971","DNA")</f>
        <v>DNA</v>
      </c>
      <c r="D5198" s="18" t="s">
        <v>711</v>
      </c>
      <c r="E5198" s="18" t="s">
        <v>5128</v>
      </c>
      <c r="F5198" s="2" t="s">
        <v>5597</v>
      </c>
      <c r="G5198" s="2" t="s">
        <v>7322</v>
      </c>
      <c r="H5198" s="14">
        <v>1.5</v>
      </c>
      <c r="I5198" s="2" t="s">
        <v>267</v>
      </c>
      <c r="J5198" s="2" t="s">
        <v>5144</v>
      </c>
      <c r="K5198" s="2" t="s">
        <v>1452</v>
      </c>
      <c r="L5198" s="2" t="s">
        <v>5221</v>
      </c>
      <c r="M5198" s="2" t="s">
        <v>5221</v>
      </c>
      <c r="N5198" s="2" t="s">
        <v>2317</v>
      </c>
      <c r="O5198" s="14">
        <v>9900</v>
      </c>
      <c r="P5198" s="14">
        <v>97.7</v>
      </c>
      <c r="Q5198" s="14">
        <v>227.7</v>
      </c>
      <c r="R5198" s="14">
        <v>341.55</v>
      </c>
      <c r="S5198" s="2" t="s">
        <v>6347</v>
      </c>
      <c r="T5198" s="2">
        <v>1.41</v>
      </c>
      <c r="U5198" s="2">
        <v>65</v>
      </c>
      <c r="V5198" s="2">
        <v>63</v>
      </c>
      <c r="W5198" s="2" t="s">
        <v>7862</v>
      </c>
      <c r="X5198" s="2" t="s">
        <v>2897</v>
      </c>
      <c r="Y5198" s="2">
        <v>14850</v>
      </c>
      <c r="Z5198" s="19" t="str">
        <f>HYPERLINK("https://ssdweb.co/ssdweb/hd/Vision360.html?d=925861971&amp;zoomslide=1&amp;z=1925861971&amp;ISCONFIRM=0","VIDEO")</f>
        <v>VIDEO</v>
      </c>
      <c r="AA5198" s="19" t="str">
        <f>HYPERLINK("https://ssdweb.co/ssdweb/CERTH/2494051495.pdf","CERTI")</f>
        <v>CERTI</v>
      </c>
    </row>
    <row r="5199" spans="1:27" ht="15" x14ac:dyDescent="0.25">
      <c r="A5199" s="2">
        <v>5194</v>
      </c>
      <c r="B5199" s="39">
        <v>925861667</v>
      </c>
      <c r="C5199" s="28" t="str">
        <f>HYPERLINK("https://pld.live/RapDetail.aspx?STONELIST=925861667","DNA")</f>
        <v>DNA</v>
      </c>
      <c r="D5199" s="18" t="s">
        <v>711</v>
      </c>
      <c r="E5199" s="18" t="s">
        <v>5128</v>
      </c>
      <c r="F5199" s="2" t="s">
        <v>7987</v>
      </c>
      <c r="G5199" s="2" t="s">
        <v>7322</v>
      </c>
      <c r="H5199" s="14">
        <v>1.5</v>
      </c>
      <c r="I5199" s="2" t="s">
        <v>267</v>
      </c>
      <c r="J5199" s="2" t="s">
        <v>5144</v>
      </c>
      <c r="K5199" s="2" t="s">
        <v>1452</v>
      </c>
      <c r="L5199" s="2" t="s">
        <v>5221</v>
      </c>
      <c r="M5199" s="2" t="s">
        <v>5221</v>
      </c>
      <c r="N5199" s="2" t="s">
        <v>2317</v>
      </c>
      <c r="O5199" s="14">
        <v>9900</v>
      </c>
      <c r="P5199" s="14">
        <v>98.93</v>
      </c>
      <c r="Q5199" s="14">
        <v>105.93</v>
      </c>
      <c r="R5199" s="14">
        <v>158.9</v>
      </c>
      <c r="S5199" s="2" t="s">
        <v>6075</v>
      </c>
      <c r="T5199" s="2">
        <v>1.39</v>
      </c>
      <c r="U5199" s="2">
        <v>66.5</v>
      </c>
      <c r="V5199" s="2">
        <v>59</v>
      </c>
      <c r="W5199" s="2" t="s">
        <v>7862</v>
      </c>
      <c r="X5199" s="2" t="s">
        <v>2897</v>
      </c>
      <c r="Y5199" s="2">
        <v>14850</v>
      </c>
      <c r="Z5199" s="19" t="str">
        <f>HYPERLINK("https://ssdweb.co/ssdweb/hd/Vision360.html?d=925861667&amp;zoomslide=1&amp;z=1925861667&amp;ISCONFIRM=0","VIDEO")</f>
        <v>VIDEO</v>
      </c>
      <c r="AA5199" s="19" t="str">
        <f>HYPERLINK("https://ssdweb.co/ssdweb/CERTH/627410511.pdf","CERTI")</f>
        <v>CERTI</v>
      </c>
    </row>
    <row r="5200" spans="1:27" ht="15" x14ac:dyDescent="0.25">
      <c r="A5200" s="2">
        <v>5195</v>
      </c>
      <c r="B5200" s="39">
        <v>926200756</v>
      </c>
      <c r="C5200" s="28" t="str">
        <f>HYPERLINK("https://pld.live/RapDetail.aspx?STONELIST=926200756","DNA")</f>
        <v>DNA</v>
      </c>
      <c r="D5200" s="18" t="s">
        <v>711</v>
      </c>
      <c r="E5200" s="18" t="s">
        <v>5128</v>
      </c>
      <c r="F5200" s="2" t="s">
        <v>7987</v>
      </c>
      <c r="G5200" s="2" t="s">
        <v>7322</v>
      </c>
      <c r="H5200" s="14">
        <v>1.5</v>
      </c>
      <c r="I5200" s="2" t="s">
        <v>267</v>
      </c>
      <c r="J5200" s="2" t="s">
        <v>5144</v>
      </c>
      <c r="K5200" s="2" t="s">
        <v>1452</v>
      </c>
      <c r="L5200" s="2" t="s">
        <v>5221</v>
      </c>
      <c r="M5200" s="2" t="s">
        <v>5221</v>
      </c>
      <c r="N5200" s="2" t="s">
        <v>2317</v>
      </c>
      <c r="O5200" s="14">
        <v>9900</v>
      </c>
      <c r="P5200" s="14">
        <v>98.91</v>
      </c>
      <c r="Q5200" s="14">
        <v>107.91</v>
      </c>
      <c r="R5200" s="14">
        <v>161.87</v>
      </c>
      <c r="S5200" s="2" t="s">
        <v>1621</v>
      </c>
      <c r="T5200" s="2">
        <v>1.36</v>
      </c>
      <c r="U5200" s="2">
        <v>68.099999999999994</v>
      </c>
      <c r="V5200" s="2">
        <v>61</v>
      </c>
      <c r="W5200" s="2" t="s">
        <v>7862</v>
      </c>
      <c r="X5200" s="2" t="s">
        <v>2897</v>
      </c>
      <c r="Y5200" s="2">
        <v>14850</v>
      </c>
      <c r="Z5200" s="19" t="str">
        <f>HYPERLINK("https://ssdweb.co/ssdweb/hd/Vision360.html?d=926200756&amp;zoomslide=1&amp;z=1926200756&amp;ISCONFIRM=0","VIDEO")</f>
        <v>VIDEO</v>
      </c>
      <c r="AA5200" s="19" t="str">
        <f>HYPERLINK("https://ssdweb.co/ssdweb/CERTH/634431461.pdf","CERTI")</f>
        <v>CERTI</v>
      </c>
    </row>
    <row r="5201" spans="1:27" ht="15" x14ac:dyDescent="0.25">
      <c r="A5201" s="2">
        <v>5196</v>
      </c>
      <c r="B5201" s="39">
        <v>831010808</v>
      </c>
      <c r="C5201" s="28" t="str">
        <f>HYPERLINK("https://pld.live/RapDetail.aspx?STONELIST=831010808","DNA")</f>
        <v>DNA</v>
      </c>
      <c r="D5201" s="18" t="s">
        <v>711</v>
      </c>
      <c r="E5201" s="18" t="s">
        <v>5128</v>
      </c>
      <c r="F5201" s="2" t="s">
        <v>7987</v>
      </c>
      <c r="G5201" s="2" t="s">
        <v>7322</v>
      </c>
      <c r="H5201" s="14">
        <v>1.5</v>
      </c>
      <c r="I5201" s="2" t="s">
        <v>267</v>
      </c>
      <c r="J5201" s="2" t="s">
        <v>5144</v>
      </c>
      <c r="K5201" s="2" t="s">
        <v>1452</v>
      </c>
      <c r="L5201" s="2" t="s">
        <v>5221</v>
      </c>
      <c r="M5201" s="2" t="s">
        <v>5221</v>
      </c>
      <c r="N5201" s="2" t="s">
        <v>2317</v>
      </c>
      <c r="O5201" s="14">
        <v>9900</v>
      </c>
      <c r="P5201" s="14">
        <v>98.93</v>
      </c>
      <c r="Q5201" s="14">
        <v>105.93</v>
      </c>
      <c r="R5201" s="14">
        <v>158.9</v>
      </c>
      <c r="S5201" s="2" t="s">
        <v>4108</v>
      </c>
      <c r="T5201" s="2">
        <v>1.36</v>
      </c>
      <c r="U5201" s="2">
        <v>69.099999999999994</v>
      </c>
      <c r="V5201" s="2">
        <v>65</v>
      </c>
      <c r="W5201" s="2" t="s">
        <v>7862</v>
      </c>
      <c r="X5201" s="2" t="s">
        <v>2897</v>
      </c>
      <c r="Y5201" s="2">
        <v>14850</v>
      </c>
      <c r="Z5201" s="19" t="str">
        <f>HYPERLINK("https://ssdweb.co/ssdweb/hd/Vision360.html?d=831010808&amp;zoomslide=1&amp;z=1831010808&amp;ISCONFIRM=0","VIDEO")</f>
        <v>VIDEO</v>
      </c>
      <c r="AA5201" s="19" t="str">
        <f>HYPERLINK("https://ssdweb.co/ssdweb/CERTH/551285293.pdf","CERTI")</f>
        <v>CERTI</v>
      </c>
    </row>
    <row r="5202" spans="1:27" ht="15" x14ac:dyDescent="0.25">
      <c r="A5202" s="2">
        <v>5197</v>
      </c>
      <c r="B5202" s="39">
        <v>925552032</v>
      </c>
      <c r="C5202" s="28" t="str">
        <f>HYPERLINK("https://pld.live/RapDetail.aspx?STONELIST=925552032","DNA")</f>
        <v>DNA</v>
      </c>
      <c r="D5202" s="18" t="s">
        <v>711</v>
      </c>
      <c r="E5202" s="18" t="s">
        <v>5128</v>
      </c>
      <c r="F5202" s="2" t="s">
        <v>7987</v>
      </c>
      <c r="G5202" s="2" t="s">
        <v>7322</v>
      </c>
      <c r="H5202" s="14">
        <v>1.5</v>
      </c>
      <c r="I5202" s="2" t="s">
        <v>267</v>
      </c>
      <c r="J5202" s="2" t="s">
        <v>5144</v>
      </c>
      <c r="K5202" s="2" t="s">
        <v>1452</v>
      </c>
      <c r="L5202" s="2" t="s">
        <v>5221</v>
      </c>
      <c r="M5202" s="2" t="s">
        <v>5221</v>
      </c>
      <c r="N5202" s="2" t="s">
        <v>2317</v>
      </c>
      <c r="O5202" s="14">
        <v>9900</v>
      </c>
      <c r="P5202" s="14">
        <v>98.93</v>
      </c>
      <c r="Q5202" s="14">
        <v>105.93</v>
      </c>
      <c r="R5202" s="14">
        <v>158.9</v>
      </c>
      <c r="S5202" s="2" t="s">
        <v>5053</v>
      </c>
      <c r="T5202" s="2">
        <v>1.35</v>
      </c>
      <c r="U5202" s="2">
        <v>62.7</v>
      </c>
      <c r="V5202" s="2">
        <v>69</v>
      </c>
      <c r="W5202" s="2" t="s">
        <v>7862</v>
      </c>
      <c r="X5202" s="2" t="s">
        <v>2897</v>
      </c>
      <c r="Y5202" s="2">
        <v>14850</v>
      </c>
      <c r="Z5202" s="19" t="str">
        <f>HYPERLINK("https://ssdweb.co/ssdweb/hd/Vision360.html?d=925552032&amp;zoomslide=1&amp;z=1925552032&amp;ISCONFIRM=0","VIDEO")</f>
        <v>VIDEO</v>
      </c>
      <c r="AA5202" s="19" t="str">
        <f>HYPERLINK("https://ssdweb.co/ssdweb/CERTH/623412572.pdf","CERTI")</f>
        <v>CERTI</v>
      </c>
    </row>
    <row r="5203" spans="1:27" ht="15" x14ac:dyDescent="0.25">
      <c r="A5203" s="2">
        <v>5198</v>
      </c>
      <c r="B5203" s="39">
        <v>926170171</v>
      </c>
      <c r="C5203" s="28" t="str">
        <f>HYPERLINK("https://pld.live/RapDetail.aspx?STONELIST=926170171","DNA")</f>
        <v>DNA</v>
      </c>
      <c r="D5203" s="18" t="s">
        <v>711</v>
      </c>
      <c r="E5203" s="18" t="s">
        <v>5128</v>
      </c>
      <c r="F5203" s="2" t="s">
        <v>7987</v>
      </c>
      <c r="G5203" s="2" t="s">
        <v>7322</v>
      </c>
      <c r="H5203" s="14">
        <v>1.5</v>
      </c>
      <c r="I5203" s="2" t="s">
        <v>267</v>
      </c>
      <c r="J5203" s="2" t="s">
        <v>5144</v>
      </c>
      <c r="K5203" s="2" t="s">
        <v>1452</v>
      </c>
      <c r="L5203" s="2" t="s">
        <v>5221</v>
      </c>
      <c r="M5203" s="2" t="s">
        <v>5221</v>
      </c>
      <c r="N5203" s="2" t="s">
        <v>2317</v>
      </c>
      <c r="O5203" s="14">
        <v>9900</v>
      </c>
      <c r="P5203" s="14">
        <v>98.91</v>
      </c>
      <c r="Q5203" s="14">
        <v>107.91</v>
      </c>
      <c r="R5203" s="14">
        <v>161.87</v>
      </c>
      <c r="S5203" s="2" t="s">
        <v>5149</v>
      </c>
      <c r="T5203" s="2">
        <v>1.36</v>
      </c>
      <c r="U5203" s="2">
        <v>67.599999999999994</v>
      </c>
      <c r="V5203" s="2">
        <v>60</v>
      </c>
      <c r="W5203" s="2" t="s">
        <v>7862</v>
      </c>
      <c r="X5203" s="2" t="s">
        <v>2897</v>
      </c>
      <c r="Y5203" s="2">
        <v>14850</v>
      </c>
      <c r="Z5203" s="19" t="str">
        <f>HYPERLINK("https://ssdweb.co/ssdweb/hd/Vision360.html?d=926170171&amp;zoomslide=1&amp;z=1926170171&amp;ISCONFIRM=0","VIDEO")</f>
        <v>VIDEO</v>
      </c>
      <c r="AA5203" s="19" t="str">
        <f>HYPERLINK("https://ssdweb.co/ssdweb/CERTH/632449648.pdf","CERTI")</f>
        <v>CERTI</v>
      </c>
    </row>
    <row r="5204" spans="1:27" ht="15" x14ac:dyDescent="0.25">
      <c r="A5204" s="2">
        <v>5199</v>
      </c>
      <c r="B5204" s="39">
        <v>925621876</v>
      </c>
      <c r="C5204" s="28" t="str">
        <f>HYPERLINK("https://pld.live/RapDetail.aspx?STONELIST=925621876","DNA")</f>
        <v>DNA</v>
      </c>
      <c r="D5204" s="18" t="s">
        <v>711</v>
      </c>
      <c r="E5204" s="18" t="s">
        <v>5128</v>
      </c>
      <c r="F5204" s="2" t="s">
        <v>5597</v>
      </c>
      <c r="G5204" s="2" t="s">
        <v>7322</v>
      </c>
      <c r="H5204" s="14">
        <v>1.5</v>
      </c>
      <c r="I5204" s="2" t="s">
        <v>267</v>
      </c>
      <c r="J5204" s="2" t="s">
        <v>5144</v>
      </c>
      <c r="K5204" s="2" t="s">
        <v>1452</v>
      </c>
      <c r="L5204" s="2" t="s">
        <v>5221</v>
      </c>
      <c r="M5204" s="2" t="s">
        <v>5721</v>
      </c>
      <c r="N5204" s="2" t="s">
        <v>2317</v>
      </c>
      <c r="O5204" s="14">
        <v>9900</v>
      </c>
      <c r="P5204" s="14">
        <v>97.73</v>
      </c>
      <c r="Q5204" s="14">
        <v>224.73</v>
      </c>
      <c r="R5204" s="14">
        <v>337.1</v>
      </c>
      <c r="S5204" s="2" t="s">
        <v>3488</v>
      </c>
      <c r="T5204" s="2">
        <v>1.36</v>
      </c>
      <c r="U5204" s="2">
        <v>66</v>
      </c>
      <c r="V5204" s="2">
        <v>61</v>
      </c>
      <c r="W5204" s="2" t="s">
        <v>7862</v>
      </c>
      <c r="X5204" s="2" t="s">
        <v>2897</v>
      </c>
      <c r="Y5204" s="2">
        <v>14850</v>
      </c>
      <c r="Z5204" s="19" t="str">
        <f>HYPERLINK("https://ssdweb.co/ssdweb/hd/Vision360.html?d=925621876&amp;zoomslide=1&amp;z=1925621876&amp;ISCONFIRM=0","VIDEO")</f>
        <v>VIDEO</v>
      </c>
      <c r="AA5204" s="19" t="str">
        <f>HYPERLINK("https://ssdweb.co/ssdweb/CERTH/6482686927.pdf","CERTI")</f>
        <v>CERTI</v>
      </c>
    </row>
    <row r="5205" spans="1:27" ht="15" x14ac:dyDescent="0.25">
      <c r="A5205" s="2">
        <v>5200</v>
      </c>
      <c r="B5205" s="39">
        <v>831010744</v>
      </c>
      <c r="C5205" s="28" t="str">
        <f>HYPERLINK("https://pld.live/RapDetail.aspx?STONELIST=831010744","DNA")</f>
        <v>DNA</v>
      </c>
      <c r="D5205" s="18" t="s">
        <v>711</v>
      </c>
      <c r="E5205" s="18" t="s">
        <v>5128</v>
      </c>
      <c r="F5205" s="2" t="s">
        <v>7987</v>
      </c>
      <c r="G5205" s="2" t="s">
        <v>7322</v>
      </c>
      <c r="H5205" s="14">
        <v>1.5</v>
      </c>
      <c r="I5205" s="2" t="s">
        <v>4761</v>
      </c>
      <c r="J5205" s="2" t="s">
        <v>7032</v>
      </c>
      <c r="K5205" s="2" t="s">
        <v>1452</v>
      </c>
      <c r="L5205" s="2" t="s">
        <v>5221</v>
      </c>
      <c r="M5205" s="2" t="s">
        <v>5221</v>
      </c>
      <c r="N5205" s="2" t="s">
        <v>2317</v>
      </c>
      <c r="O5205" s="14">
        <v>13200</v>
      </c>
      <c r="P5205" s="14">
        <v>97.38</v>
      </c>
      <c r="Q5205" s="14">
        <v>345.84</v>
      </c>
      <c r="R5205" s="14">
        <v>518.76</v>
      </c>
      <c r="S5205" s="2" t="s">
        <v>6426</v>
      </c>
      <c r="T5205" s="2">
        <v>1.36</v>
      </c>
      <c r="U5205" s="2">
        <v>68.2</v>
      </c>
      <c r="V5205" s="2">
        <v>66</v>
      </c>
      <c r="W5205" s="2" t="s">
        <v>7862</v>
      </c>
      <c r="X5205" s="2" t="s">
        <v>2897</v>
      </c>
      <c r="Y5205" s="2">
        <v>19800</v>
      </c>
      <c r="Z5205" s="19" t="str">
        <f>HYPERLINK("https://ssdweb.co/ssdweb/hd/Vision360.html?d=831010744&amp;zoomslide=1&amp;z=1831010744&amp;ISCONFIRM=0","VIDEO")</f>
        <v>VIDEO</v>
      </c>
      <c r="AA5205" s="19" t="str">
        <f>HYPERLINK("https://ssdweb.co/ssdweb/CERTH/616423547.pdf","CERTI")</f>
        <v>CERTI</v>
      </c>
    </row>
    <row r="5206" spans="1:27" ht="15" x14ac:dyDescent="0.25">
      <c r="A5206" s="2">
        <v>5201</v>
      </c>
      <c r="B5206" s="39">
        <v>941200284</v>
      </c>
      <c r="C5206" s="28" t="str">
        <f>HYPERLINK("https://pld.live/RapDetail.aspx?STONELIST=941200284","DNA")</f>
        <v>DNA</v>
      </c>
      <c r="D5206" s="18" t="s">
        <v>711</v>
      </c>
      <c r="E5206" s="18" t="s">
        <v>2186</v>
      </c>
      <c r="F5206" s="2" t="s">
        <v>7987</v>
      </c>
      <c r="G5206" s="2" t="s">
        <v>7322</v>
      </c>
      <c r="H5206" s="14">
        <v>1.5</v>
      </c>
      <c r="I5206" s="2" t="s">
        <v>4761</v>
      </c>
      <c r="J5206" s="2" t="s">
        <v>3942</v>
      </c>
      <c r="K5206" s="2" t="s">
        <v>1452</v>
      </c>
      <c r="L5206" s="2" t="s">
        <v>5221</v>
      </c>
      <c r="M5206" s="2" t="s">
        <v>5221</v>
      </c>
      <c r="N5206" s="2" t="s">
        <v>2317</v>
      </c>
      <c r="O5206" s="14">
        <v>11600</v>
      </c>
      <c r="P5206" s="14">
        <v>99</v>
      </c>
      <c r="Q5206" s="14">
        <v>116</v>
      </c>
      <c r="R5206" s="14">
        <v>174</v>
      </c>
      <c r="S5206" s="2" t="s">
        <v>2032</v>
      </c>
      <c r="T5206" s="2">
        <v>1.43</v>
      </c>
      <c r="U5206" s="2">
        <v>64.400000000000006</v>
      </c>
      <c r="V5206" s="2">
        <v>59</v>
      </c>
      <c r="W5206" s="2" t="s">
        <v>7862</v>
      </c>
      <c r="X5206" s="2" t="s">
        <v>2897</v>
      </c>
      <c r="Y5206" s="2">
        <v>17400</v>
      </c>
      <c r="Z5206" s="19" t="str">
        <f>HYPERLINK("https://ssdweb.co/ssdweb/hd/Vision360.html?d=941200284&amp;zoomslide=1&amp;z=1941200284&amp;ISCONFIRM=0","VIDEO")</f>
        <v>VIDEO</v>
      </c>
      <c r="AA5206" s="19" t="str">
        <f>HYPERLINK("https://ssdweb.co/ssdweb/CERTH/689587153.pdf","CERTI")</f>
        <v>CERTI</v>
      </c>
    </row>
    <row r="5207" spans="1:27" ht="15" x14ac:dyDescent="0.25">
      <c r="A5207" s="2">
        <v>5202</v>
      </c>
      <c r="B5207" s="39">
        <v>925552015</v>
      </c>
      <c r="C5207" s="28" t="str">
        <f>HYPERLINK("https://pld.live/RapDetail.aspx?STONELIST=925552015","DNA")</f>
        <v>DNA</v>
      </c>
      <c r="D5207" s="18" t="s">
        <v>711</v>
      </c>
      <c r="E5207" s="18" t="s">
        <v>5128</v>
      </c>
      <c r="F5207" s="2" t="s">
        <v>7987</v>
      </c>
      <c r="G5207" s="2" t="s">
        <v>7322</v>
      </c>
      <c r="H5207" s="14">
        <v>1.5</v>
      </c>
      <c r="I5207" s="2" t="s">
        <v>4761</v>
      </c>
      <c r="J5207" s="2" t="s">
        <v>13</v>
      </c>
      <c r="K5207" s="2" t="s">
        <v>1452</v>
      </c>
      <c r="L5207" s="2" t="s">
        <v>5221</v>
      </c>
      <c r="M5207" s="2" t="s">
        <v>5221</v>
      </c>
      <c r="N5207" s="2" t="s">
        <v>2317</v>
      </c>
      <c r="O5207" s="14">
        <v>10800</v>
      </c>
      <c r="P5207" s="14">
        <v>99.01</v>
      </c>
      <c r="Q5207" s="14">
        <v>106.92</v>
      </c>
      <c r="R5207" s="14">
        <v>160.38</v>
      </c>
      <c r="S5207" s="2" t="s">
        <v>5131</v>
      </c>
      <c r="T5207" s="2">
        <v>1.37</v>
      </c>
      <c r="U5207" s="2">
        <v>67.900000000000006</v>
      </c>
      <c r="V5207" s="2">
        <v>67</v>
      </c>
      <c r="W5207" s="2" t="s">
        <v>7862</v>
      </c>
      <c r="X5207" s="2" t="s">
        <v>2897</v>
      </c>
      <c r="Y5207" s="2">
        <v>16200</v>
      </c>
      <c r="Z5207" s="19" t="str">
        <f>HYPERLINK("https://ssdweb.co/ssdweb/hd/Vision360.html?d=925552015&amp;zoomslide=1&amp;z=1925552015&amp;ISCONFIRM=0","VIDEO")</f>
        <v>VIDEO</v>
      </c>
      <c r="AA5207" s="19" t="str">
        <f>HYPERLINK("https://ssdweb.co/ssdweb/CERTH/623446187.pdf","CERTI")</f>
        <v>CERTI</v>
      </c>
    </row>
    <row r="5208" spans="1:27" ht="15" x14ac:dyDescent="0.25">
      <c r="A5208" s="2">
        <v>5203</v>
      </c>
      <c r="B5208" s="39">
        <v>925861062</v>
      </c>
      <c r="C5208" s="28" t="str">
        <f>HYPERLINK("https://pld.live/RapDetail.aspx?STONELIST=925861062","DNA")</f>
        <v>DNA</v>
      </c>
      <c r="D5208" s="18" t="s">
        <v>711</v>
      </c>
      <c r="E5208" s="18" t="s">
        <v>5128</v>
      </c>
      <c r="F5208" s="2" t="s">
        <v>7987</v>
      </c>
      <c r="G5208" s="2" t="s">
        <v>7322</v>
      </c>
      <c r="H5208" s="14">
        <v>1.5</v>
      </c>
      <c r="I5208" s="2" t="s">
        <v>4761</v>
      </c>
      <c r="J5208" s="2" t="s">
        <v>5144</v>
      </c>
      <c r="K5208" s="2" t="s">
        <v>1452</v>
      </c>
      <c r="L5208" s="2" t="s">
        <v>5221</v>
      </c>
      <c r="M5208" s="2" t="s">
        <v>5221</v>
      </c>
      <c r="N5208" s="2" t="s">
        <v>2317</v>
      </c>
      <c r="O5208" s="14">
        <v>9300</v>
      </c>
      <c r="P5208" s="14">
        <v>98.94</v>
      </c>
      <c r="Q5208" s="14">
        <v>98.58</v>
      </c>
      <c r="R5208" s="14">
        <v>147.87</v>
      </c>
      <c r="S5208" s="2" t="s">
        <v>647</v>
      </c>
      <c r="T5208" s="2">
        <v>1.4</v>
      </c>
      <c r="U5208" s="2">
        <v>67.2</v>
      </c>
      <c r="V5208" s="2">
        <v>66</v>
      </c>
      <c r="W5208" s="2" t="s">
        <v>7862</v>
      </c>
      <c r="X5208" s="2" t="s">
        <v>2897</v>
      </c>
      <c r="Y5208" s="2">
        <v>13950</v>
      </c>
      <c r="Z5208" s="19" t="str">
        <f>HYPERLINK("https://ssdweb.co/ssdweb/hd/Vision360.html?d=925861062&amp;zoomslide=1&amp;z=1925861062&amp;ISCONFIRM=0","VIDEO")</f>
        <v>VIDEO</v>
      </c>
      <c r="AA5208" s="19" t="str">
        <f>HYPERLINK("https://ssdweb.co/ssdweb/CERTH/627471595.pdf","CERTI")</f>
        <v>CERTI</v>
      </c>
    </row>
    <row r="5209" spans="1:27" ht="15" x14ac:dyDescent="0.25">
      <c r="A5209" s="2">
        <v>5204</v>
      </c>
      <c r="B5209" s="39">
        <v>926200962</v>
      </c>
      <c r="C5209" s="28" t="str">
        <f>HYPERLINK("https://pld.live/RapDetail.aspx?STONELIST=926200962","DNA")</f>
        <v>DNA</v>
      </c>
      <c r="D5209" s="18" t="s">
        <v>711</v>
      </c>
      <c r="E5209" s="18" t="s">
        <v>5128</v>
      </c>
      <c r="F5209" s="2" t="s">
        <v>7987</v>
      </c>
      <c r="G5209" s="2" t="s">
        <v>7322</v>
      </c>
      <c r="H5209" s="14">
        <v>1.5</v>
      </c>
      <c r="I5209" s="2" t="s">
        <v>4761</v>
      </c>
      <c r="J5209" s="2" t="s">
        <v>5144</v>
      </c>
      <c r="K5209" s="2" t="s">
        <v>1452</v>
      </c>
      <c r="L5209" s="2" t="s">
        <v>5221</v>
      </c>
      <c r="M5209" s="2" t="s">
        <v>5221</v>
      </c>
      <c r="N5209" s="2" t="s">
        <v>2317</v>
      </c>
      <c r="O5209" s="14">
        <v>9300</v>
      </c>
      <c r="P5209" s="14">
        <v>98.92</v>
      </c>
      <c r="Q5209" s="14">
        <v>100.44</v>
      </c>
      <c r="R5209" s="14">
        <v>150.66</v>
      </c>
      <c r="S5209" s="2" t="s">
        <v>6623</v>
      </c>
      <c r="T5209" s="2">
        <v>1.38</v>
      </c>
      <c r="U5209" s="2">
        <v>68.3</v>
      </c>
      <c r="V5209" s="2">
        <v>63</v>
      </c>
      <c r="W5209" s="2" t="s">
        <v>4336</v>
      </c>
      <c r="X5209" s="2" t="s">
        <v>2897</v>
      </c>
      <c r="Y5209" s="2">
        <v>13950</v>
      </c>
      <c r="Z5209" s="19" t="str">
        <f>HYPERLINK("https://ssdweb.co/ssdweb/hd/Vision360.html?d=926200962&amp;zoomslide=1&amp;z=1926200962&amp;ISCONFIRM=0","VIDEO")</f>
        <v>VIDEO</v>
      </c>
      <c r="AA5209" s="19" t="str">
        <f>HYPERLINK("https://ssdweb.co/ssdweb/CERTH/635423942.pdf","CERTI")</f>
        <v>CERTI</v>
      </c>
    </row>
    <row r="5210" spans="1:27" ht="15" x14ac:dyDescent="0.25">
      <c r="A5210" s="2">
        <v>5205</v>
      </c>
      <c r="B5210" s="39">
        <v>831020700</v>
      </c>
      <c r="C5210" s="28" t="str">
        <f>HYPERLINK("https://pld.live/RapDetail.aspx?STONELIST=831020700","DNA")</f>
        <v>DNA</v>
      </c>
      <c r="D5210" s="18" t="s">
        <v>711</v>
      </c>
      <c r="E5210" s="18" t="s">
        <v>2186</v>
      </c>
      <c r="F5210" s="2" t="s">
        <v>7987</v>
      </c>
      <c r="G5210" s="2" t="s">
        <v>7322</v>
      </c>
      <c r="H5210" s="14">
        <v>1.5</v>
      </c>
      <c r="I5210" s="2" t="s">
        <v>4699</v>
      </c>
      <c r="J5210" s="2" t="s">
        <v>13</v>
      </c>
      <c r="K5210" s="2" t="s">
        <v>1452</v>
      </c>
      <c r="L5210" s="2" t="s">
        <v>5221</v>
      </c>
      <c r="M5210" s="2" t="s">
        <v>5221</v>
      </c>
      <c r="N5210" s="2" t="s">
        <v>2317</v>
      </c>
      <c r="O5210" s="14">
        <v>10200</v>
      </c>
      <c r="P5210" s="14">
        <v>99.01</v>
      </c>
      <c r="Q5210" s="14">
        <v>100.98</v>
      </c>
      <c r="R5210" s="14">
        <v>151.47</v>
      </c>
      <c r="S5210" s="2" t="s">
        <v>4594</v>
      </c>
      <c r="T5210" s="2">
        <v>1.43</v>
      </c>
      <c r="U5210" s="2">
        <v>67.2</v>
      </c>
      <c r="V5210" s="2">
        <v>65</v>
      </c>
      <c r="W5210" s="2" t="s">
        <v>7862</v>
      </c>
      <c r="X5210" s="2" t="s">
        <v>2897</v>
      </c>
      <c r="Y5210" s="2">
        <v>15300</v>
      </c>
      <c r="Z5210" s="19" t="str">
        <f>HYPERLINK("https://ssdweb.co/ssdweb/hd/Vision360.html?d=831020700&amp;zoomslide=1&amp;z=1831020700&amp;ISCONFIRM=0","VIDEO")</f>
        <v>VIDEO</v>
      </c>
      <c r="AA5210" s="19" t="str">
        <f>HYPERLINK("https://ssdweb.co/ssdweb/CERTH/594343492.pdf","CERTI")</f>
        <v>CERTI</v>
      </c>
    </row>
    <row r="5211" spans="1:27" ht="15" x14ac:dyDescent="0.25">
      <c r="A5211" s="2">
        <v>5206</v>
      </c>
      <c r="B5211" s="39">
        <v>831020719</v>
      </c>
      <c r="C5211" s="28" t="str">
        <f>HYPERLINK("https://pld.live/RapDetail.aspx?STONELIST=831020719","DNA")</f>
        <v>DNA</v>
      </c>
      <c r="D5211" s="18" t="s">
        <v>711</v>
      </c>
      <c r="E5211" s="18" t="s">
        <v>2186</v>
      </c>
      <c r="F5211" s="2" t="s">
        <v>7987</v>
      </c>
      <c r="G5211" s="2" t="s">
        <v>7322</v>
      </c>
      <c r="H5211" s="14">
        <v>1.5</v>
      </c>
      <c r="I5211" s="2" t="s">
        <v>4699</v>
      </c>
      <c r="J5211" s="2" t="s">
        <v>5144</v>
      </c>
      <c r="K5211" s="2" t="s">
        <v>1452</v>
      </c>
      <c r="L5211" s="2" t="s">
        <v>5221</v>
      </c>
      <c r="M5211" s="2" t="s">
        <v>5221</v>
      </c>
      <c r="N5211" s="2" t="s">
        <v>2317</v>
      </c>
      <c r="O5211" s="14">
        <v>8800</v>
      </c>
      <c r="P5211" s="14">
        <v>98.9</v>
      </c>
      <c r="Q5211" s="14">
        <v>96.8</v>
      </c>
      <c r="R5211" s="14">
        <v>145.19999999999999</v>
      </c>
      <c r="S5211" s="2" t="s">
        <v>5939</v>
      </c>
      <c r="T5211" s="2">
        <v>1.39</v>
      </c>
      <c r="U5211" s="2">
        <v>63</v>
      </c>
      <c r="V5211" s="2">
        <v>65</v>
      </c>
      <c r="W5211" s="2" t="s">
        <v>7862</v>
      </c>
      <c r="X5211" s="2" t="s">
        <v>2897</v>
      </c>
      <c r="Y5211" s="2">
        <v>13200</v>
      </c>
      <c r="Z5211" s="19" t="str">
        <f>HYPERLINK("https://ssdweb.co/ssdweb/hd/Vision360.html?d=831020719&amp;zoomslide=1&amp;z=1831020719&amp;ISCONFIRM=0","VIDEO")</f>
        <v>VIDEO</v>
      </c>
      <c r="AA5211" s="19" t="str">
        <f>HYPERLINK("https://ssdweb.co/ssdweb/CERTH/605305677.pdf","CERTI")</f>
        <v>CERTI</v>
      </c>
    </row>
    <row r="5212" spans="1:27" ht="15" x14ac:dyDescent="0.25">
      <c r="A5212" s="2">
        <v>5207</v>
      </c>
      <c r="B5212" s="39">
        <v>831020500</v>
      </c>
      <c r="C5212" s="28" t="str">
        <f>HYPERLINK("https://pld.live/RapDetail.aspx?STONELIST=831020500","DNA")</f>
        <v>DNA</v>
      </c>
      <c r="D5212" s="18" t="s">
        <v>711</v>
      </c>
      <c r="E5212" s="18" t="s">
        <v>2186</v>
      </c>
      <c r="F5212" s="2" t="s">
        <v>7987</v>
      </c>
      <c r="G5212" s="2" t="s">
        <v>7322</v>
      </c>
      <c r="H5212" s="14">
        <v>1.5</v>
      </c>
      <c r="I5212" s="2" t="s">
        <v>6587</v>
      </c>
      <c r="J5212" s="2" t="s">
        <v>5144</v>
      </c>
      <c r="K5212" s="2" t="s">
        <v>1452</v>
      </c>
      <c r="L5212" s="2" t="s">
        <v>5221</v>
      </c>
      <c r="M5212" s="2" t="s">
        <v>5221</v>
      </c>
      <c r="N5212" s="2" t="s">
        <v>2317</v>
      </c>
      <c r="O5212" s="14">
        <v>8200</v>
      </c>
      <c r="P5212" s="14">
        <v>98.84</v>
      </c>
      <c r="Q5212" s="14">
        <v>95.12</v>
      </c>
      <c r="R5212" s="14">
        <v>142.68</v>
      </c>
      <c r="S5212" s="2" t="s">
        <v>7944</v>
      </c>
      <c r="T5212" s="2">
        <v>1.44</v>
      </c>
      <c r="U5212" s="2">
        <v>66.900000000000006</v>
      </c>
      <c r="V5212" s="2">
        <v>67</v>
      </c>
      <c r="W5212" s="2" t="s">
        <v>7862</v>
      </c>
      <c r="X5212" s="2" t="s">
        <v>2897</v>
      </c>
      <c r="Y5212" s="2">
        <v>12300</v>
      </c>
      <c r="Z5212" s="19" t="str">
        <f>HYPERLINK("https://ssdweb.co/ssdweb/hd/Vision360.html?d=831020500&amp;zoomslide=1&amp;z=1831020500&amp;ISCONFIRM=0","VIDEO")</f>
        <v>VIDEO</v>
      </c>
      <c r="AA5212" s="19" t="str">
        <f>HYPERLINK("https://ssdweb.co/ssdweb/CERTH/602361348.pdf","CERTI")</f>
        <v>CERTI</v>
      </c>
    </row>
    <row r="5213" spans="1:27" ht="15" x14ac:dyDescent="0.25">
      <c r="A5213" s="2">
        <v>5208</v>
      </c>
      <c r="B5213" s="39">
        <v>831020115</v>
      </c>
      <c r="C5213" s="28" t="str">
        <f>HYPERLINK("https://pld.live/RapDetail.aspx?STONELIST=831020115","DNA")</f>
        <v>DNA</v>
      </c>
      <c r="D5213" s="18" t="s">
        <v>711</v>
      </c>
      <c r="E5213" s="18" t="s">
        <v>2186</v>
      </c>
      <c r="F5213" s="2" t="s">
        <v>5597</v>
      </c>
      <c r="G5213" s="2" t="s">
        <v>7322</v>
      </c>
      <c r="H5213" s="14">
        <v>1.5</v>
      </c>
      <c r="I5213" s="2" t="s">
        <v>6587</v>
      </c>
      <c r="J5213" s="2" t="s">
        <v>5144</v>
      </c>
      <c r="K5213" s="2" t="s">
        <v>1452</v>
      </c>
      <c r="L5213" s="2" t="s">
        <v>5221</v>
      </c>
      <c r="M5213" s="2" t="s">
        <v>5221</v>
      </c>
      <c r="N5213" s="2" t="s">
        <v>2317</v>
      </c>
      <c r="O5213" s="14">
        <v>8200</v>
      </c>
      <c r="P5213" s="14">
        <v>97.49</v>
      </c>
      <c r="Q5213" s="14">
        <v>205.82</v>
      </c>
      <c r="R5213" s="14">
        <v>308.73</v>
      </c>
      <c r="S5213" s="2" t="s">
        <v>8106</v>
      </c>
      <c r="T5213" s="2">
        <v>1.57</v>
      </c>
      <c r="U5213" s="2">
        <v>62.9</v>
      </c>
      <c r="V5213" s="2">
        <v>65</v>
      </c>
      <c r="W5213" s="2" t="s">
        <v>7862</v>
      </c>
      <c r="X5213" s="2" t="s">
        <v>2897</v>
      </c>
      <c r="Y5213" s="2">
        <v>12300</v>
      </c>
      <c r="Z5213" s="19" t="str">
        <f>HYPERLINK("https://ssdweb.co/ssdweb/hd/Vision360.html?d=831020115&amp;zoomslide=1&amp;z=1831020115&amp;ISCONFIRM=0","VIDEO")</f>
        <v>VIDEO</v>
      </c>
      <c r="AA5213" s="19" t="str">
        <f>HYPERLINK("https://ssdweb.co/ssdweb/CERTH/1465289069.pdf","CERTI")</f>
        <v>CERTI</v>
      </c>
    </row>
    <row r="5214" spans="1:27" ht="15" x14ac:dyDescent="0.25">
      <c r="A5214" s="2">
        <v>5209</v>
      </c>
      <c r="B5214" s="39">
        <v>926150082</v>
      </c>
      <c r="C5214" s="28" t="str">
        <f>HYPERLINK("https://pld.live/RapDetail.aspx?STONELIST=926150082","DNA")</f>
        <v>DNA</v>
      </c>
      <c r="D5214" s="18" t="s">
        <v>711</v>
      </c>
      <c r="E5214" s="18" t="s">
        <v>2186</v>
      </c>
      <c r="F5214" s="2" t="s">
        <v>7987</v>
      </c>
      <c r="G5214" s="2" t="s">
        <v>7322</v>
      </c>
      <c r="H5214" s="14">
        <v>1.5</v>
      </c>
      <c r="I5214" s="2" t="s">
        <v>6587</v>
      </c>
      <c r="J5214" s="2" t="s">
        <v>444</v>
      </c>
      <c r="K5214" s="2" t="s">
        <v>1452</v>
      </c>
      <c r="L5214" s="2" t="s">
        <v>5221</v>
      </c>
      <c r="M5214" s="2" t="s">
        <v>5221</v>
      </c>
      <c r="N5214" s="2" t="s">
        <v>2317</v>
      </c>
      <c r="O5214" s="14">
        <v>6700</v>
      </c>
      <c r="P5214" s="14">
        <v>98.61</v>
      </c>
      <c r="Q5214" s="14">
        <v>93.13</v>
      </c>
      <c r="R5214" s="14">
        <v>139.69999999999999</v>
      </c>
      <c r="S5214" s="2" t="s">
        <v>5505</v>
      </c>
      <c r="T5214" s="2">
        <v>1.36</v>
      </c>
      <c r="U5214" s="2">
        <v>64.400000000000006</v>
      </c>
      <c r="V5214" s="2">
        <v>60</v>
      </c>
      <c r="W5214" s="2" t="s">
        <v>7862</v>
      </c>
      <c r="X5214" s="2" t="s">
        <v>2897</v>
      </c>
      <c r="Y5214" s="2">
        <v>10050</v>
      </c>
      <c r="Z5214" s="19" t="str">
        <f>HYPERLINK("https://ssdweb.co/ssdweb/hd/Vision360.html?d=926150082&amp;zoomslide=1&amp;z=1926150082&amp;ISCONFIRM=0","VIDEO")</f>
        <v>VIDEO</v>
      </c>
      <c r="AA5214" s="19" t="str">
        <f>HYPERLINK("https://ssdweb.co/ssdweb/CERTH/634431420.pdf","CERTI")</f>
        <v>CERTI</v>
      </c>
    </row>
    <row r="5215" spans="1:27" ht="15" x14ac:dyDescent="0.25">
      <c r="A5215" s="2">
        <v>5210</v>
      </c>
      <c r="B5215" s="39">
        <v>925621916</v>
      </c>
      <c r="C5215" s="28" t="str">
        <f>HYPERLINK("https://pld.live/RapDetail.aspx?STONELIST=925621916","DNA")</f>
        <v>DNA</v>
      </c>
      <c r="D5215" s="18" t="s">
        <v>5281</v>
      </c>
      <c r="E5215" s="18" t="s">
        <v>5128</v>
      </c>
      <c r="F5215" s="2" t="s">
        <v>7987</v>
      </c>
      <c r="G5215" s="2" t="s">
        <v>7322</v>
      </c>
      <c r="H5215" s="14">
        <v>1.49</v>
      </c>
      <c r="I5215" s="2" t="s">
        <v>267</v>
      </c>
      <c r="J5215" s="2" t="s">
        <v>13</v>
      </c>
      <c r="K5215" s="2" t="s">
        <v>1452</v>
      </c>
      <c r="L5215" s="2" t="s">
        <v>5221</v>
      </c>
      <c r="M5215" s="2" t="s">
        <v>5221</v>
      </c>
      <c r="N5215" s="2" t="s">
        <v>2317</v>
      </c>
      <c r="O5215" s="14">
        <v>6700</v>
      </c>
      <c r="P5215" s="14">
        <v>98.36</v>
      </c>
      <c r="Q5215" s="14">
        <v>109.88</v>
      </c>
      <c r="R5215" s="14">
        <v>163.72</v>
      </c>
      <c r="S5215" s="2" t="s">
        <v>1196</v>
      </c>
      <c r="T5215" s="2">
        <v>1.39</v>
      </c>
      <c r="U5215" s="2">
        <v>67.2</v>
      </c>
      <c r="V5215" s="2">
        <v>69</v>
      </c>
      <c r="W5215" s="2" t="s">
        <v>7862</v>
      </c>
      <c r="X5215" s="2" t="s">
        <v>2897</v>
      </c>
      <c r="Y5215" s="2">
        <v>9983</v>
      </c>
      <c r="Z5215" s="19" t="str">
        <f>HYPERLINK("https://ssdweb.co/ssdweb/hd/Vision360.html?d=925621916&amp;zoomslide=1&amp;z=1925621916&amp;ISCONFIRM=0","VIDEO")</f>
        <v>VIDEO</v>
      </c>
      <c r="AA5215" s="19" t="str">
        <f>HYPERLINK("https://ssdweb.co/ssdweb/CERTH/623449382.pdf","CERTI")</f>
        <v>CERTI</v>
      </c>
    </row>
    <row r="5216" spans="1:27" ht="15" x14ac:dyDescent="0.25">
      <c r="A5216" s="2">
        <v>5211</v>
      </c>
      <c r="B5216" s="39">
        <v>926200955</v>
      </c>
      <c r="C5216" s="28" t="str">
        <f>HYPERLINK("https://pld.live/RapDetail.aspx?STONELIST=926200955","DNA")</f>
        <v>DNA</v>
      </c>
      <c r="D5216" s="18" t="s">
        <v>5281</v>
      </c>
      <c r="E5216" s="18" t="s">
        <v>5128</v>
      </c>
      <c r="F5216" s="2" t="s">
        <v>7987</v>
      </c>
      <c r="G5216" s="2" t="s">
        <v>7322</v>
      </c>
      <c r="H5216" s="14">
        <v>1.49</v>
      </c>
      <c r="I5216" s="2" t="s">
        <v>267</v>
      </c>
      <c r="J5216" s="2" t="s">
        <v>5144</v>
      </c>
      <c r="K5216" s="2" t="s">
        <v>1452</v>
      </c>
      <c r="L5216" s="2" t="s">
        <v>5221</v>
      </c>
      <c r="M5216" s="2" t="s">
        <v>5221</v>
      </c>
      <c r="N5216" s="2" t="s">
        <v>2317</v>
      </c>
      <c r="O5216" s="14">
        <v>5700</v>
      </c>
      <c r="P5216" s="14">
        <v>98.12</v>
      </c>
      <c r="Q5216" s="14">
        <v>107.16</v>
      </c>
      <c r="R5216" s="14">
        <v>159.66999999999999</v>
      </c>
      <c r="S5216" s="2" t="s">
        <v>3264</v>
      </c>
      <c r="T5216" s="2">
        <v>1.37</v>
      </c>
      <c r="U5216" s="2">
        <v>66.7</v>
      </c>
      <c r="V5216" s="2">
        <v>61</v>
      </c>
      <c r="W5216" s="2" t="s">
        <v>7862</v>
      </c>
      <c r="X5216" s="2" t="s">
        <v>2897</v>
      </c>
      <c r="Y5216" s="2">
        <v>8493</v>
      </c>
      <c r="Z5216" s="19" t="str">
        <f>HYPERLINK("https://ssdweb.co/ssdweb/hd/Vision360.html?d=926200955&amp;zoomslide=1&amp;z=1926200955&amp;ISCONFIRM=0","VIDEO")</f>
        <v>VIDEO</v>
      </c>
      <c r="AA5216" s="19" t="str">
        <f>HYPERLINK("https://ssdweb.co/ssdweb/CERTH/635423940.pdf","CERTI")</f>
        <v>CERTI</v>
      </c>
    </row>
    <row r="5217" spans="1:27" ht="15" x14ac:dyDescent="0.25">
      <c r="A5217" s="2">
        <v>5212</v>
      </c>
      <c r="B5217" s="39">
        <v>925731528</v>
      </c>
      <c r="C5217" s="28" t="str">
        <f>HYPERLINK("https://pld.live/RapDetail.aspx?STONELIST=925731528","DNA")</f>
        <v>DNA</v>
      </c>
      <c r="D5217" s="18" t="s">
        <v>5281</v>
      </c>
      <c r="E5217" s="18" t="s">
        <v>5128</v>
      </c>
      <c r="F5217" s="2" t="s">
        <v>7987</v>
      </c>
      <c r="G5217" s="2" t="s">
        <v>7322</v>
      </c>
      <c r="H5217" s="14">
        <v>1.48</v>
      </c>
      <c r="I5217" s="2" t="s">
        <v>267</v>
      </c>
      <c r="J5217" s="2" t="s">
        <v>3942</v>
      </c>
      <c r="K5217" s="2" t="s">
        <v>1452</v>
      </c>
      <c r="L5217" s="2" t="s">
        <v>5221</v>
      </c>
      <c r="M5217" s="2" t="s">
        <v>5221</v>
      </c>
      <c r="N5217" s="2" t="s">
        <v>2317</v>
      </c>
      <c r="O5217" s="14">
        <v>7600</v>
      </c>
      <c r="P5217" s="14">
        <v>98.47</v>
      </c>
      <c r="Q5217" s="14">
        <v>116.28</v>
      </c>
      <c r="R5217" s="14">
        <v>172.09</v>
      </c>
      <c r="S5217" s="2" t="s">
        <v>6626</v>
      </c>
      <c r="T5217" s="2">
        <v>1.36</v>
      </c>
      <c r="U5217" s="2">
        <v>68.099999999999994</v>
      </c>
      <c r="V5217" s="2">
        <v>65</v>
      </c>
      <c r="W5217" s="2" t="s">
        <v>7862</v>
      </c>
      <c r="X5217" s="2" t="s">
        <v>2897</v>
      </c>
      <c r="Y5217" s="2">
        <v>11248</v>
      </c>
      <c r="Z5217" s="19" t="str">
        <f>HYPERLINK("https://ssdweb.co/ssdweb/hd/Vision360.html?d=925731528&amp;zoomslide=1&amp;z=1925731528&amp;ISCONFIRM=0","VIDEO")</f>
        <v>VIDEO</v>
      </c>
      <c r="AA5217" s="19" t="str">
        <f>HYPERLINK("https://ssdweb.co/ssdweb/CERTH/624420520.pdf","CERTI")</f>
        <v>CERTI</v>
      </c>
    </row>
    <row r="5218" spans="1:27" ht="15" x14ac:dyDescent="0.25">
      <c r="A5218" s="2">
        <v>5213</v>
      </c>
      <c r="B5218" s="39">
        <v>925801779</v>
      </c>
      <c r="C5218" s="28" t="str">
        <f>HYPERLINK("https://pld.live/RapDetail.aspx?STONELIST=925801779","DNA")</f>
        <v>DNA</v>
      </c>
      <c r="D5218" s="18" t="s">
        <v>5281</v>
      </c>
      <c r="E5218" s="18" t="s">
        <v>5128</v>
      </c>
      <c r="F5218" s="2" t="s">
        <v>7987</v>
      </c>
      <c r="G5218" s="2" t="s">
        <v>7322</v>
      </c>
      <c r="H5218" s="14">
        <v>1.48</v>
      </c>
      <c r="I5218" s="2" t="s">
        <v>267</v>
      </c>
      <c r="J5218" s="2" t="s">
        <v>3942</v>
      </c>
      <c r="K5218" s="2" t="s">
        <v>1452</v>
      </c>
      <c r="L5218" s="2" t="s">
        <v>5221</v>
      </c>
      <c r="M5218" s="2" t="s">
        <v>5221</v>
      </c>
      <c r="N5218" s="2" t="s">
        <v>2317</v>
      </c>
      <c r="O5218" s="14">
        <v>7600</v>
      </c>
      <c r="P5218" s="14">
        <v>98.47</v>
      </c>
      <c r="Q5218" s="14">
        <v>116.28</v>
      </c>
      <c r="R5218" s="14">
        <v>172.09</v>
      </c>
      <c r="S5218" s="2" t="s">
        <v>3467</v>
      </c>
      <c r="T5218" s="2">
        <v>1.36</v>
      </c>
      <c r="U5218" s="2">
        <v>68.2</v>
      </c>
      <c r="V5218" s="2">
        <v>67</v>
      </c>
      <c r="W5218" s="2" t="s">
        <v>7862</v>
      </c>
      <c r="X5218" s="2" t="s">
        <v>2897</v>
      </c>
      <c r="Y5218" s="2">
        <v>11248</v>
      </c>
      <c r="Z5218" s="19" t="str">
        <f>HYPERLINK("https://ssdweb.co/ssdweb/hd/Vision360.html?d=925801779&amp;zoomslide=1&amp;z=1925801779&amp;ISCONFIRM=0","VIDEO")</f>
        <v>VIDEO</v>
      </c>
      <c r="AA5218" s="19" t="str">
        <f>HYPERLINK("https://ssdweb.co/ssdweb/CERTH/626499216.pdf","CERTI")</f>
        <v>CERTI</v>
      </c>
    </row>
    <row r="5219" spans="1:27" ht="15" x14ac:dyDescent="0.25">
      <c r="A5219" s="2">
        <v>5214</v>
      </c>
      <c r="B5219" s="39">
        <v>925722075</v>
      </c>
      <c r="C5219" s="28" t="str">
        <f>HYPERLINK("https://pld.live/RapDetail.aspx?STONELIST=925722075","DNA")</f>
        <v>DNA</v>
      </c>
      <c r="D5219" s="18" t="s">
        <v>5281</v>
      </c>
      <c r="E5219" s="18" t="s">
        <v>5128</v>
      </c>
      <c r="F5219" s="2" t="s">
        <v>7987</v>
      </c>
      <c r="G5219" s="2" t="s">
        <v>7322</v>
      </c>
      <c r="H5219" s="14">
        <v>1.48</v>
      </c>
      <c r="I5219" s="2" t="s">
        <v>267</v>
      </c>
      <c r="J5219" s="2" t="s">
        <v>3942</v>
      </c>
      <c r="K5219" s="2" t="s">
        <v>1452</v>
      </c>
      <c r="L5219" s="2" t="s">
        <v>5221</v>
      </c>
      <c r="M5219" s="2" t="s">
        <v>5221</v>
      </c>
      <c r="N5219" s="2" t="s">
        <v>2317</v>
      </c>
      <c r="O5219" s="14">
        <v>7600</v>
      </c>
      <c r="P5219" s="14">
        <v>98.47</v>
      </c>
      <c r="Q5219" s="14">
        <v>116.28</v>
      </c>
      <c r="R5219" s="14">
        <v>172.09</v>
      </c>
      <c r="S5219" s="2" t="s">
        <v>6992</v>
      </c>
      <c r="T5219" s="2">
        <v>1.38</v>
      </c>
      <c r="U5219" s="2">
        <v>67.3</v>
      </c>
      <c r="V5219" s="2">
        <v>66</v>
      </c>
      <c r="W5219" s="2" t="s">
        <v>7862</v>
      </c>
      <c r="X5219" s="2" t="s">
        <v>2897</v>
      </c>
      <c r="Y5219" s="2">
        <v>11248</v>
      </c>
      <c r="Z5219" s="19" t="str">
        <f>HYPERLINK("https://ssdweb.co/ssdweb/hd/Vision360.html?d=925722075&amp;zoomslide=1&amp;z=1925722075&amp;ISCONFIRM=0","VIDEO")</f>
        <v>VIDEO</v>
      </c>
      <c r="AA5219" s="19" t="str">
        <f>HYPERLINK("https://ssdweb.co/ssdweb/CERTH/625432275.pdf","CERTI")</f>
        <v>CERTI</v>
      </c>
    </row>
    <row r="5220" spans="1:27" ht="15" x14ac:dyDescent="0.25">
      <c r="A5220" s="2">
        <v>5215</v>
      </c>
      <c r="B5220" s="39">
        <v>923540522</v>
      </c>
      <c r="C5220" s="28" t="str">
        <f>HYPERLINK("https://pld.live/RapDetail.aspx?STONELIST=923540522","DNA")</f>
        <v>DNA</v>
      </c>
      <c r="D5220" s="18" t="s">
        <v>5281</v>
      </c>
      <c r="E5220" s="18" t="s">
        <v>5128</v>
      </c>
      <c r="F5220" s="2" t="s">
        <v>7987</v>
      </c>
      <c r="G5220" s="2" t="s">
        <v>7322</v>
      </c>
      <c r="H5220" s="14">
        <v>1.48</v>
      </c>
      <c r="I5220" s="2" t="s">
        <v>267</v>
      </c>
      <c r="J5220" s="2" t="s">
        <v>444</v>
      </c>
      <c r="K5220" s="2" t="s">
        <v>1452</v>
      </c>
      <c r="L5220" s="2" t="s">
        <v>5221</v>
      </c>
      <c r="M5220" s="2" t="s">
        <v>5221</v>
      </c>
      <c r="N5220" s="2" t="s">
        <v>2317</v>
      </c>
      <c r="O5220" s="14">
        <v>4600</v>
      </c>
      <c r="P5220" s="14">
        <v>97.87</v>
      </c>
      <c r="Q5220" s="14">
        <v>97.98</v>
      </c>
      <c r="R5220" s="14">
        <v>145.01</v>
      </c>
      <c r="S5220" s="2" t="s">
        <v>8035</v>
      </c>
      <c r="T5220" s="2">
        <v>1.4</v>
      </c>
      <c r="U5220" s="2">
        <v>66.599999999999994</v>
      </c>
      <c r="V5220" s="2">
        <v>64</v>
      </c>
      <c r="W5220" s="2" t="s">
        <v>7862</v>
      </c>
      <c r="X5220" s="2" t="s">
        <v>2897</v>
      </c>
      <c r="Y5220" s="2">
        <v>6808</v>
      </c>
      <c r="Z5220" s="19" t="str">
        <f>HYPERLINK("https://ssdweb.co/ssdweb/hd/Vision360.html?d=923540522&amp;zoomslide=1&amp;z=1923540522&amp;ISCONFIRM=0","VIDEO")</f>
        <v>VIDEO</v>
      </c>
      <c r="AA5220" s="19" t="str">
        <f>HYPERLINK("https://ssdweb.co/ssdweb/CERTH/560235768.pdf","CERTI")</f>
        <v>CERTI</v>
      </c>
    </row>
    <row r="5221" spans="1:27" ht="15" x14ac:dyDescent="0.25">
      <c r="A5221" s="2">
        <v>5216</v>
      </c>
      <c r="B5221" s="39">
        <v>924290001</v>
      </c>
      <c r="C5221" s="28" t="str">
        <f>HYPERLINK("https://pld.live/RapDetail.aspx?STONELIST=924290001","DNA")</f>
        <v>DNA</v>
      </c>
      <c r="D5221" s="18" t="s">
        <v>5281</v>
      </c>
      <c r="E5221" s="18" t="s">
        <v>2186</v>
      </c>
      <c r="F5221" s="2" t="s">
        <v>7987</v>
      </c>
      <c r="G5221" s="2" t="s">
        <v>7322</v>
      </c>
      <c r="H5221" s="14">
        <v>1.48</v>
      </c>
      <c r="I5221" s="2" t="s">
        <v>6845</v>
      </c>
      <c r="J5221" s="2" t="s">
        <v>13</v>
      </c>
      <c r="K5221" s="2" t="s">
        <v>1452</v>
      </c>
      <c r="L5221" s="2" t="s">
        <v>5221</v>
      </c>
      <c r="M5221" s="2" t="s">
        <v>5221</v>
      </c>
      <c r="N5221" s="2" t="s">
        <v>2317</v>
      </c>
      <c r="O5221" s="14">
        <v>2200</v>
      </c>
      <c r="P5221" s="14">
        <v>88.18</v>
      </c>
      <c r="Q5221" s="14">
        <v>260.04000000000002</v>
      </c>
      <c r="R5221" s="14">
        <v>384.86</v>
      </c>
      <c r="S5221" s="2" t="s">
        <v>378</v>
      </c>
      <c r="T5221" s="2">
        <v>1.43</v>
      </c>
      <c r="U5221" s="2">
        <v>64.7</v>
      </c>
      <c r="V5221" s="2">
        <v>67</v>
      </c>
      <c r="W5221" s="2" t="s">
        <v>7862</v>
      </c>
      <c r="X5221" s="2" t="s">
        <v>2897</v>
      </c>
      <c r="Y5221" s="2">
        <v>3256</v>
      </c>
      <c r="Z5221" s="19" t="str">
        <f>HYPERLINK("https://ssdweb.co/ssdweb/hd/Vision360.html?d=924290001&amp;zoomslide=1&amp;z=1924290001&amp;ISCONFIRM=0","VIDEO")</f>
        <v>VIDEO</v>
      </c>
      <c r="AA5221" s="19" t="str">
        <f>HYPERLINK("https://ssdweb.co/ssdweb/CERTH/588348208.pdf","CERTI")</f>
        <v>CERTI</v>
      </c>
    </row>
    <row r="5222" spans="1:27" ht="15" x14ac:dyDescent="0.25">
      <c r="A5222" s="2">
        <v>5217</v>
      </c>
      <c r="B5222" s="39">
        <v>925520766</v>
      </c>
      <c r="C5222" s="28" t="str">
        <f>HYPERLINK("https://pld.live/RapDetail.aspx?STONELIST=925520766","DNA")</f>
        <v>DNA</v>
      </c>
      <c r="D5222" s="18" t="s">
        <v>5281</v>
      </c>
      <c r="E5222" s="18" t="s">
        <v>5128</v>
      </c>
      <c r="F5222" s="2" t="s">
        <v>7987</v>
      </c>
      <c r="G5222" s="2" t="s">
        <v>7322</v>
      </c>
      <c r="H5222" s="14">
        <v>1.47</v>
      </c>
      <c r="I5222" s="2" t="s">
        <v>267</v>
      </c>
      <c r="J5222" s="2" t="s">
        <v>3942</v>
      </c>
      <c r="K5222" s="2" t="s">
        <v>1452</v>
      </c>
      <c r="L5222" s="2" t="s">
        <v>5221</v>
      </c>
      <c r="M5222" s="2" t="s">
        <v>5221</v>
      </c>
      <c r="N5222" s="2" t="s">
        <v>2317</v>
      </c>
      <c r="O5222" s="14">
        <v>7600</v>
      </c>
      <c r="P5222" s="14">
        <v>98.47</v>
      </c>
      <c r="Q5222" s="14">
        <v>116.28</v>
      </c>
      <c r="R5222" s="14">
        <v>170.93</v>
      </c>
      <c r="S5222" s="2" t="s">
        <v>7330</v>
      </c>
      <c r="T5222" s="2">
        <v>1.36</v>
      </c>
      <c r="U5222" s="2">
        <v>68.099999999999994</v>
      </c>
      <c r="V5222" s="2">
        <v>67</v>
      </c>
      <c r="W5222" s="2" t="s">
        <v>7862</v>
      </c>
      <c r="X5222" s="2" t="s">
        <v>2897</v>
      </c>
      <c r="Y5222" s="2">
        <v>11172</v>
      </c>
      <c r="Z5222" s="19" t="str">
        <f>HYPERLINK("https://ssdweb.co/ssdweb/hd/Vision360.html?d=925520766&amp;zoomslide=1&amp;z=1925520766&amp;ISCONFIRM=0","VIDEO")</f>
        <v>VIDEO</v>
      </c>
      <c r="AA5222" s="19" t="str">
        <f>HYPERLINK("https://ssdweb.co/ssdweb/CERTH/618439826.pdf","CERTI")</f>
        <v>CERTI</v>
      </c>
    </row>
    <row r="5223" spans="1:27" ht="15" x14ac:dyDescent="0.25">
      <c r="A5223" s="2">
        <v>5218</v>
      </c>
      <c r="B5223" s="39">
        <v>925521003</v>
      </c>
      <c r="C5223" s="28" t="str">
        <f>HYPERLINK("https://pld.live/RapDetail.aspx?STONELIST=925521003","DNA")</f>
        <v>DNA</v>
      </c>
      <c r="D5223" s="18" t="s">
        <v>5281</v>
      </c>
      <c r="E5223" s="18" t="s">
        <v>5128</v>
      </c>
      <c r="F5223" s="2" t="s">
        <v>7987</v>
      </c>
      <c r="G5223" s="2" t="s">
        <v>7322</v>
      </c>
      <c r="H5223" s="14">
        <v>1.47</v>
      </c>
      <c r="I5223" s="2" t="s">
        <v>267</v>
      </c>
      <c r="J5223" s="2" t="s">
        <v>3942</v>
      </c>
      <c r="K5223" s="2" t="s">
        <v>1452</v>
      </c>
      <c r="L5223" s="2" t="s">
        <v>5221</v>
      </c>
      <c r="M5223" s="2" t="s">
        <v>5221</v>
      </c>
      <c r="N5223" s="2" t="s">
        <v>2317</v>
      </c>
      <c r="O5223" s="14">
        <v>7600</v>
      </c>
      <c r="P5223" s="14">
        <v>98.47</v>
      </c>
      <c r="Q5223" s="14">
        <v>116.28</v>
      </c>
      <c r="R5223" s="14">
        <v>170.93</v>
      </c>
      <c r="S5223" s="2" t="s">
        <v>1207</v>
      </c>
      <c r="T5223" s="2">
        <v>1.38</v>
      </c>
      <c r="U5223" s="2">
        <v>64.900000000000006</v>
      </c>
      <c r="V5223" s="2">
        <v>66</v>
      </c>
      <c r="W5223" s="2" t="s">
        <v>7862</v>
      </c>
      <c r="X5223" s="2" t="s">
        <v>2897</v>
      </c>
      <c r="Y5223" s="2">
        <v>11172</v>
      </c>
      <c r="Z5223" s="19" t="str">
        <f>HYPERLINK("https://ssdweb.co/ssdweb/hd/Vision360.html?d=925521003&amp;zoomslide=1&amp;z=1925521003&amp;ISCONFIRM=0","VIDEO")</f>
        <v>VIDEO</v>
      </c>
      <c r="AA5223" s="19" t="str">
        <f>HYPERLINK("https://ssdweb.co/ssdweb/CERTH/618455212.pdf","CERTI")</f>
        <v>CERTI</v>
      </c>
    </row>
    <row r="5224" spans="1:27" ht="15" x14ac:dyDescent="0.25">
      <c r="A5224" s="2">
        <v>5219</v>
      </c>
      <c r="B5224" s="39">
        <v>926830980</v>
      </c>
      <c r="C5224" s="28" t="str">
        <f>HYPERLINK("https://pld.live/RapDetail.aspx?STONELIST=926830980","DNA")</f>
        <v>DNA</v>
      </c>
      <c r="D5224" s="18" t="s">
        <v>5281</v>
      </c>
      <c r="E5224" s="18" t="s">
        <v>5128</v>
      </c>
      <c r="F5224" s="2" t="s">
        <v>7987</v>
      </c>
      <c r="G5224" s="2" t="s">
        <v>7322</v>
      </c>
      <c r="H5224" s="14">
        <v>1.46</v>
      </c>
      <c r="I5224" s="2" t="s">
        <v>4761</v>
      </c>
      <c r="J5224" s="2" t="s">
        <v>3942</v>
      </c>
      <c r="K5224" s="2" t="s">
        <v>1452</v>
      </c>
      <c r="L5224" s="2" t="s">
        <v>5221</v>
      </c>
      <c r="M5224" s="2" t="s">
        <v>5221</v>
      </c>
      <c r="N5224" s="2" t="s">
        <v>2317</v>
      </c>
      <c r="O5224" s="14">
        <v>6900</v>
      </c>
      <c r="P5224" s="14">
        <v>98.33</v>
      </c>
      <c r="Q5224" s="14">
        <v>115.23</v>
      </c>
      <c r="R5224" s="14">
        <v>168.24</v>
      </c>
      <c r="S5224" s="2" t="s">
        <v>959</v>
      </c>
      <c r="T5224" s="2">
        <v>1.38</v>
      </c>
      <c r="U5224" s="2">
        <v>67.8</v>
      </c>
      <c r="V5224" s="2">
        <v>64</v>
      </c>
      <c r="W5224" s="2" t="s">
        <v>7862</v>
      </c>
      <c r="X5224" s="2" t="s">
        <v>2897</v>
      </c>
      <c r="Y5224" s="2">
        <v>10074</v>
      </c>
      <c r="Z5224" s="19" t="str">
        <f>HYPERLINK("https://ssdweb.co/ssdweb/hd/Vision360.html?d=926830980&amp;zoomslide=1&amp;z=1926830980&amp;ISCONFIRM=0","VIDEO")</f>
        <v>VIDEO</v>
      </c>
      <c r="AA5224" s="19" t="str">
        <f>HYPERLINK("https://ssdweb.co/ssdweb/CERTH/670484373.pdf","CERTI")</f>
        <v>CERTI</v>
      </c>
    </row>
    <row r="5225" spans="1:27" ht="15" x14ac:dyDescent="0.25">
      <c r="A5225" s="2">
        <v>5220</v>
      </c>
      <c r="B5225" s="39">
        <v>926701134</v>
      </c>
      <c r="C5225" s="28" t="str">
        <f>HYPERLINK("https://pld.live/RapDetail.aspx?STONELIST=926701134","DNA")</f>
        <v>DNA</v>
      </c>
      <c r="D5225" s="18" t="s">
        <v>5281</v>
      </c>
      <c r="E5225" s="18" t="s">
        <v>5128</v>
      </c>
      <c r="F5225" s="2" t="s">
        <v>7987</v>
      </c>
      <c r="G5225" s="2" t="s">
        <v>7322</v>
      </c>
      <c r="H5225" s="14">
        <v>1.46</v>
      </c>
      <c r="I5225" s="2" t="s">
        <v>4761</v>
      </c>
      <c r="J5225" s="2" t="s">
        <v>13</v>
      </c>
      <c r="K5225" s="2" t="s">
        <v>1452</v>
      </c>
      <c r="L5225" s="2" t="s">
        <v>5221</v>
      </c>
      <c r="M5225" s="2" t="s">
        <v>5221</v>
      </c>
      <c r="N5225" s="2" t="s">
        <v>2317</v>
      </c>
      <c r="O5225" s="14">
        <v>6200</v>
      </c>
      <c r="P5225" s="14">
        <v>98.23</v>
      </c>
      <c r="Q5225" s="14">
        <v>109.74</v>
      </c>
      <c r="R5225" s="14">
        <v>160.22</v>
      </c>
      <c r="S5225" s="2" t="s">
        <v>2999</v>
      </c>
      <c r="T5225" s="2">
        <v>1.39</v>
      </c>
      <c r="U5225" s="2">
        <v>66.900000000000006</v>
      </c>
      <c r="V5225" s="2">
        <v>62</v>
      </c>
      <c r="W5225" s="2" t="s">
        <v>7862</v>
      </c>
      <c r="X5225" s="2" t="s">
        <v>2897</v>
      </c>
      <c r="Y5225" s="2">
        <v>9052</v>
      </c>
      <c r="Z5225" s="19" t="str">
        <f>HYPERLINK("https://ssdweb.co/ssdweb/hd/Vision360.html?d=926701134&amp;zoomslide=1&amp;z=1926701134&amp;ISCONFIRM=0","VIDEO")</f>
        <v>VIDEO</v>
      </c>
      <c r="AA5225" s="19" t="str">
        <f>HYPERLINK("https://ssdweb.co/ssdweb/CERTH/670484442.pdf","CERTI")</f>
        <v>CERTI</v>
      </c>
    </row>
    <row r="5226" spans="1:27" ht="15" x14ac:dyDescent="0.25">
      <c r="A5226" s="2">
        <v>5221</v>
      </c>
      <c r="B5226" s="39">
        <v>925520296</v>
      </c>
      <c r="C5226" s="28" t="str">
        <f>HYPERLINK("https://pld.live/RapDetail.aspx?STONELIST=925520296","DNA")</f>
        <v>DNA</v>
      </c>
      <c r="D5226" s="18" t="s">
        <v>5281</v>
      </c>
      <c r="E5226" s="18" t="s">
        <v>5128</v>
      </c>
      <c r="F5226" s="2" t="s">
        <v>7987</v>
      </c>
      <c r="G5226" s="2" t="s">
        <v>7322</v>
      </c>
      <c r="H5226" s="14">
        <v>1.46</v>
      </c>
      <c r="I5226" s="2" t="s">
        <v>4761</v>
      </c>
      <c r="J5226" s="2" t="s">
        <v>5144</v>
      </c>
      <c r="K5226" s="2" t="s">
        <v>1452</v>
      </c>
      <c r="L5226" s="2" t="s">
        <v>5221</v>
      </c>
      <c r="M5226" s="2" t="s">
        <v>5221</v>
      </c>
      <c r="N5226" s="2" t="s">
        <v>2317</v>
      </c>
      <c r="O5226" s="14">
        <v>5400</v>
      </c>
      <c r="P5226" s="14">
        <v>98.19</v>
      </c>
      <c r="Q5226" s="14">
        <v>97.74</v>
      </c>
      <c r="R5226" s="14">
        <v>142.69999999999999</v>
      </c>
      <c r="S5226" s="2" t="s">
        <v>1629</v>
      </c>
      <c r="T5226" s="2">
        <v>1.36</v>
      </c>
      <c r="U5226" s="2">
        <v>67.599999999999994</v>
      </c>
      <c r="V5226" s="2">
        <v>68</v>
      </c>
      <c r="W5226" s="2" t="s">
        <v>7862</v>
      </c>
      <c r="X5226" s="2" t="s">
        <v>2897</v>
      </c>
      <c r="Y5226" s="2">
        <v>7884</v>
      </c>
      <c r="Z5226" s="19" t="str">
        <f>HYPERLINK("https://ssdweb.co/ssdweb/hd/Vision360.html?d=925520296&amp;zoomslide=1&amp;z=1925520296&amp;ISCONFIRM=0","VIDEO")</f>
        <v>VIDEO</v>
      </c>
      <c r="AA5226" s="19" t="str">
        <f>HYPERLINK("https://ssdweb.co/ssdweb/CERTH/617476122.pdf","CERTI")</f>
        <v>CERTI</v>
      </c>
    </row>
    <row r="5227" spans="1:27" ht="15" x14ac:dyDescent="0.25">
      <c r="A5227" s="2">
        <v>5222</v>
      </c>
      <c r="B5227" s="39">
        <v>926450205</v>
      </c>
      <c r="C5227" s="28" t="str">
        <f>HYPERLINK("https://pld.live/RapDetail.aspx?STONELIST=926450205","DNA")</f>
        <v>DNA</v>
      </c>
      <c r="D5227" s="18" t="s">
        <v>5281</v>
      </c>
      <c r="E5227" s="18" t="s">
        <v>2186</v>
      </c>
      <c r="F5227" s="2" t="s">
        <v>7987</v>
      </c>
      <c r="G5227" s="2" t="s">
        <v>7322</v>
      </c>
      <c r="H5227" s="14">
        <v>1.44</v>
      </c>
      <c r="I5227" s="2" t="s">
        <v>4699</v>
      </c>
      <c r="J5227" s="2" t="s">
        <v>13</v>
      </c>
      <c r="K5227" s="2" t="s">
        <v>1452</v>
      </c>
      <c r="L5227" s="2" t="s">
        <v>5221</v>
      </c>
      <c r="M5227" s="2" t="s">
        <v>5221</v>
      </c>
      <c r="N5227" s="2" t="s">
        <v>2317</v>
      </c>
      <c r="O5227" s="14">
        <v>5800</v>
      </c>
      <c r="P5227" s="14">
        <v>98.24</v>
      </c>
      <c r="Q5227" s="14">
        <v>102.08</v>
      </c>
      <c r="R5227" s="14">
        <v>147</v>
      </c>
      <c r="S5227" s="2" t="s">
        <v>4182</v>
      </c>
      <c r="T5227" s="2">
        <v>1.41</v>
      </c>
      <c r="U5227" s="2">
        <v>67.099999999999994</v>
      </c>
      <c r="V5227" s="2">
        <v>64</v>
      </c>
      <c r="W5227" s="2" t="s">
        <v>7862</v>
      </c>
      <c r="X5227" s="2" t="s">
        <v>2897</v>
      </c>
      <c r="Y5227" s="2">
        <v>8352</v>
      </c>
      <c r="Z5227" s="19" t="str">
        <f>HYPERLINK("https://ssdweb.co/ssdweb/hd/Vision360.html?d=926450205&amp;zoomslide=1&amp;z=1926450205&amp;ISCONFIRM=0","VIDEO")</f>
        <v>VIDEO</v>
      </c>
      <c r="AA5227" s="19" t="str">
        <f>HYPERLINK("https://ssdweb.co/ssdweb/CERTH/670484434.pdf","CERTI")</f>
        <v>CERTI</v>
      </c>
    </row>
    <row r="5228" spans="1:27" ht="15" x14ac:dyDescent="0.25">
      <c r="A5228" s="2">
        <v>5223</v>
      </c>
      <c r="B5228" s="39">
        <v>926581174</v>
      </c>
      <c r="C5228" s="28" t="str">
        <f>HYPERLINK("https://pld.live/RapDetail.aspx?STONELIST=926581174","DNA")</f>
        <v>DNA</v>
      </c>
      <c r="D5228" s="18" t="s">
        <v>5281</v>
      </c>
      <c r="E5228" s="18" t="s">
        <v>5128</v>
      </c>
      <c r="F5228" s="2" t="s">
        <v>7987</v>
      </c>
      <c r="G5228" s="2" t="s">
        <v>7322</v>
      </c>
      <c r="H5228" s="14">
        <v>1.43</v>
      </c>
      <c r="I5228" s="2" t="s">
        <v>4761</v>
      </c>
      <c r="J5228" s="2" t="s">
        <v>3942</v>
      </c>
      <c r="K5228" s="2" t="s">
        <v>1452</v>
      </c>
      <c r="L5228" s="2" t="s">
        <v>5221</v>
      </c>
      <c r="M5228" s="2" t="s">
        <v>5221</v>
      </c>
      <c r="N5228" s="2" t="s">
        <v>2317</v>
      </c>
      <c r="O5228" s="14">
        <v>6900</v>
      </c>
      <c r="P5228" s="14">
        <v>98.33</v>
      </c>
      <c r="Q5228" s="14">
        <v>115.23</v>
      </c>
      <c r="R5228" s="14">
        <v>164.78</v>
      </c>
      <c r="S5228" s="2" t="s">
        <v>1396</v>
      </c>
      <c r="T5228" s="2">
        <v>1.4</v>
      </c>
      <c r="U5228" s="2">
        <v>67.2</v>
      </c>
      <c r="V5228" s="2">
        <v>65</v>
      </c>
      <c r="W5228" s="2" t="s">
        <v>7862</v>
      </c>
      <c r="X5228" s="2" t="s">
        <v>2897</v>
      </c>
      <c r="Y5228" s="2">
        <v>9867</v>
      </c>
      <c r="Z5228" s="19" t="str">
        <f>HYPERLINK("https://ssdweb.co/ssdweb/hd/Vision360.html?d=926581174&amp;zoomslide=1&amp;z=1926581174&amp;ISCONFIRM=0","VIDEO")</f>
        <v>VIDEO</v>
      </c>
      <c r="AA5228" s="19" t="str">
        <f>HYPERLINK("https://ssdweb.co/ssdweb/CERTH/670484436.pdf","CERTI")</f>
        <v>CERTI</v>
      </c>
    </row>
    <row r="5229" spans="1:27" ht="15" x14ac:dyDescent="0.25">
      <c r="A5229" s="2">
        <v>5224</v>
      </c>
      <c r="B5229" s="39">
        <v>925370481</v>
      </c>
      <c r="C5229" s="28" t="str">
        <f>HYPERLINK("https://pld.live/RapDetail.aspx?STONELIST=925370481","DNA")</f>
        <v>DNA</v>
      </c>
      <c r="D5229" s="18" t="s">
        <v>5281</v>
      </c>
      <c r="E5229" s="18" t="s">
        <v>5128</v>
      </c>
      <c r="F5229" s="2" t="s">
        <v>7987</v>
      </c>
      <c r="G5229" s="2" t="s">
        <v>7322</v>
      </c>
      <c r="H5229" s="14">
        <v>1.43</v>
      </c>
      <c r="I5229" s="2" t="s">
        <v>4699</v>
      </c>
      <c r="J5229" s="2" t="s">
        <v>444</v>
      </c>
      <c r="K5229" s="2" t="s">
        <v>1452</v>
      </c>
      <c r="L5229" s="2" t="s">
        <v>5221</v>
      </c>
      <c r="M5229" s="2" t="s">
        <v>5221</v>
      </c>
      <c r="N5229" s="2" t="s">
        <v>2317</v>
      </c>
      <c r="O5229" s="14">
        <v>4000</v>
      </c>
      <c r="P5229" s="14">
        <v>97.65</v>
      </c>
      <c r="Q5229" s="14">
        <v>94</v>
      </c>
      <c r="R5229" s="14">
        <v>134.41999999999999</v>
      </c>
      <c r="S5229" s="2" t="s">
        <v>2448</v>
      </c>
      <c r="T5229" s="2">
        <v>1.38</v>
      </c>
      <c r="U5229" s="2">
        <v>68.2</v>
      </c>
      <c r="V5229" s="2">
        <v>62</v>
      </c>
      <c r="W5229" s="2" t="s">
        <v>7862</v>
      </c>
      <c r="X5229" s="2" t="s">
        <v>2897</v>
      </c>
      <c r="Y5229" s="2">
        <v>5720</v>
      </c>
      <c r="Z5229" s="19" t="str">
        <f>HYPERLINK("https://ssdweb.co/ssdweb/hd/Vision360.html?d=925370481&amp;zoomslide=1&amp;z=1925370481&amp;ISCONFIRM=0","VIDEO")</f>
        <v>VIDEO</v>
      </c>
      <c r="AA5229" s="19" t="str">
        <f>HYPERLINK("https://ssdweb.co/ssdweb/CERTH/623412629.pdf","CERTI")</f>
        <v>CERTI</v>
      </c>
    </row>
    <row r="5230" spans="1:27" ht="15" x14ac:dyDescent="0.25">
      <c r="A5230" s="2">
        <v>5225</v>
      </c>
      <c r="B5230" s="39">
        <v>925732099</v>
      </c>
      <c r="C5230" s="28" t="str">
        <f>HYPERLINK("https://pld.live/RapDetail.aspx?STONELIST=925732099","DNA")</f>
        <v>DNA</v>
      </c>
      <c r="D5230" s="18" t="s">
        <v>5281</v>
      </c>
      <c r="E5230" s="18" t="s">
        <v>5128</v>
      </c>
      <c r="F5230" s="2" t="s">
        <v>7987</v>
      </c>
      <c r="G5230" s="2" t="s">
        <v>7322</v>
      </c>
      <c r="H5230" s="14">
        <v>1.42</v>
      </c>
      <c r="I5230" s="2" t="s">
        <v>267</v>
      </c>
      <c r="J5230" s="2" t="s">
        <v>3942</v>
      </c>
      <c r="K5230" s="2" t="s">
        <v>1452</v>
      </c>
      <c r="L5230" s="2" t="s">
        <v>5221</v>
      </c>
      <c r="M5230" s="2" t="s">
        <v>5221</v>
      </c>
      <c r="N5230" s="2" t="s">
        <v>2317</v>
      </c>
      <c r="O5230" s="14">
        <v>7600</v>
      </c>
      <c r="P5230" s="14">
        <v>98.47</v>
      </c>
      <c r="Q5230" s="14">
        <v>116.28</v>
      </c>
      <c r="R5230" s="14">
        <v>165.12</v>
      </c>
      <c r="S5230" s="2" t="s">
        <v>4171</v>
      </c>
      <c r="T5230" s="2">
        <v>1.42</v>
      </c>
      <c r="U5230" s="2">
        <v>68.3</v>
      </c>
      <c r="V5230" s="2">
        <v>63</v>
      </c>
      <c r="W5230" s="2" t="s">
        <v>7862</v>
      </c>
      <c r="X5230" s="2" t="s">
        <v>2897</v>
      </c>
      <c r="Y5230" s="2">
        <v>10792</v>
      </c>
      <c r="Z5230" s="19" t="str">
        <f>HYPERLINK("https://ssdweb.co/ssdweb/hd/Vision360.html?d=925732099&amp;zoomslide=1&amp;z=1925732099&amp;ISCONFIRM=0","VIDEO")</f>
        <v>VIDEO</v>
      </c>
      <c r="AA5230" s="19" t="str">
        <f>HYPERLINK("https://ssdweb.co/ssdweb/CERTH/626457291.pdf","CERTI")</f>
        <v>CERTI</v>
      </c>
    </row>
    <row r="5231" spans="1:27" ht="15" x14ac:dyDescent="0.25">
      <c r="A5231" s="2">
        <v>5226</v>
      </c>
      <c r="B5231" s="39">
        <v>926831148</v>
      </c>
      <c r="C5231" s="28" t="str">
        <f>HYPERLINK("https://pld.live/RapDetail.aspx?STONELIST=926831148","DNA")</f>
        <v>DNA</v>
      </c>
      <c r="D5231" s="18" t="s">
        <v>5281</v>
      </c>
      <c r="E5231" s="18" t="s">
        <v>5128</v>
      </c>
      <c r="F5231" s="2" t="s">
        <v>7987</v>
      </c>
      <c r="G5231" s="2" t="s">
        <v>7322</v>
      </c>
      <c r="H5231" s="14">
        <v>1.42</v>
      </c>
      <c r="I5231" s="2" t="s">
        <v>267</v>
      </c>
      <c r="J5231" s="2" t="s">
        <v>13</v>
      </c>
      <c r="K5231" s="2" t="s">
        <v>1452</v>
      </c>
      <c r="L5231" s="2" t="s">
        <v>5221</v>
      </c>
      <c r="M5231" s="2" t="s">
        <v>5221</v>
      </c>
      <c r="N5231" s="2" t="s">
        <v>2317</v>
      </c>
      <c r="O5231" s="14">
        <v>6700</v>
      </c>
      <c r="P5231" s="14">
        <v>98.31</v>
      </c>
      <c r="Q5231" s="14">
        <v>113.23</v>
      </c>
      <c r="R5231" s="14">
        <v>160.79</v>
      </c>
      <c r="S5231" s="2" t="s">
        <v>2418</v>
      </c>
      <c r="T5231" s="2">
        <v>1.49</v>
      </c>
      <c r="U5231" s="2">
        <v>68.3</v>
      </c>
      <c r="V5231" s="2">
        <v>62</v>
      </c>
      <c r="W5231" s="2" t="s">
        <v>7862</v>
      </c>
      <c r="X5231" s="2" t="s">
        <v>2897</v>
      </c>
      <c r="Y5231" s="2">
        <v>9514</v>
      </c>
      <c r="Z5231" s="19" t="str">
        <f>HYPERLINK("https://ssdweb.co/ssdweb/hd/Vision360.html?d=926831148&amp;zoomslide=1&amp;z=1926831148&amp;ISCONFIRM=0","VIDEO")</f>
        <v>VIDEO</v>
      </c>
      <c r="AA5231" s="19" t="str">
        <f>HYPERLINK("https://ssdweb.co/ssdweb/CERTH/655451820.pdf","CERTI")</f>
        <v>CERTI</v>
      </c>
    </row>
    <row r="5232" spans="1:27" ht="15" x14ac:dyDescent="0.25">
      <c r="A5232" s="2">
        <v>5227</v>
      </c>
      <c r="B5232" s="39">
        <v>923510482</v>
      </c>
      <c r="C5232" s="28" t="str">
        <f>HYPERLINK("https://pld.live/RapDetail.aspx?STONELIST=923510482","DNA")</f>
        <v>DNA</v>
      </c>
      <c r="D5232" s="18" t="s">
        <v>5281</v>
      </c>
      <c r="E5232" s="18" t="s">
        <v>2186</v>
      </c>
      <c r="F5232" s="2" t="s">
        <v>7987</v>
      </c>
      <c r="G5232" s="2" t="s">
        <v>7322</v>
      </c>
      <c r="H5232" s="14">
        <v>1.41</v>
      </c>
      <c r="I5232" s="2" t="s">
        <v>6587</v>
      </c>
      <c r="J5232" s="2" t="s">
        <v>13</v>
      </c>
      <c r="K5232" s="2" t="s">
        <v>1452</v>
      </c>
      <c r="L5232" s="2" t="s">
        <v>5221</v>
      </c>
      <c r="M5232" s="2" t="s">
        <v>5221</v>
      </c>
      <c r="N5232" s="2" t="s">
        <v>2317</v>
      </c>
      <c r="O5232" s="14">
        <v>5400</v>
      </c>
      <c r="P5232" s="14">
        <v>98.26</v>
      </c>
      <c r="Q5232" s="14">
        <v>93.96</v>
      </c>
      <c r="R5232" s="14">
        <v>132.47999999999999</v>
      </c>
      <c r="S5232" s="2" t="s">
        <v>4403</v>
      </c>
      <c r="T5232" s="2">
        <v>1.58</v>
      </c>
      <c r="U5232" s="2">
        <v>63.9</v>
      </c>
      <c r="V5232" s="2">
        <v>66.5</v>
      </c>
      <c r="W5232" s="2" t="s">
        <v>7862</v>
      </c>
      <c r="X5232" s="2" t="s">
        <v>2897</v>
      </c>
      <c r="Y5232" s="2">
        <v>7614</v>
      </c>
      <c r="Z5232" s="19" t="str">
        <f>HYPERLINK("https://ssdweb.co/ssdweb/hd/Vision360.html?d=923510482&amp;zoomslide=1&amp;z=1923510482&amp;ISCONFIRM=0","VIDEO")</f>
        <v>VIDEO</v>
      </c>
      <c r="AA5232" s="19" t="str">
        <f>HYPERLINK("https://ssdweb.co/ssdweb/CERTH/551274372.pdf","CERTI")</f>
        <v>CERTI</v>
      </c>
    </row>
    <row r="5233" spans="1:27" ht="15" x14ac:dyDescent="0.25">
      <c r="A5233" s="2">
        <v>5228</v>
      </c>
      <c r="B5233" s="39">
        <v>926450406</v>
      </c>
      <c r="C5233" s="28" t="str">
        <f>HYPERLINK("https://pld.live/RapDetail.aspx?STONELIST=926450406","DNA")</f>
        <v>DNA</v>
      </c>
      <c r="D5233" s="18" t="s">
        <v>5281</v>
      </c>
      <c r="E5233" s="18" t="s">
        <v>2186</v>
      </c>
      <c r="F5233" s="2" t="s">
        <v>7987</v>
      </c>
      <c r="G5233" s="2" t="s">
        <v>7322</v>
      </c>
      <c r="H5233" s="14">
        <v>1.4</v>
      </c>
      <c r="I5233" s="2" t="s">
        <v>6587</v>
      </c>
      <c r="J5233" s="2" t="s">
        <v>13</v>
      </c>
      <c r="K5233" s="2" t="s">
        <v>1452</v>
      </c>
      <c r="L5233" s="2" t="s">
        <v>5221</v>
      </c>
      <c r="M5233" s="2" t="s">
        <v>5221</v>
      </c>
      <c r="N5233" s="2" t="s">
        <v>2317</v>
      </c>
      <c r="O5233" s="14">
        <v>5400</v>
      </c>
      <c r="P5233" s="14">
        <v>98.19</v>
      </c>
      <c r="Q5233" s="14">
        <v>97.74</v>
      </c>
      <c r="R5233" s="14">
        <v>136.84</v>
      </c>
      <c r="S5233" s="2" t="s">
        <v>6523</v>
      </c>
      <c r="T5233" s="2">
        <v>1.35</v>
      </c>
      <c r="U5233" s="2">
        <v>66</v>
      </c>
      <c r="V5233" s="2">
        <v>66</v>
      </c>
      <c r="W5233" s="2" t="s">
        <v>7862</v>
      </c>
      <c r="X5233" s="2" t="s">
        <v>2897</v>
      </c>
      <c r="Y5233" s="2">
        <v>7560</v>
      </c>
      <c r="Z5233" s="19" t="str">
        <f>HYPERLINK("https://ssdweb.co/ssdweb/hd/Vision360.html?d=926450406&amp;zoomslide=1&amp;z=1926450406&amp;ISCONFIRM=0","VIDEO")</f>
        <v>VIDEO</v>
      </c>
      <c r="AA5233" s="19" t="str">
        <f>HYPERLINK("https://ssdweb.co/ssdweb/CERTH/670484435.pdf","CERTI")</f>
        <v>CERTI</v>
      </c>
    </row>
    <row r="5234" spans="1:27" ht="15" x14ac:dyDescent="0.25">
      <c r="A5234" s="2">
        <v>5229</v>
      </c>
      <c r="B5234" s="39">
        <v>925890310</v>
      </c>
      <c r="C5234" s="28" t="str">
        <f>HYPERLINK("https://pld.live/RapDetail.aspx?STONELIST=925890310","DNA")</f>
        <v>DNA</v>
      </c>
      <c r="D5234" s="18" t="s">
        <v>5235</v>
      </c>
      <c r="E5234" s="18" t="s">
        <v>5128</v>
      </c>
      <c r="F5234" s="2" t="s">
        <v>7987</v>
      </c>
      <c r="G5234" s="2" t="s">
        <v>7322</v>
      </c>
      <c r="H5234" s="14">
        <v>1.38</v>
      </c>
      <c r="I5234" s="2" t="s">
        <v>267</v>
      </c>
      <c r="J5234" s="2" t="s">
        <v>3942</v>
      </c>
      <c r="K5234" s="2" t="s">
        <v>1452</v>
      </c>
      <c r="L5234" s="2" t="s">
        <v>5221</v>
      </c>
      <c r="M5234" s="2" t="s">
        <v>5221</v>
      </c>
      <c r="N5234" s="2" t="s">
        <v>2317</v>
      </c>
      <c r="O5234" s="14">
        <v>7600</v>
      </c>
      <c r="P5234" s="14">
        <v>98.45</v>
      </c>
      <c r="Q5234" s="14">
        <v>117.8</v>
      </c>
      <c r="R5234" s="14">
        <v>162.56</v>
      </c>
      <c r="S5234" s="2" t="s">
        <v>6372</v>
      </c>
      <c r="T5234" s="2">
        <v>1.43</v>
      </c>
      <c r="U5234" s="2">
        <v>66.599999999999994</v>
      </c>
      <c r="V5234" s="2">
        <v>62</v>
      </c>
      <c r="W5234" s="2" t="s">
        <v>7862</v>
      </c>
      <c r="X5234" s="2" t="s">
        <v>2897</v>
      </c>
      <c r="Y5234" s="2">
        <v>10488</v>
      </c>
      <c r="Z5234" s="19" t="str">
        <f>HYPERLINK("https://ssdweb.co/ssdweb/hd/Vision360.html?d=925890310&amp;zoomslide=1&amp;z=1925890310&amp;ISCONFIRM=0","VIDEO")</f>
        <v>VIDEO</v>
      </c>
      <c r="AA5234" s="19" t="str">
        <f>HYPERLINK("https://ssdweb.co/ssdweb/CERTH/627415193.pdf","CERTI")</f>
        <v>CERTI</v>
      </c>
    </row>
    <row r="5235" spans="1:27" ht="15" x14ac:dyDescent="0.25">
      <c r="A5235" s="2">
        <v>5230</v>
      </c>
      <c r="B5235" s="39">
        <v>926200762</v>
      </c>
      <c r="C5235" s="28" t="str">
        <f>HYPERLINK("https://pld.live/RapDetail.aspx?STONELIST=926200762","DNA")</f>
        <v>DNA</v>
      </c>
      <c r="D5235" s="18" t="s">
        <v>5235</v>
      </c>
      <c r="E5235" s="18" t="s">
        <v>5128</v>
      </c>
      <c r="F5235" s="2" t="s">
        <v>7987</v>
      </c>
      <c r="G5235" s="2" t="s">
        <v>7322</v>
      </c>
      <c r="H5235" s="14">
        <v>1.37</v>
      </c>
      <c r="I5235" s="2" t="s">
        <v>267</v>
      </c>
      <c r="J5235" s="2" t="s">
        <v>3942</v>
      </c>
      <c r="K5235" s="2" t="s">
        <v>1452</v>
      </c>
      <c r="L5235" s="2" t="s">
        <v>5221</v>
      </c>
      <c r="M5235" s="2" t="s">
        <v>5221</v>
      </c>
      <c r="N5235" s="2" t="s">
        <v>2317</v>
      </c>
      <c r="O5235" s="14">
        <v>7600</v>
      </c>
      <c r="P5235" s="14">
        <v>98.42</v>
      </c>
      <c r="Q5235" s="14">
        <v>120.08</v>
      </c>
      <c r="R5235" s="14">
        <v>164.51</v>
      </c>
      <c r="S5235" s="2" t="s">
        <v>5843</v>
      </c>
      <c r="T5235" s="2">
        <v>1.36</v>
      </c>
      <c r="U5235" s="2">
        <v>65.5</v>
      </c>
      <c r="V5235" s="2">
        <v>68</v>
      </c>
      <c r="W5235" s="2" t="s">
        <v>7862</v>
      </c>
      <c r="X5235" s="2" t="s">
        <v>2897</v>
      </c>
      <c r="Y5235" s="2">
        <v>10412</v>
      </c>
      <c r="Z5235" s="19" t="str">
        <f>HYPERLINK("https://ssdweb.co/ssdweb/hd/Vision360.html?d=926200762&amp;zoomslide=1&amp;z=1926200762&amp;ISCONFIRM=0","VIDEO")</f>
        <v>VIDEO</v>
      </c>
      <c r="AA5235" s="19" t="str">
        <f>HYPERLINK("https://ssdweb.co/ssdweb/CERTH/634431467.pdf","CERTI")</f>
        <v>CERTI</v>
      </c>
    </row>
    <row r="5236" spans="1:27" ht="15" x14ac:dyDescent="0.25">
      <c r="A5236" s="2">
        <v>5231</v>
      </c>
      <c r="B5236" s="39">
        <v>926200787</v>
      </c>
      <c r="C5236" s="28" t="str">
        <f>HYPERLINK("https://pld.live/RapDetail.aspx?STONELIST=926200787","DNA")</f>
        <v>DNA</v>
      </c>
      <c r="D5236" s="18" t="s">
        <v>5235</v>
      </c>
      <c r="E5236" s="18" t="s">
        <v>5128</v>
      </c>
      <c r="F5236" s="2" t="s">
        <v>7987</v>
      </c>
      <c r="G5236" s="2" t="s">
        <v>7322</v>
      </c>
      <c r="H5236" s="14">
        <v>1.37</v>
      </c>
      <c r="I5236" s="2" t="s">
        <v>4761</v>
      </c>
      <c r="J5236" s="2" t="s">
        <v>3942</v>
      </c>
      <c r="K5236" s="2" t="s">
        <v>1452</v>
      </c>
      <c r="L5236" s="2" t="s">
        <v>5221</v>
      </c>
      <c r="M5236" s="2" t="s">
        <v>5221</v>
      </c>
      <c r="N5236" s="2" t="s">
        <v>2317</v>
      </c>
      <c r="O5236" s="14">
        <v>6900</v>
      </c>
      <c r="P5236" s="14">
        <v>98.39</v>
      </c>
      <c r="Q5236" s="14">
        <v>111.09</v>
      </c>
      <c r="R5236" s="14">
        <v>152.19</v>
      </c>
      <c r="S5236" s="2" t="s">
        <v>2441</v>
      </c>
      <c r="T5236" s="2">
        <v>1.36</v>
      </c>
      <c r="U5236" s="2">
        <v>67.900000000000006</v>
      </c>
      <c r="V5236" s="2">
        <v>67</v>
      </c>
      <c r="W5236" s="2" t="s">
        <v>7862</v>
      </c>
      <c r="X5236" s="2" t="s">
        <v>2897</v>
      </c>
      <c r="Y5236" s="2">
        <v>9453</v>
      </c>
      <c r="Z5236" s="19" t="str">
        <f>HYPERLINK("https://ssdweb.co/ssdweb/hd/Vision360.html?d=926200787&amp;zoomslide=1&amp;z=1926200787&amp;ISCONFIRM=0","VIDEO")</f>
        <v>VIDEO</v>
      </c>
      <c r="AA5236" s="19" t="str">
        <f>HYPERLINK("https://ssdweb.co/ssdweb/CERTH/635426983.pdf","CERTI")</f>
        <v>CERTI</v>
      </c>
    </row>
    <row r="5237" spans="1:27" ht="15" x14ac:dyDescent="0.25">
      <c r="A5237" s="2">
        <v>5232</v>
      </c>
      <c r="B5237" s="39">
        <v>925971159</v>
      </c>
      <c r="C5237" s="28" t="str">
        <f>HYPERLINK("https://pld.live/RapDetail.aspx?STONELIST=925971159","DNA")</f>
        <v>DNA</v>
      </c>
      <c r="D5237" s="18" t="s">
        <v>5235</v>
      </c>
      <c r="E5237" s="18" t="s">
        <v>5128</v>
      </c>
      <c r="F5237" s="2" t="s">
        <v>7987</v>
      </c>
      <c r="G5237" s="2" t="s">
        <v>7322</v>
      </c>
      <c r="H5237" s="14">
        <v>1.35</v>
      </c>
      <c r="I5237" s="2" t="s">
        <v>267</v>
      </c>
      <c r="J5237" s="2" t="s">
        <v>13</v>
      </c>
      <c r="K5237" s="2" t="s">
        <v>1452</v>
      </c>
      <c r="L5237" s="2" t="s">
        <v>5221</v>
      </c>
      <c r="M5237" s="2" t="s">
        <v>5221</v>
      </c>
      <c r="N5237" s="2" t="s">
        <v>2317</v>
      </c>
      <c r="O5237" s="14">
        <v>6700</v>
      </c>
      <c r="P5237" s="14">
        <v>98.37</v>
      </c>
      <c r="Q5237" s="14">
        <v>109.21</v>
      </c>
      <c r="R5237" s="14">
        <v>147.43</v>
      </c>
      <c r="S5237" s="2" t="s">
        <v>7212</v>
      </c>
      <c r="T5237" s="2">
        <v>1.38</v>
      </c>
      <c r="U5237" s="2">
        <v>67</v>
      </c>
      <c r="V5237" s="2">
        <v>66</v>
      </c>
      <c r="W5237" s="2" t="s">
        <v>7862</v>
      </c>
      <c r="X5237" s="2" t="s">
        <v>2897</v>
      </c>
      <c r="Y5237" s="2">
        <v>9045</v>
      </c>
      <c r="Z5237" s="19" t="str">
        <f>HYPERLINK("https://ssdweb.co/ssdweb/hd/Vision360.html?d=925971159&amp;zoomslide=1&amp;z=1925971159&amp;ISCONFIRM=0","VIDEO")</f>
        <v>VIDEO</v>
      </c>
      <c r="AA5237" s="19" t="str">
        <f>HYPERLINK("https://ssdweb.co/ssdweb/CERTH/629479033.pdf","CERTI")</f>
        <v>CERTI</v>
      </c>
    </row>
    <row r="5238" spans="1:27" ht="15" x14ac:dyDescent="0.25">
      <c r="A5238" s="2">
        <v>5233</v>
      </c>
      <c r="B5238" s="39">
        <v>925890274</v>
      </c>
      <c r="C5238" s="28" t="str">
        <f>HYPERLINK("https://pld.live/RapDetail.aspx?STONELIST=925890274","DNA")</f>
        <v>DNA</v>
      </c>
      <c r="D5238" s="18" t="s">
        <v>5235</v>
      </c>
      <c r="E5238" s="18" t="s">
        <v>5128</v>
      </c>
      <c r="F5238" s="2" t="s">
        <v>7987</v>
      </c>
      <c r="G5238" s="2" t="s">
        <v>7322</v>
      </c>
      <c r="H5238" s="14">
        <v>1.35</v>
      </c>
      <c r="I5238" s="2" t="s">
        <v>4761</v>
      </c>
      <c r="J5238" s="2" t="s">
        <v>5144</v>
      </c>
      <c r="K5238" s="2" t="s">
        <v>1452</v>
      </c>
      <c r="L5238" s="2" t="s">
        <v>5221</v>
      </c>
      <c r="M5238" s="2" t="s">
        <v>5221</v>
      </c>
      <c r="N5238" s="2" t="s">
        <v>2317</v>
      </c>
      <c r="O5238" s="14">
        <v>5400</v>
      </c>
      <c r="P5238" s="14">
        <v>98.15</v>
      </c>
      <c r="Q5238" s="14">
        <v>99.9</v>
      </c>
      <c r="R5238" s="14">
        <v>134.87</v>
      </c>
      <c r="S5238" s="2" t="s">
        <v>3758</v>
      </c>
      <c r="T5238" s="2">
        <v>1.42</v>
      </c>
      <c r="U5238" s="2">
        <v>65</v>
      </c>
      <c r="V5238" s="2">
        <v>66</v>
      </c>
      <c r="W5238" s="2" t="s">
        <v>7862</v>
      </c>
      <c r="X5238" s="2" t="s">
        <v>2897</v>
      </c>
      <c r="Y5238" s="2">
        <v>7290</v>
      </c>
      <c r="Z5238" s="19" t="str">
        <f>HYPERLINK("https://ssdweb.co/ssdweb/hd/Vision360.html?d=925890274&amp;zoomslide=1&amp;z=1925890274&amp;ISCONFIRM=0","VIDEO")</f>
        <v>VIDEO</v>
      </c>
      <c r="AA5238" s="19" t="str">
        <f>HYPERLINK("https://ssdweb.co/ssdweb/CERTH/627497089.pdf","CERTI")</f>
        <v>CERTI</v>
      </c>
    </row>
    <row r="5239" spans="1:27" ht="15" x14ac:dyDescent="0.25">
      <c r="A5239" s="2">
        <v>5234</v>
      </c>
      <c r="B5239" s="39">
        <v>924410793</v>
      </c>
      <c r="C5239" s="28" t="str">
        <f>HYPERLINK("https://pld.live/RapDetail.aspx?STONELIST=924410793","DNA")</f>
        <v>DNA</v>
      </c>
      <c r="D5239" s="18" t="s">
        <v>5235</v>
      </c>
      <c r="E5239" s="18" t="s">
        <v>2186</v>
      </c>
      <c r="F5239" s="2" t="s">
        <v>7987</v>
      </c>
      <c r="G5239" s="2" t="s">
        <v>7322</v>
      </c>
      <c r="H5239" s="14">
        <v>1.35</v>
      </c>
      <c r="I5239" s="2" t="s">
        <v>6587</v>
      </c>
      <c r="J5239" s="2" t="s">
        <v>13</v>
      </c>
      <c r="K5239" s="2" t="s">
        <v>1452</v>
      </c>
      <c r="L5239" s="2" t="s">
        <v>5221</v>
      </c>
      <c r="M5239" s="2" t="s">
        <v>5221</v>
      </c>
      <c r="N5239" s="2" t="s">
        <v>2317</v>
      </c>
      <c r="O5239" s="14">
        <v>5400</v>
      </c>
      <c r="P5239" s="14">
        <v>98.2</v>
      </c>
      <c r="Q5239" s="14">
        <v>97.2</v>
      </c>
      <c r="R5239" s="14">
        <v>131.22</v>
      </c>
      <c r="S5239" s="2" t="s">
        <v>4710</v>
      </c>
      <c r="T5239" s="2">
        <v>1.45</v>
      </c>
      <c r="U5239" s="2">
        <v>65.400000000000006</v>
      </c>
      <c r="V5239" s="2">
        <v>64</v>
      </c>
      <c r="W5239" s="2" t="s">
        <v>8016</v>
      </c>
      <c r="X5239" s="2" t="s">
        <v>2897</v>
      </c>
      <c r="Y5239" s="2">
        <v>7290</v>
      </c>
      <c r="Z5239" s="19" t="str">
        <f>HYPERLINK("https://ssdweb.co/ssdweb/hd/Vision360.html?d=924410793&amp;zoomslide=1&amp;z=1924410793&amp;ISCONFIRM=0","VIDEO")</f>
        <v>VIDEO</v>
      </c>
      <c r="AA5239" s="19" t="str">
        <f>HYPERLINK("https://ssdweb.co/ssdweb/CERTH/597360030.pdf","CERTI")</f>
        <v>CERTI</v>
      </c>
    </row>
    <row r="5240" spans="1:27" ht="15" x14ac:dyDescent="0.25">
      <c r="A5240" s="2">
        <v>5235</v>
      </c>
      <c r="B5240" s="39">
        <v>925862043</v>
      </c>
      <c r="C5240" s="28" t="str">
        <f>HYPERLINK("https://pld.live/RapDetail.aspx?STONELIST=925862043","DNA")</f>
        <v>DNA</v>
      </c>
      <c r="D5240" s="18" t="s">
        <v>5235</v>
      </c>
      <c r="E5240" s="18" t="s">
        <v>5128</v>
      </c>
      <c r="F5240" s="2" t="s">
        <v>7987</v>
      </c>
      <c r="G5240" s="2" t="s">
        <v>7322</v>
      </c>
      <c r="H5240" s="14">
        <v>1.32</v>
      </c>
      <c r="I5240" s="2" t="s">
        <v>4699</v>
      </c>
      <c r="J5240" s="2" t="s">
        <v>5144</v>
      </c>
      <c r="K5240" s="2" t="s">
        <v>1452</v>
      </c>
      <c r="L5240" s="2" t="s">
        <v>5221</v>
      </c>
      <c r="M5240" s="2" t="s">
        <v>5221</v>
      </c>
      <c r="N5240" s="2" t="s">
        <v>2317</v>
      </c>
      <c r="O5240" s="14">
        <v>5100</v>
      </c>
      <c r="P5240" s="14">
        <v>98.08</v>
      </c>
      <c r="Q5240" s="14">
        <v>97.92</v>
      </c>
      <c r="R5240" s="14">
        <v>129.25</v>
      </c>
      <c r="S5240" s="2" t="s">
        <v>1858</v>
      </c>
      <c r="T5240" s="2">
        <v>1.45</v>
      </c>
      <c r="U5240" s="2">
        <v>64.7</v>
      </c>
      <c r="V5240" s="2">
        <v>65</v>
      </c>
      <c r="W5240" s="2" t="s">
        <v>7862</v>
      </c>
      <c r="X5240" s="2" t="s">
        <v>2897</v>
      </c>
      <c r="Y5240" s="2">
        <v>6732</v>
      </c>
      <c r="Z5240" s="19" t="str">
        <f>HYPERLINK("https://ssdweb.co/ssdweb/hd/Vision360.html?d=925862043&amp;zoomslide=1&amp;z=1925862043&amp;ISCONFIRM=0","VIDEO")</f>
        <v>VIDEO</v>
      </c>
      <c r="AA5240" s="19" t="str">
        <f>HYPERLINK("https://ssdweb.co/ssdweb/CERTH/628426961.pdf","CERTI")</f>
        <v>CERTI</v>
      </c>
    </row>
    <row r="5241" spans="1:27" ht="15" x14ac:dyDescent="0.25">
      <c r="A5241" s="2">
        <v>5236</v>
      </c>
      <c r="B5241" s="39">
        <v>831020490</v>
      </c>
      <c r="C5241" s="28" t="str">
        <f>HYPERLINK("https://pld.live/RapDetail.aspx?STONELIST=831020490","DNA")</f>
        <v>DNA</v>
      </c>
      <c r="D5241" s="18" t="s">
        <v>5235</v>
      </c>
      <c r="E5241" s="18" t="s">
        <v>2186</v>
      </c>
      <c r="F5241" s="2" t="s">
        <v>7987</v>
      </c>
      <c r="G5241" s="2" t="s">
        <v>7322</v>
      </c>
      <c r="H5241" s="14">
        <v>1.32</v>
      </c>
      <c r="I5241" s="2" t="s">
        <v>6587</v>
      </c>
      <c r="J5241" s="2" t="s">
        <v>13</v>
      </c>
      <c r="K5241" s="2" t="s">
        <v>1452</v>
      </c>
      <c r="L5241" s="2" t="s">
        <v>5221</v>
      </c>
      <c r="M5241" s="2" t="s">
        <v>5221</v>
      </c>
      <c r="N5241" s="2" t="s">
        <v>2317</v>
      </c>
      <c r="O5241" s="14">
        <v>5400</v>
      </c>
      <c r="P5241" s="14">
        <v>98.2</v>
      </c>
      <c r="Q5241" s="14">
        <v>97.2</v>
      </c>
      <c r="R5241" s="14">
        <v>128.30000000000001</v>
      </c>
      <c r="S5241" s="2" t="s">
        <v>544</v>
      </c>
      <c r="T5241" s="2">
        <v>1.44</v>
      </c>
      <c r="U5241" s="2">
        <v>66.5</v>
      </c>
      <c r="V5241" s="2">
        <v>64</v>
      </c>
      <c r="W5241" s="2" t="s">
        <v>8016</v>
      </c>
      <c r="X5241" s="2" t="s">
        <v>2897</v>
      </c>
      <c r="Y5241" s="2">
        <v>7128</v>
      </c>
      <c r="Z5241" s="19" t="str">
        <f>HYPERLINK("https://ssdweb.co/ssdweb/hd/Vision360.html?d=831020490&amp;zoomslide=1&amp;z=1831020490&amp;ISCONFIRM=0","VIDEO")</f>
        <v>VIDEO</v>
      </c>
      <c r="AA5241" s="19" t="str">
        <f>HYPERLINK("https://ssdweb.co/ssdweb/CERTH/591308359.pdf","CERTI")</f>
        <v>CERTI</v>
      </c>
    </row>
    <row r="5242" spans="1:27" ht="15" x14ac:dyDescent="0.25">
      <c r="A5242" s="2">
        <v>5237</v>
      </c>
      <c r="B5242" s="39">
        <v>925801687</v>
      </c>
      <c r="C5242" s="28" t="str">
        <f>HYPERLINK("https://pld.live/RapDetail.aspx?STONELIST=925801687","DNA")</f>
        <v>DNA</v>
      </c>
      <c r="D5242" s="18" t="s">
        <v>5235</v>
      </c>
      <c r="E5242" s="18" t="s">
        <v>5128</v>
      </c>
      <c r="F5242" s="2" t="s">
        <v>7987</v>
      </c>
      <c r="G5242" s="2" t="s">
        <v>7322</v>
      </c>
      <c r="H5242" s="14">
        <v>1.31</v>
      </c>
      <c r="I5242" s="2" t="s">
        <v>267</v>
      </c>
      <c r="J5242" s="2" t="s">
        <v>5144</v>
      </c>
      <c r="K5242" s="2" t="s">
        <v>1452</v>
      </c>
      <c r="L5242" s="2" t="s">
        <v>5221</v>
      </c>
      <c r="M5242" s="2" t="s">
        <v>5221</v>
      </c>
      <c r="N5242" s="2" t="s">
        <v>2317</v>
      </c>
      <c r="O5242" s="14">
        <v>5700</v>
      </c>
      <c r="P5242" s="14">
        <v>98.21</v>
      </c>
      <c r="Q5242" s="14">
        <v>102.03</v>
      </c>
      <c r="R5242" s="14">
        <v>133.66</v>
      </c>
      <c r="S5242" s="2" t="s">
        <v>6673</v>
      </c>
      <c r="T5242" s="2">
        <v>1.4</v>
      </c>
      <c r="U5242" s="2">
        <v>67.099999999999994</v>
      </c>
      <c r="V5242" s="2">
        <v>64</v>
      </c>
      <c r="W5242" s="2" t="s">
        <v>7862</v>
      </c>
      <c r="X5242" s="2" t="s">
        <v>2897</v>
      </c>
      <c r="Y5242" s="2">
        <v>7467</v>
      </c>
      <c r="Z5242" s="19" t="str">
        <f>HYPERLINK("https://ssdweb.co/ssdweb/hd/Vision360.html?d=925801687&amp;zoomslide=1&amp;z=1925801687&amp;ISCONFIRM=0","VIDEO")</f>
        <v>VIDEO</v>
      </c>
      <c r="AA5242" s="19" t="str">
        <f>HYPERLINK("https://ssdweb.co/ssdweb/CERTH/626427501.pdf","CERTI")</f>
        <v>CERTI</v>
      </c>
    </row>
    <row r="5243" spans="1:27" ht="15" x14ac:dyDescent="0.25">
      <c r="A5243" s="2">
        <v>5238</v>
      </c>
      <c r="B5243" s="39">
        <v>926740001</v>
      </c>
      <c r="C5243" s="28" t="str">
        <f>HYPERLINK("https://pld.live/RapDetail.aspx?STONELIST=926740001","DNA")</f>
        <v>DNA</v>
      </c>
      <c r="D5243" s="18" t="s">
        <v>5235</v>
      </c>
      <c r="E5243" s="18" t="s">
        <v>5128</v>
      </c>
      <c r="F5243" s="2" t="s">
        <v>5597</v>
      </c>
      <c r="G5243" s="2" t="s">
        <v>7322</v>
      </c>
      <c r="H5243" s="14">
        <v>1.29</v>
      </c>
      <c r="I5243" s="2" t="s">
        <v>4699</v>
      </c>
      <c r="J5243" s="2" t="s">
        <v>3942</v>
      </c>
      <c r="K5243" s="2" t="s">
        <v>1452</v>
      </c>
      <c r="L5243" s="2" t="s">
        <v>5221</v>
      </c>
      <c r="M5243" s="2" t="s">
        <v>5721</v>
      </c>
      <c r="N5243" s="2" t="s">
        <v>2317</v>
      </c>
      <c r="O5243" s="14">
        <v>6400</v>
      </c>
      <c r="P5243" s="14">
        <v>96.5</v>
      </c>
      <c r="Q5243" s="14">
        <v>224</v>
      </c>
      <c r="R5243" s="14">
        <v>288.95999999999998</v>
      </c>
      <c r="S5243" s="2" t="s">
        <v>1622</v>
      </c>
      <c r="T5243" s="2">
        <v>1.4</v>
      </c>
      <c r="U5243" s="2">
        <v>67.3</v>
      </c>
      <c r="V5243" s="2">
        <v>64</v>
      </c>
      <c r="W5243" s="2" t="s">
        <v>7862</v>
      </c>
      <c r="X5243" s="2" t="s">
        <v>2897</v>
      </c>
      <c r="Y5243" s="2">
        <v>8256</v>
      </c>
      <c r="Z5243" s="19" t="str">
        <f>HYPERLINK("https://ssdweb.co/ssdweb/hd/Vision360.html?d=926740001&amp;zoomslide=1&amp;z=1926740001&amp;ISCONFIRM=0","VIDEO")</f>
        <v>VIDEO</v>
      </c>
      <c r="AA5243" s="19" t="str">
        <f>HYPERLINK("https://ssdweb.co/ssdweb/CERTH/1509260896.pdf","CERTI")</f>
        <v>CERTI</v>
      </c>
    </row>
    <row r="5244" spans="1:27" ht="15" x14ac:dyDescent="0.25">
      <c r="A5244" s="2">
        <v>5239</v>
      </c>
      <c r="B5244" s="39">
        <v>925890668</v>
      </c>
      <c r="C5244" s="28" t="str">
        <f>HYPERLINK("https://pld.live/RapDetail.aspx?STONELIST=925890668","DNA")</f>
        <v>DNA</v>
      </c>
      <c r="D5244" s="18" t="s">
        <v>5235</v>
      </c>
      <c r="E5244" s="18" t="s">
        <v>5128</v>
      </c>
      <c r="F5244" s="2" t="s">
        <v>7987</v>
      </c>
      <c r="G5244" s="2" t="s">
        <v>7322</v>
      </c>
      <c r="H5244" s="14">
        <v>1.28</v>
      </c>
      <c r="I5244" s="2" t="s">
        <v>267</v>
      </c>
      <c r="J5244" s="2" t="s">
        <v>6555</v>
      </c>
      <c r="K5244" s="2" t="s">
        <v>1452</v>
      </c>
      <c r="L5244" s="2" t="s">
        <v>5221</v>
      </c>
      <c r="M5244" s="2" t="s">
        <v>5221</v>
      </c>
      <c r="N5244" s="2" t="s">
        <v>2317</v>
      </c>
      <c r="O5244" s="14">
        <v>8200</v>
      </c>
      <c r="P5244" s="14">
        <v>98.13</v>
      </c>
      <c r="Q5244" s="14">
        <v>153.34</v>
      </c>
      <c r="R5244" s="14">
        <v>196.28</v>
      </c>
      <c r="S5244" s="2" t="s">
        <v>2509</v>
      </c>
      <c r="T5244" s="2">
        <v>1.42</v>
      </c>
      <c r="U5244" s="2">
        <v>67.400000000000006</v>
      </c>
      <c r="V5244" s="2">
        <v>63</v>
      </c>
      <c r="W5244" s="2" t="s">
        <v>7862</v>
      </c>
      <c r="X5244" s="2" t="s">
        <v>2897</v>
      </c>
      <c r="Y5244" s="2">
        <v>10496</v>
      </c>
      <c r="Z5244" s="19" t="str">
        <f>HYPERLINK("https://ssdweb.co/ssdweb/hd/Vision360.html?d=925890668&amp;zoomslide=1&amp;z=1925890668&amp;ISCONFIRM=0","VIDEO")</f>
        <v>VIDEO</v>
      </c>
      <c r="AA5244" s="19" t="str">
        <f>HYPERLINK("https://ssdweb.co/ssdweb/CERTH/629453161.pdf","CERTI")</f>
        <v>CERTI</v>
      </c>
    </row>
    <row r="5245" spans="1:27" ht="15" x14ac:dyDescent="0.25">
      <c r="A5245" s="2">
        <v>5240</v>
      </c>
      <c r="B5245" s="39">
        <v>924930224</v>
      </c>
      <c r="C5245" s="28" t="str">
        <f>HYPERLINK("https://pld.live/RapDetail.aspx?STONELIST=924930224","DNA")</f>
        <v>DNA</v>
      </c>
      <c r="D5245" s="18" t="s">
        <v>5235</v>
      </c>
      <c r="E5245" s="18" t="s">
        <v>2186</v>
      </c>
      <c r="F5245" s="2" t="s">
        <v>7987</v>
      </c>
      <c r="G5245" s="2" t="s">
        <v>7322</v>
      </c>
      <c r="H5245" s="14">
        <v>1.28</v>
      </c>
      <c r="I5245" s="2" t="s">
        <v>1505</v>
      </c>
      <c r="J5245" s="2" t="s">
        <v>13</v>
      </c>
      <c r="K5245" s="2" t="s">
        <v>1452</v>
      </c>
      <c r="L5245" s="2" t="s">
        <v>5221</v>
      </c>
      <c r="M5245" s="2" t="s">
        <v>5221</v>
      </c>
      <c r="N5245" s="2" t="s">
        <v>2317</v>
      </c>
      <c r="O5245" s="14">
        <v>4600</v>
      </c>
      <c r="P5245" s="14">
        <v>97.93</v>
      </c>
      <c r="Q5245" s="14">
        <v>95.22</v>
      </c>
      <c r="R5245" s="14">
        <v>121.88</v>
      </c>
      <c r="S5245" s="2" t="s">
        <v>7745</v>
      </c>
      <c r="T5245" s="2">
        <v>1.45</v>
      </c>
      <c r="U5245" s="2">
        <v>64.5</v>
      </c>
      <c r="V5245" s="2">
        <v>65</v>
      </c>
      <c r="W5245" s="2" t="s">
        <v>7862</v>
      </c>
      <c r="X5245" s="2" t="s">
        <v>2897</v>
      </c>
      <c r="Y5245" s="2">
        <v>5888</v>
      </c>
      <c r="Z5245" s="19" t="str">
        <f>HYPERLINK("https://ssdweb.co/ssdweb/hd/Vision360.html?d=924930224&amp;zoomslide=1&amp;z=1924930224&amp;ISCONFIRM=0","VIDEO")</f>
        <v>VIDEO</v>
      </c>
      <c r="AA5245" s="19" t="str">
        <f>HYPERLINK("https://ssdweb.co/ssdweb/CERTH/604303975.pdf","CERTI")</f>
        <v>CERTI</v>
      </c>
    </row>
    <row r="5246" spans="1:27" ht="15" x14ac:dyDescent="0.25">
      <c r="A5246" s="2">
        <v>5241</v>
      </c>
      <c r="B5246" s="39">
        <v>924290010</v>
      </c>
      <c r="C5246" s="28" t="str">
        <f>HYPERLINK("https://pld.live/RapDetail.aspx?STONELIST=924290010","DNA")</f>
        <v>DNA</v>
      </c>
      <c r="D5246" s="18" t="s">
        <v>5235</v>
      </c>
      <c r="E5246" s="18" t="s">
        <v>2186</v>
      </c>
      <c r="F5246" s="2" t="s">
        <v>7987</v>
      </c>
      <c r="G5246" s="2" t="s">
        <v>7322</v>
      </c>
      <c r="H5246" s="14">
        <v>1.25</v>
      </c>
      <c r="I5246" s="2" t="s">
        <v>6845</v>
      </c>
      <c r="J5246" s="2" t="s">
        <v>5144</v>
      </c>
      <c r="K5246" s="2" t="s">
        <v>1452</v>
      </c>
      <c r="L5246" s="2" t="s">
        <v>5221</v>
      </c>
      <c r="M5246" s="2" t="s">
        <v>5221</v>
      </c>
      <c r="N5246" s="2" t="s">
        <v>2317</v>
      </c>
      <c r="O5246" s="14">
        <v>2100</v>
      </c>
      <c r="P5246" s="14">
        <v>90.95</v>
      </c>
      <c r="Q5246" s="14">
        <v>190.05</v>
      </c>
      <c r="R5246" s="14">
        <v>237.56</v>
      </c>
      <c r="S5246" s="2" t="s">
        <v>615</v>
      </c>
      <c r="T5246" s="2">
        <v>1.4</v>
      </c>
      <c r="U5246" s="2">
        <v>65.5</v>
      </c>
      <c r="V5246" s="2">
        <v>68</v>
      </c>
      <c r="W5246" s="2" t="s">
        <v>7862</v>
      </c>
      <c r="X5246" s="2" t="s">
        <v>2897</v>
      </c>
      <c r="Y5246" s="2">
        <v>2625</v>
      </c>
      <c r="Z5246" s="19" t="str">
        <f>HYPERLINK("https://ssdweb.co/ssdweb/hd/Vision360.html?d=924290010&amp;zoomslide=1&amp;z=1924290010&amp;ISCONFIRM=0","VIDEO")</f>
        <v>VIDEO</v>
      </c>
      <c r="AA5246" s="19" t="str">
        <f>HYPERLINK("https://ssdweb.co/ssdweb/CERTH/588348212.pdf","CERTI")</f>
        <v>CERTI</v>
      </c>
    </row>
    <row r="5247" spans="1:27" ht="15" x14ac:dyDescent="0.25">
      <c r="A5247" s="2">
        <v>5242</v>
      </c>
      <c r="B5247" s="39">
        <v>925940236</v>
      </c>
      <c r="C5247" s="28" t="str">
        <f>HYPERLINK("https://pld.live/RapDetail.aspx?STONELIST=925940236","DNA")</f>
        <v>DNA</v>
      </c>
      <c r="D5247" s="18" t="s">
        <v>5235</v>
      </c>
      <c r="E5247" s="18" t="s">
        <v>5128</v>
      </c>
      <c r="F5247" s="2" t="s">
        <v>7987</v>
      </c>
      <c r="G5247" s="2" t="s">
        <v>7322</v>
      </c>
      <c r="H5247" s="14">
        <v>1.22</v>
      </c>
      <c r="I5247" s="2" t="s">
        <v>4761</v>
      </c>
      <c r="J5247" s="2" t="s">
        <v>5144</v>
      </c>
      <c r="K5247" s="2" t="s">
        <v>1452</v>
      </c>
      <c r="L5247" s="2" t="s">
        <v>5221</v>
      </c>
      <c r="M5247" s="2" t="s">
        <v>5221</v>
      </c>
      <c r="N5247" s="2" t="s">
        <v>2317</v>
      </c>
      <c r="O5247" s="14">
        <v>5400</v>
      </c>
      <c r="P5247" s="14">
        <v>98.06</v>
      </c>
      <c r="Q5247" s="14">
        <v>104.76</v>
      </c>
      <c r="R5247" s="14">
        <v>127.81</v>
      </c>
      <c r="S5247" s="2" t="s">
        <v>2792</v>
      </c>
      <c r="T5247" s="2">
        <v>1.38</v>
      </c>
      <c r="U5247" s="2">
        <v>67.099999999999994</v>
      </c>
      <c r="V5247" s="2">
        <v>61</v>
      </c>
      <c r="W5247" s="2" t="s">
        <v>7862</v>
      </c>
      <c r="X5247" s="2" t="s">
        <v>2897</v>
      </c>
      <c r="Y5247" s="2">
        <v>6588</v>
      </c>
      <c r="Z5247" s="19" t="str">
        <f>HYPERLINK("https://ssdweb.co/ssdweb/hd/Vision360.html?d=925940236&amp;zoomslide=1&amp;z=1925940236&amp;ISCONFIRM=0","VIDEO")</f>
        <v>VIDEO</v>
      </c>
      <c r="AA5247" s="19" t="str">
        <f>HYPERLINK("https://ssdweb.co/ssdweb/CERTH/627497038.pdf","CERTI")</f>
        <v>CERTI</v>
      </c>
    </row>
    <row r="5248" spans="1:27" ht="15" x14ac:dyDescent="0.25">
      <c r="A5248" s="2">
        <v>5243</v>
      </c>
      <c r="B5248" s="39">
        <v>925861430</v>
      </c>
      <c r="C5248" s="28" t="str">
        <f>HYPERLINK("https://pld.live/RapDetail.aspx?STONELIST=925861430","DNA")</f>
        <v>DNA</v>
      </c>
      <c r="D5248" s="18" t="s">
        <v>5235</v>
      </c>
      <c r="E5248" s="18" t="s">
        <v>5128</v>
      </c>
      <c r="F5248" s="2" t="s">
        <v>7987</v>
      </c>
      <c r="G5248" s="2" t="s">
        <v>7322</v>
      </c>
      <c r="H5248" s="14">
        <v>1.21</v>
      </c>
      <c r="I5248" s="2" t="s">
        <v>4699</v>
      </c>
      <c r="J5248" s="2" t="s">
        <v>5144</v>
      </c>
      <c r="K5248" s="2" t="s">
        <v>1452</v>
      </c>
      <c r="L5248" s="2" t="s">
        <v>5221</v>
      </c>
      <c r="M5248" s="2" t="s">
        <v>5221</v>
      </c>
      <c r="N5248" s="2" t="s">
        <v>2317</v>
      </c>
      <c r="O5248" s="14">
        <v>5100</v>
      </c>
      <c r="P5248" s="14">
        <v>98</v>
      </c>
      <c r="Q5248" s="14">
        <v>102</v>
      </c>
      <c r="R5248" s="14">
        <v>123.42</v>
      </c>
      <c r="S5248" s="2" t="s">
        <v>3187</v>
      </c>
      <c r="T5248" s="2">
        <v>1.4</v>
      </c>
      <c r="U5248" s="2">
        <v>67.3</v>
      </c>
      <c r="V5248" s="2">
        <v>66</v>
      </c>
      <c r="W5248" s="2" t="s">
        <v>7862</v>
      </c>
      <c r="X5248" s="2" t="s">
        <v>2897</v>
      </c>
      <c r="Y5248" s="2">
        <v>6171</v>
      </c>
      <c r="Z5248" s="19" t="str">
        <f>HYPERLINK("https://ssdweb.co/ssdweb/hd/Vision360.html?d=925861430&amp;zoomslide=1&amp;z=1925861430&amp;ISCONFIRM=0","VIDEO")</f>
        <v>VIDEO</v>
      </c>
      <c r="AA5248" s="19" t="str">
        <f>HYPERLINK("https://ssdweb.co/ssdweb/CERTH/627497059.pdf","CERTI")</f>
        <v>CERTI</v>
      </c>
    </row>
    <row r="5249" spans="1:27" ht="15" x14ac:dyDescent="0.25">
      <c r="A5249" s="2">
        <v>5244</v>
      </c>
      <c r="B5249" s="39">
        <v>925861646</v>
      </c>
      <c r="C5249" s="28" t="str">
        <f>HYPERLINK("https://pld.live/RapDetail.aspx?STONELIST=925861646","DNA")</f>
        <v>DNA</v>
      </c>
      <c r="D5249" s="18" t="s">
        <v>5235</v>
      </c>
      <c r="E5249" s="18" t="s">
        <v>5128</v>
      </c>
      <c r="F5249" s="2" t="s">
        <v>7987</v>
      </c>
      <c r="G5249" s="2" t="s">
        <v>7322</v>
      </c>
      <c r="H5249" s="14">
        <v>1.2</v>
      </c>
      <c r="I5249" s="2" t="s">
        <v>267</v>
      </c>
      <c r="J5249" s="2" t="s">
        <v>5144</v>
      </c>
      <c r="K5249" s="2" t="s">
        <v>1452</v>
      </c>
      <c r="L5249" s="2" t="s">
        <v>5221</v>
      </c>
      <c r="M5249" s="2" t="s">
        <v>5221</v>
      </c>
      <c r="N5249" s="2" t="s">
        <v>2317</v>
      </c>
      <c r="O5249" s="14">
        <v>5700</v>
      </c>
      <c r="P5249" s="14">
        <v>98.07</v>
      </c>
      <c r="Q5249" s="14">
        <v>110.01</v>
      </c>
      <c r="R5249" s="14">
        <v>132.01</v>
      </c>
      <c r="S5249" s="2" t="s">
        <v>2764</v>
      </c>
      <c r="T5249" s="2">
        <v>1.38</v>
      </c>
      <c r="U5249" s="2">
        <v>67</v>
      </c>
      <c r="V5249" s="2">
        <v>64</v>
      </c>
      <c r="W5249" s="2" t="s">
        <v>7862</v>
      </c>
      <c r="X5249" s="2" t="s">
        <v>2897</v>
      </c>
      <c r="Y5249" s="2">
        <v>6840</v>
      </c>
      <c r="Z5249" s="19" t="str">
        <f>HYPERLINK("https://ssdweb.co/ssdweb/hd/Vision360.html?d=925861646&amp;zoomslide=1&amp;z=1925861646&amp;ISCONFIRM=0","VIDEO")</f>
        <v>VIDEO</v>
      </c>
      <c r="AA5249" s="19" t="str">
        <f>HYPERLINK("https://ssdweb.co/ssdweb/CERTH/627415149.pdf","CERTI")</f>
        <v>CERTI</v>
      </c>
    </row>
    <row r="5250" spans="1:27" ht="15" x14ac:dyDescent="0.25">
      <c r="A5250" s="2">
        <v>5245</v>
      </c>
      <c r="B5250" s="39">
        <v>924260271</v>
      </c>
      <c r="C5250" s="28" t="str">
        <f>HYPERLINK("https://pld.live/RapDetail.aspx?STONELIST=924260271","DNA")</f>
        <v>DNA</v>
      </c>
      <c r="D5250" s="18" t="s">
        <v>3054</v>
      </c>
      <c r="E5250" s="18" t="s">
        <v>2186</v>
      </c>
      <c r="F5250" s="2" t="s">
        <v>7987</v>
      </c>
      <c r="G5250" s="2" t="s">
        <v>7322</v>
      </c>
      <c r="H5250" s="14">
        <v>1.18</v>
      </c>
      <c r="I5250" s="2" t="s">
        <v>4699</v>
      </c>
      <c r="J5250" s="2" t="s">
        <v>13</v>
      </c>
      <c r="K5250" s="2" t="s">
        <v>1452</v>
      </c>
      <c r="L5250" s="2" t="s">
        <v>5221</v>
      </c>
      <c r="M5250" s="2" t="s">
        <v>5221</v>
      </c>
      <c r="N5250" s="2" t="s">
        <v>2317</v>
      </c>
      <c r="O5250" s="14">
        <v>5800</v>
      </c>
      <c r="P5250" s="14">
        <v>98.19</v>
      </c>
      <c r="Q5250" s="14">
        <v>104.98</v>
      </c>
      <c r="R5250" s="14">
        <v>123.88</v>
      </c>
      <c r="S5250" s="2" t="s">
        <v>5212</v>
      </c>
      <c r="T5250" s="2">
        <v>1.45</v>
      </c>
      <c r="U5250" s="2">
        <v>66.900000000000006</v>
      </c>
      <c r="V5250" s="2">
        <v>64</v>
      </c>
      <c r="W5250" s="2" t="s">
        <v>7862</v>
      </c>
      <c r="X5250" s="2" t="s">
        <v>2897</v>
      </c>
      <c r="Y5250" s="2">
        <v>6844</v>
      </c>
      <c r="Z5250" s="19" t="str">
        <f>HYPERLINK("https://ssdweb.co/ssdweb/hd/Vision360.html?d=924260271&amp;zoomslide=1&amp;z=1924260271&amp;ISCONFIRM=0","VIDEO")</f>
        <v>VIDEO</v>
      </c>
      <c r="AA5250" s="19" t="str">
        <f>HYPERLINK("https://ssdweb.co/ssdweb/CERTH/582351776.pdf","CERTI")</f>
        <v>CERTI</v>
      </c>
    </row>
    <row r="5251" spans="1:27" ht="15" x14ac:dyDescent="0.25">
      <c r="A5251" s="2">
        <v>5246</v>
      </c>
      <c r="B5251" s="39">
        <v>924290568</v>
      </c>
      <c r="C5251" s="28" t="str">
        <f>HYPERLINK("https://pld.live/RapDetail.aspx?STONELIST=924290568","DNA")</f>
        <v>DNA</v>
      </c>
      <c r="D5251" s="18" t="s">
        <v>3054</v>
      </c>
      <c r="E5251" s="18" t="s">
        <v>2186</v>
      </c>
      <c r="F5251" s="2" t="s">
        <v>7987</v>
      </c>
      <c r="G5251" s="2" t="s">
        <v>7322</v>
      </c>
      <c r="H5251" s="14">
        <v>1.1499999999999999</v>
      </c>
      <c r="I5251" s="2" t="s">
        <v>1505</v>
      </c>
      <c r="J5251" s="2" t="s">
        <v>13</v>
      </c>
      <c r="K5251" s="2" t="s">
        <v>1452</v>
      </c>
      <c r="L5251" s="2" t="s">
        <v>5221</v>
      </c>
      <c r="M5251" s="2" t="s">
        <v>5221</v>
      </c>
      <c r="N5251" s="2" t="s">
        <v>2317</v>
      </c>
      <c r="O5251" s="14">
        <v>4600</v>
      </c>
      <c r="P5251" s="14">
        <v>97.93</v>
      </c>
      <c r="Q5251" s="14">
        <v>95.22</v>
      </c>
      <c r="R5251" s="14">
        <v>109.5</v>
      </c>
      <c r="S5251" s="2" t="s">
        <v>494</v>
      </c>
      <c r="T5251" s="2">
        <v>1.44</v>
      </c>
      <c r="U5251" s="2">
        <v>66.3</v>
      </c>
      <c r="V5251" s="2">
        <v>65</v>
      </c>
      <c r="W5251" s="2" t="s">
        <v>7862</v>
      </c>
      <c r="X5251" s="2" t="s">
        <v>2897</v>
      </c>
      <c r="Y5251" s="2">
        <v>5290</v>
      </c>
      <c r="Z5251" s="19" t="str">
        <f>HYPERLINK("https://ssdweb.co/ssdweb/hd/Vision360.html?d=924290568&amp;zoomslide=1&amp;z=1924290568&amp;ISCONFIRM=0","VIDEO")</f>
        <v>VIDEO</v>
      </c>
      <c r="AA5251" s="19" t="str">
        <f>HYPERLINK("https://ssdweb.co/ssdweb/CERTH/592361041.pdf","CERTI")</f>
        <v>CERTI</v>
      </c>
    </row>
    <row r="5252" spans="1:27" ht="15" x14ac:dyDescent="0.25">
      <c r="A5252" s="2">
        <v>5247</v>
      </c>
      <c r="B5252" s="39">
        <v>924260566</v>
      </c>
      <c r="C5252" s="28" t="str">
        <f>HYPERLINK("https://pld.live/RapDetail.aspx?STONELIST=924260566","DNA")</f>
        <v>DNA</v>
      </c>
      <c r="D5252" s="18" t="s">
        <v>3054</v>
      </c>
      <c r="E5252" s="18" t="s">
        <v>2186</v>
      </c>
      <c r="F5252" s="2" t="s">
        <v>7987</v>
      </c>
      <c r="G5252" s="2" t="s">
        <v>7322</v>
      </c>
      <c r="H5252" s="14">
        <v>1.1399999999999999</v>
      </c>
      <c r="I5252" s="2" t="s">
        <v>4761</v>
      </c>
      <c r="J5252" s="2" t="s">
        <v>3942</v>
      </c>
      <c r="K5252" s="2" t="s">
        <v>1452</v>
      </c>
      <c r="L5252" s="2" t="s">
        <v>5221</v>
      </c>
      <c r="M5252" s="2" t="s">
        <v>5221</v>
      </c>
      <c r="N5252" s="2" t="s">
        <v>2317</v>
      </c>
      <c r="O5252" s="14">
        <v>6900</v>
      </c>
      <c r="P5252" s="14">
        <v>98.38</v>
      </c>
      <c r="Q5252" s="14">
        <v>111.78</v>
      </c>
      <c r="R5252" s="14">
        <v>127.43</v>
      </c>
      <c r="S5252" s="2" t="s">
        <v>3771</v>
      </c>
      <c r="T5252" s="2">
        <v>1.41</v>
      </c>
      <c r="U5252" s="2">
        <v>67.8</v>
      </c>
      <c r="V5252" s="2">
        <v>65</v>
      </c>
      <c r="W5252" s="2" t="s">
        <v>7862</v>
      </c>
      <c r="X5252" s="2" t="s">
        <v>2897</v>
      </c>
      <c r="Y5252" s="2">
        <v>7866</v>
      </c>
      <c r="Z5252" s="19" t="str">
        <f>HYPERLINK("https://ssdweb.co/ssdweb/hd/Vision360.html?d=924260566&amp;zoomslide=1&amp;z=1924260566&amp;ISCONFIRM=0","VIDEO")</f>
        <v>VIDEO</v>
      </c>
      <c r="AA5252" s="19" t="str">
        <f>HYPERLINK("https://ssdweb.co/ssdweb/CERTH/583308767.pdf","CERTI")</f>
        <v>CERTI</v>
      </c>
    </row>
    <row r="5253" spans="1:27" ht="15" x14ac:dyDescent="0.25">
      <c r="A5253" s="2">
        <v>5248</v>
      </c>
      <c r="B5253" s="39">
        <v>925220141</v>
      </c>
      <c r="C5253" s="28" t="str">
        <f>HYPERLINK("https://pld.live/RapDetail.aspx?STONELIST=925220141","DNA")</f>
        <v>DNA</v>
      </c>
      <c r="D5253" s="18" t="s">
        <v>3054</v>
      </c>
      <c r="E5253" s="18" t="s">
        <v>5128</v>
      </c>
      <c r="F5253" s="2" t="s">
        <v>5597</v>
      </c>
      <c r="G5253" s="2" t="s">
        <v>7322</v>
      </c>
      <c r="H5253" s="14">
        <v>1.1299999999999999</v>
      </c>
      <c r="I5253" s="2" t="s">
        <v>4761</v>
      </c>
      <c r="J5253" s="2" t="s">
        <v>5144</v>
      </c>
      <c r="K5253" s="2" t="s">
        <v>1452</v>
      </c>
      <c r="L5253" s="2" t="s">
        <v>5221</v>
      </c>
      <c r="M5253" s="2" t="s">
        <v>5221</v>
      </c>
      <c r="N5253" s="2" t="s">
        <v>2317</v>
      </c>
      <c r="O5253" s="14">
        <v>5400</v>
      </c>
      <c r="P5253" s="14">
        <v>96.52</v>
      </c>
      <c r="Q5253" s="14">
        <v>187.92</v>
      </c>
      <c r="R5253" s="14">
        <v>212.35</v>
      </c>
      <c r="S5253" s="2" t="s">
        <v>2711</v>
      </c>
      <c r="T5253" s="2">
        <v>1.41</v>
      </c>
      <c r="U5253" s="2">
        <v>66.400000000000006</v>
      </c>
      <c r="V5253" s="2">
        <v>66</v>
      </c>
      <c r="W5253" s="2" t="s">
        <v>7862</v>
      </c>
      <c r="X5253" s="2" t="s">
        <v>2897</v>
      </c>
      <c r="Y5253" s="2">
        <v>6102</v>
      </c>
      <c r="Z5253" s="19" t="str">
        <f>HYPERLINK("https://ssdweb.co/ssdweb/hd/Vision360.html?d=925220141&amp;zoomslide=1&amp;z=1925220141&amp;ISCONFIRM=0","VIDEO")</f>
        <v>VIDEO</v>
      </c>
      <c r="AA5253" s="19" t="str">
        <f>HYPERLINK("https://ssdweb.co/ssdweb/CERTH/1488199046.pdf","CERTI")</f>
        <v>CERTI</v>
      </c>
    </row>
    <row r="5254" spans="1:27" ht="15" x14ac:dyDescent="0.25">
      <c r="A5254" s="2">
        <v>5249</v>
      </c>
      <c r="B5254" s="39">
        <v>924290335</v>
      </c>
      <c r="C5254" s="28" t="str">
        <f>HYPERLINK("https://pld.live/RapDetail.aspx?STONELIST=924290335","DNA")</f>
        <v>DNA</v>
      </c>
      <c r="D5254" s="18" t="s">
        <v>3054</v>
      </c>
      <c r="E5254" s="18" t="s">
        <v>2186</v>
      </c>
      <c r="F5254" s="2" t="s">
        <v>7987</v>
      </c>
      <c r="G5254" s="2" t="s">
        <v>7322</v>
      </c>
      <c r="H5254" s="14">
        <v>1.1299999999999999</v>
      </c>
      <c r="I5254" s="2" t="s">
        <v>1505</v>
      </c>
      <c r="J5254" s="2" t="s">
        <v>13</v>
      </c>
      <c r="K5254" s="2" t="s">
        <v>1452</v>
      </c>
      <c r="L5254" s="2" t="s">
        <v>5221</v>
      </c>
      <c r="M5254" s="2" t="s">
        <v>5221</v>
      </c>
      <c r="N5254" s="2" t="s">
        <v>2317</v>
      </c>
      <c r="O5254" s="14">
        <v>4600</v>
      </c>
      <c r="P5254" s="14">
        <v>97.93</v>
      </c>
      <c r="Q5254" s="14">
        <v>95.22</v>
      </c>
      <c r="R5254" s="14">
        <v>107.6</v>
      </c>
      <c r="S5254" s="2" t="s">
        <v>7746</v>
      </c>
      <c r="T5254" s="2">
        <v>1.46</v>
      </c>
      <c r="U5254" s="2">
        <v>67.099999999999994</v>
      </c>
      <c r="V5254" s="2">
        <v>64</v>
      </c>
      <c r="W5254" s="2" t="s">
        <v>7862</v>
      </c>
      <c r="X5254" s="2" t="s">
        <v>2897</v>
      </c>
      <c r="Y5254" s="2">
        <v>5198</v>
      </c>
      <c r="Z5254" s="19" t="str">
        <f>HYPERLINK("https://ssdweb.co/ssdweb/hd/Vision360.html?d=924290335&amp;zoomslide=1&amp;z=1924290335&amp;ISCONFIRM=0","VIDEO")</f>
        <v>VIDEO</v>
      </c>
      <c r="AA5254" s="19" t="str">
        <f>HYPERLINK("https://ssdweb.co/ssdweb/CERTH/589393820.pdf","CERTI")</f>
        <v>CERTI</v>
      </c>
    </row>
    <row r="5255" spans="1:27" ht="15" x14ac:dyDescent="0.25">
      <c r="A5255" s="2">
        <v>5250</v>
      </c>
      <c r="B5255" s="39">
        <v>923570848</v>
      </c>
      <c r="C5255" s="28" t="str">
        <f>HYPERLINK("https://pld.live/RapDetail.aspx?STONELIST=923570848","DNA")</f>
        <v>DNA</v>
      </c>
      <c r="D5255" s="18" t="s">
        <v>3054</v>
      </c>
      <c r="E5255" s="18" t="s">
        <v>5128</v>
      </c>
      <c r="F5255" s="2" t="s">
        <v>7987</v>
      </c>
      <c r="G5255" s="2" t="s">
        <v>7322</v>
      </c>
      <c r="H5255" s="14">
        <v>1.1200000000000001</v>
      </c>
      <c r="I5255" s="2" t="s">
        <v>267</v>
      </c>
      <c r="J5255" s="2" t="s">
        <v>444</v>
      </c>
      <c r="K5255" s="2" t="s">
        <v>1452</v>
      </c>
      <c r="L5255" s="2" t="s">
        <v>5221</v>
      </c>
      <c r="M5255" s="2" t="s">
        <v>5221</v>
      </c>
      <c r="N5255" s="2" t="s">
        <v>2317</v>
      </c>
      <c r="O5255" s="14">
        <v>4600</v>
      </c>
      <c r="P5255" s="14">
        <v>97.8</v>
      </c>
      <c r="Q5255" s="14">
        <v>101.2</v>
      </c>
      <c r="R5255" s="14">
        <v>113.34</v>
      </c>
      <c r="S5255" s="2" t="s">
        <v>1165</v>
      </c>
      <c r="T5255" s="2">
        <v>1.46</v>
      </c>
      <c r="U5255" s="2">
        <v>67.3</v>
      </c>
      <c r="V5255" s="2">
        <v>64.5</v>
      </c>
      <c r="W5255" s="2" t="s">
        <v>7862</v>
      </c>
      <c r="X5255" s="2" t="s">
        <v>2897</v>
      </c>
      <c r="Y5255" s="2">
        <v>5152</v>
      </c>
      <c r="Z5255" s="19" t="str">
        <f>HYPERLINK("https://ssdweb.co/ssdweb/hd/Vision360.html?d=923570848&amp;zoomslide=1&amp;z=1923570848&amp;ISCONFIRM=0","VIDEO")</f>
        <v>VIDEO</v>
      </c>
      <c r="AA5255" s="19" t="str">
        <f>HYPERLINK("https://ssdweb.co/ssdweb/CERTH/559285126.pdf","CERTI")</f>
        <v>CERTI</v>
      </c>
    </row>
    <row r="5256" spans="1:27" ht="15" x14ac:dyDescent="0.25">
      <c r="A5256" s="2">
        <v>5251</v>
      </c>
      <c r="B5256" s="39">
        <v>924260796</v>
      </c>
      <c r="C5256" s="28" t="str">
        <f>HYPERLINK("https://pld.live/RapDetail.aspx?STONELIST=924260796","DNA")</f>
        <v>DNA</v>
      </c>
      <c r="D5256" s="18" t="s">
        <v>3054</v>
      </c>
      <c r="E5256" s="18" t="s">
        <v>2186</v>
      </c>
      <c r="F5256" s="2" t="s">
        <v>7987</v>
      </c>
      <c r="G5256" s="2" t="s">
        <v>7322</v>
      </c>
      <c r="H5256" s="14">
        <v>1.1200000000000001</v>
      </c>
      <c r="I5256" s="2" t="s">
        <v>6587</v>
      </c>
      <c r="J5256" s="2" t="s">
        <v>3942</v>
      </c>
      <c r="K5256" s="2" t="s">
        <v>1452</v>
      </c>
      <c r="L5256" s="2" t="s">
        <v>5221</v>
      </c>
      <c r="M5256" s="2" t="s">
        <v>5221</v>
      </c>
      <c r="N5256" s="2" t="s">
        <v>2317</v>
      </c>
      <c r="O5256" s="14">
        <v>5800</v>
      </c>
      <c r="P5256" s="14">
        <v>98.21</v>
      </c>
      <c r="Q5256" s="14">
        <v>103.82</v>
      </c>
      <c r="R5256" s="14">
        <v>116.28</v>
      </c>
      <c r="S5256" s="2" t="s">
        <v>4537</v>
      </c>
      <c r="T5256" s="2">
        <v>1.57</v>
      </c>
      <c r="U5256" s="2">
        <v>66.5</v>
      </c>
      <c r="V5256" s="2">
        <v>68</v>
      </c>
      <c r="W5256" s="2" t="s">
        <v>7862</v>
      </c>
      <c r="X5256" s="2" t="s">
        <v>2897</v>
      </c>
      <c r="Y5256" s="2">
        <v>6496</v>
      </c>
      <c r="Z5256" s="19" t="str">
        <f>HYPERLINK("https://ssdweb.co/ssdweb/hd/Vision360.html?d=924260796&amp;zoomslide=1&amp;z=1924260796&amp;ISCONFIRM=0","VIDEO")</f>
        <v>VIDEO</v>
      </c>
      <c r="AA5256" s="19" t="str">
        <f>HYPERLINK("https://ssdweb.co/ssdweb/CERTH/583303927.pdf","CERTI")</f>
        <v>CERTI</v>
      </c>
    </row>
    <row r="5257" spans="1:27" ht="15" x14ac:dyDescent="0.25">
      <c r="A5257" s="2">
        <v>5252</v>
      </c>
      <c r="B5257" s="39">
        <v>925830623</v>
      </c>
      <c r="C5257" s="28" t="str">
        <f>HYPERLINK("https://pld.live/RapDetail.aspx?STONELIST=925830623","DNA")</f>
        <v>DNA</v>
      </c>
      <c r="D5257" s="18" t="s">
        <v>3054</v>
      </c>
      <c r="E5257" s="18" t="s">
        <v>5128</v>
      </c>
      <c r="F5257" s="2" t="s">
        <v>7987</v>
      </c>
      <c r="G5257" s="2" t="s">
        <v>7322</v>
      </c>
      <c r="H5257" s="14">
        <v>1.1100000000000001</v>
      </c>
      <c r="I5257" s="2" t="s">
        <v>4761</v>
      </c>
      <c r="J5257" s="2" t="s">
        <v>6555</v>
      </c>
      <c r="K5257" s="2" t="s">
        <v>1452</v>
      </c>
      <c r="L5257" s="2" t="s">
        <v>5221</v>
      </c>
      <c r="M5257" s="2" t="s">
        <v>5221</v>
      </c>
      <c r="N5257" s="2" t="s">
        <v>2317</v>
      </c>
      <c r="O5257" s="14">
        <v>7500</v>
      </c>
      <c r="P5257" s="14">
        <v>98.39</v>
      </c>
      <c r="Q5257" s="14">
        <v>120.75</v>
      </c>
      <c r="R5257" s="14">
        <v>134.03</v>
      </c>
      <c r="S5257" s="2" t="s">
        <v>1086</v>
      </c>
      <c r="T5257" s="2">
        <v>1.4</v>
      </c>
      <c r="U5257" s="2">
        <v>66.5</v>
      </c>
      <c r="V5257" s="2">
        <v>63</v>
      </c>
      <c r="W5257" s="2" t="s">
        <v>7862</v>
      </c>
      <c r="X5257" s="2" t="s">
        <v>2897</v>
      </c>
      <c r="Y5257" s="2">
        <v>8325</v>
      </c>
      <c r="Z5257" s="19" t="str">
        <f>HYPERLINK("https://ssdweb.co/ssdweb/hd/Vision360.html?d=925830623&amp;zoomslide=1&amp;z=1925830623&amp;ISCONFIRM=0","VIDEO")</f>
        <v>VIDEO</v>
      </c>
      <c r="AA5257" s="19" t="str">
        <f>HYPERLINK("https://ssdweb.co/ssdweb/CERTH/626499249.pdf","CERTI")</f>
        <v>CERTI</v>
      </c>
    </row>
    <row r="5258" spans="1:27" ht="15" x14ac:dyDescent="0.25">
      <c r="A5258" s="2">
        <v>5253</v>
      </c>
      <c r="B5258" s="39">
        <v>926110692</v>
      </c>
      <c r="C5258" s="28" t="str">
        <f>HYPERLINK("https://pld.live/RapDetail.aspx?STONELIST=926110692","DNA")</f>
        <v>DNA</v>
      </c>
      <c r="D5258" s="18" t="s">
        <v>3054</v>
      </c>
      <c r="E5258" s="18" t="s">
        <v>5128</v>
      </c>
      <c r="F5258" s="2" t="s">
        <v>7987</v>
      </c>
      <c r="G5258" s="2" t="s">
        <v>7322</v>
      </c>
      <c r="H5258" s="14">
        <v>1.1100000000000001</v>
      </c>
      <c r="I5258" s="2" t="s">
        <v>4761</v>
      </c>
      <c r="J5258" s="2" t="s">
        <v>6555</v>
      </c>
      <c r="K5258" s="2" t="s">
        <v>1452</v>
      </c>
      <c r="L5258" s="2" t="s">
        <v>5221</v>
      </c>
      <c r="M5258" s="2" t="s">
        <v>5221</v>
      </c>
      <c r="N5258" s="2" t="s">
        <v>2317</v>
      </c>
      <c r="O5258" s="14">
        <v>7500</v>
      </c>
      <c r="P5258" s="14">
        <v>98.36</v>
      </c>
      <c r="Q5258" s="14">
        <v>123</v>
      </c>
      <c r="R5258" s="14">
        <v>136.53</v>
      </c>
      <c r="S5258" s="2" t="s">
        <v>3031</v>
      </c>
      <c r="T5258" s="2">
        <v>1.42</v>
      </c>
      <c r="U5258" s="2">
        <v>64.7</v>
      </c>
      <c r="V5258" s="2">
        <v>59</v>
      </c>
      <c r="W5258" s="2" t="s">
        <v>7862</v>
      </c>
      <c r="X5258" s="2" t="s">
        <v>2897</v>
      </c>
      <c r="Y5258" s="2">
        <v>8325</v>
      </c>
      <c r="Z5258" s="19" t="str">
        <f>HYPERLINK("https://ssdweb.co/ssdweb/hd/Vision360.html?d=926110692&amp;zoomslide=1&amp;z=1926110692&amp;ISCONFIRM=0","VIDEO")</f>
        <v>VIDEO</v>
      </c>
      <c r="AA5258" s="19" t="str">
        <f>HYPERLINK("https://ssdweb.co/ssdweb/CERTH/632404747.pdf","CERTI")</f>
        <v>CERTI</v>
      </c>
    </row>
    <row r="5259" spans="1:27" ht="15" x14ac:dyDescent="0.25">
      <c r="A5259" s="2">
        <v>5254</v>
      </c>
      <c r="B5259" s="39">
        <v>926291262</v>
      </c>
      <c r="C5259" s="28" t="str">
        <f>HYPERLINK("https://pld.live/RapDetail.aspx?STONELIST=926291262","DNA")</f>
        <v>DNA</v>
      </c>
      <c r="D5259" s="18" t="s">
        <v>3054</v>
      </c>
      <c r="E5259" s="18" t="s">
        <v>5128</v>
      </c>
      <c r="F5259" s="2" t="s">
        <v>7987</v>
      </c>
      <c r="G5259" s="2" t="s">
        <v>7322</v>
      </c>
      <c r="H5259" s="14">
        <v>1.1100000000000001</v>
      </c>
      <c r="I5259" s="2" t="s">
        <v>4761</v>
      </c>
      <c r="J5259" s="2" t="s">
        <v>3942</v>
      </c>
      <c r="K5259" s="2" t="s">
        <v>1452</v>
      </c>
      <c r="L5259" s="2" t="s">
        <v>5221</v>
      </c>
      <c r="M5259" s="2" t="s">
        <v>5221</v>
      </c>
      <c r="N5259" s="2" t="s">
        <v>2317</v>
      </c>
      <c r="O5259" s="14">
        <v>6900</v>
      </c>
      <c r="P5259" s="14">
        <v>98.35</v>
      </c>
      <c r="Q5259" s="14">
        <v>113.85</v>
      </c>
      <c r="R5259" s="14">
        <v>126.37</v>
      </c>
      <c r="S5259" s="2" t="s">
        <v>3671</v>
      </c>
      <c r="T5259" s="2">
        <v>1.36</v>
      </c>
      <c r="U5259" s="2">
        <v>68</v>
      </c>
      <c r="V5259" s="2">
        <v>67</v>
      </c>
      <c r="W5259" s="2" t="s">
        <v>7862</v>
      </c>
      <c r="X5259" s="2" t="s">
        <v>2897</v>
      </c>
      <c r="Y5259" s="2">
        <v>7659</v>
      </c>
      <c r="Z5259" s="19" t="str">
        <f>HYPERLINK("https://ssdweb.co/ssdweb/hd/Vision360.html?d=926291262&amp;zoomslide=1&amp;z=1926291262&amp;ISCONFIRM=0","VIDEO")</f>
        <v>VIDEO</v>
      </c>
      <c r="AA5259" s="19" t="str">
        <f>HYPERLINK("https://ssdweb.co/ssdweb/CERTH/638463160.pdf","CERTI")</f>
        <v>CERTI</v>
      </c>
    </row>
    <row r="5260" spans="1:27" ht="15" x14ac:dyDescent="0.25">
      <c r="A5260" s="2">
        <v>5255</v>
      </c>
      <c r="B5260" s="39">
        <v>831010161</v>
      </c>
      <c r="C5260" s="28" t="str">
        <f>HYPERLINK("https://pld.live/RapDetail.aspx?STONELIST=831010161","DNA")</f>
        <v>DNA</v>
      </c>
      <c r="D5260" s="18" t="s">
        <v>3054</v>
      </c>
      <c r="E5260" s="18" t="s">
        <v>5128</v>
      </c>
      <c r="F5260" s="2" t="s">
        <v>7987</v>
      </c>
      <c r="G5260" s="2" t="s">
        <v>7322</v>
      </c>
      <c r="H5260" s="14">
        <v>1.1100000000000001</v>
      </c>
      <c r="I5260" s="2" t="s">
        <v>4761</v>
      </c>
      <c r="J5260" s="2" t="s">
        <v>5144</v>
      </c>
      <c r="K5260" s="2" t="s">
        <v>1452</v>
      </c>
      <c r="L5260" s="2" t="s">
        <v>5221</v>
      </c>
      <c r="M5260" s="2" t="s">
        <v>5221</v>
      </c>
      <c r="N5260" s="2" t="s">
        <v>2317</v>
      </c>
      <c r="O5260" s="14">
        <v>5400</v>
      </c>
      <c r="P5260" s="14">
        <v>98.09</v>
      </c>
      <c r="Q5260" s="14">
        <v>103.14</v>
      </c>
      <c r="R5260" s="14">
        <v>114.49</v>
      </c>
      <c r="S5260" s="2" t="s">
        <v>3887</v>
      </c>
      <c r="T5260" s="2">
        <v>1.42</v>
      </c>
      <c r="U5260" s="2">
        <v>68</v>
      </c>
      <c r="V5260" s="2">
        <v>64.5</v>
      </c>
      <c r="W5260" s="2" t="s">
        <v>7862</v>
      </c>
      <c r="X5260" s="2" t="s">
        <v>2897</v>
      </c>
      <c r="Y5260" s="2">
        <v>5994</v>
      </c>
      <c r="Z5260" s="19" t="str">
        <f>HYPERLINK("https://ssdweb.co/ssdweb/hd/Vision360.html?d=831010161&amp;zoomslide=1&amp;z=1831010161&amp;ISCONFIRM=0","VIDEO")</f>
        <v>VIDEO</v>
      </c>
      <c r="AA5260" s="19" t="str">
        <f>HYPERLINK("https://ssdweb.co/ssdweb/CERTH/547261998.pdf","CERTI")</f>
        <v>CERTI</v>
      </c>
    </row>
    <row r="5261" spans="1:27" ht="15" x14ac:dyDescent="0.25">
      <c r="A5261" s="2">
        <v>5256</v>
      </c>
      <c r="B5261" s="39">
        <v>924350707</v>
      </c>
      <c r="C5261" s="28" t="str">
        <f>HYPERLINK("https://pld.live/RapDetail.aspx?STONELIST=924350707","DNA")</f>
        <v>DNA</v>
      </c>
      <c r="D5261" s="18" t="s">
        <v>3054</v>
      </c>
      <c r="E5261" s="18" t="s">
        <v>2186</v>
      </c>
      <c r="F5261" s="2" t="s">
        <v>7987</v>
      </c>
      <c r="G5261" s="2" t="s">
        <v>7322</v>
      </c>
      <c r="H5261" s="14">
        <v>1.1100000000000001</v>
      </c>
      <c r="I5261" s="2" t="s">
        <v>4699</v>
      </c>
      <c r="J5261" s="2" t="s">
        <v>13</v>
      </c>
      <c r="K5261" s="2" t="s">
        <v>1452</v>
      </c>
      <c r="L5261" s="2" t="s">
        <v>5221</v>
      </c>
      <c r="M5261" s="2" t="s">
        <v>5221</v>
      </c>
      <c r="N5261" s="2" t="s">
        <v>2317</v>
      </c>
      <c r="O5261" s="14">
        <v>5800</v>
      </c>
      <c r="P5261" s="14">
        <v>98.19</v>
      </c>
      <c r="Q5261" s="14">
        <v>104.98</v>
      </c>
      <c r="R5261" s="14">
        <v>116.53</v>
      </c>
      <c r="S5261" s="2" t="s">
        <v>1850</v>
      </c>
      <c r="T5261" s="2">
        <v>1.46</v>
      </c>
      <c r="U5261" s="2">
        <v>64.900000000000006</v>
      </c>
      <c r="V5261" s="2">
        <v>64</v>
      </c>
      <c r="W5261" s="2" t="s">
        <v>7862</v>
      </c>
      <c r="X5261" s="2" t="s">
        <v>2897</v>
      </c>
      <c r="Y5261" s="2">
        <v>6438</v>
      </c>
      <c r="Z5261" s="19" t="str">
        <f>HYPERLINK("https://ssdweb.co/ssdweb/hd/Vision360.html?d=924350707&amp;zoomslide=1&amp;z=1924350707&amp;ISCONFIRM=0","VIDEO")</f>
        <v>VIDEO</v>
      </c>
      <c r="AA5261" s="19" t="str">
        <f>HYPERLINK("https://ssdweb.co/ssdweb/CERTH/594319658.pdf","CERTI")</f>
        <v>CERTI</v>
      </c>
    </row>
    <row r="5262" spans="1:27" ht="15" x14ac:dyDescent="0.25">
      <c r="A5262" s="2">
        <v>5257</v>
      </c>
      <c r="B5262" s="39">
        <v>925940390</v>
      </c>
      <c r="C5262" s="28" t="str">
        <f>HYPERLINK("https://pld.live/RapDetail.aspx?STONELIST=925940390","DNA")</f>
        <v>DNA</v>
      </c>
      <c r="D5262" s="18" t="s">
        <v>3054</v>
      </c>
      <c r="E5262" s="18" t="s">
        <v>5128</v>
      </c>
      <c r="F5262" s="2" t="s">
        <v>7987</v>
      </c>
      <c r="G5262" s="2" t="s">
        <v>7322</v>
      </c>
      <c r="H5262" s="14">
        <v>1.1000000000000001</v>
      </c>
      <c r="I5262" s="2" t="s">
        <v>267</v>
      </c>
      <c r="J5262" s="2" t="s">
        <v>13</v>
      </c>
      <c r="K5262" s="2" t="s">
        <v>1452</v>
      </c>
      <c r="L5262" s="2" t="s">
        <v>5221</v>
      </c>
      <c r="M5262" s="2" t="s">
        <v>5221</v>
      </c>
      <c r="N5262" s="2" t="s">
        <v>2317</v>
      </c>
      <c r="O5262" s="14">
        <v>6700</v>
      </c>
      <c r="P5262" s="14">
        <v>98.34</v>
      </c>
      <c r="Q5262" s="14">
        <v>111.22</v>
      </c>
      <c r="R5262" s="14">
        <v>122.34</v>
      </c>
      <c r="S5262" s="2" t="s">
        <v>4714</v>
      </c>
      <c r="T5262" s="2">
        <v>1.41</v>
      </c>
      <c r="U5262" s="2">
        <v>67.400000000000006</v>
      </c>
      <c r="V5262" s="2">
        <v>62</v>
      </c>
      <c r="W5262" s="2" t="s">
        <v>7862</v>
      </c>
      <c r="X5262" s="2" t="s">
        <v>2897</v>
      </c>
      <c r="Y5262" s="2">
        <v>7370</v>
      </c>
      <c r="Z5262" s="19" t="str">
        <f>HYPERLINK("https://ssdweb.co/ssdweb/hd/Vision360.html?d=925940390&amp;zoomslide=1&amp;z=1925940390&amp;ISCONFIRM=0","VIDEO")</f>
        <v>VIDEO</v>
      </c>
      <c r="AA5262" s="19" t="str">
        <f>HYPERLINK("https://ssdweb.co/ssdweb/CERTH/628463031.pdf","CERTI")</f>
        <v>CERTI</v>
      </c>
    </row>
    <row r="5263" spans="1:27" ht="15" x14ac:dyDescent="0.25">
      <c r="A5263" s="2">
        <v>5258</v>
      </c>
      <c r="B5263" s="39">
        <v>926110161</v>
      </c>
      <c r="C5263" s="28" t="str">
        <f>HYPERLINK("https://pld.live/RapDetail.aspx?STONELIST=926110161","DNA")</f>
        <v>DNA</v>
      </c>
      <c r="D5263" s="18" t="s">
        <v>3054</v>
      </c>
      <c r="E5263" s="18" t="s">
        <v>5128</v>
      </c>
      <c r="F5263" s="2" t="s">
        <v>7987</v>
      </c>
      <c r="G5263" s="2" t="s">
        <v>7322</v>
      </c>
      <c r="H5263" s="14">
        <v>1.1000000000000001</v>
      </c>
      <c r="I5263" s="2" t="s">
        <v>267</v>
      </c>
      <c r="J5263" s="2" t="s">
        <v>13</v>
      </c>
      <c r="K5263" s="2" t="s">
        <v>1452</v>
      </c>
      <c r="L5263" s="2" t="s">
        <v>5221</v>
      </c>
      <c r="M5263" s="2" t="s">
        <v>5221</v>
      </c>
      <c r="N5263" s="2" t="s">
        <v>2317</v>
      </c>
      <c r="O5263" s="14">
        <v>6700</v>
      </c>
      <c r="P5263" s="14">
        <v>98.31</v>
      </c>
      <c r="Q5263" s="14">
        <v>113.23</v>
      </c>
      <c r="R5263" s="14">
        <v>124.55</v>
      </c>
      <c r="S5263" s="2" t="s">
        <v>2730</v>
      </c>
      <c r="T5263" s="2">
        <v>1.37</v>
      </c>
      <c r="U5263" s="2">
        <v>67.400000000000006</v>
      </c>
      <c r="V5263" s="2">
        <v>63</v>
      </c>
      <c r="W5263" s="2" t="s">
        <v>7862</v>
      </c>
      <c r="X5263" s="2" t="s">
        <v>2897</v>
      </c>
      <c r="Y5263" s="2">
        <v>7370</v>
      </c>
      <c r="Z5263" s="19" t="str">
        <f>HYPERLINK("https://ssdweb.co/ssdweb/hd/Vision360.html?d=926110161&amp;zoomslide=1&amp;z=1926110161&amp;ISCONFIRM=0","VIDEO")</f>
        <v>VIDEO</v>
      </c>
      <c r="AA5263" s="19" t="str">
        <f>HYPERLINK("https://ssdweb.co/ssdweb/CERTH/632488280.pdf","CERTI")</f>
        <v>CERTI</v>
      </c>
    </row>
    <row r="5264" spans="1:27" ht="15" x14ac:dyDescent="0.25">
      <c r="A5264" s="2">
        <v>5259</v>
      </c>
      <c r="B5264" s="39">
        <v>925980773</v>
      </c>
      <c r="C5264" s="28" t="str">
        <f>HYPERLINK("https://pld.live/RapDetail.aspx?STONELIST=925980773","DNA")</f>
        <v>DNA</v>
      </c>
      <c r="D5264" s="18" t="s">
        <v>3054</v>
      </c>
      <c r="E5264" s="18" t="s">
        <v>5128</v>
      </c>
      <c r="F5264" s="2" t="s">
        <v>7987</v>
      </c>
      <c r="G5264" s="2" t="s">
        <v>7322</v>
      </c>
      <c r="H5264" s="14">
        <v>1.1000000000000001</v>
      </c>
      <c r="I5264" s="2" t="s">
        <v>267</v>
      </c>
      <c r="J5264" s="2" t="s">
        <v>5144</v>
      </c>
      <c r="K5264" s="2" t="s">
        <v>1452</v>
      </c>
      <c r="L5264" s="2" t="s">
        <v>5221</v>
      </c>
      <c r="M5264" s="2" t="s">
        <v>5221</v>
      </c>
      <c r="N5264" s="2" t="s">
        <v>2317</v>
      </c>
      <c r="O5264" s="14">
        <v>5700</v>
      </c>
      <c r="P5264" s="14">
        <v>98.09</v>
      </c>
      <c r="Q5264" s="14">
        <v>108.87</v>
      </c>
      <c r="R5264" s="14">
        <v>119.76</v>
      </c>
      <c r="S5264" s="2" t="s">
        <v>8057</v>
      </c>
      <c r="T5264" s="2">
        <v>1.4</v>
      </c>
      <c r="U5264" s="2">
        <v>65</v>
      </c>
      <c r="V5264" s="2">
        <v>65</v>
      </c>
      <c r="W5264" s="2" t="s">
        <v>7862</v>
      </c>
      <c r="X5264" s="2" t="s">
        <v>2897</v>
      </c>
      <c r="Y5264" s="2">
        <v>6270</v>
      </c>
      <c r="Z5264" s="19" t="str">
        <f>HYPERLINK("https://ssdweb.co/ssdweb/hd/Vision360.html?d=925980773&amp;zoomslide=1&amp;z=1925980773&amp;ISCONFIRM=0","VIDEO")</f>
        <v>VIDEO</v>
      </c>
      <c r="AA5264" s="19" t="str">
        <f>HYPERLINK("https://ssdweb.co/ssdweb/CERTH/629453426.pdf","CERTI")</f>
        <v>CERTI</v>
      </c>
    </row>
    <row r="5265" spans="1:27" ht="15" x14ac:dyDescent="0.25">
      <c r="A5265" s="2">
        <v>5260</v>
      </c>
      <c r="B5265" s="39">
        <v>926110718</v>
      </c>
      <c r="C5265" s="28" t="str">
        <f>HYPERLINK("https://pld.live/RapDetail.aspx?STONELIST=926110718","DNA")</f>
        <v>DNA</v>
      </c>
      <c r="D5265" s="18" t="s">
        <v>3054</v>
      </c>
      <c r="E5265" s="18" t="s">
        <v>5128</v>
      </c>
      <c r="F5265" s="2" t="s">
        <v>7987</v>
      </c>
      <c r="G5265" s="2" t="s">
        <v>7322</v>
      </c>
      <c r="H5265" s="14">
        <v>1.1000000000000001</v>
      </c>
      <c r="I5265" s="2" t="s">
        <v>4761</v>
      </c>
      <c r="J5265" s="2" t="s">
        <v>3942</v>
      </c>
      <c r="K5265" s="2" t="s">
        <v>1452</v>
      </c>
      <c r="L5265" s="2" t="s">
        <v>5221</v>
      </c>
      <c r="M5265" s="2" t="s">
        <v>5221</v>
      </c>
      <c r="N5265" s="2" t="s">
        <v>2317</v>
      </c>
      <c r="O5265" s="14">
        <v>6900</v>
      </c>
      <c r="P5265" s="14">
        <v>98.35</v>
      </c>
      <c r="Q5265" s="14">
        <v>113.85</v>
      </c>
      <c r="R5265" s="14">
        <v>125.24</v>
      </c>
      <c r="S5265" s="2" t="s">
        <v>5291</v>
      </c>
      <c r="T5265" s="2">
        <v>1.36</v>
      </c>
      <c r="U5265" s="2">
        <v>67.7</v>
      </c>
      <c r="V5265" s="2">
        <v>63</v>
      </c>
      <c r="W5265" s="2" t="s">
        <v>7862</v>
      </c>
      <c r="X5265" s="2" t="s">
        <v>2897</v>
      </c>
      <c r="Y5265" s="2">
        <v>7590</v>
      </c>
      <c r="Z5265" s="19" t="str">
        <f>HYPERLINK("https://ssdweb.co/ssdweb/hd/Vision360.html?d=926110718&amp;zoomslide=1&amp;z=1926110718&amp;ISCONFIRM=0","VIDEO")</f>
        <v>VIDEO</v>
      </c>
      <c r="AA5265" s="19" t="str">
        <f>HYPERLINK("https://ssdweb.co/ssdweb/CERTH/632421537.pdf","CERTI")</f>
        <v>CERTI</v>
      </c>
    </row>
    <row r="5266" spans="1:27" ht="15" x14ac:dyDescent="0.25">
      <c r="A5266" s="2">
        <v>5261</v>
      </c>
      <c r="B5266" s="39">
        <v>925170186</v>
      </c>
      <c r="C5266" s="28" t="str">
        <f>HYPERLINK("https://pld.live/RapDetail.aspx?STONELIST=925170186","DNA")</f>
        <v>DNA</v>
      </c>
      <c r="D5266" s="18" t="s">
        <v>3054</v>
      </c>
      <c r="E5266" s="18" t="s">
        <v>5128</v>
      </c>
      <c r="F5266" s="2" t="s">
        <v>5597</v>
      </c>
      <c r="G5266" s="2" t="s">
        <v>7322</v>
      </c>
      <c r="H5266" s="14">
        <v>1.1000000000000001</v>
      </c>
      <c r="I5266" s="2" t="s">
        <v>4699</v>
      </c>
      <c r="J5266" s="2" t="s">
        <v>5144</v>
      </c>
      <c r="K5266" s="2" t="s">
        <v>1452</v>
      </c>
      <c r="L5266" s="2" t="s">
        <v>5221</v>
      </c>
      <c r="M5266" s="2" t="s">
        <v>5221</v>
      </c>
      <c r="N5266" s="2" t="s">
        <v>2317</v>
      </c>
      <c r="O5266" s="14">
        <v>5100</v>
      </c>
      <c r="P5266" s="14">
        <v>96.41</v>
      </c>
      <c r="Q5266" s="14">
        <v>183.09</v>
      </c>
      <c r="R5266" s="14">
        <v>201.4</v>
      </c>
      <c r="S5266" s="2" t="s">
        <v>1917</v>
      </c>
      <c r="T5266" s="2">
        <v>1.44</v>
      </c>
      <c r="U5266" s="2">
        <v>65.7</v>
      </c>
      <c r="V5266" s="2">
        <v>66</v>
      </c>
      <c r="W5266" s="2" t="s">
        <v>7862</v>
      </c>
      <c r="X5266" s="2" t="s">
        <v>2897</v>
      </c>
      <c r="Y5266" s="2">
        <v>5610</v>
      </c>
      <c r="Z5266" s="19" t="str">
        <f>HYPERLINK("https://ssdweb.co/ssdweb/hd/Vision360.html?d=925170186&amp;zoomslide=1&amp;z=1925170186&amp;ISCONFIRM=0","VIDEO")</f>
        <v>VIDEO</v>
      </c>
      <c r="AA5266" s="19" t="str">
        <f>HYPERLINK("https://ssdweb.co/ssdweb/CERTH/2486199060.pdf","CERTI")</f>
        <v>CERTI</v>
      </c>
    </row>
    <row r="5267" spans="1:27" ht="15" x14ac:dyDescent="0.25">
      <c r="A5267" s="2">
        <v>5262</v>
      </c>
      <c r="B5267" s="39">
        <v>926210568</v>
      </c>
      <c r="C5267" s="28" t="str">
        <f>HYPERLINK("https://pld.live/RapDetail.aspx?STONELIST=926210568","DNA")</f>
        <v>DNA</v>
      </c>
      <c r="D5267" s="18" t="s">
        <v>3054</v>
      </c>
      <c r="E5267" s="18" t="s">
        <v>5128</v>
      </c>
      <c r="F5267" s="2" t="s">
        <v>7987</v>
      </c>
      <c r="G5267" s="2" t="s">
        <v>7322</v>
      </c>
      <c r="H5267" s="14">
        <v>1.0900000000000001</v>
      </c>
      <c r="I5267" s="2" t="s">
        <v>4761</v>
      </c>
      <c r="J5267" s="2" t="s">
        <v>6555</v>
      </c>
      <c r="K5267" s="2" t="s">
        <v>1452</v>
      </c>
      <c r="L5267" s="2" t="s">
        <v>5221</v>
      </c>
      <c r="M5267" s="2" t="s">
        <v>5221</v>
      </c>
      <c r="N5267" s="2" t="s">
        <v>2317</v>
      </c>
      <c r="O5267" s="14">
        <v>7500</v>
      </c>
      <c r="P5267" s="14">
        <v>98.36</v>
      </c>
      <c r="Q5267" s="14">
        <v>123</v>
      </c>
      <c r="R5267" s="14">
        <v>134.07</v>
      </c>
      <c r="S5267" s="2" t="s">
        <v>4345</v>
      </c>
      <c r="T5267" s="2">
        <v>1.38</v>
      </c>
      <c r="U5267" s="2">
        <v>68</v>
      </c>
      <c r="V5267" s="2">
        <v>67</v>
      </c>
      <c r="W5267" s="2" t="s">
        <v>7862</v>
      </c>
      <c r="X5267" s="2" t="s">
        <v>2897</v>
      </c>
      <c r="Y5267" s="2">
        <v>8175</v>
      </c>
      <c r="Z5267" s="19" t="str">
        <f>HYPERLINK("https://ssdweb.co/ssdweb/hd/Vision360.html?d=926210568&amp;zoomslide=1&amp;z=1926210568&amp;ISCONFIRM=0","VIDEO")</f>
        <v>VIDEO</v>
      </c>
      <c r="AA5267" s="19" t="str">
        <f>HYPERLINK("https://ssdweb.co/ssdweb/CERTH/634431526.pdf","CERTI")</f>
        <v>CERTI</v>
      </c>
    </row>
    <row r="5268" spans="1:27" ht="15" x14ac:dyDescent="0.25">
      <c r="A5268" s="2">
        <v>5263</v>
      </c>
      <c r="B5268" s="39">
        <v>926291311</v>
      </c>
      <c r="C5268" s="28" t="str">
        <f>HYPERLINK("https://pld.live/RapDetail.aspx?STONELIST=926291311","DNA")</f>
        <v>DNA</v>
      </c>
      <c r="D5268" s="18" t="s">
        <v>3054</v>
      </c>
      <c r="E5268" s="18" t="s">
        <v>5128</v>
      </c>
      <c r="F5268" s="2" t="s">
        <v>7987</v>
      </c>
      <c r="G5268" s="2" t="s">
        <v>7322</v>
      </c>
      <c r="H5268" s="14">
        <v>1.0900000000000001</v>
      </c>
      <c r="I5268" s="2" t="s">
        <v>4761</v>
      </c>
      <c r="J5268" s="2" t="s">
        <v>6555</v>
      </c>
      <c r="K5268" s="2" t="s">
        <v>1452</v>
      </c>
      <c r="L5268" s="2" t="s">
        <v>5221</v>
      </c>
      <c r="M5268" s="2" t="s">
        <v>5221</v>
      </c>
      <c r="N5268" s="2" t="s">
        <v>2317</v>
      </c>
      <c r="O5268" s="14">
        <v>7500</v>
      </c>
      <c r="P5268" s="14">
        <v>98.35</v>
      </c>
      <c r="Q5268" s="14">
        <v>123.75</v>
      </c>
      <c r="R5268" s="14">
        <v>134.88999999999999</v>
      </c>
      <c r="S5268" s="2" t="s">
        <v>2347</v>
      </c>
      <c r="T5268" s="2">
        <v>1.37</v>
      </c>
      <c r="U5268" s="2">
        <v>65.599999999999994</v>
      </c>
      <c r="V5268" s="2">
        <v>60</v>
      </c>
      <c r="W5268" s="2" t="s">
        <v>7862</v>
      </c>
      <c r="X5268" s="2" t="s">
        <v>2897</v>
      </c>
      <c r="Y5268" s="2">
        <v>8175</v>
      </c>
      <c r="Z5268" s="19" t="str">
        <f>HYPERLINK("https://ssdweb.co/ssdweb/hd/Vision360.html?d=926291311&amp;zoomslide=1&amp;z=1926291311&amp;ISCONFIRM=0","VIDEO")</f>
        <v>VIDEO</v>
      </c>
      <c r="AA5268" s="19" t="str">
        <f>HYPERLINK("https://ssdweb.co/ssdweb/CERTH/656485735.pdf","CERTI")</f>
        <v>CERTI</v>
      </c>
    </row>
    <row r="5269" spans="1:27" ht="15" x14ac:dyDescent="0.25">
      <c r="A5269" s="2">
        <v>5264</v>
      </c>
      <c r="B5269" s="39">
        <v>924930264</v>
      </c>
      <c r="C5269" s="28" t="str">
        <f>HYPERLINK("https://pld.live/RapDetail.aspx?STONELIST=924930264","DNA")</f>
        <v>DNA</v>
      </c>
      <c r="D5269" s="18" t="s">
        <v>3054</v>
      </c>
      <c r="E5269" s="18" t="s">
        <v>2186</v>
      </c>
      <c r="F5269" s="2" t="s">
        <v>7987</v>
      </c>
      <c r="G5269" s="2" t="s">
        <v>7322</v>
      </c>
      <c r="H5269" s="14">
        <v>1.0900000000000001</v>
      </c>
      <c r="I5269" s="2" t="s">
        <v>1505</v>
      </c>
      <c r="J5269" s="2" t="s">
        <v>13</v>
      </c>
      <c r="K5269" s="2" t="s">
        <v>1452</v>
      </c>
      <c r="L5269" s="2" t="s">
        <v>5221</v>
      </c>
      <c r="M5269" s="2" t="s">
        <v>5221</v>
      </c>
      <c r="N5269" s="2" t="s">
        <v>2317</v>
      </c>
      <c r="O5269" s="14">
        <v>4600</v>
      </c>
      <c r="P5269" s="14">
        <v>97.93</v>
      </c>
      <c r="Q5269" s="14">
        <v>95.22</v>
      </c>
      <c r="R5269" s="14">
        <v>103.79</v>
      </c>
      <c r="S5269" s="2" t="s">
        <v>4957</v>
      </c>
      <c r="T5269" s="2">
        <v>1.42</v>
      </c>
      <c r="U5269" s="2">
        <v>64.400000000000006</v>
      </c>
      <c r="V5269" s="2">
        <v>64</v>
      </c>
      <c r="W5269" s="2" t="s">
        <v>7862</v>
      </c>
      <c r="X5269" s="2" t="s">
        <v>2897</v>
      </c>
      <c r="Y5269" s="2">
        <v>5014</v>
      </c>
      <c r="Z5269" s="19" t="str">
        <f>HYPERLINK("https://ssdweb.co/ssdweb/hd/Vision360.html?d=924930264&amp;zoomslide=1&amp;z=1924930264&amp;ISCONFIRM=0","VIDEO")</f>
        <v>VIDEO</v>
      </c>
      <c r="AA5269" s="19" t="str">
        <f>HYPERLINK("https://ssdweb.co/ssdweb/CERTH/605355686.pdf","CERTI")</f>
        <v>CERTI</v>
      </c>
    </row>
    <row r="5270" spans="1:27" ht="15" x14ac:dyDescent="0.25">
      <c r="A5270" s="2">
        <v>5265</v>
      </c>
      <c r="B5270" s="39">
        <v>925630347</v>
      </c>
      <c r="C5270" s="28" t="str">
        <f>HYPERLINK("https://pld.live/RapDetail.aspx?STONELIST=925630347","DNA")</f>
        <v>DNA</v>
      </c>
      <c r="D5270" s="18" t="s">
        <v>3054</v>
      </c>
      <c r="E5270" s="18" t="s">
        <v>2186</v>
      </c>
      <c r="F5270" s="2" t="s">
        <v>7987</v>
      </c>
      <c r="G5270" s="2" t="s">
        <v>7322</v>
      </c>
      <c r="H5270" s="14">
        <v>1.0900000000000001</v>
      </c>
      <c r="I5270" s="2" t="s">
        <v>1505</v>
      </c>
      <c r="J5270" s="2" t="s">
        <v>13</v>
      </c>
      <c r="K5270" s="2" t="s">
        <v>1452</v>
      </c>
      <c r="L5270" s="2" t="s">
        <v>5221</v>
      </c>
      <c r="M5270" s="2" t="s">
        <v>5221</v>
      </c>
      <c r="N5270" s="2" t="s">
        <v>2317</v>
      </c>
      <c r="O5270" s="14">
        <v>4600</v>
      </c>
      <c r="P5270" s="14">
        <v>97.96</v>
      </c>
      <c r="Q5270" s="14">
        <v>93.84</v>
      </c>
      <c r="R5270" s="14">
        <v>102.29</v>
      </c>
      <c r="S5270" s="2" t="s">
        <v>6993</v>
      </c>
      <c r="T5270" s="2">
        <v>1.46</v>
      </c>
      <c r="U5270" s="2">
        <v>66.900000000000006</v>
      </c>
      <c r="V5270" s="2">
        <v>66</v>
      </c>
      <c r="W5270" s="2" t="s">
        <v>8016</v>
      </c>
      <c r="X5270" s="2" t="s">
        <v>2897</v>
      </c>
      <c r="Y5270" s="2">
        <v>5014</v>
      </c>
      <c r="Z5270" s="19" t="str">
        <f>HYPERLINK("https://ssdweb.co/ssdweb/hd/Vision360.html?d=925630347&amp;zoomslide=1&amp;z=1925630347&amp;ISCONFIRM=0","VIDEO")</f>
        <v>VIDEO</v>
      </c>
      <c r="AA5270" s="19" t="str">
        <f>HYPERLINK("https://ssdweb.co/ssdweb/CERTH/623412575.pdf","CERTI")</f>
        <v>CERTI</v>
      </c>
    </row>
    <row r="5271" spans="1:27" ht="15" x14ac:dyDescent="0.25">
      <c r="A5271" s="2">
        <v>5266</v>
      </c>
      <c r="B5271" s="39">
        <v>926210602</v>
      </c>
      <c r="C5271" s="28" t="str">
        <f>HYPERLINK("https://pld.live/RapDetail.aspx?STONELIST=926210602","DNA")</f>
        <v>DNA</v>
      </c>
      <c r="D5271" s="18" t="s">
        <v>3054</v>
      </c>
      <c r="E5271" s="18" t="s">
        <v>5128</v>
      </c>
      <c r="F5271" s="2" t="s">
        <v>7987</v>
      </c>
      <c r="G5271" s="2" t="s">
        <v>7322</v>
      </c>
      <c r="H5271" s="14">
        <v>1.08</v>
      </c>
      <c r="I5271" s="2" t="s">
        <v>267</v>
      </c>
      <c r="J5271" s="2" t="s">
        <v>3942</v>
      </c>
      <c r="K5271" s="2" t="s">
        <v>1452</v>
      </c>
      <c r="L5271" s="2" t="s">
        <v>5221</v>
      </c>
      <c r="M5271" s="2" t="s">
        <v>5221</v>
      </c>
      <c r="N5271" s="2" t="s">
        <v>2317</v>
      </c>
      <c r="O5271" s="14">
        <v>7600</v>
      </c>
      <c r="P5271" s="14">
        <v>98.47</v>
      </c>
      <c r="Q5271" s="14">
        <v>116.28</v>
      </c>
      <c r="R5271" s="14">
        <v>125.58</v>
      </c>
      <c r="S5271" s="2" t="s">
        <v>1421</v>
      </c>
      <c r="T5271" s="2">
        <v>1.37</v>
      </c>
      <c r="U5271" s="2">
        <v>67.400000000000006</v>
      </c>
      <c r="V5271" s="2">
        <v>63</v>
      </c>
      <c r="W5271" s="2" t="s">
        <v>7862</v>
      </c>
      <c r="X5271" s="2" t="s">
        <v>2897</v>
      </c>
      <c r="Y5271" s="2">
        <v>8208</v>
      </c>
      <c r="Z5271" s="19" t="str">
        <f>HYPERLINK("https://ssdweb.co/ssdweb/hd/Vision360.html?d=926210602&amp;zoomslide=1&amp;z=1926210602&amp;ISCONFIRM=0","VIDEO")</f>
        <v>VIDEO</v>
      </c>
      <c r="AA5271" s="19" t="str">
        <f>HYPERLINK("https://ssdweb.co/ssdweb/CERTH/635423927.pdf","CERTI")</f>
        <v>CERTI</v>
      </c>
    </row>
    <row r="5272" spans="1:27" ht="15" x14ac:dyDescent="0.25">
      <c r="A5272" s="2">
        <v>5267</v>
      </c>
      <c r="B5272" s="39">
        <v>926210622</v>
      </c>
      <c r="C5272" s="28" t="str">
        <f>HYPERLINK("https://pld.live/RapDetail.aspx?STONELIST=926210622","DNA")</f>
        <v>DNA</v>
      </c>
      <c r="D5272" s="18" t="s">
        <v>3054</v>
      </c>
      <c r="E5272" s="18" t="s">
        <v>5128</v>
      </c>
      <c r="F5272" s="2" t="s">
        <v>7987</v>
      </c>
      <c r="G5272" s="2" t="s">
        <v>7322</v>
      </c>
      <c r="H5272" s="14">
        <v>1.08</v>
      </c>
      <c r="I5272" s="2" t="s">
        <v>4761</v>
      </c>
      <c r="J5272" s="2" t="s">
        <v>13</v>
      </c>
      <c r="K5272" s="2" t="s">
        <v>1452</v>
      </c>
      <c r="L5272" s="2" t="s">
        <v>5221</v>
      </c>
      <c r="M5272" s="2" t="s">
        <v>5221</v>
      </c>
      <c r="N5272" s="2" t="s">
        <v>2317</v>
      </c>
      <c r="O5272" s="14">
        <v>6200</v>
      </c>
      <c r="P5272" s="14">
        <v>98.21</v>
      </c>
      <c r="Q5272" s="14">
        <v>110.98</v>
      </c>
      <c r="R5272" s="14">
        <v>119.86</v>
      </c>
      <c r="S5272" s="2" t="s">
        <v>8058</v>
      </c>
      <c r="T5272" s="2">
        <v>1.37</v>
      </c>
      <c r="U5272" s="2">
        <v>64.3</v>
      </c>
      <c r="V5272" s="2">
        <v>69</v>
      </c>
      <c r="W5272" s="2" t="s">
        <v>7862</v>
      </c>
      <c r="X5272" s="2" t="s">
        <v>2897</v>
      </c>
      <c r="Y5272" s="2">
        <v>6696</v>
      </c>
      <c r="Z5272" s="19" t="str">
        <f>HYPERLINK("https://ssdweb.co/ssdweb/hd/Vision360.html?d=926210622&amp;zoomslide=1&amp;z=1926210622&amp;ISCONFIRM=0","VIDEO")</f>
        <v>VIDEO</v>
      </c>
      <c r="AA5272" s="19" t="str">
        <f>HYPERLINK("https://ssdweb.co/ssdweb/CERTH/635423949.pdf","CERTI")</f>
        <v>CERTI</v>
      </c>
    </row>
    <row r="5273" spans="1:27" ht="15" x14ac:dyDescent="0.25">
      <c r="A5273" s="2">
        <v>5268</v>
      </c>
      <c r="B5273" s="39">
        <v>831020479</v>
      </c>
      <c r="C5273" s="28" t="str">
        <f>HYPERLINK("https://pld.live/RapDetail.aspx?STONELIST=831020479","DNA")</f>
        <v>DNA</v>
      </c>
      <c r="D5273" s="18" t="s">
        <v>3054</v>
      </c>
      <c r="E5273" s="18" t="s">
        <v>2186</v>
      </c>
      <c r="F5273" s="2" t="s">
        <v>7987</v>
      </c>
      <c r="G5273" s="2" t="s">
        <v>7322</v>
      </c>
      <c r="H5273" s="14">
        <v>1.08</v>
      </c>
      <c r="I5273" s="2" t="s">
        <v>6587</v>
      </c>
      <c r="J5273" s="2" t="s">
        <v>13</v>
      </c>
      <c r="K5273" s="2" t="s">
        <v>1452</v>
      </c>
      <c r="L5273" s="2" t="s">
        <v>5221</v>
      </c>
      <c r="M5273" s="2" t="s">
        <v>5221</v>
      </c>
      <c r="N5273" s="2" t="s">
        <v>2317</v>
      </c>
      <c r="O5273" s="14">
        <v>5400</v>
      </c>
      <c r="P5273" s="14">
        <v>98.15</v>
      </c>
      <c r="Q5273" s="14">
        <v>99.9</v>
      </c>
      <c r="R5273" s="14">
        <v>107.89</v>
      </c>
      <c r="S5273" s="2" t="s">
        <v>3402</v>
      </c>
      <c r="T5273" s="2">
        <v>1.57</v>
      </c>
      <c r="U5273" s="2">
        <v>64.900000000000006</v>
      </c>
      <c r="V5273" s="2">
        <v>65</v>
      </c>
      <c r="W5273" s="2" t="s">
        <v>8016</v>
      </c>
      <c r="X5273" s="2" t="s">
        <v>2897</v>
      </c>
      <c r="Y5273" s="2">
        <v>5832</v>
      </c>
      <c r="Z5273" s="19" t="str">
        <f>HYPERLINK("https://ssdweb.co/ssdweb/hd/Vision360.html?d=831020479&amp;zoomslide=1&amp;z=1831020479&amp;ISCONFIRM=0","VIDEO")</f>
        <v>VIDEO</v>
      </c>
      <c r="AA5273" s="19" t="str">
        <f>HYPERLINK("https://ssdweb.co/ssdweb/CERTH/588342395.pdf","CERTI")</f>
        <v>CERTI</v>
      </c>
    </row>
    <row r="5274" spans="1:27" ht="15" x14ac:dyDescent="0.25">
      <c r="A5274" s="2">
        <v>5269</v>
      </c>
      <c r="B5274" s="39">
        <v>926171084</v>
      </c>
      <c r="C5274" s="28" t="str">
        <f>HYPERLINK("https://pld.live/RapDetail.aspx?STONELIST=926171084","DNA")</f>
        <v>DNA</v>
      </c>
      <c r="D5274" s="18" t="s">
        <v>3054</v>
      </c>
      <c r="E5274" s="18" t="s">
        <v>5128</v>
      </c>
      <c r="F5274" s="2" t="s">
        <v>7987</v>
      </c>
      <c r="G5274" s="2" t="s">
        <v>7322</v>
      </c>
      <c r="H5274" s="14">
        <v>1.07</v>
      </c>
      <c r="I5274" s="2" t="s">
        <v>267</v>
      </c>
      <c r="J5274" s="2" t="s">
        <v>6555</v>
      </c>
      <c r="K5274" s="2" t="s">
        <v>1452</v>
      </c>
      <c r="L5274" s="2" t="s">
        <v>5221</v>
      </c>
      <c r="M5274" s="2" t="s">
        <v>5221</v>
      </c>
      <c r="N5274" s="2" t="s">
        <v>2317</v>
      </c>
      <c r="O5274" s="14">
        <v>8200</v>
      </c>
      <c r="P5274" s="14">
        <v>98.44</v>
      </c>
      <c r="Q5274" s="14">
        <v>127.92</v>
      </c>
      <c r="R5274" s="14">
        <v>136.87</v>
      </c>
      <c r="S5274" s="2" t="s">
        <v>7710</v>
      </c>
      <c r="T5274" s="2">
        <v>1.46</v>
      </c>
      <c r="U5274" s="2">
        <v>64.8</v>
      </c>
      <c r="V5274" s="2">
        <v>67</v>
      </c>
      <c r="W5274" s="2" t="s">
        <v>7862</v>
      </c>
      <c r="X5274" s="2" t="s">
        <v>2897</v>
      </c>
      <c r="Y5274" s="2">
        <v>8774</v>
      </c>
      <c r="Z5274" s="19" t="str">
        <f>HYPERLINK("https://ssdweb.co/ssdweb/hd/Vision360.html?d=926171084&amp;zoomslide=1&amp;z=1926171084&amp;ISCONFIRM=0","VIDEO")</f>
        <v>VIDEO</v>
      </c>
      <c r="AA5274" s="19" t="str">
        <f>HYPERLINK("https://ssdweb.co/ssdweb/CERTH/634472368.pdf","CERTI")</f>
        <v>CERTI</v>
      </c>
    </row>
    <row r="5275" spans="1:27" ht="15" x14ac:dyDescent="0.25">
      <c r="A5275" s="2">
        <v>5270</v>
      </c>
      <c r="B5275" s="39">
        <v>926110874</v>
      </c>
      <c r="C5275" s="28" t="str">
        <f>HYPERLINK("https://pld.live/RapDetail.aspx?STONELIST=926110874","DNA")</f>
        <v>DNA</v>
      </c>
      <c r="D5275" s="18" t="s">
        <v>3054</v>
      </c>
      <c r="E5275" s="18" t="s">
        <v>5128</v>
      </c>
      <c r="F5275" s="2" t="s">
        <v>7987</v>
      </c>
      <c r="G5275" s="2" t="s">
        <v>7322</v>
      </c>
      <c r="H5275" s="14">
        <v>1.07</v>
      </c>
      <c r="I5275" s="2" t="s">
        <v>267</v>
      </c>
      <c r="J5275" s="2" t="s">
        <v>6555</v>
      </c>
      <c r="K5275" s="2" t="s">
        <v>1452</v>
      </c>
      <c r="L5275" s="2" t="s">
        <v>5221</v>
      </c>
      <c r="M5275" s="2" t="s">
        <v>5221</v>
      </c>
      <c r="N5275" s="2" t="s">
        <v>2317</v>
      </c>
      <c r="O5275" s="14">
        <v>8200</v>
      </c>
      <c r="P5275" s="14">
        <v>98.44</v>
      </c>
      <c r="Q5275" s="14">
        <v>127.92</v>
      </c>
      <c r="R5275" s="14">
        <v>136.87</v>
      </c>
      <c r="S5275" s="2" t="s">
        <v>6907</v>
      </c>
      <c r="T5275" s="2">
        <v>1.41</v>
      </c>
      <c r="U5275" s="2">
        <v>65.2</v>
      </c>
      <c r="V5275" s="2">
        <v>64</v>
      </c>
      <c r="W5275" s="2" t="s">
        <v>7862</v>
      </c>
      <c r="X5275" s="2" t="s">
        <v>2897</v>
      </c>
      <c r="Y5275" s="2">
        <v>8774</v>
      </c>
      <c r="Z5275" s="19" t="str">
        <f>HYPERLINK("https://ssdweb.co/ssdweb/hd/Vision360.html?d=926110874&amp;zoomslide=1&amp;z=1926110874&amp;ISCONFIRM=0","VIDEO")</f>
        <v>VIDEO</v>
      </c>
      <c r="AA5275" s="19" t="str">
        <f>HYPERLINK("https://ssdweb.co/ssdweb/CERTH/632449615.pdf","CERTI")</f>
        <v>CERTI</v>
      </c>
    </row>
    <row r="5276" spans="1:27" ht="15" x14ac:dyDescent="0.25">
      <c r="A5276" s="2">
        <v>5271</v>
      </c>
      <c r="B5276" s="39">
        <v>926291349</v>
      </c>
      <c r="C5276" s="28" t="str">
        <f>HYPERLINK("https://pld.live/RapDetail.aspx?STONELIST=926291349","DNA")</f>
        <v>DNA</v>
      </c>
      <c r="D5276" s="18" t="s">
        <v>3054</v>
      </c>
      <c r="E5276" s="18" t="s">
        <v>5128</v>
      </c>
      <c r="F5276" s="2" t="s">
        <v>7987</v>
      </c>
      <c r="G5276" s="2" t="s">
        <v>7322</v>
      </c>
      <c r="H5276" s="14">
        <v>1.07</v>
      </c>
      <c r="I5276" s="2" t="s">
        <v>4761</v>
      </c>
      <c r="J5276" s="2" t="s">
        <v>3942</v>
      </c>
      <c r="K5276" s="2" t="s">
        <v>1452</v>
      </c>
      <c r="L5276" s="2" t="s">
        <v>5221</v>
      </c>
      <c r="M5276" s="2" t="s">
        <v>5221</v>
      </c>
      <c r="N5276" s="2" t="s">
        <v>2317</v>
      </c>
      <c r="O5276" s="14">
        <v>6900</v>
      </c>
      <c r="P5276" s="14">
        <v>98.33</v>
      </c>
      <c r="Q5276" s="14">
        <v>115.23</v>
      </c>
      <c r="R5276" s="14">
        <v>123.3</v>
      </c>
      <c r="S5276" s="2" t="s">
        <v>7139</v>
      </c>
      <c r="T5276" s="2">
        <v>1.41</v>
      </c>
      <c r="U5276" s="2">
        <v>64.900000000000006</v>
      </c>
      <c r="V5276" s="2">
        <v>65</v>
      </c>
      <c r="W5276" s="2" t="s">
        <v>7862</v>
      </c>
      <c r="X5276" s="2" t="s">
        <v>2897</v>
      </c>
      <c r="Y5276" s="2">
        <v>7383</v>
      </c>
      <c r="Z5276" s="19" t="str">
        <f>HYPERLINK("https://ssdweb.co/ssdweb/hd/Vision360.html?d=926291349&amp;zoomslide=1&amp;z=1926291349&amp;ISCONFIRM=0","VIDEO")</f>
        <v>VIDEO</v>
      </c>
      <c r="AA5276" s="19" t="str">
        <f>HYPERLINK("https://ssdweb.co/ssdweb/CERTH/656485767.pdf","CERTI")</f>
        <v>CERTI</v>
      </c>
    </row>
    <row r="5277" spans="1:27" ht="15" x14ac:dyDescent="0.25">
      <c r="A5277" s="2">
        <v>5272</v>
      </c>
      <c r="B5277" s="39">
        <v>926110696</v>
      </c>
      <c r="C5277" s="28" t="str">
        <f>HYPERLINK("https://pld.live/RapDetail.aspx?STONELIST=926110696","DNA")</f>
        <v>DNA</v>
      </c>
      <c r="D5277" s="18" t="s">
        <v>3054</v>
      </c>
      <c r="E5277" s="18" t="s">
        <v>5128</v>
      </c>
      <c r="F5277" s="2" t="s">
        <v>7987</v>
      </c>
      <c r="G5277" s="2" t="s">
        <v>7322</v>
      </c>
      <c r="H5277" s="14">
        <v>1.07</v>
      </c>
      <c r="I5277" s="2" t="s">
        <v>4761</v>
      </c>
      <c r="J5277" s="2" t="s">
        <v>3942</v>
      </c>
      <c r="K5277" s="2" t="s">
        <v>1452</v>
      </c>
      <c r="L5277" s="2" t="s">
        <v>5221</v>
      </c>
      <c r="M5277" s="2" t="s">
        <v>5221</v>
      </c>
      <c r="N5277" s="2" t="s">
        <v>2317</v>
      </c>
      <c r="O5277" s="14">
        <v>6900</v>
      </c>
      <c r="P5277" s="14">
        <v>98.35</v>
      </c>
      <c r="Q5277" s="14">
        <v>113.85</v>
      </c>
      <c r="R5277" s="14">
        <v>121.82</v>
      </c>
      <c r="S5277" s="2" t="s">
        <v>2165</v>
      </c>
      <c r="T5277" s="2">
        <v>1.36</v>
      </c>
      <c r="U5277" s="2">
        <v>66.900000000000006</v>
      </c>
      <c r="V5277" s="2">
        <v>69</v>
      </c>
      <c r="W5277" s="2" t="s">
        <v>7862</v>
      </c>
      <c r="X5277" s="2" t="s">
        <v>2897</v>
      </c>
      <c r="Y5277" s="2">
        <v>7383</v>
      </c>
      <c r="Z5277" s="19" t="str">
        <f>HYPERLINK("https://ssdweb.co/ssdweb/hd/Vision360.html?d=926110696&amp;zoomslide=1&amp;z=1926110696&amp;ISCONFIRM=0","VIDEO")</f>
        <v>VIDEO</v>
      </c>
      <c r="AA5277" s="19" t="str">
        <f>HYPERLINK("https://ssdweb.co/ssdweb/CERTH/632403932.pdf","CERTI")</f>
        <v>CERTI</v>
      </c>
    </row>
    <row r="5278" spans="1:27" ht="15" x14ac:dyDescent="0.25">
      <c r="A5278" s="2">
        <v>5273</v>
      </c>
      <c r="B5278" s="39">
        <v>831020265</v>
      </c>
      <c r="C5278" s="28" t="str">
        <f>HYPERLINK("https://pld.live/RapDetail.aspx?STONELIST=831020265","DNA")</f>
        <v>DNA</v>
      </c>
      <c r="D5278" s="18" t="s">
        <v>3054</v>
      </c>
      <c r="E5278" s="18" t="s">
        <v>2186</v>
      </c>
      <c r="F5278" s="2" t="s">
        <v>7987</v>
      </c>
      <c r="G5278" s="2" t="s">
        <v>7322</v>
      </c>
      <c r="H5278" s="14">
        <v>1.07</v>
      </c>
      <c r="I5278" s="2" t="s">
        <v>6587</v>
      </c>
      <c r="J5278" s="2" t="s">
        <v>3942</v>
      </c>
      <c r="K5278" s="2" t="s">
        <v>1452</v>
      </c>
      <c r="L5278" s="2" t="s">
        <v>5221</v>
      </c>
      <c r="M5278" s="2" t="s">
        <v>5221</v>
      </c>
      <c r="N5278" s="2" t="s">
        <v>2317</v>
      </c>
      <c r="O5278" s="14">
        <v>5800</v>
      </c>
      <c r="P5278" s="14">
        <v>98.21</v>
      </c>
      <c r="Q5278" s="14">
        <v>103.82</v>
      </c>
      <c r="R5278" s="14">
        <v>111.09</v>
      </c>
      <c r="S5278" s="2" t="s">
        <v>1307</v>
      </c>
      <c r="T5278" s="2">
        <v>1.57</v>
      </c>
      <c r="U5278" s="2">
        <v>64.099999999999994</v>
      </c>
      <c r="V5278" s="2">
        <v>66</v>
      </c>
      <c r="W5278" s="2" t="s">
        <v>7862</v>
      </c>
      <c r="X5278" s="2" t="s">
        <v>2897</v>
      </c>
      <c r="Y5278" s="2">
        <v>6206</v>
      </c>
      <c r="Z5278" s="19" t="str">
        <f>HYPERLINK("https://ssdweb.co/ssdweb/hd/Vision360.html?d=831020265&amp;zoomslide=1&amp;z=1831020265&amp;ISCONFIRM=0","VIDEO")</f>
        <v>VIDEO</v>
      </c>
      <c r="AA5278" s="19" t="str">
        <f>HYPERLINK("https://ssdweb.co/ssdweb/CERTH/583303919.pdf","CERTI")</f>
        <v>CERTI</v>
      </c>
    </row>
    <row r="5279" spans="1:27" ht="15" x14ac:dyDescent="0.25">
      <c r="A5279" s="2">
        <v>5274</v>
      </c>
      <c r="B5279" s="39">
        <v>924290560</v>
      </c>
      <c r="C5279" s="28" t="str">
        <f>HYPERLINK("https://pld.live/RapDetail.aspx?STONELIST=924290560","DNA")</f>
        <v>DNA</v>
      </c>
      <c r="D5279" s="18" t="s">
        <v>3054</v>
      </c>
      <c r="E5279" s="18" t="s">
        <v>2186</v>
      </c>
      <c r="F5279" s="2" t="s">
        <v>7987</v>
      </c>
      <c r="G5279" s="2" t="s">
        <v>7322</v>
      </c>
      <c r="H5279" s="14">
        <v>1.07</v>
      </c>
      <c r="I5279" s="2" t="s">
        <v>1505</v>
      </c>
      <c r="J5279" s="2" t="s">
        <v>13</v>
      </c>
      <c r="K5279" s="2" t="s">
        <v>1452</v>
      </c>
      <c r="L5279" s="2" t="s">
        <v>5221</v>
      </c>
      <c r="M5279" s="2" t="s">
        <v>5221</v>
      </c>
      <c r="N5279" s="2" t="s">
        <v>2317</v>
      </c>
      <c r="O5279" s="14">
        <v>4600</v>
      </c>
      <c r="P5279" s="14">
        <v>97.93</v>
      </c>
      <c r="Q5279" s="14">
        <v>95.22</v>
      </c>
      <c r="R5279" s="14">
        <v>101.89</v>
      </c>
      <c r="S5279" s="2" t="s">
        <v>673</v>
      </c>
      <c r="T5279" s="2">
        <v>1.46</v>
      </c>
      <c r="U5279" s="2">
        <v>67.3</v>
      </c>
      <c r="V5279" s="2">
        <v>63</v>
      </c>
      <c r="W5279" s="2" t="s">
        <v>7862</v>
      </c>
      <c r="X5279" s="2" t="s">
        <v>2897</v>
      </c>
      <c r="Y5279" s="2">
        <v>4922</v>
      </c>
      <c r="Z5279" s="19" t="str">
        <f>HYPERLINK("https://ssdweb.co/ssdweb/hd/Vision360.html?d=924290560&amp;zoomslide=1&amp;z=1924290560&amp;ISCONFIRM=0","VIDEO")</f>
        <v>VIDEO</v>
      </c>
      <c r="AA5279" s="19" t="str">
        <f>HYPERLINK("https://ssdweb.co/ssdweb/CERTH/592361039.pdf","CERTI")</f>
        <v>CERTI</v>
      </c>
    </row>
    <row r="5280" spans="1:27" ht="15" x14ac:dyDescent="0.25">
      <c r="A5280" s="2">
        <v>5275</v>
      </c>
      <c r="B5280" s="39">
        <v>923620414</v>
      </c>
      <c r="C5280" s="28" t="str">
        <f>HYPERLINK("https://pld.live/RapDetail.aspx?STONELIST=923620414","DNA")</f>
        <v>DNA</v>
      </c>
      <c r="D5280" s="18" t="s">
        <v>3054</v>
      </c>
      <c r="E5280" s="18" t="s">
        <v>5128</v>
      </c>
      <c r="F5280" s="2" t="s">
        <v>5597</v>
      </c>
      <c r="G5280" s="2" t="s">
        <v>7322</v>
      </c>
      <c r="H5280" s="14">
        <v>1.06</v>
      </c>
      <c r="I5280" s="2" t="s">
        <v>267</v>
      </c>
      <c r="J5280" s="2" t="s">
        <v>6555</v>
      </c>
      <c r="K5280" s="2" t="s">
        <v>1452</v>
      </c>
      <c r="L5280" s="2" t="s">
        <v>5221</v>
      </c>
      <c r="M5280" s="2" t="s">
        <v>5721</v>
      </c>
      <c r="N5280" s="2" t="s">
        <v>2317</v>
      </c>
      <c r="O5280" s="14">
        <v>8200</v>
      </c>
      <c r="P5280" s="14">
        <v>97.26</v>
      </c>
      <c r="Q5280" s="14">
        <v>224.68</v>
      </c>
      <c r="R5280" s="14">
        <v>238.16</v>
      </c>
      <c r="S5280" s="2" t="s">
        <v>1695</v>
      </c>
      <c r="T5280" s="2">
        <v>1.43</v>
      </c>
      <c r="U5280" s="2">
        <v>65.599999999999994</v>
      </c>
      <c r="V5280" s="2">
        <v>65</v>
      </c>
      <c r="W5280" s="2" t="s">
        <v>7862</v>
      </c>
      <c r="X5280" s="2" t="s">
        <v>2897</v>
      </c>
      <c r="Y5280" s="2">
        <v>8692</v>
      </c>
      <c r="Z5280" s="19" t="str">
        <f>HYPERLINK("https://ssdweb.co/ssdweb/hd/Vision360.html?d=923620414&amp;zoomslide=1&amp;z=1923620414&amp;ISCONFIRM=0","VIDEO")</f>
        <v>VIDEO</v>
      </c>
      <c r="AA5280" s="19" t="str">
        <f>HYPERLINK("https://ssdweb.co/ssdweb/CERTH/3455528668.pdf","CERTI")</f>
        <v>CERTI</v>
      </c>
    </row>
    <row r="5281" spans="1:27" ht="15" x14ac:dyDescent="0.25">
      <c r="A5281" s="2">
        <v>5276</v>
      </c>
      <c r="B5281" s="39">
        <v>926250077</v>
      </c>
      <c r="C5281" s="28" t="str">
        <f>HYPERLINK("https://pld.live/RapDetail.aspx?STONELIST=926250077","DNA")</f>
        <v>DNA</v>
      </c>
      <c r="D5281" s="18" t="s">
        <v>3054</v>
      </c>
      <c r="E5281" s="18" t="s">
        <v>5128</v>
      </c>
      <c r="F5281" s="2" t="s">
        <v>7987</v>
      </c>
      <c r="G5281" s="2" t="s">
        <v>7322</v>
      </c>
      <c r="H5281" s="14">
        <v>1.06</v>
      </c>
      <c r="I5281" s="2" t="s">
        <v>267</v>
      </c>
      <c r="J5281" s="2" t="s">
        <v>3942</v>
      </c>
      <c r="K5281" s="2" t="s">
        <v>1452</v>
      </c>
      <c r="L5281" s="2" t="s">
        <v>5221</v>
      </c>
      <c r="M5281" s="2" t="s">
        <v>5721</v>
      </c>
      <c r="N5281" s="2" t="s">
        <v>2317</v>
      </c>
      <c r="O5281" s="14">
        <v>7600</v>
      </c>
      <c r="P5281" s="14">
        <v>98.49</v>
      </c>
      <c r="Q5281" s="14">
        <v>114.76</v>
      </c>
      <c r="R5281" s="14">
        <v>121.65</v>
      </c>
      <c r="S5281" s="2" t="s">
        <v>4778</v>
      </c>
      <c r="T5281" s="2">
        <v>1.37</v>
      </c>
      <c r="U5281" s="2">
        <v>67.8</v>
      </c>
      <c r="V5281" s="2">
        <v>66</v>
      </c>
      <c r="W5281" s="2" t="s">
        <v>7862</v>
      </c>
      <c r="X5281" s="2" t="s">
        <v>2897</v>
      </c>
      <c r="Y5281" s="2">
        <v>8056</v>
      </c>
      <c r="Z5281" s="19" t="str">
        <f>HYPERLINK("https://ssdweb.co/ssdweb/hd/Vision360.html?d=926250077&amp;zoomslide=1&amp;z=1926250077&amp;ISCONFIRM=0","VIDEO")</f>
        <v>VIDEO</v>
      </c>
      <c r="AA5281" s="19" t="str">
        <f>HYPERLINK("https://ssdweb.co/ssdweb/CERTH/635426949.pdf","CERTI")</f>
        <v>CERTI</v>
      </c>
    </row>
    <row r="5282" spans="1:27" ht="15" x14ac:dyDescent="0.25">
      <c r="A5282" s="2">
        <v>5277</v>
      </c>
      <c r="B5282" s="39">
        <v>926210742</v>
      </c>
      <c r="C5282" s="28" t="str">
        <f>HYPERLINK("https://pld.live/RapDetail.aspx?STONELIST=926210742","DNA")</f>
        <v>DNA</v>
      </c>
      <c r="D5282" s="18" t="s">
        <v>3054</v>
      </c>
      <c r="E5282" s="18" t="s">
        <v>5128</v>
      </c>
      <c r="F5282" s="2" t="s">
        <v>7987</v>
      </c>
      <c r="G5282" s="2" t="s">
        <v>7322</v>
      </c>
      <c r="H5282" s="14">
        <v>1.06</v>
      </c>
      <c r="I5282" s="2" t="s">
        <v>267</v>
      </c>
      <c r="J5282" s="2" t="s">
        <v>13</v>
      </c>
      <c r="K5282" s="2" t="s">
        <v>1452</v>
      </c>
      <c r="L5282" s="2" t="s">
        <v>5221</v>
      </c>
      <c r="M5282" s="2" t="s">
        <v>5221</v>
      </c>
      <c r="N5282" s="2" t="s">
        <v>2317</v>
      </c>
      <c r="O5282" s="14">
        <v>6700</v>
      </c>
      <c r="P5282" s="14">
        <v>98.31</v>
      </c>
      <c r="Q5282" s="14">
        <v>113.23</v>
      </c>
      <c r="R5282" s="14">
        <v>120.02</v>
      </c>
      <c r="S5282" s="2" t="s">
        <v>5851</v>
      </c>
      <c r="T5282" s="2">
        <v>1.37</v>
      </c>
      <c r="U5282" s="2">
        <v>67.8</v>
      </c>
      <c r="V5282" s="2">
        <v>64</v>
      </c>
      <c r="W5282" s="2" t="s">
        <v>7862</v>
      </c>
      <c r="X5282" s="2" t="s">
        <v>2897</v>
      </c>
      <c r="Y5282" s="2">
        <v>7102</v>
      </c>
      <c r="Z5282" s="19" t="str">
        <f>HYPERLINK("https://ssdweb.co/ssdweb/hd/Vision360.html?d=926210742&amp;zoomslide=1&amp;z=1926210742&amp;ISCONFIRM=0","VIDEO")</f>
        <v>VIDEO</v>
      </c>
      <c r="AA5282" s="19" t="str">
        <f>HYPERLINK("https://ssdweb.co/ssdweb/CERTH/635423956.pdf","CERTI")</f>
        <v>CERTI</v>
      </c>
    </row>
    <row r="5283" spans="1:27" ht="15" x14ac:dyDescent="0.25">
      <c r="A5283" s="2">
        <v>5278</v>
      </c>
      <c r="B5283" s="39">
        <v>924880321</v>
      </c>
      <c r="C5283" s="28" t="str">
        <f>HYPERLINK("https://pld.live/RapDetail.aspx?STONELIST=924880321","DNA")</f>
        <v>DNA</v>
      </c>
      <c r="D5283" s="18" t="s">
        <v>3054</v>
      </c>
      <c r="E5283" s="18" t="s">
        <v>5128</v>
      </c>
      <c r="F5283" s="2" t="s">
        <v>7987</v>
      </c>
      <c r="G5283" s="2" t="s">
        <v>7322</v>
      </c>
      <c r="H5283" s="14">
        <v>1.06</v>
      </c>
      <c r="I5283" s="2" t="s">
        <v>4761</v>
      </c>
      <c r="J5283" s="2" t="s">
        <v>6555</v>
      </c>
      <c r="K5283" s="2" t="s">
        <v>1452</v>
      </c>
      <c r="L5283" s="2" t="s">
        <v>5221</v>
      </c>
      <c r="M5283" s="2" t="s">
        <v>5221</v>
      </c>
      <c r="N5283" s="2" t="s">
        <v>2317</v>
      </c>
      <c r="O5283" s="14">
        <v>7500</v>
      </c>
      <c r="P5283" s="14">
        <v>98.39</v>
      </c>
      <c r="Q5283" s="14">
        <v>120.75</v>
      </c>
      <c r="R5283" s="14">
        <v>128</v>
      </c>
      <c r="S5283" s="2" t="s">
        <v>1511</v>
      </c>
      <c r="T5283" s="2">
        <v>1.41</v>
      </c>
      <c r="U5283" s="2">
        <v>64.8</v>
      </c>
      <c r="V5283" s="2">
        <v>64</v>
      </c>
      <c r="W5283" s="2" t="s">
        <v>7862</v>
      </c>
      <c r="X5283" s="2" t="s">
        <v>2897</v>
      </c>
      <c r="Y5283" s="2">
        <v>7950</v>
      </c>
      <c r="Z5283" s="19" t="str">
        <f>HYPERLINK("https://ssdweb.co/ssdweb/hd/Vision360.html?d=924880321&amp;zoomslide=1&amp;z=1924880321&amp;ISCONFIRM=0","VIDEO")</f>
        <v>VIDEO</v>
      </c>
      <c r="AA5283" s="19" t="str">
        <f>HYPERLINK("https://ssdweb.co/ssdweb/CERTH/602361304.pdf","CERTI")</f>
        <v>CERTI</v>
      </c>
    </row>
    <row r="5284" spans="1:27" ht="15" x14ac:dyDescent="0.25">
      <c r="A5284" s="2">
        <v>5279</v>
      </c>
      <c r="B5284" s="39">
        <v>926291450</v>
      </c>
      <c r="C5284" s="28" t="str">
        <f>HYPERLINK("https://pld.live/RapDetail.aspx?STONELIST=926291450","DNA")</f>
        <v>DNA</v>
      </c>
      <c r="D5284" s="18" t="s">
        <v>3054</v>
      </c>
      <c r="E5284" s="18" t="s">
        <v>5128</v>
      </c>
      <c r="F5284" s="2" t="s">
        <v>7987</v>
      </c>
      <c r="G5284" s="2" t="s">
        <v>7322</v>
      </c>
      <c r="H5284" s="14">
        <v>1.06</v>
      </c>
      <c r="I5284" s="2" t="s">
        <v>4761</v>
      </c>
      <c r="J5284" s="2" t="s">
        <v>3942</v>
      </c>
      <c r="K5284" s="2" t="s">
        <v>1452</v>
      </c>
      <c r="L5284" s="2" t="s">
        <v>5221</v>
      </c>
      <c r="M5284" s="2" t="s">
        <v>5221</v>
      </c>
      <c r="N5284" s="2" t="s">
        <v>2317</v>
      </c>
      <c r="O5284" s="14">
        <v>6900</v>
      </c>
      <c r="P5284" s="14">
        <v>98.35</v>
      </c>
      <c r="Q5284" s="14">
        <v>113.85</v>
      </c>
      <c r="R5284" s="14">
        <v>120.68</v>
      </c>
      <c r="S5284" s="2" t="s">
        <v>740</v>
      </c>
      <c r="T5284" s="2">
        <v>1.36</v>
      </c>
      <c r="U5284" s="2">
        <v>66</v>
      </c>
      <c r="V5284" s="2">
        <v>64</v>
      </c>
      <c r="W5284" s="2" t="s">
        <v>7862</v>
      </c>
      <c r="X5284" s="2" t="s">
        <v>2897</v>
      </c>
      <c r="Y5284" s="2">
        <v>7314</v>
      </c>
      <c r="Z5284" s="19" t="str">
        <f>HYPERLINK("https://ssdweb.co/ssdweb/hd/Vision360.html?d=926291450&amp;zoomslide=1&amp;z=1926291450&amp;ISCONFIRM=0","VIDEO")</f>
        <v>VIDEO</v>
      </c>
      <c r="AA5284" s="19" t="str">
        <f>HYPERLINK("https://ssdweb.co/ssdweb/CERTH/644472507.pdf","CERTI")</f>
        <v>CERTI</v>
      </c>
    </row>
    <row r="5285" spans="1:27" ht="15" x14ac:dyDescent="0.25">
      <c r="A5285" s="2">
        <v>5280</v>
      </c>
      <c r="B5285" s="39">
        <v>926250084</v>
      </c>
      <c r="C5285" s="28" t="str">
        <f>HYPERLINK("https://pld.live/RapDetail.aspx?STONELIST=926250084","DNA")</f>
        <v>DNA</v>
      </c>
      <c r="D5285" s="18" t="s">
        <v>3054</v>
      </c>
      <c r="E5285" s="18" t="s">
        <v>5128</v>
      </c>
      <c r="F5285" s="2" t="s">
        <v>7987</v>
      </c>
      <c r="G5285" s="2" t="s">
        <v>7322</v>
      </c>
      <c r="H5285" s="14">
        <v>1.06</v>
      </c>
      <c r="I5285" s="2" t="s">
        <v>4761</v>
      </c>
      <c r="J5285" s="2" t="s">
        <v>13</v>
      </c>
      <c r="K5285" s="2" t="s">
        <v>1452</v>
      </c>
      <c r="L5285" s="2" t="s">
        <v>5221</v>
      </c>
      <c r="M5285" s="2" t="s">
        <v>5221</v>
      </c>
      <c r="N5285" s="2" t="s">
        <v>2317</v>
      </c>
      <c r="O5285" s="14">
        <v>6200</v>
      </c>
      <c r="P5285" s="14">
        <v>98.21</v>
      </c>
      <c r="Q5285" s="14">
        <v>110.98</v>
      </c>
      <c r="R5285" s="14">
        <v>117.64</v>
      </c>
      <c r="S5285" s="2" t="s">
        <v>5629</v>
      </c>
      <c r="T5285" s="2">
        <v>1.36</v>
      </c>
      <c r="U5285" s="2">
        <v>67.8</v>
      </c>
      <c r="V5285" s="2">
        <v>67</v>
      </c>
      <c r="W5285" s="2" t="s">
        <v>7862</v>
      </c>
      <c r="X5285" s="2" t="s">
        <v>2897</v>
      </c>
      <c r="Y5285" s="2">
        <v>6572</v>
      </c>
      <c r="Z5285" s="19" t="str">
        <f>HYPERLINK("https://ssdweb.co/ssdweb/hd/Vision360.html?d=926250084&amp;zoomslide=1&amp;z=1926250084&amp;ISCONFIRM=0","VIDEO")</f>
        <v>VIDEO</v>
      </c>
      <c r="AA5285" s="19" t="str">
        <f>HYPERLINK("https://ssdweb.co/ssdweb/CERTH/635423977.pdf","CERTI")</f>
        <v>CERTI</v>
      </c>
    </row>
    <row r="5286" spans="1:27" ht="15" x14ac:dyDescent="0.25">
      <c r="A5286" s="2">
        <v>5281</v>
      </c>
      <c r="B5286" s="39">
        <v>831020367</v>
      </c>
      <c r="C5286" s="28" t="str">
        <f>HYPERLINK("https://pld.live/RapDetail.aspx?STONELIST=831020367","DNA")</f>
        <v>DNA</v>
      </c>
      <c r="D5286" s="18" t="s">
        <v>3054</v>
      </c>
      <c r="E5286" s="18" t="s">
        <v>2186</v>
      </c>
      <c r="F5286" s="2" t="s">
        <v>5597</v>
      </c>
      <c r="G5286" s="2" t="s">
        <v>7322</v>
      </c>
      <c r="H5286" s="14">
        <v>1.06</v>
      </c>
      <c r="I5286" s="2" t="s">
        <v>4761</v>
      </c>
      <c r="J5286" s="2" t="s">
        <v>13</v>
      </c>
      <c r="K5286" s="2" t="s">
        <v>1452</v>
      </c>
      <c r="L5286" s="2" t="s">
        <v>5221</v>
      </c>
      <c r="M5286" s="2" t="s">
        <v>5721</v>
      </c>
      <c r="N5286" s="2" t="s">
        <v>2317</v>
      </c>
      <c r="O5286" s="14">
        <v>6200</v>
      </c>
      <c r="P5286" s="14">
        <v>96.89</v>
      </c>
      <c r="Q5286" s="14">
        <v>192.82</v>
      </c>
      <c r="R5286" s="14">
        <v>204.39</v>
      </c>
      <c r="S5286" s="2" t="s">
        <v>3321</v>
      </c>
      <c r="T5286" s="2">
        <v>1.43</v>
      </c>
      <c r="U5286" s="2">
        <v>66.400000000000006</v>
      </c>
      <c r="V5286" s="2">
        <v>65</v>
      </c>
      <c r="W5286" s="2" t="s">
        <v>7862</v>
      </c>
      <c r="X5286" s="2" t="s">
        <v>2897</v>
      </c>
      <c r="Y5286" s="2">
        <v>6572</v>
      </c>
      <c r="Z5286" s="19" t="str">
        <f>HYPERLINK("https://ssdweb.co/ssdweb/hd/Vision360.html?d=831020367&amp;zoomslide=1&amp;z=1831020367&amp;ISCONFIRM=0","VIDEO")</f>
        <v>VIDEO</v>
      </c>
      <c r="AA5286" s="19" t="str">
        <f>HYPERLINK("https://ssdweb.co/ssdweb/CERTH/1475201903.pdf","CERTI")</f>
        <v>CERTI</v>
      </c>
    </row>
    <row r="5287" spans="1:27" ht="15" x14ac:dyDescent="0.25">
      <c r="A5287" s="2">
        <v>5282</v>
      </c>
      <c r="B5287" s="39">
        <v>923610241</v>
      </c>
      <c r="C5287" s="28" t="str">
        <f>HYPERLINK("https://pld.live/RapDetail.aspx?STONELIST=923610241","DNA")</f>
        <v>DNA</v>
      </c>
      <c r="D5287" s="18" t="s">
        <v>3054</v>
      </c>
      <c r="E5287" s="18" t="s">
        <v>2186</v>
      </c>
      <c r="F5287" s="2" t="s">
        <v>7987</v>
      </c>
      <c r="G5287" s="2" t="s">
        <v>7322</v>
      </c>
      <c r="H5287" s="14">
        <v>1.06</v>
      </c>
      <c r="I5287" s="2" t="s">
        <v>4699</v>
      </c>
      <c r="J5287" s="2" t="s">
        <v>13</v>
      </c>
      <c r="K5287" s="2" t="s">
        <v>1452</v>
      </c>
      <c r="L5287" s="2" t="s">
        <v>5221</v>
      </c>
      <c r="M5287" s="2" t="s">
        <v>5221</v>
      </c>
      <c r="N5287" s="2" t="s">
        <v>2317</v>
      </c>
      <c r="O5287" s="14">
        <v>5800</v>
      </c>
      <c r="P5287" s="14">
        <v>98.19</v>
      </c>
      <c r="Q5287" s="14">
        <v>104.98</v>
      </c>
      <c r="R5287" s="14">
        <v>111.28</v>
      </c>
      <c r="S5287" s="2" t="s">
        <v>486</v>
      </c>
      <c r="T5287" s="2">
        <v>1.57</v>
      </c>
      <c r="U5287" s="2">
        <v>63.8</v>
      </c>
      <c r="V5287" s="2">
        <v>64.5</v>
      </c>
      <c r="W5287" s="2" t="s">
        <v>7862</v>
      </c>
      <c r="X5287" s="2" t="s">
        <v>2897</v>
      </c>
      <c r="Y5287" s="2">
        <v>6148</v>
      </c>
      <c r="Z5287" s="19" t="str">
        <f>HYPERLINK("https://ssdweb.co/ssdweb/hd/Vision360.html?d=923610241&amp;zoomslide=1&amp;z=1923610241&amp;ISCONFIRM=0","VIDEO")</f>
        <v>VIDEO</v>
      </c>
      <c r="AA5287" s="19" t="str">
        <f>HYPERLINK("https://ssdweb.co/ssdweb/CERTH/559272798.pdf","CERTI")</f>
        <v>CERTI</v>
      </c>
    </row>
    <row r="5288" spans="1:27" ht="15" x14ac:dyDescent="0.25">
      <c r="A5288" s="2">
        <v>5283</v>
      </c>
      <c r="B5288" s="39">
        <v>926030131</v>
      </c>
      <c r="C5288" s="28" t="str">
        <f>HYPERLINK("https://pld.live/RapDetail.aspx?STONELIST=926030131","DNA")</f>
        <v>DNA</v>
      </c>
      <c r="D5288" s="18" t="s">
        <v>3054</v>
      </c>
      <c r="E5288" s="18" t="s">
        <v>2186</v>
      </c>
      <c r="F5288" s="2" t="s">
        <v>7987</v>
      </c>
      <c r="G5288" s="2" t="s">
        <v>7322</v>
      </c>
      <c r="H5288" s="14">
        <v>1.06</v>
      </c>
      <c r="I5288" s="2" t="s">
        <v>1505</v>
      </c>
      <c r="J5288" s="2" t="s">
        <v>13</v>
      </c>
      <c r="K5288" s="2" t="s">
        <v>1452</v>
      </c>
      <c r="L5288" s="2" t="s">
        <v>5221</v>
      </c>
      <c r="M5288" s="2" t="s">
        <v>5221</v>
      </c>
      <c r="N5288" s="2" t="s">
        <v>2317</v>
      </c>
      <c r="O5288" s="14">
        <v>4600</v>
      </c>
      <c r="P5288" s="14">
        <v>97.91</v>
      </c>
      <c r="Q5288" s="14">
        <v>96.14</v>
      </c>
      <c r="R5288" s="14">
        <v>101.91</v>
      </c>
      <c r="S5288" s="2" t="s">
        <v>7020</v>
      </c>
      <c r="T5288" s="2">
        <v>1.45</v>
      </c>
      <c r="U5288" s="2">
        <v>65.400000000000006</v>
      </c>
      <c r="V5288" s="2">
        <v>63</v>
      </c>
      <c r="W5288" s="2" t="s">
        <v>7862</v>
      </c>
      <c r="X5288" s="2" t="s">
        <v>2897</v>
      </c>
      <c r="Y5288" s="2">
        <v>4876</v>
      </c>
      <c r="Z5288" s="19" t="str">
        <f>HYPERLINK("https://ssdweb.co/ssdweb/hd/Vision360.html?d=926030131&amp;zoomslide=1&amp;z=1926030131&amp;ISCONFIRM=0","VIDEO")</f>
        <v>VIDEO</v>
      </c>
      <c r="AA5288" s="19" t="str">
        <f>HYPERLINK("https://ssdweb.co/ssdweb/CERTH/631429876.pdf","CERTI")</f>
        <v>CERTI</v>
      </c>
    </row>
    <row r="5289" spans="1:27" ht="15" x14ac:dyDescent="0.25">
      <c r="A5289" s="2">
        <v>5284</v>
      </c>
      <c r="B5289" s="39">
        <v>926310391</v>
      </c>
      <c r="C5289" s="28" t="str">
        <f>HYPERLINK("https://pld.live/RapDetail.aspx?STONELIST=926310391","DNA")</f>
        <v>DNA</v>
      </c>
      <c r="D5289" s="18" t="s">
        <v>3054</v>
      </c>
      <c r="E5289" s="18" t="s">
        <v>5128</v>
      </c>
      <c r="F5289" s="2" t="s">
        <v>7987</v>
      </c>
      <c r="G5289" s="2" t="s">
        <v>7322</v>
      </c>
      <c r="H5289" s="14">
        <v>1.05</v>
      </c>
      <c r="I5289" s="2" t="s">
        <v>267</v>
      </c>
      <c r="J5289" s="2" t="s">
        <v>6555</v>
      </c>
      <c r="K5289" s="2" t="s">
        <v>1452</v>
      </c>
      <c r="L5289" s="2" t="s">
        <v>5221</v>
      </c>
      <c r="M5289" s="2" t="s">
        <v>5221</v>
      </c>
      <c r="N5289" s="2" t="s">
        <v>2317</v>
      </c>
      <c r="O5289" s="14">
        <v>8200</v>
      </c>
      <c r="P5289" s="14">
        <v>98.44</v>
      </c>
      <c r="Q5289" s="14">
        <v>127.92</v>
      </c>
      <c r="R5289" s="14">
        <v>134.32</v>
      </c>
      <c r="S5289" s="2" t="s">
        <v>5763</v>
      </c>
      <c r="T5289" s="2">
        <v>1.41</v>
      </c>
      <c r="U5289" s="2">
        <v>66.7</v>
      </c>
      <c r="V5289" s="2">
        <v>66</v>
      </c>
      <c r="W5289" s="2" t="s">
        <v>7862</v>
      </c>
      <c r="X5289" s="2" t="s">
        <v>2897</v>
      </c>
      <c r="Y5289" s="2">
        <v>8610</v>
      </c>
      <c r="Z5289" s="19" t="str">
        <f>HYPERLINK("https://ssdweb.co/ssdweb/hd/Vision360.html?d=926310391&amp;zoomslide=1&amp;z=1926310391&amp;ISCONFIRM=0","VIDEO")</f>
        <v>VIDEO</v>
      </c>
      <c r="AA5289" s="19" t="str">
        <f>HYPERLINK("https://ssdweb.co/ssdweb/CERTH/638463207.pdf","CERTI")</f>
        <v>CERTI</v>
      </c>
    </row>
    <row r="5290" spans="1:27" ht="15" x14ac:dyDescent="0.25">
      <c r="A5290" s="2">
        <v>5285</v>
      </c>
      <c r="B5290" s="39">
        <v>926291396</v>
      </c>
      <c r="C5290" s="28" t="str">
        <f>HYPERLINK("https://pld.live/RapDetail.aspx?STONELIST=926291396","DNA")</f>
        <v>DNA</v>
      </c>
      <c r="D5290" s="18" t="s">
        <v>3054</v>
      </c>
      <c r="E5290" s="18" t="s">
        <v>5128</v>
      </c>
      <c r="F5290" s="2" t="s">
        <v>7987</v>
      </c>
      <c r="G5290" s="2" t="s">
        <v>7322</v>
      </c>
      <c r="H5290" s="14">
        <v>1.05</v>
      </c>
      <c r="I5290" s="2" t="s">
        <v>267</v>
      </c>
      <c r="J5290" s="2" t="s">
        <v>3942</v>
      </c>
      <c r="K5290" s="2" t="s">
        <v>1452</v>
      </c>
      <c r="L5290" s="2" t="s">
        <v>5221</v>
      </c>
      <c r="M5290" s="2" t="s">
        <v>5221</v>
      </c>
      <c r="N5290" s="2" t="s">
        <v>2317</v>
      </c>
      <c r="O5290" s="14">
        <v>7600</v>
      </c>
      <c r="P5290" s="14">
        <v>98.46</v>
      </c>
      <c r="Q5290" s="14">
        <v>117.04</v>
      </c>
      <c r="R5290" s="14">
        <v>122.89</v>
      </c>
      <c r="S5290" s="2" t="s">
        <v>6376</v>
      </c>
      <c r="T5290" s="2">
        <v>1.42</v>
      </c>
      <c r="U5290" s="2">
        <v>67.5</v>
      </c>
      <c r="V5290" s="2">
        <v>64</v>
      </c>
      <c r="W5290" s="2" t="s">
        <v>7862</v>
      </c>
      <c r="X5290" s="2" t="s">
        <v>2897</v>
      </c>
      <c r="Y5290" s="2">
        <v>7980</v>
      </c>
      <c r="Z5290" s="19" t="str">
        <f>HYPERLINK("https://ssdweb.co/ssdweb/hd/Vision360.html?d=926291396&amp;zoomslide=1&amp;z=1926291396&amp;ISCONFIRM=0","VIDEO")</f>
        <v>VIDEO</v>
      </c>
      <c r="AA5290" s="19" t="str">
        <f>HYPERLINK("https://ssdweb.co/ssdweb/CERTH/656485768.pdf","CERTI")</f>
        <v>CERTI</v>
      </c>
    </row>
    <row r="5291" spans="1:27" ht="15" x14ac:dyDescent="0.25">
      <c r="A5291" s="2">
        <v>5286</v>
      </c>
      <c r="B5291" s="39">
        <v>926110971</v>
      </c>
      <c r="C5291" s="28" t="str">
        <f>HYPERLINK("https://pld.live/RapDetail.aspx?STONELIST=926110971","DNA")</f>
        <v>DNA</v>
      </c>
      <c r="D5291" s="18" t="s">
        <v>3054</v>
      </c>
      <c r="E5291" s="18" t="s">
        <v>5128</v>
      </c>
      <c r="F5291" s="2" t="s">
        <v>7987</v>
      </c>
      <c r="G5291" s="2" t="s">
        <v>7322</v>
      </c>
      <c r="H5291" s="14">
        <v>1.05</v>
      </c>
      <c r="I5291" s="2" t="s">
        <v>267</v>
      </c>
      <c r="J5291" s="2" t="s">
        <v>13</v>
      </c>
      <c r="K5291" s="2" t="s">
        <v>1452</v>
      </c>
      <c r="L5291" s="2" t="s">
        <v>5221</v>
      </c>
      <c r="M5291" s="2" t="s">
        <v>5221</v>
      </c>
      <c r="N5291" s="2" t="s">
        <v>2317</v>
      </c>
      <c r="O5291" s="14">
        <v>6700</v>
      </c>
      <c r="P5291" s="14">
        <v>98.31</v>
      </c>
      <c r="Q5291" s="14">
        <v>113.23</v>
      </c>
      <c r="R5291" s="14">
        <v>118.89</v>
      </c>
      <c r="S5291" s="2" t="s">
        <v>4313</v>
      </c>
      <c r="T5291" s="2">
        <v>1.39</v>
      </c>
      <c r="U5291" s="2">
        <v>64.400000000000006</v>
      </c>
      <c r="V5291" s="2">
        <v>63</v>
      </c>
      <c r="W5291" s="2" t="s">
        <v>7862</v>
      </c>
      <c r="X5291" s="2" t="s">
        <v>2897</v>
      </c>
      <c r="Y5291" s="2">
        <v>7035</v>
      </c>
      <c r="Z5291" s="19" t="str">
        <f>HYPERLINK("https://ssdweb.co/ssdweb/hd/Vision360.html?d=926110971&amp;zoomslide=1&amp;z=1926110971&amp;ISCONFIRM=0","VIDEO")</f>
        <v>VIDEO</v>
      </c>
      <c r="AA5291" s="19" t="str">
        <f>HYPERLINK("https://ssdweb.co/ssdweb/CERTH/632449568.pdf","CERTI")</f>
        <v>CERTI</v>
      </c>
    </row>
    <row r="5292" spans="1:27" ht="15" x14ac:dyDescent="0.25">
      <c r="A5292" s="2">
        <v>5287</v>
      </c>
      <c r="B5292" s="39">
        <v>926110702</v>
      </c>
      <c r="C5292" s="28" t="str">
        <f>HYPERLINK("https://pld.live/RapDetail.aspx?STONELIST=926110702","DNA")</f>
        <v>DNA</v>
      </c>
      <c r="D5292" s="18" t="s">
        <v>3054</v>
      </c>
      <c r="E5292" s="18" t="s">
        <v>5128</v>
      </c>
      <c r="F5292" s="2" t="s">
        <v>7987</v>
      </c>
      <c r="G5292" s="2" t="s">
        <v>7322</v>
      </c>
      <c r="H5292" s="14">
        <v>1.05</v>
      </c>
      <c r="I5292" s="2" t="s">
        <v>267</v>
      </c>
      <c r="J5292" s="2" t="s">
        <v>5144</v>
      </c>
      <c r="K5292" s="2" t="s">
        <v>1452</v>
      </c>
      <c r="L5292" s="2" t="s">
        <v>5221</v>
      </c>
      <c r="M5292" s="2" t="s">
        <v>5221</v>
      </c>
      <c r="N5292" s="2" t="s">
        <v>2317</v>
      </c>
      <c r="O5292" s="14">
        <v>5700</v>
      </c>
      <c r="P5292" s="14">
        <v>98.09</v>
      </c>
      <c r="Q5292" s="14">
        <v>108.87</v>
      </c>
      <c r="R5292" s="14">
        <v>114.31</v>
      </c>
      <c r="S5292" s="2" t="s">
        <v>6271</v>
      </c>
      <c r="T5292" s="2">
        <v>1.36</v>
      </c>
      <c r="U5292" s="2">
        <v>67.8</v>
      </c>
      <c r="V5292" s="2">
        <v>64</v>
      </c>
      <c r="W5292" s="2" t="s">
        <v>7862</v>
      </c>
      <c r="X5292" s="2" t="s">
        <v>2897</v>
      </c>
      <c r="Y5292" s="2">
        <v>5985</v>
      </c>
      <c r="Z5292" s="19" t="str">
        <f>HYPERLINK("https://ssdweb.co/ssdweb/hd/Vision360.html?d=926110702&amp;zoomslide=1&amp;z=1926110702&amp;ISCONFIRM=0","VIDEO")</f>
        <v>VIDEO</v>
      </c>
      <c r="AA5292" s="19" t="str">
        <f>HYPERLINK("https://ssdweb.co/ssdweb/CERTH/632403886.pdf","CERTI")</f>
        <v>CERTI</v>
      </c>
    </row>
    <row r="5293" spans="1:27" ht="15" x14ac:dyDescent="0.25">
      <c r="A5293" s="2">
        <v>5288</v>
      </c>
      <c r="B5293" s="39">
        <v>924880322</v>
      </c>
      <c r="C5293" s="28" t="str">
        <f>HYPERLINK("https://pld.live/RapDetail.aspx?STONELIST=924880322","DNA")</f>
        <v>DNA</v>
      </c>
      <c r="D5293" s="18" t="s">
        <v>3054</v>
      </c>
      <c r="E5293" s="18" t="s">
        <v>5128</v>
      </c>
      <c r="F5293" s="2" t="s">
        <v>7987</v>
      </c>
      <c r="G5293" s="2" t="s">
        <v>7322</v>
      </c>
      <c r="H5293" s="14">
        <v>1.05</v>
      </c>
      <c r="I5293" s="2" t="s">
        <v>4761</v>
      </c>
      <c r="J5293" s="2" t="s">
        <v>6555</v>
      </c>
      <c r="K5293" s="2" t="s">
        <v>1452</v>
      </c>
      <c r="L5293" s="2" t="s">
        <v>5221</v>
      </c>
      <c r="M5293" s="2" t="s">
        <v>5221</v>
      </c>
      <c r="N5293" s="2" t="s">
        <v>2317</v>
      </c>
      <c r="O5293" s="14">
        <v>7500</v>
      </c>
      <c r="P5293" s="14">
        <v>98.39</v>
      </c>
      <c r="Q5293" s="14">
        <v>120.75</v>
      </c>
      <c r="R5293" s="14">
        <v>126.79</v>
      </c>
      <c r="S5293" s="2" t="s">
        <v>6678</v>
      </c>
      <c r="T5293" s="2">
        <v>1.4</v>
      </c>
      <c r="U5293" s="2">
        <v>67.599999999999994</v>
      </c>
      <c r="V5293" s="2">
        <v>61</v>
      </c>
      <c r="W5293" s="2" t="s">
        <v>7862</v>
      </c>
      <c r="X5293" s="2" t="s">
        <v>2897</v>
      </c>
      <c r="Y5293" s="2">
        <v>7875</v>
      </c>
      <c r="Z5293" s="19" t="str">
        <f>HYPERLINK("https://ssdweb.co/ssdweb/hd/Vision360.html?d=924880322&amp;zoomslide=1&amp;z=1924880322&amp;ISCONFIRM=0","VIDEO")</f>
        <v>VIDEO</v>
      </c>
      <c r="AA5293" s="19" t="str">
        <f>HYPERLINK("https://ssdweb.co/ssdweb/CERTH/602361305.pdf","CERTI")</f>
        <v>CERTI</v>
      </c>
    </row>
    <row r="5294" spans="1:27" ht="15" x14ac:dyDescent="0.25">
      <c r="A5294" s="2">
        <v>5289</v>
      </c>
      <c r="B5294" s="39">
        <v>925861659</v>
      </c>
      <c r="C5294" s="28" t="str">
        <f>HYPERLINK("https://pld.live/RapDetail.aspx?STONELIST=925861659","DNA")</f>
        <v>DNA</v>
      </c>
      <c r="D5294" s="18" t="s">
        <v>3054</v>
      </c>
      <c r="E5294" s="18" t="s">
        <v>5128</v>
      </c>
      <c r="F5294" s="2" t="s">
        <v>7987</v>
      </c>
      <c r="G5294" s="2" t="s">
        <v>7322</v>
      </c>
      <c r="H5294" s="14">
        <v>1.05</v>
      </c>
      <c r="I5294" s="2" t="s">
        <v>4761</v>
      </c>
      <c r="J5294" s="2" t="s">
        <v>13</v>
      </c>
      <c r="K5294" s="2" t="s">
        <v>1452</v>
      </c>
      <c r="L5294" s="2" t="s">
        <v>5221</v>
      </c>
      <c r="M5294" s="2" t="s">
        <v>5221</v>
      </c>
      <c r="N5294" s="2" t="s">
        <v>2317</v>
      </c>
      <c r="O5294" s="14">
        <v>6200</v>
      </c>
      <c r="P5294" s="14">
        <v>98.24</v>
      </c>
      <c r="Q5294" s="14">
        <v>109.12</v>
      </c>
      <c r="R5294" s="14">
        <v>114.58</v>
      </c>
      <c r="S5294" s="2" t="s">
        <v>1837</v>
      </c>
      <c r="T5294" s="2">
        <v>1.45</v>
      </c>
      <c r="U5294" s="2">
        <v>64.5</v>
      </c>
      <c r="V5294" s="2">
        <v>64</v>
      </c>
      <c r="W5294" s="2" t="s">
        <v>7862</v>
      </c>
      <c r="X5294" s="2" t="s">
        <v>2897</v>
      </c>
      <c r="Y5294" s="2">
        <v>6510</v>
      </c>
      <c r="Z5294" s="19" t="str">
        <f>HYPERLINK("https://ssdweb.co/ssdweb/hd/Vision360.html?d=925861659&amp;zoomslide=1&amp;z=1925861659&amp;ISCONFIRM=0","VIDEO")</f>
        <v>VIDEO</v>
      </c>
      <c r="AA5294" s="19" t="str">
        <f>HYPERLINK("https://ssdweb.co/ssdweb/CERTH/627431749.pdf","CERTI")</f>
        <v>CERTI</v>
      </c>
    </row>
    <row r="5295" spans="1:27" ht="15" x14ac:dyDescent="0.25">
      <c r="A5295" s="2">
        <v>5290</v>
      </c>
      <c r="B5295" s="39">
        <v>926291226</v>
      </c>
      <c r="C5295" s="28" t="str">
        <f>HYPERLINK("https://pld.live/RapDetail.aspx?STONELIST=926291226","DNA")</f>
        <v>DNA</v>
      </c>
      <c r="D5295" s="18" t="s">
        <v>3054</v>
      </c>
      <c r="E5295" s="18" t="s">
        <v>5128</v>
      </c>
      <c r="F5295" s="2" t="s">
        <v>7987</v>
      </c>
      <c r="G5295" s="2" t="s">
        <v>7322</v>
      </c>
      <c r="H5295" s="14">
        <v>1.05</v>
      </c>
      <c r="I5295" s="2" t="s">
        <v>4761</v>
      </c>
      <c r="J5295" s="2" t="s">
        <v>13</v>
      </c>
      <c r="K5295" s="2" t="s">
        <v>1452</v>
      </c>
      <c r="L5295" s="2" t="s">
        <v>5221</v>
      </c>
      <c r="M5295" s="2" t="s">
        <v>5221</v>
      </c>
      <c r="N5295" s="2" t="s">
        <v>2317</v>
      </c>
      <c r="O5295" s="14">
        <v>6200</v>
      </c>
      <c r="P5295" s="14">
        <v>98.21</v>
      </c>
      <c r="Q5295" s="14">
        <v>110.98</v>
      </c>
      <c r="R5295" s="14">
        <v>116.53</v>
      </c>
      <c r="S5295" s="2" t="s">
        <v>1582</v>
      </c>
      <c r="T5295" s="2">
        <v>1.36</v>
      </c>
      <c r="U5295" s="2">
        <v>64.400000000000006</v>
      </c>
      <c r="V5295" s="2">
        <v>63</v>
      </c>
      <c r="W5295" s="2" t="s">
        <v>7862</v>
      </c>
      <c r="X5295" s="2" t="s">
        <v>2897</v>
      </c>
      <c r="Y5295" s="2">
        <v>6510</v>
      </c>
      <c r="Z5295" s="19" t="str">
        <f>HYPERLINK("https://ssdweb.co/ssdweb/hd/Vision360.html?d=926291226&amp;zoomslide=1&amp;z=1926291226&amp;ISCONFIRM=0","VIDEO")</f>
        <v>VIDEO</v>
      </c>
      <c r="AA5295" s="19" t="str">
        <f>HYPERLINK("https://ssdweb.co/ssdweb/CERTH/638463336.pdf","CERTI")</f>
        <v>CERTI</v>
      </c>
    </row>
    <row r="5296" spans="1:27" ht="15" x14ac:dyDescent="0.25">
      <c r="A5296" s="2">
        <v>5291</v>
      </c>
      <c r="B5296" s="39">
        <v>924780200</v>
      </c>
      <c r="C5296" s="28" t="str">
        <f>HYPERLINK("https://pld.live/RapDetail.aspx?STONELIST=924780200","DNA")</f>
        <v>DNA</v>
      </c>
      <c r="D5296" s="18" t="s">
        <v>3054</v>
      </c>
      <c r="E5296" s="18" t="s">
        <v>2186</v>
      </c>
      <c r="F5296" s="2" t="s">
        <v>7987</v>
      </c>
      <c r="G5296" s="2" t="s">
        <v>7322</v>
      </c>
      <c r="H5296" s="14">
        <v>1.05</v>
      </c>
      <c r="I5296" s="2" t="s">
        <v>4699</v>
      </c>
      <c r="J5296" s="2" t="s">
        <v>3942</v>
      </c>
      <c r="K5296" s="2" t="s">
        <v>1452</v>
      </c>
      <c r="L5296" s="2" t="s">
        <v>5221</v>
      </c>
      <c r="M5296" s="2" t="s">
        <v>5221</v>
      </c>
      <c r="N5296" s="2" t="s">
        <v>2317</v>
      </c>
      <c r="O5296" s="14">
        <v>6400</v>
      </c>
      <c r="P5296" s="14">
        <v>98.31</v>
      </c>
      <c r="Q5296" s="14">
        <v>108.16</v>
      </c>
      <c r="R5296" s="14">
        <v>113.57</v>
      </c>
      <c r="S5296" s="2" t="s">
        <v>5419</v>
      </c>
      <c r="T5296" s="2">
        <v>1.53</v>
      </c>
      <c r="U5296" s="2">
        <v>64.900000000000006</v>
      </c>
      <c r="V5296" s="2">
        <v>62</v>
      </c>
      <c r="W5296" s="2" t="s">
        <v>7862</v>
      </c>
      <c r="X5296" s="2" t="s">
        <v>2897</v>
      </c>
      <c r="Y5296" s="2">
        <v>6720</v>
      </c>
      <c r="Z5296" s="19" t="str">
        <f>HYPERLINK("https://ssdweb.co/ssdweb/hd/Vision360.html?d=924780200&amp;zoomslide=1&amp;z=1924780200&amp;ISCONFIRM=0","VIDEO")</f>
        <v>VIDEO</v>
      </c>
      <c r="AA5296" s="19" t="str">
        <f>HYPERLINK("https://ssdweb.co/ssdweb/CERTH/601323581.pdf","CERTI")</f>
        <v>CERTI</v>
      </c>
    </row>
    <row r="5297" spans="1:27" ht="15" x14ac:dyDescent="0.25">
      <c r="A5297" s="2">
        <v>5292</v>
      </c>
      <c r="B5297" s="39">
        <v>821113496</v>
      </c>
      <c r="C5297" s="28" t="str">
        <f>HYPERLINK("https://pld.live/RapDetail.aspx?STONELIST=821113496","DNA")</f>
        <v>DNA</v>
      </c>
      <c r="D5297" s="18" t="s">
        <v>3054</v>
      </c>
      <c r="E5297" s="18" t="s">
        <v>2186</v>
      </c>
      <c r="F5297" s="2" t="s">
        <v>7987</v>
      </c>
      <c r="G5297" s="2" t="s">
        <v>7322</v>
      </c>
      <c r="H5297" s="14">
        <v>1.05</v>
      </c>
      <c r="I5297" s="2" t="s">
        <v>4699</v>
      </c>
      <c r="J5297" s="2" t="s">
        <v>13</v>
      </c>
      <c r="K5297" s="2" t="s">
        <v>1452</v>
      </c>
      <c r="L5297" s="2" t="s">
        <v>5221</v>
      </c>
      <c r="M5297" s="2" t="s">
        <v>5221</v>
      </c>
      <c r="N5297" s="2" t="s">
        <v>2317</v>
      </c>
      <c r="O5297" s="14">
        <v>5800</v>
      </c>
      <c r="P5297" s="14">
        <v>98.19</v>
      </c>
      <c r="Q5297" s="14">
        <v>104.98</v>
      </c>
      <c r="R5297" s="14">
        <v>110.23</v>
      </c>
      <c r="S5297" s="2" t="s">
        <v>2019</v>
      </c>
      <c r="T5297" s="2">
        <v>1.44</v>
      </c>
      <c r="U5297" s="2">
        <v>68.8</v>
      </c>
      <c r="V5297" s="2">
        <v>63</v>
      </c>
      <c r="W5297" s="2" t="s">
        <v>7862</v>
      </c>
      <c r="X5297" s="2" t="s">
        <v>2897</v>
      </c>
      <c r="Y5297" s="2">
        <v>6090</v>
      </c>
      <c r="Z5297" s="19" t="str">
        <f>HYPERLINK("https://ssdweb.co/ssdweb/hd/Vision360.html?d=821113496&amp;zoomslide=1&amp;z=1821113496&amp;ISCONFIRM=0","VIDEO")</f>
        <v>VIDEO</v>
      </c>
      <c r="AA5297" s="19" t="str">
        <f>HYPERLINK("https://ssdweb.co/ssdweb/CERTH/606346456.pdf","CERTI")</f>
        <v>CERTI</v>
      </c>
    </row>
    <row r="5298" spans="1:27" ht="15" x14ac:dyDescent="0.25">
      <c r="A5298" s="2">
        <v>5293</v>
      </c>
      <c r="B5298" s="39">
        <v>821113497</v>
      </c>
      <c r="C5298" s="28" t="str">
        <f>HYPERLINK("https://pld.live/RapDetail.aspx?STONELIST=821113497","DNA")</f>
        <v>DNA</v>
      </c>
      <c r="D5298" s="18" t="s">
        <v>3054</v>
      </c>
      <c r="E5298" s="18" t="s">
        <v>2186</v>
      </c>
      <c r="F5298" s="2" t="s">
        <v>7987</v>
      </c>
      <c r="G5298" s="2" t="s">
        <v>7322</v>
      </c>
      <c r="H5298" s="14">
        <v>1.05</v>
      </c>
      <c r="I5298" s="2" t="s">
        <v>4699</v>
      </c>
      <c r="J5298" s="2" t="s">
        <v>13</v>
      </c>
      <c r="K5298" s="2" t="s">
        <v>1452</v>
      </c>
      <c r="L5298" s="2" t="s">
        <v>5221</v>
      </c>
      <c r="M5298" s="2" t="s">
        <v>5221</v>
      </c>
      <c r="N5298" s="2" t="s">
        <v>2317</v>
      </c>
      <c r="O5298" s="14">
        <v>5800</v>
      </c>
      <c r="P5298" s="14">
        <v>98.19</v>
      </c>
      <c r="Q5298" s="14">
        <v>104.98</v>
      </c>
      <c r="R5298" s="14">
        <v>110.23</v>
      </c>
      <c r="S5298" s="2" t="s">
        <v>4474</v>
      </c>
      <c r="T5298" s="2">
        <v>1.43</v>
      </c>
      <c r="U5298" s="2">
        <v>69.2</v>
      </c>
      <c r="V5298" s="2">
        <v>63</v>
      </c>
      <c r="W5298" s="2" t="s">
        <v>7862</v>
      </c>
      <c r="X5298" s="2" t="s">
        <v>2897</v>
      </c>
      <c r="Y5298" s="2">
        <v>6090</v>
      </c>
      <c r="Z5298" s="19" t="str">
        <f>HYPERLINK("https://ssdweb.co/ssdweb/hd/Vision360.html?d=821113497&amp;zoomslide=1&amp;z=1821113497&amp;ISCONFIRM=0","VIDEO")</f>
        <v>VIDEO</v>
      </c>
      <c r="AA5298" s="19" t="str">
        <f>HYPERLINK("https://ssdweb.co/ssdweb/CERTH/604311932.pdf","CERTI")</f>
        <v>CERTI</v>
      </c>
    </row>
    <row r="5299" spans="1:27" ht="15" x14ac:dyDescent="0.25">
      <c r="A5299" s="2">
        <v>5294</v>
      </c>
      <c r="B5299" s="39">
        <v>821113502</v>
      </c>
      <c r="C5299" s="28" t="str">
        <f>HYPERLINK("https://pld.live/RapDetail.aspx?STONELIST=821113502","DNA")</f>
        <v>DNA</v>
      </c>
      <c r="D5299" s="18" t="s">
        <v>3054</v>
      </c>
      <c r="E5299" s="18" t="s">
        <v>2186</v>
      </c>
      <c r="F5299" s="2" t="s">
        <v>7987</v>
      </c>
      <c r="G5299" s="2" t="s">
        <v>7322</v>
      </c>
      <c r="H5299" s="14">
        <v>1.05</v>
      </c>
      <c r="I5299" s="2" t="s">
        <v>4699</v>
      </c>
      <c r="J5299" s="2" t="s">
        <v>13</v>
      </c>
      <c r="K5299" s="2" t="s">
        <v>1452</v>
      </c>
      <c r="L5299" s="2" t="s">
        <v>5221</v>
      </c>
      <c r="M5299" s="2" t="s">
        <v>5221</v>
      </c>
      <c r="N5299" s="2" t="s">
        <v>2317</v>
      </c>
      <c r="O5299" s="14">
        <v>5800</v>
      </c>
      <c r="P5299" s="14">
        <v>98.19</v>
      </c>
      <c r="Q5299" s="14">
        <v>104.98</v>
      </c>
      <c r="R5299" s="14">
        <v>110.23</v>
      </c>
      <c r="S5299" s="2" t="s">
        <v>1675</v>
      </c>
      <c r="T5299" s="2">
        <v>1.44</v>
      </c>
      <c r="U5299" s="2">
        <v>69.2</v>
      </c>
      <c r="V5299" s="2">
        <v>62</v>
      </c>
      <c r="W5299" s="2" t="s">
        <v>7862</v>
      </c>
      <c r="X5299" s="2" t="s">
        <v>2897</v>
      </c>
      <c r="Y5299" s="2">
        <v>6090</v>
      </c>
      <c r="Z5299" s="19" t="str">
        <f>HYPERLINK("https://ssdweb.co/ssdweb/hd/Vision360.html?d=821113502&amp;zoomslide=1&amp;z=1821113502&amp;ISCONFIRM=0","VIDEO")</f>
        <v>VIDEO</v>
      </c>
      <c r="AA5299" s="19" t="str">
        <f>HYPERLINK("https://ssdweb.co/ssdweb/CERTH/612344053.pdf","CERTI")</f>
        <v>CERTI</v>
      </c>
    </row>
    <row r="5300" spans="1:27" ht="15" x14ac:dyDescent="0.25">
      <c r="A5300" s="2">
        <v>5295</v>
      </c>
      <c r="B5300" s="39">
        <v>924260037</v>
      </c>
      <c r="C5300" s="28" t="str">
        <f>HYPERLINK("https://pld.live/RapDetail.aspx?STONELIST=924260037","DNA")</f>
        <v>DNA</v>
      </c>
      <c r="D5300" s="18" t="s">
        <v>3054</v>
      </c>
      <c r="E5300" s="18" t="s">
        <v>2186</v>
      </c>
      <c r="F5300" s="2" t="s">
        <v>7987</v>
      </c>
      <c r="G5300" s="2" t="s">
        <v>7322</v>
      </c>
      <c r="H5300" s="14">
        <v>1.05</v>
      </c>
      <c r="I5300" s="2" t="s">
        <v>1505</v>
      </c>
      <c r="J5300" s="2" t="s">
        <v>3942</v>
      </c>
      <c r="K5300" s="2" t="s">
        <v>1452</v>
      </c>
      <c r="L5300" s="2" t="s">
        <v>5221</v>
      </c>
      <c r="M5300" s="2" t="s">
        <v>5221</v>
      </c>
      <c r="N5300" s="2" t="s">
        <v>2317</v>
      </c>
      <c r="O5300" s="14">
        <v>4900</v>
      </c>
      <c r="P5300" s="14">
        <v>98.02</v>
      </c>
      <c r="Q5300" s="14">
        <v>97.02</v>
      </c>
      <c r="R5300" s="14">
        <v>101.87</v>
      </c>
      <c r="S5300" s="2" t="s">
        <v>1310</v>
      </c>
      <c r="T5300" s="2">
        <v>1.57</v>
      </c>
      <c r="U5300" s="2">
        <v>65.599999999999994</v>
      </c>
      <c r="V5300" s="2">
        <v>67</v>
      </c>
      <c r="W5300" s="2" t="s">
        <v>7862</v>
      </c>
      <c r="X5300" s="2" t="s">
        <v>2897</v>
      </c>
      <c r="Y5300" s="2">
        <v>5145</v>
      </c>
      <c r="Z5300" s="19" t="str">
        <f>HYPERLINK("https://ssdweb.co/ssdweb/hd/Vision360.html?d=924260037&amp;zoomslide=1&amp;z=1924260037&amp;ISCONFIRM=0","VIDEO")</f>
        <v>VIDEO</v>
      </c>
      <c r="AA5300" s="19" t="str">
        <f>HYPERLINK("https://ssdweb.co/ssdweb/CERTH/581348724.pdf","CERTI")</f>
        <v>CERTI</v>
      </c>
    </row>
    <row r="5301" spans="1:27" ht="15" x14ac:dyDescent="0.25">
      <c r="A5301" s="2">
        <v>5296</v>
      </c>
      <c r="B5301" s="39">
        <v>926740884</v>
      </c>
      <c r="C5301" s="28" t="str">
        <f>HYPERLINK("https://pld.live/RapDetail.aspx?STONELIST=926740884","DNA")</f>
        <v>DNA</v>
      </c>
      <c r="D5301" s="18" t="s">
        <v>3054</v>
      </c>
      <c r="E5301" s="18" t="s">
        <v>5128</v>
      </c>
      <c r="F5301" s="2" t="s">
        <v>7987</v>
      </c>
      <c r="G5301" s="2" t="s">
        <v>7322</v>
      </c>
      <c r="H5301" s="14">
        <v>1.04</v>
      </c>
      <c r="I5301" s="2" t="s">
        <v>267</v>
      </c>
      <c r="J5301" s="2" t="s">
        <v>7032</v>
      </c>
      <c r="K5301" s="2" t="s">
        <v>1452</v>
      </c>
      <c r="L5301" s="2" t="s">
        <v>5221</v>
      </c>
      <c r="M5301" s="2" t="s">
        <v>5221</v>
      </c>
      <c r="N5301" s="2" t="s">
        <v>2317</v>
      </c>
      <c r="O5301" s="14">
        <v>9300</v>
      </c>
      <c r="P5301" s="14">
        <v>97.61</v>
      </c>
      <c r="Q5301" s="14">
        <v>222.27</v>
      </c>
      <c r="R5301" s="14">
        <v>231.16</v>
      </c>
      <c r="S5301" s="2" t="s">
        <v>1464</v>
      </c>
      <c r="T5301" s="2">
        <v>1.41</v>
      </c>
      <c r="U5301" s="2">
        <v>64.400000000000006</v>
      </c>
      <c r="V5301" s="2">
        <v>66</v>
      </c>
      <c r="W5301" s="2" t="s">
        <v>7862</v>
      </c>
      <c r="X5301" s="2" t="s">
        <v>2897</v>
      </c>
      <c r="Y5301" s="2">
        <v>9672</v>
      </c>
      <c r="Z5301" s="19" t="str">
        <f>HYPERLINK("https://ssdweb.co/ssdweb/hd/Vision360.html?d=926740884&amp;zoomslide=1&amp;z=1926740884&amp;ISCONFIRM=0","VIDEO")</f>
        <v>VIDEO</v>
      </c>
      <c r="AA5301" s="19" t="str">
        <f>HYPERLINK("https://ssdweb.co/ssdweb/CERTH/666408382.pdf","CERTI")</f>
        <v>CERTI</v>
      </c>
    </row>
    <row r="5302" spans="1:27" ht="15" x14ac:dyDescent="0.25">
      <c r="A5302" s="2">
        <v>5297</v>
      </c>
      <c r="B5302" s="39">
        <v>926631252</v>
      </c>
      <c r="C5302" s="28" t="str">
        <f>HYPERLINK("https://pld.live/RapDetail.aspx?STONELIST=926631252","DNA")</f>
        <v>DNA</v>
      </c>
      <c r="D5302" s="18" t="s">
        <v>3054</v>
      </c>
      <c r="E5302" s="18" t="s">
        <v>5128</v>
      </c>
      <c r="F5302" s="2" t="s">
        <v>7987</v>
      </c>
      <c r="G5302" s="2" t="s">
        <v>7322</v>
      </c>
      <c r="H5302" s="14">
        <v>1.04</v>
      </c>
      <c r="I5302" s="2" t="s">
        <v>267</v>
      </c>
      <c r="J5302" s="2" t="s">
        <v>6555</v>
      </c>
      <c r="K5302" s="2" t="s">
        <v>1452</v>
      </c>
      <c r="L5302" s="2" t="s">
        <v>5221</v>
      </c>
      <c r="M5302" s="2" t="s">
        <v>5221</v>
      </c>
      <c r="N5302" s="2" t="s">
        <v>2317</v>
      </c>
      <c r="O5302" s="14">
        <v>8200</v>
      </c>
      <c r="P5302" s="14">
        <v>98.43</v>
      </c>
      <c r="Q5302" s="14">
        <v>128.74</v>
      </c>
      <c r="R5302" s="14">
        <v>133.88999999999999</v>
      </c>
      <c r="S5302" s="2" t="s">
        <v>7593</v>
      </c>
      <c r="T5302" s="2">
        <v>1.47</v>
      </c>
      <c r="U5302" s="2">
        <v>64.8</v>
      </c>
      <c r="V5302" s="2">
        <v>63</v>
      </c>
      <c r="W5302" s="2" t="s">
        <v>7862</v>
      </c>
      <c r="X5302" s="2" t="s">
        <v>2897</v>
      </c>
      <c r="Y5302" s="2">
        <v>8528</v>
      </c>
      <c r="Z5302" s="19" t="str">
        <f>HYPERLINK("https://ssdweb.co/ssdweb/hd/Vision360.html?d=926631252&amp;zoomslide=1&amp;z=1926631252&amp;ISCONFIRM=0","VIDEO")</f>
        <v>VIDEO</v>
      </c>
      <c r="AA5302" s="19" t="str">
        <f>HYPERLINK("https://ssdweb.co/ssdweb/CERTH/647475483.pdf","CERTI")</f>
        <v>CERTI</v>
      </c>
    </row>
    <row r="5303" spans="1:27" ht="15" x14ac:dyDescent="0.25">
      <c r="A5303" s="2">
        <v>5298</v>
      </c>
      <c r="B5303" s="39">
        <v>926680857</v>
      </c>
      <c r="C5303" s="28" t="str">
        <f>HYPERLINK("https://pld.live/RapDetail.aspx?STONELIST=926680857","DNA")</f>
        <v>DNA</v>
      </c>
      <c r="D5303" s="18" t="s">
        <v>3054</v>
      </c>
      <c r="E5303" s="18" t="s">
        <v>2186</v>
      </c>
      <c r="F5303" s="2" t="s">
        <v>7987</v>
      </c>
      <c r="G5303" s="2" t="s">
        <v>7322</v>
      </c>
      <c r="H5303" s="14">
        <v>1.04</v>
      </c>
      <c r="I5303" s="2" t="s">
        <v>267</v>
      </c>
      <c r="J5303" s="2" t="s">
        <v>3942</v>
      </c>
      <c r="K5303" s="2" t="s">
        <v>1452</v>
      </c>
      <c r="L5303" s="2" t="s">
        <v>5221</v>
      </c>
      <c r="M5303" s="2" t="s">
        <v>5221</v>
      </c>
      <c r="N5303" s="2" t="s">
        <v>2317</v>
      </c>
      <c r="O5303" s="14">
        <v>7600</v>
      </c>
      <c r="P5303" s="14">
        <v>98.46</v>
      </c>
      <c r="Q5303" s="14">
        <v>117.04</v>
      </c>
      <c r="R5303" s="14">
        <v>121.72</v>
      </c>
      <c r="S5303" s="2" t="s">
        <v>447</v>
      </c>
      <c r="T5303" s="2">
        <v>1.4</v>
      </c>
      <c r="U5303" s="2">
        <v>66.5</v>
      </c>
      <c r="V5303" s="2">
        <v>65</v>
      </c>
      <c r="W5303" s="2" t="s">
        <v>7862</v>
      </c>
      <c r="X5303" s="2" t="s">
        <v>2897</v>
      </c>
      <c r="Y5303" s="2">
        <v>7904</v>
      </c>
      <c r="Z5303" s="19" t="str">
        <f>HYPERLINK("https://ssdweb.co/ssdweb/hd/Vision360.html?d=926680857&amp;zoomslide=1&amp;z=1926680857&amp;ISCONFIRM=0","VIDEO")</f>
        <v>VIDEO</v>
      </c>
      <c r="AA5303" s="19" t="str">
        <f>HYPERLINK("https://ssdweb.co/ssdweb/CERTH/656485774.pdf","CERTI")</f>
        <v>CERTI</v>
      </c>
    </row>
    <row r="5304" spans="1:27" ht="15" x14ac:dyDescent="0.25">
      <c r="A5304" s="2">
        <v>5299</v>
      </c>
      <c r="B5304" s="39">
        <v>926620211</v>
      </c>
      <c r="C5304" s="28" t="str">
        <f>HYPERLINK("https://pld.live/RapDetail.aspx?STONELIST=926620211","DNA")</f>
        <v>DNA</v>
      </c>
      <c r="D5304" s="18" t="s">
        <v>3054</v>
      </c>
      <c r="E5304" s="18" t="s">
        <v>5128</v>
      </c>
      <c r="F5304" s="2" t="s">
        <v>7987</v>
      </c>
      <c r="G5304" s="2" t="s">
        <v>7322</v>
      </c>
      <c r="H5304" s="14">
        <v>1.04</v>
      </c>
      <c r="I5304" s="2" t="s">
        <v>267</v>
      </c>
      <c r="J5304" s="2" t="s">
        <v>3942</v>
      </c>
      <c r="K5304" s="2" t="s">
        <v>1452</v>
      </c>
      <c r="L5304" s="2" t="s">
        <v>5221</v>
      </c>
      <c r="M5304" s="2" t="s">
        <v>5221</v>
      </c>
      <c r="N5304" s="2" t="s">
        <v>2317</v>
      </c>
      <c r="O5304" s="14">
        <v>7600</v>
      </c>
      <c r="P5304" s="14">
        <v>98.46</v>
      </c>
      <c r="Q5304" s="14">
        <v>117.04</v>
      </c>
      <c r="R5304" s="14">
        <v>121.72</v>
      </c>
      <c r="S5304" s="2" t="s">
        <v>2850</v>
      </c>
      <c r="T5304" s="2">
        <v>1.41</v>
      </c>
      <c r="U5304" s="2">
        <v>67.2</v>
      </c>
      <c r="V5304" s="2">
        <v>64</v>
      </c>
      <c r="W5304" s="2" t="s">
        <v>7862</v>
      </c>
      <c r="X5304" s="2" t="s">
        <v>2897</v>
      </c>
      <c r="Y5304" s="2">
        <v>7904</v>
      </c>
      <c r="Z5304" s="19" t="str">
        <f>HYPERLINK("https://ssdweb.co/ssdweb/hd/Vision360.html?d=926620211&amp;zoomslide=1&amp;z=1926620211&amp;ISCONFIRM=0","VIDEO")</f>
        <v>VIDEO</v>
      </c>
      <c r="AA5304" s="19" t="str">
        <f>HYPERLINK("https://ssdweb.co/ssdweb/CERTH/648487383.pdf","CERTI")</f>
        <v>CERTI</v>
      </c>
    </row>
    <row r="5305" spans="1:27" ht="15" x14ac:dyDescent="0.25">
      <c r="A5305" s="2">
        <v>5300</v>
      </c>
      <c r="B5305" s="39">
        <v>926700791</v>
      </c>
      <c r="C5305" s="28" t="str">
        <f>HYPERLINK("https://pld.live/RapDetail.aspx?STONELIST=926700791","DNA")</f>
        <v>DNA</v>
      </c>
      <c r="D5305" s="18" t="s">
        <v>3054</v>
      </c>
      <c r="E5305" s="18" t="s">
        <v>5128</v>
      </c>
      <c r="F5305" s="2" t="s">
        <v>7987</v>
      </c>
      <c r="G5305" s="2" t="s">
        <v>7322</v>
      </c>
      <c r="H5305" s="14">
        <v>1.04</v>
      </c>
      <c r="I5305" s="2" t="s">
        <v>267</v>
      </c>
      <c r="J5305" s="2" t="s">
        <v>3942</v>
      </c>
      <c r="K5305" s="2" t="s">
        <v>1452</v>
      </c>
      <c r="L5305" s="2" t="s">
        <v>5221</v>
      </c>
      <c r="M5305" s="2" t="s">
        <v>5221</v>
      </c>
      <c r="N5305" s="2" t="s">
        <v>2317</v>
      </c>
      <c r="O5305" s="14">
        <v>7600</v>
      </c>
      <c r="P5305" s="14">
        <v>98.46</v>
      </c>
      <c r="Q5305" s="14">
        <v>117.04</v>
      </c>
      <c r="R5305" s="14">
        <v>121.72</v>
      </c>
      <c r="S5305" s="2" t="s">
        <v>3544</v>
      </c>
      <c r="T5305" s="2">
        <v>1.41</v>
      </c>
      <c r="U5305" s="2">
        <v>66.400000000000006</v>
      </c>
      <c r="V5305" s="2">
        <v>66</v>
      </c>
      <c r="W5305" s="2" t="s">
        <v>7862</v>
      </c>
      <c r="X5305" s="2" t="s">
        <v>2897</v>
      </c>
      <c r="Y5305" s="2">
        <v>7904</v>
      </c>
      <c r="Z5305" s="19" t="str">
        <f>HYPERLINK("https://ssdweb.co/ssdweb/hd/Vision360.html?d=926700791&amp;zoomslide=1&amp;z=1926700791&amp;ISCONFIRM=0","VIDEO")</f>
        <v>VIDEO</v>
      </c>
      <c r="AA5305" s="19" t="str">
        <f>HYPERLINK("https://ssdweb.co/ssdweb/CERTH/656485750.pdf","CERTI")</f>
        <v>CERTI</v>
      </c>
    </row>
    <row r="5306" spans="1:27" ht="15" x14ac:dyDescent="0.25">
      <c r="A5306" s="2">
        <v>5301</v>
      </c>
      <c r="B5306" s="39">
        <v>926741046</v>
      </c>
      <c r="C5306" s="28" t="str">
        <f>HYPERLINK("https://pld.live/RapDetail.aspx?STONELIST=926741046","DNA")</f>
        <v>DNA</v>
      </c>
      <c r="D5306" s="18" t="s">
        <v>3054</v>
      </c>
      <c r="E5306" s="18" t="s">
        <v>5128</v>
      </c>
      <c r="F5306" s="2" t="s">
        <v>7987</v>
      </c>
      <c r="G5306" s="2" t="s">
        <v>7322</v>
      </c>
      <c r="H5306" s="14">
        <v>1.04</v>
      </c>
      <c r="I5306" s="2" t="s">
        <v>267</v>
      </c>
      <c r="J5306" s="2" t="s">
        <v>3942</v>
      </c>
      <c r="K5306" s="2" t="s">
        <v>1452</v>
      </c>
      <c r="L5306" s="2" t="s">
        <v>5221</v>
      </c>
      <c r="M5306" s="2" t="s">
        <v>5221</v>
      </c>
      <c r="N5306" s="2" t="s">
        <v>2317</v>
      </c>
      <c r="O5306" s="14">
        <v>7600</v>
      </c>
      <c r="P5306" s="14">
        <v>98.46</v>
      </c>
      <c r="Q5306" s="14">
        <v>117.04</v>
      </c>
      <c r="R5306" s="14">
        <v>121.72</v>
      </c>
      <c r="S5306" s="2" t="s">
        <v>4724</v>
      </c>
      <c r="T5306" s="2">
        <v>1.42</v>
      </c>
      <c r="U5306" s="2">
        <v>64.599999999999994</v>
      </c>
      <c r="V5306" s="2">
        <v>66</v>
      </c>
      <c r="W5306" s="2" t="s">
        <v>7862</v>
      </c>
      <c r="X5306" s="2" t="s">
        <v>2897</v>
      </c>
      <c r="Y5306" s="2">
        <v>7904</v>
      </c>
      <c r="Z5306" s="19" t="str">
        <f>HYPERLINK("https://ssdweb.co/ssdweb/hd/Vision360.html?d=926741046&amp;zoomslide=1&amp;z=1926741046&amp;ISCONFIRM=0","VIDEO")</f>
        <v>VIDEO</v>
      </c>
      <c r="AA5306" s="19" t="str">
        <f>HYPERLINK("https://ssdweb.co/ssdweb/CERTH/656485734.pdf","CERTI")</f>
        <v>CERTI</v>
      </c>
    </row>
    <row r="5307" spans="1:27" ht="15" x14ac:dyDescent="0.25">
      <c r="A5307" s="2">
        <v>5302</v>
      </c>
      <c r="B5307" s="39">
        <v>926310964</v>
      </c>
      <c r="C5307" s="28" t="str">
        <f>HYPERLINK("https://pld.live/RapDetail.aspx?STONELIST=926310964","DNA")</f>
        <v>DNA</v>
      </c>
      <c r="D5307" s="18" t="s">
        <v>3054</v>
      </c>
      <c r="E5307" s="18" t="s">
        <v>5128</v>
      </c>
      <c r="F5307" s="2" t="s">
        <v>7987</v>
      </c>
      <c r="G5307" s="2" t="s">
        <v>7322</v>
      </c>
      <c r="H5307" s="14">
        <v>1.04</v>
      </c>
      <c r="I5307" s="2" t="s">
        <v>267</v>
      </c>
      <c r="J5307" s="2" t="s">
        <v>3942</v>
      </c>
      <c r="K5307" s="2" t="s">
        <v>1452</v>
      </c>
      <c r="L5307" s="2" t="s">
        <v>5221</v>
      </c>
      <c r="M5307" s="2" t="s">
        <v>5221</v>
      </c>
      <c r="N5307" s="2" t="s">
        <v>2317</v>
      </c>
      <c r="O5307" s="14">
        <v>7600</v>
      </c>
      <c r="P5307" s="14">
        <v>98.46</v>
      </c>
      <c r="Q5307" s="14">
        <v>117.04</v>
      </c>
      <c r="R5307" s="14">
        <v>121.72</v>
      </c>
      <c r="S5307" s="2" t="s">
        <v>1258</v>
      </c>
      <c r="T5307" s="2">
        <v>1.43</v>
      </c>
      <c r="U5307" s="2">
        <v>66.8</v>
      </c>
      <c r="V5307" s="2">
        <v>65</v>
      </c>
      <c r="W5307" s="2" t="s">
        <v>7862</v>
      </c>
      <c r="X5307" s="2" t="s">
        <v>2897</v>
      </c>
      <c r="Y5307" s="2">
        <v>7904</v>
      </c>
      <c r="Z5307" s="19" t="str">
        <f>HYPERLINK("https://ssdweb.co/ssdweb/hd/Vision360.html?d=926310964&amp;zoomslide=1&amp;z=1926310964&amp;ISCONFIRM=0","VIDEO")</f>
        <v>VIDEO</v>
      </c>
      <c r="AA5307" s="19" t="str">
        <f>HYPERLINK("https://ssdweb.co/ssdweb/CERTH/648487389.pdf","CERTI")</f>
        <v>CERTI</v>
      </c>
    </row>
    <row r="5308" spans="1:27" ht="15" x14ac:dyDescent="0.25">
      <c r="A5308" s="2">
        <v>5303</v>
      </c>
      <c r="B5308" s="39">
        <v>926670999</v>
      </c>
      <c r="C5308" s="28" t="str">
        <f>HYPERLINK("https://pld.live/RapDetail.aspx?STONELIST=926670999","DNA")</f>
        <v>DNA</v>
      </c>
      <c r="D5308" s="18" t="s">
        <v>3054</v>
      </c>
      <c r="E5308" s="18" t="s">
        <v>5128</v>
      </c>
      <c r="F5308" s="2" t="s">
        <v>7987</v>
      </c>
      <c r="G5308" s="2" t="s">
        <v>7322</v>
      </c>
      <c r="H5308" s="14">
        <v>1.04</v>
      </c>
      <c r="I5308" s="2" t="s">
        <v>267</v>
      </c>
      <c r="J5308" s="2" t="s">
        <v>13</v>
      </c>
      <c r="K5308" s="2" t="s">
        <v>1452</v>
      </c>
      <c r="L5308" s="2" t="s">
        <v>5221</v>
      </c>
      <c r="M5308" s="2" t="s">
        <v>5221</v>
      </c>
      <c r="N5308" s="2" t="s">
        <v>2317</v>
      </c>
      <c r="O5308" s="14">
        <v>6700</v>
      </c>
      <c r="P5308" s="14">
        <v>98.3</v>
      </c>
      <c r="Q5308" s="14">
        <v>113.9</v>
      </c>
      <c r="R5308" s="14">
        <v>118.46</v>
      </c>
      <c r="S5308" s="2" t="s">
        <v>6086</v>
      </c>
      <c r="T5308" s="2">
        <v>1.4</v>
      </c>
      <c r="U5308" s="2">
        <v>64.400000000000006</v>
      </c>
      <c r="V5308" s="2">
        <v>64</v>
      </c>
      <c r="W5308" s="2" t="s">
        <v>7862</v>
      </c>
      <c r="X5308" s="2" t="s">
        <v>2897</v>
      </c>
      <c r="Y5308" s="2">
        <v>6968</v>
      </c>
      <c r="Z5308" s="19" t="str">
        <f>HYPERLINK("https://ssdweb.co/ssdweb/hd/Vision360.html?d=926670999&amp;zoomslide=1&amp;z=1926670999&amp;ISCONFIRM=0","VIDEO")</f>
        <v>VIDEO</v>
      </c>
      <c r="AA5308" s="19" t="str">
        <f>HYPERLINK("https://ssdweb.co/ssdweb/CERTH/647475471.pdf","CERTI")</f>
        <v>CERTI</v>
      </c>
    </row>
    <row r="5309" spans="1:27" ht="15" x14ac:dyDescent="0.25">
      <c r="A5309" s="2">
        <v>5304</v>
      </c>
      <c r="B5309" s="39">
        <v>926630543</v>
      </c>
      <c r="C5309" s="28" t="str">
        <f>HYPERLINK("https://pld.live/RapDetail.aspx?STONELIST=926630543","DNA")</f>
        <v>DNA</v>
      </c>
      <c r="D5309" s="18" t="s">
        <v>3054</v>
      </c>
      <c r="E5309" s="18" t="s">
        <v>5128</v>
      </c>
      <c r="F5309" s="2" t="s">
        <v>7987</v>
      </c>
      <c r="G5309" s="2" t="s">
        <v>7322</v>
      </c>
      <c r="H5309" s="14">
        <v>1.04</v>
      </c>
      <c r="I5309" s="2" t="s">
        <v>267</v>
      </c>
      <c r="J5309" s="2" t="s">
        <v>13</v>
      </c>
      <c r="K5309" s="2" t="s">
        <v>1452</v>
      </c>
      <c r="L5309" s="2" t="s">
        <v>5221</v>
      </c>
      <c r="M5309" s="2" t="s">
        <v>5221</v>
      </c>
      <c r="N5309" s="2" t="s">
        <v>2317</v>
      </c>
      <c r="O5309" s="14">
        <v>6700</v>
      </c>
      <c r="P5309" s="14">
        <v>98.3</v>
      </c>
      <c r="Q5309" s="14">
        <v>113.9</v>
      </c>
      <c r="R5309" s="14">
        <v>118.46</v>
      </c>
      <c r="S5309" s="2" t="s">
        <v>41</v>
      </c>
      <c r="T5309" s="2">
        <v>1.45</v>
      </c>
      <c r="U5309" s="2">
        <v>64.8</v>
      </c>
      <c r="V5309" s="2">
        <v>66</v>
      </c>
      <c r="W5309" s="2" t="s">
        <v>7862</v>
      </c>
      <c r="X5309" s="2" t="s">
        <v>2897</v>
      </c>
      <c r="Y5309" s="2">
        <v>6968</v>
      </c>
      <c r="Z5309" s="19" t="str">
        <f>HYPERLINK("https://ssdweb.co/ssdweb/hd/Vision360.html?d=926630543&amp;zoomslide=1&amp;z=1926630543&amp;ISCONFIRM=0","VIDEO")</f>
        <v>VIDEO</v>
      </c>
      <c r="AA5309" s="19" t="str">
        <f>HYPERLINK("https://ssdweb.co/ssdweb/CERTH/666408374.pdf","CERTI")</f>
        <v>CERTI</v>
      </c>
    </row>
    <row r="5310" spans="1:27" ht="15" x14ac:dyDescent="0.25">
      <c r="A5310" s="2">
        <v>5305</v>
      </c>
      <c r="B5310" s="39">
        <v>926770431</v>
      </c>
      <c r="C5310" s="28" t="str">
        <f>HYPERLINK("https://pld.live/RapDetail.aspx?STONELIST=926770431","DNA")</f>
        <v>DNA</v>
      </c>
      <c r="D5310" s="18" t="s">
        <v>3054</v>
      </c>
      <c r="E5310" s="18" t="s">
        <v>5128</v>
      </c>
      <c r="F5310" s="2" t="s">
        <v>7987</v>
      </c>
      <c r="G5310" s="2" t="s">
        <v>7322</v>
      </c>
      <c r="H5310" s="14">
        <v>1.04</v>
      </c>
      <c r="I5310" s="2" t="s">
        <v>267</v>
      </c>
      <c r="J5310" s="2" t="s">
        <v>13</v>
      </c>
      <c r="K5310" s="2" t="s">
        <v>1452</v>
      </c>
      <c r="L5310" s="2" t="s">
        <v>5221</v>
      </c>
      <c r="M5310" s="2" t="s">
        <v>5221</v>
      </c>
      <c r="N5310" s="2" t="s">
        <v>2317</v>
      </c>
      <c r="O5310" s="14">
        <v>6700</v>
      </c>
      <c r="P5310" s="14">
        <v>98.3</v>
      </c>
      <c r="Q5310" s="14">
        <v>113.9</v>
      </c>
      <c r="R5310" s="14">
        <v>118.46</v>
      </c>
      <c r="S5310" s="2" t="s">
        <v>1436</v>
      </c>
      <c r="T5310" s="2">
        <v>1.41</v>
      </c>
      <c r="U5310" s="2">
        <v>65.3</v>
      </c>
      <c r="V5310" s="2">
        <v>65</v>
      </c>
      <c r="W5310" s="2" t="s">
        <v>7862</v>
      </c>
      <c r="X5310" s="2" t="s">
        <v>2897</v>
      </c>
      <c r="Y5310" s="2">
        <v>6968</v>
      </c>
      <c r="Z5310" s="19" t="str">
        <f>HYPERLINK("https://ssdweb.co/ssdweb/hd/Vision360.html?d=926770431&amp;zoomslide=1&amp;z=1926770431&amp;ISCONFIRM=0","VIDEO")</f>
        <v>VIDEO</v>
      </c>
      <c r="AA5310" s="19" t="str">
        <f>HYPERLINK("https://ssdweb.co/ssdweb/CERTH/651466287.pdf","CERTI")</f>
        <v>CERTI</v>
      </c>
    </row>
    <row r="5311" spans="1:27" ht="15" x14ac:dyDescent="0.25">
      <c r="A5311" s="2">
        <v>5306</v>
      </c>
      <c r="B5311" s="39">
        <v>926750729</v>
      </c>
      <c r="C5311" s="28" t="str">
        <f>HYPERLINK("https://pld.live/RapDetail.aspx?STONELIST=926750729","DNA")</f>
        <v>DNA</v>
      </c>
      <c r="D5311" s="18" t="s">
        <v>3054</v>
      </c>
      <c r="E5311" s="18" t="s">
        <v>5128</v>
      </c>
      <c r="F5311" s="2" t="s">
        <v>7987</v>
      </c>
      <c r="G5311" s="2" t="s">
        <v>7322</v>
      </c>
      <c r="H5311" s="14">
        <v>1.04</v>
      </c>
      <c r="I5311" s="2" t="s">
        <v>267</v>
      </c>
      <c r="J5311" s="2" t="s">
        <v>13</v>
      </c>
      <c r="K5311" s="2" t="s">
        <v>1452</v>
      </c>
      <c r="L5311" s="2" t="s">
        <v>5221</v>
      </c>
      <c r="M5311" s="2" t="s">
        <v>5221</v>
      </c>
      <c r="N5311" s="2" t="s">
        <v>2317</v>
      </c>
      <c r="O5311" s="14">
        <v>6700</v>
      </c>
      <c r="P5311" s="14">
        <v>98.3</v>
      </c>
      <c r="Q5311" s="14">
        <v>113.9</v>
      </c>
      <c r="R5311" s="14">
        <v>118.46</v>
      </c>
      <c r="S5311" s="2" t="s">
        <v>710</v>
      </c>
      <c r="T5311" s="2">
        <v>1.4</v>
      </c>
      <c r="U5311" s="2">
        <v>64.5</v>
      </c>
      <c r="V5311" s="2">
        <v>67</v>
      </c>
      <c r="W5311" s="2" t="s">
        <v>7862</v>
      </c>
      <c r="X5311" s="2" t="s">
        <v>2897</v>
      </c>
      <c r="Y5311" s="2">
        <v>6968</v>
      </c>
      <c r="Z5311" s="19" t="str">
        <f>HYPERLINK("https://ssdweb.co/ssdweb/hd/Vision360.html?d=926750729&amp;zoomslide=1&amp;z=1926750729&amp;ISCONFIRM=0","VIDEO")</f>
        <v>VIDEO</v>
      </c>
      <c r="AA5311" s="19" t="str">
        <f>HYPERLINK("https://ssdweb.co/ssdweb/CERTH/666408384.pdf","CERTI")</f>
        <v>CERTI</v>
      </c>
    </row>
    <row r="5312" spans="1:27" ht="15" x14ac:dyDescent="0.25">
      <c r="A5312" s="2">
        <v>5307</v>
      </c>
      <c r="B5312" s="39">
        <v>926870867</v>
      </c>
      <c r="C5312" s="28" t="str">
        <f>HYPERLINK("https://pld.live/RapDetail.aspx?STONELIST=926870867","DNA")</f>
        <v>DNA</v>
      </c>
      <c r="D5312" s="18" t="s">
        <v>3054</v>
      </c>
      <c r="E5312" s="18" t="s">
        <v>5128</v>
      </c>
      <c r="F5312" s="2" t="s">
        <v>7987</v>
      </c>
      <c r="G5312" s="2" t="s">
        <v>7322</v>
      </c>
      <c r="H5312" s="14">
        <v>1.04</v>
      </c>
      <c r="I5312" s="2" t="s">
        <v>267</v>
      </c>
      <c r="J5312" s="2" t="s">
        <v>13</v>
      </c>
      <c r="K5312" s="2" t="s">
        <v>1452</v>
      </c>
      <c r="L5312" s="2" t="s">
        <v>5221</v>
      </c>
      <c r="M5312" s="2" t="s">
        <v>5221</v>
      </c>
      <c r="N5312" s="2" t="s">
        <v>2317</v>
      </c>
      <c r="O5312" s="14">
        <v>6700</v>
      </c>
      <c r="P5312" s="14">
        <v>98.3</v>
      </c>
      <c r="Q5312" s="14">
        <v>113.9</v>
      </c>
      <c r="R5312" s="14">
        <v>118.46</v>
      </c>
      <c r="S5312" s="2" t="s">
        <v>2277</v>
      </c>
      <c r="T5312" s="2">
        <v>1.4</v>
      </c>
      <c r="U5312" s="2">
        <v>66.7</v>
      </c>
      <c r="V5312" s="2">
        <v>68</v>
      </c>
      <c r="W5312" s="2" t="s">
        <v>7862</v>
      </c>
      <c r="X5312" s="2" t="s">
        <v>2897</v>
      </c>
      <c r="Y5312" s="2">
        <v>6968</v>
      </c>
      <c r="Z5312" s="19" t="str">
        <f>HYPERLINK("https://ssdweb.co/ssdweb/hd/Vision360.html?d=926870867&amp;zoomslide=1&amp;z=1926870867&amp;ISCONFIRM=0","VIDEO")</f>
        <v>VIDEO</v>
      </c>
      <c r="AA5312" s="19" t="str">
        <f>HYPERLINK("https://ssdweb.co/ssdweb/CERTH/653451076.pdf","CERTI")</f>
        <v>CERTI</v>
      </c>
    </row>
    <row r="5313" spans="1:27" ht="15" x14ac:dyDescent="0.25">
      <c r="A5313" s="2">
        <v>5308</v>
      </c>
      <c r="B5313" s="39">
        <v>926291363</v>
      </c>
      <c r="C5313" s="28" t="str">
        <f>HYPERLINK("https://pld.live/RapDetail.aspx?STONELIST=926291363","DNA")</f>
        <v>DNA</v>
      </c>
      <c r="D5313" s="18" t="s">
        <v>3054</v>
      </c>
      <c r="E5313" s="18" t="s">
        <v>5128</v>
      </c>
      <c r="F5313" s="2" t="s">
        <v>7987</v>
      </c>
      <c r="G5313" s="2" t="s">
        <v>7322</v>
      </c>
      <c r="H5313" s="14">
        <v>1.04</v>
      </c>
      <c r="I5313" s="2" t="s">
        <v>267</v>
      </c>
      <c r="J5313" s="2" t="s">
        <v>13</v>
      </c>
      <c r="K5313" s="2" t="s">
        <v>1452</v>
      </c>
      <c r="L5313" s="2" t="s">
        <v>5221</v>
      </c>
      <c r="M5313" s="2" t="s">
        <v>5221</v>
      </c>
      <c r="N5313" s="2" t="s">
        <v>2317</v>
      </c>
      <c r="O5313" s="14">
        <v>6700</v>
      </c>
      <c r="P5313" s="14">
        <v>98.3</v>
      </c>
      <c r="Q5313" s="14">
        <v>113.9</v>
      </c>
      <c r="R5313" s="14">
        <v>118.46</v>
      </c>
      <c r="S5313" s="2" t="s">
        <v>5704</v>
      </c>
      <c r="T5313" s="2">
        <v>1.47</v>
      </c>
      <c r="U5313" s="2">
        <v>65</v>
      </c>
      <c r="V5313" s="2">
        <v>62</v>
      </c>
      <c r="W5313" s="2" t="s">
        <v>7862</v>
      </c>
      <c r="X5313" s="2" t="s">
        <v>2897</v>
      </c>
      <c r="Y5313" s="2">
        <v>6968</v>
      </c>
      <c r="Z5313" s="19" t="str">
        <f>HYPERLINK("https://ssdweb.co/ssdweb/hd/Vision360.html?d=926291363&amp;zoomslide=1&amp;z=1926291363&amp;ISCONFIRM=0","VIDEO")</f>
        <v>VIDEO</v>
      </c>
      <c r="AA5313" s="19" t="str">
        <f>HYPERLINK("https://ssdweb.co/ssdweb/CERTH/666408372.pdf","CERTI")</f>
        <v>CERTI</v>
      </c>
    </row>
    <row r="5314" spans="1:27" ht="15" x14ac:dyDescent="0.25">
      <c r="A5314" s="2">
        <v>5309</v>
      </c>
      <c r="B5314" s="39">
        <v>926291269</v>
      </c>
      <c r="C5314" s="28" t="str">
        <f>HYPERLINK("https://pld.live/RapDetail.aspx?STONELIST=926291269","DNA")</f>
        <v>DNA</v>
      </c>
      <c r="D5314" s="18" t="s">
        <v>3054</v>
      </c>
      <c r="E5314" s="18" t="s">
        <v>5128</v>
      </c>
      <c r="F5314" s="2" t="s">
        <v>7987</v>
      </c>
      <c r="G5314" s="2" t="s">
        <v>7322</v>
      </c>
      <c r="H5314" s="14">
        <v>1.04</v>
      </c>
      <c r="I5314" s="2" t="s">
        <v>267</v>
      </c>
      <c r="J5314" s="2" t="s">
        <v>13</v>
      </c>
      <c r="K5314" s="2" t="s">
        <v>1452</v>
      </c>
      <c r="L5314" s="2" t="s">
        <v>5221</v>
      </c>
      <c r="M5314" s="2" t="s">
        <v>5221</v>
      </c>
      <c r="N5314" s="2" t="s">
        <v>2317</v>
      </c>
      <c r="O5314" s="14">
        <v>6700</v>
      </c>
      <c r="P5314" s="14">
        <v>98.31</v>
      </c>
      <c r="Q5314" s="14">
        <v>113.23</v>
      </c>
      <c r="R5314" s="14">
        <v>117.76</v>
      </c>
      <c r="S5314" s="2" t="s">
        <v>3898</v>
      </c>
      <c r="T5314" s="2">
        <v>1.37</v>
      </c>
      <c r="U5314" s="2">
        <v>65.5</v>
      </c>
      <c r="V5314" s="2">
        <v>68</v>
      </c>
      <c r="W5314" s="2" t="s">
        <v>7862</v>
      </c>
      <c r="X5314" s="2" t="s">
        <v>2897</v>
      </c>
      <c r="Y5314" s="2">
        <v>6968</v>
      </c>
      <c r="Z5314" s="19" t="str">
        <f>HYPERLINK("https://ssdweb.co/ssdweb/hd/Vision360.html?d=926291269&amp;zoomslide=1&amp;z=1926291269&amp;ISCONFIRM=0","VIDEO")</f>
        <v>VIDEO</v>
      </c>
      <c r="AA5314" s="19" t="str">
        <f>HYPERLINK("https://ssdweb.co/ssdweb/CERTH/638463167.pdf","CERTI")</f>
        <v>CERTI</v>
      </c>
    </row>
    <row r="5315" spans="1:27" ht="15" x14ac:dyDescent="0.25">
      <c r="A5315" s="2">
        <v>5310</v>
      </c>
      <c r="B5315" s="39">
        <v>926620995</v>
      </c>
      <c r="C5315" s="28" t="str">
        <f>HYPERLINK("https://pld.live/RapDetail.aspx?STONELIST=926620995","DNA")</f>
        <v>DNA</v>
      </c>
      <c r="D5315" s="18" t="s">
        <v>3054</v>
      </c>
      <c r="E5315" s="18" t="s">
        <v>5128</v>
      </c>
      <c r="F5315" s="2" t="s">
        <v>7987</v>
      </c>
      <c r="G5315" s="2" t="s">
        <v>7322</v>
      </c>
      <c r="H5315" s="14">
        <v>1.04</v>
      </c>
      <c r="I5315" s="2" t="s">
        <v>4761</v>
      </c>
      <c r="J5315" s="2" t="s">
        <v>3942</v>
      </c>
      <c r="K5315" s="2" t="s">
        <v>1452</v>
      </c>
      <c r="L5315" s="2" t="s">
        <v>5221</v>
      </c>
      <c r="M5315" s="2" t="s">
        <v>5221</v>
      </c>
      <c r="N5315" s="2" t="s">
        <v>2317</v>
      </c>
      <c r="O5315" s="14">
        <v>6900</v>
      </c>
      <c r="P5315" s="14">
        <v>98.33</v>
      </c>
      <c r="Q5315" s="14">
        <v>115.23</v>
      </c>
      <c r="R5315" s="14">
        <v>119.84</v>
      </c>
      <c r="S5315" s="2" t="s">
        <v>5707</v>
      </c>
      <c r="T5315" s="2">
        <v>1.43</v>
      </c>
      <c r="U5315" s="2">
        <v>65.099999999999994</v>
      </c>
      <c r="V5315" s="2">
        <v>64</v>
      </c>
      <c r="W5315" s="2" t="s">
        <v>7862</v>
      </c>
      <c r="X5315" s="2" t="s">
        <v>2897</v>
      </c>
      <c r="Y5315" s="2">
        <v>7176</v>
      </c>
      <c r="Z5315" s="19" t="str">
        <f>HYPERLINK("https://ssdweb.co/ssdweb/hd/Vision360.html?d=926620995&amp;zoomslide=1&amp;z=1926620995&amp;ISCONFIRM=0","VIDEO")</f>
        <v>VIDEO</v>
      </c>
      <c r="AA5315" s="19" t="str">
        <f>HYPERLINK("https://ssdweb.co/ssdweb/CERTH/647424294.pdf","CERTI")</f>
        <v>CERTI</v>
      </c>
    </row>
    <row r="5316" spans="1:27" ht="15" x14ac:dyDescent="0.25">
      <c r="A5316" s="2">
        <v>5311</v>
      </c>
      <c r="B5316" s="39">
        <v>926700755</v>
      </c>
      <c r="C5316" s="28" t="str">
        <f>HYPERLINK("https://pld.live/RapDetail.aspx?STONELIST=926700755","DNA")</f>
        <v>DNA</v>
      </c>
      <c r="D5316" s="18" t="s">
        <v>3054</v>
      </c>
      <c r="E5316" s="18" t="s">
        <v>5128</v>
      </c>
      <c r="F5316" s="2" t="s">
        <v>7987</v>
      </c>
      <c r="G5316" s="2" t="s">
        <v>7322</v>
      </c>
      <c r="H5316" s="14">
        <v>1.04</v>
      </c>
      <c r="I5316" s="2" t="s">
        <v>4761</v>
      </c>
      <c r="J5316" s="2" t="s">
        <v>3942</v>
      </c>
      <c r="K5316" s="2" t="s">
        <v>1452</v>
      </c>
      <c r="L5316" s="2" t="s">
        <v>5221</v>
      </c>
      <c r="M5316" s="2" t="s">
        <v>5221</v>
      </c>
      <c r="N5316" s="2" t="s">
        <v>2317</v>
      </c>
      <c r="O5316" s="14">
        <v>6900</v>
      </c>
      <c r="P5316" s="14">
        <v>98.33</v>
      </c>
      <c r="Q5316" s="14">
        <v>115.23</v>
      </c>
      <c r="R5316" s="14">
        <v>119.84</v>
      </c>
      <c r="S5316" s="2" t="s">
        <v>1381</v>
      </c>
      <c r="T5316" s="2">
        <v>1.4</v>
      </c>
      <c r="U5316" s="2">
        <v>64.7</v>
      </c>
      <c r="V5316" s="2">
        <v>64</v>
      </c>
      <c r="W5316" s="2" t="s">
        <v>7862</v>
      </c>
      <c r="X5316" s="2" t="s">
        <v>2897</v>
      </c>
      <c r="Y5316" s="2">
        <v>7176</v>
      </c>
      <c r="Z5316" s="19" t="str">
        <f>HYPERLINK("https://ssdweb.co/ssdweb/hd/Vision360.html?d=926700755&amp;zoomslide=1&amp;z=1926700755&amp;ISCONFIRM=0","VIDEO")</f>
        <v>VIDEO</v>
      </c>
      <c r="AA5316" s="19" t="str">
        <f>HYPERLINK("https://ssdweb.co/ssdweb/CERTH/666408378.pdf","CERTI")</f>
        <v>CERTI</v>
      </c>
    </row>
    <row r="5317" spans="1:27" ht="15" x14ac:dyDescent="0.25">
      <c r="A5317" s="2">
        <v>5312</v>
      </c>
      <c r="B5317" s="39">
        <v>926740264</v>
      </c>
      <c r="C5317" s="28" t="str">
        <f>HYPERLINK("https://pld.live/RapDetail.aspx?STONELIST=926740264","DNA")</f>
        <v>DNA</v>
      </c>
      <c r="D5317" s="18" t="s">
        <v>3054</v>
      </c>
      <c r="E5317" s="18" t="s">
        <v>5128</v>
      </c>
      <c r="F5317" s="2" t="s">
        <v>7987</v>
      </c>
      <c r="G5317" s="2" t="s">
        <v>7322</v>
      </c>
      <c r="H5317" s="14">
        <v>1.04</v>
      </c>
      <c r="I5317" s="2" t="s">
        <v>4761</v>
      </c>
      <c r="J5317" s="2" t="s">
        <v>3942</v>
      </c>
      <c r="K5317" s="2" t="s">
        <v>1452</v>
      </c>
      <c r="L5317" s="2" t="s">
        <v>5221</v>
      </c>
      <c r="M5317" s="2" t="s">
        <v>5221</v>
      </c>
      <c r="N5317" s="2" t="s">
        <v>2317</v>
      </c>
      <c r="O5317" s="14">
        <v>6900</v>
      </c>
      <c r="P5317" s="14">
        <v>98.33</v>
      </c>
      <c r="Q5317" s="14">
        <v>115.23</v>
      </c>
      <c r="R5317" s="14">
        <v>119.84</v>
      </c>
      <c r="S5317" s="2" t="s">
        <v>4237</v>
      </c>
      <c r="T5317" s="2">
        <v>1.42</v>
      </c>
      <c r="U5317" s="2">
        <v>66.3</v>
      </c>
      <c r="V5317" s="2">
        <v>64</v>
      </c>
      <c r="W5317" s="2" t="s">
        <v>7862</v>
      </c>
      <c r="X5317" s="2" t="s">
        <v>2897</v>
      </c>
      <c r="Y5317" s="2">
        <v>7176</v>
      </c>
      <c r="Z5317" s="19" t="str">
        <f>HYPERLINK("https://ssdweb.co/ssdweb/hd/Vision360.html?d=926740264&amp;zoomslide=1&amp;z=1926740264&amp;ISCONFIRM=0","VIDEO")</f>
        <v>VIDEO</v>
      </c>
      <c r="AA5317" s="19" t="str">
        <f>HYPERLINK("https://ssdweb.co/ssdweb/CERTH/656485752.pdf","CERTI")</f>
        <v>CERTI</v>
      </c>
    </row>
    <row r="5318" spans="1:27" ht="15" x14ac:dyDescent="0.25">
      <c r="A5318" s="2">
        <v>5313</v>
      </c>
      <c r="B5318" s="39">
        <v>926920653</v>
      </c>
      <c r="C5318" s="28" t="str">
        <f>HYPERLINK("https://pld.live/RapDetail.aspx?STONELIST=926920653","DNA")</f>
        <v>DNA</v>
      </c>
      <c r="D5318" s="18" t="s">
        <v>3054</v>
      </c>
      <c r="E5318" s="18" t="s">
        <v>2186</v>
      </c>
      <c r="F5318" s="2" t="s">
        <v>7987</v>
      </c>
      <c r="G5318" s="2" t="s">
        <v>7322</v>
      </c>
      <c r="H5318" s="14">
        <v>1.04</v>
      </c>
      <c r="I5318" s="2" t="s">
        <v>4761</v>
      </c>
      <c r="J5318" s="2" t="s">
        <v>13</v>
      </c>
      <c r="K5318" s="2" t="s">
        <v>1452</v>
      </c>
      <c r="L5318" s="2" t="s">
        <v>5221</v>
      </c>
      <c r="M5318" s="2" t="s">
        <v>5221</v>
      </c>
      <c r="N5318" s="2" t="s">
        <v>2317</v>
      </c>
      <c r="O5318" s="14">
        <v>6200</v>
      </c>
      <c r="P5318" s="14">
        <v>98.19</v>
      </c>
      <c r="Q5318" s="14">
        <v>112.22</v>
      </c>
      <c r="R5318" s="14">
        <v>116.71</v>
      </c>
      <c r="S5318" s="2" t="s">
        <v>1098</v>
      </c>
      <c r="T5318" s="2">
        <v>1.45</v>
      </c>
      <c r="U5318" s="2">
        <v>65.400000000000006</v>
      </c>
      <c r="V5318" s="2">
        <v>66</v>
      </c>
      <c r="W5318" s="2" t="s">
        <v>7862</v>
      </c>
      <c r="X5318" s="2" t="s">
        <v>2897</v>
      </c>
      <c r="Y5318" s="2">
        <v>6448</v>
      </c>
      <c r="Z5318" s="19" t="str">
        <f>HYPERLINK("https://ssdweb.co/ssdweb/hd/Vision360.html?d=926920653&amp;zoomslide=1&amp;z=1926920653&amp;ISCONFIRM=0","VIDEO")</f>
        <v>VIDEO</v>
      </c>
      <c r="AA5318" s="19" t="str">
        <f>HYPERLINK("https://ssdweb.co/ssdweb/CERTH/656479472.pdf","CERTI")</f>
        <v>CERTI</v>
      </c>
    </row>
    <row r="5319" spans="1:27" ht="15" x14ac:dyDescent="0.25">
      <c r="A5319" s="2">
        <v>5314</v>
      </c>
      <c r="B5319" s="39">
        <v>926291266</v>
      </c>
      <c r="C5319" s="28" t="str">
        <f>HYPERLINK("https://pld.live/RapDetail.aspx?STONELIST=926291266","DNA")</f>
        <v>DNA</v>
      </c>
      <c r="D5319" s="18" t="s">
        <v>3054</v>
      </c>
      <c r="E5319" s="18" t="s">
        <v>5128</v>
      </c>
      <c r="F5319" s="2" t="s">
        <v>7987</v>
      </c>
      <c r="G5319" s="2" t="s">
        <v>7322</v>
      </c>
      <c r="H5319" s="14">
        <v>1.04</v>
      </c>
      <c r="I5319" s="2" t="s">
        <v>4761</v>
      </c>
      <c r="J5319" s="2" t="s">
        <v>5144</v>
      </c>
      <c r="K5319" s="2" t="s">
        <v>1452</v>
      </c>
      <c r="L5319" s="2" t="s">
        <v>5221</v>
      </c>
      <c r="M5319" s="2" t="s">
        <v>5221</v>
      </c>
      <c r="N5319" s="2" t="s">
        <v>2317</v>
      </c>
      <c r="O5319" s="14">
        <v>5400</v>
      </c>
      <c r="P5319" s="14">
        <v>98.06</v>
      </c>
      <c r="Q5319" s="14">
        <v>104.76</v>
      </c>
      <c r="R5319" s="14">
        <v>108.95</v>
      </c>
      <c r="S5319" s="2" t="s">
        <v>7955</v>
      </c>
      <c r="T5319" s="2">
        <v>1.36</v>
      </c>
      <c r="U5319" s="2">
        <v>67.900000000000006</v>
      </c>
      <c r="V5319" s="2">
        <v>69</v>
      </c>
      <c r="W5319" s="2" t="s">
        <v>7862</v>
      </c>
      <c r="X5319" s="2" t="s">
        <v>2897</v>
      </c>
      <c r="Y5319" s="2">
        <v>5616</v>
      </c>
      <c r="Z5319" s="19" t="str">
        <f>HYPERLINK("https://ssdweb.co/ssdweb/hd/Vision360.html?d=926291266&amp;zoomslide=1&amp;z=1926291266&amp;ISCONFIRM=0","VIDEO")</f>
        <v>VIDEO</v>
      </c>
      <c r="AA5319" s="19" t="str">
        <f>HYPERLINK("https://ssdweb.co/ssdweb/CERTH/638463164.pdf","CERTI")</f>
        <v>CERTI</v>
      </c>
    </row>
    <row r="5320" spans="1:27" ht="15" x14ac:dyDescent="0.25">
      <c r="A5320" s="2">
        <v>5315</v>
      </c>
      <c r="B5320" s="39">
        <v>926760712</v>
      </c>
      <c r="C5320" s="28" t="str">
        <f>HYPERLINK("https://pld.live/RapDetail.aspx?STONELIST=926760712","DNA")</f>
        <v>DNA</v>
      </c>
      <c r="D5320" s="18" t="s">
        <v>3054</v>
      </c>
      <c r="E5320" s="18" t="s">
        <v>5128</v>
      </c>
      <c r="F5320" s="2" t="s">
        <v>7987</v>
      </c>
      <c r="G5320" s="2" t="s">
        <v>7322</v>
      </c>
      <c r="H5320" s="14">
        <v>1.04</v>
      </c>
      <c r="I5320" s="2" t="s">
        <v>4761</v>
      </c>
      <c r="J5320" s="2" t="s">
        <v>5144</v>
      </c>
      <c r="K5320" s="2" t="s">
        <v>1452</v>
      </c>
      <c r="L5320" s="2" t="s">
        <v>5221</v>
      </c>
      <c r="M5320" s="2" t="s">
        <v>5221</v>
      </c>
      <c r="N5320" s="2" t="s">
        <v>2317</v>
      </c>
      <c r="O5320" s="14">
        <v>5400</v>
      </c>
      <c r="P5320" s="14">
        <v>98.04</v>
      </c>
      <c r="Q5320" s="14">
        <v>105.84</v>
      </c>
      <c r="R5320" s="14">
        <v>110.07</v>
      </c>
      <c r="S5320" s="2" t="s">
        <v>7996</v>
      </c>
      <c r="T5320" s="2">
        <v>1.46</v>
      </c>
      <c r="U5320" s="2">
        <v>64.400000000000006</v>
      </c>
      <c r="V5320" s="2">
        <v>66</v>
      </c>
      <c r="W5320" s="2" t="s">
        <v>7862</v>
      </c>
      <c r="X5320" s="2" t="s">
        <v>2897</v>
      </c>
      <c r="Y5320" s="2">
        <v>5616</v>
      </c>
      <c r="Z5320" s="19" t="str">
        <f>HYPERLINK("https://ssdweb.co/ssdweb/hd/Vision360.html?d=926760712&amp;zoomslide=1&amp;z=1926760712&amp;ISCONFIRM=0","VIDEO")</f>
        <v>VIDEO</v>
      </c>
      <c r="AA5320" s="19" t="str">
        <f>HYPERLINK("https://ssdweb.co/ssdweb/CERTH/666408385.pdf","CERTI")</f>
        <v>CERTI</v>
      </c>
    </row>
    <row r="5321" spans="1:27" ht="15" x14ac:dyDescent="0.25">
      <c r="A5321" s="2">
        <v>5316</v>
      </c>
      <c r="B5321" s="39">
        <v>926700698</v>
      </c>
      <c r="C5321" s="28" t="str">
        <f>HYPERLINK("https://pld.live/RapDetail.aspx?STONELIST=926700698","DNA")</f>
        <v>DNA</v>
      </c>
      <c r="D5321" s="18" t="s">
        <v>3054</v>
      </c>
      <c r="E5321" s="18" t="s">
        <v>5128</v>
      </c>
      <c r="F5321" s="2" t="s">
        <v>7987</v>
      </c>
      <c r="G5321" s="2" t="s">
        <v>7322</v>
      </c>
      <c r="H5321" s="14">
        <v>1.04</v>
      </c>
      <c r="I5321" s="2" t="s">
        <v>4699</v>
      </c>
      <c r="J5321" s="2" t="s">
        <v>3942</v>
      </c>
      <c r="K5321" s="2" t="s">
        <v>1452</v>
      </c>
      <c r="L5321" s="2" t="s">
        <v>5221</v>
      </c>
      <c r="M5321" s="2" t="s">
        <v>5221</v>
      </c>
      <c r="N5321" s="2" t="s">
        <v>2317</v>
      </c>
      <c r="O5321" s="14">
        <v>6400</v>
      </c>
      <c r="P5321" s="14">
        <v>98.27</v>
      </c>
      <c r="Q5321" s="14">
        <v>110.72</v>
      </c>
      <c r="R5321" s="14">
        <v>115.15</v>
      </c>
      <c r="S5321" s="2" t="s">
        <v>2846</v>
      </c>
      <c r="T5321" s="2">
        <v>1.46</v>
      </c>
      <c r="U5321" s="2">
        <v>66</v>
      </c>
      <c r="V5321" s="2">
        <v>67</v>
      </c>
      <c r="W5321" s="2" t="s">
        <v>7862</v>
      </c>
      <c r="X5321" s="2" t="s">
        <v>2897</v>
      </c>
      <c r="Y5321" s="2">
        <v>6656</v>
      </c>
      <c r="Z5321" s="19" t="str">
        <f>HYPERLINK("https://ssdweb.co/ssdweb/hd/Vision360.html?d=926700698&amp;zoomslide=1&amp;z=1926700698&amp;ISCONFIRM=0","VIDEO")</f>
        <v>VIDEO</v>
      </c>
      <c r="AA5321" s="19" t="str">
        <f>HYPERLINK("https://ssdweb.co/ssdweb/CERTH/656485749.pdf","CERTI")</f>
        <v>CERTI</v>
      </c>
    </row>
    <row r="5322" spans="1:27" ht="15" x14ac:dyDescent="0.25">
      <c r="A5322" s="2">
        <v>5317</v>
      </c>
      <c r="B5322" s="39">
        <v>926150030</v>
      </c>
      <c r="C5322" s="28" t="str">
        <f>HYPERLINK("https://pld.live/RapDetail.aspx?STONELIST=926150030","DNA")</f>
        <v>DNA</v>
      </c>
      <c r="D5322" s="18" t="s">
        <v>3054</v>
      </c>
      <c r="E5322" s="18" t="s">
        <v>2186</v>
      </c>
      <c r="F5322" s="2" t="s">
        <v>7987</v>
      </c>
      <c r="G5322" s="2" t="s">
        <v>7322</v>
      </c>
      <c r="H5322" s="14">
        <v>1.04</v>
      </c>
      <c r="I5322" s="2" t="s">
        <v>4699</v>
      </c>
      <c r="J5322" s="2" t="s">
        <v>13</v>
      </c>
      <c r="K5322" s="2" t="s">
        <v>1452</v>
      </c>
      <c r="L5322" s="2" t="s">
        <v>5221</v>
      </c>
      <c r="M5322" s="2" t="s">
        <v>5221</v>
      </c>
      <c r="N5322" s="2" t="s">
        <v>2317</v>
      </c>
      <c r="O5322" s="14">
        <v>5800</v>
      </c>
      <c r="P5322" s="14">
        <v>98.16</v>
      </c>
      <c r="Q5322" s="14">
        <v>106.72</v>
      </c>
      <c r="R5322" s="14">
        <v>110.99</v>
      </c>
      <c r="S5322" s="2" t="s">
        <v>7316</v>
      </c>
      <c r="T5322" s="2">
        <v>1.48</v>
      </c>
      <c r="U5322" s="2">
        <v>63.6</v>
      </c>
      <c r="V5322" s="2">
        <v>63</v>
      </c>
      <c r="W5322" s="2" t="s">
        <v>7862</v>
      </c>
      <c r="X5322" s="2" t="s">
        <v>2897</v>
      </c>
      <c r="Y5322" s="2">
        <v>6032</v>
      </c>
      <c r="Z5322" s="19" t="str">
        <f>HYPERLINK("https://ssdweb.co/ssdweb/hd/Vision360.html?d=926150030&amp;zoomslide=1&amp;z=1926150030&amp;ISCONFIRM=0","VIDEO")</f>
        <v>VIDEO</v>
      </c>
      <c r="AA5322" s="19" t="str">
        <f>HYPERLINK("https://ssdweb.co/ssdweb/CERTH/633431954.pdf","CERTI")</f>
        <v>CERTI</v>
      </c>
    </row>
    <row r="5323" spans="1:27" ht="15" x14ac:dyDescent="0.25">
      <c r="A5323" s="2">
        <v>5318</v>
      </c>
      <c r="B5323" s="39">
        <v>924290534</v>
      </c>
      <c r="C5323" s="28" t="str">
        <f>HYPERLINK("https://pld.live/RapDetail.aspx?STONELIST=924290534","DNA")</f>
        <v>DNA</v>
      </c>
      <c r="D5323" s="18" t="s">
        <v>3054</v>
      </c>
      <c r="E5323" s="18" t="s">
        <v>2186</v>
      </c>
      <c r="F5323" s="2" t="s">
        <v>7987</v>
      </c>
      <c r="G5323" s="2" t="s">
        <v>7322</v>
      </c>
      <c r="H5323" s="14">
        <v>1.04</v>
      </c>
      <c r="I5323" s="2" t="s">
        <v>1505</v>
      </c>
      <c r="J5323" s="2" t="s">
        <v>3942</v>
      </c>
      <c r="K5323" s="2" t="s">
        <v>1452</v>
      </c>
      <c r="L5323" s="2" t="s">
        <v>5221</v>
      </c>
      <c r="M5323" s="2" t="s">
        <v>5221</v>
      </c>
      <c r="N5323" s="2" t="s">
        <v>2317</v>
      </c>
      <c r="O5323" s="14">
        <v>4900</v>
      </c>
      <c r="P5323" s="14">
        <v>98.02</v>
      </c>
      <c r="Q5323" s="14">
        <v>97.02</v>
      </c>
      <c r="R5323" s="14">
        <v>100.9</v>
      </c>
      <c r="S5323" s="2" t="s">
        <v>5645</v>
      </c>
      <c r="T5323" s="2">
        <v>1.4</v>
      </c>
      <c r="U5323" s="2">
        <v>66.900000000000006</v>
      </c>
      <c r="V5323" s="2">
        <v>65</v>
      </c>
      <c r="W5323" s="2" t="s">
        <v>7862</v>
      </c>
      <c r="X5323" s="2" t="s">
        <v>2897</v>
      </c>
      <c r="Y5323" s="2">
        <v>5096</v>
      </c>
      <c r="Z5323" s="19" t="str">
        <f>HYPERLINK("https://ssdweb.co/ssdweb/hd/Vision360.html?d=924290534&amp;zoomslide=1&amp;z=1924290534&amp;ISCONFIRM=0","VIDEO")</f>
        <v>VIDEO</v>
      </c>
      <c r="AA5323" s="19" t="str">
        <f>HYPERLINK("https://ssdweb.co/ssdweb/CERTH/591301323.pdf","CERTI")</f>
        <v>CERTI</v>
      </c>
    </row>
    <row r="5324" spans="1:27" ht="15" x14ac:dyDescent="0.25">
      <c r="A5324" s="2">
        <v>5319</v>
      </c>
      <c r="B5324" s="39">
        <v>924410600</v>
      </c>
      <c r="C5324" s="28" t="str">
        <f>HYPERLINK("https://pld.live/RapDetail.aspx?STONELIST=924410600","DNA")</f>
        <v>DNA</v>
      </c>
      <c r="D5324" s="18" t="s">
        <v>3054</v>
      </c>
      <c r="E5324" s="18" t="s">
        <v>2186</v>
      </c>
      <c r="F5324" s="2" t="s">
        <v>7987</v>
      </c>
      <c r="G5324" s="2" t="s">
        <v>7322</v>
      </c>
      <c r="H5324" s="14">
        <v>1.04</v>
      </c>
      <c r="I5324" s="2" t="s">
        <v>1505</v>
      </c>
      <c r="J5324" s="2" t="s">
        <v>3942</v>
      </c>
      <c r="K5324" s="2" t="s">
        <v>1452</v>
      </c>
      <c r="L5324" s="2" t="s">
        <v>5221</v>
      </c>
      <c r="M5324" s="2" t="s">
        <v>5221</v>
      </c>
      <c r="N5324" s="2" t="s">
        <v>2317</v>
      </c>
      <c r="O5324" s="14">
        <v>4900</v>
      </c>
      <c r="P5324" s="14">
        <v>98.04</v>
      </c>
      <c r="Q5324" s="14">
        <v>96.04</v>
      </c>
      <c r="R5324" s="14">
        <v>99.88</v>
      </c>
      <c r="S5324" s="2" t="s">
        <v>8096</v>
      </c>
      <c r="T5324" s="2">
        <v>1.4</v>
      </c>
      <c r="U5324" s="2">
        <v>65.400000000000006</v>
      </c>
      <c r="V5324" s="2">
        <v>67</v>
      </c>
      <c r="W5324" s="2" t="s">
        <v>8016</v>
      </c>
      <c r="X5324" s="2" t="s">
        <v>2897</v>
      </c>
      <c r="Y5324" s="2">
        <v>5096</v>
      </c>
      <c r="Z5324" s="19" t="str">
        <f>HYPERLINK("https://ssdweb.co/ssdweb/hd/Vision360.html?d=924410600&amp;zoomslide=1&amp;z=1924410600&amp;ISCONFIRM=0","VIDEO")</f>
        <v>VIDEO</v>
      </c>
      <c r="AA5324" s="19" t="str">
        <f>HYPERLINK("https://ssdweb.co/ssdweb/CERTH/594332686.pdf","CERTI")</f>
        <v>CERTI</v>
      </c>
    </row>
    <row r="5325" spans="1:27" ht="15" x14ac:dyDescent="0.25">
      <c r="A5325" s="2">
        <v>5320</v>
      </c>
      <c r="B5325" s="39">
        <v>922310143</v>
      </c>
      <c r="C5325" s="28" t="str">
        <f>HYPERLINK("https://pld.live/RapDetail.aspx?STONELIST=922310143","DNA")</f>
        <v>DNA</v>
      </c>
      <c r="D5325" s="18" t="s">
        <v>3054</v>
      </c>
      <c r="E5325" s="18" t="s">
        <v>5128</v>
      </c>
      <c r="F5325" s="2" t="s">
        <v>7987</v>
      </c>
      <c r="G5325" s="2" t="s">
        <v>7322</v>
      </c>
      <c r="H5325" s="14">
        <v>1.03</v>
      </c>
      <c r="I5325" s="2" t="s">
        <v>267</v>
      </c>
      <c r="J5325" s="2" t="s">
        <v>7032</v>
      </c>
      <c r="K5325" s="2" t="s">
        <v>1452</v>
      </c>
      <c r="L5325" s="2" t="s">
        <v>5221</v>
      </c>
      <c r="M5325" s="2" t="s">
        <v>5221</v>
      </c>
      <c r="N5325" s="2" t="s">
        <v>2317</v>
      </c>
      <c r="O5325" s="14">
        <v>9300</v>
      </c>
      <c r="P5325" s="14">
        <v>97.65</v>
      </c>
      <c r="Q5325" s="14">
        <v>218.55</v>
      </c>
      <c r="R5325" s="14">
        <v>225.11</v>
      </c>
      <c r="S5325" s="2" t="s">
        <v>2661</v>
      </c>
      <c r="T5325" s="2">
        <v>1.4</v>
      </c>
      <c r="U5325" s="2">
        <v>67.5</v>
      </c>
      <c r="V5325" s="2">
        <v>67</v>
      </c>
      <c r="W5325" s="2" t="s">
        <v>7862</v>
      </c>
      <c r="X5325" s="2" t="s">
        <v>2897</v>
      </c>
      <c r="Y5325" s="2">
        <v>9579</v>
      </c>
      <c r="Z5325" s="19" t="str">
        <f>HYPERLINK("https://ssdweb.co/ssdweb/hd/Vision360.html?d=922310143&amp;zoomslide=1&amp;z=1922310143&amp;ISCONFIRM=0","VIDEO")</f>
        <v>VIDEO</v>
      </c>
      <c r="AA5325" s="19" t="str">
        <f>HYPERLINK("https://ssdweb.co/ssdweb/CERTH/523264069.pdf","CERTI")</f>
        <v>CERTI</v>
      </c>
    </row>
    <row r="5326" spans="1:27" ht="15" x14ac:dyDescent="0.25">
      <c r="A5326" s="2">
        <v>5321</v>
      </c>
      <c r="B5326" s="39">
        <v>925080422</v>
      </c>
      <c r="C5326" s="28" t="str">
        <f>HYPERLINK("https://pld.live/RapDetail.aspx?STONELIST=925080422","DNA")</f>
        <v>DNA</v>
      </c>
      <c r="D5326" s="18" t="s">
        <v>3054</v>
      </c>
      <c r="E5326" s="18" t="s">
        <v>5128</v>
      </c>
      <c r="F5326" s="2" t="s">
        <v>7987</v>
      </c>
      <c r="G5326" s="2" t="s">
        <v>7322</v>
      </c>
      <c r="H5326" s="14">
        <v>1.03</v>
      </c>
      <c r="I5326" s="2" t="s">
        <v>267</v>
      </c>
      <c r="J5326" s="2" t="s">
        <v>7032</v>
      </c>
      <c r="K5326" s="2" t="s">
        <v>1452</v>
      </c>
      <c r="L5326" s="2" t="s">
        <v>5221</v>
      </c>
      <c r="M5326" s="2" t="s">
        <v>5221</v>
      </c>
      <c r="N5326" s="2" t="s">
        <v>2317</v>
      </c>
      <c r="O5326" s="14">
        <v>9300</v>
      </c>
      <c r="P5326" s="14">
        <v>97.65</v>
      </c>
      <c r="Q5326" s="14">
        <v>218.55</v>
      </c>
      <c r="R5326" s="14">
        <v>225.11</v>
      </c>
      <c r="S5326" s="2" t="s">
        <v>637</v>
      </c>
      <c r="T5326" s="2">
        <v>1.41</v>
      </c>
      <c r="U5326" s="2">
        <v>67.900000000000006</v>
      </c>
      <c r="V5326" s="2">
        <v>60</v>
      </c>
      <c r="W5326" s="2" t="s">
        <v>7862</v>
      </c>
      <c r="X5326" s="2" t="s">
        <v>2897</v>
      </c>
      <c r="Y5326" s="2">
        <v>9579</v>
      </c>
      <c r="Z5326" s="19" t="str">
        <f>HYPERLINK("https://ssdweb.co/ssdweb/hd/Vision360.html?d=925080422&amp;zoomslide=1&amp;z=1925080422&amp;ISCONFIRM=0","VIDEO")</f>
        <v>VIDEO</v>
      </c>
      <c r="AA5326" s="19" t="str">
        <f>HYPERLINK("https://ssdweb.co/ssdweb/CERTH/607357802.pdf","CERTI")</f>
        <v>CERTI</v>
      </c>
    </row>
    <row r="5327" spans="1:27" ht="15" x14ac:dyDescent="0.25">
      <c r="A5327" s="2">
        <v>5322</v>
      </c>
      <c r="B5327" s="39">
        <v>926210584</v>
      </c>
      <c r="C5327" s="28" t="str">
        <f>HYPERLINK("https://pld.live/RapDetail.aspx?STONELIST=926210584","DNA")</f>
        <v>DNA</v>
      </c>
      <c r="D5327" s="18" t="s">
        <v>3054</v>
      </c>
      <c r="E5327" s="18" t="s">
        <v>5128</v>
      </c>
      <c r="F5327" s="2" t="s">
        <v>7987</v>
      </c>
      <c r="G5327" s="2" t="s">
        <v>7322</v>
      </c>
      <c r="H5327" s="14">
        <v>1.03</v>
      </c>
      <c r="I5327" s="2" t="s">
        <v>267</v>
      </c>
      <c r="J5327" s="2" t="s">
        <v>3942</v>
      </c>
      <c r="K5327" s="2" t="s">
        <v>1452</v>
      </c>
      <c r="L5327" s="2" t="s">
        <v>5221</v>
      </c>
      <c r="M5327" s="2" t="s">
        <v>5221</v>
      </c>
      <c r="N5327" s="2" t="s">
        <v>2317</v>
      </c>
      <c r="O5327" s="14">
        <v>7600</v>
      </c>
      <c r="P5327" s="14">
        <v>98.47</v>
      </c>
      <c r="Q5327" s="14">
        <v>116.28</v>
      </c>
      <c r="R5327" s="14">
        <v>119.77</v>
      </c>
      <c r="S5327" s="2" t="s">
        <v>6656</v>
      </c>
      <c r="T5327" s="2">
        <v>1.36</v>
      </c>
      <c r="U5327" s="2">
        <v>68.400000000000006</v>
      </c>
      <c r="V5327" s="2">
        <v>63</v>
      </c>
      <c r="W5327" s="2" t="s">
        <v>7862</v>
      </c>
      <c r="X5327" s="2" t="s">
        <v>2897</v>
      </c>
      <c r="Y5327" s="2">
        <v>7828</v>
      </c>
      <c r="Z5327" s="19" t="str">
        <f>HYPERLINK("https://ssdweb.co/ssdweb/hd/Vision360.html?d=926210584&amp;zoomslide=1&amp;z=1926210584&amp;ISCONFIRM=0","VIDEO")</f>
        <v>VIDEO</v>
      </c>
      <c r="AA5327" s="19" t="str">
        <f>HYPERLINK("https://ssdweb.co/ssdweb/CERTH/635427001.pdf","CERTI")</f>
        <v>CERTI</v>
      </c>
    </row>
    <row r="5328" spans="1:27" ht="15" x14ac:dyDescent="0.25">
      <c r="A5328" s="2">
        <v>5323</v>
      </c>
      <c r="B5328" s="39">
        <v>941351046</v>
      </c>
      <c r="C5328" s="28" t="str">
        <f>HYPERLINK("https://pld.live/RapDetail.aspx?STONELIST=941351046","DNA")</f>
        <v>DNA</v>
      </c>
      <c r="D5328" s="18" t="s">
        <v>3054</v>
      </c>
      <c r="E5328" s="18" t="s">
        <v>5128</v>
      </c>
      <c r="F5328" s="2" t="s">
        <v>7987</v>
      </c>
      <c r="G5328" s="2" t="s">
        <v>7322</v>
      </c>
      <c r="H5328" s="14">
        <v>1.03</v>
      </c>
      <c r="I5328" s="2" t="s">
        <v>267</v>
      </c>
      <c r="J5328" s="2" t="s">
        <v>3942</v>
      </c>
      <c r="K5328" s="2" t="s">
        <v>1452</v>
      </c>
      <c r="L5328" s="2" t="s">
        <v>5221</v>
      </c>
      <c r="M5328" s="2" t="s">
        <v>5221</v>
      </c>
      <c r="N5328" s="2" t="s">
        <v>2317</v>
      </c>
      <c r="O5328" s="14">
        <v>7600</v>
      </c>
      <c r="P5328" s="14">
        <v>98.45</v>
      </c>
      <c r="Q5328" s="14">
        <v>117.8</v>
      </c>
      <c r="R5328" s="14">
        <v>121.33</v>
      </c>
      <c r="S5328" s="2" t="s">
        <v>454</v>
      </c>
      <c r="T5328" s="2">
        <v>1.41</v>
      </c>
      <c r="U5328" s="2">
        <v>67.099999999999994</v>
      </c>
      <c r="V5328" s="2">
        <v>66</v>
      </c>
      <c r="W5328" s="2" t="s">
        <v>7862</v>
      </c>
      <c r="X5328" s="2" t="s">
        <v>2897</v>
      </c>
      <c r="Y5328" s="2">
        <v>7828</v>
      </c>
      <c r="Z5328" s="19" t="str">
        <f>HYPERLINK("https://ssdweb.co/ssdweb/hd/Vision360.html?d=941351046&amp;zoomslide=1&amp;z=1941351046&amp;ISCONFIRM=0","VIDEO")</f>
        <v>VIDEO</v>
      </c>
      <c r="AA5328" s="19" t="str">
        <f>HYPERLINK("https://ssdweb.co/ssdweb/CERTH/692505681.pdf","CERTI")</f>
        <v>CERTI</v>
      </c>
    </row>
    <row r="5329" spans="1:27" ht="15" x14ac:dyDescent="0.25">
      <c r="A5329" s="2">
        <v>5324</v>
      </c>
      <c r="B5329" s="39">
        <v>926311107</v>
      </c>
      <c r="C5329" s="28" t="str">
        <f>HYPERLINK("https://pld.live/RapDetail.aspx?STONELIST=926311107","DNA")</f>
        <v>DNA</v>
      </c>
      <c r="D5329" s="18" t="s">
        <v>3054</v>
      </c>
      <c r="E5329" s="18" t="s">
        <v>5128</v>
      </c>
      <c r="F5329" s="2" t="s">
        <v>7987</v>
      </c>
      <c r="G5329" s="2" t="s">
        <v>7322</v>
      </c>
      <c r="H5329" s="14">
        <v>1.03</v>
      </c>
      <c r="I5329" s="2" t="s">
        <v>267</v>
      </c>
      <c r="J5329" s="2" t="s">
        <v>13</v>
      </c>
      <c r="K5329" s="2" t="s">
        <v>1452</v>
      </c>
      <c r="L5329" s="2" t="s">
        <v>5721</v>
      </c>
      <c r="M5329" s="2" t="s">
        <v>5721</v>
      </c>
      <c r="N5329" s="2" t="s">
        <v>2317</v>
      </c>
      <c r="O5329" s="14">
        <v>6700</v>
      </c>
      <c r="P5329" s="14">
        <v>98.33</v>
      </c>
      <c r="Q5329" s="14">
        <v>111.89</v>
      </c>
      <c r="R5329" s="14">
        <v>115.25</v>
      </c>
      <c r="S5329" s="2" t="s">
        <v>2742</v>
      </c>
      <c r="T5329" s="2">
        <v>1.43</v>
      </c>
      <c r="U5329" s="2">
        <v>65.8</v>
      </c>
      <c r="V5329" s="2">
        <v>68</v>
      </c>
      <c r="W5329" s="2" t="s">
        <v>7862</v>
      </c>
      <c r="X5329" s="2" t="s">
        <v>2897</v>
      </c>
      <c r="Y5329" s="2">
        <v>6901</v>
      </c>
      <c r="Z5329" s="19" t="str">
        <f>HYPERLINK("https://ssdweb.co/ssdweb/hd/Vision360.html?d=926311107&amp;zoomslide=1&amp;z=1926311107&amp;ISCONFIRM=0","VIDEO")</f>
        <v>VIDEO</v>
      </c>
      <c r="AA5329" s="19" t="str">
        <f>HYPERLINK("https://ssdweb.co/ssdweb/CERTH/648487393.pdf","CERTI")</f>
        <v>CERTI</v>
      </c>
    </row>
    <row r="5330" spans="1:27" ht="15" x14ac:dyDescent="0.25">
      <c r="A5330" s="2">
        <v>5325</v>
      </c>
      <c r="B5330" s="39">
        <v>926291267</v>
      </c>
      <c r="C5330" s="28" t="str">
        <f>HYPERLINK("https://pld.live/RapDetail.aspx?STONELIST=926291267","DNA")</f>
        <v>DNA</v>
      </c>
      <c r="D5330" s="18" t="s">
        <v>3054</v>
      </c>
      <c r="E5330" s="18" t="s">
        <v>5128</v>
      </c>
      <c r="F5330" s="2" t="s">
        <v>7987</v>
      </c>
      <c r="G5330" s="2" t="s">
        <v>7322</v>
      </c>
      <c r="H5330" s="14">
        <v>1.03</v>
      </c>
      <c r="I5330" s="2" t="s">
        <v>267</v>
      </c>
      <c r="J5330" s="2" t="s">
        <v>5144</v>
      </c>
      <c r="K5330" s="2" t="s">
        <v>1452</v>
      </c>
      <c r="L5330" s="2" t="s">
        <v>5221</v>
      </c>
      <c r="M5330" s="2" t="s">
        <v>5221</v>
      </c>
      <c r="N5330" s="2" t="s">
        <v>2317</v>
      </c>
      <c r="O5330" s="14">
        <v>5700</v>
      </c>
      <c r="P5330" s="14">
        <v>98.09</v>
      </c>
      <c r="Q5330" s="14">
        <v>108.87</v>
      </c>
      <c r="R5330" s="14">
        <v>112.14</v>
      </c>
      <c r="S5330" s="2" t="s">
        <v>3294</v>
      </c>
      <c r="T5330" s="2">
        <v>1.41</v>
      </c>
      <c r="U5330" s="2">
        <v>67.900000000000006</v>
      </c>
      <c r="V5330" s="2">
        <v>67</v>
      </c>
      <c r="W5330" s="2" t="s">
        <v>7862</v>
      </c>
      <c r="X5330" s="2" t="s">
        <v>2897</v>
      </c>
      <c r="Y5330" s="2">
        <v>5871</v>
      </c>
      <c r="Z5330" s="19" t="str">
        <f>HYPERLINK("https://ssdweb.co/ssdweb/hd/Vision360.html?d=926291267&amp;zoomslide=1&amp;z=1926291267&amp;ISCONFIRM=0","VIDEO")</f>
        <v>VIDEO</v>
      </c>
      <c r="AA5330" s="19" t="str">
        <f>HYPERLINK("https://ssdweb.co/ssdweb/CERTH/638463165.pdf","CERTI")</f>
        <v>CERTI</v>
      </c>
    </row>
    <row r="5331" spans="1:27" ht="15" x14ac:dyDescent="0.25">
      <c r="A5331" s="2">
        <v>5326</v>
      </c>
      <c r="B5331" s="39">
        <v>926680967</v>
      </c>
      <c r="C5331" s="28" t="str">
        <f>HYPERLINK("https://pld.live/RapDetail.aspx?STONELIST=926680967","DNA")</f>
        <v>DNA</v>
      </c>
      <c r="D5331" s="18" t="s">
        <v>3054</v>
      </c>
      <c r="E5331" s="18" t="s">
        <v>2186</v>
      </c>
      <c r="F5331" s="2" t="s">
        <v>7987</v>
      </c>
      <c r="G5331" s="2" t="s">
        <v>7322</v>
      </c>
      <c r="H5331" s="14">
        <v>1.03</v>
      </c>
      <c r="I5331" s="2" t="s">
        <v>4761</v>
      </c>
      <c r="J5331" s="2" t="s">
        <v>6555</v>
      </c>
      <c r="K5331" s="2" t="s">
        <v>1452</v>
      </c>
      <c r="L5331" s="2" t="s">
        <v>5221</v>
      </c>
      <c r="M5331" s="2" t="s">
        <v>5221</v>
      </c>
      <c r="N5331" s="2" t="s">
        <v>2317</v>
      </c>
      <c r="O5331" s="14">
        <v>7500</v>
      </c>
      <c r="P5331" s="14">
        <v>98.35</v>
      </c>
      <c r="Q5331" s="14">
        <v>123.75</v>
      </c>
      <c r="R5331" s="14">
        <v>127.46</v>
      </c>
      <c r="S5331" s="2" t="s">
        <v>1669</v>
      </c>
      <c r="T5331" s="2">
        <v>1.4</v>
      </c>
      <c r="U5331" s="2">
        <v>66.900000000000006</v>
      </c>
      <c r="V5331" s="2">
        <v>67</v>
      </c>
      <c r="W5331" s="2" t="s">
        <v>7862</v>
      </c>
      <c r="X5331" s="2" t="s">
        <v>2897</v>
      </c>
      <c r="Y5331" s="2">
        <v>7725</v>
      </c>
      <c r="Z5331" s="19" t="str">
        <f>HYPERLINK("https://ssdweb.co/ssdweb/hd/Vision360.html?d=926680967&amp;zoomslide=1&amp;z=1926680967&amp;ISCONFIRM=0","VIDEO")</f>
        <v>VIDEO</v>
      </c>
      <c r="AA5331" s="19" t="str">
        <f>HYPERLINK("https://ssdweb.co/ssdweb/CERTH/666408377.pdf","CERTI")</f>
        <v>CERTI</v>
      </c>
    </row>
    <row r="5332" spans="1:27" ht="15" x14ac:dyDescent="0.25">
      <c r="A5332" s="2">
        <v>5327</v>
      </c>
      <c r="B5332" s="39">
        <v>926210624</v>
      </c>
      <c r="C5332" s="28" t="str">
        <f>HYPERLINK("https://pld.live/RapDetail.aspx?STONELIST=926210624","DNA")</f>
        <v>DNA</v>
      </c>
      <c r="D5332" s="18" t="s">
        <v>3054</v>
      </c>
      <c r="E5332" s="18" t="s">
        <v>5128</v>
      </c>
      <c r="F5332" s="2" t="s">
        <v>7987</v>
      </c>
      <c r="G5332" s="2" t="s">
        <v>7322</v>
      </c>
      <c r="H5332" s="14">
        <v>1.03</v>
      </c>
      <c r="I5332" s="2" t="s">
        <v>4761</v>
      </c>
      <c r="J5332" s="2" t="s">
        <v>6555</v>
      </c>
      <c r="K5332" s="2" t="s">
        <v>1452</v>
      </c>
      <c r="L5332" s="2" t="s">
        <v>5721</v>
      </c>
      <c r="M5332" s="2" t="s">
        <v>5221</v>
      </c>
      <c r="N5332" s="2" t="s">
        <v>2317</v>
      </c>
      <c r="O5332" s="14">
        <v>7500</v>
      </c>
      <c r="P5332" s="14">
        <v>98.37</v>
      </c>
      <c r="Q5332" s="14">
        <v>122.25</v>
      </c>
      <c r="R5332" s="14">
        <v>125.92</v>
      </c>
      <c r="S5332" s="2" t="s">
        <v>547</v>
      </c>
      <c r="T5332" s="2">
        <v>1.36</v>
      </c>
      <c r="U5332" s="2">
        <v>67.599999999999994</v>
      </c>
      <c r="V5332" s="2">
        <v>61</v>
      </c>
      <c r="W5332" s="2" t="s">
        <v>7862</v>
      </c>
      <c r="X5332" s="2" t="s">
        <v>2897</v>
      </c>
      <c r="Y5332" s="2">
        <v>7725</v>
      </c>
      <c r="Z5332" s="19" t="str">
        <f>HYPERLINK("https://ssdweb.co/ssdweb/hd/Vision360.html?d=926210624&amp;zoomslide=1&amp;z=1926210624&amp;ISCONFIRM=0","VIDEO")</f>
        <v>VIDEO</v>
      </c>
      <c r="AA5332" s="19" t="str">
        <f>HYPERLINK("https://ssdweb.co/ssdweb/CERTH/635427026.pdf","CERTI")</f>
        <v>CERTI</v>
      </c>
    </row>
    <row r="5333" spans="1:27" ht="15" x14ac:dyDescent="0.25">
      <c r="A5333" s="2">
        <v>5328</v>
      </c>
      <c r="B5333" s="39">
        <v>926680781</v>
      </c>
      <c r="C5333" s="28" t="str">
        <f>HYPERLINK("https://pld.live/RapDetail.aspx?STONELIST=926680781","DNA")</f>
        <v>DNA</v>
      </c>
      <c r="D5333" s="18" t="s">
        <v>3054</v>
      </c>
      <c r="E5333" s="18" t="s">
        <v>2186</v>
      </c>
      <c r="F5333" s="2" t="s">
        <v>7987</v>
      </c>
      <c r="G5333" s="2" t="s">
        <v>7322</v>
      </c>
      <c r="H5333" s="14">
        <v>1.03</v>
      </c>
      <c r="I5333" s="2" t="s">
        <v>4761</v>
      </c>
      <c r="J5333" s="2" t="s">
        <v>3942</v>
      </c>
      <c r="K5333" s="2" t="s">
        <v>1452</v>
      </c>
      <c r="L5333" s="2" t="s">
        <v>5221</v>
      </c>
      <c r="M5333" s="2" t="s">
        <v>5221</v>
      </c>
      <c r="N5333" s="2" t="s">
        <v>2317</v>
      </c>
      <c r="O5333" s="14">
        <v>6900</v>
      </c>
      <c r="P5333" s="14">
        <v>98.33</v>
      </c>
      <c r="Q5333" s="14">
        <v>115.23</v>
      </c>
      <c r="R5333" s="14">
        <v>118.69</v>
      </c>
      <c r="S5333" s="2" t="s">
        <v>5292</v>
      </c>
      <c r="T5333" s="2">
        <v>1.44</v>
      </c>
      <c r="U5333" s="2">
        <v>67.2</v>
      </c>
      <c r="V5333" s="2">
        <v>66</v>
      </c>
      <c r="W5333" s="2" t="s">
        <v>7862</v>
      </c>
      <c r="X5333" s="2" t="s">
        <v>2897</v>
      </c>
      <c r="Y5333" s="2">
        <v>7107</v>
      </c>
      <c r="Z5333" s="19" t="str">
        <f>HYPERLINK("https://ssdweb.co/ssdweb/hd/Vision360.html?d=926680781&amp;zoomslide=1&amp;z=1926680781&amp;ISCONFIRM=0","VIDEO")</f>
        <v>VIDEO</v>
      </c>
      <c r="AA5333" s="19" t="str">
        <f>HYPERLINK("https://ssdweb.co/ssdweb/CERTH/649416385.pdf","CERTI")</f>
        <v>CERTI</v>
      </c>
    </row>
    <row r="5334" spans="1:27" ht="15" x14ac:dyDescent="0.25">
      <c r="A5334" s="2">
        <v>5329</v>
      </c>
      <c r="B5334" s="39">
        <v>926250041</v>
      </c>
      <c r="C5334" s="28" t="str">
        <f>HYPERLINK("https://pld.live/RapDetail.aspx?STONELIST=926250041","DNA")</f>
        <v>DNA</v>
      </c>
      <c r="D5334" s="18" t="s">
        <v>3054</v>
      </c>
      <c r="E5334" s="18" t="s">
        <v>5128</v>
      </c>
      <c r="F5334" s="2" t="s">
        <v>7987</v>
      </c>
      <c r="G5334" s="2" t="s">
        <v>7322</v>
      </c>
      <c r="H5334" s="14">
        <v>1.03</v>
      </c>
      <c r="I5334" s="2" t="s">
        <v>4761</v>
      </c>
      <c r="J5334" s="2" t="s">
        <v>3942</v>
      </c>
      <c r="K5334" s="2" t="s">
        <v>1452</v>
      </c>
      <c r="L5334" s="2" t="s">
        <v>5221</v>
      </c>
      <c r="M5334" s="2" t="s">
        <v>5221</v>
      </c>
      <c r="N5334" s="2" t="s">
        <v>2317</v>
      </c>
      <c r="O5334" s="14">
        <v>6900</v>
      </c>
      <c r="P5334" s="14">
        <v>98.35</v>
      </c>
      <c r="Q5334" s="14">
        <v>113.85</v>
      </c>
      <c r="R5334" s="14">
        <v>117.27</v>
      </c>
      <c r="S5334" s="2" t="s">
        <v>1247</v>
      </c>
      <c r="T5334" s="2">
        <v>1.36</v>
      </c>
      <c r="U5334" s="2">
        <v>67.900000000000006</v>
      </c>
      <c r="V5334" s="2">
        <v>64</v>
      </c>
      <c r="W5334" s="2" t="s">
        <v>7862</v>
      </c>
      <c r="X5334" s="2" t="s">
        <v>2897</v>
      </c>
      <c r="Y5334" s="2">
        <v>7107</v>
      </c>
      <c r="Z5334" s="19" t="str">
        <f>HYPERLINK("https://ssdweb.co/ssdweb/hd/Vision360.html?d=926250041&amp;zoomslide=1&amp;z=1926250041&amp;ISCONFIRM=0","VIDEO")</f>
        <v>VIDEO</v>
      </c>
      <c r="AA5334" s="19" t="str">
        <f>HYPERLINK("https://ssdweb.co/ssdweb/CERTH/635426942.pdf","CERTI")</f>
        <v>CERTI</v>
      </c>
    </row>
    <row r="5335" spans="1:27" ht="15" x14ac:dyDescent="0.25">
      <c r="A5335" s="2">
        <v>5330</v>
      </c>
      <c r="B5335" s="39">
        <v>926220745</v>
      </c>
      <c r="C5335" s="28" t="str">
        <f>HYPERLINK("https://pld.live/RapDetail.aspx?STONELIST=926220745","DNA")</f>
        <v>DNA</v>
      </c>
      <c r="D5335" s="18" t="s">
        <v>3054</v>
      </c>
      <c r="E5335" s="18" t="s">
        <v>5128</v>
      </c>
      <c r="F5335" s="2" t="s">
        <v>7987</v>
      </c>
      <c r="G5335" s="2" t="s">
        <v>7322</v>
      </c>
      <c r="H5335" s="14">
        <v>1.03</v>
      </c>
      <c r="I5335" s="2" t="s">
        <v>4761</v>
      </c>
      <c r="J5335" s="2" t="s">
        <v>3942</v>
      </c>
      <c r="K5335" s="2" t="s">
        <v>1452</v>
      </c>
      <c r="L5335" s="2" t="s">
        <v>5221</v>
      </c>
      <c r="M5335" s="2" t="s">
        <v>5221</v>
      </c>
      <c r="N5335" s="2" t="s">
        <v>2317</v>
      </c>
      <c r="O5335" s="14">
        <v>6900</v>
      </c>
      <c r="P5335" s="14">
        <v>98.35</v>
      </c>
      <c r="Q5335" s="14">
        <v>113.85</v>
      </c>
      <c r="R5335" s="14">
        <v>117.27</v>
      </c>
      <c r="S5335" s="2" t="s">
        <v>8088</v>
      </c>
      <c r="T5335" s="2">
        <v>1.36</v>
      </c>
      <c r="U5335" s="2">
        <v>64</v>
      </c>
      <c r="V5335" s="2">
        <v>69</v>
      </c>
      <c r="W5335" s="2" t="s">
        <v>7862</v>
      </c>
      <c r="X5335" s="2" t="s">
        <v>2897</v>
      </c>
      <c r="Y5335" s="2">
        <v>7107</v>
      </c>
      <c r="Z5335" s="19" t="str">
        <f>HYPERLINK("https://ssdweb.co/ssdweb/hd/Vision360.html?d=926220745&amp;zoomslide=1&amp;z=1926220745&amp;ISCONFIRM=0","VIDEO")</f>
        <v>VIDEO</v>
      </c>
      <c r="AA5335" s="19" t="str">
        <f>HYPERLINK("https://ssdweb.co/ssdweb/CERTH/635423982.pdf","CERTI")</f>
        <v>CERTI</v>
      </c>
    </row>
    <row r="5336" spans="1:27" ht="15" x14ac:dyDescent="0.25">
      <c r="A5336" s="2">
        <v>5331</v>
      </c>
      <c r="B5336" s="39">
        <v>926110185</v>
      </c>
      <c r="C5336" s="28" t="str">
        <f>HYPERLINK("https://pld.live/RapDetail.aspx?STONELIST=926110185","DNA")</f>
        <v>DNA</v>
      </c>
      <c r="D5336" s="18" t="s">
        <v>3054</v>
      </c>
      <c r="E5336" s="18" t="s">
        <v>5128</v>
      </c>
      <c r="F5336" s="2" t="s">
        <v>7987</v>
      </c>
      <c r="G5336" s="2" t="s">
        <v>7322</v>
      </c>
      <c r="H5336" s="14">
        <v>1.03</v>
      </c>
      <c r="I5336" s="2" t="s">
        <v>4761</v>
      </c>
      <c r="J5336" s="2" t="s">
        <v>3942</v>
      </c>
      <c r="K5336" s="2" t="s">
        <v>1452</v>
      </c>
      <c r="L5336" s="2" t="s">
        <v>5221</v>
      </c>
      <c r="M5336" s="2" t="s">
        <v>5221</v>
      </c>
      <c r="N5336" s="2" t="s">
        <v>2317</v>
      </c>
      <c r="O5336" s="14">
        <v>6900</v>
      </c>
      <c r="P5336" s="14">
        <v>98.35</v>
      </c>
      <c r="Q5336" s="14">
        <v>113.85</v>
      </c>
      <c r="R5336" s="14">
        <v>117.27</v>
      </c>
      <c r="S5336" s="2" t="s">
        <v>4373</v>
      </c>
      <c r="T5336" s="2">
        <v>1.37</v>
      </c>
      <c r="U5336" s="2">
        <v>68.5</v>
      </c>
      <c r="V5336" s="2">
        <v>62</v>
      </c>
      <c r="W5336" s="2" t="s">
        <v>7862</v>
      </c>
      <c r="X5336" s="2" t="s">
        <v>2897</v>
      </c>
      <c r="Y5336" s="2">
        <v>7107</v>
      </c>
      <c r="Z5336" s="19" t="str">
        <f>HYPERLINK("https://ssdweb.co/ssdweb/hd/Vision360.html?d=926110185&amp;zoomslide=1&amp;z=1926110185&amp;ISCONFIRM=0","VIDEO")</f>
        <v>VIDEO</v>
      </c>
      <c r="AA5336" s="19" t="str">
        <f>HYPERLINK("https://ssdweb.co/ssdweb/CERTH/632488447.pdf","CERTI")</f>
        <v>CERTI</v>
      </c>
    </row>
    <row r="5337" spans="1:27" ht="15" x14ac:dyDescent="0.25">
      <c r="A5337" s="2">
        <v>5332</v>
      </c>
      <c r="B5337" s="39">
        <v>926291581</v>
      </c>
      <c r="C5337" s="28" t="str">
        <f>HYPERLINK("https://pld.live/RapDetail.aspx?STONELIST=926291581","DNA")</f>
        <v>DNA</v>
      </c>
      <c r="D5337" s="18" t="s">
        <v>3054</v>
      </c>
      <c r="E5337" s="18" t="s">
        <v>5128</v>
      </c>
      <c r="F5337" s="2" t="s">
        <v>7987</v>
      </c>
      <c r="G5337" s="2" t="s">
        <v>7322</v>
      </c>
      <c r="H5337" s="14">
        <v>1.03</v>
      </c>
      <c r="I5337" s="2" t="s">
        <v>4699</v>
      </c>
      <c r="J5337" s="2" t="s">
        <v>6555</v>
      </c>
      <c r="K5337" s="2" t="s">
        <v>1452</v>
      </c>
      <c r="L5337" s="2" t="s">
        <v>5221</v>
      </c>
      <c r="M5337" s="2" t="s">
        <v>5721</v>
      </c>
      <c r="N5337" s="2" t="s">
        <v>2317</v>
      </c>
      <c r="O5337" s="14">
        <v>6800</v>
      </c>
      <c r="P5337" s="14">
        <v>98.24</v>
      </c>
      <c r="Q5337" s="14">
        <v>119.68</v>
      </c>
      <c r="R5337" s="14">
        <v>123.27</v>
      </c>
      <c r="S5337" s="2" t="s">
        <v>3868</v>
      </c>
      <c r="T5337" s="2">
        <v>1.41</v>
      </c>
      <c r="U5337" s="2">
        <v>65.900000000000006</v>
      </c>
      <c r="V5337" s="2">
        <v>69</v>
      </c>
      <c r="W5337" s="2" t="s">
        <v>7862</v>
      </c>
      <c r="X5337" s="2" t="s">
        <v>2897</v>
      </c>
      <c r="Y5337" s="2">
        <v>7004</v>
      </c>
      <c r="Z5337" s="19" t="str">
        <f>HYPERLINK("https://ssdweb.co/ssdweb/hd/Vision360.html?d=926291581&amp;zoomslide=1&amp;z=1926291581&amp;ISCONFIRM=0","VIDEO")</f>
        <v>VIDEO</v>
      </c>
      <c r="AA5337" s="19" t="str">
        <f>HYPERLINK("https://ssdweb.co/ssdweb/CERTH/644472499.pdf","CERTI")</f>
        <v>CERTI</v>
      </c>
    </row>
    <row r="5338" spans="1:27" ht="15" x14ac:dyDescent="0.25">
      <c r="A5338" s="2">
        <v>5333</v>
      </c>
      <c r="B5338" s="39">
        <v>926690759</v>
      </c>
      <c r="C5338" s="28" t="str">
        <f>HYPERLINK("https://pld.live/RapDetail.aspx?STONELIST=926690759","DNA")</f>
        <v>DNA</v>
      </c>
      <c r="D5338" s="18" t="s">
        <v>3054</v>
      </c>
      <c r="E5338" s="18" t="s">
        <v>5128</v>
      </c>
      <c r="F5338" s="2" t="s">
        <v>7987</v>
      </c>
      <c r="G5338" s="2" t="s">
        <v>7322</v>
      </c>
      <c r="H5338" s="14">
        <v>1.03</v>
      </c>
      <c r="I5338" s="2" t="s">
        <v>4699</v>
      </c>
      <c r="J5338" s="2" t="s">
        <v>3942</v>
      </c>
      <c r="K5338" s="2" t="s">
        <v>1452</v>
      </c>
      <c r="L5338" s="2" t="s">
        <v>5221</v>
      </c>
      <c r="M5338" s="2" t="s">
        <v>5221</v>
      </c>
      <c r="N5338" s="2" t="s">
        <v>2317</v>
      </c>
      <c r="O5338" s="14">
        <v>6400</v>
      </c>
      <c r="P5338" s="14">
        <v>98.28</v>
      </c>
      <c r="Q5338" s="14">
        <v>110.08</v>
      </c>
      <c r="R5338" s="14">
        <v>113.38</v>
      </c>
      <c r="S5338" s="2" t="s">
        <v>8117</v>
      </c>
      <c r="T5338" s="2">
        <v>1.37</v>
      </c>
      <c r="U5338" s="2">
        <v>67.900000000000006</v>
      </c>
      <c r="V5338" s="2">
        <v>68</v>
      </c>
      <c r="W5338" s="2" t="s">
        <v>4336</v>
      </c>
      <c r="X5338" s="2" t="s">
        <v>2897</v>
      </c>
      <c r="Y5338" s="2">
        <v>6592</v>
      </c>
      <c r="Z5338" s="19" t="str">
        <f>HYPERLINK("https://ssdweb.co/ssdweb/hd/Vision360.html?d=926690759&amp;zoomslide=1&amp;z=1926690759&amp;ISCONFIRM=0","VIDEO")</f>
        <v>VIDEO</v>
      </c>
      <c r="AA5338" s="19" t="str">
        <f>HYPERLINK("https://ssdweb.co/ssdweb/CERTH/649416389.pdf","CERTI")</f>
        <v>CERTI</v>
      </c>
    </row>
    <row r="5339" spans="1:27" ht="15" x14ac:dyDescent="0.25">
      <c r="A5339" s="2">
        <v>5334</v>
      </c>
      <c r="B5339" s="39">
        <v>831020477</v>
      </c>
      <c r="C5339" s="28" t="str">
        <f>HYPERLINK("https://pld.live/RapDetail.aspx?STONELIST=831020477","DNA")</f>
        <v>DNA</v>
      </c>
      <c r="D5339" s="18" t="s">
        <v>3054</v>
      </c>
      <c r="E5339" s="18" t="s">
        <v>2186</v>
      </c>
      <c r="F5339" s="2" t="s">
        <v>7987</v>
      </c>
      <c r="G5339" s="2" t="s">
        <v>7322</v>
      </c>
      <c r="H5339" s="14">
        <v>1.03</v>
      </c>
      <c r="I5339" s="2" t="s">
        <v>6587</v>
      </c>
      <c r="J5339" s="2" t="s">
        <v>13</v>
      </c>
      <c r="K5339" s="2" t="s">
        <v>1452</v>
      </c>
      <c r="L5339" s="2" t="s">
        <v>5221</v>
      </c>
      <c r="M5339" s="2" t="s">
        <v>5221</v>
      </c>
      <c r="N5339" s="2" t="s">
        <v>2317</v>
      </c>
      <c r="O5339" s="14">
        <v>5400</v>
      </c>
      <c r="P5339" s="14">
        <v>98.15</v>
      </c>
      <c r="Q5339" s="14">
        <v>99.9</v>
      </c>
      <c r="R5339" s="14">
        <v>102.9</v>
      </c>
      <c r="S5339" s="2" t="s">
        <v>2132</v>
      </c>
      <c r="T5339" s="2">
        <v>1.4</v>
      </c>
      <c r="U5339" s="2">
        <v>66.400000000000006</v>
      </c>
      <c r="V5339" s="2">
        <v>66</v>
      </c>
      <c r="W5339" s="2" t="s">
        <v>8016</v>
      </c>
      <c r="X5339" s="2" t="s">
        <v>2897</v>
      </c>
      <c r="Y5339" s="2">
        <v>5562</v>
      </c>
      <c r="Z5339" s="19" t="str">
        <f>HYPERLINK("https://ssdweb.co/ssdweb/hd/Vision360.html?d=831020477&amp;zoomslide=1&amp;z=1831020477&amp;ISCONFIRM=0","VIDEO")</f>
        <v>VIDEO</v>
      </c>
      <c r="AA5339" s="19" t="str">
        <f>HYPERLINK("https://ssdweb.co/ssdweb/CERTH/598388532.pdf","CERTI")</f>
        <v>CERTI</v>
      </c>
    </row>
    <row r="5340" spans="1:27" ht="15" x14ac:dyDescent="0.25">
      <c r="A5340" s="2">
        <v>5335</v>
      </c>
      <c r="B5340" s="39">
        <v>831020365</v>
      </c>
      <c r="C5340" s="28" t="str">
        <f>HYPERLINK("https://pld.live/RapDetail.aspx?STONELIST=831020365","DNA")</f>
        <v>DNA</v>
      </c>
      <c r="D5340" s="18" t="s">
        <v>3054</v>
      </c>
      <c r="E5340" s="18" t="s">
        <v>2186</v>
      </c>
      <c r="F5340" s="2" t="s">
        <v>7987</v>
      </c>
      <c r="G5340" s="2" t="s">
        <v>7322</v>
      </c>
      <c r="H5340" s="14">
        <v>1.03</v>
      </c>
      <c r="I5340" s="2" t="s">
        <v>1505</v>
      </c>
      <c r="J5340" s="2" t="s">
        <v>3942</v>
      </c>
      <c r="K5340" s="2" t="s">
        <v>1452</v>
      </c>
      <c r="L5340" s="2" t="s">
        <v>5221</v>
      </c>
      <c r="M5340" s="2" t="s">
        <v>5221</v>
      </c>
      <c r="N5340" s="2" t="s">
        <v>2317</v>
      </c>
      <c r="O5340" s="14">
        <v>4900</v>
      </c>
      <c r="P5340" s="14">
        <v>98.02</v>
      </c>
      <c r="Q5340" s="14">
        <v>97.02</v>
      </c>
      <c r="R5340" s="14">
        <v>99.93</v>
      </c>
      <c r="S5340" s="2" t="s">
        <v>5171</v>
      </c>
      <c r="T5340" s="2">
        <v>1.44</v>
      </c>
      <c r="U5340" s="2">
        <v>65.7</v>
      </c>
      <c r="V5340" s="2">
        <v>66</v>
      </c>
      <c r="W5340" s="2" t="s">
        <v>7862</v>
      </c>
      <c r="X5340" s="2" t="s">
        <v>2897</v>
      </c>
      <c r="Y5340" s="2">
        <v>5047</v>
      </c>
      <c r="Z5340" s="19" t="str">
        <f>HYPERLINK("https://ssdweb.co/ssdweb/hd/Vision360.html?d=831020365&amp;zoomslide=1&amp;z=1831020365&amp;ISCONFIRM=0","VIDEO")</f>
        <v>VIDEO</v>
      </c>
      <c r="AA5340" s="19" t="str">
        <f>HYPERLINK("https://ssdweb.co/ssdweb/CERTH/592323140.pdf","CERTI")</f>
        <v>CERTI</v>
      </c>
    </row>
    <row r="5341" spans="1:27" ht="15" x14ac:dyDescent="0.25">
      <c r="A5341" s="2">
        <v>5336</v>
      </c>
      <c r="B5341" s="39">
        <v>926631080</v>
      </c>
      <c r="C5341" s="28" t="str">
        <f>HYPERLINK("https://pld.live/RapDetail.aspx?STONELIST=926631080","DNA")</f>
        <v>DNA</v>
      </c>
      <c r="D5341" s="18" t="s">
        <v>3054</v>
      </c>
      <c r="E5341" s="18" t="s">
        <v>5128</v>
      </c>
      <c r="F5341" s="2" t="s">
        <v>7987</v>
      </c>
      <c r="G5341" s="2" t="s">
        <v>7322</v>
      </c>
      <c r="H5341" s="14">
        <v>1.02</v>
      </c>
      <c r="I5341" s="2" t="s">
        <v>267</v>
      </c>
      <c r="J5341" s="2" t="s">
        <v>7032</v>
      </c>
      <c r="K5341" s="2" t="s">
        <v>1452</v>
      </c>
      <c r="L5341" s="2" t="s">
        <v>5221</v>
      </c>
      <c r="M5341" s="2" t="s">
        <v>5221</v>
      </c>
      <c r="N5341" s="2" t="s">
        <v>2317</v>
      </c>
      <c r="O5341" s="14">
        <v>9300</v>
      </c>
      <c r="P5341" s="14">
        <v>97.61</v>
      </c>
      <c r="Q5341" s="14">
        <v>222.27</v>
      </c>
      <c r="R5341" s="14">
        <v>226.72</v>
      </c>
      <c r="S5341" s="2" t="s">
        <v>7589</v>
      </c>
      <c r="T5341" s="2">
        <v>1.41</v>
      </c>
      <c r="U5341" s="2">
        <v>66.400000000000006</v>
      </c>
      <c r="V5341" s="2">
        <v>66</v>
      </c>
      <c r="W5341" s="2" t="s">
        <v>7862</v>
      </c>
      <c r="X5341" s="2" t="s">
        <v>2897</v>
      </c>
      <c r="Y5341" s="2">
        <v>9486</v>
      </c>
      <c r="Z5341" s="19" t="str">
        <f>HYPERLINK("https://ssdweb.co/ssdweb/hd/Vision360.html?d=926631080&amp;zoomslide=1&amp;z=1926631080&amp;ISCONFIRM=0","VIDEO")</f>
        <v>VIDEO</v>
      </c>
      <c r="AA5341" s="19" t="str">
        <f>HYPERLINK("https://ssdweb.co/ssdweb/CERTH/647424367.pdf","CERTI")</f>
        <v>CERTI</v>
      </c>
    </row>
    <row r="5342" spans="1:27" ht="15" x14ac:dyDescent="0.25">
      <c r="A5342" s="2">
        <v>5337</v>
      </c>
      <c r="B5342" s="39">
        <v>925940259</v>
      </c>
      <c r="C5342" s="28" t="str">
        <f>HYPERLINK("https://pld.live/RapDetail.aspx?STONELIST=925940259","DNA")</f>
        <v>DNA</v>
      </c>
      <c r="D5342" s="18" t="s">
        <v>3054</v>
      </c>
      <c r="E5342" s="18" t="s">
        <v>5128</v>
      </c>
      <c r="F5342" s="2" t="s">
        <v>7987</v>
      </c>
      <c r="G5342" s="2" t="s">
        <v>7322</v>
      </c>
      <c r="H5342" s="14">
        <v>1.02</v>
      </c>
      <c r="I5342" s="2" t="s">
        <v>267</v>
      </c>
      <c r="J5342" s="2" t="s">
        <v>7032</v>
      </c>
      <c r="K5342" s="2" t="s">
        <v>1452</v>
      </c>
      <c r="L5342" s="2" t="s">
        <v>5221</v>
      </c>
      <c r="M5342" s="2" t="s">
        <v>5221</v>
      </c>
      <c r="N5342" s="2" t="s">
        <v>2317</v>
      </c>
      <c r="O5342" s="14">
        <v>9300</v>
      </c>
      <c r="P5342" s="14">
        <v>97.65</v>
      </c>
      <c r="Q5342" s="14">
        <v>218.55</v>
      </c>
      <c r="R5342" s="14">
        <v>222.92</v>
      </c>
      <c r="S5342" s="2" t="s">
        <v>7974</v>
      </c>
      <c r="T5342" s="2">
        <v>1.4</v>
      </c>
      <c r="U5342" s="2">
        <v>66</v>
      </c>
      <c r="V5342" s="2">
        <v>61</v>
      </c>
      <c r="W5342" s="2" t="s">
        <v>7862</v>
      </c>
      <c r="X5342" s="2" t="s">
        <v>2897</v>
      </c>
      <c r="Y5342" s="2">
        <v>9486</v>
      </c>
      <c r="Z5342" s="19" t="str">
        <f>HYPERLINK("https://ssdweb.co/ssdweb/hd/Vision360.html?d=925940259&amp;zoomslide=1&amp;z=1925940259&amp;ISCONFIRM=0","VIDEO")</f>
        <v>VIDEO</v>
      </c>
      <c r="AA5342" s="19" t="str">
        <f>HYPERLINK("https://ssdweb.co/ssdweb/CERTH/627415216.pdf","CERTI")</f>
        <v>CERTI</v>
      </c>
    </row>
    <row r="5343" spans="1:27" ht="15" x14ac:dyDescent="0.25">
      <c r="A5343" s="2">
        <v>5338</v>
      </c>
      <c r="B5343" s="39">
        <v>926291352</v>
      </c>
      <c r="C5343" s="28" t="str">
        <f>HYPERLINK("https://pld.live/RapDetail.aspx?STONELIST=926291352","DNA")</f>
        <v>DNA</v>
      </c>
      <c r="D5343" s="18" t="s">
        <v>3054</v>
      </c>
      <c r="E5343" s="18" t="s">
        <v>5128</v>
      </c>
      <c r="F5343" s="2" t="s">
        <v>7987</v>
      </c>
      <c r="G5343" s="2" t="s">
        <v>7322</v>
      </c>
      <c r="H5343" s="14">
        <v>1.02</v>
      </c>
      <c r="I5343" s="2" t="s">
        <v>267</v>
      </c>
      <c r="J5343" s="2" t="s">
        <v>7032</v>
      </c>
      <c r="K5343" s="2" t="s">
        <v>1452</v>
      </c>
      <c r="L5343" s="2" t="s">
        <v>5221</v>
      </c>
      <c r="M5343" s="2" t="s">
        <v>5221</v>
      </c>
      <c r="N5343" s="2" t="s">
        <v>2317</v>
      </c>
      <c r="O5343" s="14">
        <v>9300</v>
      </c>
      <c r="P5343" s="14">
        <v>97.61</v>
      </c>
      <c r="Q5343" s="14">
        <v>222.27</v>
      </c>
      <c r="R5343" s="14">
        <v>226.72</v>
      </c>
      <c r="S5343" s="2" t="s">
        <v>7785</v>
      </c>
      <c r="T5343" s="2">
        <v>1.46</v>
      </c>
      <c r="U5343" s="2">
        <v>65.8</v>
      </c>
      <c r="V5343" s="2">
        <v>61</v>
      </c>
      <c r="W5343" s="2" t="s">
        <v>7862</v>
      </c>
      <c r="X5343" s="2" t="s">
        <v>2897</v>
      </c>
      <c r="Y5343" s="2">
        <v>9486</v>
      </c>
      <c r="Z5343" s="19" t="str">
        <f>HYPERLINK("https://ssdweb.co/ssdweb/hd/Vision360.html?d=926291352&amp;zoomslide=1&amp;z=1926291352&amp;ISCONFIRM=0","VIDEO")</f>
        <v>VIDEO</v>
      </c>
      <c r="AA5343" s="19" t="str">
        <f>HYPERLINK("https://ssdweb.co/ssdweb/CERTH/648487380.pdf","CERTI")</f>
        <v>CERTI</v>
      </c>
    </row>
    <row r="5344" spans="1:27" ht="15" x14ac:dyDescent="0.25">
      <c r="A5344" s="2">
        <v>5339</v>
      </c>
      <c r="B5344" s="39">
        <v>941351042</v>
      </c>
      <c r="C5344" s="28" t="str">
        <f>HYPERLINK("https://pld.live/RapDetail.aspx?STONELIST=941351042","DNA")</f>
        <v>DNA</v>
      </c>
      <c r="D5344" s="18" t="s">
        <v>3054</v>
      </c>
      <c r="E5344" s="18" t="s">
        <v>5128</v>
      </c>
      <c r="F5344" s="2" t="s">
        <v>7987</v>
      </c>
      <c r="G5344" s="2" t="s">
        <v>7322</v>
      </c>
      <c r="H5344" s="14">
        <v>1.02</v>
      </c>
      <c r="I5344" s="2" t="s">
        <v>267</v>
      </c>
      <c r="J5344" s="2" t="s">
        <v>7032</v>
      </c>
      <c r="K5344" s="2" t="s">
        <v>1452</v>
      </c>
      <c r="L5344" s="2" t="s">
        <v>5221</v>
      </c>
      <c r="M5344" s="2" t="s">
        <v>5221</v>
      </c>
      <c r="N5344" s="2" t="s">
        <v>2317</v>
      </c>
      <c r="O5344" s="14">
        <v>9300</v>
      </c>
      <c r="P5344" s="14">
        <v>97.6</v>
      </c>
      <c r="Q5344" s="14">
        <v>223.2</v>
      </c>
      <c r="R5344" s="14">
        <v>227.66</v>
      </c>
      <c r="S5344" s="2" t="s">
        <v>835</v>
      </c>
      <c r="T5344" s="2">
        <v>1.4</v>
      </c>
      <c r="U5344" s="2">
        <v>65.8</v>
      </c>
      <c r="V5344" s="2">
        <v>64</v>
      </c>
      <c r="W5344" s="2" t="s">
        <v>7862</v>
      </c>
      <c r="X5344" s="2" t="s">
        <v>2897</v>
      </c>
      <c r="Y5344" s="2">
        <v>9486</v>
      </c>
      <c r="Z5344" s="19" t="str">
        <f>HYPERLINK("https://ssdweb.co/ssdweb/hd/Vision360.html?d=941351042&amp;zoomslide=1&amp;z=1941351042&amp;ISCONFIRM=0","VIDEO")</f>
        <v>VIDEO</v>
      </c>
      <c r="AA5344" s="19" t="str">
        <f>HYPERLINK("https://ssdweb.co/ssdweb/CERTH/691552701.pdf","CERTI")</f>
        <v>CERTI</v>
      </c>
    </row>
    <row r="5345" spans="1:27" ht="15" x14ac:dyDescent="0.25">
      <c r="A5345" s="2">
        <v>5340</v>
      </c>
      <c r="B5345" s="39">
        <v>926110137</v>
      </c>
      <c r="C5345" s="28" t="str">
        <f>HYPERLINK("https://pld.live/RapDetail.aspx?STONELIST=926110137","DNA")</f>
        <v>DNA</v>
      </c>
      <c r="D5345" s="18" t="s">
        <v>3054</v>
      </c>
      <c r="E5345" s="18" t="s">
        <v>5128</v>
      </c>
      <c r="F5345" s="2" t="s">
        <v>7987</v>
      </c>
      <c r="G5345" s="2" t="s">
        <v>7322</v>
      </c>
      <c r="H5345" s="14">
        <v>1.02</v>
      </c>
      <c r="I5345" s="2" t="s">
        <v>267</v>
      </c>
      <c r="J5345" s="2" t="s">
        <v>7032</v>
      </c>
      <c r="K5345" s="2" t="s">
        <v>1452</v>
      </c>
      <c r="L5345" s="2" t="s">
        <v>5221</v>
      </c>
      <c r="M5345" s="2" t="s">
        <v>5221</v>
      </c>
      <c r="N5345" s="2" t="s">
        <v>2317</v>
      </c>
      <c r="O5345" s="14">
        <v>9300</v>
      </c>
      <c r="P5345" s="14">
        <v>97.62</v>
      </c>
      <c r="Q5345" s="14">
        <v>221.34</v>
      </c>
      <c r="R5345" s="14">
        <v>225.77</v>
      </c>
      <c r="S5345" s="2" t="s">
        <v>1980</v>
      </c>
      <c r="T5345" s="2">
        <v>1.4</v>
      </c>
      <c r="U5345" s="2">
        <v>66.2</v>
      </c>
      <c r="V5345" s="2">
        <v>65</v>
      </c>
      <c r="W5345" s="2" t="s">
        <v>7862</v>
      </c>
      <c r="X5345" s="2" t="s">
        <v>2897</v>
      </c>
      <c r="Y5345" s="2">
        <v>9486</v>
      </c>
      <c r="Z5345" s="19" t="str">
        <f>HYPERLINK("https://ssdweb.co/ssdweb/hd/Vision360.html?d=926110137&amp;zoomslide=1&amp;z=1926110137&amp;ISCONFIRM=0","VIDEO")</f>
        <v>VIDEO</v>
      </c>
      <c r="AA5345" s="19" t="str">
        <f>HYPERLINK("https://ssdweb.co/ssdweb/CERTH/631464165.pdf","CERTI")</f>
        <v>CERTI</v>
      </c>
    </row>
    <row r="5346" spans="1:27" ht="15" x14ac:dyDescent="0.25">
      <c r="A5346" s="2">
        <v>5341</v>
      </c>
      <c r="B5346" s="39">
        <v>926750608</v>
      </c>
      <c r="C5346" s="28" t="str">
        <f>HYPERLINK("https://pld.live/RapDetail.aspx?STONELIST=926750608","DNA")</f>
        <v>DNA</v>
      </c>
      <c r="D5346" s="18" t="s">
        <v>3054</v>
      </c>
      <c r="E5346" s="18" t="s">
        <v>5128</v>
      </c>
      <c r="F5346" s="2" t="s">
        <v>7987</v>
      </c>
      <c r="G5346" s="2" t="s">
        <v>7322</v>
      </c>
      <c r="H5346" s="14">
        <v>1.02</v>
      </c>
      <c r="I5346" s="2" t="s">
        <v>267</v>
      </c>
      <c r="J5346" s="2" t="s">
        <v>6555</v>
      </c>
      <c r="K5346" s="2" t="s">
        <v>1452</v>
      </c>
      <c r="L5346" s="2" t="s">
        <v>5221</v>
      </c>
      <c r="M5346" s="2" t="s">
        <v>5221</v>
      </c>
      <c r="N5346" s="2" t="s">
        <v>2317</v>
      </c>
      <c r="O5346" s="14">
        <v>8200</v>
      </c>
      <c r="P5346" s="14">
        <v>98.43</v>
      </c>
      <c r="Q5346" s="14">
        <v>128.74</v>
      </c>
      <c r="R5346" s="14">
        <v>131.31</v>
      </c>
      <c r="S5346" s="2" t="s">
        <v>208</v>
      </c>
      <c r="T5346" s="2">
        <v>1.41</v>
      </c>
      <c r="U5346" s="2">
        <v>64.8</v>
      </c>
      <c r="V5346" s="2">
        <v>66</v>
      </c>
      <c r="W5346" s="2" t="s">
        <v>7862</v>
      </c>
      <c r="X5346" s="2" t="s">
        <v>2897</v>
      </c>
      <c r="Y5346" s="2">
        <v>8364</v>
      </c>
      <c r="Z5346" s="19" t="str">
        <f>HYPERLINK("https://ssdweb.co/ssdweb/hd/Vision360.html?d=926750608&amp;zoomslide=1&amp;z=1926750608&amp;ISCONFIRM=0","VIDEO")</f>
        <v>VIDEO</v>
      </c>
      <c r="AA5346" s="19" t="str">
        <f>HYPERLINK("https://ssdweb.co/ssdweb/CERTH/651466288.pdf","CERTI")</f>
        <v>CERTI</v>
      </c>
    </row>
    <row r="5347" spans="1:27" ht="15" x14ac:dyDescent="0.25">
      <c r="A5347" s="2">
        <v>5342</v>
      </c>
      <c r="B5347" s="39">
        <v>926841328</v>
      </c>
      <c r="C5347" s="28" t="str">
        <f>HYPERLINK("https://pld.live/RapDetail.aspx?STONELIST=926841328","DNA")</f>
        <v>DNA</v>
      </c>
      <c r="D5347" s="18" t="s">
        <v>3054</v>
      </c>
      <c r="E5347" s="18" t="s">
        <v>2186</v>
      </c>
      <c r="F5347" s="2" t="s">
        <v>7987</v>
      </c>
      <c r="G5347" s="2" t="s">
        <v>7322</v>
      </c>
      <c r="H5347" s="14">
        <v>1.02</v>
      </c>
      <c r="I5347" s="2" t="s">
        <v>267</v>
      </c>
      <c r="J5347" s="2" t="s">
        <v>6555</v>
      </c>
      <c r="K5347" s="2" t="s">
        <v>1452</v>
      </c>
      <c r="L5347" s="2" t="s">
        <v>5221</v>
      </c>
      <c r="M5347" s="2" t="s">
        <v>5221</v>
      </c>
      <c r="N5347" s="2" t="s">
        <v>2317</v>
      </c>
      <c r="O5347" s="14">
        <v>8200</v>
      </c>
      <c r="P5347" s="14">
        <v>98.43</v>
      </c>
      <c r="Q5347" s="14">
        <v>128.74</v>
      </c>
      <c r="R5347" s="14">
        <v>131.31</v>
      </c>
      <c r="S5347" s="2" t="s">
        <v>4435</v>
      </c>
      <c r="T5347" s="2">
        <v>1.39</v>
      </c>
      <c r="U5347" s="2">
        <v>67.599999999999994</v>
      </c>
      <c r="V5347" s="2">
        <v>63</v>
      </c>
      <c r="W5347" s="2" t="s">
        <v>7862</v>
      </c>
      <c r="X5347" s="2" t="s">
        <v>2897</v>
      </c>
      <c r="Y5347" s="2">
        <v>8364</v>
      </c>
      <c r="Z5347" s="19" t="str">
        <f>HYPERLINK("https://ssdweb.co/ssdweb/hd/Vision360.html?d=926841328&amp;zoomslide=1&amp;z=1926841328&amp;ISCONFIRM=0","VIDEO")</f>
        <v>VIDEO</v>
      </c>
      <c r="AA5347" s="19" t="str">
        <f>HYPERLINK("https://ssdweb.co/ssdweb/CERTH/659414313.pdf","CERTI")</f>
        <v>CERTI</v>
      </c>
    </row>
    <row r="5348" spans="1:27" ht="15" x14ac:dyDescent="0.25">
      <c r="A5348" s="2">
        <v>5343</v>
      </c>
      <c r="B5348" s="39">
        <v>926270792</v>
      </c>
      <c r="C5348" s="28" t="str">
        <f>HYPERLINK("https://pld.live/RapDetail.aspx?STONELIST=926270792","DNA")</f>
        <v>DNA</v>
      </c>
      <c r="D5348" s="18" t="s">
        <v>3054</v>
      </c>
      <c r="E5348" s="18" t="s">
        <v>5128</v>
      </c>
      <c r="F5348" s="2" t="s">
        <v>7987</v>
      </c>
      <c r="G5348" s="2" t="s">
        <v>7322</v>
      </c>
      <c r="H5348" s="14">
        <v>1.02</v>
      </c>
      <c r="I5348" s="2" t="s">
        <v>267</v>
      </c>
      <c r="J5348" s="2" t="s">
        <v>6555</v>
      </c>
      <c r="K5348" s="2" t="s">
        <v>1452</v>
      </c>
      <c r="L5348" s="2" t="s">
        <v>5221</v>
      </c>
      <c r="M5348" s="2" t="s">
        <v>5221</v>
      </c>
      <c r="N5348" s="2" t="s">
        <v>2317</v>
      </c>
      <c r="O5348" s="14">
        <v>8200</v>
      </c>
      <c r="P5348" s="14">
        <v>98.44</v>
      </c>
      <c r="Q5348" s="14">
        <v>127.92</v>
      </c>
      <c r="R5348" s="14">
        <v>130.47999999999999</v>
      </c>
      <c r="S5348" s="2" t="s">
        <v>4317</v>
      </c>
      <c r="T5348" s="2">
        <v>1.36</v>
      </c>
      <c r="U5348" s="2">
        <v>67.900000000000006</v>
      </c>
      <c r="V5348" s="2">
        <v>66</v>
      </c>
      <c r="W5348" s="2" t="s">
        <v>7862</v>
      </c>
      <c r="X5348" s="2" t="s">
        <v>2897</v>
      </c>
      <c r="Y5348" s="2">
        <v>8364</v>
      </c>
      <c r="Z5348" s="19" t="str">
        <f>HYPERLINK("https://ssdweb.co/ssdweb/hd/Vision360.html?d=926270792&amp;zoomslide=1&amp;z=1926270792&amp;ISCONFIRM=0","VIDEO")</f>
        <v>VIDEO</v>
      </c>
      <c r="AA5348" s="19" t="str">
        <f>HYPERLINK("https://ssdweb.co/ssdweb/CERTH/638463389.pdf","CERTI")</f>
        <v>CERTI</v>
      </c>
    </row>
    <row r="5349" spans="1:27" ht="15" x14ac:dyDescent="0.25">
      <c r="A5349" s="2">
        <v>5344</v>
      </c>
      <c r="B5349" s="39">
        <v>941351041</v>
      </c>
      <c r="C5349" s="28" t="str">
        <f>HYPERLINK("https://pld.live/RapDetail.aspx?STONELIST=941351041","DNA")</f>
        <v>DNA</v>
      </c>
      <c r="D5349" s="18" t="s">
        <v>3054</v>
      </c>
      <c r="E5349" s="18" t="s">
        <v>5128</v>
      </c>
      <c r="F5349" s="2" t="s">
        <v>7987</v>
      </c>
      <c r="G5349" s="2" t="s">
        <v>7322</v>
      </c>
      <c r="H5349" s="14">
        <v>1.02</v>
      </c>
      <c r="I5349" s="2" t="s">
        <v>267</v>
      </c>
      <c r="J5349" s="2" t="s">
        <v>6555</v>
      </c>
      <c r="K5349" s="2" t="s">
        <v>1452</v>
      </c>
      <c r="L5349" s="2" t="s">
        <v>5221</v>
      </c>
      <c r="M5349" s="2" t="s">
        <v>5221</v>
      </c>
      <c r="N5349" s="2" t="s">
        <v>2317</v>
      </c>
      <c r="O5349" s="14">
        <v>8200</v>
      </c>
      <c r="P5349" s="14">
        <v>98.41</v>
      </c>
      <c r="Q5349" s="14">
        <v>130.38</v>
      </c>
      <c r="R5349" s="14">
        <v>132.99</v>
      </c>
      <c r="S5349" s="2" t="s">
        <v>7778</v>
      </c>
      <c r="T5349" s="2">
        <v>1.4</v>
      </c>
      <c r="U5349" s="2">
        <v>66.900000000000006</v>
      </c>
      <c r="V5349" s="2">
        <v>67</v>
      </c>
      <c r="W5349" s="2" t="s">
        <v>7862</v>
      </c>
      <c r="X5349" s="2" t="s">
        <v>2897</v>
      </c>
      <c r="Y5349" s="2">
        <v>8364</v>
      </c>
      <c r="Z5349" s="19" t="str">
        <f>HYPERLINK("https://ssdweb.co/ssdweb/hd/Vision360.html?d=941351041&amp;zoomslide=1&amp;z=1941351041&amp;ISCONFIRM=0","VIDEO")</f>
        <v>VIDEO</v>
      </c>
      <c r="AA5349" s="19" t="str">
        <f>HYPERLINK("https://ssdweb.co/ssdweb/CERTH/691552700.pdf","CERTI")</f>
        <v>CERTI</v>
      </c>
    </row>
    <row r="5350" spans="1:27" ht="15" x14ac:dyDescent="0.25">
      <c r="A5350" s="2">
        <v>5345</v>
      </c>
      <c r="B5350" s="39">
        <v>941020753</v>
      </c>
      <c r="C5350" s="28" t="str">
        <f>HYPERLINK("https://pld.live/RapDetail.aspx?STONELIST=941020753","DNA")</f>
        <v>DNA</v>
      </c>
      <c r="D5350" s="18" t="s">
        <v>3054</v>
      </c>
      <c r="E5350" s="18" t="s">
        <v>5128</v>
      </c>
      <c r="F5350" s="2" t="s">
        <v>7987</v>
      </c>
      <c r="G5350" s="2" t="s">
        <v>7322</v>
      </c>
      <c r="H5350" s="14">
        <v>1.02</v>
      </c>
      <c r="I5350" s="2" t="s">
        <v>267</v>
      </c>
      <c r="J5350" s="2" t="s">
        <v>6555</v>
      </c>
      <c r="K5350" s="2" t="s">
        <v>1452</v>
      </c>
      <c r="L5350" s="2" t="s">
        <v>5221</v>
      </c>
      <c r="M5350" s="2" t="s">
        <v>5221</v>
      </c>
      <c r="N5350" s="2" t="s">
        <v>2317</v>
      </c>
      <c r="O5350" s="14">
        <v>8200</v>
      </c>
      <c r="P5350" s="14">
        <v>98.43</v>
      </c>
      <c r="Q5350" s="14">
        <v>128.74</v>
      </c>
      <c r="R5350" s="14">
        <v>131.31</v>
      </c>
      <c r="S5350" s="2" t="s">
        <v>6953</v>
      </c>
      <c r="T5350" s="2">
        <v>1.41</v>
      </c>
      <c r="U5350" s="2">
        <v>67.099999999999994</v>
      </c>
      <c r="V5350" s="2">
        <v>64</v>
      </c>
      <c r="W5350" s="2" t="s">
        <v>7862</v>
      </c>
      <c r="X5350" s="2" t="s">
        <v>2897</v>
      </c>
      <c r="Y5350" s="2">
        <v>8364</v>
      </c>
      <c r="Z5350" s="19" t="str">
        <f>HYPERLINK("https://ssdweb.co/ssdweb/hd/Vision360.html?d=941020753&amp;zoomslide=1&amp;z=1941020753&amp;ISCONFIRM=0","VIDEO")</f>
        <v>VIDEO</v>
      </c>
      <c r="AA5350" s="19" t="str">
        <f>HYPERLINK("https://ssdweb.co/ssdweb/CERTH/668477331.pdf","CERTI")</f>
        <v>CERTI</v>
      </c>
    </row>
    <row r="5351" spans="1:27" ht="15" x14ac:dyDescent="0.25">
      <c r="A5351" s="2">
        <v>5346</v>
      </c>
      <c r="B5351" s="39">
        <v>926100839</v>
      </c>
      <c r="C5351" s="28" t="str">
        <f>HYPERLINK("https://pld.live/RapDetail.aspx?STONELIST=926100839","DNA")</f>
        <v>DNA</v>
      </c>
      <c r="D5351" s="18" t="s">
        <v>3054</v>
      </c>
      <c r="E5351" s="18" t="s">
        <v>5128</v>
      </c>
      <c r="F5351" s="2" t="s">
        <v>7987</v>
      </c>
      <c r="G5351" s="2" t="s">
        <v>7322</v>
      </c>
      <c r="H5351" s="14">
        <v>1.02</v>
      </c>
      <c r="I5351" s="2" t="s">
        <v>267</v>
      </c>
      <c r="J5351" s="2" t="s">
        <v>6555</v>
      </c>
      <c r="K5351" s="2" t="s">
        <v>1452</v>
      </c>
      <c r="L5351" s="2" t="s">
        <v>5221</v>
      </c>
      <c r="M5351" s="2" t="s">
        <v>5221</v>
      </c>
      <c r="N5351" s="2" t="s">
        <v>2317</v>
      </c>
      <c r="O5351" s="14">
        <v>8200</v>
      </c>
      <c r="P5351" s="14">
        <v>98.44</v>
      </c>
      <c r="Q5351" s="14">
        <v>127.92</v>
      </c>
      <c r="R5351" s="14">
        <v>130.47999999999999</v>
      </c>
      <c r="S5351" s="2" t="s">
        <v>3016</v>
      </c>
      <c r="T5351" s="2">
        <v>1.45</v>
      </c>
      <c r="U5351" s="2">
        <v>64.7</v>
      </c>
      <c r="V5351" s="2">
        <v>63</v>
      </c>
      <c r="W5351" s="2" t="s">
        <v>7862</v>
      </c>
      <c r="X5351" s="2" t="s">
        <v>2897</v>
      </c>
      <c r="Y5351" s="2">
        <v>8364</v>
      </c>
      <c r="Z5351" s="19" t="str">
        <f>HYPERLINK("https://ssdweb.co/ssdweb/hd/Vision360.html?d=926100839&amp;zoomslide=1&amp;z=1926100839&amp;ISCONFIRM=0","VIDEO")</f>
        <v>VIDEO</v>
      </c>
      <c r="AA5351" s="19" t="str">
        <f>HYPERLINK("https://ssdweb.co/ssdweb/CERTH/631464036.pdf","CERTI")</f>
        <v>CERTI</v>
      </c>
    </row>
    <row r="5352" spans="1:27" ht="15" x14ac:dyDescent="0.25">
      <c r="A5352" s="2">
        <v>5347</v>
      </c>
      <c r="B5352" s="39">
        <v>831010522</v>
      </c>
      <c r="C5352" s="28" t="str">
        <f>HYPERLINK("https://pld.live/RapDetail.aspx?STONELIST=831010522","DNA")</f>
        <v>DNA</v>
      </c>
      <c r="D5352" s="18" t="s">
        <v>3054</v>
      </c>
      <c r="E5352" s="18" t="s">
        <v>5128</v>
      </c>
      <c r="F5352" s="2" t="s">
        <v>5597</v>
      </c>
      <c r="G5352" s="2" t="s">
        <v>7322</v>
      </c>
      <c r="H5352" s="14">
        <v>1.02</v>
      </c>
      <c r="I5352" s="2" t="s">
        <v>267</v>
      </c>
      <c r="J5352" s="2" t="s">
        <v>6555</v>
      </c>
      <c r="K5352" s="2" t="s">
        <v>1452</v>
      </c>
      <c r="L5352" s="2" t="s">
        <v>5221</v>
      </c>
      <c r="M5352" s="2" t="s">
        <v>5721</v>
      </c>
      <c r="N5352" s="2" t="s">
        <v>2317</v>
      </c>
      <c r="O5352" s="14">
        <v>8200</v>
      </c>
      <c r="P5352" s="14">
        <v>97.26</v>
      </c>
      <c r="Q5352" s="14">
        <v>224.68</v>
      </c>
      <c r="R5352" s="14">
        <v>229.17</v>
      </c>
      <c r="S5352" s="2" t="s">
        <v>7426</v>
      </c>
      <c r="T5352" s="2">
        <v>1.46</v>
      </c>
      <c r="U5352" s="2">
        <v>68.400000000000006</v>
      </c>
      <c r="V5352" s="2">
        <v>67</v>
      </c>
      <c r="W5352" s="2" t="s">
        <v>7862</v>
      </c>
      <c r="X5352" s="2" t="s">
        <v>2897</v>
      </c>
      <c r="Y5352" s="2">
        <v>8364</v>
      </c>
      <c r="Z5352" s="19" t="str">
        <f>HYPERLINK("https://ssdweb.co/ssdweb/hd/Vision360.html?d=831010522&amp;zoomslide=1&amp;z=1831010522&amp;ISCONFIRM=0","VIDEO")</f>
        <v>VIDEO</v>
      </c>
      <c r="AA5352" s="19" t="str">
        <f>HYPERLINK("https://ssdweb.co/ssdweb/CERTH/6452257613.pdf","CERTI")</f>
        <v>CERTI</v>
      </c>
    </row>
    <row r="5353" spans="1:27" ht="15" x14ac:dyDescent="0.25">
      <c r="A5353" s="2">
        <v>5348</v>
      </c>
      <c r="B5353" s="39">
        <v>926631183</v>
      </c>
      <c r="C5353" s="28" t="str">
        <f>HYPERLINK("https://pld.live/RapDetail.aspx?STONELIST=926631183","DNA")</f>
        <v>DNA</v>
      </c>
      <c r="D5353" s="18" t="s">
        <v>3054</v>
      </c>
      <c r="E5353" s="18" t="s">
        <v>5128</v>
      </c>
      <c r="F5353" s="2" t="s">
        <v>7987</v>
      </c>
      <c r="G5353" s="2" t="s">
        <v>7322</v>
      </c>
      <c r="H5353" s="14">
        <v>1.02</v>
      </c>
      <c r="I5353" s="2" t="s">
        <v>267</v>
      </c>
      <c r="J5353" s="2" t="s">
        <v>3942</v>
      </c>
      <c r="K5353" s="2" t="s">
        <v>1452</v>
      </c>
      <c r="L5353" s="2" t="s">
        <v>5221</v>
      </c>
      <c r="M5353" s="2" t="s">
        <v>5221</v>
      </c>
      <c r="N5353" s="2" t="s">
        <v>2317</v>
      </c>
      <c r="O5353" s="14">
        <v>7600</v>
      </c>
      <c r="P5353" s="14">
        <v>98.46</v>
      </c>
      <c r="Q5353" s="14">
        <v>117.04</v>
      </c>
      <c r="R5353" s="14">
        <v>119.38</v>
      </c>
      <c r="S5353" s="2" t="s">
        <v>183</v>
      </c>
      <c r="T5353" s="2">
        <v>1.42</v>
      </c>
      <c r="U5353" s="2">
        <v>63.9</v>
      </c>
      <c r="V5353" s="2">
        <v>67</v>
      </c>
      <c r="W5353" s="2" t="s">
        <v>7862</v>
      </c>
      <c r="X5353" s="2" t="s">
        <v>2897</v>
      </c>
      <c r="Y5353" s="2">
        <v>7752</v>
      </c>
      <c r="Z5353" s="19" t="str">
        <f>HYPERLINK("https://ssdweb.co/ssdweb/hd/Vision360.html?d=926631183&amp;zoomslide=1&amp;z=1926631183&amp;ISCONFIRM=0","VIDEO")</f>
        <v>VIDEO</v>
      </c>
      <c r="AA5353" s="19" t="str">
        <f>HYPERLINK("https://ssdweb.co/ssdweb/CERTH/647452250.pdf","CERTI")</f>
        <v>CERTI</v>
      </c>
    </row>
    <row r="5354" spans="1:27" ht="15" x14ac:dyDescent="0.25">
      <c r="A5354" s="2">
        <v>5349</v>
      </c>
      <c r="B5354" s="39">
        <v>926631066</v>
      </c>
      <c r="C5354" s="28" t="str">
        <f>HYPERLINK("https://pld.live/RapDetail.aspx?STONELIST=926631066","DNA")</f>
        <v>DNA</v>
      </c>
      <c r="D5354" s="18" t="s">
        <v>3054</v>
      </c>
      <c r="E5354" s="18" t="s">
        <v>5128</v>
      </c>
      <c r="F5354" s="2" t="s">
        <v>7987</v>
      </c>
      <c r="G5354" s="2" t="s">
        <v>7322</v>
      </c>
      <c r="H5354" s="14">
        <v>1.02</v>
      </c>
      <c r="I5354" s="2" t="s">
        <v>267</v>
      </c>
      <c r="J5354" s="2" t="s">
        <v>3942</v>
      </c>
      <c r="K5354" s="2" t="s">
        <v>1452</v>
      </c>
      <c r="L5354" s="2" t="s">
        <v>5221</v>
      </c>
      <c r="M5354" s="2" t="s">
        <v>5221</v>
      </c>
      <c r="N5354" s="2" t="s">
        <v>2317</v>
      </c>
      <c r="O5354" s="14">
        <v>7600</v>
      </c>
      <c r="P5354" s="14">
        <v>98.46</v>
      </c>
      <c r="Q5354" s="14">
        <v>117.04</v>
      </c>
      <c r="R5354" s="14">
        <v>119.38</v>
      </c>
      <c r="S5354" s="2" t="s">
        <v>7974</v>
      </c>
      <c r="T5354" s="2">
        <v>1.4</v>
      </c>
      <c r="U5354" s="2">
        <v>66</v>
      </c>
      <c r="V5354" s="2">
        <v>66</v>
      </c>
      <c r="W5354" s="2" t="s">
        <v>7862</v>
      </c>
      <c r="X5354" s="2" t="s">
        <v>2897</v>
      </c>
      <c r="Y5354" s="2">
        <v>7752</v>
      </c>
      <c r="Z5354" s="19" t="str">
        <f>HYPERLINK("https://ssdweb.co/ssdweb/hd/Vision360.html?d=926631066&amp;zoomslide=1&amp;z=1926631066&amp;ISCONFIRM=0","VIDEO")</f>
        <v>VIDEO</v>
      </c>
      <c r="AA5354" s="19" t="str">
        <f>HYPERLINK("https://ssdweb.co/ssdweb/CERTH/647424342.pdf","CERTI")</f>
        <v>CERTI</v>
      </c>
    </row>
    <row r="5355" spans="1:27" ht="15" x14ac:dyDescent="0.25">
      <c r="A5355" s="2">
        <v>5350</v>
      </c>
      <c r="B5355" s="39">
        <v>926631035</v>
      </c>
      <c r="C5355" s="28" t="str">
        <f>HYPERLINK("https://pld.live/RapDetail.aspx?STONELIST=926631035","DNA")</f>
        <v>DNA</v>
      </c>
      <c r="D5355" s="18" t="s">
        <v>3054</v>
      </c>
      <c r="E5355" s="18" t="s">
        <v>5128</v>
      </c>
      <c r="F5355" s="2" t="s">
        <v>7987</v>
      </c>
      <c r="G5355" s="2" t="s">
        <v>7322</v>
      </c>
      <c r="H5355" s="14">
        <v>1.02</v>
      </c>
      <c r="I5355" s="2" t="s">
        <v>267</v>
      </c>
      <c r="J5355" s="2" t="s">
        <v>3942</v>
      </c>
      <c r="K5355" s="2" t="s">
        <v>1452</v>
      </c>
      <c r="L5355" s="2" t="s">
        <v>5221</v>
      </c>
      <c r="M5355" s="2" t="s">
        <v>5221</v>
      </c>
      <c r="N5355" s="2" t="s">
        <v>2317</v>
      </c>
      <c r="O5355" s="14">
        <v>7600</v>
      </c>
      <c r="P5355" s="14">
        <v>98.46</v>
      </c>
      <c r="Q5355" s="14">
        <v>117.04</v>
      </c>
      <c r="R5355" s="14">
        <v>119.38</v>
      </c>
      <c r="S5355" s="2" t="s">
        <v>6235</v>
      </c>
      <c r="T5355" s="2">
        <v>1.42</v>
      </c>
      <c r="U5355" s="2">
        <v>65.2</v>
      </c>
      <c r="V5355" s="2">
        <v>64</v>
      </c>
      <c r="W5355" s="2" t="s">
        <v>7862</v>
      </c>
      <c r="X5355" s="2" t="s">
        <v>2897</v>
      </c>
      <c r="Y5355" s="2">
        <v>7752</v>
      </c>
      <c r="Z5355" s="19" t="str">
        <f>HYPERLINK("https://ssdweb.co/ssdweb/hd/Vision360.html?d=926631035&amp;zoomslide=1&amp;z=1926631035&amp;ISCONFIRM=0","VIDEO")</f>
        <v>VIDEO</v>
      </c>
      <c r="AA5355" s="19" t="str">
        <f>HYPERLINK("https://ssdweb.co/ssdweb/CERTH/647424346.pdf","CERTI")</f>
        <v>CERTI</v>
      </c>
    </row>
    <row r="5356" spans="1:27" ht="15" x14ac:dyDescent="0.25">
      <c r="A5356" s="2">
        <v>5351</v>
      </c>
      <c r="B5356" s="39">
        <v>926640649</v>
      </c>
      <c r="C5356" s="28" t="str">
        <f>HYPERLINK("https://pld.live/RapDetail.aspx?STONELIST=926640649","DNA")</f>
        <v>DNA</v>
      </c>
      <c r="D5356" s="18" t="s">
        <v>3054</v>
      </c>
      <c r="E5356" s="18" t="s">
        <v>2186</v>
      </c>
      <c r="F5356" s="2" t="s">
        <v>7987</v>
      </c>
      <c r="G5356" s="2" t="s">
        <v>7322</v>
      </c>
      <c r="H5356" s="14">
        <v>1.02</v>
      </c>
      <c r="I5356" s="2" t="s">
        <v>267</v>
      </c>
      <c r="J5356" s="2" t="s">
        <v>3942</v>
      </c>
      <c r="K5356" s="2" t="s">
        <v>1452</v>
      </c>
      <c r="L5356" s="2" t="s">
        <v>5221</v>
      </c>
      <c r="M5356" s="2" t="s">
        <v>5221</v>
      </c>
      <c r="N5356" s="2" t="s">
        <v>2317</v>
      </c>
      <c r="O5356" s="14">
        <v>7600</v>
      </c>
      <c r="P5356" s="14">
        <v>98.46</v>
      </c>
      <c r="Q5356" s="14">
        <v>117.04</v>
      </c>
      <c r="R5356" s="14">
        <v>119.38</v>
      </c>
      <c r="S5356" s="2" t="s">
        <v>4324</v>
      </c>
      <c r="T5356" s="2">
        <v>1.36</v>
      </c>
      <c r="U5356" s="2">
        <v>68.3</v>
      </c>
      <c r="V5356" s="2">
        <v>67</v>
      </c>
      <c r="W5356" s="2" t="s">
        <v>7862</v>
      </c>
      <c r="X5356" s="2" t="s">
        <v>2897</v>
      </c>
      <c r="Y5356" s="2">
        <v>7752</v>
      </c>
      <c r="Z5356" s="19" t="str">
        <f>HYPERLINK("https://ssdweb.co/ssdweb/hd/Vision360.html?d=926640649&amp;zoomslide=1&amp;z=1926640649&amp;ISCONFIRM=0","VIDEO")</f>
        <v>VIDEO</v>
      </c>
      <c r="AA5356" s="19" t="str">
        <f>HYPERLINK("https://ssdweb.co/ssdweb/CERTH/649490878.pdf","CERTI")</f>
        <v>CERTI</v>
      </c>
    </row>
    <row r="5357" spans="1:27" ht="15" x14ac:dyDescent="0.25">
      <c r="A5357" s="2">
        <v>5352</v>
      </c>
      <c r="B5357" s="39">
        <v>926581134</v>
      </c>
      <c r="C5357" s="28" t="str">
        <f>HYPERLINK("https://pld.live/RapDetail.aspx?STONELIST=926581134","DNA")</f>
        <v>DNA</v>
      </c>
      <c r="D5357" s="18" t="s">
        <v>3054</v>
      </c>
      <c r="E5357" s="18" t="s">
        <v>5128</v>
      </c>
      <c r="F5357" s="2" t="s">
        <v>7987</v>
      </c>
      <c r="G5357" s="2" t="s">
        <v>7322</v>
      </c>
      <c r="H5357" s="14">
        <v>1.02</v>
      </c>
      <c r="I5357" s="2" t="s">
        <v>267</v>
      </c>
      <c r="J5357" s="2" t="s">
        <v>3942</v>
      </c>
      <c r="K5357" s="2" t="s">
        <v>1452</v>
      </c>
      <c r="L5357" s="2" t="s">
        <v>5221</v>
      </c>
      <c r="M5357" s="2" t="s">
        <v>5221</v>
      </c>
      <c r="N5357" s="2" t="s">
        <v>2317</v>
      </c>
      <c r="O5357" s="14">
        <v>7600</v>
      </c>
      <c r="P5357" s="14">
        <v>98.46</v>
      </c>
      <c r="Q5357" s="14">
        <v>117.04</v>
      </c>
      <c r="R5357" s="14">
        <v>119.38</v>
      </c>
      <c r="S5357" s="2" t="s">
        <v>5295</v>
      </c>
      <c r="T5357" s="2">
        <v>1.38</v>
      </c>
      <c r="U5357" s="2">
        <v>67.099999999999994</v>
      </c>
      <c r="V5357" s="2">
        <v>62</v>
      </c>
      <c r="W5357" s="2" t="s">
        <v>7862</v>
      </c>
      <c r="X5357" s="2" t="s">
        <v>2897</v>
      </c>
      <c r="Y5357" s="2">
        <v>7752</v>
      </c>
      <c r="Z5357" s="19" t="str">
        <f>HYPERLINK("https://ssdweb.co/ssdweb/hd/Vision360.html?d=926581134&amp;zoomslide=1&amp;z=1926581134&amp;ISCONFIRM=0","VIDEO")</f>
        <v>VIDEO</v>
      </c>
      <c r="AA5357" s="19" t="str">
        <f>HYPERLINK("https://ssdweb.co/ssdweb/CERTH/648487387.pdf","CERTI")</f>
        <v>CERTI</v>
      </c>
    </row>
    <row r="5358" spans="1:27" ht="15" x14ac:dyDescent="0.25">
      <c r="A5358" s="2">
        <v>5353</v>
      </c>
      <c r="B5358" s="39">
        <v>926580229</v>
      </c>
      <c r="C5358" s="28" t="str">
        <f>HYPERLINK("https://pld.live/RapDetail.aspx?STONELIST=926580229","DNA")</f>
        <v>DNA</v>
      </c>
      <c r="D5358" s="18" t="s">
        <v>3054</v>
      </c>
      <c r="E5358" s="18" t="s">
        <v>5128</v>
      </c>
      <c r="F5358" s="2" t="s">
        <v>7987</v>
      </c>
      <c r="G5358" s="2" t="s">
        <v>7322</v>
      </c>
      <c r="H5358" s="14">
        <v>1.02</v>
      </c>
      <c r="I5358" s="2" t="s">
        <v>267</v>
      </c>
      <c r="J5358" s="2" t="s">
        <v>3942</v>
      </c>
      <c r="K5358" s="2" t="s">
        <v>1452</v>
      </c>
      <c r="L5358" s="2" t="s">
        <v>5221</v>
      </c>
      <c r="M5358" s="2" t="s">
        <v>5221</v>
      </c>
      <c r="N5358" s="2" t="s">
        <v>2317</v>
      </c>
      <c r="O5358" s="14">
        <v>7600</v>
      </c>
      <c r="P5358" s="14">
        <v>98.46</v>
      </c>
      <c r="Q5358" s="14">
        <v>117.04</v>
      </c>
      <c r="R5358" s="14">
        <v>119.38</v>
      </c>
      <c r="S5358" s="2" t="s">
        <v>1210</v>
      </c>
      <c r="T5358" s="2">
        <v>1.43</v>
      </c>
      <c r="U5358" s="2">
        <v>66</v>
      </c>
      <c r="V5358" s="2">
        <v>68</v>
      </c>
      <c r="W5358" s="2" t="s">
        <v>7862</v>
      </c>
      <c r="X5358" s="2" t="s">
        <v>2897</v>
      </c>
      <c r="Y5358" s="2">
        <v>7752</v>
      </c>
      <c r="Z5358" s="19" t="str">
        <f>HYPERLINK("https://ssdweb.co/ssdweb/hd/Vision360.html?d=926580229&amp;zoomslide=1&amp;z=1926580229&amp;ISCONFIRM=0","VIDEO")</f>
        <v>VIDEO</v>
      </c>
      <c r="AA5358" s="19" t="str">
        <f>HYPERLINK("https://ssdweb.co/ssdweb/CERTH/648487402.pdf","CERTI")</f>
        <v>CERTI</v>
      </c>
    </row>
    <row r="5359" spans="1:27" ht="15" x14ac:dyDescent="0.25">
      <c r="A5359" s="2">
        <v>5354</v>
      </c>
      <c r="B5359" s="39">
        <v>926690749</v>
      </c>
      <c r="C5359" s="28" t="str">
        <f>HYPERLINK("https://pld.live/RapDetail.aspx?STONELIST=926690749","DNA")</f>
        <v>DNA</v>
      </c>
      <c r="D5359" s="18" t="s">
        <v>3054</v>
      </c>
      <c r="E5359" s="18" t="s">
        <v>5128</v>
      </c>
      <c r="F5359" s="2" t="s">
        <v>7987</v>
      </c>
      <c r="G5359" s="2" t="s">
        <v>7322</v>
      </c>
      <c r="H5359" s="14">
        <v>1.02</v>
      </c>
      <c r="I5359" s="2" t="s">
        <v>267</v>
      </c>
      <c r="J5359" s="2" t="s">
        <v>3942</v>
      </c>
      <c r="K5359" s="2" t="s">
        <v>1452</v>
      </c>
      <c r="L5359" s="2" t="s">
        <v>5221</v>
      </c>
      <c r="M5359" s="2" t="s">
        <v>5221</v>
      </c>
      <c r="N5359" s="2" t="s">
        <v>2317</v>
      </c>
      <c r="O5359" s="14">
        <v>7600</v>
      </c>
      <c r="P5359" s="14">
        <v>98.46</v>
      </c>
      <c r="Q5359" s="14">
        <v>117.04</v>
      </c>
      <c r="R5359" s="14">
        <v>119.38</v>
      </c>
      <c r="S5359" s="2" t="s">
        <v>6619</v>
      </c>
      <c r="T5359" s="2">
        <v>1.36</v>
      </c>
      <c r="U5359" s="2">
        <v>68.099999999999994</v>
      </c>
      <c r="V5359" s="2">
        <v>66</v>
      </c>
      <c r="W5359" s="2" t="s">
        <v>7862</v>
      </c>
      <c r="X5359" s="2" t="s">
        <v>2897</v>
      </c>
      <c r="Y5359" s="2">
        <v>7752</v>
      </c>
      <c r="Z5359" s="19" t="str">
        <f>HYPERLINK("https://ssdweb.co/ssdweb/hd/Vision360.html?d=926690749&amp;zoomslide=1&amp;z=1926690749&amp;ISCONFIRM=0","VIDEO")</f>
        <v>VIDEO</v>
      </c>
      <c r="AA5359" s="19" t="str">
        <f>HYPERLINK("https://ssdweb.co/ssdweb/CERTH/649416384.pdf","CERTI")</f>
        <v>CERTI</v>
      </c>
    </row>
    <row r="5360" spans="1:27" ht="15" x14ac:dyDescent="0.25">
      <c r="A5360" s="2">
        <v>5355</v>
      </c>
      <c r="B5360" s="39">
        <v>926690793</v>
      </c>
      <c r="C5360" s="28" t="str">
        <f>HYPERLINK("https://pld.live/RapDetail.aspx?STONELIST=926690793","DNA")</f>
        <v>DNA</v>
      </c>
      <c r="D5360" s="18" t="s">
        <v>3054</v>
      </c>
      <c r="E5360" s="18" t="s">
        <v>5128</v>
      </c>
      <c r="F5360" s="2" t="s">
        <v>7987</v>
      </c>
      <c r="G5360" s="2" t="s">
        <v>7322</v>
      </c>
      <c r="H5360" s="14">
        <v>1.02</v>
      </c>
      <c r="I5360" s="2" t="s">
        <v>267</v>
      </c>
      <c r="J5360" s="2" t="s">
        <v>3942</v>
      </c>
      <c r="K5360" s="2" t="s">
        <v>1452</v>
      </c>
      <c r="L5360" s="2" t="s">
        <v>5221</v>
      </c>
      <c r="M5360" s="2" t="s">
        <v>5221</v>
      </c>
      <c r="N5360" s="2" t="s">
        <v>2317</v>
      </c>
      <c r="O5360" s="14">
        <v>7600</v>
      </c>
      <c r="P5360" s="14">
        <v>98.46</v>
      </c>
      <c r="Q5360" s="14">
        <v>117.04</v>
      </c>
      <c r="R5360" s="14">
        <v>119.38</v>
      </c>
      <c r="S5360" s="2" t="s">
        <v>3643</v>
      </c>
      <c r="T5360" s="2">
        <v>1.4</v>
      </c>
      <c r="U5360" s="2">
        <v>67.5</v>
      </c>
      <c r="V5360" s="2">
        <v>64</v>
      </c>
      <c r="W5360" s="2" t="s">
        <v>7862</v>
      </c>
      <c r="X5360" s="2" t="s">
        <v>2897</v>
      </c>
      <c r="Y5360" s="2">
        <v>7752</v>
      </c>
      <c r="Z5360" s="19" t="str">
        <f>HYPERLINK("https://ssdweb.co/ssdweb/hd/Vision360.html?d=926690793&amp;zoomslide=1&amp;z=1926690793&amp;ISCONFIRM=0","VIDEO")</f>
        <v>VIDEO</v>
      </c>
      <c r="AA5360" s="19" t="str">
        <f>HYPERLINK("https://ssdweb.co/ssdweb/CERTH/649416391.pdf","CERTI")</f>
        <v>CERTI</v>
      </c>
    </row>
    <row r="5361" spans="1:27" ht="15" x14ac:dyDescent="0.25">
      <c r="A5361" s="2">
        <v>5356</v>
      </c>
      <c r="B5361" s="39">
        <v>926210601</v>
      </c>
      <c r="C5361" s="28" t="str">
        <f>HYPERLINK("https://pld.live/RapDetail.aspx?STONELIST=926210601","DNA")</f>
        <v>DNA</v>
      </c>
      <c r="D5361" s="18" t="s">
        <v>3054</v>
      </c>
      <c r="E5361" s="18" t="s">
        <v>5128</v>
      </c>
      <c r="F5361" s="2" t="s">
        <v>7987</v>
      </c>
      <c r="G5361" s="2" t="s">
        <v>7322</v>
      </c>
      <c r="H5361" s="14">
        <v>1.02</v>
      </c>
      <c r="I5361" s="2" t="s">
        <v>267</v>
      </c>
      <c r="J5361" s="2" t="s">
        <v>3942</v>
      </c>
      <c r="K5361" s="2" t="s">
        <v>1452</v>
      </c>
      <c r="L5361" s="2" t="s">
        <v>5221</v>
      </c>
      <c r="M5361" s="2" t="s">
        <v>5221</v>
      </c>
      <c r="N5361" s="2" t="s">
        <v>2317</v>
      </c>
      <c r="O5361" s="14">
        <v>7600</v>
      </c>
      <c r="P5361" s="14">
        <v>98.47</v>
      </c>
      <c r="Q5361" s="14">
        <v>116.28</v>
      </c>
      <c r="R5361" s="14">
        <v>118.61</v>
      </c>
      <c r="S5361" s="2" t="s">
        <v>1918</v>
      </c>
      <c r="T5361" s="2">
        <v>1.36</v>
      </c>
      <c r="U5361" s="2">
        <v>67.400000000000006</v>
      </c>
      <c r="V5361" s="2">
        <v>65</v>
      </c>
      <c r="W5361" s="2" t="s">
        <v>7862</v>
      </c>
      <c r="X5361" s="2" t="s">
        <v>2897</v>
      </c>
      <c r="Y5361" s="2">
        <v>7752</v>
      </c>
      <c r="Z5361" s="19" t="str">
        <f>HYPERLINK("https://ssdweb.co/ssdweb/hd/Vision360.html?d=926210601&amp;zoomslide=1&amp;z=1926210601&amp;ISCONFIRM=0","VIDEO")</f>
        <v>VIDEO</v>
      </c>
      <c r="AA5361" s="19" t="str">
        <f>HYPERLINK("https://ssdweb.co/ssdweb/CERTH/635426932.pdf","CERTI")</f>
        <v>CERTI</v>
      </c>
    </row>
    <row r="5362" spans="1:27" ht="15" x14ac:dyDescent="0.25">
      <c r="A5362" s="2">
        <v>5357</v>
      </c>
      <c r="B5362" s="39">
        <v>926750631</v>
      </c>
      <c r="C5362" s="28" t="str">
        <f>HYPERLINK("https://pld.live/RapDetail.aspx?STONELIST=926750631","DNA")</f>
        <v>DNA</v>
      </c>
      <c r="D5362" s="18" t="s">
        <v>3054</v>
      </c>
      <c r="E5362" s="18" t="s">
        <v>5128</v>
      </c>
      <c r="F5362" s="2" t="s">
        <v>7987</v>
      </c>
      <c r="G5362" s="2" t="s">
        <v>7322</v>
      </c>
      <c r="H5362" s="14">
        <v>1.02</v>
      </c>
      <c r="I5362" s="2" t="s">
        <v>267</v>
      </c>
      <c r="J5362" s="2" t="s">
        <v>3942</v>
      </c>
      <c r="K5362" s="2" t="s">
        <v>1452</v>
      </c>
      <c r="L5362" s="2" t="s">
        <v>5221</v>
      </c>
      <c r="M5362" s="2" t="s">
        <v>5221</v>
      </c>
      <c r="N5362" s="2" t="s">
        <v>2317</v>
      </c>
      <c r="O5362" s="14">
        <v>7600</v>
      </c>
      <c r="P5362" s="14">
        <v>98.46</v>
      </c>
      <c r="Q5362" s="14">
        <v>117.04</v>
      </c>
      <c r="R5362" s="14">
        <v>119.38</v>
      </c>
      <c r="S5362" s="2" t="s">
        <v>2336</v>
      </c>
      <c r="T5362" s="2">
        <v>1.36</v>
      </c>
      <c r="U5362" s="2">
        <v>66.7</v>
      </c>
      <c r="V5362" s="2">
        <v>65</v>
      </c>
      <c r="W5362" s="2" t="s">
        <v>7862</v>
      </c>
      <c r="X5362" s="2" t="s">
        <v>2897</v>
      </c>
      <c r="Y5362" s="2">
        <v>7752</v>
      </c>
      <c r="Z5362" s="19" t="str">
        <f>HYPERLINK("https://ssdweb.co/ssdweb/hd/Vision360.html?d=926750631&amp;zoomslide=1&amp;z=1926750631&amp;ISCONFIRM=0","VIDEO")</f>
        <v>VIDEO</v>
      </c>
      <c r="AA5362" s="19" t="str">
        <f>HYPERLINK("https://ssdweb.co/ssdweb/CERTH/651466273.pdf","CERTI")</f>
        <v>CERTI</v>
      </c>
    </row>
    <row r="5363" spans="1:27" ht="15" x14ac:dyDescent="0.25">
      <c r="A5363" s="2">
        <v>5358</v>
      </c>
      <c r="B5363" s="39">
        <v>926750668</v>
      </c>
      <c r="C5363" s="28" t="str">
        <f>HYPERLINK("https://pld.live/RapDetail.aspx?STONELIST=926750668","DNA")</f>
        <v>DNA</v>
      </c>
      <c r="D5363" s="18" t="s">
        <v>3054</v>
      </c>
      <c r="E5363" s="18" t="s">
        <v>5128</v>
      </c>
      <c r="F5363" s="2" t="s">
        <v>7987</v>
      </c>
      <c r="G5363" s="2" t="s">
        <v>7322</v>
      </c>
      <c r="H5363" s="14">
        <v>1.02</v>
      </c>
      <c r="I5363" s="2" t="s">
        <v>267</v>
      </c>
      <c r="J5363" s="2" t="s">
        <v>3942</v>
      </c>
      <c r="K5363" s="2" t="s">
        <v>1452</v>
      </c>
      <c r="L5363" s="2" t="s">
        <v>5221</v>
      </c>
      <c r="M5363" s="2" t="s">
        <v>5221</v>
      </c>
      <c r="N5363" s="2" t="s">
        <v>2317</v>
      </c>
      <c r="O5363" s="14">
        <v>7600</v>
      </c>
      <c r="P5363" s="14">
        <v>98.46</v>
      </c>
      <c r="Q5363" s="14">
        <v>117.04</v>
      </c>
      <c r="R5363" s="14">
        <v>119.38</v>
      </c>
      <c r="S5363" s="2" t="s">
        <v>1343</v>
      </c>
      <c r="T5363" s="2">
        <v>1.4</v>
      </c>
      <c r="U5363" s="2">
        <v>67.2</v>
      </c>
      <c r="V5363" s="2">
        <v>68</v>
      </c>
      <c r="W5363" s="2" t="s">
        <v>7862</v>
      </c>
      <c r="X5363" s="2" t="s">
        <v>2897</v>
      </c>
      <c r="Y5363" s="2">
        <v>7752</v>
      </c>
      <c r="Z5363" s="19" t="str">
        <f>HYPERLINK("https://ssdweb.co/ssdweb/hd/Vision360.html?d=926750668&amp;zoomslide=1&amp;z=1926750668&amp;ISCONFIRM=0","VIDEO")</f>
        <v>VIDEO</v>
      </c>
      <c r="AA5363" s="19" t="str">
        <f>HYPERLINK("https://ssdweb.co/ssdweb/CERTH/651466233.pdf","CERTI")</f>
        <v>CERTI</v>
      </c>
    </row>
    <row r="5364" spans="1:27" ht="15" x14ac:dyDescent="0.25">
      <c r="A5364" s="2">
        <v>5359</v>
      </c>
      <c r="B5364" s="39">
        <v>926750718</v>
      </c>
      <c r="C5364" s="28" t="str">
        <f>HYPERLINK("https://pld.live/RapDetail.aspx?STONELIST=926750718","DNA")</f>
        <v>DNA</v>
      </c>
      <c r="D5364" s="18" t="s">
        <v>3054</v>
      </c>
      <c r="E5364" s="18" t="s">
        <v>5128</v>
      </c>
      <c r="F5364" s="2" t="s">
        <v>7987</v>
      </c>
      <c r="G5364" s="2" t="s">
        <v>7322</v>
      </c>
      <c r="H5364" s="14">
        <v>1.02</v>
      </c>
      <c r="I5364" s="2" t="s">
        <v>267</v>
      </c>
      <c r="J5364" s="2" t="s">
        <v>3942</v>
      </c>
      <c r="K5364" s="2" t="s">
        <v>1452</v>
      </c>
      <c r="L5364" s="2" t="s">
        <v>5221</v>
      </c>
      <c r="M5364" s="2" t="s">
        <v>5221</v>
      </c>
      <c r="N5364" s="2" t="s">
        <v>2317</v>
      </c>
      <c r="O5364" s="14">
        <v>7600</v>
      </c>
      <c r="P5364" s="14">
        <v>98.46</v>
      </c>
      <c r="Q5364" s="14">
        <v>117.04</v>
      </c>
      <c r="R5364" s="14">
        <v>119.38</v>
      </c>
      <c r="S5364" s="2" t="s">
        <v>501</v>
      </c>
      <c r="T5364" s="2">
        <v>1.4</v>
      </c>
      <c r="U5364" s="2">
        <v>66.5</v>
      </c>
      <c r="V5364" s="2">
        <v>64</v>
      </c>
      <c r="W5364" s="2" t="s">
        <v>7862</v>
      </c>
      <c r="X5364" s="2" t="s">
        <v>2897</v>
      </c>
      <c r="Y5364" s="2">
        <v>7752</v>
      </c>
      <c r="Z5364" s="19" t="str">
        <f>HYPERLINK("https://ssdweb.co/ssdweb/hd/Vision360.html?d=926750718&amp;zoomslide=1&amp;z=1926750718&amp;ISCONFIRM=0","VIDEO")</f>
        <v>VIDEO</v>
      </c>
      <c r="AA5364" s="19" t="str">
        <f>HYPERLINK("https://ssdweb.co/ssdweb/CERTH/651466277.pdf","CERTI")</f>
        <v>CERTI</v>
      </c>
    </row>
    <row r="5365" spans="1:27" ht="15" x14ac:dyDescent="0.25">
      <c r="A5365" s="2">
        <v>5360</v>
      </c>
      <c r="B5365" s="39">
        <v>926840758</v>
      </c>
      <c r="C5365" s="28" t="str">
        <f>HYPERLINK("https://pld.live/RapDetail.aspx?STONELIST=926840758","DNA")</f>
        <v>DNA</v>
      </c>
      <c r="D5365" s="18" t="s">
        <v>3054</v>
      </c>
      <c r="E5365" s="18" t="s">
        <v>2186</v>
      </c>
      <c r="F5365" s="2" t="s">
        <v>7987</v>
      </c>
      <c r="G5365" s="2" t="s">
        <v>7322</v>
      </c>
      <c r="H5365" s="14">
        <v>1.02</v>
      </c>
      <c r="I5365" s="2" t="s">
        <v>267</v>
      </c>
      <c r="J5365" s="2" t="s">
        <v>3942</v>
      </c>
      <c r="K5365" s="2" t="s">
        <v>1452</v>
      </c>
      <c r="L5365" s="2" t="s">
        <v>5221</v>
      </c>
      <c r="M5365" s="2" t="s">
        <v>5221</v>
      </c>
      <c r="N5365" s="2" t="s">
        <v>2317</v>
      </c>
      <c r="O5365" s="14">
        <v>7600</v>
      </c>
      <c r="P5365" s="14">
        <v>98.46</v>
      </c>
      <c r="Q5365" s="14">
        <v>117.04</v>
      </c>
      <c r="R5365" s="14">
        <v>119.38</v>
      </c>
      <c r="S5365" s="2" t="s">
        <v>4785</v>
      </c>
      <c r="T5365" s="2">
        <v>1.37</v>
      </c>
      <c r="U5365" s="2">
        <v>67.2</v>
      </c>
      <c r="V5365" s="2">
        <v>66</v>
      </c>
      <c r="W5365" s="2" t="s">
        <v>7862</v>
      </c>
      <c r="X5365" s="2" t="s">
        <v>2897</v>
      </c>
      <c r="Y5365" s="2">
        <v>7752</v>
      </c>
      <c r="Z5365" s="19" t="str">
        <f>HYPERLINK("https://ssdweb.co/ssdweb/hd/Vision360.html?d=926840758&amp;zoomslide=1&amp;z=1926840758&amp;ISCONFIRM=0","VIDEO")</f>
        <v>VIDEO</v>
      </c>
      <c r="AA5365" s="19" t="str">
        <f>HYPERLINK("https://ssdweb.co/ssdweb/CERTH/655451840.pdf","CERTI")</f>
        <v>CERTI</v>
      </c>
    </row>
    <row r="5366" spans="1:27" ht="15" x14ac:dyDescent="0.25">
      <c r="A5366" s="2">
        <v>5361</v>
      </c>
      <c r="B5366" s="39">
        <v>926901087</v>
      </c>
      <c r="C5366" s="28" t="str">
        <f>HYPERLINK("https://pld.live/RapDetail.aspx?STONELIST=926901087","DNA")</f>
        <v>DNA</v>
      </c>
      <c r="D5366" s="18" t="s">
        <v>3054</v>
      </c>
      <c r="E5366" s="18" t="s">
        <v>5128</v>
      </c>
      <c r="F5366" s="2" t="s">
        <v>7987</v>
      </c>
      <c r="G5366" s="2" t="s">
        <v>7322</v>
      </c>
      <c r="H5366" s="14">
        <v>1.02</v>
      </c>
      <c r="I5366" s="2" t="s">
        <v>267</v>
      </c>
      <c r="J5366" s="2" t="s">
        <v>3942</v>
      </c>
      <c r="K5366" s="2" t="s">
        <v>1452</v>
      </c>
      <c r="L5366" s="2" t="s">
        <v>5221</v>
      </c>
      <c r="M5366" s="2" t="s">
        <v>5221</v>
      </c>
      <c r="N5366" s="2" t="s">
        <v>2317</v>
      </c>
      <c r="O5366" s="14">
        <v>7600</v>
      </c>
      <c r="P5366" s="14">
        <v>98.46</v>
      </c>
      <c r="Q5366" s="14">
        <v>117.04</v>
      </c>
      <c r="R5366" s="14">
        <v>119.38</v>
      </c>
      <c r="S5366" s="2" t="s">
        <v>4484</v>
      </c>
      <c r="T5366" s="2">
        <v>1.42</v>
      </c>
      <c r="U5366" s="2">
        <v>66.3</v>
      </c>
      <c r="V5366" s="2">
        <v>65</v>
      </c>
      <c r="W5366" s="2" t="s">
        <v>7862</v>
      </c>
      <c r="X5366" s="2" t="s">
        <v>2897</v>
      </c>
      <c r="Y5366" s="2">
        <v>7752</v>
      </c>
      <c r="Z5366" s="19" t="str">
        <f>HYPERLINK("https://ssdweb.co/ssdweb/hd/Vision360.html?d=926901087&amp;zoomslide=1&amp;z=1926901087&amp;ISCONFIRM=0","VIDEO")</f>
        <v>VIDEO</v>
      </c>
      <c r="AA5366" s="19" t="str">
        <f>HYPERLINK("https://ssdweb.co/ssdweb/CERTH/659414323.pdf","CERTI")</f>
        <v>CERTI</v>
      </c>
    </row>
    <row r="5367" spans="1:27" ht="15" x14ac:dyDescent="0.25">
      <c r="A5367" s="2">
        <v>5362</v>
      </c>
      <c r="B5367" s="39">
        <v>926270085</v>
      </c>
      <c r="C5367" s="28" t="str">
        <f>HYPERLINK("https://pld.live/RapDetail.aspx?STONELIST=926270085","DNA")</f>
        <v>DNA</v>
      </c>
      <c r="D5367" s="18" t="s">
        <v>3054</v>
      </c>
      <c r="E5367" s="18" t="s">
        <v>5128</v>
      </c>
      <c r="F5367" s="2" t="s">
        <v>7987</v>
      </c>
      <c r="G5367" s="2" t="s">
        <v>7322</v>
      </c>
      <c r="H5367" s="14">
        <v>1.02</v>
      </c>
      <c r="I5367" s="2" t="s">
        <v>267</v>
      </c>
      <c r="J5367" s="2" t="s">
        <v>3942</v>
      </c>
      <c r="K5367" s="2" t="s">
        <v>1452</v>
      </c>
      <c r="L5367" s="2" t="s">
        <v>5221</v>
      </c>
      <c r="M5367" s="2" t="s">
        <v>5221</v>
      </c>
      <c r="N5367" s="2" t="s">
        <v>2317</v>
      </c>
      <c r="O5367" s="14">
        <v>7600</v>
      </c>
      <c r="P5367" s="14">
        <v>98.47</v>
      </c>
      <c r="Q5367" s="14">
        <v>116.28</v>
      </c>
      <c r="R5367" s="14">
        <v>118.61</v>
      </c>
      <c r="S5367" s="2" t="s">
        <v>470</v>
      </c>
      <c r="T5367" s="2">
        <v>1.37</v>
      </c>
      <c r="U5367" s="2">
        <v>68.599999999999994</v>
      </c>
      <c r="V5367" s="2">
        <v>65</v>
      </c>
      <c r="W5367" s="2" t="s">
        <v>7862</v>
      </c>
      <c r="X5367" s="2" t="s">
        <v>2897</v>
      </c>
      <c r="Y5367" s="2">
        <v>7752</v>
      </c>
      <c r="Z5367" s="19" t="str">
        <f>HYPERLINK("https://ssdweb.co/ssdweb/hd/Vision360.html?d=926270085&amp;zoomslide=1&amp;z=1926270085&amp;ISCONFIRM=0","VIDEO")</f>
        <v>VIDEO</v>
      </c>
      <c r="AA5367" s="19" t="str">
        <f>HYPERLINK("https://ssdweb.co/ssdweb/CERTH/638463235.pdf","CERTI")</f>
        <v>CERTI</v>
      </c>
    </row>
    <row r="5368" spans="1:27" ht="15" x14ac:dyDescent="0.25">
      <c r="A5368" s="2">
        <v>5363</v>
      </c>
      <c r="B5368" s="39">
        <v>941351077</v>
      </c>
      <c r="C5368" s="28" t="str">
        <f>HYPERLINK("https://pld.live/RapDetail.aspx?STONELIST=941351077","DNA")</f>
        <v>DNA</v>
      </c>
      <c r="D5368" s="18" t="s">
        <v>3054</v>
      </c>
      <c r="E5368" s="18" t="s">
        <v>5128</v>
      </c>
      <c r="F5368" s="2" t="s">
        <v>7987</v>
      </c>
      <c r="G5368" s="2" t="s">
        <v>7322</v>
      </c>
      <c r="H5368" s="14">
        <v>1.02</v>
      </c>
      <c r="I5368" s="2" t="s">
        <v>267</v>
      </c>
      <c r="J5368" s="2" t="s">
        <v>3942</v>
      </c>
      <c r="K5368" s="2" t="s">
        <v>1452</v>
      </c>
      <c r="L5368" s="2" t="s">
        <v>5221</v>
      </c>
      <c r="M5368" s="2" t="s">
        <v>5221</v>
      </c>
      <c r="N5368" s="2" t="s">
        <v>2317</v>
      </c>
      <c r="O5368" s="14">
        <v>7600</v>
      </c>
      <c r="P5368" s="14">
        <v>98.45</v>
      </c>
      <c r="Q5368" s="14">
        <v>117.8</v>
      </c>
      <c r="R5368" s="14">
        <v>120.16</v>
      </c>
      <c r="S5368" s="2" t="s">
        <v>2301</v>
      </c>
      <c r="T5368" s="2">
        <v>1.41</v>
      </c>
      <c r="U5368" s="2">
        <v>66.900000000000006</v>
      </c>
      <c r="V5368" s="2">
        <v>60</v>
      </c>
      <c r="W5368" s="2" t="s">
        <v>7862</v>
      </c>
      <c r="X5368" s="2" t="s">
        <v>2897</v>
      </c>
      <c r="Y5368" s="2">
        <v>7752</v>
      </c>
      <c r="Z5368" s="19" t="str">
        <f>HYPERLINK("https://ssdweb.co/ssdweb/hd/Vision360.html?d=941351077&amp;zoomslide=1&amp;z=1941351077&amp;ISCONFIRM=0","VIDEO")</f>
        <v>VIDEO</v>
      </c>
      <c r="AA5368" s="19" t="str">
        <f>HYPERLINK("https://ssdweb.co/ssdweb/CERTH/692505688.pdf","CERTI")</f>
        <v>CERTI</v>
      </c>
    </row>
    <row r="5369" spans="1:27" ht="15" x14ac:dyDescent="0.25">
      <c r="A5369" s="2">
        <v>5364</v>
      </c>
      <c r="B5369" s="39">
        <v>941351044</v>
      </c>
      <c r="C5369" s="28" t="str">
        <f>HYPERLINK("https://pld.live/RapDetail.aspx?STONELIST=941351044","DNA")</f>
        <v>DNA</v>
      </c>
      <c r="D5369" s="18" t="s">
        <v>3054</v>
      </c>
      <c r="E5369" s="18" t="s">
        <v>5128</v>
      </c>
      <c r="F5369" s="2" t="s">
        <v>7987</v>
      </c>
      <c r="G5369" s="2" t="s">
        <v>7322</v>
      </c>
      <c r="H5369" s="14">
        <v>1.02</v>
      </c>
      <c r="I5369" s="2" t="s">
        <v>267</v>
      </c>
      <c r="J5369" s="2" t="s">
        <v>3942</v>
      </c>
      <c r="K5369" s="2" t="s">
        <v>1452</v>
      </c>
      <c r="L5369" s="2" t="s">
        <v>5221</v>
      </c>
      <c r="M5369" s="2" t="s">
        <v>5221</v>
      </c>
      <c r="N5369" s="2" t="s">
        <v>2317</v>
      </c>
      <c r="O5369" s="14">
        <v>7600</v>
      </c>
      <c r="P5369" s="14">
        <v>98.45</v>
      </c>
      <c r="Q5369" s="14">
        <v>117.8</v>
      </c>
      <c r="R5369" s="14">
        <v>120.16</v>
      </c>
      <c r="S5369" s="2" t="s">
        <v>1889</v>
      </c>
      <c r="T5369" s="2">
        <v>1.4</v>
      </c>
      <c r="U5369" s="2">
        <v>66.3</v>
      </c>
      <c r="V5369" s="2">
        <v>66</v>
      </c>
      <c r="W5369" s="2" t="s">
        <v>7862</v>
      </c>
      <c r="X5369" s="2" t="s">
        <v>2897</v>
      </c>
      <c r="Y5369" s="2">
        <v>7752</v>
      </c>
      <c r="Z5369" s="19" t="str">
        <f>HYPERLINK("https://ssdweb.co/ssdweb/hd/Vision360.html?d=941351044&amp;zoomslide=1&amp;z=1941351044&amp;ISCONFIRM=0","VIDEO")</f>
        <v>VIDEO</v>
      </c>
      <c r="AA5369" s="19" t="str">
        <f>HYPERLINK("https://ssdweb.co/ssdweb/CERTH/692505680.pdf","CERTI")</f>
        <v>CERTI</v>
      </c>
    </row>
    <row r="5370" spans="1:27" ht="15" x14ac:dyDescent="0.25">
      <c r="A5370" s="2">
        <v>5365</v>
      </c>
      <c r="B5370" s="39">
        <v>941351078</v>
      </c>
      <c r="C5370" s="28" t="str">
        <f>HYPERLINK("https://pld.live/RapDetail.aspx?STONELIST=941351078","DNA")</f>
        <v>DNA</v>
      </c>
      <c r="D5370" s="18" t="s">
        <v>3054</v>
      </c>
      <c r="E5370" s="18" t="s">
        <v>5128</v>
      </c>
      <c r="F5370" s="2" t="s">
        <v>7987</v>
      </c>
      <c r="G5370" s="2" t="s">
        <v>7322</v>
      </c>
      <c r="H5370" s="14">
        <v>1.02</v>
      </c>
      <c r="I5370" s="2" t="s">
        <v>267</v>
      </c>
      <c r="J5370" s="2" t="s">
        <v>3942</v>
      </c>
      <c r="K5370" s="2" t="s">
        <v>1452</v>
      </c>
      <c r="L5370" s="2" t="s">
        <v>5221</v>
      </c>
      <c r="M5370" s="2" t="s">
        <v>5221</v>
      </c>
      <c r="N5370" s="2" t="s">
        <v>2317</v>
      </c>
      <c r="O5370" s="14">
        <v>7600</v>
      </c>
      <c r="P5370" s="14">
        <v>98.45</v>
      </c>
      <c r="Q5370" s="14">
        <v>117.8</v>
      </c>
      <c r="R5370" s="14">
        <v>120.16</v>
      </c>
      <c r="S5370" s="2" t="s">
        <v>8017</v>
      </c>
      <c r="T5370" s="2">
        <v>1.4</v>
      </c>
      <c r="U5370" s="2">
        <v>64.900000000000006</v>
      </c>
      <c r="V5370" s="2">
        <v>63</v>
      </c>
      <c r="W5370" s="2" t="s">
        <v>7862</v>
      </c>
      <c r="X5370" s="2" t="s">
        <v>2897</v>
      </c>
      <c r="Y5370" s="2">
        <v>7752</v>
      </c>
      <c r="Z5370" s="19" t="str">
        <f>HYPERLINK("https://ssdweb.co/ssdweb/hd/Vision360.html?d=941351078&amp;zoomslide=1&amp;z=1941351078&amp;ISCONFIRM=0","VIDEO")</f>
        <v>VIDEO</v>
      </c>
      <c r="AA5370" s="19" t="str">
        <f>HYPERLINK("https://ssdweb.co/ssdweb/CERTH/692505689.pdf","CERTI")</f>
        <v>CERTI</v>
      </c>
    </row>
    <row r="5371" spans="1:27" ht="15" x14ac:dyDescent="0.25">
      <c r="A5371" s="2">
        <v>5366</v>
      </c>
      <c r="B5371" s="39">
        <v>941170214</v>
      </c>
      <c r="C5371" s="28" t="str">
        <f>HYPERLINK("https://pld.live/RapDetail.aspx?STONELIST=941170214","DNA")</f>
        <v>DNA</v>
      </c>
      <c r="D5371" s="18" t="s">
        <v>3054</v>
      </c>
      <c r="E5371" s="18" t="s">
        <v>5128</v>
      </c>
      <c r="F5371" s="2" t="s">
        <v>7987</v>
      </c>
      <c r="G5371" s="2" t="s">
        <v>7322</v>
      </c>
      <c r="H5371" s="14">
        <v>1.02</v>
      </c>
      <c r="I5371" s="2" t="s">
        <v>267</v>
      </c>
      <c r="J5371" s="2" t="s">
        <v>3942</v>
      </c>
      <c r="K5371" s="2" t="s">
        <v>1452</v>
      </c>
      <c r="L5371" s="2" t="s">
        <v>5221</v>
      </c>
      <c r="M5371" s="2" t="s">
        <v>5221</v>
      </c>
      <c r="N5371" s="2" t="s">
        <v>2317</v>
      </c>
      <c r="O5371" s="14">
        <v>7600</v>
      </c>
      <c r="P5371" s="14">
        <v>98.45</v>
      </c>
      <c r="Q5371" s="14">
        <v>117.8</v>
      </c>
      <c r="R5371" s="14">
        <v>120.16</v>
      </c>
      <c r="S5371" s="2" t="s">
        <v>4338</v>
      </c>
      <c r="T5371" s="2">
        <v>1.38</v>
      </c>
      <c r="U5371" s="2">
        <v>67.599999999999994</v>
      </c>
      <c r="V5371" s="2">
        <v>68</v>
      </c>
      <c r="W5371" s="2" t="s">
        <v>7862</v>
      </c>
      <c r="X5371" s="2" t="s">
        <v>2897</v>
      </c>
      <c r="Y5371" s="2">
        <v>7752</v>
      </c>
      <c r="Z5371" s="19" t="str">
        <f>HYPERLINK("https://ssdweb.co/ssdweb/hd/Vision360.html?d=941170214&amp;zoomslide=1&amp;z=1941170214&amp;ISCONFIRM=0","VIDEO")</f>
        <v>VIDEO</v>
      </c>
      <c r="AA5371" s="19" t="str">
        <f>HYPERLINK("https://ssdweb.co/ssdweb/CERTH/675504728.pdf","CERTI")</f>
        <v>CERTI</v>
      </c>
    </row>
    <row r="5372" spans="1:27" ht="15" x14ac:dyDescent="0.25">
      <c r="A5372" s="2">
        <v>5367</v>
      </c>
      <c r="B5372" s="39">
        <v>941320818</v>
      </c>
      <c r="C5372" s="28" t="str">
        <f>HYPERLINK("https://pld.live/RapDetail.aspx?STONELIST=941320818","DNA")</f>
        <v>DNA</v>
      </c>
      <c r="D5372" s="18" t="s">
        <v>3054</v>
      </c>
      <c r="E5372" s="18" t="s">
        <v>5128</v>
      </c>
      <c r="F5372" s="2" t="s">
        <v>7987</v>
      </c>
      <c r="G5372" s="2" t="s">
        <v>7322</v>
      </c>
      <c r="H5372" s="14">
        <v>1.02</v>
      </c>
      <c r="I5372" s="2" t="s">
        <v>267</v>
      </c>
      <c r="J5372" s="2" t="s">
        <v>3942</v>
      </c>
      <c r="K5372" s="2" t="s">
        <v>1452</v>
      </c>
      <c r="L5372" s="2" t="s">
        <v>5221</v>
      </c>
      <c r="M5372" s="2" t="s">
        <v>5221</v>
      </c>
      <c r="N5372" s="2" t="s">
        <v>2317</v>
      </c>
      <c r="O5372" s="14">
        <v>7600</v>
      </c>
      <c r="P5372" s="14">
        <v>98.45</v>
      </c>
      <c r="Q5372" s="14">
        <v>117.8</v>
      </c>
      <c r="R5372" s="14">
        <v>120.16</v>
      </c>
      <c r="S5372" s="2" t="s">
        <v>2840</v>
      </c>
      <c r="T5372" s="2">
        <v>1.41</v>
      </c>
      <c r="U5372" s="2">
        <v>66.900000000000006</v>
      </c>
      <c r="V5372" s="2">
        <v>64</v>
      </c>
      <c r="W5372" s="2" t="s">
        <v>7862</v>
      </c>
      <c r="X5372" s="2" t="s">
        <v>2897</v>
      </c>
      <c r="Y5372" s="2">
        <v>7752</v>
      </c>
      <c r="Z5372" s="19" t="str">
        <f>HYPERLINK("https://ssdweb.co/ssdweb/hd/Vision360.html?d=941320818&amp;zoomslide=1&amp;z=1941320818&amp;ISCONFIRM=0","VIDEO")</f>
        <v>VIDEO</v>
      </c>
      <c r="AA5372" s="19" t="str">
        <f>HYPERLINK("https://ssdweb.co/ssdweb/CERTH/692505678.pdf","CERTI")</f>
        <v>CERTI</v>
      </c>
    </row>
    <row r="5373" spans="1:27" ht="15" x14ac:dyDescent="0.25">
      <c r="A5373" s="2">
        <v>5368</v>
      </c>
      <c r="B5373" s="39">
        <v>941351064</v>
      </c>
      <c r="C5373" s="28" t="str">
        <f>HYPERLINK("https://pld.live/RapDetail.aspx?STONELIST=941351064","DNA")</f>
        <v>DNA</v>
      </c>
      <c r="D5373" s="18" t="s">
        <v>3054</v>
      </c>
      <c r="E5373" s="18" t="s">
        <v>5128</v>
      </c>
      <c r="F5373" s="2" t="s">
        <v>7987</v>
      </c>
      <c r="G5373" s="2" t="s">
        <v>7322</v>
      </c>
      <c r="H5373" s="14">
        <v>1.02</v>
      </c>
      <c r="I5373" s="2" t="s">
        <v>267</v>
      </c>
      <c r="J5373" s="2" t="s">
        <v>3942</v>
      </c>
      <c r="K5373" s="2" t="s">
        <v>1452</v>
      </c>
      <c r="L5373" s="2" t="s">
        <v>5221</v>
      </c>
      <c r="M5373" s="2" t="s">
        <v>5221</v>
      </c>
      <c r="N5373" s="2" t="s">
        <v>2317</v>
      </c>
      <c r="O5373" s="14">
        <v>7600</v>
      </c>
      <c r="P5373" s="14">
        <v>98.45</v>
      </c>
      <c r="Q5373" s="14">
        <v>117.8</v>
      </c>
      <c r="R5373" s="14">
        <v>120.16</v>
      </c>
      <c r="S5373" s="2" t="s">
        <v>7141</v>
      </c>
      <c r="T5373" s="2">
        <v>1.4</v>
      </c>
      <c r="U5373" s="2">
        <v>64.5</v>
      </c>
      <c r="V5373" s="2">
        <v>65</v>
      </c>
      <c r="W5373" s="2" t="s">
        <v>7862</v>
      </c>
      <c r="X5373" s="2" t="s">
        <v>2897</v>
      </c>
      <c r="Y5373" s="2">
        <v>7752</v>
      </c>
      <c r="Z5373" s="19" t="str">
        <f>HYPERLINK("https://ssdweb.co/ssdweb/hd/Vision360.html?d=941351064&amp;zoomslide=1&amp;z=1941351064&amp;ISCONFIRM=0","VIDEO")</f>
        <v>VIDEO</v>
      </c>
      <c r="AA5373" s="19" t="str">
        <f>HYPERLINK("https://ssdweb.co/ssdweb/CERTH/692505686.pdf","CERTI")</f>
        <v>CERTI</v>
      </c>
    </row>
    <row r="5374" spans="1:27" ht="15" x14ac:dyDescent="0.25">
      <c r="A5374" s="2">
        <v>5369</v>
      </c>
      <c r="B5374" s="39">
        <v>927101005</v>
      </c>
      <c r="C5374" s="28" t="str">
        <f>HYPERLINK("https://pld.live/RapDetail.aspx?STONELIST=927101005","DNA")</f>
        <v>DNA</v>
      </c>
      <c r="D5374" s="18" t="s">
        <v>3054</v>
      </c>
      <c r="E5374" s="18" t="s">
        <v>5128</v>
      </c>
      <c r="F5374" s="2" t="s">
        <v>7987</v>
      </c>
      <c r="G5374" s="2" t="s">
        <v>7322</v>
      </c>
      <c r="H5374" s="14">
        <v>1.02</v>
      </c>
      <c r="I5374" s="2" t="s">
        <v>267</v>
      </c>
      <c r="J5374" s="2" t="s">
        <v>3942</v>
      </c>
      <c r="K5374" s="2" t="s">
        <v>1452</v>
      </c>
      <c r="L5374" s="2" t="s">
        <v>5221</v>
      </c>
      <c r="M5374" s="2" t="s">
        <v>5221</v>
      </c>
      <c r="N5374" s="2" t="s">
        <v>2317</v>
      </c>
      <c r="O5374" s="14">
        <v>7600</v>
      </c>
      <c r="P5374" s="14">
        <v>98.46</v>
      </c>
      <c r="Q5374" s="14">
        <v>117.04</v>
      </c>
      <c r="R5374" s="14">
        <v>119.38</v>
      </c>
      <c r="S5374" s="2" t="s">
        <v>5147</v>
      </c>
      <c r="T5374" s="2">
        <v>1.42</v>
      </c>
      <c r="U5374" s="2">
        <v>65.099999999999994</v>
      </c>
      <c r="V5374" s="2">
        <v>66</v>
      </c>
      <c r="W5374" s="2" t="s">
        <v>7862</v>
      </c>
      <c r="X5374" s="2" t="s">
        <v>2897</v>
      </c>
      <c r="Y5374" s="2">
        <v>7752</v>
      </c>
      <c r="Z5374" s="19" t="str">
        <f>HYPERLINK("https://ssdweb.co/ssdweb/hd/Vision360.html?d=927101005&amp;zoomslide=1&amp;z=1927101005&amp;ISCONFIRM=0","VIDEO")</f>
        <v>VIDEO</v>
      </c>
      <c r="AA5374" s="19" t="str">
        <f>HYPERLINK("https://ssdweb.co/ssdweb/CERTH/665453182.pdf","CERTI")</f>
        <v>CERTI</v>
      </c>
    </row>
    <row r="5375" spans="1:27" ht="15" x14ac:dyDescent="0.25">
      <c r="A5375" s="2">
        <v>5370</v>
      </c>
      <c r="B5375" s="39">
        <v>926110694</v>
      </c>
      <c r="C5375" s="28" t="str">
        <f>HYPERLINK("https://pld.live/RapDetail.aspx?STONELIST=926110694","DNA")</f>
        <v>DNA</v>
      </c>
      <c r="D5375" s="18" t="s">
        <v>3054</v>
      </c>
      <c r="E5375" s="18" t="s">
        <v>5128</v>
      </c>
      <c r="F5375" s="2" t="s">
        <v>7987</v>
      </c>
      <c r="G5375" s="2" t="s">
        <v>7322</v>
      </c>
      <c r="H5375" s="14">
        <v>1.02</v>
      </c>
      <c r="I5375" s="2" t="s">
        <v>267</v>
      </c>
      <c r="J5375" s="2" t="s">
        <v>3942</v>
      </c>
      <c r="K5375" s="2" t="s">
        <v>1452</v>
      </c>
      <c r="L5375" s="2" t="s">
        <v>5221</v>
      </c>
      <c r="M5375" s="2" t="s">
        <v>5221</v>
      </c>
      <c r="N5375" s="2" t="s">
        <v>2317</v>
      </c>
      <c r="O5375" s="14">
        <v>7600</v>
      </c>
      <c r="P5375" s="14">
        <v>98.47</v>
      </c>
      <c r="Q5375" s="14">
        <v>116.28</v>
      </c>
      <c r="R5375" s="14">
        <v>118.61</v>
      </c>
      <c r="S5375" s="2" t="s">
        <v>6269</v>
      </c>
      <c r="T5375" s="2">
        <v>1.36</v>
      </c>
      <c r="U5375" s="2">
        <v>65.400000000000006</v>
      </c>
      <c r="V5375" s="2">
        <v>67</v>
      </c>
      <c r="W5375" s="2" t="s">
        <v>7862</v>
      </c>
      <c r="X5375" s="2" t="s">
        <v>2897</v>
      </c>
      <c r="Y5375" s="2">
        <v>7752</v>
      </c>
      <c r="Z5375" s="19" t="str">
        <f>HYPERLINK("https://ssdweb.co/ssdweb/hd/Vision360.html?d=926110694&amp;zoomslide=1&amp;z=1926110694&amp;ISCONFIRM=0","VIDEO")</f>
        <v>VIDEO</v>
      </c>
      <c r="AA5375" s="19" t="str">
        <f>HYPERLINK("https://ssdweb.co/ssdweb/CERTH/632403888.pdf","CERTI")</f>
        <v>CERTI</v>
      </c>
    </row>
    <row r="5376" spans="1:27" ht="15" x14ac:dyDescent="0.25">
      <c r="A5376" s="2">
        <v>5371</v>
      </c>
      <c r="B5376" s="39">
        <v>927152561</v>
      </c>
      <c r="C5376" s="28" t="str">
        <f>HYPERLINK("https://pld.live/RapDetail.aspx?STONELIST=927152561","DNA")</f>
        <v>DNA</v>
      </c>
      <c r="D5376" s="18" t="s">
        <v>3054</v>
      </c>
      <c r="E5376" s="18" t="s">
        <v>5128</v>
      </c>
      <c r="F5376" s="2" t="s">
        <v>7987</v>
      </c>
      <c r="G5376" s="2" t="s">
        <v>7322</v>
      </c>
      <c r="H5376" s="14">
        <v>1.02</v>
      </c>
      <c r="I5376" s="2" t="s">
        <v>267</v>
      </c>
      <c r="J5376" s="2" t="s">
        <v>3942</v>
      </c>
      <c r="K5376" s="2" t="s">
        <v>1452</v>
      </c>
      <c r="L5376" s="2" t="s">
        <v>5221</v>
      </c>
      <c r="M5376" s="2" t="s">
        <v>5221</v>
      </c>
      <c r="N5376" s="2" t="s">
        <v>2317</v>
      </c>
      <c r="O5376" s="14">
        <v>7600</v>
      </c>
      <c r="P5376" s="14">
        <v>98.45</v>
      </c>
      <c r="Q5376" s="14">
        <v>117.8</v>
      </c>
      <c r="R5376" s="14">
        <v>120.16</v>
      </c>
      <c r="S5376" s="2" t="s">
        <v>5741</v>
      </c>
      <c r="T5376" s="2">
        <v>1.43</v>
      </c>
      <c r="U5376" s="2">
        <v>65.7</v>
      </c>
      <c r="V5376" s="2">
        <v>65</v>
      </c>
      <c r="W5376" s="2" t="s">
        <v>7862</v>
      </c>
      <c r="X5376" s="2" t="s">
        <v>2897</v>
      </c>
      <c r="Y5376" s="2">
        <v>7752</v>
      </c>
      <c r="Z5376" s="19" t="str">
        <f>HYPERLINK("https://ssdweb.co/ssdweb/hd/Vision360.html?d=927152561&amp;zoomslide=1&amp;z=1927152561&amp;ISCONFIRM=0","VIDEO")</f>
        <v>VIDEO</v>
      </c>
      <c r="AA5376" s="19" t="str">
        <f>HYPERLINK("https://ssdweb.co/ssdweb/CERTH/669458285.pdf","CERTI")</f>
        <v>CERTI</v>
      </c>
    </row>
    <row r="5377" spans="1:27" ht="15" x14ac:dyDescent="0.25">
      <c r="A5377" s="2">
        <v>5372</v>
      </c>
      <c r="B5377" s="39">
        <v>926110151</v>
      </c>
      <c r="C5377" s="28" t="str">
        <f>HYPERLINK("https://pld.live/RapDetail.aspx?STONELIST=926110151","DNA")</f>
        <v>DNA</v>
      </c>
      <c r="D5377" s="18" t="s">
        <v>3054</v>
      </c>
      <c r="E5377" s="18" t="s">
        <v>5128</v>
      </c>
      <c r="F5377" s="2" t="s">
        <v>7987</v>
      </c>
      <c r="G5377" s="2" t="s">
        <v>7322</v>
      </c>
      <c r="H5377" s="14">
        <v>1.02</v>
      </c>
      <c r="I5377" s="2" t="s">
        <v>267</v>
      </c>
      <c r="J5377" s="2" t="s">
        <v>3942</v>
      </c>
      <c r="K5377" s="2" t="s">
        <v>1452</v>
      </c>
      <c r="L5377" s="2" t="s">
        <v>5221</v>
      </c>
      <c r="M5377" s="2" t="s">
        <v>5221</v>
      </c>
      <c r="N5377" s="2" t="s">
        <v>2317</v>
      </c>
      <c r="O5377" s="14">
        <v>7600</v>
      </c>
      <c r="P5377" s="14">
        <v>98.47</v>
      </c>
      <c r="Q5377" s="14">
        <v>116.28</v>
      </c>
      <c r="R5377" s="14">
        <v>118.61</v>
      </c>
      <c r="S5377" s="2" t="s">
        <v>5750</v>
      </c>
      <c r="T5377" s="2">
        <v>1.36</v>
      </c>
      <c r="U5377" s="2">
        <v>67.8</v>
      </c>
      <c r="V5377" s="2">
        <v>68</v>
      </c>
      <c r="W5377" s="2" t="s">
        <v>7862</v>
      </c>
      <c r="X5377" s="2" t="s">
        <v>2897</v>
      </c>
      <c r="Y5377" s="2">
        <v>7752</v>
      </c>
      <c r="Z5377" s="19" t="str">
        <f>HYPERLINK("https://ssdweb.co/ssdweb/hd/Vision360.html?d=926110151&amp;zoomslide=1&amp;z=1926110151&amp;ISCONFIRM=0","VIDEO")</f>
        <v>VIDEO</v>
      </c>
      <c r="AA5377" s="19" t="str">
        <f>HYPERLINK("https://ssdweb.co/ssdweb/CERTH/632488371.pdf","CERTI")</f>
        <v>CERTI</v>
      </c>
    </row>
    <row r="5378" spans="1:27" ht="15" x14ac:dyDescent="0.25">
      <c r="A5378" s="2">
        <v>5373</v>
      </c>
      <c r="B5378" s="39">
        <v>831010167</v>
      </c>
      <c r="C5378" s="28" t="str">
        <f>HYPERLINK("https://pld.live/RapDetail.aspx?STONELIST=831010167","DNA")</f>
        <v>DNA</v>
      </c>
      <c r="D5378" s="18" t="s">
        <v>3054</v>
      </c>
      <c r="E5378" s="18" t="s">
        <v>5128</v>
      </c>
      <c r="F5378" s="2" t="s">
        <v>5597</v>
      </c>
      <c r="G5378" s="2" t="s">
        <v>7322</v>
      </c>
      <c r="H5378" s="14">
        <v>1.02</v>
      </c>
      <c r="I5378" s="2" t="s">
        <v>267</v>
      </c>
      <c r="J5378" s="2" t="s">
        <v>3942</v>
      </c>
      <c r="K5378" s="2" t="s">
        <v>1452</v>
      </c>
      <c r="L5378" s="2" t="s">
        <v>5221</v>
      </c>
      <c r="M5378" s="2" t="s">
        <v>5721</v>
      </c>
      <c r="N5378" s="2" t="s">
        <v>2317</v>
      </c>
      <c r="O5378" s="14">
        <v>7600</v>
      </c>
      <c r="P5378" s="14">
        <v>97.21</v>
      </c>
      <c r="Q5378" s="14">
        <v>212.04</v>
      </c>
      <c r="R5378" s="14">
        <v>216.28</v>
      </c>
      <c r="S5378" s="2" t="s">
        <v>4954</v>
      </c>
      <c r="T5378" s="2">
        <v>1.46</v>
      </c>
      <c r="U5378" s="2">
        <v>67.3</v>
      </c>
      <c r="V5378" s="2">
        <v>64</v>
      </c>
      <c r="W5378" s="2" t="s">
        <v>7862</v>
      </c>
      <c r="X5378" s="2" t="s">
        <v>2897</v>
      </c>
      <c r="Y5378" s="2">
        <v>7752</v>
      </c>
      <c r="Z5378" s="19" t="str">
        <f>HYPERLINK("https://ssdweb.co/ssdweb/hd/Vision360.html?d=831010167&amp;zoomslide=1&amp;z=1831010167&amp;ISCONFIRM=0","VIDEO")</f>
        <v>VIDEO</v>
      </c>
      <c r="AA5378" s="19" t="str">
        <f>HYPERLINK("https://ssdweb.co/ssdweb/CERTH/7468348244.pdf","CERTI")</f>
        <v>CERTI</v>
      </c>
    </row>
    <row r="5379" spans="1:27" ht="15" x14ac:dyDescent="0.25">
      <c r="A5379" s="2">
        <v>5374</v>
      </c>
      <c r="B5379" s="39">
        <v>941190162</v>
      </c>
      <c r="C5379" s="28" t="str">
        <f>HYPERLINK("https://pld.live/RapDetail.aspx?STONELIST=941190162","DNA")</f>
        <v>DNA</v>
      </c>
      <c r="D5379" s="18" t="s">
        <v>3054</v>
      </c>
      <c r="E5379" s="18" t="s">
        <v>5128</v>
      </c>
      <c r="F5379" s="2" t="s">
        <v>7987</v>
      </c>
      <c r="G5379" s="2" t="s">
        <v>7322</v>
      </c>
      <c r="H5379" s="14">
        <v>1.02</v>
      </c>
      <c r="I5379" s="2" t="s">
        <v>267</v>
      </c>
      <c r="J5379" s="2" t="s">
        <v>3942</v>
      </c>
      <c r="K5379" s="2" t="s">
        <v>1452</v>
      </c>
      <c r="L5379" s="2" t="s">
        <v>5221</v>
      </c>
      <c r="M5379" s="2" t="s">
        <v>5721</v>
      </c>
      <c r="N5379" s="2" t="s">
        <v>2317</v>
      </c>
      <c r="O5379" s="14">
        <v>7600</v>
      </c>
      <c r="P5379" s="14">
        <v>98.46</v>
      </c>
      <c r="Q5379" s="14">
        <v>117.04</v>
      </c>
      <c r="R5379" s="14">
        <v>119.38</v>
      </c>
      <c r="S5379" s="2" t="s">
        <v>309</v>
      </c>
      <c r="T5379" s="2">
        <v>1.4</v>
      </c>
      <c r="U5379" s="2">
        <v>66.2</v>
      </c>
      <c r="V5379" s="2">
        <v>64</v>
      </c>
      <c r="W5379" s="2" t="s">
        <v>7862</v>
      </c>
      <c r="X5379" s="2" t="s">
        <v>2897</v>
      </c>
      <c r="Y5379" s="2">
        <v>7752</v>
      </c>
      <c r="Z5379" s="19" t="str">
        <f>HYPERLINK("https://ssdweb.co/ssdweb/hd/Vision360.html?d=941190162&amp;zoomslide=1&amp;z=1941190162&amp;ISCONFIRM=0","VIDEO")</f>
        <v>VIDEO</v>
      </c>
      <c r="AA5379" s="19" t="str">
        <f>HYPERLINK("https://ssdweb.co/ssdweb/CERTH/678564548.pdf","CERTI")</f>
        <v>CERTI</v>
      </c>
    </row>
    <row r="5380" spans="1:27" ht="15" x14ac:dyDescent="0.25">
      <c r="A5380" s="2">
        <v>5375</v>
      </c>
      <c r="B5380" s="39">
        <v>926291395</v>
      </c>
      <c r="C5380" s="28" t="str">
        <f>HYPERLINK("https://pld.live/RapDetail.aspx?STONELIST=926291395","DNA")</f>
        <v>DNA</v>
      </c>
      <c r="D5380" s="18" t="s">
        <v>3054</v>
      </c>
      <c r="E5380" s="18" t="s">
        <v>5128</v>
      </c>
      <c r="F5380" s="2" t="s">
        <v>7987</v>
      </c>
      <c r="G5380" s="2" t="s">
        <v>7322</v>
      </c>
      <c r="H5380" s="14">
        <v>1.02</v>
      </c>
      <c r="I5380" s="2" t="s">
        <v>267</v>
      </c>
      <c r="J5380" s="2" t="s">
        <v>3942</v>
      </c>
      <c r="K5380" s="2" t="s">
        <v>1452</v>
      </c>
      <c r="L5380" s="2" t="s">
        <v>5721</v>
      </c>
      <c r="M5380" s="2" t="s">
        <v>5221</v>
      </c>
      <c r="N5380" s="2" t="s">
        <v>2317</v>
      </c>
      <c r="O5380" s="14">
        <v>7600</v>
      </c>
      <c r="P5380" s="14">
        <v>98.49</v>
      </c>
      <c r="Q5380" s="14">
        <v>114.76</v>
      </c>
      <c r="R5380" s="14">
        <v>117.06</v>
      </c>
      <c r="S5380" s="2" t="s">
        <v>5908</v>
      </c>
      <c r="T5380" s="2">
        <v>1.4</v>
      </c>
      <c r="U5380" s="2">
        <v>67.099999999999994</v>
      </c>
      <c r="V5380" s="2">
        <v>60</v>
      </c>
      <c r="W5380" s="2" t="s">
        <v>7862</v>
      </c>
      <c r="X5380" s="2" t="s">
        <v>2897</v>
      </c>
      <c r="Y5380" s="2">
        <v>7752</v>
      </c>
      <c r="Z5380" s="19" t="str">
        <f>HYPERLINK("https://ssdweb.co/ssdweb/hd/Vision360.html?d=926291395&amp;zoomslide=1&amp;z=1926291395&amp;ISCONFIRM=0","VIDEO")</f>
        <v>VIDEO</v>
      </c>
      <c r="AA5380" s="19" t="str">
        <f>HYPERLINK("https://ssdweb.co/ssdweb/CERTH/644472505.pdf","CERTI")</f>
        <v>CERTI</v>
      </c>
    </row>
    <row r="5381" spans="1:27" ht="15" x14ac:dyDescent="0.25">
      <c r="A5381" s="2">
        <v>5376</v>
      </c>
      <c r="B5381" s="39">
        <v>926631367</v>
      </c>
      <c r="C5381" s="28" t="str">
        <f>HYPERLINK("https://pld.live/RapDetail.aspx?STONELIST=926631367","DNA")</f>
        <v>DNA</v>
      </c>
      <c r="D5381" s="18" t="s">
        <v>3054</v>
      </c>
      <c r="E5381" s="18" t="s">
        <v>5128</v>
      </c>
      <c r="F5381" s="2" t="s">
        <v>7987</v>
      </c>
      <c r="G5381" s="2" t="s">
        <v>7322</v>
      </c>
      <c r="H5381" s="14">
        <v>1.02</v>
      </c>
      <c r="I5381" s="2" t="s">
        <v>267</v>
      </c>
      <c r="J5381" s="2" t="s">
        <v>13</v>
      </c>
      <c r="K5381" s="2" t="s">
        <v>1452</v>
      </c>
      <c r="L5381" s="2" t="s">
        <v>5221</v>
      </c>
      <c r="M5381" s="2" t="s">
        <v>5221</v>
      </c>
      <c r="N5381" s="2" t="s">
        <v>2317</v>
      </c>
      <c r="O5381" s="14">
        <v>6700</v>
      </c>
      <c r="P5381" s="14">
        <v>98.3</v>
      </c>
      <c r="Q5381" s="14">
        <v>113.9</v>
      </c>
      <c r="R5381" s="14">
        <v>116.18</v>
      </c>
      <c r="S5381" s="2" t="s">
        <v>1504</v>
      </c>
      <c r="T5381" s="2">
        <v>1.41</v>
      </c>
      <c r="U5381" s="2">
        <v>64.7</v>
      </c>
      <c r="V5381" s="2">
        <v>65</v>
      </c>
      <c r="W5381" s="2" t="s">
        <v>7862</v>
      </c>
      <c r="X5381" s="2" t="s">
        <v>2897</v>
      </c>
      <c r="Y5381" s="2">
        <v>6834</v>
      </c>
      <c r="Z5381" s="19" t="str">
        <f>HYPERLINK("https://ssdweb.co/ssdweb/hd/Vision360.html?d=926631367&amp;zoomslide=1&amp;z=1926631367&amp;ISCONFIRM=0","VIDEO")</f>
        <v>VIDEO</v>
      </c>
      <c r="AA5381" s="19" t="str">
        <f>HYPERLINK("https://ssdweb.co/ssdweb/CERTH/651401232.pdf","CERTI")</f>
        <v>CERTI</v>
      </c>
    </row>
    <row r="5382" spans="1:27" ht="15" x14ac:dyDescent="0.25">
      <c r="A5382" s="2">
        <v>5377</v>
      </c>
      <c r="B5382" s="39">
        <v>925861428</v>
      </c>
      <c r="C5382" s="28" t="str">
        <f>HYPERLINK("https://pld.live/RapDetail.aspx?STONELIST=925861428","DNA")</f>
        <v>DNA</v>
      </c>
      <c r="D5382" s="18" t="s">
        <v>3054</v>
      </c>
      <c r="E5382" s="18" t="s">
        <v>5128</v>
      </c>
      <c r="F5382" s="2" t="s">
        <v>7987</v>
      </c>
      <c r="G5382" s="2" t="s">
        <v>7322</v>
      </c>
      <c r="H5382" s="14">
        <v>1.02</v>
      </c>
      <c r="I5382" s="2" t="s">
        <v>267</v>
      </c>
      <c r="J5382" s="2" t="s">
        <v>13</v>
      </c>
      <c r="K5382" s="2" t="s">
        <v>1452</v>
      </c>
      <c r="L5382" s="2" t="s">
        <v>5221</v>
      </c>
      <c r="M5382" s="2" t="s">
        <v>5221</v>
      </c>
      <c r="N5382" s="2" t="s">
        <v>2317</v>
      </c>
      <c r="O5382" s="14">
        <v>6700</v>
      </c>
      <c r="P5382" s="14">
        <v>98.34</v>
      </c>
      <c r="Q5382" s="14">
        <v>111.22</v>
      </c>
      <c r="R5382" s="14">
        <v>113.44</v>
      </c>
      <c r="S5382" s="2" t="s">
        <v>6184</v>
      </c>
      <c r="T5382" s="2">
        <v>1.48</v>
      </c>
      <c r="U5382" s="2">
        <v>64.2</v>
      </c>
      <c r="V5382" s="2">
        <v>63</v>
      </c>
      <c r="W5382" s="2" t="s">
        <v>7862</v>
      </c>
      <c r="X5382" s="2" t="s">
        <v>2897</v>
      </c>
      <c r="Y5382" s="2">
        <v>6834</v>
      </c>
      <c r="Z5382" s="19" t="str">
        <f>HYPERLINK("https://ssdweb.co/ssdweb/hd/Vision360.html?d=925861428&amp;zoomslide=1&amp;z=1925861428&amp;ISCONFIRM=0","VIDEO")</f>
        <v>VIDEO</v>
      </c>
      <c r="AA5382" s="19" t="str">
        <f>HYPERLINK("https://ssdweb.co/ssdweb/CERTH/627497061.pdf","CERTI")</f>
        <v>CERTI</v>
      </c>
    </row>
    <row r="5383" spans="1:27" ht="15" x14ac:dyDescent="0.25">
      <c r="A5383" s="2">
        <v>5378</v>
      </c>
      <c r="B5383" s="39">
        <v>941351081</v>
      </c>
      <c r="C5383" s="28" t="str">
        <f>HYPERLINK("https://pld.live/RapDetail.aspx?STONELIST=941351081","DNA")</f>
        <v>DNA</v>
      </c>
      <c r="D5383" s="18" t="s">
        <v>3054</v>
      </c>
      <c r="E5383" s="18" t="s">
        <v>5128</v>
      </c>
      <c r="F5383" s="2" t="s">
        <v>7987</v>
      </c>
      <c r="G5383" s="2" t="s">
        <v>7322</v>
      </c>
      <c r="H5383" s="14">
        <v>1.02</v>
      </c>
      <c r="I5383" s="2" t="s">
        <v>267</v>
      </c>
      <c r="J5383" s="2" t="s">
        <v>13</v>
      </c>
      <c r="K5383" s="2" t="s">
        <v>1452</v>
      </c>
      <c r="L5383" s="2" t="s">
        <v>5221</v>
      </c>
      <c r="M5383" s="2" t="s">
        <v>5221</v>
      </c>
      <c r="N5383" s="2" t="s">
        <v>2317</v>
      </c>
      <c r="O5383" s="14">
        <v>6700</v>
      </c>
      <c r="P5383" s="14">
        <v>98.28</v>
      </c>
      <c r="Q5383" s="14">
        <v>115.24</v>
      </c>
      <c r="R5383" s="14">
        <v>117.54</v>
      </c>
      <c r="S5383" s="2" t="s">
        <v>5173</v>
      </c>
      <c r="T5383" s="2">
        <v>1.45</v>
      </c>
      <c r="U5383" s="2">
        <v>63.9</v>
      </c>
      <c r="V5383" s="2">
        <v>64</v>
      </c>
      <c r="W5383" s="2" t="s">
        <v>7862</v>
      </c>
      <c r="X5383" s="2" t="s">
        <v>2897</v>
      </c>
      <c r="Y5383" s="2">
        <v>6834</v>
      </c>
      <c r="Z5383" s="19" t="str">
        <f>HYPERLINK("https://ssdweb.co/ssdweb/hd/Vision360.html?d=941351081&amp;zoomslide=1&amp;z=1941351081&amp;ISCONFIRM=0","VIDEO")</f>
        <v>VIDEO</v>
      </c>
      <c r="AA5383" s="19" t="str">
        <f>HYPERLINK("https://ssdweb.co/ssdweb/CERTH/692505691.pdf","CERTI")</f>
        <v>CERTI</v>
      </c>
    </row>
    <row r="5384" spans="1:27" ht="15" x14ac:dyDescent="0.25">
      <c r="A5384" s="2">
        <v>5379</v>
      </c>
      <c r="B5384" s="39">
        <v>941190072</v>
      </c>
      <c r="C5384" s="28" t="str">
        <f>HYPERLINK("https://pld.live/RapDetail.aspx?STONELIST=941190072","DNA")</f>
        <v>DNA</v>
      </c>
      <c r="D5384" s="18" t="s">
        <v>3054</v>
      </c>
      <c r="E5384" s="18" t="s">
        <v>5128</v>
      </c>
      <c r="F5384" s="2" t="s">
        <v>7987</v>
      </c>
      <c r="G5384" s="2" t="s">
        <v>7322</v>
      </c>
      <c r="H5384" s="14">
        <v>1.02</v>
      </c>
      <c r="I5384" s="2" t="s">
        <v>267</v>
      </c>
      <c r="J5384" s="2" t="s">
        <v>13</v>
      </c>
      <c r="K5384" s="2" t="s">
        <v>1452</v>
      </c>
      <c r="L5384" s="2" t="s">
        <v>5221</v>
      </c>
      <c r="M5384" s="2" t="s">
        <v>5221</v>
      </c>
      <c r="N5384" s="2" t="s">
        <v>2317</v>
      </c>
      <c r="O5384" s="14">
        <v>6700</v>
      </c>
      <c r="P5384" s="14">
        <v>98.28</v>
      </c>
      <c r="Q5384" s="14">
        <v>115.24</v>
      </c>
      <c r="R5384" s="14">
        <v>117.54</v>
      </c>
      <c r="S5384" s="2" t="s">
        <v>3370</v>
      </c>
      <c r="T5384" s="2">
        <v>1.42</v>
      </c>
      <c r="U5384" s="2">
        <v>66.8</v>
      </c>
      <c r="V5384" s="2">
        <v>63</v>
      </c>
      <c r="W5384" s="2" t="s">
        <v>7862</v>
      </c>
      <c r="X5384" s="2" t="s">
        <v>2897</v>
      </c>
      <c r="Y5384" s="2">
        <v>6834</v>
      </c>
      <c r="Z5384" s="19" t="str">
        <f>HYPERLINK("https://ssdweb.co/ssdweb/hd/Vision360.html?d=941190072&amp;zoomslide=1&amp;z=1941190072&amp;ISCONFIRM=0","VIDEO")</f>
        <v>VIDEO</v>
      </c>
      <c r="AA5384" s="19" t="str">
        <f>HYPERLINK("https://ssdweb.co/ssdweb/CERTH/689587150.pdf","CERTI")</f>
        <v>CERTI</v>
      </c>
    </row>
    <row r="5385" spans="1:27" ht="15" x14ac:dyDescent="0.25">
      <c r="A5385" s="2">
        <v>5380</v>
      </c>
      <c r="B5385" s="39">
        <v>941200090</v>
      </c>
      <c r="C5385" s="28" t="str">
        <f>HYPERLINK("https://pld.live/RapDetail.aspx?STONELIST=941200090","DNA")</f>
        <v>DNA</v>
      </c>
      <c r="D5385" s="18" t="s">
        <v>3054</v>
      </c>
      <c r="E5385" s="18" t="s">
        <v>2186</v>
      </c>
      <c r="F5385" s="2" t="s">
        <v>7987</v>
      </c>
      <c r="G5385" s="2" t="s">
        <v>7322</v>
      </c>
      <c r="H5385" s="14">
        <v>1.02</v>
      </c>
      <c r="I5385" s="2" t="s">
        <v>267</v>
      </c>
      <c r="J5385" s="2" t="s">
        <v>13</v>
      </c>
      <c r="K5385" s="2" t="s">
        <v>1452</v>
      </c>
      <c r="L5385" s="2" t="s">
        <v>5221</v>
      </c>
      <c r="M5385" s="2" t="s">
        <v>5221</v>
      </c>
      <c r="N5385" s="2" t="s">
        <v>2317</v>
      </c>
      <c r="O5385" s="14">
        <v>6700</v>
      </c>
      <c r="P5385" s="14">
        <v>98.28</v>
      </c>
      <c r="Q5385" s="14">
        <v>115.24</v>
      </c>
      <c r="R5385" s="14">
        <v>117.54</v>
      </c>
      <c r="S5385" s="2" t="s">
        <v>4426</v>
      </c>
      <c r="T5385" s="2">
        <v>1.4</v>
      </c>
      <c r="U5385" s="2">
        <v>66.2</v>
      </c>
      <c r="V5385" s="2">
        <v>66</v>
      </c>
      <c r="W5385" s="2" t="s">
        <v>7862</v>
      </c>
      <c r="X5385" s="2" t="s">
        <v>2897</v>
      </c>
      <c r="Y5385" s="2">
        <v>6834</v>
      </c>
      <c r="Z5385" s="19" t="str">
        <f>HYPERLINK("https://ssdweb.co/ssdweb/hd/Vision360.html?d=941200090&amp;zoomslide=1&amp;z=1941200090&amp;ISCONFIRM=0","VIDEO")</f>
        <v>VIDEO</v>
      </c>
      <c r="AA5385" s="19" t="str">
        <f>HYPERLINK("https://ssdweb.co/ssdweb/CERTH/678564523.pdf","CERTI")</f>
        <v>CERTI</v>
      </c>
    </row>
    <row r="5386" spans="1:27" ht="15" x14ac:dyDescent="0.25">
      <c r="A5386" s="2">
        <v>5381</v>
      </c>
      <c r="B5386" s="39">
        <v>941200152</v>
      </c>
      <c r="C5386" s="28" t="str">
        <f>HYPERLINK("https://pld.live/RapDetail.aspx?STONELIST=941200152","DNA")</f>
        <v>DNA</v>
      </c>
      <c r="D5386" s="18" t="s">
        <v>3054</v>
      </c>
      <c r="E5386" s="18" t="s">
        <v>2186</v>
      </c>
      <c r="F5386" s="2" t="s">
        <v>7987</v>
      </c>
      <c r="G5386" s="2" t="s">
        <v>7322</v>
      </c>
      <c r="H5386" s="14">
        <v>1.02</v>
      </c>
      <c r="I5386" s="2" t="s">
        <v>267</v>
      </c>
      <c r="J5386" s="2" t="s">
        <v>13</v>
      </c>
      <c r="K5386" s="2" t="s">
        <v>1452</v>
      </c>
      <c r="L5386" s="2" t="s">
        <v>5221</v>
      </c>
      <c r="M5386" s="2" t="s">
        <v>5221</v>
      </c>
      <c r="N5386" s="2" t="s">
        <v>2317</v>
      </c>
      <c r="O5386" s="14">
        <v>6700</v>
      </c>
      <c r="P5386" s="14">
        <v>98.28</v>
      </c>
      <c r="Q5386" s="14">
        <v>115.24</v>
      </c>
      <c r="R5386" s="14">
        <v>117.54</v>
      </c>
      <c r="S5386" s="2" t="s">
        <v>4860</v>
      </c>
      <c r="T5386" s="2">
        <v>1.46</v>
      </c>
      <c r="U5386" s="2">
        <v>64.900000000000006</v>
      </c>
      <c r="V5386" s="2">
        <v>66</v>
      </c>
      <c r="W5386" s="2" t="s">
        <v>7862</v>
      </c>
      <c r="X5386" s="2" t="s">
        <v>2897</v>
      </c>
      <c r="Y5386" s="2">
        <v>6834</v>
      </c>
      <c r="Z5386" s="19" t="str">
        <f>HYPERLINK("https://ssdweb.co/ssdweb/hd/Vision360.html?d=941200152&amp;zoomslide=1&amp;z=1941200152&amp;ISCONFIRM=0","VIDEO")</f>
        <v>VIDEO</v>
      </c>
      <c r="AA5386" s="19" t="str">
        <f>HYPERLINK("https://ssdweb.co/ssdweb/CERTH/678564522.pdf","CERTI")</f>
        <v>CERTI</v>
      </c>
    </row>
    <row r="5387" spans="1:27" ht="15" x14ac:dyDescent="0.25">
      <c r="A5387" s="2">
        <v>5382</v>
      </c>
      <c r="B5387" s="39">
        <v>941040002</v>
      </c>
      <c r="C5387" s="28" t="str">
        <f>HYPERLINK("https://pld.live/RapDetail.aspx?STONELIST=941040002","DNA")</f>
        <v>DNA</v>
      </c>
      <c r="D5387" s="18" t="s">
        <v>3054</v>
      </c>
      <c r="E5387" s="18" t="s">
        <v>5128</v>
      </c>
      <c r="F5387" s="2" t="s">
        <v>7987</v>
      </c>
      <c r="G5387" s="2" t="s">
        <v>7322</v>
      </c>
      <c r="H5387" s="14">
        <v>1.02</v>
      </c>
      <c r="I5387" s="2" t="s">
        <v>267</v>
      </c>
      <c r="J5387" s="2" t="s">
        <v>13</v>
      </c>
      <c r="K5387" s="2" t="s">
        <v>1452</v>
      </c>
      <c r="L5387" s="2" t="s">
        <v>5221</v>
      </c>
      <c r="M5387" s="2" t="s">
        <v>5221</v>
      </c>
      <c r="N5387" s="2" t="s">
        <v>2317</v>
      </c>
      <c r="O5387" s="14">
        <v>6700</v>
      </c>
      <c r="P5387" s="14">
        <v>98.3</v>
      </c>
      <c r="Q5387" s="14">
        <v>113.9</v>
      </c>
      <c r="R5387" s="14">
        <v>116.18</v>
      </c>
      <c r="S5387" s="2" t="s">
        <v>4577</v>
      </c>
      <c r="T5387" s="2">
        <v>1.42</v>
      </c>
      <c r="U5387" s="2">
        <v>66.099999999999994</v>
      </c>
      <c r="V5387" s="2">
        <v>65</v>
      </c>
      <c r="W5387" s="2" t="s">
        <v>7862</v>
      </c>
      <c r="X5387" s="2" t="s">
        <v>2897</v>
      </c>
      <c r="Y5387" s="2">
        <v>6834</v>
      </c>
      <c r="Z5387" s="19" t="str">
        <f>HYPERLINK("https://ssdweb.co/ssdweb/hd/Vision360.html?d=941040002&amp;zoomslide=1&amp;z=1941040002&amp;ISCONFIRM=0","VIDEO")</f>
        <v>VIDEO</v>
      </c>
      <c r="AA5387" s="19" t="str">
        <f>HYPERLINK("https://ssdweb.co/ssdweb/CERTH/668437180.pdf","CERTI")</f>
        <v>CERTI</v>
      </c>
    </row>
    <row r="5388" spans="1:27" ht="15" x14ac:dyDescent="0.25">
      <c r="A5388" s="2">
        <v>5383</v>
      </c>
      <c r="B5388" s="39">
        <v>941070021</v>
      </c>
      <c r="C5388" s="28" t="str">
        <f>HYPERLINK("https://pld.live/RapDetail.aspx?STONELIST=941070021","DNA")</f>
        <v>DNA</v>
      </c>
      <c r="D5388" s="18" t="s">
        <v>3054</v>
      </c>
      <c r="E5388" s="18" t="s">
        <v>5128</v>
      </c>
      <c r="F5388" s="2" t="s">
        <v>7987</v>
      </c>
      <c r="G5388" s="2" t="s">
        <v>7322</v>
      </c>
      <c r="H5388" s="14">
        <v>1.02</v>
      </c>
      <c r="I5388" s="2" t="s">
        <v>267</v>
      </c>
      <c r="J5388" s="2" t="s">
        <v>13</v>
      </c>
      <c r="K5388" s="2" t="s">
        <v>1452</v>
      </c>
      <c r="L5388" s="2" t="s">
        <v>5221</v>
      </c>
      <c r="M5388" s="2" t="s">
        <v>5221</v>
      </c>
      <c r="N5388" s="2" t="s">
        <v>2317</v>
      </c>
      <c r="O5388" s="14">
        <v>6700</v>
      </c>
      <c r="P5388" s="14">
        <v>98.3</v>
      </c>
      <c r="Q5388" s="14">
        <v>113.9</v>
      </c>
      <c r="R5388" s="14">
        <v>116.18</v>
      </c>
      <c r="S5388" s="2" t="s">
        <v>2773</v>
      </c>
      <c r="T5388" s="2">
        <v>1.4</v>
      </c>
      <c r="U5388" s="2">
        <v>65.599999999999994</v>
      </c>
      <c r="V5388" s="2">
        <v>65</v>
      </c>
      <c r="W5388" s="2" t="s">
        <v>7862</v>
      </c>
      <c r="X5388" s="2" t="s">
        <v>2897</v>
      </c>
      <c r="Y5388" s="2">
        <v>6834</v>
      </c>
      <c r="Z5388" s="19" t="str">
        <f>HYPERLINK("https://ssdweb.co/ssdweb/hd/Vision360.html?d=941070021&amp;zoomslide=1&amp;z=1941070021&amp;ISCONFIRM=0","VIDEO")</f>
        <v>VIDEO</v>
      </c>
      <c r="AA5388" s="19" t="str">
        <f>HYPERLINK("https://ssdweb.co/ssdweb/CERTH/668477345.pdf","CERTI")</f>
        <v>CERTI</v>
      </c>
    </row>
    <row r="5389" spans="1:27" ht="15" x14ac:dyDescent="0.25">
      <c r="A5389" s="2">
        <v>5384</v>
      </c>
      <c r="B5389" s="39">
        <v>927140014</v>
      </c>
      <c r="C5389" s="28" t="str">
        <f>HYPERLINK("https://pld.live/RapDetail.aspx?STONELIST=927140014","DNA")</f>
        <v>DNA</v>
      </c>
      <c r="D5389" s="18" t="s">
        <v>3054</v>
      </c>
      <c r="E5389" s="18" t="s">
        <v>2186</v>
      </c>
      <c r="F5389" s="2" t="s">
        <v>7987</v>
      </c>
      <c r="G5389" s="2" t="s">
        <v>7322</v>
      </c>
      <c r="H5389" s="14">
        <v>1.02</v>
      </c>
      <c r="I5389" s="2" t="s">
        <v>267</v>
      </c>
      <c r="J5389" s="2" t="s">
        <v>13</v>
      </c>
      <c r="K5389" s="2" t="s">
        <v>1452</v>
      </c>
      <c r="L5389" s="2" t="s">
        <v>5221</v>
      </c>
      <c r="M5389" s="2" t="s">
        <v>5221</v>
      </c>
      <c r="N5389" s="2" t="s">
        <v>2317</v>
      </c>
      <c r="O5389" s="14">
        <v>6700</v>
      </c>
      <c r="P5389" s="14">
        <v>98.3</v>
      </c>
      <c r="Q5389" s="14">
        <v>113.9</v>
      </c>
      <c r="R5389" s="14">
        <v>116.18</v>
      </c>
      <c r="S5389" s="2" t="s">
        <v>4115</v>
      </c>
      <c r="T5389" s="2">
        <v>1.38</v>
      </c>
      <c r="U5389" s="2">
        <v>64.7</v>
      </c>
      <c r="V5389" s="2">
        <v>67</v>
      </c>
      <c r="W5389" s="2" t="s">
        <v>7862</v>
      </c>
      <c r="X5389" s="2" t="s">
        <v>2897</v>
      </c>
      <c r="Y5389" s="2">
        <v>6834</v>
      </c>
      <c r="Z5389" s="19" t="str">
        <f>HYPERLINK("https://ssdweb.co/ssdweb/hd/Vision360.html?d=927140014&amp;zoomslide=1&amp;z=1927140014&amp;ISCONFIRM=0","VIDEO")</f>
        <v>VIDEO</v>
      </c>
      <c r="AA5389" s="19" t="str">
        <f>HYPERLINK("https://ssdweb.co/ssdweb/CERTH/668437175.pdf","CERTI")</f>
        <v>CERTI</v>
      </c>
    </row>
    <row r="5390" spans="1:27" ht="15" x14ac:dyDescent="0.25">
      <c r="A5390" s="2">
        <v>5385</v>
      </c>
      <c r="B5390" s="39">
        <v>926640505</v>
      </c>
      <c r="C5390" s="28" t="str">
        <f>HYPERLINK("https://pld.live/RapDetail.aspx?STONELIST=926640505","DNA")</f>
        <v>DNA</v>
      </c>
      <c r="D5390" s="18" t="s">
        <v>3054</v>
      </c>
      <c r="E5390" s="18" t="s">
        <v>2186</v>
      </c>
      <c r="F5390" s="2" t="s">
        <v>7987</v>
      </c>
      <c r="G5390" s="2" t="s">
        <v>7322</v>
      </c>
      <c r="H5390" s="14">
        <v>1.02</v>
      </c>
      <c r="I5390" s="2" t="s">
        <v>267</v>
      </c>
      <c r="J5390" s="2" t="s">
        <v>5144</v>
      </c>
      <c r="K5390" s="2" t="s">
        <v>1452</v>
      </c>
      <c r="L5390" s="2" t="s">
        <v>5221</v>
      </c>
      <c r="M5390" s="2" t="s">
        <v>5221</v>
      </c>
      <c r="N5390" s="2" t="s">
        <v>2317</v>
      </c>
      <c r="O5390" s="14">
        <v>5700</v>
      </c>
      <c r="P5390" s="14">
        <v>98.07</v>
      </c>
      <c r="Q5390" s="14">
        <v>110.01</v>
      </c>
      <c r="R5390" s="14">
        <v>112.21</v>
      </c>
      <c r="S5390" s="2" t="s">
        <v>2584</v>
      </c>
      <c r="T5390" s="2">
        <v>1.4</v>
      </c>
      <c r="U5390" s="2">
        <v>66.8</v>
      </c>
      <c r="V5390" s="2">
        <v>65</v>
      </c>
      <c r="W5390" s="2" t="s">
        <v>7862</v>
      </c>
      <c r="X5390" s="2" t="s">
        <v>2897</v>
      </c>
      <c r="Y5390" s="2">
        <v>5814</v>
      </c>
      <c r="Z5390" s="19" t="str">
        <f>HYPERLINK("https://ssdweb.co/ssdweb/hd/Vision360.html?d=926640505&amp;zoomslide=1&amp;z=1926640505&amp;ISCONFIRM=0","VIDEO")</f>
        <v>VIDEO</v>
      </c>
      <c r="AA5390" s="19" t="str">
        <f>HYPERLINK("https://ssdweb.co/ssdweb/CERTH/647475474.pdf","CERTI")</f>
        <v>CERTI</v>
      </c>
    </row>
    <row r="5391" spans="1:27" ht="15" x14ac:dyDescent="0.25">
      <c r="A5391" s="2">
        <v>5386</v>
      </c>
      <c r="B5391" s="39">
        <v>926210605</v>
      </c>
      <c r="C5391" s="28" t="str">
        <f>HYPERLINK("https://pld.live/RapDetail.aspx?STONELIST=926210605","DNA")</f>
        <v>DNA</v>
      </c>
      <c r="D5391" s="18" t="s">
        <v>3054</v>
      </c>
      <c r="E5391" s="18" t="s">
        <v>5128</v>
      </c>
      <c r="F5391" s="2" t="s">
        <v>7987</v>
      </c>
      <c r="G5391" s="2" t="s">
        <v>7322</v>
      </c>
      <c r="H5391" s="14">
        <v>1.02</v>
      </c>
      <c r="I5391" s="2" t="s">
        <v>267</v>
      </c>
      <c r="J5391" s="2" t="s">
        <v>5144</v>
      </c>
      <c r="K5391" s="2" t="s">
        <v>1452</v>
      </c>
      <c r="L5391" s="2" t="s">
        <v>5221</v>
      </c>
      <c r="M5391" s="2" t="s">
        <v>5221</v>
      </c>
      <c r="N5391" s="2" t="s">
        <v>2317</v>
      </c>
      <c r="O5391" s="14">
        <v>5700</v>
      </c>
      <c r="P5391" s="14">
        <v>98.09</v>
      </c>
      <c r="Q5391" s="14">
        <v>108.87</v>
      </c>
      <c r="R5391" s="14">
        <v>111.05</v>
      </c>
      <c r="S5391" s="2" t="s">
        <v>3081</v>
      </c>
      <c r="T5391" s="2">
        <v>1.36</v>
      </c>
      <c r="U5391" s="2">
        <v>67.400000000000006</v>
      </c>
      <c r="V5391" s="2">
        <v>67</v>
      </c>
      <c r="W5391" s="2" t="s">
        <v>7862</v>
      </c>
      <c r="X5391" s="2" t="s">
        <v>2897</v>
      </c>
      <c r="Y5391" s="2">
        <v>5814</v>
      </c>
      <c r="Z5391" s="19" t="str">
        <f>HYPERLINK("https://ssdweb.co/ssdweb/hd/Vision360.html?d=926210605&amp;zoomslide=1&amp;z=1926210605&amp;ISCONFIRM=0","VIDEO")</f>
        <v>VIDEO</v>
      </c>
      <c r="AA5391" s="19" t="str">
        <f>HYPERLINK("https://ssdweb.co/ssdweb/CERTH/635427004.pdf","CERTI")</f>
        <v>CERTI</v>
      </c>
    </row>
    <row r="5392" spans="1:27" ht="15" x14ac:dyDescent="0.25">
      <c r="A5392" s="2">
        <v>5387</v>
      </c>
      <c r="B5392" s="39">
        <v>941190223</v>
      </c>
      <c r="C5392" s="28" t="str">
        <f>HYPERLINK("https://pld.live/RapDetail.aspx?STONELIST=941190223","DNA")</f>
        <v>DNA</v>
      </c>
      <c r="D5392" s="18" t="s">
        <v>3054</v>
      </c>
      <c r="E5392" s="18" t="s">
        <v>5128</v>
      </c>
      <c r="F5392" s="2" t="s">
        <v>7987</v>
      </c>
      <c r="G5392" s="2" t="s">
        <v>7322</v>
      </c>
      <c r="H5392" s="14">
        <v>1.02</v>
      </c>
      <c r="I5392" s="2" t="s">
        <v>267</v>
      </c>
      <c r="J5392" s="2" t="s">
        <v>5144</v>
      </c>
      <c r="K5392" s="2" t="s">
        <v>1452</v>
      </c>
      <c r="L5392" s="2" t="s">
        <v>5221</v>
      </c>
      <c r="M5392" s="2" t="s">
        <v>5221</v>
      </c>
      <c r="N5392" s="2" t="s">
        <v>2317</v>
      </c>
      <c r="O5392" s="14">
        <v>5700</v>
      </c>
      <c r="P5392" s="14">
        <v>98.05</v>
      </c>
      <c r="Q5392" s="14">
        <v>111.15</v>
      </c>
      <c r="R5392" s="14">
        <v>113.37</v>
      </c>
      <c r="S5392" s="2" t="s">
        <v>7719</v>
      </c>
      <c r="T5392" s="2">
        <v>1.39</v>
      </c>
      <c r="U5392" s="2">
        <v>67</v>
      </c>
      <c r="V5392" s="2">
        <v>68</v>
      </c>
      <c r="W5392" s="2" t="s">
        <v>7862</v>
      </c>
      <c r="X5392" s="2" t="s">
        <v>2897</v>
      </c>
      <c r="Y5392" s="2">
        <v>5814</v>
      </c>
      <c r="Z5392" s="19" t="str">
        <f>HYPERLINK("https://ssdweb.co/ssdweb/hd/Vision360.html?d=941190223&amp;zoomslide=1&amp;z=1941190223&amp;ISCONFIRM=0","VIDEO")</f>
        <v>VIDEO</v>
      </c>
      <c r="AA5392" s="19" t="str">
        <f>HYPERLINK("https://ssdweb.co/ssdweb/CERTH/689587151.pdf","CERTI")</f>
        <v>CERTI</v>
      </c>
    </row>
    <row r="5393" spans="1:27" ht="15" x14ac:dyDescent="0.25">
      <c r="A5393" s="2">
        <v>5388</v>
      </c>
      <c r="B5393" s="39">
        <v>924980172</v>
      </c>
      <c r="C5393" s="28" t="str">
        <f>HYPERLINK("https://pld.live/RapDetail.aspx?STONELIST=924980172","DNA")</f>
        <v>DNA</v>
      </c>
      <c r="D5393" s="18" t="s">
        <v>3054</v>
      </c>
      <c r="E5393" s="18" t="s">
        <v>5128</v>
      </c>
      <c r="F5393" s="2" t="s">
        <v>7987</v>
      </c>
      <c r="G5393" s="2" t="s">
        <v>7322</v>
      </c>
      <c r="H5393" s="14">
        <v>1.02</v>
      </c>
      <c r="I5393" s="2" t="s">
        <v>4761</v>
      </c>
      <c r="J5393" s="2" t="s">
        <v>6555</v>
      </c>
      <c r="K5393" s="2" t="s">
        <v>1452</v>
      </c>
      <c r="L5393" s="2" t="s">
        <v>5221</v>
      </c>
      <c r="M5393" s="2" t="s">
        <v>5221</v>
      </c>
      <c r="N5393" s="2" t="s">
        <v>2317</v>
      </c>
      <c r="O5393" s="14">
        <v>7500</v>
      </c>
      <c r="P5393" s="14">
        <v>98.39</v>
      </c>
      <c r="Q5393" s="14">
        <v>120.75</v>
      </c>
      <c r="R5393" s="14">
        <v>123.17</v>
      </c>
      <c r="S5393" s="2" t="s">
        <v>2148</v>
      </c>
      <c r="T5393" s="2">
        <v>1.47</v>
      </c>
      <c r="U5393" s="2">
        <v>65.099999999999994</v>
      </c>
      <c r="V5393" s="2">
        <v>67</v>
      </c>
      <c r="W5393" s="2" t="s">
        <v>7862</v>
      </c>
      <c r="X5393" s="2" t="s">
        <v>2897</v>
      </c>
      <c r="Y5393" s="2">
        <v>7650</v>
      </c>
      <c r="Z5393" s="19" t="str">
        <f>HYPERLINK("https://ssdweb.co/ssdweb/hd/Vision360.html?d=924980172&amp;zoomslide=1&amp;z=1924980172&amp;ISCONFIRM=0","VIDEO")</f>
        <v>VIDEO</v>
      </c>
      <c r="AA5393" s="19" t="str">
        <f>HYPERLINK("https://ssdweb.co/ssdweb/CERTH/606329932.pdf","CERTI")</f>
        <v>CERTI</v>
      </c>
    </row>
    <row r="5394" spans="1:27" ht="15" x14ac:dyDescent="0.25">
      <c r="A5394" s="2">
        <v>5389</v>
      </c>
      <c r="B5394" s="39">
        <v>926640738</v>
      </c>
      <c r="C5394" s="28" t="str">
        <f>HYPERLINK("https://pld.live/RapDetail.aspx?STONELIST=926640738","DNA")</f>
        <v>DNA</v>
      </c>
      <c r="D5394" s="18" t="s">
        <v>3054</v>
      </c>
      <c r="E5394" s="18" t="s">
        <v>2186</v>
      </c>
      <c r="F5394" s="2" t="s">
        <v>7987</v>
      </c>
      <c r="G5394" s="2" t="s">
        <v>7322</v>
      </c>
      <c r="H5394" s="14">
        <v>1.02</v>
      </c>
      <c r="I5394" s="2" t="s">
        <v>4761</v>
      </c>
      <c r="J5394" s="2" t="s">
        <v>6555</v>
      </c>
      <c r="K5394" s="2" t="s">
        <v>1452</v>
      </c>
      <c r="L5394" s="2" t="s">
        <v>5221</v>
      </c>
      <c r="M5394" s="2" t="s">
        <v>5221</v>
      </c>
      <c r="N5394" s="2" t="s">
        <v>2317</v>
      </c>
      <c r="O5394" s="14">
        <v>7500</v>
      </c>
      <c r="P5394" s="14">
        <v>98.35</v>
      </c>
      <c r="Q5394" s="14">
        <v>123.75</v>
      </c>
      <c r="R5394" s="14">
        <v>126.23</v>
      </c>
      <c r="S5394" s="2" t="s">
        <v>2584</v>
      </c>
      <c r="T5394" s="2">
        <v>1.4</v>
      </c>
      <c r="U5394" s="2">
        <v>66.8</v>
      </c>
      <c r="V5394" s="2">
        <v>65</v>
      </c>
      <c r="W5394" s="2" t="s">
        <v>7862</v>
      </c>
      <c r="X5394" s="2" t="s">
        <v>2897</v>
      </c>
      <c r="Y5394" s="2">
        <v>7650</v>
      </c>
      <c r="Z5394" s="19" t="str">
        <f>HYPERLINK("https://ssdweb.co/ssdweb/hd/Vision360.html?d=926640738&amp;zoomslide=1&amp;z=1926640738&amp;ISCONFIRM=0","VIDEO")</f>
        <v>VIDEO</v>
      </c>
      <c r="AA5394" s="19" t="str">
        <f>HYPERLINK("https://ssdweb.co/ssdweb/CERTH/651401209.pdf","CERTI")</f>
        <v>CERTI</v>
      </c>
    </row>
    <row r="5395" spans="1:27" ht="15" x14ac:dyDescent="0.25">
      <c r="A5395" s="2">
        <v>5390</v>
      </c>
      <c r="B5395" s="39">
        <v>941140052</v>
      </c>
      <c r="C5395" s="28" t="str">
        <f>HYPERLINK("https://pld.live/RapDetail.aspx?STONELIST=941140052","DNA")</f>
        <v>DNA</v>
      </c>
      <c r="D5395" s="18" t="s">
        <v>3054</v>
      </c>
      <c r="E5395" s="18" t="s">
        <v>5128</v>
      </c>
      <c r="F5395" s="2" t="s">
        <v>7987</v>
      </c>
      <c r="G5395" s="2" t="s">
        <v>7322</v>
      </c>
      <c r="H5395" s="14">
        <v>1.02</v>
      </c>
      <c r="I5395" s="2" t="s">
        <v>4761</v>
      </c>
      <c r="J5395" s="2" t="s">
        <v>6555</v>
      </c>
      <c r="K5395" s="2" t="s">
        <v>1452</v>
      </c>
      <c r="L5395" s="2" t="s">
        <v>5221</v>
      </c>
      <c r="M5395" s="2" t="s">
        <v>5221</v>
      </c>
      <c r="N5395" s="2" t="s">
        <v>2317</v>
      </c>
      <c r="O5395" s="14">
        <v>7500</v>
      </c>
      <c r="P5395" s="14">
        <v>98.33</v>
      </c>
      <c r="Q5395" s="14">
        <v>125.25</v>
      </c>
      <c r="R5395" s="14">
        <v>127.76</v>
      </c>
      <c r="S5395" s="2" t="s">
        <v>825</v>
      </c>
      <c r="T5395" s="2">
        <v>1.41</v>
      </c>
      <c r="U5395" s="2">
        <v>64.599999999999994</v>
      </c>
      <c r="V5395" s="2">
        <v>65</v>
      </c>
      <c r="W5395" s="2" t="s">
        <v>7862</v>
      </c>
      <c r="X5395" s="2" t="s">
        <v>2897</v>
      </c>
      <c r="Y5395" s="2">
        <v>7650</v>
      </c>
      <c r="Z5395" s="19" t="str">
        <f>HYPERLINK("https://ssdweb.co/ssdweb/hd/Vision360.html?d=941140052&amp;zoomslide=1&amp;z=1941140052&amp;ISCONFIRM=0","VIDEO")</f>
        <v>VIDEO</v>
      </c>
      <c r="AA5395" s="19" t="str">
        <f>HYPERLINK("https://ssdweb.co/ssdweb/CERTH/671437460.pdf","CERTI")</f>
        <v>CERTI</v>
      </c>
    </row>
    <row r="5396" spans="1:27" ht="15" x14ac:dyDescent="0.25">
      <c r="A5396" s="2">
        <v>5391</v>
      </c>
      <c r="B5396" s="39">
        <v>941320805</v>
      </c>
      <c r="C5396" s="28" t="str">
        <f>HYPERLINK("https://pld.live/RapDetail.aspx?STONELIST=941320805","DNA")</f>
        <v>DNA</v>
      </c>
      <c r="D5396" s="18" t="s">
        <v>3054</v>
      </c>
      <c r="E5396" s="18" t="s">
        <v>5128</v>
      </c>
      <c r="F5396" s="2" t="s">
        <v>7987</v>
      </c>
      <c r="G5396" s="2" t="s">
        <v>7322</v>
      </c>
      <c r="H5396" s="14">
        <v>1.02</v>
      </c>
      <c r="I5396" s="2" t="s">
        <v>4761</v>
      </c>
      <c r="J5396" s="2" t="s">
        <v>6555</v>
      </c>
      <c r="K5396" s="2" t="s">
        <v>1452</v>
      </c>
      <c r="L5396" s="2" t="s">
        <v>5221</v>
      </c>
      <c r="M5396" s="2" t="s">
        <v>5221</v>
      </c>
      <c r="N5396" s="2" t="s">
        <v>2317</v>
      </c>
      <c r="O5396" s="14">
        <v>7500</v>
      </c>
      <c r="P5396" s="14">
        <v>98.33</v>
      </c>
      <c r="Q5396" s="14">
        <v>125.25</v>
      </c>
      <c r="R5396" s="14">
        <v>127.76</v>
      </c>
      <c r="S5396" s="2" t="s">
        <v>712</v>
      </c>
      <c r="T5396" s="2">
        <v>1.4</v>
      </c>
      <c r="U5396" s="2">
        <v>66.900000000000006</v>
      </c>
      <c r="V5396" s="2">
        <v>65</v>
      </c>
      <c r="W5396" s="2" t="s">
        <v>7862</v>
      </c>
      <c r="X5396" s="2" t="s">
        <v>2897</v>
      </c>
      <c r="Y5396" s="2">
        <v>7650</v>
      </c>
      <c r="Z5396" s="19" t="str">
        <f>HYPERLINK("https://ssdweb.co/ssdweb/hd/Vision360.html?d=941320805&amp;zoomslide=1&amp;z=1941320805&amp;ISCONFIRM=0","VIDEO")</f>
        <v>VIDEO</v>
      </c>
      <c r="AA5396" s="19" t="str">
        <f>HYPERLINK("https://ssdweb.co/ssdweb/CERTH/691552698.pdf","CERTI")</f>
        <v>CERTI</v>
      </c>
    </row>
    <row r="5397" spans="1:27" ht="15" x14ac:dyDescent="0.25">
      <c r="A5397" s="2">
        <v>5392</v>
      </c>
      <c r="B5397" s="39">
        <v>926740266</v>
      </c>
      <c r="C5397" s="28" t="str">
        <f>HYPERLINK("https://pld.live/RapDetail.aspx?STONELIST=926740266","DNA")</f>
        <v>DNA</v>
      </c>
      <c r="D5397" s="18" t="s">
        <v>3054</v>
      </c>
      <c r="E5397" s="18" t="s">
        <v>5128</v>
      </c>
      <c r="F5397" s="2" t="s">
        <v>7987</v>
      </c>
      <c r="G5397" s="2" t="s">
        <v>7322</v>
      </c>
      <c r="H5397" s="14">
        <v>1.02</v>
      </c>
      <c r="I5397" s="2" t="s">
        <v>4761</v>
      </c>
      <c r="J5397" s="2" t="s">
        <v>3942</v>
      </c>
      <c r="K5397" s="2" t="s">
        <v>1452</v>
      </c>
      <c r="L5397" s="2" t="s">
        <v>5221</v>
      </c>
      <c r="M5397" s="2" t="s">
        <v>5221</v>
      </c>
      <c r="N5397" s="2" t="s">
        <v>2317</v>
      </c>
      <c r="O5397" s="14">
        <v>6900</v>
      </c>
      <c r="P5397" s="14">
        <v>98.33</v>
      </c>
      <c r="Q5397" s="14">
        <v>115.23</v>
      </c>
      <c r="R5397" s="14">
        <v>117.53</v>
      </c>
      <c r="S5397" s="2" t="s">
        <v>1344</v>
      </c>
      <c r="T5397" s="2">
        <v>1.43</v>
      </c>
      <c r="U5397" s="2">
        <v>65.8</v>
      </c>
      <c r="V5397" s="2">
        <v>65</v>
      </c>
      <c r="W5397" s="2" t="s">
        <v>7862</v>
      </c>
      <c r="X5397" s="2" t="s">
        <v>2897</v>
      </c>
      <c r="Y5397" s="2">
        <v>7038</v>
      </c>
      <c r="Z5397" s="19" t="str">
        <f>HYPERLINK("https://ssdweb.co/ssdweb/hd/Vision360.html?d=926740266&amp;zoomslide=1&amp;z=1926740266&amp;ISCONFIRM=0","VIDEO")</f>
        <v>VIDEO</v>
      </c>
      <c r="AA5397" s="19" t="str">
        <f>HYPERLINK("https://ssdweb.co/ssdweb/CERTH/653451092.pdf","CERTI")</f>
        <v>CERTI</v>
      </c>
    </row>
    <row r="5398" spans="1:27" ht="15" x14ac:dyDescent="0.25">
      <c r="A5398" s="2">
        <v>5393</v>
      </c>
      <c r="B5398" s="39">
        <v>926250053</v>
      </c>
      <c r="C5398" s="28" t="str">
        <f>HYPERLINK("https://pld.live/RapDetail.aspx?STONELIST=926250053","DNA")</f>
        <v>DNA</v>
      </c>
      <c r="D5398" s="18" t="s">
        <v>3054</v>
      </c>
      <c r="E5398" s="18" t="s">
        <v>5128</v>
      </c>
      <c r="F5398" s="2" t="s">
        <v>7987</v>
      </c>
      <c r="G5398" s="2" t="s">
        <v>7322</v>
      </c>
      <c r="H5398" s="14">
        <v>1.02</v>
      </c>
      <c r="I5398" s="2" t="s">
        <v>4761</v>
      </c>
      <c r="J5398" s="2" t="s">
        <v>3942</v>
      </c>
      <c r="K5398" s="2" t="s">
        <v>1452</v>
      </c>
      <c r="L5398" s="2" t="s">
        <v>5221</v>
      </c>
      <c r="M5398" s="2" t="s">
        <v>5221</v>
      </c>
      <c r="N5398" s="2" t="s">
        <v>2317</v>
      </c>
      <c r="O5398" s="14">
        <v>6900</v>
      </c>
      <c r="P5398" s="14">
        <v>98.35</v>
      </c>
      <c r="Q5398" s="14">
        <v>113.85</v>
      </c>
      <c r="R5398" s="14">
        <v>116.13</v>
      </c>
      <c r="S5398" s="2" t="s">
        <v>6179</v>
      </c>
      <c r="T5398" s="2">
        <v>1.37</v>
      </c>
      <c r="U5398" s="2">
        <v>66.900000000000006</v>
      </c>
      <c r="V5398" s="2">
        <v>69</v>
      </c>
      <c r="W5398" s="2" t="s">
        <v>7862</v>
      </c>
      <c r="X5398" s="2" t="s">
        <v>2897</v>
      </c>
      <c r="Y5398" s="2">
        <v>7038</v>
      </c>
      <c r="Z5398" s="19" t="str">
        <f>HYPERLINK("https://ssdweb.co/ssdweb/hd/Vision360.html?d=926250053&amp;zoomslide=1&amp;z=1926250053&amp;ISCONFIRM=0","VIDEO")</f>
        <v>VIDEO</v>
      </c>
      <c r="AA5398" s="19" t="str">
        <f>HYPERLINK("https://ssdweb.co/ssdweb/CERTH/635423971.pdf","CERTI")</f>
        <v>CERTI</v>
      </c>
    </row>
    <row r="5399" spans="1:27" ht="15" x14ac:dyDescent="0.25">
      <c r="A5399" s="2">
        <v>5394</v>
      </c>
      <c r="B5399" s="39">
        <v>926910586</v>
      </c>
      <c r="C5399" s="28" t="str">
        <f>HYPERLINK("https://pld.live/RapDetail.aspx?STONELIST=926910586","DNA")</f>
        <v>DNA</v>
      </c>
      <c r="D5399" s="18" t="s">
        <v>3054</v>
      </c>
      <c r="E5399" s="18" t="s">
        <v>2186</v>
      </c>
      <c r="F5399" s="2" t="s">
        <v>7987</v>
      </c>
      <c r="G5399" s="2" t="s">
        <v>7322</v>
      </c>
      <c r="H5399" s="14">
        <v>1.02</v>
      </c>
      <c r="I5399" s="2" t="s">
        <v>4761</v>
      </c>
      <c r="J5399" s="2" t="s">
        <v>3942</v>
      </c>
      <c r="K5399" s="2" t="s">
        <v>1452</v>
      </c>
      <c r="L5399" s="2" t="s">
        <v>5221</v>
      </c>
      <c r="M5399" s="2" t="s">
        <v>5221</v>
      </c>
      <c r="N5399" s="2" t="s">
        <v>2317</v>
      </c>
      <c r="O5399" s="14">
        <v>6900</v>
      </c>
      <c r="P5399" s="14">
        <v>98.33</v>
      </c>
      <c r="Q5399" s="14">
        <v>115.23</v>
      </c>
      <c r="R5399" s="14">
        <v>117.53</v>
      </c>
      <c r="S5399" s="2" t="s">
        <v>524</v>
      </c>
      <c r="T5399" s="2">
        <v>1.41</v>
      </c>
      <c r="U5399" s="2">
        <v>65.8</v>
      </c>
      <c r="V5399" s="2">
        <v>69</v>
      </c>
      <c r="W5399" s="2" t="s">
        <v>7862</v>
      </c>
      <c r="X5399" s="2" t="s">
        <v>2897</v>
      </c>
      <c r="Y5399" s="2">
        <v>7038</v>
      </c>
      <c r="Z5399" s="19" t="str">
        <f>HYPERLINK("https://ssdweb.co/ssdweb/hd/Vision360.html?d=926910586&amp;zoomslide=1&amp;z=1926910586&amp;ISCONFIRM=0","VIDEO")</f>
        <v>VIDEO</v>
      </c>
      <c r="AA5399" s="19" t="str">
        <f>HYPERLINK("https://ssdweb.co/ssdweb/CERTH/659436980.pdf","CERTI")</f>
        <v>CERTI</v>
      </c>
    </row>
    <row r="5400" spans="1:27" ht="15" x14ac:dyDescent="0.25">
      <c r="A5400" s="2">
        <v>5395</v>
      </c>
      <c r="B5400" s="39">
        <v>941180075</v>
      </c>
      <c r="C5400" s="28" t="str">
        <f>HYPERLINK("https://pld.live/RapDetail.aspx?STONELIST=941180075","DNA")</f>
        <v>DNA</v>
      </c>
      <c r="D5400" s="18" t="s">
        <v>3054</v>
      </c>
      <c r="E5400" s="18" t="s">
        <v>2186</v>
      </c>
      <c r="F5400" s="2" t="s">
        <v>7987</v>
      </c>
      <c r="G5400" s="2" t="s">
        <v>7322</v>
      </c>
      <c r="H5400" s="14">
        <v>1.02</v>
      </c>
      <c r="I5400" s="2" t="s">
        <v>4761</v>
      </c>
      <c r="J5400" s="2" t="s">
        <v>3942</v>
      </c>
      <c r="K5400" s="2" t="s">
        <v>1452</v>
      </c>
      <c r="L5400" s="2" t="s">
        <v>5221</v>
      </c>
      <c r="M5400" s="2" t="s">
        <v>5221</v>
      </c>
      <c r="N5400" s="2" t="s">
        <v>2317</v>
      </c>
      <c r="O5400" s="14">
        <v>6900</v>
      </c>
      <c r="P5400" s="14">
        <v>98.32</v>
      </c>
      <c r="Q5400" s="14">
        <v>115.92</v>
      </c>
      <c r="R5400" s="14">
        <v>118.24</v>
      </c>
      <c r="S5400" s="2" t="s">
        <v>7534</v>
      </c>
      <c r="T5400" s="2">
        <v>1.41</v>
      </c>
      <c r="U5400" s="2">
        <v>64.7</v>
      </c>
      <c r="V5400" s="2">
        <v>66</v>
      </c>
      <c r="W5400" s="2" t="s">
        <v>7862</v>
      </c>
      <c r="X5400" s="2" t="s">
        <v>2897</v>
      </c>
      <c r="Y5400" s="2">
        <v>7038</v>
      </c>
      <c r="Z5400" s="19" t="str">
        <f>HYPERLINK("https://ssdweb.co/ssdweb/hd/Vision360.html?d=941180075&amp;zoomslide=1&amp;z=1941180075&amp;ISCONFIRM=0","VIDEO")</f>
        <v>VIDEO</v>
      </c>
      <c r="AA5400" s="19" t="str">
        <f>HYPERLINK("https://ssdweb.co/ssdweb/CERTH/678564599.pdf","CERTI")</f>
        <v>CERTI</v>
      </c>
    </row>
    <row r="5401" spans="1:27" ht="15" x14ac:dyDescent="0.25">
      <c r="A5401" s="2">
        <v>5396</v>
      </c>
      <c r="B5401" s="39">
        <v>926870823</v>
      </c>
      <c r="C5401" s="28" t="str">
        <f>HYPERLINK("https://pld.live/RapDetail.aspx?STONELIST=926870823","DNA")</f>
        <v>DNA</v>
      </c>
      <c r="D5401" s="18" t="s">
        <v>3054</v>
      </c>
      <c r="E5401" s="18" t="s">
        <v>5128</v>
      </c>
      <c r="F5401" s="2" t="s">
        <v>7987</v>
      </c>
      <c r="G5401" s="2" t="s">
        <v>7322</v>
      </c>
      <c r="H5401" s="14">
        <v>1.02</v>
      </c>
      <c r="I5401" s="2" t="s">
        <v>4761</v>
      </c>
      <c r="J5401" s="2" t="s">
        <v>13</v>
      </c>
      <c r="K5401" s="2" t="s">
        <v>1452</v>
      </c>
      <c r="L5401" s="2" t="s">
        <v>5221</v>
      </c>
      <c r="M5401" s="2" t="s">
        <v>5221</v>
      </c>
      <c r="N5401" s="2" t="s">
        <v>2317</v>
      </c>
      <c r="O5401" s="14">
        <v>6200</v>
      </c>
      <c r="P5401" s="14">
        <v>98.19</v>
      </c>
      <c r="Q5401" s="14">
        <v>112.22</v>
      </c>
      <c r="R5401" s="14">
        <v>114.46</v>
      </c>
      <c r="S5401" s="2" t="s">
        <v>7119</v>
      </c>
      <c r="T5401" s="2">
        <v>1.44</v>
      </c>
      <c r="U5401" s="2">
        <v>66.900000000000006</v>
      </c>
      <c r="V5401" s="2">
        <v>66</v>
      </c>
      <c r="W5401" s="2" t="s">
        <v>7862</v>
      </c>
      <c r="X5401" s="2" t="s">
        <v>2897</v>
      </c>
      <c r="Y5401" s="2">
        <v>6324</v>
      </c>
      <c r="Z5401" s="19" t="str">
        <f>HYPERLINK("https://ssdweb.co/ssdweb/hd/Vision360.html?d=926870823&amp;zoomslide=1&amp;z=1926870823&amp;ISCONFIRM=0","VIDEO")</f>
        <v>VIDEO</v>
      </c>
      <c r="AA5401" s="19" t="str">
        <f>HYPERLINK("https://ssdweb.co/ssdweb/CERTH/656485759.pdf","CERTI")</f>
        <v>CERTI</v>
      </c>
    </row>
    <row r="5402" spans="1:27" ht="15" x14ac:dyDescent="0.25">
      <c r="A5402" s="2">
        <v>5397</v>
      </c>
      <c r="B5402" s="39">
        <v>926910598</v>
      </c>
      <c r="C5402" s="28" t="str">
        <f>HYPERLINK("https://pld.live/RapDetail.aspx?STONELIST=926910598","DNA")</f>
        <v>DNA</v>
      </c>
      <c r="D5402" s="18" t="s">
        <v>3054</v>
      </c>
      <c r="E5402" s="18" t="s">
        <v>2186</v>
      </c>
      <c r="F5402" s="2" t="s">
        <v>7987</v>
      </c>
      <c r="G5402" s="2" t="s">
        <v>7322</v>
      </c>
      <c r="H5402" s="14">
        <v>1.02</v>
      </c>
      <c r="I5402" s="2" t="s">
        <v>4761</v>
      </c>
      <c r="J5402" s="2" t="s">
        <v>13</v>
      </c>
      <c r="K5402" s="2" t="s">
        <v>1452</v>
      </c>
      <c r="L5402" s="2" t="s">
        <v>5221</v>
      </c>
      <c r="M5402" s="2" t="s">
        <v>5221</v>
      </c>
      <c r="N5402" s="2" t="s">
        <v>2317</v>
      </c>
      <c r="O5402" s="14">
        <v>6200</v>
      </c>
      <c r="P5402" s="14">
        <v>98.19</v>
      </c>
      <c r="Q5402" s="14">
        <v>112.22</v>
      </c>
      <c r="R5402" s="14">
        <v>114.46</v>
      </c>
      <c r="S5402" s="2" t="s">
        <v>4558</v>
      </c>
      <c r="T5402" s="2">
        <v>1.46</v>
      </c>
      <c r="U5402" s="2">
        <v>66.5</v>
      </c>
      <c r="V5402" s="2">
        <v>65</v>
      </c>
      <c r="W5402" s="2" t="s">
        <v>7862</v>
      </c>
      <c r="X5402" s="2" t="s">
        <v>2897</v>
      </c>
      <c r="Y5402" s="2">
        <v>6324</v>
      </c>
      <c r="Z5402" s="19" t="str">
        <f>HYPERLINK("https://ssdweb.co/ssdweb/hd/Vision360.html?d=926910598&amp;zoomslide=1&amp;z=1926910598&amp;ISCONFIRM=0","VIDEO")</f>
        <v>VIDEO</v>
      </c>
      <c r="AA5402" s="19" t="str">
        <f>HYPERLINK("https://ssdweb.co/ssdweb/CERTH/659436985.pdf","CERTI")</f>
        <v>CERTI</v>
      </c>
    </row>
    <row r="5403" spans="1:27" ht="15" x14ac:dyDescent="0.25">
      <c r="A5403" s="2">
        <v>5398</v>
      </c>
      <c r="B5403" s="39">
        <v>941130420</v>
      </c>
      <c r="C5403" s="28" t="str">
        <f>HYPERLINK("https://pld.live/RapDetail.aspx?STONELIST=941130420","DNA")</f>
        <v>DNA</v>
      </c>
      <c r="D5403" s="18" t="s">
        <v>3054</v>
      </c>
      <c r="E5403" s="18" t="s">
        <v>2186</v>
      </c>
      <c r="F5403" s="2" t="s">
        <v>7987</v>
      </c>
      <c r="G5403" s="2" t="s">
        <v>7322</v>
      </c>
      <c r="H5403" s="14">
        <v>1.02</v>
      </c>
      <c r="I5403" s="2" t="s">
        <v>4761</v>
      </c>
      <c r="J5403" s="2" t="s">
        <v>13</v>
      </c>
      <c r="K5403" s="2" t="s">
        <v>1452</v>
      </c>
      <c r="L5403" s="2" t="s">
        <v>5221</v>
      </c>
      <c r="M5403" s="2" t="s">
        <v>5221</v>
      </c>
      <c r="N5403" s="2" t="s">
        <v>2317</v>
      </c>
      <c r="O5403" s="14">
        <v>6200</v>
      </c>
      <c r="P5403" s="14">
        <v>98.18</v>
      </c>
      <c r="Q5403" s="14">
        <v>112.84</v>
      </c>
      <c r="R5403" s="14">
        <v>115.1</v>
      </c>
      <c r="S5403" s="2" t="s">
        <v>5257</v>
      </c>
      <c r="T5403" s="2">
        <v>1.45</v>
      </c>
      <c r="U5403" s="2">
        <v>65.3</v>
      </c>
      <c r="V5403" s="2">
        <v>66</v>
      </c>
      <c r="W5403" s="2" t="s">
        <v>7862</v>
      </c>
      <c r="X5403" s="2" t="s">
        <v>2897</v>
      </c>
      <c r="Y5403" s="2">
        <v>6324</v>
      </c>
      <c r="Z5403" s="19" t="str">
        <f>HYPERLINK("https://ssdweb.co/ssdweb/hd/Vision360.html?d=941130420&amp;zoomslide=1&amp;z=1941130420&amp;ISCONFIRM=0","VIDEO")</f>
        <v>VIDEO</v>
      </c>
      <c r="AA5403" s="19" t="str">
        <f>HYPERLINK("https://ssdweb.co/ssdweb/CERTH/689587146.pdf","CERTI")</f>
        <v>CERTI</v>
      </c>
    </row>
    <row r="5404" spans="1:27" ht="15" x14ac:dyDescent="0.25">
      <c r="A5404" s="2">
        <v>5399</v>
      </c>
      <c r="B5404" s="39">
        <v>941120575</v>
      </c>
      <c r="C5404" s="28" t="str">
        <f>HYPERLINK("https://pld.live/RapDetail.aspx?STONELIST=941120575","DNA")</f>
        <v>DNA</v>
      </c>
      <c r="D5404" s="18" t="s">
        <v>3054</v>
      </c>
      <c r="E5404" s="18" t="s">
        <v>2186</v>
      </c>
      <c r="F5404" s="2" t="s">
        <v>7987</v>
      </c>
      <c r="G5404" s="2" t="s">
        <v>7322</v>
      </c>
      <c r="H5404" s="14">
        <v>1.02</v>
      </c>
      <c r="I5404" s="2" t="s">
        <v>4761</v>
      </c>
      <c r="J5404" s="2" t="s">
        <v>13</v>
      </c>
      <c r="K5404" s="2" t="s">
        <v>1452</v>
      </c>
      <c r="L5404" s="2" t="s">
        <v>5221</v>
      </c>
      <c r="M5404" s="2" t="s">
        <v>5221</v>
      </c>
      <c r="N5404" s="2" t="s">
        <v>2317</v>
      </c>
      <c r="O5404" s="14">
        <v>6200</v>
      </c>
      <c r="P5404" s="14">
        <v>98.18</v>
      </c>
      <c r="Q5404" s="14">
        <v>112.84</v>
      </c>
      <c r="R5404" s="14">
        <v>115.1</v>
      </c>
      <c r="S5404" s="2" t="s">
        <v>4865</v>
      </c>
      <c r="T5404" s="2">
        <v>1.5</v>
      </c>
      <c r="U5404" s="2">
        <v>62.7</v>
      </c>
      <c r="V5404" s="2">
        <v>67</v>
      </c>
      <c r="W5404" s="2" t="s">
        <v>7862</v>
      </c>
      <c r="X5404" s="2" t="s">
        <v>2897</v>
      </c>
      <c r="Y5404" s="2">
        <v>6324</v>
      </c>
      <c r="Z5404" s="19" t="str">
        <f>HYPERLINK("https://ssdweb.co/ssdweb/hd/Vision360.html?d=941120575&amp;zoomslide=1&amp;z=1941120575&amp;ISCONFIRM=0","VIDEO")</f>
        <v>VIDEO</v>
      </c>
      <c r="AA5404" s="19" t="str">
        <f>HYPERLINK("https://ssdweb.co/ssdweb/CERTH/689587145.pdf","CERTI")</f>
        <v>CERTI</v>
      </c>
    </row>
    <row r="5405" spans="1:27" ht="15" x14ac:dyDescent="0.25">
      <c r="A5405" s="2">
        <v>5400</v>
      </c>
      <c r="B5405" s="39">
        <v>941160616</v>
      </c>
      <c r="C5405" s="28" t="str">
        <f>HYPERLINK("https://pld.live/RapDetail.aspx?STONELIST=941160616","DNA")</f>
        <v>DNA</v>
      </c>
      <c r="D5405" s="18" t="s">
        <v>3054</v>
      </c>
      <c r="E5405" s="18" t="s">
        <v>5128</v>
      </c>
      <c r="F5405" s="2" t="s">
        <v>7987</v>
      </c>
      <c r="G5405" s="2" t="s">
        <v>7322</v>
      </c>
      <c r="H5405" s="14">
        <v>1.02</v>
      </c>
      <c r="I5405" s="2" t="s">
        <v>4761</v>
      </c>
      <c r="J5405" s="2" t="s">
        <v>13</v>
      </c>
      <c r="K5405" s="2" t="s">
        <v>1452</v>
      </c>
      <c r="L5405" s="2" t="s">
        <v>5221</v>
      </c>
      <c r="M5405" s="2" t="s">
        <v>5221</v>
      </c>
      <c r="N5405" s="2" t="s">
        <v>2317</v>
      </c>
      <c r="O5405" s="14">
        <v>6200</v>
      </c>
      <c r="P5405" s="14">
        <v>98.18</v>
      </c>
      <c r="Q5405" s="14">
        <v>112.84</v>
      </c>
      <c r="R5405" s="14">
        <v>115.1</v>
      </c>
      <c r="S5405" s="2" t="s">
        <v>1899</v>
      </c>
      <c r="T5405" s="2">
        <v>1.54</v>
      </c>
      <c r="U5405" s="2">
        <v>63.2</v>
      </c>
      <c r="V5405" s="2">
        <v>66</v>
      </c>
      <c r="W5405" s="2" t="s">
        <v>7862</v>
      </c>
      <c r="X5405" s="2" t="s">
        <v>2897</v>
      </c>
      <c r="Y5405" s="2">
        <v>6324</v>
      </c>
      <c r="Z5405" s="19" t="str">
        <f>HYPERLINK("https://ssdweb.co/ssdweb/hd/Vision360.html?d=941160616&amp;zoomslide=1&amp;z=1941160616&amp;ISCONFIRM=0","VIDEO")</f>
        <v>VIDEO</v>
      </c>
      <c r="AA5405" s="19" t="str">
        <f>HYPERLINK("https://ssdweb.co/ssdweb/CERTH/689587147.pdf","CERTI")</f>
        <v>CERTI</v>
      </c>
    </row>
    <row r="5406" spans="1:27" ht="15" x14ac:dyDescent="0.25">
      <c r="A5406" s="2">
        <v>5401</v>
      </c>
      <c r="B5406" s="39">
        <v>831020375</v>
      </c>
      <c r="C5406" s="28" t="str">
        <f>HYPERLINK("https://pld.live/RapDetail.aspx?STONELIST=831020375","DNA")</f>
        <v>DNA</v>
      </c>
      <c r="D5406" s="18" t="s">
        <v>3054</v>
      </c>
      <c r="E5406" s="18" t="s">
        <v>2186</v>
      </c>
      <c r="F5406" s="2" t="s">
        <v>7987</v>
      </c>
      <c r="G5406" s="2" t="s">
        <v>7322</v>
      </c>
      <c r="H5406" s="14">
        <v>1.02</v>
      </c>
      <c r="I5406" s="2" t="s">
        <v>4761</v>
      </c>
      <c r="J5406" s="2" t="s">
        <v>5144</v>
      </c>
      <c r="K5406" s="2" t="s">
        <v>1452</v>
      </c>
      <c r="L5406" s="2" t="s">
        <v>5221</v>
      </c>
      <c r="M5406" s="2" t="s">
        <v>5221</v>
      </c>
      <c r="N5406" s="2" t="s">
        <v>2317</v>
      </c>
      <c r="O5406" s="14">
        <v>5400</v>
      </c>
      <c r="P5406" s="14">
        <v>98.09</v>
      </c>
      <c r="Q5406" s="14">
        <v>103.14</v>
      </c>
      <c r="R5406" s="14">
        <v>105.2</v>
      </c>
      <c r="S5406" s="2" t="s">
        <v>3234</v>
      </c>
      <c r="T5406" s="2">
        <v>1.57</v>
      </c>
      <c r="U5406" s="2">
        <v>63.8</v>
      </c>
      <c r="V5406" s="2">
        <v>66</v>
      </c>
      <c r="W5406" s="2" t="s">
        <v>7862</v>
      </c>
      <c r="X5406" s="2" t="s">
        <v>2897</v>
      </c>
      <c r="Y5406" s="2">
        <v>5508</v>
      </c>
      <c r="Z5406" s="19" t="str">
        <f>HYPERLINK("https://ssdweb.co/ssdweb/hd/Vision360.html?d=831020375&amp;zoomslide=1&amp;z=1831020375&amp;ISCONFIRM=0","VIDEO")</f>
        <v>VIDEO</v>
      </c>
      <c r="AA5406" s="19" t="str">
        <f>HYPERLINK("https://ssdweb.co/ssdweb/CERTH/604379423.pdf","CERTI")</f>
        <v>CERTI</v>
      </c>
    </row>
    <row r="5407" spans="1:27" ht="15" x14ac:dyDescent="0.25">
      <c r="A5407" s="2">
        <v>5402</v>
      </c>
      <c r="B5407" s="39">
        <v>926840757</v>
      </c>
      <c r="C5407" s="28" t="str">
        <f>HYPERLINK("https://pld.live/RapDetail.aspx?STONELIST=926840757","DNA")</f>
        <v>DNA</v>
      </c>
      <c r="D5407" s="18" t="s">
        <v>3054</v>
      </c>
      <c r="E5407" s="18" t="s">
        <v>2186</v>
      </c>
      <c r="F5407" s="2" t="s">
        <v>7987</v>
      </c>
      <c r="G5407" s="2" t="s">
        <v>7322</v>
      </c>
      <c r="H5407" s="14">
        <v>1.02</v>
      </c>
      <c r="I5407" s="2" t="s">
        <v>4761</v>
      </c>
      <c r="J5407" s="2" t="s">
        <v>5144</v>
      </c>
      <c r="K5407" s="2" t="s">
        <v>1452</v>
      </c>
      <c r="L5407" s="2" t="s">
        <v>5221</v>
      </c>
      <c r="M5407" s="2" t="s">
        <v>5221</v>
      </c>
      <c r="N5407" s="2" t="s">
        <v>2317</v>
      </c>
      <c r="O5407" s="14">
        <v>5400</v>
      </c>
      <c r="P5407" s="14">
        <v>98.04</v>
      </c>
      <c r="Q5407" s="14">
        <v>105.84</v>
      </c>
      <c r="R5407" s="14">
        <v>107.96</v>
      </c>
      <c r="S5407" s="2" t="s">
        <v>6382</v>
      </c>
      <c r="T5407" s="2">
        <v>1.36</v>
      </c>
      <c r="U5407" s="2">
        <v>66.900000000000006</v>
      </c>
      <c r="V5407" s="2">
        <v>70</v>
      </c>
      <c r="W5407" s="2" t="s">
        <v>7862</v>
      </c>
      <c r="X5407" s="2" t="s">
        <v>2897</v>
      </c>
      <c r="Y5407" s="2">
        <v>5508</v>
      </c>
      <c r="Z5407" s="19" t="str">
        <f>HYPERLINK("https://ssdweb.co/ssdweb/hd/Vision360.html?d=926840757&amp;zoomslide=1&amp;z=1926840757&amp;ISCONFIRM=0","VIDEO")</f>
        <v>VIDEO</v>
      </c>
      <c r="AA5407" s="19" t="str">
        <f>HYPERLINK("https://ssdweb.co/ssdweb/CERTH/655451767.pdf","CERTI")</f>
        <v>CERTI</v>
      </c>
    </row>
    <row r="5408" spans="1:27" ht="15" x14ac:dyDescent="0.25">
      <c r="A5408" s="2">
        <v>5403</v>
      </c>
      <c r="B5408" s="39">
        <v>821113524</v>
      </c>
      <c r="C5408" s="28" t="str">
        <f>HYPERLINK("https://pld.live/RapDetail.aspx?STONELIST=821113524","DNA")</f>
        <v>DNA</v>
      </c>
      <c r="D5408" s="18" t="s">
        <v>3054</v>
      </c>
      <c r="E5408" s="18" t="s">
        <v>2186</v>
      </c>
      <c r="F5408" s="2" t="s">
        <v>7987</v>
      </c>
      <c r="G5408" s="2" t="s">
        <v>7322</v>
      </c>
      <c r="H5408" s="14">
        <v>1.02</v>
      </c>
      <c r="I5408" s="2" t="s">
        <v>4761</v>
      </c>
      <c r="J5408" s="2" t="s">
        <v>5144</v>
      </c>
      <c r="K5408" s="2" t="s">
        <v>1452</v>
      </c>
      <c r="L5408" s="2" t="s">
        <v>5221</v>
      </c>
      <c r="M5408" s="2" t="s">
        <v>5221</v>
      </c>
      <c r="N5408" s="2" t="s">
        <v>2317</v>
      </c>
      <c r="O5408" s="14">
        <v>5400</v>
      </c>
      <c r="P5408" s="14">
        <v>98.09</v>
      </c>
      <c r="Q5408" s="14">
        <v>103.14</v>
      </c>
      <c r="R5408" s="14">
        <v>105.2</v>
      </c>
      <c r="S5408" s="2" t="s">
        <v>7356</v>
      </c>
      <c r="T5408" s="2">
        <v>1.36</v>
      </c>
      <c r="U5408" s="2">
        <v>68.900000000000006</v>
      </c>
      <c r="V5408" s="2">
        <v>64</v>
      </c>
      <c r="W5408" s="2" t="s">
        <v>7862</v>
      </c>
      <c r="X5408" s="2" t="s">
        <v>2897</v>
      </c>
      <c r="Y5408" s="2">
        <v>5508</v>
      </c>
      <c r="Z5408" s="19" t="str">
        <f>HYPERLINK("https://ssdweb.co/ssdweb/hd/Vision360.html?d=821113524&amp;zoomslide=1&amp;z=1821113524&amp;ISCONFIRM=0","VIDEO")</f>
        <v>VIDEO</v>
      </c>
      <c r="AA5408" s="19" t="str">
        <f>HYPERLINK("https://ssdweb.co/ssdweb/CERTH/593392060.pdf","CERTI")</f>
        <v>CERTI</v>
      </c>
    </row>
    <row r="5409" spans="1:27" ht="15" x14ac:dyDescent="0.25">
      <c r="A5409" s="2">
        <v>5404</v>
      </c>
      <c r="B5409" s="39">
        <v>926250025</v>
      </c>
      <c r="C5409" s="28" t="str">
        <f>HYPERLINK("https://pld.live/RapDetail.aspx?STONELIST=926250025","DNA")</f>
        <v>DNA</v>
      </c>
      <c r="D5409" s="18" t="s">
        <v>3054</v>
      </c>
      <c r="E5409" s="18" t="s">
        <v>5128</v>
      </c>
      <c r="F5409" s="2" t="s">
        <v>7987</v>
      </c>
      <c r="G5409" s="2" t="s">
        <v>7322</v>
      </c>
      <c r="H5409" s="14">
        <v>1.02</v>
      </c>
      <c r="I5409" s="2" t="s">
        <v>4761</v>
      </c>
      <c r="J5409" s="2" t="s">
        <v>5144</v>
      </c>
      <c r="K5409" s="2" t="s">
        <v>1452</v>
      </c>
      <c r="L5409" s="2" t="s">
        <v>5221</v>
      </c>
      <c r="M5409" s="2" t="s">
        <v>5221</v>
      </c>
      <c r="N5409" s="2" t="s">
        <v>2317</v>
      </c>
      <c r="O5409" s="14">
        <v>5400</v>
      </c>
      <c r="P5409" s="14">
        <v>98.06</v>
      </c>
      <c r="Q5409" s="14">
        <v>104.76</v>
      </c>
      <c r="R5409" s="14">
        <v>106.86</v>
      </c>
      <c r="S5409" s="2" t="s">
        <v>1144</v>
      </c>
      <c r="T5409" s="2">
        <v>1.36</v>
      </c>
      <c r="U5409" s="2">
        <v>68.3</v>
      </c>
      <c r="V5409" s="2">
        <v>66</v>
      </c>
      <c r="W5409" s="2" t="s">
        <v>7862</v>
      </c>
      <c r="X5409" s="2" t="s">
        <v>2897</v>
      </c>
      <c r="Y5409" s="2">
        <v>5508</v>
      </c>
      <c r="Z5409" s="19" t="str">
        <f>HYPERLINK("https://ssdweb.co/ssdweb/hd/Vision360.html?d=926250025&amp;zoomslide=1&amp;z=1926250025&amp;ISCONFIRM=0","VIDEO")</f>
        <v>VIDEO</v>
      </c>
      <c r="AA5409" s="19" t="str">
        <f>HYPERLINK("https://ssdweb.co/ssdweb/CERTH/635427015.pdf","CERTI")</f>
        <v>CERTI</v>
      </c>
    </row>
    <row r="5410" spans="1:27" ht="15" x14ac:dyDescent="0.25">
      <c r="A5410" s="2">
        <v>5405</v>
      </c>
      <c r="B5410" s="39">
        <v>941071217</v>
      </c>
      <c r="C5410" s="28" t="str">
        <f>HYPERLINK("https://pld.live/RapDetail.aspx?STONELIST=941071217","DNA")</f>
        <v>DNA</v>
      </c>
      <c r="D5410" s="18" t="s">
        <v>3054</v>
      </c>
      <c r="E5410" s="18" t="s">
        <v>5128</v>
      </c>
      <c r="F5410" s="2" t="s">
        <v>7987</v>
      </c>
      <c r="G5410" s="2" t="s">
        <v>7322</v>
      </c>
      <c r="H5410" s="14">
        <v>1.02</v>
      </c>
      <c r="I5410" s="2" t="s">
        <v>4761</v>
      </c>
      <c r="J5410" s="2" t="s">
        <v>5144</v>
      </c>
      <c r="K5410" s="2" t="s">
        <v>1452</v>
      </c>
      <c r="L5410" s="2" t="s">
        <v>5221</v>
      </c>
      <c r="M5410" s="2" t="s">
        <v>5221</v>
      </c>
      <c r="N5410" s="2" t="s">
        <v>2317</v>
      </c>
      <c r="O5410" s="14">
        <v>5400</v>
      </c>
      <c r="P5410" s="14">
        <v>98.02</v>
      </c>
      <c r="Q5410" s="14">
        <v>106.92</v>
      </c>
      <c r="R5410" s="14">
        <v>109.06</v>
      </c>
      <c r="S5410" s="2" t="s">
        <v>2821</v>
      </c>
      <c r="T5410" s="2">
        <v>1.43</v>
      </c>
      <c r="U5410" s="2">
        <v>64.400000000000006</v>
      </c>
      <c r="V5410" s="2">
        <v>66</v>
      </c>
      <c r="W5410" s="2" t="s">
        <v>7862</v>
      </c>
      <c r="X5410" s="2" t="s">
        <v>2897</v>
      </c>
      <c r="Y5410" s="2">
        <v>5508</v>
      </c>
      <c r="Z5410" s="19" t="str">
        <f>HYPERLINK("https://ssdweb.co/ssdweb/hd/Vision360.html?d=941071217&amp;zoomslide=1&amp;z=1941071217&amp;ISCONFIRM=0","VIDEO")</f>
        <v>VIDEO</v>
      </c>
      <c r="AA5410" s="19" t="str">
        <f>HYPERLINK("https://ssdweb.co/ssdweb/CERTH/671437432.pdf","CERTI")</f>
        <v>CERTI</v>
      </c>
    </row>
    <row r="5411" spans="1:27" ht="15" x14ac:dyDescent="0.25">
      <c r="A5411" s="2">
        <v>5406</v>
      </c>
      <c r="B5411" s="39">
        <v>926630623</v>
      </c>
      <c r="C5411" s="28" t="str">
        <f>HYPERLINK("https://pld.live/RapDetail.aspx?STONELIST=926630623","DNA")</f>
        <v>DNA</v>
      </c>
      <c r="D5411" s="18" t="s">
        <v>3054</v>
      </c>
      <c r="E5411" s="18" t="s">
        <v>5128</v>
      </c>
      <c r="F5411" s="2" t="s">
        <v>7987</v>
      </c>
      <c r="G5411" s="2" t="s">
        <v>7322</v>
      </c>
      <c r="H5411" s="14">
        <v>1.02</v>
      </c>
      <c r="I5411" s="2" t="s">
        <v>4699</v>
      </c>
      <c r="J5411" s="2" t="s">
        <v>6555</v>
      </c>
      <c r="K5411" s="2" t="s">
        <v>1452</v>
      </c>
      <c r="L5411" s="2" t="s">
        <v>5221</v>
      </c>
      <c r="M5411" s="2" t="s">
        <v>5221</v>
      </c>
      <c r="N5411" s="2" t="s">
        <v>2317</v>
      </c>
      <c r="O5411" s="14">
        <v>6800</v>
      </c>
      <c r="P5411" s="14">
        <v>98.21</v>
      </c>
      <c r="Q5411" s="14">
        <v>121.72</v>
      </c>
      <c r="R5411" s="14">
        <v>124.15</v>
      </c>
      <c r="S5411" s="2" t="s">
        <v>6194</v>
      </c>
      <c r="T5411" s="2">
        <v>1.46</v>
      </c>
      <c r="U5411" s="2">
        <v>66.5</v>
      </c>
      <c r="V5411" s="2">
        <v>65</v>
      </c>
      <c r="W5411" s="2" t="s">
        <v>7862</v>
      </c>
      <c r="X5411" s="2" t="s">
        <v>2897</v>
      </c>
      <c r="Y5411" s="2">
        <v>6936</v>
      </c>
      <c r="Z5411" s="19" t="str">
        <f>HYPERLINK("https://ssdweb.co/ssdweb/hd/Vision360.html?d=926630623&amp;zoomslide=1&amp;z=1926630623&amp;ISCONFIRM=0","VIDEO")</f>
        <v>VIDEO</v>
      </c>
      <c r="AA5411" s="19" t="str">
        <f>HYPERLINK("https://ssdweb.co/ssdweb/CERTH/648487403.pdf","CERTI")</f>
        <v>CERTI</v>
      </c>
    </row>
    <row r="5412" spans="1:27" ht="15" x14ac:dyDescent="0.25">
      <c r="A5412" s="2">
        <v>5407</v>
      </c>
      <c r="B5412" s="39">
        <v>831020362</v>
      </c>
      <c r="C5412" s="28" t="str">
        <f>HYPERLINK("https://pld.live/RapDetail.aspx?STONELIST=831020362","DNA")</f>
        <v>DNA</v>
      </c>
      <c r="D5412" s="18" t="s">
        <v>3054</v>
      </c>
      <c r="E5412" s="18" t="s">
        <v>2186</v>
      </c>
      <c r="F5412" s="2" t="s">
        <v>5597</v>
      </c>
      <c r="G5412" s="2" t="s">
        <v>7322</v>
      </c>
      <c r="H5412" s="14">
        <v>1.02</v>
      </c>
      <c r="I5412" s="2" t="s">
        <v>4699</v>
      </c>
      <c r="J5412" s="2" t="s">
        <v>3942</v>
      </c>
      <c r="K5412" s="2" t="s">
        <v>1452</v>
      </c>
      <c r="L5412" s="2" t="s">
        <v>5221</v>
      </c>
      <c r="M5412" s="2" t="s">
        <v>5221</v>
      </c>
      <c r="N5412" s="2" t="s">
        <v>2317</v>
      </c>
      <c r="O5412" s="14">
        <v>6400</v>
      </c>
      <c r="P5412" s="14">
        <v>96.83</v>
      </c>
      <c r="Q5412" s="14">
        <v>202.88</v>
      </c>
      <c r="R5412" s="14">
        <v>206.94</v>
      </c>
      <c r="S5412" s="2" t="s">
        <v>833</v>
      </c>
      <c r="T5412" s="2">
        <v>1.46</v>
      </c>
      <c r="U5412" s="2">
        <v>65.599999999999994</v>
      </c>
      <c r="V5412" s="2">
        <v>66</v>
      </c>
      <c r="W5412" s="2" t="s">
        <v>7862</v>
      </c>
      <c r="X5412" s="2" t="s">
        <v>2897</v>
      </c>
      <c r="Y5412" s="2">
        <v>6528</v>
      </c>
      <c r="Z5412" s="19" t="str">
        <f>HYPERLINK("https://ssdweb.co/ssdweb/hd/Vision360.html?d=831020362&amp;zoomslide=1&amp;z=1831020362&amp;ISCONFIRM=0","VIDEO")</f>
        <v>VIDEO</v>
      </c>
      <c r="AA5412" s="19" t="str">
        <f>HYPERLINK("https://ssdweb.co/ssdweb/CERTH/1479358635.pdf","CERTI")</f>
        <v>CERTI</v>
      </c>
    </row>
    <row r="5413" spans="1:27" ht="15" x14ac:dyDescent="0.25">
      <c r="A5413" s="2">
        <v>5408</v>
      </c>
      <c r="B5413" s="39">
        <v>926850141</v>
      </c>
      <c r="C5413" s="28" t="str">
        <f>HYPERLINK("https://pld.live/RapDetail.aspx?STONELIST=926850141","DNA")</f>
        <v>DNA</v>
      </c>
      <c r="D5413" s="18" t="s">
        <v>3054</v>
      </c>
      <c r="E5413" s="18" t="s">
        <v>2186</v>
      </c>
      <c r="F5413" s="2" t="s">
        <v>7987</v>
      </c>
      <c r="G5413" s="2" t="s">
        <v>7322</v>
      </c>
      <c r="H5413" s="14">
        <v>1.02</v>
      </c>
      <c r="I5413" s="2" t="s">
        <v>4699</v>
      </c>
      <c r="J5413" s="2" t="s">
        <v>3942</v>
      </c>
      <c r="K5413" s="2" t="s">
        <v>1452</v>
      </c>
      <c r="L5413" s="2" t="s">
        <v>5221</v>
      </c>
      <c r="M5413" s="2" t="s">
        <v>5221</v>
      </c>
      <c r="N5413" s="2" t="s">
        <v>2317</v>
      </c>
      <c r="O5413" s="14">
        <v>6400</v>
      </c>
      <c r="P5413" s="14">
        <v>98.27</v>
      </c>
      <c r="Q5413" s="14">
        <v>110.72</v>
      </c>
      <c r="R5413" s="14">
        <v>112.93</v>
      </c>
      <c r="S5413" s="2" t="s">
        <v>7161</v>
      </c>
      <c r="T5413" s="2">
        <v>1.58</v>
      </c>
      <c r="U5413" s="2">
        <v>63.9</v>
      </c>
      <c r="V5413" s="2">
        <v>66</v>
      </c>
      <c r="W5413" s="2" t="s">
        <v>7862</v>
      </c>
      <c r="X5413" s="2" t="s">
        <v>2897</v>
      </c>
      <c r="Y5413" s="2">
        <v>6528</v>
      </c>
      <c r="Z5413" s="19" t="str">
        <f>HYPERLINK("https://ssdweb.co/ssdweb/hd/Vision360.html?d=926850141&amp;zoomslide=1&amp;z=1926850141&amp;ISCONFIRM=0","VIDEO")</f>
        <v>VIDEO</v>
      </c>
      <c r="AA5413" s="19" t="str">
        <f>HYPERLINK("https://ssdweb.co/ssdweb/CERTH/655451835.pdf","CERTI")</f>
        <v>CERTI</v>
      </c>
    </row>
    <row r="5414" spans="1:27" ht="15" x14ac:dyDescent="0.25">
      <c r="A5414" s="2">
        <v>5409</v>
      </c>
      <c r="B5414" s="39">
        <v>926210565</v>
      </c>
      <c r="C5414" s="28" t="str">
        <f>HYPERLINK("https://pld.live/RapDetail.aspx?STONELIST=926210565","DNA")</f>
        <v>DNA</v>
      </c>
      <c r="D5414" s="18" t="s">
        <v>3054</v>
      </c>
      <c r="E5414" s="18" t="s">
        <v>5128</v>
      </c>
      <c r="F5414" s="2" t="s">
        <v>7987</v>
      </c>
      <c r="G5414" s="2" t="s">
        <v>7322</v>
      </c>
      <c r="H5414" s="14">
        <v>1.02</v>
      </c>
      <c r="I5414" s="2" t="s">
        <v>4699</v>
      </c>
      <c r="J5414" s="2" t="s">
        <v>3942</v>
      </c>
      <c r="K5414" s="2" t="s">
        <v>1452</v>
      </c>
      <c r="L5414" s="2" t="s">
        <v>5221</v>
      </c>
      <c r="M5414" s="2" t="s">
        <v>5221</v>
      </c>
      <c r="N5414" s="2" t="s">
        <v>2317</v>
      </c>
      <c r="O5414" s="14">
        <v>6400</v>
      </c>
      <c r="P5414" s="14">
        <v>98.28</v>
      </c>
      <c r="Q5414" s="14">
        <v>110.08</v>
      </c>
      <c r="R5414" s="14">
        <v>112.28</v>
      </c>
      <c r="S5414" s="2" t="s">
        <v>3986</v>
      </c>
      <c r="T5414" s="2">
        <v>1.36</v>
      </c>
      <c r="U5414" s="2">
        <v>67.599999999999994</v>
      </c>
      <c r="V5414" s="2">
        <v>63</v>
      </c>
      <c r="W5414" s="2" t="s">
        <v>7862</v>
      </c>
      <c r="X5414" s="2" t="s">
        <v>2897</v>
      </c>
      <c r="Y5414" s="2">
        <v>6528</v>
      </c>
      <c r="Z5414" s="19" t="str">
        <f>HYPERLINK("https://ssdweb.co/ssdweb/hd/Vision360.html?d=926210565&amp;zoomslide=1&amp;z=1926210565&amp;ISCONFIRM=0","VIDEO")</f>
        <v>VIDEO</v>
      </c>
      <c r="AA5414" s="19" t="str">
        <f>HYPERLINK("https://ssdweb.co/ssdweb/CERTH/634431523.pdf","CERTI")</f>
        <v>CERTI</v>
      </c>
    </row>
    <row r="5415" spans="1:27" ht="15" x14ac:dyDescent="0.25">
      <c r="A5415" s="2">
        <v>5410</v>
      </c>
      <c r="B5415" s="39">
        <v>926791044</v>
      </c>
      <c r="C5415" s="28" t="str">
        <f>HYPERLINK("https://pld.live/RapDetail.aspx?STONELIST=926791044","DNA")</f>
        <v>DNA</v>
      </c>
      <c r="D5415" s="18" t="s">
        <v>3054</v>
      </c>
      <c r="E5415" s="18" t="s">
        <v>2186</v>
      </c>
      <c r="F5415" s="2" t="s">
        <v>7987</v>
      </c>
      <c r="G5415" s="2" t="s">
        <v>7322</v>
      </c>
      <c r="H5415" s="14">
        <v>1.02</v>
      </c>
      <c r="I5415" s="2" t="s">
        <v>4699</v>
      </c>
      <c r="J5415" s="2" t="s">
        <v>3942</v>
      </c>
      <c r="K5415" s="2" t="s">
        <v>1452</v>
      </c>
      <c r="L5415" s="2" t="s">
        <v>5221</v>
      </c>
      <c r="M5415" s="2" t="s">
        <v>5221</v>
      </c>
      <c r="N5415" s="2" t="s">
        <v>2317</v>
      </c>
      <c r="O5415" s="14">
        <v>6400</v>
      </c>
      <c r="P5415" s="14">
        <v>98.27</v>
      </c>
      <c r="Q5415" s="14">
        <v>110.72</v>
      </c>
      <c r="R5415" s="14">
        <v>112.93</v>
      </c>
      <c r="S5415" s="2" t="s">
        <v>7155</v>
      </c>
      <c r="T5415" s="2">
        <v>1.4</v>
      </c>
      <c r="U5415" s="2">
        <v>65.599999999999994</v>
      </c>
      <c r="V5415" s="2">
        <v>60</v>
      </c>
      <c r="W5415" s="2" t="s">
        <v>7862</v>
      </c>
      <c r="X5415" s="2" t="s">
        <v>2897</v>
      </c>
      <c r="Y5415" s="2">
        <v>6528</v>
      </c>
      <c r="Z5415" s="19" t="str">
        <f>HYPERLINK("https://ssdweb.co/ssdweb/hd/Vision360.html?d=926791044&amp;zoomslide=1&amp;z=1926791044&amp;ISCONFIRM=0","VIDEO")</f>
        <v>VIDEO</v>
      </c>
      <c r="AA5415" s="19" t="str">
        <f>HYPERLINK("https://ssdweb.co/ssdweb/CERTH/656485766.pdf","CERTI")</f>
        <v>CERTI</v>
      </c>
    </row>
    <row r="5416" spans="1:27" ht="15" x14ac:dyDescent="0.25">
      <c r="A5416" s="2">
        <v>5411</v>
      </c>
      <c r="B5416" s="39">
        <v>831020643</v>
      </c>
      <c r="C5416" s="28" t="str">
        <f>HYPERLINK("https://pld.live/RapDetail.aspx?STONELIST=831020643","DNA")</f>
        <v>DNA</v>
      </c>
      <c r="D5416" s="18" t="s">
        <v>3054</v>
      </c>
      <c r="E5416" s="18" t="s">
        <v>2186</v>
      </c>
      <c r="F5416" s="2" t="s">
        <v>5597</v>
      </c>
      <c r="G5416" s="2" t="s">
        <v>7322</v>
      </c>
      <c r="H5416" s="14">
        <v>1.02</v>
      </c>
      <c r="I5416" s="2" t="s">
        <v>4699</v>
      </c>
      <c r="J5416" s="2" t="s">
        <v>3942</v>
      </c>
      <c r="K5416" s="2" t="s">
        <v>1452</v>
      </c>
      <c r="L5416" s="2" t="s">
        <v>5221</v>
      </c>
      <c r="M5416" s="2" t="s">
        <v>5221</v>
      </c>
      <c r="N5416" s="2" t="s">
        <v>2317</v>
      </c>
      <c r="O5416" s="14">
        <v>6400</v>
      </c>
      <c r="P5416" s="14">
        <v>96.83</v>
      </c>
      <c r="Q5416" s="14">
        <v>202.88</v>
      </c>
      <c r="R5416" s="14">
        <v>206.94</v>
      </c>
      <c r="S5416" s="2" t="s">
        <v>4549</v>
      </c>
      <c r="T5416" s="2">
        <v>1.57</v>
      </c>
      <c r="U5416" s="2">
        <v>67.2</v>
      </c>
      <c r="V5416" s="2">
        <v>59</v>
      </c>
      <c r="W5416" s="2" t="s">
        <v>7862</v>
      </c>
      <c r="X5416" s="2" t="s">
        <v>2897</v>
      </c>
      <c r="Y5416" s="2">
        <v>6528</v>
      </c>
      <c r="Z5416" s="19" t="str">
        <f>HYPERLINK("https://ssdweb.co/ssdweb/hd/Vision360.html?d=831020643&amp;zoomslide=1&amp;z=1831020643&amp;ISCONFIRM=0","VIDEO")</f>
        <v>VIDEO</v>
      </c>
      <c r="AA5416" s="19" t="str">
        <f>HYPERLINK("https://ssdweb.co/ssdweb/CERTH/7478458565.pdf","CERTI")</f>
        <v>CERTI</v>
      </c>
    </row>
    <row r="5417" spans="1:27" ht="15" x14ac:dyDescent="0.25">
      <c r="A5417" s="2">
        <v>5412</v>
      </c>
      <c r="B5417" s="39">
        <v>926310856</v>
      </c>
      <c r="C5417" s="28" t="str">
        <f>HYPERLINK("https://pld.live/RapDetail.aspx?STONELIST=926310856","DNA")</f>
        <v>DNA</v>
      </c>
      <c r="D5417" s="18" t="s">
        <v>3054</v>
      </c>
      <c r="E5417" s="18" t="s">
        <v>5128</v>
      </c>
      <c r="F5417" s="2" t="s">
        <v>7987</v>
      </c>
      <c r="G5417" s="2" t="s">
        <v>7322</v>
      </c>
      <c r="H5417" s="14">
        <v>1.02</v>
      </c>
      <c r="I5417" s="2" t="s">
        <v>4699</v>
      </c>
      <c r="J5417" s="2" t="s">
        <v>3942</v>
      </c>
      <c r="K5417" s="2" t="s">
        <v>1452</v>
      </c>
      <c r="L5417" s="2" t="s">
        <v>5221</v>
      </c>
      <c r="M5417" s="2" t="s">
        <v>5221</v>
      </c>
      <c r="N5417" s="2" t="s">
        <v>2317</v>
      </c>
      <c r="O5417" s="14">
        <v>6400</v>
      </c>
      <c r="P5417" s="14">
        <v>98.28</v>
      </c>
      <c r="Q5417" s="14">
        <v>110.08</v>
      </c>
      <c r="R5417" s="14">
        <v>112.28</v>
      </c>
      <c r="S5417" s="2" t="s">
        <v>3344</v>
      </c>
      <c r="T5417" s="2">
        <v>1.36</v>
      </c>
      <c r="U5417" s="2">
        <v>68.099999999999994</v>
      </c>
      <c r="V5417" s="2">
        <v>65</v>
      </c>
      <c r="W5417" s="2" t="s">
        <v>7862</v>
      </c>
      <c r="X5417" s="2" t="s">
        <v>2897</v>
      </c>
      <c r="Y5417" s="2">
        <v>6528</v>
      </c>
      <c r="Z5417" s="19" t="str">
        <f>HYPERLINK("https://ssdweb.co/ssdweb/hd/Vision360.html?d=926310856&amp;zoomslide=1&amp;z=1926310856&amp;ISCONFIRM=0","VIDEO")</f>
        <v>VIDEO</v>
      </c>
      <c r="AA5417" s="19" t="str">
        <f>HYPERLINK("https://ssdweb.co/ssdweb/CERTH/644472433.pdf","CERTI")</f>
        <v>CERTI</v>
      </c>
    </row>
    <row r="5418" spans="1:27" ht="15" x14ac:dyDescent="0.25">
      <c r="A5418" s="2">
        <v>5413</v>
      </c>
      <c r="B5418" s="39">
        <v>926291390</v>
      </c>
      <c r="C5418" s="28" t="str">
        <f>HYPERLINK("https://pld.live/RapDetail.aspx?STONELIST=926291390","DNA")</f>
        <v>DNA</v>
      </c>
      <c r="D5418" s="18" t="s">
        <v>3054</v>
      </c>
      <c r="E5418" s="18" t="s">
        <v>5128</v>
      </c>
      <c r="F5418" s="2" t="s">
        <v>7987</v>
      </c>
      <c r="G5418" s="2" t="s">
        <v>7322</v>
      </c>
      <c r="H5418" s="14">
        <v>1.02</v>
      </c>
      <c r="I5418" s="2" t="s">
        <v>4699</v>
      </c>
      <c r="J5418" s="2" t="s">
        <v>3942</v>
      </c>
      <c r="K5418" s="2" t="s">
        <v>1452</v>
      </c>
      <c r="L5418" s="2" t="s">
        <v>5221</v>
      </c>
      <c r="M5418" s="2" t="s">
        <v>5221</v>
      </c>
      <c r="N5418" s="2" t="s">
        <v>2317</v>
      </c>
      <c r="O5418" s="14">
        <v>6400</v>
      </c>
      <c r="P5418" s="14">
        <v>98.27</v>
      </c>
      <c r="Q5418" s="14">
        <v>110.72</v>
      </c>
      <c r="R5418" s="14">
        <v>112.93</v>
      </c>
      <c r="S5418" s="2" t="s">
        <v>1787</v>
      </c>
      <c r="T5418" s="2">
        <v>1.37</v>
      </c>
      <c r="U5418" s="2">
        <v>67.400000000000006</v>
      </c>
      <c r="V5418" s="2">
        <v>67</v>
      </c>
      <c r="W5418" s="2" t="s">
        <v>7862</v>
      </c>
      <c r="X5418" s="2" t="s">
        <v>2897</v>
      </c>
      <c r="Y5418" s="2">
        <v>6528</v>
      </c>
      <c r="Z5418" s="19" t="str">
        <f>HYPERLINK("https://ssdweb.co/ssdweb/hd/Vision360.html?d=926291390&amp;zoomslide=1&amp;z=1926291390&amp;ISCONFIRM=0","VIDEO")</f>
        <v>VIDEO</v>
      </c>
      <c r="AA5418" s="19" t="str">
        <f>HYPERLINK("https://ssdweb.co/ssdweb/CERTH/656485769.pdf","CERTI")</f>
        <v>CERTI</v>
      </c>
    </row>
    <row r="5419" spans="1:27" ht="15" x14ac:dyDescent="0.25">
      <c r="A5419" s="2">
        <v>5414</v>
      </c>
      <c r="B5419" s="39">
        <v>941050422</v>
      </c>
      <c r="C5419" s="28" t="str">
        <f>HYPERLINK("https://pld.live/RapDetail.aspx?STONELIST=941050422","DNA")</f>
        <v>DNA</v>
      </c>
      <c r="D5419" s="18" t="s">
        <v>3054</v>
      </c>
      <c r="E5419" s="18" t="s">
        <v>2186</v>
      </c>
      <c r="F5419" s="2" t="s">
        <v>7987</v>
      </c>
      <c r="G5419" s="2" t="s">
        <v>7322</v>
      </c>
      <c r="H5419" s="14">
        <v>1.02</v>
      </c>
      <c r="I5419" s="2" t="s">
        <v>4699</v>
      </c>
      <c r="J5419" s="2" t="s">
        <v>13</v>
      </c>
      <c r="K5419" s="2" t="s">
        <v>1452</v>
      </c>
      <c r="L5419" s="2" t="s">
        <v>5221</v>
      </c>
      <c r="M5419" s="2" t="s">
        <v>5221</v>
      </c>
      <c r="N5419" s="2" t="s">
        <v>2317</v>
      </c>
      <c r="O5419" s="14">
        <v>5800</v>
      </c>
      <c r="P5419" s="14">
        <v>98.12</v>
      </c>
      <c r="Q5419" s="14">
        <v>109.04</v>
      </c>
      <c r="R5419" s="14">
        <v>111.22</v>
      </c>
      <c r="S5419" s="2" t="s">
        <v>8124</v>
      </c>
      <c r="T5419" s="2">
        <v>1.46</v>
      </c>
      <c r="U5419" s="2">
        <v>66.099999999999994</v>
      </c>
      <c r="V5419" s="2">
        <v>64</v>
      </c>
      <c r="W5419" s="2" t="s">
        <v>7862</v>
      </c>
      <c r="X5419" s="2" t="s">
        <v>2897</v>
      </c>
      <c r="Y5419" s="2">
        <v>5916</v>
      </c>
      <c r="Z5419" s="19" t="str">
        <f>HYPERLINK("https://ssdweb.co/ssdweb/hd/Vision360.html?d=941050422&amp;zoomslide=1&amp;z=1941050422&amp;ISCONFIRM=0","VIDEO")</f>
        <v>VIDEO</v>
      </c>
      <c r="AA5419" s="19" t="str">
        <f>HYPERLINK("https://ssdweb.co/ssdweb/CERTH/670445223.pdf","CERTI")</f>
        <v>CERTI</v>
      </c>
    </row>
    <row r="5420" spans="1:27" ht="15" x14ac:dyDescent="0.25">
      <c r="A5420" s="2">
        <v>5415</v>
      </c>
      <c r="B5420" s="39">
        <v>923510310</v>
      </c>
      <c r="C5420" s="28" t="str">
        <f>HYPERLINK("https://pld.live/RapDetail.aspx?STONELIST=923510310","DNA")</f>
        <v>DNA</v>
      </c>
      <c r="D5420" s="18" t="s">
        <v>3054</v>
      </c>
      <c r="E5420" s="18" t="s">
        <v>2186</v>
      </c>
      <c r="F5420" s="2" t="s">
        <v>5597</v>
      </c>
      <c r="G5420" s="2" t="s">
        <v>7322</v>
      </c>
      <c r="H5420" s="14">
        <v>1.02</v>
      </c>
      <c r="I5420" s="2" t="s">
        <v>4699</v>
      </c>
      <c r="J5420" s="2" t="s">
        <v>5144</v>
      </c>
      <c r="K5420" s="2" t="s">
        <v>1452</v>
      </c>
      <c r="L5420" s="2" t="s">
        <v>5221</v>
      </c>
      <c r="M5420" s="2" t="s">
        <v>5221</v>
      </c>
      <c r="N5420" s="2" t="s">
        <v>2317</v>
      </c>
      <c r="O5420" s="14">
        <v>5100</v>
      </c>
      <c r="P5420" s="14">
        <v>96.41</v>
      </c>
      <c r="Q5420" s="14">
        <v>183.09</v>
      </c>
      <c r="R5420" s="14">
        <v>186.75</v>
      </c>
      <c r="S5420" s="2" t="s">
        <v>6366</v>
      </c>
      <c r="T5420" s="2">
        <v>1.5</v>
      </c>
      <c r="U5420" s="2">
        <v>63.3</v>
      </c>
      <c r="V5420" s="2">
        <v>67</v>
      </c>
      <c r="W5420" s="2" t="s">
        <v>7862</v>
      </c>
      <c r="X5420" s="2" t="s">
        <v>2897</v>
      </c>
      <c r="Y5420" s="2">
        <v>5202</v>
      </c>
      <c r="Z5420" s="19" t="str">
        <f>HYPERLINK("https://ssdweb.co/ssdweb/hd/Vision360.html?d=923510310&amp;zoomslide=1&amp;z=1923510310&amp;ISCONFIRM=0","VIDEO")</f>
        <v>VIDEO</v>
      </c>
      <c r="AA5420" s="19" t="str">
        <f>HYPERLINK("https://ssdweb.co/ssdweb/CERTH/5446970480.pdf","CERTI")</f>
        <v>CERTI</v>
      </c>
    </row>
    <row r="5421" spans="1:27" ht="15" x14ac:dyDescent="0.25">
      <c r="A5421" s="2">
        <v>5416</v>
      </c>
      <c r="B5421" s="39">
        <v>927130152</v>
      </c>
      <c r="C5421" s="28" t="str">
        <f>HYPERLINK("https://pld.live/RapDetail.aspx?STONELIST=927130152","DNA")</f>
        <v>DNA</v>
      </c>
      <c r="D5421" s="18" t="s">
        <v>3054</v>
      </c>
      <c r="E5421" s="18" t="s">
        <v>5128</v>
      </c>
      <c r="F5421" s="2" t="s">
        <v>7987</v>
      </c>
      <c r="G5421" s="2" t="s">
        <v>7322</v>
      </c>
      <c r="H5421" s="14">
        <v>1.02</v>
      </c>
      <c r="I5421" s="2" t="s">
        <v>4699</v>
      </c>
      <c r="J5421" s="2" t="s">
        <v>5144</v>
      </c>
      <c r="K5421" s="2" t="s">
        <v>1452</v>
      </c>
      <c r="L5421" s="2" t="s">
        <v>5221</v>
      </c>
      <c r="M5421" s="2" t="s">
        <v>5221</v>
      </c>
      <c r="N5421" s="2" t="s">
        <v>2317</v>
      </c>
      <c r="O5421" s="14">
        <v>5100</v>
      </c>
      <c r="P5421" s="14">
        <v>98.04</v>
      </c>
      <c r="Q5421" s="14">
        <v>99.96</v>
      </c>
      <c r="R5421" s="14">
        <v>101.96</v>
      </c>
      <c r="S5421" s="2" t="s">
        <v>4123</v>
      </c>
      <c r="T5421" s="2">
        <v>1.46</v>
      </c>
      <c r="U5421" s="2">
        <v>68.5</v>
      </c>
      <c r="V5421" s="2">
        <v>69</v>
      </c>
      <c r="W5421" s="2" t="s">
        <v>7862</v>
      </c>
      <c r="X5421" s="2" t="s">
        <v>2897</v>
      </c>
      <c r="Y5421" s="2">
        <v>5202</v>
      </c>
      <c r="Z5421" s="19" t="str">
        <f>HYPERLINK("https://ssdweb.co/ssdweb/hd/Vision360.html?d=927130152&amp;zoomslide=1&amp;z=1927130152&amp;ISCONFIRM=0","VIDEO")</f>
        <v>VIDEO</v>
      </c>
      <c r="AA5421" s="19" t="str">
        <f>HYPERLINK("https://ssdweb.co/ssdweb/CERTH/666419926.pdf","CERTI")</f>
        <v>CERTI</v>
      </c>
    </row>
    <row r="5422" spans="1:27" ht="15" x14ac:dyDescent="0.25">
      <c r="A5422" s="2">
        <v>5417</v>
      </c>
      <c r="B5422" s="39">
        <v>924410792</v>
      </c>
      <c r="C5422" s="28" t="str">
        <f>HYPERLINK("https://pld.live/RapDetail.aspx?STONELIST=924410792","DNA")</f>
        <v>DNA</v>
      </c>
      <c r="D5422" s="18" t="s">
        <v>3054</v>
      </c>
      <c r="E5422" s="18" t="s">
        <v>2186</v>
      </c>
      <c r="F5422" s="2" t="s">
        <v>5597</v>
      </c>
      <c r="G5422" s="2" t="s">
        <v>7322</v>
      </c>
      <c r="H5422" s="14">
        <v>1.02</v>
      </c>
      <c r="I5422" s="2" t="s">
        <v>6587</v>
      </c>
      <c r="J5422" s="2" t="s">
        <v>3942</v>
      </c>
      <c r="K5422" s="2" t="s">
        <v>1452</v>
      </c>
      <c r="L5422" s="2" t="s">
        <v>5221</v>
      </c>
      <c r="M5422" s="2" t="s">
        <v>5221</v>
      </c>
      <c r="N5422" s="2" t="s">
        <v>2317</v>
      </c>
      <c r="O5422" s="14">
        <v>5800</v>
      </c>
      <c r="P5422" s="14">
        <v>96.57</v>
      </c>
      <c r="Q5422" s="14">
        <v>198.94</v>
      </c>
      <c r="R5422" s="14">
        <v>202.92</v>
      </c>
      <c r="S5422" s="2" t="s">
        <v>3660</v>
      </c>
      <c r="T5422" s="2">
        <v>1.52</v>
      </c>
      <c r="U5422" s="2">
        <v>66.400000000000006</v>
      </c>
      <c r="V5422" s="2">
        <v>62</v>
      </c>
      <c r="W5422" s="2" t="s">
        <v>7862</v>
      </c>
      <c r="X5422" s="2" t="s">
        <v>2897</v>
      </c>
      <c r="Y5422" s="2">
        <v>5916</v>
      </c>
      <c r="Z5422" s="19" t="str">
        <f>HYPERLINK("https://ssdweb.co/ssdweb/hd/Vision360.html?d=924410792&amp;zoomslide=1&amp;z=1924410792&amp;ISCONFIRM=0","VIDEO")</f>
        <v>VIDEO</v>
      </c>
      <c r="AA5422" s="19" t="str">
        <f>HYPERLINK("https://ssdweb.co/ssdweb/CERTH/2476458588.pdf","CERTI")</f>
        <v>CERTI</v>
      </c>
    </row>
    <row r="5423" spans="1:27" ht="15" x14ac:dyDescent="0.25">
      <c r="A5423" s="2">
        <v>5418</v>
      </c>
      <c r="B5423" s="39">
        <v>924290562</v>
      </c>
      <c r="C5423" s="28" t="str">
        <f>HYPERLINK("https://pld.live/RapDetail.aspx?STONELIST=924290562","DNA")</f>
        <v>DNA</v>
      </c>
      <c r="D5423" s="18" t="s">
        <v>3054</v>
      </c>
      <c r="E5423" s="18" t="s">
        <v>2186</v>
      </c>
      <c r="F5423" s="2" t="s">
        <v>7987</v>
      </c>
      <c r="G5423" s="2" t="s">
        <v>7322</v>
      </c>
      <c r="H5423" s="14">
        <v>1.02</v>
      </c>
      <c r="I5423" s="2" t="s">
        <v>1505</v>
      </c>
      <c r="J5423" s="2" t="s">
        <v>13</v>
      </c>
      <c r="K5423" s="2" t="s">
        <v>1452</v>
      </c>
      <c r="L5423" s="2" t="s">
        <v>5221</v>
      </c>
      <c r="M5423" s="2" t="s">
        <v>5221</v>
      </c>
      <c r="N5423" s="2" t="s">
        <v>2317</v>
      </c>
      <c r="O5423" s="14">
        <v>4600</v>
      </c>
      <c r="P5423" s="14">
        <v>97.93</v>
      </c>
      <c r="Q5423" s="14">
        <v>95.22</v>
      </c>
      <c r="R5423" s="14">
        <v>97.12</v>
      </c>
      <c r="S5423" s="2" t="s">
        <v>4318</v>
      </c>
      <c r="T5423" s="2">
        <v>1.4</v>
      </c>
      <c r="U5423" s="2">
        <v>66.2</v>
      </c>
      <c r="V5423" s="2">
        <v>63</v>
      </c>
      <c r="W5423" s="2" t="s">
        <v>7862</v>
      </c>
      <c r="X5423" s="2" t="s">
        <v>2897</v>
      </c>
      <c r="Y5423" s="2">
        <v>4692</v>
      </c>
      <c r="Z5423" s="19" t="str">
        <f>HYPERLINK("https://ssdweb.co/ssdweb/hd/Vision360.html?d=924290562&amp;zoomslide=1&amp;z=1924290562&amp;ISCONFIRM=0","VIDEO")</f>
        <v>VIDEO</v>
      </c>
      <c r="AA5423" s="19" t="str">
        <f>HYPERLINK("https://ssdweb.co/ssdweb/CERTH/592360681.pdf","CERTI")</f>
        <v>CERTI</v>
      </c>
    </row>
    <row r="5424" spans="1:27" ht="15" x14ac:dyDescent="0.25">
      <c r="A5424" s="2">
        <v>5419</v>
      </c>
      <c r="B5424" s="39">
        <v>831010218</v>
      </c>
      <c r="C5424" s="28" t="str">
        <f>HYPERLINK("https://pld.live/RapDetail.aspx?STONELIST=831010218","DNA")</f>
        <v>DNA</v>
      </c>
      <c r="D5424" s="18" t="s">
        <v>3054</v>
      </c>
      <c r="E5424" s="18" t="s">
        <v>5128</v>
      </c>
      <c r="F5424" s="2" t="s">
        <v>7987</v>
      </c>
      <c r="G5424" s="2" t="s">
        <v>7322</v>
      </c>
      <c r="H5424" s="14">
        <v>1.01</v>
      </c>
      <c r="I5424" s="2" t="s">
        <v>267</v>
      </c>
      <c r="J5424" s="2" t="s">
        <v>7032</v>
      </c>
      <c r="K5424" s="2" t="s">
        <v>1452</v>
      </c>
      <c r="L5424" s="2" t="s">
        <v>5221</v>
      </c>
      <c r="M5424" s="2" t="s">
        <v>5221</v>
      </c>
      <c r="N5424" s="2" t="s">
        <v>2317</v>
      </c>
      <c r="O5424" s="14">
        <v>9300</v>
      </c>
      <c r="P5424" s="14">
        <v>97.65</v>
      </c>
      <c r="Q5424" s="14">
        <v>218.55</v>
      </c>
      <c r="R5424" s="14">
        <v>220.74</v>
      </c>
      <c r="S5424" s="2" t="s">
        <v>6062</v>
      </c>
      <c r="T5424" s="2">
        <v>1.41</v>
      </c>
      <c r="U5424" s="2">
        <v>67.900000000000006</v>
      </c>
      <c r="V5424" s="2">
        <v>64.5</v>
      </c>
      <c r="W5424" s="2" t="s">
        <v>7862</v>
      </c>
      <c r="X5424" s="2" t="s">
        <v>2897</v>
      </c>
      <c r="Y5424" s="2">
        <v>9393</v>
      </c>
      <c r="Z5424" s="19" t="str">
        <f>HYPERLINK("https://ssdweb.co/ssdweb/hd/Vision360.html?d=831010218&amp;zoomslide=1&amp;z=1831010218&amp;ISCONFIRM=0","VIDEO")</f>
        <v>VIDEO</v>
      </c>
      <c r="AA5424" s="19" t="str">
        <f>HYPERLINK("https://ssdweb.co/ssdweb/CERTH/492112569.pdf","CERTI")</f>
        <v>CERTI</v>
      </c>
    </row>
    <row r="5425" spans="1:27" ht="15" x14ac:dyDescent="0.25">
      <c r="A5425" s="2">
        <v>5420</v>
      </c>
      <c r="B5425" s="39">
        <v>926740836</v>
      </c>
      <c r="C5425" s="28" t="str">
        <f>HYPERLINK("https://pld.live/RapDetail.aspx?STONELIST=926740836","DNA")</f>
        <v>DNA</v>
      </c>
      <c r="D5425" s="18" t="s">
        <v>3054</v>
      </c>
      <c r="E5425" s="18" t="s">
        <v>5128</v>
      </c>
      <c r="F5425" s="2" t="s">
        <v>7987</v>
      </c>
      <c r="G5425" s="2" t="s">
        <v>7322</v>
      </c>
      <c r="H5425" s="14">
        <v>1.01</v>
      </c>
      <c r="I5425" s="2" t="s">
        <v>267</v>
      </c>
      <c r="J5425" s="2" t="s">
        <v>7032</v>
      </c>
      <c r="K5425" s="2" t="s">
        <v>1452</v>
      </c>
      <c r="L5425" s="2" t="s">
        <v>5221</v>
      </c>
      <c r="M5425" s="2" t="s">
        <v>5221</v>
      </c>
      <c r="N5425" s="2" t="s">
        <v>2317</v>
      </c>
      <c r="O5425" s="14">
        <v>9300</v>
      </c>
      <c r="P5425" s="14">
        <v>97.61</v>
      </c>
      <c r="Q5425" s="14">
        <v>222.27</v>
      </c>
      <c r="R5425" s="14">
        <v>224.49</v>
      </c>
      <c r="S5425" s="2" t="s">
        <v>6250</v>
      </c>
      <c r="T5425" s="2">
        <v>1.41</v>
      </c>
      <c r="U5425" s="2">
        <v>65.099999999999994</v>
      </c>
      <c r="V5425" s="2">
        <v>66</v>
      </c>
      <c r="W5425" s="2" t="s">
        <v>7862</v>
      </c>
      <c r="X5425" s="2" t="s">
        <v>2897</v>
      </c>
      <c r="Y5425" s="2">
        <v>9393</v>
      </c>
      <c r="Z5425" s="19" t="str">
        <f>HYPERLINK("https://ssdweb.co/ssdweb/hd/Vision360.html?d=926740836&amp;zoomslide=1&amp;z=1926740836&amp;ISCONFIRM=0","VIDEO")</f>
        <v>VIDEO</v>
      </c>
      <c r="AA5425" s="19" t="str">
        <f>HYPERLINK("https://ssdweb.co/ssdweb/CERTH/666408381.pdf","CERTI")</f>
        <v>CERTI</v>
      </c>
    </row>
    <row r="5426" spans="1:27" ht="15" x14ac:dyDescent="0.25">
      <c r="A5426" s="2">
        <v>5421</v>
      </c>
      <c r="B5426" s="39">
        <v>925940284</v>
      </c>
      <c r="C5426" s="28" t="str">
        <f>HYPERLINK("https://pld.live/RapDetail.aspx?STONELIST=925940284","DNA")</f>
        <v>DNA</v>
      </c>
      <c r="D5426" s="18" t="s">
        <v>3054</v>
      </c>
      <c r="E5426" s="18" t="s">
        <v>5128</v>
      </c>
      <c r="F5426" s="2" t="s">
        <v>7987</v>
      </c>
      <c r="G5426" s="2" t="s">
        <v>7322</v>
      </c>
      <c r="H5426" s="14">
        <v>1.01</v>
      </c>
      <c r="I5426" s="2" t="s">
        <v>267</v>
      </c>
      <c r="J5426" s="2" t="s">
        <v>6555</v>
      </c>
      <c r="K5426" s="2" t="s">
        <v>1452</v>
      </c>
      <c r="L5426" s="2" t="s">
        <v>5221</v>
      </c>
      <c r="M5426" s="2" t="s">
        <v>5221</v>
      </c>
      <c r="N5426" s="2" t="s">
        <v>2317</v>
      </c>
      <c r="O5426" s="14">
        <v>8200</v>
      </c>
      <c r="P5426" s="14">
        <v>98.46</v>
      </c>
      <c r="Q5426" s="14">
        <v>126.28</v>
      </c>
      <c r="R5426" s="14">
        <v>127.54</v>
      </c>
      <c r="S5426" s="2" t="s">
        <v>3226</v>
      </c>
      <c r="T5426" s="2">
        <v>1.42</v>
      </c>
      <c r="U5426" s="2">
        <v>64.400000000000006</v>
      </c>
      <c r="V5426" s="2">
        <v>63</v>
      </c>
      <c r="W5426" s="2" t="s">
        <v>7862</v>
      </c>
      <c r="X5426" s="2" t="s">
        <v>2897</v>
      </c>
      <c r="Y5426" s="2">
        <v>8282</v>
      </c>
      <c r="Z5426" s="19" t="str">
        <f>HYPERLINK("https://ssdweb.co/ssdweb/hd/Vision360.html?d=925940284&amp;zoomslide=1&amp;z=1925940284&amp;ISCONFIRM=0","VIDEO")</f>
        <v>VIDEO</v>
      </c>
      <c r="AA5426" s="19" t="str">
        <f>HYPERLINK("https://ssdweb.co/ssdweb/CERTH/627410522.pdf","CERTI")</f>
        <v>CERTI</v>
      </c>
    </row>
    <row r="5427" spans="1:27" ht="15" x14ac:dyDescent="0.25">
      <c r="A5427" s="2">
        <v>5422</v>
      </c>
      <c r="B5427" s="39">
        <v>924880300</v>
      </c>
      <c r="C5427" s="28" t="str">
        <f>HYPERLINK("https://pld.live/RapDetail.aspx?STONELIST=924880300","DNA")</f>
        <v>DNA</v>
      </c>
      <c r="D5427" s="18" t="s">
        <v>3054</v>
      </c>
      <c r="E5427" s="18" t="s">
        <v>5128</v>
      </c>
      <c r="F5427" s="2" t="s">
        <v>7987</v>
      </c>
      <c r="G5427" s="2" t="s">
        <v>7322</v>
      </c>
      <c r="H5427" s="14">
        <v>1.01</v>
      </c>
      <c r="I5427" s="2" t="s">
        <v>267</v>
      </c>
      <c r="J5427" s="2" t="s">
        <v>6555</v>
      </c>
      <c r="K5427" s="2" t="s">
        <v>1452</v>
      </c>
      <c r="L5427" s="2" t="s">
        <v>5221</v>
      </c>
      <c r="M5427" s="2" t="s">
        <v>5221</v>
      </c>
      <c r="N5427" s="2" t="s">
        <v>2317</v>
      </c>
      <c r="O5427" s="14">
        <v>8200</v>
      </c>
      <c r="P5427" s="14">
        <v>98.46</v>
      </c>
      <c r="Q5427" s="14">
        <v>126.28</v>
      </c>
      <c r="R5427" s="14">
        <v>127.54</v>
      </c>
      <c r="S5427" s="2" t="s">
        <v>7025</v>
      </c>
      <c r="T5427" s="2">
        <v>1.4</v>
      </c>
      <c r="U5427" s="2">
        <v>65</v>
      </c>
      <c r="V5427" s="2">
        <v>66</v>
      </c>
      <c r="W5427" s="2" t="s">
        <v>7862</v>
      </c>
      <c r="X5427" s="2" t="s">
        <v>2897</v>
      </c>
      <c r="Y5427" s="2">
        <v>8282</v>
      </c>
      <c r="Z5427" s="19" t="str">
        <f>HYPERLINK("https://ssdweb.co/ssdweb/hd/Vision360.html?d=924880300&amp;zoomslide=1&amp;z=1924880300&amp;ISCONFIRM=0","VIDEO")</f>
        <v>VIDEO</v>
      </c>
      <c r="AA5427" s="19" t="str">
        <f>HYPERLINK("https://ssdweb.co/ssdweb/CERTH/602361294.pdf","CERTI")</f>
        <v>CERTI</v>
      </c>
    </row>
    <row r="5428" spans="1:27" ht="15" x14ac:dyDescent="0.25">
      <c r="A5428" s="2">
        <v>5423</v>
      </c>
      <c r="B5428" s="39">
        <v>941351039</v>
      </c>
      <c r="C5428" s="28" t="str">
        <f>HYPERLINK("https://pld.live/RapDetail.aspx?STONELIST=941351039","DNA")</f>
        <v>DNA</v>
      </c>
      <c r="D5428" s="18" t="s">
        <v>3054</v>
      </c>
      <c r="E5428" s="18" t="s">
        <v>5128</v>
      </c>
      <c r="F5428" s="2" t="s">
        <v>7987</v>
      </c>
      <c r="G5428" s="2" t="s">
        <v>7322</v>
      </c>
      <c r="H5428" s="14">
        <v>1.01</v>
      </c>
      <c r="I5428" s="2" t="s">
        <v>267</v>
      </c>
      <c r="J5428" s="2" t="s">
        <v>6555</v>
      </c>
      <c r="K5428" s="2" t="s">
        <v>1452</v>
      </c>
      <c r="L5428" s="2" t="s">
        <v>5221</v>
      </c>
      <c r="M5428" s="2" t="s">
        <v>5221</v>
      </c>
      <c r="N5428" s="2" t="s">
        <v>2317</v>
      </c>
      <c r="O5428" s="14">
        <v>8200</v>
      </c>
      <c r="P5428" s="14">
        <v>98.41</v>
      </c>
      <c r="Q5428" s="14">
        <v>130.38</v>
      </c>
      <c r="R5428" s="14">
        <v>131.68</v>
      </c>
      <c r="S5428" s="2" t="s">
        <v>6160</v>
      </c>
      <c r="T5428" s="2">
        <v>1.4</v>
      </c>
      <c r="U5428" s="2">
        <v>67</v>
      </c>
      <c r="V5428" s="2">
        <v>63</v>
      </c>
      <c r="W5428" s="2" t="s">
        <v>7862</v>
      </c>
      <c r="X5428" s="2" t="s">
        <v>2897</v>
      </c>
      <c r="Y5428" s="2">
        <v>8282</v>
      </c>
      <c r="Z5428" s="19" t="str">
        <f>HYPERLINK("https://ssdweb.co/ssdweb/hd/Vision360.html?d=941351039&amp;zoomslide=1&amp;z=1941351039&amp;ISCONFIRM=0","VIDEO")</f>
        <v>VIDEO</v>
      </c>
      <c r="AA5428" s="19" t="str">
        <f>HYPERLINK("https://ssdweb.co/ssdweb/CERTH/691552699.pdf","CERTI")</f>
        <v>CERTI</v>
      </c>
    </row>
    <row r="5429" spans="1:27" ht="15" x14ac:dyDescent="0.25">
      <c r="A5429" s="2">
        <v>5424</v>
      </c>
      <c r="B5429" s="39">
        <v>941351063</v>
      </c>
      <c r="C5429" s="28" t="str">
        <f>HYPERLINK("https://pld.live/RapDetail.aspx?STONELIST=941351063","DNA")</f>
        <v>DNA</v>
      </c>
      <c r="D5429" s="18" t="s">
        <v>3054</v>
      </c>
      <c r="E5429" s="18" t="s">
        <v>5128</v>
      </c>
      <c r="F5429" s="2" t="s">
        <v>7987</v>
      </c>
      <c r="G5429" s="2" t="s">
        <v>7322</v>
      </c>
      <c r="H5429" s="14">
        <v>1.01</v>
      </c>
      <c r="I5429" s="2" t="s">
        <v>267</v>
      </c>
      <c r="J5429" s="2" t="s">
        <v>6555</v>
      </c>
      <c r="K5429" s="2" t="s">
        <v>1452</v>
      </c>
      <c r="L5429" s="2" t="s">
        <v>5221</v>
      </c>
      <c r="M5429" s="2" t="s">
        <v>5221</v>
      </c>
      <c r="N5429" s="2" t="s">
        <v>2317</v>
      </c>
      <c r="O5429" s="14">
        <v>8200</v>
      </c>
      <c r="P5429" s="14">
        <v>98.41</v>
      </c>
      <c r="Q5429" s="14">
        <v>130.38</v>
      </c>
      <c r="R5429" s="14">
        <v>131.68</v>
      </c>
      <c r="S5429" s="2" t="s">
        <v>1153</v>
      </c>
      <c r="T5429" s="2">
        <v>1.45</v>
      </c>
      <c r="U5429" s="2">
        <v>66.5</v>
      </c>
      <c r="V5429" s="2">
        <v>65</v>
      </c>
      <c r="W5429" s="2" t="s">
        <v>7862</v>
      </c>
      <c r="X5429" s="2" t="s">
        <v>2897</v>
      </c>
      <c r="Y5429" s="2">
        <v>8282</v>
      </c>
      <c r="Z5429" s="19" t="str">
        <f>HYPERLINK("https://ssdweb.co/ssdweb/hd/Vision360.html?d=941351063&amp;zoomslide=1&amp;z=1941351063&amp;ISCONFIRM=0","VIDEO")</f>
        <v>VIDEO</v>
      </c>
      <c r="AA5429" s="19" t="str">
        <f>HYPERLINK("https://ssdweb.co/ssdweb/CERTH/692505685.pdf","CERTI")</f>
        <v>CERTI</v>
      </c>
    </row>
    <row r="5430" spans="1:27" ht="15" x14ac:dyDescent="0.25">
      <c r="A5430" s="2">
        <v>5425</v>
      </c>
      <c r="B5430" s="39">
        <v>941351057</v>
      </c>
      <c r="C5430" s="28" t="str">
        <f>HYPERLINK("https://pld.live/RapDetail.aspx?STONELIST=941351057","DNA")</f>
        <v>DNA</v>
      </c>
      <c r="D5430" s="18" t="s">
        <v>3054</v>
      </c>
      <c r="E5430" s="18" t="s">
        <v>5128</v>
      </c>
      <c r="F5430" s="2" t="s">
        <v>7987</v>
      </c>
      <c r="G5430" s="2" t="s">
        <v>7322</v>
      </c>
      <c r="H5430" s="14">
        <v>1.01</v>
      </c>
      <c r="I5430" s="2" t="s">
        <v>267</v>
      </c>
      <c r="J5430" s="2" t="s">
        <v>6555</v>
      </c>
      <c r="K5430" s="2" t="s">
        <v>1452</v>
      </c>
      <c r="L5430" s="2" t="s">
        <v>5221</v>
      </c>
      <c r="M5430" s="2" t="s">
        <v>5221</v>
      </c>
      <c r="N5430" s="2" t="s">
        <v>2317</v>
      </c>
      <c r="O5430" s="14">
        <v>8200</v>
      </c>
      <c r="P5430" s="14">
        <v>98.41</v>
      </c>
      <c r="Q5430" s="14">
        <v>130.38</v>
      </c>
      <c r="R5430" s="14">
        <v>131.68</v>
      </c>
      <c r="S5430" s="2" t="s">
        <v>3746</v>
      </c>
      <c r="T5430" s="2">
        <v>1.42</v>
      </c>
      <c r="U5430" s="2">
        <v>66.2</v>
      </c>
      <c r="V5430" s="2">
        <v>62</v>
      </c>
      <c r="W5430" s="2" t="s">
        <v>7862</v>
      </c>
      <c r="X5430" s="2" t="s">
        <v>2897</v>
      </c>
      <c r="Y5430" s="2">
        <v>8282</v>
      </c>
      <c r="Z5430" s="19" t="str">
        <f>HYPERLINK("https://ssdweb.co/ssdweb/hd/Vision360.html?d=941351057&amp;zoomslide=1&amp;z=1941351057&amp;ISCONFIRM=0","VIDEO")</f>
        <v>VIDEO</v>
      </c>
      <c r="AA5430" s="19" t="str">
        <f>HYPERLINK("https://ssdweb.co/ssdweb/CERTH/692505683.pdf","CERTI")</f>
        <v>CERTI</v>
      </c>
    </row>
    <row r="5431" spans="1:27" ht="15" x14ac:dyDescent="0.25">
      <c r="A5431" s="2">
        <v>5426</v>
      </c>
      <c r="B5431" s="39">
        <v>927100771</v>
      </c>
      <c r="C5431" s="28" t="str">
        <f>HYPERLINK("https://pld.live/RapDetail.aspx?STONELIST=927100771","DNA")</f>
        <v>DNA</v>
      </c>
      <c r="D5431" s="18" t="s">
        <v>3054</v>
      </c>
      <c r="E5431" s="18" t="s">
        <v>5128</v>
      </c>
      <c r="F5431" s="2" t="s">
        <v>7987</v>
      </c>
      <c r="G5431" s="2" t="s">
        <v>7322</v>
      </c>
      <c r="H5431" s="14">
        <v>1.01</v>
      </c>
      <c r="I5431" s="2" t="s">
        <v>267</v>
      </c>
      <c r="J5431" s="2" t="s">
        <v>6555</v>
      </c>
      <c r="K5431" s="2" t="s">
        <v>1452</v>
      </c>
      <c r="L5431" s="2" t="s">
        <v>5221</v>
      </c>
      <c r="M5431" s="2" t="s">
        <v>5221</v>
      </c>
      <c r="N5431" s="2" t="s">
        <v>2317</v>
      </c>
      <c r="O5431" s="14">
        <v>8200</v>
      </c>
      <c r="P5431" s="14">
        <v>98.43</v>
      </c>
      <c r="Q5431" s="14">
        <v>128.74</v>
      </c>
      <c r="R5431" s="14">
        <v>130.03</v>
      </c>
      <c r="S5431" s="2" t="s">
        <v>7115</v>
      </c>
      <c r="T5431" s="2">
        <v>1.43</v>
      </c>
      <c r="U5431" s="2">
        <v>67</v>
      </c>
      <c r="V5431" s="2">
        <v>64</v>
      </c>
      <c r="W5431" s="2" t="s">
        <v>7862</v>
      </c>
      <c r="X5431" s="2" t="s">
        <v>2897</v>
      </c>
      <c r="Y5431" s="2">
        <v>8282</v>
      </c>
      <c r="Z5431" s="19" t="str">
        <f>HYPERLINK("https://ssdweb.co/ssdweb/hd/Vision360.html?d=927100771&amp;zoomslide=1&amp;z=1927100771&amp;ISCONFIRM=0","VIDEO")</f>
        <v>VIDEO</v>
      </c>
      <c r="AA5431" s="19" t="str">
        <f>HYPERLINK("https://ssdweb.co/ssdweb/CERTH/665453175.pdf","CERTI")</f>
        <v>CERTI</v>
      </c>
    </row>
    <row r="5432" spans="1:27" ht="15" x14ac:dyDescent="0.25">
      <c r="A5432" s="2">
        <v>5427</v>
      </c>
      <c r="B5432" s="39">
        <v>925080511</v>
      </c>
      <c r="C5432" s="28" t="str">
        <f>HYPERLINK("https://pld.live/RapDetail.aspx?STONELIST=925080511","DNA")</f>
        <v>DNA</v>
      </c>
      <c r="D5432" s="18" t="s">
        <v>3054</v>
      </c>
      <c r="E5432" s="18" t="s">
        <v>5128</v>
      </c>
      <c r="F5432" s="2" t="s">
        <v>5597</v>
      </c>
      <c r="G5432" s="2" t="s">
        <v>7322</v>
      </c>
      <c r="H5432" s="14">
        <v>1.01</v>
      </c>
      <c r="I5432" s="2" t="s">
        <v>267</v>
      </c>
      <c r="J5432" s="2" t="s">
        <v>6555</v>
      </c>
      <c r="K5432" s="2" t="s">
        <v>1452</v>
      </c>
      <c r="L5432" s="2" t="s">
        <v>5221</v>
      </c>
      <c r="M5432" s="2" t="s">
        <v>5721</v>
      </c>
      <c r="N5432" s="2" t="s">
        <v>2317</v>
      </c>
      <c r="O5432" s="14">
        <v>8200</v>
      </c>
      <c r="P5432" s="14">
        <v>97.26</v>
      </c>
      <c r="Q5432" s="14">
        <v>224.68</v>
      </c>
      <c r="R5432" s="14">
        <v>226.93</v>
      </c>
      <c r="S5432" s="2" t="s">
        <v>4521</v>
      </c>
      <c r="T5432" s="2">
        <v>1.51</v>
      </c>
      <c r="U5432" s="2">
        <v>63.6</v>
      </c>
      <c r="V5432" s="2">
        <v>63</v>
      </c>
      <c r="W5432" s="2" t="s">
        <v>7862</v>
      </c>
      <c r="X5432" s="2" t="s">
        <v>2897</v>
      </c>
      <c r="Y5432" s="2">
        <v>8282</v>
      </c>
      <c r="Z5432" s="19" t="str">
        <f>HYPERLINK("https://ssdweb.co/ssdweb/hd/Vision360.html?d=925080511&amp;zoomslide=1&amp;z=1925080511&amp;ISCONFIRM=0","VIDEO")</f>
        <v>VIDEO</v>
      </c>
      <c r="AA5432" s="19" t="str">
        <f>HYPERLINK("https://ssdweb.co/ssdweb/CERTH/6485225135.pdf","CERTI")</f>
        <v>CERTI</v>
      </c>
    </row>
    <row r="5433" spans="1:27" ht="15" x14ac:dyDescent="0.25">
      <c r="A5433" s="2">
        <v>5428</v>
      </c>
      <c r="B5433" s="39">
        <v>941351074</v>
      </c>
      <c r="C5433" s="28" t="str">
        <f>HYPERLINK("https://pld.live/RapDetail.aspx?STONELIST=941351074","DNA")</f>
        <v>DNA</v>
      </c>
      <c r="D5433" s="18" t="s">
        <v>3054</v>
      </c>
      <c r="E5433" s="18" t="s">
        <v>5128</v>
      </c>
      <c r="F5433" s="2" t="s">
        <v>7987</v>
      </c>
      <c r="G5433" s="2" t="s">
        <v>7322</v>
      </c>
      <c r="H5433" s="14">
        <v>1.01</v>
      </c>
      <c r="I5433" s="2" t="s">
        <v>267</v>
      </c>
      <c r="J5433" s="2" t="s">
        <v>3942</v>
      </c>
      <c r="K5433" s="2" t="s">
        <v>1452</v>
      </c>
      <c r="L5433" s="2" t="s">
        <v>5221</v>
      </c>
      <c r="M5433" s="2" t="s">
        <v>5221</v>
      </c>
      <c r="N5433" s="2" t="s">
        <v>2317</v>
      </c>
      <c r="O5433" s="14">
        <v>7600</v>
      </c>
      <c r="P5433" s="14">
        <v>98.45</v>
      </c>
      <c r="Q5433" s="14">
        <v>117.8</v>
      </c>
      <c r="R5433" s="14">
        <v>118.98</v>
      </c>
      <c r="S5433" s="2" t="s">
        <v>2123</v>
      </c>
      <c r="T5433" s="2">
        <v>1.4</v>
      </c>
      <c r="U5433" s="2">
        <v>64.3</v>
      </c>
      <c r="V5433" s="2">
        <v>65</v>
      </c>
      <c r="W5433" s="2" t="s">
        <v>7862</v>
      </c>
      <c r="X5433" s="2" t="s">
        <v>2897</v>
      </c>
      <c r="Y5433" s="2">
        <v>7676</v>
      </c>
      <c r="Z5433" s="19" t="str">
        <f>HYPERLINK("https://ssdweb.co/ssdweb/hd/Vision360.html?d=941351074&amp;zoomslide=1&amp;z=1941351074&amp;ISCONFIRM=0","VIDEO")</f>
        <v>VIDEO</v>
      </c>
      <c r="AA5433" s="19" t="str">
        <f>HYPERLINK("https://ssdweb.co/ssdweb/CERTH/692505687.pdf","CERTI")</f>
        <v>CERTI</v>
      </c>
    </row>
    <row r="5434" spans="1:27" ht="15" x14ac:dyDescent="0.25">
      <c r="A5434" s="2">
        <v>5429</v>
      </c>
      <c r="B5434" s="39">
        <v>941351060</v>
      </c>
      <c r="C5434" s="28" t="str">
        <f>HYPERLINK("https://pld.live/RapDetail.aspx?STONELIST=941351060","DNA")</f>
        <v>DNA</v>
      </c>
      <c r="D5434" s="18" t="s">
        <v>3054</v>
      </c>
      <c r="E5434" s="18" t="s">
        <v>5128</v>
      </c>
      <c r="F5434" s="2" t="s">
        <v>7987</v>
      </c>
      <c r="G5434" s="2" t="s">
        <v>7322</v>
      </c>
      <c r="H5434" s="14">
        <v>1.01</v>
      </c>
      <c r="I5434" s="2" t="s">
        <v>267</v>
      </c>
      <c r="J5434" s="2" t="s">
        <v>3942</v>
      </c>
      <c r="K5434" s="2" t="s">
        <v>1452</v>
      </c>
      <c r="L5434" s="2" t="s">
        <v>5221</v>
      </c>
      <c r="M5434" s="2" t="s">
        <v>5221</v>
      </c>
      <c r="N5434" s="2" t="s">
        <v>2317</v>
      </c>
      <c r="O5434" s="14">
        <v>7600</v>
      </c>
      <c r="P5434" s="14">
        <v>98.45</v>
      </c>
      <c r="Q5434" s="14">
        <v>117.8</v>
      </c>
      <c r="R5434" s="14">
        <v>118.98</v>
      </c>
      <c r="S5434" s="2" t="s">
        <v>4991</v>
      </c>
      <c r="T5434" s="2">
        <v>1.38</v>
      </c>
      <c r="U5434" s="2">
        <v>67.900000000000006</v>
      </c>
      <c r="V5434" s="2">
        <v>64</v>
      </c>
      <c r="W5434" s="2" t="s">
        <v>7862</v>
      </c>
      <c r="X5434" s="2" t="s">
        <v>2897</v>
      </c>
      <c r="Y5434" s="2">
        <v>7676</v>
      </c>
      <c r="Z5434" s="19" t="str">
        <f>HYPERLINK("https://ssdweb.co/ssdweb/hd/Vision360.html?d=941351060&amp;zoomslide=1&amp;z=1941351060&amp;ISCONFIRM=0","VIDEO")</f>
        <v>VIDEO</v>
      </c>
      <c r="AA5434" s="19" t="str">
        <f>HYPERLINK("https://ssdweb.co/ssdweb/CERTH/692505684.pdf","CERTI")</f>
        <v>CERTI</v>
      </c>
    </row>
    <row r="5435" spans="1:27" ht="15" x14ac:dyDescent="0.25">
      <c r="A5435" s="2">
        <v>5430</v>
      </c>
      <c r="B5435" s="39">
        <v>941351048</v>
      </c>
      <c r="C5435" s="28" t="str">
        <f>HYPERLINK("https://pld.live/RapDetail.aspx?STONELIST=941351048","DNA")</f>
        <v>DNA</v>
      </c>
      <c r="D5435" s="18" t="s">
        <v>3054</v>
      </c>
      <c r="E5435" s="18" t="s">
        <v>5128</v>
      </c>
      <c r="F5435" s="2" t="s">
        <v>7987</v>
      </c>
      <c r="G5435" s="2" t="s">
        <v>7322</v>
      </c>
      <c r="H5435" s="14">
        <v>1.01</v>
      </c>
      <c r="I5435" s="2" t="s">
        <v>267</v>
      </c>
      <c r="J5435" s="2" t="s">
        <v>3942</v>
      </c>
      <c r="K5435" s="2" t="s">
        <v>1452</v>
      </c>
      <c r="L5435" s="2" t="s">
        <v>5221</v>
      </c>
      <c r="M5435" s="2" t="s">
        <v>5221</v>
      </c>
      <c r="N5435" s="2" t="s">
        <v>2317</v>
      </c>
      <c r="O5435" s="14">
        <v>7600</v>
      </c>
      <c r="P5435" s="14">
        <v>98.45</v>
      </c>
      <c r="Q5435" s="14">
        <v>117.8</v>
      </c>
      <c r="R5435" s="14">
        <v>118.98</v>
      </c>
      <c r="S5435" s="2" t="s">
        <v>5133</v>
      </c>
      <c r="T5435" s="2">
        <v>1.39</v>
      </c>
      <c r="U5435" s="2">
        <v>67.400000000000006</v>
      </c>
      <c r="V5435" s="2">
        <v>68</v>
      </c>
      <c r="W5435" s="2" t="s">
        <v>7862</v>
      </c>
      <c r="X5435" s="2" t="s">
        <v>2897</v>
      </c>
      <c r="Y5435" s="2">
        <v>7676</v>
      </c>
      <c r="Z5435" s="19" t="str">
        <f>HYPERLINK("https://ssdweb.co/ssdweb/hd/Vision360.html?d=941351048&amp;zoomslide=1&amp;z=1941351048&amp;ISCONFIRM=0","VIDEO")</f>
        <v>VIDEO</v>
      </c>
      <c r="AA5435" s="19" t="str">
        <f>HYPERLINK("https://ssdweb.co/ssdweb/CERTH/692505682.pdf","CERTI")</f>
        <v>CERTI</v>
      </c>
    </row>
    <row r="5436" spans="1:27" ht="15" x14ac:dyDescent="0.25">
      <c r="A5436" s="2">
        <v>5431</v>
      </c>
      <c r="B5436" s="39">
        <v>941320822</v>
      </c>
      <c r="C5436" s="28" t="str">
        <f>HYPERLINK("https://pld.live/RapDetail.aspx?STONELIST=941320822","DNA")</f>
        <v>DNA</v>
      </c>
      <c r="D5436" s="18" t="s">
        <v>3054</v>
      </c>
      <c r="E5436" s="18" t="s">
        <v>5128</v>
      </c>
      <c r="F5436" s="2" t="s">
        <v>7987</v>
      </c>
      <c r="G5436" s="2" t="s">
        <v>7322</v>
      </c>
      <c r="H5436" s="14">
        <v>1.01</v>
      </c>
      <c r="I5436" s="2" t="s">
        <v>267</v>
      </c>
      <c r="J5436" s="2" t="s">
        <v>3942</v>
      </c>
      <c r="K5436" s="2" t="s">
        <v>1452</v>
      </c>
      <c r="L5436" s="2" t="s">
        <v>5221</v>
      </c>
      <c r="M5436" s="2" t="s">
        <v>5221</v>
      </c>
      <c r="N5436" s="2" t="s">
        <v>2317</v>
      </c>
      <c r="O5436" s="14">
        <v>7600</v>
      </c>
      <c r="P5436" s="14">
        <v>98.45</v>
      </c>
      <c r="Q5436" s="14">
        <v>117.8</v>
      </c>
      <c r="R5436" s="14">
        <v>118.98</v>
      </c>
      <c r="S5436" s="2" t="s">
        <v>3036</v>
      </c>
      <c r="T5436" s="2">
        <v>1.41</v>
      </c>
      <c r="U5436" s="2">
        <v>67.400000000000006</v>
      </c>
      <c r="V5436" s="2">
        <v>66</v>
      </c>
      <c r="W5436" s="2" t="s">
        <v>7862</v>
      </c>
      <c r="X5436" s="2" t="s">
        <v>2897</v>
      </c>
      <c r="Y5436" s="2">
        <v>7676</v>
      </c>
      <c r="Z5436" s="19" t="str">
        <f>HYPERLINK("https://ssdweb.co/ssdweb/hd/Vision360.html?d=941320822&amp;zoomslide=1&amp;z=1941320822&amp;ISCONFIRM=0","VIDEO")</f>
        <v>VIDEO</v>
      </c>
      <c r="AA5436" s="19" t="str">
        <f>HYPERLINK("https://ssdweb.co/ssdweb/CERTH/692505679.pdf","CERTI")</f>
        <v>CERTI</v>
      </c>
    </row>
    <row r="5437" spans="1:27" ht="15" x14ac:dyDescent="0.25">
      <c r="A5437" s="2">
        <v>5432</v>
      </c>
      <c r="B5437" s="39">
        <v>927101061</v>
      </c>
      <c r="C5437" s="28" t="str">
        <f>HYPERLINK("https://pld.live/RapDetail.aspx?STONELIST=927101061","DNA")</f>
        <v>DNA</v>
      </c>
      <c r="D5437" s="18" t="s">
        <v>3054</v>
      </c>
      <c r="E5437" s="18" t="s">
        <v>5128</v>
      </c>
      <c r="F5437" s="2" t="s">
        <v>7987</v>
      </c>
      <c r="G5437" s="2" t="s">
        <v>7322</v>
      </c>
      <c r="H5437" s="14">
        <v>1.01</v>
      </c>
      <c r="I5437" s="2" t="s">
        <v>267</v>
      </c>
      <c r="J5437" s="2" t="s">
        <v>3942</v>
      </c>
      <c r="K5437" s="2" t="s">
        <v>1452</v>
      </c>
      <c r="L5437" s="2" t="s">
        <v>5221</v>
      </c>
      <c r="M5437" s="2" t="s">
        <v>5221</v>
      </c>
      <c r="N5437" s="2" t="s">
        <v>2317</v>
      </c>
      <c r="O5437" s="14">
        <v>7600</v>
      </c>
      <c r="P5437" s="14">
        <v>98.46</v>
      </c>
      <c r="Q5437" s="14">
        <v>117.04</v>
      </c>
      <c r="R5437" s="14">
        <v>118.21</v>
      </c>
      <c r="S5437" s="2" t="s">
        <v>4139</v>
      </c>
      <c r="T5437" s="2">
        <v>1.43</v>
      </c>
      <c r="U5437" s="2">
        <v>63.9</v>
      </c>
      <c r="V5437" s="2">
        <v>70</v>
      </c>
      <c r="W5437" s="2" t="s">
        <v>7862</v>
      </c>
      <c r="X5437" s="2" t="s">
        <v>2897</v>
      </c>
      <c r="Y5437" s="2">
        <v>7676</v>
      </c>
      <c r="Z5437" s="19" t="str">
        <f>HYPERLINK("https://ssdweb.co/ssdweb/hd/Vision360.html?d=927101061&amp;zoomslide=1&amp;z=1927101061&amp;ISCONFIRM=0","VIDEO")</f>
        <v>VIDEO</v>
      </c>
      <c r="AA5437" s="19" t="str">
        <f>HYPERLINK("https://ssdweb.co/ssdweb/CERTH/665453216.pdf","CERTI")</f>
        <v>CERTI</v>
      </c>
    </row>
    <row r="5438" spans="1:27" ht="15" x14ac:dyDescent="0.25">
      <c r="A5438" s="2">
        <v>5433</v>
      </c>
      <c r="B5438" s="39">
        <v>927100975</v>
      </c>
      <c r="C5438" s="28" t="str">
        <f>HYPERLINK("https://pld.live/RapDetail.aspx?STONELIST=927100975","DNA")</f>
        <v>DNA</v>
      </c>
      <c r="D5438" s="18" t="s">
        <v>3054</v>
      </c>
      <c r="E5438" s="18" t="s">
        <v>5128</v>
      </c>
      <c r="F5438" s="2" t="s">
        <v>7987</v>
      </c>
      <c r="G5438" s="2" t="s">
        <v>7322</v>
      </c>
      <c r="H5438" s="14">
        <v>1.01</v>
      </c>
      <c r="I5438" s="2" t="s">
        <v>267</v>
      </c>
      <c r="J5438" s="2" t="s">
        <v>3942</v>
      </c>
      <c r="K5438" s="2" t="s">
        <v>1452</v>
      </c>
      <c r="L5438" s="2" t="s">
        <v>5221</v>
      </c>
      <c r="M5438" s="2" t="s">
        <v>5221</v>
      </c>
      <c r="N5438" s="2" t="s">
        <v>2317</v>
      </c>
      <c r="O5438" s="14">
        <v>7600</v>
      </c>
      <c r="P5438" s="14">
        <v>98.46</v>
      </c>
      <c r="Q5438" s="14">
        <v>117.04</v>
      </c>
      <c r="R5438" s="14">
        <v>118.21</v>
      </c>
      <c r="S5438" s="2" t="s">
        <v>239</v>
      </c>
      <c r="T5438" s="2">
        <v>1.43</v>
      </c>
      <c r="U5438" s="2">
        <v>64.599999999999994</v>
      </c>
      <c r="V5438" s="2">
        <v>68</v>
      </c>
      <c r="W5438" s="2" t="s">
        <v>7862</v>
      </c>
      <c r="X5438" s="2" t="s">
        <v>2897</v>
      </c>
      <c r="Y5438" s="2">
        <v>7676</v>
      </c>
      <c r="Z5438" s="19" t="str">
        <f>HYPERLINK("https://ssdweb.co/ssdweb/hd/Vision360.html?d=927100975&amp;zoomslide=1&amp;z=1927100975&amp;ISCONFIRM=0","VIDEO")</f>
        <v>VIDEO</v>
      </c>
      <c r="AA5438" s="19" t="str">
        <f>HYPERLINK("https://ssdweb.co/ssdweb/CERTH/665453177.pdf","CERTI")</f>
        <v>CERTI</v>
      </c>
    </row>
    <row r="5439" spans="1:27" ht="15" x14ac:dyDescent="0.25">
      <c r="A5439" s="2">
        <v>5434</v>
      </c>
      <c r="B5439" s="39">
        <v>926211055</v>
      </c>
      <c r="C5439" s="28" t="str">
        <f>HYPERLINK("https://pld.live/RapDetail.aspx?STONELIST=926211055","DNA")</f>
        <v>DNA</v>
      </c>
      <c r="D5439" s="18" t="s">
        <v>3054</v>
      </c>
      <c r="E5439" s="18" t="s">
        <v>5128</v>
      </c>
      <c r="F5439" s="2" t="s">
        <v>7987</v>
      </c>
      <c r="G5439" s="2" t="s">
        <v>7322</v>
      </c>
      <c r="H5439" s="14">
        <v>1.01</v>
      </c>
      <c r="I5439" s="2" t="s">
        <v>267</v>
      </c>
      <c r="J5439" s="2" t="s">
        <v>3942</v>
      </c>
      <c r="K5439" s="2" t="s">
        <v>1452</v>
      </c>
      <c r="L5439" s="2" t="s">
        <v>5721</v>
      </c>
      <c r="M5439" s="2" t="s">
        <v>5221</v>
      </c>
      <c r="N5439" s="2" t="s">
        <v>2317</v>
      </c>
      <c r="O5439" s="14">
        <v>7600</v>
      </c>
      <c r="P5439" s="14">
        <v>98.49</v>
      </c>
      <c r="Q5439" s="14">
        <v>114.76</v>
      </c>
      <c r="R5439" s="14">
        <v>115.91</v>
      </c>
      <c r="S5439" s="2" t="s">
        <v>4856</v>
      </c>
      <c r="T5439" s="2">
        <v>1.35</v>
      </c>
      <c r="U5439" s="2">
        <v>66.900000000000006</v>
      </c>
      <c r="V5439" s="2">
        <v>62</v>
      </c>
      <c r="W5439" s="2" t="s">
        <v>7862</v>
      </c>
      <c r="X5439" s="2" t="s">
        <v>2897</v>
      </c>
      <c r="Y5439" s="2">
        <v>7676</v>
      </c>
      <c r="Z5439" s="19" t="str">
        <f>HYPERLINK("https://ssdweb.co/ssdweb/hd/Vision360.html?d=926211055&amp;zoomslide=1&amp;z=1926211055&amp;ISCONFIRM=0","VIDEO")</f>
        <v>VIDEO</v>
      </c>
      <c r="AA5439" s="19" t="str">
        <f>HYPERLINK("https://ssdweb.co/ssdweb/CERTH/638463244.pdf","CERTI")</f>
        <v>CERTI</v>
      </c>
    </row>
    <row r="5440" spans="1:27" ht="15" x14ac:dyDescent="0.25">
      <c r="A5440" s="2">
        <v>5435</v>
      </c>
      <c r="B5440" s="39">
        <v>926630894</v>
      </c>
      <c r="C5440" s="28" t="str">
        <f>HYPERLINK("https://pld.live/RapDetail.aspx?STONELIST=926630894","DNA")</f>
        <v>DNA</v>
      </c>
      <c r="D5440" s="18" t="s">
        <v>3054</v>
      </c>
      <c r="E5440" s="18" t="s">
        <v>5128</v>
      </c>
      <c r="F5440" s="2" t="s">
        <v>7987</v>
      </c>
      <c r="G5440" s="2" t="s">
        <v>7322</v>
      </c>
      <c r="H5440" s="14">
        <v>1.01</v>
      </c>
      <c r="I5440" s="2" t="s">
        <v>267</v>
      </c>
      <c r="J5440" s="2" t="s">
        <v>13</v>
      </c>
      <c r="K5440" s="2" t="s">
        <v>1452</v>
      </c>
      <c r="L5440" s="2" t="s">
        <v>5221</v>
      </c>
      <c r="M5440" s="2" t="s">
        <v>5221</v>
      </c>
      <c r="N5440" s="2" t="s">
        <v>2317</v>
      </c>
      <c r="O5440" s="14">
        <v>6700</v>
      </c>
      <c r="P5440" s="14">
        <v>98.3</v>
      </c>
      <c r="Q5440" s="14">
        <v>113.9</v>
      </c>
      <c r="R5440" s="14">
        <v>115.04</v>
      </c>
      <c r="S5440" s="2" t="s">
        <v>5936</v>
      </c>
      <c r="T5440" s="2">
        <v>1.36</v>
      </c>
      <c r="U5440" s="2">
        <v>66.8</v>
      </c>
      <c r="V5440" s="2">
        <v>69</v>
      </c>
      <c r="W5440" s="2" t="s">
        <v>7862</v>
      </c>
      <c r="X5440" s="2" t="s">
        <v>2897</v>
      </c>
      <c r="Y5440" s="2">
        <v>6767</v>
      </c>
      <c r="Z5440" s="19" t="str">
        <f>HYPERLINK("https://ssdweb.co/ssdweb/hd/Vision360.html?d=926630894&amp;zoomslide=1&amp;z=1926630894&amp;ISCONFIRM=0","VIDEO")</f>
        <v>VIDEO</v>
      </c>
      <c r="AA5440" s="19" t="str">
        <f>HYPERLINK("https://ssdweb.co/ssdweb/CERTH/666408375.pdf","CERTI")</f>
        <v>CERTI</v>
      </c>
    </row>
    <row r="5441" spans="1:27" ht="15" x14ac:dyDescent="0.25">
      <c r="A5441" s="2">
        <v>5436</v>
      </c>
      <c r="B5441" s="39">
        <v>926520159</v>
      </c>
      <c r="C5441" s="28" t="str">
        <f>HYPERLINK("https://pld.live/RapDetail.aspx?STONELIST=926520159","DNA")</f>
        <v>DNA</v>
      </c>
      <c r="D5441" s="18" t="s">
        <v>3054</v>
      </c>
      <c r="E5441" s="18" t="s">
        <v>5128</v>
      </c>
      <c r="F5441" s="2" t="s">
        <v>7987</v>
      </c>
      <c r="G5441" s="2" t="s">
        <v>7322</v>
      </c>
      <c r="H5441" s="14">
        <v>1.01</v>
      </c>
      <c r="I5441" s="2" t="s">
        <v>267</v>
      </c>
      <c r="J5441" s="2" t="s">
        <v>13</v>
      </c>
      <c r="K5441" s="2" t="s">
        <v>1452</v>
      </c>
      <c r="L5441" s="2" t="s">
        <v>5221</v>
      </c>
      <c r="M5441" s="2" t="s">
        <v>5221</v>
      </c>
      <c r="N5441" s="2" t="s">
        <v>2317</v>
      </c>
      <c r="O5441" s="14">
        <v>6700</v>
      </c>
      <c r="P5441" s="14">
        <v>98.3</v>
      </c>
      <c r="Q5441" s="14">
        <v>113.9</v>
      </c>
      <c r="R5441" s="14">
        <v>115.04</v>
      </c>
      <c r="S5441" s="2" t="s">
        <v>851</v>
      </c>
      <c r="T5441" s="2">
        <v>1.4</v>
      </c>
      <c r="U5441" s="2">
        <v>64.900000000000006</v>
      </c>
      <c r="V5441" s="2">
        <v>65</v>
      </c>
      <c r="W5441" s="2" t="s">
        <v>7862</v>
      </c>
      <c r="X5441" s="2" t="s">
        <v>2897</v>
      </c>
      <c r="Y5441" s="2">
        <v>6767</v>
      </c>
      <c r="Z5441" s="19" t="str">
        <f>HYPERLINK("https://ssdweb.co/ssdweb/hd/Vision360.html?d=926520159&amp;zoomslide=1&amp;z=1926520159&amp;ISCONFIRM=0","VIDEO")</f>
        <v>VIDEO</v>
      </c>
      <c r="AA5441" s="19" t="str">
        <f>HYPERLINK("https://ssdweb.co/ssdweb/CERTH/666408373.pdf","CERTI")</f>
        <v>CERTI</v>
      </c>
    </row>
    <row r="5442" spans="1:27" ht="15" x14ac:dyDescent="0.25">
      <c r="A5442" s="2">
        <v>5437</v>
      </c>
      <c r="B5442" s="39">
        <v>831010461</v>
      </c>
      <c r="C5442" s="28" t="str">
        <f>HYPERLINK("https://pld.live/RapDetail.aspx?STONELIST=831010461","DNA")</f>
        <v>DNA</v>
      </c>
      <c r="D5442" s="18" t="s">
        <v>3054</v>
      </c>
      <c r="E5442" s="18" t="s">
        <v>5128</v>
      </c>
      <c r="F5442" s="2" t="s">
        <v>5597</v>
      </c>
      <c r="G5442" s="2" t="s">
        <v>7322</v>
      </c>
      <c r="H5442" s="14">
        <v>1.01</v>
      </c>
      <c r="I5442" s="2" t="s">
        <v>267</v>
      </c>
      <c r="J5442" s="2" t="s">
        <v>13</v>
      </c>
      <c r="K5442" s="2" t="s">
        <v>1452</v>
      </c>
      <c r="L5442" s="2" t="s">
        <v>5221</v>
      </c>
      <c r="M5442" s="2" t="s">
        <v>5221</v>
      </c>
      <c r="N5442" s="2" t="s">
        <v>2317</v>
      </c>
      <c r="O5442" s="14">
        <v>6700</v>
      </c>
      <c r="P5442" s="14">
        <v>97</v>
      </c>
      <c r="Q5442" s="14">
        <v>201</v>
      </c>
      <c r="R5442" s="14">
        <v>203.01</v>
      </c>
      <c r="S5442" s="2" t="s">
        <v>630</v>
      </c>
      <c r="T5442" s="2">
        <v>1.45</v>
      </c>
      <c r="U5442" s="2">
        <v>67.2</v>
      </c>
      <c r="V5442" s="2">
        <v>63</v>
      </c>
      <c r="W5442" s="2" t="s">
        <v>7862</v>
      </c>
      <c r="X5442" s="2" t="s">
        <v>2897</v>
      </c>
      <c r="Y5442" s="2">
        <v>6767</v>
      </c>
      <c r="Z5442" s="19" t="str">
        <f>HYPERLINK("https://ssdweb.co/ssdweb/hd/Vision360.html?d=831010461&amp;zoomslide=1&amp;z=1831010461&amp;ISCONFIRM=0","VIDEO")</f>
        <v>VIDEO</v>
      </c>
      <c r="AA5442" s="19" t="str">
        <f>HYPERLINK("https://ssdweb.co/ssdweb/CERTH/1455208479.pdf","CERTI")</f>
        <v>CERTI</v>
      </c>
    </row>
    <row r="5443" spans="1:27" ht="15" x14ac:dyDescent="0.25">
      <c r="A5443" s="2">
        <v>5438</v>
      </c>
      <c r="B5443" s="39">
        <v>926870868</v>
      </c>
      <c r="C5443" s="28" t="str">
        <f>HYPERLINK("https://pld.live/RapDetail.aspx?STONELIST=926870868","DNA")</f>
        <v>DNA</v>
      </c>
      <c r="D5443" s="18" t="s">
        <v>3054</v>
      </c>
      <c r="E5443" s="18" t="s">
        <v>5128</v>
      </c>
      <c r="F5443" s="2" t="s">
        <v>7987</v>
      </c>
      <c r="G5443" s="2" t="s">
        <v>7322</v>
      </c>
      <c r="H5443" s="14">
        <v>1.01</v>
      </c>
      <c r="I5443" s="2" t="s">
        <v>267</v>
      </c>
      <c r="J5443" s="2" t="s">
        <v>13</v>
      </c>
      <c r="K5443" s="2" t="s">
        <v>1452</v>
      </c>
      <c r="L5443" s="2" t="s">
        <v>5221</v>
      </c>
      <c r="M5443" s="2" t="s">
        <v>5221</v>
      </c>
      <c r="N5443" s="2" t="s">
        <v>2317</v>
      </c>
      <c r="O5443" s="14">
        <v>6700</v>
      </c>
      <c r="P5443" s="14">
        <v>98.3</v>
      </c>
      <c r="Q5443" s="14">
        <v>113.9</v>
      </c>
      <c r="R5443" s="14">
        <v>115.04</v>
      </c>
      <c r="S5443" s="2" t="s">
        <v>7890</v>
      </c>
      <c r="T5443" s="2">
        <v>1.36</v>
      </c>
      <c r="U5443" s="2">
        <v>67.7</v>
      </c>
      <c r="V5443" s="2">
        <v>61</v>
      </c>
      <c r="W5443" s="2" t="s">
        <v>7862</v>
      </c>
      <c r="X5443" s="2" t="s">
        <v>2897</v>
      </c>
      <c r="Y5443" s="2">
        <v>6767</v>
      </c>
      <c r="Z5443" s="19" t="str">
        <f>HYPERLINK("https://ssdweb.co/ssdweb/hd/Vision360.html?d=926870868&amp;zoomslide=1&amp;z=1926870868&amp;ISCONFIRM=0","VIDEO")</f>
        <v>VIDEO</v>
      </c>
      <c r="AA5443" s="19" t="str">
        <f>HYPERLINK("https://ssdweb.co/ssdweb/CERTH/653451074.pdf","CERTI")</f>
        <v>CERTI</v>
      </c>
    </row>
    <row r="5444" spans="1:27" ht="15" x14ac:dyDescent="0.25">
      <c r="A5444" s="2">
        <v>5439</v>
      </c>
      <c r="B5444" s="39">
        <v>941200169</v>
      </c>
      <c r="C5444" s="28" t="str">
        <f>HYPERLINK("https://pld.live/RapDetail.aspx?STONELIST=941200169","DNA")</f>
        <v>DNA</v>
      </c>
      <c r="D5444" s="18" t="s">
        <v>3054</v>
      </c>
      <c r="E5444" s="18" t="s">
        <v>2186</v>
      </c>
      <c r="F5444" s="2" t="s">
        <v>7987</v>
      </c>
      <c r="G5444" s="2" t="s">
        <v>7322</v>
      </c>
      <c r="H5444" s="14">
        <v>1.01</v>
      </c>
      <c r="I5444" s="2" t="s">
        <v>267</v>
      </c>
      <c r="J5444" s="2" t="s">
        <v>13</v>
      </c>
      <c r="K5444" s="2" t="s">
        <v>1452</v>
      </c>
      <c r="L5444" s="2" t="s">
        <v>5221</v>
      </c>
      <c r="M5444" s="2" t="s">
        <v>5221</v>
      </c>
      <c r="N5444" s="2" t="s">
        <v>2317</v>
      </c>
      <c r="O5444" s="14">
        <v>6700</v>
      </c>
      <c r="P5444" s="14">
        <v>98.28</v>
      </c>
      <c r="Q5444" s="14">
        <v>115.24</v>
      </c>
      <c r="R5444" s="14">
        <v>116.39</v>
      </c>
      <c r="S5444" s="2" t="s">
        <v>5285</v>
      </c>
      <c r="T5444" s="2">
        <v>1.38</v>
      </c>
      <c r="U5444" s="2">
        <v>68.099999999999994</v>
      </c>
      <c r="V5444" s="2">
        <v>67</v>
      </c>
      <c r="W5444" s="2" t="s">
        <v>7862</v>
      </c>
      <c r="X5444" s="2" t="s">
        <v>2897</v>
      </c>
      <c r="Y5444" s="2">
        <v>6767</v>
      </c>
      <c r="Z5444" s="19" t="str">
        <f>HYPERLINK("https://ssdweb.co/ssdweb/hd/Vision360.html?d=941200169&amp;zoomslide=1&amp;z=1941200169&amp;ISCONFIRM=0","VIDEO")</f>
        <v>VIDEO</v>
      </c>
      <c r="AA5444" s="19" t="str">
        <f>HYPERLINK("https://ssdweb.co/ssdweb/CERTH/678564521.pdf","CERTI")</f>
        <v>CERTI</v>
      </c>
    </row>
    <row r="5445" spans="1:27" ht="15" x14ac:dyDescent="0.25">
      <c r="A5445" s="2">
        <v>5440</v>
      </c>
      <c r="B5445" s="39">
        <v>925360278</v>
      </c>
      <c r="C5445" s="28" t="str">
        <f>HYPERLINK("https://pld.live/RapDetail.aspx?STONELIST=925360278","DNA")</f>
        <v>DNA</v>
      </c>
      <c r="D5445" s="18" t="s">
        <v>3054</v>
      </c>
      <c r="E5445" s="18" t="s">
        <v>5128</v>
      </c>
      <c r="F5445" s="2" t="s">
        <v>7987</v>
      </c>
      <c r="G5445" s="2" t="s">
        <v>7322</v>
      </c>
      <c r="H5445" s="14">
        <v>1.01</v>
      </c>
      <c r="I5445" s="2" t="s">
        <v>267</v>
      </c>
      <c r="J5445" s="2" t="s">
        <v>13</v>
      </c>
      <c r="K5445" s="2" t="s">
        <v>1452</v>
      </c>
      <c r="L5445" s="2" t="s">
        <v>5221</v>
      </c>
      <c r="M5445" s="2" t="s">
        <v>5221</v>
      </c>
      <c r="N5445" s="2" t="s">
        <v>2317</v>
      </c>
      <c r="O5445" s="14">
        <v>6700</v>
      </c>
      <c r="P5445" s="14">
        <v>98.34</v>
      </c>
      <c r="Q5445" s="14">
        <v>111.22</v>
      </c>
      <c r="R5445" s="14">
        <v>112.33</v>
      </c>
      <c r="S5445" s="2" t="s">
        <v>5564</v>
      </c>
      <c r="T5445" s="2">
        <v>1.53</v>
      </c>
      <c r="U5445" s="2">
        <v>66.7</v>
      </c>
      <c r="V5445" s="2">
        <v>67</v>
      </c>
      <c r="W5445" s="2" t="s">
        <v>7862</v>
      </c>
      <c r="X5445" s="2" t="s">
        <v>2897</v>
      </c>
      <c r="Y5445" s="2">
        <v>6767</v>
      </c>
      <c r="Z5445" s="19" t="str">
        <f>HYPERLINK("https://ssdweb.co/ssdweb/hd/Vision360.html?d=925360278&amp;zoomslide=1&amp;z=1925360278&amp;ISCONFIRM=0","VIDEO")</f>
        <v>VIDEO</v>
      </c>
      <c r="AA5445" s="19" t="str">
        <f>HYPERLINK("https://ssdweb.co/ssdweb/CERTH/616403557.pdf","CERTI")</f>
        <v>CERTI</v>
      </c>
    </row>
    <row r="5446" spans="1:27" ht="15" x14ac:dyDescent="0.25">
      <c r="A5446" s="2">
        <v>5441</v>
      </c>
      <c r="B5446" s="39">
        <v>941021358</v>
      </c>
      <c r="C5446" s="28" t="str">
        <f>HYPERLINK("https://pld.live/RapDetail.aspx?STONELIST=941021358","DNA")</f>
        <v>DNA</v>
      </c>
      <c r="D5446" s="18" t="s">
        <v>3054</v>
      </c>
      <c r="E5446" s="18" t="s">
        <v>5128</v>
      </c>
      <c r="F5446" s="2" t="s">
        <v>7987</v>
      </c>
      <c r="G5446" s="2" t="s">
        <v>7322</v>
      </c>
      <c r="H5446" s="14">
        <v>1.01</v>
      </c>
      <c r="I5446" s="2" t="s">
        <v>267</v>
      </c>
      <c r="J5446" s="2" t="s">
        <v>13</v>
      </c>
      <c r="K5446" s="2" t="s">
        <v>1452</v>
      </c>
      <c r="L5446" s="2" t="s">
        <v>5221</v>
      </c>
      <c r="M5446" s="2" t="s">
        <v>5221</v>
      </c>
      <c r="N5446" s="2" t="s">
        <v>2317</v>
      </c>
      <c r="O5446" s="14">
        <v>6700</v>
      </c>
      <c r="P5446" s="14">
        <v>98.28</v>
      </c>
      <c r="Q5446" s="14">
        <v>115.24</v>
      </c>
      <c r="R5446" s="14">
        <v>116.39</v>
      </c>
      <c r="S5446" s="2" t="s">
        <v>4711</v>
      </c>
      <c r="T5446" s="2">
        <v>1.4</v>
      </c>
      <c r="U5446" s="2">
        <v>63.7</v>
      </c>
      <c r="V5446" s="2">
        <v>69</v>
      </c>
      <c r="W5446" s="2" t="s">
        <v>7862</v>
      </c>
      <c r="X5446" s="2" t="s">
        <v>2897</v>
      </c>
      <c r="Y5446" s="2">
        <v>6767</v>
      </c>
      <c r="Z5446" s="19" t="str">
        <f>HYPERLINK("https://ssdweb.co/ssdweb/hd/Vision360.html?d=941021358&amp;zoomslide=1&amp;z=1941021358&amp;ISCONFIRM=0","VIDEO")</f>
        <v>VIDEO</v>
      </c>
      <c r="AA5446" s="19" t="str">
        <f>HYPERLINK("https://ssdweb.co/ssdweb/CERTH/669458229.pdf","CERTI")</f>
        <v>CERTI</v>
      </c>
    </row>
    <row r="5447" spans="1:27" ht="15" x14ac:dyDescent="0.25">
      <c r="A5447" s="2">
        <v>5442</v>
      </c>
      <c r="B5447" s="39">
        <v>924230281</v>
      </c>
      <c r="C5447" s="28" t="str">
        <f>HYPERLINK("https://pld.live/RapDetail.aspx?STONELIST=924230281","DNA")</f>
        <v>DNA</v>
      </c>
      <c r="D5447" s="18" t="s">
        <v>3054</v>
      </c>
      <c r="E5447" s="18" t="s">
        <v>5128</v>
      </c>
      <c r="F5447" s="2" t="s">
        <v>5597</v>
      </c>
      <c r="G5447" s="2" t="s">
        <v>7322</v>
      </c>
      <c r="H5447" s="14">
        <v>1.01</v>
      </c>
      <c r="I5447" s="2" t="s">
        <v>267</v>
      </c>
      <c r="J5447" s="2" t="s">
        <v>5144</v>
      </c>
      <c r="K5447" s="2" t="s">
        <v>1452</v>
      </c>
      <c r="L5447" s="2" t="s">
        <v>5221</v>
      </c>
      <c r="M5447" s="2" t="s">
        <v>5221</v>
      </c>
      <c r="N5447" s="2" t="s">
        <v>2317</v>
      </c>
      <c r="O5447" s="14">
        <v>5700</v>
      </c>
      <c r="P5447" s="14">
        <v>96.54</v>
      </c>
      <c r="Q5447" s="14">
        <v>197.22</v>
      </c>
      <c r="R5447" s="14">
        <v>199.19</v>
      </c>
      <c r="S5447" s="2" t="s">
        <v>4881</v>
      </c>
      <c r="T5447" s="2">
        <v>1.36</v>
      </c>
      <c r="U5447" s="2">
        <v>68.5</v>
      </c>
      <c r="V5447" s="2">
        <v>67</v>
      </c>
      <c r="W5447" s="2" t="s">
        <v>7862</v>
      </c>
      <c r="X5447" s="2" t="s">
        <v>2897</v>
      </c>
      <c r="Y5447" s="2">
        <v>5757</v>
      </c>
      <c r="Z5447" s="19" t="str">
        <f>HYPERLINK("https://ssdweb.co/ssdweb/hd/Vision360.html?d=924230281&amp;zoomslide=1&amp;z=1924230281&amp;ISCONFIRM=0","VIDEO")</f>
        <v>VIDEO</v>
      </c>
      <c r="AA5447" s="19" t="str">
        <f>HYPERLINK("https://ssdweb.co/ssdweb/CERTH/2466478726.pdf","CERTI")</f>
        <v>CERTI</v>
      </c>
    </row>
    <row r="5448" spans="1:27" ht="15" x14ac:dyDescent="0.25">
      <c r="A5448" s="2">
        <v>5443</v>
      </c>
      <c r="B5448" s="39">
        <v>831010553</v>
      </c>
      <c r="C5448" s="28" t="str">
        <f>HYPERLINK("https://pld.live/RapDetail.aspx?STONELIST=831010553","DNA")</f>
        <v>DNA</v>
      </c>
      <c r="D5448" s="18" t="s">
        <v>3054</v>
      </c>
      <c r="E5448" s="18" t="s">
        <v>5128</v>
      </c>
      <c r="F5448" s="2" t="s">
        <v>7987</v>
      </c>
      <c r="G5448" s="2" t="s">
        <v>7322</v>
      </c>
      <c r="H5448" s="14">
        <v>1.01</v>
      </c>
      <c r="I5448" s="2" t="s">
        <v>267</v>
      </c>
      <c r="J5448" s="2" t="s">
        <v>444</v>
      </c>
      <c r="K5448" s="2" t="s">
        <v>1452</v>
      </c>
      <c r="L5448" s="2" t="s">
        <v>5221</v>
      </c>
      <c r="M5448" s="2" t="s">
        <v>5221</v>
      </c>
      <c r="N5448" s="2" t="s">
        <v>2317</v>
      </c>
      <c r="O5448" s="14">
        <v>4600</v>
      </c>
      <c r="P5448" s="14">
        <v>97.8</v>
      </c>
      <c r="Q5448" s="14">
        <v>101.2</v>
      </c>
      <c r="R5448" s="14">
        <v>102.21</v>
      </c>
      <c r="S5448" s="2" t="s">
        <v>4125</v>
      </c>
      <c r="T5448" s="2">
        <v>1.4</v>
      </c>
      <c r="U5448" s="2">
        <v>67.3</v>
      </c>
      <c r="V5448" s="2">
        <v>63.5</v>
      </c>
      <c r="W5448" s="2" t="s">
        <v>7862</v>
      </c>
      <c r="X5448" s="2" t="s">
        <v>2897</v>
      </c>
      <c r="Y5448" s="2">
        <v>4646</v>
      </c>
      <c r="Z5448" s="19" t="str">
        <f>HYPERLINK("https://ssdweb.co/ssdweb/hd/Vision360.html?d=831010553&amp;zoomslide=1&amp;z=1831010553&amp;ISCONFIRM=0","VIDEO")</f>
        <v>VIDEO</v>
      </c>
      <c r="AA5448" s="19" t="str">
        <f>HYPERLINK("https://ssdweb.co/ssdweb/CERTH/561255671.pdf","CERTI")</f>
        <v>CERTI</v>
      </c>
    </row>
    <row r="5449" spans="1:27" ht="15" x14ac:dyDescent="0.25">
      <c r="A5449" s="2">
        <v>5444</v>
      </c>
      <c r="B5449" s="39">
        <v>925940476</v>
      </c>
      <c r="C5449" s="28" t="str">
        <f>HYPERLINK("https://pld.live/RapDetail.aspx?STONELIST=925940476","DNA")</f>
        <v>DNA</v>
      </c>
      <c r="D5449" s="18" t="s">
        <v>3054</v>
      </c>
      <c r="E5449" s="18" t="s">
        <v>5128</v>
      </c>
      <c r="F5449" s="2" t="s">
        <v>7987</v>
      </c>
      <c r="G5449" s="2" t="s">
        <v>7322</v>
      </c>
      <c r="H5449" s="14">
        <v>1.01</v>
      </c>
      <c r="I5449" s="2" t="s">
        <v>4761</v>
      </c>
      <c r="J5449" s="2" t="s">
        <v>6555</v>
      </c>
      <c r="K5449" s="2" t="s">
        <v>1452</v>
      </c>
      <c r="L5449" s="2" t="s">
        <v>5221</v>
      </c>
      <c r="M5449" s="2" t="s">
        <v>5221</v>
      </c>
      <c r="N5449" s="2" t="s">
        <v>2317</v>
      </c>
      <c r="O5449" s="14">
        <v>7500</v>
      </c>
      <c r="P5449" s="14">
        <v>98.39</v>
      </c>
      <c r="Q5449" s="14">
        <v>120.75</v>
      </c>
      <c r="R5449" s="14">
        <v>121.96</v>
      </c>
      <c r="S5449" s="2" t="s">
        <v>7884</v>
      </c>
      <c r="T5449" s="2">
        <v>1.55</v>
      </c>
      <c r="U5449" s="2">
        <v>63.5</v>
      </c>
      <c r="V5449" s="2">
        <v>68</v>
      </c>
      <c r="W5449" s="2" t="s">
        <v>7862</v>
      </c>
      <c r="X5449" s="2" t="s">
        <v>2897</v>
      </c>
      <c r="Y5449" s="2">
        <v>7575</v>
      </c>
      <c r="Z5449" s="19" t="str">
        <f>HYPERLINK("https://ssdweb.co/ssdweb/hd/Vision360.html?d=925940476&amp;zoomslide=1&amp;z=1925940476&amp;ISCONFIRM=0","VIDEO")</f>
        <v>VIDEO</v>
      </c>
      <c r="AA5449" s="19" t="str">
        <f>HYPERLINK("https://ssdweb.co/ssdweb/CERTH/628463092.pdf","CERTI")</f>
        <v>CERTI</v>
      </c>
    </row>
    <row r="5450" spans="1:27" ht="15" x14ac:dyDescent="0.25">
      <c r="A5450" s="2">
        <v>5445</v>
      </c>
      <c r="B5450" s="39">
        <v>941250689</v>
      </c>
      <c r="C5450" s="28" t="str">
        <f>HYPERLINK("https://pld.live/RapDetail.aspx?STONELIST=941250689","DNA")</f>
        <v>DNA</v>
      </c>
      <c r="D5450" s="18" t="s">
        <v>3054</v>
      </c>
      <c r="E5450" s="18" t="s">
        <v>2186</v>
      </c>
      <c r="F5450" s="2" t="s">
        <v>7987</v>
      </c>
      <c r="G5450" s="2" t="s">
        <v>7322</v>
      </c>
      <c r="H5450" s="14">
        <v>1.01</v>
      </c>
      <c r="I5450" s="2" t="s">
        <v>4761</v>
      </c>
      <c r="J5450" s="2" t="s">
        <v>6555</v>
      </c>
      <c r="K5450" s="2" t="s">
        <v>1452</v>
      </c>
      <c r="L5450" s="2" t="s">
        <v>5221</v>
      </c>
      <c r="M5450" s="2" t="s">
        <v>5221</v>
      </c>
      <c r="N5450" s="2" t="s">
        <v>2317</v>
      </c>
      <c r="O5450" s="14">
        <v>7500</v>
      </c>
      <c r="P5450" s="14">
        <v>98.33</v>
      </c>
      <c r="Q5450" s="14">
        <v>125.25</v>
      </c>
      <c r="R5450" s="14">
        <v>126.5</v>
      </c>
      <c r="S5450" s="2" t="s">
        <v>4530</v>
      </c>
      <c r="T5450" s="2">
        <v>1.42</v>
      </c>
      <c r="U5450" s="2">
        <v>64.599999999999994</v>
      </c>
      <c r="V5450" s="2">
        <v>67</v>
      </c>
      <c r="W5450" s="2" t="s">
        <v>7862</v>
      </c>
      <c r="X5450" s="2" t="s">
        <v>2897</v>
      </c>
      <c r="Y5450" s="2">
        <v>7575</v>
      </c>
      <c r="Z5450" s="19" t="str">
        <f>HYPERLINK("https://ssdweb.co/ssdweb/hd/Vision360.html?d=941250689&amp;zoomslide=1&amp;z=1941250689&amp;ISCONFIRM=0","VIDEO")</f>
        <v>VIDEO</v>
      </c>
      <c r="AA5450" s="19" t="str">
        <f>HYPERLINK("https://ssdweb.co/ssdweb/CERTH/689543244.pdf","CERTI")</f>
        <v>CERTI</v>
      </c>
    </row>
    <row r="5451" spans="1:27" ht="15" x14ac:dyDescent="0.25">
      <c r="A5451" s="2">
        <v>5446</v>
      </c>
      <c r="B5451" s="39">
        <v>927101083</v>
      </c>
      <c r="C5451" s="28" t="str">
        <f>HYPERLINK("https://pld.live/RapDetail.aspx?STONELIST=927101083","DNA")</f>
        <v>DNA</v>
      </c>
      <c r="D5451" s="18" t="s">
        <v>3054</v>
      </c>
      <c r="E5451" s="18" t="s">
        <v>5128</v>
      </c>
      <c r="F5451" s="2" t="s">
        <v>7987</v>
      </c>
      <c r="G5451" s="2" t="s">
        <v>7322</v>
      </c>
      <c r="H5451" s="14">
        <v>1.01</v>
      </c>
      <c r="I5451" s="2" t="s">
        <v>4761</v>
      </c>
      <c r="J5451" s="2" t="s">
        <v>6555</v>
      </c>
      <c r="K5451" s="2" t="s">
        <v>1452</v>
      </c>
      <c r="L5451" s="2" t="s">
        <v>5221</v>
      </c>
      <c r="M5451" s="2" t="s">
        <v>5221</v>
      </c>
      <c r="N5451" s="2" t="s">
        <v>2317</v>
      </c>
      <c r="O5451" s="14">
        <v>7500</v>
      </c>
      <c r="P5451" s="14">
        <v>98.35</v>
      </c>
      <c r="Q5451" s="14">
        <v>123.75</v>
      </c>
      <c r="R5451" s="14">
        <v>124.99</v>
      </c>
      <c r="S5451" s="2" t="s">
        <v>7570</v>
      </c>
      <c r="T5451" s="2">
        <v>1.44</v>
      </c>
      <c r="U5451" s="2">
        <v>64.900000000000006</v>
      </c>
      <c r="V5451" s="2">
        <v>68</v>
      </c>
      <c r="W5451" s="2" t="s">
        <v>7862</v>
      </c>
      <c r="X5451" s="2" t="s">
        <v>2897</v>
      </c>
      <c r="Y5451" s="2">
        <v>7575</v>
      </c>
      <c r="Z5451" s="19" t="str">
        <f>HYPERLINK("https://ssdweb.co/ssdweb/hd/Vision360.html?d=927101083&amp;zoomslide=1&amp;z=1927101083&amp;ISCONFIRM=0","VIDEO")</f>
        <v>VIDEO</v>
      </c>
      <c r="AA5451" s="19" t="str">
        <f>HYPERLINK("https://ssdweb.co/ssdweb/CERTH/665453217.pdf","CERTI")</f>
        <v>CERTI</v>
      </c>
    </row>
    <row r="5452" spans="1:27" ht="15" x14ac:dyDescent="0.25">
      <c r="A5452" s="2">
        <v>5447</v>
      </c>
      <c r="B5452" s="39">
        <v>927100991</v>
      </c>
      <c r="C5452" s="28" t="str">
        <f>HYPERLINK("https://pld.live/RapDetail.aspx?STONELIST=927100991","DNA")</f>
        <v>DNA</v>
      </c>
      <c r="D5452" s="18" t="s">
        <v>3054</v>
      </c>
      <c r="E5452" s="18" t="s">
        <v>5128</v>
      </c>
      <c r="F5452" s="2" t="s">
        <v>7987</v>
      </c>
      <c r="G5452" s="2" t="s">
        <v>7322</v>
      </c>
      <c r="H5452" s="14">
        <v>1.01</v>
      </c>
      <c r="I5452" s="2" t="s">
        <v>4761</v>
      </c>
      <c r="J5452" s="2" t="s">
        <v>6555</v>
      </c>
      <c r="K5452" s="2" t="s">
        <v>1452</v>
      </c>
      <c r="L5452" s="2" t="s">
        <v>5221</v>
      </c>
      <c r="M5452" s="2" t="s">
        <v>5221</v>
      </c>
      <c r="N5452" s="2" t="s">
        <v>2317</v>
      </c>
      <c r="O5452" s="14">
        <v>7500</v>
      </c>
      <c r="P5452" s="14">
        <v>98.35</v>
      </c>
      <c r="Q5452" s="14">
        <v>123.75</v>
      </c>
      <c r="R5452" s="14">
        <v>124.99</v>
      </c>
      <c r="S5452" s="2" t="s">
        <v>2021</v>
      </c>
      <c r="T5452" s="2">
        <v>1.43</v>
      </c>
      <c r="U5452" s="2">
        <v>66.2</v>
      </c>
      <c r="V5452" s="2">
        <v>67</v>
      </c>
      <c r="W5452" s="2" t="s">
        <v>7862</v>
      </c>
      <c r="X5452" s="2" t="s">
        <v>2897</v>
      </c>
      <c r="Y5452" s="2">
        <v>7575</v>
      </c>
      <c r="Z5452" s="19" t="str">
        <f>HYPERLINK("https://ssdweb.co/ssdweb/hd/Vision360.html?d=927100991&amp;zoomslide=1&amp;z=1927100991&amp;ISCONFIRM=0","VIDEO")</f>
        <v>VIDEO</v>
      </c>
      <c r="AA5452" s="19" t="str">
        <f>HYPERLINK("https://ssdweb.co/ssdweb/CERTH/665453181.pdf","CERTI")</f>
        <v>CERTI</v>
      </c>
    </row>
    <row r="5453" spans="1:27" ht="15" x14ac:dyDescent="0.25">
      <c r="A5453" s="2">
        <v>5448</v>
      </c>
      <c r="B5453" s="39">
        <v>926270056</v>
      </c>
      <c r="C5453" s="28" t="str">
        <f>HYPERLINK("https://pld.live/RapDetail.aspx?STONELIST=926270056","DNA")</f>
        <v>DNA</v>
      </c>
      <c r="D5453" s="18" t="s">
        <v>3054</v>
      </c>
      <c r="E5453" s="18" t="s">
        <v>5128</v>
      </c>
      <c r="F5453" s="2" t="s">
        <v>7987</v>
      </c>
      <c r="G5453" s="2" t="s">
        <v>7322</v>
      </c>
      <c r="H5453" s="14">
        <v>1.01</v>
      </c>
      <c r="I5453" s="2" t="s">
        <v>4761</v>
      </c>
      <c r="J5453" s="2" t="s">
        <v>3942</v>
      </c>
      <c r="K5453" s="2" t="s">
        <v>1452</v>
      </c>
      <c r="L5453" s="2" t="s">
        <v>5221</v>
      </c>
      <c r="M5453" s="2" t="s">
        <v>5221</v>
      </c>
      <c r="N5453" s="2" t="s">
        <v>2317</v>
      </c>
      <c r="O5453" s="14">
        <v>6900</v>
      </c>
      <c r="P5453" s="14">
        <v>98.35</v>
      </c>
      <c r="Q5453" s="14">
        <v>113.85</v>
      </c>
      <c r="R5453" s="14">
        <v>114.99</v>
      </c>
      <c r="S5453" s="2" t="s">
        <v>6677</v>
      </c>
      <c r="T5453" s="2">
        <v>1.35</v>
      </c>
      <c r="U5453" s="2">
        <v>67.599999999999994</v>
      </c>
      <c r="V5453" s="2">
        <v>65</v>
      </c>
      <c r="W5453" s="2" t="s">
        <v>7862</v>
      </c>
      <c r="X5453" s="2" t="s">
        <v>2897</v>
      </c>
      <c r="Y5453" s="2">
        <v>6969</v>
      </c>
      <c r="Z5453" s="19" t="str">
        <f>HYPERLINK("https://ssdweb.co/ssdweb/hd/Vision360.html?d=926270056&amp;zoomslide=1&amp;z=1926270056&amp;ISCONFIRM=0","VIDEO")</f>
        <v>VIDEO</v>
      </c>
      <c r="AA5453" s="19" t="str">
        <f>HYPERLINK("https://ssdweb.co/ssdweb/CERTH/638463234.pdf","CERTI")</f>
        <v>CERTI</v>
      </c>
    </row>
    <row r="5454" spans="1:27" ht="15" x14ac:dyDescent="0.25">
      <c r="A5454" s="2">
        <v>5449</v>
      </c>
      <c r="B5454" s="39">
        <v>926700725</v>
      </c>
      <c r="C5454" s="28" t="str">
        <f>HYPERLINK("https://pld.live/RapDetail.aspx?STONELIST=926700725","DNA")</f>
        <v>DNA</v>
      </c>
      <c r="D5454" s="18" t="s">
        <v>3054</v>
      </c>
      <c r="E5454" s="18" t="s">
        <v>5128</v>
      </c>
      <c r="F5454" s="2" t="s">
        <v>7987</v>
      </c>
      <c r="G5454" s="2" t="s">
        <v>7322</v>
      </c>
      <c r="H5454" s="14">
        <v>1.01</v>
      </c>
      <c r="I5454" s="2" t="s">
        <v>4761</v>
      </c>
      <c r="J5454" s="2" t="s">
        <v>3942</v>
      </c>
      <c r="K5454" s="2" t="s">
        <v>1452</v>
      </c>
      <c r="L5454" s="2" t="s">
        <v>5221</v>
      </c>
      <c r="M5454" s="2" t="s">
        <v>5221</v>
      </c>
      <c r="N5454" s="2" t="s">
        <v>2317</v>
      </c>
      <c r="O5454" s="14">
        <v>6900</v>
      </c>
      <c r="P5454" s="14">
        <v>98.33</v>
      </c>
      <c r="Q5454" s="14">
        <v>115.23</v>
      </c>
      <c r="R5454" s="14">
        <v>116.38</v>
      </c>
      <c r="S5454" s="2" t="s">
        <v>7249</v>
      </c>
      <c r="T5454" s="2">
        <v>1.42</v>
      </c>
      <c r="U5454" s="2">
        <v>64.8</v>
      </c>
      <c r="V5454" s="2">
        <v>61</v>
      </c>
      <c r="W5454" s="2" t="s">
        <v>7862</v>
      </c>
      <c r="X5454" s="2" t="s">
        <v>2897</v>
      </c>
      <c r="Y5454" s="2">
        <v>6969</v>
      </c>
      <c r="Z5454" s="19" t="str">
        <f>HYPERLINK("https://ssdweb.co/ssdweb/hd/Vision360.html?d=926700725&amp;zoomslide=1&amp;z=1926700725&amp;ISCONFIRM=0","VIDEO")</f>
        <v>VIDEO</v>
      </c>
      <c r="AA5454" s="19" t="str">
        <f>HYPERLINK("https://ssdweb.co/ssdweb/CERTH/656485748.pdf","CERTI")</f>
        <v>CERTI</v>
      </c>
    </row>
    <row r="5455" spans="1:27" ht="15" x14ac:dyDescent="0.25">
      <c r="A5455" s="2">
        <v>5450</v>
      </c>
      <c r="B5455" s="39">
        <v>926690760</v>
      </c>
      <c r="C5455" s="28" t="str">
        <f>HYPERLINK("https://pld.live/RapDetail.aspx?STONELIST=926690760","DNA")</f>
        <v>DNA</v>
      </c>
      <c r="D5455" s="18" t="s">
        <v>3054</v>
      </c>
      <c r="E5455" s="18" t="s">
        <v>5128</v>
      </c>
      <c r="F5455" s="2" t="s">
        <v>7987</v>
      </c>
      <c r="G5455" s="2" t="s">
        <v>7322</v>
      </c>
      <c r="H5455" s="14">
        <v>1.01</v>
      </c>
      <c r="I5455" s="2" t="s">
        <v>4761</v>
      </c>
      <c r="J5455" s="2" t="s">
        <v>3942</v>
      </c>
      <c r="K5455" s="2" t="s">
        <v>1452</v>
      </c>
      <c r="L5455" s="2" t="s">
        <v>5221</v>
      </c>
      <c r="M5455" s="2" t="s">
        <v>5221</v>
      </c>
      <c r="N5455" s="2" t="s">
        <v>2317</v>
      </c>
      <c r="O5455" s="14">
        <v>6900</v>
      </c>
      <c r="P5455" s="14">
        <v>98.33</v>
      </c>
      <c r="Q5455" s="14">
        <v>115.23</v>
      </c>
      <c r="R5455" s="14">
        <v>116.38</v>
      </c>
      <c r="S5455" s="2" t="s">
        <v>6110</v>
      </c>
      <c r="T5455" s="2">
        <v>1.36</v>
      </c>
      <c r="U5455" s="2">
        <v>68</v>
      </c>
      <c r="V5455" s="2">
        <v>62</v>
      </c>
      <c r="W5455" s="2" t="s">
        <v>7862</v>
      </c>
      <c r="X5455" s="2" t="s">
        <v>2897</v>
      </c>
      <c r="Y5455" s="2">
        <v>6969</v>
      </c>
      <c r="Z5455" s="19" t="str">
        <f>HYPERLINK("https://ssdweb.co/ssdweb/hd/Vision360.html?d=926690760&amp;zoomslide=1&amp;z=1926690760&amp;ISCONFIRM=0","VIDEO")</f>
        <v>VIDEO</v>
      </c>
      <c r="AA5455" s="19" t="str">
        <f>HYPERLINK("https://ssdweb.co/ssdweb/CERTH/649416390.pdf","CERTI")</f>
        <v>CERTI</v>
      </c>
    </row>
    <row r="5456" spans="1:27" ht="15" x14ac:dyDescent="0.25">
      <c r="A5456" s="2">
        <v>5451</v>
      </c>
      <c r="B5456" s="39">
        <v>926690742</v>
      </c>
      <c r="C5456" s="28" t="str">
        <f>HYPERLINK("https://pld.live/RapDetail.aspx?STONELIST=926690742","DNA")</f>
        <v>DNA</v>
      </c>
      <c r="D5456" s="18" t="s">
        <v>3054</v>
      </c>
      <c r="E5456" s="18" t="s">
        <v>5128</v>
      </c>
      <c r="F5456" s="2" t="s">
        <v>7987</v>
      </c>
      <c r="G5456" s="2" t="s">
        <v>7322</v>
      </c>
      <c r="H5456" s="14">
        <v>1.01</v>
      </c>
      <c r="I5456" s="2" t="s">
        <v>4761</v>
      </c>
      <c r="J5456" s="2" t="s">
        <v>3942</v>
      </c>
      <c r="K5456" s="2" t="s">
        <v>1452</v>
      </c>
      <c r="L5456" s="2" t="s">
        <v>5221</v>
      </c>
      <c r="M5456" s="2" t="s">
        <v>5221</v>
      </c>
      <c r="N5456" s="2" t="s">
        <v>2317</v>
      </c>
      <c r="O5456" s="14">
        <v>6900</v>
      </c>
      <c r="P5456" s="14">
        <v>98.33</v>
      </c>
      <c r="Q5456" s="14">
        <v>115.23</v>
      </c>
      <c r="R5456" s="14">
        <v>116.38</v>
      </c>
      <c r="S5456" s="2" t="s">
        <v>7801</v>
      </c>
      <c r="T5456" s="2">
        <v>1.37</v>
      </c>
      <c r="U5456" s="2">
        <v>68.8</v>
      </c>
      <c r="V5456" s="2">
        <v>69</v>
      </c>
      <c r="W5456" s="2" t="s">
        <v>7862</v>
      </c>
      <c r="X5456" s="2" t="s">
        <v>2897</v>
      </c>
      <c r="Y5456" s="2">
        <v>6969</v>
      </c>
      <c r="Z5456" s="19" t="str">
        <f>HYPERLINK("https://ssdweb.co/ssdweb/hd/Vision360.html?d=926690742&amp;zoomslide=1&amp;z=1926690742&amp;ISCONFIRM=0","VIDEO")</f>
        <v>VIDEO</v>
      </c>
      <c r="AA5456" s="19" t="str">
        <f>HYPERLINK("https://ssdweb.co/ssdweb/CERTH/649416386.pdf","CERTI")</f>
        <v>CERTI</v>
      </c>
    </row>
    <row r="5457" spans="1:27" ht="15" x14ac:dyDescent="0.25">
      <c r="A5457" s="2">
        <v>5452</v>
      </c>
      <c r="B5457" s="39">
        <v>926310841</v>
      </c>
      <c r="C5457" s="28" t="str">
        <f>HYPERLINK("https://pld.live/RapDetail.aspx?STONELIST=926310841","DNA")</f>
        <v>DNA</v>
      </c>
      <c r="D5457" s="18" t="s">
        <v>3054</v>
      </c>
      <c r="E5457" s="18" t="s">
        <v>5128</v>
      </c>
      <c r="F5457" s="2" t="s">
        <v>7987</v>
      </c>
      <c r="G5457" s="2" t="s">
        <v>7322</v>
      </c>
      <c r="H5457" s="14">
        <v>1.01</v>
      </c>
      <c r="I5457" s="2" t="s">
        <v>4761</v>
      </c>
      <c r="J5457" s="2" t="s">
        <v>3942</v>
      </c>
      <c r="K5457" s="2" t="s">
        <v>1452</v>
      </c>
      <c r="L5457" s="2" t="s">
        <v>5221</v>
      </c>
      <c r="M5457" s="2" t="s">
        <v>5221</v>
      </c>
      <c r="N5457" s="2" t="s">
        <v>2317</v>
      </c>
      <c r="O5457" s="14">
        <v>6900</v>
      </c>
      <c r="P5457" s="14">
        <v>98.35</v>
      </c>
      <c r="Q5457" s="14">
        <v>113.85</v>
      </c>
      <c r="R5457" s="14">
        <v>114.99</v>
      </c>
      <c r="S5457" s="2" t="s">
        <v>5039</v>
      </c>
      <c r="T5457" s="2">
        <v>1.36</v>
      </c>
      <c r="U5457" s="2">
        <v>68.5</v>
      </c>
      <c r="V5457" s="2">
        <v>65</v>
      </c>
      <c r="W5457" s="2" t="s">
        <v>7862</v>
      </c>
      <c r="X5457" s="2" t="s">
        <v>2897</v>
      </c>
      <c r="Y5457" s="2">
        <v>6969</v>
      </c>
      <c r="Z5457" s="19" t="str">
        <f>HYPERLINK("https://ssdweb.co/ssdweb/hd/Vision360.html?d=926310841&amp;zoomslide=1&amp;z=1926310841&amp;ISCONFIRM=0","VIDEO")</f>
        <v>VIDEO</v>
      </c>
      <c r="AA5457" s="19" t="str">
        <f>HYPERLINK("https://ssdweb.co/ssdweb/CERTH/644472431.pdf","CERTI")</f>
        <v>CERTI</v>
      </c>
    </row>
    <row r="5458" spans="1:27" ht="15" x14ac:dyDescent="0.25">
      <c r="A5458" s="2">
        <v>5453</v>
      </c>
      <c r="B5458" s="39">
        <v>926310770</v>
      </c>
      <c r="C5458" s="28" t="str">
        <f>HYPERLINK("https://pld.live/RapDetail.aspx?STONELIST=926310770","DNA")</f>
        <v>DNA</v>
      </c>
      <c r="D5458" s="18" t="s">
        <v>3054</v>
      </c>
      <c r="E5458" s="18" t="s">
        <v>5128</v>
      </c>
      <c r="F5458" s="2" t="s">
        <v>7987</v>
      </c>
      <c r="G5458" s="2" t="s">
        <v>7322</v>
      </c>
      <c r="H5458" s="14">
        <v>1.01</v>
      </c>
      <c r="I5458" s="2" t="s">
        <v>4761</v>
      </c>
      <c r="J5458" s="2" t="s">
        <v>3942</v>
      </c>
      <c r="K5458" s="2" t="s">
        <v>1452</v>
      </c>
      <c r="L5458" s="2" t="s">
        <v>5221</v>
      </c>
      <c r="M5458" s="2" t="s">
        <v>5221</v>
      </c>
      <c r="N5458" s="2" t="s">
        <v>2317</v>
      </c>
      <c r="O5458" s="14">
        <v>6900</v>
      </c>
      <c r="P5458" s="14">
        <v>98.35</v>
      </c>
      <c r="Q5458" s="14">
        <v>113.85</v>
      </c>
      <c r="R5458" s="14">
        <v>114.99</v>
      </c>
      <c r="S5458" s="2" t="s">
        <v>1045</v>
      </c>
      <c r="T5458" s="2">
        <v>1.36</v>
      </c>
      <c r="U5458" s="2">
        <v>65.099999999999994</v>
      </c>
      <c r="V5458" s="2">
        <v>65</v>
      </c>
      <c r="W5458" s="2" t="s">
        <v>7862</v>
      </c>
      <c r="X5458" s="2" t="s">
        <v>2897</v>
      </c>
      <c r="Y5458" s="2">
        <v>6969</v>
      </c>
      <c r="Z5458" s="19" t="str">
        <f>HYPERLINK("https://ssdweb.co/ssdweb/hd/Vision360.html?d=926310770&amp;zoomslide=1&amp;z=1926310770&amp;ISCONFIRM=0","VIDEO")</f>
        <v>VIDEO</v>
      </c>
      <c r="AA5458" s="19" t="str">
        <f>HYPERLINK("https://ssdweb.co/ssdweb/CERTH/644466877.pdf","CERTI")</f>
        <v>CERTI</v>
      </c>
    </row>
    <row r="5459" spans="1:27" ht="15" x14ac:dyDescent="0.25">
      <c r="A5459" s="2">
        <v>5454</v>
      </c>
      <c r="B5459" s="39">
        <v>926901034</v>
      </c>
      <c r="C5459" s="28" t="str">
        <f>HYPERLINK("https://pld.live/RapDetail.aspx?STONELIST=926901034","DNA")</f>
        <v>DNA</v>
      </c>
      <c r="D5459" s="18" t="s">
        <v>3054</v>
      </c>
      <c r="E5459" s="18" t="s">
        <v>5128</v>
      </c>
      <c r="F5459" s="2" t="s">
        <v>7987</v>
      </c>
      <c r="G5459" s="2" t="s">
        <v>7322</v>
      </c>
      <c r="H5459" s="14">
        <v>1.01</v>
      </c>
      <c r="I5459" s="2" t="s">
        <v>4761</v>
      </c>
      <c r="J5459" s="2" t="s">
        <v>13</v>
      </c>
      <c r="K5459" s="2" t="s">
        <v>1452</v>
      </c>
      <c r="L5459" s="2" t="s">
        <v>5221</v>
      </c>
      <c r="M5459" s="2" t="s">
        <v>5221</v>
      </c>
      <c r="N5459" s="2" t="s">
        <v>2317</v>
      </c>
      <c r="O5459" s="14">
        <v>6200</v>
      </c>
      <c r="P5459" s="14">
        <v>98.19</v>
      </c>
      <c r="Q5459" s="14">
        <v>112.22</v>
      </c>
      <c r="R5459" s="14">
        <v>113.34</v>
      </c>
      <c r="S5459" s="2" t="s">
        <v>5758</v>
      </c>
      <c r="T5459" s="2">
        <v>1.57</v>
      </c>
      <c r="U5459" s="2">
        <v>67.900000000000006</v>
      </c>
      <c r="V5459" s="2">
        <v>64</v>
      </c>
      <c r="W5459" s="2" t="s">
        <v>7862</v>
      </c>
      <c r="X5459" s="2" t="s">
        <v>2897</v>
      </c>
      <c r="Y5459" s="2">
        <v>6262</v>
      </c>
      <c r="Z5459" s="19" t="str">
        <f>HYPERLINK("https://ssdweb.co/ssdweb/hd/Vision360.html?d=926901034&amp;zoomslide=1&amp;z=1926901034&amp;ISCONFIRM=0","VIDEO")</f>
        <v>VIDEO</v>
      </c>
      <c r="AA5459" s="19" t="str">
        <f>HYPERLINK("https://ssdweb.co/ssdweb/CERTH/656479444.pdf","CERTI")</f>
        <v>CERTI</v>
      </c>
    </row>
    <row r="5460" spans="1:27" ht="15" x14ac:dyDescent="0.25">
      <c r="A5460" s="2">
        <v>5455</v>
      </c>
      <c r="B5460" s="39">
        <v>926790893</v>
      </c>
      <c r="C5460" s="28" t="str">
        <f>HYPERLINK("https://pld.live/RapDetail.aspx?STONELIST=926790893","DNA")</f>
        <v>DNA</v>
      </c>
      <c r="D5460" s="18" t="s">
        <v>3054</v>
      </c>
      <c r="E5460" s="18" t="s">
        <v>2186</v>
      </c>
      <c r="F5460" s="2" t="s">
        <v>7987</v>
      </c>
      <c r="G5460" s="2" t="s">
        <v>7322</v>
      </c>
      <c r="H5460" s="14">
        <v>1.01</v>
      </c>
      <c r="I5460" s="2" t="s">
        <v>4761</v>
      </c>
      <c r="J5460" s="2" t="s">
        <v>13</v>
      </c>
      <c r="K5460" s="2" t="s">
        <v>1452</v>
      </c>
      <c r="L5460" s="2" t="s">
        <v>5221</v>
      </c>
      <c r="M5460" s="2" t="s">
        <v>5221</v>
      </c>
      <c r="N5460" s="2" t="s">
        <v>2317</v>
      </c>
      <c r="O5460" s="14">
        <v>6200</v>
      </c>
      <c r="P5460" s="14">
        <v>98.19</v>
      </c>
      <c r="Q5460" s="14">
        <v>112.22</v>
      </c>
      <c r="R5460" s="14">
        <v>113.34</v>
      </c>
      <c r="S5460" s="2" t="s">
        <v>3592</v>
      </c>
      <c r="T5460" s="2">
        <v>1.37</v>
      </c>
      <c r="U5460" s="2">
        <v>64.400000000000006</v>
      </c>
      <c r="V5460" s="2">
        <v>67</v>
      </c>
      <c r="W5460" s="2" t="s">
        <v>7862</v>
      </c>
      <c r="X5460" s="2" t="s">
        <v>2897</v>
      </c>
      <c r="Y5460" s="2">
        <v>6262</v>
      </c>
      <c r="Z5460" s="19" t="str">
        <f>HYPERLINK("https://ssdweb.co/ssdweb/hd/Vision360.html?d=926790893&amp;zoomslide=1&amp;z=1926790893&amp;ISCONFIRM=0","VIDEO")</f>
        <v>VIDEO</v>
      </c>
      <c r="AA5460" s="19" t="str">
        <f>HYPERLINK("https://ssdweb.co/ssdweb/CERTH/666408386.pdf","CERTI")</f>
        <v>CERTI</v>
      </c>
    </row>
    <row r="5461" spans="1:27" ht="15" x14ac:dyDescent="0.25">
      <c r="A5461" s="2">
        <v>5456</v>
      </c>
      <c r="B5461" s="39">
        <v>926921354</v>
      </c>
      <c r="C5461" s="28" t="str">
        <f>HYPERLINK("https://pld.live/RapDetail.aspx?STONELIST=926921354","DNA")</f>
        <v>DNA</v>
      </c>
      <c r="D5461" s="18" t="s">
        <v>3054</v>
      </c>
      <c r="E5461" s="18" t="s">
        <v>2186</v>
      </c>
      <c r="F5461" s="2" t="s">
        <v>7987</v>
      </c>
      <c r="G5461" s="2" t="s">
        <v>7322</v>
      </c>
      <c r="H5461" s="14">
        <v>1.01</v>
      </c>
      <c r="I5461" s="2" t="s">
        <v>4761</v>
      </c>
      <c r="J5461" s="2" t="s">
        <v>13</v>
      </c>
      <c r="K5461" s="2" t="s">
        <v>1452</v>
      </c>
      <c r="L5461" s="2" t="s">
        <v>5221</v>
      </c>
      <c r="M5461" s="2" t="s">
        <v>5221</v>
      </c>
      <c r="N5461" s="2" t="s">
        <v>2317</v>
      </c>
      <c r="O5461" s="14">
        <v>6200</v>
      </c>
      <c r="P5461" s="14">
        <v>98.19</v>
      </c>
      <c r="Q5461" s="14">
        <v>112.22</v>
      </c>
      <c r="R5461" s="14">
        <v>113.34</v>
      </c>
      <c r="S5461" s="2" t="s">
        <v>6980</v>
      </c>
      <c r="T5461" s="2">
        <v>1.45</v>
      </c>
      <c r="U5461" s="2">
        <v>68</v>
      </c>
      <c r="V5461" s="2">
        <v>66</v>
      </c>
      <c r="W5461" s="2" t="s">
        <v>7862</v>
      </c>
      <c r="X5461" s="2" t="s">
        <v>2897</v>
      </c>
      <c r="Y5461" s="2">
        <v>6262</v>
      </c>
      <c r="Z5461" s="19" t="str">
        <f>HYPERLINK("https://ssdweb.co/ssdweb/hd/Vision360.html?d=926921354&amp;zoomslide=1&amp;z=1926921354&amp;ISCONFIRM=0","VIDEO")</f>
        <v>VIDEO</v>
      </c>
      <c r="AA5461" s="19" t="str">
        <f>HYPERLINK("https://ssdweb.co/ssdweb/CERTH/659437006.pdf","CERTI")</f>
        <v>CERTI</v>
      </c>
    </row>
    <row r="5462" spans="1:27" ht="15" x14ac:dyDescent="0.25">
      <c r="A5462" s="2">
        <v>5457</v>
      </c>
      <c r="B5462" s="39">
        <v>926310836</v>
      </c>
      <c r="C5462" s="28" t="str">
        <f>HYPERLINK("https://pld.live/RapDetail.aspx?STONELIST=926310836","DNA")</f>
        <v>DNA</v>
      </c>
      <c r="D5462" s="18" t="s">
        <v>3054</v>
      </c>
      <c r="E5462" s="18" t="s">
        <v>5128</v>
      </c>
      <c r="F5462" s="2" t="s">
        <v>7987</v>
      </c>
      <c r="G5462" s="2" t="s">
        <v>7322</v>
      </c>
      <c r="H5462" s="14">
        <v>1.01</v>
      </c>
      <c r="I5462" s="2" t="s">
        <v>4761</v>
      </c>
      <c r="J5462" s="2" t="s">
        <v>13</v>
      </c>
      <c r="K5462" s="2" t="s">
        <v>1452</v>
      </c>
      <c r="L5462" s="2" t="s">
        <v>5221</v>
      </c>
      <c r="M5462" s="2" t="s">
        <v>5221</v>
      </c>
      <c r="N5462" s="2" t="s">
        <v>2317</v>
      </c>
      <c r="O5462" s="14">
        <v>6200</v>
      </c>
      <c r="P5462" s="14">
        <v>98.19</v>
      </c>
      <c r="Q5462" s="14">
        <v>112.22</v>
      </c>
      <c r="R5462" s="14">
        <v>113.34</v>
      </c>
      <c r="S5462" s="2" t="s">
        <v>3811</v>
      </c>
      <c r="T5462" s="2">
        <v>1.36</v>
      </c>
      <c r="U5462" s="2">
        <v>68.3</v>
      </c>
      <c r="V5462" s="2">
        <v>68</v>
      </c>
      <c r="W5462" s="2" t="s">
        <v>7862</v>
      </c>
      <c r="X5462" s="2" t="s">
        <v>2897</v>
      </c>
      <c r="Y5462" s="2">
        <v>6262</v>
      </c>
      <c r="Z5462" s="19" t="str">
        <f>HYPERLINK("https://ssdweb.co/ssdweb/hd/Vision360.html?d=926310836&amp;zoomslide=1&amp;z=1926310836&amp;ISCONFIRM=0","VIDEO")</f>
        <v>VIDEO</v>
      </c>
      <c r="AA5462" s="19" t="str">
        <f>HYPERLINK("https://ssdweb.co/ssdweb/CERTH/648487390.pdf","CERTI")</f>
        <v>CERTI</v>
      </c>
    </row>
    <row r="5463" spans="1:27" ht="15" x14ac:dyDescent="0.25">
      <c r="A5463" s="2">
        <v>5458</v>
      </c>
      <c r="B5463" s="39">
        <v>925930032</v>
      </c>
      <c r="C5463" s="28" t="str">
        <f>HYPERLINK("https://pld.live/RapDetail.aspx?STONELIST=925930032","DNA")</f>
        <v>DNA</v>
      </c>
      <c r="D5463" s="18" t="s">
        <v>3054</v>
      </c>
      <c r="E5463" s="18" t="s">
        <v>2186</v>
      </c>
      <c r="F5463" s="2" t="s">
        <v>7987</v>
      </c>
      <c r="G5463" s="2" t="s">
        <v>7322</v>
      </c>
      <c r="H5463" s="14">
        <v>1.01</v>
      </c>
      <c r="I5463" s="2" t="s">
        <v>4761</v>
      </c>
      <c r="J5463" s="2" t="s">
        <v>5144</v>
      </c>
      <c r="K5463" s="2" t="s">
        <v>1452</v>
      </c>
      <c r="L5463" s="2" t="s">
        <v>5221</v>
      </c>
      <c r="M5463" s="2" t="s">
        <v>5221</v>
      </c>
      <c r="N5463" s="2" t="s">
        <v>2317</v>
      </c>
      <c r="O5463" s="14">
        <v>5400</v>
      </c>
      <c r="P5463" s="14">
        <v>98.06</v>
      </c>
      <c r="Q5463" s="14">
        <v>104.76</v>
      </c>
      <c r="R5463" s="14">
        <v>105.81</v>
      </c>
      <c r="S5463" s="2" t="s">
        <v>2581</v>
      </c>
      <c r="T5463" s="2">
        <v>1.47</v>
      </c>
      <c r="U5463" s="2">
        <v>64.7</v>
      </c>
      <c r="V5463" s="2">
        <v>67</v>
      </c>
      <c r="W5463" s="2" t="s">
        <v>7862</v>
      </c>
      <c r="X5463" s="2" t="s">
        <v>2897</v>
      </c>
      <c r="Y5463" s="2">
        <v>5454</v>
      </c>
      <c r="Z5463" s="19" t="str">
        <f>HYPERLINK("https://ssdweb.co/ssdweb/hd/Vision360.html?d=925930032&amp;zoomslide=1&amp;z=1925930032&amp;ISCONFIRM=0","VIDEO")</f>
        <v>VIDEO</v>
      </c>
      <c r="AA5463" s="19" t="str">
        <f>HYPERLINK("https://ssdweb.co/ssdweb/CERTH/629453042.pdf","CERTI")</f>
        <v>CERTI</v>
      </c>
    </row>
    <row r="5464" spans="1:27" ht="15" x14ac:dyDescent="0.25">
      <c r="A5464" s="2">
        <v>5459</v>
      </c>
      <c r="B5464" s="39">
        <v>926910600</v>
      </c>
      <c r="C5464" s="28" t="str">
        <f>HYPERLINK("https://pld.live/RapDetail.aspx?STONELIST=926910600","DNA")</f>
        <v>DNA</v>
      </c>
      <c r="D5464" s="18" t="s">
        <v>3054</v>
      </c>
      <c r="E5464" s="18" t="s">
        <v>2186</v>
      </c>
      <c r="F5464" s="2" t="s">
        <v>7987</v>
      </c>
      <c r="G5464" s="2" t="s">
        <v>7322</v>
      </c>
      <c r="H5464" s="14">
        <v>1.01</v>
      </c>
      <c r="I5464" s="2" t="s">
        <v>4761</v>
      </c>
      <c r="J5464" s="2" t="s">
        <v>5144</v>
      </c>
      <c r="K5464" s="2" t="s">
        <v>1452</v>
      </c>
      <c r="L5464" s="2" t="s">
        <v>5221</v>
      </c>
      <c r="M5464" s="2" t="s">
        <v>5221</v>
      </c>
      <c r="N5464" s="2" t="s">
        <v>2317</v>
      </c>
      <c r="O5464" s="14">
        <v>5400</v>
      </c>
      <c r="P5464" s="14">
        <v>98.04</v>
      </c>
      <c r="Q5464" s="14">
        <v>105.84</v>
      </c>
      <c r="R5464" s="14">
        <v>106.9</v>
      </c>
      <c r="S5464" s="2" t="s">
        <v>8110</v>
      </c>
      <c r="T5464" s="2">
        <v>1.54</v>
      </c>
      <c r="U5464" s="2">
        <v>63.4</v>
      </c>
      <c r="V5464" s="2">
        <v>66</v>
      </c>
      <c r="W5464" s="2" t="s">
        <v>7862</v>
      </c>
      <c r="X5464" s="2" t="s">
        <v>2897</v>
      </c>
      <c r="Y5464" s="2">
        <v>5454</v>
      </c>
      <c r="Z5464" s="19" t="str">
        <f>HYPERLINK("https://ssdweb.co/ssdweb/hd/Vision360.html?d=926910600&amp;zoomslide=1&amp;z=1926910600&amp;ISCONFIRM=0","VIDEO")</f>
        <v>VIDEO</v>
      </c>
      <c r="AA5464" s="19" t="str">
        <f>HYPERLINK("https://ssdweb.co/ssdweb/CERTH/659436987.pdf","CERTI")</f>
        <v>CERTI</v>
      </c>
    </row>
    <row r="5465" spans="1:27" ht="15" x14ac:dyDescent="0.25">
      <c r="A5465" s="2">
        <v>5460</v>
      </c>
      <c r="B5465" s="39">
        <v>926680943</v>
      </c>
      <c r="C5465" s="28" t="str">
        <f>HYPERLINK("https://pld.live/RapDetail.aspx?STONELIST=926680943","DNA")</f>
        <v>DNA</v>
      </c>
      <c r="D5465" s="18" t="s">
        <v>3054</v>
      </c>
      <c r="E5465" s="18" t="s">
        <v>2186</v>
      </c>
      <c r="F5465" s="2" t="s">
        <v>7987</v>
      </c>
      <c r="G5465" s="2" t="s">
        <v>7322</v>
      </c>
      <c r="H5465" s="14">
        <v>1.01</v>
      </c>
      <c r="I5465" s="2" t="s">
        <v>4761</v>
      </c>
      <c r="J5465" s="2" t="s">
        <v>5144</v>
      </c>
      <c r="K5465" s="2" t="s">
        <v>1452</v>
      </c>
      <c r="L5465" s="2" t="s">
        <v>5221</v>
      </c>
      <c r="M5465" s="2" t="s">
        <v>5221</v>
      </c>
      <c r="N5465" s="2" t="s">
        <v>2317</v>
      </c>
      <c r="O5465" s="14">
        <v>5400</v>
      </c>
      <c r="P5465" s="14">
        <v>98.04</v>
      </c>
      <c r="Q5465" s="14">
        <v>105.84</v>
      </c>
      <c r="R5465" s="14">
        <v>106.9</v>
      </c>
      <c r="S5465" s="2" t="s">
        <v>2119</v>
      </c>
      <c r="T5465" s="2">
        <v>1.41</v>
      </c>
      <c r="U5465" s="2">
        <v>67.599999999999994</v>
      </c>
      <c r="V5465" s="2">
        <v>65</v>
      </c>
      <c r="W5465" s="2" t="s">
        <v>7862</v>
      </c>
      <c r="X5465" s="2" t="s">
        <v>2897</v>
      </c>
      <c r="Y5465" s="2">
        <v>5454</v>
      </c>
      <c r="Z5465" s="19" t="str">
        <f>HYPERLINK("https://ssdweb.co/ssdweb/hd/Vision360.html?d=926680943&amp;zoomslide=1&amp;z=1926680943&amp;ISCONFIRM=0","VIDEO")</f>
        <v>VIDEO</v>
      </c>
      <c r="AA5465" s="19" t="str">
        <f>HYPERLINK("https://ssdweb.co/ssdweb/CERTH/651495327.pdf","CERTI")</f>
        <v>CERTI</v>
      </c>
    </row>
    <row r="5466" spans="1:27" ht="15" x14ac:dyDescent="0.25">
      <c r="A5466" s="2">
        <v>5461</v>
      </c>
      <c r="B5466" s="39">
        <v>924580342</v>
      </c>
      <c r="C5466" s="28" t="str">
        <f>HYPERLINK("https://pld.live/RapDetail.aspx?STONELIST=924580342","DNA")</f>
        <v>DNA</v>
      </c>
      <c r="D5466" s="18" t="s">
        <v>3054</v>
      </c>
      <c r="E5466" s="18" t="s">
        <v>5128</v>
      </c>
      <c r="F5466" s="2" t="s">
        <v>7987</v>
      </c>
      <c r="G5466" s="2" t="s">
        <v>7322</v>
      </c>
      <c r="H5466" s="14">
        <v>1.01</v>
      </c>
      <c r="I5466" s="2" t="s">
        <v>4761</v>
      </c>
      <c r="J5466" s="2" t="s">
        <v>444</v>
      </c>
      <c r="K5466" s="2" t="s">
        <v>1452</v>
      </c>
      <c r="L5466" s="2" t="s">
        <v>5221</v>
      </c>
      <c r="M5466" s="2" t="s">
        <v>5221</v>
      </c>
      <c r="N5466" s="2" t="s">
        <v>2317</v>
      </c>
      <c r="O5466" s="14">
        <v>4300</v>
      </c>
      <c r="P5466" s="14">
        <v>97.77</v>
      </c>
      <c r="Q5466" s="14">
        <v>95.89</v>
      </c>
      <c r="R5466" s="14">
        <v>96.85</v>
      </c>
      <c r="S5466" s="2" t="s">
        <v>5095</v>
      </c>
      <c r="T5466" s="2">
        <v>1.45</v>
      </c>
      <c r="U5466" s="2">
        <v>66.599999999999994</v>
      </c>
      <c r="V5466" s="2">
        <v>61</v>
      </c>
      <c r="W5466" s="2" t="s">
        <v>7862</v>
      </c>
      <c r="X5466" s="2" t="s">
        <v>2897</v>
      </c>
      <c r="Y5466" s="2">
        <v>4343</v>
      </c>
      <c r="Z5466" s="19" t="str">
        <f>HYPERLINK("https://ssdweb.co/ssdweb/hd/Vision360.html?d=924580342&amp;zoomslide=1&amp;z=1924580342&amp;ISCONFIRM=0","VIDEO")</f>
        <v>VIDEO</v>
      </c>
      <c r="AA5466" s="19" t="str">
        <f>HYPERLINK("https://ssdweb.co/ssdweb/CERTH/597360025.pdf","CERTI")</f>
        <v>CERTI</v>
      </c>
    </row>
    <row r="5467" spans="1:27" ht="15" x14ac:dyDescent="0.25">
      <c r="A5467" s="2">
        <v>5462</v>
      </c>
      <c r="B5467" s="39">
        <v>923570780</v>
      </c>
      <c r="C5467" s="28" t="str">
        <f>HYPERLINK("https://pld.live/RapDetail.aspx?STONELIST=923570780","DNA")</f>
        <v>DNA</v>
      </c>
      <c r="D5467" s="18" t="s">
        <v>3054</v>
      </c>
      <c r="E5467" s="18" t="s">
        <v>5128</v>
      </c>
      <c r="F5467" s="2" t="s">
        <v>7987</v>
      </c>
      <c r="G5467" s="2" t="s">
        <v>7322</v>
      </c>
      <c r="H5467" s="14">
        <v>1.01</v>
      </c>
      <c r="I5467" s="2" t="s">
        <v>4761</v>
      </c>
      <c r="J5467" s="2" t="s">
        <v>444</v>
      </c>
      <c r="K5467" s="2" t="s">
        <v>1452</v>
      </c>
      <c r="L5467" s="2" t="s">
        <v>5221</v>
      </c>
      <c r="M5467" s="2" t="s">
        <v>5221</v>
      </c>
      <c r="N5467" s="2" t="s">
        <v>2317</v>
      </c>
      <c r="O5467" s="14">
        <v>4300</v>
      </c>
      <c r="P5467" s="14">
        <v>97.77</v>
      </c>
      <c r="Q5467" s="14">
        <v>95.89</v>
      </c>
      <c r="R5467" s="14">
        <v>96.85</v>
      </c>
      <c r="S5467" s="2" t="s">
        <v>812</v>
      </c>
      <c r="T5467" s="2">
        <v>1.52</v>
      </c>
      <c r="U5467" s="2">
        <v>65.2</v>
      </c>
      <c r="V5467" s="2">
        <v>64</v>
      </c>
      <c r="W5467" s="2" t="s">
        <v>7862</v>
      </c>
      <c r="X5467" s="2" t="s">
        <v>2897</v>
      </c>
      <c r="Y5467" s="2">
        <v>4343</v>
      </c>
      <c r="Z5467" s="19" t="str">
        <f>HYPERLINK("https://ssdweb.co/ssdweb/hd/Vision360.html?d=923570780&amp;zoomslide=1&amp;z=1923570780&amp;ISCONFIRM=0","VIDEO")</f>
        <v>VIDEO</v>
      </c>
      <c r="AA5467" s="19" t="str">
        <f>HYPERLINK("https://ssdweb.co/ssdweb/CERTH/557239925.pdf","CERTI")</f>
        <v>CERTI</v>
      </c>
    </row>
    <row r="5468" spans="1:27" ht="15" x14ac:dyDescent="0.25">
      <c r="A5468" s="2">
        <v>5463</v>
      </c>
      <c r="B5468" s="39">
        <v>924350714</v>
      </c>
      <c r="C5468" s="28" t="str">
        <f>HYPERLINK("https://pld.live/RapDetail.aspx?STONELIST=924350714","DNA")</f>
        <v>DNA</v>
      </c>
      <c r="D5468" s="18" t="s">
        <v>3054</v>
      </c>
      <c r="E5468" s="18" t="s">
        <v>2186</v>
      </c>
      <c r="F5468" s="2" t="s">
        <v>7987</v>
      </c>
      <c r="G5468" s="2" t="s">
        <v>7322</v>
      </c>
      <c r="H5468" s="14">
        <v>1.01</v>
      </c>
      <c r="I5468" s="2" t="s">
        <v>4699</v>
      </c>
      <c r="J5468" s="2" t="s">
        <v>5144</v>
      </c>
      <c r="K5468" s="2" t="s">
        <v>1452</v>
      </c>
      <c r="L5468" s="2" t="s">
        <v>5221</v>
      </c>
      <c r="M5468" s="2" t="s">
        <v>5221</v>
      </c>
      <c r="N5468" s="2" t="s">
        <v>2317</v>
      </c>
      <c r="O5468" s="14">
        <v>5100</v>
      </c>
      <c r="P5468" s="14">
        <v>98.08</v>
      </c>
      <c r="Q5468" s="14">
        <v>97.92</v>
      </c>
      <c r="R5468" s="14">
        <v>98.9</v>
      </c>
      <c r="S5468" s="2" t="s">
        <v>1882</v>
      </c>
      <c r="T5468" s="2">
        <v>1.57</v>
      </c>
      <c r="U5468" s="2">
        <v>63.7</v>
      </c>
      <c r="V5468" s="2">
        <v>65</v>
      </c>
      <c r="W5468" s="2" t="s">
        <v>7862</v>
      </c>
      <c r="X5468" s="2" t="s">
        <v>2897</v>
      </c>
      <c r="Y5468" s="2">
        <v>5151</v>
      </c>
      <c r="Z5468" s="19" t="str">
        <f>HYPERLINK("https://ssdweb.co/ssdweb/hd/Vision360.html?d=924350714&amp;zoomslide=1&amp;z=1924350714&amp;ISCONFIRM=0","VIDEO")</f>
        <v>VIDEO</v>
      </c>
      <c r="AA5468" s="19" t="str">
        <f>HYPERLINK("https://ssdweb.co/ssdweb/CERTH/594320598.pdf","CERTI")</f>
        <v>CERTI</v>
      </c>
    </row>
    <row r="5469" spans="1:27" ht="15" x14ac:dyDescent="0.25">
      <c r="A5469" s="2">
        <v>5464</v>
      </c>
      <c r="B5469" s="39">
        <v>923630398</v>
      </c>
      <c r="C5469" s="28" t="str">
        <f>HYPERLINK("https://pld.live/RapDetail.aspx?STONELIST=923630398","DNA")</f>
        <v>DNA</v>
      </c>
      <c r="D5469" s="18" t="s">
        <v>3054</v>
      </c>
      <c r="E5469" s="18" t="s">
        <v>5128</v>
      </c>
      <c r="F5469" s="2" t="s">
        <v>7987</v>
      </c>
      <c r="G5469" s="2" t="s">
        <v>7322</v>
      </c>
      <c r="H5469" s="14">
        <v>1</v>
      </c>
      <c r="I5469" s="2" t="s">
        <v>267</v>
      </c>
      <c r="J5469" s="2" t="s">
        <v>7032</v>
      </c>
      <c r="K5469" s="2" t="s">
        <v>1452</v>
      </c>
      <c r="L5469" s="2" t="s">
        <v>5221</v>
      </c>
      <c r="M5469" s="2" t="s">
        <v>5221</v>
      </c>
      <c r="N5469" s="2" t="s">
        <v>2317</v>
      </c>
      <c r="O5469" s="14">
        <v>9300</v>
      </c>
      <c r="P5469" s="14">
        <v>97.65</v>
      </c>
      <c r="Q5469" s="14">
        <v>218.55</v>
      </c>
      <c r="R5469" s="14">
        <v>218.55</v>
      </c>
      <c r="S5469" s="2" t="s">
        <v>4019</v>
      </c>
      <c r="T5469" s="2">
        <v>1.35</v>
      </c>
      <c r="U5469" s="2">
        <v>67.5</v>
      </c>
      <c r="V5469" s="2">
        <v>64.5</v>
      </c>
      <c r="W5469" s="2" t="s">
        <v>7862</v>
      </c>
      <c r="X5469" s="2" t="s">
        <v>2897</v>
      </c>
      <c r="Y5469" s="2">
        <v>9300</v>
      </c>
      <c r="Z5469" s="19" t="str">
        <f>HYPERLINK("https://ssdweb.co/ssdweb/hd/Vision360.html?d=923630398&amp;zoomslide=1&amp;z=1923630398&amp;ISCONFIRM=0","VIDEO")</f>
        <v>VIDEO</v>
      </c>
      <c r="AA5469" s="19" t="str">
        <f>HYPERLINK("https://ssdweb.co/ssdweb/CERTH/560203281.pdf","CERTI")</f>
        <v>CERTI</v>
      </c>
    </row>
    <row r="5470" spans="1:27" ht="15" x14ac:dyDescent="0.25">
      <c r="A5470" s="2">
        <v>5465</v>
      </c>
      <c r="B5470" s="39">
        <v>924880319</v>
      </c>
      <c r="C5470" s="28" t="str">
        <f>HYPERLINK("https://pld.live/RapDetail.aspx?STONELIST=924880319","DNA")</f>
        <v>DNA</v>
      </c>
      <c r="D5470" s="18" t="s">
        <v>3054</v>
      </c>
      <c r="E5470" s="18" t="s">
        <v>5128</v>
      </c>
      <c r="F5470" s="2" t="s">
        <v>7987</v>
      </c>
      <c r="G5470" s="2" t="s">
        <v>7322</v>
      </c>
      <c r="H5470" s="14">
        <v>1</v>
      </c>
      <c r="I5470" s="2" t="s">
        <v>267</v>
      </c>
      <c r="J5470" s="2" t="s">
        <v>7032</v>
      </c>
      <c r="K5470" s="2" t="s">
        <v>1452</v>
      </c>
      <c r="L5470" s="2" t="s">
        <v>5221</v>
      </c>
      <c r="M5470" s="2" t="s">
        <v>5221</v>
      </c>
      <c r="N5470" s="2" t="s">
        <v>2317</v>
      </c>
      <c r="O5470" s="14">
        <v>9300</v>
      </c>
      <c r="P5470" s="14">
        <v>97.65</v>
      </c>
      <c r="Q5470" s="14">
        <v>218.55</v>
      </c>
      <c r="R5470" s="14">
        <v>218.55</v>
      </c>
      <c r="S5470" s="2" t="s">
        <v>1543</v>
      </c>
      <c r="T5470" s="2">
        <v>1.42</v>
      </c>
      <c r="U5470" s="2">
        <v>67.7</v>
      </c>
      <c r="V5470" s="2">
        <v>67</v>
      </c>
      <c r="W5470" s="2" t="s">
        <v>7862</v>
      </c>
      <c r="X5470" s="2" t="s">
        <v>2897</v>
      </c>
      <c r="Y5470" s="2">
        <v>9300</v>
      </c>
      <c r="Z5470" s="19" t="str">
        <f>HYPERLINK("https://ssdweb.co/ssdweb/hd/Vision360.html?d=924880319&amp;zoomslide=1&amp;z=1924880319&amp;ISCONFIRM=0","VIDEO")</f>
        <v>VIDEO</v>
      </c>
      <c r="AA5470" s="19" t="str">
        <f>HYPERLINK("https://ssdweb.co/ssdweb/CERTH/602361303.pdf","CERTI")</f>
        <v>CERTI</v>
      </c>
    </row>
    <row r="5471" spans="1:27" ht="15" x14ac:dyDescent="0.25">
      <c r="A5471" s="2">
        <v>5466</v>
      </c>
      <c r="B5471" s="39">
        <v>926291373</v>
      </c>
      <c r="C5471" s="28" t="str">
        <f>HYPERLINK("https://pld.live/RapDetail.aspx?STONELIST=926291373","DNA")</f>
        <v>DNA</v>
      </c>
      <c r="D5471" s="18" t="s">
        <v>3054</v>
      </c>
      <c r="E5471" s="18" t="s">
        <v>5128</v>
      </c>
      <c r="F5471" s="2" t="s">
        <v>7987</v>
      </c>
      <c r="G5471" s="2" t="s">
        <v>7322</v>
      </c>
      <c r="H5471" s="14">
        <v>1</v>
      </c>
      <c r="I5471" s="2" t="s">
        <v>267</v>
      </c>
      <c r="J5471" s="2" t="s">
        <v>7032</v>
      </c>
      <c r="K5471" s="2" t="s">
        <v>1452</v>
      </c>
      <c r="L5471" s="2" t="s">
        <v>5221</v>
      </c>
      <c r="M5471" s="2" t="s">
        <v>5221</v>
      </c>
      <c r="N5471" s="2" t="s">
        <v>2317</v>
      </c>
      <c r="O5471" s="14">
        <v>9300</v>
      </c>
      <c r="P5471" s="14">
        <v>97.61</v>
      </c>
      <c r="Q5471" s="14">
        <v>222.27</v>
      </c>
      <c r="R5471" s="14">
        <v>222.27</v>
      </c>
      <c r="S5471" s="2" t="s">
        <v>1705</v>
      </c>
      <c r="T5471" s="2">
        <v>1.43</v>
      </c>
      <c r="U5471" s="2">
        <v>65.099999999999994</v>
      </c>
      <c r="V5471" s="2">
        <v>60</v>
      </c>
      <c r="W5471" s="2" t="s">
        <v>7862</v>
      </c>
      <c r="X5471" s="2" t="s">
        <v>2897</v>
      </c>
      <c r="Y5471" s="2">
        <v>9300</v>
      </c>
      <c r="Z5471" s="19" t="str">
        <f>HYPERLINK("https://ssdweb.co/ssdweb/hd/Vision360.html?d=926291373&amp;zoomslide=1&amp;z=1926291373&amp;ISCONFIRM=0","VIDEO")</f>
        <v>VIDEO</v>
      </c>
      <c r="AA5471" s="19" t="str">
        <f>HYPERLINK("https://ssdweb.co/ssdweb/CERTH/648487382.pdf","CERTI")</f>
        <v>CERTI</v>
      </c>
    </row>
    <row r="5472" spans="1:27" ht="15" x14ac:dyDescent="0.25">
      <c r="A5472" s="2">
        <v>5467</v>
      </c>
      <c r="B5472" s="39">
        <v>926750642</v>
      </c>
      <c r="C5472" s="28" t="str">
        <f>HYPERLINK("https://pld.live/RapDetail.aspx?STONELIST=926750642","DNA")</f>
        <v>DNA</v>
      </c>
      <c r="D5472" s="18" t="s">
        <v>3054</v>
      </c>
      <c r="E5472" s="18" t="s">
        <v>5128</v>
      </c>
      <c r="F5472" s="2" t="s">
        <v>7987</v>
      </c>
      <c r="G5472" s="2" t="s">
        <v>7322</v>
      </c>
      <c r="H5472" s="14">
        <v>1</v>
      </c>
      <c r="I5472" s="2" t="s">
        <v>267</v>
      </c>
      <c r="J5472" s="2" t="s">
        <v>6555</v>
      </c>
      <c r="K5472" s="2" t="s">
        <v>1452</v>
      </c>
      <c r="L5472" s="2" t="s">
        <v>5221</v>
      </c>
      <c r="M5472" s="2" t="s">
        <v>5221</v>
      </c>
      <c r="N5472" s="2" t="s">
        <v>2317</v>
      </c>
      <c r="O5472" s="14">
        <v>8200</v>
      </c>
      <c r="P5472" s="14">
        <v>98.43</v>
      </c>
      <c r="Q5472" s="14">
        <v>128.74</v>
      </c>
      <c r="R5472" s="14">
        <v>128.74</v>
      </c>
      <c r="S5472" s="2" t="s">
        <v>5662</v>
      </c>
      <c r="T5472" s="2">
        <v>1.37</v>
      </c>
      <c r="U5472" s="2">
        <v>69.400000000000006</v>
      </c>
      <c r="V5472" s="2">
        <v>63</v>
      </c>
      <c r="W5472" s="2" t="s">
        <v>7862</v>
      </c>
      <c r="X5472" s="2" t="s">
        <v>2897</v>
      </c>
      <c r="Y5472" s="2">
        <v>8200</v>
      </c>
      <c r="Z5472" s="19" t="str">
        <f>HYPERLINK("https://ssdweb.co/ssdweb/hd/Vision360.html?d=926750642&amp;zoomslide=1&amp;z=1926750642&amp;ISCONFIRM=0","VIDEO")</f>
        <v>VIDEO</v>
      </c>
      <c r="AA5472" s="19" t="str">
        <f>HYPERLINK("https://ssdweb.co/ssdweb/CERTH/666408383.pdf","CERTI")</f>
        <v>CERTI</v>
      </c>
    </row>
    <row r="5473" spans="1:27" ht="15" x14ac:dyDescent="0.25">
      <c r="A5473" s="2">
        <v>5468</v>
      </c>
      <c r="B5473" s="39">
        <v>941351091</v>
      </c>
      <c r="C5473" s="28" t="str">
        <f>HYPERLINK("https://pld.live/RapDetail.aspx?STONELIST=941351091","DNA")</f>
        <v>DNA</v>
      </c>
      <c r="D5473" s="18" t="s">
        <v>3054</v>
      </c>
      <c r="E5473" s="18" t="s">
        <v>5128</v>
      </c>
      <c r="F5473" s="2" t="s">
        <v>7987</v>
      </c>
      <c r="G5473" s="2" t="s">
        <v>7322</v>
      </c>
      <c r="H5473" s="14">
        <v>1</v>
      </c>
      <c r="I5473" s="2" t="s">
        <v>267</v>
      </c>
      <c r="J5473" s="2" t="s">
        <v>6555</v>
      </c>
      <c r="K5473" s="2" t="s">
        <v>1452</v>
      </c>
      <c r="L5473" s="2" t="s">
        <v>5221</v>
      </c>
      <c r="M5473" s="2" t="s">
        <v>5221</v>
      </c>
      <c r="N5473" s="2" t="s">
        <v>2317</v>
      </c>
      <c r="O5473" s="14">
        <v>8200</v>
      </c>
      <c r="P5473" s="14">
        <v>98.41</v>
      </c>
      <c r="Q5473" s="14">
        <v>130.38</v>
      </c>
      <c r="R5473" s="14">
        <v>130.38</v>
      </c>
      <c r="S5473" s="2" t="s">
        <v>4702</v>
      </c>
      <c r="T5473" s="2">
        <v>1.37</v>
      </c>
      <c r="U5473" s="2">
        <v>67.3</v>
      </c>
      <c r="V5473" s="2">
        <v>67</v>
      </c>
      <c r="W5473" s="2" t="s">
        <v>7862</v>
      </c>
      <c r="X5473" s="2" t="s">
        <v>2897</v>
      </c>
      <c r="Y5473" s="2">
        <v>8200</v>
      </c>
      <c r="Z5473" s="19" t="str">
        <f>HYPERLINK("https://ssdweb.co/ssdweb/hd/Vision360.html?d=941351091&amp;zoomslide=1&amp;z=1941351091&amp;ISCONFIRM=0","VIDEO")</f>
        <v>VIDEO</v>
      </c>
      <c r="AA5473" s="19" t="str">
        <f>HYPERLINK("https://ssdweb.co/ssdweb/CERTH/692505692.pdf","CERTI")</f>
        <v>CERTI</v>
      </c>
    </row>
    <row r="5474" spans="1:27" ht="15" x14ac:dyDescent="0.25">
      <c r="A5474" s="2">
        <v>5469</v>
      </c>
      <c r="B5474" s="39">
        <v>941160546</v>
      </c>
      <c r="C5474" s="28" t="str">
        <f>HYPERLINK("https://pld.live/RapDetail.aspx?STONELIST=941160546","DNA")</f>
        <v>DNA</v>
      </c>
      <c r="D5474" s="18" t="s">
        <v>3054</v>
      </c>
      <c r="E5474" s="18" t="s">
        <v>5128</v>
      </c>
      <c r="F5474" s="2" t="s">
        <v>7987</v>
      </c>
      <c r="G5474" s="2" t="s">
        <v>7322</v>
      </c>
      <c r="H5474" s="14">
        <v>1</v>
      </c>
      <c r="I5474" s="2" t="s">
        <v>267</v>
      </c>
      <c r="J5474" s="2" t="s">
        <v>3942</v>
      </c>
      <c r="K5474" s="2" t="s">
        <v>1452</v>
      </c>
      <c r="L5474" s="2" t="s">
        <v>5221</v>
      </c>
      <c r="M5474" s="2" t="s">
        <v>5721</v>
      </c>
      <c r="N5474" s="2" t="s">
        <v>2317</v>
      </c>
      <c r="O5474" s="14">
        <v>7600</v>
      </c>
      <c r="P5474" s="14">
        <v>98.46</v>
      </c>
      <c r="Q5474" s="14">
        <v>117.04</v>
      </c>
      <c r="R5474" s="14">
        <v>117.04</v>
      </c>
      <c r="S5474" s="2" t="s">
        <v>5060</v>
      </c>
      <c r="T5474" s="2">
        <v>1.46</v>
      </c>
      <c r="U5474" s="2">
        <v>64.7</v>
      </c>
      <c r="V5474" s="2">
        <v>69</v>
      </c>
      <c r="W5474" s="2" t="s">
        <v>7862</v>
      </c>
      <c r="X5474" s="2" t="s">
        <v>2897</v>
      </c>
      <c r="Y5474" s="2">
        <v>7600</v>
      </c>
      <c r="Z5474" s="19" t="str">
        <f>HYPERLINK("https://ssdweb.co/ssdweb/hd/Vision360.html?d=941160546&amp;zoomslide=1&amp;z=1941160546&amp;ISCONFIRM=0","VIDEO")</f>
        <v>VIDEO</v>
      </c>
      <c r="AA5474" s="19" t="str">
        <f>HYPERLINK("https://ssdweb.co/ssdweb/CERTH/675504726.pdf","CERTI")</f>
        <v>CERTI</v>
      </c>
    </row>
    <row r="5475" spans="1:27" ht="15" x14ac:dyDescent="0.25">
      <c r="A5475" s="2">
        <v>5470</v>
      </c>
      <c r="B5475" s="39">
        <v>926210941</v>
      </c>
      <c r="C5475" s="28" t="str">
        <f>HYPERLINK("https://pld.live/RapDetail.aspx?STONELIST=926210941","DNA")</f>
        <v>DNA</v>
      </c>
      <c r="D5475" s="18" t="s">
        <v>3054</v>
      </c>
      <c r="E5475" s="18" t="s">
        <v>5128</v>
      </c>
      <c r="F5475" s="2" t="s">
        <v>7987</v>
      </c>
      <c r="G5475" s="2" t="s">
        <v>7322</v>
      </c>
      <c r="H5475" s="14">
        <v>1</v>
      </c>
      <c r="I5475" s="2" t="s">
        <v>267</v>
      </c>
      <c r="J5475" s="2" t="s">
        <v>3942</v>
      </c>
      <c r="K5475" s="2" t="s">
        <v>1452</v>
      </c>
      <c r="L5475" s="2" t="s">
        <v>5721</v>
      </c>
      <c r="M5475" s="2" t="s">
        <v>5221</v>
      </c>
      <c r="N5475" s="2" t="s">
        <v>2317</v>
      </c>
      <c r="O5475" s="14">
        <v>7600</v>
      </c>
      <c r="P5475" s="14">
        <v>98.49</v>
      </c>
      <c r="Q5475" s="14">
        <v>114.76</v>
      </c>
      <c r="R5475" s="14">
        <v>114.76</v>
      </c>
      <c r="S5475" s="2" t="s">
        <v>4611</v>
      </c>
      <c r="T5475" s="2">
        <v>1.39</v>
      </c>
      <c r="U5475" s="2">
        <v>67.400000000000006</v>
      </c>
      <c r="V5475" s="2">
        <v>66</v>
      </c>
      <c r="W5475" s="2" t="s">
        <v>7862</v>
      </c>
      <c r="X5475" s="2" t="s">
        <v>2897</v>
      </c>
      <c r="Y5475" s="2">
        <v>7600</v>
      </c>
      <c r="Z5475" s="19" t="str">
        <f>HYPERLINK("https://ssdweb.co/ssdweb/hd/Vision360.html?d=926210941&amp;zoomslide=1&amp;z=1926210941&amp;ISCONFIRM=0","VIDEO")</f>
        <v>VIDEO</v>
      </c>
      <c r="AA5475" s="19" t="str">
        <f>HYPERLINK("https://ssdweb.co/ssdweb/CERTH/635423936.pdf","CERTI")</f>
        <v>CERTI</v>
      </c>
    </row>
    <row r="5476" spans="1:27" ht="15" x14ac:dyDescent="0.25">
      <c r="A5476" s="2">
        <v>5471</v>
      </c>
      <c r="B5476" s="39">
        <v>941140755</v>
      </c>
      <c r="C5476" s="28" t="str">
        <f>HYPERLINK("https://pld.live/RapDetail.aspx?STONELIST=941140755","DNA")</f>
        <v>DNA</v>
      </c>
      <c r="D5476" s="18" t="s">
        <v>3054</v>
      </c>
      <c r="E5476" s="18" t="s">
        <v>5128</v>
      </c>
      <c r="F5476" s="2" t="s">
        <v>7987</v>
      </c>
      <c r="G5476" s="2" t="s">
        <v>7322</v>
      </c>
      <c r="H5476" s="14">
        <v>1</v>
      </c>
      <c r="I5476" s="2" t="s">
        <v>267</v>
      </c>
      <c r="J5476" s="2" t="s">
        <v>13</v>
      </c>
      <c r="K5476" s="2" t="s">
        <v>1452</v>
      </c>
      <c r="L5476" s="2" t="s">
        <v>5221</v>
      </c>
      <c r="M5476" s="2" t="s">
        <v>5221</v>
      </c>
      <c r="N5476" s="2" t="s">
        <v>2317</v>
      </c>
      <c r="O5476" s="14">
        <v>6700</v>
      </c>
      <c r="P5476" s="14">
        <v>98.28</v>
      </c>
      <c r="Q5476" s="14">
        <v>115.24</v>
      </c>
      <c r="R5476" s="14">
        <v>115.24</v>
      </c>
      <c r="S5476" s="2" t="s">
        <v>7299</v>
      </c>
      <c r="T5476" s="2">
        <v>1.39</v>
      </c>
      <c r="U5476" s="2">
        <v>64</v>
      </c>
      <c r="V5476" s="2">
        <v>70</v>
      </c>
      <c r="W5476" s="2" t="s">
        <v>7862</v>
      </c>
      <c r="X5476" s="2" t="s">
        <v>2897</v>
      </c>
      <c r="Y5476" s="2">
        <v>6700</v>
      </c>
      <c r="Z5476" s="19" t="str">
        <f>HYPERLINK("https://ssdweb.co/ssdweb/hd/Vision360.html?d=941140755&amp;zoomslide=1&amp;z=1941140755&amp;ISCONFIRM=0","VIDEO")</f>
        <v>VIDEO</v>
      </c>
      <c r="AA5476" s="19" t="str">
        <f>HYPERLINK("https://ssdweb.co/ssdweb/CERTH/675504700.pdf","CERTI")</f>
        <v>CERTI</v>
      </c>
    </row>
    <row r="5477" spans="1:27" ht="15" x14ac:dyDescent="0.25">
      <c r="A5477" s="2">
        <v>5472</v>
      </c>
      <c r="B5477" s="39">
        <v>941170332</v>
      </c>
      <c r="C5477" s="28" t="str">
        <f>HYPERLINK("https://pld.live/RapDetail.aspx?STONELIST=941170332","DNA")</f>
        <v>DNA</v>
      </c>
      <c r="D5477" s="18" t="s">
        <v>3054</v>
      </c>
      <c r="E5477" s="18" t="s">
        <v>5128</v>
      </c>
      <c r="F5477" s="2" t="s">
        <v>7987</v>
      </c>
      <c r="G5477" s="2" t="s">
        <v>7322</v>
      </c>
      <c r="H5477" s="14">
        <v>1</v>
      </c>
      <c r="I5477" s="2" t="s">
        <v>267</v>
      </c>
      <c r="J5477" s="2" t="s">
        <v>13</v>
      </c>
      <c r="K5477" s="2" t="s">
        <v>1452</v>
      </c>
      <c r="L5477" s="2" t="s">
        <v>5221</v>
      </c>
      <c r="M5477" s="2" t="s">
        <v>5221</v>
      </c>
      <c r="N5477" s="2" t="s">
        <v>2317</v>
      </c>
      <c r="O5477" s="14">
        <v>6700</v>
      </c>
      <c r="P5477" s="14">
        <v>98.28</v>
      </c>
      <c r="Q5477" s="14">
        <v>115.24</v>
      </c>
      <c r="R5477" s="14">
        <v>115.24</v>
      </c>
      <c r="S5477" s="2" t="s">
        <v>6117</v>
      </c>
      <c r="T5477" s="2">
        <v>1.38</v>
      </c>
      <c r="U5477" s="2">
        <v>68.2</v>
      </c>
      <c r="V5477" s="2">
        <v>64</v>
      </c>
      <c r="W5477" s="2" t="s">
        <v>7862</v>
      </c>
      <c r="X5477" s="2" t="s">
        <v>2897</v>
      </c>
      <c r="Y5477" s="2">
        <v>6700</v>
      </c>
      <c r="Z5477" s="19" t="str">
        <f>HYPERLINK("https://ssdweb.co/ssdweb/hd/Vision360.html?d=941170332&amp;zoomslide=1&amp;z=1941170332&amp;ISCONFIRM=0","VIDEO")</f>
        <v>VIDEO</v>
      </c>
      <c r="AA5477" s="19" t="str">
        <f>HYPERLINK("https://ssdweb.co/ssdweb/CERTH/689587149.pdf","CERTI")</f>
        <v>CERTI</v>
      </c>
    </row>
    <row r="5478" spans="1:27" ht="15" x14ac:dyDescent="0.25">
      <c r="A5478" s="2">
        <v>5473</v>
      </c>
      <c r="B5478" s="39">
        <v>925900435</v>
      </c>
      <c r="C5478" s="28" t="str">
        <f>HYPERLINK("https://pld.live/RapDetail.aspx?STONELIST=925900435","DNA")</f>
        <v>DNA</v>
      </c>
      <c r="D5478" s="18" t="s">
        <v>3054</v>
      </c>
      <c r="E5478" s="18" t="s">
        <v>5128</v>
      </c>
      <c r="F5478" s="2" t="s">
        <v>7987</v>
      </c>
      <c r="G5478" s="2" t="s">
        <v>7322</v>
      </c>
      <c r="H5478" s="14">
        <v>1</v>
      </c>
      <c r="I5478" s="2" t="s">
        <v>267</v>
      </c>
      <c r="J5478" s="2" t="s">
        <v>5144</v>
      </c>
      <c r="K5478" s="2" t="s">
        <v>1452</v>
      </c>
      <c r="L5478" s="2" t="s">
        <v>5221</v>
      </c>
      <c r="M5478" s="2" t="s">
        <v>5221</v>
      </c>
      <c r="N5478" s="2" t="s">
        <v>2317</v>
      </c>
      <c r="O5478" s="14">
        <v>5700</v>
      </c>
      <c r="P5478" s="14">
        <v>98.12</v>
      </c>
      <c r="Q5478" s="14">
        <v>107.16</v>
      </c>
      <c r="R5478" s="14">
        <v>107.16</v>
      </c>
      <c r="S5478" s="2" t="s">
        <v>6385</v>
      </c>
      <c r="T5478" s="2">
        <v>1.36</v>
      </c>
      <c r="U5478" s="2">
        <v>68.7</v>
      </c>
      <c r="V5478" s="2">
        <v>63</v>
      </c>
      <c r="W5478" s="2" t="s">
        <v>7862</v>
      </c>
      <c r="X5478" s="2" t="s">
        <v>2897</v>
      </c>
      <c r="Y5478" s="2">
        <v>5700</v>
      </c>
      <c r="Z5478" s="19" t="str">
        <f>HYPERLINK("https://ssdweb.co/ssdweb/hd/Vision360.html?d=925900435&amp;zoomslide=1&amp;z=1925900435&amp;ISCONFIRM=0","VIDEO")</f>
        <v>VIDEO</v>
      </c>
      <c r="AA5478" s="19" t="str">
        <f>HYPERLINK("https://ssdweb.co/ssdweb/CERTH/627410542.pdf","CERTI")</f>
        <v>CERTI</v>
      </c>
    </row>
    <row r="5479" spans="1:27" ht="15" x14ac:dyDescent="0.25">
      <c r="A5479" s="2">
        <v>5474</v>
      </c>
      <c r="B5479" s="39">
        <v>924740200</v>
      </c>
      <c r="C5479" s="28" t="str">
        <f>HYPERLINK("https://pld.live/RapDetail.aspx?STONELIST=924740200","DNA")</f>
        <v>DNA</v>
      </c>
      <c r="D5479" s="18" t="s">
        <v>3054</v>
      </c>
      <c r="E5479" s="18" t="s">
        <v>5128</v>
      </c>
      <c r="F5479" s="2" t="s">
        <v>5597</v>
      </c>
      <c r="G5479" s="2" t="s">
        <v>7322</v>
      </c>
      <c r="H5479" s="14">
        <v>1</v>
      </c>
      <c r="I5479" s="2" t="s">
        <v>267</v>
      </c>
      <c r="J5479" s="2" t="s">
        <v>5144</v>
      </c>
      <c r="K5479" s="2" t="s">
        <v>1452</v>
      </c>
      <c r="L5479" s="2" t="s">
        <v>5221</v>
      </c>
      <c r="M5479" s="2" t="s">
        <v>5221</v>
      </c>
      <c r="N5479" s="2" t="s">
        <v>2317</v>
      </c>
      <c r="O5479" s="14">
        <v>5700</v>
      </c>
      <c r="P5479" s="14">
        <v>96.54</v>
      </c>
      <c r="Q5479" s="14">
        <v>197.22</v>
      </c>
      <c r="R5479" s="14">
        <v>197.22</v>
      </c>
      <c r="S5479" s="2" t="s">
        <v>6915</v>
      </c>
      <c r="T5479" s="2">
        <v>1.43</v>
      </c>
      <c r="U5479" s="2">
        <v>67.599999999999994</v>
      </c>
      <c r="V5479" s="2">
        <v>62</v>
      </c>
      <c r="W5479" s="2" t="s">
        <v>7862</v>
      </c>
      <c r="X5479" s="2" t="s">
        <v>2897</v>
      </c>
      <c r="Y5479" s="2">
        <v>5700</v>
      </c>
      <c r="Z5479" s="19" t="str">
        <f>HYPERLINK("https://ssdweb.co/ssdweb/hd/Vision360.html?d=924740200&amp;zoomslide=1&amp;z=1924740200&amp;ISCONFIRM=0","VIDEO")</f>
        <v>VIDEO</v>
      </c>
      <c r="AA5479" s="19" t="str">
        <f>HYPERLINK("https://ssdweb.co/ssdweb/CERTH/2476699572.pdf","CERTI")</f>
        <v>CERTI</v>
      </c>
    </row>
    <row r="5480" spans="1:27" ht="15" x14ac:dyDescent="0.25">
      <c r="A5480" s="2">
        <v>5475</v>
      </c>
      <c r="B5480" s="39">
        <v>831010172</v>
      </c>
      <c r="C5480" s="28" t="str">
        <f>HYPERLINK("https://pld.live/RapDetail.aspx?STONELIST=831010172","DNA")</f>
        <v>DNA</v>
      </c>
      <c r="D5480" s="18" t="s">
        <v>3054</v>
      </c>
      <c r="E5480" s="18" t="s">
        <v>5128</v>
      </c>
      <c r="F5480" s="2" t="s">
        <v>5597</v>
      </c>
      <c r="G5480" s="2" t="s">
        <v>7322</v>
      </c>
      <c r="H5480" s="14">
        <v>1</v>
      </c>
      <c r="I5480" s="2" t="s">
        <v>267</v>
      </c>
      <c r="J5480" s="2" t="s">
        <v>5144</v>
      </c>
      <c r="K5480" s="2" t="s">
        <v>1452</v>
      </c>
      <c r="L5480" s="2" t="s">
        <v>5221</v>
      </c>
      <c r="M5480" s="2" t="s">
        <v>5221</v>
      </c>
      <c r="N5480" s="2" t="s">
        <v>2317</v>
      </c>
      <c r="O5480" s="14">
        <v>5700</v>
      </c>
      <c r="P5480" s="14">
        <v>96.54</v>
      </c>
      <c r="Q5480" s="14">
        <v>197.22</v>
      </c>
      <c r="R5480" s="14">
        <v>197.22</v>
      </c>
      <c r="S5480" s="2" t="s">
        <v>7311</v>
      </c>
      <c r="T5480" s="2">
        <v>1.36</v>
      </c>
      <c r="U5480" s="2">
        <v>68.5</v>
      </c>
      <c r="V5480" s="2">
        <v>67</v>
      </c>
      <c r="W5480" s="2" t="s">
        <v>7862</v>
      </c>
      <c r="X5480" s="2" t="s">
        <v>2897</v>
      </c>
      <c r="Y5480" s="2">
        <v>5700</v>
      </c>
      <c r="Z5480" s="19" t="str">
        <f>HYPERLINK("https://ssdweb.co/ssdweb/hd/Vision360.html?d=831010172&amp;zoomslide=1&amp;z=1831010172&amp;ISCONFIRM=0","VIDEO")</f>
        <v>VIDEO</v>
      </c>
      <c r="AA5480" s="19" t="str">
        <f>HYPERLINK("https://ssdweb.co/ssdweb/CERTH/7458864168.pdf","CERTI")</f>
        <v>CERTI</v>
      </c>
    </row>
    <row r="5481" spans="1:27" ht="15" x14ac:dyDescent="0.25">
      <c r="A5481" s="2">
        <v>5476</v>
      </c>
      <c r="B5481" s="39">
        <v>926210582</v>
      </c>
      <c r="C5481" s="28" t="str">
        <f>HYPERLINK("https://pld.live/RapDetail.aspx?STONELIST=926210582","DNA")</f>
        <v>DNA</v>
      </c>
      <c r="D5481" s="18" t="s">
        <v>3054</v>
      </c>
      <c r="E5481" s="18" t="s">
        <v>5128</v>
      </c>
      <c r="F5481" s="2" t="s">
        <v>7987</v>
      </c>
      <c r="G5481" s="2" t="s">
        <v>7322</v>
      </c>
      <c r="H5481" s="14">
        <v>1</v>
      </c>
      <c r="I5481" s="2" t="s">
        <v>267</v>
      </c>
      <c r="J5481" s="2" t="s">
        <v>5144</v>
      </c>
      <c r="K5481" s="2" t="s">
        <v>1452</v>
      </c>
      <c r="L5481" s="2" t="s">
        <v>5221</v>
      </c>
      <c r="M5481" s="2" t="s">
        <v>5221</v>
      </c>
      <c r="N5481" s="2" t="s">
        <v>2317</v>
      </c>
      <c r="O5481" s="14">
        <v>5700</v>
      </c>
      <c r="P5481" s="14">
        <v>98.09</v>
      </c>
      <c r="Q5481" s="14">
        <v>108.87</v>
      </c>
      <c r="R5481" s="14">
        <v>108.87</v>
      </c>
      <c r="S5481" s="2" t="s">
        <v>6110</v>
      </c>
      <c r="T5481" s="2">
        <v>1.36</v>
      </c>
      <c r="U5481" s="2">
        <v>68</v>
      </c>
      <c r="V5481" s="2">
        <v>69</v>
      </c>
      <c r="W5481" s="2" t="s">
        <v>7862</v>
      </c>
      <c r="X5481" s="2" t="s">
        <v>2897</v>
      </c>
      <c r="Y5481" s="2">
        <v>5700</v>
      </c>
      <c r="Z5481" s="19" t="str">
        <f>HYPERLINK("https://ssdweb.co/ssdweb/hd/Vision360.html?d=926210582&amp;zoomslide=1&amp;z=1926210582&amp;ISCONFIRM=0","VIDEO")</f>
        <v>VIDEO</v>
      </c>
      <c r="AA5481" s="19" t="str">
        <f>HYPERLINK("https://ssdweb.co/ssdweb/CERTH/635423922.pdf","CERTI")</f>
        <v>CERTI</v>
      </c>
    </row>
    <row r="5482" spans="1:27" ht="15" x14ac:dyDescent="0.25">
      <c r="A5482" s="2">
        <v>5477</v>
      </c>
      <c r="B5482" s="39">
        <v>941191132</v>
      </c>
      <c r="C5482" s="28" t="str">
        <f>HYPERLINK("https://pld.live/RapDetail.aspx?STONELIST=941191132","DNA")</f>
        <v>DNA</v>
      </c>
      <c r="D5482" s="18" t="s">
        <v>3054</v>
      </c>
      <c r="E5482" s="18" t="s">
        <v>5128</v>
      </c>
      <c r="F5482" s="2" t="s">
        <v>7987</v>
      </c>
      <c r="G5482" s="2" t="s">
        <v>7322</v>
      </c>
      <c r="H5482" s="14">
        <v>1</v>
      </c>
      <c r="I5482" s="2" t="s">
        <v>267</v>
      </c>
      <c r="J5482" s="2" t="s">
        <v>5144</v>
      </c>
      <c r="K5482" s="2" t="s">
        <v>1452</v>
      </c>
      <c r="L5482" s="2" t="s">
        <v>5221</v>
      </c>
      <c r="M5482" s="2" t="s">
        <v>5221</v>
      </c>
      <c r="N5482" s="2" t="s">
        <v>2317</v>
      </c>
      <c r="O5482" s="14">
        <v>5700</v>
      </c>
      <c r="P5482" s="14">
        <v>98.05</v>
      </c>
      <c r="Q5482" s="14">
        <v>111.15</v>
      </c>
      <c r="R5482" s="14">
        <v>111.15</v>
      </c>
      <c r="S5482" s="2" t="s">
        <v>5265</v>
      </c>
      <c r="T5482" s="2">
        <v>1.36</v>
      </c>
      <c r="U5482" s="2">
        <v>69.2</v>
      </c>
      <c r="V5482" s="2">
        <v>70</v>
      </c>
      <c r="W5482" s="2" t="s">
        <v>7862</v>
      </c>
      <c r="X5482" s="2" t="s">
        <v>2897</v>
      </c>
      <c r="Y5482" s="2">
        <v>5700</v>
      </c>
      <c r="Z5482" s="19" t="str">
        <f>HYPERLINK("https://ssdweb.co/ssdweb/hd/Vision360.html?d=941191132&amp;zoomslide=1&amp;z=1941191132&amp;ISCONFIRM=0","VIDEO")</f>
        <v>VIDEO</v>
      </c>
      <c r="AA5482" s="19" t="str">
        <f>HYPERLINK("https://ssdweb.co/ssdweb/CERTH/680504961.pdf","CERTI")</f>
        <v>CERTI</v>
      </c>
    </row>
    <row r="5483" spans="1:27" ht="15" x14ac:dyDescent="0.25">
      <c r="A5483" s="2">
        <v>5478</v>
      </c>
      <c r="B5483" s="39">
        <v>941170131</v>
      </c>
      <c r="C5483" s="28" t="str">
        <f>HYPERLINK("https://pld.live/RapDetail.aspx?STONELIST=941170131","DNA")</f>
        <v>DNA</v>
      </c>
      <c r="D5483" s="18" t="s">
        <v>3054</v>
      </c>
      <c r="E5483" s="18" t="s">
        <v>5128</v>
      </c>
      <c r="F5483" s="2" t="s">
        <v>7987</v>
      </c>
      <c r="G5483" s="2" t="s">
        <v>7322</v>
      </c>
      <c r="H5483" s="14">
        <v>1</v>
      </c>
      <c r="I5483" s="2" t="s">
        <v>267</v>
      </c>
      <c r="J5483" s="2" t="s">
        <v>5144</v>
      </c>
      <c r="K5483" s="2" t="s">
        <v>1452</v>
      </c>
      <c r="L5483" s="2" t="s">
        <v>5221</v>
      </c>
      <c r="M5483" s="2" t="s">
        <v>5221</v>
      </c>
      <c r="N5483" s="2" t="s">
        <v>2317</v>
      </c>
      <c r="O5483" s="14">
        <v>5700</v>
      </c>
      <c r="P5483" s="14">
        <v>98.05</v>
      </c>
      <c r="Q5483" s="14">
        <v>111.15</v>
      </c>
      <c r="R5483" s="14">
        <v>111.15</v>
      </c>
      <c r="S5483" s="2" t="s">
        <v>5868</v>
      </c>
      <c r="T5483" s="2">
        <v>1.42</v>
      </c>
      <c r="U5483" s="2">
        <v>67.900000000000006</v>
      </c>
      <c r="V5483" s="2">
        <v>68</v>
      </c>
      <c r="W5483" s="2" t="s">
        <v>7862</v>
      </c>
      <c r="X5483" s="2" t="s">
        <v>2897</v>
      </c>
      <c r="Y5483" s="2">
        <v>5700</v>
      </c>
      <c r="Z5483" s="19" t="str">
        <f>HYPERLINK("https://ssdweb.co/ssdweb/hd/Vision360.html?d=941170131&amp;zoomslide=1&amp;z=1941170131&amp;ISCONFIRM=0","VIDEO")</f>
        <v>VIDEO</v>
      </c>
      <c r="AA5483" s="19" t="str">
        <f>HYPERLINK("https://ssdweb.co/ssdweb/CERTH/689587148.pdf","CERTI")</f>
        <v>CERTI</v>
      </c>
    </row>
    <row r="5484" spans="1:27" ht="15" x14ac:dyDescent="0.25">
      <c r="A5484" s="2">
        <v>5479</v>
      </c>
      <c r="B5484" s="39">
        <v>926110941</v>
      </c>
      <c r="C5484" s="28" t="str">
        <f>HYPERLINK("https://pld.live/RapDetail.aspx?STONELIST=926110941","DNA")</f>
        <v>DNA</v>
      </c>
      <c r="D5484" s="18" t="s">
        <v>3054</v>
      </c>
      <c r="E5484" s="18" t="s">
        <v>5128</v>
      </c>
      <c r="F5484" s="2" t="s">
        <v>7987</v>
      </c>
      <c r="G5484" s="2" t="s">
        <v>7322</v>
      </c>
      <c r="H5484" s="14">
        <v>1</v>
      </c>
      <c r="I5484" s="2" t="s">
        <v>267</v>
      </c>
      <c r="J5484" s="2" t="s">
        <v>5144</v>
      </c>
      <c r="K5484" s="2" t="s">
        <v>1452</v>
      </c>
      <c r="L5484" s="2" t="s">
        <v>5221</v>
      </c>
      <c r="M5484" s="2" t="s">
        <v>5221</v>
      </c>
      <c r="N5484" s="2" t="s">
        <v>2317</v>
      </c>
      <c r="O5484" s="14">
        <v>5700</v>
      </c>
      <c r="P5484" s="14">
        <v>98.09</v>
      </c>
      <c r="Q5484" s="14">
        <v>108.87</v>
      </c>
      <c r="R5484" s="14">
        <v>108.87</v>
      </c>
      <c r="S5484" s="2" t="s">
        <v>2585</v>
      </c>
      <c r="T5484" s="2">
        <v>1.36</v>
      </c>
      <c r="U5484" s="2">
        <v>68.3</v>
      </c>
      <c r="V5484" s="2">
        <v>66</v>
      </c>
      <c r="W5484" s="2" t="s">
        <v>7862</v>
      </c>
      <c r="X5484" s="2" t="s">
        <v>2897</v>
      </c>
      <c r="Y5484" s="2">
        <v>5700</v>
      </c>
      <c r="Z5484" s="19" t="str">
        <f>HYPERLINK("https://ssdweb.co/ssdweb/hd/Vision360.html?d=926110941&amp;zoomslide=1&amp;z=1926110941&amp;ISCONFIRM=0","VIDEO")</f>
        <v>VIDEO</v>
      </c>
      <c r="AA5484" s="19" t="str">
        <f>HYPERLINK("https://ssdweb.co/ssdweb/CERTH/632449592.pdf","CERTI")</f>
        <v>CERTI</v>
      </c>
    </row>
    <row r="5485" spans="1:27" ht="15" x14ac:dyDescent="0.25">
      <c r="A5485" s="2">
        <v>5480</v>
      </c>
      <c r="B5485" s="39">
        <v>924610403</v>
      </c>
      <c r="C5485" s="28" t="str">
        <f>HYPERLINK("https://pld.live/RapDetail.aspx?STONELIST=924610403","DNA")</f>
        <v>DNA</v>
      </c>
      <c r="D5485" s="18" t="s">
        <v>3054</v>
      </c>
      <c r="E5485" s="18" t="s">
        <v>5128</v>
      </c>
      <c r="F5485" s="2" t="s">
        <v>7987</v>
      </c>
      <c r="G5485" s="2" t="s">
        <v>7322</v>
      </c>
      <c r="H5485" s="14">
        <v>1</v>
      </c>
      <c r="I5485" s="2" t="s">
        <v>267</v>
      </c>
      <c r="J5485" s="2" t="s">
        <v>444</v>
      </c>
      <c r="K5485" s="2" t="s">
        <v>1452</v>
      </c>
      <c r="L5485" s="2" t="s">
        <v>5221</v>
      </c>
      <c r="M5485" s="2" t="s">
        <v>5221</v>
      </c>
      <c r="N5485" s="2" t="s">
        <v>2317</v>
      </c>
      <c r="O5485" s="14">
        <v>4600</v>
      </c>
      <c r="P5485" s="14">
        <v>97.8</v>
      </c>
      <c r="Q5485" s="14">
        <v>101.2</v>
      </c>
      <c r="R5485" s="14">
        <v>101.2</v>
      </c>
      <c r="S5485" s="2" t="s">
        <v>4339</v>
      </c>
      <c r="T5485" s="2">
        <v>1.45</v>
      </c>
      <c r="U5485" s="2">
        <v>67.099999999999994</v>
      </c>
      <c r="V5485" s="2">
        <v>62</v>
      </c>
      <c r="W5485" s="2" t="s">
        <v>7862</v>
      </c>
      <c r="X5485" s="2" t="s">
        <v>2897</v>
      </c>
      <c r="Y5485" s="2">
        <v>4600</v>
      </c>
      <c r="Z5485" s="19" t="str">
        <f>HYPERLINK("https://ssdweb.co/ssdweb/hd/Vision360.html?d=924610403&amp;zoomslide=1&amp;z=1924610403&amp;ISCONFIRM=0","VIDEO")</f>
        <v>VIDEO</v>
      </c>
      <c r="AA5485" s="19" t="str">
        <f>HYPERLINK("https://ssdweb.co/ssdweb/CERTH/598386159.pdf","CERTI")</f>
        <v>CERTI</v>
      </c>
    </row>
    <row r="5486" spans="1:27" ht="15" x14ac:dyDescent="0.25">
      <c r="A5486" s="2">
        <v>5481</v>
      </c>
      <c r="B5486" s="39">
        <v>831010552</v>
      </c>
      <c r="C5486" s="28" t="str">
        <f>HYPERLINK("https://pld.live/RapDetail.aspx?STONELIST=831010552","DNA")</f>
        <v>DNA</v>
      </c>
      <c r="D5486" s="18" t="s">
        <v>3054</v>
      </c>
      <c r="E5486" s="18" t="s">
        <v>5128</v>
      </c>
      <c r="F5486" s="2" t="s">
        <v>7987</v>
      </c>
      <c r="G5486" s="2" t="s">
        <v>7322</v>
      </c>
      <c r="H5486" s="14">
        <v>1</v>
      </c>
      <c r="I5486" s="2" t="s">
        <v>267</v>
      </c>
      <c r="J5486" s="2" t="s">
        <v>444</v>
      </c>
      <c r="K5486" s="2" t="s">
        <v>1452</v>
      </c>
      <c r="L5486" s="2" t="s">
        <v>5221</v>
      </c>
      <c r="M5486" s="2" t="s">
        <v>5221</v>
      </c>
      <c r="N5486" s="2" t="s">
        <v>2317</v>
      </c>
      <c r="O5486" s="14">
        <v>4600</v>
      </c>
      <c r="P5486" s="14">
        <v>97.8</v>
      </c>
      <c r="Q5486" s="14">
        <v>101.2</v>
      </c>
      <c r="R5486" s="14">
        <v>101.2</v>
      </c>
      <c r="S5486" s="2" t="s">
        <v>1564</v>
      </c>
      <c r="T5486" s="2">
        <v>1.46</v>
      </c>
      <c r="U5486" s="2">
        <v>68.400000000000006</v>
      </c>
      <c r="V5486" s="2">
        <v>65.5</v>
      </c>
      <c r="W5486" s="2" t="s">
        <v>7862</v>
      </c>
      <c r="X5486" s="2" t="s">
        <v>2897</v>
      </c>
      <c r="Y5486" s="2">
        <v>4600</v>
      </c>
      <c r="Z5486" s="19" t="str">
        <f>HYPERLINK("https://ssdweb.co/ssdweb/hd/Vision360.html?d=831010552&amp;zoomslide=1&amp;z=1831010552&amp;ISCONFIRM=0","VIDEO")</f>
        <v>VIDEO</v>
      </c>
      <c r="AA5486" s="19" t="str">
        <f>HYPERLINK("https://ssdweb.co/ssdweb/CERTH/567343065.pdf","CERTI")</f>
        <v>CERTI</v>
      </c>
    </row>
    <row r="5487" spans="1:27" ht="15" x14ac:dyDescent="0.25">
      <c r="A5487" s="2">
        <v>5482</v>
      </c>
      <c r="B5487" s="39">
        <v>926270859</v>
      </c>
      <c r="C5487" s="28" t="str">
        <f>HYPERLINK("https://pld.live/RapDetail.aspx?STONELIST=926270859","DNA")</f>
        <v>DNA</v>
      </c>
      <c r="D5487" s="18" t="s">
        <v>3054</v>
      </c>
      <c r="E5487" s="18" t="s">
        <v>5128</v>
      </c>
      <c r="F5487" s="2" t="s">
        <v>7987</v>
      </c>
      <c r="G5487" s="2" t="s">
        <v>7322</v>
      </c>
      <c r="H5487" s="14">
        <v>1</v>
      </c>
      <c r="I5487" s="2" t="s">
        <v>4761</v>
      </c>
      <c r="J5487" s="2" t="s">
        <v>6555</v>
      </c>
      <c r="K5487" s="2" t="s">
        <v>1452</v>
      </c>
      <c r="L5487" s="2" t="s">
        <v>5221</v>
      </c>
      <c r="M5487" s="2" t="s">
        <v>5221</v>
      </c>
      <c r="N5487" s="2" t="s">
        <v>2317</v>
      </c>
      <c r="O5487" s="14">
        <v>7500</v>
      </c>
      <c r="P5487" s="14">
        <v>98.35</v>
      </c>
      <c r="Q5487" s="14">
        <v>123.75</v>
      </c>
      <c r="R5487" s="14">
        <v>123.75</v>
      </c>
      <c r="S5487" s="2" t="s">
        <v>7566</v>
      </c>
      <c r="T5487" s="2">
        <v>1.35</v>
      </c>
      <c r="U5487" s="2">
        <v>70</v>
      </c>
      <c r="V5487" s="2">
        <v>68</v>
      </c>
      <c r="W5487" s="2" t="s">
        <v>7862</v>
      </c>
      <c r="X5487" s="2" t="s">
        <v>2897</v>
      </c>
      <c r="Y5487" s="2">
        <v>7500</v>
      </c>
      <c r="Z5487" s="19" t="str">
        <f>HYPERLINK("https://ssdweb.co/ssdweb/hd/Vision360.html?d=926270859&amp;zoomslide=1&amp;z=1926270859&amp;ISCONFIRM=0","VIDEO")</f>
        <v>VIDEO</v>
      </c>
      <c r="AA5487" s="19" t="str">
        <f>HYPERLINK("https://ssdweb.co/ssdweb/CERTH/648487379.pdf","CERTI")</f>
        <v>CERTI</v>
      </c>
    </row>
    <row r="5488" spans="1:27" ht="15" x14ac:dyDescent="0.25">
      <c r="A5488" s="2">
        <v>5483</v>
      </c>
      <c r="B5488" s="39">
        <v>941140858</v>
      </c>
      <c r="C5488" s="28" t="str">
        <f>HYPERLINK("https://pld.live/RapDetail.aspx?STONELIST=941140858","DNA")</f>
        <v>DNA</v>
      </c>
      <c r="D5488" s="18" t="s">
        <v>3054</v>
      </c>
      <c r="E5488" s="18" t="s">
        <v>5128</v>
      </c>
      <c r="F5488" s="2" t="s">
        <v>7987</v>
      </c>
      <c r="G5488" s="2" t="s">
        <v>7322</v>
      </c>
      <c r="H5488" s="14">
        <v>1</v>
      </c>
      <c r="I5488" s="2" t="s">
        <v>4761</v>
      </c>
      <c r="J5488" s="2" t="s">
        <v>6555</v>
      </c>
      <c r="K5488" s="2" t="s">
        <v>1452</v>
      </c>
      <c r="L5488" s="2" t="s">
        <v>5221</v>
      </c>
      <c r="M5488" s="2" t="s">
        <v>5221</v>
      </c>
      <c r="N5488" s="2" t="s">
        <v>2317</v>
      </c>
      <c r="O5488" s="14">
        <v>7500</v>
      </c>
      <c r="P5488" s="14">
        <v>98.33</v>
      </c>
      <c r="Q5488" s="14">
        <v>125.25</v>
      </c>
      <c r="R5488" s="14">
        <v>125.25</v>
      </c>
      <c r="S5488" s="2" t="s">
        <v>6003</v>
      </c>
      <c r="T5488" s="2">
        <v>1.57</v>
      </c>
      <c r="U5488" s="2">
        <v>67.900000000000006</v>
      </c>
      <c r="V5488" s="2">
        <v>61</v>
      </c>
      <c r="W5488" s="2" t="s">
        <v>7862</v>
      </c>
      <c r="X5488" s="2" t="s">
        <v>2897</v>
      </c>
      <c r="Y5488" s="2">
        <v>7500</v>
      </c>
      <c r="Z5488" s="19" t="str">
        <f>HYPERLINK("https://ssdweb.co/ssdweb/hd/Vision360.html?d=941140858&amp;zoomslide=1&amp;z=1941140858&amp;ISCONFIRM=0","VIDEO")</f>
        <v>VIDEO</v>
      </c>
      <c r="AA5488" s="19" t="str">
        <f>HYPERLINK("https://ssdweb.co/ssdweb/CERTH/678564574.pdf","CERTI")</f>
        <v>CERTI</v>
      </c>
    </row>
    <row r="5489" spans="1:27" ht="15" x14ac:dyDescent="0.25">
      <c r="A5489" s="2">
        <v>5484</v>
      </c>
      <c r="B5489" s="39">
        <v>926680936</v>
      </c>
      <c r="C5489" s="28" t="str">
        <f>HYPERLINK("https://pld.live/RapDetail.aspx?STONELIST=926680936","DNA")</f>
        <v>DNA</v>
      </c>
      <c r="D5489" s="18" t="s">
        <v>3054</v>
      </c>
      <c r="E5489" s="18" t="s">
        <v>2186</v>
      </c>
      <c r="F5489" s="2" t="s">
        <v>7987</v>
      </c>
      <c r="G5489" s="2" t="s">
        <v>7322</v>
      </c>
      <c r="H5489" s="14">
        <v>1</v>
      </c>
      <c r="I5489" s="2" t="s">
        <v>4761</v>
      </c>
      <c r="J5489" s="2" t="s">
        <v>3942</v>
      </c>
      <c r="K5489" s="2" t="s">
        <v>1452</v>
      </c>
      <c r="L5489" s="2" t="s">
        <v>5221</v>
      </c>
      <c r="M5489" s="2" t="s">
        <v>5221</v>
      </c>
      <c r="N5489" s="2" t="s">
        <v>2317</v>
      </c>
      <c r="O5489" s="14">
        <v>6900</v>
      </c>
      <c r="P5489" s="14">
        <v>98.33</v>
      </c>
      <c r="Q5489" s="14">
        <v>115.23</v>
      </c>
      <c r="R5489" s="14">
        <v>115.23</v>
      </c>
      <c r="S5489" s="2" t="s">
        <v>4559</v>
      </c>
      <c r="T5489" s="2">
        <v>1.36</v>
      </c>
      <c r="U5489" s="2">
        <v>70.3</v>
      </c>
      <c r="V5489" s="2">
        <v>68</v>
      </c>
      <c r="W5489" s="2" t="s">
        <v>7862</v>
      </c>
      <c r="X5489" s="2" t="s">
        <v>2897</v>
      </c>
      <c r="Y5489" s="2">
        <v>6900</v>
      </c>
      <c r="Z5489" s="19" t="str">
        <f>HYPERLINK("https://ssdweb.co/ssdweb/hd/Vision360.html?d=926680936&amp;zoomslide=1&amp;z=1926680936&amp;ISCONFIRM=0","VIDEO")</f>
        <v>VIDEO</v>
      </c>
      <c r="AA5489" s="19" t="str">
        <f>HYPERLINK("https://ssdweb.co/ssdweb/CERTH/653451058.pdf","CERTI")</f>
        <v>CERTI</v>
      </c>
    </row>
    <row r="5490" spans="1:27" ht="15" x14ac:dyDescent="0.25">
      <c r="A5490" s="2">
        <v>5485</v>
      </c>
      <c r="B5490" s="39">
        <v>941140837</v>
      </c>
      <c r="C5490" s="28" t="str">
        <f>HYPERLINK("https://pld.live/RapDetail.aspx?STONELIST=941140837","DNA")</f>
        <v>DNA</v>
      </c>
      <c r="D5490" s="18" t="s">
        <v>3054</v>
      </c>
      <c r="E5490" s="18" t="s">
        <v>5128</v>
      </c>
      <c r="F5490" s="2" t="s">
        <v>7987</v>
      </c>
      <c r="G5490" s="2" t="s">
        <v>7322</v>
      </c>
      <c r="H5490" s="14">
        <v>1</v>
      </c>
      <c r="I5490" s="2" t="s">
        <v>4761</v>
      </c>
      <c r="J5490" s="2" t="s">
        <v>13</v>
      </c>
      <c r="K5490" s="2" t="s">
        <v>1452</v>
      </c>
      <c r="L5490" s="2" t="s">
        <v>5221</v>
      </c>
      <c r="M5490" s="2" t="s">
        <v>5221</v>
      </c>
      <c r="N5490" s="2" t="s">
        <v>2317</v>
      </c>
      <c r="O5490" s="14">
        <v>6200</v>
      </c>
      <c r="P5490" s="14">
        <v>98.18</v>
      </c>
      <c r="Q5490" s="14">
        <v>112.84</v>
      </c>
      <c r="R5490" s="14">
        <v>112.84</v>
      </c>
      <c r="S5490" s="2" t="s">
        <v>675</v>
      </c>
      <c r="T5490" s="2">
        <v>1.57</v>
      </c>
      <c r="U5490" s="2">
        <v>67.400000000000006</v>
      </c>
      <c r="V5490" s="2">
        <v>70</v>
      </c>
      <c r="W5490" s="2" t="s">
        <v>7862</v>
      </c>
      <c r="X5490" s="2" t="s">
        <v>2897</v>
      </c>
      <c r="Y5490" s="2">
        <v>6200</v>
      </c>
      <c r="Z5490" s="19" t="str">
        <f>HYPERLINK("https://ssdweb.co/ssdweb/hd/Vision360.html?d=941140837&amp;zoomslide=1&amp;z=1941140837&amp;ISCONFIRM=0","VIDEO")</f>
        <v>VIDEO</v>
      </c>
      <c r="AA5490" s="19" t="str">
        <f>HYPERLINK("https://ssdweb.co/ssdweb/CERTH/678564595.pdf","CERTI")</f>
        <v>CERTI</v>
      </c>
    </row>
    <row r="5491" spans="1:27" ht="15" x14ac:dyDescent="0.25">
      <c r="A5491" s="2">
        <v>5486</v>
      </c>
      <c r="B5491" s="39">
        <v>941170196</v>
      </c>
      <c r="C5491" s="28" t="str">
        <f>HYPERLINK("https://pld.live/RapDetail.aspx?STONELIST=941170196","DNA")</f>
        <v>DNA</v>
      </c>
      <c r="D5491" s="18" t="s">
        <v>3054</v>
      </c>
      <c r="E5491" s="18" t="s">
        <v>5128</v>
      </c>
      <c r="F5491" s="2" t="s">
        <v>7987</v>
      </c>
      <c r="G5491" s="2" t="s">
        <v>7322</v>
      </c>
      <c r="H5491" s="14">
        <v>1</v>
      </c>
      <c r="I5491" s="2" t="s">
        <v>4761</v>
      </c>
      <c r="J5491" s="2" t="s">
        <v>13</v>
      </c>
      <c r="K5491" s="2" t="s">
        <v>1452</v>
      </c>
      <c r="L5491" s="2" t="s">
        <v>5221</v>
      </c>
      <c r="M5491" s="2" t="s">
        <v>5221</v>
      </c>
      <c r="N5491" s="2" t="s">
        <v>2317</v>
      </c>
      <c r="O5491" s="14">
        <v>6200</v>
      </c>
      <c r="P5491" s="14">
        <v>98.18</v>
      </c>
      <c r="Q5491" s="14">
        <v>112.84</v>
      </c>
      <c r="R5491" s="14">
        <v>112.84</v>
      </c>
      <c r="S5491" s="2" t="s">
        <v>4902</v>
      </c>
      <c r="T5491" s="2">
        <v>1.41</v>
      </c>
      <c r="U5491" s="2">
        <v>68.099999999999994</v>
      </c>
      <c r="V5491" s="2">
        <v>62</v>
      </c>
      <c r="W5491" s="2" t="s">
        <v>7862</v>
      </c>
      <c r="X5491" s="2" t="s">
        <v>2897</v>
      </c>
      <c r="Y5491" s="2">
        <v>6200</v>
      </c>
      <c r="Z5491" s="19" t="str">
        <f>HYPERLINK("https://ssdweb.co/ssdweb/hd/Vision360.html?d=941170196&amp;zoomslide=1&amp;z=1941170196&amp;ISCONFIRM=0","VIDEO")</f>
        <v>VIDEO</v>
      </c>
      <c r="AA5491" s="19" t="str">
        <f>HYPERLINK("https://ssdweb.co/ssdweb/CERTH/678564563.pdf","CERTI")</f>
        <v>CERTI</v>
      </c>
    </row>
    <row r="5492" spans="1:27" ht="15" x14ac:dyDescent="0.25">
      <c r="A5492" s="2">
        <v>5487</v>
      </c>
      <c r="B5492" s="39">
        <v>941110560</v>
      </c>
      <c r="C5492" s="28" t="str">
        <f>HYPERLINK("https://pld.live/RapDetail.aspx?STONELIST=941110560","DNA")</f>
        <v>DNA</v>
      </c>
      <c r="D5492" s="18" t="s">
        <v>3054</v>
      </c>
      <c r="E5492" s="18" t="s">
        <v>2186</v>
      </c>
      <c r="F5492" s="2" t="s">
        <v>7987</v>
      </c>
      <c r="G5492" s="2" t="s">
        <v>7322</v>
      </c>
      <c r="H5492" s="14">
        <v>1</v>
      </c>
      <c r="I5492" s="2" t="s">
        <v>4761</v>
      </c>
      <c r="J5492" s="2" t="s">
        <v>13</v>
      </c>
      <c r="K5492" s="2" t="s">
        <v>1452</v>
      </c>
      <c r="L5492" s="2" t="s">
        <v>5221</v>
      </c>
      <c r="M5492" s="2" t="s">
        <v>5221</v>
      </c>
      <c r="N5492" s="2" t="s">
        <v>2317</v>
      </c>
      <c r="O5492" s="14">
        <v>6200</v>
      </c>
      <c r="P5492" s="14">
        <v>98.18</v>
      </c>
      <c r="Q5492" s="14">
        <v>112.84</v>
      </c>
      <c r="R5492" s="14">
        <v>112.84</v>
      </c>
      <c r="S5492" s="2" t="s">
        <v>3637</v>
      </c>
      <c r="T5492" s="2">
        <v>1.47</v>
      </c>
      <c r="U5492" s="2">
        <v>64.7</v>
      </c>
      <c r="V5492" s="2">
        <v>68</v>
      </c>
      <c r="W5492" s="2" t="s">
        <v>7862</v>
      </c>
      <c r="X5492" s="2" t="s">
        <v>2897</v>
      </c>
      <c r="Y5492" s="2">
        <v>6200</v>
      </c>
      <c r="Z5492" s="19" t="str">
        <f>HYPERLINK("https://ssdweb.co/ssdweb/hd/Vision360.html?d=941110560&amp;zoomslide=1&amp;z=1941110560&amp;ISCONFIRM=0","VIDEO")</f>
        <v>VIDEO</v>
      </c>
      <c r="AA5492" s="19" t="str">
        <f>HYPERLINK("https://ssdweb.co/ssdweb/CERTH/678564597.pdf","CERTI")</f>
        <v>CERTI</v>
      </c>
    </row>
    <row r="5493" spans="1:27" ht="15" x14ac:dyDescent="0.25">
      <c r="A5493" s="2">
        <v>5488</v>
      </c>
      <c r="B5493" s="39">
        <v>927152817</v>
      </c>
      <c r="C5493" s="28" t="str">
        <f>HYPERLINK("https://pld.live/RapDetail.aspx?STONELIST=927152817","DNA")</f>
        <v>DNA</v>
      </c>
      <c r="D5493" s="18" t="s">
        <v>3054</v>
      </c>
      <c r="E5493" s="18" t="s">
        <v>5128</v>
      </c>
      <c r="F5493" s="2" t="s">
        <v>7987</v>
      </c>
      <c r="G5493" s="2" t="s">
        <v>7322</v>
      </c>
      <c r="H5493" s="14">
        <v>1</v>
      </c>
      <c r="I5493" s="2" t="s">
        <v>4761</v>
      </c>
      <c r="J5493" s="2" t="s">
        <v>13</v>
      </c>
      <c r="K5493" s="2" t="s">
        <v>1452</v>
      </c>
      <c r="L5493" s="2" t="s">
        <v>5221</v>
      </c>
      <c r="M5493" s="2" t="s">
        <v>5221</v>
      </c>
      <c r="N5493" s="2" t="s">
        <v>2317</v>
      </c>
      <c r="O5493" s="14">
        <v>6200</v>
      </c>
      <c r="P5493" s="14">
        <v>98.18</v>
      </c>
      <c r="Q5493" s="14">
        <v>112.84</v>
      </c>
      <c r="R5493" s="14">
        <v>112.84</v>
      </c>
      <c r="S5493" s="2" t="s">
        <v>32</v>
      </c>
      <c r="T5493" s="2">
        <v>1.47</v>
      </c>
      <c r="U5493" s="2">
        <v>64</v>
      </c>
      <c r="V5493" s="2">
        <v>67</v>
      </c>
      <c r="W5493" s="2" t="s">
        <v>7862</v>
      </c>
      <c r="X5493" s="2" t="s">
        <v>2897</v>
      </c>
      <c r="Y5493" s="2">
        <v>6200</v>
      </c>
      <c r="Z5493" s="19" t="str">
        <f>HYPERLINK("https://ssdweb.co/ssdweb/hd/Vision360.html?d=927152817&amp;zoomslide=1&amp;z=1927152817&amp;ISCONFIRM=0","VIDEO")</f>
        <v>VIDEO</v>
      </c>
      <c r="AA5493" s="19" t="str">
        <f>HYPERLINK("https://ssdweb.co/ssdweb/CERTH/671411248.pdf","CERTI")</f>
        <v>CERTI</v>
      </c>
    </row>
    <row r="5494" spans="1:27" ht="15" x14ac:dyDescent="0.25">
      <c r="A5494" s="2">
        <v>5489</v>
      </c>
      <c r="B5494" s="39">
        <v>927150266</v>
      </c>
      <c r="C5494" s="28" t="str">
        <f>HYPERLINK("https://pld.live/RapDetail.aspx?STONELIST=927150266","DNA")</f>
        <v>DNA</v>
      </c>
      <c r="D5494" s="18" t="s">
        <v>3054</v>
      </c>
      <c r="E5494" s="18" t="s">
        <v>5128</v>
      </c>
      <c r="F5494" s="2" t="s">
        <v>7987</v>
      </c>
      <c r="G5494" s="2" t="s">
        <v>7322</v>
      </c>
      <c r="H5494" s="14">
        <v>1</v>
      </c>
      <c r="I5494" s="2" t="s">
        <v>4761</v>
      </c>
      <c r="J5494" s="2" t="s">
        <v>13</v>
      </c>
      <c r="K5494" s="2" t="s">
        <v>1452</v>
      </c>
      <c r="L5494" s="2" t="s">
        <v>5221</v>
      </c>
      <c r="M5494" s="2" t="s">
        <v>5221</v>
      </c>
      <c r="N5494" s="2" t="s">
        <v>2317</v>
      </c>
      <c r="O5494" s="14">
        <v>6200</v>
      </c>
      <c r="P5494" s="14">
        <v>98.19</v>
      </c>
      <c r="Q5494" s="14">
        <v>112.22</v>
      </c>
      <c r="R5494" s="14">
        <v>112.22</v>
      </c>
      <c r="S5494" s="2" t="s">
        <v>5940</v>
      </c>
      <c r="T5494" s="2">
        <v>1.36</v>
      </c>
      <c r="U5494" s="2">
        <v>67.2</v>
      </c>
      <c r="V5494" s="2">
        <v>71</v>
      </c>
      <c r="W5494" s="2" t="s">
        <v>7862</v>
      </c>
      <c r="X5494" s="2" t="s">
        <v>2897</v>
      </c>
      <c r="Y5494" s="2">
        <v>6200</v>
      </c>
      <c r="Z5494" s="19" t="str">
        <f>HYPERLINK("https://ssdweb.co/ssdweb/hd/Vision360.html?d=927150266&amp;zoomslide=1&amp;z=1927150266&amp;ISCONFIRM=0","VIDEO")</f>
        <v>VIDEO</v>
      </c>
      <c r="AA5494" s="19" t="str">
        <f>HYPERLINK("https://ssdweb.co/ssdweb/CERTH/667433066.pdf","CERTI")</f>
        <v>CERTI</v>
      </c>
    </row>
    <row r="5495" spans="1:27" ht="15" x14ac:dyDescent="0.25">
      <c r="A5495" s="2">
        <v>5490</v>
      </c>
      <c r="B5495" s="39">
        <v>926870872</v>
      </c>
      <c r="C5495" s="28" t="str">
        <f>HYPERLINK("https://pld.live/RapDetail.aspx?STONELIST=926870872","DNA")</f>
        <v>DNA</v>
      </c>
      <c r="D5495" s="18" t="s">
        <v>3054</v>
      </c>
      <c r="E5495" s="18" t="s">
        <v>5128</v>
      </c>
      <c r="F5495" s="2" t="s">
        <v>7987</v>
      </c>
      <c r="G5495" s="2" t="s">
        <v>7322</v>
      </c>
      <c r="H5495" s="14">
        <v>1</v>
      </c>
      <c r="I5495" s="2" t="s">
        <v>4761</v>
      </c>
      <c r="J5495" s="2" t="s">
        <v>5144</v>
      </c>
      <c r="K5495" s="2" t="s">
        <v>1452</v>
      </c>
      <c r="L5495" s="2" t="s">
        <v>5221</v>
      </c>
      <c r="M5495" s="2" t="s">
        <v>5221</v>
      </c>
      <c r="N5495" s="2" t="s">
        <v>2317</v>
      </c>
      <c r="O5495" s="14">
        <v>5400</v>
      </c>
      <c r="P5495" s="14">
        <v>98.04</v>
      </c>
      <c r="Q5495" s="14">
        <v>105.84</v>
      </c>
      <c r="R5495" s="14">
        <v>105.84</v>
      </c>
      <c r="S5495" s="2" t="s">
        <v>159</v>
      </c>
      <c r="T5495" s="2">
        <v>1.4</v>
      </c>
      <c r="U5495" s="2">
        <v>67.900000000000006</v>
      </c>
      <c r="V5495" s="2">
        <v>64</v>
      </c>
      <c r="W5495" s="2" t="s">
        <v>7862</v>
      </c>
      <c r="X5495" s="2" t="s">
        <v>2897</v>
      </c>
      <c r="Y5495" s="2">
        <v>5400</v>
      </c>
      <c r="Z5495" s="19" t="str">
        <f>HYPERLINK("https://ssdweb.co/ssdweb/hd/Vision360.html?d=926870872&amp;zoomslide=1&amp;z=1926870872&amp;ISCONFIRM=0","VIDEO")</f>
        <v>VIDEO</v>
      </c>
      <c r="AA5495" s="19" t="str">
        <f>HYPERLINK("https://ssdweb.co/ssdweb/CERTH/653451082.pdf","CERTI")</f>
        <v>CERTI</v>
      </c>
    </row>
    <row r="5496" spans="1:27" ht="15" x14ac:dyDescent="0.25">
      <c r="A5496" s="2">
        <v>5491</v>
      </c>
      <c r="B5496" s="39">
        <v>831020694</v>
      </c>
      <c r="C5496" s="28" t="str">
        <f>HYPERLINK("https://pld.live/RapDetail.aspx?STONELIST=831020694","DNA")</f>
        <v>DNA</v>
      </c>
      <c r="D5496" s="18" t="s">
        <v>3054</v>
      </c>
      <c r="E5496" s="18" t="s">
        <v>2186</v>
      </c>
      <c r="F5496" s="2" t="s">
        <v>7987</v>
      </c>
      <c r="G5496" s="2" t="s">
        <v>7322</v>
      </c>
      <c r="H5496" s="14">
        <v>1</v>
      </c>
      <c r="I5496" s="2" t="s">
        <v>4699</v>
      </c>
      <c r="J5496" s="2" t="s">
        <v>13</v>
      </c>
      <c r="K5496" s="2" t="s">
        <v>1452</v>
      </c>
      <c r="L5496" s="2" t="s">
        <v>5221</v>
      </c>
      <c r="M5496" s="2" t="s">
        <v>5221</v>
      </c>
      <c r="N5496" s="2" t="s">
        <v>2317</v>
      </c>
      <c r="O5496" s="14">
        <v>5800</v>
      </c>
      <c r="P5496" s="14">
        <v>98.21</v>
      </c>
      <c r="Q5496" s="14">
        <v>103.82</v>
      </c>
      <c r="R5496" s="14">
        <v>103.82</v>
      </c>
      <c r="S5496" s="2" t="s">
        <v>2235</v>
      </c>
      <c r="T5496" s="2">
        <v>1.47</v>
      </c>
      <c r="U5496" s="2">
        <v>64.7</v>
      </c>
      <c r="V5496" s="2">
        <v>66</v>
      </c>
      <c r="W5496" s="2" t="s">
        <v>8016</v>
      </c>
      <c r="X5496" s="2" t="s">
        <v>2897</v>
      </c>
      <c r="Y5496" s="2">
        <v>5800</v>
      </c>
      <c r="Z5496" s="19" t="str">
        <f>HYPERLINK("https://ssdweb.co/ssdweb/hd/Vision360.html?d=831020694&amp;zoomslide=1&amp;z=1831020694&amp;ISCONFIRM=0","VIDEO")</f>
        <v>VIDEO</v>
      </c>
      <c r="AA5496" s="19" t="str">
        <f>HYPERLINK("https://ssdweb.co/ssdweb/CERTH/595368313.pdf","CERTI")</f>
        <v>CERTI</v>
      </c>
    </row>
    <row r="5497" spans="1:27" ht="15" x14ac:dyDescent="0.25">
      <c r="A5497" s="2">
        <v>5492</v>
      </c>
      <c r="B5497" s="39">
        <v>924510234</v>
      </c>
      <c r="C5497" s="28" t="str">
        <f>HYPERLINK("https://pld.live/RapDetail.aspx?STONELIST=924510234","DNA")</f>
        <v>DNA</v>
      </c>
      <c r="D5497" s="18" t="s">
        <v>3054</v>
      </c>
      <c r="E5497" s="18" t="s">
        <v>2186</v>
      </c>
      <c r="F5497" s="2" t="s">
        <v>7987</v>
      </c>
      <c r="G5497" s="2" t="s">
        <v>7322</v>
      </c>
      <c r="H5497" s="14">
        <v>1</v>
      </c>
      <c r="I5497" s="2" t="s">
        <v>4699</v>
      </c>
      <c r="J5497" s="2" t="s">
        <v>444</v>
      </c>
      <c r="K5497" s="2" t="s">
        <v>1452</v>
      </c>
      <c r="L5497" s="2" t="s">
        <v>5221</v>
      </c>
      <c r="M5497" s="2" t="s">
        <v>5221</v>
      </c>
      <c r="N5497" s="2" t="s">
        <v>2317</v>
      </c>
      <c r="O5497" s="14">
        <v>4000</v>
      </c>
      <c r="P5497" s="14">
        <v>97.73</v>
      </c>
      <c r="Q5497" s="14">
        <v>90.8</v>
      </c>
      <c r="R5497" s="14">
        <v>90.8</v>
      </c>
      <c r="S5497" s="2" t="s">
        <v>2294</v>
      </c>
      <c r="T5497" s="2">
        <v>1.38</v>
      </c>
      <c r="U5497" s="2">
        <v>69.7</v>
      </c>
      <c r="V5497" s="2">
        <v>63</v>
      </c>
      <c r="W5497" s="2" t="s">
        <v>7862</v>
      </c>
      <c r="X5497" s="2" t="s">
        <v>2897</v>
      </c>
      <c r="Y5497" s="2">
        <v>4000</v>
      </c>
      <c r="Z5497" s="19" t="str">
        <f>HYPERLINK("https://ssdweb.co/ssdweb/hd/Vision360.html?d=924510234&amp;zoomslide=1&amp;z=1924510234&amp;ISCONFIRM=0","VIDEO")</f>
        <v>VIDEO</v>
      </c>
      <c r="AA5497" s="19" t="str">
        <f>HYPERLINK("https://ssdweb.co/ssdweb/CERTH/600304581.pdf","CERTI")</f>
        <v>CERTI</v>
      </c>
    </row>
    <row r="5498" spans="1:27" ht="15" x14ac:dyDescent="0.25">
      <c r="A5498" s="2">
        <v>5493</v>
      </c>
      <c r="B5498" s="39">
        <v>924350690</v>
      </c>
      <c r="C5498" s="28" t="str">
        <f>HYPERLINK("https://pld.live/RapDetail.aspx?STONELIST=924350690","DNA")</f>
        <v>DNA</v>
      </c>
      <c r="D5498" s="18" t="s">
        <v>3054</v>
      </c>
      <c r="E5498" s="18" t="s">
        <v>2186</v>
      </c>
      <c r="F5498" s="2" t="s">
        <v>7987</v>
      </c>
      <c r="G5498" s="2" t="s">
        <v>7322</v>
      </c>
      <c r="H5498" s="14">
        <v>1</v>
      </c>
      <c r="I5498" s="2" t="s">
        <v>6587</v>
      </c>
      <c r="J5498" s="2" t="s">
        <v>5144</v>
      </c>
      <c r="K5498" s="2" t="s">
        <v>1452</v>
      </c>
      <c r="L5498" s="2" t="s">
        <v>5221</v>
      </c>
      <c r="M5498" s="2" t="s">
        <v>5221</v>
      </c>
      <c r="N5498" s="2" t="s">
        <v>2317</v>
      </c>
      <c r="O5498" s="14">
        <v>4800</v>
      </c>
      <c r="P5498" s="14">
        <v>98</v>
      </c>
      <c r="Q5498" s="14">
        <v>96</v>
      </c>
      <c r="R5498" s="14">
        <v>96</v>
      </c>
      <c r="S5498" s="2" t="s">
        <v>345</v>
      </c>
      <c r="T5498" s="2">
        <v>1.47</v>
      </c>
      <c r="U5498" s="2">
        <v>66.599999999999994</v>
      </c>
      <c r="V5498" s="2">
        <v>66</v>
      </c>
      <c r="W5498" s="2" t="s">
        <v>7862</v>
      </c>
      <c r="X5498" s="2" t="s">
        <v>2897</v>
      </c>
      <c r="Y5498" s="2">
        <v>4800</v>
      </c>
      <c r="Z5498" s="19" t="str">
        <f>HYPERLINK("https://ssdweb.co/ssdweb/hd/Vision360.html?d=924350690&amp;zoomslide=1&amp;z=1924350690&amp;ISCONFIRM=0","VIDEO")</f>
        <v>VIDEO</v>
      </c>
      <c r="AA5498" s="19" t="str">
        <f>HYPERLINK("https://ssdweb.co/ssdweb/CERTH/592360684.pdf","CERTI")</f>
        <v>CERTI</v>
      </c>
    </row>
    <row r="5499" spans="1:27" ht="15" x14ac:dyDescent="0.25">
      <c r="A5499" s="2">
        <v>5494</v>
      </c>
      <c r="B5499" s="39">
        <v>925140272</v>
      </c>
      <c r="C5499" s="28" t="str">
        <f>HYPERLINK("https://pld.live/RapDetail.aspx?STONELIST=925140272","DNA")</f>
        <v>DNA</v>
      </c>
      <c r="D5499" s="18" t="s">
        <v>4121</v>
      </c>
      <c r="E5499" s="18" t="s">
        <v>5128</v>
      </c>
      <c r="F5499" s="2" t="s">
        <v>7987</v>
      </c>
      <c r="G5499" s="2" t="s">
        <v>7322</v>
      </c>
      <c r="H5499" s="14">
        <v>0.99</v>
      </c>
      <c r="I5499" s="2" t="s">
        <v>267</v>
      </c>
      <c r="J5499" s="2" t="s">
        <v>13</v>
      </c>
      <c r="K5499" s="2" t="s">
        <v>1452</v>
      </c>
      <c r="L5499" s="2" t="s">
        <v>5221</v>
      </c>
      <c r="M5499" s="2" t="s">
        <v>5221</v>
      </c>
      <c r="N5499" s="2" t="s">
        <v>2317</v>
      </c>
      <c r="O5499" s="14">
        <v>5200</v>
      </c>
      <c r="P5499" s="14">
        <v>97.87</v>
      </c>
      <c r="Q5499" s="14">
        <v>110.76</v>
      </c>
      <c r="R5499" s="14">
        <v>109.65</v>
      </c>
      <c r="S5499" s="2" t="s">
        <v>5142</v>
      </c>
      <c r="T5499" s="2">
        <v>1.35</v>
      </c>
      <c r="U5499" s="2">
        <v>68.7</v>
      </c>
      <c r="V5499" s="2">
        <v>63</v>
      </c>
      <c r="W5499" s="2" t="s">
        <v>7862</v>
      </c>
      <c r="X5499" s="2" t="s">
        <v>2897</v>
      </c>
      <c r="Y5499" s="2">
        <v>5148</v>
      </c>
      <c r="Z5499" s="19" t="str">
        <f>HYPERLINK("https://ssdweb.co/ssdweb/hd/Vision360.html?d=925140272&amp;zoomslide=1&amp;z=1925140272&amp;ISCONFIRM=0","VIDEO")</f>
        <v>VIDEO</v>
      </c>
      <c r="AA5499" s="19" t="str">
        <f>HYPERLINK("https://ssdweb.co/ssdweb/CERTH/613350211.pdf","CERTI")</f>
        <v>CERTI</v>
      </c>
    </row>
    <row r="5500" spans="1:27" ht="15" x14ac:dyDescent="0.25">
      <c r="A5500" s="2">
        <v>5495</v>
      </c>
      <c r="B5500" s="39">
        <v>926311195</v>
      </c>
      <c r="C5500" s="28" t="str">
        <f>HYPERLINK("https://pld.live/RapDetail.aspx?STONELIST=926311195","DNA")</f>
        <v>DNA</v>
      </c>
      <c r="D5500" s="18" t="s">
        <v>4121</v>
      </c>
      <c r="E5500" s="18" t="s">
        <v>5128</v>
      </c>
      <c r="F5500" s="2" t="s">
        <v>7987</v>
      </c>
      <c r="G5500" s="2" t="s">
        <v>7322</v>
      </c>
      <c r="H5500" s="14">
        <v>0.99</v>
      </c>
      <c r="I5500" s="2" t="s">
        <v>4761</v>
      </c>
      <c r="J5500" s="2" t="s">
        <v>3942</v>
      </c>
      <c r="K5500" s="2" t="s">
        <v>1452</v>
      </c>
      <c r="L5500" s="2" t="s">
        <v>5221</v>
      </c>
      <c r="M5500" s="2" t="s">
        <v>5221</v>
      </c>
      <c r="N5500" s="2" t="s">
        <v>2317</v>
      </c>
      <c r="O5500" s="14">
        <v>5200</v>
      </c>
      <c r="P5500" s="14">
        <v>97.83</v>
      </c>
      <c r="Q5500" s="14">
        <v>112.84</v>
      </c>
      <c r="R5500" s="14">
        <v>111.71</v>
      </c>
      <c r="S5500" s="2" t="s">
        <v>1481</v>
      </c>
      <c r="T5500" s="2">
        <v>1.38</v>
      </c>
      <c r="U5500" s="2">
        <v>66.3</v>
      </c>
      <c r="V5500" s="2">
        <v>67</v>
      </c>
      <c r="W5500" s="2" t="s">
        <v>7862</v>
      </c>
      <c r="X5500" s="2" t="s">
        <v>2897</v>
      </c>
      <c r="Y5500" s="2">
        <v>5148</v>
      </c>
      <c r="Z5500" s="19" t="str">
        <f>HYPERLINK("https://ssdweb.co/ssdweb/hd/Vision360.html?d=926311195&amp;zoomslide=1&amp;z=1926311195&amp;ISCONFIRM=0","VIDEO")</f>
        <v>VIDEO</v>
      </c>
      <c r="AA5500" s="19" t="str">
        <f>HYPERLINK("https://ssdweb.co/ssdweb/CERTH/644466741.pdf","CERTI")</f>
        <v>CERTI</v>
      </c>
    </row>
    <row r="5501" spans="1:27" ht="15" x14ac:dyDescent="0.25">
      <c r="A5501" s="2">
        <v>5496</v>
      </c>
      <c r="B5501" s="39">
        <v>821113515</v>
      </c>
      <c r="C5501" s="28" t="str">
        <f>HYPERLINK("https://pld.live/RapDetail.aspx?STONELIST=821113515","DNA")</f>
        <v>DNA</v>
      </c>
      <c r="D5501" s="18" t="s">
        <v>4121</v>
      </c>
      <c r="E5501" s="18" t="s">
        <v>2186</v>
      </c>
      <c r="F5501" s="2" t="s">
        <v>7987</v>
      </c>
      <c r="G5501" s="2" t="s">
        <v>7322</v>
      </c>
      <c r="H5501" s="14">
        <v>0.99</v>
      </c>
      <c r="I5501" s="2" t="s">
        <v>4699</v>
      </c>
      <c r="J5501" s="2" t="s">
        <v>13</v>
      </c>
      <c r="K5501" s="2" t="s">
        <v>1452</v>
      </c>
      <c r="L5501" s="2" t="s">
        <v>5221</v>
      </c>
      <c r="M5501" s="2" t="s">
        <v>5221</v>
      </c>
      <c r="N5501" s="2" t="s">
        <v>2317</v>
      </c>
      <c r="O5501" s="14">
        <v>4600</v>
      </c>
      <c r="P5501" s="14">
        <v>97.74</v>
      </c>
      <c r="Q5501" s="14">
        <v>103.96</v>
      </c>
      <c r="R5501" s="14">
        <v>102.92</v>
      </c>
      <c r="S5501" s="2" t="s">
        <v>6691</v>
      </c>
      <c r="T5501" s="2">
        <v>1.45</v>
      </c>
      <c r="U5501" s="2">
        <v>68.2</v>
      </c>
      <c r="V5501" s="2">
        <v>64</v>
      </c>
      <c r="W5501" s="2" t="s">
        <v>7862</v>
      </c>
      <c r="X5501" s="2" t="s">
        <v>2897</v>
      </c>
      <c r="Y5501" s="2">
        <v>4554</v>
      </c>
      <c r="Z5501" s="19" t="str">
        <f>HYPERLINK("https://ssdweb.co/ssdweb/hd/Vision360.html?d=821113515&amp;zoomslide=1&amp;z=1821113515&amp;ISCONFIRM=0","VIDEO")</f>
        <v>VIDEO</v>
      </c>
      <c r="AA5501" s="19" t="str">
        <f>HYPERLINK("https://ssdweb.co/ssdweb/CERTH/618417356.pdf","CERTI")</f>
        <v>CERTI</v>
      </c>
    </row>
    <row r="5502" spans="1:27" ht="15" x14ac:dyDescent="0.25">
      <c r="A5502" s="2">
        <v>5497</v>
      </c>
      <c r="B5502" s="39">
        <v>926211019</v>
      </c>
      <c r="C5502" s="28" t="str">
        <f>HYPERLINK("https://pld.live/RapDetail.aspx?STONELIST=926211019","DNA")</f>
        <v>DNA</v>
      </c>
      <c r="D5502" s="18" t="s">
        <v>4121</v>
      </c>
      <c r="E5502" s="18" t="s">
        <v>5128</v>
      </c>
      <c r="F5502" s="2" t="s">
        <v>7987</v>
      </c>
      <c r="G5502" s="2" t="s">
        <v>7322</v>
      </c>
      <c r="H5502" s="14">
        <v>0.98</v>
      </c>
      <c r="I5502" s="2" t="s">
        <v>267</v>
      </c>
      <c r="J5502" s="2" t="s">
        <v>13</v>
      </c>
      <c r="K5502" s="2" t="s">
        <v>1452</v>
      </c>
      <c r="L5502" s="2" t="s">
        <v>5221</v>
      </c>
      <c r="M5502" s="2" t="s">
        <v>5221</v>
      </c>
      <c r="N5502" s="2" t="s">
        <v>2317</v>
      </c>
      <c r="O5502" s="14">
        <v>5200</v>
      </c>
      <c r="P5502" s="14">
        <v>97.83</v>
      </c>
      <c r="Q5502" s="14">
        <v>112.84</v>
      </c>
      <c r="R5502" s="14">
        <v>110.58</v>
      </c>
      <c r="S5502" s="2" t="s">
        <v>4283</v>
      </c>
      <c r="T5502" s="2">
        <v>1.38</v>
      </c>
      <c r="U5502" s="2">
        <v>67.099999999999994</v>
      </c>
      <c r="V5502" s="2">
        <v>65</v>
      </c>
      <c r="W5502" s="2" t="s">
        <v>7862</v>
      </c>
      <c r="X5502" s="2" t="s">
        <v>2897</v>
      </c>
      <c r="Y5502" s="2">
        <v>5096</v>
      </c>
      <c r="Z5502" s="19" t="str">
        <f>HYPERLINK("https://ssdweb.co/ssdweb/hd/Vision360.html?d=926211019&amp;zoomslide=1&amp;z=1926211019&amp;ISCONFIRM=0","VIDEO")</f>
        <v>VIDEO</v>
      </c>
      <c r="AA5502" s="19" t="str">
        <f>HYPERLINK("https://ssdweb.co/ssdweb/CERTH/638463152.pdf","CERTI")</f>
        <v>CERTI</v>
      </c>
    </row>
    <row r="5503" spans="1:27" ht="15" x14ac:dyDescent="0.25">
      <c r="A5503" s="2">
        <v>5498</v>
      </c>
      <c r="B5503" s="39">
        <v>821113625</v>
      </c>
      <c r="C5503" s="28" t="str">
        <f>HYPERLINK("https://pld.live/RapDetail.aspx?STONELIST=821113625","DNA")</f>
        <v>DNA</v>
      </c>
      <c r="D5503" s="18" t="s">
        <v>4121</v>
      </c>
      <c r="E5503" s="18" t="s">
        <v>2186</v>
      </c>
      <c r="F5503" s="2" t="s">
        <v>7987</v>
      </c>
      <c r="G5503" s="2" t="s">
        <v>7322</v>
      </c>
      <c r="H5503" s="14">
        <v>0.98</v>
      </c>
      <c r="I5503" s="2" t="s">
        <v>4761</v>
      </c>
      <c r="J5503" s="2" t="s">
        <v>13</v>
      </c>
      <c r="K5503" s="2" t="s">
        <v>1452</v>
      </c>
      <c r="L5503" s="2" t="s">
        <v>5221</v>
      </c>
      <c r="M5503" s="2" t="s">
        <v>5221</v>
      </c>
      <c r="N5503" s="2" t="s">
        <v>2317</v>
      </c>
      <c r="O5503" s="14">
        <v>4900</v>
      </c>
      <c r="P5503" s="14">
        <v>97.8</v>
      </c>
      <c r="Q5503" s="14">
        <v>107.8</v>
      </c>
      <c r="R5503" s="14">
        <v>105.64</v>
      </c>
      <c r="S5503" s="2" t="s">
        <v>7321</v>
      </c>
      <c r="T5503" s="2">
        <v>1.46</v>
      </c>
      <c r="U5503" s="2">
        <v>68.599999999999994</v>
      </c>
      <c r="V5503" s="2">
        <v>65</v>
      </c>
      <c r="W5503" s="2" t="s">
        <v>7862</v>
      </c>
      <c r="X5503" s="2" t="s">
        <v>2897</v>
      </c>
      <c r="Y5503" s="2">
        <v>4802</v>
      </c>
      <c r="Z5503" s="19" t="str">
        <f>HYPERLINK("https://ssdweb.co/ssdweb/hd/Vision360.html?d=821113625&amp;zoomslide=1&amp;z=1821113625&amp;ISCONFIRM=0","VIDEO")</f>
        <v>VIDEO</v>
      </c>
      <c r="AA5503" s="19" t="str">
        <f>HYPERLINK("https://ssdweb.co/ssdweb/CERTH/623479642.pdf","CERTI")</f>
        <v>CERTI</v>
      </c>
    </row>
    <row r="5504" spans="1:27" ht="15" x14ac:dyDescent="0.25">
      <c r="A5504" s="2">
        <v>5499</v>
      </c>
      <c r="B5504" s="39">
        <v>925521997</v>
      </c>
      <c r="C5504" s="28" t="str">
        <f>HYPERLINK("https://pld.live/RapDetail.aspx?STONELIST=925521997","DNA")</f>
        <v>DNA</v>
      </c>
      <c r="D5504" s="18" t="s">
        <v>4121</v>
      </c>
      <c r="E5504" s="18" t="s">
        <v>5128</v>
      </c>
      <c r="F5504" s="2" t="s">
        <v>7987</v>
      </c>
      <c r="G5504" s="2" t="s">
        <v>7322</v>
      </c>
      <c r="H5504" s="14">
        <v>0.98</v>
      </c>
      <c r="I5504" s="2" t="s">
        <v>4761</v>
      </c>
      <c r="J5504" s="2" t="s">
        <v>13</v>
      </c>
      <c r="K5504" s="2" t="s">
        <v>1452</v>
      </c>
      <c r="L5504" s="2" t="s">
        <v>5221</v>
      </c>
      <c r="M5504" s="2" t="s">
        <v>5221</v>
      </c>
      <c r="N5504" s="2" t="s">
        <v>2317</v>
      </c>
      <c r="O5504" s="14">
        <v>4900</v>
      </c>
      <c r="P5504" s="14">
        <v>97.8</v>
      </c>
      <c r="Q5504" s="14">
        <v>107.8</v>
      </c>
      <c r="R5504" s="14">
        <v>105.64</v>
      </c>
      <c r="S5504" s="2" t="s">
        <v>4026</v>
      </c>
      <c r="T5504" s="2">
        <v>1.41</v>
      </c>
      <c r="U5504" s="2">
        <v>66.7</v>
      </c>
      <c r="V5504" s="2">
        <v>66</v>
      </c>
      <c r="W5504" s="2" t="s">
        <v>7862</v>
      </c>
      <c r="X5504" s="2" t="s">
        <v>2897</v>
      </c>
      <c r="Y5504" s="2">
        <v>4802</v>
      </c>
      <c r="Z5504" s="19" t="str">
        <f>HYPERLINK("https://ssdweb.co/ssdweb/hd/Vision360.html?d=925521997&amp;zoomslide=1&amp;z=1925521997&amp;ISCONFIRM=0","VIDEO")</f>
        <v>VIDEO</v>
      </c>
      <c r="AA5504" s="19" t="str">
        <f>HYPERLINK("https://ssdweb.co/ssdweb/CERTH/622461104.pdf","CERTI")</f>
        <v>CERTI</v>
      </c>
    </row>
    <row r="5505" spans="1:27" ht="15" x14ac:dyDescent="0.25">
      <c r="A5505" s="2">
        <v>5500</v>
      </c>
      <c r="B5505" s="39">
        <v>925621970</v>
      </c>
      <c r="C5505" s="28" t="str">
        <f>HYPERLINK("https://pld.live/RapDetail.aspx?STONELIST=925621970","DNA")</f>
        <v>DNA</v>
      </c>
      <c r="D5505" s="18" t="s">
        <v>4121</v>
      </c>
      <c r="E5505" s="18" t="s">
        <v>5128</v>
      </c>
      <c r="F5505" s="2" t="s">
        <v>7987</v>
      </c>
      <c r="G5505" s="2" t="s">
        <v>7322</v>
      </c>
      <c r="H5505" s="14">
        <v>0.98</v>
      </c>
      <c r="I5505" s="2" t="s">
        <v>4761</v>
      </c>
      <c r="J5505" s="2" t="s">
        <v>444</v>
      </c>
      <c r="K5505" s="2" t="s">
        <v>1452</v>
      </c>
      <c r="L5505" s="2" t="s">
        <v>5221</v>
      </c>
      <c r="M5505" s="2" t="s">
        <v>5221</v>
      </c>
      <c r="N5505" s="2" t="s">
        <v>2317</v>
      </c>
      <c r="O5505" s="14">
        <v>3500</v>
      </c>
      <c r="P5505" s="14">
        <v>97.06</v>
      </c>
      <c r="Q5505" s="14">
        <v>102.9</v>
      </c>
      <c r="R5505" s="14">
        <v>100.84</v>
      </c>
      <c r="S5505" s="2" t="s">
        <v>7632</v>
      </c>
      <c r="T5505" s="2">
        <v>1.35</v>
      </c>
      <c r="U5505" s="2">
        <v>67.7</v>
      </c>
      <c r="V5505" s="2">
        <v>64</v>
      </c>
      <c r="W5505" s="2" t="s">
        <v>7862</v>
      </c>
      <c r="X5505" s="2" t="s">
        <v>2897</v>
      </c>
      <c r="Y5505" s="2">
        <v>3430</v>
      </c>
      <c r="Z5505" s="19" t="str">
        <f>HYPERLINK("https://ssdweb.co/ssdweb/hd/Vision360.html?d=925621970&amp;zoomslide=1&amp;z=1925621970&amp;ISCONFIRM=0","VIDEO")</f>
        <v>VIDEO</v>
      </c>
      <c r="AA5505" s="19" t="str">
        <f>HYPERLINK("https://ssdweb.co/ssdweb/CERTH/623492938.pdf","CERTI")</f>
        <v>CERTI</v>
      </c>
    </row>
    <row r="5506" spans="1:27" ht="15" x14ac:dyDescent="0.25">
      <c r="A5506" s="2">
        <v>5501</v>
      </c>
      <c r="B5506" s="39">
        <v>821113631</v>
      </c>
      <c r="C5506" s="28" t="str">
        <f>HYPERLINK("https://pld.live/RapDetail.aspx?STONELIST=821113631","DNA")</f>
        <v>DNA</v>
      </c>
      <c r="D5506" s="18" t="s">
        <v>4121</v>
      </c>
      <c r="E5506" s="18" t="s">
        <v>2186</v>
      </c>
      <c r="F5506" s="2" t="s">
        <v>7987</v>
      </c>
      <c r="G5506" s="2" t="s">
        <v>7322</v>
      </c>
      <c r="H5506" s="14">
        <v>0.98</v>
      </c>
      <c r="I5506" s="2" t="s">
        <v>4699</v>
      </c>
      <c r="J5506" s="2" t="s">
        <v>13</v>
      </c>
      <c r="K5506" s="2" t="s">
        <v>1452</v>
      </c>
      <c r="L5506" s="2" t="s">
        <v>5221</v>
      </c>
      <c r="M5506" s="2" t="s">
        <v>5221</v>
      </c>
      <c r="N5506" s="2" t="s">
        <v>2317</v>
      </c>
      <c r="O5506" s="14">
        <v>4600</v>
      </c>
      <c r="P5506" s="14">
        <v>97.74</v>
      </c>
      <c r="Q5506" s="14">
        <v>103.96</v>
      </c>
      <c r="R5506" s="14">
        <v>101.88</v>
      </c>
      <c r="S5506" s="2" t="s">
        <v>6135</v>
      </c>
      <c r="T5506" s="2">
        <v>1.36</v>
      </c>
      <c r="U5506" s="2">
        <v>68.2</v>
      </c>
      <c r="V5506" s="2">
        <v>63</v>
      </c>
      <c r="W5506" s="2" t="s">
        <v>7862</v>
      </c>
      <c r="X5506" s="2" t="s">
        <v>2897</v>
      </c>
      <c r="Y5506" s="2">
        <v>4508</v>
      </c>
      <c r="Z5506" s="19" t="str">
        <f>HYPERLINK("https://ssdweb.co/ssdweb/hd/Vision360.html?d=821113631&amp;zoomslide=1&amp;z=1821113631&amp;ISCONFIRM=0","VIDEO")</f>
        <v>VIDEO</v>
      </c>
      <c r="AA5506" s="19" t="str">
        <f>HYPERLINK("https://ssdweb.co/ssdweb/CERTH/623492146.pdf","CERTI")</f>
        <v>CERTI</v>
      </c>
    </row>
    <row r="5507" spans="1:27" ht="15" x14ac:dyDescent="0.25">
      <c r="A5507" s="2">
        <v>5502</v>
      </c>
      <c r="B5507" s="39">
        <v>821113513</v>
      </c>
      <c r="C5507" s="28" t="str">
        <f>HYPERLINK("https://pld.live/RapDetail.aspx?STONELIST=821113513","DNA")</f>
        <v>DNA</v>
      </c>
      <c r="D5507" s="18" t="s">
        <v>4121</v>
      </c>
      <c r="E5507" s="18" t="s">
        <v>2186</v>
      </c>
      <c r="F5507" s="2" t="s">
        <v>7987</v>
      </c>
      <c r="G5507" s="2" t="s">
        <v>7322</v>
      </c>
      <c r="H5507" s="14">
        <v>0.98</v>
      </c>
      <c r="I5507" s="2" t="s">
        <v>4699</v>
      </c>
      <c r="J5507" s="2" t="s">
        <v>13</v>
      </c>
      <c r="K5507" s="2" t="s">
        <v>1452</v>
      </c>
      <c r="L5507" s="2" t="s">
        <v>5221</v>
      </c>
      <c r="M5507" s="2" t="s">
        <v>5221</v>
      </c>
      <c r="N5507" s="2" t="s">
        <v>2317</v>
      </c>
      <c r="O5507" s="14">
        <v>4600</v>
      </c>
      <c r="P5507" s="14">
        <v>97.74</v>
      </c>
      <c r="Q5507" s="14">
        <v>103.96</v>
      </c>
      <c r="R5507" s="14">
        <v>101.88</v>
      </c>
      <c r="S5507" s="2" t="s">
        <v>4815</v>
      </c>
      <c r="T5507" s="2">
        <v>1.37</v>
      </c>
      <c r="U5507" s="2">
        <v>67.7</v>
      </c>
      <c r="V5507" s="2">
        <v>67</v>
      </c>
      <c r="W5507" s="2" t="s">
        <v>7862</v>
      </c>
      <c r="X5507" s="2" t="s">
        <v>2897</v>
      </c>
      <c r="Y5507" s="2">
        <v>4508</v>
      </c>
      <c r="Z5507" s="19" t="str">
        <f>HYPERLINK("https://ssdweb.co/ssdweb/hd/Vision360.html?d=821113513&amp;zoomslide=1&amp;z=1821113513&amp;ISCONFIRM=0","VIDEO")</f>
        <v>VIDEO</v>
      </c>
      <c r="AA5507" s="19" t="str">
        <f>HYPERLINK("https://ssdweb.co/ssdweb/CERTH/613358936.pdf","CERTI")</f>
        <v>CERTI</v>
      </c>
    </row>
    <row r="5508" spans="1:27" ht="15" x14ac:dyDescent="0.25">
      <c r="A5508" s="2">
        <v>5503</v>
      </c>
      <c r="B5508" s="39">
        <v>821113514</v>
      </c>
      <c r="C5508" s="28" t="str">
        <f>HYPERLINK("https://pld.live/RapDetail.aspx?STONELIST=821113514","DNA")</f>
        <v>DNA</v>
      </c>
      <c r="D5508" s="18" t="s">
        <v>4121</v>
      </c>
      <c r="E5508" s="18" t="s">
        <v>2186</v>
      </c>
      <c r="F5508" s="2" t="s">
        <v>7987</v>
      </c>
      <c r="G5508" s="2" t="s">
        <v>7322</v>
      </c>
      <c r="H5508" s="14">
        <v>0.98</v>
      </c>
      <c r="I5508" s="2" t="s">
        <v>4699</v>
      </c>
      <c r="J5508" s="2" t="s">
        <v>13</v>
      </c>
      <c r="K5508" s="2" t="s">
        <v>1452</v>
      </c>
      <c r="L5508" s="2" t="s">
        <v>5221</v>
      </c>
      <c r="M5508" s="2" t="s">
        <v>5221</v>
      </c>
      <c r="N5508" s="2" t="s">
        <v>2317</v>
      </c>
      <c r="O5508" s="14">
        <v>4600</v>
      </c>
      <c r="P5508" s="14">
        <v>97.74</v>
      </c>
      <c r="Q5508" s="14">
        <v>103.96</v>
      </c>
      <c r="R5508" s="14">
        <v>101.88</v>
      </c>
      <c r="S5508" s="2" t="s">
        <v>6813</v>
      </c>
      <c r="T5508" s="2">
        <v>1.42</v>
      </c>
      <c r="U5508" s="2">
        <v>69.7</v>
      </c>
      <c r="V5508" s="2">
        <v>62</v>
      </c>
      <c r="W5508" s="2" t="s">
        <v>7862</v>
      </c>
      <c r="X5508" s="2" t="s">
        <v>2897</v>
      </c>
      <c r="Y5508" s="2">
        <v>4508</v>
      </c>
      <c r="Z5508" s="19" t="str">
        <f>HYPERLINK("https://ssdweb.co/ssdweb/hd/Vision360.html?d=821113514&amp;zoomslide=1&amp;z=1821113514&amp;ISCONFIRM=0","VIDEO")</f>
        <v>VIDEO</v>
      </c>
      <c r="AA5508" s="19" t="str">
        <f>HYPERLINK("https://ssdweb.co/ssdweb/CERTH/618418895.pdf","CERTI")</f>
        <v>CERTI</v>
      </c>
    </row>
    <row r="5509" spans="1:27" ht="15" x14ac:dyDescent="0.25">
      <c r="A5509" s="2">
        <v>5504</v>
      </c>
      <c r="B5509" s="39">
        <v>821113235</v>
      </c>
      <c r="C5509" s="28" t="str">
        <f>HYPERLINK("https://pld.live/RapDetail.aspx?STONELIST=821113235","DNA")</f>
        <v>DNA</v>
      </c>
      <c r="D5509" s="18" t="s">
        <v>4121</v>
      </c>
      <c r="E5509" s="18" t="s">
        <v>2186</v>
      </c>
      <c r="F5509" s="2" t="s">
        <v>7987</v>
      </c>
      <c r="G5509" s="2" t="s">
        <v>7322</v>
      </c>
      <c r="H5509" s="14">
        <v>0.98</v>
      </c>
      <c r="I5509" s="2" t="s">
        <v>4699</v>
      </c>
      <c r="J5509" s="2" t="s">
        <v>13</v>
      </c>
      <c r="K5509" s="2" t="s">
        <v>1452</v>
      </c>
      <c r="L5509" s="2" t="s">
        <v>5221</v>
      </c>
      <c r="M5509" s="2" t="s">
        <v>5221</v>
      </c>
      <c r="N5509" s="2" t="s">
        <v>2317</v>
      </c>
      <c r="O5509" s="14">
        <v>4600</v>
      </c>
      <c r="P5509" s="14">
        <v>97.74</v>
      </c>
      <c r="Q5509" s="14">
        <v>103.96</v>
      </c>
      <c r="R5509" s="14">
        <v>101.88</v>
      </c>
      <c r="S5509" s="2" t="s">
        <v>335</v>
      </c>
      <c r="T5509" s="2">
        <v>1.45</v>
      </c>
      <c r="U5509" s="2">
        <v>67.099999999999994</v>
      </c>
      <c r="V5509" s="2">
        <v>68</v>
      </c>
      <c r="W5509" s="2" t="s">
        <v>7862</v>
      </c>
      <c r="X5509" s="2" t="s">
        <v>2897</v>
      </c>
      <c r="Y5509" s="2">
        <v>4508</v>
      </c>
      <c r="Z5509" s="19" t="str">
        <f>HYPERLINK("https://ssdweb.co/ssdweb/hd/Vision360.html?d=821113235&amp;zoomslide=1&amp;z=1821113235&amp;ISCONFIRM=0","VIDEO")</f>
        <v>VIDEO</v>
      </c>
      <c r="AA5509" s="19" t="str">
        <f>HYPERLINK("https://ssdweb.co/ssdweb/CERTH/622476077.pdf","CERTI")</f>
        <v>CERTI</v>
      </c>
    </row>
    <row r="5510" spans="1:27" ht="15" x14ac:dyDescent="0.25">
      <c r="A5510" s="2">
        <v>5505</v>
      </c>
      <c r="B5510" s="39">
        <v>925610381</v>
      </c>
      <c r="C5510" s="28" t="str">
        <f>HYPERLINK("https://pld.live/RapDetail.aspx?STONELIST=925610381","DNA")</f>
        <v>DNA</v>
      </c>
      <c r="D5510" s="18" t="s">
        <v>4121</v>
      </c>
      <c r="E5510" s="18" t="s">
        <v>2186</v>
      </c>
      <c r="F5510" s="2" t="s">
        <v>7987</v>
      </c>
      <c r="G5510" s="2" t="s">
        <v>7322</v>
      </c>
      <c r="H5510" s="14">
        <v>0.97</v>
      </c>
      <c r="I5510" s="2" t="s">
        <v>267</v>
      </c>
      <c r="J5510" s="2" t="s">
        <v>3942</v>
      </c>
      <c r="K5510" s="2" t="s">
        <v>1452</v>
      </c>
      <c r="L5510" s="2" t="s">
        <v>5221</v>
      </c>
      <c r="M5510" s="2" t="s">
        <v>5221</v>
      </c>
      <c r="N5510" s="2" t="s">
        <v>2317</v>
      </c>
      <c r="O5510" s="14">
        <v>5600</v>
      </c>
      <c r="P5510" s="14">
        <v>97.98</v>
      </c>
      <c r="Q5510" s="14">
        <v>113.12</v>
      </c>
      <c r="R5510" s="14">
        <v>109.73</v>
      </c>
      <c r="S5510" s="2" t="s">
        <v>6074</v>
      </c>
      <c r="T5510" s="2">
        <v>1.44</v>
      </c>
      <c r="U5510" s="2">
        <v>64.3</v>
      </c>
      <c r="V5510" s="2">
        <v>66</v>
      </c>
      <c r="W5510" s="2" t="s">
        <v>7862</v>
      </c>
      <c r="X5510" s="2" t="s">
        <v>2897</v>
      </c>
      <c r="Y5510" s="2">
        <v>5432</v>
      </c>
      <c r="Z5510" s="19" t="str">
        <f>HYPERLINK("https://ssdweb.co/ssdweb/hd/Vision360.html?d=925610381&amp;zoomslide=1&amp;z=1925610381&amp;ISCONFIRM=0","VIDEO")</f>
        <v>VIDEO</v>
      </c>
      <c r="AA5510" s="19" t="str">
        <f>HYPERLINK("https://ssdweb.co/ssdweb/CERTH/622499833.pdf","CERTI")</f>
        <v>CERTI</v>
      </c>
    </row>
    <row r="5511" spans="1:27" ht="15" x14ac:dyDescent="0.25">
      <c r="A5511" s="2">
        <v>5506</v>
      </c>
      <c r="B5511" s="39">
        <v>821113649</v>
      </c>
      <c r="C5511" s="28" t="str">
        <f>HYPERLINK("https://pld.live/RapDetail.aspx?STONELIST=821113649","DNA")</f>
        <v>DNA</v>
      </c>
      <c r="D5511" s="18" t="s">
        <v>4121</v>
      </c>
      <c r="E5511" s="18" t="s">
        <v>2186</v>
      </c>
      <c r="F5511" s="2" t="s">
        <v>7987</v>
      </c>
      <c r="G5511" s="2" t="s">
        <v>7322</v>
      </c>
      <c r="H5511" s="14">
        <v>0.97</v>
      </c>
      <c r="I5511" s="2" t="s">
        <v>4761</v>
      </c>
      <c r="J5511" s="2" t="s">
        <v>13</v>
      </c>
      <c r="K5511" s="2" t="s">
        <v>1452</v>
      </c>
      <c r="L5511" s="2" t="s">
        <v>5221</v>
      </c>
      <c r="M5511" s="2" t="s">
        <v>5221</v>
      </c>
      <c r="N5511" s="2" t="s">
        <v>2317</v>
      </c>
      <c r="O5511" s="14">
        <v>4900</v>
      </c>
      <c r="P5511" s="14">
        <v>97.8</v>
      </c>
      <c r="Q5511" s="14">
        <v>107.8</v>
      </c>
      <c r="R5511" s="14">
        <v>104.57</v>
      </c>
      <c r="S5511" s="2" t="s">
        <v>982</v>
      </c>
      <c r="T5511" s="2">
        <v>1.36</v>
      </c>
      <c r="U5511" s="2">
        <v>69.400000000000006</v>
      </c>
      <c r="V5511" s="2">
        <v>64</v>
      </c>
      <c r="W5511" s="2" t="s">
        <v>7862</v>
      </c>
      <c r="X5511" s="2" t="s">
        <v>2897</v>
      </c>
      <c r="Y5511" s="2">
        <v>4753</v>
      </c>
      <c r="Z5511" s="19" t="str">
        <f>HYPERLINK("https://ssdweb.co/ssdweb/hd/Vision360.html?d=821113649&amp;zoomslide=1&amp;z=1821113649&amp;ISCONFIRM=0","VIDEO")</f>
        <v>VIDEO</v>
      </c>
      <c r="AA5511" s="19" t="str">
        <f>HYPERLINK("https://ssdweb.co/ssdweb/CERTH/623464677.pdf","CERTI")</f>
        <v>CERTI</v>
      </c>
    </row>
    <row r="5512" spans="1:27" ht="15" x14ac:dyDescent="0.25">
      <c r="A5512" s="2">
        <v>5507</v>
      </c>
      <c r="B5512" s="39">
        <v>821113469</v>
      </c>
      <c r="C5512" s="28" t="str">
        <f>HYPERLINK("https://pld.live/RapDetail.aspx?STONELIST=821113469","DNA")</f>
        <v>DNA</v>
      </c>
      <c r="D5512" s="18" t="s">
        <v>4121</v>
      </c>
      <c r="E5512" s="18" t="s">
        <v>2186</v>
      </c>
      <c r="F5512" s="2" t="s">
        <v>7987</v>
      </c>
      <c r="G5512" s="2" t="s">
        <v>7322</v>
      </c>
      <c r="H5512" s="14">
        <v>0.97</v>
      </c>
      <c r="I5512" s="2" t="s">
        <v>4761</v>
      </c>
      <c r="J5512" s="2" t="s">
        <v>13</v>
      </c>
      <c r="K5512" s="2" t="s">
        <v>1452</v>
      </c>
      <c r="L5512" s="2" t="s">
        <v>5221</v>
      </c>
      <c r="M5512" s="2" t="s">
        <v>5221</v>
      </c>
      <c r="N5512" s="2" t="s">
        <v>2317</v>
      </c>
      <c r="O5512" s="14">
        <v>4900</v>
      </c>
      <c r="P5512" s="14">
        <v>97.8</v>
      </c>
      <c r="Q5512" s="14">
        <v>107.8</v>
      </c>
      <c r="R5512" s="14">
        <v>104.57</v>
      </c>
      <c r="S5512" s="2" t="s">
        <v>5087</v>
      </c>
      <c r="T5512" s="2">
        <v>1.45</v>
      </c>
      <c r="U5512" s="2">
        <v>68.5</v>
      </c>
      <c r="V5512" s="2">
        <v>65</v>
      </c>
      <c r="W5512" s="2" t="s">
        <v>7862</v>
      </c>
      <c r="X5512" s="2" t="s">
        <v>2897</v>
      </c>
      <c r="Y5512" s="2">
        <v>4753</v>
      </c>
      <c r="Z5512" s="19" t="str">
        <f>HYPERLINK("https://ssdweb.co/ssdweb/hd/Vision360.html?d=821113469&amp;zoomslide=1&amp;z=1821113469&amp;ISCONFIRM=0","VIDEO")</f>
        <v>VIDEO</v>
      </c>
      <c r="AA5512" s="19" t="str">
        <f>HYPERLINK("https://ssdweb.co/ssdweb/CERTH/620426033.pdf","CERTI")</f>
        <v>CERTI</v>
      </c>
    </row>
    <row r="5513" spans="1:27" ht="15" x14ac:dyDescent="0.25">
      <c r="A5513" s="2">
        <v>5508</v>
      </c>
      <c r="B5513" s="39">
        <v>821113634</v>
      </c>
      <c r="C5513" s="28" t="str">
        <f>HYPERLINK("https://pld.live/RapDetail.aspx?STONELIST=821113634","DNA")</f>
        <v>DNA</v>
      </c>
      <c r="D5513" s="18" t="s">
        <v>4121</v>
      </c>
      <c r="E5513" s="18" t="s">
        <v>2186</v>
      </c>
      <c r="F5513" s="2" t="s">
        <v>7987</v>
      </c>
      <c r="G5513" s="2" t="s">
        <v>7322</v>
      </c>
      <c r="H5513" s="14">
        <v>0.97</v>
      </c>
      <c r="I5513" s="2" t="s">
        <v>4699</v>
      </c>
      <c r="J5513" s="2" t="s">
        <v>13</v>
      </c>
      <c r="K5513" s="2" t="s">
        <v>1452</v>
      </c>
      <c r="L5513" s="2" t="s">
        <v>5221</v>
      </c>
      <c r="M5513" s="2" t="s">
        <v>5221</v>
      </c>
      <c r="N5513" s="2" t="s">
        <v>2317</v>
      </c>
      <c r="O5513" s="14">
        <v>4600</v>
      </c>
      <c r="P5513" s="14">
        <v>97.74</v>
      </c>
      <c r="Q5513" s="14">
        <v>103.96</v>
      </c>
      <c r="R5513" s="14">
        <v>100.84</v>
      </c>
      <c r="S5513" s="2" t="s">
        <v>5518</v>
      </c>
      <c r="T5513" s="2">
        <v>1.45</v>
      </c>
      <c r="U5513" s="2">
        <v>68.2</v>
      </c>
      <c r="V5513" s="2">
        <v>66</v>
      </c>
      <c r="W5513" s="2" t="s">
        <v>7862</v>
      </c>
      <c r="X5513" s="2" t="s">
        <v>2897</v>
      </c>
      <c r="Y5513" s="2">
        <v>4462</v>
      </c>
      <c r="Z5513" s="19" t="str">
        <f>HYPERLINK("https://ssdweb.co/ssdweb/hd/Vision360.html?d=821113634&amp;zoomslide=1&amp;z=1821113634&amp;ISCONFIRM=0","VIDEO")</f>
        <v>VIDEO</v>
      </c>
      <c r="AA5513" s="19" t="str">
        <f>HYPERLINK("https://ssdweb.co/ssdweb/CERTH/623492138.pdf","CERTI")</f>
        <v>CERTI</v>
      </c>
    </row>
    <row r="5514" spans="1:27" ht="15" x14ac:dyDescent="0.25">
      <c r="A5514" s="2">
        <v>5509</v>
      </c>
      <c r="B5514" s="39">
        <v>821113534</v>
      </c>
      <c r="C5514" s="28" t="str">
        <f>HYPERLINK("https://pld.live/RapDetail.aspx?STONELIST=821113534","DNA")</f>
        <v>DNA</v>
      </c>
      <c r="D5514" s="18" t="s">
        <v>4121</v>
      </c>
      <c r="E5514" s="18" t="s">
        <v>2186</v>
      </c>
      <c r="F5514" s="2" t="s">
        <v>7987</v>
      </c>
      <c r="G5514" s="2" t="s">
        <v>7322</v>
      </c>
      <c r="H5514" s="14">
        <v>0.97</v>
      </c>
      <c r="I5514" s="2" t="s">
        <v>4699</v>
      </c>
      <c r="J5514" s="2" t="s">
        <v>5144</v>
      </c>
      <c r="K5514" s="2" t="s">
        <v>1452</v>
      </c>
      <c r="L5514" s="2" t="s">
        <v>5221</v>
      </c>
      <c r="M5514" s="2" t="s">
        <v>5221</v>
      </c>
      <c r="N5514" s="2" t="s">
        <v>2317</v>
      </c>
      <c r="O5514" s="14">
        <v>4000</v>
      </c>
      <c r="P5514" s="14">
        <v>97.48</v>
      </c>
      <c r="Q5514" s="14">
        <v>100.8</v>
      </c>
      <c r="R5514" s="14">
        <v>97.78</v>
      </c>
      <c r="S5514" s="2" t="s">
        <v>7486</v>
      </c>
      <c r="T5514" s="2">
        <v>1.44</v>
      </c>
      <c r="U5514" s="2">
        <v>68.099999999999994</v>
      </c>
      <c r="V5514" s="2">
        <v>64</v>
      </c>
      <c r="W5514" s="2" t="s">
        <v>7862</v>
      </c>
      <c r="X5514" s="2" t="s">
        <v>2897</v>
      </c>
      <c r="Y5514" s="2">
        <v>3880</v>
      </c>
      <c r="Z5514" s="19" t="str">
        <f>HYPERLINK("https://ssdweb.co/ssdweb/hd/Vision360.html?d=821113534&amp;zoomslide=1&amp;z=1821113534&amp;ISCONFIRM=0","VIDEO")</f>
        <v>VIDEO</v>
      </c>
      <c r="AA5514" s="19" t="str">
        <f>HYPERLINK("https://ssdweb.co/ssdweb/CERTH/620428883.pdf","CERTI")</f>
        <v>CERTI</v>
      </c>
    </row>
    <row r="5515" spans="1:27" ht="15" x14ac:dyDescent="0.25">
      <c r="A5515" s="2">
        <v>5510</v>
      </c>
      <c r="B5515" s="39">
        <v>925360395</v>
      </c>
      <c r="C5515" s="28" t="str">
        <f>HYPERLINK("https://pld.live/RapDetail.aspx?STONELIST=925360395","DNA")</f>
        <v>DNA</v>
      </c>
      <c r="D5515" s="18" t="s">
        <v>4121</v>
      </c>
      <c r="E5515" s="18" t="s">
        <v>5128</v>
      </c>
      <c r="F5515" s="2" t="s">
        <v>7987</v>
      </c>
      <c r="G5515" s="2" t="s">
        <v>7322</v>
      </c>
      <c r="H5515" s="14">
        <v>0.96</v>
      </c>
      <c r="I5515" s="2" t="s">
        <v>4699</v>
      </c>
      <c r="J5515" s="2" t="s">
        <v>5144</v>
      </c>
      <c r="K5515" s="2" t="s">
        <v>1452</v>
      </c>
      <c r="L5515" s="2" t="s">
        <v>5221</v>
      </c>
      <c r="M5515" s="2" t="s">
        <v>5221</v>
      </c>
      <c r="N5515" s="2" t="s">
        <v>2317</v>
      </c>
      <c r="O5515" s="14">
        <v>4000</v>
      </c>
      <c r="P5515" s="14">
        <v>97.48</v>
      </c>
      <c r="Q5515" s="14">
        <v>100.8</v>
      </c>
      <c r="R5515" s="14">
        <v>96.77</v>
      </c>
      <c r="S5515" s="2" t="s">
        <v>5266</v>
      </c>
      <c r="T5515" s="2">
        <v>1.52</v>
      </c>
      <c r="U5515" s="2">
        <v>68.2</v>
      </c>
      <c r="V5515" s="2">
        <v>63</v>
      </c>
      <c r="W5515" s="2" t="s">
        <v>7862</v>
      </c>
      <c r="X5515" s="2" t="s">
        <v>2897</v>
      </c>
      <c r="Y5515" s="2">
        <v>3840</v>
      </c>
      <c r="Z5515" s="19" t="str">
        <f>HYPERLINK("https://ssdweb.co/ssdweb/hd/Vision360.html?d=925360395&amp;zoomslide=1&amp;z=1925360395&amp;ISCONFIRM=0","VIDEO")</f>
        <v>VIDEO</v>
      </c>
      <c r="AA5515" s="19" t="str">
        <f>HYPERLINK("https://ssdweb.co/ssdweb/CERTH/619469579.pdf","CERTI")</f>
        <v>CERTI</v>
      </c>
    </row>
    <row r="5516" spans="1:27" ht="15" x14ac:dyDescent="0.25">
      <c r="A5516" s="2">
        <v>5511</v>
      </c>
      <c r="B5516" s="39">
        <v>926871136</v>
      </c>
      <c r="C5516" s="28" t="str">
        <f>HYPERLINK("https://pld.live/RapDetail.aspx?STONELIST=926871136","DNA")</f>
        <v>DNA</v>
      </c>
      <c r="D5516" s="18" t="s">
        <v>4121</v>
      </c>
      <c r="E5516" s="18" t="s">
        <v>5128</v>
      </c>
      <c r="F5516" s="2" t="s">
        <v>7987</v>
      </c>
      <c r="G5516" s="2" t="s">
        <v>7322</v>
      </c>
      <c r="H5516" s="14">
        <v>0.95</v>
      </c>
      <c r="I5516" s="2" t="s">
        <v>267</v>
      </c>
      <c r="J5516" s="2" t="s">
        <v>3942</v>
      </c>
      <c r="K5516" s="2" t="s">
        <v>1452</v>
      </c>
      <c r="L5516" s="2" t="s">
        <v>5221</v>
      </c>
      <c r="M5516" s="2" t="s">
        <v>5221</v>
      </c>
      <c r="N5516" s="2" t="s">
        <v>2317</v>
      </c>
      <c r="O5516" s="14">
        <v>5600</v>
      </c>
      <c r="P5516" s="14">
        <v>97.93</v>
      </c>
      <c r="Q5516" s="14">
        <v>115.92</v>
      </c>
      <c r="R5516" s="14">
        <v>110.12</v>
      </c>
      <c r="S5516" s="2" t="s">
        <v>1410</v>
      </c>
      <c r="T5516" s="2">
        <v>1.36</v>
      </c>
      <c r="U5516" s="2">
        <v>68.7</v>
      </c>
      <c r="V5516" s="2">
        <v>59</v>
      </c>
      <c r="W5516" s="2" t="s">
        <v>7862</v>
      </c>
      <c r="X5516" s="2" t="s">
        <v>2897</v>
      </c>
      <c r="Y5516" s="2">
        <v>5320</v>
      </c>
      <c r="Z5516" s="19" t="str">
        <f>HYPERLINK("https://ssdweb.co/ssdweb/hd/Vision360.html?d=926871136&amp;zoomslide=1&amp;z=1926871136&amp;ISCONFIRM=0","VIDEO")</f>
        <v>VIDEO</v>
      </c>
      <c r="AA5516" s="19" t="str">
        <f>HYPERLINK("https://ssdweb.co/ssdweb/CERTH/660440461.pdf","CERTI")</f>
        <v>CERTI</v>
      </c>
    </row>
    <row r="5517" spans="1:27" ht="15" x14ac:dyDescent="0.25">
      <c r="A5517" s="2">
        <v>5512</v>
      </c>
      <c r="B5517" s="39">
        <v>926171462</v>
      </c>
      <c r="C5517" s="28" t="str">
        <f>HYPERLINK("https://pld.live/RapDetail.aspx?STONELIST=926171462","DNA")</f>
        <v>DNA</v>
      </c>
      <c r="D5517" s="18" t="s">
        <v>4121</v>
      </c>
      <c r="E5517" s="18" t="s">
        <v>5128</v>
      </c>
      <c r="F5517" s="2" t="s">
        <v>7987</v>
      </c>
      <c r="G5517" s="2" t="s">
        <v>7322</v>
      </c>
      <c r="H5517" s="14">
        <v>0.95</v>
      </c>
      <c r="I5517" s="2" t="s">
        <v>267</v>
      </c>
      <c r="J5517" s="2" t="s">
        <v>3942</v>
      </c>
      <c r="K5517" s="2" t="s">
        <v>1452</v>
      </c>
      <c r="L5517" s="2" t="s">
        <v>5221</v>
      </c>
      <c r="M5517" s="2" t="s">
        <v>5221</v>
      </c>
      <c r="N5517" s="2" t="s">
        <v>2317</v>
      </c>
      <c r="O5517" s="14">
        <v>5600</v>
      </c>
      <c r="P5517" s="14">
        <v>97.95</v>
      </c>
      <c r="Q5517" s="14">
        <v>114.8</v>
      </c>
      <c r="R5517" s="14">
        <v>109.06</v>
      </c>
      <c r="S5517" s="2" t="s">
        <v>7443</v>
      </c>
      <c r="T5517" s="2">
        <v>1.57</v>
      </c>
      <c r="U5517" s="2">
        <v>68.7</v>
      </c>
      <c r="V5517" s="2">
        <v>62</v>
      </c>
      <c r="W5517" s="2" t="s">
        <v>7862</v>
      </c>
      <c r="X5517" s="2" t="s">
        <v>2897</v>
      </c>
      <c r="Y5517" s="2">
        <v>5320</v>
      </c>
      <c r="Z5517" s="19" t="str">
        <f>HYPERLINK("https://ssdweb.co/ssdweb/hd/Vision360.html?d=926171462&amp;zoomslide=1&amp;z=1926171462&amp;ISCONFIRM=0","VIDEO")</f>
        <v>VIDEO</v>
      </c>
      <c r="AA5517" s="19" t="str">
        <f>HYPERLINK("https://ssdweb.co/ssdweb/CERTH/634431327.pdf","CERTI")</f>
        <v>CERTI</v>
      </c>
    </row>
    <row r="5518" spans="1:27" ht="15" x14ac:dyDescent="0.25">
      <c r="A5518" s="2">
        <v>5513</v>
      </c>
      <c r="B5518" s="39">
        <v>926311101</v>
      </c>
      <c r="C5518" s="28" t="str">
        <f>HYPERLINK("https://pld.live/RapDetail.aspx?STONELIST=926311101","DNA")</f>
        <v>DNA</v>
      </c>
      <c r="D5518" s="18" t="s">
        <v>4121</v>
      </c>
      <c r="E5518" s="18" t="s">
        <v>5128</v>
      </c>
      <c r="F5518" s="2" t="s">
        <v>7987</v>
      </c>
      <c r="G5518" s="2" t="s">
        <v>7322</v>
      </c>
      <c r="H5518" s="14">
        <v>0.95</v>
      </c>
      <c r="I5518" s="2" t="s">
        <v>4761</v>
      </c>
      <c r="J5518" s="2" t="s">
        <v>13</v>
      </c>
      <c r="K5518" s="2" t="s">
        <v>1452</v>
      </c>
      <c r="L5518" s="2" t="s">
        <v>5221</v>
      </c>
      <c r="M5518" s="2" t="s">
        <v>5221</v>
      </c>
      <c r="N5518" s="2" t="s">
        <v>2317</v>
      </c>
      <c r="O5518" s="14">
        <v>4900</v>
      </c>
      <c r="P5518" s="14">
        <v>97.76</v>
      </c>
      <c r="Q5518" s="14">
        <v>109.76</v>
      </c>
      <c r="R5518" s="14">
        <v>104.27</v>
      </c>
      <c r="S5518" s="2" t="s">
        <v>4935</v>
      </c>
      <c r="T5518" s="2">
        <v>1.4</v>
      </c>
      <c r="U5518" s="2">
        <v>65.900000000000006</v>
      </c>
      <c r="V5518" s="2">
        <v>64</v>
      </c>
      <c r="W5518" s="2" t="s">
        <v>7862</v>
      </c>
      <c r="X5518" s="2" t="s">
        <v>2897</v>
      </c>
      <c r="Y5518" s="2">
        <v>4655</v>
      </c>
      <c r="Z5518" s="19" t="str">
        <f>HYPERLINK("https://ssdweb.co/ssdweb/hd/Vision360.html?d=926311101&amp;zoomslide=1&amp;z=1926311101&amp;ISCONFIRM=0","VIDEO")</f>
        <v>VIDEO</v>
      </c>
      <c r="AA5518" s="19" t="str">
        <f>HYPERLINK("https://ssdweb.co/ssdweb/CERTH/640473848.pdf","CERTI")</f>
        <v>CERTI</v>
      </c>
    </row>
    <row r="5519" spans="1:27" ht="15" x14ac:dyDescent="0.25">
      <c r="A5519" s="2">
        <v>5514</v>
      </c>
      <c r="B5519" s="39">
        <v>925370372</v>
      </c>
      <c r="C5519" s="28" t="str">
        <f>HYPERLINK("https://pld.live/RapDetail.aspx?STONELIST=925370372","DNA")</f>
        <v>DNA</v>
      </c>
      <c r="D5519" s="18" t="s">
        <v>4121</v>
      </c>
      <c r="E5519" s="18" t="s">
        <v>5128</v>
      </c>
      <c r="F5519" s="2" t="s">
        <v>7987</v>
      </c>
      <c r="G5519" s="2" t="s">
        <v>7322</v>
      </c>
      <c r="H5519" s="14">
        <v>0.95</v>
      </c>
      <c r="I5519" s="2" t="s">
        <v>4761</v>
      </c>
      <c r="J5519" s="2" t="s">
        <v>5144</v>
      </c>
      <c r="K5519" s="2" t="s">
        <v>1452</v>
      </c>
      <c r="L5519" s="2" t="s">
        <v>5221</v>
      </c>
      <c r="M5519" s="2" t="s">
        <v>5221</v>
      </c>
      <c r="N5519" s="2" t="s">
        <v>2317</v>
      </c>
      <c r="O5519" s="14">
        <v>4200</v>
      </c>
      <c r="P5519" s="14">
        <v>97.48</v>
      </c>
      <c r="Q5519" s="14">
        <v>105.84</v>
      </c>
      <c r="R5519" s="14">
        <v>100.55</v>
      </c>
      <c r="S5519" s="2" t="s">
        <v>5593</v>
      </c>
      <c r="T5519" s="2">
        <v>1.44</v>
      </c>
      <c r="U5519" s="2">
        <v>65</v>
      </c>
      <c r="V5519" s="2">
        <v>62</v>
      </c>
      <c r="W5519" s="2" t="s">
        <v>7862</v>
      </c>
      <c r="X5519" s="2" t="s">
        <v>2897</v>
      </c>
      <c r="Y5519" s="2">
        <v>3990</v>
      </c>
      <c r="Z5519" s="19" t="str">
        <f>HYPERLINK("https://ssdweb.co/ssdweb/hd/Vision360.html?d=925370372&amp;zoomslide=1&amp;z=1925370372&amp;ISCONFIRM=0","VIDEO")</f>
        <v>VIDEO</v>
      </c>
      <c r="AA5519" s="19" t="str">
        <f>HYPERLINK("https://ssdweb.co/ssdweb/CERTH/617437344.pdf","CERTI")</f>
        <v>CERTI</v>
      </c>
    </row>
    <row r="5520" spans="1:27" ht="15" x14ac:dyDescent="0.25">
      <c r="A5520" s="2">
        <v>5515</v>
      </c>
      <c r="B5520" s="39">
        <v>926460849</v>
      </c>
      <c r="C5520" s="28" t="str">
        <f>HYPERLINK("https://pld.live/RapDetail.aspx?STONELIST=926460849","DNA")</f>
        <v>DNA</v>
      </c>
      <c r="D5520" s="18" t="s">
        <v>2990</v>
      </c>
      <c r="E5520" s="18" t="s">
        <v>5128</v>
      </c>
      <c r="F5520" s="2" t="s">
        <v>7987</v>
      </c>
      <c r="G5520" s="2" t="s">
        <v>7322</v>
      </c>
      <c r="H5520" s="14">
        <v>0.94</v>
      </c>
      <c r="I5520" s="2" t="s">
        <v>267</v>
      </c>
      <c r="J5520" s="2" t="s">
        <v>3942</v>
      </c>
      <c r="K5520" s="2" t="s">
        <v>1452</v>
      </c>
      <c r="L5520" s="2" t="s">
        <v>5221</v>
      </c>
      <c r="M5520" s="2" t="s">
        <v>5221</v>
      </c>
      <c r="N5520" s="2" t="s">
        <v>2317</v>
      </c>
      <c r="O5520" s="14">
        <v>5600</v>
      </c>
      <c r="P5520" s="14">
        <v>97.95</v>
      </c>
      <c r="Q5520" s="14">
        <v>114.8</v>
      </c>
      <c r="R5520" s="14">
        <v>107.91</v>
      </c>
      <c r="S5520" s="2" t="s">
        <v>2970</v>
      </c>
      <c r="T5520" s="2">
        <v>1.36</v>
      </c>
      <c r="U5520" s="2">
        <v>67.7</v>
      </c>
      <c r="V5520" s="2">
        <v>66</v>
      </c>
      <c r="W5520" s="2" t="s">
        <v>7862</v>
      </c>
      <c r="X5520" s="2" t="s">
        <v>2897</v>
      </c>
      <c r="Y5520" s="2">
        <v>5264</v>
      </c>
      <c r="Z5520" s="19" t="str">
        <f>HYPERLINK("https://ssdweb.co/ssdweb/hd/Vision360.html?d=926460849&amp;zoomslide=1&amp;z=1926460849&amp;ISCONFIRM=0","VIDEO")</f>
        <v>VIDEO</v>
      </c>
      <c r="AA5520" s="19" t="str">
        <f>HYPERLINK("https://ssdweb.co/ssdweb/CERTH/651401110.pdf","CERTI")</f>
        <v>CERTI</v>
      </c>
    </row>
    <row r="5521" spans="1:27" ht="15" x14ac:dyDescent="0.25">
      <c r="A5521" s="2">
        <v>5516</v>
      </c>
      <c r="B5521" s="39">
        <v>925030364</v>
      </c>
      <c r="C5521" s="28" t="str">
        <f>HYPERLINK("https://pld.live/RapDetail.aspx?STONELIST=925030364","DNA")</f>
        <v>DNA</v>
      </c>
      <c r="D5521" s="18" t="s">
        <v>2990</v>
      </c>
      <c r="E5521" s="18" t="s">
        <v>5128</v>
      </c>
      <c r="F5521" s="2" t="s">
        <v>7987</v>
      </c>
      <c r="G5521" s="2" t="s">
        <v>7322</v>
      </c>
      <c r="H5521" s="14">
        <v>0.94</v>
      </c>
      <c r="I5521" s="2" t="s">
        <v>4761</v>
      </c>
      <c r="J5521" s="2" t="s">
        <v>3942</v>
      </c>
      <c r="K5521" s="2" t="s">
        <v>1452</v>
      </c>
      <c r="L5521" s="2" t="s">
        <v>5221</v>
      </c>
      <c r="M5521" s="2" t="s">
        <v>5221</v>
      </c>
      <c r="N5521" s="2" t="s">
        <v>2317</v>
      </c>
      <c r="O5521" s="14">
        <v>5200</v>
      </c>
      <c r="P5521" s="14">
        <v>97.88</v>
      </c>
      <c r="Q5521" s="14">
        <v>110.24</v>
      </c>
      <c r="R5521" s="14">
        <v>103.63</v>
      </c>
      <c r="S5521" s="2" t="s">
        <v>1640</v>
      </c>
      <c r="T5521" s="2">
        <v>1.42</v>
      </c>
      <c r="U5521" s="2">
        <v>65.5</v>
      </c>
      <c r="V5521" s="2">
        <v>62</v>
      </c>
      <c r="W5521" s="2" t="s">
        <v>7862</v>
      </c>
      <c r="X5521" s="2" t="s">
        <v>2897</v>
      </c>
      <c r="Y5521" s="2">
        <v>4888</v>
      </c>
      <c r="Z5521" s="19" t="str">
        <f>HYPERLINK("https://ssdweb.co/ssdweb/hd/Vision360.html?d=925030364&amp;zoomslide=1&amp;z=1925030364&amp;ISCONFIRM=0","VIDEO")</f>
        <v>VIDEO</v>
      </c>
      <c r="AA5521" s="19" t="str">
        <f>HYPERLINK("https://ssdweb.co/ssdweb/CERTH/612321934.pdf","CERTI")</f>
        <v>CERTI</v>
      </c>
    </row>
    <row r="5522" spans="1:27" ht="15" x14ac:dyDescent="0.25">
      <c r="A5522" s="2">
        <v>5517</v>
      </c>
      <c r="B5522" s="39">
        <v>924440177</v>
      </c>
      <c r="C5522" s="28" t="str">
        <f>HYPERLINK("https://pld.live/RapDetail.aspx?STONELIST=924440177","DNA")</f>
        <v>DNA</v>
      </c>
      <c r="D5522" s="18" t="s">
        <v>2990</v>
      </c>
      <c r="E5522" s="18" t="s">
        <v>5128</v>
      </c>
      <c r="F5522" s="2" t="s">
        <v>7987</v>
      </c>
      <c r="G5522" s="2" t="s">
        <v>7322</v>
      </c>
      <c r="H5522" s="14">
        <v>0.94</v>
      </c>
      <c r="I5522" s="2" t="s">
        <v>4761</v>
      </c>
      <c r="J5522" s="2" t="s">
        <v>13</v>
      </c>
      <c r="K5522" s="2" t="s">
        <v>1452</v>
      </c>
      <c r="L5522" s="2" t="s">
        <v>5221</v>
      </c>
      <c r="M5522" s="2" t="s">
        <v>5221</v>
      </c>
      <c r="N5522" s="2" t="s">
        <v>2317</v>
      </c>
      <c r="O5522" s="14">
        <v>4900</v>
      </c>
      <c r="P5522" s="14">
        <v>97.82</v>
      </c>
      <c r="Q5522" s="14">
        <v>106.82</v>
      </c>
      <c r="R5522" s="14">
        <v>100.41</v>
      </c>
      <c r="S5522" s="2" t="s">
        <v>5530</v>
      </c>
      <c r="T5522" s="2">
        <v>1.4</v>
      </c>
      <c r="U5522" s="2">
        <v>65.5</v>
      </c>
      <c r="V5522" s="2">
        <v>64</v>
      </c>
      <c r="W5522" s="2" t="s">
        <v>7862</v>
      </c>
      <c r="X5522" s="2" t="s">
        <v>2897</v>
      </c>
      <c r="Y5522" s="2">
        <v>4606</v>
      </c>
      <c r="Z5522" s="19" t="str">
        <f>HYPERLINK("https://ssdweb.co/ssdweb/hd/Vision360.html?d=924440177&amp;zoomslide=1&amp;z=1924440177&amp;ISCONFIRM=0","VIDEO")</f>
        <v>VIDEO</v>
      </c>
      <c r="AA5522" s="19" t="str">
        <f>HYPERLINK("https://ssdweb.co/ssdweb/CERTH/600304568.pdf","CERTI")</f>
        <v>CERTI</v>
      </c>
    </row>
    <row r="5523" spans="1:27" ht="15" x14ac:dyDescent="0.25">
      <c r="A5523" s="2">
        <v>5518</v>
      </c>
      <c r="B5523" s="39">
        <v>924780334</v>
      </c>
      <c r="C5523" s="28" t="str">
        <f>HYPERLINK("https://pld.live/RapDetail.aspx?STONELIST=924780334","DNA")</f>
        <v>DNA</v>
      </c>
      <c r="D5523" s="18" t="s">
        <v>2990</v>
      </c>
      <c r="E5523" s="18" t="s">
        <v>2186</v>
      </c>
      <c r="F5523" s="2" t="s">
        <v>7987</v>
      </c>
      <c r="G5523" s="2" t="s">
        <v>7322</v>
      </c>
      <c r="H5523" s="14">
        <v>0.94</v>
      </c>
      <c r="I5523" s="2" t="s">
        <v>4699</v>
      </c>
      <c r="J5523" s="2" t="s">
        <v>13</v>
      </c>
      <c r="K5523" s="2" t="s">
        <v>1452</v>
      </c>
      <c r="L5523" s="2" t="s">
        <v>5221</v>
      </c>
      <c r="M5523" s="2" t="s">
        <v>5221</v>
      </c>
      <c r="N5523" s="2" t="s">
        <v>2317</v>
      </c>
      <c r="O5523" s="14">
        <v>4600</v>
      </c>
      <c r="P5523" s="14">
        <v>97.76</v>
      </c>
      <c r="Q5523" s="14">
        <v>103.04</v>
      </c>
      <c r="R5523" s="14">
        <v>96.86</v>
      </c>
      <c r="S5523" s="2" t="s">
        <v>7357</v>
      </c>
      <c r="T5523" s="2">
        <v>1.57</v>
      </c>
      <c r="U5523" s="2">
        <v>64.599999999999994</v>
      </c>
      <c r="V5523" s="2">
        <v>67</v>
      </c>
      <c r="W5523" s="2" t="s">
        <v>7862</v>
      </c>
      <c r="X5523" s="2" t="s">
        <v>2897</v>
      </c>
      <c r="Y5523" s="2">
        <v>4324</v>
      </c>
      <c r="Z5523" s="19" t="str">
        <f>HYPERLINK("https://ssdweb.co/ssdweb/hd/Vision360.html?d=924780334&amp;zoomslide=1&amp;z=1924780334&amp;ISCONFIRM=0","VIDEO")</f>
        <v>VIDEO</v>
      </c>
      <c r="AA5523" s="19" t="str">
        <f>HYPERLINK("https://ssdweb.co/ssdweb/CERTH/603352380.pdf","CERTI")</f>
        <v>CERTI</v>
      </c>
    </row>
    <row r="5524" spans="1:27" ht="15" x14ac:dyDescent="0.25">
      <c r="A5524" s="2">
        <v>5519</v>
      </c>
      <c r="B5524" s="39">
        <v>926680890</v>
      </c>
      <c r="C5524" s="28" t="str">
        <f>HYPERLINK("https://pld.live/RapDetail.aspx?STONELIST=926680890","DNA")</f>
        <v>DNA</v>
      </c>
      <c r="D5524" s="18" t="s">
        <v>2990</v>
      </c>
      <c r="E5524" s="18" t="s">
        <v>2186</v>
      </c>
      <c r="F5524" s="2" t="s">
        <v>7987</v>
      </c>
      <c r="G5524" s="2" t="s">
        <v>7322</v>
      </c>
      <c r="H5524" s="14">
        <v>0.93</v>
      </c>
      <c r="I5524" s="2" t="s">
        <v>267</v>
      </c>
      <c r="J5524" s="2" t="s">
        <v>3942</v>
      </c>
      <c r="K5524" s="2" t="s">
        <v>1452</v>
      </c>
      <c r="L5524" s="2" t="s">
        <v>5221</v>
      </c>
      <c r="M5524" s="2" t="s">
        <v>5221</v>
      </c>
      <c r="N5524" s="2" t="s">
        <v>2317</v>
      </c>
      <c r="O5524" s="14">
        <v>5600</v>
      </c>
      <c r="P5524" s="14">
        <v>97.95</v>
      </c>
      <c r="Q5524" s="14">
        <v>114.8</v>
      </c>
      <c r="R5524" s="14">
        <v>106.76</v>
      </c>
      <c r="S5524" s="2" t="s">
        <v>312</v>
      </c>
      <c r="T5524" s="2">
        <v>1.47</v>
      </c>
      <c r="U5524" s="2">
        <v>67</v>
      </c>
      <c r="V5524" s="2">
        <v>66</v>
      </c>
      <c r="W5524" s="2" t="s">
        <v>7862</v>
      </c>
      <c r="X5524" s="2" t="s">
        <v>2897</v>
      </c>
      <c r="Y5524" s="2">
        <v>5208</v>
      </c>
      <c r="Z5524" s="19" t="str">
        <f>HYPERLINK("https://ssdweb.co/ssdweb/hd/Vision360.html?d=926680890&amp;zoomslide=1&amp;z=1926680890&amp;ISCONFIRM=0","VIDEO")</f>
        <v>VIDEO</v>
      </c>
      <c r="AA5524" s="19" t="str">
        <f>HYPERLINK("https://ssdweb.co/ssdweb/CERTH/651401143.pdf","CERTI")</f>
        <v>CERTI</v>
      </c>
    </row>
    <row r="5525" spans="1:27" ht="15" x14ac:dyDescent="0.25">
      <c r="A5525" s="2">
        <v>5520</v>
      </c>
      <c r="B5525" s="39">
        <v>923450145</v>
      </c>
      <c r="C5525" s="28" t="str">
        <f>HYPERLINK("https://pld.live/RapDetail.aspx?STONELIST=923450145","DNA")</f>
        <v>DNA</v>
      </c>
      <c r="D5525" s="18" t="s">
        <v>2990</v>
      </c>
      <c r="E5525" s="18" t="s">
        <v>5128</v>
      </c>
      <c r="F5525" s="2" t="s">
        <v>7987</v>
      </c>
      <c r="G5525" s="2" t="s">
        <v>7322</v>
      </c>
      <c r="H5525" s="14">
        <v>0.93</v>
      </c>
      <c r="I5525" s="2" t="s">
        <v>267</v>
      </c>
      <c r="J5525" s="2" t="s">
        <v>444</v>
      </c>
      <c r="K5525" s="2" t="s">
        <v>1452</v>
      </c>
      <c r="L5525" s="2" t="s">
        <v>5221</v>
      </c>
      <c r="M5525" s="2" t="s">
        <v>5221</v>
      </c>
      <c r="N5525" s="2" t="s">
        <v>2317</v>
      </c>
      <c r="O5525" s="14">
        <v>3700</v>
      </c>
      <c r="P5525" s="14">
        <v>97.27</v>
      </c>
      <c r="Q5525" s="14">
        <v>101.01</v>
      </c>
      <c r="R5525" s="14">
        <v>93.94</v>
      </c>
      <c r="S5525" s="2" t="s">
        <v>984</v>
      </c>
      <c r="T5525" s="2">
        <v>1.57</v>
      </c>
      <c r="U5525" s="2">
        <v>64.599999999999994</v>
      </c>
      <c r="V5525" s="2">
        <v>57.5</v>
      </c>
      <c r="W5525" s="2" t="s">
        <v>7862</v>
      </c>
      <c r="X5525" s="2" t="s">
        <v>2897</v>
      </c>
      <c r="Y5525" s="2">
        <v>3441</v>
      </c>
      <c r="Z5525" s="19" t="str">
        <f>HYPERLINK("https://ssdweb.co/ssdweb/hd/Vision360.html?d=923450145&amp;zoomslide=1&amp;z=1923450145&amp;ISCONFIRM=0","VIDEO")</f>
        <v>VIDEO</v>
      </c>
      <c r="AA5525" s="19" t="str">
        <f>HYPERLINK("https://ssdweb.co/ssdweb/CERTH/549213879.pdf","CERTI")</f>
        <v>CERTI</v>
      </c>
    </row>
    <row r="5526" spans="1:27" ht="15" x14ac:dyDescent="0.25">
      <c r="A5526" s="2">
        <v>5521</v>
      </c>
      <c r="B5526" s="39">
        <v>926160064</v>
      </c>
      <c r="C5526" s="28" t="str">
        <f>HYPERLINK("https://pld.live/RapDetail.aspx?STONELIST=926160064","DNA")</f>
        <v>DNA</v>
      </c>
      <c r="D5526" s="18" t="s">
        <v>2990</v>
      </c>
      <c r="E5526" s="18" t="s">
        <v>2186</v>
      </c>
      <c r="F5526" s="2" t="s">
        <v>7987</v>
      </c>
      <c r="G5526" s="2" t="s">
        <v>7322</v>
      </c>
      <c r="H5526" s="14">
        <v>0.93</v>
      </c>
      <c r="I5526" s="2" t="s">
        <v>4699</v>
      </c>
      <c r="J5526" s="2" t="s">
        <v>5144</v>
      </c>
      <c r="K5526" s="2" t="s">
        <v>1452</v>
      </c>
      <c r="L5526" s="2" t="s">
        <v>5221</v>
      </c>
      <c r="M5526" s="2" t="s">
        <v>5221</v>
      </c>
      <c r="N5526" s="2" t="s">
        <v>2317</v>
      </c>
      <c r="O5526" s="14">
        <v>4000</v>
      </c>
      <c r="P5526" s="14">
        <v>97.45</v>
      </c>
      <c r="Q5526" s="14">
        <v>102</v>
      </c>
      <c r="R5526" s="14">
        <v>94.86</v>
      </c>
      <c r="S5526" s="2" t="s">
        <v>1034</v>
      </c>
      <c r="T5526" s="2">
        <v>1.37</v>
      </c>
      <c r="U5526" s="2">
        <v>65.5</v>
      </c>
      <c r="V5526" s="2">
        <v>65</v>
      </c>
      <c r="W5526" s="2" t="s">
        <v>7862</v>
      </c>
      <c r="X5526" s="2" t="s">
        <v>2897</v>
      </c>
      <c r="Y5526" s="2">
        <v>3720</v>
      </c>
      <c r="Z5526" s="19" t="str">
        <f>HYPERLINK("https://ssdweb.co/ssdweb/hd/Vision360.html?d=926160064&amp;zoomslide=1&amp;z=1926160064&amp;ISCONFIRM=0","VIDEO")</f>
        <v>VIDEO</v>
      </c>
      <c r="AA5526" s="19" t="str">
        <f>HYPERLINK("https://ssdweb.co/ssdweb/CERTH/634431324.pdf","CERTI")</f>
        <v>CERTI</v>
      </c>
    </row>
    <row r="5527" spans="1:27" ht="15" x14ac:dyDescent="0.25">
      <c r="A5527" s="2">
        <v>5522</v>
      </c>
      <c r="B5527" s="39">
        <v>925060454</v>
      </c>
      <c r="C5527" s="28" t="str">
        <f>HYPERLINK("https://pld.live/RapDetail.aspx?STONELIST=925060454","DNA")</f>
        <v>DNA</v>
      </c>
      <c r="D5527" s="18" t="s">
        <v>2990</v>
      </c>
      <c r="E5527" s="18" t="s">
        <v>2186</v>
      </c>
      <c r="F5527" s="2" t="s">
        <v>7987</v>
      </c>
      <c r="G5527" s="2" t="s">
        <v>7322</v>
      </c>
      <c r="H5527" s="14">
        <v>0.93</v>
      </c>
      <c r="I5527" s="2" t="s">
        <v>6587</v>
      </c>
      <c r="J5527" s="2" t="s">
        <v>13</v>
      </c>
      <c r="K5527" s="2" t="s">
        <v>1452</v>
      </c>
      <c r="L5527" s="2" t="s">
        <v>5221</v>
      </c>
      <c r="M5527" s="2" t="s">
        <v>5221</v>
      </c>
      <c r="N5527" s="2" t="s">
        <v>2317</v>
      </c>
      <c r="O5527" s="14">
        <v>4300</v>
      </c>
      <c r="P5527" s="14">
        <v>97.7</v>
      </c>
      <c r="Q5527" s="14">
        <v>98.9</v>
      </c>
      <c r="R5527" s="14">
        <v>91.98</v>
      </c>
      <c r="S5527" s="2" t="s">
        <v>6434</v>
      </c>
      <c r="T5527" s="2">
        <v>1.55</v>
      </c>
      <c r="U5527" s="2">
        <v>63</v>
      </c>
      <c r="V5527" s="2">
        <v>68</v>
      </c>
      <c r="W5527" s="2" t="s">
        <v>8016</v>
      </c>
      <c r="X5527" s="2" t="s">
        <v>2897</v>
      </c>
      <c r="Y5527" s="2">
        <v>3999</v>
      </c>
      <c r="Z5527" s="19" t="str">
        <f>HYPERLINK("https://ssdweb.co/ssdweb/hd/Vision360.html?d=925060454&amp;zoomslide=1&amp;z=1925060454&amp;ISCONFIRM=0","VIDEO")</f>
        <v>VIDEO</v>
      </c>
      <c r="AA5527" s="19" t="str">
        <f>HYPERLINK("https://ssdweb.co/ssdweb/CERTH/614319321.pdf","CERTI")</f>
        <v>CERTI</v>
      </c>
    </row>
    <row r="5528" spans="1:27" ht="15" x14ac:dyDescent="0.25">
      <c r="A5528" s="2">
        <v>5523</v>
      </c>
      <c r="B5528" s="39">
        <v>924410707</v>
      </c>
      <c r="C5528" s="28" t="str">
        <f>HYPERLINK("https://pld.live/RapDetail.aspx?STONELIST=924410707","DNA")</f>
        <v>DNA</v>
      </c>
      <c r="D5528" s="18" t="s">
        <v>2990</v>
      </c>
      <c r="E5528" s="18" t="s">
        <v>2186</v>
      </c>
      <c r="F5528" s="2" t="s">
        <v>7987</v>
      </c>
      <c r="G5528" s="2" t="s">
        <v>7322</v>
      </c>
      <c r="H5528" s="14">
        <v>0.93</v>
      </c>
      <c r="I5528" s="2" t="s">
        <v>6845</v>
      </c>
      <c r="J5528" s="2" t="s">
        <v>5144</v>
      </c>
      <c r="K5528" s="2" t="s">
        <v>1452</v>
      </c>
      <c r="L5528" s="2" t="s">
        <v>5221</v>
      </c>
      <c r="M5528" s="2" t="s">
        <v>5221</v>
      </c>
      <c r="N5528" s="2" t="s">
        <v>2317</v>
      </c>
      <c r="O5528" s="14">
        <v>1700</v>
      </c>
      <c r="P5528" s="14">
        <v>87.65</v>
      </c>
      <c r="Q5528" s="14">
        <v>209.95</v>
      </c>
      <c r="R5528" s="14">
        <v>195.25</v>
      </c>
      <c r="S5528" s="2" t="s">
        <v>4222</v>
      </c>
      <c r="T5528" s="2">
        <v>1.46</v>
      </c>
      <c r="U5528" s="2">
        <v>64.8</v>
      </c>
      <c r="V5528" s="2">
        <v>64</v>
      </c>
      <c r="W5528" s="2" t="s">
        <v>7862</v>
      </c>
      <c r="X5528" s="2" t="s">
        <v>2897</v>
      </c>
      <c r="Y5528" s="2">
        <v>1581</v>
      </c>
      <c r="Z5528" s="19" t="str">
        <f>HYPERLINK("https://ssdweb.co/ssdweb/hd/Vision360.html?d=924410707&amp;zoomslide=1&amp;z=1924410707&amp;ISCONFIRM=0","VIDEO")</f>
        <v>VIDEO</v>
      </c>
      <c r="AA5528" s="19" t="str">
        <f>HYPERLINK("https://ssdweb.co/ssdweb/CERTH/626457117.pdf","CERTI")</f>
        <v>CERTI</v>
      </c>
    </row>
    <row r="5529" spans="1:27" ht="15" x14ac:dyDescent="0.25">
      <c r="A5529" s="2">
        <v>5524</v>
      </c>
      <c r="B5529" s="39">
        <v>925030335</v>
      </c>
      <c r="C5529" s="28" t="str">
        <f>HYPERLINK("https://pld.live/RapDetail.aspx?STONELIST=925030335","DNA")</f>
        <v>DNA</v>
      </c>
      <c r="D5529" s="18" t="s">
        <v>2990</v>
      </c>
      <c r="E5529" s="18" t="s">
        <v>5128</v>
      </c>
      <c r="F5529" s="2" t="s">
        <v>7987</v>
      </c>
      <c r="G5529" s="2" t="s">
        <v>7322</v>
      </c>
      <c r="H5529" s="14">
        <v>0.92</v>
      </c>
      <c r="I5529" s="2" t="s">
        <v>267</v>
      </c>
      <c r="J5529" s="2" t="s">
        <v>3942</v>
      </c>
      <c r="K5529" s="2" t="s">
        <v>1452</v>
      </c>
      <c r="L5529" s="2" t="s">
        <v>5221</v>
      </c>
      <c r="M5529" s="2" t="s">
        <v>5221</v>
      </c>
      <c r="N5529" s="2" t="s">
        <v>2317</v>
      </c>
      <c r="O5529" s="14">
        <v>5600</v>
      </c>
      <c r="P5529" s="14">
        <v>98.02</v>
      </c>
      <c r="Q5529" s="14">
        <v>110.88</v>
      </c>
      <c r="R5529" s="14">
        <v>102.01</v>
      </c>
      <c r="S5529" s="2" t="s">
        <v>5461</v>
      </c>
      <c r="T5529" s="2">
        <v>1.36</v>
      </c>
      <c r="U5529" s="2">
        <v>63.3</v>
      </c>
      <c r="V5529" s="2">
        <v>67</v>
      </c>
      <c r="W5529" s="2" t="s">
        <v>7862</v>
      </c>
      <c r="X5529" s="2" t="s">
        <v>2897</v>
      </c>
      <c r="Y5529" s="2">
        <v>5152</v>
      </c>
      <c r="Z5529" s="19" t="str">
        <f>HYPERLINK("https://ssdweb.co/ssdweb/hd/Vision360.html?d=925030335&amp;zoomslide=1&amp;z=1925030335&amp;ISCONFIRM=0","VIDEO")</f>
        <v>VIDEO</v>
      </c>
      <c r="AA5529" s="19" t="str">
        <f>HYPERLINK("https://ssdweb.co/ssdweb/CERTH/611374842.pdf","CERTI")</f>
        <v>CERTI</v>
      </c>
    </row>
    <row r="5530" spans="1:27" ht="15" x14ac:dyDescent="0.25">
      <c r="A5530" s="2">
        <v>5525</v>
      </c>
      <c r="B5530" s="39">
        <v>924970345</v>
      </c>
      <c r="C5530" s="28" t="str">
        <f>HYPERLINK("https://pld.live/RapDetail.aspx?STONELIST=924970345","DNA")</f>
        <v>DNA</v>
      </c>
      <c r="D5530" s="18" t="s">
        <v>2990</v>
      </c>
      <c r="E5530" s="18" t="s">
        <v>5128</v>
      </c>
      <c r="F5530" s="2" t="s">
        <v>7987</v>
      </c>
      <c r="G5530" s="2" t="s">
        <v>7322</v>
      </c>
      <c r="H5530" s="14">
        <v>0.92</v>
      </c>
      <c r="I5530" s="2" t="s">
        <v>267</v>
      </c>
      <c r="J5530" s="2" t="s">
        <v>3942</v>
      </c>
      <c r="K5530" s="2" t="s">
        <v>1452</v>
      </c>
      <c r="L5530" s="2" t="s">
        <v>5221</v>
      </c>
      <c r="M5530" s="2" t="s">
        <v>5221</v>
      </c>
      <c r="N5530" s="2" t="s">
        <v>2317</v>
      </c>
      <c r="O5530" s="14">
        <v>5600</v>
      </c>
      <c r="P5530" s="14">
        <v>98.02</v>
      </c>
      <c r="Q5530" s="14">
        <v>110.88</v>
      </c>
      <c r="R5530" s="14">
        <v>102.01</v>
      </c>
      <c r="S5530" s="2" t="s">
        <v>7539</v>
      </c>
      <c r="T5530" s="2">
        <v>1.38</v>
      </c>
      <c r="U5530" s="2">
        <v>67.900000000000006</v>
      </c>
      <c r="V5530" s="2">
        <v>64</v>
      </c>
      <c r="W5530" s="2" t="s">
        <v>7862</v>
      </c>
      <c r="X5530" s="2" t="s">
        <v>2897</v>
      </c>
      <c r="Y5530" s="2">
        <v>5152</v>
      </c>
      <c r="Z5530" s="19" t="str">
        <f>HYPERLINK("https://ssdweb.co/ssdweb/hd/Vision360.html?d=924970345&amp;zoomslide=1&amp;z=1924970345&amp;ISCONFIRM=0","VIDEO")</f>
        <v>VIDEO</v>
      </c>
      <c r="AA5530" s="19" t="str">
        <f>HYPERLINK("https://ssdweb.co/ssdweb/CERTH/607366000.pdf","CERTI")</f>
        <v>CERTI</v>
      </c>
    </row>
    <row r="5531" spans="1:27" ht="15" x14ac:dyDescent="0.25">
      <c r="A5531" s="2">
        <v>5526</v>
      </c>
      <c r="B5531" s="39">
        <v>927100993</v>
      </c>
      <c r="C5531" s="28" t="str">
        <f>HYPERLINK("https://pld.live/RapDetail.aspx?STONELIST=927100993","DNA")</f>
        <v>DNA</v>
      </c>
      <c r="D5531" s="18" t="s">
        <v>2990</v>
      </c>
      <c r="E5531" s="18" t="s">
        <v>5128</v>
      </c>
      <c r="F5531" s="2" t="s">
        <v>7987</v>
      </c>
      <c r="G5531" s="2" t="s">
        <v>7322</v>
      </c>
      <c r="H5531" s="14">
        <v>0.92</v>
      </c>
      <c r="I5531" s="2" t="s">
        <v>267</v>
      </c>
      <c r="J5531" s="2" t="s">
        <v>13</v>
      </c>
      <c r="K5531" s="2" t="s">
        <v>1452</v>
      </c>
      <c r="L5531" s="2" t="s">
        <v>5221</v>
      </c>
      <c r="M5531" s="2" t="s">
        <v>5221</v>
      </c>
      <c r="N5531" s="2" t="s">
        <v>2317</v>
      </c>
      <c r="O5531" s="14">
        <v>5200</v>
      </c>
      <c r="P5531" s="14">
        <v>97.83</v>
      </c>
      <c r="Q5531" s="14">
        <v>112.84</v>
      </c>
      <c r="R5531" s="14">
        <v>103.81</v>
      </c>
      <c r="S5531" s="2" t="s">
        <v>1382</v>
      </c>
      <c r="T5531" s="2">
        <v>1.52</v>
      </c>
      <c r="U5531" s="2">
        <v>67.400000000000006</v>
      </c>
      <c r="V5531" s="2">
        <v>62</v>
      </c>
      <c r="W5531" s="2" t="s">
        <v>7862</v>
      </c>
      <c r="X5531" s="2" t="s">
        <v>2897</v>
      </c>
      <c r="Y5531" s="2">
        <v>4784</v>
      </c>
      <c r="Z5531" s="19" t="str">
        <f>HYPERLINK("https://ssdweb.co/ssdweb/hd/Vision360.html?d=927100993&amp;zoomslide=1&amp;z=1927100993&amp;ISCONFIRM=0","VIDEO")</f>
        <v>VIDEO</v>
      </c>
      <c r="AA5531" s="19" t="str">
        <f>HYPERLINK("https://ssdweb.co/ssdweb/CERTH/665453116.pdf","CERTI")</f>
        <v>CERTI</v>
      </c>
    </row>
    <row r="5532" spans="1:27" ht="15" x14ac:dyDescent="0.25">
      <c r="A5532" s="2">
        <v>5527</v>
      </c>
      <c r="B5532" s="39">
        <v>923490283</v>
      </c>
      <c r="C5532" s="28" t="str">
        <f>HYPERLINK("https://pld.live/RapDetail.aspx?STONELIST=923490283","DNA")</f>
        <v>DNA</v>
      </c>
      <c r="D5532" s="18" t="s">
        <v>2990</v>
      </c>
      <c r="E5532" s="18" t="s">
        <v>5128</v>
      </c>
      <c r="F5532" s="2" t="s">
        <v>7987</v>
      </c>
      <c r="G5532" s="2" t="s">
        <v>7322</v>
      </c>
      <c r="H5532" s="14">
        <v>0.92</v>
      </c>
      <c r="I5532" s="2" t="s">
        <v>267</v>
      </c>
      <c r="J5532" s="2" t="s">
        <v>444</v>
      </c>
      <c r="K5532" s="2" t="s">
        <v>1452</v>
      </c>
      <c r="L5532" s="2" t="s">
        <v>5221</v>
      </c>
      <c r="M5532" s="2" t="s">
        <v>5221</v>
      </c>
      <c r="N5532" s="2" t="s">
        <v>2317</v>
      </c>
      <c r="O5532" s="14">
        <v>3700</v>
      </c>
      <c r="P5532" s="14">
        <v>97.27</v>
      </c>
      <c r="Q5532" s="14">
        <v>101.01</v>
      </c>
      <c r="R5532" s="14">
        <v>92.93</v>
      </c>
      <c r="S5532" s="2" t="s">
        <v>4289</v>
      </c>
      <c r="T5532" s="2">
        <v>1.52</v>
      </c>
      <c r="U5532" s="2">
        <v>65.900000000000006</v>
      </c>
      <c r="V5532" s="2">
        <v>59.5</v>
      </c>
      <c r="W5532" s="2" t="s">
        <v>7862</v>
      </c>
      <c r="X5532" s="2" t="s">
        <v>2897</v>
      </c>
      <c r="Y5532" s="2">
        <v>3404</v>
      </c>
      <c r="Z5532" s="19" t="str">
        <f>HYPERLINK("https://ssdweb.co/ssdweb/hd/Vision360.html?d=923490283&amp;zoomslide=1&amp;z=1923490283&amp;ISCONFIRM=0","VIDEO")</f>
        <v>VIDEO</v>
      </c>
      <c r="AA5532" s="19" t="str">
        <f>HYPERLINK("https://ssdweb.co/ssdweb/CERTH/555266297.pdf","CERTI")</f>
        <v>CERTI</v>
      </c>
    </row>
    <row r="5533" spans="1:27" ht="15" x14ac:dyDescent="0.25">
      <c r="A5533" s="2">
        <v>5528</v>
      </c>
      <c r="B5533" s="39">
        <v>925900291</v>
      </c>
      <c r="C5533" s="28" t="str">
        <f>HYPERLINK("https://pld.live/RapDetail.aspx?STONELIST=925900291","DNA")</f>
        <v>DNA</v>
      </c>
      <c r="D5533" s="18" t="s">
        <v>2990</v>
      </c>
      <c r="E5533" s="18" t="s">
        <v>5128</v>
      </c>
      <c r="F5533" s="2" t="s">
        <v>7987</v>
      </c>
      <c r="G5533" s="2" t="s">
        <v>7322</v>
      </c>
      <c r="H5533" s="14">
        <v>0.92</v>
      </c>
      <c r="I5533" s="2" t="s">
        <v>4761</v>
      </c>
      <c r="J5533" s="2" t="s">
        <v>6555</v>
      </c>
      <c r="K5533" s="2" t="s">
        <v>1452</v>
      </c>
      <c r="L5533" s="2" t="s">
        <v>5221</v>
      </c>
      <c r="M5533" s="2" t="s">
        <v>5221</v>
      </c>
      <c r="N5533" s="2" t="s">
        <v>2317</v>
      </c>
      <c r="O5533" s="14">
        <v>5700</v>
      </c>
      <c r="P5533" s="14">
        <v>97.68</v>
      </c>
      <c r="Q5533" s="14">
        <v>132.24</v>
      </c>
      <c r="R5533" s="14">
        <v>121.66</v>
      </c>
      <c r="S5533" s="2" t="s">
        <v>7684</v>
      </c>
      <c r="T5533" s="2">
        <v>1.36</v>
      </c>
      <c r="U5533" s="2">
        <v>68.900000000000006</v>
      </c>
      <c r="V5533" s="2">
        <v>67</v>
      </c>
      <c r="W5533" s="2" t="s">
        <v>7862</v>
      </c>
      <c r="X5533" s="2" t="s">
        <v>2897</v>
      </c>
      <c r="Y5533" s="2">
        <v>5244</v>
      </c>
      <c r="Z5533" s="19" t="str">
        <f>HYPERLINK("https://ssdweb.co/ssdweb/hd/Vision360.html?d=925900291&amp;zoomslide=1&amp;z=1925900291&amp;ISCONFIRM=0","VIDEO")</f>
        <v>VIDEO</v>
      </c>
      <c r="AA5533" s="19" t="str">
        <f>HYPERLINK("https://ssdweb.co/ssdweb/CERTH/627471497.pdf","CERTI")</f>
        <v>CERTI</v>
      </c>
    </row>
    <row r="5534" spans="1:27" ht="15" x14ac:dyDescent="0.25">
      <c r="A5534" s="2">
        <v>5529</v>
      </c>
      <c r="B5534" s="39">
        <v>924260263</v>
      </c>
      <c r="C5534" s="28" t="str">
        <f>HYPERLINK("https://pld.live/RapDetail.aspx?STONELIST=924260263","DNA")</f>
        <v>DNA</v>
      </c>
      <c r="D5534" s="18" t="s">
        <v>2990</v>
      </c>
      <c r="E5534" s="18" t="s">
        <v>2186</v>
      </c>
      <c r="F5534" s="2" t="s">
        <v>7987</v>
      </c>
      <c r="G5534" s="2" t="s">
        <v>7322</v>
      </c>
      <c r="H5534" s="14">
        <v>0.92</v>
      </c>
      <c r="I5534" s="2" t="s">
        <v>6587</v>
      </c>
      <c r="J5534" s="2" t="s">
        <v>13</v>
      </c>
      <c r="K5534" s="2" t="s">
        <v>1452</v>
      </c>
      <c r="L5534" s="2" t="s">
        <v>5221</v>
      </c>
      <c r="M5534" s="2" t="s">
        <v>5221</v>
      </c>
      <c r="N5534" s="2" t="s">
        <v>2317</v>
      </c>
      <c r="O5534" s="14">
        <v>4300</v>
      </c>
      <c r="P5534" s="14">
        <v>97.7</v>
      </c>
      <c r="Q5534" s="14">
        <v>98.9</v>
      </c>
      <c r="R5534" s="14">
        <v>90.99</v>
      </c>
      <c r="S5534" s="2" t="s">
        <v>1392</v>
      </c>
      <c r="T5534" s="2">
        <v>1.48</v>
      </c>
      <c r="U5534" s="2">
        <v>67.3</v>
      </c>
      <c r="V5534" s="2">
        <v>65</v>
      </c>
      <c r="W5534" s="2" t="s">
        <v>8016</v>
      </c>
      <c r="X5534" s="2" t="s">
        <v>2897</v>
      </c>
      <c r="Y5534" s="2">
        <v>3956</v>
      </c>
      <c r="Z5534" s="19" t="str">
        <f>HYPERLINK("https://ssdweb.co/ssdweb/hd/Vision360.html?d=924260263&amp;zoomslide=1&amp;z=1924260263&amp;ISCONFIRM=0","VIDEO")</f>
        <v>VIDEO</v>
      </c>
      <c r="AA5534" s="19" t="str">
        <f>HYPERLINK("https://ssdweb.co/ssdweb/CERTH/582351554.pdf","CERTI")</f>
        <v>CERTI</v>
      </c>
    </row>
    <row r="5535" spans="1:27" ht="15" x14ac:dyDescent="0.25">
      <c r="A5535" s="2">
        <v>5530</v>
      </c>
      <c r="B5535" s="39">
        <v>926060001</v>
      </c>
      <c r="C5535" s="28" t="str">
        <f>HYPERLINK("https://pld.live/RapDetail.aspx?STONELIST=926060001","DNA")</f>
        <v>DNA</v>
      </c>
      <c r="D5535" s="18" t="s">
        <v>2990</v>
      </c>
      <c r="E5535" s="18" t="s">
        <v>2186</v>
      </c>
      <c r="F5535" s="2" t="s">
        <v>7987</v>
      </c>
      <c r="G5535" s="2" t="s">
        <v>7322</v>
      </c>
      <c r="H5535" s="14">
        <v>0.92</v>
      </c>
      <c r="I5535" s="2" t="s">
        <v>2659</v>
      </c>
      <c r="J5535" s="2" t="s">
        <v>5144</v>
      </c>
      <c r="K5535" s="2" t="s">
        <v>1452</v>
      </c>
      <c r="L5535" s="2" t="s">
        <v>5221</v>
      </c>
      <c r="M5535" s="2" t="s">
        <v>5221</v>
      </c>
      <c r="N5535" s="2" t="s">
        <v>2317</v>
      </c>
      <c r="O5535" s="14">
        <v>1700</v>
      </c>
      <c r="P5535" s="14">
        <v>82.35</v>
      </c>
      <c r="Q5535" s="14">
        <v>300.05</v>
      </c>
      <c r="R5535" s="14">
        <v>276.05</v>
      </c>
      <c r="S5535" s="2" t="s">
        <v>865</v>
      </c>
      <c r="T5535" s="2">
        <v>1.56</v>
      </c>
      <c r="U5535" s="2">
        <v>68</v>
      </c>
      <c r="V5535" s="2">
        <v>62</v>
      </c>
      <c r="W5535" s="2" t="s">
        <v>7862</v>
      </c>
      <c r="X5535" s="2" t="s">
        <v>2897</v>
      </c>
      <c r="Y5535" s="2">
        <v>1564</v>
      </c>
      <c r="Z5535" s="19" t="str">
        <f>HYPERLINK("https://ssdweb.co/ssdweb/hd/Vision360.html?d=926060001&amp;zoomslide=1&amp;z=1926060001&amp;ISCONFIRM=0","VIDEO")</f>
        <v>VIDEO</v>
      </c>
      <c r="AA5535" s="19" t="str">
        <f>HYPERLINK("https://ssdweb.co/ssdweb/CERTH/629478915.pdf","CERTI")</f>
        <v>CERTI</v>
      </c>
    </row>
    <row r="5536" spans="1:27" ht="15" x14ac:dyDescent="0.25">
      <c r="A5536" s="2">
        <v>5531</v>
      </c>
      <c r="B5536" s="39">
        <v>925040318</v>
      </c>
      <c r="C5536" s="28" t="str">
        <f>HYPERLINK("https://pld.live/RapDetail.aspx?STONELIST=925040318","DNA")</f>
        <v>DNA</v>
      </c>
      <c r="D5536" s="18" t="s">
        <v>2990</v>
      </c>
      <c r="E5536" s="18" t="s">
        <v>5128</v>
      </c>
      <c r="F5536" s="2" t="s">
        <v>7987</v>
      </c>
      <c r="G5536" s="2" t="s">
        <v>7322</v>
      </c>
      <c r="H5536" s="14">
        <v>0.91</v>
      </c>
      <c r="I5536" s="2" t="s">
        <v>267</v>
      </c>
      <c r="J5536" s="2" t="s">
        <v>3942</v>
      </c>
      <c r="K5536" s="2" t="s">
        <v>1452</v>
      </c>
      <c r="L5536" s="2" t="s">
        <v>5221</v>
      </c>
      <c r="M5536" s="2" t="s">
        <v>5221</v>
      </c>
      <c r="N5536" s="2" t="s">
        <v>2317</v>
      </c>
      <c r="O5536" s="14">
        <v>5600</v>
      </c>
      <c r="P5536" s="14">
        <v>98.02</v>
      </c>
      <c r="Q5536" s="14">
        <v>110.88</v>
      </c>
      <c r="R5536" s="14">
        <v>100.9</v>
      </c>
      <c r="S5536" s="2" t="s">
        <v>1903</v>
      </c>
      <c r="T5536" s="2">
        <v>1.35</v>
      </c>
      <c r="U5536" s="2">
        <v>67.2</v>
      </c>
      <c r="V5536" s="2">
        <v>59</v>
      </c>
      <c r="W5536" s="2" t="s">
        <v>7862</v>
      </c>
      <c r="X5536" s="2" t="s">
        <v>2897</v>
      </c>
      <c r="Y5536" s="2">
        <v>5096</v>
      </c>
      <c r="Z5536" s="19" t="str">
        <f>HYPERLINK("https://ssdweb.co/ssdweb/hd/Vision360.html?d=925040318&amp;zoomslide=1&amp;z=1925040318&amp;ISCONFIRM=0","VIDEO")</f>
        <v>VIDEO</v>
      </c>
      <c r="AA5536" s="19" t="str">
        <f>HYPERLINK("https://ssdweb.co/ssdweb/CERTH/613355428.pdf","CERTI")</f>
        <v>CERTI</v>
      </c>
    </row>
    <row r="5537" spans="1:27" ht="15" x14ac:dyDescent="0.25">
      <c r="A5537" s="2">
        <v>5532</v>
      </c>
      <c r="B5537" s="39">
        <v>925900448</v>
      </c>
      <c r="C5537" s="28" t="str">
        <f>HYPERLINK("https://pld.live/RapDetail.aspx?STONELIST=925900448","DNA")</f>
        <v>DNA</v>
      </c>
      <c r="D5537" s="18" t="s">
        <v>2990</v>
      </c>
      <c r="E5537" s="18" t="s">
        <v>5128</v>
      </c>
      <c r="F5537" s="2" t="s">
        <v>5597</v>
      </c>
      <c r="G5537" s="2" t="s">
        <v>7322</v>
      </c>
      <c r="H5537" s="14">
        <v>0.91</v>
      </c>
      <c r="I5537" s="2" t="s">
        <v>267</v>
      </c>
      <c r="J5537" s="2" t="s">
        <v>3942</v>
      </c>
      <c r="K5537" s="2" t="s">
        <v>1452</v>
      </c>
      <c r="L5537" s="2" t="s">
        <v>5221</v>
      </c>
      <c r="M5537" s="2" t="s">
        <v>5721</v>
      </c>
      <c r="N5537" s="2" t="s">
        <v>2317</v>
      </c>
      <c r="O5537" s="14">
        <v>5600</v>
      </c>
      <c r="P5537" s="14">
        <v>96.21</v>
      </c>
      <c r="Q5537" s="14">
        <v>212.24</v>
      </c>
      <c r="R5537" s="14">
        <v>193.14</v>
      </c>
      <c r="S5537" s="2" t="s">
        <v>7259</v>
      </c>
      <c r="T5537" s="2">
        <v>1.4</v>
      </c>
      <c r="U5537" s="2">
        <v>67.400000000000006</v>
      </c>
      <c r="V5537" s="2">
        <v>65</v>
      </c>
      <c r="W5537" s="2" t="s">
        <v>7862</v>
      </c>
      <c r="X5537" s="2" t="s">
        <v>2897</v>
      </c>
      <c r="Y5537" s="2">
        <v>5096</v>
      </c>
      <c r="Z5537" s="19" t="str">
        <f>HYPERLINK("https://ssdweb.co/ssdweb/hd/Vision360.html?d=925900448&amp;zoomslide=1&amp;z=1925900448&amp;ISCONFIRM=0","VIDEO")</f>
        <v>VIDEO</v>
      </c>
      <c r="AA5537" s="19" t="str">
        <f>HYPERLINK("https://ssdweb.co/ssdweb/CERTH/7483994876.pdf","CERTI")</f>
        <v>CERTI</v>
      </c>
    </row>
    <row r="5538" spans="1:27" ht="15" x14ac:dyDescent="0.25">
      <c r="A5538" s="2">
        <v>5533</v>
      </c>
      <c r="B5538" s="39">
        <v>924580407</v>
      </c>
      <c r="C5538" s="28" t="str">
        <f>HYPERLINK("https://pld.live/RapDetail.aspx?STONELIST=924580407","DNA")</f>
        <v>DNA</v>
      </c>
      <c r="D5538" s="18" t="s">
        <v>2990</v>
      </c>
      <c r="E5538" s="18" t="s">
        <v>5128</v>
      </c>
      <c r="F5538" s="2" t="s">
        <v>5597</v>
      </c>
      <c r="G5538" s="2" t="s">
        <v>7322</v>
      </c>
      <c r="H5538" s="14">
        <v>0.91</v>
      </c>
      <c r="I5538" s="2" t="s">
        <v>267</v>
      </c>
      <c r="J5538" s="2" t="s">
        <v>3942</v>
      </c>
      <c r="K5538" s="2" t="s">
        <v>1452</v>
      </c>
      <c r="L5538" s="2" t="s">
        <v>5221</v>
      </c>
      <c r="M5538" s="2" t="s">
        <v>5721</v>
      </c>
      <c r="N5538" s="2" t="s">
        <v>2317</v>
      </c>
      <c r="O5538" s="14">
        <v>5600</v>
      </c>
      <c r="P5538" s="14">
        <v>96.21</v>
      </c>
      <c r="Q5538" s="14">
        <v>212.24</v>
      </c>
      <c r="R5538" s="14">
        <v>193.14</v>
      </c>
      <c r="S5538" s="2" t="s">
        <v>950</v>
      </c>
      <c r="T5538" s="2">
        <v>1.36</v>
      </c>
      <c r="U5538" s="2">
        <v>68.3</v>
      </c>
      <c r="V5538" s="2">
        <v>63</v>
      </c>
      <c r="W5538" s="2" t="s">
        <v>7862</v>
      </c>
      <c r="X5538" s="2" t="s">
        <v>2897</v>
      </c>
      <c r="Y5538" s="2">
        <v>5096</v>
      </c>
      <c r="Z5538" s="19" t="str">
        <f>HYPERLINK("https://ssdweb.co/ssdweb/hd/Vision360.html?d=924580407&amp;zoomslide=1&amp;z=1924580407&amp;ISCONFIRM=0","VIDEO")</f>
        <v>VIDEO</v>
      </c>
      <c r="AA5538" s="19" t="str">
        <f>HYPERLINK("https://ssdweb.co/ssdweb/CERTH/7471835012.pdf","CERTI")</f>
        <v>CERTI</v>
      </c>
    </row>
    <row r="5539" spans="1:27" ht="15" x14ac:dyDescent="0.25">
      <c r="A5539" s="2">
        <v>5534</v>
      </c>
      <c r="B5539" s="39">
        <v>925110465</v>
      </c>
      <c r="C5539" s="28" t="str">
        <f>HYPERLINK("https://pld.live/RapDetail.aspx?STONELIST=925110465","DNA")</f>
        <v>DNA</v>
      </c>
      <c r="D5539" s="18" t="s">
        <v>2990</v>
      </c>
      <c r="E5539" s="18" t="s">
        <v>5128</v>
      </c>
      <c r="F5539" s="2" t="s">
        <v>7987</v>
      </c>
      <c r="G5539" s="2" t="s">
        <v>7322</v>
      </c>
      <c r="H5539" s="14">
        <v>0.91</v>
      </c>
      <c r="I5539" s="2" t="s">
        <v>267</v>
      </c>
      <c r="J5539" s="2" t="s">
        <v>13</v>
      </c>
      <c r="K5539" s="2" t="s">
        <v>1452</v>
      </c>
      <c r="L5539" s="2" t="s">
        <v>5221</v>
      </c>
      <c r="M5539" s="2" t="s">
        <v>5221</v>
      </c>
      <c r="N5539" s="2" t="s">
        <v>2317</v>
      </c>
      <c r="O5539" s="14">
        <v>5200</v>
      </c>
      <c r="P5539" s="14">
        <v>97.88</v>
      </c>
      <c r="Q5539" s="14">
        <v>110.24</v>
      </c>
      <c r="R5539" s="14">
        <v>100.32</v>
      </c>
      <c r="S5539" s="2" t="s">
        <v>4582</v>
      </c>
      <c r="T5539" s="2">
        <v>1.39</v>
      </c>
      <c r="U5539" s="2">
        <v>64.599999999999994</v>
      </c>
      <c r="V5539" s="2">
        <v>60</v>
      </c>
      <c r="W5539" s="2" t="s">
        <v>7862</v>
      </c>
      <c r="X5539" s="2" t="s">
        <v>2897</v>
      </c>
      <c r="Y5539" s="2">
        <v>4732</v>
      </c>
      <c r="Z5539" s="19" t="str">
        <f>HYPERLINK("https://ssdweb.co/ssdweb/hd/Vision360.html?d=925110465&amp;zoomslide=1&amp;z=1925110465&amp;ISCONFIRM=0","VIDEO")</f>
        <v>VIDEO</v>
      </c>
      <c r="AA5539" s="19" t="str">
        <f>HYPERLINK("https://ssdweb.co/ssdweb/CERTH/617426283.pdf","CERTI")</f>
        <v>CERTI</v>
      </c>
    </row>
    <row r="5540" spans="1:27" ht="15" x14ac:dyDescent="0.25">
      <c r="A5540" s="2">
        <v>5535</v>
      </c>
      <c r="B5540" s="39">
        <v>925830515</v>
      </c>
      <c r="C5540" s="28" t="str">
        <f>HYPERLINK("https://pld.live/RapDetail.aspx?STONELIST=925830515","DNA")</f>
        <v>DNA</v>
      </c>
      <c r="D5540" s="18" t="s">
        <v>2990</v>
      </c>
      <c r="E5540" s="18" t="s">
        <v>5128</v>
      </c>
      <c r="F5540" s="2" t="s">
        <v>7987</v>
      </c>
      <c r="G5540" s="2" t="s">
        <v>7322</v>
      </c>
      <c r="H5540" s="14">
        <v>0.91</v>
      </c>
      <c r="I5540" s="2" t="s">
        <v>4761</v>
      </c>
      <c r="J5540" s="2" t="s">
        <v>3942</v>
      </c>
      <c r="K5540" s="2" t="s">
        <v>1452</v>
      </c>
      <c r="L5540" s="2" t="s">
        <v>5221</v>
      </c>
      <c r="M5540" s="2" t="s">
        <v>5221</v>
      </c>
      <c r="N5540" s="2" t="s">
        <v>2317</v>
      </c>
      <c r="O5540" s="14">
        <v>5200</v>
      </c>
      <c r="P5540" s="14">
        <v>97.88</v>
      </c>
      <c r="Q5540" s="14">
        <v>110.24</v>
      </c>
      <c r="R5540" s="14">
        <v>100.32</v>
      </c>
      <c r="S5540" s="2" t="s">
        <v>4438</v>
      </c>
      <c r="T5540" s="2">
        <v>1.47</v>
      </c>
      <c r="U5540" s="2">
        <v>66.400000000000006</v>
      </c>
      <c r="V5540" s="2">
        <v>61</v>
      </c>
      <c r="W5540" s="2" t="s">
        <v>7862</v>
      </c>
      <c r="X5540" s="2" t="s">
        <v>2897</v>
      </c>
      <c r="Y5540" s="2">
        <v>4732</v>
      </c>
      <c r="Z5540" s="19" t="str">
        <f>HYPERLINK("https://ssdweb.co/ssdweb/hd/Vision360.html?d=925830515&amp;zoomslide=1&amp;z=1925830515&amp;ISCONFIRM=0","VIDEO")</f>
        <v>VIDEO</v>
      </c>
      <c r="AA5540" s="19" t="str">
        <f>HYPERLINK("https://ssdweb.co/ssdweb/CERTH/626427367.pdf","CERTI")</f>
        <v>CERTI</v>
      </c>
    </row>
    <row r="5541" spans="1:27" ht="15" x14ac:dyDescent="0.25">
      <c r="A5541" s="2">
        <v>5536</v>
      </c>
      <c r="B5541" s="39">
        <v>926210750</v>
      </c>
      <c r="C5541" s="28" t="str">
        <f>HYPERLINK("https://pld.live/RapDetail.aspx?STONELIST=926210750","DNA")</f>
        <v>DNA</v>
      </c>
      <c r="D5541" s="18" t="s">
        <v>2990</v>
      </c>
      <c r="E5541" s="18" t="s">
        <v>5128</v>
      </c>
      <c r="F5541" s="2" t="s">
        <v>7987</v>
      </c>
      <c r="G5541" s="2" t="s">
        <v>7322</v>
      </c>
      <c r="H5541" s="14">
        <v>0.91</v>
      </c>
      <c r="I5541" s="2" t="s">
        <v>4761</v>
      </c>
      <c r="J5541" s="2" t="s">
        <v>3942</v>
      </c>
      <c r="K5541" s="2" t="s">
        <v>1452</v>
      </c>
      <c r="L5541" s="2" t="s">
        <v>5221</v>
      </c>
      <c r="M5541" s="2" t="s">
        <v>5221</v>
      </c>
      <c r="N5541" s="2" t="s">
        <v>2317</v>
      </c>
      <c r="O5541" s="14">
        <v>5200</v>
      </c>
      <c r="P5541" s="14">
        <v>97.85</v>
      </c>
      <c r="Q5541" s="14">
        <v>111.8</v>
      </c>
      <c r="R5541" s="14">
        <v>101.74</v>
      </c>
      <c r="S5541" s="2" t="s">
        <v>7612</v>
      </c>
      <c r="T5541" s="2">
        <v>1.4</v>
      </c>
      <c r="U5541" s="2">
        <v>67.400000000000006</v>
      </c>
      <c r="V5541" s="2">
        <v>67</v>
      </c>
      <c r="W5541" s="2" t="s">
        <v>7862</v>
      </c>
      <c r="X5541" s="2" t="s">
        <v>2897</v>
      </c>
      <c r="Y5541" s="2">
        <v>4732</v>
      </c>
      <c r="Z5541" s="19" t="str">
        <f>HYPERLINK("https://ssdweb.co/ssdweb/hd/Vision360.html?d=926210750&amp;zoomslide=1&amp;z=1926210750&amp;ISCONFIRM=0","VIDEO")</f>
        <v>VIDEO</v>
      </c>
      <c r="AA5541" s="19" t="str">
        <f>HYPERLINK("https://ssdweb.co/ssdweb/CERTH/635427042.pdf","CERTI")</f>
        <v>CERTI</v>
      </c>
    </row>
    <row r="5542" spans="1:27" ht="15" x14ac:dyDescent="0.25">
      <c r="A5542" s="2">
        <v>5537</v>
      </c>
      <c r="B5542" s="39">
        <v>926250460</v>
      </c>
      <c r="C5542" s="28" t="str">
        <f>HYPERLINK("https://pld.live/RapDetail.aspx?STONELIST=926250460","DNA")</f>
        <v>DNA</v>
      </c>
      <c r="D5542" s="18" t="s">
        <v>2990</v>
      </c>
      <c r="E5542" s="18" t="s">
        <v>5128</v>
      </c>
      <c r="F5542" s="2" t="s">
        <v>7987</v>
      </c>
      <c r="G5542" s="2" t="s">
        <v>7322</v>
      </c>
      <c r="H5542" s="14">
        <v>0.91</v>
      </c>
      <c r="I5542" s="2" t="s">
        <v>4761</v>
      </c>
      <c r="J5542" s="2" t="s">
        <v>3942</v>
      </c>
      <c r="K5542" s="2" t="s">
        <v>1452</v>
      </c>
      <c r="L5542" s="2" t="s">
        <v>5221</v>
      </c>
      <c r="M5542" s="2" t="s">
        <v>5221</v>
      </c>
      <c r="N5542" s="2" t="s">
        <v>2317</v>
      </c>
      <c r="O5542" s="14">
        <v>5200</v>
      </c>
      <c r="P5542" s="14">
        <v>97.85</v>
      </c>
      <c r="Q5542" s="14">
        <v>111.8</v>
      </c>
      <c r="R5542" s="14">
        <v>101.74</v>
      </c>
      <c r="S5542" s="2" t="s">
        <v>1788</v>
      </c>
      <c r="T5542" s="2">
        <v>1.37</v>
      </c>
      <c r="U5542" s="2">
        <v>67.599999999999994</v>
      </c>
      <c r="V5542" s="2">
        <v>68</v>
      </c>
      <c r="W5542" s="2" t="s">
        <v>7862</v>
      </c>
      <c r="X5542" s="2" t="s">
        <v>2897</v>
      </c>
      <c r="Y5542" s="2">
        <v>4732</v>
      </c>
      <c r="Z5542" s="19" t="str">
        <f>HYPERLINK("https://ssdweb.co/ssdweb/hd/Vision360.html?d=926250460&amp;zoomslide=1&amp;z=1926250460&amp;ISCONFIRM=0","VIDEO")</f>
        <v>VIDEO</v>
      </c>
      <c r="AA5542" s="19" t="str">
        <f>HYPERLINK("https://ssdweb.co/ssdweb/CERTH/638463042.pdf","CERTI")</f>
        <v>CERTI</v>
      </c>
    </row>
    <row r="5543" spans="1:27" ht="15" x14ac:dyDescent="0.25">
      <c r="A5543" s="2">
        <v>5538</v>
      </c>
      <c r="B5543" s="39">
        <v>926220649</v>
      </c>
      <c r="C5543" s="28" t="str">
        <f>HYPERLINK("https://pld.live/RapDetail.aspx?STONELIST=926220649","DNA")</f>
        <v>DNA</v>
      </c>
      <c r="D5543" s="18" t="s">
        <v>2990</v>
      </c>
      <c r="E5543" s="18" t="s">
        <v>5128</v>
      </c>
      <c r="F5543" s="2" t="s">
        <v>7987</v>
      </c>
      <c r="G5543" s="2" t="s">
        <v>7322</v>
      </c>
      <c r="H5543" s="14">
        <v>0.91</v>
      </c>
      <c r="I5543" s="2" t="s">
        <v>4761</v>
      </c>
      <c r="J5543" s="2" t="s">
        <v>3942</v>
      </c>
      <c r="K5543" s="2" t="s">
        <v>1452</v>
      </c>
      <c r="L5543" s="2" t="s">
        <v>5221</v>
      </c>
      <c r="M5543" s="2" t="s">
        <v>5221</v>
      </c>
      <c r="N5543" s="2" t="s">
        <v>2317</v>
      </c>
      <c r="O5543" s="14">
        <v>5200</v>
      </c>
      <c r="P5543" s="14">
        <v>97.85</v>
      </c>
      <c r="Q5543" s="14">
        <v>111.8</v>
      </c>
      <c r="R5543" s="14">
        <v>101.74</v>
      </c>
      <c r="S5543" s="2" t="s">
        <v>2003</v>
      </c>
      <c r="T5543" s="2">
        <v>1.37</v>
      </c>
      <c r="U5543" s="2">
        <v>66.900000000000006</v>
      </c>
      <c r="V5543" s="2">
        <v>61</v>
      </c>
      <c r="W5543" s="2" t="s">
        <v>7862</v>
      </c>
      <c r="X5543" s="2" t="s">
        <v>2897</v>
      </c>
      <c r="Y5543" s="2">
        <v>4732</v>
      </c>
      <c r="Z5543" s="19" t="str">
        <f>HYPERLINK("https://ssdweb.co/ssdweb/hd/Vision360.html?d=926220649&amp;zoomslide=1&amp;z=1926220649&amp;ISCONFIRM=0","VIDEO")</f>
        <v>VIDEO</v>
      </c>
      <c r="AA5543" s="19" t="str">
        <f>HYPERLINK("https://ssdweb.co/ssdweb/CERTH/635423842.pdf","CERTI")</f>
        <v>CERTI</v>
      </c>
    </row>
    <row r="5544" spans="1:27" ht="15" x14ac:dyDescent="0.25">
      <c r="A5544" s="2">
        <v>5539</v>
      </c>
      <c r="B5544" s="39">
        <v>926250484</v>
      </c>
      <c r="C5544" s="28" t="str">
        <f>HYPERLINK("https://pld.live/RapDetail.aspx?STONELIST=926250484","DNA")</f>
        <v>DNA</v>
      </c>
      <c r="D5544" s="18" t="s">
        <v>2990</v>
      </c>
      <c r="E5544" s="18" t="s">
        <v>5128</v>
      </c>
      <c r="F5544" s="2" t="s">
        <v>7987</v>
      </c>
      <c r="G5544" s="2" t="s">
        <v>7322</v>
      </c>
      <c r="H5544" s="14">
        <v>0.91</v>
      </c>
      <c r="I5544" s="2" t="s">
        <v>4761</v>
      </c>
      <c r="J5544" s="2" t="s">
        <v>3942</v>
      </c>
      <c r="K5544" s="2" t="s">
        <v>1452</v>
      </c>
      <c r="L5544" s="2" t="s">
        <v>5221</v>
      </c>
      <c r="M5544" s="2" t="s">
        <v>5221</v>
      </c>
      <c r="N5544" s="2" t="s">
        <v>2317</v>
      </c>
      <c r="O5544" s="14">
        <v>5200</v>
      </c>
      <c r="P5544" s="14">
        <v>97.85</v>
      </c>
      <c r="Q5544" s="14">
        <v>111.8</v>
      </c>
      <c r="R5544" s="14">
        <v>101.74</v>
      </c>
      <c r="S5544" s="2" t="s">
        <v>7707</v>
      </c>
      <c r="T5544" s="2">
        <v>1.46</v>
      </c>
      <c r="U5544" s="2">
        <v>63.2</v>
      </c>
      <c r="V5544" s="2">
        <v>67</v>
      </c>
      <c r="W5544" s="2" t="s">
        <v>7862</v>
      </c>
      <c r="X5544" s="2" t="s">
        <v>2897</v>
      </c>
      <c r="Y5544" s="2">
        <v>4732</v>
      </c>
      <c r="Z5544" s="19" t="str">
        <f>HYPERLINK("https://ssdweb.co/ssdweb/hd/Vision360.html?d=926250484&amp;zoomslide=1&amp;z=1926250484&amp;ISCONFIRM=0","VIDEO")</f>
        <v>VIDEO</v>
      </c>
      <c r="AA5544" s="19" t="str">
        <f>HYPERLINK("https://ssdweb.co/ssdweb/CERTH/639405989.pdf","CERTI")</f>
        <v>CERTI</v>
      </c>
    </row>
    <row r="5545" spans="1:27" ht="15" x14ac:dyDescent="0.25">
      <c r="A5545" s="2">
        <v>5540</v>
      </c>
      <c r="B5545" s="39">
        <v>926310643</v>
      </c>
      <c r="C5545" s="28" t="str">
        <f>HYPERLINK("https://pld.live/RapDetail.aspx?STONELIST=926310643","DNA")</f>
        <v>DNA</v>
      </c>
      <c r="D5545" s="18" t="s">
        <v>2990</v>
      </c>
      <c r="E5545" s="18" t="s">
        <v>5128</v>
      </c>
      <c r="F5545" s="2" t="s">
        <v>7987</v>
      </c>
      <c r="G5545" s="2" t="s">
        <v>7322</v>
      </c>
      <c r="H5545" s="14">
        <v>0.91</v>
      </c>
      <c r="I5545" s="2" t="s">
        <v>4761</v>
      </c>
      <c r="J5545" s="2" t="s">
        <v>3942</v>
      </c>
      <c r="K5545" s="2" t="s">
        <v>1452</v>
      </c>
      <c r="L5545" s="2" t="s">
        <v>5221</v>
      </c>
      <c r="M5545" s="2" t="s">
        <v>5221</v>
      </c>
      <c r="N5545" s="2" t="s">
        <v>2317</v>
      </c>
      <c r="O5545" s="14">
        <v>5200</v>
      </c>
      <c r="P5545" s="14">
        <v>97.85</v>
      </c>
      <c r="Q5545" s="14">
        <v>111.8</v>
      </c>
      <c r="R5545" s="14">
        <v>101.74</v>
      </c>
      <c r="S5545" s="2" t="s">
        <v>1211</v>
      </c>
      <c r="T5545" s="2">
        <v>1.36</v>
      </c>
      <c r="U5545" s="2">
        <v>66.099999999999994</v>
      </c>
      <c r="V5545" s="2">
        <v>67</v>
      </c>
      <c r="W5545" s="2" t="s">
        <v>7862</v>
      </c>
      <c r="X5545" s="2" t="s">
        <v>2897</v>
      </c>
      <c r="Y5545" s="2">
        <v>4732</v>
      </c>
      <c r="Z5545" s="19" t="str">
        <f>HYPERLINK("https://ssdweb.co/ssdweb/hd/Vision360.html?d=926310643&amp;zoomslide=1&amp;z=1926310643&amp;ISCONFIRM=0","VIDEO")</f>
        <v>VIDEO</v>
      </c>
      <c r="AA5545" s="19" t="str">
        <f>HYPERLINK("https://ssdweb.co/ssdweb/CERTH/639406050.pdf","CERTI")</f>
        <v>CERTI</v>
      </c>
    </row>
    <row r="5546" spans="1:27" ht="15" x14ac:dyDescent="0.25">
      <c r="A5546" s="2">
        <v>5541</v>
      </c>
      <c r="B5546" s="39">
        <v>925040299</v>
      </c>
      <c r="C5546" s="28" t="str">
        <f>HYPERLINK("https://pld.live/RapDetail.aspx?STONELIST=925040299","DNA")</f>
        <v>DNA</v>
      </c>
      <c r="D5546" s="18" t="s">
        <v>2990</v>
      </c>
      <c r="E5546" s="18" t="s">
        <v>5128</v>
      </c>
      <c r="F5546" s="2" t="s">
        <v>7987</v>
      </c>
      <c r="G5546" s="2" t="s">
        <v>7322</v>
      </c>
      <c r="H5546" s="14">
        <v>0.91</v>
      </c>
      <c r="I5546" s="2" t="s">
        <v>4761</v>
      </c>
      <c r="J5546" s="2" t="s">
        <v>13</v>
      </c>
      <c r="K5546" s="2" t="s">
        <v>1452</v>
      </c>
      <c r="L5546" s="2" t="s">
        <v>5221</v>
      </c>
      <c r="M5546" s="2" t="s">
        <v>5221</v>
      </c>
      <c r="N5546" s="2" t="s">
        <v>2317</v>
      </c>
      <c r="O5546" s="14">
        <v>4900</v>
      </c>
      <c r="P5546" s="14">
        <v>97.82</v>
      </c>
      <c r="Q5546" s="14">
        <v>106.82</v>
      </c>
      <c r="R5546" s="14">
        <v>97.21</v>
      </c>
      <c r="S5546" s="2" t="s">
        <v>2140</v>
      </c>
      <c r="T5546" s="2">
        <v>1.42</v>
      </c>
      <c r="U5546" s="2">
        <v>66.5</v>
      </c>
      <c r="V5546" s="2">
        <v>63</v>
      </c>
      <c r="W5546" s="2" t="s">
        <v>7862</v>
      </c>
      <c r="X5546" s="2" t="s">
        <v>2897</v>
      </c>
      <c r="Y5546" s="2">
        <v>4459</v>
      </c>
      <c r="Z5546" s="19" t="str">
        <f>HYPERLINK("https://ssdweb.co/ssdweb/hd/Vision360.html?d=925040299&amp;zoomslide=1&amp;z=1925040299&amp;ISCONFIRM=0","VIDEO")</f>
        <v>VIDEO</v>
      </c>
      <c r="AA5546" s="19" t="str">
        <f>HYPERLINK("https://ssdweb.co/ssdweb/CERTH/611396898.pdf","CERTI")</f>
        <v>CERTI</v>
      </c>
    </row>
    <row r="5547" spans="1:27" ht="15" x14ac:dyDescent="0.25">
      <c r="A5547" s="2">
        <v>5542</v>
      </c>
      <c r="B5547" s="39">
        <v>925040337</v>
      </c>
      <c r="C5547" s="28" t="str">
        <f>HYPERLINK("https://pld.live/RapDetail.aspx?STONELIST=925040337","DNA")</f>
        <v>DNA</v>
      </c>
      <c r="D5547" s="18" t="s">
        <v>2990</v>
      </c>
      <c r="E5547" s="18" t="s">
        <v>5128</v>
      </c>
      <c r="F5547" s="2" t="s">
        <v>7987</v>
      </c>
      <c r="G5547" s="2" t="s">
        <v>7322</v>
      </c>
      <c r="H5547" s="14">
        <v>0.91</v>
      </c>
      <c r="I5547" s="2" t="s">
        <v>4699</v>
      </c>
      <c r="J5547" s="2" t="s">
        <v>3942</v>
      </c>
      <c r="K5547" s="2" t="s">
        <v>1452</v>
      </c>
      <c r="L5547" s="2" t="s">
        <v>5221</v>
      </c>
      <c r="M5547" s="2" t="s">
        <v>5221</v>
      </c>
      <c r="N5547" s="2" t="s">
        <v>2317</v>
      </c>
      <c r="O5547" s="14">
        <v>4900</v>
      </c>
      <c r="P5547" s="14">
        <v>97.82</v>
      </c>
      <c r="Q5547" s="14">
        <v>106.82</v>
      </c>
      <c r="R5547" s="14">
        <v>97.21</v>
      </c>
      <c r="S5547" s="2" t="s">
        <v>5531</v>
      </c>
      <c r="T5547" s="2">
        <v>1.38</v>
      </c>
      <c r="U5547" s="2">
        <v>66.2</v>
      </c>
      <c r="V5547" s="2">
        <v>66</v>
      </c>
      <c r="W5547" s="2" t="s">
        <v>7862</v>
      </c>
      <c r="X5547" s="2" t="s">
        <v>2897</v>
      </c>
      <c r="Y5547" s="2">
        <v>4459</v>
      </c>
      <c r="Z5547" s="19" t="str">
        <f>HYPERLINK("https://ssdweb.co/ssdweb/hd/Vision360.html?d=925040337&amp;zoomslide=1&amp;z=1925040337&amp;ISCONFIRM=0","VIDEO")</f>
        <v>VIDEO</v>
      </c>
      <c r="AA5547" s="19" t="str">
        <f>HYPERLINK("https://ssdweb.co/ssdweb/CERTH/614319340.pdf","CERTI")</f>
        <v>CERTI</v>
      </c>
    </row>
    <row r="5548" spans="1:27" ht="15" x14ac:dyDescent="0.25">
      <c r="A5548" s="2">
        <v>5543</v>
      </c>
      <c r="B5548" s="39">
        <v>924150430</v>
      </c>
      <c r="C5548" s="28" t="str">
        <f>HYPERLINK("https://pld.live/RapDetail.aspx?STONELIST=924150430","DNA")</f>
        <v>DNA</v>
      </c>
      <c r="D5548" s="18" t="s">
        <v>2990</v>
      </c>
      <c r="E5548" s="18" t="s">
        <v>2186</v>
      </c>
      <c r="F5548" s="2" t="s">
        <v>7987</v>
      </c>
      <c r="G5548" s="2" t="s">
        <v>7322</v>
      </c>
      <c r="H5548" s="14">
        <v>0.91</v>
      </c>
      <c r="I5548" s="2" t="s">
        <v>6587</v>
      </c>
      <c r="J5548" s="2" t="s">
        <v>13</v>
      </c>
      <c r="K5548" s="2" t="s">
        <v>1452</v>
      </c>
      <c r="L5548" s="2" t="s">
        <v>5221</v>
      </c>
      <c r="M5548" s="2" t="s">
        <v>5221</v>
      </c>
      <c r="N5548" s="2" t="s">
        <v>2317</v>
      </c>
      <c r="O5548" s="14">
        <v>4300</v>
      </c>
      <c r="P5548" s="14">
        <v>97.7</v>
      </c>
      <c r="Q5548" s="14">
        <v>98.9</v>
      </c>
      <c r="R5548" s="14">
        <v>90</v>
      </c>
      <c r="S5548" s="2" t="s">
        <v>7540</v>
      </c>
      <c r="T5548" s="2">
        <v>1.57</v>
      </c>
      <c r="U5548" s="2">
        <v>66.099999999999994</v>
      </c>
      <c r="V5548" s="2">
        <v>67</v>
      </c>
      <c r="W5548" s="2" t="s">
        <v>8016</v>
      </c>
      <c r="X5548" s="2" t="s">
        <v>2897</v>
      </c>
      <c r="Y5548" s="2">
        <v>3913</v>
      </c>
      <c r="Z5548" s="19" t="str">
        <f>HYPERLINK("https://ssdweb.co/ssdweb/hd/Vision360.html?d=924150430&amp;zoomslide=1&amp;z=1924150430&amp;ISCONFIRM=0","VIDEO")</f>
        <v>VIDEO</v>
      </c>
      <c r="AA5548" s="19" t="str">
        <f>HYPERLINK("https://ssdweb.co/ssdweb/CERTH/577362424.pdf","CERTI")</f>
        <v>CERTI</v>
      </c>
    </row>
    <row r="5549" spans="1:27" ht="15" x14ac:dyDescent="0.25">
      <c r="A5549" s="2">
        <v>5544</v>
      </c>
      <c r="B5549" s="39">
        <v>924780422</v>
      </c>
      <c r="C5549" s="28" t="str">
        <f>HYPERLINK("https://pld.live/RapDetail.aspx?STONELIST=924780422","DNA")</f>
        <v>DNA</v>
      </c>
      <c r="D5549" s="18" t="s">
        <v>2990</v>
      </c>
      <c r="E5549" s="18" t="s">
        <v>2186</v>
      </c>
      <c r="F5549" s="2" t="s">
        <v>7987</v>
      </c>
      <c r="G5549" s="2" t="s">
        <v>7322</v>
      </c>
      <c r="H5549" s="14">
        <v>0.91</v>
      </c>
      <c r="I5549" s="2" t="s">
        <v>6587</v>
      </c>
      <c r="J5549" s="2" t="s">
        <v>5144</v>
      </c>
      <c r="K5549" s="2" t="s">
        <v>1452</v>
      </c>
      <c r="L5549" s="2" t="s">
        <v>5221</v>
      </c>
      <c r="M5549" s="2" t="s">
        <v>5221</v>
      </c>
      <c r="N5549" s="2" t="s">
        <v>2317</v>
      </c>
      <c r="O5549" s="14">
        <v>3800</v>
      </c>
      <c r="P5549" s="14">
        <v>97.45</v>
      </c>
      <c r="Q5549" s="14">
        <v>96.9</v>
      </c>
      <c r="R5549" s="14">
        <v>88.18</v>
      </c>
      <c r="S5549" s="2" t="s">
        <v>5050</v>
      </c>
      <c r="T5549" s="2">
        <v>1.49</v>
      </c>
      <c r="U5549" s="2">
        <v>65.3</v>
      </c>
      <c r="V5549" s="2">
        <v>61</v>
      </c>
      <c r="W5549" s="2" t="s">
        <v>7862</v>
      </c>
      <c r="X5549" s="2" t="s">
        <v>2897</v>
      </c>
      <c r="Y5549" s="2">
        <v>3458</v>
      </c>
      <c r="Z5549" s="19" t="str">
        <f>HYPERLINK("https://ssdweb.co/ssdweb/hd/Vision360.html?d=924780422&amp;zoomslide=1&amp;z=1924780422&amp;ISCONFIRM=0","VIDEO")</f>
        <v>VIDEO</v>
      </c>
      <c r="AA5549" s="19" t="str">
        <f>HYPERLINK("https://ssdweb.co/ssdweb/CERTH/604303880.pdf","CERTI")</f>
        <v>CERTI</v>
      </c>
    </row>
    <row r="5550" spans="1:27" ht="15" x14ac:dyDescent="0.25">
      <c r="A5550" s="2">
        <v>5545</v>
      </c>
      <c r="B5550" s="39">
        <v>924410904</v>
      </c>
      <c r="C5550" s="28" t="str">
        <f>HYPERLINK("https://pld.live/RapDetail.aspx?STONELIST=924410904","DNA")</f>
        <v>DNA</v>
      </c>
      <c r="D5550" s="18" t="s">
        <v>2990</v>
      </c>
      <c r="E5550" s="18" t="s">
        <v>2186</v>
      </c>
      <c r="F5550" s="2" t="s">
        <v>7987</v>
      </c>
      <c r="G5550" s="2" t="s">
        <v>7322</v>
      </c>
      <c r="H5550" s="14">
        <v>0.91</v>
      </c>
      <c r="I5550" s="2" t="s">
        <v>6587</v>
      </c>
      <c r="J5550" s="2" t="s">
        <v>5144</v>
      </c>
      <c r="K5550" s="2" t="s">
        <v>1452</v>
      </c>
      <c r="L5550" s="2" t="s">
        <v>5221</v>
      </c>
      <c r="M5550" s="2" t="s">
        <v>5221</v>
      </c>
      <c r="N5550" s="2" t="s">
        <v>2317</v>
      </c>
      <c r="O5550" s="14">
        <v>3800</v>
      </c>
      <c r="P5550" s="14">
        <v>97.45</v>
      </c>
      <c r="Q5550" s="14">
        <v>96.9</v>
      </c>
      <c r="R5550" s="14">
        <v>88.18</v>
      </c>
      <c r="S5550" s="2" t="s">
        <v>3970</v>
      </c>
      <c r="T5550" s="2">
        <v>1.56</v>
      </c>
      <c r="U5550" s="2">
        <v>63.3</v>
      </c>
      <c r="V5550" s="2">
        <v>58</v>
      </c>
      <c r="W5550" s="2" t="s">
        <v>7862</v>
      </c>
      <c r="X5550" s="2" t="s">
        <v>2897</v>
      </c>
      <c r="Y5550" s="2">
        <v>3458</v>
      </c>
      <c r="Z5550" s="19" t="str">
        <f>HYPERLINK("https://ssdweb.co/ssdweb/hd/Vision360.html?d=924410904&amp;zoomslide=1&amp;z=1924410904&amp;ISCONFIRM=0","VIDEO")</f>
        <v>VIDEO</v>
      </c>
      <c r="AA5550" s="19" t="str">
        <f>HYPERLINK("https://ssdweb.co/ssdweb/CERTH/600304554.pdf","CERTI")</f>
        <v>CERTI</v>
      </c>
    </row>
    <row r="5551" spans="1:27" ht="15" x14ac:dyDescent="0.25">
      <c r="A5551" s="2">
        <v>5546</v>
      </c>
      <c r="B5551" s="39">
        <v>924290586</v>
      </c>
      <c r="C5551" s="28" t="str">
        <f>HYPERLINK("https://pld.live/RapDetail.aspx?STONELIST=924290586","DNA")</f>
        <v>DNA</v>
      </c>
      <c r="D5551" s="18" t="s">
        <v>2990</v>
      </c>
      <c r="E5551" s="18" t="s">
        <v>2186</v>
      </c>
      <c r="F5551" s="2" t="s">
        <v>7987</v>
      </c>
      <c r="G5551" s="2" t="s">
        <v>7322</v>
      </c>
      <c r="H5551" s="14">
        <v>0.91</v>
      </c>
      <c r="I5551" s="2" t="s">
        <v>1505</v>
      </c>
      <c r="J5551" s="2" t="s">
        <v>5144</v>
      </c>
      <c r="K5551" s="2" t="s">
        <v>1452</v>
      </c>
      <c r="L5551" s="2" t="s">
        <v>5221</v>
      </c>
      <c r="M5551" s="2" t="s">
        <v>5221</v>
      </c>
      <c r="N5551" s="2" t="s">
        <v>2317</v>
      </c>
      <c r="O5551" s="14">
        <v>3500</v>
      </c>
      <c r="P5551" s="14">
        <v>97.31</v>
      </c>
      <c r="Q5551" s="14">
        <v>94.15</v>
      </c>
      <c r="R5551" s="14">
        <v>85.68</v>
      </c>
      <c r="S5551" s="2" t="s">
        <v>7811</v>
      </c>
      <c r="T5551" s="2">
        <v>1.56</v>
      </c>
      <c r="U5551" s="2">
        <v>66</v>
      </c>
      <c r="V5551" s="2">
        <v>68</v>
      </c>
      <c r="W5551" s="2" t="s">
        <v>7862</v>
      </c>
      <c r="X5551" s="2" t="s">
        <v>2897</v>
      </c>
      <c r="Y5551" s="2">
        <v>3185</v>
      </c>
      <c r="Z5551" s="19" t="str">
        <f>HYPERLINK("https://ssdweb.co/ssdweb/hd/Vision360.html?d=924290586&amp;zoomslide=1&amp;z=1924290586&amp;ISCONFIRM=0","VIDEO")</f>
        <v>VIDEO</v>
      </c>
      <c r="AA5551" s="19" t="str">
        <f>HYPERLINK("https://ssdweb.co/ssdweb/CERTH/592360638.pdf","CERTI")</f>
        <v>CERTI</v>
      </c>
    </row>
    <row r="5552" spans="1:27" ht="15" x14ac:dyDescent="0.25">
      <c r="A5552" s="2">
        <v>5547</v>
      </c>
      <c r="B5552" s="39">
        <v>926250443</v>
      </c>
      <c r="C5552" s="28" t="str">
        <f>HYPERLINK("https://pld.live/RapDetail.aspx?STONELIST=926250443","DNA")</f>
        <v>DNA</v>
      </c>
      <c r="D5552" s="18" t="s">
        <v>2990</v>
      </c>
      <c r="E5552" s="18" t="s">
        <v>5128</v>
      </c>
      <c r="F5552" s="2" t="s">
        <v>7987</v>
      </c>
      <c r="G5552" s="2" t="s">
        <v>7322</v>
      </c>
      <c r="H5552" s="14">
        <v>0.9</v>
      </c>
      <c r="I5552" s="2" t="s">
        <v>267</v>
      </c>
      <c r="J5552" s="2" t="s">
        <v>6555</v>
      </c>
      <c r="K5552" s="2" t="s">
        <v>1452</v>
      </c>
      <c r="L5552" s="2" t="s">
        <v>5721</v>
      </c>
      <c r="M5552" s="2" t="s">
        <v>5221</v>
      </c>
      <c r="N5552" s="2" t="s">
        <v>2317</v>
      </c>
      <c r="O5552" s="14">
        <v>6300</v>
      </c>
      <c r="P5552" s="14">
        <v>97.78</v>
      </c>
      <c r="Q5552" s="14">
        <v>139.86000000000001</v>
      </c>
      <c r="R5552" s="14">
        <v>125.87</v>
      </c>
      <c r="S5552" s="2" t="s">
        <v>2362</v>
      </c>
      <c r="T5552" s="2">
        <v>1.37</v>
      </c>
      <c r="U5552" s="2">
        <v>68</v>
      </c>
      <c r="V5552" s="2">
        <v>65</v>
      </c>
      <c r="W5552" s="2" t="s">
        <v>7862</v>
      </c>
      <c r="X5552" s="2" t="s">
        <v>2897</v>
      </c>
      <c r="Y5552" s="2">
        <v>5670</v>
      </c>
      <c r="Z5552" s="19" t="str">
        <f>HYPERLINK("https://ssdweb.co/ssdweb/hd/Vision360.html?d=926250443&amp;zoomslide=1&amp;z=1926250443&amp;ISCONFIRM=0","VIDEO")</f>
        <v>VIDEO</v>
      </c>
      <c r="AA5552" s="19" t="str">
        <f>HYPERLINK("https://ssdweb.co/ssdweb/CERTH/638462955.pdf","CERTI")</f>
        <v>CERTI</v>
      </c>
    </row>
    <row r="5553" spans="1:27" ht="15" x14ac:dyDescent="0.25">
      <c r="A5553" s="2">
        <v>5548</v>
      </c>
      <c r="B5553" s="39">
        <v>925030362</v>
      </c>
      <c r="C5553" s="28" t="str">
        <f>HYPERLINK("https://pld.live/RapDetail.aspx?STONELIST=925030362","DNA")</f>
        <v>DNA</v>
      </c>
      <c r="D5553" s="18" t="s">
        <v>2990</v>
      </c>
      <c r="E5553" s="18" t="s">
        <v>5128</v>
      </c>
      <c r="F5553" s="2" t="s">
        <v>7987</v>
      </c>
      <c r="G5553" s="2" t="s">
        <v>7322</v>
      </c>
      <c r="H5553" s="14">
        <v>0.9</v>
      </c>
      <c r="I5553" s="2" t="s">
        <v>267</v>
      </c>
      <c r="J5553" s="2" t="s">
        <v>13</v>
      </c>
      <c r="K5553" s="2" t="s">
        <v>1452</v>
      </c>
      <c r="L5553" s="2" t="s">
        <v>5221</v>
      </c>
      <c r="M5553" s="2" t="s">
        <v>5221</v>
      </c>
      <c r="N5553" s="2" t="s">
        <v>2317</v>
      </c>
      <c r="O5553" s="14">
        <v>5200</v>
      </c>
      <c r="P5553" s="14">
        <v>97.88</v>
      </c>
      <c r="Q5553" s="14">
        <v>110.24</v>
      </c>
      <c r="R5553" s="14">
        <v>99.22</v>
      </c>
      <c r="S5553" s="2" t="s">
        <v>2222</v>
      </c>
      <c r="T5553" s="2">
        <v>1.37</v>
      </c>
      <c r="U5553" s="2">
        <v>68.2</v>
      </c>
      <c r="V5553" s="2">
        <v>63</v>
      </c>
      <c r="W5553" s="2" t="s">
        <v>7862</v>
      </c>
      <c r="X5553" s="2" t="s">
        <v>2897</v>
      </c>
      <c r="Y5553" s="2">
        <v>4680</v>
      </c>
      <c r="Z5553" s="19" t="str">
        <f>HYPERLINK("https://ssdweb.co/ssdweb/hd/Vision360.html?d=925030362&amp;zoomslide=1&amp;z=1925030362&amp;ISCONFIRM=0","VIDEO")</f>
        <v>VIDEO</v>
      </c>
      <c r="AA5553" s="19" t="str">
        <f>HYPERLINK("https://ssdweb.co/ssdweb/CERTH/612321923.pdf","CERTI")</f>
        <v>CERTI</v>
      </c>
    </row>
    <row r="5554" spans="1:27" ht="15" x14ac:dyDescent="0.25">
      <c r="A5554" s="2">
        <v>5549</v>
      </c>
      <c r="B5554" s="39">
        <v>926930913</v>
      </c>
      <c r="C5554" s="28" t="str">
        <f>HYPERLINK("https://pld.live/RapDetail.aspx?STONELIST=926930913","DNA")</f>
        <v>DNA</v>
      </c>
      <c r="D5554" s="18" t="s">
        <v>2990</v>
      </c>
      <c r="E5554" s="18" t="s">
        <v>2186</v>
      </c>
      <c r="F5554" s="2" t="s">
        <v>7987</v>
      </c>
      <c r="G5554" s="2" t="s">
        <v>7322</v>
      </c>
      <c r="H5554" s="14">
        <v>0.9</v>
      </c>
      <c r="I5554" s="2" t="s">
        <v>267</v>
      </c>
      <c r="J5554" s="2" t="s">
        <v>13</v>
      </c>
      <c r="K5554" s="2" t="s">
        <v>1452</v>
      </c>
      <c r="L5554" s="2" t="s">
        <v>5221</v>
      </c>
      <c r="M5554" s="2" t="s">
        <v>5221</v>
      </c>
      <c r="N5554" s="2" t="s">
        <v>2317</v>
      </c>
      <c r="O5554" s="14">
        <v>5200</v>
      </c>
      <c r="P5554" s="14">
        <v>97.83</v>
      </c>
      <c r="Q5554" s="14">
        <v>112.84</v>
      </c>
      <c r="R5554" s="14">
        <v>101.56</v>
      </c>
      <c r="S5554" s="2" t="s">
        <v>5455</v>
      </c>
      <c r="T5554" s="2">
        <v>1.58</v>
      </c>
      <c r="U5554" s="2">
        <v>67.099999999999994</v>
      </c>
      <c r="V5554" s="2">
        <v>65</v>
      </c>
      <c r="W5554" s="2" t="s">
        <v>7862</v>
      </c>
      <c r="X5554" s="2" t="s">
        <v>2897</v>
      </c>
      <c r="Y5554" s="2">
        <v>4680</v>
      </c>
      <c r="Z5554" s="19" t="str">
        <f>HYPERLINK("https://ssdweb.co/ssdweb/hd/Vision360.html?d=926930913&amp;zoomslide=1&amp;z=1926930913&amp;ISCONFIRM=0","VIDEO")</f>
        <v>VIDEO</v>
      </c>
      <c r="AA5554" s="19" t="str">
        <f>HYPERLINK("https://ssdweb.co/ssdweb/CERTH/660440446.pdf","CERTI")</f>
        <v>CERTI</v>
      </c>
    </row>
    <row r="5555" spans="1:27" ht="15" x14ac:dyDescent="0.25">
      <c r="A5555" s="2">
        <v>5550</v>
      </c>
      <c r="B5555" s="39">
        <v>926250462</v>
      </c>
      <c r="C5555" s="28" t="str">
        <f>HYPERLINK("https://pld.live/RapDetail.aspx?STONELIST=926250462","DNA")</f>
        <v>DNA</v>
      </c>
      <c r="D5555" s="18" t="s">
        <v>2990</v>
      </c>
      <c r="E5555" s="18" t="s">
        <v>5128</v>
      </c>
      <c r="F5555" s="2" t="s">
        <v>7987</v>
      </c>
      <c r="G5555" s="2" t="s">
        <v>7322</v>
      </c>
      <c r="H5555" s="14">
        <v>0.9</v>
      </c>
      <c r="I5555" s="2" t="s">
        <v>267</v>
      </c>
      <c r="J5555" s="2" t="s">
        <v>13</v>
      </c>
      <c r="K5555" s="2" t="s">
        <v>1452</v>
      </c>
      <c r="L5555" s="2" t="s">
        <v>5221</v>
      </c>
      <c r="M5555" s="2" t="s">
        <v>5221</v>
      </c>
      <c r="N5555" s="2" t="s">
        <v>2317</v>
      </c>
      <c r="O5555" s="14">
        <v>5200</v>
      </c>
      <c r="P5555" s="14">
        <v>97.85</v>
      </c>
      <c r="Q5555" s="14">
        <v>111.8</v>
      </c>
      <c r="R5555" s="14">
        <v>100.62</v>
      </c>
      <c r="S5555" s="2" t="s">
        <v>7427</v>
      </c>
      <c r="T5555" s="2">
        <v>1.38</v>
      </c>
      <c r="U5555" s="2">
        <v>67.8</v>
      </c>
      <c r="V5555" s="2">
        <v>68</v>
      </c>
      <c r="W5555" s="2" t="s">
        <v>7862</v>
      </c>
      <c r="X5555" s="2" t="s">
        <v>2897</v>
      </c>
      <c r="Y5555" s="2">
        <v>4680</v>
      </c>
      <c r="Z5555" s="19" t="str">
        <f>HYPERLINK("https://ssdweb.co/ssdweb/hd/Vision360.html?d=926250462&amp;zoomslide=1&amp;z=1926250462&amp;ISCONFIRM=0","VIDEO")</f>
        <v>VIDEO</v>
      </c>
      <c r="AA5555" s="19" t="str">
        <f>HYPERLINK("https://ssdweb.co/ssdweb/CERTH/638463044.pdf","CERTI")</f>
        <v>CERTI</v>
      </c>
    </row>
    <row r="5556" spans="1:27" ht="15" x14ac:dyDescent="0.25">
      <c r="A5556" s="2">
        <v>5551</v>
      </c>
      <c r="B5556" s="39">
        <v>925370443</v>
      </c>
      <c r="C5556" s="28" t="str">
        <f>HYPERLINK("https://pld.live/RapDetail.aspx?STONELIST=925370443","DNA")</f>
        <v>DNA</v>
      </c>
      <c r="D5556" s="18" t="s">
        <v>2990</v>
      </c>
      <c r="E5556" s="18" t="s">
        <v>5128</v>
      </c>
      <c r="F5556" s="2" t="s">
        <v>7987</v>
      </c>
      <c r="G5556" s="2" t="s">
        <v>7322</v>
      </c>
      <c r="H5556" s="14">
        <v>0.9</v>
      </c>
      <c r="I5556" s="2" t="s">
        <v>267</v>
      </c>
      <c r="J5556" s="2" t="s">
        <v>13</v>
      </c>
      <c r="K5556" s="2" t="s">
        <v>1452</v>
      </c>
      <c r="L5556" s="2" t="s">
        <v>5221</v>
      </c>
      <c r="M5556" s="2" t="s">
        <v>5221</v>
      </c>
      <c r="N5556" s="2" t="s">
        <v>2317</v>
      </c>
      <c r="O5556" s="14">
        <v>5200</v>
      </c>
      <c r="P5556" s="14">
        <v>97.88</v>
      </c>
      <c r="Q5556" s="14">
        <v>110.24</v>
      </c>
      <c r="R5556" s="14">
        <v>99.22</v>
      </c>
      <c r="S5556" s="2" t="s">
        <v>749</v>
      </c>
      <c r="T5556" s="2">
        <v>1.54</v>
      </c>
      <c r="U5556" s="2">
        <v>68.8</v>
      </c>
      <c r="V5556" s="2">
        <v>65</v>
      </c>
      <c r="W5556" s="2" t="s">
        <v>7862</v>
      </c>
      <c r="X5556" s="2" t="s">
        <v>2897</v>
      </c>
      <c r="Y5556" s="2">
        <v>4680</v>
      </c>
      <c r="Z5556" s="19" t="str">
        <f>HYPERLINK("https://ssdweb.co/ssdweb/hd/Vision360.html?d=925370443&amp;zoomslide=1&amp;z=1925370443&amp;ISCONFIRM=0","VIDEO")</f>
        <v>VIDEO</v>
      </c>
      <c r="AA5556" s="19" t="str">
        <f>HYPERLINK("https://ssdweb.co/ssdweb/CERTH/619453297.pdf","CERTI")</f>
        <v>CERTI</v>
      </c>
    </row>
    <row r="5557" spans="1:27" ht="15" x14ac:dyDescent="0.25">
      <c r="A5557" s="2">
        <v>5552</v>
      </c>
      <c r="B5557" s="39">
        <v>925760637</v>
      </c>
      <c r="C5557" s="28" t="str">
        <f>HYPERLINK("https://pld.live/RapDetail.aspx?STONELIST=925760637","DNA")</f>
        <v>DNA</v>
      </c>
      <c r="D5557" s="18" t="s">
        <v>2990</v>
      </c>
      <c r="E5557" s="18" t="s">
        <v>5128</v>
      </c>
      <c r="F5557" s="2" t="s">
        <v>7987</v>
      </c>
      <c r="G5557" s="2" t="s">
        <v>7322</v>
      </c>
      <c r="H5557" s="14">
        <v>0.9</v>
      </c>
      <c r="I5557" s="2" t="s">
        <v>4761</v>
      </c>
      <c r="J5557" s="2" t="s">
        <v>7032</v>
      </c>
      <c r="K5557" s="2" t="s">
        <v>1452</v>
      </c>
      <c r="L5557" s="2" t="s">
        <v>5221</v>
      </c>
      <c r="M5557" s="2" t="s">
        <v>5221</v>
      </c>
      <c r="N5557" s="2" t="s">
        <v>2317</v>
      </c>
      <c r="O5557" s="14">
        <v>6200</v>
      </c>
      <c r="P5557" s="14">
        <v>96.23</v>
      </c>
      <c r="Q5557" s="14">
        <v>233.74</v>
      </c>
      <c r="R5557" s="14">
        <v>210.37</v>
      </c>
      <c r="S5557" s="2" t="s">
        <v>4733</v>
      </c>
      <c r="T5557" s="2">
        <v>1.38</v>
      </c>
      <c r="U5557" s="2">
        <v>68.8</v>
      </c>
      <c r="V5557" s="2">
        <v>63</v>
      </c>
      <c r="W5557" s="2" t="s">
        <v>7862</v>
      </c>
      <c r="X5557" s="2" t="s">
        <v>2897</v>
      </c>
      <c r="Y5557" s="2">
        <v>5580</v>
      </c>
      <c r="Z5557" s="19" t="str">
        <f>HYPERLINK("https://ssdweb.co/ssdweb/hd/Vision360.html?d=925760637&amp;zoomslide=1&amp;z=1925760637&amp;ISCONFIRM=0","VIDEO")</f>
        <v>VIDEO</v>
      </c>
      <c r="AA5557" s="19" t="str">
        <f>HYPERLINK("https://ssdweb.co/ssdweb/CERTH/626466179.pdf","CERTI")</f>
        <v>CERTI</v>
      </c>
    </row>
    <row r="5558" spans="1:27" ht="15" x14ac:dyDescent="0.25">
      <c r="A5558" s="2">
        <v>5553</v>
      </c>
      <c r="B5558" s="39">
        <v>924880336</v>
      </c>
      <c r="C5558" s="28" t="str">
        <f>HYPERLINK("https://pld.live/RapDetail.aspx?STONELIST=924880336","DNA")</f>
        <v>DNA</v>
      </c>
      <c r="D5558" s="18" t="s">
        <v>2990</v>
      </c>
      <c r="E5558" s="18" t="s">
        <v>5128</v>
      </c>
      <c r="F5558" s="2" t="s">
        <v>7987</v>
      </c>
      <c r="G5558" s="2" t="s">
        <v>7322</v>
      </c>
      <c r="H5558" s="14">
        <v>0.9</v>
      </c>
      <c r="I5558" s="2" t="s">
        <v>4761</v>
      </c>
      <c r="J5558" s="2" t="s">
        <v>7032</v>
      </c>
      <c r="K5558" s="2" t="s">
        <v>1452</v>
      </c>
      <c r="L5558" s="2" t="s">
        <v>5221</v>
      </c>
      <c r="M5558" s="2" t="s">
        <v>5221</v>
      </c>
      <c r="N5558" s="2" t="s">
        <v>2317</v>
      </c>
      <c r="O5558" s="14">
        <v>6200</v>
      </c>
      <c r="P5558" s="14">
        <v>96.23</v>
      </c>
      <c r="Q5558" s="14">
        <v>233.74</v>
      </c>
      <c r="R5558" s="14">
        <v>210.37</v>
      </c>
      <c r="S5558" s="2" t="s">
        <v>280</v>
      </c>
      <c r="T5558" s="2">
        <v>1.39</v>
      </c>
      <c r="U5558" s="2">
        <v>68.099999999999994</v>
      </c>
      <c r="V5558" s="2">
        <v>62</v>
      </c>
      <c r="W5558" s="2" t="s">
        <v>7862</v>
      </c>
      <c r="X5558" s="2" t="s">
        <v>2897</v>
      </c>
      <c r="Y5558" s="2">
        <v>5580</v>
      </c>
      <c r="Z5558" s="19" t="str">
        <f>HYPERLINK("https://ssdweb.co/ssdweb/hd/Vision360.html?d=924880336&amp;zoomslide=1&amp;z=1924880336&amp;ISCONFIRM=0","VIDEO")</f>
        <v>VIDEO</v>
      </c>
      <c r="AA5558" s="19" t="str">
        <f>HYPERLINK("https://ssdweb.co/ssdweb/CERTH/604303737.pdf","CERTI")</f>
        <v>CERTI</v>
      </c>
    </row>
    <row r="5559" spans="1:27" ht="15" x14ac:dyDescent="0.25">
      <c r="A5559" s="2">
        <v>5554</v>
      </c>
      <c r="B5559" s="39">
        <v>926220605</v>
      </c>
      <c r="C5559" s="28" t="str">
        <f>HYPERLINK("https://pld.live/RapDetail.aspx?STONELIST=926220605","DNA")</f>
        <v>DNA</v>
      </c>
      <c r="D5559" s="18" t="s">
        <v>2990</v>
      </c>
      <c r="E5559" s="18" t="s">
        <v>5128</v>
      </c>
      <c r="F5559" s="2" t="s">
        <v>7987</v>
      </c>
      <c r="G5559" s="2" t="s">
        <v>7322</v>
      </c>
      <c r="H5559" s="14">
        <v>0.9</v>
      </c>
      <c r="I5559" s="2" t="s">
        <v>4761</v>
      </c>
      <c r="J5559" s="2" t="s">
        <v>13</v>
      </c>
      <c r="K5559" s="2" t="s">
        <v>1452</v>
      </c>
      <c r="L5559" s="2" t="s">
        <v>5221</v>
      </c>
      <c r="M5559" s="2" t="s">
        <v>5221</v>
      </c>
      <c r="N5559" s="2" t="s">
        <v>2317</v>
      </c>
      <c r="O5559" s="14">
        <v>4900</v>
      </c>
      <c r="P5559" s="14">
        <v>97.78</v>
      </c>
      <c r="Q5559" s="14">
        <v>108.78</v>
      </c>
      <c r="R5559" s="14">
        <v>97.9</v>
      </c>
      <c r="S5559" s="2" t="s">
        <v>3687</v>
      </c>
      <c r="T5559" s="2">
        <v>1.38</v>
      </c>
      <c r="U5559" s="2">
        <v>68</v>
      </c>
      <c r="V5559" s="2">
        <v>66</v>
      </c>
      <c r="W5559" s="2" t="s">
        <v>7862</v>
      </c>
      <c r="X5559" s="2" t="s">
        <v>2897</v>
      </c>
      <c r="Y5559" s="2">
        <v>4410</v>
      </c>
      <c r="Z5559" s="19" t="str">
        <f>HYPERLINK("https://ssdweb.co/ssdweb/hd/Vision360.html?d=926220605&amp;zoomslide=1&amp;z=1926220605&amp;ISCONFIRM=0","VIDEO")</f>
        <v>VIDEO</v>
      </c>
      <c r="AA5559" s="19" t="str">
        <f>HYPERLINK("https://ssdweb.co/ssdweb/CERTH/635427098.pdf","CERTI")</f>
        <v>CERTI</v>
      </c>
    </row>
    <row r="5560" spans="1:27" ht="15" x14ac:dyDescent="0.25">
      <c r="A5560" s="2">
        <v>5555</v>
      </c>
      <c r="B5560" s="39">
        <v>925760569</v>
      </c>
      <c r="C5560" s="28" t="str">
        <f>HYPERLINK("https://pld.live/RapDetail.aspx?STONELIST=925760569","DNA")</f>
        <v>DNA</v>
      </c>
      <c r="D5560" s="18" t="s">
        <v>2990</v>
      </c>
      <c r="E5560" s="18" t="s">
        <v>5128</v>
      </c>
      <c r="F5560" s="2" t="s">
        <v>7987</v>
      </c>
      <c r="G5560" s="2" t="s">
        <v>7322</v>
      </c>
      <c r="H5560" s="14">
        <v>0.9</v>
      </c>
      <c r="I5560" s="2" t="s">
        <v>4699</v>
      </c>
      <c r="J5560" s="2" t="s">
        <v>3942</v>
      </c>
      <c r="K5560" s="2" t="s">
        <v>1452</v>
      </c>
      <c r="L5560" s="2" t="s">
        <v>5221</v>
      </c>
      <c r="M5560" s="2" t="s">
        <v>5221</v>
      </c>
      <c r="N5560" s="2" t="s">
        <v>2317</v>
      </c>
      <c r="O5560" s="14">
        <v>4900</v>
      </c>
      <c r="P5560" s="14">
        <v>97.82</v>
      </c>
      <c r="Q5560" s="14">
        <v>106.82</v>
      </c>
      <c r="R5560" s="14">
        <v>96.14</v>
      </c>
      <c r="S5560" s="2" t="s">
        <v>5953</v>
      </c>
      <c r="T5560" s="2">
        <v>1.42</v>
      </c>
      <c r="U5560" s="2">
        <v>67.8</v>
      </c>
      <c r="V5560" s="2">
        <v>61</v>
      </c>
      <c r="W5560" s="2" t="s">
        <v>7862</v>
      </c>
      <c r="X5560" s="2" t="s">
        <v>2897</v>
      </c>
      <c r="Y5560" s="2">
        <v>4410</v>
      </c>
      <c r="Z5560" s="19" t="str">
        <f>HYPERLINK("https://ssdweb.co/ssdweb/hd/Vision360.html?d=925760569&amp;zoomslide=1&amp;z=1925760569&amp;ISCONFIRM=0","VIDEO")</f>
        <v>VIDEO</v>
      </c>
      <c r="AA5560" s="19" t="str">
        <f>HYPERLINK("https://ssdweb.co/ssdweb/CERTH/626466177.pdf","CERTI")</f>
        <v>CERTI</v>
      </c>
    </row>
    <row r="5561" spans="1:27" ht="15" x14ac:dyDescent="0.25">
      <c r="A5561" s="2">
        <v>5556</v>
      </c>
      <c r="B5561" s="39">
        <v>924920446</v>
      </c>
      <c r="C5561" s="28" t="str">
        <f>HYPERLINK("https://pld.live/RapDetail.aspx?STONELIST=924920446","DNA")</f>
        <v>DNA</v>
      </c>
      <c r="D5561" s="18" t="s">
        <v>2990</v>
      </c>
      <c r="E5561" s="18" t="s">
        <v>2186</v>
      </c>
      <c r="F5561" s="2" t="s">
        <v>7987</v>
      </c>
      <c r="G5561" s="2" t="s">
        <v>7322</v>
      </c>
      <c r="H5561" s="14">
        <v>0.9</v>
      </c>
      <c r="I5561" s="2" t="s">
        <v>4699</v>
      </c>
      <c r="J5561" s="2" t="s">
        <v>5144</v>
      </c>
      <c r="K5561" s="2" t="s">
        <v>1452</v>
      </c>
      <c r="L5561" s="2" t="s">
        <v>5221</v>
      </c>
      <c r="M5561" s="2" t="s">
        <v>5221</v>
      </c>
      <c r="N5561" s="2" t="s">
        <v>2317</v>
      </c>
      <c r="O5561" s="14">
        <v>4000</v>
      </c>
      <c r="P5561" s="14">
        <v>97.5</v>
      </c>
      <c r="Q5561" s="14">
        <v>100</v>
      </c>
      <c r="R5561" s="14">
        <v>90</v>
      </c>
      <c r="S5561" s="2" t="s">
        <v>3025</v>
      </c>
      <c r="T5561" s="2">
        <v>1.46</v>
      </c>
      <c r="U5561" s="2">
        <v>65.599999999999994</v>
      </c>
      <c r="V5561" s="2">
        <v>62</v>
      </c>
      <c r="W5561" s="2" t="s">
        <v>7862</v>
      </c>
      <c r="X5561" s="2" t="s">
        <v>2897</v>
      </c>
      <c r="Y5561" s="2">
        <v>3600</v>
      </c>
      <c r="Z5561" s="19" t="str">
        <f>HYPERLINK("https://ssdweb.co/ssdweb/hd/Vision360.html?d=924920446&amp;zoomslide=1&amp;z=1924920446&amp;ISCONFIRM=0","VIDEO")</f>
        <v>VIDEO</v>
      </c>
      <c r="AA5561" s="19" t="str">
        <f>HYPERLINK("https://ssdweb.co/ssdweb/CERTH/607332444.pdf","CERTI")</f>
        <v>CERTI</v>
      </c>
    </row>
    <row r="5562" spans="1:27" ht="15" x14ac:dyDescent="0.25">
      <c r="A5562" s="2">
        <v>5557</v>
      </c>
      <c r="B5562" s="39">
        <v>924410843</v>
      </c>
      <c r="C5562" s="28" t="str">
        <f>HYPERLINK("https://pld.live/RapDetail.aspx?STONELIST=924410843","DNA")</f>
        <v>DNA</v>
      </c>
      <c r="D5562" s="18" t="s">
        <v>2990</v>
      </c>
      <c r="E5562" s="18" t="s">
        <v>2186</v>
      </c>
      <c r="F5562" s="2" t="s">
        <v>7987</v>
      </c>
      <c r="G5562" s="2" t="s">
        <v>7322</v>
      </c>
      <c r="H5562" s="14">
        <v>0.9</v>
      </c>
      <c r="I5562" s="2" t="s">
        <v>4699</v>
      </c>
      <c r="J5562" s="2" t="s">
        <v>5144</v>
      </c>
      <c r="K5562" s="2" t="s">
        <v>1452</v>
      </c>
      <c r="L5562" s="2" t="s">
        <v>5221</v>
      </c>
      <c r="M5562" s="2" t="s">
        <v>5721</v>
      </c>
      <c r="N5562" s="2" t="s">
        <v>2317</v>
      </c>
      <c r="O5562" s="14">
        <v>4000</v>
      </c>
      <c r="P5562" s="14">
        <v>97.53</v>
      </c>
      <c r="Q5562" s="14">
        <v>98.8</v>
      </c>
      <c r="R5562" s="14">
        <v>88.92</v>
      </c>
      <c r="S5562" s="2" t="s">
        <v>3791</v>
      </c>
      <c r="T5562" s="2">
        <v>1.49</v>
      </c>
      <c r="U5562" s="2">
        <v>65.2</v>
      </c>
      <c r="V5562" s="2">
        <v>66</v>
      </c>
      <c r="W5562" s="2" t="s">
        <v>8016</v>
      </c>
      <c r="X5562" s="2" t="s">
        <v>2897</v>
      </c>
      <c r="Y5562" s="2">
        <v>3600</v>
      </c>
      <c r="Z5562" s="19" t="str">
        <f>HYPERLINK("https://ssdweb.co/ssdweb/hd/Vision360.html?d=924410843&amp;zoomslide=1&amp;z=1924410843&amp;ISCONFIRM=0","VIDEO")</f>
        <v>VIDEO</v>
      </c>
      <c r="AA5562" s="19" t="str">
        <f>HYPERLINK("https://ssdweb.co/ssdweb/CERTH/598373868.pdf","CERTI")</f>
        <v>CERTI</v>
      </c>
    </row>
    <row r="5563" spans="1:27" ht="15" x14ac:dyDescent="0.25">
      <c r="A5563" s="2">
        <v>5558</v>
      </c>
      <c r="B5563" s="39">
        <v>923400674</v>
      </c>
      <c r="C5563" s="28" t="str">
        <f>HYPERLINK("https://pld.live/RapDetail.aspx?STONELIST=923400674","DNA")</f>
        <v>DNA</v>
      </c>
      <c r="D5563" s="18" t="s">
        <v>2990</v>
      </c>
      <c r="E5563" s="18" t="s">
        <v>2186</v>
      </c>
      <c r="F5563" s="2" t="s">
        <v>7987</v>
      </c>
      <c r="G5563" s="2" t="s">
        <v>7322</v>
      </c>
      <c r="H5563" s="14">
        <v>0.9</v>
      </c>
      <c r="I5563" s="2" t="s">
        <v>4699</v>
      </c>
      <c r="J5563" s="2" t="s">
        <v>5144</v>
      </c>
      <c r="K5563" s="2" t="s">
        <v>1452</v>
      </c>
      <c r="L5563" s="2" t="s">
        <v>5221</v>
      </c>
      <c r="M5563" s="2" t="s">
        <v>5721</v>
      </c>
      <c r="N5563" s="2" t="s">
        <v>2317</v>
      </c>
      <c r="O5563" s="14">
        <v>4000</v>
      </c>
      <c r="P5563" s="14">
        <v>97.53</v>
      </c>
      <c r="Q5563" s="14">
        <v>98.8</v>
      </c>
      <c r="R5563" s="14">
        <v>88.92</v>
      </c>
      <c r="S5563" s="2" t="s">
        <v>6822</v>
      </c>
      <c r="T5563" s="2">
        <v>1.48</v>
      </c>
      <c r="U5563" s="2">
        <v>67.5</v>
      </c>
      <c r="V5563" s="2">
        <v>70</v>
      </c>
      <c r="W5563" s="2" t="s">
        <v>7862</v>
      </c>
      <c r="X5563" s="2" t="s">
        <v>2897</v>
      </c>
      <c r="Y5563" s="2">
        <v>3600</v>
      </c>
      <c r="Z5563" s="19" t="str">
        <f>HYPERLINK("https://ssdweb.co/ssdweb/hd/Vision360.html?d=923400674&amp;zoomslide=1&amp;z=1923400674&amp;ISCONFIRM=0","VIDEO")</f>
        <v>VIDEO</v>
      </c>
      <c r="AA5563" s="19" t="str">
        <f>HYPERLINK("https://ssdweb.co/ssdweb/CERTH/555266390.pdf","CERTI")</f>
        <v>CERTI</v>
      </c>
    </row>
    <row r="5564" spans="1:27" ht="15" x14ac:dyDescent="0.25">
      <c r="A5564" s="2">
        <v>5559</v>
      </c>
      <c r="B5564" s="39">
        <v>924920413</v>
      </c>
      <c r="C5564" s="28" t="str">
        <f>HYPERLINK("https://pld.live/RapDetail.aspx?STONELIST=924920413","DNA")</f>
        <v>DNA</v>
      </c>
      <c r="D5564" s="18" t="s">
        <v>2990</v>
      </c>
      <c r="E5564" s="18" t="s">
        <v>2186</v>
      </c>
      <c r="F5564" s="2" t="s">
        <v>7987</v>
      </c>
      <c r="G5564" s="2" t="s">
        <v>7322</v>
      </c>
      <c r="H5564" s="14">
        <v>0.9</v>
      </c>
      <c r="I5564" s="2" t="s">
        <v>6587</v>
      </c>
      <c r="J5564" s="2" t="s">
        <v>5144</v>
      </c>
      <c r="K5564" s="2" t="s">
        <v>1452</v>
      </c>
      <c r="L5564" s="2" t="s">
        <v>5221</v>
      </c>
      <c r="M5564" s="2" t="s">
        <v>5221</v>
      </c>
      <c r="N5564" s="2" t="s">
        <v>2317</v>
      </c>
      <c r="O5564" s="14">
        <v>3800</v>
      </c>
      <c r="P5564" s="14">
        <v>97.45</v>
      </c>
      <c r="Q5564" s="14">
        <v>96.9</v>
      </c>
      <c r="R5564" s="14">
        <v>87.21</v>
      </c>
      <c r="S5564" s="2" t="s">
        <v>3141</v>
      </c>
      <c r="T5564" s="2">
        <v>1.48</v>
      </c>
      <c r="U5564" s="2">
        <v>64</v>
      </c>
      <c r="V5564" s="2">
        <v>67</v>
      </c>
      <c r="W5564" s="2" t="s">
        <v>7862</v>
      </c>
      <c r="X5564" s="2" t="s">
        <v>2897</v>
      </c>
      <c r="Y5564" s="2">
        <v>3420</v>
      </c>
      <c r="Z5564" s="19" t="str">
        <f>HYPERLINK("https://ssdweb.co/ssdweb/hd/Vision360.html?d=924920413&amp;zoomslide=1&amp;z=1924920413&amp;ISCONFIRM=0","VIDEO")</f>
        <v>VIDEO</v>
      </c>
      <c r="AA5564" s="19" t="str">
        <f>HYPERLINK("https://ssdweb.co/ssdweb/CERTH/607314618.pdf","CERTI")</f>
        <v>CERTI</v>
      </c>
    </row>
    <row r="5565" spans="1:27" ht="15" x14ac:dyDescent="0.25">
      <c r="A5565" s="2">
        <v>5560</v>
      </c>
      <c r="B5565" s="39">
        <v>924780344</v>
      </c>
      <c r="C5565" s="28" t="str">
        <f>HYPERLINK("https://pld.live/RapDetail.aspx?STONELIST=924780344","DNA")</f>
        <v>DNA</v>
      </c>
      <c r="D5565" s="18" t="s">
        <v>2990</v>
      </c>
      <c r="E5565" s="18" t="s">
        <v>2186</v>
      </c>
      <c r="F5565" s="2" t="s">
        <v>7987</v>
      </c>
      <c r="G5565" s="2" t="s">
        <v>7322</v>
      </c>
      <c r="H5565" s="14">
        <v>0.9</v>
      </c>
      <c r="I5565" s="2" t="s">
        <v>6587</v>
      </c>
      <c r="J5565" s="2" t="s">
        <v>5144</v>
      </c>
      <c r="K5565" s="2" t="s">
        <v>1452</v>
      </c>
      <c r="L5565" s="2" t="s">
        <v>5221</v>
      </c>
      <c r="M5565" s="2" t="s">
        <v>5221</v>
      </c>
      <c r="N5565" s="2" t="s">
        <v>2317</v>
      </c>
      <c r="O5565" s="14">
        <v>3800</v>
      </c>
      <c r="P5565" s="14">
        <v>97.45</v>
      </c>
      <c r="Q5565" s="14">
        <v>96.9</v>
      </c>
      <c r="R5565" s="14">
        <v>87.21</v>
      </c>
      <c r="S5565" s="2" t="s">
        <v>3742</v>
      </c>
      <c r="T5565" s="2">
        <v>1.46</v>
      </c>
      <c r="U5565" s="2">
        <v>66.900000000000006</v>
      </c>
      <c r="V5565" s="2">
        <v>68</v>
      </c>
      <c r="W5565" s="2" t="s">
        <v>7862</v>
      </c>
      <c r="X5565" s="2" t="s">
        <v>2897</v>
      </c>
      <c r="Y5565" s="2">
        <v>3420</v>
      </c>
      <c r="Z5565" s="19" t="str">
        <f>HYPERLINK("https://ssdweb.co/ssdweb/hd/Vision360.html?d=924780344&amp;zoomslide=1&amp;z=1924780344&amp;ISCONFIRM=0","VIDEO")</f>
        <v>VIDEO</v>
      </c>
      <c r="AA5565" s="19" t="str">
        <f>HYPERLINK("https://ssdweb.co/ssdweb/CERTH/603352364.pdf","CERTI")</f>
        <v>CERTI</v>
      </c>
    </row>
    <row r="5566" spans="1:27" ht="15" x14ac:dyDescent="0.25">
      <c r="A5566" s="2">
        <v>5561</v>
      </c>
      <c r="B5566" s="39">
        <v>924930270</v>
      </c>
      <c r="C5566" s="28" t="str">
        <f>HYPERLINK("https://pld.live/RapDetail.aspx?STONELIST=924930270","DNA")</f>
        <v>DNA</v>
      </c>
      <c r="D5566" s="18" t="s">
        <v>2990</v>
      </c>
      <c r="E5566" s="18" t="s">
        <v>2186</v>
      </c>
      <c r="F5566" s="2" t="s">
        <v>7987</v>
      </c>
      <c r="G5566" s="2" t="s">
        <v>7322</v>
      </c>
      <c r="H5566" s="14">
        <v>0.9</v>
      </c>
      <c r="I5566" s="2" t="s">
        <v>6587</v>
      </c>
      <c r="J5566" s="2" t="s">
        <v>5144</v>
      </c>
      <c r="K5566" s="2" t="s">
        <v>1452</v>
      </c>
      <c r="L5566" s="2" t="s">
        <v>5221</v>
      </c>
      <c r="M5566" s="2" t="s">
        <v>5221</v>
      </c>
      <c r="N5566" s="2" t="s">
        <v>2317</v>
      </c>
      <c r="O5566" s="14">
        <v>3800</v>
      </c>
      <c r="P5566" s="14">
        <v>97.45</v>
      </c>
      <c r="Q5566" s="14">
        <v>96.9</v>
      </c>
      <c r="R5566" s="14">
        <v>87.21</v>
      </c>
      <c r="S5566" s="2" t="s">
        <v>4250</v>
      </c>
      <c r="T5566" s="2">
        <v>1.4</v>
      </c>
      <c r="U5566" s="2">
        <v>67.099999999999994</v>
      </c>
      <c r="V5566" s="2">
        <v>67</v>
      </c>
      <c r="W5566" s="2" t="s">
        <v>7862</v>
      </c>
      <c r="X5566" s="2" t="s">
        <v>2897</v>
      </c>
      <c r="Y5566" s="2">
        <v>3420</v>
      </c>
      <c r="Z5566" s="19" t="str">
        <f>HYPERLINK("https://ssdweb.co/ssdweb/hd/Vision360.html?d=924930270&amp;zoomslide=1&amp;z=1924930270&amp;ISCONFIRM=0","VIDEO")</f>
        <v>VIDEO</v>
      </c>
      <c r="AA5566" s="19" t="str">
        <f>HYPERLINK("https://ssdweb.co/ssdweb/CERTH/606329897.pdf","CERTI")</f>
        <v>CERTI</v>
      </c>
    </row>
    <row r="5567" spans="1:27" ht="15" x14ac:dyDescent="0.25">
      <c r="A5567" s="2">
        <v>5562</v>
      </c>
      <c r="B5567" s="39">
        <v>924480039</v>
      </c>
      <c r="C5567" s="28" t="str">
        <f>HYPERLINK("https://pld.live/RapDetail.aspx?STONELIST=924480039","DNA")</f>
        <v>DNA</v>
      </c>
      <c r="D5567" s="18" t="s">
        <v>5715</v>
      </c>
      <c r="E5567" s="18" t="s">
        <v>2186</v>
      </c>
      <c r="F5567" s="2" t="s">
        <v>7987</v>
      </c>
      <c r="G5567" s="2" t="s">
        <v>7322</v>
      </c>
      <c r="H5567" s="14">
        <v>0.88</v>
      </c>
      <c r="I5567" s="2" t="s">
        <v>1505</v>
      </c>
      <c r="J5567" s="2" t="s">
        <v>13</v>
      </c>
      <c r="K5567" s="2" t="s">
        <v>1452</v>
      </c>
      <c r="L5567" s="2" t="s">
        <v>5221</v>
      </c>
      <c r="M5567" s="2" t="s">
        <v>5221</v>
      </c>
      <c r="N5567" s="2" t="s">
        <v>2317</v>
      </c>
      <c r="O5567" s="14">
        <v>2800</v>
      </c>
      <c r="P5567" s="14">
        <v>95.89</v>
      </c>
      <c r="Q5567" s="14">
        <v>115.08</v>
      </c>
      <c r="R5567" s="14">
        <v>101.27</v>
      </c>
      <c r="S5567" s="2" t="s">
        <v>3878</v>
      </c>
      <c r="T5567" s="2">
        <v>1.56</v>
      </c>
      <c r="U5567" s="2">
        <v>66.400000000000006</v>
      </c>
      <c r="V5567" s="2">
        <v>62</v>
      </c>
      <c r="W5567" s="2" t="s">
        <v>7862</v>
      </c>
      <c r="X5567" s="2" t="s">
        <v>2897</v>
      </c>
      <c r="Y5567" s="2">
        <v>2464</v>
      </c>
      <c r="Z5567" s="19" t="str">
        <f>HYPERLINK("https://ssdweb.co/ssdweb/hd/Vision360.html?d=924480039&amp;zoomslide=1&amp;z=1924480039&amp;ISCONFIRM=0","VIDEO")</f>
        <v>VIDEO</v>
      </c>
      <c r="AA5567" s="19" t="str">
        <f>HYPERLINK("https://ssdweb.co/ssdweb/CERTH/598379348.pdf","CERTI")</f>
        <v>CERTI</v>
      </c>
    </row>
    <row r="5568" spans="1:27" ht="15" x14ac:dyDescent="0.25">
      <c r="A5568" s="2">
        <v>5563</v>
      </c>
      <c r="B5568" s="39">
        <v>924900238</v>
      </c>
      <c r="C5568" s="28" t="str">
        <f>HYPERLINK("https://pld.live/RapDetail.aspx?STONELIST=924900238","DNA")</f>
        <v>DNA</v>
      </c>
      <c r="D5568" s="18" t="s">
        <v>5715</v>
      </c>
      <c r="E5568" s="18" t="s">
        <v>5128</v>
      </c>
      <c r="F5568" s="2" t="s">
        <v>7987</v>
      </c>
      <c r="G5568" s="2" t="s">
        <v>7322</v>
      </c>
      <c r="H5568" s="14">
        <v>0.87</v>
      </c>
      <c r="I5568" s="2" t="s">
        <v>267</v>
      </c>
      <c r="J5568" s="2" t="s">
        <v>13</v>
      </c>
      <c r="K5568" s="2" t="s">
        <v>1452</v>
      </c>
      <c r="L5568" s="2" t="s">
        <v>5221</v>
      </c>
      <c r="M5568" s="2" t="s">
        <v>5221</v>
      </c>
      <c r="N5568" s="2" t="s">
        <v>2317</v>
      </c>
      <c r="O5568" s="14">
        <v>3700</v>
      </c>
      <c r="P5568" s="14">
        <v>96.38</v>
      </c>
      <c r="Q5568" s="14">
        <v>133.94</v>
      </c>
      <c r="R5568" s="14">
        <v>116.53</v>
      </c>
      <c r="S5568" s="2" t="s">
        <v>3367</v>
      </c>
      <c r="T5568" s="2">
        <v>1.38</v>
      </c>
      <c r="U5568" s="2">
        <v>67.8</v>
      </c>
      <c r="V5568" s="2">
        <v>65</v>
      </c>
      <c r="W5568" s="2" t="s">
        <v>7862</v>
      </c>
      <c r="X5568" s="2" t="s">
        <v>2897</v>
      </c>
      <c r="Y5568" s="2">
        <v>3219</v>
      </c>
      <c r="Z5568" s="19" t="str">
        <f>HYPERLINK("https://ssdweb.co/ssdweb/hd/Vision360.html?d=924900238&amp;zoomslide=1&amp;z=1924900238&amp;ISCONFIRM=0","VIDEO")</f>
        <v>VIDEO</v>
      </c>
      <c r="AA5568" s="19" t="str">
        <f>HYPERLINK("https://ssdweb.co/ssdweb/CERTH/607366007.pdf","CERTI")</f>
        <v>CERTI</v>
      </c>
    </row>
    <row r="5569" spans="1:27" ht="15" x14ac:dyDescent="0.25">
      <c r="A5569" s="2">
        <v>5564</v>
      </c>
      <c r="B5569" s="39">
        <v>924410833</v>
      </c>
      <c r="C5569" s="28" t="str">
        <f>HYPERLINK("https://pld.live/RapDetail.aspx?STONELIST=924410833","DNA")</f>
        <v>DNA</v>
      </c>
      <c r="D5569" s="18" t="s">
        <v>5715</v>
      </c>
      <c r="E5569" s="18" t="s">
        <v>2186</v>
      </c>
      <c r="F5569" s="2" t="s">
        <v>7987</v>
      </c>
      <c r="G5569" s="2" t="s">
        <v>7322</v>
      </c>
      <c r="H5569" s="14">
        <v>0.86</v>
      </c>
      <c r="I5569" s="2" t="s">
        <v>6845</v>
      </c>
      <c r="J5569" s="2" t="s">
        <v>13</v>
      </c>
      <c r="K5569" s="2" t="s">
        <v>1452</v>
      </c>
      <c r="L5569" s="2" t="s">
        <v>5221</v>
      </c>
      <c r="M5569" s="2" t="s">
        <v>5221</v>
      </c>
      <c r="N5569" s="2" t="s">
        <v>2317</v>
      </c>
      <c r="O5569" s="14">
        <v>1600</v>
      </c>
      <c r="P5569" s="14">
        <v>88.75</v>
      </c>
      <c r="Q5569" s="14">
        <v>180</v>
      </c>
      <c r="R5569" s="14">
        <v>154.80000000000001</v>
      </c>
      <c r="S5569" s="2" t="s">
        <v>5897</v>
      </c>
      <c r="T5569" s="2">
        <v>1.44</v>
      </c>
      <c r="U5569" s="2">
        <v>65.400000000000006</v>
      </c>
      <c r="V5569" s="2">
        <v>68</v>
      </c>
      <c r="W5569" s="2" t="s">
        <v>7862</v>
      </c>
      <c r="X5569" s="2" t="s">
        <v>2897</v>
      </c>
      <c r="Y5569" s="2">
        <v>1376</v>
      </c>
      <c r="Z5569" s="19" t="str">
        <f>HYPERLINK("https://ssdweb.co/ssdweb/hd/Vision360.html?d=924410833&amp;zoomslide=1&amp;z=1924410833&amp;ISCONFIRM=0","VIDEO")</f>
        <v>VIDEO</v>
      </c>
      <c r="AA5569" s="19" t="str">
        <f>HYPERLINK("https://ssdweb.co/ssdweb/CERTH/626457119.pdf","CERTI")</f>
        <v>CERTI</v>
      </c>
    </row>
    <row r="5570" spans="1:27" ht="15" x14ac:dyDescent="0.25">
      <c r="A5570" s="2">
        <v>5565</v>
      </c>
      <c r="B5570" s="39">
        <v>926210563</v>
      </c>
      <c r="C5570" s="28" t="str">
        <f>HYPERLINK("https://pld.live/RapDetail.aspx?STONELIST=926210563","DNA")</f>
        <v>DNA</v>
      </c>
      <c r="D5570" s="18" t="s">
        <v>5715</v>
      </c>
      <c r="E5570" s="18" t="s">
        <v>5128</v>
      </c>
      <c r="F5570" s="2" t="s">
        <v>7987</v>
      </c>
      <c r="G5570" s="2" t="s">
        <v>7322</v>
      </c>
      <c r="H5570" s="14">
        <v>0.84</v>
      </c>
      <c r="I5570" s="2" t="s">
        <v>267</v>
      </c>
      <c r="J5570" s="2" t="s">
        <v>3942</v>
      </c>
      <c r="K5570" s="2" t="s">
        <v>1452</v>
      </c>
      <c r="L5570" s="2" t="s">
        <v>5221</v>
      </c>
      <c r="M5570" s="2" t="s">
        <v>5221</v>
      </c>
      <c r="N5570" s="2" t="s">
        <v>2317</v>
      </c>
      <c r="O5570" s="14">
        <v>4000</v>
      </c>
      <c r="P5570" s="14">
        <v>96.28</v>
      </c>
      <c r="Q5570" s="14">
        <v>148.80000000000001</v>
      </c>
      <c r="R5570" s="14">
        <v>124.99</v>
      </c>
      <c r="S5570" s="2" t="s">
        <v>1661</v>
      </c>
      <c r="T5570" s="2">
        <v>1.4</v>
      </c>
      <c r="U5570" s="2">
        <v>67.5</v>
      </c>
      <c r="V5570" s="2">
        <v>63</v>
      </c>
      <c r="W5570" s="2" t="s">
        <v>7862</v>
      </c>
      <c r="X5570" s="2" t="s">
        <v>2897</v>
      </c>
      <c r="Y5570" s="2">
        <v>3360</v>
      </c>
      <c r="Z5570" s="19" t="str">
        <f>HYPERLINK("https://ssdweb.co/ssdweb/hd/Vision360.html?d=926210563&amp;zoomslide=1&amp;z=1926210563&amp;ISCONFIRM=0","VIDEO")</f>
        <v>VIDEO</v>
      </c>
      <c r="AA5570" s="19" t="str">
        <f>HYPERLINK("https://ssdweb.co/ssdweb/CERTH/634431375.pdf","CERTI")</f>
        <v>CERTI</v>
      </c>
    </row>
    <row r="5571" spans="1:27" ht="15" x14ac:dyDescent="0.25">
      <c r="A5571" s="2">
        <v>5566</v>
      </c>
      <c r="B5571" s="39">
        <v>924410845</v>
      </c>
      <c r="C5571" s="28" t="str">
        <f>HYPERLINK("https://pld.live/RapDetail.aspx?STONELIST=924410845","DNA")</f>
        <v>DNA</v>
      </c>
      <c r="D5571" s="18" t="s">
        <v>5715</v>
      </c>
      <c r="E5571" s="18" t="s">
        <v>2186</v>
      </c>
      <c r="F5571" s="2" t="s">
        <v>7987</v>
      </c>
      <c r="G5571" s="2" t="s">
        <v>7322</v>
      </c>
      <c r="H5571" s="14">
        <v>0.84</v>
      </c>
      <c r="I5571" s="2" t="s">
        <v>6587</v>
      </c>
      <c r="J5571" s="2" t="s">
        <v>13</v>
      </c>
      <c r="K5571" s="2" t="s">
        <v>1452</v>
      </c>
      <c r="L5571" s="2" t="s">
        <v>5221</v>
      </c>
      <c r="M5571" s="2" t="s">
        <v>5221</v>
      </c>
      <c r="N5571" s="2" t="s">
        <v>2317</v>
      </c>
      <c r="O5571" s="14">
        <v>3100</v>
      </c>
      <c r="P5571" s="14">
        <v>96.19</v>
      </c>
      <c r="Q5571" s="14">
        <v>118.11</v>
      </c>
      <c r="R5571" s="14">
        <v>99.21</v>
      </c>
      <c r="S5571" s="2" t="s">
        <v>1418</v>
      </c>
      <c r="T5571" s="2">
        <v>1.4</v>
      </c>
      <c r="U5571" s="2">
        <v>67.2</v>
      </c>
      <c r="V5571" s="2">
        <v>64</v>
      </c>
      <c r="W5571" s="2" t="s">
        <v>7862</v>
      </c>
      <c r="X5571" s="2" t="s">
        <v>2897</v>
      </c>
      <c r="Y5571" s="2">
        <v>2604</v>
      </c>
      <c r="Z5571" s="19" t="str">
        <f>HYPERLINK("https://ssdweb.co/ssdweb/hd/Vision360.html?d=924410845&amp;zoomslide=1&amp;z=1924410845&amp;ISCONFIRM=0","VIDEO")</f>
        <v>VIDEO</v>
      </c>
      <c r="AA5571" s="19" t="str">
        <f>HYPERLINK("https://ssdweb.co/ssdweb/CERTH/598353192.pdf","CERTI")</f>
        <v>CERTI</v>
      </c>
    </row>
    <row r="5572" spans="1:27" ht="15" x14ac:dyDescent="0.25">
      <c r="A5572" s="2">
        <v>5567</v>
      </c>
      <c r="B5572" s="39">
        <v>831020263</v>
      </c>
      <c r="C5572" s="28" t="str">
        <f>HYPERLINK("https://pld.live/RapDetail.aspx?STONELIST=831020263","DNA")</f>
        <v>DNA</v>
      </c>
      <c r="D5572" s="18" t="s">
        <v>5715</v>
      </c>
      <c r="E5572" s="18" t="s">
        <v>2186</v>
      </c>
      <c r="F5572" s="2" t="s">
        <v>7987</v>
      </c>
      <c r="G5572" s="2" t="s">
        <v>7322</v>
      </c>
      <c r="H5572" s="14">
        <v>0.84</v>
      </c>
      <c r="I5572" s="2" t="s">
        <v>6587</v>
      </c>
      <c r="J5572" s="2" t="s">
        <v>13</v>
      </c>
      <c r="K5572" s="2" t="s">
        <v>1452</v>
      </c>
      <c r="L5572" s="2" t="s">
        <v>5221</v>
      </c>
      <c r="M5572" s="2" t="s">
        <v>5221</v>
      </c>
      <c r="N5572" s="2" t="s">
        <v>2317</v>
      </c>
      <c r="O5572" s="14">
        <v>3100</v>
      </c>
      <c r="P5572" s="14">
        <v>96.19</v>
      </c>
      <c r="Q5572" s="14">
        <v>118.11</v>
      </c>
      <c r="R5572" s="14">
        <v>99.21</v>
      </c>
      <c r="S5572" s="2" t="s">
        <v>881</v>
      </c>
      <c r="T5572" s="2">
        <v>1.46</v>
      </c>
      <c r="U5572" s="2">
        <v>66.8</v>
      </c>
      <c r="V5572" s="2">
        <v>65</v>
      </c>
      <c r="W5572" s="2" t="s">
        <v>7862</v>
      </c>
      <c r="X5572" s="2" t="s">
        <v>2897</v>
      </c>
      <c r="Y5572" s="2">
        <v>2604</v>
      </c>
      <c r="Z5572" s="19" t="str">
        <f>HYPERLINK("https://ssdweb.co/ssdweb/hd/Vision360.html?d=831020263&amp;zoomslide=1&amp;z=1831020263&amp;ISCONFIRM=0","VIDEO")</f>
        <v>VIDEO</v>
      </c>
      <c r="AA5572" s="19" t="str">
        <f>HYPERLINK("https://ssdweb.co/ssdweb/CERTH/567357030.pdf","CERTI")</f>
        <v>CERTI</v>
      </c>
    </row>
    <row r="5573" spans="1:27" ht="15" x14ac:dyDescent="0.25">
      <c r="A5573" s="2">
        <v>5568</v>
      </c>
      <c r="B5573" s="39">
        <v>925030353</v>
      </c>
      <c r="C5573" s="28" t="str">
        <f>HYPERLINK("https://pld.live/RapDetail.aspx?STONELIST=925030353","DNA")</f>
        <v>DNA</v>
      </c>
      <c r="D5573" s="18" t="s">
        <v>5715</v>
      </c>
      <c r="E5573" s="18" t="s">
        <v>5128</v>
      </c>
      <c r="F5573" s="2" t="s">
        <v>7987</v>
      </c>
      <c r="G5573" s="2" t="s">
        <v>7322</v>
      </c>
      <c r="H5573" s="14">
        <v>0.82</v>
      </c>
      <c r="I5573" s="2" t="s">
        <v>267</v>
      </c>
      <c r="J5573" s="2" t="s">
        <v>6555</v>
      </c>
      <c r="K5573" s="2" t="s">
        <v>1452</v>
      </c>
      <c r="L5573" s="2" t="s">
        <v>5221</v>
      </c>
      <c r="M5573" s="2" t="s">
        <v>5221</v>
      </c>
      <c r="N5573" s="2" t="s">
        <v>2317</v>
      </c>
      <c r="O5573" s="14">
        <v>4300</v>
      </c>
      <c r="P5573" s="14">
        <v>96.35</v>
      </c>
      <c r="Q5573" s="14">
        <v>156.94999999999999</v>
      </c>
      <c r="R5573" s="14">
        <v>128.69999999999999</v>
      </c>
      <c r="S5573" s="2" t="s">
        <v>1777</v>
      </c>
      <c r="T5573" s="2">
        <v>1.41</v>
      </c>
      <c r="U5573" s="2">
        <v>65.099999999999994</v>
      </c>
      <c r="V5573" s="2">
        <v>65</v>
      </c>
      <c r="W5573" s="2" t="s">
        <v>7862</v>
      </c>
      <c r="X5573" s="2" t="s">
        <v>2897</v>
      </c>
      <c r="Y5573" s="2">
        <v>3526</v>
      </c>
      <c r="Z5573" s="19" t="str">
        <f>HYPERLINK("https://ssdweb.co/ssdweb/hd/Vision360.html?d=925030353&amp;zoomslide=1&amp;z=1925030353&amp;ISCONFIRM=0","VIDEO")</f>
        <v>VIDEO</v>
      </c>
      <c r="AA5573" s="19" t="str">
        <f>HYPERLINK("https://ssdweb.co/ssdweb/CERTH/611395859.pdf","CERTI")</f>
        <v>CERTI</v>
      </c>
    </row>
    <row r="5574" spans="1:27" ht="15" x14ac:dyDescent="0.25">
      <c r="A5574" s="2">
        <v>5569</v>
      </c>
      <c r="B5574" s="39">
        <v>831010674</v>
      </c>
      <c r="C5574" s="28" t="str">
        <f>HYPERLINK("https://pld.live/RapDetail.aspx?STONELIST=831010674","DNA")</f>
        <v>DNA</v>
      </c>
      <c r="D5574" s="18" t="s">
        <v>5715</v>
      </c>
      <c r="E5574" s="18" t="s">
        <v>5128</v>
      </c>
      <c r="F5574" s="2" t="s">
        <v>7987</v>
      </c>
      <c r="G5574" s="2" t="s">
        <v>7322</v>
      </c>
      <c r="H5574" s="14">
        <v>0.82</v>
      </c>
      <c r="I5574" s="2" t="s">
        <v>267</v>
      </c>
      <c r="J5574" s="2" t="s">
        <v>3942</v>
      </c>
      <c r="K5574" s="2" t="s">
        <v>1452</v>
      </c>
      <c r="L5574" s="2" t="s">
        <v>5221</v>
      </c>
      <c r="M5574" s="2" t="s">
        <v>5221</v>
      </c>
      <c r="N5574" s="2" t="s">
        <v>2317</v>
      </c>
      <c r="O5574" s="14">
        <v>4000</v>
      </c>
      <c r="P5574" s="14">
        <v>96.28</v>
      </c>
      <c r="Q5574" s="14">
        <v>148.80000000000001</v>
      </c>
      <c r="R5574" s="14">
        <v>122.02</v>
      </c>
      <c r="S5574" s="2" t="s">
        <v>4247</v>
      </c>
      <c r="T5574" s="2">
        <v>1.37</v>
      </c>
      <c r="U5574" s="2">
        <v>66.8</v>
      </c>
      <c r="V5574" s="2">
        <v>63</v>
      </c>
      <c r="W5574" s="2" t="s">
        <v>7862</v>
      </c>
      <c r="X5574" s="2" t="s">
        <v>2897</v>
      </c>
      <c r="Y5574" s="2">
        <v>3280</v>
      </c>
      <c r="Z5574" s="19" t="str">
        <f>HYPERLINK("https://ssdweb.co/ssdweb/hd/Vision360.html?d=831010674&amp;zoomslide=1&amp;z=1831010674&amp;ISCONFIRM=0","VIDEO")</f>
        <v>VIDEO</v>
      </c>
      <c r="AA5574" s="19" t="str">
        <f>HYPERLINK("https://ssdweb.co/ssdweb/CERTH/635427105.pdf","CERTI")</f>
        <v>CERTI</v>
      </c>
    </row>
    <row r="5575" spans="1:27" ht="15" x14ac:dyDescent="0.25">
      <c r="A5575" s="2">
        <v>5570</v>
      </c>
      <c r="B5575" s="39">
        <v>923690361</v>
      </c>
      <c r="C5575" s="28" t="str">
        <f>HYPERLINK("https://pld.live/RapDetail.aspx?STONELIST=923690361","DNA")</f>
        <v>DNA</v>
      </c>
      <c r="D5575" s="18" t="s">
        <v>5715</v>
      </c>
      <c r="E5575" s="18" t="s">
        <v>5128</v>
      </c>
      <c r="F5575" s="2" t="s">
        <v>7987</v>
      </c>
      <c r="G5575" s="2" t="s">
        <v>7322</v>
      </c>
      <c r="H5575" s="14">
        <v>0.82</v>
      </c>
      <c r="I5575" s="2" t="s">
        <v>267</v>
      </c>
      <c r="J5575" s="2" t="s">
        <v>2613</v>
      </c>
      <c r="K5575" s="2" t="s">
        <v>1452</v>
      </c>
      <c r="L5575" s="2" t="s">
        <v>5221</v>
      </c>
      <c r="M5575" s="2" t="s">
        <v>5221</v>
      </c>
      <c r="N5575" s="2" t="s">
        <v>2317</v>
      </c>
      <c r="O5575" s="14">
        <v>2400</v>
      </c>
      <c r="P5575" s="14">
        <v>95.21</v>
      </c>
      <c r="Q5575" s="14">
        <v>114.96</v>
      </c>
      <c r="R5575" s="14">
        <v>94.27</v>
      </c>
      <c r="S5575" s="2" t="s">
        <v>7329</v>
      </c>
      <c r="T5575" s="2">
        <v>1.45</v>
      </c>
      <c r="U5575" s="2">
        <v>67</v>
      </c>
      <c r="V5575" s="2">
        <v>61.5</v>
      </c>
      <c r="W5575" s="2" t="s">
        <v>7862</v>
      </c>
      <c r="X5575" s="2" t="s">
        <v>2897</v>
      </c>
      <c r="Y5575" s="2">
        <v>1968</v>
      </c>
      <c r="Z5575" s="19" t="str">
        <f>HYPERLINK("https://ssdweb.co/ssdweb/hd/Vision360.html?d=923690361&amp;zoomslide=1&amp;z=1923690361&amp;ISCONFIRM=0","VIDEO")</f>
        <v>VIDEO</v>
      </c>
      <c r="AA5575" s="19" t="str">
        <f>HYPERLINK("https://ssdweb.co/ssdweb/CERTH/571302912.pdf","CERTI")</f>
        <v>CERTI</v>
      </c>
    </row>
    <row r="5576" spans="1:27" ht="15" x14ac:dyDescent="0.25">
      <c r="A5576" s="2">
        <v>5571</v>
      </c>
      <c r="B5576" s="39">
        <v>924780321</v>
      </c>
      <c r="C5576" s="28" t="str">
        <f>HYPERLINK("https://pld.live/RapDetail.aspx?STONELIST=924780321","DNA")</f>
        <v>DNA</v>
      </c>
      <c r="D5576" s="18" t="s">
        <v>5715</v>
      </c>
      <c r="E5576" s="18" t="s">
        <v>2186</v>
      </c>
      <c r="F5576" s="2" t="s">
        <v>7987</v>
      </c>
      <c r="G5576" s="2" t="s">
        <v>7322</v>
      </c>
      <c r="H5576" s="14">
        <v>0.82</v>
      </c>
      <c r="I5576" s="2" t="s">
        <v>4699</v>
      </c>
      <c r="J5576" s="2" t="s">
        <v>13</v>
      </c>
      <c r="K5576" s="2" t="s">
        <v>1452</v>
      </c>
      <c r="L5576" s="2" t="s">
        <v>5221</v>
      </c>
      <c r="M5576" s="2" t="s">
        <v>5221</v>
      </c>
      <c r="N5576" s="2" t="s">
        <v>2317</v>
      </c>
      <c r="O5576" s="14">
        <v>3300</v>
      </c>
      <c r="P5576" s="14">
        <v>96.33</v>
      </c>
      <c r="Q5576" s="14">
        <v>121.11</v>
      </c>
      <c r="R5576" s="14">
        <v>99.31</v>
      </c>
      <c r="S5576" s="2" t="s">
        <v>7858</v>
      </c>
      <c r="T5576" s="2">
        <v>1.46</v>
      </c>
      <c r="U5576" s="2">
        <v>65.8</v>
      </c>
      <c r="V5576" s="2">
        <v>65</v>
      </c>
      <c r="W5576" s="2" t="s">
        <v>7862</v>
      </c>
      <c r="X5576" s="2" t="s">
        <v>2897</v>
      </c>
      <c r="Y5576" s="2">
        <v>2706</v>
      </c>
      <c r="Z5576" s="19" t="str">
        <f>HYPERLINK("https://ssdweb.co/ssdweb/hd/Vision360.html?d=924780321&amp;zoomslide=1&amp;z=1924780321&amp;ISCONFIRM=0","VIDEO")</f>
        <v>VIDEO</v>
      </c>
      <c r="AA5576" s="19" t="str">
        <f>HYPERLINK("https://ssdweb.co/ssdweb/CERTH/603352287.pdf","CERTI")</f>
        <v>CERTI</v>
      </c>
    </row>
    <row r="5577" spans="1:27" ht="15" x14ac:dyDescent="0.25">
      <c r="A5577" s="2">
        <v>5572</v>
      </c>
      <c r="B5577" s="39">
        <v>924780437</v>
      </c>
      <c r="C5577" s="28" t="str">
        <f>HYPERLINK("https://pld.live/RapDetail.aspx?STONELIST=924780437","DNA")</f>
        <v>DNA</v>
      </c>
      <c r="D5577" s="18" t="s">
        <v>5715</v>
      </c>
      <c r="E5577" s="18" t="s">
        <v>2186</v>
      </c>
      <c r="F5577" s="2" t="s">
        <v>7987</v>
      </c>
      <c r="G5577" s="2" t="s">
        <v>7322</v>
      </c>
      <c r="H5577" s="14">
        <v>0.82</v>
      </c>
      <c r="I5577" s="2" t="s">
        <v>1505</v>
      </c>
      <c r="J5577" s="2" t="s">
        <v>13</v>
      </c>
      <c r="K5577" s="2" t="s">
        <v>1452</v>
      </c>
      <c r="L5577" s="2" t="s">
        <v>5221</v>
      </c>
      <c r="M5577" s="2" t="s">
        <v>5221</v>
      </c>
      <c r="N5577" s="2" t="s">
        <v>2317</v>
      </c>
      <c r="O5577" s="14">
        <v>2800</v>
      </c>
      <c r="P5577" s="14">
        <v>95.89</v>
      </c>
      <c r="Q5577" s="14">
        <v>115.08</v>
      </c>
      <c r="R5577" s="14">
        <v>94.37</v>
      </c>
      <c r="S5577" s="2" t="s">
        <v>6243</v>
      </c>
      <c r="T5577" s="2">
        <v>1.44</v>
      </c>
      <c r="U5577" s="2">
        <v>67.2</v>
      </c>
      <c r="V5577" s="2">
        <v>64</v>
      </c>
      <c r="W5577" s="2" t="s">
        <v>7862</v>
      </c>
      <c r="X5577" s="2" t="s">
        <v>2897</v>
      </c>
      <c r="Y5577" s="2">
        <v>2296</v>
      </c>
      <c r="Z5577" s="19" t="str">
        <f>HYPERLINK("https://ssdweb.co/ssdweb/hd/Vision360.html?d=924780437&amp;zoomslide=1&amp;z=1924780437&amp;ISCONFIRM=0","VIDEO")</f>
        <v>VIDEO</v>
      </c>
      <c r="AA5577" s="19" t="str">
        <f>HYPERLINK("https://ssdweb.co/ssdweb/CERTH/604303773.pdf","CERTI")</f>
        <v>CERTI</v>
      </c>
    </row>
    <row r="5578" spans="1:27" ht="15" x14ac:dyDescent="0.25">
      <c r="A5578" s="2">
        <v>5573</v>
      </c>
      <c r="B5578" s="39">
        <v>926250017</v>
      </c>
      <c r="C5578" s="28" t="str">
        <f>HYPERLINK("https://pld.live/RapDetail.aspx?STONELIST=926250017","DNA")</f>
        <v>DNA</v>
      </c>
      <c r="D5578" s="18" t="s">
        <v>5715</v>
      </c>
      <c r="E5578" s="18" t="s">
        <v>5128</v>
      </c>
      <c r="F5578" s="2" t="s">
        <v>7987</v>
      </c>
      <c r="G5578" s="2" t="s">
        <v>7322</v>
      </c>
      <c r="H5578" s="14">
        <v>0.81</v>
      </c>
      <c r="I5578" s="2" t="s">
        <v>267</v>
      </c>
      <c r="J5578" s="2" t="s">
        <v>5144</v>
      </c>
      <c r="K5578" s="2" t="s">
        <v>1452</v>
      </c>
      <c r="L5578" s="2" t="s">
        <v>5221</v>
      </c>
      <c r="M5578" s="2" t="s">
        <v>5221</v>
      </c>
      <c r="N5578" s="2" t="s">
        <v>2317</v>
      </c>
      <c r="O5578" s="14">
        <v>3400</v>
      </c>
      <c r="P5578" s="14">
        <v>96.29</v>
      </c>
      <c r="Q5578" s="14">
        <v>126.14</v>
      </c>
      <c r="R5578" s="14">
        <v>102.17</v>
      </c>
      <c r="S5578" s="2" t="s">
        <v>6001</v>
      </c>
      <c r="T5578" s="2">
        <v>1.43</v>
      </c>
      <c r="U5578" s="2">
        <v>66.400000000000006</v>
      </c>
      <c r="V5578" s="2">
        <v>68</v>
      </c>
      <c r="W5578" s="2" t="s">
        <v>7862</v>
      </c>
      <c r="X5578" s="2" t="s">
        <v>2897</v>
      </c>
      <c r="Y5578" s="2">
        <v>2754</v>
      </c>
      <c r="Z5578" s="19" t="str">
        <f>HYPERLINK("https://ssdweb.co/ssdweb/hd/Vision360.html?d=926250017&amp;zoomslide=1&amp;z=1926250017&amp;ISCONFIRM=0","VIDEO")</f>
        <v>VIDEO</v>
      </c>
      <c r="AA5578" s="19" t="str">
        <f>HYPERLINK("https://ssdweb.co/ssdweb/CERTH/635427073.pdf","CERTI")</f>
        <v>CERTI</v>
      </c>
    </row>
    <row r="5579" spans="1:27" ht="15" x14ac:dyDescent="0.25">
      <c r="A5579" s="2">
        <v>5574</v>
      </c>
      <c r="B5579" s="39">
        <v>926310724</v>
      </c>
      <c r="C5579" s="28" t="str">
        <f>HYPERLINK("https://pld.live/RapDetail.aspx?STONELIST=926310724","DNA")</f>
        <v>DNA</v>
      </c>
      <c r="D5579" s="18" t="s">
        <v>5715</v>
      </c>
      <c r="E5579" s="18" t="s">
        <v>5128</v>
      </c>
      <c r="F5579" s="2" t="s">
        <v>7987</v>
      </c>
      <c r="G5579" s="2" t="s">
        <v>7322</v>
      </c>
      <c r="H5579" s="14">
        <v>0.81</v>
      </c>
      <c r="I5579" s="2" t="s">
        <v>4761</v>
      </c>
      <c r="J5579" s="2" t="s">
        <v>3942</v>
      </c>
      <c r="K5579" s="2" t="s">
        <v>1452</v>
      </c>
      <c r="L5579" s="2" t="s">
        <v>5221</v>
      </c>
      <c r="M5579" s="2" t="s">
        <v>5221</v>
      </c>
      <c r="N5579" s="2" t="s">
        <v>2317</v>
      </c>
      <c r="O5579" s="14">
        <v>3800</v>
      </c>
      <c r="P5579" s="14">
        <v>96.29</v>
      </c>
      <c r="Q5579" s="14">
        <v>140.97999999999999</v>
      </c>
      <c r="R5579" s="14">
        <v>114.19</v>
      </c>
      <c r="S5579" s="2" t="s">
        <v>4424</v>
      </c>
      <c r="T5579" s="2">
        <v>1.36</v>
      </c>
      <c r="U5579" s="2">
        <v>67.7</v>
      </c>
      <c r="V5579" s="2">
        <v>60</v>
      </c>
      <c r="W5579" s="2" t="s">
        <v>7862</v>
      </c>
      <c r="X5579" s="2" t="s">
        <v>2897</v>
      </c>
      <c r="Y5579" s="2">
        <v>3078</v>
      </c>
      <c r="Z5579" s="19" t="str">
        <f>HYPERLINK("https://ssdweb.co/ssdweb/hd/Vision360.html?d=926310724&amp;zoomslide=1&amp;z=1926310724&amp;ISCONFIRM=0","VIDEO")</f>
        <v>VIDEO</v>
      </c>
      <c r="AA5579" s="19" t="str">
        <f>HYPERLINK("https://ssdweb.co/ssdweb/CERTH/639406066.pdf","CERTI")</f>
        <v>CERTI</v>
      </c>
    </row>
    <row r="5580" spans="1:27" ht="15" x14ac:dyDescent="0.25">
      <c r="A5580" s="2">
        <v>5575</v>
      </c>
      <c r="B5580" s="39">
        <v>924590347</v>
      </c>
      <c r="C5580" s="28" t="str">
        <f>HYPERLINK("https://pld.live/RapDetail.aspx?STONELIST=924590347","DNA")</f>
        <v>DNA</v>
      </c>
      <c r="D5580" s="18" t="s">
        <v>5715</v>
      </c>
      <c r="E5580" s="18" t="s">
        <v>2186</v>
      </c>
      <c r="F5580" s="2" t="s">
        <v>7987</v>
      </c>
      <c r="G5580" s="2" t="s">
        <v>7322</v>
      </c>
      <c r="H5580" s="14">
        <v>0.81</v>
      </c>
      <c r="I5580" s="2" t="s">
        <v>4699</v>
      </c>
      <c r="J5580" s="2" t="s">
        <v>5144</v>
      </c>
      <c r="K5580" s="2" t="s">
        <v>1452</v>
      </c>
      <c r="L5580" s="2" t="s">
        <v>5221</v>
      </c>
      <c r="M5580" s="2" t="s">
        <v>5221</v>
      </c>
      <c r="N5580" s="2" t="s">
        <v>2317</v>
      </c>
      <c r="O5580" s="14">
        <v>3000</v>
      </c>
      <c r="P5580" s="14">
        <v>96.2</v>
      </c>
      <c r="Q5580" s="14">
        <v>114</v>
      </c>
      <c r="R5580" s="14">
        <v>92.34</v>
      </c>
      <c r="S5580" s="2" t="s">
        <v>714</v>
      </c>
      <c r="T5580" s="2">
        <v>1.45</v>
      </c>
      <c r="U5580" s="2">
        <v>65.099999999999994</v>
      </c>
      <c r="V5580" s="2">
        <v>66</v>
      </c>
      <c r="W5580" s="2" t="s">
        <v>7862</v>
      </c>
      <c r="X5580" s="2" t="s">
        <v>2897</v>
      </c>
      <c r="Y5580" s="2">
        <v>2430</v>
      </c>
      <c r="Z5580" s="19" t="str">
        <f>HYPERLINK("https://ssdweb.co/ssdweb/hd/Vision360.html?d=924590347&amp;zoomslide=1&amp;z=1924590347&amp;ISCONFIRM=0","VIDEO")</f>
        <v>VIDEO</v>
      </c>
      <c r="AA5580" s="19" t="str">
        <f>HYPERLINK("https://ssdweb.co/ssdweb/CERTH/601323528.pdf","CERTI")</f>
        <v>CERTI</v>
      </c>
    </row>
    <row r="5581" spans="1:27" ht="15" x14ac:dyDescent="0.25">
      <c r="A5581" s="2">
        <v>5576</v>
      </c>
      <c r="B5581" s="39">
        <v>924480038</v>
      </c>
      <c r="C5581" s="28" t="str">
        <f>HYPERLINK("https://pld.live/RapDetail.aspx?STONELIST=924480038","DNA")</f>
        <v>DNA</v>
      </c>
      <c r="D5581" s="18" t="s">
        <v>5715</v>
      </c>
      <c r="E5581" s="18" t="s">
        <v>2186</v>
      </c>
      <c r="F5581" s="2" t="s">
        <v>7987</v>
      </c>
      <c r="G5581" s="2" t="s">
        <v>7322</v>
      </c>
      <c r="H5581" s="14">
        <v>0.81</v>
      </c>
      <c r="I5581" s="2" t="s">
        <v>1505</v>
      </c>
      <c r="J5581" s="2" t="s">
        <v>13</v>
      </c>
      <c r="K5581" s="2" t="s">
        <v>1452</v>
      </c>
      <c r="L5581" s="2" t="s">
        <v>5221</v>
      </c>
      <c r="M5581" s="2" t="s">
        <v>5221</v>
      </c>
      <c r="N5581" s="2" t="s">
        <v>2317</v>
      </c>
      <c r="O5581" s="14">
        <v>2800</v>
      </c>
      <c r="P5581" s="14">
        <v>95.89</v>
      </c>
      <c r="Q5581" s="14">
        <v>115.08</v>
      </c>
      <c r="R5581" s="14">
        <v>93.21</v>
      </c>
      <c r="S5581" s="2" t="s">
        <v>2409</v>
      </c>
      <c r="T5581" s="2">
        <v>1.41</v>
      </c>
      <c r="U5581" s="2">
        <v>66.099999999999994</v>
      </c>
      <c r="V5581" s="2">
        <v>64</v>
      </c>
      <c r="W5581" s="2" t="s">
        <v>7862</v>
      </c>
      <c r="X5581" s="2" t="s">
        <v>2897</v>
      </c>
      <c r="Y5581" s="2">
        <v>2268</v>
      </c>
      <c r="Z5581" s="19" t="str">
        <f>HYPERLINK("https://ssdweb.co/ssdweb/hd/Vision360.html?d=924480038&amp;zoomslide=1&amp;z=1924480038&amp;ISCONFIRM=0","VIDEO")</f>
        <v>VIDEO</v>
      </c>
      <c r="AA5581" s="19" t="str">
        <f>HYPERLINK("https://ssdweb.co/ssdweb/CERTH/598388500.pdf","CERTI")</f>
        <v>CERTI</v>
      </c>
    </row>
    <row r="5582" spans="1:27" ht="15" x14ac:dyDescent="0.25">
      <c r="A5582" s="2">
        <v>5577</v>
      </c>
      <c r="B5582" s="39">
        <v>926210831</v>
      </c>
      <c r="C5582" s="28" t="str">
        <f>HYPERLINK("https://pld.live/RapDetail.aspx?STONELIST=926210831","DNA")</f>
        <v>DNA</v>
      </c>
      <c r="D5582" s="18" t="s">
        <v>5715</v>
      </c>
      <c r="E5582" s="18" t="s">
        <v>5128</v>
      </c>
      <c r="F5582" s="2" t="s">
        <v>7987</v>
      </c>
      <c r="G5582" s="2" t="s">
        <v>7322</v>
      </c>
      <c r="H5582" s="14">
        <v>0.8</v>
      </c>
      <c r="I5582" s="2" t="s">
        <v>267</v>
      </c>
      <c r="J5582" s="2" t="s">
        <v>3942</v>
      </c>
      <c r="K5582" s="2" t="s">
        <v>1452</v>
      </c>
      <c r="L5582" s="2" t="s">
        <v>5221</v>
      </c>
      <c r="M5582" s="2" t="s">
        <v>5221</v>
      </c>
      <c r="N5582" s="2" t="s">
        <v>2317</v>
      </c>
      <c r="O5582" s="14">
        <v>4000</v>
      </c>
      <c r="P5582" s="14">
        <v>96.28</v>
      </c>
      <c r="Q5582" s="14">
        <v>148.80000000000001</v>
      </c>
      <c r="R5582" s="14">
        <v>119.04</v>
      </c>
      <c r="S5582" s="2" t="s">
        <v>6966</v>
      </c>
      <c r="T5582" s="2">
        <v>1.45</v>
      </c>
      <c r="U5582" s="2">
        <v>65.900000000000006</v>
      </c>
      <c r="V5582" s="2">
        <v>60</v>
      </c>
      <c r="W5582" s="2" t="s">
        <v>7862</v>
      </c>
      <c r="X5582" s="2" t="s">
        <v>2897</v>
      </c>
      <c r="Y5582" s="2">
        <v>3200</v>
      </c>
      <c r="Z5582" s="19" t="str">
        <f>HYPERLINK("https://ssdweb.co/ssdweb/hd/Vision360.html?d=926210831&amp;zoomslide=1&amp;z=1926210831&amp;ISCONFIRM=0","VIDEO")</f>
        <v>VIDEO</v>
      </c>
      <c r="AA5582" s="19" t="str">
        <f>HYPERLINK("https://ssdweb.co/ssdweb/CERTH/635423799.pdf","CERTI")</f>
        <v>CERTI</v>
      </c>
    </row>
    <row r="5583" spans="1:27" ht="15" x14ac:dyDescent="0.25">
      <c r="A5583" s="2">
        <v>5578</v>
      </c>
      <c r="B5583" s="39">
        <v>924920410</v>
      </c>
      <c r="C5583" s="28" t="str">
        <f>HYPERLINK("https://pld.live/RapDetail.aspx?STONELIST=924920410","DNA")</f>
        <v>DNA</v>
      </c>
      <c r="D5583" s="18" t="s">
        <v>5715</v>
      </c>
      <c r="E5583" s="18" t="s">
        <v>2186</v>
      </c>
      <c r="F5583" s="2" t="s">
        <v>7987</v>
      </c>
      <c r="G5583" s="2" t="s">
        <v>7322</v>
      </c>
      <c r="H5583" s="14">
        <v>0.8</v>
      </c>
      <c r="I5583" s="2" t="s">
        <v>4699</v>
      </c>
      <c r="J5583" s="2" t="s">
        <v>5144</v>
      </c>
      <c r="K5583" s="2" t="s">
        <v>1452</v>
      </c>
      <c r="L5583" s="2" t="s">
        <v>5221</v>
      </c>
      <c r="M5583" s="2" t="s">
        <v>5221</v>
      </c>
      <c r="N5583" s="2" t="s">
        <v>2317</v>
      </c>
      <c r="O5583" s="14">
        <v>3000</v>
      </c>
      <c r="P5583" s="14">
        <v>96.2</v>
      </c>
      <c r="Q5583" s="14">
        <v>114</v>
      </c>
      <c r="R5583" s="14">
        <v>91.2</v>
      </c>
      <c r="S5583" s="2" t="s">
        <v>7997</v>
      </c>
      <c r="T5583" s="2">
        <v>1.44</v>
      </c>
      <c r="U5583" s="2">
        <v>65.2</v>
      </c>
      <c r="V5583" s="2">
        <v>66</v>
      </c>
      <c r="W5583" s="2" t="s">
        <v>7862</v>
      </c>
      <c r="X5583" s="2" t="s">
        <v>2897</v>
      </c>
      <c r="Y5583" s="2">
        <v>2400</v>
      </c>
      <c r="Z5583" s="19" t="str">
        <f>HYPERLINK("https://ssdweb.co/ssdweb/hd/Vision360.html?d=924920410&amp;zoomslide=1&amp;z=1924920410&amp;ISCONFIRM=0","VIDEO")</f>
        <v>VIDEO</v>
      </c>
      <c r="AA5583" s="19" t="str">
        <f>HYPERLINK("https://ssdweb.co/ssdweb/CERTH/607378441.pdf","CERTI")</f>
        <v>CERTI</v>
      </c>
    </row>
    <row r="5584" spans="1:27" ht="15" x14ac:dyDescent="0.25">
      <c r="A5584" s="2">
        <v>5579</v>
      </c>
      <c r="B5584" s="39">
        <v>924290558</v>
      </c>
      <c r="C5584" s="28" t="str">
        <f>HYPERLINK("https://pld.live/RapDetail.aspx?STONELIST=924290558","DNA")</f>
        <v>DNA</v>
      </c>
      <c r="D5584" s="18" t="s">
        <v>5715</v>
      </c>
      <c r="E5584" s="18" t="s">
        <v>2186</v>
      </c>
      <c r="F5584" s="2" t="s">
        <v>7987</v>
      </c>
      <c r="G5584" s="2" t="s">
        <v>7322</v>
      </c>
      <c r="H5584" s="14">
        <v>0.8</v>
      </c>
      <c r="I5584" s="2" t="s">
        <v>6845</v>
      </c>
      <c r="J5584" s="2" t="s">
        <v>3942</v>
      </c>
      <c r="K5584" s="2" t="s">
        <v>1452</v>
      </c>
      <c r="L5584" s="2" t="s">
        <v>5221</v>
      </c>
      <c r="M5584" s="2" t="s">
        <v>5221</v>
      </c>
      <c r="N5584" s="2" t="s">
        <v>2317</v>
      </c>
      <c r="O5584" s="14">
        <v>1800</v>
      </c>
      <c r="P5584" s="14">
        <v>89.17</v>
      </c>
      <c r="Q5584" s="14">
        <v>194.94</v>
      </c>
      <c r="R5584" s="14">
        <v>155.94999999999999</v>
      </c>
      <c r="S5584" s="2" t="s">
        <v>4439</v>
      </c>
      <c r="T5584" s="2">
        <v>1.47</v>
      </c>
      <c r="U5584" s="2">
        <v>67.099999999999994</v>
      </c>
      <c r="V5584" s="2">
        <v>63</v>
      </c>
      <c r="W5584" s="2" t="s">
        <v>7862</v>
      </c>
      <c r="X5584" s="2" t="s">
        <v>2897</v>
      </c>
      <c r="Y5584" s="2">
        <v>1440</v>
      </c>
      <c r="Z5584" s="19" t="str">
        <f>HYPERLINK("https://ssdweb.co/ssdweb/hd/Vision360.html?d=924290558&amp;zoomslide=1&amp;z=1924290558&amp;ISCONFIRM=0","VIDEO")</f>
        <v>VIDEO</v>
      </c>
      <c r="AA5584" s="19" t="str">
        <f>HYPERLINK("https://ssdweb.co/ssdweb/CERTH/598326986.pdf","CERTI")</f>
        <v>CERTI</v>
      </c>
    </row>
    <row r="5585" spans="1:27" ht="15" x14ac:dyDescent="0.25">
      <c r="A5585" s="2">
        <v>5580</v>
      </c>
      <c r="B5585" s="39">
        <v>924900236</v>
      </c>
      <c r="C5585" s="28" t="str">
        <f>HYPERLINK("https://pld.live/RapDetail.aspx?STONELIST=924900236","DNA")</f>
        <v>DNA</v>
      </c>
      <c r="D5585" s="18" t="s">
        <v>5847</v>
      </c>
      <c r="E5585" s="18" t="s">
        <v>5128</v>
      </c>
      <c r="F5585" s="2" t="s">
        <v>7987</v>
      </c>
      <c r="G5585" s="2" t="s">
        <v>7322</v>
      </c>
      <c r="H5585" s="14">
        <v>0.79</v>
      </c>
      <c r="I5585" s="2" t="s">
        <v>267</v>
      </c>
      <c r="J5585" s="2" t="s">
        <v>5144</v>
      </c>
      <c r="K5585" s="2" t="s">
        <v>1452</v>
      </c>
      <c r="L5585" s="2" t="s">
        <v>5221</v>
      </c>
      <c r="M5585" s="2" t="s">
        <v>5221</v>
      </c>
      <c r="N5585" s="2" t="s">
        <v>2317</v>
      </c>
      <c r="O5585" s="14">
        <v>3400</v>
      </c>
      <c r="P5585" s="14">
        <v>96.21</v>
      </c>
      <c r="Q5585" s="14">
        <v>128.86000000000001</v>
      </c>
      <c r="R5585" s="14">
        <v>101.8</v>
      </c>
      <c r="S5585" s="2" t="s">
        <v>821</v>
      </c>
      <c r="T5585" s="2">
        <v>1.4</v>
      </c>
      <c r="U5585" s="2">
        <v>65.900000000000006</v>
      </c>
      <c r="V5585" s="2">
        <v>62</v>
      </c>
      <c r="W5585" s="2" t="s">
        <v>7862</v>
      </c>
      <c r="X5585" s="2" t="s">
        <v>2897</v>
      </c>
      <c r="Y5585" s="2">
        <v>2686</v>
      </c>
      <c r="Z5585" s="19" t="str">
        <f>HYPERLINK("https://ssdweb.co/ssdweb/hd/Vision360.html?d=924900236&amp;zoomslide=1&amp;z=1924900236&amp;ISCONFIRM=0","VIDEO")</f>
        <v>VIDEO</v>
      </c>
      <c r="AA5585" s="19" t="str">
        <f>HYPERLINK("https://ssdweb.co/ssdweb/CERTH/607366044.pdf","CERTI")</f>
        <v>CERTI</v>
      </c>
    </row>
    <row r="5586" spans="1:27" ht="15" x14ac:dyDescent="0.25">
      <c r="A5586" s="2">
        <v>5581</v>
      </c>
      <c r="B5586" s="39">
        <v>924960367</v>
      </c>
      <c r="C5586" s="28" t="str">
        <f>HYPERLINK("https://pld.live/RapDetail.aspx?STONELIST=924960367","DNA")</f>
        <v>DNA</v>
      </c>
      <c r="D5586" s="18" t="s">
        <v>5847</v>
      </c>
      <c r="E5586" s="18" t="s">
        <v>5128</v>
      </c>
      <c r="F5586" s="2" t="s">
        <v>7987</v>
      </c>
      <c r="G5586" s="2" t="s">
        <v>7322</v>
      </c>
      <c r="H5586" s="14">
        <v>0.79</v>
      </c>
      <c r="I5586" s="2" t="s">
        <v>4761</v>
      </c>
      <c r="J5586" s="2" t="s">
        <v>3942</v>
      </c>
      <c r="K5586" s="2" t="s">
        <v>1452</v>
      </c>
      <c r="L5586" s="2" t="s">
        <v>5221</v>
      </c>
      <c r="M5586" s="2" t="s">
        <v>5221</v>
      </c>
      <c r="N5586" s="2" t="s">
        <v>2317</v>
      </c>
      <c r="O5586" s="14">
        <v>3800</v>
      </c>
      <c r="P5586" s="14">
        <v>96.26</v>
      </c>
      <c r="Q5586" s="14">
        <v>142.12</v>
      </c>
      <c r="R5586" s="14">
        <v>112.27</v>
      </c>
      <c r="S5586" s="2" t="s">
        <v>4268</v>
      </c>
      <c r="T5586" s="2">
        <v>1.4</v>
      </c>
      <c r="U5586" s="2">
        <v>65</v>
      </c>
      <c r="V5586" s="2">
        <v>63</v>
      </c>
      <c r="W5586" s="2" t="s">
        <v>7862</v>
      </c>
      <c r="X5586" s="2" t="s">
        <v>2897</v>
      </c>
      <c r="Y5586" s="2">
        <v>3002</v>
      </c>
      <c r="Z5586" s="19" t="str">
        <f>HYPERLINK("https://ssdweb.co/ssdweb/hd/Vision360.html?d=924960367&amp;zoomslide=1&amp;z=1924960367&amp;ISCONFIRM=0","VIDEO")</f>
        <v>VIDEO</v>
      </c>
      <c r="AA5586" s="19" t="str">
        <f>HYPERLINK("https://ssdweb.co/ssdweb/CERTH/606329866.pdf","CERTI")</f>
        <v>CERTI</v>
      </c>
    </row>
    <row r="5587" spans="1:27" ht="15" x14ac:dyDescent="0.25">
      <c r="A5587" s="2">
        <v>5582</v>
      </c>
      <c r="B5587" s="39">
        <v>924920428</v>
      </c>
      <c r="C5587" s="28" t="str">
        <f>HYPERLINK("https://pld.live/RapDetail.aspx?STONELIST=924920428","DNA")</f>
        <v>DNA</v>
      </c>
      <c r="D5587" s="18" t="s">
        <v>5847</v>
      </c>
      <c r="E5587" s="18" t="s">
        <v>2186</v>
      </c>
      <c r="F5587" s="2" t="s">
        <v>7987</v>
      </c>
      <c r="G5587" s="2" t="s">
        <v>7322</v>
      </c>
      <c r="H5587" s="14">
        <v>0.79</v>
      </c>
      <c r="I5587" s="2" t="s">
        <v>6845</v>
      </c>
      <c r="J5587" s="2" t="s">
        <v>13</v>
      </c>
      <c r="K5587" s="2" t="s">
        <v>1452</v>
      </c>
      <c r="L5587" s="2" t="s">
        <v>5221</v>
      </c>
      <c r="M5587" s="2" t="s">
        <v>5221</v>
      </c>
      <c r="N5587" s="2" t="s">
        <v>2317</v>
      </c>
      <c r="O5587" s="14">
        <v>1600</v>
      </c>
      <c r="P5587" s="14">
        <v>89.38</v>
      </c>
      <c r="Q5587" s="14">
        <v>169.92</v>
      </c>
      <c r="R5587" s="14">
        <v>134.24</v>
      </c>
      <c r="S5587" s="2" t="s">
        <v>2971</v>
      </c>
      <c r="T5587" s="2">
        <v>1.46</v>
      </c>
      <c r="U5587" s="2">
        <v>66.2</v>
      </c>
      <c r="V5587" s="2">
        <v>65</v>
      </c>
      <c r="W5587" s="2" t="s">
        <v>7862</v>
      </c>
      <c r="X5587" s="2" t="s">
        <v>2897</v>
      </c>
      <c r="Y5587" s="2">
        <v>1264</v>
      </c>
      <c r="Z5587" s="19" t="str">
        <f>HYPERLINK("https://ssdweb.co/ssdweb/hd/Vision360.html?d=924920428&amp;zoomslide=1&amp;z=1924920428&amp;ISCONFIRM=0","VIDEO")</f>
        <v>VIDEO</v>
      </c>
      <c r="AA5587" s="19" t="str">
        <f>HYPERLINK("https://ssdweb.co/ssdweb/CERTH/624499498.pdf","CERTI")</f>
        <v>CERTI</v>
      </c>
    </row>
    <row r="5588" spans="1:27" ht="15" x14ac:dyDescent="0.25">
      <c r="A5588" s="2">
        <v>5583</v>
      </c>
      <c r="B5588" s="39">
        <v>926420172</v>
      </c>
      <c r="C5588" s="28" t="str">
        <f>HYPERLINK("https://pld.live/RapDetail.aspx?STONELIST=926420172","DNA")</f>
        <v>DNA</v>
      </c>
      <c r="D5588" s="18" t="s">
        <v>5847</v>
      </c>
      <c r="E5588" s="18" t="s">
        <v>2186</v>
      </c>
      <c r="F5588" s="2" t="s">
        <v>7987</v>
      </c>
      <c r="G5588" s="2" t="s">
        <v>7322</v>
      </c>
      <c r="H5588" s="14">
        <v>0.78</v>
      </c>
      <c r="I5588" s="2" t="s">
        <v>4761</v>
      </c>
      <c r="J5588" s="2" t="s">
        <v>13</v>
      </c>
      <c r="K5588" s="2" t="s">
        <v>1452</v>
      </c>
      <c r="L5588" s="2" t="s">
        <v>5221</v>
      </c>
      <c r="M5588" s="2" t="s">
        <v>5721</v>
      </c>
      <c r="N5588" s="2" t="s">
        <v>2317</v>
      </c>
      <c r="O5588" s="14">
        <v>3500</v>
      </c>
      <c r="P5588" s="14">
        <v>96.11</v>
      </c>
      <c r="Q5588" s="14">
        <v>136.15</v>
      </c>
      <c r="R5588" s="14">
        <v>106.2</v>
      </c>
      <c r="S5588" s="2" t="s">
        <v>7117</v>
      </c>
      <c r="T5588" s="2">
        <v>1.42</v>
      </c>
      <c r="U5588" s="2">
        <v>67.400000000000006</v>
      </c>
      <c r="V5588" s="2">
        <v>65</v>
      </c>
      <c r="W5588" s="2" t="s">
        <v>7862</v>
      </c>
      <c r="X5588" s="2" t="s">
        <v>2897</v>
      </c>
      <c r="Y5588" s="2">
        <v>2730</v>
      </c>
      <c r="Z5588" s="19" t="str">
        <f>HYPERLINK("https://ssdweb.co/ssdweb/hd/Vision360.html?d=926420172&amp;zoomslide=1&amp;z=1926420172&amp;ISCONFIRM=0","VIDEO")</f>
        <v>VIDEO</v>
      </c>
      <c r="AA5588" s="19" t="str">
        <f>HYPERLINK("https://ssdweb.co/ssdweb/CERTH/642497669.pdf","CERTI")</f>
        <v>CERTI</v>
      </c>
    </row>
    <row r="5589" spans="1:27" ht="15" x14ac:dyDescent="0.25">
      <c r="A5589" s="2">
        <v>5584</v>
      </c>
      <c r="B5589" s="39">
        <v>924780333</v>
      </c>
      <c r="C5589" s="28" t="str">
        <f>HYPERLINK("https://pld.live/RapDetail.aspx?STONELIST=924780333","DNA")</f>
        <v>DNA</v>
      </c>
      <c r="D5589" s="18" t="s">
        <v>5847</v>
      </c>
      <c r="E5589" s="18" t="s">
        <v>2186</v>
      </c>
      <c r="F5589" s="2" t="s">
        <v>7987</v>
      </c>
      <c r="G5589" s="2" t="s">
        <v>7322</v>
      </c>
      <c r="H5589" s="14">
        <v>0.77</v>
      </c>
      <c r="I5589" s="2" t="s">
        <v>6587</v>
      </c>
      <c r="J5589" s="2" t="s">
        <v>3942</v>
      </c>
      <c r="K5589" s="2" t="s">
        <v>1452</v>
      </c>
      <c r="L5589" s="2" t="s">
        <v>5221</v>
      </c>
      <c r="M5589" s="2" t="s">
        <v>5221</v>
      </c>
      <c r="N5589" s="2" t="s">
        <v>2317</v>
      </c>
      <c r="O5589" s="14">
        <v>3300</v>
      </c>
      <c r="P5589" s="14">
        <v>96</v>
      </c>
      <c r="Q5589" s="14">
        <v>132</v>
      </c>
      <c r="R5589" s="14">
        <v>101.64</v>
      </c>
      <c r="S5589" s="2" t="s">
        <v>5260</v>
      </c>
      <c r="T5589" s="2">
        <v>1.41</v>
      </c>
      <c r="U5589" s="2">
        <v>66.3</v>
      </c>
      <c r="V5589" s="2">
        <v>64</v>
      </c>
      <c r="W5589" s="2" t="s">
        <v>7862</v>
      </c>
      <c r="X5589" s="2" t="s">
        <v>2897</v>
      </c>
      <c r="Y5589" s="2">
        <v>2541</v>
      </c>
      <c r="Z5589" s="19" t="str">
        <f>HYPERLINK("https://ssdweb.co/ssdweb/hd/Vision360.html?d=924780333&amp;zoomslide=1&amp;z=1924780333&amp;ISCONFIRM=0","VIDEO")</f>
        <v>VIDEO</v>
      </c>
      <c r="AA5589" s="19" t="str">
        <f>HYPERLINK("https://ssdweb.co/ssdweb/CERTH/603352415.pdf","CERTI")</f>
        <v>CERTI</v>
      </c>
    </row>
    <row r="5590" spans="1:27" ht="15" x14ac:dyDescent="0.25">
      <c r="A5590" s="2">
        <v>5585</v>
      </c>
      <c r="B5590" s="39">
        <v>924410883</v>
      </c>
      <c r="C5590" s="28" t="str">
        <f>HYPERLINK("https://pld.live/RapDetail.aspx?STONELIST=924410883","DNA")</f>
        <v>DNA</v>
      </c>
      <c r="D5590" s="18" t="s">
        <v>5847</v>
      </c>
      <c r="E5590" s="18" t="s">
        <v>2186</v>
      </c>
      <c r="F5590" s="2" t="s">
        <v>7987</v>
      </c>
      <c r="G5590" s="2" t="s">
        <v>7322</v>
      </c>
      <c r="H5590" s="14">
        <v>0.77</v>
      </c>
      <c r="I5590" s="2" t="s">
        <v>6587</v>
      </c>
      <c r="J5590" s="2" t="s">
        <v>3942</v>
      </c>
      <c r="K5590" s="2" t="s">
        <v>1452</v>
      </c>
      <c r="L5590" s="2" t="s">
        <v>5221</v>
      </c>
      <c r="M5590" s="2" t="s">
        <v>5221</v>
      </c>
      <c r="N5590" s="2" t="s">
        <v>2317</v>
      </c>
      <c r="O5590" s="14">
        <v>3300</v>
      </c>
      <c r="P5590" s="14">
        <v>96</v>
      </c>
      <c r="Q5590" s="14">
        <v>132</v>
      </c>
      <c r="R5590" s="14">
        <v>101.64</v>
      </c>
      <c r="S5590" s="2" t="s">
        <v>3208</v>
      </c>
      <c r="T5590" s="2">
        <v>1.46</v>
      </c>
      <c r="U5590" s="2">
        <v>67.400000000000006</v>
      </c>
      <c r="V5590" s="2">
        <v>66</v>
      </c>
      <c r="W5590" s="2" t="s">
        <v>7862</v>
      </c>
      <c r="X5590" s="2" t="s">
        <v>2897</v>
      </c>
      <c r="Y5590" s="2">
        <v>2541</v>
      </c>
      <c r="Z5590" s="19" t="str">
        <f>HYPERLINK("https://ssdweb.co/ssdweb/hd/Vision360.html?d=924410883&amp;zoomslide=1&amp;z=1924410883&amp;ISCONFIRM=0","VIDEO")</f>
        <v>VIDEO</v>
      </c>
      <c r="AA5590" s="19" t="str">
        <f>HYPERLINK("https://ssdweb.co/ssdweb/CERTH/600344331.pdf","CERTI")</f>
        <v>CERTI</v>
      </c>
    </row>
    <row r="5591" spans="1:27" ht="15" x14ac:dyDescent="0.25">
      <c r="A5591" s="2">
        <v>5586</v>
      </c>
      <c r="B5591" s="39">
        <v>924780327</v>
      </c>
      <c r="C5591" s="28" t="str">
        <f>HYPERLINK("https://pld.live/RapDetail.aspx?STONELIST=924780327","DNA")</f>
        <v>DNA</v>
      </c>
      <c r="D5591" s="18" t="s">
        <v>5847</v>
      </c>
      <c r="E5591" s="18" t="s">
        <v>2186</v>
      </c>
      <c r="F5591" s="2" t="s">
        <v>7987</v>
      </c>
      <c r="G5591" s="2" t="s">
        <v>7322</v>
      </c>
      <c r="H5591" s="14">
        <v>0.76</v>
      </c>
      <c r="I5591" s="2" t="s">
        <v>6845</v>
      </c>
      <c r="J5591" s="2" t="s">
        <v>3942</v>
      </c>
      <c r="K5591" s="2" t="s">
        <v>1452</v>
      </c>
      <c r="L5591" s="2" t="s">
        <v>5221</v>
      </c>
      <c r="M5591" s="2" t="s">
        <v>5221</v>
      </c>
      <c r="N5591" s="2" t="s">
        <v>2317</v>
      </c>
      <c r="O5591" s="14">
        <v>1800</v>
      </c>
      <c r="P5591" s="14">
        <v>89.72</v>
      </c>
      <c r="Q5591" s="14">
        <v>185.04</v>
      </c>
      <c r="R5591" s="14">
        <v>140.63</v>
      </c>
      <c r="S5591" s="2" t="s">
        <v>5957</v>
      </c>
      <c r="T5591" s="2">
        <v>1.46</v>
      </c>
      <c r="U5591" s="2">
        <v>67.099999999999994</v>
      </c>
      <c r="V5591" s="2">
        <v>65</v>
      </c>
      <c r="W5591" s="2" t="s">
        <v>7862</v>
      </c>
      <c r="X5591" s="2" t="s">
        <v>2897</v>
      </c>
      <c r="Y5591" s="2">
        <v>1368</v>
      </c>
      <c r="Z5591" s="19" t="str">
        <f>HYPERLINK("https://ssdweb.co/ssdweb/hd/Vision360.html?d=924780327&amp;zoomslide=1&amp;z=1924780327&amp;ISCONFIRM=0","VIDEO")</f>
        <v>VIDEO</v>
      </c>
      <c r="AA5591" s="19" t="str">
        <f>HYPERLINK("https://ssdweb.co/ssdweb/CERTH/627431607.pdf","CERTI")</f>
        <v>CERTI</v>
      </c>
    </row>
    <row r="5592" spans="1:27" ht="15" x14ac:dyDescent="0.25">
      <c r="A5592" s="2">
        <v>5587</v>
      </c>
      <c r="B5592" s="39">
        <v>924580329</v>
      </c>
      <c r="C5592" s="28" t="str">
        <f>HYPERLINK("https://pld.live/RapDetail.aspx?STONELIST=924580329","DNA")</f>
        <v>DNA</v>
      </c>
      <c r="D5592" s="18" t="s">
        <v>5847</v>
      </c>
      <c r="E5592" s="18" t="s">
        <v>5128</v>
      </c>
      <c r="F5592" s="2" t="s">
        <v>7987</v>
      </c>
      <c r="G5592" s="2" t="s">
        <v>7322</v>
      </c>
      <c r="H5592" s="14">
        <v>0.74</v>
      </c>
      <c r="I5592" s="2" t="s">
        <v>267</v>
      </c>
      <c r="J5592" s="2" t="s">
        <v>6555</v>
      </c>
      <c r="K5592" s="2" t="s">
        <v>1452</v>
      </c>
      <c r="L5592" s="2" t="s">
        <v>5221</v>
      </c>
      <c r="M5592" s="2" t="s">
        <v>5221</v>
      </c>
      <c r="N5592" s="2" t="s">
        <v>2317</v>
      </c>
      <c r="O5592" s="14">
        <v>4300</v>
      </c>
      <c r="P5592" s="14">
        <v>96.23</v>
      </c>
      <c r="Q5592" s="14">
        <v>162.11000000000001</v>
      </c>
      <c r="R5592" s="14">
        <v>119.96</v>
      </c>
      <c r="S5592" s="2" t="s">
        <v>2108</v>
      </c>
      <c r="T5592" s="2">
        <v>1.45</v>
      </c>
      <c r="U5592" s="2">
        <v>65.099999999999994</v>
      </c>
      <c r="V5592" s="2">
        <v>64</v>
      </c>
      <c r="W5592" s="2" t="s">
        <v>7862</v>
      </c>
      <c r="X5592" s="2" t="s">
        <v>2897</v>
      </c>
      <c r="Y5592" s="2">
        <v>3182</v>
      </c>
      <c r="Z5592" s="19" t="str">
        <f>HYPERLINK("https://ssdweb.co/ssdweb/hd/Vision360.html?d=924580329&amp;zoomslide=1&amp;z=1924580329&amp;ISCONFIRM=0","VIDEO")</f>
        <v>VIDEO</v>
      </c>
      <c r="AA5592" s="19" t="str">
        <f>HYPERLINK("https://ssdweb.co/ssdweb/CERTH/596330836.pdf","CERTI")</f>
        <v>CERTI</v>
      </c>
    </row>
    <row r="5593" spans="1:27" ht="15" x14ac:dyDescent="0.25">
      <c r="A5593" s="2">
        <v>5588</v>
      </c>
      <c r="B5593" s="39">
        <v>831010237</v>
      </c>
      <c r="C5593" s="28" t="str">
        <f>HYPERLINK("https://pld.live/RapDetail.aspx?STONELIST=831010237","DNA")</f>
        <v>DNA</v>
      </c>
      <c r="D5593" s="18" t="s">
        <v>5847</v>
      </c>
      <c r="E5593" s="18" t="s">
        <v>5128</v>
      </c>
      <c r="F5593" s="2" t="s">
        <v>7987</v>
      </c>
      <c r="G5593" s="2" t="s">
        <v>7322</v>
      </c>
      <c r="H5593" s="14">
        <v>0.74</v>
      </c>
      <c r="I5593" s="2" t="s">
        <v>267</v>
      </c>
      <c r="J5593" s="2" t="s">
        <v>3942</v>
      </c>
      <c r="K5593" s="2" t="s">
        <v>1452</v>
      </c>
      <c r="L5593" s="2" t="s">
        <v>5221</v>
      </c>
      <c r="M5593" s="2" t="s">
        <v>5221</v>
      </c>
      <c r="N5593" s="2" t="s">
        <v>2317</v>
      </c>
      <c r="O5593" s="14">
        <v>4000</v>
      </c>
      <c r="P5593" s="14">
        <v>96.2</v>
      </c>
      <c r="Q5593" s="14">
        <v>152</v>
      </c>
      <c r="R5593" s="14">
        <v>112.48</v>
      </c>
      <c r="S5593" s="2" t="s">
        <v>3353</v>
      </c>
      <c r="T5593" s="2">
        <v>1.46</v>
      </c>
      <c r="U5593" s="2">
        <v>64.599999999999994</v>
      </c>
      <c r="V5593" s="2">
        <v>62</v>
      </c>
      <c r="W5593" s="2" t="s">
        <v>7862</v>
      </c>
      <c r="X5593" s="2" t="s">
        <v>2897</v>
      </c>
      <c r="Y5593" s="2">
        <v>2960</v>
      </c>
      <c r="Z5593" s="19" t="str">
        <f>HYPERLINK("https://ssdweb.co/ssdweb/hd/Vision360.html?d=831010237&amp;zoomslide=1&amp;z=1831010237&amp;ISCONFIRM=0","VIDEO")</f>
        <v>VIDEO</v>
      </c>
      <c r="AA5593" s="19" t="str">
        <f>HYPERLINK("https://ssdweb.co/ssdweb/CERTH/603352324.pdf","CERTI")</f>
        <v>CERTI</v>
      </c>
    </row>
    <row r="5594" spans="1:27" ht="15" x14ac:dyDescent="0.25">
      <c r="A5594" s="2">
        <v>5589</v>
      </c>
      <c r="B5594" s="39">
        <v>924410869</v>
      </c>
      <c r="C5594" s="28" t="str">
        <f>HYPERLINK("https://pld.live/RapDetail.aspx?STONELIST=924410869","DNA")</f>
        <v>DNA</v>
      </c>
      <c r="D5594" s="18" t="s">
        <v>5847</v>
      </c>
      <c r="E5594" s="18" t="s">
        <v>2186</v>
      </c>
      <c r="F5594" s="2" t="s">
        <v>5597</v>
      </c>
      <c r="G5594" s="2" t="s">
        <v>7322</v>
      </c>
      <c r="H5594" s="14">
        <v>0.74</v>
      </c>
      <c r="I5594" s="2" t="s">
        <v>1505</v>
      </c>
      <c r="J5594" s="2" t="s">
        <v>13</v>
      </c>
      <c r="K5594" s="2" t="s">
        <v>1452</v>
      </c>
      <c r="L5594" s="2" t="s">
        <v>5221</v>
      </c>
      <c r="M5594" s="2" t="s">
        <v>5721</v>
      </c>
      <c r="N5594" s="2" t="s">
        <v>2317</v>
      </c>
      <c r="O5594" s="14">
        <v>2800</v>
      </c>
      <c r="P5594" s="14">
        <v>93.93</v>
      </c>
      <c r="Q5594" s="14">
        <v>169.96</v>
      </c>
      <c r="R5594" s="14">
        <v>125.77</v>
      </c>
      <c r="S5594" s="2" t="s">
        <v>4040</v>
      </c>
      <c r="T5594" s="2">
        <v>1.41</v>
      </c>
      <c r="U5594" s="2">
        <v>66.599999999999994</v>
      </c>
      <c r="V5594" s="2">
        <v>67</v>
      </c>
      <c r="W5594" s="2" t="s">
        <v>7862</v>
      </c>
      <c r="X5594" s="2" t="s">
        <v>2897</v>
      </c>
      <c r="Y5594" s="2">
        <v>2072</v>
      </c>
      <c r="Z5594" s="19" t="str">
        <f>HYPERLINK("https://ssdweb.co/ssdweb/hd/Vision360.html?d=924410869&amp;zoomslide=1&amp;z=1924410869&amp;ISCONFIRM=0","VIDEO")</f>
        <v>VIDEO</v>
      </c>
      <c r="AA5594" s="19" t="str">
        <f>HYPERLINK("https://ssdweb.co/ssdweb/CERTH/1479567874.pdf","CERTI")</f>
        <v>CERTI</v>
      </c>
    </row>
    <row r="5595" spans="1:27" ht="15" x14ac:dyDescent="0.25">
      <c r="A5595" s="2">
        <v>5590</v>
      </c>
      <c r="B5595" s="39">
        <v>926410205</v>
      </c>
      <c r="C5595" s="28" t="str">
        <f>HYPERLINK("https://pld.live/RapDetail.aspx?STONELIST=926410205","DNA")</f>
        <v>DNA</v>
      </c>
      <c r="D5595" s="18" t="s">
        <v>5847</v>
      </c>
      <c r="E5595" s="18" t="s">
        <v>2186</v>
      </c>
      <c r="F5595" s="2" t="s">
        <v>7987</v>
      </c>
      <c r="G5595" s="2" t="s">
        <v>7322</v>
      </c>
      <c r="H5595" s="14">
        <v>0.74</v>
      </c>
      <c r="I5595" s="2" t="s">
        <v>6748</v>
      </c>
      <c r="J5595" s="2" t="s">
        <v>13</v>
      </c>
      <c r="K5595" s="2" t="s">
        <v>1452</v>
      </c>
      <c r="L5595" s="2" t="s">
        <v>5221</v>
      </c>
      <c r="M5595" s="2" t="s">
        <v>5221</v>
      </c>
      <c r="N5595" s="2" t="s">
        <v>2317</v>
      </c>
      <c r="O5595" s="14">
        <v>1600</v>
      </c>
      <c r="P5595" s="14">
        <v>89.38</v>
      </c>
      <c r="Q5595" s="14">
        <v>169.92</v>
      </c>
      <c r="R5595" s="14">
        <v>125.74</v>
      </c>
      <c r="S5595" s="2" t="s">
        <v>137</v>
      </c>
      <c r="T5595" s="2">
        <v>1.49</v>
      </c>
      <c r="U5595" s="2">
        <v>66.599999999999994</v>
      </c>
      <c r="V5595" s="2">
        <v>61</v>
      </c>
      <c r="W5595" s="2" t="s">
        <v>7862</v>
      </c>
      <c r="X5595" s="2" t="s">
        <v>2897</v>
      </c>
      <c r="Y5595" s="2">
        <v>1184</v>
      </c>
      <c r="Z5595" s="19" t="str">
        <f>HYPERLINK("https://ssdweb.co/ssdweb/hd/Vision360.html?d=926410205&amp;zoomslide=1&amp;z=1926410205&amp;ISCONFIRM=0","VIDEO")</f>
        <v>VIDEO</v>
      </c>
      <c r="AA5595" s="19" t="str">
        <f>HYPERLINK("https://ssdweb.co/ssdweb/CERTH/647475656.pdf","CERTI")</f>
        <v>CERTI</v>
      </c>
    </row>
    <row r="5596" spans="1:27" ht="15" x14ac:dyDescent="0.25">
      <c r="A5596" s="2">
        <v>5591</v>
      </c>
      <c r="B5596" s="39">
        <v>925760094</v>
      </c>
      <c r="C5596" s="28" t="str">
        <f>HYPERLINK("https://pld.live/RapDetail.aspx?STONELIST=925760094","DNA")</f>
        <v>DNA</v>
      </c>
      <c r="D5596" s="18" t="s">
        <v>5847</v>
      </c>
      <c r="E5596" s="18" t="s">
        <v>5128</v>
      </c>
      <c r="F5596" s="2" t="s">
        <v>7987</v>
      </c>
      <c r="G5596" s="2" t="s">
        <v>7322</v>
      </c>
      <c r="H5596" s="14">
        <v>0.73</v>
      </c>
      <c r="I5596" s="2" t="s">
        <v>267</v>
      </c>
      <c r="J5596" s="2" t="s">
        <v>3942</v>
      </c>
      <c r="K5596" s="2" t="s">
        <v>1452</v>
      </c>
      <c r="L5596" s="2" t="s">
        <v>5221</v>
      </c>
      <c r="M5596" s="2" t="s">
        <v>5221</v>
      </c>
      <c r="N5596" s="2" t="s">
        <v>2317</v>
      </c>
      <c r="O5596" s="14">
        <v>4000</v>
      </c>
      <c r="P5596" s="14">
        <v>95.5</v>
      </c>
      <c r="Q5596" s="14">
        <v>180</v>
      </c>
      <c r="R5596" s="14">
        <v>131.4</v>
      </c>
      <c r="S5596" s="2" t="s">
        <v>2993</v>
      </c>
      <c r="T5596" s="2">
        <v>1.4</v>
      </c>
      <c r="U5596" s="2">
        <v>67.7</v>
      </c>
      <c r="V5596" s="2">
        <v>65</v>
      </c>
      <c r="W5596" s="2" t="s">
        <v>7862</v>
      </c>
      <c r="X5596" s="2" t="s">
        <v>2897</v>
      </c>
      <c r="Y5596" s="2">
        <v>2920</v>
      </c>
      <c r="Z5596" s="19" t="str">
        <f>HYPERLINK("https://ssdweb.co/ssdweb/hd/Vision360.html?d=925760094&amp;zoomslide=1&amp;z=1925760094&amp;ISCONFIRM=0","VIDEO")</f>
        <v>VIDEO</v>
      </c>
      <c r="AA5596" s="19" t="str">
        <f>HYPERLINK("https://ssdweb.co/ssdweb/CERTH/636470044.pdf","CERTI")</f>
        <v>CERTI</v>
      </c>
    </row>
    <row r="5597" spans="1:27" ht="15" x14ac:dyDescent="0.25">
      <c r="A5597" s="2">
        <v>5592</v>
      </c>
      <c r="B5597" s="39">
        <v>925030368</v>
      </c>
      <c r="C5597" s="28" t="str">
        <f>HYPERLINK("https://pld.live/RapDetail.aspx?STONELIST=925030368","DNA")</f>
        <v>DNA</v>
      </c>
      <c r="D5597" s="18" t="s">
        <v>5847</v>
      </c>
      <c r="E5597" s="18" t="s">
        <v>5128</v>
      </c>
      <c r="F5597" s="2" t="s">
        <v>7987</v>
      </c>
      <c r="G5597" s="2" t="s">
        <v>7322</v>
      </c>
      <c r="H5597" s="14">
        <v>0.73</v>
      </c>
      <c r="I5597" s="2" t="s">
        <v>4761</v>
      </c>
      <c r="J5597" s="2" t="s">
        <v>3942</v>
      </c>
      <c r="K5597" s="2" t="s">
        <v>1452</v>
      </c>
      <c r="L5597" s="2" t="s">
        <v>5221</v>
      </c>
      <c r="M5597" s="2" t="s">
        <v>5221</v>
      </c>
      <c r="N5597" s="2" t="s">
        <v>2317</v>
      </c>
      <c r="O5597" s="14">
        <v>3800</v>
      </c>
      <c r="P5597" s="14">
        <v>94.47</v>
      </c>
      <c r="Q5597" s="14">
        <v>210.14</v>
      </c>
      <c r="R5597" s="14">
        <v>153.4</v>
      </c>
      <c r="S5597" s="2" t="s">
        <v>1802</v>
      </c>
      <c r="T5597" s="2">
        <v>1.41</v>
      </c>
      <c r="U5597" s="2">
        <v>67.7</v>
      </c>
      <c r="V5597" s="2">
        <v>65</v>
      </c>
      <c r="W5597" s="2" t="s">
        <v>7862</v>
      </c>
      <c r="X5597" s="2" t="s">
        <v>2897</v>
      </c>
      <c r="Y5597" s="2">
        <v>2774</v>
      </c>
      <c r="Z5597" s="19" t="str">
        <f>HYPERLINK("https://ssdweb.co/ssdweb/hd/Vision360.html?d=925030368&amp;zoomslide=1&amp;z=1925030368&amp;ISCONFIRM=0","VIDEO")</f>
        <v>VIDEO</v>
      </c>
      <c r="AA5597" s="19" t="str">
        <f>HYPERLINK("https://ssdweb.co/ssdweb/CERTH/612321931.pdf","CERTI")</f>
        <v>CERTI</v>
      </c>
    </row>
    <row r="5598" spans="1:27" ht="15" x14ac:dyDescent="0.25">
      <c r="A5598" s="2">
        <v>5593</v>
      </c>
      <c r="B5598" s="39">
        <v>926220572</v>
      </c>
      <c r="C5598" s="28" t="str">
        <f>HYPERLINK("https://pld.live/RapDetail.aspx?STONELIST=926220572","DNA")</f>
        <v>DNA</v>
      </c>
      <c r="D5598" s="18" t="s">
        <v>5847</v>
      </c>
      <c r="E5598" s="18" t="s">
        <v>5128</v>
      </c>
      <c r="F5598" s="2" t="s">
        <v>7987</v>
      </c>
      <c r="G5598" s="2" t="s">
        <v>7322</v>
      </c>
      <c r="H5598" s="14">
        <v>0.73</v>
      </c>
      <c r="I5598" s="2" t="s">
        <v>4761</v>
      </c>
      <c r="J5598" s="2" t="s">
        <v>3942</v>
      </c>
      <c r="K5598" s="2" t="s">
        <v>1452</v>
      </c>
      <c r="L5598" s="2" t="s">
        <v>5221</v>
      </c>
      <c r="M5598" s="2" t="s">
        <v>5221</v>
      </c>
      <c r="N5598" s="2" t="s">
        <v>2317</v>
      </c>
      <c r="O5598" s="14">
        <v>3800</v>
      </c>
      <c r="P5598" s="14">
        <v>94.37</v>
      </c>
      <c r="Q5598" s="14">
        <v>213.94</v>
      </c>
      <c r="R5598" s="14">
        <v>156.18</v>
      </c>
      <c r="S5598" s="2" t="s">
        <v>508</v>
      </c>
      <c r="T5598" s="2">
        <v>1.36</v>
      </c>
      <c r="U5598" s="2">
        <v>67.5</v>
      </c>
      <c r="V5598" s="2">
        <v>64</v>
      </c>
      <c r="W5598" s="2" t="s">
        <v>7862</v>
      </c>
      <c r="X5598" s="2" t="s">
        <v>2897</v>
      </c>
      <c r="Y5598" s="2">
        <v>2774</v>
      </c>
      <c r="Z5598" s="19" t="str">
        <f>HYPERLINK("https://ssdweb.co/ssdweb/hd/Vision360.html?d=926220572&amp;zoomslide=1&amp;z=1926220572&amp;ISCONFIRM=0","VIDEO")</f>
        <v>VIDEO</v>
      </c>
      <c r="AA5598" s="19" t="str">
        <f>HYPERLINK("https://ssdweb.co/ssdweb/CERTH/635427069.pdf","CERTI")</f>
        <v>CERTI</v>
      </c>
    </row>
    <row r="5599" spans="1:27" ht="15" x14ac:dyDescent="0.25">
      <c r="A5599" s="2">
        <v>5594</v>
      </c>
      <c r="B5599" s="39">
        <v>924780306</v>
      </c>
      <c r="C5599" s="28" t="str">
        <f>HYPERLINK("https://pld.live/RapDetail.aspx?STONELIST=924780306","DNA")</f>
        <v>DNA</v>
      </c>
      <c r="D5599" s="18" t="s">
        <v>5847</v>
      </c>
      <c r="E5599" s="18" t="s">
        <v>2186</v>
      </c>
      <c r="F5599" s="2" t="s">
        <v>7987</v>
      </c>
      <c r="G5599" s="2" t="s">
        <v>7322</v>
      </c>
      <c r="H5599" s="14">
        <v>0.73</v>
      </c>
      <c r="I5599" s="2" t="s">
        <v>4699</v>
      </c>
      <c r="J5599" s="2" t="s">
        <v>13</v>
      </c>
      <c r="K5599" s="2" t="s">
        <v>1452</v>
      </c>
      <c r="L5599" s="2" t="s">
        <v>5221</v>
      </c>
      <c r="M5599" s="2" t="s">
        <v>5221</v>
      </c>
      <c r="N5599" s="2" t="s">
        <v>2317</v>
      </c>
      <c r="O5599" s="14">
        <v>3300</v>
      </c>
      <c r="P5599" s="14">
        <v>93.48</v>
      </c>
      <c r="Q5599" s="14">
        <v>215.16</v>
      </c>
      <c r="R5599" s="14">
        <v>157.07</v>
      </c>
      <c r="S5599" s="2" t="s">
        <v>798</v>
      </c>
      <c r="T5599" s="2">
        <v>1.46</v>
      </c>
      <c r="U5599" s="2">
        <v>64.5</v>
      </c>
      <c r="V5599" s="2">
        <v>65</v>
      </c>
      <c r="W5599" s="2" t="s">
        <v>7862</v>
      </c>
      <c r="X5599" s="2" t="s">
        <v>2897</v>
      </c>
      <c r="Y5599" s="2">
        <v>2409</v>
      </c>
      <c r="Z5599" s="19" t="str">
        <f>HYPERLINK("https://ssdweb.co/ssdweb/hd/Vision360.html?d=924780306&amp;zoomslide=1&amp;z=1924780306&amp;ISCONFIRM=0","VIDEO")</f>
        <v>VIDEO</v>
      </c>
      <c r="AA5599" s="19" t="str">
        <f>HYPERLINK("https://ssdweb.co/ssdweb/CERTH/602315891.pdf","CERTI")</f>
        <v>CERTI</v>
      </c>
    </row>
    <row r="5600" spans="1:27" ht="15" x14ac:dyDescent="0.25">
      <c r="A5600" s="2">
        <v>5595</v>
      </c>
      <c r="B5600" s="39">
        <v>924780319</v>
      </c>
      <c r="C5600" s="28" t="str">
        <f>HYPERLINK("https://pld.live/RapDetail.aspx?STONELIST=924780319","DNA")</f>
        <v>DNA</v>
      </c>
      <c r="D5600" s="18" t="s">
        <v>5847</v>
      </c>
      <c r="E5600" s="18" t="s">
        <v>2186</v>
      </c>
      <c r="F5600" s="2" t="s">
        <v>7987</v>
      </c>
      <c r="G5600" s="2" t="s">
        <v>7322</v>
      </c>
      <c r="H5600" s="14">
        <v>0.73</v>
      </c>
      <c r="I5600" s="2" t="s">
        <v>6587</v>
      </c>
      <c r="J5600" s="2" t="s">
        <v>3942</v>
      </c>
      <c r="K5600" s="2" t="s">
        <v>1452</v>
      </c>
      <c r="L5600" s="2" t="s">
        <v>5221</v>
      </c>
      <c r="M5600" s="2" t="s">
        <v>5221</v>
      </c>
      <c r="N5600" s="2" t="s">
        <v>2317</v>
      </c>
      <c r="O5600" s="14">
        <v>3300</v>
      </c>
      <c r="P5600" s="14">
        <v>91.97</v>
      </c>
      <c r="Q5600" s="14">
        <v>264.99</v>
      </c>
      <c r="R5600" s="14">
        <v>193.44</v>
      </c>
      <c r="S5600" s="2" t="s">
        <v>7590</v>
      </c>
      <c r="T5600" s="2">
        <v>1.46</v>
      </c>
      <c r="U5600" s="2">
        <v>66.099999999999994</v>
      </c>
      <c r="V5600" s="2">
        <v>63</v>
      </c>
      <c r="W5600" s="2" t="s">
        <v>7862</v>
      </c>
      <c r="X5600" s="2" t="s">
        <v>2897</v>
      </c>
      <c r="Y5600" s="2">
        <v>2409</v>
      </c>
      <c r="Z5600" s="19" t="str">
        <f>HYPERLINK("https://ssdweb.co/ssdweb/hd/Vision360.html?d=924780319&amp;zoomslide=1&amp;z=1924780319&amp;ISCONFIRM=0","VIDEO")</f>
        <v>VIDEO</v>
      </c>
      <c r="AA5600" s="19" t="str">
        <f>HYPERLINK("https://ssdweb.co/ssdweb/CERTH/603352275.pdf","CERTI")</f>
        <v>CERTI</v>
      </c>
    </row>
    <row r="5601" spans="1:27" ht="15" x14ac:dyDescent="0.25">
      <c r="A5601" s="2">
        <v>5596</v>
      </c>
      <c r="B5601" s="39">
        <v>924710175</v>
      </c>
      <c r="C5601" s="28" t="str">
        <f>HYPERLINK("https://pld.live/RapDetail.aspx?STONELIST=924710175","DNA")</f>
        <v>DNA</v>
      </c>
      <c r="D5601" s="18" t="s">
        <v>5847</v>
      </c>
      <c r="E5601" s="18" t="s">
        <v>5128</v>
      </c>
      <c r="F5601" s="2" t="s">
        <v>7987</v>
      </c>
      <c r="G5601" s="2" t="s">
        <v>7322</v>
      </c>
      <c r="H5601" s="14">
        <v>0.73</v>
      </c>
      <c r="I5601" s="2" t="s">
        <v>6587</v>
      </c>
      <c r="J5601" s="2" t="s">
        <v>3942</v>
      </c>
      <c r="K5601" s="2" t="s">
        <v>1452</v>
      </c>
      <c r="L5601" s="2" t="s">
        <v>5221</v>
      </c>
      <c r="M5601" s="2" t="s">
        <v>5221</v>
      </c>
      <c r="N5601" s="2" t="s">
        <v>2317</v>
      </c>
      <c r="O5601" s="14">
        <v>3300</v>
      </c>
      <c r="P5601" s="14">
        <v>93.21</v>
      </c>
      <c r="Q5601" s="14">
        <v>224.07</v>
      </c>
      <c r="R5601" s="14">
        <v>163.57</v>
      </c>
      <c r="S5601" s="2" t="s">
        <v>2245</v>
      </c>
      <c r="T5601" s="2">
        <v>1.46</v>
      </c>
      <c r="U5601" s="2">
        <v>67.2</v>
      </c>
      <c r="V5601" s="2">
        <v>62</v>
      </c>
      <c r="W5601" s="2" t="s">
        <v>4336</v>
      </c>
      <c r="X5601" s="2" t="s">
        <v>2897</v>
      </c>
      <c r="Y5601" s="2">
        <v>2409</v>
      </c>
      <c r="Z5601" s="19" t="str">
        <f>HYPERLINK("https://ssdweb.co/ssdweb/hd/Vision360.html?d=924710175&amp;zoomslide=1&amp;z=1924710175&amp;ISCONFIRM=0","VIDEO")</f>
        <v>VIDEO</v>
      </c>
      <c r="AA5601" s="19" t="str">
        <f>HYPERLINK("https://ssdweb.co/ssdweb/CERTH/601323511.pdf","CERTI")</f>
        <v>CERTI</v>
      </c>
    </row>
    <row r="5602" spans="1:27" ht="15" x14ac:dyDescent="0.25">
      <c r="A5602" s="2">
        <v>5597</v>
      </c>
      <c r="B5602" s="39">
        <v>924780429</v>
      </c>
      <c r="C5602" s="28" t="str">
        <f>HYPERLINK("https://pld.live/RapDetail.aspx?STONELIST=924780429","DNA")</f>
        <v>DNA</v>
      </c>
      <c r="D5602" s="18" t="s">
        <v>5847</v>
      </c>
      <c r="E5602" s="18" t="s">
        <v>2186</v>
      </c>
      <c r="F5602" s="2" t="s">
        <v>7987</v>
      </c>
      <c r="G5602" s="2" t="s">
        <v>7322</v>
      </c>
      <c r="H5602" s="14">
        <v>0.73</v>
      </c>
      <c r="I5602" s="2" t="s">
        <v>6587</v>
      </c>
      <c r="J5602" s="2" t="s">
        <v>13</v>
      </c>
      <c r="K5602" s="2" t="s">
        <v>1452</v>
      </c>
      <c r="L5602" s="2" t="s">
        <v>5221</v>
      </c>
      <c r="M5602" s="2" t="s">
        <v>5221</v>
      </c>
      <c r="N5602" s="2" t="s">
        <v>2317</v>
      </c>
      <c r="O5602" s="14">
        <v>3100</v>
      </c>
      <c r="P5602" s="14">
        <v>91.45</v>
      </c>
      <c r="Q5602" s="14">
        <v>265.05</v>
      </c>
      <c r="R5602" s="14">
        <v>193.49</v>
      </c>
      <c r="S5602" s="2" t="s">
        <v>6358</v>
      </c>
      <c r="T5602" s="2">
        <v>1.42</v>
      </c>
      <c r="U5602" s="2">
        <v>66.900000000000006</v>
      </c>
      <c r="V5602" s="2">
        <v>63</v>
      </c>
      <c r="W5602" s="2" t="s">
        <v>7862</v>
      </c>
      <c r="X5602" s="2" t="s">
        <v>2897</v>
      </c>
      <c r="Y5602" s="2">
        <v>2263</v>
      </c>
      <c r="Z5602" s="19" t="str">
        <f>HYPERLINK("https://ssdweb.co/ssdweb/hd/Vision360.html?d=924780429&amp;zoomslide=1&amp;z=1924780429&amp;ISCONFIRM=0","VIDEO")</f>
        <v>VIDEO</v>
      </c>
      <c r="AA5602" s="19" t="str">
        <f>HYPERLINK("https://ssdweb.co/ssdweb/CERTH/604303756.pdf","CERTI")</f>
        <v>CERTI</v>
      </c>
    </row>
    <row r="5603" spans="1:27" ht="15" x14ac:dyDescent="0.25">
      <c r="A5603" s="2">
        <v>5598</v>
      </c>
      <c r="B5603" s="39">
        <v>924920421</v>
      </c>
      <c r="C5603" s="28" t="str">
        <f>HYPERLINK("https://pld.live/RapDetail.aspx?STONELIST=924920421","DNA")</f>
        <v>DNA</v>
      </c>
      <c r="D5603" s="18" t="s">
        <v>5847</v>
      </c>
      <c r="E5603" s="18" t="s">
        <v>2186</v>
      </c>
      <c r="F5603" s="2" t="s">
        <v>7987</v>
      </c>
      <c r="G5603" s="2" t="s">
        <v>7322</v>
      </c>
      <c r="H5603" s="14">
        <v>0.73</v>
      </c>
      <c r="I5603" s="2" t="s">
        <v>6587</v>
      </c>
      <c r="J5603" s="2" t="s">
        <v>5144</v>
      </c>
      <c r="K5603" s="2" t="s">
        <v>1452</v>
      </c>
      <c r="L5603" s="2" t="s">
        <v>5221</v>
      </c>
      <c r="M5603" s="2" t="s">
        <v>5221</v>
      </c>
      <c r="N5603" s="2" t="s">
        <v>2317</v>
      </c>
      <c r="O5603" s="14">
        <v>2800</v>
      </c>
      <c r="P5603" s="14">
        <v>91.25</v>
      </c>
      <c r="Q5603" s="14">
        <v>245</v>
      </c>
      <c r="R5603" s="14">
        <v>178.85</v>
      </c>
      <c r="S5603" s="2" t="s">
        <v>133</v>
      </c>
      <c r="T5603" s="2">
        <v>1.45</v>
      </c>
      <c r="U5603" s="2">
        <v>64.900000000000006</v>
      </c>
      <c r="V5603" s="2">
        <v>66</v>
      </c>
      <c r="W5603" s="2" t="s">
        <v>7862</v>
      </c>
      <c r="X5603" s="2" t="s">
        <v>2897</v>
      </c>
      <c r="Y5603" s="2">
        <v>2044</v>
      </c>
      <c r="Z5603" s="19" t="str">
        <f>HYPERLINK("https://ssdweb.co/ssdweb/hd/Vision360.html?d=924920421&amp;zoomslide=1&amp;z=1924920421&amp;ISCONFIRM=0","VIDEO")</f>
        <v>VIDEO</v>
      </c>
      <c r="AA5603" s="19" t="str">
        <f>HYPERLINK("https://ssdweb.co/ssdweb/CERTH/607314594.pdf","CERTI")</f>
        <v>CERTI</v>
      </c>
    </row>
    <row r="5604" spans="1:27" ht="15" x14ac:dyDescent="0.25">
      <c r="A5604" s="2">
        <v>5599</v>
      </c>
      <c r="B5604" s="39">
        <v>924920407</v>
      </c>
      <c r="C5604" s="28" t="str">
        <f>HYPERLINK("https://pld.live/RapDetail.aspx?STONELIST=924920407","DNA")</f>
        <v>DNA</v>
      </c>
      <c r="D5604" s="18" t="s">
        <v>5847</v>
      </c>
      <c r="E5604" s="18" t="s">
        <v>2186</v>
      </c>
      <c r="F5604" s="2" t="s">
        <v>7987</v>
      </c>
      <c r="G5604" s="2" t="s">
        <v>7322</v>
      </c>
      <c r="H5604" s="14">
        <v>0.73</v>
      </c>
      <c r="I5604" s="2" t="s">
        <v>6587</v>
      </c>
      <c r="J5604" s="2" t="s">
        <v>5144</v>
      </c>
      <c r="K5604" s="2" t="s">
        <v>1452</v>
      </c>
      <c r="L5604" s="2" t="s">
        <v>5221</v>
      </c>
      <c r="M5604" s="2" t="s">
        <v>5221</v>
      </c>
      <c r="N5604" s="2" t="s">
        <v>2317</v>
      </c>
      <c r="O5604" s="14">
        <v>2800</v>
      </c>
      <c r="P5604" s="14">
        <v>91.29</v>
      </c>
      <c r="Q5604" s="14">
        <v>243.88</v>
      </c>
      <c r="R5604" s="14">
        <v>178.03</v>
      </c>
      <c r="S5604" s="2" t="s">
        <v>8029</v>
      </c>
      <c r="T5604" s="2">
        <v>1.57</v>
      </c>
      <c r="U5604" s="2">
        <v>65.599999999999994</v>
      </c>
      <c r="V5604" s="2">
        <v>63</v>
      </c>
      <c r="W5604" s="2" t="s">
        <v>7862</v>
      </c>
      <c r="X5604" s="2" t="s">
        <v>2897</v>
      </c>
      <c r="Y5604" s="2">
        <v>2044</v>
      </c>
      <c r="Z5604" s="19" t="str">
        <f>HYPERLINK("https://ssdweb.co/ssdweb/hd/Vision360.html?d=924920407&amp;zoomslide=1&amp;z=1924920407&amp;ISCONFIRM=0","VIDEO")</f>
        <v>VIDEO</v>
      </c>
      <c r="AA5604" s="19" t="str">
        <f>HYPERLINK("https://ssdweb.co/ssdweb/CERTH/607378429.pdf","CERTI")</f>
        <v>CERTI</v>
      </c>
    </row>
    <row r="5605" spans="1:27" ht="15" x14ac:dyDescent="0.25">
      <c r="A5605" s="2">
        <v>5600</v>
      </c>
      <c r="B5605" s="39">
        <v>831020456</v>
      </c>
      <c r="C5605" s="28" t="str">
        <f>HYPERLINK("https://pld.live/RapDetail.aspx?STONELIST=831020456","DNA")</f>
        <v>DNA</v>
      </c>
      <c r="D5605" s="18" t="s">
        <v>5847</v>
      </c>
      <c r="E5605" s="18" t="s">
        <v>2186</v>
      </c>
      <c r="F5605" s="2" t="s">
        <v>7987</v>
      </c>
      <c r="G5605" s="2" t="s">
        <v>7322</v>
      </c>
      <c r="H5605" s="14">
        <v>0.73</v>
      </c>
      <c r="I5605" s="2" t="s">
        <v>3722</v>
      </c>
      <c r="J5605" s="2" t="s">
        <v>13</v>
      </c>
      <c r="K5605" s="2" t="s">
        <v>1452</v>
      </c>
      <c r="L5605" s="2" t="s">
        <v>5221</v>
      </c>
      <c r="M5605" s="2" t="s">
        <v>5221</v>
      </c>
      <c r="N5605" s="2" t="s">
        <v>2317</v>
      </c>
      <c r="O5605" s="14">
        <v>2500</v>
      </c>
      <c r="P5605" s="14">
        <v>92</v>
      </c>
      <c r="Q5605" s="14">
        <v>200</v>
      </c>
      <c r="R5605" s="14">
        <v>146</v>
      </c>
      <c r="S5605" s="2" t="s">
        <v>110</v>
      </c>
      <c r="T5605" s="2">
        <v>1.46</v>
      </c>
      <c r="U5605" s="2">
        <v>66.7</v>
      </c>
      <c r="V5605" s="2">
        <v>67</v>
      </c>
      <c r="W5605" s="2" t="s">
        <v>8016</v>
      </c>
      <c r="X5605" s="2" t="s">
        <v>2897</v>
      </c>
      <c r="Y5605" s="2">
        <v>1825</v>
      </c>
      <c r="Z5605" s="19" t="str">
        <f>HYPERLINK("https://ssdweb.co/ssdweb/hd/Vision360.html?d=831020456&amp;zoomslide=1&amp;z=1831020456&amp;ISCONFIRM=0","VIDEO")</f>
        <v>VIDEO</v>
      </c>
      <c r="AA5605" s="19" t="str">
        <f>HYPERLINK("https://ssdweb.co/ssdweb/CERTH/592360627.pdf","CERTI")</f>
        <v>CERTI</v>
      </c>
    </row>
    <row r="5606" spans="1:27" ht="15" x14ac:dyDescent="0.25">
      <c r="A5606" s="2">
        <v>5601</v>
      </c>
      <c r="B5606" s="39">
        <v>920470389</v>
      </c>
      <c r="C5606" s="28" t="str">
        <f>HYPERLINK("https://pld.live/RapDetail.aspx?STONELIST=920470389","DNA")</f>
        <v>DNA</v>
      </c>
      <c r="D5606" s="18" t="s">
        <v>5847</v>
      </c>
      <c r="E5606" s="18" t="s">
        <v>7909</v>
      </c>
      <c r="F5606" s="2" t="s">
        <v>7987</v>
      </c>
      <c r="G5606" s="2" t="s">
        <v>7322</v>
      </c>
      <c r="H5606" s="14">
        <v>0.73</v>
      </c>
      <c r="I5606" s="2" t="s">
        <v>6845</v>
      </c>
      <c r="J5606" s="2" t="s">
        <v>13</v>
      </c>
      <c r="K5606" s="2" t="s">
        <v>1452</v>
      </c>
      <c r="L5606" s="2" t="s">
        <v>5221</v>
      </c>
      <c r="M5606" s="2" t="s">
        <v>5221</v>
      </c>
      <c r="N5606" s="2" t="s">
        <v>2317</v>
      </c>
      <c r="O5606" s="14">
        <v>1600</v>
      </c>
      <c r="P5606" s="14">
        <v>89.38</v>
      </c>
      <c r="Q5606" s="14">
        <v>169.92</v>
      </c>
      <c r="R5606" s="14">
        <v>124.04</v>
      </c>
      <c r="S5606" s="2" t="s">
        <v>289</v>
      </c>
      <c r="T5606" s="2">
        <v>1.52</v>
      </c>
      <c r="U5606" s="2">
        <v>64.3</v>
      </c>
      <c r="V5606" s="2">
        <v>65</v>
      </c>
      <c r="W5606" s="2" t="s">
        <v>7862</v>
      </c>
      <c r="X5606" s="2" t="s">
        <v>2897</v>
      </c>
      <c r="Y5606" s="2">
        <v>1168</v>
      </c>
      <c r="Z5606" s="19" t="str">
        <f>HYPERLINK("https://ssdweb.co/ssdweb/hd/Vision360.html?d=920470389&amp;zoomslide=1&amp;z=1920470389&amp;ISCONFIRM=0","VIDEO")</f>
        <v>VIDEO</v>
      </c>
      <c r="AA5606" s="19" t="str">
        <f>HYPERLINK("https://ssdweb.co/ssdweb/CERTH/631429897.pdf","CERTI")</f>
        <v>CERTI</v>
      </c>
    </row>
    <row r="5607" spans="1:27" ht="15" x14ac:dyDescent="0.25">
      <c r="A5607" s="2">
        <v>5602</v>
      </c>
      <c r="B5607" s="39">
        <v>925040305</v>
      </c>
      <c r="C5607" s="28" t="str">
        <f>HYPERLINK("https://pld.live/RapDetail.aspx?STONELIST=925040305","DNA")</f>
        <v>DNA</v>
      </c>
      <c r="D5607" s="18" t="s">
        <v>5847</v>
      </c>
      <c r="E5607" s="18" t="s">
        <v>5128</v>
      </c>
      <c r="F5607" s="2" t="s">
        <v>7987</v>
      </c>
      <c r="G5607" s="2" t="s">
        <v>7322</v>
      </c>
      <c r="H5607" s="14">
        <v>0.72</v>
      </c>
      <c r="I5607" s="2" t="s">
        <v>267</v>
      </c>
      <c r="J5607" s="2" t="s">
        <v>6555</v>
      </c>
      <c r="K5607" s="2" t="s">
        <v>1452</v>
      </c>
      <c r="L5607" s="2" t="s">
        <v>5221</v>
      </c>
      <c r="M5607" s="2" t="s">
        <v>5221</v>
      </c>
      <c r="N5607" s="2" t="s">
        <v>2317</v>
      </c>
      <c r="O5607" s="14">
        <v>4300</v>
      </c>
      <c r="P5607" s="14">
        <v>94.33</v>
      </c>
      <c r="Q5607" s="14">
        <v>243.81</v>
      </c>
      <c r="R5607" s="14">
        <v>175.54</v>
      </c>
      <c r="S5607" s="2" t="s">
        <v>4420</v>
      </c>
      <c r="T5607" s="2">
        <v>1.39</v>
      </c>
      <c r="U5607" s="2">
        <v>67.2</v>
      </c>
      <c r="V5607" s="2">
        <v>64</v>
      </c>
      <c r="W5607" s="2" t="s">
        <v>7862</v>
      </c>
      <c r="X5607" s="2" t="s">
        <v>2897</v>
      </c>
      <c r="Y5607" s="2">
        <v>3096</v>
      </c>
      <c r="Z5607" s="19" t="str">
        <f>HYPERLINK("https://ssdweb.co/ssdweb/hd/Vision360.html?d=925040305&amp;zoomslide=1&amp;z=1925040305&amp;ISCONFIRM=0","VIDEO")</f>
        <v>VIDEO</v>
      </c>
      <c r="AA5607" s="19" t="str">
        <f>HYPERLINK("https://ssdweb.co/ssdweb/CERTH/612321940.pdf","CERTI")</f>
        <v>CERTI</v>
      </c>
    </row>
    <row r="5608" spans="1:27" ht="15" x14ac:dyDescent="0.25">
      <c r="A5608" s="2">
        <v>5603</v>
      </c>
      <c r="B5608" s="39">
        <v>924960441</v>
      </c>
      <c r="C5608" s="28" t="str">
        <f>HYPERLINK("https://pld.live/RapDetail.aspx?STONELIST=924960441","DNA")</f>
        <v>DNA</v>
      </c>
      <c r="D5608" s="18" t="s">
        <v>5847</v>
      </c>
      <c r="E5608" s="18" t="s">
        <v>5128</v>
      </c>
      <c r="F5608" s="2" t="s">
        <v>7987</v>
      </c>
      <c r="G5608" s="2" t="s">
        <v>7322</v>
      </c>
      <c r="H5608" s="14">
        <v>0.72</v>
      </c>
      <c r="I5608" s="2" t="s">
        <v>267</v>
      </c>
      <c r="J5608" s="2" t="s">
        <v>6555</v>
      </c>
      <c r="K5608" s="2" t="s">
        <v>1452</v>
      </c>
      <c r="L5608" s="2" t="s">
        <v>5221</v>
      </c>
      <c r="M5608" s="2" t="s">
        <v>5221</v>
      </c>
      <c r="N5608" s="2" t="s">
        <v>2317</v>
      </c>
      <c r="O5608" s="14">
        <v>4300</v>
      </c>
      <c r="P5608" s="14">
        <v>94.53</v>
      </c>
      <c r="Q5608" s="14">
        <v>235.21</v>
      </c>
      <c r="R5608" s="14">
        <v>169.35</v>
      </c>
      <c r="S5608" s="2" t="s">
        <v>3278</v>
      </c>
      <c r="T5608" s="2">
        <v>1.39</v>
      </c>
      <c r="U5608" s="2">
        <v>67.2</v>
      </c>
      <c r="V5608" s="2">
        <v>60</v>
      </c>
      <c r="W5608" s="2" t="s">
        <v>7862</v>
      </c>
      <c r="X5608" s="2" t="s">
        <v>2897</v>
      </c>
      <c r="Y5608" s="2">
        <v>3096</v>
      </c>
      <c r="Z5608" s="19" t="str">
        <f>HYPERLINK("https://ssdweb.co/ssdweb/hd/Vision360.html?d=924960441&amp;zoomslide=1&amp;z=1924960441&amp;ISCONFIRM=0","VIDEO")</f>
        <v>VIDEO</v>
      </c>
      <c r="AA5608" s="19" t="str">
        <f>HYPERLINK("https://ssdweb.co/ssdweb/CERTH/607357740.pdf","CERTI")</f>
        <v>CERTI</v>
      </c>
    </row>
    <row r="5609" spans="1:27" ht="15" x14ac:dyDescent="0.25">
      <c r="A5609" s="2">
        <v>5604</v>
      </c>
      <c r="B5609" s="39">
        <v>926921389</v>
      </c>
      <c r="C5609" s="28" t="str">
        <f>HYPERLINK("https://pld.live/RapDetail.aspx?STONELIST=926921389","DNA")</f>
        <v>DNA</v>
      </c>
      <c r="D5609" s="18" t="s">
        <v>5847</v>
      </c>
      <c r="E5609" s="18" t="s">
        <v>2186</v>
      </c>
      <c r="F5609" s="2" t="s">
        <v>7987</v>
      </c>
      <c r="G5609" s="2" t="s">
        <v>7322</v>
      </c>
      <c r="H5609" s="14">
        <v>0.72</v>
      </c>
      <c r="I5609" s="2" t="s">
        <v>267</v>
      </c>
      <c r="J5609" s="2" t="s">
        <v>13</v>
      </c>
      <c r="K5609" s="2" t="s">
        <v>1452</v>
      </c>
      <c r="L5609" s="2" t="s">
        <v>5221</v>
      </c>
      <c r="M5609" s="2" t="s">
        <v>5221</v>
      </c>
      <c r="N5609" s="2" t="s">
        <v>2317</v>
      </c>
      <c r="O5609" s="14">
        <v>3700</v>
      </c>
      <c r="P5609" s="14">
        <v>96.08</v>
      </c>
      <c r="Q5609" s="14">
        <v>145.04</v>
      </c>
      <c r="R5609" s="14">
        <v>104.43</v>
      </c>
      <c r="S5609" s="2" t="s">
        <v>2835</v>
      </c>
      <c r="T5609" s="2">
        <v>1.46</v>
      </c>
      <c r="U5609" s="2">
        <v>64.8</v>
      </c>
      <c r="V5609" s="2">
        <v>68</v>
      </c>
      <c r="W5609" s="2" t="s">
        <v>7862</v>
      </c>
      <c r="X5609" s="2" t="s">
        <v>2897</v>
      </c>
      <c r="Y5609" s="2">
        <v>2664</v>
      </c>
      <c r="Z5609" s="19" t="str">
        <f>HYPERLINK("https://ssdweb.co/ssdweb/hd/Vision360.html?d=926921389&amp;zoomslide=1&amp;z=1926921389&amp;ISCONFIRM=0","VIDEO")</f>
        <v>VIDEO</v>
      </c>
      <c r="AA5609" s="19" t="str">
        <f>HYPERLINK("https://ssdweb.co/ssdweb/CERTH/659436942.pdf","CERTI")</f>
        <v>CERTI</v>
      </c>
    </row>
    <row r="5610" spans="1:27" ht="15" x14ac:dyDescent="0.25">
      <c r="A5610" s="2">
        <v>5605</v>
      </c>
      <c r="B5610" s="39">
        <v>924390541</v>
      </c>
      <c r="C5610" s="28" t="str">
        <f>HYPERLINK("https://pld.live/RapDetail.aspx?STONELIST=924390541","DNA")</f>
        <v>DNA</v>
      </c>
      <c r="D5610" s="18" t="s">
        <v>5847</v>
      </c>
      <c r="E5610" s="18" t="s">
        <v>5128</v>
      </c>
      <c r="F5610" s="2" t="s">
        <v>7987</v>
      </c>
      <c r="G5610" s="2" t="s">
        <v>7322</v>
      </c>
      <c r="H5610" s="14">
        <v>0.72</v>
      </c>
      <c r="I5610" s="2" t="s">
        <v>4761</v>
      </c>
      <c r="J5610" s="2" t="s">
        <v>7032</v>
      </c>
      <c r="K5610" s="2" t="s">
        <v>1452</v>
      </c>
      <c r="L5610" s="2" t="s">
        <v>5221</v>
      </c>
      <c r="M5610" s="2" t="s">
        <v>5221</v>
      </c>
      <c r="N5610" s="2" t="s">
        <v>2317</v>
      </c>
      <c r="O5610" s="14">
        <v>4300</v>
      </c>
      <c r="P5610" s="14">
        <v>94.14</v>
      </c>
      <c r="Q5610" s="14">
        <v>251.98</v>
      </c>
      <c r="R5610" s="14">
        <v>181.43</v>
      </c>
      <c r="S5610" s="2" t="s">
        <v>5103</v>
      </c>
      <c r="T5610" s="2">
        <v>1.41</v>
      </c>
      <c r="U5610" s="2">
        <v>65.2</v>
      </c>
      <c r="V5610" s="2">
        <v>66</v>
      </c>
      <c r="W5610" s="2" t="s">
        <v>7862</v>
      </c>
      <c r="X5610" s="2" t="s">
        <v>2897</v>
      </c>
      <c r="Y5610" s="2">
        <v>3096</v>
      </c>
      <c r="Z5610" s="19" t="str">
        <f>HYPERLINK("https://ssdweb.co/ssdweb/hd/Vision360.html?d=924390541&amp;zoomslide=1&amp;z=1924390541&amp;ISCONFIRM=0","VIDEO")</f>
        <v>VIDEO</v>
      </c>
      <c r="AA5610" s="19" t="str">
        <f>HYPERLINK("https://ssdweb.co/ssdweb/CERTH/597388341.pdf","CERTI")</f>
        <v>CERTI</v>
      </c>
    </row>
    <row r="5611" spans="1:27" ht="15" x14ac:dyDescent="0.25">
      <c r="A5611" s="2">
        <v>5606</v>
      </c>
      <c r="B5611" s="39">
        <v>924370484</v>
      </c>
      <c r="C5611" s="28" t="str">
        <f>HYPERLINK("https://pld.live/RapDetail.aspx?STONELIST=924370484","DNA")</f>
        <v>DNA</v>
      </c>
      <c r="D5611" s="18" t="s">
        <v>5847</v>
      </c>
      <c r="E5611" s="18" t="s">
        <v>5128</v>
      </c>
      <c r="F5611" s="2" t="s">
        <v>7987</v>
      </c>
      <c r="G5611" s="2" t="s">
        <v>7322</v>
      </c>
      <c r="H5611" s="14">
        <v>0.72</v>
      </c>
      <c r="I5611" s="2" t="s">
        <v>4761</v>
      </c>
      <c r="J5611" s="2" t="s">
        <v>6555</v>
      </c>
      <c r="K5611" s="2" t="s">
        <v>1452</v>
      </c>
      <c r="L5611" s="2" t="s">
        <v>5221</v>
      </c>
      <c r="M5611" s="2" t="s">
        <v>5221</v>
      </c>
      <c r="N5611" s="2" t="s">
        <v>2317</v>
      </c>
      <c r="O5611" s="14">
        <v>4000</v>
      </c>
      <c r="P5611" s="14">
        <v>96.15</v>
      </c>
      <c r="Q5611" s="14">
        <v>154</v>
      </c>
      <c r="R5611" s="14">
        <v>110.88</v>
      </c>
      <c r="S5611" s="2" t="s">
        <v>6169</v>
      </c>
      <c r="T5611" s="2">
        <v>1.39</v>
      </c>
      <c r="U5611" s="2">
        <v>66.900000000000006</v>
      </c>
      <c r="V5611" s="2">
        <v>66</v>
      </c>
      <c r="W5611" s="2" t="s">
        <v>7862</v>
      </c>
      <c r="X5611" s="2" t="s">
        <v>2897</v>
      </c>
      <c r="Y5611" s="2">
        <v>2880</v>
      </c>
      <c r="Z5611" s="19" t="str">
        <f>HYPERLINK("https://ssdweb.co/ssdweb/hd/Vision360.html?d=924370484&amp;zoomslide=1&amp;z=1924370484&amp;ISCONFIRM=0","VIDEO")</f>
        <v>VIDEO</v>
      </c>
      <c r="AA5611" s="19" t="str">
        <f>HYPERLINK("https://ssdweb.co/ssdweb/CERTH/596332133.pdf","CERTI")</f>
        <v>CERTI</v>
      </c>
    </row>
    <row r="5612" spans="1:27" ht="15" x14ac:dyDescent="0.25">
      <c r="A5612" s="2">
        <v>5607</v>
      </c>
      <c r="B5612" s="39">
        <v>924410849</v>
      </c>
      <c r="C5612" s="28" t="str">
        <f>HYPERLINK("https://pld.live/RapDetail.aspx?STONELIST=924410849","DNA")</f>
        <v>DNA</v>
      </c>
      <c r="D5612" s="18" t="s">
        <v>5847</v>
      </c>
      <c r="E5612" s="18" t="s">
        <v>2186</v>
      </c>
      <c r="F5612" s="2" t="s">
        <v>5597</v>
      </c>
      <c r="G5612" s="2" t="s">
        <v>7322</v>
      </c>
      <c r="H5612" s="14">
        <v>0.72</v>
      </c>
      <c r="I5612" s="2" t="s">
        <v>4699</v>
      </c>
      <c r="J5612" s="2" t="s">
        <v>13</v>
      </c>
      <c r="K5612" s="2" t="s">
        <v>1452</v>
      </c>
      <c r="L5612" s="2" t="s">
        <v>5221</v>
      </c>
      <c r="M5612" s="2" t="s">
        <v>5221</v>
      </c>
      <c r="N5612" s="2" t="s">
        <v>2317</v>
      </c>
      <c r="O5612" s="14">
        <v>3300</v>
      </c>
      <c r="P5612" s="14">
        <v>94.24</v>
      </c>
      <c r="Q5612" s="14">
        <v>190.08</v>
      </c>
      <c r="R5612" s="14">
        <v>136.86000000000001</v>
      </c>
      <c r="S5612" s="2" t="s">
        <v>4084</v>
      </c>
      <c r="T5612" s="2">
        <v>1.43</v>
      </c>
      <c r="U5612" s="2">
        <v>65.2</v>
      </c>
      <c r="V5612" s="2">
        <v>65</v>
      </c>
      <c r="W5612" s="2" t="s">
        <v>7862</v>
      </c>
      <c r="X5612" s="2" t="s">
        <v>2897</v>
      </c>
      <c r="Y5612" s="2">
        <v>2376</v>
      </c>
      <c r="Z5612" s="19" t="str">
        <f>HYPERLINK("https://ssdweb.co/ssdweb/hd/Vision360.html?d=924410849&amp;zoomslide=1&amp;z=1924410849&amp;ISCONFIRM=0","VIDEO")</f>
        <v>VIDEO</v>
      </c>
      <c r="AA5612" s="19" t="str">
        <f>HYPERLINK("https://ssdweb.co/ssdweb/CERTH/6472554040.pdf","CERTI")</f>
        <v>CERTI</v>
      </c>
    </row>
    <row r="5613" spans="1:27" ht="15" x14ac:dyDescent="0.25">
      <c r="A5613" s="2">
        <v>5608</v>
      </c>
      <c r="B5613" s="39">
        <v>924920332</v>
      </c>
      <c r="C5613" s="28" t="str">
        <f>HYPERLINK("https://pld.live/RapDetail.aspx?STONELIST=924920332","DNA")</f>
        <v>DNA</v>
      </c>
      <c r="D5613" s="18" t="s">
        <v>5847</v>
      </c>
      <c r="E5613" s="18" t="s">
        <v>2186</v>
      </c>
      <c r="F5613" s="2" t="s">
        <v>7987</v>
      </c>
      <c r="G5613" s="2" t="s">
        <v>7322</v>
      </c>
      <c r="H5613" s="14">
        <v>0.72</v>
      </c>
      <c r="I5613" s="2" t="s">
        <v>4699</v>
      </c>
      <c r="J5613" s="2" t="s">
        <v>13</v>
      </c>
      <c r="K5613" s="2" t="s">
        <v>1452</v>
      </c>
      <c r="L5613" s="2" t="s">
        <v>5221</v>
      </c>
      <c r="M5613" s="2" t="s">
        <v>5221</v>
      </c>
      <c r="N5613" s="2" t="s">
        <v>2317</v>
      </c>
      <c r="O5613" s="14">
        <v>3300</v>
      </c>
      <c r="P5613" s="14">
        <v>96.03</v>
      </c>
      <c r="Q5613" s="14">
        <v>131.01</v>
      </c>
      <c r="R5613" s="14">
        <v>94.33</v>
      </c>
      <c r="S5613" s="2" t="s">
        <v>1275</v>
      </c>
      <c r="T5613" s="2">
        <v>1.57</v>
      </c>
      <c r="U5613" s="2">
        <v>67.099999999999994</v>
      </c>
      <c r="V5613" s="2">
        <v>67</v>
      </c>
      <c r="W5613" s="2" t="s">
        <v>7862</v>
      </c>
      <c r="X5613" s="2" t="s">
        <v>2897</v>
      </c>
      <c r="Y5613" s="2">
        <v>2376</v>
      </c>
      <c r="Z5613" s="19" t="str">
        <f>HYPERLINK("https://ssdweb.co/ssdweb/hd/Vision360.html?d=924920332&amp;zoomslide=1&amp;z=1924920332&amp;ISCONFIRM=0","VIDEO")</f>
        <v>VIDEO</v>
      </c>
      <c r="AA5613" s="19" t="str">
        <f>HYPERLINK("https://ssdweb.co/ssdweb/CERTH/605330568.pdf","CERTI")</f>
        <v>CERTI</v>
      </c>
    </row>
    <row r="5614" spans="1:27" ht="15" x14ac:dyDescent="0.25">
      <c r="A5614" s="2">
        <v>5609</v>
      </c>
      <c r="B5614" s="39">
        <v>925060446</v>
      </c>
      <c r="C5614" s="28" t="str">
        <f>HYPERLINK("https://pld.live/RapDetail.aspx?STONELIST=925060446","DNA")</f>
        <v>DNA</v>
      </c>
      <c r="D5614" s="18" t="s">
        <v>5847</v>
      </c>
      <c r="E5614" s="18" t="s">
        <v>2186</v>
      </c>
      <c r="F5614" s="2" t="s">
        <v>7987</v>
      </c>
      <c r="G5614" s="2" t="s">
        <v>7322</v>
      </c>
      <c r="H5614" s="14">
        <v>0.72</v>
      </c>
      <c r="I5614" s="2" t="s">
        <v>6587</v>
      </c>
      <c r="J5614" s="2" t="s">
        <v>3942</v>
      </c>
      <c r="K5614" s="2" t="s">
        <v>1452</v>
      </c>
      <c r="L5614" s="2" t="s">
        <v>5221</v>
      </c>
      <c r="M5614" s="2" t="s">
        <v>5221</v>
      </c>
      <c r="N5614" s="2" t="s">
        <v>2317</v>
      </c>
      <c r="O5614" s="14">
        <v>3300</v>
      </c>
      <c r="P5614" s="14">
        <v>96</v>
      </c>
      <c r="Q5614" s="14">
        <v>132</v>
      </c>
      <c r="R5614" s="14">
        <v>95.04</v>
      </c>
      <c r="S5614" s="2" t="s">
        <v>681</v>
      </c>
      <c r="T5614" s="2">
        <v>1.48</v>
      </c>
      <c r="U5614" s="2">
        <v>63.5</v>
      </c>
      <c r="V5614" s="2">
        <v>67</v>
      </c>
      <c r="W5614" s="2" t="s">
        <v>7862</v>
      </c>
      <c r="X5614" s="2" t="s">
        <v>2897</v>
      </c>
      <c r="Y5614" s="2">
        <v>2376</v>
      </c>
      <c r="Z5614" s="19" t="str">
        <f>HYPERLINK("https://ssdweb.co/ssdweb/hd/Vision360.html?d=925060446&amp;zoomslide=1&amp;z=1925060446&amp;ISCONFIRM=0","VIDEO")</f>
        <v>VIDEO</v>
      </c>
      <c r="AA5614" s="19" t="str">
        <f>HYPERLINK("https://ssdweb.co/ssdweb/CERTH/613392461.pdf","CERTI")</f>
        <v>CERTI</v>
      </c>
    </row>
    <row r="5615" spans="1:27" ht="15" x14ac:dyDescent="0.25">
      <c r="A5615" s="2">
        <v>5610</v>
      </c>
      <c r="B5615" s="39">
        <v>924290284</v>
      </c>
      <c r="C5615" s="28" t="str">
        <f>HYPERLINK("https://pld.live/RapDetail.aspx?STONELIST=924290284","DNA")</f>
        <v>DNA</v>
      </c>
      <c r="D5615" s="18" t="s">
        <v>5847</v>
      </c>
      <c r="E5615" s="18" t="s">
        <v>2186</v>
      </c>
      <c r="F5615" s="2" t="s">
        <v>7987</v>
      </c>
      <c r="G5615" s="2" t="s">
        <v>7322</v>
      </c>
      <c r="H5615" s="14">
        <v>0.72</v>
      </c>
      <c r="I5615" s="2" t="s">
        <v>6587</v>
      </c>
      <c r="J5615" s="2" t="s">
        <v>13</v>
      </c>
      <c r="K5615" s="2" t="s">
        <v>1452</v>
      </c>
      <c r="L5615" s="2" t="s">
        <v>5221</v>
      </c>
      <c r="M5615" s="2" t="s">
        <v>5221</v>
      </c>
      <c r="N5615" s="2" t="s">
        <v>2317</v>
      </c>
      <c r="O5615" s="14">
        <v>3100</v>
      </c>
      <c r="P5615" s="14">
        <v>95.94</v>
      </c>
      <c r="Q5615" s="14">
        <v>125.86</v>
      </c>
      <c r="R5615" s="14">
        <v>90.62</v>
      </c>
      <c r="S5615" s="2" t="s">
        <v>3429</v>
      </c>
      <c r="T5615" s="2">
        <v>1.46</v>
      </c>
      <c r="U5615" s="2">
        <v>64.599999999999994</v>
      </c>
      <c r="V5615" s="2">
        <v>64</v>
      </c>
      <c r="W5615" s="2" t="s">
        <v>8016</v>
      </c>
      <c r="X5615" s="2" t="s">
        <v>2897</v>
      </c>
      <c r="Y5615" s="2">
        <v>2232</v>
      </c>
      <c r="Z5615" s="19" t="str">
        <f>HYPERLINK("https://ssdweb.co/ssdweb/hd/Vision360.html?d=924290284&amp;zoomslide=1&amp;z=1924290284&amp;ISCONFIRM=0","VIDEO")</f>
        <v>VIDEO</v>
      </c>
      <c r="AA5615" s="19" t="str">
        <f>HYPERLINK("https://ssdweb.co/ssdweb/CERTH/589382006.pdf","CERTI")</f>
        <v>CERTI</v>
      </c>
    </row>
    <row r="5616" spans="1:27" ht="15" x14ac:dyDescent="0.25">
      <c r="A5616" s="2">
        <v>5611</v>
      </c>
      <c r="B5616" s="39">
        <v>924920455</v>
      </c>
      <c r="C5616" s="28" t="str">
        <f>HYPERLINK("https://pld.live/RapDetail.aspx?STONELIST=924920455","DNA")</f>
        <v>DNA</v>
      </c>
      <c r="D5616" s="18" t="s">
        <v>5847</v>
      </c>
      <c r="E5616" s="18" t="s">
        <v>2186</v>
      </c>
      <c r="F5616" s="2" t="s">
        <v>7987</v>
      </c>
      <c r="G5616" s="2" t="s">
        <v>7322</v>
      </c>
      <c r="H5616" s="14">
        <v>0.72</v>
      </c>
      <c r="I5616" s="2" t="s">
        <v>6587</v>
      </c>
      <c r="J5616" s="2" t="s">
        <v>13</v>
      </c>
      <c r="K5616" s="2" t="s">
        <v>1452</v>
      </c>
      <c r="L5616" s="2" t="s">
        <v>5221</v>
      </c>
      <c r="M5616" s="2" t="s">
        <v>5221</v>
      </c>
      <c r="N5616" s="2" t="s">
        <v>2317</v>
      </c>
      <c r="O5616" s="14">
        <v>3100</v>
      </c>
      <c r="P5616" s="14">
        <v>95.94</v>
      </c>
      <c r="Q5616" s="14">
        <v>125.86</v>
      </c>
      <c r="R5616" s="14">
        <v>90.62</v>
      </c>
      <c r="S5616" s="2" t="s">
        <v>2324</v>
      </c>
      <c r="T5616" s="2">
        <v>1.44</v>
      </c>
      <c r="U5616" s="2">
        <v>66.7</v>
      </c>
      <c r="V5616" s="2">
        <v>65</v>
      </c>
      <c r="W5616" s="2" t="s">
        <v>7862</v>
      </c>
      <c r="X5616" s="2" t="s">
        <v>2897</v>
      </c>
      <c r="Y5616" s="2">
        <v>2232</v>
      </c>
      <c r="Z5616" s="19" t="str">
        <f>HYPERLINK("https://ssdweb.co/ssdweb/hd/Vision360.html?d=924920455&amp;zoomslide=1&amp;z=1924920455&amp;ISCONFIRM=0","VIDEO")</f>
        <v>VIDEO</v>
      </c>
      <c r="AA5616" s="19" t="str">
        <f>HYPERLINK("https://ssdweb.co/ssdweb/CERTH/607345428.pdf","CERTI")</f>
        <v>CERTI</v>
      </c>
    </row>
    <row r="5617" spans="1:27" ht="15" x14ac:dyDescent="0.25">
      <c r="A5617" s="2">
        <v>5612</v>
      </c>
      <c r="B5617" s="39">
        <v>924920440</v>
      </c>
      <c r="C5617" s="28" t="str">
        <f>HYPERLINK("https://pld.live/RapDetail.aspx?STONELIST=924920440","DNA")</f>
        <v>DNA</v>
      </c>
      <c r="D5617" s="18" t="s">
        <v>5847</v>
      </c>
      <c r="E5617" s="18" t="s">
        <v>2186</v>
      </c>
      <c r="F5617" s="2" t="s">
        <v>7987</v>
      </c>
      <c r="G5617" s="2" t="s">
        <v>7322</v>
      </c>
      <c r="H5617" s="14">
        <v>0.72</v>
      </c>
      <c r="I5617" s="2" t="s">
        <v>6587</v>
      </c>
      <c r="J5617" s="2" t="s">
        <v>13</v>
      </c>
      <c r="K5617" s="2" t="s">
        <v>1452</v>
      </c>
      <c r="L5617" s="2" t="s">
        <v>5221</v>
      </c>
      <c r="M5617" s="2" t="s">
        <v>5221</v>
      </c>
      <c r="N5617" s="2" t="s">
        <v>2317</v>
      </c>
      <c r="O5617" s="14">
        <v>3100</v>
      </c>
      <c r="P5617" s="14">
        <v>95.94</v>
      </c>
      <c r="Q5617" s="14">
        <v>125.86</v>
      </c>
      <c r="R5617" s="14">
        <v>90.62</v>
      </c>
      <c r="S5617" s="2" t="s">
        <v>5471</v>
      </c>
      <c r="T5617" s="2">
        <v>1.46</v>
      </c>
      <c r="U5617" s="2">
        <v>65.599999999999994</v>
      </c>
      <c r="V5617" s="2">
        <v>66</v>
      </c>
      <c r="W5617" s="2" t="s">
        <v>7862</v>
      </c>
      <c r="X5617" s="2" t="s">
        <v>2897</v>
      </c>
      <c r="Y5617" s="2">
        <v>2232</v>
      </c>
      <c r="Z5617" s="19" t="str">
        <f>HYPERLINK("https://ssdweb.co/ssdweb/hd/Vision360.html?d=924920440&amp;zoomslide=1&amp;z=1924920440&amp;ISCONFIRM=0","VIDEO")</f>
        <v>VIDEO</v>
      </c>
      <c r="AA5617" s="19" t="str">
        <f>HYPERLINK("https://ssdweb.co/ssdweb/CERTH/607332377.pdf","CERTI")</f>
        <v>CERTI</v>
      </c>
    </row>
    <row r="5618" spans="1:27" ht="15" x14ac:dyDescent="0.25">
      <c r="A5618" s="2">
        <v>5613</v>
      </c>
      <c r="B5618" s="39">
        <v>924920415</v>
      </c>
      <c r="C5618" s="28" t="str">
        <f>HYPERLINK("https://pld.live/RapDetail.aspx?STONELIST=924920415","DNA")</f>
        <v>DNA</v>
      </c>
      <c r="D5618" s="18" t="s">
        <v>5847</v>
      </c>
      <c r="E5618" s="18" t="s">
        <v>2186</v>
      </c>
      <c r="F5618" s="2" t="s">
        <v>7987</v>
      </c>
      <c r="G5618" s="2" t="s">
        <v>7322</v>
      </c>
      <c r="H5618" s="14">
        <v>0.72</v>
      </c>
      <c r="I5618" s="2" t="s">
        <v>6587</v>
      </c>
      <c r="J5618" s="2" t="s">
        <v>13</v>
      </c>
      <c r="K5618" s="2" t="s">
        <v>1452</v>
      </c>
      <c r="L5618" s="2" t="s">
        <v>5221</v>
      </c>
      <c r="M5618" s="2" t="s">
        <v>5221</v>
      </c>
      <c r="N5618" s="2" t="s">
        <v>2317</v>
      </c>
      <c r="O5618" s="14">
        <v>3100</v>
      </c>
      <c r="P5618" s="14">
        <v>95.94</v>
      </c>
      <c r="Q5618" s="14">
        <v>125.86</v>
      </c>
      <c r="R5618" s="14">
        <v>90.62</v>
      </c>
      <c r="S5618" s="2" t="s">
        <v>5166</v>
      </c>
      <c r="T5618" s="2">
        <v>1.42</v>
      </c>
      <c r="U5618" s="2">
        <v>67.099999999999994</v>
      </c>
      <c r="V5618" s="2">
        <v>64</v>
      </c>
      <c r="W5618" s="2" t="s">
        <v>7862</v>
      </c>
      <c r="X5618" s="2" t="s">
        <v>2897</v>
      </c>
      <c r="Y5618" s="2">
        <v>2232</v>
      </c>
      <c r="Z5618" s="19" t="str">
        <f>HYPERLINK("https://ssdweb.co/ssdweb/hd/Vision360.html?d=924920415&amp;zoomslide=1&amp;z=1924920415&amp;ISCONFIRM=0","VIDEO")</f>
        <v>VIDEO</v>
      </c>
      <c r="AA5618" s="19" t="str">
        <f>HYPERLINK("https://ssdweb.co/ssdweb/CERTH/607314619.pdf","CERTI")</f>
        <v>CERTI</v>
      </c>
    </row>
    <row r="5619" spans="1:27" ht="15" x14ac:dyDescent="0.25">
      <c r="A5619" s="2">
        <v>5614</v>
      </c>
      <c r="B5619" s="39">
        <v>924780413</v>
      </c>
      <c r="C5619" s="28" t="str">
        <f>HYPERLINK("https://pld.live/RapDetail.aspx?STONELIST=924780413","DNA")</f>
        <v>DNA</v>
      </c>
      <c r="D5619" s="18" t="s">
        <v>5847</v>
      </c>
      <c r="E5619" s="18" t="s">
        <v>2186</v>
      </c>
      <c r="F5619" s="2" t="s">
        <v>7987</v>
      </c>
      <c r="G5619" s="2" t="s">
        <v>7322</v>
      </c>
      <c r="H5619" s="14">
        <v>0.72</v>
      </c>
      <c r="I5619" s="2" t="s">
        <v>6587</v>
      </c>
      <c r="J5619" s="2" t="s">
        <v>5144</v>
      </c>
      <c r="K5619" s="2" t="s">
        <v>1452</v>
      </c>
      <c r="L5619" s="2" t="s">
        <v>5221</v>
      </c>
      <c r="M5619" s="2" t="s">
        <v>5221</v>
      </c>
      <c r="N5619" s="2" t="s">
        <v>2317</v>
      </c>
      <c r="O5619" s="14">
        <v>2800</v>
      </c>
      <c r="P5619" s="14">
        <v>95.75</v>
      </c>
      <c r="Q5619" s="14">
        <v>119</v>
      </c>
      <c r="R5619" s="14">
        <v>85.68</v>
      </c>
      <c r="S5619" s="2" t="s">
        <v>5314</v>
      </c>
      <c r="T5619" s="2">
        <v>1.46</v>
      </c>
      <c r="U5619" s="2">
        <v>65.400000000000006</v>
      </c>
      <c r="V5619" s="2">
        <v>65</v>
      </c>
      <c r="W5619" s="2" t="s">
        <v>7862</v>
      </c>
      <c r="X5619" s="2" t="s">
        <v>2897</v>
      </c>
      <c r="Y5619" s="2">
        <v>2016</v>
      </c>
      <c r="Z5619" s="19" t="str">
        <f>HYPERLINK("https://ssdweb.co/ssdweb/hd/Vision360.html?d=924780413&amp;zoomslide=1&amp;z=1924780413&amp;ISCONFIRM=0","VIDEO")</f>
        <v>VIDEO</v>
      </c>
      <c r="AA5619" s="19" t="str">
        <f>HYPERLINK("https://ssdweb.co/ssdweb/CERTH/604303873.pdf","CERTI")</f>
        <v>CERTI</v>
      </c>
    </row>
    <row r="5620" spans="1:27" ht="15" x14ac:dyDescent="0.25">
      <c r="A5620" s="2">
        <v>5615</v>
      </c>
      <c r="B5620" s="39">
        <v>923870445</v>
      </c>
      <c r="C5620" s="28" t="str">
        <f>HYPERLINK("https://pld.live/RapDetail.aspx?STONELIST=923870445","DNA")</f>
        <v>DNA</v>
      </c>
      <c r="D5620" s="18" t="s">
        <v>5847</v>
      </c>
      <c r="E5620" s="18" t="s">
        <v>5128</v>
      </c>
      <c r="F5620" s="2" t="s">
        <v>7987</v>
      </c>
      <c r="G5620" s="2" t="s">
        <v>7322</v>
      </c>
      <c r="H5620" s="14">
        <v>0.71</v>
      </c>
      <c r="I5620" s="2" t="s">
        <v>267</v>
      </c>
      <c r="J5620" s="2" t="s">
        <v>7032</v>
      </c>
      <c r="K5620" s="2" t="s">
        <v>1452</v>
      </c>
      <c r="L5620" s="2" t="s">
        <v>5221</v>
      </c>
      <c r="M5620" s="2" t="s">
        <v>5221</v>
      </c>
      <c r="N5620" s="2" t="s">
        <v>2317</v>
      </c>
      <c r="O5620" s="14">
        <v>4700</v>
      </c>
      <c r="P5620" s="14">
        <v>94.43</v>
      </c>
      <c r="Q5620" s="14">
        <v>261.79000000000002</v>
      </c>
      <c r="R5620" s="14">
        <v>185.87</v>
      </c>
      <c r="S5620" s="2" t="s">
        <v>7535</v>
      </c>
      <c r="T5620" s="2">
        <v>1.4</v>
      </c>
      <c r="U5620" s="2">
        <v>68.099999999999994</v>
      </c>
      <c r="V5620" s="2">
        <v>61.5</v>
      </c>
      <c r="W5620" s="2" t="s">
        <v>7862</v>
      </c>
      <c r="X5620" s="2" t="s">
        <v>2897</v>
      </c>
      <c r="Y5620" s="2">
        <v>3337</v>
      </c>
      <c r="Z5620" s="19" t="str">
        <f>HYPERLINK("https://ssdweb.co/ssdweb/hd/Vision360.html?d=923870445&amp;zoomslide=1&amp;z=1923870445&amp;ISCONFIRM=0","VIDEO")</f>
        <v>VIDEO</v>
      </c>
      <c r="AA5620" s="19" t="str">
        <f>HYPERLINK("https://ssdweb.co/ssdweb/CERTH/570371513.pdf","CERTI")</f>
        <v>CERTI</v>
      </c>
    </row>
    <row r="5621" spans="1:27" ht="15" x14ac:dyDescent="0.25">
      <c r="A5621" s="2">
        <v>5616</v>
      </c>
      <c r="B5621" s="39">
        <v>924370487</v>
      </c>
      <c r="C5621" s="28" t="str">
        <f>HYPERLINK("https://pld.live/RapDetail.aspx?STONELIST=924370487","DNA")</f>
        <v>DNA</v>
      </c>
      <c r="D5621" s="18" t="s">
        <v>5847</v>
      </c>
      <c r="E5621" s="18" t="s">
        <v>5128</v>
      </c>
      <c r="F5621" s="2" t="s">
        <v>7987</v>
      </c>
      <c r="G5621" s="2" t="s">
        <v>7322</v>
      </c>
      <c r="H5621" s="14">
        <v>0.71</v>
      </c>
      <c r="I5621" s="2" t="s">
        <v>267</v>
      </c>
      <c r="J5621" s="2" t="s">
        <v>6555</v>
      </c>
      <c r="K5621" s="2" t="s">
        <v>1452</v>
      </c>
      <c r="L5621" s="2" t="s">
        <v>5221</v>
      </c>
      <c r="M5621" s="2" t="s">
        <v>5221</v>
      </c>
      <c r="N5621" s="2" t="s">
        <v>2317</v>
      </c>
      <c r="O5621" s="14">
        <v>4300</v>
      </c>
      <c r="P5621" s="14">
        <v>96.23</v>
      </c>
      <c r="Q5621" s="14">
        <v>162.11000000000001</v>
      </c>
      <c r="R5621" s="14">
        <v>115.1</v>
      </c>
      <c r="S5621" s="2" t="s">
        <v>7907</v>
      </c>
      <c r="T5621" s="2">
        <v>1.35</v>
      </c>
      <c r="U5621" s="2">
        <v>66</v>
      </c>
      <c r="V5621" s="2">
        <v>66</v>
      </c>
      <c r="W5621" s="2" t="s">
        <v>7862</v>
      </c>
      <c r="X5621" s="2" t="s">
        <v>2897</v>
      </c>
      <c r="Y5621" s="2">
        <v>3053</v>
      </c>
      <c r="Z5621" s="19" t="str">
        <f>HYPERLINK("https://ssdweb.co/ssdweb/hd/Vision360.html?d=924370487&amp;zoomslide=1&amp;z=1924370487&amp;ISCONFIRM=0","VIDEO")</f>
        <v>VIDEO</v>
      </c>
      <c r="AA5621" s="19" t="str">
        <f>HYPERLINK("https://ssdweb.co/ssdweb/CERTH/596330811.pdf","CERTI")</f>
        <v>CERTI</v>
      </c>
    </row>
    <row r="5622" spans="1:27" ht="15" x14ac:dyDescent="0.25">
      <c r="A5622" s="2">
        <v>5617</v>
      </c>
      <c r="B5622" s="39">
        <v>923870349</v>
      </c>
      <c r="C5622" s="28" t="str">
        <f>HYPERLINK("https://pld.live/RapDetail.aspx?STONELIST=923870349","DNA")</f>
        <v>DNA</v>
      </c>
      <c r="D5622" s="18" t="s">
        <v>5847</v>
      </c>
      <c r="E5622" s="18" t="s">
        <v>5128</v>
      </c>
      <c r="F5622" s="2" t="s">
        <v>7987</v>
      </c>
      <c r="G5622" s="2" t="s">
        <v>7322</v>
      </c>
      <c r="H5622" s="14">
        <v>0.71</v>
      </c>
      <c r="I5622" s="2" t="s">
        <v>267</v>
      </c>
      <c r="J5622" s="2" t="s">
        <v>6555</v>
      </c>
      <c r="K5622" s="2" t="s">
        <v>1452</v>
      </c>
      <c r="L5622" s="2" t="s">
        <v>5221</v>
      </c>
      <c r="M5622" s="2" t="s">
        <v>5221</v>
      </c>
      <c r="N5622" s="2" t="s">
        <v>2317</v>
      </c>
      <c r="O5622" s="14">
        <v>4300</v>
      </c>
      <c r="P5622" s="14">
        <v>96.23</v>
      </c>
      <c r="Q5622" s="14">
        <v>162.11000000000001</v>
      </c>
      <c r="R5622" s="14">
        <v>115.1</v>
      </c>
      <c r="S5622" s="2" t="s">
        <v>390</v>
      </c>
      <c r="T5622" s="2">
        <v>1.41</v>
      </c>
      <c r="U5622" s="2">
        <v>66</v>
      </c>
      <c r="V5622" s="2">
        <v>62</v>
      </c>
      <c r="W5622" s="2" t="s">
        <v>7862</v>
      </c>
      <c r="X5622" s="2" t="s">
        <v>2897</v>
      </c>
      <c r="Y5622" s="2">
        <v>3053</v>
      </c>
      <c r="Z5622" s="19" t="str">
        <f>HYPERLINK("https://ssdweb.co/ssdweb/hd/Vision360.html?d=923870349&amp;zoomslide=1&amp;z=1923870349&amp;ISCONFIRM=0","VIDEO")</f>
        <v>VIDEO</v>
      </c>
      <c r="AA5622" s="19" t="str">
        <f>HYPERLINK("https://ssdweb.co/ssdweb/CERTH/569323078.pdf","CERTI")</f>
        <v>CERTI</v>
      </c>
    </row>
    <row r="5623" spans="1:27" ht="15" x14ac:dyDescent="0.25">
      <c r="A5623" s="2">
        <v>5618</v>
      </c>
      <c r="B5623" s="39">
        <v>926690879</v>
      </c>
      <c r="C5623" s="28" t="str">
        <f>HYPERLINK("https://pld.live/RapDetail.aspx?STONELIST=926690879","DNA")</f>
        <v>DNA</v>
      </c>
      <c r="D5623" s="18" t="s">
        <v>5847</v>
      </c>
      <c r="E5623" s="18" t="s">
        <v>5128</v>
      </c>
      <c r="F5623" s="2" t="s">
        <v>7987</v>
      </c>
      <c r="G5623" s="2" t="s">
        <v>7322</v>
      </c>
      <c r="H5623" s="14">
        <v>0.71</v>
      </c>
      <c r="I5623" s="2" t="s">
        <v>267</v>
      </c>
      <c r="J5623" s="2" t="s">
        <v>6555</v>
      </c>
      <c r="K5623" s="2" t="s">
        <v>1452</v>
      </c>
      <c r="L5623" s="2" t="s">
        <v>5221</v>
      </c>
      <c r="M5623" s="2" t="s">
        <v>5221</v>
      </c>
      <c r="N5623" s="2" t="s">
        <v>2317</v>
      </c>
      <c r="O5623" s="14">
        <v>4300</v>
      </c>
      <c r="P5623" s="14">
        <v>96.09</v>
      </c>
      <c r="Q5623" s="14">
        <v>168.13</v>
      </c>
      <c r="R5623" s="14">
        <v>119.37</v>
      </c>
      <c r="S5623" s="2" t="s">
        <v>5143</v>
      </c>
      <c r="T5623" s="2">
        <v>1.4</v>
      </c>
      <c r="U5623" s="2">
        <v>66.3</v>
      </c>
      <c r="V5623" s="2">
        <v>64</v>
      </c>
      <c r="W5623" s="2" t="s">
        <v>7862</v>
      </c>
      <c r="X5623" s="2" t="s">
        <v>2897</v>
      </c>
      <c r="Y5623" s="2">
        <v>3053</v>
      </c>
      <c r="Z5623" s="19" t="str">
        <f>HYPERLINK("https://ssdweb.co/ssdweb/hd/Vision360.html?d=926690879&amp;zoomslide=1&amp;z=1926690879&amp;ISCONFIRM=0","VIDEO")</f>
        <v>VIDEO</v>
      </c>
      <c r="AA5623" s="19" t="str">
        <f>HYPERLINK("https://ssdweb.co/ssdweb/CERTH/652442377.pdf","CERTI")</f>
        <v>CERTI</v>
      </c>
    </row>
    <row r="5624" spans="1:27" ht="15" x14ac:dyDescent="0.25">
      <c r="A5624" s="2">
        <v>5619</v>
      </c>
      <c r="B5624" s="39">
        <v>925030407</v>
      </c>
      <c r="C5624" s="28" t="str">
        <f>HYPERLINK("https://pld.live/RapDetail.aspx?STONELIST=925030407","DNA")</f>
        <v>DNA</v>
      </c>
      <c r="D5624" s="18" t="s">
        <v>5847</v>
      </c>
      <c r="E5624" s="18" t="s">
        <v>5128</v>
      </c>
      <c r="F5624" s="2" t="s">
        <v>7987</v>
      </c>
      <c r="G5624" s="2" t="s">
        <v>7322</v>
      </c>
      <c r="H5624" s="14">
        <v>0.71</v>
      </c>
      <c r="I5624" s="2" t="s">
        <v>267</v>
      </c>
      <c r="J5624" s="2" t="s">
        <v>3942</v>
      </c>
      <c r="K5624" s="2" t="s">
        <v>1452</v>
      </c>
      <c r="L5624" s="2" t="s">
        <v>5221</v>
      </c>
      <c r="M5624" s="2" t="s">
        <v>5221</v>
      </c>
      <c r="N5624" s="2" t="s">
        <v>2317</v>
      </c>
      <c r="O5624" s="14">
        <v>4000</v>
      </c>
      <c r="P5624" s="14">
        <v>96.2</v>
      </c>
      <c r="Q5624" s="14">
        <v>152</v>
      </c>
      <c r="R5624" s="14">
        <v>107.92</v>
      </c>
      <c r="S5624" s="2" t="s">
        <v>3480</v>
      </c>
      <c r="T5624" s="2">
        <v>1.39</v>
      </c>
      <c r="U5624" s="2">
        <v>67.099999999999994</v>
      </c>
      <c r="V5624" s="2">
        <v>61</v>
      </c>
      <c r="W5624" s="2" t="s">
        <v>7862</v>
      </c>
      <c r="X5624" s="2" t="s">
        <v>2897</v>
      </c>
      <c r="Y5624" s="2">
        <v>2840</v>
      </c>
      <c r="Z5624" s="19" t="str">
        <f>HYPERLINK("https://ssdweb.co/ssdweb/hd/Vision360.html?d=925030407&amp;zoomslide=1&amp;z=1925030407&amp;ISCONFIRM=0","VIDEO")</f>
        <v>VIDEO</v>
      </c>
      <c r="AA5624" s="19" t="str">
        <f>HYPERLINK("https://ssdweb.co/ssdweb/CERTH/615342847.pdf","CERTI")</f>
        <v>CERTI</v>
      </c>
    </row>
    <row r="5625" spans="1:27" ht="15" x14ac:dyDescent="0.25">
      <c r="A5625" s="2">
        <v>5620</v>
      </c>
      <c r="B5625" s="39">
        <v>926520191</v>
      </c>
      <c r="C5625" s="28" t="str">
        <f>HYPERLINK("https://pld.live/RapDetail.aspx?STONELIST=926520191","DNA")</f>
        <v>DNA</v>
      </c>
      <c r="D5625" s="18" t="s">
        <v>5847</v>
      </c>
      <c r="E5625" s="18" t="s">
        <v>5128</v>
      </c>
      <c r="F5625" s="2" t="s">
        <v>7987</v>
      </c>
      <c r="G5625" s="2" t="s">
        <v>7322</v>
      </c>
      <c r="H5625" s="14">
        <v>0.71</v>
      </c>
      <c r="I5625" s="2" t="s">
        <v>267</v>
      </c>
      <c r="J5625" s="2" t="s">
        <v>3942</v>
      </c>
      <c r="K5625" s="2" t="s">
        <v>1452</v>
      </c>
      <c r="L5625" s="2" t="s">
        <v>5221</v>
      </c>
      <c r="M5625" s="2" t="s">
        <v>5221</v>
      </c>
      <c r="N5625" s="2" t="s">
        <v>2317</v>
      </c>
      <c r="O5625" s="14">
        <v>4000</v>
      </c>
      <c r="P5625" s="14">
        <v>96.05</v>
      </c>
      <c r="Q5625" s="14">
        <v>158</v>
      </c>
      <c r="R5625" s="14">
        <v>112.18</v>
      </c>
      <c r="S5625" s="2" t="s">
        <v>2717</v>
      </c>
      <c r="T5625" s="2">
        <v>1.53</v>
      </c>
      <c r="U5625" s="2">
        <v>66.2</v>
      </c>
      <c r="V5625" s="2">
        <v>68</v>
      </c>
      <c r="W5625" s="2" t="s">
        <v>7862</v>
      </c>
      <c r="X5625" s="2" t="s">
        <v>2897</v>
      </c>
      <c r="Y5625" s="2">
        <v>2840</v>
      </c>
      <c r="Z5625" s="19" t="str">
        <f>HYPERLINK("https://ssdweb.co/ssdweb/hd/Vision360.html?d=926520191&amp;zoomslide=1&amp;z=1926520191&amp;ISCONFIRM=0","VIDEO")</f>
        <v>VIDEO</v>
      </c>
      <c r="AA5625" s="19" t="str">
        <f>HYPERLINK("https://ssdweb.co/ssdweb/CERTH/652442379.pdf","CERTI")</f>
        <v>CERTI</v>
      </c>
    </row>
    <row r="5626" spans="1:27" ht="15" x14ac:dyDescent="0.25">
      <c r="A5626" s="2">
        <v>5621</v>
      </c>
      <c r="B5626" s="39">
        <v>923690432</v>
      </c>
      <c r="C5626" s="28" t="str">
        <f>HYPERLINK("https://pld.live/RapDetail.aspx?STONELIST=923690432","DNA")</f>
        <v>DNA</v>
      </c>
      <c r="D5626" s="18" t="s">
        <v>5847</v>
      </c>
      <c r="E5626" s="18" t="s">
        <v>5128</v>
      </c>
      <c r="F5626" s="2" t="s">
        <v>7987</v>
      </c>
      <c r="G5626" s="2" t="s">
        <v>7322</v>
      </c>
      <c r="H5626" s="14">
        <v>0.71</v>
      </c>
      <c r="I5626" s="2" t="s">
        <v>267</v>
      </c>
      <c r="J5626" s="2" t="s">
        <v>3942</v>
      </c>
      <c r="K5626" s="2" t="s">
        <v>1452</v>
      </c>
      <c r="L5626" s="2" t="s">
        <v>5221</v>
      </c>
      <c r="M5626" s="2" t="s">
        <v>5221</v>
      </c>
      <c r="N5626" s="2" t="s">
        <v>2317</v>
      </c>
      <c r="O5626" s="14">
        <v>4000</v>
      </c>
      <c r="P5626" s="14">
        <v>96.2</v>
      </c>
      <c r="Q5626" s="14">
        <v>152</v>
      </c>
      <c r="R5626" s="14">
        <v>107.92</v>
      </c>
      <c r="S5626" s="2" t="s">
        <v>3210</v>
      </c>
      <c r="T5626" s="2">
        <v>1.35</v>
      </c>
      <c r="U5626" s="2">
        <v>66.7</v>
      </c>
      <c r="V5626" s="2">
        <v>63.5</v>
      </c>
      <c r="W5626" s="2" t="s">
        <v>7862</v>
      </c>
      <c r="X5626" s="2" t="s">
        <v>2897</v>
      </c>
      <c r="Y5626" s="2">
        <v>2840</v>
      </c>
      <c r="Z5626" s="19" t="str">
        <f>HYPERLINK("https://ssdweb.co/ssdweb/hd/Vision360.html?d=923690432&amp;zoomslide=1&amp;z=1923690432&amp;ISCONFIRM=0","VIDEO")</f>
        <v>VIDEO</v>
      </c>
      <c r="AA5626" s="19" t="str">
        <f>HYPERLINK("https://ssdweb.co/ssdweb/CERTH/563203680.pdf","CERTI")</f>
        <v>CERTI</v>
      </c>
    </row>
    <row r="5627" spans="1:27" ht="15" x14ac:dyDescent="0.25">
      <c r="A5627" s="2">
        <v>5622</v>
      </c>
      <c r="B5627" s="39">
        <v>925040304</v>
      </c>
      <c r="C5627" s="28" t="str">
        <f>HYPERLINK("https://pld.live/RapDetail.aspx?STONELIST=925040304","DNA")</f>
        <v>DNA</v>
      </c>
      <c r="D5627" s="18" t="s">
        <v>5847</v>
      </c>
      <c r="E5627" s="18" t="s">
        <v>5128</v>
      </c>
      <c r="F5627" s="2" t="s">
        <v>7987</v>
      </c>
      <c r="G5627" s="2" t="s">
        <v>7322</v>
      </c>
      <c r="H5627" s="14">
        <v>0.71</v>
      </c>
      <c r="I5627" s="2" t="s">
        <v>267</v>
      </c>
      <c r="J5627" s="2" t="s">
        <v>5144</v>
      </c>
      <c r="K5627" s="2" t="s">
        <v>1452</v>
      </c>
      <c r="L5627" s="2" t="s">
        <v>5221</v>
      </c>
      <c r="M5627" s="2" t="s">
        <v>5221</v>
      </c>
      <c r="N5627" s="2" t="s">
        <v>2317</v>
      </c>
      <c r="O5627" s="14">
        <v>3400</v>
      </c>
      <c r="P5627" s="14">
        <v>96.21</v>
      </c>
      <c r="Q5627" s="14">
        <v>128.86000000000001</v>
      </c>
      <c r="R5627" s="14">
        <v>91.49</v>
      </c>
      <c r="S5627" s="2" t="s">
        <v>6270</v>
      </c>
      <c r="T5627" s="2">
        <v>1.4</v>
      </c>
      <c r="U5627" s="2">
        <v>67.599999999999994</v>
      </c>
      <c r="V5627" s="2">
        <v>63</v>
      </c>
      <c r="W5627" s="2" t="s">
        <v>7862</v>
      </c>
      <c r="X5627" s="2" t="s">
        <v>2897</v>
      </c>
      <c r="Y5627" s="2">
        <v>2414</v>
      </c>
      <c r="Z5627" s="19" t="str">
        <f>HYPERLINK("https://ssdweb.co/ssdweb/hd/Vision360.html?d=925040304&amp;zoomslide=1&amp;z=1925040304&amp;ISCONFIRM=0","VIDEO")</f>
        <v>VIDEO</v>
      </c>
      <c r="AA5627" s="19" t="str">
        <f>HYPERLINK("https://ssdweb.co/ssdweb/CERTH/612321938.pdf","CERTI")</f>
        <v>CERTI</v>
      </c>
    </row>
    <row r="5628" spans="1:27" ht="15" x14ac:dyDescent="0.25">
      <c r="A5628" s="2">
        <v>5623</v>
      </c>
      <c r="B5628" s="39">
        <v>925040298</v>
      </c>
      <c r="C5628" s="28" t="str">
        <f>HYPERLINK("https://pld.live/RapDetail.aspx?STONELIST=925040298","DNA")</f>
        <v>DNA</v>
      </c>
      <c r="D5628" s="18" t="s">
        <v>5847</v>
      </c>
      <c r="E5628" s="18" t="s">
        <v>5128</v>
      </c>
      <c r="F5628" s="2" t="s">
        <v>7987</v>
      </c>
      <c r="G5628" s="2" t="s">
        <v>7322</v>
      </c>
      <c r="H5628" s="14">
        <v>0.71</v>
      </c>
      <c r="I5628" s="2" t="s">
        <v>267</v>
      </c>
      <c r="J5628" s="2" t="s">
        <v>5144</v>
      </c>
      <c r="K5628" s="2" t="s">
        <v>1452</v>
      </c>
      <c r="L5628" s="2" t="s">
        <v>5221</v>
      </c>
      <c r="M5628" s="2" t="s">
        <v>5221</v>
      </c>
      <c r="N5628" s="2" t="s">
        <v>2317</v>
      </c>
      <c r="O5628" s="14">
        <v>3400</v>
      </c>
      <c r="P5628" s="14">
        <v>96.21</v>
      </c>
      <c r="Q5628" s="14">
        <v>128.86000000000001</v>
      </c>
      <c r="R5628" s="14">
        <v>91.49</v>
      </c>
      <c r="S5628" s="2" t="s">
        <v>4200</v>
      </c>
      <c r="T5628" s="2">
        <v>1.44</v>
      </c>
      <c r="U5628" s="2">
        <v>66.7</v>
      </c>
      <c r="V5628" s="2">
        <v>64</v>
      </c>
      <c r="W5628" s="2" t="s">
        <v>7862</v>
      </c>
      <c r="X5628" s="2" t="s">
        <v>2897</v>
      </c>
      <c r="Y5628" s="2">
        <v>2414</v>
      </c>
      <c r="Z5628" s="19" t="str">
        <f>HYPERLINK("https://ssdweb.co/ssdweb/hd/Vision360.html?d=925040298&amp;zoomslide=1&amp;z=1925040298&amp;ISCONFIRM=0","VIDEO")</f>
        <v>VIDEO</v>
      </c>
      <c r="AA5628" s="19" t="str">
        <f>HYPERLINK("https://ssdweb.co/ssdweb/CERTH/611395858.pdf","CERTI")</f>
        <v>CERTI</v>
      </c>
    </row>
    <row r="5629" spans="1:27" ht="15" x14ac:dyDescent="0.25">
      <c r="A5629" s="2">
        <v>5624</v>
      </c>
      <c r="B5629" s="39">
        <v>925030402</v>
      </c>
      <c r="C5629" s="28" t="str">
        <f>HYPERLINK("https://pld.live/RapDetail.aspx?STONELIST=925030402","DNA")</f>
        <v>DNA</v>
      </c>
      <c r="D5629" s="18" t="s">
        <v>5847</v>
      </c>
      <c r="E5629" s="18" t="s">
        <v>5128</v>
      </c>
      <c r="F5629" s="2" t="s">
        <v>7987</v>
      </c>
      <c r="G5629" s="2" t="s">
        <v>7322</v>
      </c>
      <c r="H5629" s="14">
        <v>0.71</v>
      </c>
      <c r="I5629" s="2" t="s">
        <v>267</v>
      </c>
      <c r="J5629" s="2" t="s">
        <v>5144</v>
      </c>
      <c r="K5629" s="2" t="s">
        <v>1452</v>
      </c>
      <c r="L5629" s="2" t="s">
        <v>5221</v>
      </c>
      <c r="M5629" s="2" t="s">
        <v>5221</v>
      </c>
      <c r="N5629" s="2" t="s">
        <v>2317</v>
      </c>
      <c r="O5629" s="14">
        <v>3400</v>
      </c>
      <c r="P5629" s="14">
        <v>96.21</v>
      </c>
      <c r="Q5629" s="14">
        <v>128.86000000000001</v>
      </c>
      <c r="R5629" s="14">
        <v>91.49</v>
      </c>
      <c r="S5629" s="2" t="s">
        <v>1483</v>
      </c>
      <c r="T5629" s="2">
        <v>1.39</v>
      </c>
      <c r="U5629" s="2">
        <v>65.2</v>
      </c>
      <c r="V5629" s="2">
        <v>65</v>
      </c>
      <c r="W5629" s="2" t="s">
        <v>7862</v>
      </c>
      <c r="X5629" s="2" t="s">
        <v>2897</v>
      </c>
      <c r="Y5629" s="2">
        <v>2414</v>
      </c>
      <c r="Z5629" s="19" t="str">
        <f>HYPERLINK("https://ssdweb.co/ssdweb/hd/Vision360.html?d=925030402&amp;zoomslide=1&amp;z=1925030402&amp;ISCONFIRM=0","VIDEO")</f>
        <v>VIDEO</v>
      </c>
      <c r="AA5629" s="19" t="str">
        <f>HYPERLINK("https://ssdweb.co/ssdweb/CERTH/614319337.pdf","CERTI")</f>
        <v>CERTI</v>
      </c>
    </row>
    <row r="5630" spans="1:27" ht="15" x14ac:dyDescent="0.25">
      <c r="A5630" s="2">
        <v>5625</v>
      </c>
      <c r="B5630" s="39">
        <v>924370514</v>
      </c>
      <c r="C5630" s="28" t="str">
        <f>HYPERLINK("https://pld.live/RapDetail.aspx?STONELIST=924370514","DNA")</f>
        <v>DNA</v>
      </c>
      <c r="D5630" s="18" t="s">
        <v>5847</v>
      </c>
      <c r="E5630" s="18" t="s">
        <v>5128</v>
      </c>
      <c r="F5630" s="2" t="s">
        <v>5597</v>
      </c>
      <c r="G5630" s="2" t="s">
        <v>7322</v>
      </c>
      <c r="H5630" s="14">
        <v>0.71</v>
      </c>
      <c r="I5630" s="2" t="s">
        <v>267</v>
      </c>
      <c r="J5630" s="2" t="s">
        <v>444</v>
      </c>
      <c r="K5630" s="2" t="s">
        <v>1452</v>
      </c>
      <c r="L5630" s="2" t="s">
        <v>5721</v>
      </c>
      <c r="M5630" s="2" t="s">
        <v>5221</v>
      </c>
      <c r="N5630" s="2" t="s">
        <v>2317</v>
      </c>
      <c r="O5630" s="14">
        <v>2800</v>
      </c>
      <c r="P5630" s="14">
        <v>93.57</v>
      </c>
      <c r="Q5630" s="14">
        <v>180.04</v>
      </c>
      <c r="R5630" s="14">
        <v>127.83</v>
      </c>
      <c r="S5630" s="2" t="s">
        <v>394</v>
      </c>
      <c r="T5630" s="2">
        <v>1.36</v>
      </c>
      <c r="U5630" s="2">
        <v>68.3</v>
      </c>
      <c r="V5630" s="2">
        <v>62</v>
      </c>
      <c r="W5630" s="2" t="s">
        <v>7862</v>
      </c>
      <c r="X5630" s="2" t="s">
        <v>2897</v>
      </c>
      <c r="Y5630" s="2">
        <v>1988</v>
      </c>
      <c r="Z5630" s="19" t="str">
        <f>HYPERLINK("https://ssdweb.co/ssdweb/hd/Vision360.html?d=924370514&amp;zoomslide=1&amp;z=1924370514&amp;ISCONFIRM=0","VIDEO")</f>
        <v>VIDEO</v>
      </c>
      <c r="AA5630" s="19" t="str">
        <f>HYPERLINK("https://ssdweb.co/ssdweb/CERTH/5473504764.pdf","CERTI")</f>
        <v>CERTI</v>
      </c>
    </row>
    <row r="5631" spans="1:27" ht="15" x14ac:dyDescent="0.25">
      <c r="A5631" s="2">
        <v>5626</v>
      </c>
      <c r="B5631" s="39">
        <v>924960447</v>
      </c>
      <c r="C5631" s="28" t="str">
        <f>HYPERLINK("https://pld.live/RapDetail.aspx?STONELIST=924960447","DNA")</f>
        <v>DNA</v>
      </c>
      <c r="D5631" s="18" t="s">
        <v>5847</v>
      </c>
      <c r="E5631" s="18" t="s">
        <v>5128</v>
      </c>
      <c r="F5631" s="2" t="s">
        <v>7987</v>
      </c>
      <c r="G5631" s="2" t="s">
        <v>7322</v>
      </c>
      <c r="H5631" s="14">
        <v>0.71</v>
      </c>
      <c r="I5631" s="2" t="s">
        <v>4761</v>
      </c>
      <c r="J5631" s="2" t="s">
        <v>3942</v>
      </c>
      <c r="K5631" s="2" t="s">
        <v>1452</v>
      </c>
      <c r="L5631" s="2" t="s">
        <v>5221</v>
      </c>
      <c r="M5631" s="2" t="s">
        <v>5221</v>
      </c>
      <c r="N5631" s="2" t="s">
        <v>2317</v>
      </c>
      <c r="O5631" s="14">
        <v>3800</v>
      </c>
      <c r="P5631" s="14">
        <v>96.26</v>
      </c>
      <c r="Q5631" s="14">
        <v>142.12</v>
      </c>
      <c r="R5631" s="14">
        <v>100.91</v>
      </c>
      <c r="S5631" s="2" t="s">
        <v>5217</v>
      </c>
      <c r="T5631" s="2">
        <v>1.39</v>
      </c>
      <c r="U5631" s="2">
        <v>66.599999999999994</v>
      </c>
      <c r="V5631" s="2">
        <v>63</v>
      </c>
      <c r="W5631" s="2" t="s">
        <v>7862</v>
      </c>
      <c r="X5631" s="2" t="s">
        <v>2897</v>
      </c>
      <c r="Y5631" s="2">
        <v>2698</v>
      </c>
      <c r="Z5631" s="19" t="str">
        <f>HYPERLINK("https://ssdweb.co/ssdweb/hd/Vision360.html?d=924960447&amp;zoomslide=1&amp;z=1924960447&amp;ISCONFIRM=0","VIDEO")</f>
        <v>VIDEO</v>
      </c>
      <c r="AA5631" s="19" t="str">
        <f>HYPERLINK("https://ssdweb.co/ssdweb/CERTH/610315059.pdf","CERTI")</f>
        <v>CERTI</v>
      </c>
    </row>
    <row r="5632" spans="1:27" ht="15" x14ac:dyDescent="0.25">
      <c r="A5632" s="2">
        <v>5627</v>
      </c>
      <c r="B5632" s="39">
        <v>925040332</v>
      </c>
      <c r="C5632" s="28" t="str">
        <f>HYPERLINK("https://pld.live/RapDetail.aspx?STONELIST=925040332","DNA")</f>
        <v>DNA</v>
      </c>
      <c r="D5632" s="18" t="s">
        <v>5847</v>
      </c>
      <c r="E5632" s="18" t="s">
        <v>5128</v>
      </c>
      <c r="F5632" s="2" t="s">
        <v>7987</v>
      </c>
      <c r="G5632" s="2" t="s">
        <v>7322</v>
      </c>
      <c r="H5632" s="14">
        <v>0.71</v>
      </c>
      <c r="I5632" s="2" t="s">
        <v>4761</v>
      </c>
      <c r="J5632" s="2" t="s">
        <v>3942</v>
      </c>
      <c r="K5632" s="2" t="s">
        <v>1452</v>
      </c>
      <c r="L5632" s="2" t="s">
        <v>5221</v>
      </c>
      <c r="M5632" s="2" t="s">
        <v>5221</v>
      </c>
      <c r="N5632" s="2" t="s">
        <v>2317</v>
      </c>
      <c r="O5632" s="14">
        <v>3800</v>
      </c>
      <c r="P5632" s="14">
        <v>96.26</v>
      </c>
      <c r="Q5632" s="14">
        <v>142.12</v>
      </c>
      <c r="R5632" s="14">
        <v>100.91</v>
      </c>
      <c r="S5632" s="2" t="s">
        <v>2064</v>
      </c>
      <c r="T5632" s="2">
        <v>1.38</v>
      </c>
      <c r="U5632" s="2">
        <v>68.099999999999994</v>
      </c>
      <c r="V5632" s="2">
        <v>65</v>
      </c>
      <c r="W5632" s="2" t="s">
        <v>7862</v>
      </c>
      <c r="X5632" s="2" t="s">
        <v>2897</v>
      </c>
      <c r="Y5632" s="2">
        <v>2698</v>
      </c>
      <c r="Z5632" s="19" t="str">
        <f>HYPERLINK("https://ssdweb.co/ssdweb/hd/Vision360.html?d=925040332&amp;zoomslide=1&amp;z=1925040332&amp;ISCONFIRM=0","VIDEO")</f>
        <v>VIDEO</v>
      </c>
      <c r="AA5632" s="19" t="str">
        <f>HYPERLINK("https://ssdweb.co/ssdweb/CERTH/613392458.pdf","CERTI")</f>
        <v>CERTI</v>
      </c>
    </row>
    <row r="5633" spans="1:27" ht="15" x14ac:dyDescent="0.25">
      <c r="A5633" s="2">
        <v>5628</v>
      </c>
      <c r="B5633" s="39">
        <v>926730817</v>
      </c>
      <c r="C5633" s="28" t="str">
        <f>HYPERLINK("https://pld.live/RapDetail.aspx?STONELIST=926730817","DNA")</f>
        <v>DNA</v>
      </c>
      <c r="D5633" s="18" t="s">
        <v>5847</v>
      </c>
      <c r="E5633" s="18" t="s">
        <v>5128</v>
      </c>
      <c r="F5633" s="2" t="s">
        <v>7987</v>
      </c>
      <c r="G5633" s="2" t="s">
        <v>7322</v>
      </c>
      <c r="H5633" s="14">
        <v>0.71</v>
      </c>
      <c r="I5633" s="2" t="s">
        <v>4761</v>
      </c>
      <c r="J5633" s="2" t="s">
        <v>3942</v>
      </c>
      <c r="K5633" s="2" t="s">
        <v>1452</v>
      </c>
      <c r="L5633" s="2" t="s">
        <v>5221</v>
      </c>
      <c r="M5633" s="2" t="s">
        <v>5221</v>
      </c>
      <c r="N5633" s="2" t="s">
        <v>2317</v>
      </c>
      <c r="O5633" s="14">
        <v>3800</v>
      </c>
      <c r="P5633" s="14">
        <v>96.16</v>
      </c>
      <c r="Q5633" s="14">
        <v>145.91999999999999</v>
      </c>
      <c r="R5633" s="14">
        <v>103.6</v>
      </c>
      <c r="S5633" s="2" t="s">
        <v>2807</v>
      </c>
      <c r="T5633" s="2">
        <v>1.36</v>
      </c>
      <c r="U5633" s="2">
        <v>68.400000000000006</v>
      </c>
      <c r="V5633" s="2">
        <v>62</v>
      </c>
      <c r="W5633" s="2" t="s">
        <v>7862</v>
      </c>
      <c r="X5633" s="2" t="s">
        <v>2897</v>
      </c>
      <c r="Y5633" s="2">
        <v>2698</v>
      </c>
      <c r="Z5633" s="19" t="str">
        <f>HYPERLINK("https://ssdweb.co/ssdweb/hd/Vision360.html?d=926730817&amp;zoomslide=1&amp;z=1926730817&amp;ISCONFIRM=0","VIDEO")</f>
        <v>VIDEO</v>
      </c>
      <c r="AA5633" s="19" t="str">
        <f>HYPERLINK("https://ssdweb.co/ssdweb/CERTH/649434591.pdf","CERTI")</f>
        <v>CERTI</v>
      </c>
    </row>
    <row r="5634" spans="1:27" ht="15" x14ac:dyDescent="0.25">
      <c r="A5634" s="2">
        <v>5629</v>
      </c>
      <c r="B5634" s="39">
        <v>926220730</v>
      </c>
      <c r="C5634" s="28" t="str">
        <f>HYPERLINK("https://pld.live/RapDetail.aspx?STONELIST=926220730","DNA")</f>
        <v>DNA</v>
      </c>
      <c r="D5634" s="18" t="s">
        <v>5847</v>
      </c>
      <c r="E5634" s="18" t="s">
        <v>5128</v>
      </c>
      <c r="F5634" s="2" t="s">
        <v>7987</v>
      </c>
      <c r="G5634" s="2" t="s">
        <v>7322</v>
      </c>
      <c r="H5634" s="14">
        <v>0.71</v>
      </c>
      <c r="I5634" s="2" t="s">
        <v>4761</v>
      </c>
      <c r="J5634" s="2" t="s">
        <v>3942</v>
      </c>
      <c r="K5634" s="2" t="s">
        <v>1452</v>
      </c>
      <c r="L5634" s="2" t="s">
        <v>5221</v>
      </c>
      <c r="M5634" s="2" t="s">
        <v>5221</v>
      </c>
      <c r="N5634" s="2" t="s">
        <v>2317</v>
      </c>
      <c r="O5634" s="14">
        <v>3800</v>
      </c>
      <c r="P5634" s="14">
        <v>96.21</v>
      </c>
      <c r="Q5634" s="14">
        <v>144.02000000000001</v>
      </c>
      <c r="R5634" s="14">
        <v>102.25</v>
      </c>
      <c r="S5634" s="2" t="s">
        <v>3539</v>
      </c>
      <c r="T5634" s="2">
        <v>1.38</v>
      </c>
      <c r="U5634" s="2">
        <v>68.099999999999994</v>
      </c>
      <c r="V5634" s="2">
        <v>63</v>
      </c>
      <c r="W5634" s="2" t="s">
        <v>7862</v>
      </c>
      <c r="X5634" s="2" t="s">
        <v>2897</v>
      </c>
      <c r="Y5634" s="2">
        <v>2698</v>
      </c>
      <c r="Z5634" s="19" t="str">
        <f>HYPERLINK("https://ssdweb.co/ssdweb/hd/Vision360.html?d=926220730&amp;zoomslide=1&amp;z=1926220730&amp;ISCONFIRM=0","VIDEO")</f>
        <v>VIDEO</v>
      </c>
      <c r="AA5634" s="19" t="str">
        <f>HYPERLINK("https://ssdweb.co/ssdweb/CERTH/635423870.pdf","CERTI")</f>
        <v>CERTI</v>
      </c>
    </row>
    <row r="5635" spans="1:27" ht="15" x14ac:dyDescent="0.25">
      <c r="A5635" s="2">
        <v>5630</v>
      </c>
      <c r="B5635" s="39">
        <v>941261076</v>
      </c>
      <c r="C5635" s="28" t="str">
        <f>HYPERLINK("https://pld.live/RapDetail.aspx?STONELIST=941261076","DNA")</f>
        <v>DNA</v>
      </c>
      <c r="D5635" s="18" t="s">
        <v>5847</v>
      </c>
      <c r="E5635" s="18" t="s">
        <v>5128</v>
      </c>
      <c r="F5635" s="2" t="s">
        <v>7987</v>
      </c>
      <c r="G5635" s="2" t="s">
        <v>7322</v>
      </c>
      <c r="H5635" s="14">
        <v>0.71</v>
      </c>
      <c r="I5635" s="2" t="s">
        <v>4761</v>
      </c>
      <c r="J5635" s="2" t="s">
        <v>3942</v>
      </c>
      <c r="K5635" s="2" t="s">
        <v>1452</v>
      </c>
      <c r="L5635" s="2" t="s">
        <v>5221</v>
      </c>
      <c r="M5635" s="2" t="s">
        <v>5221</v>
      </c>
      <c r="N5635" s="2" t="s">
        <v>2317</v>
      </c>
      <c r="O5635" s="14">
        <v>3800</v>
      </c>
      <c r="P5635" s="14">
        <v>96.05</v>
      </c>
      <c r="Q5635" s="14">
        <v>150.1</v>
      </c>
      <c r="R5635" s="14">
        <v>106.57</v>
      </c>
      <c r="S5635" s="2" t="s">
        <v>3904</v>
      </c>
      <c r="T5635" s="2">
        <v>1.42</v>
      </c>
      <c r="U5635" s="2">
        <v>67.5</v>
      </c>
      <c r="V5635" s="2">
        <v>65</v>
      </c>
      <c r="W5635" s="2" t="s">
        <v>7862</v>
      </c>
      <c r="X5635" s="2" t="s">
        <v>2897</v>
      </c>
      <c r="Y5635" s="2">
        <v>2698</v>
      </c>
      <c r="Z5635" s="19" t="str">
        <f>HYPERLINK("https://ssdweb.co/ssdweb/hd/Vision360.html?d=941261076&amp;zoomslide=1&amp;z=1941261076&amp;ISCONFIRM=0","VIDEO")</f>
        <v>VIDEO</v>
      </c>
      <c r="AA5635" s="19" t="str">
        <f>HYPERLINK("https://ssdweb.co/ssdweb/CERTH/689543205.pdf","CERTI")</f>
        <v>CERTI</v>
      </c>
    </row>
    <row r="5636" spans="1:27" ht="15" x14ac:dyDescent="0.25">
      <c r="A5636" s="2">
        <v>5631</v>
      </c>
      <c r="B5636" s="39">
        <v>925040325</v>
      </c>
      <c r="C5636" s="28" t="str">
        <f>HYPERLINK("https://pld.live/RapDetail.aspx?STONELIST=925040325","DNA")</f>
        <v>DNA</v>
      </c>
      <c r="D5636" s="18" t="s">
        <v>5847</v>
      </c>
      <c r="E5636" s="18" t="s">
        <v>5128</v>
      </c>
      <c r="F5636" s="2" t="s">
        <v>7987</v>
      </c>
      <c r="G5636" s="2" t="s">
        <v>7322</v>
      </c>
      <c r="H5636" s="14">
        <v>0.71</v>
      </c>
      <c r="I5636" s="2" t="s">
        <v>4761</v>
      </c>
      <c r="J5636" s="2" t="s">
        <v>3942</v>
      </c>
      <c r="K5636" s="2" t="s">
        <v>1452</v>
      </c>
      <c r="L5636" s="2" t="s">
        <v>5721</v>
      </c>
      <c r="M5636" s="2" t="s">
        <v>5721</v>
      </c>
      <c r="N5636" s="2" t="s">
        <v>2317</v>
      </c>
      <c r="O5636" s="14">
        <v>3800</v>
      </c>
      <c r="P5636" s="14">
        <v>96.37</v>
      </c>
      <c r="Q5636" s="14">
        <v>137.94</v>
      </c>
      <c r="R5636" s="14">
        <v>97.94</v>
      </c>
      <c r="S5636" s="2" t="s">
        <v>5789</v>
      </c>
      <c r="T5636" s="2">
        <v>1.47</v>
      </c>
      <c r="U5636" s="2">
        <v>68</v>
      </c>
      <c r="V5636" s="2">
        <v>65</v>
      </c>
      <c r="W5636" s="2" t="s">
        <v>7862</v>
      </c>
      <c r="X5636" s="2" t="s">
        <v>2897</v>
      </c>
      <c r="Y5636" s="2">
        <v>2698</v>
      </c>
      <c r="Z5636" s="19" t="str">
        <f>HYPERLINK("https://ssdweb.co/ssdweb/hd/Vision360.html?d=925040325&amp;zoomslide=1&amp;z=1925040325&amp;ISCONFIRM=0","VIDEO")</f>
        <v>VIDEO</v>
      </c>
      <c r="AA5636" s="19" t="str">
        <f>HYPERLINK("https://ssdweb.co/ssdweb/CERTH/613392452.pdf","CERTI")</f>
        <v>CERTI</v>
      </c>
    </row>
    <row r="5637" spans="1:27" ht="15" x14ac:dyDescent="0.25">
      <c r="A5637" s="2">
        <v>5632</v>
      </c>
      <c r="B5637" s="39">
        <v>924590352</v>
      </c>
      <c r="C5637" s="28" t="str">
        <f>HYPERLINK("https://pld.live/RapDetail.aspx?STONELIST=924590352","DNA")</f>
        <v>DNA</v>
      </c>
      <c r="D5637" s="18" t="s">
        <v>5847</v>
      </c>
      <c r="E5637" s="18" t="s">
        <v>2186</v>
      </c>
      <c r="F5637" s="2" t="s">
        <v>7987</v>
      </c>
      <c r="G5637" s="2" t="s">
        <v>7322</v>
      </c>
      <c r="H5637" s="14">
        <v>0.71</v>
      </c>
      <c r="I5637" s="2" t="s">
        <v>4761</v>
      </c>
      <c r="J5637" s="2" t="s">
        <v>13</v>
      </c>
      <c r="K5637" s="2" t="s">
        <v>1452</v>
      </c>
      <c r="L5637" s="2" t="s">
        <v>5221</v>
      </c>
      <c r="M5637" s="2" t="s">
        <v>5221</v>
      </c>
      <c r="N5637" s="2" t="s">
        <v>2317</v>
      </c>
      <c r="O5637" s="14">
        <v>3500</v>
      </c>
      <c r="P5637" s="14">
        <v>96.17</v>
      </c>
      <c r="Q5637" s="14">
        <v>134.05000000000001</v>
      </c>
      <c r="R5637" s="14">
        <v>95.18</v>
      </c>
      <c r="S5637" s="2" t="s">
        <v>1283</v>
      </c>
      <c r="T5637" s="2">
        <v>1.41</v>
      </c>
      <c r="U5637" s="2">
        <v>65.5</v>
      </c>
      <c r="V5637" s="2">
        <v>66</v>
      </c>
      <c r="W5637" s="2" t="s">
        <v>7862</v>
      </c>
      <c r="X5637" s="2" t="s">
        <v>2897</v>
      </c>
      <c r="Y5637" s="2">
        <v>2485</v>
      </c>
      <c r="Z5637" s="19" t="str">
        <f>HYPERLINK("https://ssdweb.co/ssdweb/hd/Vision360.html?d=924590352&amp;zoomslide=1&amp;z=1924590352&amp;ISCONFIRM=0","VIDEO")</f>
        <v>VIDEO</v>
      </c>
      <c r="AA5637" s="19" t="str">
        <f>HYPERLINK("https://ssdweb.co/ssdweb/CERTH/601323500.pdf","CERTI")</f>
        <v>CERTI</v>
      </c>
    </row>
    <row r="5638" spans="1:27" ht="15" x14ac:dyDescent="0.25">
      <c r="A5638" s="2">
        <v>5633</v>
      </c>
      <c r="B5638" s="39">
        <v>924560534</v>
      </c>
      <c r="C5638" s="28" t="str">
        <f>HYPERLINK("https://pld.live/RapDetail.aspx?STONELIST=924560534","DNA")</f>
        <v>DNA</v>
      </c>
      <c r="D5638" s="18" t="s">
        <v>5847</v>
      </c>
      <c r="E5638" s="18" t="s">
        <v>5128</v>
      </c>
      <c r="F5638" s="2" t="s">
        <v>5597</v>
      </c>
      <c r="G5638" s="2" t="s">
        <v>7322</v>
      </c>
      <c r="H5638" s="14">
        <v>0.71</v>
      </c>
      <c r="I5638" s="2" t="s">
        <v>4761</v>
      </c>
      <c r="J5638" s="2" t="s">
        <v>13</v>
      </c>
      <c r="K5638" s="2" t="s">
        <v>1452</v>
      </c>
      <c r="L5638" s="2" t="s">
        <v>5221</v>
      </c>
      <c r="M5638" s="2" t="s">
        <v>5721</v>
      </c>
      <c r="N5638" s="2" t="s">
        <v>2317</v>
      </c>
      <c r="O5638" s="14">
        <v>3500</v>
      </c>
      <c r="P5638" s="14">
        <v>94</v>
      </c>
      <c r="Q5638" s="14">
        <v>210</v>
      </c>
      <c r="R5638" s="14">
        <v>149.1</v>
      </c>
      <c r="S5638" s="2" t="s">
        <v>2138</v>
      </c>
      <c r="T5638" s="2">
        <v>1.4</v>
      </c>
      <c r="U5638" s="2">
        <v>66.8</v>
      </c>
      <c r="V5638" s="2">
        <v>65</v>
      </c>
      <c r="W5638" s="2" t="s">
        <v>7862</v>
      </c>
      <c r="X5638" s="2" t="s">
        <v>2897</v>
      </c>
      <c r="Y5638" s="2">
        <v>2485</v>
      </c>
      <c r="Z5638" s="19" t="str">
        <f>HYPERLINK("https://ssdweb.co/ssdweb/hd/Vision360.html?d=924560534&amp;zoomslide=1&amp;z=1924560534&amp;ISCONFIRM=0","VIDEO")</f>
        <v>VIDEO</v>
      </c>
      <c r="AA5638" s="19" t="str">
        <f>HYPERLINK("https://ssdweb.co/ssdweb/CERTH/2477766506.pdf","CERTI")</f>
        <v>CERTI</v>
      </c>
    </row>
    <row r="5639" spans="1:27" ht="15" x14ac:dyDescent="0.25">
      <c r="A5639" s="2">
        <v>5634</v>
      </c>
      <c r="B5639" s="39">
        <v>924920426</v>
      </c>
      <c r="C5639" s="28" t="str">
        <f>HYPERLINK("https://pld.live/RapDetail.aspx?STONELIST=924920426","DNA")</f>
        <v>DNA</v>
      </c>
      <c r="D5639" s="18" t="s">
        <v>5847</v>
      </c>
      <c r="E5639" s="18" t="s">
        <v>2186</v>
      </c>
      <c r="F5639" s="2" t="s">
        <v>7987</v>
      </c>
      <c r="G5639" s="2" t="s">
        <v>7322</v>
      </c>
      <c r="H5639" s="14">
        <v>0.71</v>
      </c>
      <c r="I5639" s="2" t="s">
        <v>4699</v>
      </c>
      <c r="J5639" s="2" t="s">
        <v>5144</v>
      </c>
      <c r="K5639" s="2" t="s">
        <v>1452</v>
      </c>
      <c r="L5639" s="2" t="s">
        <v>5221</v>
      </c>
      <c r="M5639" s="2" t="s">
        <v>5221</v>
      </c>
      <c r="N5639" s="2" t="s">
        <v>2317</v>
      </c>
      <c r="O5639" s="14">
        <v>3000</v>
      </c>
      <c r="P5639" s="14">
        <v>95.93</v>
      </c>
      <c r="Q5639" s="14">
        <v>122.1</v>
      </c>
      <c r="R5639" s="14">
        <v>86.69</v>
      </c>
      <c r="S5639" s="2" t="s">
        <v>457</v>
      </c>
      <c r="T5639" s="2">
        <v>1.56</v>
      </c>
      <c r="U5639" s="2">
        <v>64.2</v>
      </c>
      <c r="V5639" s="2">
        <v>69</v>
      </c>
      <c r="W5639" s="2" t="s">
        <v>7862</v>
      </c>
      <c r="X5639" s="2" t="s">
        <v>2897</v>
      </c>
      <c r="Y5639" s="2">
        <v>2130</v>
      </c>
      <c r="Z5639" s="19" t="str">
        <f>HYPERLINK("https://ssdweb.co/ssdweb/hd/Vision360.html?d=924920426&amp;zoomslide=1&amp;z=1924920426&amp;ISCONFIRM=0","VIDEO")</f>
        <v>VIDEO</v>
      </c>
      <c r="AA5639" s="19" t="str">
        <f>HYPERLINK("https://ssdweb.co/ssdweb/CERTH/607332424.pdf","CERTI")</f>
        <v>CERTI</v>
      </c>
    </row>
    <row r="5640" spans="1:27" ht="15" x14ac:dyDescent="0.25">
      <c r="A5640" s="2">
        <v>5635</v>
      </c>
      <c r="B5640" s="39">
        <v>924780412</v>
      </c>
      <c r="C5640" s="28" t="str">
        <f>HYPERLINK("https://pld.live/RapDetail.aspx?STONELIST=924780412","DNA")</f>
        <v>DNA</v>
      </c>
      <c r="D5640" s="18" t="s">
        <v>5847</v>
      </c>
      <c r="E5640" s="18" t="s">
        <v>2186</v>
      </c>
      <c r="F5640" s="2" t="s">
        <v>7987</v>
      </c>
      <c r="G5640" s="2" t="s">
        <v>7322</v>
      </c>
      <c r="H5640" s="14">
        <v>0.71</v>
      </c>
      <c r="I5640" s="2" t="s">
        <v>6587</v>
      </c>
      <c r="J5640" s="2" t="s">
        <v>3942</v>
      </c>
      <c r="K5640" s="2" t="s">
        <v>1452</v>
      </c>
      <c r="L5640" s="2" t="s">
        <v>5221</v>
      </c>
      <c r="M5640" s="2" t="s">
        <v>5221</v>
      </c>
      <c r="N5640" s="2" t="s">
        <v>2317</v>
      </c>
      <c r="O5640" s="14">
        <v>3300</v>
      </c>
      <c r="P5640" s="14">
        <v>96</v>
      </c>
      <c r="Q5640" s="14">
        <v>132</v>
      </c>
      <c r="R5640" s="14">
        <v>93.72</v>
      </c>
      <c r="S5640" s="2" t="s">
        <v>627</v>
      </c>
      <c r="T5640" s="2">
        <v>1.46</v>
      </c>
      <c r="U5640" s="2">
        <v>66.8</v>
      </c>
      <c r="V5640" s="2">
        <v>67</v>
      </c>
      <c r="W5640" s="2" t="s">
        <v>7862</v>
      </c>
      <c r="X5640" s="2" t="s">
        <v>2897</v>
      </c>
      <c r="Y5640" s="2">
        <v>2343</v>
      </c>
      <c r="Z5640" s="19" t="str">
        <f>HYPERLINK("https://ssdweb.co/ssdweb/hd/Vision360.html?d=924780412&amp;zoomslide=1&amp;z=1924780412&amp;ISCONFIRM=0","VIDEO")</f>
        <v>VIDEO</v>
      </c>
      <c r="AA5640" s="19" t="str">
        <f>HYPERLINK("https://ssdweb.co/ssdweb/CERTH/604303812.pdf","CERTI")</f>
        <v>CERTI</v>
      </c>
    </row>
    <row r="5641" spans="1:27" ht="15" x14ac:dyDescent="0.25">
      <c r="A5641" s="2">
        <v>5636</v>
      </c>
      <c r="B5641" s="39">
        <v>924780467</v>
      </c>
      <c r="C5641" s="28" t="str">
        <f>HYPERLINK("https://pld.live/RapDetail.aspx?STONELIST=924780467","DNA")</f>
        <v>DNA</v>
      </c>
      <c r="D5641" s="18" t="s">
        <v>5847</v>
      </c>
      <c r="E5641" s="18" t="s">
        <v>2186</v>
      </c>
      <c r="F5641" s="2" t="s">
        <v>7987</v>
      </c>
      <c r="G5641" s="2" t="s">
        <v>7322</v>
      </c>
      <c r="H5641" s="14">
        <v>0.71</v>
      </c>
      <c r="I5641" s="2" t="s">
        <v>6587</v>
      </c>
      <c r="J5641" s="2" t="s">
        <v>13</v>
      </c>
      <c r="K5641" s="2" t="s">
        <v>1452</v>
      </c>
      <c r="L5641" s="2" t="s">
        <v>5221</v>
      </c>
      <c r="M5641" s="2" t="s">
        <v>5221</v>
      </c>
      <c r="N5641" s="2" t="s">
        <v>2317</v>
      </c>
      <c r="O5641" s="14">
        <v>3100</v>
      </c>
      <c r="P5641" s="14">
        <v>95.94</v>
      </c>
      <c r="Q5641" s="14">
        <v>125.86</v>
      </c>
      <c r="R5641" s="14">
        <v>89.36</v>
      </c>
      <c r="S5641" s="2" t="s">
        <v>830</v>
      </c>
      <c r="T5641" s="2">
        <v>1.41</v>
      </c>
      <c r="U5641" s="2">
        <v>65</v>
      </c>
      <c r="V5641" s="2">
        <v>65</v>
      </c>
      <c r="W5641" s="2" t="s">
        <v>7862</v>
      </c>
      <c r="X5641" s="2" t="s">
        <v>2897</v>
      </c>
      <c r="Y5641" s="2">
        <v>2201</v>
      </c>
      <c r="Z5641" s="19" t="str">
        <f>HYPERLINK("https://ssdweb.co/ssdweb/hd/Vision360.html?d=924780467&amp;zoomslide=1&amp;z=1924780467&amp;ISCONFIRM=0","VIDEO")</f>
        <v>VIDEO</v>
      </c>
      <c r="AA5641" s="19" t="str">
        <f>HYPERLINK("https://ssdweb.co/ssdweb/CERTH/605330480.pdf","CERTI")</f>
        <v>CERTI</v>
      </c>
    </row>
    <row r="5642" spans="1:27" ht="15" x14ac:dyDescent="0.25">
      <c r="A5642" s="2">
        <v>5637</v>
      </c>
      <c r="B5642" s="39">
        <v>924410908</v>
      </c>
      <c r="C5642" s="28" t="str">
        <f>HYPERLINK("https://pld.live/RapDetail.aspx?STONELIST=924410908","DNA")</f>
        <v>DNA</v>
      </c>
      <c r="D5642" s="18" t="s">
        <v>5847</v>
      </c>
      <c r="E5642" s="18" t="s">
        <v>2186</v>
      </c>
      <c r="F5642" s="2" t="s">
        <v>7987</v>
      </c>
      <c r="G5642" s="2" t="s">
        <v>7322</v>
      </c>
      <c r="H5642" s="14">
        <v>0.71</v>
      </c>
      <c r="I5642" s="2" t="s">
        <v>6845</v>
      </c>
      <c r="J5642" s="2" t="s">
        <v>3942</v>
      </c>
      <c r="K5642" s="2" t="s">
        <v>1452</v>
      </c>
      <c r="L5642" s="2" t="s">
        <v>5221</v>
      </c>
      <c r="M5642" s="2" t="s">
        <v>5221</v>
      </c>
      <c r="N5642" s="2" t="s">
        <v>2317</v>
      </c>
      <c r="O5642" s="14">
        <v>1800</v>
      </c>
      <c r="P5642" s="14">
        <v>89.72</v>
      </c>
      <c r="Q5642" s="14">
        <v>185.04</v>
      </c>
      <c r="R5642" s="14">
        <v>131.38</v>
      </c>
      <c r="S5642" s="2" t="s">
        <v>7961</v>
      </c>
      <c r="T5642" s="2">
        <v>1.55</v>
      </c>
      <c r="U5642" s="2">
        <v>65.8</v>
      </c>
      <c r="V5642" s="2">
        <v>68</v>
      </c>
      <c r="W5642" s="2" t="s">
        <v>7862</v>
      </c>
      <c r="X5642" s="2" t="s">
        <v>2897</v>
      </c>
      <c r="Y5642" s="2">
        <v>1278</v>
      </c>
      <c r="Z5642" s="19" t="str">
        <f>HYPERLINK("https://ssdweb.co/ssdweb/hd/Vision360.html?d=924410908&amp;zoomslide=1&amp;z=1924410908&amp;ISCONFIRM=0","VIDEO")</f>
        <v>VIDEO</v>
      </c>
      <c r="AA5642" s="19" t="str">
        <f>HYPERLINK("https://ssdweb.co/ssdweb/CERTH/626457120.pdf","CERTI")</f>
        <v>CERTI</v>
      </c>
    </row>
    <row r="5643" spans="1:27" ht="15" x14ac:dyDescent="0.25">
      <c r="A5643" s="2">
        <v>5638</v>
      </c>
      <c r="B5643" s="39">
        <v>923390504</v>
      </c>
      <c r="C5643" s="28" t="str">
        <f>HYPERLINK("https://pld.live/RapDetail.aspx?STONELIST=923390504","DNA")</f>
        <v>DNA</v>
      </c>
      <c r="D5643" s="18" t="s">
        <v>5847</v>
      </c>
      <c r="E5643" s="18" t="s">
        <v>5128</v>
      </c>
      <c r="F5643" s="2" t="s">
        <v>7987</v>
      </c>
      <c r="G5643" s="2" t="s">
        <v>7322</v>
      </c>
      <c r="H5643" s="14">
        <v>0.7</v>
      </c>
      <c r="I5643" s="2" t="s">
        <v>267</v>
      </c>
      <c r="J5643" s="2" t="s">
        <v>7032</v>
      </c>
      <c r="K5643" s="2" t="s">
        <v>1452</v>
      </c>
      <c r="L5643" s="2" t="s">
        <v>5221</v>
      </c>
      <c r="M5643" s="2" t="s">
        <v>5221</v>
      </c>
      <c r="N5643" s="2" t="s">
        <v>2317</v>
      </c>
      <c r="O5643" s="14">
        <v>4700</v>
      </c>
      <c r="P5643" s="14">
        <v>94.43</v>
      </c>
      <c r="Q5643" s="14">
        <v>261.79000000000002</v>
      </c>
      <c r="R5643" s="14">
        <v>183.25</v>
      </c>
      <c r="S5643" s="2" t="s">
        <v>2767</v>
      </c>
      <c r="T5643" s="2">
        <v>1.36</v>
      </c>
      <c r="U5643" s="2">
        <v>68.3</v>
      </c>
      <c r="V5643" s="2">
        <v>62.5</v>
      </c>
      <c r="W5643" s="2" t="s">
        <v>7862</v>
      </c>
      <c r="X5643" s="2" t="s">
        <v>2897</v>
      </c>
      <c r="Y5643" s="2">
        <v>3290</v>
      </c>
      <c r="Z5643" s="19" t="str">
        <f>HYPERLINK("https://ssdweb.co/ssdweb/hd/Vision360.html?d=923390504&amp;zoomslide=1&amp;z=1923390504&amp;ISCONFIRM=0","VIDEO")</f>
        <v>VIDEO</v>
      </c>
      <c r="AA5643" s="19" t="str">
        <f>HYPERLINK("https://ssdweb.co/ssdweb/CERTH/555266380.pdf","CERTI")</f>
        <v>CERTI</v>
      </c>
    </row>
    <row r="5644" spans="1:27" ht="15" x14ac:dyDescent="0.25">
      <c r="A5644" s="2">
        <v>5639</v>
      </c>
      <c r="B5644" s="39">
        <v>924520181</v>
      </c>
      <c r="C5644" s="28" t="str">
        <f>HYPERLINK("https://pld.live/RapDetail.aspx?STONELIST=924520181","DNA")</f>
        <v>DNA</v>
      </c>
      <c r="D5644" s="18" t="s">
        <v>5847</v>
      </c>
      <c r="E5644" s="18" t="s">
        <v>5128</v>
      </c>
      <c r="F5644" s="2" t="s">
        <v>7987</v>
      </c>
      <c r="G5644" s="2" t="s">
        <v>7322</v>
      </c>
      <c r="H5644" s="14">
        <v>0.7</v>
      </c>
      <c r="I5644" s="2" t="s">
        <v>267</v>
      </c>
      <c r="J5644" s="2" t="s">
        <v>6555</v>
      </c>
      <c r="K5644" s="2" t="s">
        <v>1452</v>
      </c>
      <c r="L5644" s="2" t="s">
        <v>5221</v>
      </c>
      <c r="M5644" s="2" t="s">
        <v>5221</v>
      </c>
      <c r="N5644" s="2" t="s">
        <v>2317</v>
      </c>
      <c r="O5644" s="14">
        <v>4300</v>
      </c>
      <c r="P5644" s="14">
        <v>96.23</v>
      </c>
      <c r="Q5644" s="14">
        <v>162.11000000000001</v>
      </c>
      <c r="R5644" s="14">
        <v>113.48</v>
      </c>
      <c r="S5644" s="2" t="s">
        <v>4445</v>
      </c>
      <c r="T5644" s="2">
        <v>1.41</v>
      </c>
      <c r="U5644" s="2">
        <v>65.7</v>
      </c>
      <c r="V5644" s="2">
        <v>66</v>
      </c>
      <c r="W5644" s="2" t="s">
        <v>7862</v>
      </c>
      <c r="X5644" s="2" t="s">
        <v>2897</v>
      </c>
      <c r="Y5644" s="2">
        <v>3010</v>
      </c>
      <c r="Z5644" s="19" t="str">
        <f>HYPERLINK("https://ssdweb.co/ssdweb/hd/Vision360.html?d=924520181&amp;zoomslide=1&amp;z=1924520181&amp;ISCONFIRM=0","VIDEO")</f>
        <v>VIDEO</v>
      </c>
      <c r="AA5644" s="19" t="str">
        <f>HYPERLINK("https://ssdweb.co/ssdweb/CERTH/600385279.pdf","CERTI")</f>
        <v>CERTI</v>
      </c>
    </row>
    <row r="5645" spans="1:27" ht="15" x14ac:dyDescent="0.25">
      <c r="A5645" s="2">
        <v>5640</v>
      </c>
      <c r="B5645" s="39">
        <v>941261070</v>
      </c>
      <c r="C5645" s="28" t="str">
        <f>HYPERLINK("https://pld.live/RapDetail.aspx?STONELIST=941261070","DNA")</f>
        <v>DNA</v>
      </c>
      <c r="D5645" s="18" t="s">
        <v>5847</v>
      </c>
      <c r="E5645" s="18" t="s">
        <v>5128</v>
      </c>
      <c r="F5645" s="2" t="s">
        <v>7987</v>
      </c>
      <c r="G5645" s="2" t="s">
        <v>7322</v>
      </c>
      <c r="H5645" s="14">
        <v>0.7</v>
      </c>
      <c r="I5645" s="2" t="s">
        <v>267</v>
      </c>
      <c r="J5645" s="2" t="s">
        <v>6555</v>
      </c>
      <c r="K5645" s="2" t="s">
        <v>1452</v>
      </c>
      <c r="L5645" s="2" t="s">
        <v>5221</v>
      </c>
      <c r="M5645" s="2" t="s">
        <v>5221</v>
      </c>
      <c r="N5645" s="2" t="s">
        <v>2317</v>
      </c>
      <c r="O5645" s="14">
        <v>4300</v>
      </c>
      <c r="P5645" s="14">
        <v>96.05</v>
      </c>
      <c r="Q5645" s="14">
        <v>169.85</v>
      </c>
      <c r="R5645" s="14">
        <v>118.9</v>
      </c>
      <c r="S5645" s="2" t="s">
        <v>996</v>
      </c>
      <c r="T5645" s="2">
        <v>1.38</v>
      </c>
      <c r="U5645" s="2">
        <v>68.400000000000006</v>
      </c>
      <c r="V5645" s="2">
        <v>65</v>
      </c>
      <c r="W5645" s="2" t="s">
        <v>7862</v>
      </c>
      <c r="X5645" s="2" t="s">
        <v>2897</v>
      </c>
      <c r="Y5645" s="2">
        <v>3010</v>
      </c>
      <c r="Z5645" s="19" t="str">
        <f>HYPERLINK("https://ssdweb.co/ssdweb/hd/Vision360.html?d=941261070&amp;zoomslide=1&amp;z=1941261070&amp;ISCONFIRM=0","VIDEO")</f>
        <v>VIDEO</v>
      </c>
      <c r="AA5645" s="19" t="str">
        <f>HYPERLINK("https://ssdweb.co/ssdweb/CERTH/689543202.pdf","CERTI")</f>
        <v>CERTI</v>
      </c>
    </row>
    <row r="5646" spans="1:27" ht="15" x14ac:dyDescent="0.25">
      <c r="A5646" s="2">
        <v>5641</v>
      </c>
      <c r="B5646" s="39">
        <v>926440255</v>
      </c>
      <c r="C5646" s="28" t="str">
        <f>HYPERLINK("https://pld.live/RapDetail.aspx?STONELIST=926440255","DNA")</f>
        <v>DNA</v>
      </c>
      <c r="D5646" s="18" t="s">
        <v>5847</v>
      </c>
      <c r="E5646" s="18" t="s">
        <v>5128</v>
      </c>
      <c r="F5646" s="2" t="s">
        <v>7987</v>
      </c>
      <c r="G5646" s="2" t="s">
        <v>7322</v>
      </c>
      <c r="H5646" s="14">
        <v>0.7</v>
      </c>
      <c r="I5646" s="2" t="s">
        <v>267</v>
      </c>
      <c r="J5646" s="2" t="s">
        <v>3942</v>
      </c>
      <c r="K5646" s="2" t="s">
        <v>1452</v>
      </c>
      <c r="L5646" s="2" t="s">
        <v>5221</v>
      </c>
      <c r="M5646" s="2" t="s">
        <v>5221</v>
      </c>
      <c r="N5646" s="2" t="s">
        <v>2317</v>
      </c>
      <c r="O5646" s="14">
        <v>4000</v>
      </c>
      <c r="P5646" s="14">
        <v>96.05</v>
      </c>
      <c r="Q5646" s="14">
        <v>158</v>
      </c>
      <c r="R5646" s="14">
        <v>110.6</v>
      </c>
      <c r="S5646" s="2" t="s">
        <v>849</v>
      </c>
      <c r="T5646" s="2">
        <v>1.37</v>
      </c>
      <c r="U5646" s="2">
        <v>68.3</v>
      </c>
      <c r="V5646" s="2">
        <v>66</v>
      </c>
      <c r="W5646" s="2" t="s">
        <v>7862</v>
      </c>
      <c r="X5646" s="2" t="s">
        <v>2897</v>
      </c>
      <c r="Y5646" s="2">
        <v>2800</v>
      </c>
      <c r="Z5646" s="19" t="str">
        <f>HYPERLINK("https://ssdweb.co/ssdweb/hd/Vision360.html?d=926440255&amp;zoomslide=1&amp;z=1926440255&amp;ISCONFIRM=0","VIDEO")</f>
        <v>VIDEO</v>
      </c>
      <c r="AA5646" s="19" t="str">
        <f>HYPERLINK("https://ssdweb.co/ssdweb/CERTH/660489637.pdf","CERTI")</f>
        <v>CERTI</v>
      </c>
    </row>
    <row r="5647" spans="1:27" ht="15" x14ac:dyDescent="0.25">
      <c r="A5647" s="2">
        <v>5642</v>
      </c>
      <c r="B5647" s="39">
        <v>926220823</v>
      </c>
      <c r="C5647" s="28" t="str">
        <f>HYPERLINK("https://pld.live/RapDetail.aspx?STONELIST=926220823","DNA")</f>
        <v>DNA</v>
      </c>
      <c r="D5647" s="18" t="s">
        <v>5847</v>
      </c>
      <c r="E5647" s="18" t="s">
        <v>5128</v>
      </c>
      <c r="F5647" s="2" t="s">
        <v>7987</v>
      </c>
      <c r="G5647" s="2" t="s">
        <v>7322</v>
      </c>
      <c r="H5647" s="14">
        <v>0.7</v>
      </c>
      <c r="I5647" s="2" t="s">
        <v>267</v>
      </c>
      <c r="J5647" s="2" t="s">
        <v>3942</v>
      </c>
      <c r="K5647" s="2" t="s">
        <v>1452</v>
      </c>
      <c r="L5647" s="2" t="s">
        <v>5221</v>
      </c>
      <c r="M5647" s="2" t="s">
        <v>5221</v>
      </c>
      <c r="N5647" s="2" t="s">
        <v>2317</v>
      </c>
      <c r="O5647" s="14">
        <v>4000</v>
      </c>
      <c r="P5647" s="14">
        <v>96.1</v>
      </c>
      <c r="Q5647" s="14">
        <v>156</v>
      </c>
      <c r="R5647" s="14">
        <v>109.2</v>
      </c>
      <c r="S5647" s="2" t="s">
        <v>4790</v>
      </c>
      <c r="T5647" s="2">
        <v>1.35</v>
      </c>
      <c r="U5647" s="2">
        <v>68.3</v>
      </c>
      <c r="V5647" s="2">
        <v>64</v>
      </c>
      <c r="W5647" s="2" t="s">
        <v>7862</v>
      </c>
      <c r="X5647" s="2" t="s">
        <v>2897</v>
      </c>
      <c r="Y5647" s="2">
        <v>2800</v>
      </c>
      <c r="Z5647" s="19" t="str">
        <f>HYPERLINK("https://ssdweb.co/ssdweb/hd/Vision360.html?d=926220823&amp;zoomslide=1&amp;z=1926220823&amp;ISCONFIRM=0","VIDEO")</f>
        <v>VIDEO</v>
      </c>
      <c r="AA5647" s="19" t="str">
        <f>HYPERLINK("https://ssdweb.co/ssdweb/CERTH/636430062.pdf","CERTI")</f>
        <v>CERTI</v>
      </c>
    </row>
    <row r="5648" spans="1:27" ht="15" x14ac:dyDescent="0.25">
      <c r="A5648" s="2">
        <v>5643</v>
      </c>
      <c r="B5648" s="39">
        <v>926220688</v>
      </c>
      <c r="C5648" s="28" t="str">
        <f>HYPERLINK("https://pld.live/RapDetail.aspx?STONELIST=926220688","DNA")</f>
        <v>DNA</v>
      </c>
      <c r="D5648" s="18" t="s">
        <v>5847</v>
      </c>
      <c r="E5648" s="18" t="s">
        <v>5128</v>
      </c>
      <c r="F5648" s="2" t="s">
        <v>7987</v>
      </c>
      <c r="G5648" s="2" t="s">
        <v>7322</v>
      </c>
      <c r="H5648" s="14">
        <v>0.7</v>
      </c>
      <c r="I5648" s="2" t="s">
        <v>267</v>
      </c>
      <c r="J5648" s="2" t="s">
        <v>3942</v>
      </c>
      <c r="K5648" s="2" t="s">
        <v>1452</v>
      </c>
      <c r="L5648" s="2" t="s">
        <v>5221</v>
      </c>
      <c r="M5648" s="2" t="s">
        <v>5221</v>
      </c>
      <c r="N5648" s="2" t="s">
        <v>2317</v>
      </c>
      <c r="O5648" s="14">
        <v>4000</v>
      </c>
      <c r="P5648" s="14">
        <v>96.15</v>
      </c>
      <c r="Q5648" s="14">
        <v>154</v>
      </c>
      <c r="R5648" s="14">
        <v>107.8</v>
      </c>
      <c r="S5648" s="2" t="s">
        <v>3124</v>
      </c>
      <c r="T5648" s="2">
        <v>1.37</v>
      </c>
      <c r="U5648" s="2">
        <v>67.900000000000006</v>
      </c>
      <c r="V5648" s="2">
        <v>60</v>
      </c>
      <c r="W5648" s="2" t="s">
        <v>7862</v>
      </c>
      <c r="X5648" s="2" t="s">
        <v>2897</v>
      </c>
      <c r="Y5648" s="2">
        <v>2800</v>
      </c>
      <c r="Z5648" s="19" t="str">
        <f>HYPERLINK("https://ssdweb.co/ssdweb/hd/Vision360.html?d=926220688&amp;zoomslide=1&amp;z=1926220688&amp;ISCONFIRM=0","VIDEO")</f>
        <v>VIDEO</v>
      </c>
      <c r="AA5648" s="19" t="str">
        <f>HYPERLINK("https://ssdweb.co/ssdweb/CERTH/635427041.pdf","CERTI")</f>
        <v>CERTI</v>
      </c>
    </row>
    <row r="5649" spans="1:27" ht="15" x14ac:dyDescent="0.25">
      <c r="A5649" s="2">
        <v>5644</v>
      </c>
      <c r="B5649" s="39">
        <v>941261103</v>
      </c>
      <c r="C5649" s="28" t="str">
        <f>HYPERLINK("https://pld.live/RapDetail.aspx?STONELIST=941261103","DNA")</f>
        <v>DNA</v>
      </c>
      <c r="D5649" s="18" t="s">
        <v>5847</v>
      </c>
      <c r="E5649" s="18" t="s">
        <v>5128</v>
      </c>
      <c r="F5649" s="2" t="s">
        <v>7987</v>
      </c>
      <c r="G5649" s="2" t="s">
        <v>7322</v>
      </c>
      <c r="H5649" s="14">
        <v>0.7</v>
      </c>
      <c r="I5649" s="2" t="s">
        <v>267</v>
      </c>
      <c r="J5649" s="2" t="s">
        <v>3942</v>
      </c>
      <c r="K5649" s="2" t="s">
        <v>1452</v>
      </c>
      <c r="L5649" s="2" t="s">
        <v>5221</v>
      </c>
      <c r="M5649" s="2" t="s">
        <v>5221</v>
      </c>
      <c r="N5649" s="2" t="s">
        <v>2317</v>
      </c>
      <c r="O5649" s="14">
        <v>4000</v>
      </c>
      <c r="P5649" s="14">
        <v>96</v>
      </c>
      <c r="Q5649" s="14">
        <v>160</v>
      </c>
      <c r="R5649" s="14">
        <v>112</v>
      </c>
      <c r="S5649" s="2" t="s">
        <v>3779</v>
      </c>
      <c r="T5649" s="2">
        <v>1.39</v>
      </c>
      <c r="U5649" s="2">
        <v>67.599999999999994</v>
      </c>
      <c r="V5649" s="2">
        <v>66</v>
      </c>
      <c r="W5649" s="2" t="s">
        <v>7862</v>
      </c>
      <c r="X5649" s="2" t="s">
        <v>2897</v>
      </c>
      <c r="Y5649" s="2">
        <v>2800</v>
      </c>
      <c r="Z5649" s="19" t="str">
        <f>HYPERLINK("https://ssdweb.co/ssdweb/hd/Vision360.html?d=941261103&amp;zoomslide=1&amp;z=1941261103&amp;ISCONFIRM=0","VIDEO")</f>
        <v>VIDEO</v>
      </c>
      <c r="AA5649" s="19" t="str">
        <f>HYPERLINK("https://ssdweb.co/ssdweb/CERTH/689587211.pdf","CERTI")</f>
        <v>CERTI</v>
      </c>
    </row>
    <row r="5650" spans="1:27" ht="15" x14ac:dyDescent="0.25">
      <c r="A5650" s="2">
        <v>5645</v>
      </c>
      <c r="B5650" s="39">
        <v>941261091</v>
      </c>
      <c r="C5650" s="28" t="str">
        <f>HYPERLINK("https://pld.live/RapDetail.aspx?STONELIST=941261091","DNA")</f>
        <v>DNA</v>
      </c>
      <c r="D5650" s="18" t="s">
        <v>5847</v>
      </c>
      <c r="E5650" s="18" t="s">
        <v>5128</v>
      </c>
      <c r="F5650" s="2" t="s">
        <v>7987</v>
      </c>
      <c r="G5650" s="2" t="s">
        <v>7322</v>
      </c>
      <c r="H5650" s="14">
        <v>0.7</v>
      </c>
      <c r="I5650" s="2" t="s">
        <v>267</v>
      </c>
      <c r="J5650" s="2" t="s">
        <v>3942</v>
      </c>
      <c r="K5650" s="2" t="s">
        <v>1452</v>
      </c>
      <c r="L5650" s="2" t="s">
        <v>5221</v>
      </c>
      <c r="M5650" s="2" t="s">
        <v>5221</v>
      </c>
      <c r="N5650" s="2" t="s">
        <v>2317</v>
      </c>
      <c r="O5650" s="14">
        <v>4000</v>
      </c>
      <c r="P5650" s="14">
        <v>96</v>
      </c>
      <c r="Q5650" s="14">
        <v>160</v>
      </c>
      <c r="R5650" s="14">
        <v>112</v>
      </c>
      <c r="S5650" s="2" t="s">
        <v>3456</v>
      </c>
      <c r="T5650" s="2">
        <v>1.42</v>
      </c>
      <c r="U5650" s="2">
        <v>68.599999999999994</v>
      </c>
      <c r="V5650" s="2">
        <v>65</v>
      </c>
      <c r="W5650" s="2" t="s">
        <v>7862</v>
      </c>
      <c r="X5650" s="2" t="s">
        <v>2897</v>
      </c>
      <c r="Y5650" s="2">
        <v>2800</v>
      </c>
      <c r="Z5650" s="19" t="str">
        <f>HYPERLINK("https://ssdweb.co/ssdweb/hd/Vision360.html?d=941261091&amp;zoomslide=1&amp;z=1941261091&amp;ISCONFIRM=0","VIDEO")</f>
        <v>VIDEO</v>
      </c>
      <c r="AA5650" s="19" t="str">
        <f>HYPERLINK("https://ssdweb.co/ssdweb/CERTH/689543223.pdf","CERTI")</f>
        <v>CERTI</v>
      </c>
    </row>
    <row r="5651" spans="1:27" ht="15" x14ac:dyDescent="0.25">
      <c r="A5651" s="2">
        <v>5646</v>
      </c>
      <c r="B5651" s="39">
        <v>941261082</v>
      </c>
      <c r="C5651" s="28" t="str">
        <f>HYPERLINK("https://pld.live/RapDetail.aspx?STONELIST=941261082","DNA")</f>
        <v>DNA</v>
      </c>
      <c r="D5651" s="18" t="s">
        <v>5847</v>
      </c>
      <c r="E5651" s="18" t="s">
        <v>5128</v>
      </c>
      <c r="F5651" s="2" t="s">
        <v>7987</v>
      </c>
      <c r="G5651" s="2" t="s">
        <v>7322</v>
      </c>
      <c r="H5651" s="14">
        <v>0.7</v>
      </c>
      <c r="I5651" s="2" t="s">
        <v>267</v>
      </c>
      <c r="J5651" s="2" t="s">
        <v>3942</v>
      </c>
      <c r="K5651" s="2" t="s">
        <v>1452</v>
      </c>
      <c r="L5651" s="2" t="s">
        <v>5221</v>
      </c>
      <c r="M5651" s="2" t="s">
        <v>5221</v>
      </c>
      <c r="N5651" s="2" t="s">
        <v>2317</v>
      </c>
      <c r="O5651" s="14">
        <v>4000</v>
      </c>
      <c r="P5651" s="14">
        <v>96</v>
      </c>
      <c r="Q5651" s="14">
        <v>160</v>
      </c>
      <c r="R5651" s="14">
        <v>112</v>
      </c>
      <c r="S5651" s="2" t="s">
        <v>3580</v>
      </c>
      <c r="T5651" s="2">
        <v>1.39</v>
      </c>
      <c r="U5651" s="2">
        <v>69</v>
      </c>
      <c r="V5651" s="2">
        <v>64</v>
      </c>
      <c r="W5651" s="2" t="s">
        <v>7862</v>
      </c>
      <c r="X5651" s="2" t="s">
        <v>2897</v>
      </c>
      <c r="Y5651" s="2">
        <v>2800</v>
      </c>
      <c r="Z5651" s="19" t="str">
        <f>HYPERLINK("https://ssdweb.co/ssdweb/hd/Vision360.html?d=941261082&amp;zoomslide=1&amp;z=1941261082&amp;ISCONFIRM=0","VIDEO")</f>
        <v>VIDEO</v>
      </c>
      <c r="AA5651" s="19" t="str">
        <f>HYPERLINK("https://ssdweb.co/ssdweb/CERTH/689587180.pdf","CERTI")</f>
        <v>CERTI</v>
      </c>
    </row>
    <row r="5652" spans="1:27" ht="15" x14ac:dyDescent="0.25">
      <c r="A5652" s="2">
        <v>5647</v>
      </c>
      <c r="B5652" s="39">
        <v>941190104</v>
      </c>
      <c r="C5652" s="28" t="str">
        <f>HYPERLINK("https://pld.live/RapDetail.aspx?STONELIST=941190104","DNA")</f>
        <v>DNA</v>
      </c>
      <c r="D5652" s="18" t="s">
        <v>5847</v>
      </c>
      <c r="E5652" s="18" t="s">
        <v>5128</v>
      </c>
      <c r="F5652" s="2" t="s">
        <v>7987</v>
      </c>
      <c r="G5652" s="2" t="s">
        <v>7322</v>
      </c>
      <c r="H5652" s="14">
        <v>0.7</v>
      </c>
      <c r="I5652" s="2" t="s">
        <v>267</v>
      </c>
      <c r="J5652" s="2" t="s">
        <v>3942</v>
      </c>
      <c r="K5652" s="2" t="s">
        <v>1452</v>
      </c>
      <c r="L5652" s="2" t="s">
        <v>5221</v>
      </c>
      <c r="M5652" s="2" t="s">
        <v>5221</v>
      </c>
      <c r="N5652" s="2" t="s">
        <v>2317</v>
      </c>
      <c r="O5652" s="14">
        <v>4000</v>
      </c>
      <c r="P5652" s="14">
        <v>96</v>
      </c>
      <c r="Q5652" s="14">
        <v>160</v>
      </c>
      <c r="R5652" s="14">
        <v>112</v>
      </c>
      <c r="S5652" s="2" t="s">
        <v>2586</v>
      </c>
      <c r="T5652" s="2">
        <v>1.4</v>
      </c>
      <c r="U5652" s="2">
        <v>68.099999999999994</v>
      </c>
      <c r="V5652" s="2">
        <v>64</v>
      </c>
      <c r="W5652" s="2" t="s">
        <v>7862</v>
      </c>
      <c r="X5652" s="2" t="s">
        <v>2897</v>
      </c>
      <c r="Y5652" s="2">
        <v>2800</v>
      </c>
      <c r="Z5652" s="19" t="str">
        <f>HYPERLINK("https://ssdweb.co/ssdweb/hd/Vision360.html?d=941190104&amp;zoomslide=1&amp;z=1941190104&amp;ISCONFIRM=0","VIDEO")</f>
        <v>VIDEO</v>
      </c>
      <c r="AA5652" s="19" t="str">
        <f>HYPERLINK("https://ssdweb.co/ssdweb/CERTH/675504621.pdf","CERTI")</f>
        <v>CERTI</v>
      </c>
    </row>
    <row r="5653" spans="1:27" ht="15" x14ac:dyDescent="0.25">
      <c r="A5653" s="2">
        <v>5648</v>
      </c>
      <c r="B5653" s="39">
        <v>941261050</v>
      </c>
      <c r="C5653" s="28" t="str">
        <f>HYPERLINK("https://pld.live/RapDetail.aspx?STONELIST=941261050","DNA")</f>
        <v>DNA</v>
      </c>
      <c r="D5653" s="18" t="s">
        <v>5847</v>
      </c>
      <c r="E5653" s="18" t="s">
        <v>5128</v>
      </c>
      <c r="F5653" s="2" t="s">
        <v>7987</v>
      </c>
      <c r="G5653" s="2" t="s">
        <v>7322</v>
      </c>
      <c r="H5653" s="14">
        <v>0.7</v>
      </c>
      <c r="I5653" s="2" t="s">
        <v>267</v>
      </c>
      <c r="J5653" s="2" t="s">
        <v>3942</v>
      </c>
      <c r="K5653" s="2" t="s">
        <v>1452</v>
      </c>
      <c r="L5653" s="2" t="s">
        <v>5221</v>
      </c>
      <c r="M5653" s="2" t="s">
        <v>5221</v>
      </c>
      <c r="N5653" s="2" t="s">
        <v>2317</v>
      </c>
      <c r="O5653" s="14">
        <v>4000</v>
      </c>
      <c r="P5653" s="14">
        <v>96</v>
      </c>
      <c r="Q5653" s="14">
        <v>160</v>
      </c>
      <c r="R5653" s="14">
        <v>112</v>
      </c>
      <c r="S5653" s="2" t="s">
        <v>586</v>
      </c>
      <c r="T5653" s="2">
        <v>1.38</v>
      </c>
      <c r="U5653" s="2">
        <v>67.900000000000006</v>
      </c>
      <c r="V5653" s="2">
        <v>66</v>
      </c>
      <c r="W5653" s="2" t="s">
        <v>7862</v>
      </c>
      <c r="X5653" s="2" t="s">
        <v>2897</v>
      </c>
      <c r="Y5653" s="2">
        <v>2800</v>
      </c>
      <c r="Z5653" s="19" t="str">
        <f>HYPERLINK("https://ssdweb.co/ssdweb/hd/Vision360.html?d=941261050&amp;zoomslide=1&amp;z=1941261050&amp;ISCONFIRM=0","VIDEO")</f>
        <v>VIDEO</v>
      </c>
      <c r="AA5653" s="19" t="str">
        <f>HYPERLINK("https://ssdweb.co/ssdweb/CERTH/687560892.pdf","CERTI")</f>
        <v>CERTI</v>
      </c>
    </row>
    <row r="5654" spans="1:27" ht="15" x14ac:dyDescent="0.25">
      <c r="A5654" s="2">
        <v>5649</v>
      </c>
      <c r="B5654" s="39">
        <v>941261051</v>
      </c>
      <c r="C5654" s="28" t="str">
        <f>HYPERLINK("https://pld.live/RapDetail.aspx?STONELIST=941261051","DNA")</f>
        <v>DNA</v>
      </c>
      <c r="D5654" s="18" t="s">
        <v>5847</v>
      </c>
      <c r="E5654" s="18" t="s">
        <v>5128</v>
      </c>
      <c r="F5654" s="2" t="s">
        <v>7987</v>
      </c>
      <c r="G5654" s="2" t="s">
        <v>7322</v>
      </c>
      <c r="H5654" s="14">
        <v>0.7</v>
      </c>
      <c r="I5654" s="2" t="s">
        <v>267</v>
      </c>
      <c r="J5654" s="2" t="s">
        <v>3942</v>
      </c>
      <c r="K5654" s="2" t="s">
        <v>1452</v>
      </c>
      <c r="L5654" s="2" t="s">
        <v>5221</v>
      </c>
      <c r="M5654" s="2" t="s">
        <v>5221</v>
      </c>
      <c r="N5654" s="2" t="s">
        <v>2317</v>
      </c>
      <c r="O5654" s="14">
        <v>4000</v>
      </c>
      <c r="P5654" s="14">
        <v>96</v>
      </c>
      <c r="Q5654" s="14">
        <v>160</v>
      </c>
      <c r="R5654" s="14">
        <v>112</v>
      </c>
      <c r="S5654" s="2" t="s">
        <v>3801</v>
      </c>
      <c r="T5654" s="2">
        <v>1.36</v>
      </c>
      <c r="U5654" s="2">
        <v>67.8</v>
      </c>
      <c r="V5654" s="2">
        <v>64</v>
      </c>
      <c r="W5654" s="2" t="s">
        <v>7862</v>
      </c>
      <c r="X5654" s="2" t="s">
        <v>2897</v>
      </c>
      <c r="Y5654" s="2">
        <v>2800</v>
      </c>
      <c r="Z5654" s="19" t="str">
        <f>HYPERLINK("https://ssdweb.co/ssdweb/hd/Vision360.html?d=941261051&amp;zoomslide=1&amp;z=1941261051&amp;ISCONFIRM=0","VIDEO")</f>
        <v>VIDEO</v>
      </c>
      <c r="AA5654" s="19" t="str">
        <f>HYPERLINK("https://ssdweb.co/ssdweb/CERTH/687560893.pdf","CERTI")</f>
        <v>CERTI</v>
      </c>
    </row>
    <row r="5655" spans="1:27" ht="15" x14ac:dyDescent="0.25">
      <c r="A5655" s="2">
        <v>5650</v>
      </c>
      <c r="B5655" s="39">
        <v>941261064</v>
      </c>
      <c r="C5655" s="28" t="str">
        <f>HYPERLINK("https://pld.live/RapDetail.aspx?STONELIST=941261064","DNA")</f>
        <v>DNA</v>
      </c>
      <c r="D5655" s="18" t="s">
        <v>5847</v>
      </c>
      <c r="E5655" s="18" t="s">
        <v>5128</v>
      </c>
      <c r="F5655" s="2" t="s">
        <v>7987</v>
      </c>
      <c r="G5655" s="2" t="s">
        <v>7322</v>
      </c>
      <c r="H5655" s="14">
        <v>0.7</v>
      </c>
      <c r="I5655" s="2" t="s">
        <v>267</v>
      </c>
      <c r="J5655" s="2" t="s">
        <v>3942</v>
      </c>
      <c r="K5655" s="2" t="s">
        <v>1452</v>
      </c>
      <c r="L5655" s="2" t="s">
        <v>5221</v>
      </c>
      <c r="M5655" s="2" t="s">
        <v>5221</v>
      </c>
      <c r="N5655" s="2" t="s">
        <v>2317</v>
      </c>
      <c r="O5655" s="14">
        <v>4000</v>
      </c>
      <c r="P5655" s="14">
        <v>96</v>
      </c>
      <c r="Q5655" s="14">
        <v>160</v>
      </c>
      <c r="R5655" s="14">
        <v>112</v>
      </c>
      <c r="S5655" s="2" t="s">
        <v>3789</v>
      </c>
      <c r="T5655" s="2">
        <v>1.37</v>
      </c>
      <c r="U5655" s="2">
        <v>68.5</v>
      </c>
      <c r="V5655" s="2">
        <v>66</v>
      </c>
      <c r="W5655" s="2" t="s">
        <v>7862</v>
      </c>
      <c r="X5655" s="2" t="s">
        <v>2897</v>
      </c>
      <c r="Y5655" s="2">
        <v>2800</v>
      </c>
      <c r="Z5655" s="19" t="str">
        <f>HYPERLINK("https://ssdweb.co/ssdweb/hd/Vision360.html?d=941261064&amp;zoomslide=1&amp;z=1941261064&amp;ISCONFIRM=0","VIDEO")</f>
        <v>VIDEO</v>
      </c>
      <c r="AA5655" s="19" t="str">
        <f>HYPERLINK("https://ssdweb.co/ssdweb/CERTH/689543200.pdf","CERTI")</f>
        <v>CERTI</v>
      </c>
    </row>
    <row r="5656" spans="1:27" ht="15" x14ac:dyDescent="0.25">
      <c r="A5656" s="2">
        <v>5651</v>
      </c>
      <c r="B5656" s="39">
        <v>941261069</v>
      </c>
      <c r="C5656" s="28" t="str">
        <f>HYPERLINK("https://pld.live/RapDetail.aspx?STONELIST=941261069","DNA")</f>
        <v>DNA</v>
      </c>
      <c r="D5656" s="18" t="s">
        <v>5847</v>
      </c>
      <c r="E5656" s="18" t="s">
        <v>5128</v>
      </c>
      <c r="F5656" s="2" t="s">
        <v>7987</v>
      </c>
      <c r="G5656" s="2" t="s">
        <v>7322</v>
      </c>
      <c r="H5656" s="14">
        <v>0.7</v>
      </c>
      <c r="I5656" s="2" t="s">
        <v>267</v>
      </c>
      <c r="J5656" s="2" t="s">
        <v>3942</v>
      </c>
      <c r="K5656" s="2" t="s">
        <v>1452</v>
      </c>
      <c r="L5656" s="2" t="s">
        <v>5221</v>
      </c>
      <c r="M5656" s="2" t="s">
        <v>5221</v>
      </c>
      <c r="N5656" s="2" t="s">
        <v>2317</v>
      </c>
      <c r="O5656" s="14">
        <v>4000</v>
      </c>
      <c r="P5656" s="14">
        <v>96</v>
      </c>
      <c r="Q5656" s="14">
        <v>160</v>
      </c>
      <c r="R5656" s="14">
        <v>112</v>
      </c>
      <c r="S5656" s="2" t="s">
        <v>11</v>
      </c>
      <c r="T5656" s="2">
        <v>1.4</v>
      </c>
      <c r="U5656" s="2">
        <v>67.5</v>
      </c>
      <c r="V5656" s="2">
        <v>64</v>
      </c>
      <c r="W5656" s="2" t="s">
        <v>7862</v>
      </c>
      <c r="X5656" s="2" t="s">
        <v>2897</v>
      </c>
      <c r="Y5656" s="2">
        <v>2800</v>
      </c>
      <c r="Z5656" s="19" t="str">
        <f>HYPERLINK("https://ssdweb.co/ssdweb/hd/Vision360.html?d=941261069&amp;zoomslide=1&amp;z=1941261069&amp;ISCONFIRM=0","VIDEO")</f>
        <v>VIDEO</v>
      </c>
      <c r="AA5656" s="19" t="str">
        <f>HYPERLINK("https://ssdweb.co/ssdweb/CERTH/689587174.pdf","CERTI")</f>
        <v>CERTI</v>
      </c>
    </row>
    <row r="5657" spans="1:27" ht="15" x14ac:dyDescent="0.25">
      <c r="A5657" s="2">
        <v>5652</v>
      </c>
      <c r="B5657" s="39">
        <v>941261072</v>
      </c>
      <c r="C5657" s="28" t="str">
        <f>HYPERLINK("https://pld.live/RapDetail.aspx?STONELIST=941261072","DNA")</f>
        <v>DNA</v>
      </c>
      <c r="D5657" s="18" t="s">
        <v>5847</v>
      </c>
      <c r="E5657" s="18" t="s">
        <v>5128</v>
      </c>
      <c r="F5657" s="2" t="s">
        <v>7987</v>
      </c>
      <c r="G5657" s="2" t="s">
        <v>7322</v>
      </c>
      <c r="H5657" s="14">
        <v>0.7</v>
      </c>
      <c r="I5657" s="2" t="s">
        <v>267</v>
      </c>
      <c r="J5657" s="2" t="s">
        <v>3942</v>
      </c>
      <c r="K5657" s="2" t="s">
        <v>1452</v>
      </c>
      <c r="L5657" s="2" t="s">
        <v>5221</v>
      </c>
      <c r="M5657" s="2" t="s">
        <v>5221</v>
      </c>
      <c r="N5657" s="2" t="s">
        <v>2317</v>
      </c>
      <c r="O5657" s="14">
        <v>4000</v>
      </c>
      <c r="P5657" s="14">
        <v>96</v>
      </c>
      <c r="Q5657" s="14">
        <v>160</v>
      </c>
      <c r="R5657" s="14">
        <v>112</v>
      </c>
      <c r="S5657" s="2" t="s">
        <v>4051</v>
      </c>
      <c r="T5657" s="2">
        <v>1.42</v>
      </c>
      <c r="U5657" s="2">
        <v>68.3</v>
      </c>
      <c r="V5657" s="2">
        <v>64</v>
      </c>
      <c r="W5657" s="2" t="s">
        <v>7862</v>
      </c>
      <c r="X5657" s="2" t="s">
        <v>2897</v>
      </c>
      <c r="Y5657" s="2">
        <v>2800</v>
      </c>
      <c r="Z5657" s="19" t="str">
        <f>HYPERLINK("https://ssdweb.co/ssdweb/hd/Vision360.html?d=941261072&amp;zoomslide=1&amp;z=1941261072&amp;ISCONFIRM=0","VIDEO")</f>
        <v>VIDEO</v>
      </c>
      <c r="AA5657" s="19" t="str">
        <f>HYPERLINK("https://ssdweb.co/ssdweb/CERTH/689543203.pdf","CERTI")</f>
        <v>CERTI</v>
      </c>
    </row>
    <row r="5658" spans="1:27" ht="15" x14ac:dyDescent="0.25">
      <c r="A5658" s="2">
        <v>5653</v>
      </c>
      <c r="B5658" s="39">
        <v>941261074</v>
      </c>
      <c r="C5658" s="28" t="str">
        <f>HYPERLINK("https://pld.live/RapDetail.aspx?STONELIST=941261074","DNA")</f>
        <v>DNA</v>
      </c>
      <c r="D5658" s="18" t="s">
        <v>5847</v>
      </c>
      <c r="E5658" s="18" t="s">
        <v>5128</v>
      </c>
      <c r="F5658" s="2" t="s">
        <v>7987</v>
      </c>
      <c r="G5658" s="2" t="s">
        <v>7322</v>
      </c>
      <c r="H5658" s="14">
        <v>0.7</v>
      </c>
      <c r="I5658" s="2" t="s">
        <v>267</v>
      </c>
      <c r="J5658" s="2" t="s">
        <v>3942</v>
      </c>
      <c r="K5658" s="2" t="s">
        <v>1452</v>
      </c>
      <c r="L5658" s="2" t="s">
        <v>5221</v>
      </c>
      <c r="M5658" s="2" t="s">
        <v>5221</v>
      </c>
      <c r="N5658" s="2" t="s">
        <v>2317</v>
      </c>
      <c r="O5658" s="14">
        <v>4000</v>
      </c>
      <c r="P5658" s="14">
        <v>96</v>
      </c>
      <c r="Q5658" s="14">
        <v>160</v>
      </c>
      <c r="R5658" s="14">
        <v>112</v>
      </c>
      <c r="S5658" s="2" t="s">
        <v>1266</v>
      </c>
      <c r="T5658" s="2">
        <v>1.37</v>
      </c>
      <c r="U5658" s="2">
        <v>67.099999999999994</v>
      </c>
      <c r="V5658" s="2">
        <v>65</v>
      </c>
      <c r="W5658" s="2" t="s">
        <v>7862</v>
      </c>
      <c r="X5658" s="2" t="s">
        <v>2897</v>
      </c>
      <c r="Y5658" s="2">
        <v>2800</v>
      </c>
      <c r="Z5658" s="19" t="str">
        <f>HYPERLINK("https://ssdweb.co/ssdweb/hd/Vision360.html?d=941261074&amp;zoomslide=1&amp;z=1941261074&amp;ISCONFIRM=0","VIDEO")</f>
        <v>VIDEO</v>
      </c>
      <c r="AA5658" s="19" t="str">
        <f>HYPERLINK("https://ssdweb.co/ssdweb/CERTH/689587176.pdf","CERTI")</f>
        <v>CERTI</v>
      </c>
    </row>
    <row r="5659" spans="1:27" ht="15" x14ac:dyDescent="0.25">
      <c r="A5659" s="2">
        <v>5654</v>
      </c>
      <c r="B5659" s="39">
        <v>941261078</v>
      </c>
      <c r="C5659" s="28" t="str">
        <f>HYPERLINK("https://pld.live/RapDetail.aspx?STONELIST=941261078","DNA")</f>
        <v>DNA</v>
      </c>
      <c r="D5659" s="18" t="s">
        <v>5847</v>
      </c>
      <c r="E5659" s="18" t="s">
        <v>5128</v>
      </c>
      <c r="F5659" s="2" t="s">
        <v>7987</v>
      </c>
      <c r="G5659" s="2" t="s">
        <v>7322</v>
      </c>
      <c r="H5659" s="14">
        <v>0.7</v>
      </c>
      <c r="I5659" s="2" t="s">
        <v>267</v>
      </c>
      <c r="J5659" s="2" t="s">
        <v>13</v>
      </c>
      <c r="K5659" s="2" t="s">
        <v>1452</v>
      </c>
      <c r="L5659" s="2" t="s">
        <v>5221</v>
      </c>
      <c r="M5659" s="2" t="s">
        <v>5221</v>
      </c>
      <c r="N5659" s="2" t="s">
        <v>2317</v>
      </c>
      <c r="O5659" s="14">
        <v>3700</v>
      </c>
      <c r="P5659" s="14">
        <v>96.03</v>
      </c>
      <c r="Q5659" s="14">
        <v>146.88999999999999</v>
      </c>
      <c r="R5659" s="14">
        <v>102.82</v>
      </c>
      <c r="S5659" s="2" t="s">
        <v>2096</v>
      </c>
      <c r="T5659" s="2">
        <v>1.37</v>
      </c>
      <c r="U5659" s="2">
        <v>67.099999999999994</v>
      </c>
      <c r="V5659" s="2">
        <v>62</v>
      </c>
      <c r="W5659" s="2" t="s">
        <v>7862</v>
      </c>
      <c r="X5659" s="2" t="s">
        <v>2897</v>
      </c>
      <c r="Y5659" s="2">
        <v>2590</v>
      </c>
      <c r="Z5659" s="19" t="str">
        <f>HYPERLINK("https://ssdweb.co/ssdweb/hd/Vision360.html?d=941261078&amp;zoomslide=1&amp;z=1941261078&amp;ISCONFIRM=0","VIDEO")</f>
        <v>VIDEO</v>
      </c>
      <c r="AA5659" s="19" t="str">
        <f>HYPERLINK("https://ssdweb.co/ssdweb/CERTH/689543206.pdf","CERTI")</f>
        <v>CERTI</v>
      </c>
    </row>
    <row r="5660" spans="1:27" ht="15" x14ac:dyDescent="0.25">
      <c r="A5660" s="2">
        <v>5655</v>
      </c>
      <c r="B5660" s="39">
        <v>941261048</v>
      </c>
      <c r="C5660" s="28" t="str">
        <f>HYPERLINK("https://pld.live/RapDetail.aspx?STONELIST=941261048","DNA")</f>
        <v>DNA</v>
      </c>
      <c r="D5660" s="18" t="s">
        <v>5847</v>
      </c>
      <c r="E5660" s="18" t="s">
        <v>5128</v>
      </c>
      <c r="F5660" s="2" t="s">
        <v>7987</v>
      </c>
      <c r="G5660" s="2" t="s">
        <v>7322</v>
      </c>
      <c r="H5660" s="14">
        <v>0.7</v>
      </c>
      <c r="I5660" s="2" t="s">
        <v>267</v>
      </c>
      <c r="J5660" s="2" t="s">
        <v>13</v>
      </c>
      <c r="K5660" s="2" t="s">
        <v>1452</v>
      </c>
      <c r="L5660" s="2" t="s">
        <v>5221</v>
      </c>
      <c r="M5660" s="2" t="s">
        <v>5221</v>
      </c>
      <c r="N5660" s="2" t="s">
        <v>2317</v>
      </c>
      <c r="O5660" s="14">
        <v>3700</v>
      </c>
      <c r="P5660" s="14">
        <v>96.03</v>
      </c>
      <c r="Q5660" s="14">
        <v>146.88999999999999</v>
      </c>
      <c r="R5660" s="14">
        <v>102.82</v>
      </c>
      <c r="S5660" s="2" t="s">
        <v>3355</v>
      </c>
      <c r="T5660" s="2">
        <v>1.37</v>
      </c>
      <c r="U5660" s="2">
        <v>68.7</v>
      </c>
      <c r="V5660" s="2">
        <v>64</v>
      </c>
      <c r="W5660" s="2" t="s">
        <v>7862</v>
      </c>
      <c r="X5660" s="2" t="s">
        <v>2897</v>
      </c>
      <c r="Y5660" s="2">
        <v>2590</v>
      </c>
      <c r="Z5660" s="19" t="str">
        <f>HYPERLINK("https://ssdweb.co/ssdweb/hd/Vision360.html?d=941261048&amp;zoomslide=1&amp;z=1941261048&amp;ISCONFIRM=0","VIDEO")</f>
        <v>VIDEO</v>
      </c>
      <c r="AA5660" s="19" t="str">
        <f>HYPERLINK("https://ssdweb.co/ssdweb/CERTH/687560891.pdf","CERTI")</f>
        <v>CERTI</v>
      </c>
    </row>
    <row r="5661" spans="1:27" ht="15" x14ac:dyDescent="0.25">
      <c r="A5661" s="2">
        <v>5656</v>
      </c>
      <c r="B5661" s="39">
        <v>941261068</v>
      </c>
      <c r="C5661" s="28" t="str">
        <f>HYPERLINK("https://pld.live/RapDetail.aspx?STONELIST=941261068","DNA")</f>
        <v>DNA</v>
      </c>
      <c r="D5661" s="18" t="s">
        <v>5847</v>
      </c>
      <c r="E5661" s="18" t="s">
        <v>5128</v>
      </c>
      <c r="F5661" s="2" t="s">
        <v>7987</v>
      </c>
      <c r="G5661" s="2" t="s">
        <v>7322</v>
      </c>
      <c r="H5661" s="14">
        <v>0.7</v>
      </c>
      <c r="I5661" s="2" t="s">
        <v>267</v>
      </c>
      <c r="J5661" s="2" t="s">
        <v>13</v>
      </c>
      <c r="K5661" s="2" t="s">
        <v>1452</v>
      </c>
      <c r="L5661" s="2" t="s">
        <v>5221</v>
      </c>
      <c r="M5661" s="2" t="s">
        <v>5221</v>
      </c>
      <c r="N5661" s="2" t="s">
        <v>2317</v>
      </c>
      <c r="O5661" s="14">
        <v>3700</v>
      </c>
      <c r="P5661" s="14">
        <v>96.03</v>
      </c>
      <c r="Q5661" s="14">
        <v>146.88999999999999</v>
      </c>
      <c r="R5661" s="14">
        <v>102.82</v>
      </c>
      <c r="S5661" s="2" t="s">
        <v>2637</v>
      </c>
      <c r="T5661" s="2">
        <v>1.39</v>
      </c>
      <c r="U5661" s="2">
        <v>68.400000000000006</v>
      </c>
      <c r="V5661" s="2">
        <v>65</v>
      </c>
      <c r="W5661" s="2" t="s">
        <v>7862</v>
      </c>
      <c r="X5661" s="2" t="s">
        <v>2897</v>
      </c>
      <c r="Y5661" s="2">
        <v>2590</v>
      </c>
      <c r="Z5661" s="19" t="str">
        <f>HYPERLINK("https://ssdweb.co/ssdweb/hd/Vision360.html?d=941261068&amp;zoomslide=1&amp;z=1941261068&amp;ISCONFIRM=0","VIDEO")</f>
        <v>VIDEO</v>
      </c>
      <c r="AA5661" s="19" t="str">
        <f>HYPERLINK("https://ssdweb.co/ssdweb/CERTH/689543201.pdf","CERTI")</f>
        <v>CERTI</v>
      </c>
    </row>
    <row r="5662" spans="1:27" ht="15" x14ac:dyDescent="0.25">
      <c r="A5662" s="2">
        <v>5657</v>
      </c>
      <c r="B5662" s="39">
        <v>941261075</v>
      </c>
      <c r="C5662" s="28" t="str">
        <f>HYPERLINK("https://pld.live/RapDetail.aspx?STONELIST=941261075","DNA")</f>
        <v>DNA</v>
      </c>
      <c r="D5662" s="18" t="s">
        <v>5847</v>
      </c>
      <c r="E5662" s="18" t="s">
        <v>5128</v>
      </c>
      <c r="F5662" s="2" t="s">
        <v>7987</v>
      </c>
      <c r="G5662" s="2" t="s">
        <v>7322</v>
      </c>
      <c r="H5662" s="14">
        <v>0.7</v>
      </c>
      <c r="I5662" s="2" t="s">
        <v>267</v>
      </c>
      <c r="J5662" s="2" t="s">
        <v>13</v>
      </c>
      <c r="K5662" s="2" t="s">
        <v>1452</v>
      </c>
      <c r="L5662" s="2" t="s">
        <v>5221</v>
      </c>
      <c r="M5662" s="2" t="s">
        <v>5221</v>
      </c>
      <c r="N5662" s="2" t="s">
        <v>2317</v>
      </c>
      <c r="O5662" s="14">
        <v>3700</v>
      </c>
      <c r="P5662" s="14">
        <v>96.03</v>
      </c>
      <c r="Q5662" s="14">
        <v>146.88999999999999</v>
      </c>
      <c r="R5662" s="14">
        <v>102.82</v>
      </c>
      <c r="S5662" s="2" t="s">
        <v>6703</v>
      </c>
      <c r="T5662" s="2">
        <v>1.37</v>
      </c>
      <c r="U5662" s="2">
        <v>68.8</v>
      </c>
      <c r="V5662" s="2">
        <v>67</v>
      </c>
      <c r="W5662" s="2" t="s">
        <v>7862</v>
      </c>
      <c r="X5662" s="2" t="s">
        <v>2897</v>
      </c>
      <c r="Y5662" s="2">
        <v>2590</v>
      </c>
      <c r="Z5662" s="19" t="str">
        <f>HYPERLINK("https://ssdweb.co/ssdweb/hd/Vision360.html?d=941261075&amp;zoomslide=1&amp;z=1941261075&amp;ISCONFIRM=0","VIDEO")</f>
        <v>VIDEO</v>
      </c>
      <c r="AA5662" s="19" t="str">
        <f>HYPERLINK("https://ssdweb.co/ssdweb/CERTH/689543204.pdf","CERTI")</f>
        <v>CERTI</v>
      </c>
    </row>
    <row r="5663" spans="1:27" ht="15" x14ac:dyDescent="0.25">
      <c r="A5663" s="2">
        <v>5658</v>
      </c>
      <c r="B5663" s="39">
        <v>941110544</v>
      </c>
      <c r="C5663" s="28" t="str">
        <f>HYPERLINK("https://pld.live/RapDetail.aspx?STONELIST=941110544","DNA")</f>
        <v>DNA</v>
      </c>
      <c r="D5663" s="18" t="s">
        <v>5847</v>
      </c>
      <c r="E5663" s="18" t="s">
        <v>2186</v>
      </c>
      <c r="F5663" s="2" t="s">
        <v>7987</v>
      </c>
      <c r="G5663" s="2" t="s">
        <v>7322</v>
      </c>
      <c r="H5663" s="14">
        <v>0.7</v>
      </c>
      <c r="I5663" s="2" t="s">
        <v>267</v>
      </c>
      <c r="J5663" s="2" t="s">
        <v>13</v>
      </c>
      <c r="K5663" s="2" t="s">
        <v>1452</v>
      </c>
      <c r="L5663" s="2" t="s">
        <v>5721</v>
      </c>
      <c r="M5663" s="2" t="s">
        <v>5221</v>
      </c>
      <c r="N5663" s="2" t="s">
        <v>2317</v>
      </c>
      <c r="O5663" s="14">
        <v>3700</v>
      </c>
      <c r="P5663" s="14">
        <v>96.08</v>
      </c>
      <c r="Q5663" s="14">
        <v>145.04</v>
      </c>
      <c r="R5663" s="14">
        <v>101.53</v>
      </c>
      <c r="S5663" s="2" t="s">
        <v>3386</v>
      </c>
      <c r="T5663" s="2">
        <v>1.57</v>
      </c>
      <c r="U5663" s="2">
        <v>69.599999999999994</v>
      </c>
      <c r="V5663" s="2">
        <v>69</v>
      </c>
      <c r="W5663" s="2" t="s">
        <v>7862</v>
      </c>
      <c r="X5663" s="2" t="s">
        <v>2897</v>
      </c>
      <c r="Y5663" s="2">
        <v>2590</v>
      </c>
      <c r="Z5663" s="19" t="str">
        <f>HYPERLINK("https://ssdweb.co/ssdweb/hd/Vision360.html?d=941110544&amp;zoomslide=1&amp;z=1941110544&amp;ISCONFIRM=0","VIDEO")</f>
        <v>VIDEO</v>
      </c>
      <c r="AA5663" s="19" t="str">
        <f>HYPERLINK("https://ssdweb.co/ssdweb/CERTH/675504517.pdf","CERTI")</f>
        <v>CERTI</v>
      </c>
    </row>
    <row r="5664" spans="1:27" ht="15" x14ac:dyDescent="0.25">
      <c r="A5664" s="2">
        <v>5659</v>
      </c>
      <c r="B5664" s="39">
        <v>925030379</v>
      </c>
      <c r="C5664" s="28" t="str">
        <f>HYPERLINK("https://pld.live/RapDetail.aspx?STONELIST=925030379","DNA")</f>
        <v>DNA</v>
      </c>
      <c r="D5664" s="18" t="s">
        <v>5847</v>
      </c>
      <c r="E5664" s="18" t="s">
        <v>5128</v>
      </c>
      <c r="F5664" s="2" t="s">
        <v>7987</v>
      </c>
      <c r="G5664" s="2" t="s">
        <v>7322</v>
      </c>
      <c r="H5664" s="14">
        <v>0.7</v>
      </c>
      <c r="I5664" s="2" t="s">
        <v>267</v>
      </c>
      <c r="J5664" s="2" t="s">
        <v>5144</v>
      </c>
      <c r="K5664" s="2" t="s">
        <v>1452</v>
      </c>
      <c r="L5664" s="2" t="s">
        <v>5221</v>
      </c>
      <c r="M5664" s="2" t="s">
        <v>5221</v>
      </c>
      <c r="N5664" s="2" t="s">
        <v>2317</v>
      </c>
      <c r="O5664" s="14">
        <v>3400</v>
      </c>
      <c r="P5664" s="14">
        <v>96.21</v>
      </c>
      <c r="Q5664" s="14">
        <v>128.86000000000001</v>
      </c>
      <c r="R5664" s="14">
        <v>90.2</v>
      </c>
      <c r="S5664" s="2" t="s">
        <v>2383</v>
      </c>
      <c r="T5664" s="2">
        <v>1.4</v>
      </c>
      <c r="U5664" s="2">
        <v>66.400000000000006</v>
      </c>
      <c r="V5664" s="2">
        <v>64</v>
      </c>
      <c r="W5664" s="2" t="s">
        <v>7862</v>
      </c>
      <c r="X5664" s="2" t="s">
        <v>2897</v>
      </c>
      <c r="Y5664" s="2">
        <v>2380</v>
      </c>
      <c r="Z5664" s="19" t="str">
        <f>HYPERLINK("https://ssdweb.co/ssdweb/hd/Vision360.html?d=925030379&amp;zoomslide=1&amp;z=1925030379&amp;ISCONFIRM=0","VIDEO")</f>
        <v>VIDEO</v>
      </c>
      <c r="AA5664" s="19" t="str">
        <f>HYPERLINK("https://ssdweb.co/ssdweb/CERTH/613349602.pdf","CERTI")</f>
        <v>CERTI</v>
      </c>
    </row>
    <row r="5665" spans="1:27" ht="15" x14ac:dyDescent="0.25">
      <c r="A5665" s="2">
        <v>5660</v>
      </c>
      <c r="B5665" s="39">
        <v>926350516</v>
      </c>
      <c r="C5665" s="28" t="str">
        <f>HYPERLINK("https://pld.live/RapDetail.aspx?STONELIST=926350516","DNA")</f>
        <v>DNA</v>
      </c>
      <c r="D5665" s="18" t="s">
        <v>5847</v>
      </c>
      <c r="E5665" s="18" t="s">
        <v>5128</v>
      </c>
      <c r="F5665" s="2" t="s">
        <v>7987</v>
      </c>
      <c r="G5665" s="2" t="s">
        <v>7322</v>
      </c>
      <c r="H5665" s="14">
        <v>0.7</v>
      </c>
      <c r="I5665" s="2" t="s">
        <v>267</v>
      </c>
      <c r="J5665" s="2" t="s">
        <v>5144</v>
      </c>
      <c r="K5665" s="2" t="s">
        <v>1452</v>
      </c>
      <c r="L5665" s="2" t="s">
        <v>5221</v>
      </c>
      <c r="M5665" s="2" t="s">
        <v>5221</v>
      </c>
      <c r="N5665" s="2" t="s">
        <v>2317</v>
      </c>
      <c r="O5665" s="14">
        <v>3400</v>
      </c>
      <c r="P5665" s="14">
        <v>96.03</v>
      </c>
      <c r="Q5665" s="14">
        <v>134.97999999999999</v>
      </c>
      <c r="R5665" s="14">
        <v>94.49</v>
      </c>
      <c r="S5665" s="2" t="s">
        <v>2453</v>
      </c>
      <c r="T5665" s="2">
        <v>1.49</v>
      </c>
      <c r="U5665" s="2">
        <v>63.6</v>
      </c>
      <c r="V5665" s="2">
        <v>65</v>
      </c>
      <c r="W5665" s="2" t="s">
        <v>7862</v>
      </c>
      <c r="X5665" s="2" t="s">
        <v>2897</v>
      </c>
      <c r="Y5665" s="2">
        <v>2380</v>
      </c>
      <c r="Z5665" s="19" t="str">
        <f>HYPERLINK("https://ssdweb.co/ssdweb/hd/Vision360.html?d=926350516&amp;zoomslide=1&amp;z=1926350516&amp;ISCONFIRM=0","VIDEO")</f>
        <v>VIDEO</v>
      </c>
      <c r="AA5665" s="19" t="str">
        <f>HYPERLINK("https://ssdweb.co/ssdweb/CERTH/666407941.pdf","CERTI")</f>
        <v>CERTI</v>
      </c>
    </row>
    <row r="5666" spans="1:27" ht="15" x14ac:dyDescent="0.25">
      <c r="A5666" s="2">
        <v>5661</v>
      </c>
      <c r="B5666" s="39">
        <v>925510154</v>
      </c>
      <c r="C5666" s="28" t="str">
        <f>HYPERLINK("https://pld.live/RapDetail.aspx?STONELIST=925510154","DNA")</f>
        <v>DNA</v>
      </c>
      <c r="D5666" s="18" t="s">
        <v>5847</v>
      </c>
      <c r="E5666" s="18" t="s">
        <v>2186</v>
      </c>
      <c r="F5666" s="2" t="s">
        <v>7987</v>
      </c>
      <c r="G5666" s="2" t="s">
        <v>7322</v>
      </c>
      <c r="H5666" s="14">
        <v>0.7</v>
      </c>
      <c r="I5666" s="2" t="s">
        <v>267</v>
      </c>
      <c r="J5666" s="2" t="s">
        <v>5144</v>
      </c>
      <c r="K5666" s="2" t="s">
        <v>1452</v>
      </c>
      <c r="L5666" s="2" t="s">
        <v>5221</v>
      </c>
      <c r="M5666" s="2" t="s">
        <v>5221</v>
      </c>
      <c r="N5666" s="2" t="s">
        <v>2317</v>
      </c>
      <c r="O5666" s="14">
        <v>3400</v>
      </c>
      <c r="P5666" s="14">
        <v>96.21</v>
      </c>
      <c r="Q5666" s="14">
        <v>128.86000000000001</v>
      </c>
      <c r="R5666" s="14">
        <v>90.2</v>
      </c>
      <c r="S5666" s="2" t="s">
        <v>4038</v>
      </c>
      <c r="T5666" s="2">
        <v>1.45</v>
      </c>
      <c r="U5666" s="2">
        <v>64.400000000000006</v>
      </c>
      <c r="V5666" s="2">
        <v>64</v>
      </c>
      <c r="W5666" s="2" t="s">
        <v>7862</v>
      </c>
      <c r="X5666" s="2" t="s">
        <v>2897</v>
      </c>
      <c r="Y5666" s="2">
        <v>2380</v>
      </c>
      <c r="Z5666" s="19" t="str">
        <f>HYPERLINK("https://ssdweb.co/ssdweb/hd/Vision360.html?d=925510154&amp;zoomslide=1&amp;z=1925510154&amp;ISCONFIRM=0","VIDEO")</f>
        <v>VIDEO</v>
      </c>
      <c r="AA5666" s="19" t="str">
        <f>HYPERLINK("https://ssdweb.co/ssdweb/CERTH/619426677.pdf","CERTI")</f>
        <v>CERTI</v>
      </c>
    </row>
    <row r="5667" spans="1:27" ht="15" x14ac:dyDescent="0.25">
      <c r="A5667" s="2">
        <v>5662</v>
      </c>
      <c r="B5667" s="39">
        <v>925110441</v>
      </c>
      <c r="C5667" s="28" t="str">
        <f>HYPERLINK("https://pld.live/RapDetail.aspx?STONELIST=925110441","DNA")</f>
        <v>DNA</v>
      </c>
      <c r="D5667" s="18" t="s">
        <v>5847</v>
      </c>
      <c r="E5667" s="18" t="s">
        <v>5128</v>
      </c>
      <c r="F5667" s="2" t="s">
        <v>7987</v>
      </c>
      <c r="G5667" s="2" t="s">
        <v>7322</v>
      </c>
      <c r="H5667" s="14">
        <v>0.7</v>
      </c>
      <c r="I5667" s="2" t="s">
        <v>267</v>
      </c>
      <c r="J5667" s="2" t="s">
        <v>5144</v>
      </c>
      <c r="K5667" s="2" t="s">
        <v>1452</v>
      </c>
      <c r="L5667" s="2" t="s">
        <v>5221</v>
      </c>
      <c r="M5667" s="2" t="s">
        <v>5221</v>
      </c>
      <c r="N5667" s="2" t="s">
        <v>2317</v>
      </c>
      <c r="O5667" s="14">
        <v>3400</v>
      </c>
      <c r="P5667" s="14">
        <v>96.21</v>
      </c>
      <c r="Q5667" s="14">
        <v>128.86000000000001</v>
      </c>
      <c r="R5667" s="14">
        <v>90.2</v>
      </c>
      <c r="S5667" s="2" t="s">
        <v>2414</v>
      </c>
      <c r="T5667" s="2">
        <v>1.42</v>
      </c>
      <c r="U5667" s="2">
        <v>67.2</v>
      </c>
      <c r="V5667" s="2">
        <v>62</v>
      </c>
      <c r="W5667" s="2" t="s">
        <v>7862</v>
      </c>
      <c r="X5667" s="2" t="s">
        <v>2897</v>
      </c>
      <c r="Y5667" s="2">
        <v>2380</v>
      </c>
      <c r="Z5667" s="19" t="str">
        <f>HYPERLINK("https://ssdweb.co/ssdweb/hd/Vision360.html?d=925110441&amp;zoomslide=1&amp;z=1925110441&amp;ISCONFIRM=0","VIDEO")</f>
        <v>VIDEO</v>
      </c>
      <c r="AA5667" s="19" t="str">
        <f>HYPERLINK("https://ssdweb.co/ssdweb/CERTH/615342825.pdf","CERTI")</f>
        <v>CERTI</v>
      </c>
    </row>
    <row r="5668" spans="1:27" ht="15" x14ac:dyDescent="0.25">
      <c r="A5668" s="2">
        <v>5663</v>
      </c>
      <c r="B5668" s="39">
        <v>924960478</v>
      </c>
      <c r="C5668" s="28" t="str">
        <f>HYPERLINK("https://pld.live/RapDetail.aspx?STONELIST=924960478","DNA")</f>
        <v>DNA</v>
      </c>
      <c r="D5668" s="18" t="s">
        <v>5847</v>
      </c>
      <c r="E5668" s="18" t="s">
        <v>5128</v>
      </c>
      <c r="F5668" s="2" t="s">
        <v>7987</v>
      </c>
      <c r="G5668" s="2" t="s">
        <v>7322</v>
      </c>
      <c r="H5668" s="14">
        <v>0.7</v>
      </c>
      <c r="I5668" s="2" t="s">
        <v>267</v>
      </c>
      <c r="J5668" s="2" t="s">
        <v>5144</v>
      </c>
      <c r="K5668" s="2" t="s">
        <v>1452</v>
      </c>
      <c r="L5668" s="2" t="s">
        <v>5221</v>
      </c>
      <c r="M5668" s="2" t="s">
        <v>5721</v>
      </c>
      <c r="N5668" s="2" t="s">
        <v>2317</v>
      </c>
      <c r="O5668" s="14">
        <v>3400</v>
      </c>
      <c r="P5668" s="14">
        <v>96.26</v>
      </c>
      <c r="Q5668" s="14">
        <v>127.16</v>
      </c>
      <c r="R5668" s="14">
        <v>89.01</v>
      </c>
      <c r="S5668" s="2" t="s">
        <v>4975</v>
      </c>
      <c r="T5668" s="2">
        <v>1.36</v>
      </c>
      <c r="U5668" s="2">
        <v>68.7</v>
      </c>
      <c r="V5668" s="2">
        <v>70</v>
      </c>
      <c r="W5668" s="2" t="s">
        <v>7862</v>
      </c>
      <c r="X5668" s="2" t="s">
        <v>2897</v>
      </c>
      <c r="Y5668" s="2">
        <v>2380</v>
      </c>
      <c r="Z5668" s="19" t="str">
        <f>HYPERLINK("https://ssdweb.co/ssdweb/hd/Vision360.html?d=924960478&amp;zoomslide=1&amp;z=1924960478&amp;ISCONFIRM=0","VIDEO")</f>
        <v>VIDEO</v>
      </c>
      <c r="AA5668" s="19" t="str">
        <f>HYPERLINK("https://ssdweb.co/ssdweb/CERTH/612321916.pdf","CERTI")</f>
        <v>CERTI</v>
      </c>
    </row>
    <row r="5669" spans="1:27" ht="15" x14ac:dyDescent="0.25">
      <c r="A5669" s="2">
        <v>5664</v>
      </c>
      <c r="B5669" s="39">
        <v>925290436</v>
      </c>
      <c r="C5669" s="28" t="str">
        <f>HYPERLINK("https://pld.live/RapDetail.aspx?STONELIST=925290436","DNA")</f>
        <v>DNA</v>
      </c>
      <c r="D5669" s="18" t="s">
        <v>5847</v>
      </c>
      <c r="E5669" s="18" t="s">
        <v>5128</v>
      </c>
      <c r="F5669" s="2" t="s">
        <v>7987</v>
      </c>
      <c r="G5669" s="2" t="s">
        <v>7322</v>
      </c>
      <c r="H5669" s="14">
        <v>0.7</v>
      </c>
      <c r="I5669" s="2" t="s">
        <v>267</v>
      </c>
      <c r="J5669" s="2" t="s">
        <v>5144</v>
      </c>
      <c r="K5669" s="2" t="s">
        <v>1452</v>
      </c>
      <c r="L5669" s="2" t="s">
        <v>5221</v>
      </c>
      <c r="M5669" s="2" t="s">
        <v>5721</v>
      </c>
      <c r="N5669" s="2" t="s">
        <v>2317</v>
      </c>
      <c r="O5669" s="14">
        <v>3400</v>
      </c>
      <c r="P5669" s="14">
        <v>96.26</v>
      </c>
      <c r="Q5669" s="14">
        <v>127.16</v>
      </c>
      <c r="R5669" s="14">
        <v>89.01</v>
      </c>
      <c r="S5669" s="2" t="s">
        <v>3439</v>
      </c>
      <c r="T5669" s="2">
        <v>1.4</v>
      </c>
      <c r="U5669" s="2">
        <v>68.3</v>
      </c>
      <c r="V5669" s="2">
        <v>58</v>
      </c>
      <c r="W5669" s="2" t="s">
        <v>7862</v>
      </c>
      <c r="X5669" s="2" t="s">
        <v>2897</v>
      </c>
      <c r="Y5669" s="2">
        <v>2380</v>
      </c>
      <c r="Z5669" s="19" t="str">
        <f>HYPERLINK("https://ssdweb.co/ssdweb/hd/Vision360.html?d=925290436&amp;zoomslide=1&amp;z=1925290436&amp;ISCONFIRM=0","VIDEO")</f>
        <v>VIDEO</v>
      </c>
      <c r="AA5669" s="19" t="str">
        <f>HYPERLINK("https://ssdweb.co/ssdweb/CERTH/616407644.pdf","CERTI")</f>
        <v>CERTI</v>
      </c>
    </row>
    <row r="5670" spans="1:27" ht="15" x14ac:dyDescent="0.25">
      <c r="A5670" s="2">
        <v>5665</v>
      </c>
      <c r="B5670" s="39">
        <v>925620073</v>
      </c>
      <c r="C5670" s="28" t="str">
        <f>HYPERLINK("https://pld.live/RapDetail.aspx?STONELIST=925620073","DNA")</f>
        <v>DNA</v>
      </c>
      <c r="D5670" s="18" t="s">
        <v>5847</v>
      </c>
      <c r="E5670" s="18" t="s">
        <v>5128</v>
      </c>
      <c r="F5670" s="2" t="s">
        <v>7987</v>
      </c>
      <c r="G5670" s="2" t="s">
        <v>7322</v>
      </c>
      <c r="H5670" s="14">
        <v>0.7</v>
      </c>
      <c r="I5670" s="2" t="s">
        <v>267</v>
      </c>
      <c r="J5670" s="2" t="s">
        <v>5144</v>
      </c>
      <c r="K5670" s="2" t="s">
        <v>1452</v>
      </c>
      <c r="L5670" s="2" t="s">
        <v>5221</v>
      </c>
      <c r="M5670" s="2" t="s">
        <v>5721</v>
      </c>
      <c r="N5670" s="2" t="s">
        <v>2317</v>
      </c>
      <c r="O5670" s="14">
        <v>3400</v>
      </c>
      <c r="P5670" s="14">
        <v>96.26</v>
      </c>
      <c r="Q5670" s="14">
        <v>127.16</v>
      </c>
      <c r="R5670" s="14">
        <v>89.01</v>
      </c>
      <c r="S5670" s="2" t="s">
        <v>4094</v>
      </c>
      <c r="T5670" s="2">
        <v>1.39</v>
      </c>
      <c r="U5670" s="2">
        <v>66.7</v>
      </c>
      <c r="V5670" s="2">
        <v>68</v>
      </c>
      <c r="W5670" s="2" t="s">
        <v>7862</v>
      </c>
      <c r="X5670" s="2" t="s">
        <v>2897</v>
      </c>
      <c r="Y5670" s="2">
        <v>2380</v>
      </c>
      <c r="Z5670" s="19" t="str">
        <f>HYPERLINK("https://ssdweb.co/ssdweb/hd/Vision360.html?d=925620073&amp;zoomslide=1&amp;z=1925620073&amp;ISCONFIRM=0","VIDEO")</f>
        <v>VIDEO</v>
      </c>
      <c r="AA5670" s="19" t="str">
        <f>HYPERLINK("https://ssdweb.co/ssdweb/CERTH/619423983.pdf","CERTI")</f>
        <v>CERTI</v>
      </c>
    </row>
    <row r="5671" spans="1:27" ht="15" x14ac:dyDescent="0.25">
      <c r="A5671" s="2">
        <v>5666</v>
      </c>
      <c r="B5671" s="39">
        <v>923680525</v>
      </c>
      <c r="C5671" s="28" t="str">
        <f>HYPERLINK("https://pld.live/RapDetail.aspx?STONELIST=923680525","DNA")</f>
        <v>DNA</v>
      </c>
      <c r="D5671" s="18" t="s">
        <v>5847</v>
      </c>
      <c r="E5671" s="18" t="s">
        <v>5128</v>
      </c>
      <c r="F5671" s="2" t="s">
        <v>7987</v>
      </c>
      <c r="G5671" s="2" t="s">
        <v>7322</v>
      </c>
      <c r="H5671" s="14">
        <v>0.7</v>
      </c>
      <c r="I5671" s="2" t="s">
        <v>267</v>
      </c>
      <c r="J5671" s="2" t="s">
        <v>444</v>
      </c>
      <c r="K5671" s="2" t="s">
        <v>1452</v>
      </c>
      <c r="L5671" s="2" t="s">
        <v>5221</v>
      </c>
      <c r="M5671" s="2" t="s">
        <v>5221</v>
      </c>
      <c r="N5671" s="2" t="s">
        <v>2317</v>
      </c>
      <c r="O5671" s="14">
        <v>2800</v>
      </c>
      <c r="P5671" s="14">
        <v>95.64</v>
      </c>
      <c r="Q5671" s="14">
        <v>122.08</v>
      </c>
      <c r="R5671" s="14">
        <v>85.46</v>
      </c>
      <c r="S5671" s="2" t="s">
        <v>5520</v>
      </c>
      <c r="T5671" s="2">
        <v>1.57</v>
      </c>
      <c r="U5671" s="2">
        <v>67.8</v>
      </c>
      <c r="V5671" s="2">
        <v>59.5</v>
      </c>
      <c r="W5671" s="2" t="s">
        <v>7862</v>
      </c>
      <c r="X5671" s="2" t="s">
        <v>2897</v>
      </c>
      <c r="Y5671" s="2">
        <v>1960</v>
      </c>
      <c r="Z5671" s="19" t="str">
        <f>HYPERLINK("https://ssdweb.co/ssdweb/hd/Vision360.html?d=923680525&amp;zoomslide=1&amp;z=1923680525&amp;ISCONFIRM=0","VIDEO")</f>
        <v>VIDEO</v>
      </c>
      <c r="AA5671" s="19" t="str">
        <f>HYPERLINK("https://ssdweb.co/ssdweb/CERTH/563299166.pdf","CERTI")</f>
        <v>CERTI</v>
      </c>
    </row>
    <row r="5672" spans="1:27" ht="15" x14ac:dyDescent="0.25">
      <c r="A5672" s="2">
        <v>5667</v>
      </c>
      <c r="B5672" s="39">
        <v>924050504</v>
      </c>
      <c r="C5672" s="28" t="str">
        <f>HYPERLINK("https://pld.live/RapDetail.aspx?STONELIST=924050504","DNA")</f>
        <v>DNA</v>
      </c>
      <c r="D5672" s="18" t="s">
        <v>5847</v>
      </c>
      <c r="E5672" s="18" t="s">
        <v>5128</v>
      </c>
      <c r="F5672" s="2" t="s">
        <v>7987</v>
      </c>
      <c r="G5672" s="2" t="s">
        <v>7322</v>
      </c>
      <c r="H5672" s="14">
        <v>0.7</v>
      </c>
      <c r="I5672" s="2" t="s">
        <v>267</v>
      </c>
      <c r="J5672" s="2" t="s">
        <v>444</v>
      </c>
      <c r="K5672" s="2" t="s">
        <v>1452</v>
      </c>
      <c r="L5672" s="2" t="s">
        <v>5221</v>
      </c>
      <c r="M5672" s="2" t="s">
        <v>5221</v>
      </c>
      <c r="N5672" s="2" t="s">
        <v>2317</v>
      </c>
      <c r="O5672" s="14">
        <v>2800</v>
      </c>
      <c r="P5672" s="14">
        <v>95.64</v>
      </c>
      <c r="Q5672" s="14">
        <v>122.08</v>
      </c>
      <c r="R5672" s="14">
        <v>85.46</v>
      </c>
      <c r="S5672" s="2" t="s">
        <v>1871</v>
      </c>
      <c r="T5672" s="2">
        <v>1.39</v>
      </c>
      <c r="U5672" s="2">
        <v>65.900000000000006</v>
      </c>
      <c r="V5672" s="2">
        <v>65</v>
      </c>
      <c r="W5672" s="2" t="s">
        <v>7862</v>
      </c>
      <c r="X5672" s="2" t="s">
        <v>2897</v>
      </c>
      <c r="Y5672" s="2">
        <v>1960</v>
      </c>
      <c r="Z5672" s="19" t="str">
        <f>HYPERLINK("https://ssdweb.co/ssdweb/hd/Vision360.html?d=924050504&amp;zoomslide=1&amp;z=1924050504&amp;ISCONFIRM=0","VIDEO")</f>
        <v>VIDEO</v>
      </c>
      <c r="AA5672" s="19" t="str">
        <f>HYPERLINK("https://ssdweb.co/ssdweb/CERTH/573388226.pdf","CERTI")</f>
        <v>CERTI</v>
      </c>
    </row>
    <row r="5673" spans="1:27" ht="15" x14ac:dyDescent="0.25">
      <c r="A5673" s="2">
        <v>5668</v>
      </c>
      <c r="B5673" s="39">
        <v>923690441</v>
      </c>
      <c r="C5673" s="28" t="str">
        <f>HYPERLINK("https://pld.live/RapDetail.aspx?STONELIST=923690441","DNA")</f>
        <v>DNA</v>
      </c>
      <c r="D5673" s="18" t="s">
        <v>5847</v>
      </c>
      <c r="E5673" s="18" t="s">
        <v>5128</v>
      </c>
      <c r="F5673" s="2" t="s">
        <v>7987</v>
      </c>
      <c r="G5673" s="2" t="s">
        <v>7322</v>
      </c>
      <c r="H5673" s="14">
        <v>0.7</v>
      </c>
      <c r="I5673" s="2" t="s">
        <v>267</v>
      </c>
      <c r="J5673" s="2" t="s">
        <v>444</v>
      </c>
      <c r="K5673" s="2" t="s">
        <v>1452</v>
      </c>
      <c r="L5673" s="2" t="s">
        <v>5221</v>
      </c>
      <c r="M5673" s="2" t="s">
        <v>5221</v>
      </c>
      <c r="N5673" s="2" t="s">
        <v>2317</v>
      </c>
      <c r="O5673" s="14">
        <v>2800</v>
      </c>
      <c r="P5673" s="14">
        <v>95.64</v>
      </c>
      <c r="Q5673" s="14">
        <v>122.08</v>
      </c>
      <c r="R5673" s="14">
        <v>85.46</v>
      </c>
      <c r="S5673" s="2" t="s">
        <v>8093</v>
      </c>
      <c r="T5673" s="2">
        <v>1.37</v>
      </c>
      <c r="U5673" s="2">
        <v>66.7</v>
      </c>
      <c r="V5673" s="2">
        <v>65</v>
      </c>
      <c r="W5673" s="2" t="s">
        <v>7862</v>
      </c>
      <c r="X5673" s="2" t="s">
        <v>2897</v>
      </c>
      <c r="Y5673" s="2">
        <v>1960</v>
      </c>
      <c r="Z5673" s="19" t="str">
        <f>HYPERLINK("https://ssdweb.co/ssdweb/hd/Vision360.html?d=923690441&amp;zoomslide=1&amp;z=1923690441&amp;ISCONFIRM=0","VIDEO")</f>
        <v>VIDEO</v>
      </c>
      <c r="AA5673" s="19" t="str">
        <f>HYPERLINK("https://ssdweb.co/ssdweb/CERTH/571303058.pdf","CERTI")</f>
        <v>CERTI</v>
      </c>
    </row>
    <row r="5674" spans="1:27" ht="15" x14ac:dyDescent="0.25">
      <c r="A5674" s="2">
        <v>5669</v>
      </c>
      <c r="B5674" s="39">
        <v>923690482</v>
      </c>
      <c r="C5674" s="28" t="str">
        <f>HYPERLINK("https://pld.live/RapDetail.aspx?STONELIST=923690482","DNA")</f>
        <v>DNA</v>
      </c>
      <c r="D5674" s="18" t="s">
        <v>5847</v>
      </c>
      <c r="E5674" s="18" t="s">
        <v>5128</v>
      </c>
      <c r="F5674" s="2" t="s">
        <v>7987</v>
      </c>
      <c r="G5674" s="2" t="s">
        <v>7322</v>
      </c>
      <c r="H5674" s="14">
        <v>0.7</v>
      </c>
      <c r="I5674" s="2" t="s">
        <v>267</v>
      </c>
      <c r="J5674" s="2" t="s">
        <v>444</v>
      </c>
      <c r="K5674" s="2" t="s">
        <v>1452</v>
      </c>
      <c r="L5674" s="2" t="s">
        <v>5221</v>
      </c>
      <c r="M5674" s="2" t="s">
        <v>5221</v>
      </c>
      <c r="N5674" s="2" t="s">
        <v>2317</v>
      </c>
      <c r="O5674" s="14">
        <v>2800</v>
      </c>
      <c r="P5674" s="14">
        <v>95.64</v>
      </c>
      <c r="Q5674" s="14">
        <v>122.08</v>
      </c>
      <c r="R5674" s="14">
        <v>85.46</v>
      </c>
      <c r="S5674" s="2" t="s">
        <v>6866</v>
      </c>
      <c r="T5674" s="2">
        <v>1.57</v>
      </c>
      <c r="U5674" s="2">
        <v>63.6</v>
      </c>
      <c r="V5674" s="2">
        <v>69</v>
      </c>
      <c r="W5674" s="2" t="s">
        <v>7862</v>
      </c>
      <c r="X5674" s="2" t="s">
        <v>2897</v>
      </c>
      <c r="Y5674" s="2">
        <v>1960</v>
      </c>
      <c r="Z5674" s="19" t="str">
        <f>HYPERLINK("https://ssdweb.co/ssdweb/hd/Vision360.html?d=923690482&amp;zoomslide=1&amp;z=1923690482&amp;ISCONFIRM=0","VIDEO")</f>
        <v>VIDEO</v>
      </c>
      <c r="AA5674" s="19" t="str">
        <f>HYPERLINK("https://ssdweb.co/ssdweb/CERTH/564370993.pdf","CERTI")</f>
        <v>CERTI</v>
      </c>
    </row>
    <row r="5675" spans="1:27" ht="15" x14ac:dyDescent="0.25">
      <c r="A5675" s="2">
        <v>5670</v>
      </c>
      <c r="B5675" s="39">
        <v>924900228</v>
      </c>
      <c r="C5675" s="28" t="str">
        <f>HYPERLINK("https://pld.live/RapDetail.aspx?STONELIST=924900228","DNA")</f>
        <v>DNA</v>
      </c>
      <c r="D5675" s="18" t="s">
        <v>5847</v>
      </c>
      <c r="E5675" s="18" t="s">
        <v>5128</v>
      </c>
      <c r="F5675" s="2" t="s">
        <v>7987</v>
      </c>
      <c r="G5675" s="2" t="s">
        <v>7322</v>
      </c>
      <c r="H5675" s="14">
        <v>0.7</v>
      </c>
      <c r="I5675" s="2" t="s">
        <v>4761</v>
      </c>
      <c r="J5675" s="2" t="s">
        <v>6555</v>
      </c>
      <c r="K5675" s="2" t="s">
        <v>1452</v>
      </c>
      <c r="L5675" s="2" t="s">
        <v>5221</v>
      </c>
      <c r="M5675" s="2" t="s">
        <v>5221</v>
      </c>
      <c r="N5675" s="2" t="s">
        <v>2317</v>
      </c>
      <c r="O5675" s="14">
        <v>4000</v>
      </c>
      <c r="P5675" s="14">
        <v>96.15</v>
      </c>
      <c r="Q5675" s="14">
        <v>154</v>
      </c>
      <c r="R5675" s="14">
        <v>107.8</v>
      </c>
      <c r="S5675" s="2" t="s">
        <v>990</v>
      </c>
      <c r="T5675" s="2">
        <v>1.4</v>
      </c>
      <c r="U5675" s="2">
        <v>67.5</v>
      </c>
      <c r="V5675" s="2">
        <v>66</v>
      </c>
      <c r="W5675" s="2" t="s">
        <v>7862</v>
      </c>
      <c r="X5675" s="2" t="s">
        <v>2897</v>
      </c>
      <c r="Y5675" s="2">
        <v>2800</v>
      </c>
      <c r="Z5675" s="19" t="str">
        <f>HYPERLINK("https://ssdweb.co/ssdweb/hd/Vision360.html?d=924900228&amp;zoomslide=1&amp;z=1924900228&amp;ISCONFIRM=0","VIDEO")</f>
        <v>VIDEO</v>
      </c>
      <c r="AA5675" s="19" t="str">
        <f>HYPERLINK("https://ssdweb.co/ssdweb/CERTH/606329854.pdf","CERTI")</f>
        <v>CERTI</v>
      </c>
    </row>
    <row r="5676" spans="1:27" ht="15" x14ac:dyDescent="0.25">
      <c r="A5676" s="2">
        <v>5671</v>
      </c>
      <c r="B5676" s="39">
        <v>924520183</v>
      </c>
      <c r="C5676" s="28" t="str">
        <f>HYPERLINK("https://pld.live/RapDetail.aspx?STONELIST=924520183","DNA")</f>
        <v>DNA</v>
      </c>
      <c r="D5676" s="18" t="s">
        <v>5847</v>
      </c>
      <c r="E5676" s="18" t="s">
        <v>5128</v>
      </c>
      <c r="F5676" s="2" t="s">
        <v>7987</v>
      </c>
      <c r="G5676" s="2" t="s">
        <v>7322</v>
      </c>
      <c r="H5676" s="14">
        <v>0.7</v>
      </c>
      <c r="I5676" s="2" t="s">
        <v>4761</v>
      </c>
      <c r="J5676" s="2" t="s">
        <v>3942</v>
      </c>
      <c r="K5676" s="2" t="s">
        <v>1452</v>
      </c>
      <c r="L5676" s="2" t="s">
        <v>5221</v>
      </c>
      <c r="M5676" s="2" t="s">
        <v>5221</v>
      </c>
      <c r="N5676" s="2" t="s">
        <v>2317</v>
      </c>
      <c r="O5676" s="14">
        <v>3800</v>
      </c>
      <c r="P5676" s="14">
        <v>96.26</v>
      </c>
      <c r="Q5676" s="14">
        <v>142.12</v>
      </c>
      <c r="R5676" s="14">
        <v>99.48</v>
      </c>
      <c r="S5676" s="2" t="s">
        <v>5630</v>
      </c>
      <c r="T5676" s="2">
        <v>1.38</v>
      </c>
      <c r="U5676" s="2">
        <v>68.3</v>
      </c>
      <c r="V5676" s="2">
        <v>61</v>
      </c>
      <c r="W5676" s="2" t="s">
        <v>7862</v>
      </c>
      <c r="X5676" s="2" t="s">
        <v>2897</v>
      </c>
      <c r="Y5676" s="2">
        <v>2660</v>
      </c>
      <c r="Z5676" s="19" t="str">
        <f>HYPERLINK("https://ssdweb.co/ssdweb/hd/Vision360.html?d=924520183&amp;zoomslide=1&amp;z=1924520183&amp;ISCONFIRM=0","VIDEO")</f>
        <v>VIDEO</v>
      </c>
      <c r="AA5676" s="19" t="str">
        <f>HYPERLINK("https://ssdweb.co/ssdweb/CERTH/601323487.pdf","CERTI")</f>
        <v>CERTI</v>
      </c>
    </row>
    <row r="5677" spans="1:27" ht="15" x14ac:dyDescent="0.25">
      <c r="A5677" s="2">
        <v>5672</v>
      </c>
      <c r="B5677" s="39">
        <v>924520197</v>
      </c>
      <c r="C5677" s="28" t="str">
        <f>HYPERLINK("https://pld.live/RapDetail.aspx?STONELIST=924520197","DNA")</f>
        <v>DNA</v>
      </c>
      <c r="D5677" s="18" t="s">
        <v>5847</v>
      </c>
      <c r="E5677" s="18" t="s">
        <v>5128</v>
      </c>
      <c r="F5677" s="2" t="s">
        <v>7987</v>
      </c>
      <c r="G5677" s="2" t="s">
        <v>7322</v>
      </c>
      <c r="H5677" s="14">
        <v>0.7</v>
      </c>
      <c r="I5677" s="2" t="s">
        <v>4761</v>
      </c>
      <c r="J5677" s="2" t="s">
        <v>3942</v>
      </c>
      <c r="K5677" s="2" t="s">
        <v>1452</v>
      </c>
      <c r="L5677" s="2" t="s">
        <v>5221</v>
      </c>
      <c r="M5677" s="2" t="s">
        <v>5221</v>
      </c>
      <c r="N5677" s="2" t="s">
        <v>2317</v>
      </c>
      <c r="O5677" s="14">
        <v>3800</v>
      </c>
      <c r="P5677" s="14">
        <v>96.26</v>
      </c>
      <c r="Q5677" s="14">
        <v>142.12</v>
      </c>
      <c r="R5677" s="14">
        <v>99.48</v>
      </c>
      <c r="S5677" s="2" t="s">
        <v>2018</v>
      </c>
      <c r="T5677" s="2">
        <v>1.4</v>
      </c>
      <c r="U5677" s="2">
        <v>67.7</v>
      </c>
      <c r="V5677" s="2">
        <v>61</v>
      </c>
      <c r="W5677" s="2" t="s">
        <v>7862</v>
      </c>
      <c r="X5677" s="2" t="s">
        <v>2897</v>
      </c>
      <c r="Y5677" s="2">
        <v>2660</v>
      </c>
      <c r="Z5677" s="19" t="str">
        <f>HYPERLINK("https://ssdweb.co/ssdweb/hd/Vision360.html?d=924520197&amp;zoomslide=1&amp;z=1924520197&amp;ISCONFIRM=0","VIDEO")</f>
        <v>VIDEO</v>
      </c>
      <c r="AA5677" s="19" t="str">
        <f>HYPERLINK("https://ssdweb.co/ssdweb/CERTH/601323490.pdf","CERTI")</f>
        <v>CERTI</v>
      </c>
    </row>
    <row r="5678" spans="1:27" ht="15" x14ac:dyDescent="0.25">
      <c r="A5678" s="2">
        <v>5673</v>
      </c>
      <c r="B5678" s="39">
        <v>924420439</v>
      </c>
      <c r="C5678" s="28" t="str">
        <f>HYPERLINK("https://pld.live/RapDetail.aspx?STONELIST=924420439","DNA")</f>
        <v>DNA</v>
      </c>
      <c r="D5678" s="18" t="s">
        <v>5847</v>
      </c>
      <c r="E5678" s="18" t="s">
        <v>5128</v>
      </c>
      <c r="F5678" s="2" t="s">
        <v>7987</v>
      </c>
      <c r="G5678" s="2" t="s">
        <v>7322</v>
      </c>
      <c r="H5678" s="14">
        <v>0.7</v>
      </c>
      <c r="I5678" s="2" t="s">
        <v>4761</v>
      </c>
      <c r="J5678" s="2" t="s">
        <v>3942</v>
      </c>
      <c r="K5678" s="2" t="s">
        <v>1452</v>
      </c>
      <c r="L5678" s="2" t="s">
        <v>5221</v>
      </c>
      <c r="M5678" s="2" t="s">
        <v>5221</v>
      </c>
      <c r="N5678" s="2" t="s">
        <v>2317</v>
      </c>
      <c r="O5678" s="14">
        <v>3800</v>
      </c>
      <c r="P5678" s="14">
        <v>96.26</v>
      </c>
      <c r="Q5678" s="14">
        <v>142.12</v>
      </c>
      <c r="R5678" s="14">
        <v>99.48</v>
      </c>
      <c r="S5678" s="2" t="s">
        <v>2516</v>
      </c>
      <c r="T5678" s="2">
        <v>1.35</v>
      </c>
      <c r="U5678" s="2">
        <v>67</v>
      </c>
      <c r="V5678" s="2">
        <v>57</v>
      </c>
      <c r="W5678" s="2" t="s">
        <v>7862</v>
      </c>
      <c r="X5678" s="2" t="s">
        <v>2897</v>
      </c>
      <c r="Y5678" s="2">
        <v>2660</v>
      </c>
      <c r="Z5678" s="19" t="str">
        <f>HYPERLINK("https://ssdweb.co/ssdweb/hd/Vision360.html?d=924420439&amp;zoomslide=1&amp;z=1924420439&amp;ISCONFIRM=0","VIDEO")</f>
        <v>VIDEO</v>
      </c>
      <c r="AA5678" s="19" t="str">
        <f>HYPERLINK("https://ssdweb.co/ssdweb/CERTH/600385328.pdf","CERTI")</f>
        <v>CERTI</v>
      </c>
    </row>
    <row r="5679" spans="1:27" ht="15" x14ac:dyDescent="0.25">
      <c r="A5679" s="2">
        <v>5674</v>
      </c>
      <c r="B5679" s="39">
        <v>924960421</v>
      </c>
      <c r="C5679" s="28" t="str">
        <f>HYPERLINK("https://pld.live/RapDetail.aspx?STONELIST=924960421","DNA")</f>
        <v>DNA</v>
      </c>
      <c r="D5679" s="18" t="s">
        <v>5847</v>
      </c>
      <c r="E5679" s="18" t="s">
        <v>5128</v>
      </c>
      <c r="F5679" s="2" t="s">
        <v>7987</v>
      </c>
      <c r="G5679" s="2" t="s">
        <v>7322</v>
      </c>
      <c r="H5679" s="14">
        <v>0.7</v>
      </c>
      <c r="I5679" s="2" t="s">
        <v>4761</v>
      </c>
      <c r="J5679" s="2" t="s">
        <v>3942</v>
      </c>
      <c r="K5679" s="2" t="s">
        <v>1452</v>
      </c>
      <c r="L5679" s="2" t="s">
        <v>5221</v>
      </c>
      <c r="M5679" s="2" t="s">
        <v>5221</v>
      </c>
      <c r="N5679" s="2" t="s">
        <v>2317</v>
      </c>
      <c r="O5679" s="14">
        <v>3800</v>
      </c>
      <c r="P5679" s="14">
        <v>96.26</v>
      </c>
      <c r="Q5679" s="14">
        <v>142.12</v>
      </c>
      <c r="R5679" s="14">
        <v>99.48</v>
      </c>
      <c r="S5679" s="2" t="s">
        <v>4126</v>
      </c>
      <c r="T5679" s="2">
        <v>1.36</v>
      </c>
      <c r="U5679" s="2">
        <v>68.400000000000006</v>
      </c>
      <c r="V5679" s="2">
        <v>64</v>
      </c>
      <c r="W5679" s="2" t="s">
        <v>7862</v>
      </c>
      <c r="X5679" s="2" t="s">
        <v>2897</v>
      </c>
      <c r="Y5679" s="2">
        <v>2660</v>
      </c>
      <c r="Z5679" s="19" t="str">
        <f>HYPERLINK("https://ssdweb.co/ssdweb/hd/Vision360.html?d=924960421&amp;zoomslide=1&amp;z=1924960421&amp;ISCONFIRM=0","VIDEO")</f>
        <v>VIDEO</v>
      </c>
      <c r="AA5679" s="19" t="str">
        <f>HYPERLINK("https://ssdweb.co/ssdweb/CERTH/607345378.pdf","CERTI")</f>
        <v>CERTI</v>
      </c>
    </row>
    <row r="5680" spans="1:27" ht="15" x14ac:dyDescent="0.25">
      <c r="A5680" s="2">
        <v>5675</v>
      </c>
      <c r="B5680" s="39">
        <v>926280616</v>
      </c>
      <c r="C5680" s="28" t="str">
        <f>HYPERLINK("https://pld.live/RapDetail.aspx?STONELIST=926280616","DNA")</f>
        <v>DNA</v>
      </c>
      <c r="D5680" s="18" t="s">
        <v>5847</v>
      </c>
      <c r="E5680" s="18" t="s">
        <v>5128</v>
      </c>
      <c r="F5680" s="2" t="s">
        <v>7987</v>
      </c>
      <c r="G5680" s="2" t="s">
        <v>7322</v>
      </c>
      <c r="H5680" s="14">
        <v>0.7</v>
      </c>
      <c r="I5680" s="2" t="s">
        <v>4761</v>
      </c>
      <c r="J5680" s="2" t="s">
        <v>3942</v>
      </c>
      <c r="K5680" s="2" t="s">
        <v>1452</v>
      </c>
      <c r="L5680" s="2" t="s">
        <v>5221</v>
      </c>
      <c r="M5680" s="2" t="s">
        <v>5221</v>
      </c>
      <c r="N5680" s="2" t="s">
        <v>2317</v>
      </c>
      <c r="O5680" s="14">
        <v>3800</v>
      </c>
      <c r="P5680" s="14">
        <v>96.16</v>
      </c>
      <c r="Q5680" s="14">
        <v>145.91999999999999</v>
      </c>
      <c r="R5680" s="14">
        <v>102.14</v>
      </c>
      <c r="S5680" s="2" t="s">
        <v>452</v>
      </c>
      <c r="T5680" s="2">
        <v>1.37</v>
      </c>
      <c r="U5680" s="2">
        <v>67.900000000000006</v>
      </c>
      <c r="V5680" s="2">
        <v>63</v>
      </c>
      <c r="W5680" s="2" t="s">
        <v>7862</v>
      </c>
      <c r="X5680" s="2" t="s">
        <v>2897</v>
      </c>
      <c r="Y5680" s="2">
        <v>2660</v>
      </c>
      <c r="Z5680" s="19" t="str">
        <f>HYPERLINK("https://ssdweb.co/ssdweb/hd/Vision360.html?d=926280616&amp;zoomslide=1&amp;z=1926280616&amp;ISCONFIRM=0","VIDEO")</f>
        <v>VIDEO</v>
      </c>
      <c r="AA5680" s="19" t="str">
        <f>HYPERLINK("https://ssdweb.co/ssdweb/CERTH/639438791.pdf","CERTI")</f>
        <v>CERTI</v>
      </c>
    </row>
    <row r="5681" spans="1:27" ht="15" x14ac:dyDescent="0.25">
      <c r="A5681" s="2">
        <v>5676</v>
      </c>
      <c r="B5681" s="39">
        <v>924920411</v>
      </c>
      <c r="C5681" s="28" t="str">
        <f>HYPERLINK("https://pld.live/RapDetail.aspx?STONELIST=924920411","DNA")</f>
        <v>DNA</v>
      </c>
      <c r="D5681" s="18" t="s">
        <v>5847</v>
      </c>
      <c r="E5681" s="18" t="s">
        <v>2186</v>
      </c>
      <c r="F5681" s="2" t="s">
        <v>7987</v>
      </c>
      <c r="G5681" s="2" t="s">
        <v>7322</v>
      </c>
      <c r="H5681" s="14">
        <v>0.7</v>
      </c>
      <c r="I5681" s="2" t="s">
        <v>4699</v>
      </c>
      <c r="J5681" s="2" t="s">
        <v>5144</v>
      </c>
      <c r="K5681" s="2" t="s">
        <v>1452</v>
      </c>
      <c r="L5681" s="2" t="s">
        <v>5221</v>
      </c>
      <c r="M5681" s="2" t="s">
        <v>5221</v>
      </c>
      <c r="N5681" s="2" t="s">
        <v>2317</v>
      </c>
      <c r="O5681" s="14">
        <v>3000</v>
      </c>
      <c r="P5681" s="14">
        <v>95.93</v>
      </c>
      <c r="Q5681" s="14">
        <v>122.1</v>
      </c>
      <c r="R5681" s="14">
        <v>85.47</v>
      </c>
      <c r="S5681" s="2" t="s">
        <v>6783</v>
      </c>
      <c r="T5681" s="2">
        <v>1.42</v>
      </c>
      <c r="U5681" s="2">
        <v>63.5</v>
      </c>
      <c r="V5681" s="2">
        <v>66</v>
      </c>
      <c r="W5681" s="2" t="s">
        <v>7862</v>
      </c>
      <c r="X5681" s="2" t="s">
        <v>2897</v>
      </c>
      <c r="Y5681" s="2">
        <v>2100</v>
      </c>
      <c r="Z5681" s="19" t="str">
        <f>HYPERLINK("https://ssdweb.co/ssdweb/hd/Vision360.html?d=924920411&amp;zoomslide=1&amp;z=1924920411&amp;ISCONFIRM=0","VIDEO")</f>
        <v>VIDEO</v>
      </c>
      <c r="AA5681" s="19" t="str">
        <f>HYPERLINK("https://ssdweb.co/ssdweb/CERTH/607378442.pdf","CERTI")</f>
        <v>CERTI</v>
      </c>
    </row>
    <row r="5682" spans="1:27" ht="15" x14ac:dyDescent="0.25">
      <c r="A5682" s="2">
        <v>5677</v>
      </c>
      <c r="B5682" s="39">
        <v>924410898</v>
      </c>
      <c r="C5682" s="28" t="str">
        <f>HYPERLINK("https://pld.live/RapDetail.aspx?STONELIST=924410898","DNA")</f>
        <v>DNA</v>
      </c>
      <c r="D5682" s="18" t="s">
        <v>5847</v>
      </c>
      <c r="E5682" s="18" t="s">
        <v>2186</v>
      </c>
      <c r="F5682" s="2" t="s">
        <v>7987</v>
      </c>
      <c r="G5682" s="2" t="s">
        <v>7322</v>
      </c>
      <c r="H5682" s="14">
        <v>0.7</v>
      </c>
      <c r="I5682" s="2" t="s">
        <v>4699</v>
      </c>
      <c r="J5682" s="2" t="s">
        <v>5144</v>
      </c>
      <c r="K5682" s="2" t="s">
        <v>1452</v>
      </c>
      <c r="L5682" s="2" t="s">
        <v>5221</v>
      </c>
      <c r="M5682" s="2" t="s">
        <v>5221</v>
      </c>
      <c r="N5682" s="2" t="s">
        <v>2317</v>
      </c>
      <c r="O5682" s="14">
        <v>3000</v>
      </c>
      <c r="P5682" s="14">
        <v>95.93</v>
      </c>
      <c r="Q5682" s="14">
        <v>122.1</v>
      </c>
      <c r="R5682" s="14">
        <v>85.47</v>
      </c>
      <c r="S5682" s="2" t="s">
        <v>3319</v>
      </c>
      <c r="T5682" s="2">
        <v>1.48</v>
      </c>
      <c r="U5682" s="2">
        <v>65.3</v>
      </c>
      <c r="V5682" s="2">
        <v>64</v>
      </c>
      <c r="W5682" s="2" t="s">
        <v>8016</v>
      </c>
      <c r="X5682" s="2" t="s">
        <v>2897</v>
      </c>
      <c r="Y5682" s="2">
        <v>2100</v>
      </c>
      <c r="Z5682" s="19" t="str">
        <f>HYPERLINK("https://ssdweb.co/ssdweb/hd/Vision360.html?d=924410898&amp;zoomslide=1&amp;z=1924410898&amp;ISCONFIRM=0","VIDEO")</f>
        <v>VIDEO</v>
      </c>
      <c r="AA5682" s="19" t="str">
        <f>HYPERLINK("https://ssdweb.co/ssdweb/CERTH/600304501.pdf","CERTI")</f>
        <v>CERTI</v>
      </c>
    </row>
    <row r="5683" spans="1:27" ht="15" x14ac:dyDescent="0.25">
      <c r="A5683" s="2">
        <v>5678</v>
      </c>
      <c r="B5683" s="39">
        <v>924410860</v>
      </c>
      <c r="C5683" s="28" t="str">
        <f>HYPERLINK("https://pld.live/RapDetail.aspx?STONELIST=924410860","DNA")</f>
        <v>DNA</v>
      </c>
      <c r="D5683" s="18" t="s">
        <v>5847</v>
      </c>
      <c r="E5683" s="18" t="s">
        <v>2186</v>
      </c>
      <c r="F5683" s="2" t="s">
        <v>7987</v>
      </c>
      <c r="G5683" s="2" t="s">
        <v>7322</v>
      </c>
      <c r="H5683" s="14">
        <v>0.7</v>
      </c>
      <c r="I5683" s="2" t="s">
        <v>4699</v>
      </c>
      <c r="J5683" s="2" t="s">
        <v>5144</v>
      </c>
      <c r="K5683" s="2" t="s">
        <v>1452</v>
      </c>
      <c r="L5683" s="2" t="s">
        <v>5221</v>
      </c>
      <c r="M5683" s="2" t="s">
        <v>5221</v>
      </c>
      <c r="N5683" s="2" t="s">
        <v>2317</v>
      </c>
      <c r="O5683" s="14">
        <v>3000</v>
      </c>
      <c r="P5683" s="14">
        <v>95.93</v>
      </c>
      <c r="Q5683" s="14">
        <v>122.1</v>
      </c>
      <c r="R5683" s="14">
        <v>85.47</v>
      </c>
      <c r="S5683" s="2" t="s">
        <v>7178</v>
      </c>
      <c r="T5683" s="2">
        <v>1.39</v>
      </c>
      <c r="U5683" s="2">
        <v>68.599999999999994</v>
      </c>
      <c r="V5683" s="2">
        <v>58</v>
      </c>
      <c r="W5683" s="2" t="s">
        <v>7862</v>
      </c>
      <c r="X5683" s="2" t="s">
        <v>2897</v>
      </c>
      <c r="Y5683" s="2">
        <v>2100</v>
      </c>
      <c r="Z5683" s="19" t="str">
        <f>HYPERLINK("https://ssdweb.co/ssdweb/hd/Vision360.html?d=924410860&amp;zoomslide=1&amp;z=1924410860&amp;ISCONFIRM=0","VIDEO")</f>
        <v>VIDEO</v>
      </c>
      <c r="AA5683" s="19" t="str">
        <f>HYPERLINK("https://ssdweb.co/ssdweb/CERTH/598375505.pdf","CERTI")</f>
        <v>CERTI</v>
      </c>
    </row>
    <row r="5684" spans="1:27" ht="15" x14ac:dyDescent="0.25">
      <c r="A5684" s="2">
        <v>5679</v>
      </c>
      <c r="B5684" s="39">
        <v>924410887</v>
      </c>
      <c r="C5684" s="28" t="str">
        <f>HYPERLINK("https://pld.live/RapDetail.aspx?STONELIST=924410887","DNA")</f>
        <v>DNA</v>
      </c>
      <c r="D5684" s="18" t="s">
        <v>5847</v>
      </c>
      <c r="E5684" s="18" t="s">
        <v>2186</v>
      </c>
      <c r="F5684" s="2" t="s">
        <v>7987</v>
      </c>
      <c r="G5684" s="2" t="s">
        <v>7322</v>
      </c>
      <c r="H5684" s="14">
        <v>0.7</v>
      </c>
      <c r="I5684" s="2" t="s">
        <v>6587</v>
      </c>
      <c r="J5684" s="2" t="s">
        <v>3942</v>
      </c>
      <c r="K5684" s="2" t="s">
        <v>1452</v>
      </c>
      <c r="L5684" s="2" t="s">
        <v>5221</v>
      </c>
      <c r="M5684" s="2" t="s">
        <v>5221</v>
      </c>
      <c r="N5684" s="2" t="s">
        <v>2317</v>
      </c>
      <c r="O5684" s="14">
        <v>3300</v>
      </c>
      <c r="P5684" s="14">
        <v>96</v>
      </c>
      <c r="Q5684" s="14">
        <v>132</v>
      </c>
      <c r="R5684" s="14">
        <v>92.4</v>
      </c>
      <c r="S5684" s="2" t="s">
        <v>7225</v>
      </c>
      <c r="T5684" s="2">
        <v>1.58</v>
      </c>
      <c r="U5684" s="2">
        <v>66.7</v>
      </c>
      <c r="V5684" s="2">
        <v>69</v>
      </c>
      <c r="W5684" s="2" t="s">
        <v>7862</v>
      </c>
      <c r="X5684" s="2" t="s">
        <v>2897</v>
      </c>
      <c r="Y5684" s="2">
        <v>2310</v>
      </c>
      <c r="Z5684" s="19" t="str">
        <f>HYPERLINK("https://ssdweb.co/ssdweb/hd/Vision360.html?d=924410887&amp;zoomslide=1&amp;z=1924410887&amp;ISCONFIRM=0","VIDEO")</f>
        <v>VIDEO</v>
      </c>
      <c r="AA5684" s="19" t="str">
        <f>HYPERLINK("https://ssdweb.co/ssdweb/CERTH/600342847.pdf","CERTI")</f>
        <v>CERTI</v>
      </c>
    </row>
    <row r="5685" spans="1:27" ht="15" x14ac:dyDescent="0.25">
      <c r="A5685" s="2">
        <v>5680</v>
      </c>
      <c r="B5685" s="39">
        <v>924920454</v>
      </c>
      <c r="C5685" s="28" t="str">
        <f>HYPERLINK("https://pld.live/RapDetail.aspx?STONELIST=924920454","DNA")</f>
        <v>DNA</v>
      </c>
      <c r="D5685" s="18" t="s">
        <v>5847</v>
      </c>
      <c r="E5685" s="18" t="s">
        <v>2186</v>
      </c>
      <c r="F5685" s="2" t="s">
        <v>7987</v>
      </c>
      <c r="G5685" s="2" t="s">
        <v>7322</v>
      </c>
      <c r="H5685" s="14">
        <v>0.7</v>
      </c>
      <c r="I5685" s="2" t="s">
        <v>6587</v>
      </c>
      <c r="J5685" s="2" t="s">
        <v>3942</v>
      </c>
      <c r="K5685" s="2" t="s">
        <v>1452</v>
      </c>
      <c r="L5685" s="2" t="s">
        <v>5221</v>
      </c>
      <c r="M5685" s="2" t="s">
        <v>5221</v>
      </c>
      <c r="N5685" s="2" t="s">
        <v>2317</v>
      </c>
      <c r="O5685" s="14">
        <v>3300</v>
      </c>
      <c r="P5685" s="14">
        <v>96</v>
      </c>
      <c r="Q5685" s="14">
        <v>132</v>
      </c>
      <c r="R5685" s="14">
        <v>92.4</v>
      </c>
      <c r="S5685" s="2" t="s">
        <v>6730</v>
      </c>
      <c r="T5685" s="2">
        <v>1.58</v>
      </c>
      <c r="U5685" s="2">
        <v>68.400000000000006</v>
      </c>
      <c r="V5685" s="2">
        <v>66</v>
      </c>
      <c r="W5685" s="2" t="s">
        <v>7862</v>
      </c>
      <c r="X5685" s="2" t="s">
        <v>2897</v>
      </c>
      <c r="Y5685" s="2">
        <v>2310</v>
      </c>
      <c r="Z5685" s="19" t="str">
        <f>HYPERLINK("https://ssdweb.co/ssdweb/hd/Vision360.html?d=924920454&amp;zoomslide=1&amp;z=1924920454&amp;ISCONFIRM=0","VIDEO")</f>
        <v>VIDEO</v>
      </c>
      <c r="AA5685" s="19" t="str">
        <f>HYPERLINK("https://ssdweb.co/ssdweb/CERTH/607345427.pdf","CERTI")</f>
        <v>CERTI</v>
      </c>
    </row>
    <row r="5686" spans="1:27" ht="15" x14ac:dyDescent="0.25">
      <c r="A5686" s="2">
        <v>5681</v>
      </c>
      <c r="B5686" s="39">
        <v>831020345</v>
      </c>
      <c r="C5686" s="28" t="str">
        <f>HYPERLINK("https://pld.live/RapDetail.aspx?STONELIST=831020345","DNA")</f>
        <v>DNA</v>
      </c>
      <c r="D5686" s="18" t="s">
        <v>5847</v>
      </c>
      <c r="E5686" s="18" t="s">
        <v>2186</v>
      </c>
      <c r="F5686" s="2" t="s">
        <v>7987</v>
      </c>
      <c r="G5686" s="2" t="s">
        <v>7322</v>
      </c>
      <c r="H5686" s="14">
        <v>0.7</v>
      </c>
      <c r="I5686" s="2" t="s">
        <v>6587</v>
      </c>
      <c r="J5686" s="2" t="s">
        <v>3942</v>
      </c>
      <c r="K5686" s="2" t="s">
        <v>1452</v>
      </c>
      <c r="L5686" s="2" t="s">
        <v>5221</v>
      </c>
      <c r="M5686" s="2" t="s">
        <v>5221</v>
      </c>
      <c r="N5686" s="2" t="s">
        <v>2317</v>
      </c>
      <c r="O5686" s="14">
        <v>3300</v>
      </c>
      <c r="P5686" s="14">
        <v>96</v>
      </c>
      <c r="Q5686" s="14">
        <v>132</v>
      </c>
      <c r="R5686" s="14">
        <v>92.4</v>
      </c>
      <c r="S5686" s="2" t="s">
        <v>6886</v>
      </c>
      <c r="T5686" s="2">
        <v>1.4</v>
      </c>
      <c r="U5686" s="2">
        <v>67.2</v>
      </c>
      <c r="V5686" s="2">
        <v>59</v>
      </c>
      <c r="W5686" s="2" t="s">
        <v>7862</v>
      </c>
      <c r="X5686" s="2" t="s">
        <v>2897</v>
      </c>
      <c r="Y5686" s="2">
        <v>2310</v>
      </c>
      <c r="Z5686" s="19" t="str">
        <f>HYPERLINK("https://ssdweb.co/ssdweb/hd/Vision360.html?d=831020345&amp;zoomslide=1&amp;z=1831020345&amp;ISCONFIRM=0","VIDEO")</f>
        <v>VIDEO</v>
      </c>
      <c r="AA5686" s="19" t="str">
        <f>HYPERLINK("https://ssdweb.co/ssdweb/CERTH/595368168.pdf","CERTI")</f>
        <v>CERTI</v>
      </c>
    </row>
    <row r="5687" spans="1:27" ht="15" x14ac:dyDescent="0.25">
      <c r="A5687" s="2">
        <v>5682</v>
      </c>
      <c r="B5687" s="39">
        <v>926280622</v>
      </c>
      <c r="C5687" s="28" t="str">
        <f>HYPERLINK("https://pld.live/RapDetail.aspx?STONELIST=926280622","DNA")</f>
        <v>DNA</v>
      </c>
      <c r="D5687" s="18" t="s">
        <v>5847</v>
      </c>
      <c r="E5687" s="18" t="s">
        <v>5128</v>
      </c>
      <c r="F5687" s="2" t="s">
        <v>7987</v>
      </c>
      <c r="G5687" s="2" t="s">
        <v>7322</v>
      </c>
      <c r="H5687" s="14">
        <v>0.7</v>
      </c>
      <c r="I5687" s="2" t="s">
        <v>6587</v>
      </c>
      <c r="J5687" s="2" t="s">
        <v>3942</v>
      </c>
      <c r="K5687" s="2" t="s">
        <v>1452</v>
      </c>
      <c r="L5687" s="2" t="s">
        <v>5221</v>
      </c>
      <c r="M5687" s="2" t="s">
        <v>5221</v>
      </c>
      <c r="N5687" s="2" t="s">
        <v>2317</v>
      </c>
      <c r="O5687" s="14">
        <v>3300</v>
      </c>
      <c r="P5687" s="14">
        <v>95.88</v>
      </c>
      <c r="Q5687" s="14">
        <v>135.96</v>
      </c>
      <c r="R5687" s="14">
        <v>95.17</v>
      </c>
      <c r="S5687" s="2" t="s">
        <v>6940</v>
      </c>
      <c r="T5687" s="2">
        <v>1.4</v>
      </c>
      <c r="U5687" s="2">
        <v>64.8</v>
      </c>
      <c r="V5687" s="2">
        <v>65</v>
      </c>
      <c r="W5687" s="2" t="s">
        <v>7862</v>
      </c>
      <c r="X5687" s="2" t="s">
        <v>2897</v>
      </c>
      <c r="Y5687" s="2">
        <v>2310</v>
      </c>
      <c r="Z5687" s="19" t="str">
        <f>HYPERLINK("https://ssdweb.co/ssdweb/hd/Vision360.html?d=926280622&amp;zoomslide=1&amp;z=1926280622&amp;ISCONFIRM=0","VIDEO")</f>
        <v>VIDEO</v>
      </c>
      <c r="AA5687" s="19" t="str">
        <f>HYPERLINK("https://ssdweb.co/ssdweb/CERTH/639438789.pdf","CERTI")</f>
        <v>CERTI</v>
      </c>
    </row>
    <row r="5688" spans="1:27" ht="15" x14ac:dyDescent="0.25">
      <c r="A5688" s="2">
        <v>5683</v>
      </c>
      <c r="B5688" s="39">
        <v>924510236</v>
      </c>
      <c r="C5688" s="28" t="str">
        <f>HYPERLINK("https://pld.live/RapDetail.aspx?STONELIST=924510236","DNA")</f>
        <v>DNA</v>
      </c>
      <c r="D5688" s="18" t="s">
        <v>5847</v>
      </c>
      <c r="E5688" s="18" t="s">
        <v>2186</v>
      </c>
      <c r="F5688" s="2" t="s">
        <v>7987</v>
      </c>
      <c r="G5688" s="2" t="s">
        <v>7322</v>
      </c>
      <c r="H5688" s="14">
        <v>0.7</v>
      </c>
      <c r="I5688" s="2" t="s">
        <v>6587</v>
      </c>
      <c r="J5688" s="2" t="s">
        <v>13</v>
      </c>
      <c r="K5688" s="2" t="s">
        <v>1452</v>
      </c>
      <c r="L5688" s="2" t="s">
        <v>5221</v>
      </c>
      <c r="M5688" s="2" t="s">
        <v>5221</v>
      </c>
      <c r="N5688" s="2" t="s">
        <v>2317</v>
      </c>
      <c r="O5688" s="14">
        <v>3100</v>
      </c>
      <c r="P5688" s="14">
        <v>95.94</v>
      </c>
      <c r="Q5688" s="14">
        <v>125.86</v>
      </c>
      <c r="R5688" s="14">
        <v>88.1</v>
      </c>
      <c r="S5688" s="2" t="s">
        <v>455</v>
      </c>
      <c r="T5688" s="2">
        <v>1.49</v>
      </c>
      <c r="U5688" s="2">
        <v>68.400000000000006</v>
      </c>
      <c r="V5688" s="2">
        <v>66</v>
      </c>
      <c r="W5688" s="2" t="s">
        <v>7862</v>
      </c>
      <c r="X5688" s="2" t="s">
        <v>2897</v>
      </c>
      <c r="Y5688" s="2">
        <v>2170</v>
      </c>
      <c r="Z5688" s="19" t="str">
        <f>HYPERLINK("https://ssdweb.co/ssdweb/hd/Vision360.html?d=924510236&amp;zoomslide=1&amp;z=1924510236&amp;ISCONFIRM=0","VIDEO")</f>
        <v>VIDEO</v>
      </c>
      <c r="AA5688" s="19" t="str">
        <f>HYPERLINK("https://ssdweb.co/ssdweb/CERTH/600304505.pdf","CERTI")</f>
        <v>CERTI</v>
      </c>
    </row>
    <row r="5689" spans="1:27" ht="15" x14ac:dyDescent="0.25">
      <c r="A5689" s="2">
        <v>5684</v>
      </c>
      <c r="B5689" s="39">
        <v>924780468</v>
      </c>
      <c r="C5689" s="28" t="str">
        <f>HYPERLINK("https://pld.live/RapDetail.aspx?STONELIST=924780468","DNA")</f>
        <v>DNA</v>
      </c>
      <c r="D5689" s="18" t="s">
        <v>5847</v>
      </c>
      <c r="E5689" s="18" t="s">
        <v>2186</v>
      </c>
      <c r="F5689" s="2" t="s">
        <v>7987</v>
      </c>
      <c r="G5689" s="2" t="s">
        <v>7322</v>
      </c>
      <c r="H5689" s="14">
        <v>0.7</v>
      </c>
      <c r="I5689" s="2" t="s">
        <v>6587</v>
      </c>
      <c r="J5689" s="2" t="s">
        <v>13</v>
      </c>
      <c r="K5689" s="2" t="s">
        <v>1452</v>
      </c>
      <c r="L5689" s="2" t="s">
        <v>5221</v>
      </c>
      <c r="M5689" s="2" t="s">
        <v>5221</v>
      </c>
      <c r="N5689" s="2" t="s">
        <v>2317</v>
      </c>
      <c r="O5689" s="14">
        <v>3100</v>
      </c>
      <c r="P5689" s="14">
        <v>95.94</v>
      </c>
      <c r="Q5689" s="14">
        <v>125.86</v>
      </c>
      <c r="R5689" s="14">
        <v>88.1</v>
      </c>
      <c r="S5689" s="2" t="s">
        <v>304</v>
      </c>
      <c r="T5689" s="2">
        <v>1.57</v>
      </c>
      <c r="U5689" s="2">
        <v>64.5</v>
      </c>
      <c r="V5689" s="2">
        <v>65</v>
      </c>
      <c r="W5689" s="2" t="s">
        <v>7862</v>
      </c>
      <c r="X5689" s="2" t="s">
        <v>2897</v>
      </c>
      <c r="Y5689" s="2">
        <v>2170</v>
      </c>
      <c r="Z5689" s="19" t="str">
        <f>HYPERLINK("https://ssdweb.co/ssdweb/hd/Vision360.html?d=924780468&amp;zoomslide=1&amp;z=1924780468&amp;ISCONFIRM=0","VIDEO")</f>
        <v>VIDEO</v>
      </c>
      <c r="AA5689" s="19" t="str">
        <f>HYPERLINK("https://ssdweb.co/ssdweb/CERTH/605330479.pdf","CERTI")</f>
        <v>CERTI</v>
      </c>
    </row>
    <row r="5690" spans="1:27" ht="15" x14ac:dyDescent="0.25">
      <c r="A5690" s="2">
        <v>5685</v>
      </c>
      <c r="B5690" s="39">
        <v>924410876</v>
      </c>
      <c r="C5690" s="28" t="str">
        <f>HYPERLINK("https://pld.live/RapDetail.aspx?STONELIST=924410876","DNA")</f>
        <v>DNA</v>
      </c>
      <c r="D5690" s="18" t="s">
        <v>5847</v>
      </c>
      <c r="E5690" s="18" t="s">
        <v>2186</v>
      </c>
      <c r="F5690" s="2" t="s">
        <v>7987</v>
      </c>
      <c r="G5690" s="2" t="s">
        <v>7322</v>
      </c>
      <c r="H5690" s="14">
        <v>0.7</v>
      </c>
      <c r="I5690" s="2" t="s">
        <v>6587</v>
      </c>
      <c r="J5690" s="2" t="s">
        <v>13</v>
      </c>
      <c r="K5690" s="2" t="s">
        <v>1452</v>
      </c>
      <c r="L5690" s="2" t="s">
        <v>5221</v>
      </c>
      <c r="M5690" s="2" t="s">
        <v>5221</v>
      </c>
      <c r="N5690" s="2" t="s">
        <v>2317</v>
      </c>
      <c r="O5690" s="14">
        <v>3100</v>
      </c>
      <c r="P5690" s="14">
        <v>95.94</v>
      </c>
      <c r="Q5690" s="14">
        <v>125.86</v>
      </c>
      <c r="R5690" s="14">
        <v>88.1</v>
      </c>
      <c r="S5690" s="2" t="s">
        <v>934</v>
      </c>
      <c r="T5690" s="2">
        <v>1.46</v>
      </c>
      <c r="U5690" s="2">
        <v>64.7</v>
      </c>
      <c r="V5690" s="2">
        <v>63</v>
      </c>
      <c r="W5690" s="2" t="s">
        <v>7862</v>
      </c>
      <c r="X5690" s="2" t="s">
        <v>2897</v>
      </c>
      <c r="Y5690" s="2">
        <v>2170</v>
      </c>
      <c r="Z5690" s="19" t="str">
        <f>HYPERLINK("https://ssdweb.co/ssdweb/hd/Vision360.html?d=924410876&amp;zoomslide=1&amp;z=1924410876&amp;ISCONFIRM=0","VIDEO")</f>
        <v>VIDEO</v>
      </c>
      <c r="AA5690" s="19" t="str">
        <f>HYPERLINK("https://ssdweb.co/ssdweb/CERTH/600346053.pdf","CERTI")</f>
        <v>CERTI</v>
      </c>
    </row>
    <row r="5691" spans="1:27" ht="15" x14ac:dyDescent="0.25">
      <c r="A5691" s="2">
        <v>5686</v>
      </c>
      <c r="B5691" s="39">
        <v>924290360</v>
      </c>
      <c r="C5691" s="28" t="str">
        <f>HYPERLINK("https://pld.live/RapDetail.aspx?STONELIST=924290360","DNA")</f>
        <v>DNA</v>
      </c>
      <c r="D5691" s="18" t="s">
        <v>5847</v>
      </c>
      <c r="E5691" s="18" t="s">
        <v>2186</v>
      </c>
      <c r="F5691" s="2" t="s">
        <v>7987</v>
      </c>
      <c r="G5691" s="2" t="s">
        <v>7322</v>
      </c>
      <c r="H5691" s="14">
        <v>0.7</v>
      </c>
      <c r="I5691" s="2" t="s">
        <v>6587</v>
      </c>
      <c r="J5691" s="2" t="s">
        <v>13</v>
      </c>
      <c r="K5691" s="2" t="s">
        <v>1452</v>
      </c>
      <c r="L5691" s="2" t="s">
        <v>5221</v>
      </c>
      <c r="M5691" s="2" t="s">
        <v>5221</v>
      </c>
      <c r="N5691" s="2" t="s">
        <v>2317</v>
      </c>
      <c r="O5691" s="14">
        <v>3100</v>
      </c>
      <c r="P5691" s="14">
        <v>95.94</v>
      </c>
      <c r="Q5691" s="14">
        <v>125.86</v>
      </c>
      <c r="R5691" s="14">
        <v>88.1</v>
      </c>
      <c r="S5691" s="2" t="s">
        <v>7309</v>
      </c>
      <c r="T5691" s="2">
        <v>1.48</v>
      </c>
      <c r="U5691" s="2">
        <v>68</v>
      </c>
      <c r="V5691" s="2">
        <v>63</v>
      </c>
      <c r="W5691" s="2" t="s">
        <v>7862</v>
      </c>
      <c r="X5691" s="2" t="s">
        <v>2897</v>
      </c>
      <c r="Y5691" s="2">
        <v>2170</v>
      </c>
      <c r="Z5691" s="19" t="str">
        <f>HYPERLINK("https://ssdweb.co/ssdweb/hd/Vision360.html?d=924290360&amp;zoomslide=1&amp;z=1924290360&amp;ISCONFIRM=0","VIDEO")</f>
        <v>VIDEO</v>
      </c>
      <c r="AA5691" s="19" t="str">
        <f>HYPERLINK("https://ssdweb.co/ssdweb/CERTH/589306302.pdf","CERTI")</f>
        <v>CERTI</v>
      </c>
    </row>
    <row r="5692" spans="1:27" ht="15" x14ac:dyDescent="0.25">
      <c r="A5692" s="2">
        <v>5687</v>
      </c>
      <c r="B5692" s="39">
        <v>924920430</v>
      </c>
      <c r="C5692" s="28" t="str">
        <f>HYPERLINK("https://pld.live/RapDetail.aspx?STONELIST=924920430","DNA")</f>
        <v>DNA</v>
      </c>
      <c r="D5692" s="18" t="s">
        <v>5847</v>
      </c>
      <c r="E5692" s="18" t="s">
        <v>2186</v>
      </c>
      <c r="F5692" s="2" t="s">
        <v>7987</v>
      </c>
      <c r="G5692" s="2" t="s">
        <v>7322</v>
      </c>
      <c r="H5692" s="14">
        <v>0.7</v>
      </c>
      <c r="I5692" s="2" t="s">
        <v>6587</v>
      </c>
      <c r="J5692" s="2" t="s">
        <v>13</v>
      </c>
      <c r="K5692" s="2" t="s">
        <v>1452</v>
      </c>
      <c r="L5692" s="2" t="s">
        <v>5221</v>
      </c>
      <c r="M5692" s="2" t="s">
        <v>5221</v>
      </c>
      <c r="N5692" s="2" t="s">
        <v>2317</v>
      </c>
      <c r="O5692" s="14">
        <v>3100</v>
      </c>
      <c r="P5692" s="14">
        <v>95.94</v>
      </c>
      <c r="Q5692" s="14">
        <v>125.86</v>
      </c>
      <c r="R5692" s="14">
        <v>88.1</v>
      </c>
      <c r="S5692" s="2" t="s">
        <v>5782</v>
      </c>
      <c r="T5692" s="2">
        <v>1.42</v>
      </c>
      <c r="U5692" s="2">
        <v>65.8</v>
      </c>
      <c r="V5692" s="2">
        <v>59</v>
      </c>
      <c r="W5692" s="2" t="s">
        <v>7862</v>
      </c>
      <c r="X5692" s="2" t="s">
        <v>2897</v>
      </c>
      <c r="Y5692" s="2">
        <v>2170</v>
      </c>
      <c r="Z5692" s="19" t="str">
        <f>HYPERLINK("https://ssdweb.co/ssdweb/hd/Vision360.html?d=924920430&amp;zoomslide=1&amp;z=1924920430&amp;ISCONFIRM=0","VIDEO")</f>
        <v>VIDEO</v>
      </c>
      <c r="AA5692" s="19" t="str">
        <f>HYPERLINK("https://ssdweb.co/ssdweb/CERTH/607332420.pdf","CERTI")</f>
        <v>CERTI</v>
      </c>
    </row>
    <row r="5693" spans="1:27" ht="15" x14ac:dyDescent="0.25">
      <c r="A5693" s="2">
        <v>5688</v>
      </c>
      <c r="B5693" s="39">
        <v>924780420</v>
      </c>
      <c r="C5693" s="28" t="str">
        <f>HYPERLINK("https://pld.live/RapDetail.aspx?STONELIST=924780420","DNA")</f>
        <v>DNA</v>
      </c>
      <c r="D5693" s="18" t="s">
        <v>5847</v>
      </c>
      <c r="E5693" s="18" t="s">
        <v>2186</v>
      </c>
      <c r="F5693" s="2" t="s">
        <v>7987</v>
      </c>
      <c r="G5693" s="2" t="s">
        <v>7322</v>
      </c>
      <c r="H5693" s="14">
        <v>0.7</v>
      </c>
      <c r="I5693" s="2" t="s">
        <v>6587</v>
      </c>
      <c r="J5693" s="2" t="s">
        <v>13</v>
      </c>
      <c r="K5693" s="2" t="s">
        <v>1452</v>
      </c>
      <c r="L5693" s="2" t="s">
        <v>5221</v>
      </c>
      <c r="M5693" s="2" t="s">
        <v>5221</v>
      </c>
      <c r="N5693" s="2" t="s">
        <v>2317</v>
      </c>
      <c r="O5693" s="14">
        <v>3100</v>
      </c>
      <c r="P5693" s="14">
        <v>95.94</v>
      </c>
      <c r="Q5693" s="14">
        <v>125.86</v>
      </c>
      <c r="R5693" s="14">
        <v>88.1</v>
      </c>
      <c r="S5693" s="2" t="s">
        <v>7104</v>
      </c>
      <c r="T5693" s="2">
        <v>1.58</v>
      </c>
      <c r="U5693" s="2">
        <v>64.400000000000006</v>
      </c>
      <c r="V5693" s="2">
        <v>67</v>
      </c>
      <c r="W5693" s="2" t="s">
        <v>7862</v>
      </c>
      <c r="X5693" s="2" t="s">
        <v>2897</v>
      </c>
      <c r="Y5693" s="2">
        <v>2170</v>
      </c>
      <c r="Z5693" s="19" t="str">
        <f>HYPERLINK("https://ssdweb.co/ssdweb/hd/Vision360.html?d=924780420&amp;zoomslide=1&amp;z=1924780420&amp;ISCONFIRM=0","VIDEO")</f>
        <v>VIDEO</v>
      </c>
      <c r="AA5693" s="19" t="str">
        <f>HYPERLINK("https://ssdweb.co/ssdweb/CERTH/604303879.pdf","CERTI")</f>
        <v>CERTI</v>
      </c>
    </row>
    <row r="5694" spans="1:27" ht="15" x14ac:dyDescent="0.25">
      <c r="A5694" s="2">
        <v>5689</v>
      </c>
      <c r="B5694" s="39">
        <v>924260104</v>
      </c>
      <c r="C5694" s="28" t="str">
        <f>HYPERLINK("https://pld.live/RapDetail.aspx?STONELIST=924260104","DNA")</f>
        <v>DNA</v>
      </c>
      <c r="D5694" s="18" t="s">
        <v>5847</v>
      </c>
      <c r="E5694" s="18" t="s">
        <v>2186</v>
      </c>
      <c r="F5694" s="2" t="s">
        <v>7987</v>
      </c>
      <c r="G5694" s="2" t="s">
        <v>7322</v>
      </c>
      <c r="H5694" s="14">
        <v>0.7</v>
      </c>
      <c r="I5694" s="2" t="s">
        <v>1505</v>
      </c>
      <c r="J5694" s="2" t="s">
        <v>3942</v>
      </c>
      <c r="K5694" s="2" t="s">
        <v>1452</v>
      </c>
      <c r="L5694" s="2" t="s">
        <v>5221</v>
      </c>
      <c r="M5694" s="2" t="s">
        <v>5221</v>
      </c>
      <c r="N5694" s="2" t="s">
        <v>2317</v>
      </c>
      <c r="O5694" s="14">
        <v>3000</v>
      </c>
      <c r="P5694" s="14">
        <v>95.77</v>
      </c>
      <c r="Q5694" s="14">
        <v>126.9</v>
      </c>
      <c r="R5694" s="14">
        <v>88.83</v>
      </c>
      <c r="S5694" s="2" t="s">
        <v>3088</v>
      </c>
      <c r="T5694" s="2">
        <v>1.39</v>
      </c>
      <c r="U5694" s="2">
        <v>68.400000000000006</v>
      </c>
      <c r="V5694" s="2">
        <v>63</v>
      </c>
      <c r="W5694" s="2" t="s">
        <v>7862</v>
      </c>
      <c r="X5694" s="2" t="s">
        <v>2897</v>
      </c>
      <c r="Y5694" s="2">
        <v>2100</v>
      </c>
      <c r="Z5694" s="19" t="str">
        <f>HYPERLINK("https://ssdweb.co/ssdweb/hd/Vision360.html?d=924260104&amp;zoomslide=1&amp;z=1924260104&amp;ISCONFIRM=0","VIDEO")</f>
        <v>VIDEO</v>
      </c>
      <c r="AA5694" s="19" t="str">
        <f>HYPERLINK("https://ssdweb.co/ssdweb/CERTH/581339509.pdf","CERTI")</f>
        <v>CERTI</v>
      </c>
    </row>
    <row r="5695" spans="1:27" ht="15" x14ac:dyDescent="0.25">
      <c r="A5695" s="2">
        <v>5690</v>
      </c>
      <c r="B5695" s="39">
        <v>923610270</v>
      </c>
      <c r="C5695" s="28" t="str">
        <f>HYPERLINK("https://pld.live/RapDetail.aspx?STONELIST=923610270","DNA")</f>
        <v>DNA</v>
      </c>
      <c r="D5695" s="18" t="s">
        <v>5847</v>
      </c>
      <c r="E5695" s="18" t="s">
        <v>2186</v>
      </c>
      <c r="F5695" s="2" t="s">
        <v>7987</v>
      </c>
      <c r="G5695" s="2" t="s">
        <v>7322</v>
      </c>
      <c r="H5695" s="14">
        <v>0.7</v>
      </c>
      <c r="I5695" s="2" t="s">
        <v>1505</v>
      </c>
      <c r="J5695" s="2" t="s">
        <v>3942</v>
      </c>
      <c r="K5695" s="2" t="s">
        <v>1452</v>
      </c>
      <c r="L5695" s="2" t="s">
        <v>5221</v>
      </c>
      <c r="M5695" s="2" t="s">
        <v>5221</v>
      </c>
      <c r="N5695" s="2" t="s">
        <v>2317</v>
      </c>
      <c r="O5695" s="14">
        <v>3000</v>
      </c>
      <c r="P5695" s="14">
        <v>95.77</v>
      </c>
      <c r="Q5695" s="14">
        <v>126.9</v>
      </c>
      <c r="R5695" s="14">
        <v>88.83</v>
      </c>
      <c r="S5695" s="2" t="s">
        <v>5240</v>
      </c>
      <c r="T5695" s="2">
        <v>1.52</v>
      </c>
      <c r="U5695" s="2">
        <v>64.7</v>
      </c>
      <c r="V5695" s="2">
        <v>65.5</v>
      </c>
      <c r="W5695" s="2" t="s">
        <v>7862</v>
      </c>
      <c r="X5695" s="2" t="s">
        <v>2897</v>
      </c>
      <c r="Y5695" s="2">
        <v>2100</v>
      </c>
      <c r="Z5695" s="19" t="str">
        <f>HYPERLINK("https://ssdweb.co/ssdweb/hd/Vision360.html?d=923610270&amp;zoomslide=1&amp;z=1923610270&amp;ISCONFIRM=0","VIDEO")</f>
        <v>VIDEO</v>
      </c>
      <c r="AA5695" s="19" t="str">
        <f>HYPERLINK("https://ssdweb.co/ssdweb/CERTH/559284725.pdf","CERTI")</f>
        <v>CERTI</v>
      </c>
    </row>
    <row r="5696" spans="1:27" ht="15" x14ac:dyDescent="0.25">
      <c r="A5696" s="2">
        <v>5691</v>
      </c>
      <c r="B5696" s="39">
        <v>941320195</v>
      </c>
      <c r="C5696" s="28" t="str">
        <f>HYPERLINK("https://pld.live/RapDetail.aspx?STONELIST=941320195","DNA")</f>
        <v>DNA</v>
      </c>
      <c r="D5696" s="18" t="s">
        <v>1924</v>
      </c>
      <c r="E5696" s="18" t="s">
        <v>5128</v>
      </c>
      <c r="F5696" s="2" t="s">
        <v>7987</v>
      </c>
      <c r="G5696" s="2" t="s">
        <v>7322</v>
      </c>
      <c r="H5696" s="14">
        <v>0.69</v>
      </c>
      <c r="I5696" s="2" t="s">
        <v>267</v>
      </c>
      <c r="J5696" s="2" t="s">
        <v>13</v>
      </c>
      <c r="K5696" s="2" t="s">
        <v>1452</v>
      </c>
      <c r="L5696" s="2" t="s">
        <v>5221</v>
      </c>
      <c r="M5696" s="2" t="s">
        <v>5221</v>
      </c>
      <c r="N5696" s="2" t="s">
        <v>2317</v>
      </c>
      <c r="O5696" s="14">
        <v>2600</v>
      </c>
      <c r="P5696" s="14">
        <v>94.23</v>
      </c>
      <c r="Q5696" s="14">
        <v>150.02000000000001</v>
      </c>
      <c r="R5696" s="14">
        <v>103.51</v>
      </c>
      <c r="S5696" s="2" t="s">
        <v>2188</v>
      </c>
      <c r="T5696" s="2">
        <v>1.42</v>
      </c>
      <c r="U5696" s="2">
        <v>66.2</v>
      </c>
      <c r="V5696" s="2">
        <v>65</v>
      </c>
      <c r="W5696" s="2" t="s">
        <v>7862</v>
      </c>
      <c r="X5696" s="2" t="s">
        <v>2897</v>
      </c>
      <c r="Y5696" s="2">
        <v>1794</v>
      </c>
      <c r="Z5696" s="19" t="str">
        <f>HYPERLINK("https://ssdweb.co/ssdweb/hd/Vision360.html?d=941320195&amp;zoomslide=1&amp;z=1941320195&amp;ISCONFIRM=0","VIDEO")</f>
        <v>VIDEO</v>
      </c>
      <c r="AA5696" s="19" t="str">
        <f>HYPERLINK("https://ssdweb.co/ssdweb/CERTH/689586956.pdf","CERTI")</f>
        <v>CERTI</v>
      </c>
    </row>
    <row r="5697" spans="1:27" ht="15" x14ac:dyDescent="0.25">
      <c r="A5697" s="2">
        <v>5692</v>
      </c>
      <c r="B5697" s="39">
        <v>924510245</v>
      </c>
      <c r="C5697" s="28" t="str">
        <f>HYPERLINK("https://pld.live/RapDetail.aspx?STONELIST=924510245","DNA")</f>
        <v>DNA</v>
      </c>
      <c r="D5697" s="18" t="s">
        <v>1924</v>
      </c>
      <c r="E5697" s="18" t="s">
        <v>2186</v>
      </c>
      <c r="F5697" s="2" t="s">
        <v>7987</v>
      </c>
      <c r="G5697" s="2" t="s">
        <v>7322</v>
      </c>
      <c r="H5697" s="14">
        <v>0.68</v>
      </c>
      <c r="I5697" s="2" t="s">
        <v>4761</v>
      </c>
      <c r="J5697" s="2" t="s">
        <v>13</v>
      </c>
      <c r="K5697" s="2" t="s">
        <v>1452</v>
      </c>
      <c r="L5697" s="2" t="s">
        <v>5221</v>
      </c>
      <c r="M5697" s="2" t="s">
        <v>5221</v>
      </c>
      <c r="N5697" s="2" t="s">
        <v>2317</v>
      </c>
      <c r="O5697" s="14">
        <v>2500</v>
      </c>
      <c r="P5697" s="14">
        <v>94.6</v>
      </c>
      <c r="Q5697" s="14">
        <v>135</v>
      </c>
      <c r="R5697" s="14">
        <v>91.8</v>
      </c>
      <c r="S5697" s="2" t="s">
        <v>4992</v>
      </c>
      <c r="T5697" s="2">
        <v>1.46</v>
      </c>
      <c r="U5697" s="2">
        <v>67.7</v>
      </c>
      <c r="V5697" s="2">
        <v>67</v>
      </c>
      <c r="W5697" s="2" t="s">
        <v>7862</v>
      </c>
      <c r="X5697" s="2" t="s">
        <v>2897</v>
      </c>
      <c r="Y5697" s="2">
        <v>1700</v>
      </c>
      <c r="Z5697" s="19" t="str">
        <f>HYPERLINK("https://ssdweb.co/ssdweb/hd/Vision360.html?d=924510245&amp;zoomslide=1&amp;z=1924510245&amp;ISCONFIRM=0","VIDEO")</f>
        <v>VIDEO</v>
      </c>
      <c r="AA5697" s="19" t="str">
        <f>HYPERLINK("https://ssdweb.co/ssdweb/CERTH/601323470.pdf","CERTI")</f>
        <v>CERTI</v>
      </c>
    </row>
    <row r="5698" spans="1:27" ht="15" x14ac:dyDescent="0.25">
      <c r="A5698" s="2">
        <v>5693</v>
      </c>
      <c r="B5698" s="39">
        <v>924290603</v>
      </c>
      <c r="C5698" s="28" t="str">
        <f>HYPERLINK("https://pld.live/RapDetail.aspx?STONELIST=924290603","DNA")</f>
        <v>DNA</v>
      </c>
      <c r="D5698" s="18" t="s">
        <v>1924</v>
      </c>
      <c r="E5698" s="18" t="s">
        <v>2186</v>
      </c>
      <c r="F5698" s="2" t="s">
        <v>7987</v>
      </c>
      <c r="G5698" s="2" t="s">
        <v>7322</v>
      </c>
      <c r="H5698" s="14">
        <v>0.68</v>
      </c>
      <c r="I5698" s="2" t="s">
        <v>4699</v>
      </c>
      <c r="J5698" s="2" t="s">
        <v>13</v>
      </c>
      <c r="K5698" s="2" t="s">
        <v>1452</v>
      </c>
      <c r="L5698" s="2" t="s">
        <v>5221</v>
      </c>
      <c r="M5698" s="2" t="s">
        <v>5221</v>
      </c>
      <c r="N5698" s="2" t="s">
        <v>2317</v>
      </c>
      <c r="O5698" s="14">
        <v>2400</v>
      </c>
      <c r="P5698" s="14">
        <v>94.5</v>
      </c>
      <c r="Q5698" s="14">
        <v>132</v>
      </c>
      <c r="R5698" s="14">
        <v>89.76</v>
      </c>
      <c r="S5698" s="2" t="s">
        <v>2595</v>
      </c>
      <c r="T5698" s="2">
        <v>1.4</v>
      </c>
      <c r="U5698" s="2">
        <v>66</v>
      </c>
      <c r="V5698" s="2">
        <v>59</v>
      </c>
      <c r="W5698" s="2" t="s">
        <v>7862</v>
      </c>
      <c r="X5698" s="2" t="s">
        <v>2897</v>
      </c>
      <c r="Y5698" s="2">
        <v>1632</v>
      </c>
      <c r="Z5698" s="19" t="str">
        <f>HYPERLINK("https://ssdweb.co/ssdweb/hd/Vision360.html?d=924290603&amp;zoomslide=1&amp;z=1924290603&amp;ISCONFIRM=0","VIDEO")</f>
        <v>VIDEO</v>
      </c>
      <c r="AA5698" s="19" t="str">
        <f>HYPERLINK("https://ssdweb.co/ssdweb/CERTH/594332572.pdf","CERTI")</f>
        <v>CERTI</v>
      </c>
    </row>
    <row r="5699" spans="1:27" ht="15" x14ac:dyDescent="0.25">
      <c r="A5699" s="2">
        <v>5694</v>
      </c>
      <c r="B5699" s="39">
        <v>923480542</v>
      </c>
      <c r="C5699" s="28" t="str">
        <f>HYPERLINK("https://pld.live/RapDetail.aspx?STONELIST=923480542","DNA")</f>
        <v>DNA</v>
      </c>
      <c r="D5699" s="18" t="s">
        <v>1924</v>
      </c>
      <c r="E5699" s="18" t="s">
        <v>5128</v>
      </c>
      <c r="F5699" s="2" t="s">
        <v>7987</v>
      </c>
      <c r="G5699" s="2" t="s">
        <v>7322</v>
      </c>
      <c r="H5699" s="14">
        <v>0.67</v>
      </c>
      <c r="I5699" s="2" t="s">
        <v>267</v>
      </c>
      <c r="J5699" s="2" t="s">
        <v>5144</v>
      </c>
      <c r="K5699" s="2" t="s">
        <v>1452</v>
      </c>
      <c r="L5699" s="2" t="s">
        <v>5221</v>
      </c>
      <c r="M5699" s="2" t="s">
        <v>5221</v>
      </c>
      <c r="N5699" s="2" t="s">
        <v>2317</v>
      </c>
      <c r="O5699" s="14">
        <v>2400</v>
      </c>
      <c r="P5699" s="14">
        <v>94.29</v>
      </c>
      <c r="Q5699" s="14">
        <v>137.04</v>
      </c>
      <c r="R5699" s="14">
        <v>91.82</v>
      </c>
      <c r="S5699" s="2" t="s">
        <v>4897</v>
      </c>
      <c r="T5699" s="2">
        <v>1.37</v>
      </c>
      <c r="U5699" s="2">
        <v>67.5</v>
      </c>
      <c r="V5699" s="2">
        <v>64</v>
      </c>
      <c r="W5699" s="2" t="s">
        <v>7862</v>
      </c>
      <c r="X5699" s="2" t="s">
        <v>2897</v>
      </c>
      <c r="Y5699" s="2">
        <v>1608</v>
      </c>
      <c r="Z5699" s="19" t="str">
        <f>HYPERLINK("https://ssdweb.co/ssdweb/hd/Vision360.html?d=923480542&amp;zoomslide=1&amp;z=1923480542&amp;ISCONFIRM=0","VIDEO")</f>
        <v>VIDEO</v>
      </c>
      <c r="AA5699" s="19" t="str">
        <f>HYPERLINK("https://ssdweb.co/ssdweb/CERTH/555266346.pdf","CERTI")</f>
        <v>CERTI</v>
      </c>
    </row>
    <row r="5700" spans="1:27" ht="15" x14ac:dyDescent="0.25">
      <c r="A5700" s="2">
        <v>5695</v>
      </c>
      <c r="B5700" s="39">
        <v>926400546</v>
      </c>
      <c r="C5700" s="28" t="str">
        <f>HYPERLINK("https://pld.live/RapDetail.aspx?STONELIST=926400546","DNA")</f>
        <v>DNA</v>
      </c>
      <c r="D5700" s="18" t="s">
        <v>1924</v>
      </c>
      <c r="E5700" s="18" t="s">
        <v>5128</v>
      </c>
      <c r="F5700" s="2" t="s">
        <v>7987</v>
      </c>
      <c r="G5700" s="2" t="s">
        <v>7322</v>
      </c>
      <c r="H5700" s="14">
        <v>0.67</v>
      </c>
      <c r="I5700" s="2" t="s">
        <v>4761</v>
      </c>
      <c r="J5700" s="2" t="s">
        <v>7032</v>
      </c>
      <c r="K5700" s="2" t="s">
        <v>1452</v>
      </c>
      <c r="L5700" s="2" t="s">
        <v>5221</v>
      </c>
      <c r="M5700" s="2" t="s">
        <v>5221</v>
      </c>
      <c r="N5700" s="2" t="s">
        <v>2317</v>
      </c>
      <c r="O5700" s="14">
        <v>3000</v>
      </c>
      <c r="P5700" s="14">
        <v>92.63</v>
      </c>
      <c r="Q5700" s="14">
        <v>221.1</v>
      </c>
      <c r="R5700" s="14">
        <v>148.13999999999999</v>
      </c>
      <c r="S5700" s="2" t="s">
        <v>4493</v>
      </c>
      <c r="T5700" s="2">
        <v>1.36</v>
      </c>
      <c r="U5700" s="2">
        <v>67.7</v>
      </c>
      <c r="V5700" s="2">
        <v>68</v>
      </c>
      <c r="W5700" s="2" t="s">
        <v>7862</v>
      </c>
      <c r="X5700" s="2" t="s">
        <v>2897</v>
      </c>
      <c r="Y5700" s="2">
        <v>2010</v>
      </c>
      <c r="Z5700" s="19" t="str">
        <f>HYPERLINK("https://ssdweb.co/ssdweb/hd/Vision360.html?d=926400546&amp;zoomslide=1&amp;z=1926400546&amp;ISCONFIRM=0","VIDEO")</f>
        <v>VIDEO</v>
      </c>
      <c r="AA5700" s="19" t="str">
        <f>HYPERLINK("https://ssdweb.co/ssdweb/CERTH/642460549.pdf","CERTI")</f>
        <v>CERTI</v>
      </c>
    </row>
    <row r="5701" spans="1:27" ht="15" x14ac:dyDescent="0.25">
      <c r="A5701" s="2">
        <v>5696</v>
      </c>
      <c r="B5701" s="39">
        <v>924270513</v>
      </c>
      <c r="C5701" s="28" t="str">
        <f>HYPERLINK("https://pld.live/RapDetail.aspx?STONELIST=924270513","DNA")</f>
        <v>DNA</v>
      </c>
      <c r="D5701" s="18" t="s">
        <v>1924</v>
      </c>
      <c r="E5701" s="18" t="s">
        <v>5128</v>
      </c>
      <c r="F5701" s="2" t="s">
        <v>7987</v>
      </c>
      <c r="G5701" s="2" t="s">
        <v>7322</v>
      </c>
      <c r="H5701" s="14">
        <v>0.66</v>
      </c>
      <c r="I5701" s="2" t="s">
        <v>267</v>
      </c>
      <c r="J5701" s="2" t="s">
        <v>5144</v>
      </c>
      <c r="K5701" s="2" t="s">
        <v>1452</v>
      </c>
      <c r="L5701" s="2" t="s">
        <v>5221</v>
      </c>
      <c r="M5701" s="2" t="s">
        <v>5221</v>
      </c>
      <c r="N5701" s="2" t="s">
        <v>2317</v>
      </c>
      <c r="O5701" s="14">
        <v>2400</v>
      </c>
      <c r="P5701" s="14">
        <v>94.29</v>
      </c>
      <c r="Q5701" s="14">
        <v>137.04</v>
      </c>
      <c r="R5701" s="14">
        <v>90.45</v>
      </c>
      <c r="S5701" s="2" t="s">
        <v>3009</v>
      </c>
      <c r="T5701" s="2">
        <v>1.41</v>
      </c>
      <c r="U5701" s="2">
        <v>67.3</v>
      </c>
      <c r="V5701" s="2">
        <v>63</v>
      </c>
      <c r="W5701" s="2" t="s">
        <v>7862</v>
      </c>
      <c r="X5701" s="2" t="s">
        <v>2897</v>
      </c>
      <c r="Y5701" s="2">
        <v>1584</v>
      </c>
      <c r="Z5701" s="19" t="str">
        <f>HYPERLINK("https://ssdweb.co/ssdweb/hd/Vision360.html?d=924270513&amp;zoomslide=1&amp;z=1924270513&amp;ISCONFIRM=0","VIDEO")</f>
        <v>VIDEO</v>
      </c>
      <c r="AA5701" s="19" t="str">
        <f>HYPERLINK("https://ssdweb.co/ssdweb/CERTH/582380081.pdf","CERTI")</f>
        <v>CERTI</v>
      </c>
    </row>
    <row r="5702" spans="1:27" ht="15" x14ac:dyDescent="0.25">
      <c r="A5702" s="2">
        <v>5697</v>
      </c>
      <c r="B5702" s="39">
        <v>924900214</v>
      </c>
      <c r="C5702" s="28" t="str">
        <f>HYPERLINK("https://pld.live/RapDetail.aspx?STONELIST=924900214","DNA")</f>
        <v>DNA</v>
      </c>
      <c r="D5702" s="18" t="s">
        <v>1924</v>
      </c>
      <c r="E5702" s="18" t="s">
        <v>5128</v>
      </c>
      <c r="F5702" s="2" t="s">
        <v>7987</v>
      </c>
      <c r="G5702" s="2" t="s">
        <v>7322</v>
      </c>
      <c r="H5702" s="14">
        <v>0.66</v>
      </c>
      <c r="I5702" s="2" t="s">
        <v>4761</v>
      </c>
      <c r="J5702" s="2" t="s">
        <v>13</v>
      </c>
      <c r="K5702" s="2" t="s">
        <v>1452</v>
      </c>
      <c r="L5702" s="2" t="s">
        <v>5221</v>
      </c>
      <c r="M5702" s="2" t="s">
        <v>5221</v>
      </c>
      <c r="N5702" s="2" t="s">
        <v>2317</v>
      </c>
      <c r="O5702" s="14">
        <v>2500</v>
      </c>
      <c r="P5702" s="14">
        <v>94.6</v>
      </c>
      <c r="Q5702" s="14">
        <v>135</v>
      </c>
      <c r="R5702" s="14">
        <v>89.1</v>
      </c>
      <c r="S5702" s="2" t="s">
        <v>6616</v>
      </c>
      <c r="T5702" s="2">
        <v>1.41</v>
      </c>
      <c r="U5702" s="2">
        <v>67.400000000000006</v>
      </c>
      <c r="V5702" s="2">
        <v>62</v>
      </c>
      <c r="W5702" s="2" t="s">
        <v>7862</v>
      </c>
      <c r="X5702" s="2" t="s">
        <v>2897</v>
      </c>
      <c r="Y5702" s="2">
        <v>1650</v>
      </c>
      <c r="Z5702" s="19" t="str">
        <f>HYPERLINK("https://ssdweb.co/ssdweb/hd/Vision360.html?d=924900214&amp;zoomslide=1&amp;z=1924900214&amp;ISCONFIRM=0","VIDEO")</f>
        <v>VIDEO</v>
      </c>
      <c r="AA5702" s="19" t="str">
        <f>HYPERLINK("https://ssdweb.co/ssdweb/CERTH/605381203.pdf","CERTI")</f>
        <v>CERTI</v>
      </c>
    </row>
    <row r="5703" spans="1:27" ht="15" x14ac:dyDescent="0.25">
      <c r="A5703" s="2">
        <v>5698</v>
      </c>
      <c r="B5703" s="39">
        <v>923690405</v>
      </c>
      <c r="C5703" s="28" t="str">
        <f>HYPERLINK("https://pld.live/RapDetail.aspx?STONELIST=923690405","DNA")</f>
        <v>DNA</v>
      </c>
      <c r="D5703" s="18" t="s">
        <v>1924</v>
      </c>
      <c r="E5703" s="18" t="s">
        <v>5128</v>
      </c>
      <c r="F5703" s="2" t="s">
        <v>7987</v>
      </c>
      <c r="G5703" s="2" t="s">
        <v>7322</v>
      </c>
      <c r="H5703" s="14">
        <v>0.66</v>
      </c>
      <c r="I5703" s="2" t="s">
        <v>4761</v>
      </c>
      <c r="J5703" s="2" t="s">
        <v>444</v>
      </c>
      <c r="K5703" s="2" t="s">
        <v>1452</v>
      </c>
      <c r="L5703" s="2" t="s">
        <v>5221</v>
      </c>
      <c r="M5703" s="2" t="s">
        <v>5221</v>
      </c>
      <c r="N5703" s="2" t="s">
        <v>2317</v>
      </c>
      <c r="O5703" s="14">
        <v>2100</v>
      </c>
      <c r="P5703" s="14">
        <v>93.95</v>
      </c>
      <c r="Q5703" s="14">
        <v>127.05</v>
      </c>
      <c r="R5703" s="14">
        <v>83.85</v>
      </c>
      <c r="S5703" s="2" t="s">
        <v>4374</v>
      </c>
      <c r="T5703" s="2">
        <v>1.45</v>
      </c>
      <c r="U5703" s="2">
        <v>65.8</v>
      </c>
      <c r="V5703" s="2">
        <v>63.5</v>
      </c>
      <c r="W5703" s="2" t="s">
        <v>7862</v>
      </c>
      <c r="X5703" s="2" t="s">
        <v>2897</v>
      </c>
      <c r="Y5703" s="2">
        <v>1386</v>
      </c>
      <c r="Z5703" s="19" t="str">
        <f>HYPERLINK("https://ssdweb.co/ssdweb/hd/Vision360.html?d=923690405&amp;zoomslide=1&amp;z=1923690405&amp;ISCONFIRM=0","VIDEO")</f>
        <v>VIDEO</v>
      </c>
      <c r="AA5703" s="19" t="str">
        <f>HYPERLINK("https://ssdweb.co/ssdweb/CERTH/571302914.pdf","CERTI")</f>
        <v>CERTI</v>
      </c>
    </row>
    <row r="5704" spans="1:27" ht="15" x14ac:dyDescent="0.25">
      <c r="A5704" s="2">
        <v>5699</v>
      </c>
      <c r="B5704" s="39">
        <v>831020344</v>
      </c>
      <c r="C5704" s="28" t="str">
        <f>HYPERLINK("https://pld.live/RapDetail.aspx?STONELIST=831020344","DNA")</f>
        <v>DNA</v>
      </c>
      <c r="D5704" s="18" t="s">
        <v>1924</v>
      </c>
      <c r="E5704" s="18" t="s">
        <v>2186</v>
      </c>
      <c r="F5704" s="2" t="s">
        <v>7987</v>
      </c>
      <c r="G5704" s="2" t="s">
        <v>7322</v>
      </c>
      <c r="H5704" s="14">
        <v>0.66</v>
      </c>
      <c r="I5704" s="2" t="s">
        <v>6587</v>
      </c>
      <c r="J5704" s="2" t="s">
        <v>13</v>
      </c>
      <c r="K5704" s="2" t="s">
        <v>1452</v>
      </c>
      <c r="L5704" s="2" t="s">
        <v>5221</v>
      </c>
      <c r="M5704" s="2" t="s">
        <v>5221</v>
      </c>
      <c r="N5704" s="2" t="s">
        <v>2317</v>
      </c>
      <c r="O5704" s="14">
        <v>2200</v>
      </c>
      <c r="P5704" s="14">
        <v>94.23</v>
      </c>
      <c r="Q5704" s="14">
        <v>126.94</v>
      </c>
      <c r="R5704" s="14">
        <v>83.78</v>
      </c>
      <c r="S5704" s="2" t="s">
        <v>5685</v>
      </c>
      <c r="T5704" s="2">
        <v>1.56</v>
      </c>
      <c r="U5704" s="2">
        <v>64.7</v>
      </c>
      <c r="V5704" s="2">
        <v>57</v>
      </c>
      <c r="W5704" s="2" t="s">
        <v>7862</v>
      </c>
      <c r="X5704" s="2" t="s">
        <v>2897</v>
      </c>
      <c r="Y5704" s="2">
        <v>1452</v>
      </c>
      <c r="Z5704" s="19" t="str">
        <f>HYPERLINK("https://ssdweb.co/ssdweb/hd/Vision360.html?d=831020344&amp;zoomslide=1&amp;z=1831020344&amp;ISCONFIRM=0","VIDEO")</f>
        <v>VIDEO</v>
      </c>
      <c r="AA5704" s="19" t="str">
        <f>HYPERLINK("https://ssdweb.co/ssdweb/CERTH/594332573.pdf","CERTI")</f>
        <v>CERTI</v>
      </c>
    </row>
    <row r="5705" spans="1:27" ht="15" x14ac:dyDescent="0.25">
      <c r="A5705" s="2">
        <v>5700</v>
      </c>
      <c r="B5705" s="39">
        <v>924590353</v>
      </c>
      <c r="C5705" s="28" t="str">
        <f>HYPERLINK("https://pld.live/RapDetail.aspx?STONELIST=924590353","DNA")</f>
        <v>DNA</v>
      </c>
      <c r="D5705" s="18" t="s">
        <v>1924</v>
      </c>
      <c r="E5705" s="18" t="s">
        <v>2186</v>
      </c>
      <c r="F5705" s="2" t="s">
        <v>7987</v>
      </c>
      <c r="G5705" s="2" t="s">
        <v>7322</v>
      </c>
      <c r="H5705" s="14">
        <v>0.65</v>
      </c>
      <c r="I5705" s="2" t="s">
        <v>4699</v>
      </c>
      <c r="J5705" s="2" t="s">
        <v>5144</v>
      </c>
      <c r="K5705" s="2" t="s">
        <v>1452</v>
      </c>
      <c r="L5705" s="2" t="s">
        <v>5221</v>
      </c>
      <c r="M5705" s="2" t="s">
        <v>5221</v>
      </c>
      <c r="N5705" s="2" t="s">
        <v>2317</v>
      </c>
      <c r="O5705" s="14">
        <v>2200</v>
      </c>
      <c r="P5705" s="14">
        <v>94.23</v>
      </c>
      <c r="Q5705" s="14">
        <v>126.94</v>
      </c>
      <c r="R5705" s="14">
        <v>82.51</v>
      </c>
      <c r="S5705" s="2" t="s">
        <v>7468</v>
      </c>
      <c r="T5705" s="2">
        <v>1.46</v>
      </c>
      <c r="U5705" s="2">
        <v>65</v>
      </c>
      <c r="V5705" s="2">
        <v>69</v>
      </c>
      <c r="W5705" s="2" t="s">
        <v>7862</v>
      </c>
      <c r="X5705" s="2" t="s">
        <v>2897</v>
      </c>
      <c r="Y5705" s="2">
        <v>1430</v>
      </c>
      <c r="Z5705" s="19" t="str">
        <f>HYPERLINK("https://ssdweb.co/ssdweb/hd/Vision360.html?d=924590353&amp;zoomslide=1&amp;z=1924590353&amp;ISCONFIRM=0","VIDEO")</f>
        <v>VIDEO</v>
      </c>
      <c r="AA5705" s="19" t="str">
        <f>HYPERLINK("https://ssdweb.co/ssdweb/CERTH/601323467.pdf","CERTI")</f>
        <v>CERTI</v>
      </c>
    </row>
    <row r="5706" spans="1:27" ht="15" x14ac:dyDescent="0.25">
      <c r="A5706" s="2">
        <v>5701</v>
      </c>
      <c r="B5706" s="39">
        <v>831020342</v>
      </c>
      <c r="C5706" s="28" t="str">
        <f>HYPERLINK("https://pld.live/RapDetail.aspx?STONELIST=831020342","DNA")</f>
        <v>DNA</v>
      </c>
      <c r="D5706" s="18" t="s">
        <v>1924</v>
      </c>
      <c r="E5706" s="18" t="s">
        <v>2186</v>
      </c>
      <c r="F5706" s="2" t="s">
        <v>7987</v>
      </c>
      <c r="G5706" s="2" t="s">
        <v>7322</v>
      </c>
      <c r="H5706" s="14">
        <v>0.65</v>
      </c>
      <c r="I5706" s="2" t="s">
        <v>6587</v>
      </c>
      <c r="J5706" s="2" t="s">
        <v>3942</v>
      </c>
      <c r="K5706" s="2" t="s">
        <v>1452</v>
      </c>
      <c r="L5706" s="2" t="s">
        <v>5221</v>
      </c>
      <c r="M5706" s="2" t="s">
        <v>5221</v>
      </c>
      <c r="N5706" s="2" t="s">
        <v>2317</v>
      </c>
      <c r="O5706" s="14">
        <v>2300</v>
      </c>
      <c r="P5706" s="14">
        <v>94.04</v>
      </c>
      <c r="Q5706" s="14">
        <v>137.08000000000001</v>
      </c>
      <c r="R5706" s="14">
        <v>89.1</v>
      </c>
      <c r="S5706" s="2" t="s">
        <v>754</v>
      </c>
      <c r="T5706" s="2">
        <v>1.45</v>
      </c>
      <c r="U5706" s="2">
        <v>65</v>
      </c>
      <c r="V5706" s="2">
        <v>62</v>
      </c>
      <c r="W5706" s="2" t="s">
        <v>7862</v>
      </c>
      <c r="X5706" s="2" t="s">
        <v>2897</v>
      </c>
      <c r="Y5706" s="2">
        <v>1495</v>
      </c>
      <c r="Z5706" s="19" t="str">
        <f>HYPERLINK("https://ssdweb.co/ssdweb/hd/Vision360.html?d=831020342&amp;zoomslide=1&amp;z=1831020342&amp;ISCONFIRM=0","VIDEO")</f>
        <v>VIDEO</v>
      </c>
      <c r="AA5706" s="19" t="str">
        <f>HYPERLINK("https://ssdweb.co/ssdweb/CERTH/592360622.pdf","CERTI")</f>
        <v>CERTI</v>
      </c>
    </row>
    <row r="5707" spans="1:27" ht="15" x14ac:dyDescent="0.25">
      <c r="A5707" s="2">
        <v>5702</v>
      </c>
      <c r="B5707" s="39">
        <v>941290082</v>
      </c>
      <c r="C5707" s="28" t="str">
        <f>HYPERLINK("https://pld.live/RapDetail.aspx?STONELIST=941290082","DNA")</f>
        <v>DNA</v>
      </c>
      <c r="D5707" s="18" t="s">
        <v>1924</v>
      </c>
      <c r="E5707" s="18" t="s">
        <v>2186</v>
      </c>
      <c r="F5707" s="2" t="s">
        <v>7987</v>
      </c>
      <c r="G5707" s="2" t="s">
        <v>7322</v>
      </c>
      <c r="H5707" s="14">
        <v>0.63</v>
      </c>
      <c r="I5707" s="2" t="s">
        <v>267</v>
      </c>
      <c r="J5707" s="2" t="s">
        <v>13</v>
      </c>
      <c r="K5707" s="2" t="s">
        <v>1452</v>
      </c>
      <c r="L5707" s="2" t="s">
        <v>5221</v>
      </c>
      <c r="M5707" s="2" t="s">
        <v>5221</v>
      </c>
      <c r="N5707" s="2" t="s">
        <v>2317</v>
      </c>
      <c r="O5707" s="14">
        <v>2600</v>
      </c>
      <c r="P5707" s="14">
        <v>94.23</v>
      </c>
      <c r="Q5707" s="14">
        <v>150.02000000000001</v>
      </c>
      <c r="R5707" s="14">
        <v>94.51</v>
      </c>
      <c r="S5707" s="2" t="s">
        <v>7522</v>
      </c>
      <c r="T5707" s="2">
        <v>1.43</v>
      </c>
      <c r="U5707" s="2">
        <v>66.7</v>
      </c>
      <c r="V5707" s="2">
        <v>68</v>
      </c>
      <c r="W5707" s="2" t="s">
        <v>7862</v>
      </c>
      <c r="X5707" s="2" t="s">
        <v>2897</v>
      </c>
      <c r="Y5707" s="2">
        <v>1638</v>
      </c>
      <c r="Z5707" s="19" t="str">
        <f>HYPERLINK("https://ssdweb.co/ssdweb/hd/Vision360.html?d=941290082&amp;zoomslide=1&amp;z=1941290082&amp;ISCONFIRM=0","VIDEO")</f>
        <v>VIDEO</v>
      </c>
      <c r="AA5707" s="19" t="str">
        <f>HYPERLINK("https://ssdweb.co/ssdweb/CERTH/689586955.pdf","CERTI")</f>
        <v>CERTI</v>
      </c>
    </row>
    <row r="5708" spans="1:27" ht="15" x14ac:dyDescent="0.25">
      <c r="A5708" s="2">
        <v>5703</v>
      </c>
      <c r="B5708" s="39">
        <v>925040313</v>
      </c>
      <c r="C5708" s="28" t="str">
        <f>HYPERLINK("https://pld.live/RapDetail.aspx?STONELIST=925040313","DNA")</f>
        <v>DNA</v>
      </c>
      <c r="D5708" s="18" t="s">
        <v>1924</v>
      </c>
      <c r="E5708" s="18" t="s">
        <v>5128</v>
      </c>
      <c r="F5708" s="2" t="s">
        <v>7987</v>
      </c>
      <c r="G5708" s="2" t="s">
        <v>7322</v>
      </c>
      <c r="H5708" s="14">
        <v>0.63</v>
      </c>
      <c r="I5708" s="2" t="s">
        <v>4761</v>
      </c>
      <c r="J5708" s="2" t="s">
        <v>3942</v>
      </c>
      <c r="K5708" s="2" t="s">
        <v>1452</v>
      </c>
      <c r="L5708" s="2" t="s">
        <v>5221</v>
      </c>
      <c r="M5708" s="2" t="s">
        <v>5721</v>
      </c>
      <c r="N5708" s="2" t="s">
        <v>2317</v>
      </c>
      <c r="O5708" s="14">
        <v>2600</v>
      </c>
      <c r="P5708" s="14">
        <v>94.62</v>
      </c>
      <c r="Q5708" s="14">
        <v>139.88</v>
      </c>
      <c r="R5708" s="14">
        <v>88.12</v>
      </c>
      <c r="S5708" s="2" t="s">
        <v>6746</v>
      </c>
      <c r="T5708" s="2">
        <v>1.41</v>
      </c>
      <c r="U5708" s="2">
        <v>67.3</v>
      </c>
      <c r="V5708" s="2">
        <v>62</v>
      </c>
      <c r="W5708" s="2" t="s">
        <v>7862</v>
      </c>
      <c r="X5708" s="2" t="s">
        <v>2897</v>
      </c>
      <c r="Y5708" s="2">
        <v>1638</v>
      </c>
      <c r="Z5708" s="19" t="str">
        <f>HYPERLINK("https://ssdweb.co/ssdweb/hd/Vision360.html?d=925040313&amp;zoomslide=1&amp;z=1925040313&amp;ISCONFIRM=0","VIDEO")</f>
        <v>VIDEO</v>
      </c>
      <c r="AA5708" s="19" t="str">
        <f>HYPERLINK("https://ssdweb.co/ssdweb/CERTH/613349607.pdf","CERTI")</f>
        <v>CERTI</v>
      </c>
    </row>
    <row r="5709" spans="1:27" ht="15" x14ac:dyDescent="0.25">
      <c r="A5709" s="2">
        <v>5704</v>
      </c>
      <c r="B5709" s="39">
        <v>925091001</v>
      </c>
      <c r="C5709" s="28" t="str">
        <f>HYPERLINK("https://pld.live/RapDetail.aspx?STONELIST=925091001","DNA")</f>
        <v>DNA</v>
      </c>
      <c r="D5709" s="18" t="s">
        <v>1924</v>
      </c>
      <c r="E5709" s="18" t="s">
        <v>5128</v>
      </c>
      <c r="F5709" s="2" t="s">
        <v>7987</v>
      </c>
      <c r="G5709" s="2" t="s">
        <v>7322</v>
      </c>
      <c r="H5709" s="14">
        <v>0.61</v>
      </c>
      <c r="I5709" s="2" t="s">
        <v>267</v>
      </c>
      <c r="J5709" s="2" t="s">
        <v>6555</v>
      </c>
      <c r="K5709" s="2" t="s">
        <v>1452</v>
      </c>
      <c r="L5709" s="2" t="s">
        <v>5221</v>
      </c>
      <c r="M5709" s="2" t="s">
        <v>5221</v>
      </c>
      <c r="N5709" s="2" t="s">
        <v>2317</v>
      </c>
      <c r="O5709" s="14">
        <v>3000</v>
      </c>
      <c r="P5709" s="14">
        <v>94.1</v>
      </c>
      <c r="Q5709" s="14">
        <v>177</v>
      </c>
      <c r="R5709" s="14">
        <v>107.97</v>
      </c>
      <c r="S5709" s="2" t="s">
        <v>7725</v>
      </c>
      <c r="T5709" s="2">
        <v>1.42</v>
      </c>
      <c r="U5709" s="2">
        <v>67</v>
      </c>
      <c r="V5709" s="2">
        <v>62</v>
      </c>
      <c r="W5709" s="2" t="s">
        <v>7862</v>
      </c>
      <c r="X5709" s="2" t="s">
        <v>2897</v>
      </c>
      <c r="Y5709" s="2">
        <v>1830</v>
      </c>
      <c r="Z5709" s="19" t="str">
        <f>HYPERLINK("https://ssdweb.co/ssdweb/hd/Vision360.html?d=925091001&amp;zoomslide=1&amp;z=1925091001&amp;ISCONFIRM=0","VIDEO")</f>
        <v>VIDEO</v>
      </c>
      <c r="AA5709" s="19" t="str">
        <f>HYPERLINK("https://ssdweb.co/ssdweb/CERTH/614319289.pdf","CERTI")</f>
        <v>CERTI</v>
      </c>
    </row>
    <row r="5710" spans="1:27" ht="15" x14ac:dyDescent="0.25">
      <c r="A5710" s="2">
        <v>5705</v>
      </c>
      <c r="B5710" s="39">
        <v>926770306</v>
      </c>
      <c r="C5710" s="28" t="str">
        <f>HYPERLINK("https://pld.live/RapDetail.aspx?STONELIST=926770306","DNA")</f>
        <v>DNA</v>
      </c>
      <c r="D5710" s="18" t="s">
        <v>1924</v>
      </c>
      <c r="E5710" s="18" t="s">
        <v>5128</v>
      </c>
      <c r="F5710" s="2" t="s">
        <v>7987</v>
      </c>
      <c r="G5710" s="2" t="s">
        <v>7322</v>
      </c>
      <c r="H5710" s="14">
        <v>0.61</v>
      </c>
      <c r="I5710" s="2" t="s">
        <v>267</v>
      </c>
      <c r="J5710" s="2" t="s">
        <v>5144</v>
      </c>
      <c r="K5710" s="2" t="s">
        <v>1452</v>
      </c>
      <c r="L5710" s="2" t="s">
        <v>5221</v>
      </c>
      <c r="M5710" s="2" t="s">
        <v>5221</v>
      </c>
      <c r="N5710" s="2" t="s">
        <v>2317</v>
      </c>
      <c r="O5710" s="14">
        <v>2400</v>
      </c>
      <c r="P5710" s="14">
        <v>94.13</v>
      </c>
      <c r="Q5710" s="14">
        <v>140.88</v>
      </c>
      <c r="R5710" s="14">
        <v>85.94</v>
      </c>
      <c r="S5710" s="2" t="s">
        <v>6424</v>
      </c>
      <c r="T5710" s="2">
        <v>1.42</v>
      </c>
      <c r="U5710" s="2">
        <v>66.400000000000006</v>
      </c>
      <c r="V5710" s="2">
        <v>65</v>
      </c>
      <c r="W5710" s="2" t="s">
        <v>7862</v>
      </c>
      <c r="X5710" s="2" t="s">
        <v>2897</v>
      </c>
      <c r="Y5710" s="2">
        <v>1464</v>
      </c>
      <c r="Z5710" s="19" t="str">
        <f>HYPERLINK("https://ssdweb.co/ssdweb/hd/Vision360.html?d=926770306&amp;zoomslide=1&amp;z=1926770306&amp;ISCONFIRM=0","VIDEO")</f>
        <v>VIDEO</v>
      </c>
      <c r="AA5710" s="19" t="str">
        <f>HYPERLINK("https://ssdweb.co/ssdweb/CERTH/651466402.pdf","CERTI")</f>
        <v>CERTI</v>
      </c>
    </row>
    <row r="5711" spans="1:27" ht="15" x14ac:dyDescent="0.25">
      <c r="A5711" s="2">
        <v>5706</v>
      </c>
      <c r="B5711" s="39">
        <v>925090918</v>
      </c>
      <c r="C5711" s="28" t="str">
        <f>HYPERLINK("https://pld.live/RapDetail.aspx?STONELIST=925090918","DNA")</f>
        <v>DNA</v>
      </c>
      <c r="D5711" s="18" t="s">
        <v>1924</v>
      </c>
      <c r="E5711" s="18" t="s">
        <v>5128</v>
      </c>
      <c r="F5711" s="2" t="s">
        <v>7987</v>
      </c>
      <c r="G5711" s="2" t="s">
        <v>7322</v>
      </c>
      <c r="H5711" s="14">
        <v>0.6</v>
      </c>
      <c r="I5711" s="2" t="s">
        <v>267</v>
      </c>
      <c r="J5711" s="2" t="s">
        <v>3942</v>
      </c>
      <c r="K5711" s="2" t="s">
        <v>1452</v>
      </c>
      <c r="L5711" s="2" t="s">
        <v>5221</v>
      </c>
      <c r="M5711" s="2" t="s">
        <v>5221</v>
      </c>
      <c r="N5711" s="2" t="s">
        <v>2317</v>
      </c>
      <c r="O5711" s="14">
        <v>2800</v>
      </c>
      <c r="P5711" s="14">
        <v>94.89</v>
      </c>
      <c r="Q5711" s="14">
        <v>143.08000000000001</v>
      </c>
      <c r="R5711" s="14">
        <v>85.85</v>
      </c>
      <c r="S5711" s="2" t="s">
        <v>6115</v>
      </c>
      <c r="T5711" s="2">
        <v>1.42</v>
      </c>
      <c r="U5711" s="2">
        <v>67.5</v>
      </c>
      <c r="V5711" s="2">
        <v>62</v>
      </c>
      <c r="W5711" s="2" t="s">
        <v>7862</v>
      </c>
      <c r="X5711" s="2" t="s">
        <v>2897</v>
      </c>
      <c r="Y5711" s="2">
        <v>1680</v>
      </c>
      <c r="Z5711" s="19" t="str">
        <f>HYPERLINK("https://ssdweb.co/ssdweb/hd/Vision360.html?d=925090918&amp;zoomslide=1&amp;z=1925090918&amp;ISCONFIRM=0","VIDEO")</f>
        <v>VIDEO</v>
      </c>
      <c r="AA5711" s="19" t="str">
        <f>HYPERLINK("https://ssdweb.co/ssdweb/CERTH/613349640.pdf","CERTI")</f>
        <v>CERTI</v>
      </c>
    </row>
    <row r="5712" spans="1:27" ht="15" x14ac:dyDescent="0.25">
      <c r="A5712" s="2">
        <v>5707</v>
      </c>
      <c r="B5712" s="39">
        <v>925091014</v>
      </c>
      <c r="C5712" s="28" t="str">
        <f>HYPERLINK("https://pld.live/RapDetail.aspx?STONELIST=925091014","DNA")</f>
        <v>DNA</v>
      </c>
      <c r="D5712" s="18" t="s">
        <v>5466</v>
      </c>
      <c r="E5712" s="18" t="s">
        <v>5128</v>
      </c>
      <c r="F5712" s="2" t="s">
        <v>7987</v>
      </c>
      <c r="G5712" s="2" t="s">
        <v>7322</v>
      </c>
      <c r="H5712" s="14">
        <v>0.59</v>
      </c>
      <c r="I5712" s="2" t="s">
        <v>267</v>
      </c>
      <c r="J5712" s="2" t="s">
        <v>13</v>
      </c>
      <c r="K5712" s="2" t="s">
        <v>1452</v>
      </c>
      <c r="L5712" s="2" t="s">
        <v>5221</v>
      </c>
      <c r="M5712" s="2" t="s">
        <v>5221</v>
      </c>
      <c r="N5712" s="2" t="s">
        <v>2317</v>
      </c>
      <c r="O5712" s="14">
        <v>2600</v>
      </c>
      <c r="P5712" s="14">
        <v>94.15</v>
      </c>
      <c r="Q5712" s="14">
        <v>152.1</v>
      </c>
      <c r="R5712" s="14">
        <v>89.74</v>
      </c>
      <c r="S5712" s="2" t="s">
        <v>4127</v>
      </c>
      <c r="T5712" s="2">
        <v>1.42</v>
      </c>
      <c r="U5712" s="2">
        <v>66.2</v>
      </c>
      <c r="V5712" s="2">
        <v>64</v>
      </c>
      <c r="W5712" s="2" t="s">
        <v>7862</v>
      </c>
      <c r="X5712" s="2" t="s">
        <v>2897</v>
      </c>
      <c r="Y5712" s="2">
        <v>1534</v>
      </c>
      <c r="Z5712" s="19" t="str">
        <f>HYPERLINK("https://ssdweb.co/ssdweb/hd/Vision360.html?d=925091014&amp;zoomslide=1&amp;z=1925091014&amp;ISCONFIRM=0","VIDEO")</f>
        <v>VIDEO</v>
      </c>
      <c r="AA5712" s="19" t="str">
        <f>HYPERLINK("https://ssdweb.co/ssdweb/CERTH/614319403.pdf","CERTI")</f>
        <v>CERTI</v>
      </c>
    </row>
    <row r="5713" spans="1:27" ht="15" x14ac:dyDescent="0.25">
      <c r="A5713" s="2">
        <v>5708</v>
      </c>
      <c r="B5713" s="39">
        <v>925740574</v>
      </c>
      <c r="C5713" s="28" t="str">
        <f>HYPERLINK("https://pld.live/RapDetail.aspx?STONELIST=925740574","DNA")</f>
        <v>DNA</v>
      </c>
      <c r="D5713" s="18" t="s">
        <v>5466</v>
      </c>
      <c r="E5713" s="18" t="s">
        <v>5128</v>
      </c>
      <c r="F5713" s="2" t="s">
        <v>5597</v>
      </c>
      <c r="G5713" s="2" t="s">
        <v>7322</v>
      </c>
      <c r="H5713" s="14">
        <v>0.59</v>
      </c>
      <c r="I5713" s="2" t="s">
        <v>4761</v>
      </c>
      <c r="J5713" s="2" t="s">
        <v>5144</v>
      </c>
      <c r="K5713" s="2" t="s">
        <v>1452</v>
      </c>
      <c r="L5713" s="2" t="s">
        <v>5221</v>
      </c>
      <c r="M5713" s="2" t="s">
        <v>5721</v>
      </c>
      <c r="N5713" s="2" t="s">
        <v>2317</v>
      </c>
      <c r="O5713" s="14">
        <v>2300</v>
      </c>
      <c r="P5713" s="14">
        <v>90.7</v>
      </c>
      <c r="Q5713" s="14">
        <v>213.9</v>
      </c>
      <c r="R5713" s="14">
        <v>126.2</v>
      </c>
      <c r="S5713" s="2" t="s">
        <v>2380</v>
      </c>
      <c r="T5713" s="2">
        <v>1.42</v>
      </c>
      <c r="U5713" s="2">
        <v>67.099999999999994</v>
      </c>
      <c r="V5713" s="2">
        <v>65</v>
      </c>
      <c r="W5713" s="2" t="s">
        <v>7862</v>
      </c>
      <c r="X5713" s="2" t="s">
        <v>2897</v>
      </c>
      <c r="Y5713" s="2">
        <v>1357</v>
      </c>
      <c r="Z5713" s="19" t="str">
        <f>HYPERLINK("https://ssdweb.co/ssdweb/hd/Vision360.html?d=925740574&amp;zoomslide=1&amp;z=1925740574&amp;ISCONFIRM=0","VIDEO")</f>
        <v>VIDEO</v>
      </c>
      <c r="AA5713" s="19" t="str">
        <f>HYPERLINK("https://ssdweb.co/ssdweb/CERTH/2487632913.pdf","CERTI")</f>
        <v>CERTI</v>
      </c>
    </row>
    <row r="5714" spans="1:27" ht="15" x14ac:dyDescent="0.25">
      <c r="A5714" s="2">
        <v>5709</v>
      </c>
      <c r="B5714" s="39">
        <v>925040315</v>
      </c>
      <c r="C5714" s="28" t="str">
        <f>HYPERLINK("https://pld.live/RapDetail.aspx?STONELIST=925040315","DNA")</f>
        <v>DNA</v>
      </c>
      <c r="D5714" s="18" t="s">
        <v>5466</v>
      </c>
      <c r="E5714" s="18" t="s">
        <v>5128</v>
      </c>
      <c r="F5714" s="2" t="s">
        <v>7987</v>
      </c>
      <c r="G5714" s="2" t="s">
        <v>7322</v>
      </c>
      <c r="H5714" s="14">
        <v>0.57999999999999996</v>
      </c>
      <c r="I5714" s="2" t="s">
        <v>267</v>
      </c>
      <c r="J5714" s="2" t="s">
        <v>6555</v>
      </c>
      <c r="K5714" s="2" t="s">
        <v>1452</v>
      </c>
      <c r="L5714" s="2" t="s">
        <v>5221</v>
      </c>
      <c r="M5714" s="2" t="s">
        <v>5221</v>
      </c>
      <c r="N5714" s="2" t="s">
        <v>2317</v>
      </c>
      <c r="O5714" s="14">
        <v>3000</v>
      </c>
      <c r="P5714" s="14">
        <v>93.77</v>
      </c>
      <c r="Q5714" s="14">
        <v>186.9</v>
      </c>
      <c r="R5714" s="14">
        <v>108.4</v>
      </c>
      <c r="S5714" s="2" t="s">
        <v>4697</v>
      </c>
      <c r="T5714" s="2">
        <v>1.41</v>
      </c>
      <c r="U5714" s="2">
        <v>67.400000000000006</v>
      </c>
      <c r="V5714" s="2">
        <v>63</v>
      </c>
      <c r="W5714" s="2" t="s">
        <v>7862</v>
      </c>
      <c r="X5714" s="2" t="s">
        <v>2897</v>
      </c>
      <c r="Y5714" s="2">
        <v>1740</v>
      </c>
      <c r="Z5714" s="19" t="str">
        <f>HYPERLINK("https://ssdweb.co/ssdweb/hd/Vision360.html?d=925040315&amp;zoomslide=1&amp;z=1925040315&amp;ISCONFIRM=0","VIDEO")</f>
        <v>VIDEO</v>
      </c>
      <c r="AA5714" s="19" t="str">
        <f>HYPERLINK("https://ssdweb.co/ssdweb/CERTH/613349652.pdf","CERTI")</f>
        <v>CERTI</v>
      </c>
    </row>
    <row r="5715" spans="1:27" ht="15" x14ac:dyDescent="0.25">
      <c r="A5715" s="2">
        <v>5710</v>
      </c>
      <c r="B5715" s="39">
        <v>925090906</v>
      </c>
      <c r="C5715" s="28" t="str">
        <f>HYPERLINK("https://pld.live/RapDetail.aspx?STONELIST=925090906","DNA")</f>
        <v>DNA</v>
      </c>
      <c r="D5715" s="18" t="s">
        <v>5466</v>
      </c>
      <c r="E5715" s="18" t="s">
        <v>5128</v>
      </c>
      <c r="F5715" s="2" t="s">
        <v>7987</v>
      </c>
      <c r="G5715" s="2" t="s">
        <v>7322</v>
      </c>
      <c r="H5715" s="14">
        <v>0.57999999999999996</v>
      </c>
      <c r="I5715" s="2" t="s">
        <v>267</v>
      </c>
      <c r="J5715" s="2" t="s">
        <v>6555</v>
      </c>
      <c r="K5715" s="2" t="s">
        <v>1452</v>
      </c>
      <c r="L5715" s="2" t="s">
        <v>5221</v>
      </c>
      <c r="M5715" s="2" t="s">
        <v>5221</v>
      </c>
      <c r="N5715" s="2" t="s">
        <v>2317</v>
      </c>
      <c r="O5715" s="14">
        <v>3000</v>
      </c>
      <c r="P5715" s="14">
        <v>93.77</v>
      </c>
      <c r="Q5715" s="14">
        <v>186.9</v>
      </c>
      <c r="R5715" s="14">
        <v>108.4</v>
      </c>
      <c r="S5715" s="2" t="s">
        <v>3373</v>
      </c>
      <c r="T5715" s="2">
        <v>1.41</v>
      </c>
      <c r="U5715" s="2">
        <v>67.599999999999994</v>
      </c>
      <c r="V5715" s="2">
        <v>68</v>
      </c>
      <c r="W5715" s="2" t="s">
        <v>7862</v>
      </c>
      <c r="X5715" s="2" t="s">
        <v>2897</v>
      </c>
      <c r="Y5715" s="2">
        <v>1740</v>
      </c>
      <c r="Z5715" s="19" t="str">
        <f>HYPERLINK("https://ssdweb.co/ssdweb/hd/Vision360.html?d=925090906&amp;zoomslide=1&amp;z=1925090906&amp;ISCONFIRM=0","VIDEO")</f>
        <v>VIDEO</v>
      </c>
      <c r="AA5715" s="19" t="str">
        <f>HYPERLINK("https://ssdweb.co/ssdweb/CERTH/613349648.pdf","CERTI")</f>
        <v>CERTI</v>
      </c>
    </row>
    <row r="5716" spans="1:27" ht="15" x14ac:dyDescent="0.25">
      <c r="A5716" s="2">
        <v>5711</v>
      </c>
      <c r="B5716" s="39">
        <v>925090950</v>
      </c>
      <c r="C5716" s="28" t="str">
        <f>HYPERLINK("https://pld.live/RapDetail.aspx?STONELIST=925090950","DNA")</f>
        <v>DNA</v>
      </c>
      <c r="D5716" s="18" t="s">
        <v>5466</v>
      </c>
      <c r="E5716" s="18" t="s">
        <v>5128</v>
      </c>
      <c r="F5716" s="2" t="s">
        <v>7987</v>
      </c>
      <c r="G5716" s="2" t="s">
        <v>7322</v>
      </c>
      <c r="H5716" s="14">
        <v>0.57999999999999996</v>
      </c>
      <c r="I5716" s="2" t="s">
        <v>267</v>
      </c>
      <c r="J5716" s="2" t="s">
        <v>6555</v>
      </c>
      <c r="K5716" s="2" t="s">
        <v>1452</v>
      </c>
      <c r="L5716" s="2" t="s">
        <v>5221</v>
      </c>
      <c r="M5716" s="2" t="s">
        <v>5221</v>
      </c>
      <c r="N5716" s="2" t="s">
        <v>2317</v>
      </c>
      <c r="O5716" s="14">
        <v>3000</v>
      </c>
      <c r="P5716" s="14">
        <v>93.77</v>
      </c>
      <c r="Q5716" s="14">
        <v>186.9</v>
      </c>
      <c r="R5716" s="14">
        <v>108.4</v>
      </c>
      <c r="S5716" s="2" t="s">
        <v>6130</v>
      </c>
      <c r="T5716" s="2">
        <v>1.4</v>
      </c>
      <c r="U5716" s="2">
        <v>66.599999999999994</v>
      </c>
      <c r="V5716" s="2">
        <v>66</v>
      </c>
      <c r="W5716" s="2" t="s">
        <v>7862</v>
      </c>
      <c r="X5716" s="2" t="s">
        <v>2897</v>
      </c>
      <c r="Y5716" s="2">
        <v>1740</v>
      </c>
      <c r="Z5716" s="19" t="str">
        <f>HYPERLINK("https://ssdweb.co/ssdweb/hd/Vision360.html?d=925090950&amp;zoomslide=1&amp;z=1925090950&amp;ISCONFIRM=0","VIDEO")</f>
        <v>VIDEO</v>
      </c>
      <c r="AA5716" s="19" t="str">
        <f>HYPERLINK("https://ssdweb.co/ssdweb/CERTH/613355457.pdf","CERTI")</f>
        <v>CERTI</v>
      </c>
    </row>
    <row r="5717" spans="1:27" ht="15" x14ac:dyDescent="0.25">
      <c r="A5717" s="2">
        <v>5712</v>
      </c>
      <c r="B5717" s="39">
        <v>924460739</v>
      </c>
      <c r="C5717" s="28" t="str">
        <f>HYPERLINK("https://pld.live/RapDetail.aspx?STONELIST=924460739","DNA")</f>
        <v>DNA</v>
      </c>
      <c r="D5717" s="18" t="s">
        <v>5466</v>
      </c>
      <c r="E5717" s="18" t="s">
        <v>5128</v>
      </c>
      <c r="F5717" s="2" t="s">
        <v>7987</v>
      </c>
      <c r="G5717" s="2" t="s">
        <v>7322</v>
      </c>
      <c r="H5717" s="14">
        <v>0.57999999999999996</v>
      </c>
      <c r="I5717" s="2" t="s">
        <v>4761</v>
      </c>
      <c r="J5717" s="2" t="s">
        <v>7032</v>
      </c>
      <c r="K5717" s="2" t="s">
        <v>1452</v>
      </c>
      <c r="L5717" s="2" t="s">
        <v>5221</v>
      </c>
      <c r="M5717" s="2" t="s">
        <v>5221</v>
      </c>
      <c r="N5717" s="2" t="s">
        <v>2317</v>
      </c>
      <c r="O5717" s="14">
        <v>3000</v>
      </c>
      <c r="P5717" s="14">
        <v>92.6</v>
      </c>
      <c r="Q5717" s="14">
        <v>222</v>
      </c>
      <c r="R5717" s="14">
        <v>128.76</v>
      </c>
      <c r="S5717" s="2" t="s">
        <v>518</v>
      </c>
      <c r="T5717" s="2">
        <v>1.41</v>
      </c>
      <c r="U5717" s="2">
        <v>67</v>
      </c>
      <c r="V5717" s="2">
        <v>65</v>
      </c>
      <c r="W5717" s="2" t="s">
        <v>7862</v>
      </c>
      <c r="X5717" s="2" t="s">
        <v>2897</v>
      </c>
      <c r="Y5717" s="2">
        <v>1740</v>
      </c>
      <c r="Z5717" s="19" t="str">
        <f>HYPERLINK("https://ssdweb.co/ssdweb/hd/Vision360.html?d=924460739&amp;zoomslide=1&amp;z=1924460739&amp;ISCONFIRM=0","VIDEO")</f>
        <v>VIDEO</v>
      </c>
      <c r="AA5717" s="19" t="str">
        <f>HYPERLINK("https://ssdweb.co/ssdweb/CERTH/601323453.pdf","CERTI")</f>
        <v>CERTI</v>
      </c>
    </row>
    <row r="5718" spans="1:27" ht="15" x14ac:dyDescent="0.25">
      <c r="A5718" s="2">
        <v>5713</v>
      </c>
      <c r="B5718" s="39">
        <v>831010498</v>
      </c>
      <c r="C5718" s="28" t="str">
        <f>HYPERLINK("https://pld.live/RapDetail.aspx?STONELIST=831010498","DNA")</f>
        <v>DNA</v>
      </c>
      <c r="D5718" s="18" t="s">
        <v>5466</v>
      </c>
      <c r="E5718" s="18" t="s">
        <v>5128</v>
      </c>
      <c r="F5718" s="2" t="s">
        <v>7987</v>
      </c>
      <c r="G5718" s="2" t="s">
        <v>7322</v>
      </c>
      <c r="H5718" s="14">
        <v>0.56999999999999995</v>
      </c>
      <c r="I5718" s="2" t="s">
        <v>267</v>
      </c>
      <c r="J5718" s="2" t="s">
        <v>13</v>
      </c>
      <c r="K5718" s="2" t="s">
        <v>1452</v>
      </c>
      <c r="L5718" s="2" t="s">
        <v>5221</v>
      </c>
      <c r="M5718" s="2" t="s">
        <v>5221</v>
      </c>
      <c r="N5718" s="2" t="s">
        <v>2317</v>
      </c>
      <c r="O5718" s="14">
        <v>2600</v>
      </c>
      <c r="P5718" s="14">
        <v>94.15</v>
      </c>
      <c r="Q5718" s="14">
        <v>152.1</v>
      </c>
      <c r="R5718" s="14">
        <v>86.7</v>
      </c>
      <c r="S5718" s="2" t="s">
        <v>7555</v>
      </c>
      <c r="T5718" s="2">
        <v>1.41</v>
      </c>
      <c r="U5718" s="2">
        <v>67.2</v>
      </c>
      <c r="V5718" s="2">
        <v>66</v>
      </c>
      <c r="W5718" s="2" t="s">
        <v>7862</v>
      </c>
      <c r="X5718" s="2" t="s">
        <v>2897</v>
      </c>
      <c r="Y5718" s="2">
        <v>1482</v>
      </c>
      <c r="Z5718" s="19" t="str">
        <f>HYPERLINK("https://ssdweb.co/ssdweb/hd/Vision360.html?d=831010498&amp;zoomslide=1&amp;z=1831010498&amp;ISCONFIRM=0","VIDEO")</f>
        <v>VIDEO</v>
      </c>
      <c r="AA5718" s="19" t="str">
        <f>HYPERLINK("https://ssdweb.co/ssdweb/CERTH/614319344.pdf","CERTI")</f>
        <v>CERTI</v>
      </c>
    </row>
    <row r="5719" spans="1:27" ht="15" x14ac:dyDescent="0.25">
      <c r="A5719" s="2">
        <v>5714</v>
      </c>
      <c r="B5719" s="39">
        <v>925040384</v>
      </c>
      <c r="C5719" s="28" t="str">
        <f>HYPERLINK("https://pld.live/RapDetail.aspx?STONELIST=925040384","DNA")</f>
        <v>DNA</v>
      </c>
      <c r="D5719" s="18" t="s">
        <v>5466</v>
      </c>
      <c r="E5719" s="18" t="s">
        <v>5128</v>
      </c>
      <c r="F5719" s="2" t="s">
        <v>7987</v>
      </c>
      <c r="G5719" s="2" t="s">
        <v>7322</v>
      </c>
      <c r="H5719" s="14">
        <v>0.56999999999999995</v>
      </c>
      <c r="I5719" s="2" t="s">
        <v>267</v>
      </c>
      <c r="J5719" s="2" t="s">
        <v>13</v>
      </c>
      <c r="K5719" s="2" t="s">
        <v>1452</v>
      </c>
      <c r="L5719" s="2" t="s">
        <v>5721</v>
      </c>
      <c r="M5719" s="2" t="s">
        <v>5221</v>
      </c>
      <c r="N5719" s="2" t="s">
        <v>2317</v>
      </c>
      <c r="O5719" s="14">
        <v>2600</v>
      </c>
      <c r="P5719" s="14">
        <v>94.23</v>
      </c>
      <c r="Q5719" s="14">
        <v>150.02000000000001</v>
      </c>
      <c r="R5719" s="14">
        <v>85.51</v>
      </c>
      <c r="S5719" s="2" t="s">
        <v>7640</v>
      </c>
      <c r="T5719" s="2">
        <v>1.41</v>
      </c>
      <c r="U5719" s="2">
        <v>68.400000000000006</v>
      </c>
      <c r="V5719" s="2">
        <v>66</v>
      </c>
      <c r="W5719" s="2" t="s">
        <v>7862</v>
      </c>
      <c r="X5719" s="2" t="s">
        <v>2897</v>
      </c>
      <c r="Y5719" s="2">
        <v>1482</v>
      </c>
      <c r="Z5719" s="19" t="str">
        <f>HYPERLINK("https://ssdweb.co/ssdweb/hd/Vision360.html?d=925040384&amp;zoomslide=1&amp;z=1925040384&amp;ISCONFIRM=0","VIDEO")</f>
        <v>VIDEO</v>
      </c>
      <c r="AA5719" s="19" t="str">
        <f>HYPERLINK("https://ssdweb.co/ssdweb/CERTH/615370315.pdf","CERTI")</f>
        <v>CERTI</v>
      </c>
    </row>
    <row r="5720" spans="1:27" ht="15" x14ac:dyDescent="0.25">
      <c r="A5720" s="2">
        <v>5715</v>
      </c>
      <c r="B5720" s="39">
        <v>924410868</v>
      </c>
      <c r="C5720" s="28" t="str">
        <f>HYPERLINK("https://pld.live/RapDetail.aspx?STONELIST=924410868","DNA")</f>
        <v>DNA</v>
      </c>
      <c r="D5720" s="18" t="s">
        <v>5466</v>
      </c>
      <c r="E5720" s="18" t="s">
        <v>2186</v>
      </c>
      <c r="F5720" s="2" t="s">
        <v>5597</v>
      </c>
      <c r="G5720" s="2" t="s">
        <v>7322</v>
      </c>
      <c r="H5720" s="14">
        <v>0.56999999999999995</v>
      </c>
      <c r="I5720" s="2" t="s">
        <v>4699</v>
      </c>
      <c r="J5720" s="2" t="s">
        <v>13</v>
      </c>
      <c r="K5720" s="2" t="s">
        <v>1452</v>
      </c>
      <c r="L5720" s="2" t="s">
        <v>5221</v>
      </c>
      <c r="M5720" s="2" t="s">
        <v>5221</v>
      </c>
      <c r="N5720" s="2" t="s">
        <v>2317</v>
      </c>
      <c r="O5720" s="14">
        <v>2400</v>
      </c>
      <c r="P5720" s="14">
        <v>91.04</v>
      </c>
      <c r="Q5720" s="14">
        <v>215.04</v>
      </c>
      <c r="R5720" s="14">
        <v>122.57</v>
      </c>
      <c r="S5720" s="2" t="s">
        <v>381</v>
      </c>
      <c r="T5720" s="2">
        <v>1.4</v>
      </c>
      <c r="U5720" s="2">
        <v>67.099999999999994</v>
      </c>
      <c r="V5720" s="2">
        <v>67</v>
      </c>
      <c r="W5720" s="2" t="s">
        <v>7862</v>
      </c>
      <c r="X5720" s="2" t="s">
        <v>2897</v>
      </c>
      <c r="Y5720" s="2">
        <v>1368</v>
      </c>
      <c r="Z5720" s="19" t="str">
        <f>HYPERLINK("https://ssdweb.co/ssdweb/hd/Vision360.html?d=924410868&amp;zoomslide=1&amp;z=1924410868&amp;ISCONFIRM=0","VIDEO")</f>
        <v>VIDEO</v>
      </c>
      <c r="AA5720" s="19" t="str">
        <f>HYPERLINK("https://ssdweb.co/ssdweb/CERTH/6472567854.pdf","CERTI")</f>
        <v>CERTI</v>
      </c>
    </row>
    <row r="5721" spans="1:27" ht="15" x14ac:dyDescent="0.25">
      <c r="A5721" s="2">
        <v>5716</v>
      </c>
      <c r="B5721" s="39">
        <v>924730260</v>
      </c>
      <c r="C5721" s="28" t="str">
        <f>HYPERLINK("https://pld.live/RapDetail.aspx?STONELIST=924730260","DNA")</f>
        <v>DNA</v>
      </c>
      <c r="D5721" s="18" t="s">
        <v>5466</v>
      </c>
      <c r="E5721" s="18" t="s">
        <v>5128</v>
      </c>
      <c r="F5721" s="2" t="s">
        <v>5597</v>
      </c>
      <c r="G5721" s="2" t="s">
        <v>7322</v>
      </c>
      <c r="H5721" s="14">
        <v>0.56000000000000005</v>
      </c>
      <c r="I5721" s="2" t="s">
        <v>267</v>
      </c>
      <c r="J5721" s="2" t="s">
        <v>6555</v>
      </c>
      <c r="K5721" s="2" t="s">
        <v>1452</v>
      </c>
      <c r="L5721" s="2" t="s">
        <v>5221</v>
      </c>
      <c r="M5721" s="2" t="s">
        <v>5721</v>
      </c>
      <c r="N5721" s="2" t="s">
        <v>2317</v>
      </c>
      <c r="O5721" s="14">
        <v>3000</v>
      </c>
      <c r="P5721" s="14">
        <v>91.17</v>
      </c>
      <c r="Q5721" s="14">
        <v>264.89999999999998</v>
      </c>
      <c r="R5721" s="14">
        <v>148.34</v>
      </c>
      <c r="S5721" s="2" t="s">
        <v>3960</v>
      </c>
      <c r="T5721" s="2">
        <v>1.43</v>
      </c>
      <c r="U5721" s="2">
        <v>65.099999999999994</v>
      </c>
      <c r="V5721" s="2">
        <v>66</v>
      </c>
      <c r="W5721" s="2" t="s">
        <v>7862</v>
      </c>
      <c r="X5721" s="2" t="s">
        <v>2897</v>
      </c>
      <c r="Y5721" s="2">
        <v>1680</v>
      </c>
      <c r="Z5721" s="19" t="str">
        <f>HYPERLINK("https://ssdweb.co/ssdweb/hd/Vision360.html?d=924730260&amp;zoomslide=1&amp;z=1924730260&amp;ISCONFIRM=0","VIDEO")</f>
        <v>VIDEO</v>
      </c>
      <c r="AA5721" s="19" t="str">
        <f>HYPERLINK("https://ssdweb.co/ssdweb/CERTH/5476710282.pdf","CERTI")</f>
        <v>CERTI</v>
      </c>
    </row>
    <row r="5722" spans="1:27" ht="15" x14ac:dyDescent="0.25">
      <c r="A5722" s="2">
        <v>5717</v>
      </c>
      <c r="B5722" s="39">
        <v>924560543</v>
      </c>
      <c r="C5722" s="28" t="str">
        <f>HYPERLINK("https://pld.live/RapDetail.aspx?STONELIST=924560543","DNA")</f>
        <v>DNA</v>
      </c>
      <c r="D5722" s="18" t="s">
        <v>5466</v>
      </c>
      <c r="E5722" s="18" t="s">
        <v>5128</v>
      </c>
      <c r="F5722" s="2" t="s">
        <v>7987</v>
      </c>
      <c r="G5722" s="2" t="s">
        <v>7322</v>
      </c>
      <c r="H5722" s="14">
        <v>0.56000000000000005</v>
      </c>
      <c r="I5722" s="2" t="s">
        <v>4761</v>
      </c>
      <c r="J5722" s="2" t="s">
        <v>7032</v>
      </c>
      <c r="K5722" s="2" t="s">
        <v>1452</v>
      </c>
      <c r="L5722" s="2" t="s">
        <v>5221</v>
      </c>
      <c r="M5722" s="2" t="s">
        <v>5221</v>
      </c>
      <c r="N5722" s="2" t="s">
        <v>2317</v>
      </c>
      <c r="O5722" s="14">
        <v>3000</v>
      </c>
      <c r="P5722" s="14">
        <v>92.6</v>
      </c>
      <c r="Q5722" s="14">
        <v>222</v>
      </c>
      <c r="R5722" s="14">
        <v>124.32</v>
      </c>
      <c r="S5722" s="2" t="s">
        <v>356</v>
      </c>
      <c r="T5722" s="2">
        <v>1.43</v>
      </c>
      <c r="U5722" s="2">
        <v>67.2</v>
      </c>
      <c r="V5722" s="2">
        <v>67</v>
      </c>
      <c r="W5722" s="2" t="s">
        <v>7862</v>
      </c>
      <c r="X5722" s="2" t="s">
        <v>2897</v>
      </c>
      <c r="Y5722" s="2">
        <v>1680</v>
      </c>
      <c r="Z5722" s="19" t="str">
        <f>HYPERLINK("https://ssdweb.co/ssdweb/hd/Vision360.html?d=924560543&amp;zoomslide=1&amp;z=1924560543&amp;ISCONFIRM=0","VIDEO")</f>
        <v>VIDEO</v>
      </c>
      <c r="AA5722" s="19" t="str">
        <f>HYPERLINK("https://ssdweb.co/ssdweb/CERTH/602315818.pdf","CERTI")</f>
        <v>CERTI</v>
      </c>
    </row>
    <row r="5723" spans="1:27" ht="15" x14ac:dyDescent="0.25">
      <c r="A5723" s="2">
        <v>5718</v>
      </c>
      <c r="B5723" s="39">
        <v>926180562</v>
      </c>
      <c r="C5723" s="28" t="str">
        <f>HYPERLINK("https://pld.live/RapDetail.aspx?STONELIST=926180562","DNA")</f>
        <v>DNA</v>
      </c>
      <c r="D5723" s="18" t="s">
        <v>5466</v>
      </c>
      <c r="E5723" s="18" t="s">
        <v>5128</v>
      </c>
      <c r="F5723" s="2" t="s">
        <v>7987</v>
      </c>
      <c r="G5723" s="2" t="s">
        <v>7322</v>
      </c>
      <c r="H5723" s="14">
        <v>0.56000000000000005</v>
      </c>
      <c r="I5723" s="2" t="s">
        <v>4761</v>
      </c>
      <c r="J5723" s="2" t="s">
        <v>3942</v>
      </c>
      <c r="K5723" s="2" t="s">
        <v>1452</v>
      </c>
      <c r="L5723" s="2" t="s">
        <v>5221</v>
      </c>
      <c r="M5723" s="2" t="s">
        <v>5721</v>
      </c>
      <c r="N5723" s="2" t="s">
        <v>2317</v>
      </c>
      <c r="O5723" s="14">
        <v>2600</v>
      </c>
      <c r="P5723" s="14">
        <v>94.15</v>
      </c>
      <c r="Q5723" s="14">
        <v>152.1</v>
      </c>
      <c r="R5723" s="14">
        <v>85.18</v>
      </c>
      <c r="S5723" s="2" t="s">
        <v>2033</v>
      </c>
      <c r="T5723" s="2">
        <v>1.37</v>
      </c>
      <c r="U5723" s="2">
        <v>67.099999999999994</v>
      </c>
      <c r="V5723" s="2">
        <v>61</v>
      </c>
      <c r="W5723" s="2" t="s">
        <v>7862</v>
      </c>
      <c r="X5723" s="2" t="s">
        <v>2897</v>
      </c>
      <c r="Y5723" s="2">
        <v>1456</v>
      </c>
      <c r="Z5723" s="19" t="str">
        <f>HYPERLINK("https://ssdweb.co/ssdweb/hd/Vision360.html?d=926180562&amp;zoomslide=1&amp;z=1926180562&amp;ISCONFIRM=0","VIDEO")</f>
        <v>VIDEO</v>
      </c>
      <c r="AA5723" s="19" t="str">
        <f>HYPERLINK("https://ssdweb.co/ssdweb/CERTH/634472275.pdf","CERTI")</f>
        <v>CERTI</v>
      </c>
    </row>
    <row r="5724" spans="1:27" ht="15" x14ac:dyDescent="0.25">
      <c r="A5724" s="2">
        <v>5719</v>
      </c>
      <c r="B5724" s="39">
        <v>924580405</v>
      </c>
      <c r="C5724" s="28" t="str">
        <f>HYPERLINK("https://pld.live/RapDetail.aspx?STONELIST=924580405","DNA")</f>
        <v>DNA</v>
      </c>
      <c r="D5724" s="18" t="s">
        <v>5466</v>
      </c>
      <c r="E5724" s="18" t="s">
        <v>5128</v>
      </c>
      <c r="F5724" s="2" t="s">
        <v>7987</v>
      </c>
      <c r="G5724" s="2" t="s">
        <v>7322</v>
      </c>
      <c r="H5724" s="14">
        <v>0.55000000000000004</v>
      </c>
      <c r="I5724" s="2" t="s">
        <v>267</v>
      </c>
      <c r="J5724" s="2" t="s">
        <v>7032</v>
      </c>
      <c r="K5724" s="2" t="s">
        <v>1452</v>
      </c>
      <c r="L5724" s="2" t="s">
        <v>5221</v>
      </c>
      <c r="M5724" s="2" t="s">
        <v>5221</v>
      </c>
      <c r="N5724" s="2" t="s">
        <v>2317</v>
      </c>
      <c r="O5724" s="14">
        <v>3300</v>
      </c>
      <c r="P5724" s="14">
        <v>92.67</v>
      </c>
      <c r="Q5724" s="14">
        <v>241.89</v>
      </c>
      <c r="R5724" s="14">
        <v>133.04</v>
      </c>
      <c r="S5724" s="2" t="s">
        <v>5182</v>
      </c>
      <c r="T5724" s="2">
        <v>1.41</v>
      </c>
      <c r="U5724" s="2">
        <v>66.5</v>
      </c>
      <c r="V5724" s="2">
        <v>63</v>
      </c>
      <c r="W5724" s="2" t="s">
        <v>7862</v>
      </c>
      <c r="X5724" s="2" t="s">
        <v>2897</v>
      </c>
      <c r="Y5724" s="2">
        <v>1815</v>
      </c>
      <c r="Z5724" s="19" t="str">
        <f>HYPERLINK("https://ssdweb.co/ssdweb/hd/Vision360.html?d=924580405&amp;zoomslide=1&amp;z=1924580405&amp;ISCONFIRM=0","VIDEO")</f>
        <v>VIDEO</v>
      </c>
      <c r="AA5724" s="19" t="str">
        <f>HYPERLINK("https://ssdweb.co/ssdweb/CERTH/602315926.pdf","CERTI")</f>
        <v>CERTI</v>
      </c>
    </row>
    <row r="5725" spans="1:27" ht="15" x14ac:dyDescent="0.25">
      <c r="A5725" s="2">
        <v>5720</v>
      </c>
      <c r="B5725" s="39">
        <v>926220269</v>
      </c>
      <c r="C5725" s="28" t="str">
        <f>HYPERLINK("https://pld.live/RapDetail.aspx?STONELIST=926220269","DNA")</f>
        <v>DNA</v>
      </c>
      <c r="D5725" s="18" t="s">
        <v>5466</v>
      </c>
      <c r="E5725" s="18" t="s">
        <v>5128</v>
      </c>
      <c r="F5725" s="2" t="s">
        <v>7987</v>
      </c>
      <c r="G5725" s="2" t="s">
        <v>7322</v>
      </c>
      <c r="H5725" s="14">
        <v>0.55000000000000004</v>
      </c>
      <c r="I5725" s="2" t="s">
        <v>267</v>
      </c>
      <c r="J5725" s="2" t="s">
        <v>5144</v>
      </c>
      <c r="K5725" s="2" t="s">
        <v>1452</v>
      </c>
      <c r="L5725" s="2" t="s">
        <v>5221</v>
      </c>
      <c r="M5725" s="2" t="s">
        <v>5221</v>
      </c>
      <c r="N5725" s="2" t="s">
        <v>2317</v>
      </c>
      <c r="O5725" s="14">
        <v>2400</v>
      </c>
      <c r="P5725" s="14">
        <v>94</v>
      </c>
      <c r="Q5725" s="14">
        <v>144</v>
      </c>
      <c r="R5725" s="14">
        <v>79.2</v>
      </c>
      <c r="S5725" s="2" t="s">
        <v>6970</v>
      </c>
      <c r="T5725" s="2">
        <v>1.39</v>
      </c>
      <c r="U5725" s="2">
        <v>67.8</v>
      </c>
      <c r="V5725" s="2">
        <v>67</v>
      </c>
      <c r="W5725" s="2" t="s">
        <v>7862</v>
      </c>
      <c r="X5725" s="2" t="s">
        <v>2897</v>
      </c>
      <c r="Y5725" s="2">
        <v>1320</v>
      </c>
      <c r="Z5725" s="19" t="str">
        <f>HYPERLINK("https://ssdweb.co/ssdweb/hd/Vision360.html?d=926220269&amp;zoomslide=1&amp;z=1926220269&amp;ISCONFIRM=0","VIDEO")</f>
        <v>VIDEO</v>
      </c>
      <c r="AA5725" s="19" t="str">
        <f>HYPERLINK("https://ssdweb.co/ssdweb/CERTH/634431376.pdf","CERTI")</f>
        <v>CERTI</v>
      </c>
    </row>
    <row r="5726" spans="1:27" ht="15" x14ac:dyDescent="0.25">
      <c r="A5726" s="2">
        <v>5721</v>
      </c>
      <c r="B5726" s="39">
        <v>925740130</v>
      </c>
      <c r="C5726" s="28" t="str">
        <f>HYPERLINK("https://pld.live/RapDetail.aspx?STONELIST=925740130","DNA")</f>
        <v>DNA</v>
      </c>
      <c r="D5726" s="18" t="s">
        <v>5466</v>
      </c>
      <c r="E5726" s="18" t="s">
        <v>5128</v>
      </c>
      <c r="F5726" s="2" t="s">
        <v>5597</v>
      </c>
      <c r="G5726" s="2" t="s">
        <v>7322</v>
      </c>
      <c r="H5726" s="14">
        <v>0.55000000000000004</v>
      </c>
      <c r="I5726" s="2" t="s">
        <v>267</v>
      </c>
      <c r="J5726" s="2" t="s">
        <v>5144</v>
      </c>
      <c r="K5726" s="2" t="s">
        <v>1452</v>
      </c>
      <c r="L5726" s="2" t="s">
        <v>5221</v>
      </c>
      <c r="M5726" s="2" t="s">
        <v>5721</v>
      </c>
      <c r="N5726" s="2" t="s">
        <v>2317</v>
      </c>
      <c r="O5726" s="14">
        <v>2400</v>
      </c>
      <c r="P5726" s="14">
        <v>90.67</v>
      </c>
      <c r="Q5726" s="14">
        <v>223.92</v>
      </c>
      <c r="R5726" s="14">
        <v>123.16</v>
      </c>
      <c r="S5726" s="2" t="s">
        <v>5754</v>
      </c>
      <c r="T5726" s="2">
        <v>1.41</v>
      </c>
      <c r="U5726" s="2">
        <v>67.3</v>
      </c>
      <c r="V5726" s="2">
        <v>65</v>
      </c>
      <c r="W5726" s="2" t="s">
        <v>7862</v>
      </c>
      <c r="X5726" s="2" t="s">
        <v>2897</v>
      </c>
      <c r="Y5726" s="2">
        <v>1320</v>
      </c>
      <c r="Z5726" s="19" t="str">
        <f>HYPERLINK("https://ssdweb.co/ssdweb/hd/Vision360.html?d=925740130&amp;zoomslide=1&amp;z=1925740130&amp;ISCONFIRM=0","VIDEO")</f>
        <v>VIDEO</v>
      </c>
      <c r="AA5726" s="19" t="str">
        <f>HYPERLINK("https://ssdweb.co/ssdweb/CERTH/6482587063.pdf","CERTI")</f>
        <v>CERTI</v>
      </c>
    </row>
    <row r="5727" spans="1:27" ht="15" x14ac:dyDescent="0.25">
      <c r="A5727" s="2">
        <v>5722</v>
      </c>
      <c r="B5727" s="39">
        <v>924460703</v>
      </c>
      <c r="C5727" s="28" t="str">
        <f>HYPERLINK("https://pld.live/RapDetail.aspx?STONELIST=924460703","DNA")</f>
        <v>DNA</v>
      </c>
      <c r="D5727" s="18" t="s">
        <v>5466</v>
      </c>
      <c r="E5727" s="18" t="s">
        <v>5128</v>
      </c>
      <c r="F5727" s="2" t="s">
        <v>5597</v>
      </c>
      <c r="G5727" s="2" t="s">
        <v>7322</v>
      </c>
      <c r="H5727" s="14">
        <v>0.54</v>
      </c>
      <c r="I5727" s="2" t="s">
        <v>267</v>
      </c>
      <c r="J5727" s="2" t="s">
        <v>6555</v>
      </c>
      <c r="K5727" s="2" t="s">
        <v>1452</v>
      </c>
      <c r="L5727" s="2" t="s">
        <v>5221</v>
      </c>
      <c r="M5727" s="2" t="s">
        <v>5721</v>
      </c>
      <c r="N5727" s="2" t="s">
        <v>2317</v>
      </c>
      <c r="O5727" s="14">
        <v>3000</v>
      </c>
      <c r="P5727" s="14">
        <v>91.17</v>
      </c>
      <c r="Q5727" s="14">
        <v>264.89999999999998</v>
      </c>
      <c r="R5727" s="14">
        <v>143.05000000000001</v>
      </c>
      <c r="S5727" s="2" t="s">
        <v>906</v>
      </c>
      <c r="T5727" s="2">
        <v>1.46</v>
      </c>
      <c r="U5727" s="2">
        <v>64.7</v>
      </c>
      <c r="V5727" s="2">
        <v>64</v>
      </c>
      <c r="W5727" s="2" t="s">
        <v>7862</v>
      </c>
      <c r="X5727" s="2" t="s">
        <v>2897</v>
      </c>
      <c r="Y5727" s="2">
        <v>1620</v>
      </c>
      <c r="Z5727" s="19" t="str">
        <f>HYPERLINK("https://ssdweb.co/ssdweb/hd/Vision360.html?d=924460703&amp;zoomslide=1&amp;z=1924460703&amp;ISCONFIRM=0","VIDEO")</f>
        <v>VIDEO</v>
      </c>
      <c r="AA5727" s="19" t="str">
        <f>HYPERLINK("https://ssdweb.co/ssdweb/CERTH/6475591362.pdf","CERTI")</f>
        <v>CERTI</v>
      </c>
    </row>
    <row r="5728" spans="1:27" ht="15" x14ac:dyDescent="0.25">
      <c r="A5728" s="2">
        <v>5723</v>
      </c>
      <c r="B5728" s="39">
        <v>924090157</v>
      </c>
      <c r="C5728" s="28" t="str">
        <f>HYPERLINK("https://pld.live/RapDetail.aspx?STONELIST=924090157","DNA")</f>
        <v>DNA</v>
      </c>
      <c r="D5728" s="18" t="s">
        <v>5466</v>
      </c>
      <c r="E5728" s="18" t="s">
        <v>2186</v>
      </c>
      <c r="F5728" s="2" t="s">
        <v>7987</v>
      </c>
      <c r="G5728" s="2" t="s">
        <v>7322</v>
      </c>
      <c r="H5728" s="14">
        <v>0.54</v>
      </c>
      <c r="I5728" s="2" t="s">
        <v>4761</v>
      </c>
      <c r="J5728" s="2" t="s">
        <v>7032</v>
      </c>
      <c r="K5728" s="2" t="s">
        <v>1452</v>
      </c>
      <c r="L5728" s="2" t="s">
        <v>5221</v>
      </c>
      <c r="M5728" s="2" t="s">
        <v>5221</v>
      </c>
      <c r="N5728" s="2" t="s">
        <v>2317</v>
      </c>
      <c r="O5728" s="14">
        <v>3000</v>
      </c>
      <c r="P5728" s="14">
        <v>92.6</v>
      </c>
      <c r="Q5728" s="14">
        <v>222</v>
      </c>
      <c r="R5728" s="14">
        <v>119.88</v>
      </c>
      <c r="S5728" s="2" t="s">
        <v>5773</v>
      </c>
      <c r="T5728" s="2">
        <v>1.42</v>
      </c>
      <c r="U5728" s="2">
        <v>65.8</v>
      </c>
      <c r="V5728" s="2">
        <v>59.5</v>
      </c>
      <c r="W5728" s="2" t="s">
        <v>7862</v>
      </c>
      <c r="X5728" s="2" t="s">
        <v>2897</v>
      </c>
      <c r="Y5728" s="2">
        <v>1620</v>
      </c>
      <c r="Z5728" s="19" t="str">
        <f>HYPERLINK("https://ssdweb.co/ssdweb/hd/Vision360.html?d=924090157&amp;zoomslide=1&amp;z=1924090157&amp;ISCONFIRM=0","VIDEO")</f>
        <v>VIDEO</v>
      </c>
      <c r="AA5728" s="19" t="str">
        <f>HYPERLINK("https://ssdweb.co/ssdweb/CERTH/575370096.pdf","CERTI")</f>
        <v>CERTI</v>
      </c>
    </row>
    <row r="5729" spans="1:27" ht="15" x14ac:dyDescent="0.25">
      <c r="A5729" s="2">
        <v>5724</v>
      </c>
      <c r="B5729" s="39">
        <v>941270357</v>
      </c>
      <c r="C5729" s="28" t="str">
        <f>HYPERLINK("https://pld.live/RapDetail.aspx?STONELIST=941270357","DNA")</f>
        <v>DNA</v>
      </c>
      <c r="D5729" s="18" t="s">
        <v>5466</v>
      </c>
      <c r="E5729" s="18" t="s">
        <v>5128</v>
      </c>
      <c r="F5729" s="2" t="s">
        <v>7987</v>
      </c>
      <c r="G5729" s="2" t="s">
        <v>7322</v>
      </c>
      <c r="H5729" s="14">
        <v>0.53</v>
      </c>
      <c r="I5729" s="2" t="s">
        <v>267</v>
      </c>
      <c r="J5729" s="2" t="s">
        <v>3942</v>
      </c>
      <c r="K5729" s="2" t="s">
        <v>1452</v>
      </c>
      <c r="L5729" s="2" t="s">
        <v>5221</v>
      </c>
      <c r="M5729" s="2" t="s">
        <v>5221</v>
      </c>
      <c r="N5729" s="2" t="s">
        <v>2317</v>
      </c>
      <c r="O5729" s="14">
        <v>2800</v>
      </c>
      <c r="P5729" s="14">
        <v>94.11</v>
      </c>
      <c r="Q5729" s="14">
        <v>164.92</v>
      </c>
      <c r="R5729" s="14">
        <v>87.41</v>
      </c>
      <c r="S5729" s="2" t="s">
        <v>6127</v>
      </c>
      <c r="T5729" s="2">
        <v>1.43</v>
      </c>
      <c r="U5729" s="2">
        <v>65.7</v>
      </c>
      <c r="V5729" s="2">
        <v>63</v>
      </c>
      <c r="W5729" s="2" t="s">
        <v>7862</v>
      </c>
      <c r="X5729" s="2" t="s">
        <v>2897</v>
      </c>
      <c r="Y5729" s="2">
        <v>1484</v>
      </c>
      <c r="Z5729" s="19" t="str">
        <f>HYPERLINK("https://ssdweb.co/ssdweb/hd/Vision360.html?d=941270357&amp;zoomslide=1&amp;z=1941270357&amp;ISCONFIRM=0","VIDEO")</f>
        <v>VIDEO</v>
      </c>
      <c r="AA5729" s="19" t="str">
        <f>HYPERLINK("https://ssdweb.co/ssdweb/CERTH/681569624.pdf","CERTI")</f>
        <v>CERTI</v>
      </c>
    </row>
    <row r="5730" spans="1:27" ht="15" x14ac:dyDescent="0.25">
      <c r="A5730" s="2">
        <v>5725</v>
      </c>
      <c r="B5730" s="39">
        <v>926180652</v>
      </c>
      <c r="C5730" s="28" t="str">
        <f>HYPERLINK("https://pld.live/RapDetail.aspx?STONELIST=926180652","DNA")</f>
        <v>DNA</v>
      </c>
      <c r="D5730" s="18" t="s">
        <v>5466</v>
      </c>
      <c r="E5730" s="18" t="s">
        <v>5128</v>
      </c>
      <c r="F5730" s="2" t="s">
        <v>7987</v>
      </c>
      <c r="G5730" s="2" t="s">
        <v>7322</v>
      </c>
      <c r="H5730" s="14">
        <v>0.53</v>
      </c>
      <c r="I5730" s="2" t="s">
        <v>267</v>
      </c>
      <c r="J5730" s="2" t="s">
        <v>5144</v>
      </c>
      <c r="K5730" s="2" t="s">
        <v>1452</v>
      </c>
      <c r="L5730" s="2" t="s">
        <v>5221</v>
      </c>
      <c r="M5730" s="2" t="s">
        <v>5221</v>
      </c>
      <c r="N5730" s="2" t="s">
        <v>2317</v>
      </c>
      <c r="O5730" s="14">
        <v>2400</v>
      </c>
      <c r="P5730" s="14">
        <v>94</v>
      </c>
      <c r="Q5730" s="14">
        <v>144</v>
      </c>
      <c r="R5730" s="14">
        <v>76.319999999999993</v>
      </c>
      <c r="S5730" s="2" t="s">
        <v>226</v>
      </c>
      <c r="T5730" s="2">
        <v>1.4</v>
      </c>
      <c r="U5730" s="2">
        <v>65</v>
      </c>
      <c r="V5730" s="2">
        <v>65</v>
      </c>
      <c r="W5730" s="2" t="s">
        <v>7862</v>
      </c>
      <c r="X5730" s="2" t="s">
        <v>2897</v>
      </c>
      <c r="Y5730" s="2">
        <v>1272</v>
      </c>
      <c r="Z5730" s="19" t="str">
        <f>HYPERLINK("https://ssdweb.co/ssdweb/hd/Vision360.html?d=926180652&amp;zoomslide=1&amp;z=1926180652&amp;ISCONFIRM=0","VIDEO")</f>
        <v>VIDEO</v>
      </c>
      <c r="AA5730" s="19" t="str">
        <f>HYPERLINK("https://ssdweb.co/ssdweb/CERTH/634472237.pdf","CERTI")</f>
        <v>CERTI</v>
      </c>
    </row>
    <row r="5731" spans="1:27" ht="15" x14ac:dyDescent="0.25">
      <c r="A5731" s="2">
        <v>5726</v>
      </c>
      <c r="B5731" s="39">
        <v>925740738</v>
      </c>
      <c r="C5731" s="28" t="str">
        <f>HYPERLINK("https://pld.live/RapDetail.aspx?STONELIST=925740738","DNA")</f>
        <v>DNA</v>
      </c>
      <c r="D5731" s="18" t="s">
        <v>5466</v>
      </c>
      <c r="E5731" s="18" t="s">
        <v>5128</v>
      </c>
      <c r="F5731" s="2" t="s">
        <v>5597</v>
      </c>
      <c r="G5731" s="2" t="s">
        <v>7322</v>
      </c>
      <c r="H5731" s="14">
        <v>0.53</v>
      </c>
      <c r="I5731" s="2" t="s">
        <v>4761</v>
      </c>
      <c r="J5731" s="2" t="s">
        <v>6555</v>
      </c>
      <c r="K5731" s="2" t="s">
        <v>1452</v>
      </c>
      <c r="L5731" s="2" t="s">
        <v>5221</v>
      </c>
      <c r="M5731" s="2" t="s">
        <v>5721</v>
      </c>
      <c r="N5731" s="2" t="s">
        <v>2317</v>
      </c>
      <c r="O5731" s="14">
        <v>2800</v>
      </c>
      <c r="P5731" s="14">
        <v>91.25</v>
      </c>
      <c r="Q5731" s="14">
        <v>245</v>
      </c>
      <c r="R5731" s="14">
        <v>129.85</v>
      </c>
      <c r="S5731" s="2" t="s">
        <v>1129</v>
      </c>
      <c r="T5731" s="2">
        <v>1.43</v>
      </c>
      <c r="U5731" s="2">
        <v>67.3</v>
      </c>
      <c r="V5731" s="2">
        <v>65</v>
      </c>
      <c r="W5731" s="2" t="s">
        <v>7862</v>
      </c>
      <c r="X5731" s="2" t="s">
        <v>2897</v>
      </c>
      <c r="Y5731" s="2">
        <v>1484</v>
      </c>
      <c r="Z5731" s="19" t="str">
        <f>HYPERLINK("https://ssdweb.co/ssdweb/hd/Vision360.html?d=925740738&amp;zoomslide=1&amp;z=1925740738&amp;ISCONFIRM=0","VIDEO")</f>
        <v>VIDEO</v>
      </c>
      <c r="AA5731" s="19" t="str">
        <f>HYPERLINK("https://ssdweb.co/ssdweb/CERTH/2484654415.pdf","CERTI")</f>
        <v>CERTI</v>
      </c>
    </row>
    <row r="5732" spans="1:27" ht="15" x14ac:dyDescent="0.25">
      <c r="A5732" s="2">
        <v>5727</v>
      </c>
      <c r="B5732" s="39">
        <v>831010320</v>
      </c>
      <c r="C5732" s="28" t="str">
        <f>HYPERLINK("https://pld.live/RapDetail.aspx?STONELIST=831010320","DNA")</f>
        <v>DNA</v>
      </c>
      <c r="D5732" s="18" t="s">
        <v>5466</v>
      </c>
      <c r="E5732" s="18" t="s">
        <v>5128</v>
      </c>
      <c r="F5732" s="2" t="s">
        <v>7987</v>
      </c>
      <c r="G5732" s="2" t="s">
        <v>7322</v>
      </c>
      <c r="H5732" s="14">
        <v>0.52</v>
      </c>
      <c r="I5732" s="2" t="s">
        <v>267</v>
      </c>
      <c r="J5732" s="2" t="s">
        <v>7032</v>
      </c>
      <c r="K5732" s="2" t="s">
        <v>1452</v>
      </c>
      <c r="L5732" s="2" t="s">
        <v>5221</v>
      </c>
      <c r="M5732" s="2" t="s">
        <v>5221</v>
      </c>
      <c r="N5732" s="2" t="s">
        <v>2317</v>
      </c>
      <c r="O5732" s="14">
        <v>3300</v>
      </c>
      <c r="P5732" s="14">
        <v>92.67</v>
      </c>
      <c r="Q5732" s="14">
        <v>241.89</v>
      </c>
      <c r="R5732" s="14">
        <v>125.78</v>
      </c>
      <c r="S5732" s="2" t="s">
        <v>3473</v>
      </c>
      <c r="T5732" s="2">
        <v>1.41</v>
      </c>
      <c r="U5732" s="2">
        <v>65.2</v>
      </c>
      <c r="V5732" s="2">
        <v>64</v>
      </c>
      <c r="W5732" s="2" t="s">
        <v>7862</v>
      </c>
      <c r="X5732" s="2" t="s">
        <v>2897</v>
      </c>
      <c r="Y5732" s="2">
        <v>1716</v>
      </c>
      <c r="Z5732" s="19" t="str">
        <f>HYPERLINK("https://ssdweb.co/ssdweb/hd/Vision360.html?d=831010320&amp;zoomslide=1&amp;z=1831010320&amp;ISCONFIRM=0","VIDEO")</f>
        <v>VIDEO</v>
      </c>
      <c r="AA5732" s="19" t="str">
        <f>HYPERLINK("https://ssdweb.co/ssdweb/CERTH/596330814.pdf","CERTI")</f>
        <v>CERTI</v>
      </c>
    </row>
    <row r="5733" spans="1:27" ht="15" x14ac:dyDescent="0.25">
      <c r="A5733" s="2">
        <v>5728</v>
      </c>
      <c r="B5733" s="39">
        <v>941380336</v>
      </c>
      <c r="C5733" s="28" t="str">
        <f>HYPERLINK("https://pld.live/RapDetail.aspx?STONELIST=941380336","DNA")</f>
        <v>DNA</v>
      </c>
      <c r="D5733" s="18" t="s">
        <v>5466</v>
      </c>
      <c r="E5733" s="18" t="s">
        <v>2186</v>
      </c>
      <c r="F5733" s="2" t="s">
        <v>7987</v>
      </c>
      <c r="G5733" s="2" t="s">
        <v>7322</v>
      </c>
      <c r="H5733" s="14">
        <v>0.52</v>
      </c>
      <c r="I5733" s="2" t="s">
        <v>267</v>
      </c>
      <c r="J5733" s="2" t="s">
        <v>3942</v>
      </c>
      <c r="K5733" s="2" t="s">
        <v>1452</v>
      </c>
      <c r="L5733" s="2" t="s">
        <v>5221</v>
      </c>
      <c r="M5733" s="2" t="s">
        <v>5221</v>
      </c>
      <c r="N5733" s="2" t="s">
        <v>2317</v>
      </c>
      <c r="O5733" s="14">
        <v>2800</v>
      </c>
      <c r="P5733" s="14">
        <v>94.11</v>
      </c>
      <c r="Q5733" s="14">
        <v>164.92</v>
      </c>
      <c r="R5733" s="14">
        <v>85.76</v>
      </c>
      <c r="S5733" s="2" t="s">
        <v>6348</v>
      </c>
      <c r="T5733" s="2">
        <v>1.45</v>
      </c>
      <c r="U5733" s="2">
        <v>65.400000000000006</v>
      </c>
      <c r="V5733" s="2">
        <v>62</v>
      </c>
      <c r="W5733" s="2" t="s">
        <v>7862</v>
      </c>
      <c r="X5733" s="2" t="s">
        <v>2897</v>
      </c>
      <c r="Y5733" s="2">
        <v>1456</v>
      </c>
      <c r="Z5733" s="19" t="str">
        <f>HYPERLINK("https://ssdweb.co/ssdweb/hd/Vision360.html?d=941380336&amp;zoomslide=1&amp;z=1941380336&amp;ISCONFIRM=0","VIDEO")</f>
        <v>VIDEO</v>
      </c>
      <c r="AA5733" s="19" t="str">
        <f>HYPERLINK("https://ssdweb.co/ssdweb/CERTH/692505657.pdf","CERTI")</f>
        <v>CERTI</v>
      </c>
    </row>
    <row r="5734" spans="1:27" ht="15" x14ac:dyDescent="0.25">
      <c r="A5734" s="2">
        <v>5729</v>
      </c>
      <c r="B5734" s="39">
        <v>941261045</v>
      </c>
      <c r="C5734" s="28" t="str">
        <f>HYPERLINK("https://pld.live/RapDetail.aspx?STONELIST=941261045","DNA")</f>
        <v>DNA</v>
      </c>
      <c r="D5734" s="18" t="s">
        <v>5466</v>
      </c>
      <c r="E5734" s="18" t="s">
        <v>5128</v>
      </c>
      <c r="F5734" s="2" t="s">
        <v>7987</v>
      </c>
      <c r="G5734" s="2" t="s">
        <v>7322</v>
      </c>
      <c r="H5734" s="14">
        <v>0.52</v>
      </c>
      <c r="I5734" s="2" t="s">
        <v>267</v>
      </c>
      <c r="J5734" s="2" t="s">
        <v>3942</v>
      </c>
      <c r="K5734" s="2" t="s">
        <v>1452</v>
      </c>
      <c r="L5734" s="2" t="s">
        <v>5221</v>
      </c>
      <c r="M5734" s="2" t="s">
        <v>5221</v>
      </c>
      <c r="N5734" s="2" t="s">
        <v>2317</v>
      </c>
      <c r="O5734" s="14">
        <v>2800</v>
      </c>
      <c r="P5734" s="14">
        <v>94.11</v>
      </c>
      <c r="Q5734" s="14">
        <v>164.92</v>
      </c>
      <c r="R5734" s="14">
        <v>85.76</v>
      </c>
      <c r="S5734" s="2" t="s">
        <v>5168</v>
      </c>
      <c r="T5734" s="2">
        <v>1.4</v>
      </c>
      <c r="U5734" s="2">
        <v>66.3</v>
      </c>
      <c r="V5734" s="2">
        <v>65</v>
      </c>
      <c r="W5734" s="2" t="s">
        <v>7862</v>
      </c>
      <c r="X5734" s="2" t="s">
        <v>2897</v>
      </c>
      <c r="Y5734" s="2">
        <v>1456</v>
      </c>
      <c r="Z5734" s="19" t="str">
        <f>HYPERLINK("https://ssdweb.co/ssdweb/hd/Vision360.html?d=941261045&amp;zoomslide=1&amp;z=1941261045&amp;ISCONFIRM=0","VIDEO")</f>
        <v>VIDEO</v>
      </c>
      <c r="AA5734" s="19" t="str">
        <f>HYPERLINK("https://ssdweb.co/ssdweb/CERTH/689586953.pdf","CERTI")</f>
        <v>CERTI</v>
      </c>
    </row>
    <row r="5735" spans="1:27" ht="15" x14ac:dyDescent="0.25">
      <c r="A5735" s="2">
        <v>5730</v>
      </c>
      <c r="B5735" s="39">
        <v>941160466</v>
      </c>
      <c r="C5735" s="28" t="str">
        <f>HYPERLINK("https://pld.live/RapDetail.aspx?STONELIST=941160466","DNA")</f>
        <v>DNA</v>
      </c>
      <c r="D5735" s="18" t="s">
        <v>5466</v>
      </c>
      <c r="E5735" s="18" t="s">
        <v>5128</v>
      </c>
      <c r="F5735" s="2" t="s">
        <v>7987</v>
      </c>
      <c r="G5735" s="2" t="s">
        <v>7322</v>
      </c>
      <c r="H5735" s="14">
        <v>0.52</v>
      </c>
      <c r="I5735" s="2" t="s">
        <v>267</v>
      </c>
      <c r="J5735" s="2" t="s">
        <v>3942</v>
      </c>
      <c r="K5735" s="2" t="s">
        <v>1452</v>
      </c>
      <c r="L5735" s="2" t="s">
        <v>5221</v>
      </c>
      <c r="M5735" s="2" t="s">
        <v>5221</v>
      </c>
      <c r="N5735" s="2" t="s">
        <v>2317</v>
      </c>
      <c r="O5735" s="14">
        <v>2800</v>
      </c>
      <c r="P5735" s="14">
        <v>94.11</v>
      </c>
      <c r="Q5735" s="14">
        <v>164.92</v>
      </c>
      <c r="R5735" s="14">
        <v>85.76</v>
      </c>
      <c r="S5735" s="2" t="s">
        <v>1859</v>
      </c>
      <c r="T5735" s="2">
        <v>1.46</v>
      </c>
      <c r="U5735" s="2">
        <v>65.900000000000006</v>
      </c>
      <c r="V5735" s="2">
        <v>66</v>
      </c>
      <c r="W5735" s="2" t="s">
        <v>7862</v>
      </c>
      <c r="X5735" s="2" t="s">
        <v>2897</v>
      </c>
      <c r="Y5735" s="2">
        <v>1456</v>
      </c>
      <c r="Z5735" s="19" t="str">
        <f>HYPERLINK("https://ssdweb.co/ssdweb/hd/Vision360.html?d=941160466&amp;zoomslide=1&amp;z=1941160466&amp;ISCONFIRM=0","VIDEO")</f>
        <v>VIDEO</v>
      </c>
      <c r="AA5735" s="19" t="str">
        <f>HYPERLINK("https://ssdweb.co/ssdweb/CERTH/674543006.pdf","CERTI")</f>
        <v>CERTI</v>
      </c>
    </row>
    <row r="5736" spans="1:27" ht="15" x14ac:dyDescent="0.25">
      <c r="A5736" s="2">
        <v>5731</v>
      </c>
      <c r="B5736" s="39">
        <v>927100987</v>
      </c>
      <c r="C5736" s="28" t="str">
        <f>HYPERLINK("https://pld.live/RapDetail.aspx?STONELIST=927100987","DNA")</f>
        <v>DNA</v>
      </c>
      <c r="D5736" s="18" t="s">
        <v>5466</v>
      </c>
      <c r="E5736" s="18" t="s">
        <v>5128</v>
      </c>
      <c r="F5736" s="2" t="s">
        <v>7987</v>
      </c>
      <c r="G5736" s="2" t="s">
        <v>7322</v>
      </c>
      <c r="H5736" s="14">
        <v>0.52</v>
      </c>
      <c r="I5736" s="2" t="s">
        <v>267</v>
      </c>
      <c r="J5736" s="2" t="s">
        <v>3942</v>
      </c>
      <c r="K5736" s="2" t="s">
        <v>1452</v>
      </c>
      <c r="L5736" s="2" t="s">
        <v>5221</v>
      </c>
      <c r="M5736" s="2" t="s">
        <v>5221</v>
      </c>
      <c r="N5736" s="2" t="s">
        <v>2317</v>
      </c>
      <c r="O5736" s="14">
        <v>2800</v>
      </c>
      <c r="P5736" s="14">
        <v>94.18</v>
      </c>
      <c r="Q5736" s="14">
        <v>162.96</v>
      </c>
      <c r="R5736" s="14">
        <v>84.74</v>
      </c>
      <c r="S5736" s="2" t="s">
        <v>5345</v>
      </c>
      <c r="T5736" s="2">
        <v>1.39</v>
      </c>
      <c r="U5736" s="2">
        <v>67</v>
      </c>
      <c r="V5736" s="2">
        <v>68</v>
      </c>
      <c r="W5736" s="2" t="s">
        <v>7862</v>
      </c>
      <c r="X5736" s="2" t="s">
        <v>2897</v>
      </c>
      <c r="Y5736" s="2">
        <v>1456</v>
      </c>
      <c r="Z5736" s="19" t="str">
        <f>HYPERLINK("https://ssdweb.co/ssdweb/hd/Vision360.html?d=927100987&amp;zoomslide=1&amp;z=1927100987&amp;ISCONFIRM=0","VIDEO")</f>
        <v>VIDEO</v>
      </c>
      <c r="AA5736" s="19" t="str">
        <f>HYPERLINK("https://ssdweb.co/ssdweb/CERTH/662452707.pdf","CERTI")</f>
        <v>CERTI</v>
      </c>
    </row>
    <row r="5737" spans="1:27" ht="15" x14ac:dyDescent="0.25">
      <c r="A5737" s="2">
        <v>5732</v>
      </c>
      <c r="B5737" s="39">
        <v>925740794</v>
      </c>
      <c r="C5737" s="28" t="str">
        <f>HYPERLINK("https://pld.live/RapDetail.aspx?STONELIST=925740794","DNA")</f>
        <v>DNA</v>
      </c>
      <c r="D5737" s="18" t="s">
        <v>5466</v>
      </c>
      <c r="E5737" s="18" t="s">
        <v>5128</v>
      </c>
      <c r="F5737" s="2" t="s">
        <v>5597</v>
      </c>
      <c r="G5737" s="2" t="s">
        <v>7322</v>
      </c>
      <c r="H5737" s="14">
        <v>0.52</v>
      </c>
      <c r="I5737" s="2" t="s">
        <v>267</v>
      </c>
      <c r="J5737" s="2" t="s">
        <v>3942</v>
      </c>
      <c r="K5737" s="2" t="s">
        <v>1452</v>
      </c>
      <c r="L5737" s="2" t="s">
        <v>5221</v>
      </c>
      <c r="M5737" s="2" t="s">
        <v>5721</v>
      </c>
      <c r="N5737" s="2" t="s">
        <v>2317</v>
      </c>
      <c r="O5737" s="14">
        <v>2800</v>
      </c>
      <c r="P5737" s="14">
        <v>91.29</v>
      </c>
      <c r="Q5737" s="14">
        <v>243.88</v>
      </c>
      <c r="R5737" s="14">
        <v>126.82</v>
      </c>
      <c r="S5737" s="2" t="s">
        <v>5544</v>
      </c>
      <c r="T5737" s="2">
        <v>1.4</v>
      </c>
      <c r="U5737" s="2">
        <v>67.099999999999994</v>
      </c>
      <c r="V5737" s="2">
        <v>67</v>
      </c>
      <c r="W5737" s="2" t="s">
        <v>7862</v>
      </c>
      <c r="X5737" s="2" t="s">
        <v>2897</v>
      </c>
      <c r="Y5737" s="2">
        <v>1456</v>
      </c>
      <c r="Z5737" s="19" t="str">
        <f>HYPERLINK("https://ssdweb.co/ssdweb/hd/Vision360.html?d=925740794&amp;zoomslide=1&amp;z=1925740794&amp;ISCONFIRM=0","VIDEO")</f>
        <v>VIDEO</v>
      </c>
      <c r="AA5737" s="19" t="str">
        <f>HYPERLINK("https://ssdweb.co/ssdweb/CERTH/7483692317.pdf","CERTI")</f>
        <v>CERTI</v>
      </c>
    </row>
    <row r="5738" spans="1:27" ht="15" x14ac:dyDescent="0.25">
      <c r="A5738" s="2">
        <v>5733</v>
      </c>
      <c r="B5738" s="39">
        <v>941170085</v>
      </c>
      <c r="C5738" s="28" t="str">
        <f>HYPERLINK("https://pld.live/RapDetail.aspx?STONELIST=941170085","DNA")</f>
        <v>DNA</v>
      </c>
      <c r="D5738" s="18" t="s">
        <v>5466</v>
      </c>
      <c r="E5738" s="18" t="s">
        <v>5128</v>
      </c>
      <c r="F5738" s="2" t="s">
        <v>7987</v>
      </c>
      <c r="G5738" s="2" t="s">
        <v>7322</v>
      </c>
      <c r="H5738" s="14">
        <v>0.52</v>
      </c>
      <c r="I5738" s="2" t="s">
        <v>267</v>
      </c>
      <c r="J5738" s="2" t="s">
        <v>3942</v>
      </c>
      <c r="K5738" s="2" t="s">
        <v>1452</v>
      </c>
      <c r="L5738" s="2" t="s">
        <v>5221</v>
      </c>
      <c r="M5738" s="2" t="s">
        <v>5721</v>
      </c>
      <c r="N5738" s="2" t="s">
        <v>2317</v>
      </c>
      <c r="O5738" s="14">
        <v>2800</v>
      </c>
      <c r="P5738" s="14">
        <v>94.18</v>
      </c>
      <c r="Q5738" s="14">
        <v>162.96</v>
      </c>
      <c r="R5738" s="14">
        <v>84.74</v>
      </c>
      <c r="S5738" s="2" t="s">
        <v>2645</v>
      </c>
      <c r="T5738" s="2">
        <v>1.43</v>
      </c>
      <c r="U5738" s="2">
        <v>64.099999999999994</v>
      </c>
      <c r="V5738" s="2">
        <v>67</v>
      </c>
      <c r="W5738" s="2" t="s">
        <v>7862</v>
      </c>
      <c r="X5738" s="2" t="s">
        <v>2897</v>
      </c>
      <c r="Y5738" s="2">
        <v>1456</v>
      </c>
      <c r="Z5738" s="19" t="str">
        <f>HYPERLINK("https://ssdweb.co/ssdweb/hd/Vision360.html?d=941170085&amp;zoomslide=1&amp;z=1941170085&amp;ISCONFIRM=0","VIDEO")</f>
        <v>VIDEO</v>
      </c>
      <c r="AA5738" s="19" t="str">
        <f>HYPERLINK("https://ssdweb.co/ssdweb/CERTH/674543013.pdf","CERTI")</f>
        <v>CERTI</v>
      </c>
    </row>
    <row r="5739" spans="1:27" ht="15" x14ac:dyDescent="0.25">
      <c r="A5739" s="2">
        <v>5734</v>
      </c>
      <c r="B5739" s="39">
        <v>941270766</v>
      </c>
      <c r="C5739" s="28" t="str">
        <f>HYPERLINK("https://pld.live/RapDetail.aspx?STONELIST=941270766","DNA")</f>
        <v>DNA</v>
      </c>
      <c r="D5739" s="18" t="s">
        <v>5466</v>
      </c>
      <c r="E5739" s="18" t="s">
        <v>5128</v>
      </c>
      <c r="F5739" s="2" t="s">
        <v>7987</v>
      </c>
      <c r="G5739" s="2" t="s">
        <v>7322</v>
      </c>
      <c r="H5739" s="14">
        <v>0.52</v>
      </c>
      <c r="I5739" s="2" t="s">
        <v>267</v>
      </c>
      <c r="J5739" s="2" t="s">
        <v>13</v>
      </c>
      <c r="K5739" s="2" t="s">
        <v>1452</v>
      </c>
      <c r="L5739" s="2" t="s">
        <v>5221</v>
      </c>
      <c r="M5739" s="2" t="s">
        <v>5221</v>
      </c>
      <c r="N5739" s="2" t="s">
        <v>2317</v>
      </c>
      <c r="O5739" s="14">
        <v>2600</v>
      </c>
      <c r="P5739" s="14">
        <v>93.85</v>
      </c>
      <c r="Q5739" s="14">
        <v>159.9</v>
      </c>
      <c r="R5739" s="14">
        <v>83.15</v>
      </c>
      <c r="S5739" s="2" t="s">
        <v>169</v>
      </c>
      <c r="T5739" s="2">
        <v>1.45</v>
      </c>
      <c r="U5739" s="2">
        <v>67.2</v>
      </c>
      <c r="V5739" s="2">
        <v>62</v>
      </c>
      <c r="W5739" s="2" t="s">
        <v>7862</v>
      </c>
      <c r="X5739" s="2" t="s">
        <v>2897</v>
      </c>
      <c r="Y5739" s="2">
        <v>1352</v>
      </c>
      <c r="Z5739" s="19" t="str">
        <f>HYPERLINK("https://ssdweb.co/ssdweb/hd/Vision360.html?d=941270766&amp;zoomslide=1&amp;z=1941270766&amp;ISCONFIRM=0","VIDEO")</f>
        <v>VIDEO</v>
      </c>
      <c r="AA5739" s="19" t="str">
        <f>HYPERLINK("https://ssdweb.co/ssdweb/CERTH/691533671.pdf","CERTI")</f>
        <v>CERTI</v>
      </c>
    </row>
    <row r="5740" spans="1:27" ht="15" x14ac:dyDescent="0.25">
      <c r="A5740" s="2">
        <v>5735</v>
      </c>
      <c r="B5740" s="39">
        <v>941270752</v>
      </c>
      <c r="C5740" s="28" t="str">
        <f>HYPERLINK("https://pld.live/RapDetail.aspx?STONELIST=941270752","DNA")</f>
        <v>DNA</v>
      </c>
      <c r="D5740" s="18" t="s">
        <v>5466</v>
      </c>
      <c r="E5740" s="18" t="s">
        <v>5128</v>
      </c>
      <c r="F5740" s="2" t="s">
        <v>7987</v>
      </c>
      <c r="G5740" s="2" t="s">
        <v>7322</v>
      </c>
      <c r="H5740" s="14">
        <v>0.52</v>
      </c>
      <c r="I5740" s="2" t="s">
        <v>267</v>
      </c>
      <c r="J5740" s="2" t="s">
        <v>13</v>
      </c>
      <c r="K5740" s="2" t="s">
        <v>1452</v>
      </c>
      <c r="L5740" s="2" t="s">
        <v>5221</v>
      </c>
      <c r="M5740" s="2" t="s">
        <v>5221</v>
      </c>
      <c r="N5740" s="2" t="s">
        <v>2317</v>
      </c>
      <c r="O5740" s="14">
        <v>2600</v>
      </c>
      <c r="P5740" s="14">
        <v>93.85</v>
      </c>
      <c r="Q5740" s="14">
        <v>159.9</v>
      </c>
      <c r="R5740" s="14">
        <v>83.15</v>
      </c>
      <c r="S5740" s="2" t="s">
        <v>1354</v>
      </c>
      <c r="T5740" s="2">
        <v>1.43</v>
      </c>
      <c r="U5740" s="2">
        <v>64.599999999999994</v>
      </c>
      <c r="V5740" s="2">
        <v>60</v>
      </c>
      <c r="W5740" s="2" t="s">
        <v>7862</v>
      </c>
      <c r="X5740" s="2" t="s">
        <v>2897</v>
      </c>
      <c r="Y5740" s="2">
        <v>1352</v>
      </c>
      <c r="Z5740" s="19" t="str">
        <f>HYPERLINK("https://ssdweb.co/ssdweb/hd/Vision360.html?d=941270752&amp;zoomslide=1&amp;z=1941270752&amp;ISCONFIRM=0","VIDEO")</f>
        <v>VIDEO</v>
      </c>
      <c r="AA5740" s="19" t="str">
        <f>HYPERLINK("https://ssdweb.co/ssdweb/CERTH/694508393.pdf","CERTI")</f>
        <v>CERTI</v>
      </c>
    </row>
    <row r="5741" spans="1:27" ht="15" x14ac:dyDescent="0.25">
      <c r="A5741" s="2">
        <v>5736</v>
      </c>
      <c r="B5741" s="39">
        <v>927092208</v>
      </c>
      <c r="C5741" s="28" t="str">
        <f>HYPERLINK("https://pld.live/RapDetail.aspx?STONELIST=927092208","DNA")</f>
        <v>DNA</v>
      </c>
      <c r="D5741" s="18" t="s">
        <v>5466</v>
      </c>
      <c r="E5741" s="18" t="s">
        <v>5128</v>
      </c>
      <c r="F5741" s="2" t="s">
        <v>7987</v>
      </c>
      <c r="G5741" s="2" t="s">
        <v>7322</v>
      </c>
      <c r="H5741" s="14">
        <v>0.52</v>
      </c>
      <c r="I5741" s="2" t="s">
        <v>267</v>
      </c>
      <c r="J5741" s="2" t="s">
        <v>13</v>
      </c>
      <c r="K5741" s="2" t="s">
        <v>1452</v>
      </c>
      <c r="L5741" s="2" t="s">
        <v>5221</v>
      </c>
      <c r="M5741" s="2" t="s">
        <v>5221</v>
      </c>
      <c r="N5741" s="2" t="s">
        <v>2317</v>
      </c>
      <c r="O5741" s="14">
        <v>2600</v>
      </c>
      <c r="P5741" s="14">
        <v>93.92</v>
      </c>
      <c r="Q5741" s="14">
        <v>158.08000000000001</v>
      </c>
      <c r="R5741" s="14">
        <v>82.2</v>
      </c>
      <c r="S5741" s="2" t="s">
        <v>4706</v>
      </c>
      <c r="T5741" s="2">
        <v>1.44</v>
      </c>
      <c r="U5741" s="2">
        <v>66</v>
      </c>
      <c r="V5741" s="2">
        <v>64</v>
      </c>
      <c r="W5741" s="2" t="s">
        <v>7862</v>
      </c>
      <c r="X5741" s="2" t="s">
        <v>2897</v>
      </c>
      <c r="Y5741" s="2">
        <v>1352</v>
      </c>
      <c r="Z5741" s="19" t="str">
        <f>HYPERLINK("https://ssdweb.co/ssdweb/hd/Vision360.html?d=927092208&amp;zoomslide=1&amp;z=1927092208&amp;ISCONFIRM=0","VIDEO")</f>
        <v>VIDEO</v>
      </c>
      <c r="AA5741" s="19" t="str">
        <f>HYPERLINK("https://ssdweb.co/ssdweb/CERTH/667408230.pdf","CERTI")</f>
        <v>CERTI</v>
      </c>
    </row>
    <row r="5742" spans="1:27" ht="15" x14ac:dyDescent="0.25">
      <c r="A5742" s="2">
        <v>5737</v>
      </c>
      <c r="B5742" s="39">
        <v>941160445</v>
      </c>
      <c r="C5742" s="28" t="str">
        <f>HYPERLINK("https://pld.live/RapDetail.aspx?STONELIST=941160445","DNA")</f>
        <v>DNA</v>
      </c>
      <c r="D5742" s="18" t="s">
        <v>5466</v>
      </c>
      <c r="E5742" s="18" t="s">
        <v>5128</v>
      </c>
      <c r="F5742" s="2" t="s">
        <v>7987</v>
      </c>
      <c r="G5742" s="2" t="s">
        <v>7322</v>
      </c>
      <c r="H5742" s="14">
        <v>0.52</v>
      </c>
      <c r="I5742" s="2" t="s">
        <v>267</v>
      </c>
      <c r="J5742" s="2" t="s">
        <v>13</v>
      </c>
      <c r="K5742" s="2" t="s">
        <v>1452</v>
      </c>
      <c r="L5742" s="2" t="s">
        <v>5221</v>
      </c>
      <c r="M5742" s="2" t="s">
        <v>5721</v>
      </c>
      <c r="N5742" s="2" t="s">
        <v>2317</v>
      </c>
      <c r="O5742" s="14">
        <v>2600</v>
      </c>
      <c r="P5742" s="14">
        <v>93.92</v>
      </c>
      <c r="Q5742" s="14">
        <v>158.08000000000001</v>
      </c>
      <c r="R5742" s="14">
        <v>82.2</v>
      </c>
      <c r="S5742" s="2" t="s">
        <v>1791</v>
      </c>
      <c r="T5742" s="2">
        <v>1.41</v>
      </c>
      <c r="U5742" s="2">
        <v>66</v>
      </c>
      <c r="V5742" s="2">
        <v>69</v>
      </c>
      <c r="W5742" s="2" t="s">
        <v>7862</v>
      </c>
      <c r="X5742" s="2" t="s">
        <v>2897</v>
      </c>
      <c r="Y5742" s="2">
        <v>1352</v>
      </c>
      <c r="Z5742" s="19" t="str">
        <f>HYPERLINK("https://ssdweb.co/ssdweb/hd/Vision360.html?d=941160445&amp;zoomslide=1&amp;z=1941160445&amp;ISCONFIRM=0","VIDEO")</f>
        <v>VIDEO</v>
      </c>
      <c r="AA5742" s="19" t="str">
        <f>HYPERLINK("https://ssdweb.co/ssdweb/CERTH/674543010.pdf","CERTI")</f>
        <v>CERTI</v>
      </c>
    </row>
    <row r="5743" spans="1:27" ht="15" x14ac:dyDescent="0.25">
      <c r="A5743" s="2">
        <v>5738</v>
      </c>
      <c r="B5743" s="39">
        <v>941160449</v>
      </c>
      <c r="C5743" s="28" t="str">
        <f>HYPERLINK("https://pld.live/RapDetail.aspx?STONELIST=941160449","DNA")</f>
        <v>DNA</v>
      </c>
      <c r="D5743" s="18" t="s">
        <v>5466</v>
      </c>
      <c r="E5743" s="18" t="s">
        <v>5128</v>
      </c>
      <c r="F5743" s="2" t="s">
        <v>7987</v>
      </c>
      <c r="G5743" s="2" t="s">
        <v>7322</v>
      </c>
      <c r="H5743" s="14">
        <v>0.52</v>
      </c>
      <c r="I5743" s="2" t="s">
        <v>267</v>
      </c>
      <c r="J5743" s="2" t="s">
        <v>13</v>
      </c>
      <c r="K5743" s="2" t="s">
        <v>1452</v>
      </c>
      <c r="L5743" s="2" t="s">
        <v>5221</v>
      </c>
      <c r="M5743" s="2" t="s">
        <v>5721</v>
      </c>
      <c r="N5743" s="2" t="s">
        <v>2317</v>
      </c>
      <c r="O5743" s="14">
        <v>2600</v>
      </c>
      <c r="P5743" s="14">
        <v>93.92</v>
      </c>
      <c r="Q5743" s="14">
        <v>158.08000000000001</v>
      </c>
      <c r="R5743" s="14">
        <v>82.2</v>
      </c>
      <c r="S5743" s="2" t="s">
        <v>2908</v>
      </c>
      <c r="T5743" s="2">
        <v>1.44</v>
      </c>
      <c r="U5743" s="2">
        <v>63.2</v>
      </c>
      <c r="V5743" s="2">
        <v>61</v>
      </c>
      <c r="W5743" s="2" t="s">
        <v>7862</v>
      </c>
      <c r="X5743" s="2" t="s">
        <v>2897</v>
      </c>
      <c r="Y5743" s="2">
        <v>1352</v>
      </c>
      <c r="Z5743" s="19" t="str">
        <f>HYPERLINK("https://ssdweb.co/ssdweb/hd/Vision360.html?d=941160449&amp;zoomslide=1&amp;z=1941160449&amp;ISCONFIRM=0","VIDEO")</f>
        <v>VIDEO</v>
      </c>
      <c r="AA5743" s="19" t="str">
        <f>HYPERLINK("https://ssdweb.co/ssdweb/CERTH/674543011.pdf","CERTI")</f>
        <v>CERTI</v>
      </c>
    </row>
    <row r="5744" spans="1:27" ht="15" x14ac:dyDescent="0.25">
      <c r="A5744" s="2">
        <v>5739</v>
      </c>
      <c r="B5744" s="39">
        <v>941160506</v>
      </c>
      <c r="C5744" s="28" t="str">
        <f>HYPERLINK("https://pld.live/RapDetail.aspx?STONELIST=941160506","DNA")</f>
        <v>DNA</v>
      </c>
      <c r="D5744" s="18" t="s">
        <v>5466</v>
      </c>
      <c r="E5744" s="18" t="s">
        <v>5128</v>
      </c>
      <c r="F5744" s="2" t="s">
        <v>7987</v>
      </c>
      <c r="G5744" s="2" t="s">
        <v>7322</v>
      </c>
      <c r="H5744" s="14">
        <v>0.52</v>
      </c>
      <c r="I5744" s="2" t="s">
        <v>267</v>
      </c>
      <c r="J5744" s="2" t="s">
        <v>13</v>
      </c>
      <c r="K5744" s="2" t="s">
        <v>1452</v>
      </c>
      <c r="L5744" s="2" t="s">
        <v>5221</v>
      </c>
      <c r="M5744" s="2" t="s">
        <v>5721</v>
      </c>
      <c r="N5744" s="2" t="s">
        <v>2317</v>
      </c>
      <c r="O5744" s="14">
        <v>2600</v>
      </c>
      <c r="P5744" s="14">
        <v>93.92</v>
      </c>
      <c r="Q5744" s="14">
        <v>158.08000000000001</v>
      </c>
      <c r="R5744" s="14">
        <v>82.2</v>
      </c>
      <c r="S5744" s="2" t="s">
        <v>4173</v>
      </c>
      <c r="T5744" s="2">
        <v>1.53</v>
      </c>
      <c r="U5744" s="2">
        <v>63.3</v>
      </c>
      <c r="V5744" s="2">
        <v>67</v>
      </c>
      <c r="W5744" s="2" t="s">
        <v>7862</v>
      </c>
      <c r="X5744" s="2" t="s">
        <v>2897</v>
      </c>
      <c r="Y5744" s="2">
        <v>1352</v>
      </c>
      <c r="Z5744" s="19" t="str">
        <f>HYPERLINK("https://ssdweb.co/ssdweb/hd/Vision360.html?d=941160506&amp;zoomslide=1&amp;z=1941160506&amp;ISCONFIRM=0","VIDEO")</f>
        <v>VIDEO</v>
      </c>
      <c r="AA5744" s="19" t="str">
        <f>HYPERLINK("https://ssdweb.co/ssdweb/CERTH/674543012.pdf","CERTI")</f>
        <v>CERTI</v>
      </c>
    </row>
    <row r="5745" spans="1:27" ht="15" x14ac:dyDescent="0.25">
      <c r="A5745" s="2">
        <v>5740</v>
      </c>
      <c r="B5745" s="39">
        <v>926320729</v>
      </c>
      <c r="C5745" s="28" t="str">
        <f>HYPERLINK("https://pld.live/RapDetail.aspx?STONELIST=926320729","DNA")</f>
        <v>DNA</v>
      </c>
      <c r="D5745" s="18" t="s">
        <v>5466</v>
      </c>
      <c r="E5745" s="18" t="s">
        <v>5128</v>
      </c>
      <c r="F5745" s="2" t="s">
        <v>7987</v>
      </c>
      <c r="G5745" s="2" t="s">
        <v>7322</v>
      </c>
      <c r="H5745" s="14">
        <v>0.52</v>
      </c>
      <c r="I5745" s="2" t="s">
        <v>267</v>
      </c>
      <c r="J5745" s="2" t="s">
        <v>5144</v>
      </c>
      <c r="K5745" s="2" t="s">
        <v>1452</v>
      </c>
      <c r="L5745" s="2" t="s">
        <v>5221</v>
      </c>
      <c r="M5745" s="2" t="s">
        <v>5721</v>
      </c>
      <c r="N5745" s="2" t="s">
        <v>2317</v>
      </c>
      <c r="O5745" s="14">
        <v>2400</v>
      </c>
      <c r="P5745" s="14">
        <v>94.08</v>
      </c>
      <c r="Q5745" s="14">
        <v>142.08000000000001</v>
      </c>
      <c r="R5745" s="14">
        <v>73.88</v>
      </c>
      <c r="S5745" s="2" t="s">
        <v>276</v>
      </c>
      <c r="T5745" s="2">
        <v>1.36</v>
      </c>
      <c r="U5745" s="2">
        <v>67.8</v>
      </c>
      <c r="V5745" s="2">
        <v>65</v>
      </c>
      <c r="W5745" s="2" t="s">
        <v>7862</v>
      </c>
      <c r="X5745" s="2" t="s">
        <v>2897</v>
      </c>
      <c r="Y5745" s="2">
        <v>1248</v>
      </c>
      <c r="Z5745" s="19" t="str">
        <f>HYPERLINK("https://ssdweb.co/ssdweb/hd/Vision360.html?d=926320729&amp;zoomslide=1&amp;z=1926320729&amp;ISCONFIRM=0","VIDEO")</f>
        <v>VIDEO</v>
      </c>
      <c r="AA5745" s="19" t="str">
        <f>HYPERLINK("https://ssdweb.co/ssdweb/CERTH/639438769.pdf","CERTI")</f>
        <v>CERTI</v>
      </c>
    </row>
    <row r="5746" spans="1:27" ht="15" x14ac:dyDescent="0.25">
      <c r="A5746" s="2">
        <v>5741</v>
      </c>
      <c r="B5746" s="39">
        <v>924520170</v>
      </c>
      <c r="C5746" s="28" t="str">
        <f>HYPERLINK("https://pld.live/RapDetail.aspx?STONELIST=924520170","DNA")</f>
        <v>DNA</v>
      </c>
      <c r="D5746" s="18" t="s">
        <v>5466</v>
      </c>
      <c r="E5746" s="18" t="s">
        <v>5128</v>
      </c>
      <c r="F5746" s="2" t="s">
        <v>5597</v>
      </c>
      <c r="G5746" s="2" t="s">
        <v>7322</v>
      </c>
      <c r="H5746" s="14">
        <v>0.52</v>
      </c>
      <c r="I5746" s="2" t="s">
        <v>267</v>
      </c>
      <c r="J5746" s="2" t="s">
        <v>444</v>
      </c>
      <c r="K5746" s="2" t="s">
        <v>1452</v>
      </c>
      <c r="L5746" s="2" t="s">
        <v>5221</v>
      </c>
      <c r="M5746" s="2" t="s">
        <v>5221</v>
      </c>
      <c r="N5746" s="2" t="s">
        <v>2317</v>
      </c>
      <c r="O5746" s="14">
        <v>2200</v>
      </c>
      <c r="P5746" s="14">
        <v>90.91</v>
      </c>
      <c r="Q5746" s="14">
        <v>199.98</v>
      </c>
      <c r="R5746" s="14">
        <v>103.99</v>
      </c>
      <c r="S5746" s="2" t="s">
        <v>2994</v>
      </c>
      <c r="T5746" s="2">
        <v>1.4</v>
      </c>
      <c r="U5746" s="2">
        <v>66.7</v>
      </c>
      <c r="V5746" s="2">
        <v>63</v>
      </c>
      <c r="W5746" s="2" t="s">
        <v>7862</v>
      </c>
      <c r="X5746" s="2" t="s">
        <v>2897</v>
      </c>
      <c r="Y5746" s="2">
        <v>1144</v>
      </c>
      <c r="Z5746" s="19" t="str">
        <f>HYPERLINK("https://ssdweb.co/ssdweb/hd/Vision360.html?d=924520170&amp;zoomslide=1&amp;z=1924520170&amp;ISCONFIRM=0","VIDEO")</f>
        <v>VIDEO</v>
      </c>
      <c r="AA5746" s="19" t="str">
        <f>HYPERLINK("https://ssdweb.co/ssdweb/CERTH/6472672591.pdf","CERTI")</f>
        <v>CERTI</v>
      </c>
    </row>
    <row r="5747" spans="1:27" ht="15" x14ac:dyDescent="0.25">
      <c r="A5747" s="2">
        <v>5742</v>
      </c>
      <c r="B5747" s="39">
        <v>941170255</v>
      </c>
      <c r="C5747" s="28" t="str">
        <f>HYPERLINK("https://pld.live/RapDetail.aspx?STONELIST=941170255","DNA")</f>
        <v>DNA</v>
      </c>
      <c r="D5747" s="18" t="s">
        <v>5466</v>
      </c>
      <c r="E5747" s="18" t="s">
        <v>5128</v>
      </c>
      <c r="F5747" s="2" t="s">
        <v>7987</v>
      </c>
      <c r="G5747" s="2" t="s">
        <v>7322</v>
      </c>
      <c r="H5747" s="14">
        <v>0.52</v>
      </c>
      <c r="I5747" s="2" t="s">
        <v>4761</v>
      </c>
      <c r="J5747" s="2" t="s">
        <v>3942</v>
      </c>
      <c r="K5747" s="2" t="s">
        <v>1452</v>
      </c>
      <c r="L5747" s="2" t="s">
        <v>5221</v>
      </c>
      <c r="M5747" s="2" t="s">
        <v>5221</v>
      </c>
      <c r="N5747" s="2" t="s">
        <v>2317</v>
      </c>
      <c r="O5747" s="14">
        <v>2600</v>
      </c>
      <c r="P5747" s="14">
        <v>93.85</v>
      </c>
      <c r="Q5747" s="14">
        <v>159.9</v>
      </c>
      <c r="R5747" s="14">
        <v>83.15</v>
      </c>
      <c r="S5747" s="2" t="s">
        <v>5493</v>
      </c>
      <c r="T5747" s="2">
        <v>1.41</v>
      </c>
      <c r="U5747" s="2">
        <v>65.400000000000006</v>
      </c>
      <c r="V5747" s="2">
        <v>66</v>
      </c>
      <c r="W5747" s="2" t="s">
        <v>7862</v>
      </c>
      <c r="X5747" s="2" t="s">
        <v>2897</v>
      </c>
      <c r="Y5747" s="2">
        <v>1352</v>
      </c>
      <c r="Z5747" s="19" t="str">
        <f>HYPERLINK("https://ssdweb.co/ssdweb/hd/Vision360.html?d=941170255&amp;zoomslide=1&amp;z=1941170255&amp;ISCONFIRM=0","VIDEO")</f>
        <v>VIDEO</v>
      </c>
      <c r="AA5747" s="19" t="str">
        <f>HYPERLINK("https://ssdweb.co/ssdweb/CERTH/674532503.pdf","CERTI")</f>
        <v>CERTI</v>
      </c>
    </row>
    <row r="5748" spans="1:27" ht="15" x14ac:dyDescent="0.25">
      <c r="A5748" s="2">
        <v>5743</v>
      </c>
      <c r="B5748" s="39">
        <v>926790169</v>
      </c>
      <c r="C5748" s="28" t="str">
        <f>HYPERLINK("https://pld.live/RapDetail.aspx?STONELIST=926790169","DNA")</f>
        <v>DNA</v>
      </c>
      <c r="D5748" s="18" t="s">
        <v>5466</v>
      </c>
      <c r="E5748" s="18" t="s">
        <v>2186</v>
      </c>
      <c r="F5748" s="2" t="s">
        <v>7987</v>
      </c>
      <c r="G5748" s="2" t="s">
        <v>7322</v>
      </c>
      <c r="H5748" s="14">
        <v>0.52</v>
      </c>
      <c r="I5748" s="2" t="s">
        <v>4761</v>
      </c>
      <c r="J5748" s="2" t="s">
        <v>13</v>
      </c>
      <c r="K5748" s="2" t="s">
        <v>1452</v>
      </c>
      <c r="L5748" s="2" t="s">
        <v>5221</v>
      </c>
      <c r="M5748" s="2" t="s">
        <v>5721</v>
      </c>
      <c r="N5748" s="2" t="s">
        <v>2317</v>
      </c>
      <c r="O5748" s="14">
        <v>2500</v>
      </c>
      <c r="P5748" s="14">
        <v>94.16</v>
      </c>
      <c r="Q5748" s="14">
        <v>146</v>
      </c>
      <c r="R5748" s="14">
        <v>75.92</v>
      </c>
      <c r="S5748" s="2" t="s">
        <v>3665</v>
      </c>
      <c r="T5748" s="2">
        <v>1.43</v>
      </c>
      <c r="U5748" s="2">
        <v>65.900000000000006</v>
      </c>
      <c r="V5748" s="2">
        <v>68</v>
      </c>
      <c r="W5748" s="2" t="s">
        <v>7862</v>
      </c>
      <c r="X5748" s="2" t="s">
        <v>2897</v>
      </c>
      <c r="Y5748" s="2">
        <v>1300</v>
      </c>
      <c r="Z5748" s="19" t="str">
        <f>HYPERLINK("https://ssdweb.co/ssdweb/hd/Vision360.html?d=926790169&amp;zoomslide=1&amp;z=1926790169&amp;ISCONFIRM=0","VIDEO")</f>
        <v>VIDEO</v>
      </c>
      <c r="AA5748" s="19" t="str">
        <f>HYPERLINK("https://ssdweb.co/ssdweb/CERTH/652442364.pdf","CERTI")</f>
        <v>CERTI</v>
      </c>
    </row>
    <row r="5749" spans="1:27" ht="15" x14ac:dyDescent="0.25">
      <c r="A5749" s="2">
        <v>5744</v>
      </c>
      <c r="B5749" s="39">
        <v>925740499</v>
      </c>
      <c r="C5749" s="28" t="str">
        <f>HYPERLINK("https://pld.live/RapDetail.aspx?STONELIST=925740499","DNA")</f>
        <v>DNA</v>
      </c>
      <c r="D5749" s="18" t="s">
        <v>5466</v>
      </c>
      <c r="E5749" s="18" t="s">
        <v>5128</v>
      </c>
      <c r="F5749" s="2" t="s">
        <v>5597</v>
      </c>
      <c r="G5749" s="2" t="s">
        <v>7322</v>
      </c>
      <c r="H5749" s="14">
        <v>0.52</v>
      </c>
      <c r="I5749" s="2" t="s">
        <v>4761</v>
      </c>
      <c r="J5749" s="2" t="s">
        <v>5144</v>
      </c>
      <c r="K5749" s="2" t="s">
        <v>1452</v>
      </c>
      <c r="L5749" s="2" t="s">
        <v>5221</v>
      </c>
      <c r="M5749" s="2" t="s">
        <v>5721</v>
      </c>
      <c r="N5749" s="2" t="s">
        <v>2317</v>
      </c>
      <c r="O5749" s="14">
        <v>2300</v>
      </c>
      <c r="P5749" s="14">
        <v>90.7</v>
      </c>
      <c r="Q5749" s="14">
        <v>213.9</v>
      </c>
      <c r="R5749" s="14">
        <v>111.23</v>
      </c>
      <c r="S5749" s="2" t="s">
        <v>4389</v>
      </c>
      <c r="T5749" s="2">
        <v>1.4</v>
      </c>
      <c r="U5749" s="2">
        <v>67.400000000000006</v>
      </c>
      <c r="V5749" s="2">
        <v>65</v>
      </c>
      <c r="W5749" s="2" t="s">
        <v>7862</v>
      </c>
      <c r="X5749" s="2" t="s">
        <v>2897</v>
      </c>
      <c r="Y5749" s="2">
        <v>1196</v>
      </c>
      <c r="Z5749" s="19" t="str">
        <f>HYPERLINK("https://ssdweb.co/ssdweb/hd/Vision360.html?d=925740499&amp;zoomslide=1&amp;z=1925740499&amp;ISCONFIRM=0","VIDEO")</f>
        <v>VIDEO</v>
      </c>
      <c r="AA5749" s="19" t="str">
        <f>HYPERLINK("https://ssdweb.co/ssdweb/CERTH/7488632940.pdf","CERTI")</f>
        <v>CERTI</v>
      </c>
    </row>
    <row r="5750" spans="1:27" ht="15" x14ac:dyDescent="0.25">
      <c r="A5750" s="2">
        <v>5745</v>
      </c>
      <c r="B5750" s="39">
        <v>924290620</v>
      </c>
      <c r="C5750" s="28" t="str">
        <f>HYPERLINK("https://pld.live/RapDetail.aspx?STONELIST=924290620","DNA")</f>
        <v>DNA</v>
      </c>
      <c r="D5750" s="18" t="s">
        <v>5466</v>
      </c>
      <c r="E5750" s="18" t="s">
        <v>2186</v>
      </c>
      <c r="F5750" s="2" t="s">
        <v>7987</v>
      </c>
      <c r="G5750" s="2" t="s">
        <v>7322</v>
      </c>
      <c r="H5750" s="14">
        <v>0.52</v>
      </c>
      <c r="I5750" s="2" t="s">
        <v>6748</v>
      </c>
      <c r="J5750" s="2" t="s">
        <v>13</v>
      </c>
      <c r="K5750" s="2" t="s">
        <v>1452</v>
      </c>
      <c r="L5750" s="2" t="s">
        <v>5221</v>
      </c>
      <c r="M5750" s="2" t="s">
        <v>5221</v>
      </c>
      <c r="N5750" s="2" t="s">
        <v>2317</v>
      </c>
      <c r="O5750" s="14">
        <v>1100</v>
      </c>
      <c r="P5750" s="14">
        <v>81.819999999999993</v>
      </c>
      <c r="Q5750" s="14">
        <v>199.98</v>
      </c>
      <c r="R5750" s="14">
        <v>103.99</v>
      </c>
      <c r="S5750" s="2" t="s">
        <v>1990</v>
      </c>
      <c r="T5750" s="2">
        <v>1.55</v>
      </c>
      <c r="U5750" s="2">
        <v>64.5</v>
      </c>
      <c r="V5750" s="2">
        <v>66</v>
      </c>
      <c r="W5750" s="2" t="s">
        <v>7862</v>
      </c>
      <c r="X5750" s="2" t="s">
        <v>2897</v>
      </c>
      <c r="Y5750" s="2">
        <v>572</v>
      </c>
      <c r="Z5750" s="19" t="str">
        <f>HYPERLINK("https://ssdweb.co/ssdweb/hd/Vision360.html?d=924290620&amp;zoomslide=1&amp;z=1924290620&amp;ISCONFIRM=0","VIDEO")</f>
        <v>VIDEO</v>
      </c>
      <c r="AA5750" s="19" t="str">
        <f>HYPERLINK("https://ssdweb.co/ssdweb/CERTH/624499487.pdf","CERTI")</f>
        <v>CERTI</v>
      </c>
    </row>
    <row r="5751" spans="1:27" ht="15" x14ac:dyDescent="0.25">
      <c r="A5751" s="2">
        <v>5746</v>
      </c>
      <c r="B5751" s="39">
        <v>941270745</v>
      </c>
      <c r="C5751" s="28" t="str">
        <f>HYPERLINK("https://pld.live/RapDetail.aspx?STONELIST=941270745","DNA")</f>
        <v>DNA</v>
      </c>
      <c r="D5751" s="18" t="s">
        <v>5466</v>
      </c>
      <c r="E5751" s="18" t="s">
        <v>5128</v>
      </c>
      <c r="F5751" s="2" t="s">
        <v>7987</v>
      </c>
      <c r="G5751" s="2" t="s">
        <v>7322</v>
      </c>
      <c r="H5751" s="14">
        <v>0.51</v>
      </c>
      <c r="I5751" s="2" t="s">
        <v>267</v>
      </c>
      <c r="J5751" s="2" t="s">
        <v>6555</v>
      </c>
      <c r="K5751" s="2" t="s">
        <v>1452</v>
      </c>
      <c r="L5751" s="2" t="s">
        <v>5221</v>
      </c>
      <c r="M5751" s="2" t="s">
        <v>5221</v>
      </c>
      <c r="N5751" s="2" t="s">
        <v>2317</v>
      </c>
      <c r="O5751" s="14">
        <v>3000</v>
      </c>
      <c r="P5751" s="14">
        <v>93.5</v>
      </c>
      <c r="Q5751" s="14">
        <v>195</v>
      </c>
      <c r="R5751" s="14">
        <v>99.45</v>
      </c>
      <c r="S5751" s="2" t="s">
        <v>6407</v>
      </c>
      <c r="T5751" s="2">
        <v>1.37</v>
      </c>
      <c r="U5751" s="2">
        <v>68.2</v>
      </c>
      <c r="V5751" s="2">
        <v>66</v>
      </c>
      <c r="W5751" s="2" t="s">
        <v>7862</v>
      </c>
      <c r="X5751" s="2" t="s">
        <v>2897</v>
      </c>
      <c r="Y5751" s="2">
        <v>1530</v>
      </c>
      <c r="Z5751" s="19" t="str">
        <f>HYPERLINK("https://ssdweb.co/ssdweb/hd/Vision360.html?d=941270745&amp;zoomslide=1&amp;z=1941270745&amp;ISCONFIRM=0","VIDEO")</f>
        <v>VIDEO</v>
      </c>
      <c r="AA5751" s="19" t="str">
        <f>HYPERLINK("https://ssdweb.co/ssdweb/CERTH/694508392.pdf","CERTI")</f>
        <v>CERTI</v>
      </c>
    </row>
    <row r="5752" spans="1:27" ht="15" x14ac:dyDescent="0.25">
      <c r="A5752" s="2">
        <v>5747</v>
      </c>
      <c r="B5752" s="39">
        <v>941400179</v>
      </c>
      <c r="C5752" s="28" t="str">
        <f>HYPERLINK("https://pld.live/RapDetail.aspx?STONELIST=941400179","DNA")</f>
        <v>DNA</v>
      </c>
      <c r="D5752" s="18" t="s">
        <v>5466</v>
      </c>
      <c r="E5752" s="18" t="s">
        <v>5128</v>
      </c>
      <c r="F5752" s="2" t="s">
        <v>7987</v>
      </c>
      <c r="G5752" s="2" t="s">
        <v>7322</v>
      </c>
      <c r="H5752" s="14">
        <v>0.51</v>
      </c>
      <c r="I5752" s="2" t="s">
        <v>267</v>
      </c>
      <c r="J5752" s="2" t="s">
        <v>6555</v>
      </c>
      <c r="K5752" s="2" t="s">
        <v>1452</v>
      </c>
      <c r="L5752" s="2" t="s">
        <v>5221</v>
      </c>
      <c r="M5752" s="2" t="s">
        <v>5221</v>
      </c>
      <c r="N5752" s="2" t="s">
        <v>2317</v>
      </c>
      <c r="O5752" s="14">
        <v>3000</v>
      </c>
      <c r="P5752" s="14">
        <v>93.5</v>
      </c>
      <c r="Q5752" s="14">
        <v>195</v>
      </c>
      <c r="R5752" s="14">
        <v>99.45</v>
      </c>
      <c r="S5752" s="2" t="s">
        <v>4737</v>
      </c>
      <c r="T5752" s="2">
        <v>1.43</v>
      </c>
      <c r="U5752" s="2">
        <v>67.5</v>
      </c>
      <c r="V5752" s="2">
        <v>66</v>
      </c>
      <c r="W5752" s="2" t="s">
        <v>7862</v>
      </c>
      <c r="X5752" s="2" t="s">
        <v>2897</v>
      </c>
      <c r="Y5752" s="2">
        <v>1530</v>
      </c>
      <c r="Z5752" s="19" t="str">
        <f>HYPERLINK("https://ssdweb.co/ssdweb/hd/Vision360.html?d=941400179&amp;zoomslide=1&amp;z=1941400179&amp;ISCONFIRM=0","VIDEO")</f>
        <v>VIDEO</v>
      </c>
      <c r="AA5752" s="19" t="str">
        <f>HYPERLINK("https://ssdweb.co/ssdweb/CERTH/689587037.pdf","CERTI")</f>
        <v>CERTI</v>
      </c>
    </row>
    <row r="5753" spans="1:27" ht="15" x14ac:dyDescent="0.25">
      <c r="A5753" s="2">
        <v>5748</v>
      </c>
      <c r="B5753" s="39">
        <v>924990421</v>
      </c>
      <c r="C5753" s="28" t="str">
        <f>HYPERLINK("https://pld.live/RapDetail.aspx?STONELIST=924990421","DNA")</f>
        <v>DNA</v>
      </c>
      <c r="D5753" s="18" t="s">
        <v>5466</v>
      </c>
      <c r="E5753" s="18" t="s">
        <v>5128</v>
      </c>
      <c r="F5753" s="2" t="s">
        <v>7987</v>
      </c>
      <c r="G5753" s="2" t="s">
        <v>7322</v>
      </c>
      <c r="H5753" s="14">
        <v>0.51</v>
      </c>
      <c r="I5753" s="2" t="s">
        <v>267</v>
      </c>
      <c r="J5753" s="2" t="s">
        <v>3942</v>
      </c>
      <c r="K5753" s="2" t="s">
        <v>1452</v>
      </c>
      <c r="L5753" s="2" t="s">
        <v>5221</v>
      </c>
      <c r="M5753" s="2" t="s">
        <v>5221</v>
      </c>
      <c r="N5753" s="2" t="s">
        <v>2317</v>
      </c>
      <c r="O5753" s="14">
        <v>2800</v>
      </c>
      <c r="P5753" s="14">
        <v>94.39</v>
      </c>
      <c r="Q5753" s="14">
        <v>157.08000000000001</v>
      </c>
      <c r="R5753" s="14">
        <v>80.11</v>
      </c>
      <c r="S5753" s="2" t="s">
        <v>5485</v>
      </c>
      <c r="T5753" s="2">
        <v>1.41</v>
      </c>
      <c r="U5753" s="2">
        <v>67.2</v>
      </c>
      <c r="V5753" s="2">
        <v>61</v>
      </c>
      <c r="W5753" s="2" t="s">
        <v>7862</v>
      </c>
      <c r="X5753" s="2" t="s">
        <v>2897</v>
      </c>
      <c r="Y5753" s="2">
        <v>1428</v>
      </c>
      <c r="Z5753" s="19" t="str">
        <f>HYPERLINK("https://ssdweb.co/ssdweb/hd/Vision360.html?d=924990421&amp;zoomslide=1&amp;z=1924990421&amp;ISCONFIRM=0","VIDEO")</f>
        <v>VIDEO</v>
      </c>
      <c r="AA5753" s="19" t="str">
        <f>HYPERLINK("https://ssdweb.co/ssdweb/CERTH/614319374.pdf","CERTI")</f>
        <v>CERTI</v>
      </c>
    </row>
    <row r="5754" spans="1:27" ht="15" x14ac:dyDescent="0.25">
      <c r="A5754" s="2">
        <v>5749</v>
      </c>
      <c r="B5754" s="39">
        <v>941270759</v>
      </c>
      <c r="C5754" s="28" t="str">
        <f>HYPERLINK("https://pld.live/RapDetail.aspx?STONELIST=941270759","DNA")</f>
        <v>DNA</v>
      </c>
      <c r="D5754" s="18" t="s">
        <v>5466</v>
      </c>
      <c r="E5754" s="18" t="s">
        <v>5128</v>
      </c>
      <c r="F5754" s="2" t="s">
        <v>7987</v>
      </c>
      <c r="G5754" s="2" t="s">
        <v>7322</v>
      </c>
      <c r="H5754" s="14">
        <v>0.51</v>
      </c>
      <c r="I5754" s="2" t="s">
        <v>267</v>
      </c>
      <c r="J5754" s="2" t="s">
        <v>3942</v>
      </c>
      <c r="K5754" s="2" t="s">
        <v>1452</v>
      </c>
      <c r="L5754" s="2" t="s">
        <v>5221</v>
      </c>
      <c r="M5754" s="2" t="s">
        <v>5221</v>
      </c>
      <c r="N5754" s="2" t="s">
        <v>2317</v>
      </c>
      <c r="O5754" s="14">
        <v>2800</v>
      </c>
      <c r="P5754" s="14">
        <v>94.11</v>
      </c>
      <c r="Q5754" s="14">
        <v>164.92</v>
      </c>
      <c r="R5754" s="14">
        <v>84.11</v>
      </c>
      <c r="S5754" s="2" t="s">
        <v>699</v>
      </c>
      <c r="T5754" s="2">
        <v>1.4</v>
      </c>
      <c r="U5754" s="2">
        <v>66.900000000000006</v>
      </c>
      <c r="V5754" s="2">
        <v>64</v>
      </c>
      <c r="W5754" s="2" t="s">
        <v>7862</v>
      </c>
      <c r="X5754" s="2" t="s">
        <v>2897</v>
      </c>
      <c r="Y5754" s="2">
        <v>1428</v>
      </c>
      <c r="Z5754" s="19" t="str">
        <f>HYPERLINK("https://ssdweb.co/ssdweb/hd/Vision360.html?d=941270759&amp;zoomslide=1&amp;z=1941270759&amp;ISCONFIRM=0","VIDEO")</f>
        <v>VIDEO</v>
      </c>
      <c r="AA5754" s="19" t="str">
        <f>HYPERLINK("https://ssdweb.co/ssdweb/CERTH/689587169.pdf","CERTI")</f>
        <v>CERTI</v>
      </c>
    </row>
    <row r="5755" spans="1:27" ht="15" x14ac:dyDescent="0.25">
      <c r="A5755" s="2">
        <v>5750</v>
      </c>
      <c r="B5755" s="39">
        <v>925740261</v>
      </c>
      <c r="C5755" s="28" t="str">
        <f>HYPERLINK("https://pld.live/RapDetail.aspx?STONELIST=925740261","DNA")</f>
        <v>DNA</v>
      </c>
      <c r="D5755" s="18" t="s">
        <v>5466</v>
      </c>
      <c r="E5755" s="18" t="s">
        <v>5128</v>
      </c>
      <c r="F5755" s="2" t="s">
        <v>5597</v>
      </c>
      <c r="G5755" s="2" t="s">
        <v>7322</v>
      </c>
      <c r="H5755" s="14">
        <v>0.51</v>
      </c>
      <c r="I5755" s="2" t="s">
        <v>267</v>
      </c>
      <c r="J5755" s="2" t="s">
        <v>3942</v>
      </c>
      <c r="K5755" s="2" t="s">
        <v>1452</v>
      </c>
      <c r="L5755" s="2" t="s">
        <v>5221</v>
      </c>
      <c r="M5755" s="2" t="s">
        <v>5721</v>
      </c>
      <c r="N5755" s="2" t="s">
        <v>2317</v>
      </c>
      <c r="O5755" s="14">
        <v>2800</v>
      </c>
      <c r="P5755" s="14">
        <v>91.29</v>
      </c>
      <c r="Q5755" s="14">
        <v>243.88</v>
      </c>
      <c r="R5755" s="14">
        <v>124.38</v>
      </c>
      <c r="S5755" s="2" t="s">
        <v>7951</v>
      </c>
      <c r="T5755" s="2">
        <v>1.4</v>
      </c>
      <c r="U5755" s="2">
        <v>67.2</v>
      </c>
      <c r="V5755" s="2">
        <v>63</v>
      </c>
      <c r="W5755" s="2" t="s">
        <v>7862</v>
      </c>
      <c r="X5755" s="2" t="s">
        <v>2897</v>
      </c>
      <c r="Y5755" s="2">
        <v>1428</v>
      </c>
      <c r="Z5755" s="19" t="str">
        <f>HYPERLINK("https://ssdweb.co/ssdweb/hd/Vision360.html?d=925740261&amp;zoomslide=1&amp;z=1925740261&amp;ISCONFIRM=0","VIDEO")</f>
        <v>VIDEO</v>
      </c>
      <c r="AA5755" s="19" t="str">
        <f>HYPERLINK("https://ssdweb.co/ssdweb/CERTH/6481600597.pdf","CERTI")</f>
        <v>CERTI</v>
      </c>
    </row>
    <row r="5756" spans="1:27" ht="15" x14ac:dyDescent="0.25">
      <c r="A5756" s="2">
        <v>5751</v>
      </c>
      <c r="B5756" s="39">
        <v>926940967</v>
      </c>
      <c r="C5756" s="28" t="str">
        <f>HYPERLINK("https://pld.live/RapDetail.aspx?STONELIST=926940967","DNA")</f>
        <v>DNA</v>
      </c>
      <c r="D5756" s="18" t="s">
        <v>5466</v>
      </c>
      <c r="E5756" s="18" t="s">
        <v>5128</v>
      </c>
      <c r="F5756" s="2" t="s">
        <v>7987</v>
      </c>
      <c r="G5756" s="2" t="s">
        <v>7322</v>
      </c>
      <c r="H5756" s="14">
        <v>0.51</v>
      </c>
      <c r="I5756" s="2" t="s">
        <v>267</v>
      </c>
      <c r="J5756" s="2" t="s">
        <v>3942</v>
      </c>
      <c r="K5756" s="2" t="s">
        <v>1452</v>
      </c>
      <c r="L5756" s="2" t="s">
        <v>5221</v>
      </c>
      <c r="M5756" s="2" t="s">
        <v>5721</v>
      </c>
      <c r="N5756" s="2" t="s">
        <v>2317</v>
      </c>
      <c r="O5756" s="14">
        <v>2800</v>
      </c>
      <c r="P5756" s="14">
        <v>94.25</v>
      </c>
      <c r="Q5756" s="14">
        <v>161</v>
      </c>
      <c r="R5756" s="14">
        <v>82.11</v>
      </c>
      <c r="S5756" s="2" t="s">
        <v>5366</v>
      </c>
      <c r="T5756" s="2">
        <v>1.36</v>
      </c>
      <c r="U5756" s="2">
        <v>68.2</v>
      </c>
      <c r="V5756" s="2">
        <v>65</v>
      </c>
      <c r="W5756" s="2" t="s">
        <v>7862</v>
      </c>
      <c r="X5756" s="2" t="s">
        <v>2897</v>
      </c>
      <c r="Y5756" s="2">
        <v>1428</v>
      </c>
      <c r="Z5756" s="19" t="str">
        <f>HYPERLINK("https://ssdweb.co/ssdweb/hd/Vision360.html?d=926940967&amp;zoomslide=1&amp;z=1926940967&amp;ISCONFIRM=0","VIDEO")</f>
        <v>VIDEO</v>
      </c>
      <c r="AA5756" s="19" t="str">
        <f>HYPERLINK("https://ssdweb.co/ssdweb/CERTH/659414263.pdf","CERTI")</f>
        <v>CERTI</v>
      </c>
    </row>
    <row r="5757" spans="1:27" ht="15" x14ac:dyDescent="0.25">
      <c r="A5757" s="2">
        <v>5752</v>
      </c>
      <c r="B5757" s="39">
        <v>941140710</v>
      </c>
      <c r="C5757" s="28" t="str">
        <f>HYPERLINK("https://pld.live/RapDetail.aspx?STONELIST=941140710","DNA")</f>
        <v>DNA</v>
      </c>
      <c r="D5757" s="18" t="s">
        <v>5466</v>
      </c>
      <c r="E5757" s="18" t="s">
        <v>5128</v>
      </c>
      <c r="F5757" s="2" t="s">
        <v>7987</v>
      </c>
      <c r="G5757" s="2" t="s">
        <v>7322</v>
      </c>
      <c r="H5757" s="14">
        <v>0.51</v>
      </c>
      <c r="I5757" s="2" t="s">
        <v>267</v>
      </c>
      <c r="J5757" s="2" t="s">
        <v>3942</v>
      </c>
      <c r="K5757" s="2" t="s">
        <v>1452</v>
      </c>
      <c r="L5757" s="2" t="s">
        <v>5221</v>
      </c>
      <c r="M5757" s="2" t="s">
        <v>5721</v>
      </c>
      <c r="N5757" s="2" t="s">
        <v>2317</v>
      </c>
      <c r="O5757" s="14">
        <v>2800</v>
      </c>
      <c r="P5757" s="14">
        <v>94.18</v>
      </c>
      <c r="Q5757" s="14">
        <v>162.96</v>
      </c>
      <c r="R5757" s="14">
        <v>83.11</v>
      </c>
      <c r="S5757" s="2" t="s">
        <v>4449</v>
      </c>
      <c r="T5757" s="2">
        <v>1.42</v>
      </c>
      <c r="U5757" s="2">
        <v>65.5</v>
      </c>
      <c r="V5757" s="2">
        <v>63</v>
      </c>
      <c r="W5757" s="2" t="s">
        <v>7862</v>
      </c>
      <c r="X5757" s="2" t="s">
        <v>2897</v>
      </c>
      <c r="Y5757" s="2">
        <v>1428</v>
      </c>
      <c r="Z5757" s="19" t="str">
        <f>HYPERLINK("https://ssdweb.co/ssdweb/hd/Vision360.html?d=941140710&amp;zoomslide=1&amp;z=1941140710&amp;ISCONFIRM=0","VIDEO")</f>
        <v>VIDEO</v>
      </c>
      <c r="AA5757" s="19" t="str">
        <f>HYPERLINK("https://ssdweb.co/ssdweb/CERTH/674543069.pdf","CERTI")</f>
        <v>CERTI</v>
      </c>
    </row>
    <row r="5758" spans="1:27" ht="15" x14ac:dyDescent="0.25">
      <c r="A5758" s="2">
        <v>5753</v>
      </c>
      <c r="B5758" s="39">
        <v>927092039</v>
      </c>
      <c r="C5758" s="28" t="str">
        <f>HYPERLINK("https://pld.live/RapDetail.aspx?STONELIST=927092039","DNA")</f>
        <v>DNA</v>
      </c>
      <c r="D5758" s="18" t="s">
        <v>5466</v>
      </c>
      <c r="E5758" s="18" t="s">
        <v>5128</v>
      </c>
      <c r="F5758" s="2" t="s">
        <v>7987</v>
      </c>
      <c r="G5758" s="2" t="s">
        <v>7322</v>
      </c>
      <c r="H5758" s="14">
        <v>0.51</v>
      </c>
      <c r="I5758" s="2" t="s">
        <v>267</v>
      </c>
      <c r="J5758" s="2" t="s">
        <v>3942</v>
      </c>
      <c r="K5758" s="2" t="s">
        <v>1452</v>
      </c>
      <c r="L5758" s="2" t="s">
        <v>5221</v>
      </c>
      <c r="M5758" s="2" t="s">
        <v>5721</v>
      </c>
      <c r="N5758" s="2" t="s">
        <v>2317</v>
      </c>
      <c r="O5758" s="14">
        <v>2800</v>
      </c>
      <c r="P5758" s="14">
        <v>94.25</v>
      </c>
      <c r="Q5758" s="14">
        <v>161</v>
      </c>
      <c r="R5758" s="14">
        <v>82.11</v>
      </c>
      <c r="S5758" s="2" t="s">
        <v>7301</v>
      </c>
      <c r="T5758" s="2">
        <v>1.38</v>
      </c>
      <c r="U5758" s="2">
        <v>65.900000000000006</v>
      </c>
      <c r="V5758" s="2">
        <v>70</v>
      </c>
      <c r="W5758" s="2" t="s">
        <v>7862</v>
      </c>
      <c r="X5758" s="2" t="s">
        <v>2897</v>
      </c>
      <c r="Y5758" s="2">
        <v>1428</v>
      </c>
      <c r="Z5758" s="19" t="str">
        <f>HYPERLINK("https://ssdweb.co/ssdweb/hd/Vision360.html?d=927092039&amp;zoomslide=1&amp;z=1927092039&amp;ISCONFIRM=0","VIDEO")</f>
        <v>VIDEO</v>
      </c>
      <c r="AA5758" s="19" t="str">
        <f>HYPERLINK("https://ssdweb.co/ssdweb/CERTH/662452804.pdf","CERTI")</f>
        <v>CERTI</v>
      </c>
    </row>
    <row r="5759" spans="1:27" ht="15" x14ac:dyDescent="0.25">
      <c r="A5759" s="2">
        <v>5754</v>
      </c>
      <c r="B5759" s="39">
        <v>927100162</v>
      </c>
      <c r="C5759" s="28" t="str">
        <f>HYPERLINK("https://pld.live/RapDetail.aspx?STONELIST=927100162","DNA")</f>
        <v>DNA</v>
      </c>
      <c r="D5759" s="18" t="s">
        <v>5466</v>
      </c>
      <c r="E5759" s="18" t="s">
        <v>5128</v>
      </c>
      <c r="F5759" s="2" t="s">
        <v>7987</v>
      </c>
      <c r="G5759" s="2" t="s">
        <v>7322</v>
      </c>
      <c r="H5759" s="14">
        <v>0.51</v>
      </c>
      <c r="I5759" s="2" t="s">
        <v>267</v>
      </c>
      <c r="J5759" s="2" t="s">
        <v>3942</v>
      </c>
      <c r="K5759" s="2" t="s">
        <v>1452</v>
      </c>
      <c r="L5759" s="2" t="s">
        <v>5221</v>
      </c>
      <c r="M5759" s="2" t="s">
        <v>5721</v>
      </c>
      <c r="N5759" s="2" t="s">
        <v>2317</v>
      </c>
      <c r="O5759" s="14">
        <v>2800</v>
      </c>
      <c r="P5759" s="14">
        <v>94.25</v>
      </c>
      <c r="Q5759" s="14">
        <v>161</v>
      </c>
      <c r="R5759" s="14">
        <v>82.11</v>
      </c>
      <c r="S5759" s="2" t="s">
        <v>3883</v>
      </c>
      <c r="T5759" s="2">
        <v>1.4</v>
      </c>
      <c r="U5759" s="2">
        <v>67.599999999999994</v>
      </c>
      <c r="V5759" s="2">
        <v>65</v>
      </c>
      <c r="W5759" s="2" t="s">
        <v>7862</v>
      </c>
      <c r="X5759" s="2" t="s">
        <v>2897</v>
      </c>
      <c r="Y5759" s="2">
        <v>1428</v>
      </c>
      <c r="Z5759" s="19" t="str">
        <f>HYPERLINK("https://ssdweb.co/ssdweb/hd/Vision360.html?d=927100162&amp;zoomslide=1&amp;z=1927100162&amp;ISCONFIRM=0","VIDEO")</f>
        <v>VIDEO</v>
      </c>
      <c r="AA5759" s="19" t="str">
        <f>HYPERLINK("https://ssdweb.co/ssdweb/CERTH/665453103.pdf","CERTI")</f>
        <v>CERTI</v>
      </c>
    </row>
    <row r="5760" spans="1:27" ht="15" x14ac:dyDescent="0.25">
      <c r="A5760" s="2">
        <v>5755</v>
      </c>
      <c r="B5760" s="39">
        <v>941160409</v>
      </c>
      <c r="C5760" s="28" t="str">
        <f>HYPERLINK("https://pld.live/RapDetail.aspx?STONELIST=941160409","DNA")</f>
        <v>DNA</v>
      </c>
      <c r="D5760" s="18" t="s">
        <v>5466</v>
      </c>
      <c r="E5760" s="18" t="s">
        <v>5128</v>
      </c>
      <c r="F5760" s="2" t="s">
        <v>7987</v>
      </c>
      <c r="G5760" s="2" t="s">
        <v>7322</v>
      </c>
      <c r="H5760" s="14">
        <v>0.51</v>
      </c>
      <c r="I5760" s="2" t="s">
        <v>267</v>
      </c>
      <c r="J5760" s="2" t="s">
        <v>13</v>
      </c>
      <c r="K5760" s="2" t="s">
        <v>1452</v>
      </c>
      <c r="L5760" s="2" t="s">
        <v>5221</v>
      </c>
      <c r="M5760" s="2" t="s">
        <v>5221</v>
      </c>
      <c r="N5760" s="2" t="s">
        <v>2317</v>
      </c>
      <c r="O5760" s="14">
        <v>2600</v>
      </c>
      <c r="P5760" s="14">
        <v>93.85</v>
      </c>
      <c r="Q5760" s="14">
        <v>159.9</v>
      </c>
      <c r="R5760" s="14">
        <v>81.55</v>
      </c>
      <c r="S5760" s="2" t="s">
        <v>5250</v>
      </c>
      <c r="T5760" s="2">
        <v>1.4</v>
      </c>
      <c r="U5760" s="2">
        <v>67.900000000000006</v>
      </c>
      <c r="V5760" s="2">
        <v>65</v>
      </c>
      <c r="W5760" s="2" t="s">
        <v>7862</v>
      </c>
      <c r="X5760" s="2" t="s">
        <v>2897</v>
      </c>
      <c r="Y5760" s="2">
        <v>1326</v>
      </c>
      <c r="Z5760" s="19" t="str">
        <f>HYPERLINK("https://ssdweb.co/ssdweb/hd/Vision360.html?d=941160409&amp;zoomslide=1&amp;z=1941160409&amp;ISCONFIRM=0","VIDEO")</f>
        <v>VIDEO</v>
      </c>
      <c r="AA5760" s="19" t="str">
        <f>HYPERLINK("https://ssdweb.co/ssdweb/CERTH/689586937.pdf","CERTI")</f>
        <v>CERTI</v>
      </c>
    </row>
    <row r="5761" spans="1:27" ht="15" x14ac:dyDescent="0.25">
      <c r="A5761" s="2">
        <v>5756</v>
      </c>
      <c r="B5761" s="39">
        <v>924560553</v>
      </c>
      <c r="C5761" s="28" t="str">
        <f>HYPERLINK("https://pld.live/RapDetail.aspx?STONELIST=924560553","DNA")</f>
        <v>DNA</v>
      </c>
      <c r="D5761" s="18" t="s">
        <v>5466</v>
      </c>
      <c r="E5761" s="18" t="s">
        <v>5128</v>
      </c>
      <c r="F5761" s="2" t="s">
        <v>7987</v>
      </c>
      <c r="G5761" s="2" t="s">
        <v>7322</v>
      </c>
      <c r="H5761" s="14">
        <v>0.51</v>
      </c>
      <c r="I5761" s="2" t="s">
        <v>4761</v>
      </c>
      <c r="J5761" s="2" t="s">
        <v>7032</v>
      </c>
      <c r="K5761" s="2" t="s">
        <v>1452</v>
      </c>
      <c r="L5761" s="2" t="s">
        <v>5221</v>
      </c>
      <c r="M5761" s="2" t="s">
        <v>5221</v>
      </c>
      <c r="N5761" s="2" t="s">
        <v>2317</v>
      </c>
      <c r="O5761" s="14">
        <v>3000</v>
      </c>
      <c r="P5761" s="14">
        <v>92.6</v>
      </c>
      <c r="Q5761" s="14">
        <v>222</v>
      </c>
      <c r="R5761" s="14">
        <v>113.22</v>
      </c>
      <c r="S5761" s="2" t="s">
        <v>6274</v>
      </c>
      <c r="T5761" s="2">
        <v>1.4</v>
      </c>
      <c r="U5761" s="2">
        <v>67.099999999999994</v>
      </c>
      <c r="V5761" s="2">
        <v>62</v>
      </c>
      <c r="W5761" s="2" t="s">
        <v>7862</v>
      </c>
      <c r="X5761" s="2" t="s">
        <v>2897</v>
      </c>
      <c r="Y5761" s="2">
        <v>1530</v>
      </c>
      <c r="Z5761" s="19" t="str">
        <f>HYPERLINK("https://ssdweb.co/ssdweb/hd/Vision360.html?d=924560553&amp;zoomslide=1&amp;z=1924560553&amp;ISCONFIRM=0","VIDEO")</f>
        <v>VIDEO</v>
      </c>
      <c r="AA5761" s="19" t="str">
        <f>HYPERLINK("https://ssdweb.co/ssdweb/CERTH/602315873.pdf","CERTI")</f>
        <v>CERTI</v>
      </c>
    </row>
    <row r="5762" spans="1:27" ht="15" x14ac:dyDescent="0.25">
      <c r="A5762" s="2">
        <v>5757</v>
      </c>
      <c r="B5762" s="39">
        <v>924460733</v>
      </c>
      <c r="C5762" s="28" t="str">
        <f>HYPERLINK("https://pld.live/RapDetail.aspx?STONELIST=924460733","DNA")</f>
        <v>DNA</v>
      </c>
      <c r="D5762" s="18" t="s">
        <v>5466</v>
      </c>
      <c r="E5762" s="18" t="s">
        <v>5128</v>
      </c>
      <c r="F5762" s="2" t="s">
        <v>5597</v>
      </c>
      <c r="G5762" s="2" t="s">
        <v>7322</v>
      </c>
      <c r="H5762" s="14">
        <v>0.51</v>
      </c>
      <c r="I5762" s="2" t="s">
        <v>4761</v>
      </c>
      <c r="J5762" s="2" t="s">
        <v>3942</v>
      </c>
      <c r="K5762" s="2" t="s">
        <v>1452</v>
      </c>
      <c r="L5762" s="2" t="s">
        <v>5221</v>
      </c>
      <c r="M5762" s="2" t="s">
        <v>5721</v>
      </c>
      <c r="N5762" s="2" t="s">
        <v>2317</v>
      </c>
      <c r="O5762" s="14">
        <v>2600</v>
      </c>
      <c r="P5762" s="14">
        <v>90.96</v>
      </c>
      <c r="Q5762" s="14">
        <v>235.04</v>
      </c>
      <c r="R5762" s="14">
        <v>119.87</v>
      </c>
      <c r="S5762" s="2" t="s">
        <v>1959</v>
      </c>
      <c r="T5762" s="2">
        <v>1.39</v>
      </c>
      <c r="U5762" s="2">
        <v>67.3</v>
      </c>
      <c r="V5762" s="2">
        <v>64</v>
      </c>
      <c r="W5762" s="2" t="s">
        <v>7862</v>
      </c>
      <c r="X5762" s="2" t="s">
        <v>2897</v>
      </c>
      <c r="Y5762" s="2">
        <v>1326</v>
      </c>
      <c r="Z5762" s="19" t="str">
        <f>HYPERLINK("https://ssdweb.co/ssdweb/hd/Vision360.html?d=924460733&amp;zoomslide=1&amp;z=1924460733&amp;ISCONFIRM=0","VIDEO")</f>
        <v>VIDEO</v>
      </c>
      <c r="AA5762" s="19" t="str">
        <f>HYPERLINK("https://ssdweb.co/ssdweb/CERTH/6472710298.pdf","CERTI")</f>
        <v>CERTI</v>
      </c>
    </row>
    <row r="5763" spans="1:27" ht="15" x14ac:dyDescent="0.25">
      <c r="A5763" s="2">
        <v>5758</v>
      </c>
      <c r="B5763" s="39">
        <v>941160567</v>
      </c>
      <c r="C5763" s="28" t="str">
        <f>HYPERLINK("https://pld.live/RapDetail.aspx?STONELIST=941160567","DNA")</f>
        <v>DNA</v>
      </c>
      <c r="D5763" s="18" t="s">
        <v>5466</v>
      </c>
      <c r="E5763" s="18" t="s">
        <v>5128</v>
      </c>
      <c r="F5763" s="2" t="s">
        <v>7987</v>
      </c>
      <c r="G5763" s="2" t="s">
        <v>7322</v>
      </c>
      <c r="H5763" s="14">
        <v>0.51</v>
      </c>
      <c r="I5763" s="2" t="s">
        <v>4761</v>
      </c>
      <c r="J5763" s="2" t="s">
        <v>3942</v>
      </c>
      <c r="K5763" s="2" t="s">
        <v>1452</v>
      </c>
      <c r="L5763" s="2" t="s">
        <v>5221</v>
      </c>
      <c r="M5763" s="2" t="s">
        <v>5721</v>
      </c>
      <c r="N5763" s="2" t="s">
        <v>2317</v>
      </c>
      <c r="O5763" s="14">
        <v>2600</v>
      </c>
      <c r="P5763" s="14">
        <v>93.92</v>
      </c>
      <c r="Q5763" s="14">
        <v>158.08000000000001</v>
      </c>
      <c r="R5763" s="14">
        <v>80.62</v>
      </c>
      <c r="S5763" s="2" t="s">
        <v>4780</v>
      </c>
      <c r="T5763" s="2">
        <v>1.41</v>
      </c>
      <c r="U5763" s="2">
        <v>66.7</v>
      </c>
      <c r="V5763" s="2">
        <v>63</v>
      </c>
      <c r="W5763" s="2" t="s">
        <v>7862</v>
      </c>
      <c r="X5763" s="2" t="s">
        <v>2897</v>
      </c>
      <c r="Y5763" s="2">
        <v>1326</v>
      </c>
      <c r="Z5763" s="19" t="str">
        <f>HYPERLINK("https://ssdweb.co/ssdweb/hd/Vision360.html?d=941160567&amp;zoomslide=1&amp;z=1941160567&amp;ISCONFIRM=0","VIDEO")</f>
        <v>VIDEO</v>
      </c>
      <c r="AA5763" s="19" t="str">
        <f>HYPERLINK("https://ssdweb.co/ssdweb/CERTH/675504566.pdf","CERTI")</f>
        <v>CERTI</v>
      </c>
    </row>
    <row r="5764" spans="1:27" ht="15" x14ac:dyDescent="0.25">
      <c r="A5764" s="2">
        <v>5759</v>
      </c>
      <c r="B5764" s="39">
        <v>941160426</v>
      </c>
      <c r="C5764" s="28" t="str">
        <f>HYPERLINK("https://pld.live/RapDetail.aspx?STONELIST=941160426","DNA")</f>
        <v>DNA</v>
      </c>
      <c r="D5764" s="18" t="s">
        <v>5466</v>
      </c>
      <c r="E5764" s="18" t="s">
        <v>5128</v>
      </c>
      <c r="F5764" s="2" t="s">
        <v>7987</v>
      </c>
      <c r="G5764" s="2" t="s">
        <v>7322</v>
      </c>
      <c r="H5764" s="14">
        <v>0.51</v>
      </c>
      <c r="I5764" s="2" t="s">
        <v>4761</v>
      </c>
      <c r="J5764" s="2" t="s">
        <v>5144</v>
      </c>
      <c r="K5764" s="2" t="s">
        <v>1452</v>
      </c>
      <c r="L5764" s="2" t="s">
        <v>5221</v>
      </c>
      <c r="M5764" s="2" t="s">
        <v>5721</v>
      </c>
      <c r="N5764" s="2" t="s">
        <v>2317</v>
      </c>
      <c r="O5764" s="14">
        <v>2300</v>
      </c>
      <c r="P5764" s="14">
        <v>93.74</v>
      </c>
      <c r="Q5764" s="14">
        <v>143.97999999999999</v>
      </c>
      <c r="R5764" s="14">
        <v>73.430000000000007</v>
      </c>
      <c r="S5764" s="2" t="s">
        <v>6949</v>
      </c>
      <c r="T5764" s="2">
        <v>1.39</v>
      </c>
      <c r="U5764" s="2">
        <v>67.7</v>
      </c>
      <c r="V5764" s="2">
        <v>64</v>
      </c>
      <c r="W5764" s="2" t="s">
        <v>7862</v>
      </c>
      <c r="X5764" s="2" t="s">
        <v>2897</v>
      </c>
      <c r="Y5764" s="2">
        <v>1173</v>
      </c>
      <c r="Z5764" s="19" t="str">
        <f>HYPERLINK("https://ssdweb.co/ssdweb/hd/Vision360.html?d=941160426&amp;zoomslide=1&amp;z=1941160426&amp;ISCONFIRM=0","VIDEO")</f>
        <v>VIDEO</v>
      </c>
      <c r="AA5764" s="19" t="str">
        <f>HYPERLINK("https://ssdweb.co/ssdweb/CERTH/674543008.pdf","CERTI")</f>
        <v>CERTI</v>
      </c>
    </row>
    <row r="5765" spans="1:27" ht="15" x14ac:dyDescent="0.25">
      <c r="A5765" s="2">
        <v>5760</v>
      </c>
      <c r="B5765" s="39">
        <v>941190331</v>
      </c>
      <c r="C5765" s="28" t="str">
        <f>HYPERLINK("https://pld.live/RapDetail.aspx?STONELIST=941190331","DNA")</f>
        <v>DNA</v>
      </c>
      <c r="D5765" s="18" t="s">
        <v>5466</v>
      </c>
      <c r="E5765" s="18" t="s">
        <v>5128</v>
      </c>
      <c r="F5765" s="2" t="s">
        <v>7987</v>
      </c>
      <c r="G5765" s="2" t="s">
        <v>7322</v>
      </c>
      <c r="H5765" s="14">
        <v>0.5</v>
      </c>
      <c r="I5765" s="2" t="s">
        <v>267</v>
      </c>
      <c r="J5765" s="2" t="s">
        <v>6555</v>
      </c>
      <c r="K5765" s="2" t="s">
        <v>1452</v>
      </c>
      <c r="L5765" s="2" t="s">
        <v>5221</v>
      </c>
      <c r="M5765" s="2" t="s">
        <v>5221</v>
      </c>
      <c r="N5765" s="2" t="s">
        <v>2317</v>
      </c>
      <c r="O5765" s="14">
        <v>3000</v>
      </c>
      <c r="P5765" s="14">
        <v>93.5</v>
      </c>
      <c r="Q5765" s="14">
        <v>195</v>
      </c>
      <c r="R5765" s="14">
        <v>97.5</v>
      </c>
      <c r="S5765" s="2" t="s">
        <v>6756</v>
      </c>
      <c r="T5765" s="2">
        <v>1.47</v>
      </c>
      <c r="U5765" s="2">
        <v>65.400000000000006</v>
      </c>
      <c r="V5765" s="2">
        <v>66</v>
      </c>
      <c r="W5765" s="2" t="s">
        <v>7862</v>
      </c>
      <c r="X5765" s="2" t="s">
        <v>2897</v>
      </c>
      <c r="Y5765" s="2">
        <v>1500</v>
      </c>
      <c r="Z5765" s="19" t="str">
        <f>HYPERLINK("https://ssdweb.co/ssdweb/hd/Vision360.html?d=941190331&amp;zoomslide=1&amp;z=1941190331&amp;ISCONFIRM=0","VIDEO")</f>
        <v>VIDEO</v>
      </c>
      <c r="AA5765" s="19" t="str">
        <f>HYPERLINK("https://ssdweb.co/ssdweb/CERTH/689586942.pdf","CERTI")</f>
        <v>CERTI</v>
      </c>
    </row>
    <row r="5766" spans="1:27" ht="15" x14ac:dyDescent="0.25">
      <c r="A5766" s="2">
        <v>5761</v>
      </c>
      <c r="B5766" s="39">
        <v>926180822</v>
      </c>
      <c r="C5766" s="28" t="str">
        <f>HYPERLINK("https://pld.live/RapDetail.aspx?STONELIST=926180822","DNA")</f>
        <v>DNA</v>
      </c>
      <c r="D5766" s="18" t="s">
        <v>5466</v>
      </c>
      <c r="E5766" s="18" t="s">
        <v>5128</v>
      </c>
      <c r="F5766" s="2" t="s">
        <v>7987</v>
      </c>
      <c r="G5766" s="2" t="s">
        <v>7322</v>
      </c>
      <c r="H5766" s="14">
        <v>0.5</v>
      </c>
      <c r="I5766" s="2" t="s">
        <v>267</v>
      </c>
      <c r="J5766" s="2" t="s">
        <v>6555</v>
      </c>
      <c r="K5766" s="2" t="s">
        <v>1452</v>
      </c>
      <c r="L5766" s="2" t="s">
        <v>5221</v>
      </c>
      <c r="M5766" s="2" t="s">
        <v>5221</v>
      </c>
      <c r="N5766" s="2" t="s">
        <v>2317</v>
      </c>
      <c r="O5766" s="14">
        <v>3000</v>
      </c>
      <c r="P5766" s="14">
        <v>93.7</v>
      </c>
      <c r="Q5766" s="14">
        <v>189</v>
      </c>
      <c r="R5766" s="14">
        <v>94.5</v>
      </c>
      <c r="S5766" s="2" t="s">
        <v>2991</v>
      </c>
      <c r="T5766" s="2">
        <v>1.36</v>
      </c>
      <c r="U5766" s="2">
        <v>68.599999999999994</v>
      </c>
      <c r="V5766" s="2">
        <v>63</v>
      </c>
      <c r="W5766" s="2" t="s">
        <v>7862</v>
      </c>
      <c r="X5766" s="2" t="s">
        <v>2897</v>
      </c>
      <c r="Y5766" s="2">
        <v>1500</v>
      </c>
      <c r="Z5766" s="19" t="str">
        <f>HYPERLINK("https://ssdweb.co/ssdweb/hd/Vision360.html?d=926180822&amp;zoomslide=1&amp;z=1926180822&amp;ISCONFIRM=0","VIDEO")</f>
        <v>VIDEO</v>
      </c>
      <c r="AA5766" s="19" t="str">
        <f>HYPERLINK("https://ssdweb.co/ssdweb/CERTH/634431279.pdf","CERTI")</f>
        <v>CERTI</v>
      </c>
    </row>
    <row r="5767" spans="1:27" ht="15" x14ac:dyDescent="0.25">
      <c r="A5767" s="2">
        <v>5762</v>
      </c>
      <c r="B5767" s="39">
        <v>924460731</v>
      </c>
      <c r="C5767" s="28" t="str">
        <f>HYPERLINK("https://pld.live/RapDetail.aspx?STONELIST=924460731","DNA")</f>
        <v>DNA</v>
      </c>
      <c r="D5767" s="18" t="s">
        <v>5466</v>
      </c>
      <c r="E5767" s="18" t="s">
        <v>5128</v>
      </c>
      <c r="F5767" s="2" t="s">
        <v>5597</v>
      </c>
      <c r="G5767" s="2" t="s">
        <v>7322</v>
      </c>
      <c r="H5767" s="14">
        <v>0.5</v>
      </c>
      <c r="I5767" s="2" t="s">
        <v>267</v>
      </c>
      <c r="J5767" s="2" t="s">
        <v>6555</v>
      </c>
      <c r="K5767" s="2" t="s">
        <v>1452</v>
      </c>
      <c r="L5767" s="2" t="s">
        <v>5221</v>
      </c>
      <c r="M5767" s="2" t="s">
        <v>5721</v>
      </c>
      <c r="N5767" s="2" t="s">
        <v>2317</v>
      </c>
      <c r="O5767" s="14">
        <v>3000</v>
      </c>
      <c r="P5767" s="14">
        <v>91.17</v>
      </c>
      <c r="Q5767" s="14">
        <v>264.89999999999998</v>
      </c>
      <c r="R5767" s="14">
        <v>132.44999999999999</v>
      </c>
      <c r="S5767" s="2" t="s">
        <v>7980</v>
      </c>
      <c r="T5767" s="2">
        <v>1.4</v>
      </c>
      <c r="U5767" s="2">
        <v>67.3</v>
      </c>
      <c r="V5767" s="2">
        <v>66</v>
      </c>
      <c r="W5767" s="2" t="s">
        <v>7862</v>
      </c>
      <c r="X5767" s="2" t="s">
        <v>2897</v>
      </c>
      <c r="Y5767" s="2">
        <v>1500</v>
      </c>
      <c r="Z5767" s="19" t="str">
        <f>HYPERLINK("https://ssdweb.co/ssdweb/hd/Vision360.html?d=924460731&amp;zoomslide=1&amp;z=1924460731&amp;ISCONFIRM=0","VIDEO")</f>
        <v>VIDEO</v>
      </c>
      <c r="AA5767" s="19" t="str">
        <f>HYPERLINK("https://ssdweb.co/ssdweb/CERTH/2477710302.pdf","CERTI")</f>
        <v>CERTI</v>
      </c>
    </row>
    <row r="5768" spans="1:27" ht="15" x14ac:dyDescent="0.25">
      <c r="A5768" s="2">
        <v>5763</v>
      </c>
      <c r="B5768" s="39">
        <v>927101024</v>
      </c>
      <c r="C5768" s="28" t="str">
        <f>HYPERLINK("https://pld.live/RapDetail.aspx?STONELIST=927101024","DNA")</f>
        <v>DNA</v>
      </c>
      <c r="D5768" s="18" t="s">
        <v>5466</v>
      </c>
      <c r="E5768" s="18" t="s">
        <v>5128</v>
      </c>
      <c r="F5768" s="2" t="s">
        <v>7987</v>
      </c>
      <c r="G5768" s="2" t="s">
        <v>7322</v>
      </c>
      <c r="H5768" s="14">
        <v>0.5</v>
      </c>
      <c r="I5768" s="2" t="s">
        <v>267</v>
      </c>
      <c r="J5768" s="2" t="s">
        <v>6555</v>
      </c>
      <c r="K5768" s="2" t="s">
        <v>1452</v>
      </c>
      <c r="L5768" s="2" t="s">
        <v>5221</v>
      </c>
      <c r="M5768" s="2" t="s">
        <v>5721</v>
      </c>
      <c r="N5768" s="2" t="s">
        <v>2317</v>
      </c>
      <c r="O5768" s="14">
        <v>3000</v>
      </c>
      <c r="P5768" s="14">
        <v>93.63</v>
      </c>
      <c r="Q5768" s="14">
        <v>191.1</v>
      </c>
      <c r="R5768" s="14">
        <v>95.55</v>
      </c>
      <c r="S5768" s="2" t="s">
        <v>2399</v>
      </c>
      <c r="T5768" s="2">
        <v>1.38</v>
      </c>
      <c r="U5768" s="2">
        <v>64.400000000000006</v>
      </c>
      <c r="V5768" s="2">
        <v>60</v>
      </c>
      <c r="W5768" s="2" t="s">
        <v>7862</v>
      </c>
      <c r="X5768" s="2" t="s">
        <v>2897</v>
      </c>
      <c r="Y5768" s="2">
        <v>1500</v>
      </c>
      <c r="Z5768" s="19" t="str">
        <f>HYPERLINK("https://ssdweb.co/ssdweb/hd/Vision360.html?d=927101024&amp;zoomslide=1&amp;z=1927101024&amp;ISCONFIRM=0","VIDEO")</f>
        <v>VIDEO</v>
      </c>
      <c r="AA5768" s="19" t="str">
        <f>HYPERLINK("https://ssdweb.co/ssdweb/CERTH/665453121.pdf","CERTI")</f>
        <v>CERTI</v>
      </c>
    </row>
    <row r="5769" spans="1:27" ht="15" x14ac:dyDescent="0.25">
      <c r="A5769" s="2">
        <v>5764</v>
      </c>
      <c r="B5769" s="39">
        <v>927130897</v>
      </c>
      <c r="C5769" s="28" t="str">
        <f>HYPERLINK("https://pld.live/RapDetail.aspx?STONELIST=927130897","DNA")</f>
        <v>DNA</v>
      </c>
      <c r="D5769" s="18" t="s">
        <v>5466</v>
      </c>
      <c r="E5769" s="18" t="s">
        <v>5128</v>
      </c>
      <c r="F5769" s="2" t="s">
        <v>7987</v>
      </c>
      <c r="G5769" s="2" t="s">
        <v>7322</v>
      </c>
      <c r="H5769" s="14">
        <v>0.5</v>
      </c>
      <c r="I5769" s="2" t="s">
        <v>267</v>
      </c>
      <c r="J5769" s="2" t="s">
        <v>6555</v>
      </c>
      <c r="K5769" s="2" t="s">
        <v>1452</v>
      </c>
      <c r="L5769" s="2" t="s">
        <v>5721</v>
      </c>
      <c r="M5769" s="2" t="s">
        <v>5721</v>
      </c>
      <c r="N5769" s="2" t="s">
        <v>2317</v>
      </c>
      <c r="O5769" s="14">
        <v>3000</v>
      </c>
      <c r="P5769" s="14">
        <v>93.7</v>
      </c>
      <c r="Q5769" s="14">
        <v>189</v>
      </c>
      <c r="R5769" s="14">
        <v>94.5</v>
      </c>
      <c r="S5769" s="2" t="s">
        <v>314</v>
      </c>
      <c r="T5769" s="2">
        <v>1.4</v>
      </c>
      <c r="U5769" s="2">
        <v>63.5</v>
      </c>
      <c r="V5769" s="2">
        <v>70</v>
      </c>
      <c r="W5769" s="2" t="s">
        <v>7862</v>
      </c>
      <c r="X5769" s="2" t="s">
        <v>2897</v>
      </c>
      <c r="Y5769" s="2">
        <v>1500</v>
      </c>
      <c r="Z5769" s="19" t="str">
        <f>HYPERLINK("https://ssdweb.co/ssdweb/hd/Vision360.html?d=927130897&amp;zoomslide=1&amp;z=1927130897&amp;ISCONFIRM=0","VIDEO")</f>
        <v>VIDEO</v>
      </c>
      <c r="AA5769" s="19" t="str">
        <f>HYPERLINK("https://ssdweb.co/ssdweb/CERTH/668446525.pdf","CERTI")</f>
        <v>CERTI</v>
      </c>
    </row>
    <row r="5770" spans="1:27" ht="15" x14ac:dyDescent="0.25">
      <c r="A5770" s="2">
        <v>5765</v>
      </c>
      <c r="B5770" s="39">
        <v>831010680</v>
      </c>
      <c r="C5770" s="28" t="str">
        <f>HYPERLINK("https://pld.live/RapDetail.aspx?STONELIST=831010680","DNA")</f>
        <v>DNA</v>
      </c>
      <c r="D5770" s="18" t="s">
        <v>5466</v>
      </c>
      <c r="E5770" s="18" t="s">
        <v>5128</v>
      </c>
      <c r="F5770" s="2" t="s">
        <v>7987</v>
      </c>
      <c r="G5770" s="2" t="s">
        <v>7322</v>
      </c>
      <c r="H5770" s="14">
        <v>0.5</v>
      </c>
      <c r="I5770" s="2" t="s">
        <v>267</v>
      </c>
      <c r="J5770" s="2" t="s">
        <v>3942</v>
      </c>
      <c r="K5770" s="2" t="s">
        <v>1452</v>
      </c>
      <c r="L5770" s="2" t="s">
        <v>5221</v>
      </c>
      <c r="M5770" s="2" t="s">
        <v>5221</v>
      </c>
      <c r="N5770" s="2" t="s">
        <v>2317</v>
      </c>
      <c r="O5770" s="14">
        <v>2800</v>
      </c>
      <c r="P5770" s="14">
        <v>94.18</v>
      </c>
      <c r="Q5770" s="14">
        <v>162.96</v>
      </c>
      <c r="R5770" s="14">
        <v>81.48</v>
      </c>
      <c r="S5770" s="2" t="s">
        <v>2199</v>
      </c>
      <c r="T5770" s="2">
        <v>1.38</v>
      </c>
      <c r="U5770" s="2">
        <v>63.5</v>
      </c>
      <c r="V5770" s="2">
        <v>70</v>
      </c>
      <c r="W5770" s="2" t="s">
        <v>7862</v>
      </c>
      <c r="X5770" s="2" t="s">
        <v>2897</v>
      </c>
      <c r="Y5770" s="2">
        <v>1400</v>
      </c>
      <c r="Z5770" s="19" t="str">
        <f>HYPERLINK("https://ssdweb.co/ssdweb/hd/Vision360.html?d=831010680&amp;zoomslide=1&amp;z=1831010680&amp;ISCONFIRM=0","VIDEO")</f>
        <v>VIDEO</v>
      </c>
      <c r="AA5770" s="19" t="str">
        <f>HYPERLINK("https://ssdweb.co/ssdweb/CERTH/651466411.pdf","CERTI")</f>
        <v>CERTI</v>
      </c>
    </row>
    <row r="5771" spans="1:27" ht="15" x14ac:dyDescent="0.25">
      <c r="A5771" s="2">
        <v>5766</v>
      </c>
      <c r="B5771" s="39">
        <v>941400117</v>
      </c>
      <c r="C5771" s="28" t="str">
        <f>HYPERLINK("https://pld.live/RapDetail.aspx?STONELIST=941400117","DNA")</f>
        <v>DNA</v>
      </c>
      <c r="D5771" s="18" t="s">
        <v>5466</v>
      </c>
      <c r="E5771" s="18" t="s">
        <v>5128</v>
      </c>
      <c r="F5771" s="2" t="s">
        <v>7987</v>
      </c>
      <c r="G5771" s="2" t="s">
        <v>7322</v>
      </c>
      <c r="H5771" s="14">
        <v>0.5</v>
      </c>
      <c r="I5771" s="2" t="s">
        <v>267</v>
      </c>
      <c r="J5771" s="2" t="s">
        <v>3942</v>
      </c>
      <c r="K5771" s="2" t="s">
        <v>1452</v>
      </c>
      <c r="L5771" s="2" t="s">
        <v>5221</v>
      </c>
      <c r="M5771" s="2" t="s">
        <v>5221</v>
      </c>
      <c r="N5771" s="2" t="s">
        <v>2317</v>
      </c>
      <c r="O5771" s="14">
        <v>2800</v>
      </c>
      <c r="P5771" s="14">
        <v>94.11</v>
      </c>
      <c r="Q5771" s="14">
        <v>164.92</v>
      </c>
      <c r="R5771" s="14">
        <v>82.46</v>
      </c>
      <c r="S5771" s="2" t="s">
        <v>2983</v>
      </c>
      <c r="T5771" s="2">
        <v>1.43</v>
      </c>
      <c r="U5771" s="2">
        <v>67.400000000000006</v>
      </c>
      <c r="V5771" s="2">
        <v>68</v>
      </c>
      <c r="W5771" s="2" t="s">
        <v>7862</v>
      </c>
      <c r="X5771" s="2" t="s">
        <v>2897</v>
      </c>
      <c r="Y5771" s="2">
        <v>1400</v>
      </c>
      <c r="Z5771" s="19" t="str">
        <f>HYPERLINK("https://ssdweb.co/ssdweb/hd/Vision360.html?d=941400117&amp;zoomslide=1&amp;z=1941400117&amp;ISCONFIRM=0","VIDEO")</f>
        <v>VIDEO</v>
      </c>
      <c r="AA5771" s="19" t="str">
        <f>HYPERLINK("https://ssdweb.co/ssdweb/CERTH/689587036.pdf","CERTI")</f>
        <v>CERTI</v>
      </c>
    </row>
    <row r="5772" spans="1:27" ht="15" x14ac:dyDescent="0.25">
      <c r="A5772" s="2">
        <v>5767</v>
      </c>
      <c r="B5772" s="39">
        <v>941190468</v>
      </c>
      <c r="C5772" s="28" t="str">
        <f>HYPERLINK("https://pld.live/RapDetail.aspx?STONELIST=941190468","DNA")</f>
        <v>DNA</v>
      </c>
      <c r="D5772" s="18" t="s">
        <v>5466</v>
      </c>
      <c r="E5772" s="18" t="s">
        <v>5128</v>
      </c>
      <c r="F5772" s="2" t="s">
        <v>7987</v>
      </c>
      <c r="G5772" s="2" t="s">
        <v>7322</v>
      </c>
      <c r="H5772" s="14">
        <v>0.5</v>
      </c>
      <c r="I5772" s="2" t="s">
        <v>267</v>
      </c>
      <c r="J5772" s="2" t="s">
        <v>3942</v>
      </c>
      <c r="K5772" s="2" t="s">
        <v>1452</v>
      </c>
      <c r="L5772" s="2" t="s">
        <v>5221</v>
      </c>
      <c r="M5772" s="2" t="s">
        <v>5221</v>
      </c>
      <c r="N5772" s="2" t="s">
        <v>2317</v>
      </c>
      <c r="O5772" s="14">
        <v>2800</v>
      </c>
      <c r="P5772" s="14">
        <v>94.11</v>
      </c>
      <c r="Q5772" s="14">
        <v>164.92</v>
      </c>
      <c r="R5772" s="14">
        <v>82.46</v>
      </c>
      <c r="S5772" s="2" t="s">
        <v>7659</v>
      </c>
      <c r="T5772" s="2">
        <v>1.38</v>
      </c>
      <c r="U5772" s="2">
        <v>68.599999999999994</v>
      </c>
      <c r="V5772" s="2">
        <v>74</v>
      </c>
      <c r="W5772" s="2" t="s">
        <v>7862</v>
      </c>
      <c r="X5772" s="2" t="s">
        <v>2897</v>
      </c>
      <c r="Y5772" s="2">
        <v>1400</v>
      </c>
      <c r="Z5772" s="19" t="str">
        <f>HYPERLINK("https://ssdweb.co/ssdweb/hd/Vision360.html?d=941190468&amp;zoomslide=1&amp;z=1941190468&amp;ISCONFIRM=0","VIDEO")</f>
        <v>VIDEO</v>
      </c>
      <c r="AA5772" s="19" t="str">
        <f>HYPERLINK("https://ssdweb.co/ssdweb/CERTH/689586966.pdf","CERTI")</f>
        <v>CERTI</v>
      </c>
    </row>
    <row r="5773" spans="1:27" ht="15" x14ac:dyDescent="0.25">
      <c r="A5773" s="2">
        <v>5768</v>
      </c>
      <c r="B5773" s="39">
        <v>941261061</v>
      </c>
      <c r="C5773" s="28" t="str">
        <f>HYPERLINK("https://pld.live/RapDetail.aspx?STONELIST=941261061","DNA")</f>
        <v>DNA</v>
      </c>
      <c r="D5773" s="18" t="s">
        <v>5466</v>
      </c>
      <c r="E5773" s="18" t="s">
        <v>5128</v>
      </c>
      <c r="F5773" s="2" t="s">
        <v>7987</v>
      </c>
      <c r="G5773" s="2" t="s">
        <v>7322</v>
      </c>
      <c r="H5773" s="14">
        <v>0.5</v>
      </c>
      <c r="I5773" s="2" t="s">
        <v>267</v>
      </c>
      <c r="J5773" s="2" t="s">
        <v>3942</v>
      </c>
      <c r="K5773" s="2" t="s">
        <v>1452</v>
      </c>
      <c r="L5773" s="2" t="s">
        <v>5221</v>
      </c>
      <c r="M5773" s="2" t="s">
        <v>5221</v>
      </c>
      <c r="N5773" s="2" t="s">
        <v>2317</v>
      </c>
      <c r="O5773" s="14">
        <v>2800</v>
      </c>
      <c r="P5773" s="14">
        <v>94.11</v>
      </c>
      <c r="Q5773" s="14">
        <v>164.92</v>
      </c>
      <c r="R5773" s="14">
        <v>82.46</v>
      </c>
      <c r="S5773" s="2" t="s">
        <v>845</v>
      </c>
      <c r="T5773" s="2">
        <v>1.41</v>
      </c>
      <c r="U5773" s="2">
        <v>67.7</v>
      </c>
      <c r="V5773" s="2">
        <v>66</v>
      </c>
      <c r="W5773" s="2" t="s">
        <v>7862</v>
      </c>
      <c r="X5773" s="2" t="s">
        <v>2897</v>
      </c>
      <c r="Y5773" s="2">
        <v>1400</v>
      </c>
      <c r="Z5773" s="19" t="str">
        <f>HYPERLINK("https://ssdweb.co/ssdweb/hd/Vision360.html?d=941261061&amp;zoomslide=1&amp;z=1941261061&amp;ISCONFIRM=0","VIDEO")</f>
        <v>VIDEO</v>
      </c>
      <c r="AA5773" s="19" t="str">
        <f>HYPERLINK("https://ssdweb.co/ssdweb/CERTH/694508387.pdf","CERTI")</f>
        <v>CERTI</v>
      </c>
    </row>
    <row r="5774" spans="1:27" ht="15" x14ac:dyDescent="0.25">
      <c r="A5774" s="2">
        <v>5769</v>
      </c>
      <c r="B5774" s="39">
        <v>927101115</v>
      </c>
      <c r="C5774" s="28" t="str">
        <f>HYPERLINK("https://pld.live/RapDetail.aspx?STONELIST=927101115","DNA")</f>
        <v>DNA</v>
      </c>
      <c r="D5774" s="18" t="s">
        <v>5466</v>
      </c>
      <c r="E5774" s="18" t="s">
        <v>5128</v>
      </c>
      <c r="F5774" s="2" t="s">
        <v>7987</v>
      </c>
      <c r="G5774" s="2" t="s">
        <v>7322</v>
      </c>
      <c r="H5774" s="14">
        <v>0.5</v>
      </c>
      <c r="I5774" s="2" t="s">
        <v>267</v>
      </c>
      <c r="J5774" s="2" t="s">
        <v>3942</v>
      </c>
      <c r="K5774" s="2" t="s">
        <v>1452</v>
      </c>
      <c r="L5774" s="2" t="s">
        <v>5221</v>
      </c>
      <c r="M5774" s="2" t="s">
        <v>5221</v>
      </c>
      <c r="N5774" s="2" t="s">
        <v>2317</v>
      </c>
      <c r="O5774" s="14">
        <v>2800</v>
      </c>
      <c r="P5774" s="14">
        <v>94.18</v>
      </c>
      <c r="Q5774" s="14">
        <v>162.96</v>
      </c>
      <c r="R5774" s="14">
        <v>81.48</v>
      </c>
      <c r="S5774" s="2" t="s">
        <v>1793</v>
      </c>
      <c r="T5774" s="2">
        <v>1.39</v>
      </c>
      <c r="U5774" s="2">
        <v>67.3</v>
      </c>
      <c r="V5774" s="2">
        <v>68</v>
      </c>
      <c r="W5774" s="2" t="s">
        <v>7862</v>
      </c>
      <c r="X5774" s="2" t="s">
        <v>2897</v>
      </c>
      <c r="Y5774" s="2">
        <v>1400</v>
      </c>
      <c r="Z5774" s="19" t="str">
        <f>HYPERLINK("https://ssdweb.co/ssdweb/hd/Vision360.html?d=927101115&amp;zoomslide=1&amp;z=1927101115&amp;ISCONFIRM=0","VIDEO")</f>
        <v>VIDEO</v>
      </c>
      <c r="AA5774" s="19" t="str">
        <f>HYPERLINK("https://ssdweb.co/ssdweb/CERTH/666416249.pdf","CERTI")</f>
        <v>CERTI</v>
      </c>
    </row>
    <row r="5775" spans="1:27" ht="15" x14ac:dyDescent="0.25">
      <c r="A5775" s="2">
        <v>5770</v>
      </c>
      <c r="B5775" s="39">
        <v>941070965</v>
      </c>
      <c r="C5775" s="28" t="str">
        <f>HYPERLINK("https://pld.live/RapDetail.aspx?STONELIST=941070965","DNA")</f>
        <v>DNA</v>
      </c>
      <c r="D5775" s="18" t="s">
        <v>5466</v>
      </c>
      <c r="E5775" s="18" t="s">
        <v>5128</v>
      </c>
      <c r="F5775" s="2" t="s">
        <v>7987</v>
      </c>
      <c r="G5775" s="2" t="s">
        <v>7322</v>
      </c>
      <c r="H5775" s="14">
        <v>0.5</v>
      </c>
      <c r="I5775" s="2" t="s">
        <v>267</v>
      </c>
      <c r="J5775" s="2" t="s">
        <v>3942</v>
      </c>
      <c r="K5775" s="2" t="s">
        <v>1452</v>
      </c>
      <c r="L5775" s="2" t="s">
        <v>5221</v>
      </c>
      <c r="M5775" s="2" t="s">
        <v>5221</v>
      </c>
      <c r="N5775" s="2" t="s">
        <v>2317</v>
      </c>
      <c r="O5775" s="14">
        <v>2800</v>
      </c>
      <c r="P5775" s="14">
        <v>94.11</v>
      </c>
      <c r="Q5775" s="14">
        <v>164.92</v>
      </c>
      <c r="R5775" s="14">
        <v>82.46</v>
      </c>
      <c r="S5775" s="2" t="s">
        <v>5437</v>
      </c>
      <c r="T5775" s="2">
        <v>1.41</v>
      </c>
      <c r="U5775" s="2">
        <v>64.7</v>
      </c>
      <c r="V5775" s="2">
        <v>64</v>
      </c>
      <c r="W5775" s="2" t="s">
        <v>7862</v>
      </c>
      <c r="X5775" s="2" t="s">
        <v>2897</v>
      </c>
      <c r="Y5775" s="2">
        <v>1400</v>
      </c>
      <c r="Z5775" s="19" t="str">
        <f>HYPERLINK("https://ssdweb.co/ssdweb/hd/Vision360.html?d=941070965&amp;zoomslide=1&amp;z=1941070965&amp;ISCONFIRM=0","VIDEO")</f>
        <v>VIDEO</v>
      </c>
      <c r="AA5775" s="19" t="str">
        <f>HYPERLINK("https://ssdweb.co/ssdweb/CERTH/670445201.pdf","CERTI")</f>
        <v>CERTI</v>
      </c>
    </row>
    <row r="5776" spans="1:27" ht="15" x14ac:dyDescent="0.25">
      <c r="A5776" s="2">
        <v>5771</v>
      </c>
      <c r="B5776" s="39">
        <v>925740709</v>
      </c>
      <c r="C5776" s="28" t="str">
        <f>HYPERLINK("https://pld.live/RapDetail.aspx?STONELIST=925740709","DNA")</f>
        <v>DNA</v>
      </c>
      <c r="D5776" s="18" t="s">
        <v>5466</v>
      </c>
      <c r="E5776" s="18" t="s">
        <v>5128</v>
      </c>
      <c r="F5776" s="2" t="s">
        <v>5597</v>
      </c>
      <c r="G5776" s="2" t="s">
        <v>7322</v>
      </c>
      <c r="H5776" s="14">
        <v>0.5</v>
      </c>
      <c r="I5776" s="2" t="s">
        <v>267</v>
      </c>
      <c r="J5776" s="2" t="s">
        <v>3942</v>
      </c>
      <c r="K5776" s="2" t="s">
        <v>1452</v>
      </c>
      <c r="L5776" s="2" t="s">
        <v>5221</v>
      </c>
      <c r="M5776" s="2" t="s">
        <v>5721</v>
      </c>
      <c r="N5776" s="2" t="s">
        <v>2317</v>
      </c>
      <c r="O5776" s="14">
        <v>2800</v>
      </c>
      <c r="P5776" s="14">
        <v>91.29</v>
      </c>
      <c r="Q5776" s="14">
        <v>243.88</v>
      </c>
      <c r="R5776" s="14">
        <v>121.94</v>
      </c>
      <c r="S5776" s="2" t="s">
        <v>6302</v>
      </c>
      <c r="T5776" s="2">
        <v>1.36</v>
      </c>
      <c r="U5776" s="2">
        <v>66.2</v>
      </c>
      <c r="V5776" s="2">
        <v>69</v>
      </c>
      <c r="W5776" s="2" t="s">
        <v>7862</v>
      </c>
      <c r="X5776" s="2" t="s">
        <v>2897</v>
      </c>
      <c r="Y5776" s="2">
        <v>1400</v>
      </c>
      <c r="Z5776" s="19" t="str">
        <f>HYPERLINK("https://ssdweb.co/ssdweb/hd/Vision360.html?d=925740709&amp;zoomslide=1&amp;z=1925740709&amp;ISCONFIRM=0","VIDEO")</f>
        <v>VIDEO</v>
      </c>
      <c r="AA5776" s="19" t="str">
        <f>HYPERLINK("https://ssdweb.co/ssdweb/CERTH/7481654404.pdf","CERTI")</f>
        <v>CERTI</v>
      </c>
    </row>
    <row r="5777" spans="1:27" ht="15" x14ac:dyDescent="0.25">
      <c r="A5777" s="2">
        <v>5772</v>
      </c>
      <c r="B5777" s="39">
        <v>941190165</v>
      </c>
      <c r="C5777" s="28" t="str">
        <f>HYPERLINK("https://pld.live/RapDetail.aspx?STONELIST=941190165","DNA")</f>
        <v>DNA</v>
      </c>
      <c r="D5777" s="18" t="s">
        <v>5466</v>
      </c>
      <c r="E5777" s="18" t="s">
        <v>5128</v>
      </c>
      <c r="F5777" s="2" t="s">
        <v>7987</v>
      </c>
      <c r="G5777" s="2" t="s">
        <v>7322</v>
      </c>
      <c r="H5777" s="14">
        <v>0.5</v>
      </c>
      <c r="I5777" s="2" t="s">
        <v>267</v>
      </c>
      <c r="J5777" s="2" t="s">
        <v>3942</v>
      </c>
      <c r="K5777" s="2" t="s">
        <v>1452</v>
      </c>
      <c r="L5777" s="2" t="s">
        <v>5221</v>
      </c>
      <c r="M5777" s="2" t="s">
        <v>5721</v>
      </c>
      <c r="N5777" s="2" t="s">
        <v>2317</v>
      </c>
      <c r="O5777" s="14">
        <v>2800</v>
      </c>
      <c r="P5777" s="14">
        <v>94.18</v>
      </c>
      <c r="Q5777" s="14">
        <v>162.96</v>
      </c>
      <c r="R5777" s="14">
        <v>81.48</v>
      </c>
      <c r="S5777" s="2" t="s">
        <v>1411</v>
      </c>
      <c r="T5777" s="2">
        <v>1.42</v>
      </c>
      <c r="U5777" s="2">
        <v>67.400000000000006</v>
      </c>
      <c r="V5777" s="2">
        <v>64</v>
      </c>
      <c r="W5777" s="2" t="s">
        <v>7862</v>
      </c>
      <c r="X5777" s="2" t="s">
        <v>2897</v>
      </c>
      <c r="Y5777" s="2">
        <v>1400</v>
      </c>
      <c r="Z5777" s="19" t="str">
        <f>HYPERLINK("https://ssdweb.co/ssdweb/hd/Vision360.html?d=941190165&amp;zoomslide=1&amp;z=1941190165&amp;ISCONFIRM=0","VIDEO")</f>
        <v>VIDEO</v>
      </c>
      <c r="AA5777" s="19" t="str">
        <f>HYPERLINK("https://ssdweb.co/ssdweb/CERTH/675504622.pdf","CERTI")</f>
        <v>CERTI</v>
      </c>
    </row>
    <row r="5778" spans="1:27" ht="15" x14ac:dyDescent="0.25">
      <c r="A5778" s="2">
        <v>5773</v>
      </c>
      <c r="B5778" s="39">
        <v>941160456</v>
      </c>
      <c r="C5778" s="28" t="str">
        <f>HYPERLINK("https://pld.live/RapDetail.aspx?STONELIST=941160456","DNA")</f>
        <v>DNA</v>
      </c>
      <c r="D5778" s="18" t="s">
        <v>5466</v>
      </c>
      <c r="E5778" s="18" t="s">
        <v>5128</v>
      </c>
      <c r="F5778" s="2" t="s">
        <v>7987</v>
      </c>
      <c r="G5778" s="2" t="s">
        <v>7322</v>
      </c>
      <c r="H5778" s="14">
        <v>0.5</v>
      </c>
      <c r="I5778" s="2" t="s">
        <v>267</v>
      </c>
      <c r="J5778" s="2" t="s">
        <v>3942</v>
      </c>
      <c r="K5778" s="2" t="s">
        <v>1452</v>
      </c>
      <c r="L5778" s="2" t="s">
        <v>5221</v>
      </c>
      <c r="M5778" s="2" t="s">
        <v>5721</v>
      </c>
      <c r="N5778" s="2" t="s">
        <v>2317</v>
      </c>
      <c r="O5778" s="14">
        <v>2800</v>
      </c>
      <c r="P5778" s="14">
        <v>94.18</v>
      </c>
      <c r="Q5778" s="14">
        <v>162.96</v>
      </c>
      <c r="R5778" s="14">
        <v>81.48</v>
      </c>
      <c r="S5778" s="2" t="s">
        <v>3459</v>
      </c>
      <c r="T5778" s="2">
        <v>1.55</v>
      </c>
      <c r="U5778" s="2">
        <v>64.5</v>
      </c>
      <c r="V5778" s="2">
        <v>72</v>
      </c>
      <c r="W5778" s="2" t="s">
        <v>7862</v>
      </c>
      <c r="X5778" s="2" t="s">
        <v>2897</v>
      </c>
      <c r="Y5778" s="2">
        <v>1400</v>
      </c>
      <c r="Z5778" s="19" t="str">
        <f>HYPERLINK("https://ssdweb.co/ssdweb/hd/Vision360.html?d=941160456&amp;zoomslide=1&amp;z=1941160456&amp;ISCONFIRM=0","VIDEO")</f>
        <v>VIDEO</v>
      </c>
      <c r="AA5778" s="19" t="str">
        <f>HYPERLINK("https://ssdweb.co/ssdweb/CERTH/674543005.pdf","CERTI")</f>
        <v>CERTI</v>
      </c>
    </row>
    <row r="5779" spans="1:27" ht="15" x14ac:dyDescent="0.25">
      <c r="A5779" s="2">
        <v>5774</v>
      </c>
      <c r="B5779" s="39">
        <v>927100209</v>
      </c>
      <c r="C5779" s="28" t="str">
        <f>HYPERLINK("https://pld.live/RapDetail.aspx?STONELIST=927100209","DNA")</f>
        <v>DNA</v>
      </c>
      <c r="D5779" s="18" t="s">
        <v>5466</v>
      </c>
      <c r="E5779" s="18" t="s">
        <v>5128</v>
      </c>
      <c r="F5779" s="2" t="s">
        <v>7987</v>
      </c>
      <c r="G5779" s="2" t="s">
        <v>7322</v>
      </c>
      <c r="H5779" s="14">
        <v>0.5</v>
      </c>
      <c r="I5779" s="2" t="s">
        <v>267</v>
      </c>
      <c r="J5779" s="2" t="s">
        <v>3942</v>
      </c>
      <c r="K5779" s="2" t="s">
        <v>1452</v>
      </c>
      <c r="L5779" s="2" t="s">
        <v>5221</v>
      </c>
      <c r="M5779" s="2" t="s">
        <v>5721</v>
      </c>
      <c r="N5779" s="2" t="s">
        <v>2317</v>
      </c>
      <c r="O5779" s="14">
        <v>2800</v>
      </c>
      <c r="P5779" s="14">
        <v>94.25</v>
      </c>
      <c r="Q5779" s="14">
        <v>161</v>
      </c>
      <c r="R5779" s="14">
        <v>80.5</v>
      </c>
      <c r="S5779" s="2" t="s">
        <v>5764</v>
      </c>
      <c r="T5779" s="2">
        <v>1.38</v>
      </c>
      <c r="U5779" s="2">
        <v>67.599999999999994</v>
      </c>
      <c r="V5779" s="2">
        <v>63</v>
      </c>
      <c r="W5779" s="2" t="s">
        <v>7862</v>
      </c>
      <c r="X5779" s="2" t="s">
        <v>2897</v>
      </c>
      <c r="Y5779" s="2">
        <v>1400</v>
      </c>
      <c r="Z5779" s="19" t="str">
        <f>HYPERLINK("https://ssdweb.co/ssdweb/hd/Vision360.html?d=927100209&amp;zoomslide=1&amp;z=1927100209&amp;ISCONFIRM=0","VIDEO")</f>
        <v>VIDEO</v>
      </c>
      <c r="AA5779" s="19" t="str">
        <f>HYPERLINK("https://ssdweb.co/ssdweb/CERTH/665453104.pdf","CERTI")</f>
        <v>CERTI</v>
      </c>
    </row>
    <row r="5780" spans="1:27" ht="15" x14ac:dyDescent="0.25">
      <c r="A5780" s="2">
        <v>5775</v>
      </c>
      <c r="B5780" s="39">
        <v>927100405</v>
      </c>
      <c r="C5780" s="28" t="str">
        <f>HYPERLINK("https://pld.live/RapDetail.aspx?STONELIST=927100405","DNA")</f>
        <v>DNA</v>
      </c>
      <c r="D5780" s="18" t="s">
        <v>5466</v>
      </c>
      <c r="E5780" s="18" t="s">
        <v>5128</v>
      </c>
      <c r="F5780" s="2" t="s">
        <v>7987</v>
      </c>
      <c r="G5780" s="2" t="s">
        <v>7322</v>
      </c>
      <c r="H5780" s="14">
        <v>0.5</v>
      </c>
      <c r="I5780" s="2" t="s">
        <v>267</v>
      </c>
      <c r="J5780" s="2" t="s">
        <v>3942</v>
      </c>
      <c r="K5780" s="2" t="s">
        <v>1452</v>
      </c>
      <c r="L5780" s="2" t="s">
        <v>5721</v>
      </c>
      <c r="M5780" s="2" t="s">
        <v>5721</v>
      </c>
      <c r="N5780" s="2" t="s">
        <v>2317</v>
      </c>
      <c r="O5780" s="14">
        <v>2800</v>
      </c>
      <c r="P5780" s="14">
        <v>94.25</v>
      </c>
      <c r="Q5780" s="14">
        <v>161</v>
      </c>
      <c r="R5780" s="14">
        <v>80.5</v>
      </c>
      <c r="S5780" s="2" t="s">
        <v>5574</v>
      </c>
      <c r="T5780" s="2">
        <v>1.44</v>
      </c>
      <c r="U5780" s="2">
        <v>71.3</v>
      </c>
      <c r="V5780" s="2">
        <v>72</v>
      </c>
      <c r="W5780" s="2" t="s">
        <v>7862</v>
      </c>
      <c r="X5780" s="2" t="s">
        <v>2897</v>
      </c>
      <c r="Y5780" s="2">
        <v>1400</v>
      </c>
      <c r="Z5780" s="19" t="str">
        <f>HYPERLINK("https://ssdweb.co/ssdweb/hd/Vision360.html?d=927100405&amp;zoomslide=1&amp;z=1927100405&amp;ISCONFIRM=0","VIDEO")</f>
        <v>VIDEO</v>
      </c>
      <c r="AA5780" s="19" t="str">
        <f>HYPERLINK("https://ssdweb.co/ssdweb/CERTH/662452710.pdf","CERTI")</f>
        <v>CERTI</v>
      </c>
    </row>
    <row r="5781" spans="1:27" ht="15" x14ac:dyDescent="0.25">
      <c r="A5781" s="2">
        <v>5776</v>
      </c>
      <c r="B5781" s="39">
        <v>941270747</v>
      </c>
      <c r="C5781" s="28" t="str">
        <f>HYPERLINK("https://pld.live/RapDetail.aspx?STONELIST=941270747","DNA")</f>
        <v>DNA</v>
      </c>
      <c r="D5781" s="18" t="s">
        <v>5466</v>
      </c>
      <c r="E5781" s="18" t="s">
        <v>5128</v>
      </c>
      <c r="F5781" s="2" t="s">
        <v>7987</v>
      </c>
      <c r="G5781" s="2" t="s">
        <v>7322</v>
      </c>
      <c r="H5781" s="14">
        <v>0.5</v>
      </c>
      <c r="I5781" s="2" t="s">
        <v>267</v>
      </c>
      <c r="J5781" s="2" t="s">
        <v>13</v>
      </c>
      <c r="K5781" s="2" t="s">
        <v>1452</v>
      </c>
      <c r="L5781" s="2" t="s">
        <v>5221</v>
      </c>
      <c r="M5781" s="2" t="s">
        <v>5221</v>
      </c>
      <c r="N5781" s="2" t="s">
        <v>2317</v>
      </c>
      <c r="O5781" s="14">
        <v>2600</v>
      </c>
      <c r="P5781" s="14">
        <v>93.85</v>
      </c>
      <c r="Q5781" s="14">
        <v>159.9</v>
      </c>
      <c r="R5781" s="14">
        <v>79.95</v>
      </c>
      <c r="S5781" s="2" t="s">
        <v>7659</v>
      </c>
      <c r="T5781" s="2">
        <v>1.38</v>
      </c>
      <c r="U5781" s="2">
        <v>68.599999999999994</v>
      </c>
      <c r="V5781" s="2">
        <v>63</v>
      </c>
      <c r="W5781" s="2" t="s">
        <v>7862</v>
      </c>
      <c r="X5781" s="2" t="s">
        <v>2897</v>
      </c>
      <c r="Y5781" s="2">
        <v>1300</v>
      </c>
      <c r="Z5781" s="19" t="str">
        <f>HYPERLINK("https://ssdweb.co/ssdweb/hd/Vision360.html?d=941270747&amp;zoomslide=1&amp;z=1941270747&amp;ISCONFIRM=0","VIDEO")</f>
        <v>VIDEO</v>
      </c>
      <c r="AA5781" s="19" t="str">
        <f>HYPERLINK("https://ssdweb.co/ssdweb/CERTH/689587166.pdf","CERTI")</f>
        <v>CERTI</v>
      </c>
    </row>
    <row r="5782" spans="1:27" ht="15" x14ac:dyDescent="0.25">
      <c r="A5782" s="2">
        <v>5777</v>
      </c>
      <c r="B5782" s="39">
        <v>941270749</v>
      </c>
      <c r="C5782" s="28" t="str">
        <f>HYPERLINK("https://pld.live/RapDetail.aspx?STONELIST=941270749","DNA")</f>
        <v>DNA</v>
      </c>
      <c r="D5782" s="18" t="s">
        <v>5466</v>
      </c>
      <c r="E5782" s="18" t="s">
        <v>5128</v>
      </c>
      <c r="F5782" s="2" t="s">
        <v>7987</v>
      </c>
      <c r="G5782" s="2" t="s">
        <v>7322</v>
      </c>
      <c r="H5782" s="14">
        <v>0.5</v>
      </c>
      <c r="I5782" s="2" t="s">
        <v>267</v>
      </c>
      <c r="J5782" s="2" t="s">
        <v>13</v>
      </c>
      <c r="K5782" s="2" t="s">
        <v>1452</v>
      </c>
      <c r="L5782" s="2" t="s">
        <v>5221</v>
      </c>
      <c r="M5782" s="2" t="s">
        <v>5221</v>
      </c>
      <c r="N5782" s="2" t="s">
        <v>2317</v>
      </c>
      <c r="O5782" s="14">
        <v>2600</v>
      </c>
      <c r="P5782" s="14">
        <v>93.85</v>
      </c>
      <c r="Q5782" s="14">
        <v>159.9</v>
      </c>
      <c r="R5782" s="14">
        <v>79.95</v>
      </c>
      <c r="S5782" s="2" t="s">
        <v>2578</v>
      </c>
      <c r="T5782" s="2">
        <v>1.38</v>
      </c>
      <c r="U5782" s="2">
        <v>68.2</v>
      </c>
      <c r="V5782" s="2">
        <v>66</v>
      </c>
      <c r="W5782" s="2" t="s">
        <v>7862</v>
      </c>
      <c r="X5782" s="2" t="s">
        <v>2897</v>
      </c>
      <c r="Y5782" s="2">
        <v>1300</v>
      </c>
      <c r="Z5782" s="19" t="str">
        <f>HYPERLINK("https://ssdweb.co/ssdweb/hd/Vision360.html?d=941270749&amp;zoomslide=1&amp;z=1941270749&amp;ISCONFIRM=0","VIDEO")</f>
        <v>VIDEO</v>
      </c>
      <c r="AA5782" s="19" t="str">
        <f>HYPERLINK("https://ssdweb.co/ssdweb/CERTH/689587167.pdf","CERTI")</f>
        <v>CERTI</v>
      </c>
    </row>
    <row r="5783" spans="1:27" ht="15" x14ac:dyDescent="0.25">
      <c r="A5783" s="2">
        <v>5778</v>
      </c>
      <c r="B5783" s="39">
        <v>941170281</v>
      </c>
      <c r="C5783" s="28" t="str">
        <f>HYPERLINK("https://pld.live/RapDetail.aspx?STONELIST=941170281","DNA")</f>
        <v>DNA</v>
      </c>
      <c r="D5783" s="18" t="s">
        <v>5466</v>
      </c>
      <c r="E5783" s="18" t="s">
        <v>5128</v>
      </c>
      <c r="F5783" s="2" t="s">
        <v>7987</v>
      </c>
      <c r="G5783" s="2" t="s">
        <v>7322</v>
      </c>
      <c r="H5783" s="14">
        <v>0.5</v>
      </c>
      <c r="I5783" s="2" t="s">
        <v>267</v>
      </c>
      <c r="J5783" s="2" t="s">
        <v>13</v>
      </c>
      <c r="K5783" s="2" t="s">
        <v>1452</v>
      </c>
      <c r="L5783" s="2" t="s">
        <v>5221</v>
      </c>
      <c r="M5783" s="2" t="s">
        <v>5221</v>
      </c>
      <c r="N5783" s="2" t="s">
        <v>2317</v>
      </c>
      <c r="O5783" s="14">
        <v>2600</v>
      </c>
      <c r="P5783" s="14">
        <v>93.85</v>
      </c>
      <c r="Q5783" s="14">
        <v>159.9</v>
      </c>
      <c r="R5783" s="14">
        <v>79.95</v>
      </c>
      <c r="S5783" s="2" t="s">
        <v>4768</v>
      </c>
      <c r="T5783" s="2">
        <v>1.41</v>
      </c>
      <c r="U5783" s="2">
        <v>68.3</v>
      </c>
      <c r="V5783" s="2">
        <v>69</v>
      </c>
      <c r="W5783" s="2" t="s">
        <v>7862</v>
      </c>
      <c r="X5783" s="2" t="s">
        <v>2897</v>
      </c>
      <c r="Y5783" s="2">
        <v>1300</v>
      </c>
      <c r="Z5783" s="19" t="str">
        <f>HYPERLINK("https://ssdweb.co/ssdweb/hd/Vision360.html?d=941170281&amp;zoomslide=1&amp;z=1941170281&amp;ISCONFIRM=0","VIDEO")</f>
        <v>VIDEO</v>
      </c>
      <c r="AA5783" s="19" t="str">
        <f>HYPERLINK("https://ssdweb.co/ssdweb/CERTH/675504583.pdf","CERTI")</f>
        <v>CERTI</v>
      </c>
    </row>
    <row r="5784" spans="1:27" ht="15" x14ac:dyDescent="0.25">
      <c r="A5784" s="2">
        <v>5779</v>
      </c>
      <c r="B5784" s="39">
        <v>941270746</v>
      </c>
      <c r="C5784" s="28" t="str">
        <f>HYPERLINK("https://pld.live/RapDetail.aspx?STONELIST=941270746","DNA")</f>
        <v>DNA</v>
      </c>
      <c r="D5784" s="18" t="s">
        <v>5466</v>
      </c>
      <c r="E5784" s="18" t="s">
        <v>5128</v>
      </c>
      <c r="F5784" s="2" t="s">
        <v>7987</v>
      </c>
      <c r="G5784" s="2" t="s">
        <v>7322</v>
      </c>
      <c r="H5784" s="14">
        <v>0.5</v>
      </c>
      <c r="I5784" s="2" t="s">
        <v>267</v>
      </c>
      <c r="J5784" s="2" t="s">
        <v>13</v>
      </c>
      <c r="K5784" s="2" t="s">
        <v>1452</v>
      </c>
      <c r="L5784" s="2" t="s">
        <v>5221</v>
      </c>
      <c r="M5784" s="2" t="s">
        <v>5221</v>
      </c>
      <c r="N5784" s="2" t="s">
        <v>2317</v>
      </c>
      <c r="O5784" s="14">
        <v>2600</v>
      </c>
      <c r="P5784" s="14">
        <v>93.85</v>
      </c>
      <c r="Q5784" s="14">
        <v>159.9</v>
      </c>
      <c r="R5784" s="14">
        <v>79.95</v>
      </c>
      <c r="S5784" s="2" t="s">
        <v>1267</v>
      </c>
      <c r="T5784" s="2">
        <v>1.41</v>
      </c>
      <c r="U5784" s="2">
        <v>65.400000000000006</v>
      </c>
      <c r="V5784" s="2">
        <v>69</v>
      </c>
      <c r="W5784" s="2" t="s">
        <v>7862</v>
      </c>
      <c r="X5784" s="2" t="s">
        <v>2897</v>
      </c>
      <c r="Y5784" s="2">
        <v>1300</v>
      </c>
      <c r="Z5784" s="19" t="str">
        <f>HYPERLINK("https://ssdweb.co/ssdweb/hd/Vision360.html?d=941270746&amp;zoomslide=1&amp;z=1941270746&amp;ISCONFIRM=0","VIDEO")</f>
        <v>VIDEO</v>
      </c>
      <c r="AA5784" s="19" t="str">
        <f>HYPERLINK("https://ssdweb.co/ssdweb/CERTH/689587165.pdf","CERTI")</f>
        <v>CERTI</v>
      </c>
    </row>
    <row r="5785" spans="1:27" ht="15" x14ac:dyDescent="0.25">
      <c r="A5785" s="2">
        <v>5780</v>
      </c>
      <c r="B5785" s="39">
        <v>941400567</v>
      </c>
      <c r="C5785" s="28" t="str">
        <f>HYPERLINK("https://pld.live/RapDetail.aspx?STONELIST=941400567","DNA")</f>
        <v>DNA</v>
      </c>
      <c r="D5785" s="18" t="s">
        <v>5466</v>
      </c>
      <c r="E5785" s="18" t="s">
        <v>5128</v>
      </c>
      <c r="F5785" s="2" t="s">
        <v>7987</v>
      </c>
      <c r="G5785" s="2" t="s">
        <v>7322</v>
      </c>
      <c r="H5785" s="14">
        <v>0.5</v>
      </c>
      <c r="I5785" s="2" t="s">
        <v>267</v>
      </c>
      <c r="J5785" s="2" t="s">
        <v>13</v>
      </c>
      <c r="K5785" s="2" t="s">
        <v>1452</v>
      </c>
      <c r="L5785" s="2" t="s">
        <v>5221</v>
      </c>
      <c r="M5785" s="2" t="s">
        <v>5221</v>
      </c>
      <c r="N5785" s="2" t="s">
        <v>2317</v>
      </c>
      <c r="O5785" s="14">
        <v>2600</v>
      </c>
      <c r="P5785" s="14">
        <v>93.85</v>
      </c>
      <c r="Q5785" s="14">
        <v>159.9</v>
      </c>
      <c r="R5785" s="14">
        <v>79.95</v>
      </c>
      <c r="S5785" s="2" t="s">
        <v>1124</v>
      </c>
      <c r="T5785" s="2">
        <v>1.41</v>
      </c>
      <c r="U5785" s="2">
        <v>65</v>
      </c>
      <c r="V5785" s="2">
        <v>67</v>
      </c>
      <c r="W5785" s="2" t="s">
        <v>7862</v>
      </c>
      <c r="X5785" s="2" t="s">
        <v>2897</v>
      </c>
      <c r="Y5785" s="2">
        <v>1300</v>
      </c>
      <c r="Z5785" s="19" t="str">
        <f>HYPERLINK("https://ssdweb.co/ssdweb/hd/Vision360.html?d=941400567&amp;zoomslide=1&amp;z=1941400567&amp;ISCONFIRM=0","VIDEO")</f>
        <v>VIDEO</v>
      </c>
      <c r="AA5785" s="19" t="str">
        <f>HYPERLINK("https://ssdweb.co/ssdweb/CERTH/692505659.pdf","CERTI")</f>
        <v>CERTI</v>
      </c>
    </row>
    <row r="5786" spans="1:27" ht="15" x14ac:dyDescent="0.25">
      <c r="A5786" s="2">
        <v>5781</v>
      </c>
      <c r="B5786" s="39">
        <v>941270757</v>
      </c>
      <c r="C5786" s="28" t="str">
        <f>HYPERLINK("https://pld.live/RapDetail.aspx?STONELIST=941270757","DNA")</f>
        <v>DNA</v>
      </c>
      <c r="D5786" s="18" t="s">
        <v>5466</v>
      </c>
      <c r="E5786" s="18" t="s">
        <v>5128</v>
      </c>
      <c r="F5786" s="2" t="s">
        <v>7987</v>
      </c>
      <c r="G5786" s="2" t="s">
        <v>7322</v>
      </c>
      <c r="H5786" s="14">
        <v>0.5</v>
      </c>
      <c r="I5786" s="2" t="s">
        <v>267</v>
      </c>
      <c r="J5786" s="2" t="s">
        <v>13</v>
      </c>
      <c r="K5786" s="2" t="s">
        <v>1452</v>
      </c>
      <c r="L5786" s="2" t="s">
        <v>5221</v>
      </c>
      <c r="M5786" s="2" t="s">
        <v>5221</v>
      </c>
      <c r="N5786" s="2" t="s">
        <v>2317</v>
      </c>
      <c r="O5786" s="14">
        <v>2600</v>
      </c>
      <c r="P5786" s="14">
        <v>93.85</v>
      </c>
      <c r="Q5786" s="14">
        <v>159.9</v>
      </c>
      <c r="R5786" s="14">
        <v>79.95</v>
      </c>
      <c r="S5786" s="2" t="s">
        <v>2014</v>
      </c>
      <c r="T5786" s="2">
        <v>1.47</v>
      </c>
      <c r="U5786" s="2">
        <v>67.3</v>
      </c>
      <c r="V5786" s="2">
        <v>65</v>
      </c>
      <c r="W5786" s="2" t="s">
        <v>7862</v>
      </c>
      <c r="X5786" s="2" t="s">
        <v>2897</v>
      </c>
      <c r="Y5786" s="2">
        <v>1300</v>
      </c>
      <c r="Z5786" s="19" t="str">
        <f>HYPERLINK("https://ssdweb.co/ssdweb/hd/Vision360.html?d=941270757&amp;zoomslide=1&amp;z=1941270757&amp;ISCONFIRM=0","VIDEO")</f>
        <v>VIDEO</v>
      </c>
      <c r="AA5786" s="19" t="str">
        <f>HYPERLINK("https://ssdweb.co/ssdweb/CERTH/689587168.pdf","CERTI")</f>
        <v>CERTI</v>
      </c>
    </row>
    <row r="5787" spans="1:27" ht="15" x14ac:dyDescent="0.25">
      <c r="A5787" s="2">
        <v>5782</v>
      </c>
      <c r="B5787" s="39">
        <v>941190075</v>
      </c>
      <c r="C5787" s="28" t="str">
        <f>HYPERLINK("https://pld.live/RapDetail.aspx?STONELIST=941190075","DNA")</f>
        <v>DNA</v>
      </c>
      <c r="D5787" s="18" t="s">
        <v>5466</v>
      </c>
      <c r="E5787" s="18" t="s">
        <v>5128</v>
      </c>
      <c r="F5787" s="2" t="s">
        <v>7987</v>
      </c>
      <c r="G5787" s="2" t="s">
        <v>7322</v>
      </c>
      <c r="H5787" s="14">
        <v>0.5</v>
      </c>
      <c r="I5787" s="2" t="s">
        <v>267</v>
      </c>
      <c r="J5787" s="2" t="s">
        <v>13</v>
      </c>
      <c r="K5787" s="2" t="s">
        <v>1452</v>
      </c>
      <c r="L5787" s="2" t="s">
        <v>5221</v>
      </c>
      <c r="M5787" s="2" t="s">
        <v>5221</v>
      </c>
      <c r="N5787" s="2" t="s">
        <v>2317</v>
      </c>
      <c r="O5787" s="14">
        <v>2600</v>
      </c>
      <c r="P5787" s="14">
        <v>93.85</v>
      </c>
      <c r="Q5787" s="14">
        <v>159.9</v>
      </c>
      <c r="R5787" s="14">
        <v>79.95</v>
      </c>
      <c r="S5787" s="2" t="s">
        <v>4452</v>
      </c>
      <c r="T5787" s="2">
        <v>1.41</v>
      </c>
      <c r="U5787" s="2">
        <v>65.8</v>
      </c>
      <c r="V5787" s="2">
        <v>61</v>
      </c>
      <c r="W5787" s="2" t="s">
        <v>7862</v>
      </c>
      <c r="X5787" s="2" t="s">
        <v>2897</v>
      </c>
      <c r="Y5787" s="2">
        <v>1300</v>
      </c>
      <c r="Z5787" s="19" t="str">
        <f>HYPERLINK("https://ssdweb.co/ssdweb/hd/Vision360.html?d=941190075&amp;zoomslide=1&amp;z=1941190075&amp;ISCONFIRM=0","VIDEO")</f>
        <v>VIDEO</v>
      </c>
      <c r="AA5787" s="19" t="str">
        <f>HYPERLINK("https://ssdweb.co/ssdweb/CERTH/675504620.pdf","CERTI")</f>
        <v>CERTI</v>
      </c>
    </row>
    <row r="5788" spans="1:27" ht="15" x14ac:dyDescent="0.25">
      <c r="A5788" s="2">
        <v>5783</v>
      </c>
      <c r="B5788" s="39">
        <v>941190384</v>
      </c>
      <c r="C5788" s="28" t="str">
        <f>HYPERLINK("https://pld.live/RapDetail.aspx?STONELIST=941190384","DNA")</f>
        <v>DNA</v>
      </c>
      <c r="D5788" s="18" t="s">
        <v>5466</v>
      </c>
      <c r="E5788" s="18" t="s">
        <v>5128</v>
      </c>
      <c r="F5788" s="2" t="s">
        <v>7987</v>
      </c>
      <c r="G5788" s="2" t="s">
        <v>7322</v>
      </c>
      <c r="H5788" s="14">
        <v>0.5</v>
      </c>
      <c r="I5788" s="2" t="s">
        <v>267</v>
      </c>
      <c r="J5788" s="2" t="s">
        <v>13</v>
      </c>
      <c r="K5788" s="2" t="s">
        <v>1452</v>
      </c>
      <c r="L5788" s="2" t="s">
        <v>5221</v>
      </c>
      <c r="M5788" s="2" t="s">
        <v>5221</v>
      </c>
      <c r="N5788" s="2" t="s">
        <v>2317</v>
      </c>
      <c r="O5788" s="14">
        <v>2600</v>
      </c>
      <c r="P5788" s="14">
        <v>93.85</v>
      </c>
      <c r="Q5788" s="14">
        <v>159.9</v>
      </c>
      <c r="R5788" s="14">
        <v>79.95</v>
      </c>
      <c r="S5788" s="2" t="s">
        <v>2666</v>
      </c>
      <c r="T5788" s="2">
        <v>1.53</v>
      </c>
      <c r="U5788" s="2">
        <v>68.3</v>
      </c>
      <c r="V5788" s="2">
        <v>66</v>
      </c>
      <c r="W5788" s="2" t="s">
        <v>7862</v>
      </c>
      <c r="X5788" s="2" t="s">
        <v>2897</v>
      </c>
      <c r="Y5788" s="2">
        <v>1300</v>
      </c>
      <c r="Z5788" s="19" t="str">
        <f>HYPERLINK("https://ssdweb.co/ssdweb/hd/Vision360.html?d=941190384&amp;zoomslide=1&amp;z=1941190384&amp;ISCONFIRM=0","VIDEO")</f>
        <v>VIDEO</v>
      </c>
      <c r="AA5788" s="19" t="str">
        <f>HYPERLINK("https://ssdweb.co/ssdweb/CERTH/689586964.pdf","CERTI")</f>
        <v>CERTI</v>
      </c>
    </row>
    <row r="5789" spans="1:27" ht="15" x14ac:dyDescent="0.25">
      <c r="A5789" s="2">
        <v>5784</v>
      </c>
      <c r="B5789" s="39">
        <v>941270386</v>
      </c>
      <c r="C5789" s="28" t="str">
        <f>HYPERLINK("https://pld.live/RapDetail.aspx?STONELIST=941270386","DNA")</f>
        <v>DNA</v>
      </c>
      <c r="D5789" s="18" t="s">
        <v>5466</v>
      </c>
      <c r="E5789" s="18" t="s">
        <v>5128</v>
      </c>
      <c r="F5789" s="2" t="s">
        <v>7987</v>
      </c>
      <c r="G5789" s="2" t="s">
        <v>7322</v>
      </c>
      <c r="H5789" s="14">
        <v>0.5</v>
      </c>
      <c r="I5789" s="2" t="s">
        <v>267</v>
      </c>
      <c r="J5789" s="2" t="s">
        <v>13</v>
      </c>
      <c r="K5789" s="2" t="s">
        <v>1452</v>
      </c>
      <c r="L5789" s="2" t="s">
        <v>5221</v>
      </c>
      <c r="M5789" s="2" t="s">
        <v>5221</v>
      </c>
      <c r="N5789" s="2" t="s">
        <v>2317</v>
      </c>
      <c r="O5789" s="14">
        <v>2600</v>
      </c>
      <c r="P5789" s="14">
        <v>93.85</v>
      </c>
      <c r="Q5789" s="14">
        <v>159.9</v>
      </c>
      <c r="R5789" s="14">
        <v>79.95</v>
      </c>
      <c r="S5789" s="2" t="s">
        <v>5191</v>
      </c>
      <c r="T5789" s="2">
        <v>1.38</v>
      </c>
      <c r="U5789" s="2">
        <v>67.5</v>
      </c>
      <c r="V5789" s="2">
        <v>62</v>
      </c>
      <c r="W5789" s="2" t="s">
        <v>7862</v>
      </c>
      <c r="X5789" s="2" t="s">
        <v>2897</v>
      </c>
      <c r="Y5789" s="2">
        <v>1300</v>
      </c>
      <c r="Z5789" s="19" t="str">
        <f>HYPERLINK("https://ssdweb.co/ssdweb/hd/Vision360.html?d=941270386&amp;zoomslide=1&amp;z=1941270386&amp;ISCONFIRM=0","VIDEO")</f>
        <v>VIDEO</v>
      </c>
      <c r="AA5789" s="19" t="str">
        <f>HYPERLINK("https://ssdweb.co/ssdweb/CERTH/681569626.pdf","CERTI")</f>
        <v>CERTI</v>
      </c>
    </row>
    <row r="5790" spans="1:27" ht="15" x14ac:dyDescent="0.25">
      <c r="A5790" s="2">
        <v>5785</v>
      </c>
      <c r="B5790" s="39">
        <v>941270331</v>
      </c>
      <c r="C5790" s="28" t="str">
        <f>HYPERLINK("https://pld.live/RapDetail.aspx?STONELIST=941270331","DNA")</f>
        <v>DNA</v>
      </c>
      <c r="D5790" s="18" t="s">
        <v>5466</v>
      </c>
      <c r="E5790" s="18" t="s">
        <v>5128</v>
      </c>
      <c r="F5790" s="2" t="s">
        <v>7987</v>
      </c>
      <c r="G5790" s="2" t="s">
        <v>7322</v>
      </c>
      <c r="H5790" s="14">
        <v>0.5</v>
      </c>
      <c r="I5790" s="2" t="s">
        <v>267</v>
      </c>
      <c r="J5790" s="2" t="s">
        <v>13</v>
      </c>
      <c r="K5790" s="2" t="s">
        <v>1452</v>
      </c>
      <c r="L5790" s="2" t="s">
        <v>5221</v>
      </c>
      <c r="M5790" s="2" t="s">
        <v>5221</v>
      </c>
      <c r="N5790" s="2" t="s">
        <v>2317</v>
      </c>
      <c r="O5790" s="14">
        <v>2600</v>
      </c>
      <c r="P5790" s="14">
        <v>93.85</v>
      </c>
      <c r="Q5790" s="14">
        <v>159.9</v>
      </c>
      <c r="R5790" s="14">
        <v>79.95</v>
      </c>
      <c r="S5790" s="2" t="s">
        <v>5449</v>
      </c>
      <c r="T5790" s="2">
        <v>1.38</v>
      </c>
      <c r="U5790" s="2">
        <v>67.599999999999994</v>
      </c>
      <c r="V5790" s="2">
        <v>66</v>
      </c>
      <c r="W5790" s="2" t="s">
        <v>7862</v>
      </c>
      <c r="X5790" s="2" t="s">
        <v>2897</v>
      </c>
      <c r="Y5790" s="2">
        <v>1300</v>
      </c>
      <c r="Z5790" s="19" t="str">
        <f>HYPERLINK("https://ssdweb.co/ssdweb/hd/Vision360.html?d=941270331&amp;zoomslide=1&amp;z=1941270331&amp;ISCONFIRM=0","VIDEO")</f>
        <v>VIDEO</v>
      </c>
      <c r="AA5790" s="19" t="str">
        <f>HYPERLINK("https://ssdweb.co/ssdweb/CERTH/681569623.pdf","CERTI")</f>
        <v>CERTI</v>
      </c>
    </row>
    <row r="5791" spans="1:27" ht="15" x14ac:dyDescent="0.25">
      <c r="A5791" s="2">
        <v>5786</v>
      </c>
      <c r="B5791" s="39">
        <v>941160519</v>
      </c>
      <c r="C5791" s="28" t="str">
        <f>HYPERLINK("https://pld.live/RapDetail.aspx?STONELIST=941160519","DNA")</f>
        <v>DNA</v>
      </c>
      <c r="D5791" s="18" t="s">
        <v>5466</v>
      </c>
      <c r="E5791" s="18" t="s">
        <v>5128</v>
      </c>
      <c r="F5791" s="2" t="s">
        <v>7987</v>
      </c>
      <c r="G5791" s="2" t="s">
        <v>7322</v>
      </c>
      <c r="H5791" s="14">
        <v>0.5</v>
      </c>
      <c r="I5791" s="2" t="s">
        <v>267</v>
      </c>
      <c r="J5791" s="2" t="s">
        <v>13</v>
      </c>
      <c r="K5791" s="2" t="s">
        <v>1452</v>
      </c>
      <c r="L5791" s="2" t="s">
        <v>5221</v>
      </c>
      <c r="M5791" s="2" t="s">
        <v>5221</v>
      </c>
      <c r="N5791" s="2" t="s">
        <v>2317</v>
      </c>
      <c r="O5791" s="14">
        <v>2600</v>
      </c>
      <c r="P5791" s="14">
        <v>93.85</v>
      </c>
      <c r="Q5791" s="14">
        <v>159.9</v>
      </c>
      <c r="R5791" s="14">
        <v>79.95</v>
      </c>
      <c r="S5791" s="2" t="s">
        <v>2498</v>
      </c>
      <c r="T5791" s="2">
        <v>1.43</v>
      </c>
      <c r="U5791" s="2">
        <v>69.2</v>
      </c>
      <c r="V5791" s="2">
        <v>69</v>
      </c>
      <c r="W5791" s="2" t="s">
        <v>7862</v>
      </c>
      <c r="X5791" s="2" t="s">
        <v>2897</v>
      </c>
      <c r="Y5791" s="2">
        <v>1300</v>
      </c>
      <c r="Z5791" s="19" t="str">
        <f>HYPERLINK("https://ssdweb.co/ssdweb/hd/Vision360.html?d=941160519&amp;zoomslide=1&amp;z=1941160519&amp;ISCONFIRM=0","VIDEO")</f>
        <v>VIDEO</v>
      </c>
      <c r="AA5791" s="19" t="str">
        <f>HYPERLINK("https://ssdweb.co/ssdweb/CERTH/674532516.pdf","CERTI")</f>
        <v>CERTI</v>
      </c>
    </row>
    <row r="5792" spans="1:27" ht="15" x14ac:dyDescent="0.25">
      <c r="A5792" s="2">
        <v>5787</v>
      </c>
      <c r="B5792" s="39">
        <v>941160422</v>
      </c>
      <c r="C5792" s="28" t="str">
        <f>HYPERLINK("https://pld.live/RapDetail.aspx?STONELIST=941160422","DNA")</f>
        <v>DNA</v>
      </c>
      <c r="D5792" s="18" t="s">
        <v>5466</v>
      </c>
      <c r="E5792" s="18" t="s">
        <v>5128</v>
      </c>
      <c r="F5792" s="2" t="s">
        <v>7987</v>
      </c>
      <c r="G5792" s="2" t="s">
        <v>7322</v>
      </c>
      <c r="H5792" s="14">
        <v>0.5</v>
      </c>
      <c r="I5792" s="2" t="s">
        <v>267</v>
      </c>
      <c r="J5792" s="2" t="s">
        <v>13</v>
      </c>
      <c r="K5792" s="2" t="s">
        <v>1452</v>
      </c>
      <c r="L5792" s="2" t="s">
        <v>5221</v>
      </c>
      <c r="M5792" s="2" t="s">
        <v>5221</v>
      </c>
      <c r="N5792" s="2" t="s">
        <v>2317</v>
      </c>
      <c r="O5792" s="14">
        <v>2600</v>
      </c>
      <c r="P5792" s="14">
        <v>93.85</v>
      </c>
      <c r="Q5792" s="14">
        <v>159.9</v>
      </c>
      <c r="R5792" s="14">
        <v>79.95</v>
      </c>
      <c r="S5792" s="2" t="s">
        <v>4027</v>
      </c>
      <c r="T5792" s="2">
        <v>1.38</v>
      </c>
      <c r="U5792" s="2">
        <v>67.599999999999994</v>
      </c>
      <c r="V5792" s="2">
        <v>68</v>
      </c>
      <c r="W5792" s="2" t="s">
        <v>7862</v>
      </c>
      <c r="X5792" s="2" t="s">
        <v>2897</v>
      </c>
      <c r="Y5792" s="2">
        <v>1300</v>
      </c>
      <c r="Z5792" s="19" t="str">
        <f>HYPERLINK("https://ssdweb.co/ssdweb/hd/Vision360.html?d=941160422&amp;zoomslide=1&amp;z=1941160422&amp;ISCONFIRM=0","VIDEO")</f>
        <v>VIDEO</v>
      </c>
      <c r="AA5792" s="19" t="str">
        <f>HYPERLINK("https://ssdweb.co/ssdweb/CERTH/689586939.pdf","CERTI")</f>
        <v>CERTI</v>
      </c>
    </row>
    <row r="5793" spans="1:27" ht="15" x14ac:dyDescent="0.25">
      <c r="A5793" s="2">
        <v>5788</v>
      </c>
      <c r="B5793" s="39">
        <v>927100216</v>
      </c>
      <c r="C5793" s="28" t="str">
        <f>HYPERLINK("https://pld.live/RapDetail.aspx?STONELIST=927100216","DNA")</f>
        <v>DNA</v>
      </c>
      <c r="D5793" s="18" t="s">
        <v>5466</v>
      </c>
      <c r="E5793" s="18" t="s">
        <v>5128</v>
      </c>
      <c r="F5793" s="2" t="s">
        <v>7987</v>
      </c>
      <c r="G5793" s="2" t="s">
        <v>7322</v>
      </c>
      <c r="H5793" s="14">
        <v>0.5</v>
      </c>
      <c r="I5793" s="2" t="s">
        <v>267</v>
      </c>
      <c r="J5793" s="2" t="s">
        <v>13</v>
      </c>
      <c r="K5793" s="2" t="s">
        <v>1452</v>
      </c>
      <c r="L5793" s="2" t="s">
        <v>5221</v>
      </c>
      <c r="M5793" s="2" t="s">
        <v>5221</v>
      </c>
      <c r="N5793" s="2" t="s">
        <v>2317</v>
      </c>
      <c r="O5793" s="14">
        <v>2600</v>
      </c>
      <c r="P5793" s="14">
        <v>93.92</v>
      </c>
      <c r="Q5793" s="14">
        <v>158.08000000000001</v>
      </c>
      <c r="R5793" s="14">
        <v>79.040000000000006</v>
      </c>
      <c r="S5793" s="2" t="s">
        <v>4025</v>
      </c>
      <c r="T5793" s="2">
        <v>1.39</v>
      </c>
      <c r="U5793" s="2">
        <v>66.3</v>
      </c>
      <c r="V5793" s="2">
        <v>63</v>
      </c>
      <c r="W5793" s="2" t="s">
        <v>7862</v>
      </c>
      <c r="X5793" s="2" t="s">
        <v>2897</v>
      </c>
      <c r="Y5793" s="2">
        <v>1300</v>
      </c>
      <c r="Z5793" s="19" t="str">
        <f>HYPERLINK("https://ssdweb.co/ssdweb/hd/Vision360.html?d=927100216&amp;zoomslide=1&amp;z=1927100216&amp;ISCONFIRM=0","VIDEO")</f>
        <v>VIDEO</v>
      </c>
      <c r="AA5793" s="19" t="str">
        <f>HYPERLINK("https://ssdweb.co/ssdweb/CERTH/665453106.pdf","CERTI")</f>
        <v>CERTI</v>
      </c>
    </row>
    <row r="5794" spans="1:27" ht="15" x14ac:dyDescent="0.25">
      <c r="A5794" s="2">
        <v>5789</v>
      </c>
      <c r="B5794" s="39">
        <v>941160493</v>
      </c>
      <c r="C5794" s="28" t="str">
        <f>HYPERLINK("https://pld.live/RapDetail.aspx?STONELIST=941160493","DNA")</f>
        <v>DNA</v>
      </c>
      <c r="D5794" s="18" t="s">
        <v>5466</v>
      </c>
      <c r="E5794" s="18" t="s">
        <v>5128</v>
      </c>
      <c r="F5794" s="2" t="s">
        <v>7987</v>
      </c>
      <c r="G5794" s="2" t="s">
        <v>7322</v>
      </c>
      <c r="H5794" s="14">
        <v>0.5</v>
      </c>
      <c r="I5794" s="2" t="s">
        <v>267</v>
      </c>
      <c r="J5794" s="2" t="s">
        <v>13</v>
      </c>
      <c r="K5794" s="2" t="s">
        <v>1452</v>
      </c>
      <c r="L5794" s="2" t="s">
        <v>5221</v>
      </c>
      <c r="M5794" s="2" t="s">
        <v>5721</v>
      </c>
      <c r="N5794" s="2" t="s">
        <v>2317</v>
      </c>
      <c r="O5794" s="14">
        <v>2600</v>
      </c>
      <c r="P5794" s="14">
        <v>93.92</v>
      </c>
      <c r="Q5794" s="14">
        <v>158.08000000000001</v>
      </c>
      <c r="R5794" s="14">
        <v>79.040000000000006</v>
      </c>
      <c r="S5794" s="2" t="s">
        <v>8055</v>
      </c>
      <c r="T5794" s="2">
        <v>1.41</v>
      </c>
      <c r="U5794" s="2">
        <v>67.8</v>
      </c>
      <c r="V5794" s="2">
        <v>66</v>
      </c>
      <c r="W5794" s="2" t="s">
        <v>7862</v>
      </c>
      <c r="X5794" s="2" t="s">
        <v>2897</v>
      </c>
      <c r="Y5794" s="2">
        <v>1300</v>
      </c>
      <c r="Z5794" s="19" t="str">
        <f>HYPERLINK("https://ssdweb.co/ssdweb/hd/Vision360.html?d=941160493&amp;zoomslide=1&amp;z=1941160493&amp;ISCONFIRM=0","VIDEO")</f>
        <v>VIDEO</v>
      </c>
      <c r="AA5794" s="19" t="str">
        <f>HYPERLINK("https://ssdweb.co/ssdweb/CERTH/674543007.pdf","CERTI")</f>
        <v>CERTI</v>
      </c>
    </row>
    <row r="5795" spans="1:27" ht="15" x14ac:dyDescent="0.25">
      <c r="A5795" s="2">
        <v>5790</v>
      </c>
      <c r="B5795" s="39">
        <v>927151130</v>
      </c>
      <c r="C5795" s="28" t="str">
        <f>HYPERLINK("https://pld.live/RapDetail.aspx?STONELIST=927151130","DNA")</f>
        <v>DNA</v>
      </c>
      <c r="D5795" s="18" t="s">
        <v>5466</v>
      </c>
      <c r="E5795" s="18" t="s">
        <v>5128</v>
      </c>
      <c r="F5795" s="2" t="s">
        <v>7987</v>
      </c>
      <c r="G5795" s="2" t="s">
        <v>7322</v>
      </c>
      <c r="H5795" s="14">
        <v>0.5</v>
      </c>
      <c r="I5795" s="2" t="s">
        <v>267</v>
      </c>
      <c r="J5795" s="2" t="s">
        <v>13</v>
      </c>
      <c r="K5795" s="2" t="s">
        <v>1452</v>
      </c>
      <c r="L5795" s="2" t="s">
        <v>5221</v>
      </c>
      <c r="M5795" s="2" t="s">
        <v>5721</v>
      </c>
      <c r="N5795" s="2" t="s">
        <v>2317</v>
      </c>
      <c r="O5795" s="14">
        <v>2600</v>
      </c>
      <c r="P5795" s="14">
        <v>94</v>
      </c>
      <c r="Q5795" s="14">
        <v>156</v>
      </c>
      <c r="R5795" s="14">
        <v>78</v>
      </c>
      <c r="S5795" s="2" t="s">
        <v>1638</v>
      </c>
      <c r="T5795" s="2">
        <v>1.58</v>
      </c>
      <c r="U5795" s="2">
        <v>66.3</v>
      </c>
      <c r="V5795" s="2">
        <v>65</v>
      </c>
      <c r="W5795" s="2" t="s">
        <v>7862</v>
      </c>
      <c r="X5795" s="2" t="s">
        <v>2897</v>
      </c>
      <c r="Y5795" s="2">
        <v>1300</v>
      </c>
      <c r="Z5795" s="19" t="str">
        <f>HYPERLINK("https://ssdweb.co/ssdweb/hd/Vision360.html?d=927151130&amp;zoomslide=1&amp;z=1927151130&amp;ISCONFIRM=0","VIDEO")</f>
        <v>VIDEO</v>
      </c>
      <c r="AA5795" s="19" t="str">
        <f>HYPERLINK("https://ssdweb.co/ssdweb/CERTH/668446505.pdf","CERTI")</f>
        <v>CERTI</v>
      </c>
    </row>
    <row r="5796" spans="1:27" ht="15" x14ac:dyDescent="0.25">
      <c r="A5796" s="2">
        <v>5791</v>
      </c>
      <c r="B5796" s="39">
        <v>927130299</v>
      </c>
      <c r="C5796" s="28" t="str">
        <f>HYPERLINK("https://pld.live/RapDetail.aspx?STONELIST=927130299","DNA")</f>
        <v>DNA</v>
      </c>
      <c r="D5796" s="18" t="s">
        <v>5466</v>
      </c>
      <c r="E5796" s="18" t="s">
        <v>5128</v>
      </c>
      <c r="F5796" s="2" t="s">
        <v>7987</v>
      </c>
      <c r="G5796" s="2" t="s">
        <v>7322</v>
      </c>
      <c r="H5796" s="14">
        <v>0.5</v>
      </c>
      <c r="I5796" s="2" t="s">
        <v>267</v>
      </c>
      <c r="J5796" s="2" t="s">
        <v>5144</v>
      </c>
      <c r="K5796" s="2" t="s">
        <v>1452</v>
      </c>
      <c r="L5796" s="2" t="s">
        <v>5221</v>
      </c>
      <c r="M5796" s="2" t="s">
        <v>5221</v>
      </c>
      <c r="N5796" s="2" t="s">
        <v>2317</v>
      </c>
      <c r="O5796" s="14">
        <v>2400</v>
      </c>
      <c r="P5796" s="14">
        <v>93.83</v>
      </c>
      <c r="Q5796" s="14">
        <v>148.08000000000001</v>
      </c>
      <c r="R5796" s="14">
        <v>74.040000000000006</v>
      </c>
      <c r="S5796" s="2" t="s">
        <v>854</v>
      </c>
      <c r="T5796" s="2">
        <v>1.51</v>
      </c>
      <c r="U5796" s="2">
        <v>65.7</v>
      </c>
      <c r="V5796" s="2">
        <v>68</v>
      </c>
      <c r="W5796" s="2" t="s">
        <v>7862</v>
      </c>
      <c r="X5796" s="2" t="s">
        <v>2897</v>
      </c>
      <c r="Y5796" s="2">
        <v>1200</v>
      </c>
      <c r="Z5796" s="19" t="str">
        <f>HYPERLINK("https://ssdweb.co/ssdweb/hd/Vision360.html?d=927130299&amp;zoomslide=1&amp;z=1927130299&amp;ISCONFIRM=0","VIDEO")</f>
        <v>VIDEO</v>
      </c>
      <c r="AA5796" s="19" t="str">
        <f>HYPERLINK("https://ssdweb.co/ssdweb/CERTH/667408249.pdf","CERTI")</f>
        <v>CERTI</v>
      </c>
    </row>
    <row r="5797" spans="1:27" ht="15" x14ac:dyDescent="0.25">
      <c r="A5797" s="2">
        <v>5792</v>
      </c>
      <c r="B5797" s="39">
        <v>941160544</v>
      </c>
      <c r="C5797" s="28" t="str">
        <f>HYPERLINK("https://pld.live/RapDetail.aspx?STONELIST=941160544","DNA")</f>
        <v>DNA</v>
      </c>
      <c r="D5797" s="18" t="s">
        <v>5466</v>
      </c>
      <c r="E5797" s="18" t="s">
        <v>5128</v>
      </c>
      <c r="F5797" s="2" t="s">
        <v>7987</v>
      </c>
      <c r="G5797" s="2" t="s">
        <v>7322</v>
      </c>
      <c r="H5797" s="14">
        <v>0.5</v>
      </c>
      <c r="I5797" s="2" t="s">
        <v>267</v>
      </c>
      <c r="J5797" s="2" t="s">
        <v>444</v>
      </c>
      <c r="K5797" s="2" t="s">
        <v>1452</v>
      </c>
      <c r="L5797" s="2" t="s">
        <v>5221</v>
      </c>
      <c r="M5797" s="2" t="s">
        <v>5221</v>
      </c>
      <c r="N5797" s="2" t="s">
        <v>2317</v>
      </c>
      <c r="O5797" s="14">
        <v>2200</v>
      </c>
      <c r="P5797" s="14">
        <v>93.86</v>
      </c>
      <c r="Q5797" s="14">
        <v>135.08000000000001</v>
      </c>
      <c r="R5797" s="14">
        <v>67.540000000000006</v>
      </c>
      <c r="S5797" s="2" t="s">
        <v>1796</v>
      </c>
      <c r="T5797" s="2">
        <v>1.48</v>
      </c>
      <c r="U5797" s="2">
        <v>65.599999999999994</v>
      </c>
      <c r="V5797" s="2">
        <v>63</v>
      </c>
      <c r="W5797" s="2" t="s">
        <v>7862</v>
      </c>
      <c r="X5797" s="2" t="s">
        <v>2897</v>
      </c>
      <c r="Y5797" s="2">
        <v>1100</v>
      </c>
      <c r="Z5797" s="19" t="str">
        <f>HYPERLINK("https://ssdweb.co/ssdweb/hd/Vision360.html?d=941160544&amp;zoomslide=1&amp;z=1941160544&amp;ISCONFIRM=0","VIDEO")</f>
        <v>VIDEO</v>
      </c>
      <c r="AA5797" s="19" t="str">
        <f>HYPERLINK("https://ssdweb.co/ssdweb/CERTH/674532500.pdf","CERTI")</f>
        <v>CERTI</v>
      </c>
    </row>
    <row r="5798" spans="1:27" ht="15" x14ac:dyDescent="0.25">
      <c r="A5798" s="2">
        <v>5793</v>
      </c>
      <c r="B5798" s="39">
        <v>924460736</v>
      </c>
      <c r="C5798" s="28" t="str">
        <f>HYPERLINK("https://pld.live/RapDetail.aspx?STONELIST=924460736","DNA")</f>
        <v>DNA</v>
      </c>
      <c r="D5798" s="18" t="s">
        <v>5466</v>
      </c>
      <c r="E5798" s="18" t="s">
        <v>5128</v>
      </c>
      <c r="F5798" s="2" t="s">
        <v>7987</v>
      </c>
      <c r="G5798" s="2" t="s">
        <v>7322</v>
      </c>
      <c r="H5798" s="14">
        <v>0.5</v>
      </c>
      <c r="I5798" s="2" t="s">
        <v>4761</v>
      </c>
      <c r="J5798" s="2" t="s">
        <v>7032</v>
      </c>
      <c r="K5798" s="2" t="s">
        <v>1452</v>
      </c>
      <c r="L5798" s="2" t="s">
        <v>5221</v>
      </c>
      <c r="M5798" s="2" t="s">
        <v>5221</v>
      </c>
      <c r="N5798" s="2" t="s">
        <v>2317</v>
      </c>
      <c r="O5798" s="14">
        <v>3000</v>
      </c>
      <c r="P5798" s="14">
        <v>92.6</v>
      </c>
      <c r="Q5798" s="14">
        <v>222</v>
      </c>
      <c r="R5798" s="14">
        <v>111</v>
      </c>
      <c r="S5798" s="2" t="s">
        <v>3447</v>
      </c>
      <c r="T5798" s="2">
        <v>1.43</v>
      </c>
      <c r="U5798" s="2">
        <v>67.2</v>
      </c>
      <c r="V5798" s="2">
        <v>60</v>
      </c>
      <c r="W5798" s="2" t="s">
        <v>7862</v>
      </c>
      <c r="X5798" s="2" t="s">
        <v>2897</v>
      </c>
      <c r="Y5798" s="2">
        <v>1500</v>
      </c>
      <c r="Z5798" s="19" t="str">
        <f>HYPERLINK("https://ssdweb.co/ssdweb/hd/Vision360.html?d=924460736&amp;zoomslide=1&amp;z=1924460736&amp;ISCONFIRM=0","VIDEO")</f>
        <v>VIDEO</v>
      </c>
      <c r="AA5798" s="19" t="str">
        <f>HYPERLINK("https://ssdweb.co/ssdweb/CERTH/601323404.pdf","CERTI")</f>
        <v>CERTI</v>
      </c>
    </row>
    <row r="5799" spans="1:27" ht="15" x14ac:dyDescent="0.25">
      <c r="A5799" s="2">
        <v>5794</v>
      </c>
      <c r="B5799" s="39">
        <v>927130872</v>
      </c>
      <c r="C5799" s="28" t="str">
        <f>HYPERLINK("https://pld.live/RapDetail.aspx?STONELIST=927130872","DNA")</f>
        <v>DNA</v>
      </c>
      <c r="D5799" s="18" t="s">
        <v>5466</v>
      </c>
      <c r="E5799" s="18" t="s">
        <v>5128</v>
      </c>
      <c r="F5799" s="2" t="s">
        <v>7987</v>
      </c>
      <c r="G5799" s="2" t="s">
        <v>7322</v>
      </c>
      <c r="H5799" s="14">
        <v>0.5</v>
      </c>
      <c r="I5799" s="2" t="s">
        <v>4761</v>
      </c>
      <c r="J5799" s="2" t="s">
        <v>6555</v>
      </c>
      <c r="K5799" s="2" t="s">
        <v>1452</v>
      </c>
      <c r="L5799" s="2" t="s">
        <v>5221</v>
      </c>
      <c r="M5799" s="2" t="s">
        <v>5221</v>
      </c>
      <c r="N5799" s="2" t="s">
        <v>2317</v>
      </c>
      <c r="O5799" s="14">
        <v>2800</v>
      </c>
      <c r="P5799" s="14">
        <v>93.29</v>
      </c>
      <c r="Q5799" s="14">
        <v>187.88</v>
      </c>
      <c r="R5799" s="14">
        <v>93.94</v>
      </c>
      <c r="S5799" s="2" t="s">
        <v>6291</v>
      </c>
      <c r="T5799" s="2">
        <v>1.43</v>
      </c>
      <c r="U5799" s="2">
        <v>63.7</v>
      </c>
      <c r="V5799" s="2">
        <v>70</v>
      </c>
      <c r="W5799" s="2" t="s">
        <v>7862</v>
      </c>
      <c r="X5799" s="2" t="s">
        <v>2897</v>
      </c>
      <c r="Y5799" s="2">
        <v>1400</v>
      </c>
      <c r="Z5799" s="19" t="str">
        <f>HYPERLINK("https://ssdweb.co/ssdweb/hd/Vision360.html?d=927130872&amp;zoomslide=1&amp;z=1927130872&amp;ISCONFIRM=0","VIDEO")</f>
        <v>VIDEO</v>
      </c>
      <c r="AA5799" s="19" t="str">
        <f>HYPERLINK("https://ssdweb.co/ssdweb/CERTH/668446530.pdf","CERTI")</f>
        <v>CERTI</v>
      </c>
    </row>
    <row r="5800" spans="1:27" ht="15" x14ac:dyDescent="0.25">
      <c r="A5800" s="2">
        <v>5795</v>
      </c>
      <c r="B5800" s="39">
        <v>927130381</v>
      </c>
      <c r="C5800" s="28" t="str">
        <f>HYPERLINK("https://pld.live/RapDetail.aspx?STONELIST=927130381","DNA")</f>
        <v>DNA</v>
      </c>
      <c r="D5800" s="18" t="s">
        <v>5466</v>
      </c>
      <c r="E5800" s="18" t="s">
        <v>5128</v>
      </c>
      <c r="F5800" s="2" t="s">
        <v>7987</v>
      </c>
      <c r="G5800" s="2" t="s">
        <v>7322</v>
      </c>
      <c r="H5800" s="14">
        <v>0.5</v>
      </c>
      <c r="I5800" s="2" t="s">
        <v>4761</v>
      </c>
      <c r="J5800" s="2" t="s">
        <v>13</v>
      </c>
      <c r="K5800" s="2" t="s">
        <v>1452</v>
      </c>
      <c r="L5800" s="2" t="s">
        <v>5221</v>
      </c>
      <c r="M5800" s="2" t="s">
        <v>5721</v>
      </c>
      <c r="N5800" s="2" t="s">
        <v>2317</v>
      </c>
      <c r="O5800" s="14">
        <v>2500</v>
      </c>
      <c r="P5800" s="14">
        <v>94.08</v>
      </c>
      <c r="Q5800" s="14">
        <v>148</v>
      </c>
      <c r="R5800" s="14">
        <v>74</v>
      </c>
      <c r="S5800" s="2" t="s">
        <v>4343</v>
      </c>
      <c r="T5800" s="2">
        <v>1.46</v>
      </c>
      <c r="U5800" s="2">
        <v>66.8</v>
      </c>
      <c r="V5800" s="2">
        <v>66</v>
      </c>
      <c r="W5800" s="2" t="s">
        <v>7862</v>
      </c>
      <c r="X5800" s="2" t="s">
        <v>2897</v>
      </c>
      <c r="Y5800" s="2">
        <v>1250</v>
      </c>
      <c r="Z5800" s="19" t="str">
        <f>HYPERLINK("https://ssdweb.co/ssdweb/hd/Vision360.html?d=927130381&amp;zoomslide=1&amp;z=1927130381&amp;ISCONFIRM=0","VIDEO")</f>
        <v>VIDEO</v>
      </c>
      <c r="AA5800" s="19" t="str">
        <f>HYPERLINK("https://ssdweb.co/ssdweb/CERTH/670484151.pdf","CERTI")</f>
        <v>CERTI</v>
      </c>
    </row>
    <row r="5801" spans="1:27" ht="15" x14ac:dyDescent="0.25">
      <c r="A5801" s="2">
        <v>5796</v>
      </c>
      <c r="B5801" s="39">
        <v>925840513</v>
      </c>
      <c r="C5801" s="28" t="str">
        <f>HYPERLINK("https://pld.live/RapDetail.aspx?STONELIST=925840513","DNA")</f>
        <v>DNA</v>
      </c>
      <c r="D5801" s="18" t="s">
        <v>5466</v>
      </c>
      <c r="E5801" s="18" t="s">
        <v>5128</v>
      </c>
      <c r="F5801" s="2" t="s">
        <v>7987</v>
      </c>
      <c r="G5801" s="2" t="s">
        <v>7322</v>
      </c>
      <c r="H5801" s="14">
        <v>0.5</v>
      </c>
      <c r="I5801" s="2" t="s">
        <v>4761</v>
      </c>
      <c r="J5801" s="2" t="s">
        <v>13</v>
      </c>
      <c r="K5801" s="2" t="s">
        <v>1452</v>
      </c>
      <c r="L5801" s="2" t="s">
        <v>5721</v>
      </c>
      <c r="M5801" s="2" t="s">
        <v>5721</v>
      </c>
      <c r="N5801" s="2" t="s">
        <v>2317</v>
      </c>
      <c r="O5801" s="14">
        <v>2500</v>
      </c>
      <c r="P5801" s="14">
        <v>94.24</v>
      </c>
      <c r="Q5801" s="14">
        <v>144</v>
      </c>
      <c r="R5801" s="14">
        <v>72</v>
      </c>
      <c r="S5801" s="2" t="s">
        <v>8027</v>
      </c>
      <c r="T5801" s="2">
        <v>1.37</v>
      </c>
      <c r="U5801" s="2">
        <v>69.099999999999994</v>
      </c>
      <c r="V5801" s="2">
        <v>65</v>
      </c>
      <c r="W5801" s="2" t="s">
        <v>7862</v>
      </c>
      <c r="X5801" s="2" t="s">
        <v>2897</v>
      </c>
      <c r="Y5801" s="2">
        <v>1250</v>
      </c>
      <c r="Z5801" s="19" t="str">
        <f>HYPERLINK("https://ssdweb.co/ssdweb/hd/Vision360.html?d=925840513&amp;zoomslide=1&amp;z=1925840513&amp;ISCONFIRM=0","VIDEO")</f>
        <v>VIDEO</v>
      </c>
      <c r="AA5801" s="19" t="str">
        <f>HYPERLINK("https://ssdweb.co/ssdweb/CERTH/626466148.pdf","CERTI")</f>
        <v>CERTI</v>
      </c>
    </row>
    <row r="5802" spans="1:27" ht="15" x14ac:dyDescent="0.25">
      <c r="A5802" s="2">
        <v>5797</v>
      </c>
      <c r="B5802" s="39">
        <v>926060023</v>
      </c>
      <c r="C5802" s="28" t="str">
        <f>HYPERLINK("https://pld.live/RapDetail.aspx?STONELIST=926060023","DNA")</f>
        <v>DNA</v>
      </c>
      <c r="D5802" s="18" t="s">
        <v>5466</v>
      </c>
      <c r="E5802" s="18" t="s">
        <v>2186</v>
      </c>
      <c r="F5802" s="2" t="s">
        <v>7987</v>
      </c>
      <c r="G5802" s="2" t="s">
        <v>7322</v>
      </c>
      <c r="H5802" s="14">
        <v>0.5</v>
      </c>
      <c r="I5802" s="2" t="s">
        <v>2659</v>
      </c>
      <c r="J5802" s="2" t="s">
        <v>2613</v>
      </c>
      <c r="K5802" s="2" t="s">
        <v>1452</v>
      </c>
      <c r="L5802" s="2" t="s">
        <v>5221</v>
      </c>
      <c r="M5802" s="2" t="s">
        <v>5221</v>
      </c>
      <c r="N5802" s="2" t="s">
        <v>2317</v>
      </c>
      <c r="O5802" s="14">
        <v>900</v>
      </c>
      <c r="P5802" s="14">
        <v>81.11</v>
      </c>
      <c r="Q5802" s="14">
        <v>170.01</v>
      </c>
      <c r="R5802" s="14">
        <v>85.01</v>
      </c>
      <c r="S5802" s="2" t="s">
        <v>1325</v>
      </c>
      <c r="T5802" s="2">
        <v>1.57</v>
      </c>
      <c r="U5802" s="2">
        <v>68.5</v>
      </c>
      <c r="V5802" s="2">
        <v>61</v>
      </c>
      <c r="W5802" s="2" t="s">
        <v>7862</v>
      </c>
      <c r="X5802" s="2" t="s">
        <v>2897</v>
      </c>
      <c r="Y5802" s="2">
        <v>450</v>
      </c>
      <c r="Z5802" s="19" t="str">
        <f>HYPERLINK("https://ssdweb.co/ssdweb/hd/Vision360.html?d=926060023&amp;zoomslide=1&amp;z=1926060023&amp;ISCONFIRM=0","VIDEO")</f>
        <v>VIDEO</v>
      </c>
      <c r="AA5802" s="19" t="str">
        <f>HYPERLINK("https://ssdweb.co/ssdweb/CERTH/633490676.pdf","CERTI")</f>
        <v>CERTI</v>
      </c>
    </row>
    <row r="5803" spans="1:27" ht="15" x14ac:dyDescent="0.25">
      <c r="A5803" s="2">
        <v>5798</v>
      </c>
      <c r="B5803" s="39">
        <v>926820145</v>
      </c>
      <c r="C5803" s="28" t="str">
        <f>HYPERLINK("https://pld.live/RapDetail.aspx?STONELIST=926820145","DNA")</f>
        <v>DNA</v>
      </c>
      <c r="D5803" s="18" t="s">
        <v>38</v>
      </c>
      <c r="E5803" s="18" t="s">
        <v>2186</v>
      </c>
      <c r="F5803" s="2" t="s">
        <v>7987</v>
      </c>
      <c r="G5803" s="2" t="s">
        <v>5134</v>
      </c>
      <c r="H5803" s="14">
        <v>13.25</v>
      </c>
      <c r="I5803" s="2" t="s">
        <v>4761</v>
      </c>
      <c r="J5803" s="2" t="s">
        <v>13</v>
      </c>
      <c r="K5803" s="2" t="s">
        <v>1452</v>
      </c>
      <c r="L5803" s="2" t="s">
        <v>5221</v>
      </c>
      <c r="M5803" s="2" t="s">
        <v>5221</v>
      </c>
      <c r="N5803" s="2" t="s">
        <v>2317</v>
      </c>
      <c r="O5803" s="14">
        <v>83500</v>
      </c>
      <c r="P5803" s="14">
        <v>99.35</v>
      </c>
      <c r="Q5803" s="14">
        <v>542.75</v>
      </c>
      <c r="R5803" s="14">
        <v>7191.44</v>
      </c>
      <c r="S5803" s="2" t="s">
        <v>4380</v>
      </c>
      <c r="T5803" s="2">
        <v>0.9</v>
      </c>
      <c r="U5803" s="2">
        <v>58.6</v>
      </c>
      <c r="V5803" s="2">
        <v>60</v>
      </c>
      <c r="W5803" s="2" t="s">
        <v>7862</v>
      </c>
      <c r="X5803" s="2" t="s">
        <v>3061</v>
      </c>
      <c r="Y5803" s="2">
        <v>1106375</v>
      </c>
      <c r="Z5803" s="19" t="str">
        <f>HYPERLINK("https://ssdweb.co/ssdweb/hd/Vision360.html?d=926820145&amp;zoomslide=1&amp;z=1926820145&amp;ISCONFIRM=0","VIDEO")</f>
        <v>VIDEO</v>
      </c>
      <c r="AA5803" s="19" t="str">
        <f>HYPERLINK("https://ssdweb.co/ssdweb/CERTH/669458700.pdf","CERTI")</f>
        <v>CERTI</v>
      </c>
    </row>
    <row r="5804" spans="1:27" ht="15" x14ac:dyDescent="0.25">
      <c r="A5804" s="2">
        <v>5799</v>
      </c>
      <c r="B5804" s="39">
        <v>926820139</v>
      </c>
      <c r="C5804" s="28" t="str">
        <f>HYPERLINK("https://pld.live/RapDetail.aspx?STONELIST=926820139","DNA")</f>
        <v>DNA</v>
      </c>
      <c r="D5804" s="18" t="s">
        <v>38</v>
      </c>
      <c r="E5804" s="18" t="s">
        <v>2186</v>
      </c>
      <c r="F5804" s="2" t="s">
        <v>7987</v>
      </c>
      <c r="G5804" s="2" t="s">
        <v>5134</v>
      </c>
      <c r="H5804" s="14">
        <v>13.1</v>
      </c>
      <c r="I5804" s="2" t="s">
        <v>4761</v>
      </c>
      <c r="J5804" s="2" t="s">
        <v>13</v>
      </c>
      <c r="K5804" s="2" t="s">
        <v>1452</v>
      </c>
      <c r="L5804" s="2" t="s">
        <v>5221</v>
      </c>
      <c r="M5804" s="2" t="s">
        <v>5221</v>
      </c>
      <c r="N5804" s="2" t="s">
        <v>2317</v>
      </c>
      <c r="O5804" s="14">
        <v>83500</v>
      </c>
      <c r="P5804" s="14">
        <v>99.35</v>
      </c>
      <c r="Q5804" s="14">
        <v>542.75</v>
      </c>
      <c r="R5804" s="14">
        <v>7110.03</v>
      </c>
      <c r="S5804" s="2" t="s">
        <v>7344</v>
      </c>
      <c r="T5804" s="2">
        <v>0.91</v>
      </c>
      <c r="U5804" s="2">
        <v>56.5</v>
      </c>
      <c r="V5804" s="2">
        <v>59</v>
      </c>
      <c r="W5804" s="2" t="s">
        <v>7862</v>
      </c>
      <c r="X5804" s="2" t="s">
        <v>3061</v>
      </c>
      <c r="Y5804" s="2">
        <v>1093850</v>
      </c>
      <c r="Z5804" s="19" t="str">
        <f>HYPERLINK("https://ssdweb.co/ssdweb/hd/Vision360.html?d=926820139&amp;zoomslide=1&amp;z=1926820139&amp;ISCONFIRM=0","VIDEO")</f>
        <v>VIDEO</v>
      </c>
      <c r="AA5804" s="19" t="str">
        <f>HYPERLINK("https://ssdweb.co/ssdweb/CERTH/669458686.pdf","CERTI")</f>
        <v>CERTI</v>
      </c>
    </row>
    <row r="5805" spans="1:27" ht="15" x14ac:dyDescent="0.25">
      <c r="A5805" s="2">
        <v>5800</v>
      </c>
      <c r="B5805" s="39">
        <v>926820142</v>
      </c>
      <c r="C5805" s="28" t="str">
        <f>HYPERLINK("https://pld.live/RapDetail.aspx?STONELIST=926820142","DNA")</f>
        <v>DNA</v>
      </c>
      <c r="D5805" s="18" t="s">
        <v>38</v>
      </c>
      <c r="E5805" s="18" t="s">
        <v>2186</v>
      </c>
      <c r="F5805" s="2" t="s">
        <v>7987</v>
      </c>
      <c r="G5805" s="2" t="s">
        <v>5134</v>
      </c>
      <c r="H5805" s="14">
        <v>13.02</v>
      </c>
      <c r="I5805" s="2" t="s">
        <v>4761</v>
      </c>
      <c r="J5805" s="2" t="s">
        <v>13</v>
      </c>
      <c r="K5805" s="2" t="s">
        <v>1452</v>
      </c>
      <c r="L5805" s="2" t="s">
        <v>5221</v>
      </c>
      <c r="M5805" s="2" t="s">
        <v>5221</v>
      </c>
      <c r="N5805" s="2" t="s">
        <v>2317</v>
      </c>
      <c r="O5805" s="14">
        <v>83500</v>
      </c>
      <c r="P5805" s="14">
        <v>99.35</v>
      </c>
      <c r="Q5805" s="14">
        <v>542.75</v>
      </c>
      <c r="R5805" s="14">
        <v>7066.61</v>
      </c>
      <c r="S5805" s="2" t="s">
        <v>6076</v>
      </c>
      <c r="T5805" s="2">
        <v>0.9</v>
      </c>
      <c r="U5805" s="2">
        <v>56.7</v>
      </c>
      <c r="V5805" s="2">
        <v>65</v>
      </c>
      <c r="W5805" s="2" t="s">
        <v>7862</v>
      </c>
      <c r="X5805" s="2" t="s">
        <v>3061</v>
      </c>
      <c r="Y5805" s="2">
        <v>1087170</v>
      </c>
      <c r="Z5805" s="19" t="str">
        <f>HYPERLINK("https://ssdweb.co/ssdweb/hd/Vision360.html?d=926820142&amp;zoomslide=1&amp;z=1926820142&amp;ISCONFIRM=0","VIDEO")</f>
        <v>VIDEO</v>
      </c>
      <c r="AA5805" s="19" t="str">
        <f>HYPERLINK("https://ssdweb.co/ssdweb/CERTH/669458689.pdf","CERTI")</f>
        <v>CERTI</v>
      </c>
    </row>
    <row r="5806" spans="1:27" ht="15" x14ac:dyDescent="0.25">
      <c r="A5806" s="2">
        <v>5801</v>
      </c>
      <c r="B5806" s="39">
        <v>926820137</v>
      </c>
      <c r="C5806" s="28" t="str">
        <f>HYPERLINK("https://pld.live/RapDetail.aspx?STONELIST=926820137","DNA")</f>
        <v>DNA</v>
      </c>
      <c r="D5806" s="18" t="s">
        <v>38</v>
      </c>
      <c r="E5806" s="18" t="s">
        <v>2186</v>
      </c>
      <c r="F5806" s="2" t="s">
        <v>7987</v>
      </c>
      <c r="G5806" s="2" t="s">
        <v>5134</v>
      </c>
      <c r="H5806" s="14">
        <v>12.53</v>
      </c>
      <c r="I5806" s="2" t="s">
        <v>4761</v>
      </c>
      <c r="J5806" s="2" t="s">
        <v>13</v>
      </c>
      <c r="K5806" s="2" t="s">
        <v>1452</v>
      </c>
      <c r="L5806" s="2" t="s">
        <v>5221</v>
      </c>
      <c r="M5806" s="2" t="s">
        <v>5221</v>
      </c>
      <c r="N5806" s="2" t="s">
        <v>2317</v>
      </c>
      <c r="O5806" s="14">
        <v>83500</v>
      </c>
      <c r="P5806" s="14">
        <v>99.35</v>
      </c>
      <c r="Q5806" s="14">
        <v>542.75</v>
      </c>
      <c r="R5806" s="14">
        <v>6800.66</v>
      </c>
      <c r="S5806" s="2" t="s">
        <v>7968</v>
      </c>
      <c r="T5806" s="2">
        <v>0.88</v>
      </c>
      <c r="U5806" s="2">
        <v>55.9</v>
      </c>
      <c r="V5806" s="2">
        <v>65</v>
      </c>
      <c r="W5806" s="2" t="s">
        <v>7862</v>
      </c>
      <c r="X5806" s="2" t="s">
        <v>3061</v>
      </c>
      <c r="Y5806" s="2">
        <v>1046255</v>
      </c>
      <c r="Z5806" s="19" t="str">
        <f>HYPERLINK("https://ssdweb.co/ssdweb/hd/Vision360.html?d=926820137&amp;zoomslide=1&amp;z=1926820137&amp;ISCONFIRM=0","VIDEO")</f>
        <v>VIDEO</v>
      </c>
      <c r="AA5806" s="19" t="str">
        <f>HYPERLINK("https://ssdweb.co/ssdweb/CERTH/669458684.pdf","CERTI")</f>
        <v>CERTI</v>
      </c>
    </row>
    <row r="5807" spans="1:27" ht="15" x14ac:dyDescent="0.25">
      <c r="A5807" s="2">
        <v>5802</v>
      </c>
      <c r="B5807" s="39">
        <v>926780094</v>
      </c>
      <c r="C5807" s="28" t="str">
        <f>HYPERLINK("https://pld.live/RapDetail.aspx?STONELIST=926780094","DNA")</f>
        <v>DNA</v>
      </c>
      <c r="D5807" s="18" t="s">
        <v>38</v>
      </c>
      <c r="E5807" s="18" t="s">
        <v>2186</v>
      </c>
      <c r="F5807" s="2" t="s">
        <v>7987</v>
      </c>
      <c r="G5807" s="2" t="s">
        <v>5134</v>
      </c>
      <c r="H5807" s="14">
        <v>12.21</v>
      </c>
      <c r="I5807" s="2" t="s">
        <v>4761</v>
      </c>
      <c r="J5807" s="2" t="s">
        <v>3942</v>
      </c>
      <c r="K5807" s="2" t="s">
        <v>1452</v>
      </c>
      <c r="L5807" s="2" t="s">
        <v>5221</v>
      </c>
      <c r="M5807" s="2" t="s">
        <v>5221</v>
      </c>
      <c r="N5807" s="2" t="s">
        <v>2317</v>
      </c>
      <c r="O5807" s="14">
        <v>90500</v>
      </c>
      <c r="P5807" s="14">
        <v>99.17</v>
      </c>
      <c r="Q5807" s="14">
        <v>751.15</v>
      </c>
      <c r="R5807" s="14">
        <v>9171.5400000000009</v>
      </c>
      <c r="S5807" s="2" t="s">
        <v>6216</v>
      </c>
      <c r="T5807" s="2">
        <v>0.9</v>
      </c>
      <c r="U5807" s="2">
        <v>58.7</v>
      </c>
      <c r="V5807" s="2">
        <v>62</v>
      </c>
      <c r="W5807" s="2" t="s">
        <v>7862</v>
      </c>
      <c r="X5807" s="2" t="s">
        <v>3061</v>
      </c>
      <c r="Y5807" s="2">
        <v>1105005</v>
      </c>
      <c r="Z5807" s="19" t="str">
        <f>HYPERLINK("https://ssdweb.co/ssdweb/hd/Vision360.html?d=926780094&amp;zoomslide=1&amp;z=1926780094&amp;ISCONFIRM=0","VIDEO")</f>
        <v>VIDEO</v>
      </c>
      <c r="AA5807" s="19" t="str">
        <f>HYPERLINK("https://ssdweb.co/ssdweb/CERTH/654408163.pdf","CERTI")</f>
        <v>CERTI</v>
      </c>
    </row>
    <row r="5808" spans="1:27" ht="15" x14ac:dyDescent="0.25">
      <c r="A5808" s="2">
        <v>5803</v>
      </c>
      <c r="B5808" s="39">
        <v>926820138</v>
      </c>
      <c r="C5808" s="28" t="str">
        <f>HYPERLINK("https://pld.live/RapDetail.aspx?STONELIST=926820138","DNA")</f>
        <v>DNA</v>
      </c>
      <c r="D5808" s="18" t="s">
        <v>38</v>
      </c>
      <c r="E5808" s="18" t="s">
        <v>2186</v>
      </c>
      <c r="F5808" s="2" t="s">
        <v>7987</v>
      </c>
      <c r="G5808" s="2" t="s">
        <v>5134</v>
      </c>
      <c r="H5808" s="14">
        <v>12.02</v>
      </c>
      <c r="I5808" s="2" t="s">
        <v>4761</v>
      </c>
      <c r="J5808" s="2" t="s">
        <v>13</v>
      </c>
      <c r="K5808" s="2" t="s">
        <v>1452</v>
      </c>
      <c r="L5808" s="2" t="s">
        <v>5221</v>
      </c>
      <c r="M5808" s="2" t="s">
        <v>5221</v>
      </c>
      <c r="N5808" s="2" t="s">
        <v>2317</v>
      </c>
      <c r="O5808" s="14">
        <v>83500</v>
      </c>
      <c r="P5808" s="14">
        <v>99.35</v>
      </c>
      <c r="Q5808" s="14">
        <v>542.75</v>
      </c>
      <c r="R5808" s="14">
        <v>6523.86</v>
      </c>
      <c r="S5808" s="2" t="s">
        <v>2426</v>
      </c>
      <c r="T5808" s="2">
        <v>0.87</v>
      </c>
      <c r="U5808" s="2">
        <v>56.1</v>
      </c>
      <c r="V5808" s="2">
        <v>63</v>
      </c>
      <c r="W5808" s="2" t="s">
        <v>7862</v>
      </c>
      <c r="X5808" s="2" t="s">
        <v>3061</v>
      </c>
      <c r="Y5808" s="2">
        <v>1003670</v>
      </c>
      <c r="Z5808" s="19" t="str">
        <f>HYPERLINK("https://ssdweb.co/ssdweb/hd/Vision360.html?d=926820138&amp;zoomslide=1&amp;z=1926820138&amp;ISCONFIRM=0","VIDEO")</f>
        <v>VIDEO</v>
      </c>
      <c r="AA5808" s="19" t="str">
        <f>HYPERLINK("https://ssdweb.co/ssdweb/CERTH/669458685.pdf","CERTI")</f>
        <v>CERTI</v>
      </c>
    </row>
    <row r="5809" spans="1:27" ht="15" x14ac:dyDescent="0.25">
      <c r="A5809" s="2">
        <v>5804</v>
      </c>
      <c r="B5809" s="39">
        <v>926780077</v>
      </c>
      <c r="C5809" s="28" t="str">
        <f>HYPERLINK("https://pld.live/RapDetail.aspx?STONELIST=926780077","DNA")</f>
        <v>DNA</v>
      </c>
      <c r="D5809" s="18" t="s">
        <v>38</v>
      </c>
      <c r="E5809" s="18" t="s">
        <v>2186</v>
      </c>
      <c r="F5809" s="2" t="s">
        <v>7987</v>
      </c>
      <c r="G5809" s="2" t="s">
        <v>5134</v>
      </c>
      <c r="H5809" s="14">
        <v>11.02</v>
      </c>
      <c r="I5809" s="2" t="s">
        <v>4761</v>
      </c>
      <c r="J5809" s="2" t="s">
        <v>13</v>
      </c>
      <c r="K5809" s="2" t="s">
        <v>1452</v>
      </c>
      <c r="L5809" s="2" t="s">
        <v>5221</v>
      </c>
      <c r="M5809" s="2" t="s">
        <v>5221</v>
      </c>
      <c r="N5809" s="2" t="s">
        <v>2317</v>
      </c>
      <c r="O5809" s="14">
        <v>83500</v>
      </c>
      <c r="P5809" s="14">
        <v>99.35</v>
      </c>
      <c r="Q5809" s="14">
        <v>542.75</v>
      </c>
      <c r="R5809" s="14">
        <v>5981.11</v>
      </c>
      <c r="S5809" s="2" t="s">
        <v>7916</v>
      </c>
      <c r="T5809" s="2">
        <v>0.91</v>
      </c>
      <c r="U5809" s="2">
        <v>55.8</v>
      </c>
      <c r="V5809" s="2">
        <v>63</v>
      </c>
      <c r="W5809" s="2" t="s">
        <v>7862</v>
      </c>
      <c r="X5809" s="2" t="s">
        <v>3061</v>
      </c>
      <c r="Y5809" s="2">
        <v>920170</v>
      </c>
      <c r="Z5809" s="19" t="str">
        <f>HYPERLINK("https://ssdweb.co/ssdweb/hd/Vision360.html?d=926780077&amp;zoomslide=1&amp;z=1926780077&amp;ISCONFIRM=0","VIDEO")</f>
        <v>VIDEO</v>
      </c>
      <c r="AA5809" s="19" t="str">
        <f>HYPERLINK("https://ssdweb.co/ssdweb/CERTH/653424229.pdf","CERTI")</f>
        <v>CERTI</v>
      </c>
    </row>
    <row r="5810" spans="1:27" ht="15" x14ac:dyDescent="0.25">
      <c r="A5810" s="2">
        <v>5805</v>
      </c>
      <c r="B5810" s="39">
        <v>924120027</v>
      </c>
      <c r="C5810" s="28" t="str">
        <f>HYPERLINK("https://pld.live/RapDetail.aspx?STONELIST=924120027","DNA")</f>
        <v>DNA</v>
      </c>
      <c r="D5810" s="18" t="s">
        <v>38</v>
      </c>
      <c r="E5810" s="18" t="s">
        <v>2186</v>
      </c>
      <c r="F5810" s="2" t="s">
        <v>7987</v>
      </c>
      <c r="G5810" s="2" t="s">
        <v>5134</v>
      </c>
      <c r="H5810" s="14">
        <v>11.01</v>
      </c>
      <c r="I5810" s="2" t="s">
        <v>4699</v>
      </c>
      <c r="J5810" s="2" t="s">
        <v>13</v>
      </c>
      <c r="K5810" s="2" t="s">
        <v>1452</v>
      </c>
      <c r="L5810" s="2" t="s">
        <v>5221</v>
      </c>
      <c r="M5810" s="2" t="s">
        <v>5221</v>
      </c>
      <c r="N5810" s="2" t="s">
        <v>2317</v>
      </c>
      <c r="O5810" s="14">
        <v>76500</v>
      </c>
      <c r="P5810" s="14">
        <v>99.31</v>
      </c>
      <c r="Q5810" s="14">
        <v>527.85</v>
      </c>
      <c r="R5810" s="14">
        <v>5811.63</v>
      </c>
      <c r="S5810" s="2" t="s">
        <v>8047</v>
      </c>
      <c r="T5810" s="2">
        <v>0.88</v>
      </c>
      <c r="U5810" s="2">
        <v>57</v>
      </c>
      <c r="V5810" s="2">
        <v>64.5</v>
      </c>
      <c r="W5810" s="2" t="s">
        <v>7862</v>
      </c>
      <c r="X5810" s="2" t="s">
        <v>3061</v>
      </c>
      <c r="Y5810" s="2">
        <v>842265</v>
      </c>
      <c r="Z5810" s="19" t="str">
        <f>HYPERLINK("https://ssdweb.co/ssdweb/hd/Vision360.html?d=924120027&amp;zoomslide=1&amp;z=1924120027&amp;ISCONFIRM=0","VIDEO")</f>
        <v>VIDEO</v>
      </c>
      <c r="AA5810" s="19" t="str">
        <f>HYPERLINK("https://ssdweb.co/ssdweb/CERTH/575380805.pdf","CERTI")</f>
        <v>CERTI</v>
      </c>
    </row>
    <row r="5811" spans="1:27" ht="15" x14ac:dyDescent="0.25">
      <c r="A5811" s="2">
        <v>5806</v>
      </c>
      <c r="B5811" s="39">
        <v>924530077</v>
      </c>
      <c r="C5811" s="28" t="str">
        <f>HYPERLINK("https://pld.live/RapDetail.aspx?STONELIST=924530077","DNA")</f>
        <v>DNA</v>
      </c>
      <c r="D5811" s="18" t="s">
        <v>3174</v>
      </c>
      <c r="E5811" s="18" t="s">
        <v>2186</v>
      </c>
      <c r="F5811" s="2" t="s">
        <v>7987</v>
      </c>
      <c r="G5811" s="2" t="s">
        <v>5134</v>
      </c>
      <c r="H5811" s="14">
        <v>5.31</v>
      </c>
      <c r="I5811" s="2" t="s">
        <v>4699</v>
      </c>
      <c r="J5811" s="2" t="s">
        <v>13</v>
      </c>
      <c r="K5811" s="2" t="s">
        <v>1452</v>
      </c>
      <c r="L5811" s="2" t="s">
        <v>5221</v>
      </c>
      <c r="M5811" s="2" t="s">
        <v>5221</v>
      </c>
      <c r="N5811" s="2" t="s">
        <v>2317</v>
      </c>
      <c r="O5811" s="14">
        <v>48500</v>
      </c>
      <c r="P5811" s="14">
        <v>99.64</v>
      </c>
      <c r="Q5811" s="14">
        <v>174.6</v>
      </c>
      <c r="R5811" s="14">
        <v>927.13</v>
      </c>
      <c r="S5811" s="2" t="s">
        <v>6497</v>
      </c>
      <c r="T5811" s="2">
        <v>0.91</v>
      </c>
      <c r="U5811" s="2">
        <v>59.7</v>
      </c>
      <c r="V5811" s="2">
        <v>64</v>
      </c>
      <c r="W5811" s="2" t="s">
        <v>7862</v>
      </c>
      <c r="X5811" s="2" t="s">
        <v>3061</v>
      </c>
      <c r="Y5811" s="2">
        <v>257535</v>
      </c>
      <c r="Z5811" s="19" t="str">
        <f>HYPERLINK("https://ssdweb.co/ssdweb/hd/Vision360.html?d=924530077&amp;zoomslide=1&amp;z=1924530077&amp;ISCONFIRM=0","VIDEO")</f>
        <v>VIDEO</v>
      </c>
      <c r="AA5811" s="19" t="str">
        <f>HYPERLINK("https://ssdweb.co/ssdweb/CERTH/600304780.pdf","CERTI")</f>
        <v>CERTI</v>
      </c>
    </row>
    <row r="5812" spans="1:27" ht="15" x14ac:dyDescent="0.25">
      <c r="A5812" s="2">
        <v>5807</v>
      </c>
      <c r="B5812" s="39">
        <v>922120021</v>
      </c>
      <c r="C5812" s="28" t="str">
        <f>HYPERLINK("https://pld.live/RapDetail.aspx?STONELIST=922120021","DNA")</f>
        <v>DNA</v>
      </c>
      <c r="D5812" s="18" t="s">
        <v>3174</v>
      </c>
      <c r="E5812" s="18" t="s">
        <v>2186</v>
      </c>
      <c r="F5812" s="2" t="s">
        <v>7987</v>
      </c>
      <c r="G5812" s="2" t="s">
        <v>5134</v>
      </c>
      <c r="H5812" s="14">
        <v>5.05</v>
      </c>
      <c r="I5812" s="2" t="s">
        <v>6587</v>
      </c>
      <c r="J5812" s="2" t="s">
        <v>13</v>
      </c>
      <c r="K5812" s="2" t="s">
        <v>1452</v>
      </c>
      <c r="L5812" s="2" t="s">
        <v>5221</v>
      </c>
      <c r="M5812" s="2" t="s">
        <v>5221</v>
      </c>
      <c r="N5812" s="2" t="s">
        <v>2317</v>
      </c>
      <c r="O5812" s="14">
        <v>42500</v>
      </c>
      <c r="P5812" s="14">
        <v>99.61</v>
      </c>
      <c r="Q5812" s="14">
        <v>165.75</v>
      </c>
      <c r="R5812" s="14">
        <v>837.04</v>
      </c>
      <c r="S5812" s="2" t="s">
        <v>2828</v>
      </c>
      <c r="T5812" s="2">
        <v>0.85</v>
      </c>
      <c r="U5812" s="2">
        <v>60.4</v>
      </c>
      <c r="V5812" s="2">
        <v>61</v>
      </c>
      <c r="W5812" s="2" t="s">
        <v>7862</v>
      </c>
      <c r="X5812" s="2" t="s">
        <v>3061</v>
      </c>
      <c r="Y5812" s="2">
        <v>214625</v>
      </c>
      <c r="Z5812" s="19" t="str">
        <f>HYPERLINK("https://ssdweb.co/ssdweb/hd/Vision360.html?d=922120021&amp;zoomslide=1&amp;z=1922120021&amp;ISCONFIRM=0","VIDEO")</f>
        <v>VIDEO</v>
      </c>
      <c r="AA5812" s="19" t="str">
        <f>HYPERLINK("https://ssdweb.co/ssdweb/CERTH/508138440.pdf","CERTI")</f>
        <v>CERTI</v>
      </c>
    </row>
    <row r="5813" spans="1:27" ht="15" x14ac:dyDescent="0.25">
      <c r="A5813" s="2">
        <v>5808</v>
      </c>
      <c r="B5813" s="39">
        <v>926860102</v>
      </c>
      <c r="C5813" s="28" t="str">
        <f>HYPERLINK("https://pld.live/RapDetail.aspx?STONELIST=926860102","DNA")</f>
        <v>DNA</v>
      </c>
      <c r="D5813" s="18" t="s">
        <v>3174</v>
      </c>
      <c r="E5813" s="18" t="s">
        <v>2186</v>
      </c>
      <c r="F5813" s="2" t="s">
        <v>7987</v>
      </c>
      <c r="G5813" s="2" t="s">
        <v>5134</v>
      </c>
      <c r="H5813" s="14">
        <v>5.03</v>
      </c>
      <c r="I5813" s="2" t="s">
        <v>1112</v>
      </c>
      <c r="J5813" s="2" t="s">
        <v>3942</v>
      </c>
      <c r="K5813" s="2" t="s">
        <v>1452</v>
      </c>
      <c r="L5813" s="2" t="s">
        <v>5221</v>
      </c>
      <c r="M5813" s="2" t="s">
        <v>5221</v>
      </c>
      <c r="N5813" s="2" t="s">
        <v>924</v>
      </c>
      <c r="O5813" s="14">
        <v>10500</v>
      </c>
      <c r="P5813" s="14">
        <v>96.19</v>
      </c>
      <c r="Q5813" s="14">
        <v>400.05</v>
      </c>
      <c r="R5813" s="14">
        <v>2012.25</v>
      </c>
      <c r="S5813" s="2" t="s">
        <v>4479</v>
      </c>
      <c r="T5813" s="2">
        <v>0.86</v>
      </c>
      <c r="U5813" s="2">
        <v>58.7</v>
      </c>
      <c r="V5813" s="2">
        <v>59</v>
      </c>
      <c r="W5813" s="2" t="s">
        <v>7862</v>
      </c>
      <c r="X5813" s="2" t="s">
        <v>3061</v>
      </c>
      <c r="Y5813" s="2">
        <v>52815</v>
      </c>
      <c r="Z5813" s="19" t="str">
        <f>HYPERLINK("https://ssdweb.co/ssdweb/hd/Vision360.html?d=926860102&amp;zoomslide=1&amp;z=1926860102&amp;ISCONFIRM=0","VIDEO")</f>
        <v>VIDEO</v>
      </c>
      <c r="AA5813" s="19" t="str">
        <f>HYPERLINK("https://ssdweb.co/ssdweb/CERTH/665453082.pdf","CERTI")</f>
        <v>CERTI</v>
      </c>
    </row>
    <row r="5814" spans="1:27" ht="15" x14ac:dyDescent="0.25">
      <c r="A5814" s="2">
        <v>5809</v>
      </c>
      <c r="B5814" s="39">
        <v>926850158</v>
      </c>
      <c r="C5814" s="28" t="str">
        <f>HYPERLINK("https://pld.live/RapDetail.aspx?STONELIST=926850158","DNA")</f>
        <v>DNA</v>
      </c>
      <c r="D5814" s="18" t="s">
        <v>3174</v>
      </c>
      <c r="E5814" s="18" t="s">
        <v>2186</v>
      </c>
      <c r="F5814" s="2" t="s">
        <v>7987</v>
      </c>
      <c r="G5814" s="2" t="s">
        <v>5134</v>
      </c>
      <c r="H5814" s="14">
        <v>5.01</v>
      </c>
      <c r="I5814" s="2" t="s">
        <v>6845</v>
      </c>
      <c r="J5814" s="2" t="s">
        <v>13</v>
      </c>
      <c r="K5814" s="2" t="s">
        <v>1452</v>
      </c>
      <c r="L5814" s="2" t="s">
        <v>5221</v>
      </c>
      <c r="M5814" s="2" t="s">
        <v>5221</v>
      </c>
      <c r="N5814" s="2" t="s">
        <v>2317</v>
      </c>
      <c r="O5814" s="14">
        <v>9500</v>
      </c>
      <c r="P5814" s="14">
        <v>94.95</v>
      </c>
      <c r="Q5814" s="14">
        <v>479.75</v>
      </c>
      <c r="R5814" s="14">
        <v>2403.5500000000002</v>
      </c>
      <c r="S5814" s="2" t="s">
        <v>2075</v>
      </c>
      <c r="T5814" s="2">
        <v>0.87</v>
      </c>
      <c r="U5814" s="2">
        <v>60.2</v>
      </c>
      <c r="V5814" s="2">
        <v>64</v>
      </c>
      <c r="W5814" s="2" t="s">
        <v>7862</v>
      </c>
      <c r="X5814" s="2" t="s">
        <v>3061</v>
      </c>
      <c r="Y5814" s="2">
        <v>47595</v>
      </c>
      <c r="Z5814" s="19" t="str">
        <f>HYPERLINK("https://ssdweb.co/ssdweb/hd/Vision360.html?d=926850158&amp;zoomslide=1&amp;z=1926850158&amp;ISCONFIRM=0","VIDEO")</f>
        <v>VIDEO</v>
      </c>
      <c r="AA5814" s="19" t="str">
        <f>HYPERLINK("https://ssdweb.co/ssdweb/CERTH/681593697.pdf","CERTI")</f>
        <v>CERTI</v>
      </c>
    </row>
    <row r="5815" spans="1:27" ht="15" x14ac:dyDescent="0.25">
      <c r="A5815" s="2">
        <v>5810</v>
      </c>
      <c r="B5815" s="39">
        <v>926860101</v>
      </c>
      <c r="C5815" s="28" t="str">
        <f>HYPERLINK("https://pld.live/RapDetail.aspx?STONELIST=926860101","DNA")</f>
        <v>DNA</v>
      </c>
      <c r="D5815" s="18" t="s">
        <v>3174</v>
      </c>
      <c r="E5815" s="18" t="s">
        <v>2186</v>
      </c>
      <c r="F5815" s="2" t="s">
        <v>7987</v>
      </c>
      <c r="G5815" s="2" t="s">
        <v>5134</v>
      </c>
      <c r="H5815" s="14">
        <v>5.01</v>
      </c>
      <c r="I5815" s="2" t="s">
        <v>1112</v>
      </c>
      <c r="J5815" s="2" t="s">
        <v>13</v>
      </c>
      <c r="K5815" s="2" t="s">
        <v>1452</v>
      </c>
      <c r="L5815" s="2" t="s">
        <v>5221</v>
      </c>
      <c r="M5815" s="2" t="s">
        <v>5221</v>
      </c>
      <c r="N5815" s="2" t="s">
        <v>924</v>
      </c>
      <c r="O5815" s="14">
        <v>9500</v>
      </c>
      <c r="P5815" s="14">
        <v>96</v>
      </c>
      <c r="Q5815" s="14">
        <v>380</v>
      </c>
      <c r="R5815" s="14">
        <v>1903.8</v>
      </c>
      <c r="S5815" s="2" t="s">
        <v>5267</v>
      </c>
      <c r="T5815" s="2">
        <v>0.89</v>
      </c>
      <c r="U5815" s="2">
        <v>59.1</v>
      </c>
      <c r="V5815" s="2">
        <v>59</v>
      </c>
      <c r="W5815" s="2" t="s">
        <v>7862</v>
      </c>
      <c r="X5815" s="2" t="s">
        <v>3061</v>
      </c>
      <c r="Y5815" s="2">
        <v>47595</v>
      </c>
      <c r="Z5815" s="19" t="str">
        <f>HYPERLINK("https://ssdweb.co/ssdweb/hd/Vision360.html?d=926860101&amp;zoomslide=1&amp;z=1926860101&amp;ISCONFIRM=0","VIDEO")</f>
        <v>VIDEO</v>
      </c>
      <c r="AA5815" s="19" t="str">
        <f>HYPERLINK("https://ssdweb.co/ssdweb/CERTH/684506645.pdf","CERTI")</f>
        <v>CERTI</v>
      </c>
    </row>
    <row r="5816" spans="1:27" ht="15" x14ac:dyDescent="0.25">
      <c r="A5816" s="2">
        <v>5811</v>
      </c>
      <c r="B5816" s="39">
        <v>924890053</v>
      </c>
      <c r="C5816" s="28" t="str">
        <f>HYPERLINK("https://pld.live/RapDetail.aspx?STONELIST=924890053","DNA")</f>
        <v>DNA</v>
      </c>
      <c r="D5816" s="18" t="s">
        <v>3174</v>
      </c>
      <c r="E5816" s="18" t="s">
        <v>2186</v>
      </c>
      <c r="F5816" s="2" t="s">
        <v>7987</v>
      </c>
      <c r="G5816" s="2" t="s">
        <v>5134</v>
      </c>
      <c r="H5816" s="14">
        <v>5</v>
      </c>
      <c r="I5816" s="2" t="s">
        <v>7289</v>
      </c>
      <c r="J5816" s="2" t="s">
        <v>13</v>
      </c>
      <c r="K5816" s="2" t="s">
        <v>1452</v>
      </c>
      <c r="L5816" s="2" t="s">
        <v>5221</v>
      </c>
      <c r="M5816" s="2" t="s">
        <v>5221</v>
      </c>
      <c r="N5816" s="2" t="s">
        <v>5284</v>
      </c>
      <c r="O5816" s="14">
        <v>9500</v>
      </c>
      <c r="P5816" s="14">
        <v>94.68</v>
      </c>
      <c r="Q5816" s="14">
        <v>505.4</v>
      </c>
      <c r="R5816" s="14">
        <v>2527</v>
      </c>
      <c r="S5816" s="2" t="s">
        <v>5359</v>
      </c>
      <c r="T5816" s="2">
        <v>0.86</v>
      </c>
      <c r="U5816" s="2">
        <v>58.9</v>
      </c>
      <c r="V5816" s="2">
        <v>64</v>
      </c>
      <c r="W5816" s="2" t="s">
        <v>7862</v>
      </c>
      <c r="X5816" s="2" t="s">
        <v>3061</v>
      </c>
      <c r="Y5816" s="2">
        <v>47500</v>
      </c>
      <c r="Z5816" s="19" t="str">
        <f>HYPERLINK("https://ssdweb.co/ssdweb/hd/Vision360.html?d=924890053&amp;zoomslide=1&amp;z=1924890053&amp;ISCONFIRM=0","VIDEO")</f>
        <v>VIDEO</v>
      </c>
      <c r="AA5816" s="19" t="str">
        <f>HYPERLINK("https://ssdweb.co/ssdweb/CERTH/659414245.pdf","CERTI")</f>
        <v>CERTI</v>
      </c>
    </row>
    <row r="5817" spans="1:27" ht="15" x14ac:dyDescent="0.25">
      <c r="A5817" s="2">
        <v>5812</v>
      </c>
      <c r="B5817" s="39">
        <v>926050408</v>
      </c>
      <c r="C5817" s="28" t="str">
        <f>HYPERLINK("https://pld.live/RapDetail.aspx?STONELIST=926050408","DNA")</f>
        <v>DNA</v>
      </c>
      <c r="D5817" s="18" t="s">
        <v>3134</v>
      </c>
      <c r="E5817" s="18" t="s">
        <v>2186</v>
      </c>
      <c r="F5817" s="2" t="s">
        <v>7987</v>
      </c>
      <c r="G5817" s="2" t="s">
        <v>5134</v>
      </c>
      <c r="H5817" s="14">
        <v>4.25</v>
      </c>
      <c r="I5817" s="2" t="s">
        <v>4761</v>
      </c>
      <c r="J5817" s="2" t="s">
        <v>13</v>
      </c>
      <c r="K5817" s="2" t="s">
        <v>1452</v>
      </c>
      <c r="L5817" s="2" t="s">
        <v>5221</v>
      </c>
      <c r="M5817" s="2" t="s">
        <v>5221</v>
      </c>
      <c r="N5817" s="2" t="s">
        <v>2317</v>
      </c>
      <c r="O5817" s="14">
        <v>37500</v>
      </c>
      <c r="P5817" s="14">
        <v>99.51</v>
      </c>
      <c r="Q5817" s="14">
        <v>183.75</v>
      </c>
      <c r="R5817" s="14">
        <v>780.94</v>
      </c>
      <c r="S5817" s="2" t="s">
        <v>4069</v>
      </c>
      <c r="T5817" s="2">
        <v>0.9</v>
      </c>
      <c r="U5817" s="2">
        <v>59.7</v>
      </c>
      <c r="V5817" s="2">
        <v>61</v>
      </c>
      <c r="W5817" s="2" t="s">
        <v>7862</v>
      </c>
      <c r="X5817" s="2" t="s">
        <v>3061</v>
      </c>
      <c r="Y5817" s="2">
        <v>159375</v>
      </c>
      <c r="Z5817" s="19" t="str">
        <f>HYPERLINK("https://ssdweb.co/ssdweb/hd/Vision360.html?d=926050408&amp;zoomslide=1&amp;z=1926050408&amp;ISCONFIRM=0","VIDEO")</f>
        <v>VIDEO</v>
      </c>
      <c r="AA5817" s="19" t="str">
        <f>HYPERLINK("https://ssdweb.co/ssdweb/CERTH/633490593.pdf","CERTI")</f>
        <v>CERTI</v>
      </c>
    </row>
    <row r="5818" spans="1:27" ht="15" x14ac:dyDescent="0.25">
      <c r="A5818" s="2">
        <v>5813</v>
      </c>
      <c r="B5818" s="39">
        <v>926130130</v>
      </c>
      <c r="C5818" s="28" t="str">
        <f>HYPERLINK("https://pld.live/RapDetail.aspx?STONELIST=926130130","DNA")</f>
        <v>DNA</v>
      </c>
      <c r="D5818" s="18" t="s">
        <v>3134</v>
      </c>
      <c r="E5818" s="18" t="s">
        <v>2186</v>
      </c>
      <c r="F5818" s="2" t="s">
        <v>7987</v>
      </c>
      <c r="G5818" s="2" t="s">
        <v>5134</v>
      </c>
      <c r="H5818" s="14">
        <v>4.22</v>
      </c>
      <c r="I5818" s="2" t="s">
        <v>4699</v>
      </c>
      <c r="J5818" s="2" t="s">
        <v>13</v>
      </c>
      <c r="K5818" s="2" t="s">
        <v>1452</v>
      </c>
      <c r="L5818" s="2" t="s">
        <v>5221</v>
      </c>
      <c r="M5818" s="2" t="s">
        <v>5221</v>
      </c>
      <c r="N5818" s="2" t="s">
        <v>2317</v>
      </c>
      <c r="O5818" s="14">
        <v>34500</v>
      </c>
      <c r="P5818" s="14">
        <v>99.51</v>
      </c>
      <c r="Q5818" s="14">
        <v>169.05</v>
      </c>
      <c r="R5818" s="14">
        <v>713.39</v>
      </c>
      <c r="S5818" s="2" t="s">
        <v>892</v>
      </c>
      <c r="T5818" s="2">
        <v>0.91</v>
      </c>
      <c r="U5818" s="2">
        <v>57.4</v>
      </c>
      <c r="V5818" s="2">
        <v>61</v>
      </c>
      <c r="W5818" s="2" t="s">
        <v>7862</v>
      </c>
      <c r="X5818" s="2" t="s">
        <v>3061</v>
      </c>
      <c r="Y5818" s="2">
        <v>145590</v>
      </c>
      <c r="Z5818" s="19" t="str">
        <f>HYPERLINK("https://ssdweb.co/ssdweb/hd/Vision360.html?d=926130130&amp;zoomslide=1&amp;z=1926130130&amp;ISCONFIRM=0","VIDEO")</f>
        <v>VIDEO</v>
      </c>
      <c r="AA5818" s="19" t="str">
        <f>HYPERLINK("https://ssdweb.co/ssdweb/CERTH/634431527.pdf","CERTI")</f>
        <v>CERTI</v>
      </c>
    </row>
    <row r="5819" spans="1:27" ht="15" x14ac:dyDescent="0.25">
      <c r="A5819" s="2">
        <v>5814</v>
      </c>
      <c r="B5819" s="39">
        <v>926050400</v>
      </c>
      <c r="C5819" s="28" t="str">
        <f>HYPERLINK("https://pld.live/RapDetail.aspx?STONELIST=926050400","DNA")</f>
        <v>DNA</v>
      </c>
      <c r="D5819" s="18" t="s">
        <v>3134</v>
      </c>
      <c r="E5819" s="18" t="s">
        <v>2186</v>
      </c>
      <c r="F5819" s="2" t="s">
        <v>7987</v>
      </c>
      <c r="G5819" s="2" t="s">
        <v>5134</v>
      </c>
      <c r="H5819" s="14">
        <v>4.2</v>
      </c>
      <c r="I5819" s="2" t="s">
        <v>4761</v>
      </c>
      <c r="J5819" s="2" t="s">
        <v>13</v>
      </c>
      <c r="K5819" s="2" t="s">
        <v>1452</v>
      </c>
      <c r="L5819" s="2" t="s">
        <v>5221</v>
      </c>
      <c r="M5819" s="2" t="s">
        <v>5221</v>
      </c>
      <c r="N5819" s="2" t="s">
        <v>2317</v>
      </c>
      <c r="O5819" s="14">
        <v>37500</v>
      </c>
      <c r="P5819" s="14">
        <v>99.51</v>
      </c>
      <c r="Q5819" s="14">
        <v>183.75</v>
      </c>
      <c r="R5819" s="14">
        <v>771.75</v>
      </c>
      <c r="S5819" s="2" t="s">
        <v>4669</v>
      </c>
      <c r="T5819" s="2">
        <v>0.89</v>
      </c>
      <c r="U5819" s="2">
        <v>57.4</v>
      </c>
      <c r="V5819" s="2">
        <v>64</v>
      </c>
      <c r="W5819" s="2" t="s">
        <v>7862</v>
      </c>
      <c r="X5819" s="2" t="s">
        <v>3061</v>
      </c>
      <c r="Y5819" s="2">
        <v>157500</v>
      </c>
      <c r="Z5819" s="19" t="str">
        <f>HYPERLINK("https://ssdweb.co/ssdweb/hd/Vision360.html?d=926050400&amp;zoomslide=1&amp;z=1926050400&amp;ISCONFIRM=0","VIDEO")</f>
        <v>VIDEO</v>
      </c>
      <c r="AA5819" s="19" t="str">
        <f>HYPERLINK("https://ssdweb.co/ssdweb/CERTH/632449699.pdf","CERTI")</f>
        <v>CERTI</v>
      </c>
    </row>
    <row r="5820" spans="1:27" ht="15" x14ac:dyDescent="0.25">
      <c r="A5820" s="2">
        <v>5815</v>
      </c>
      <c r="B5820" s="39">
        <v>926130070</v>
      </c>
      <c r="C5820" s="28" t="str">
        <f>HYPERLINK("https://pld.live/RapDetail.aspx?STONELIST=926130070","DNA")</f>
        <v>DNA</v>
      </c>
      <c r="D5820" s="18" t="s">
        <v>3134</v>
      </c>
      <c r="E5820" s="18" t="s">
        <v>2186</v>
      </c>
      <c r="F5820" s="2" t="s">
        <v>7987</v>
      </c>
      <c r="G5820" s="2" t="s">
        <v>5134</v>
      </c>
      <c r="H5820" s="14">
        <v>4.1399999999999997</v>
      </c>
      <c r="I5820" s="2" t="s">
        <v>1505</v>
      </c>
      <c r="J5820" s="2" t="s">
        <v>3942</v>
      </c>
      <c r="K5820" s="2" t="s">
        <v>1452</v>
      </c>
      <c r="L5820" s="2" t="s">
        <v>5221</v>
      </c>
      <c r="M5820" s="2" t="s">
        <v>5221</v>
      </c>
      <c r="N5820" s="2" t="s">
        <v>2317</v>
      </c>
      <c r="O5820" s="14">
        <v>27000</v>
      </c>
      <c r="P5820" s="14">
        <v>99.37</v>
      </c>
      <c r="Q5820" s="14">
        <v>170.1</v>
      </c>
      <c r="R5820" s="14">
        <v>704.21</v>
      </c>
      <c r="S5820" s="2" t="s">
        <v>5600</v>
      </c>
      <c r="T5820" s="2">
        <v>0.86</v>
      </c>
      <c r="U5820" s="2">
        <v>59.5</v>
      </c>
      <c r="V5820" s="2">
        <v>61</v>
      </c>
      <c r="W5820" s="2" t="s">
        <v>7862</v>
      </c>
      <c r="X5820" s="2" t="s">
        <v>3061</v>
      </c>
      <c r="Y5820" s="2">
        <v>111780</v>
      </c>
      <c r="Z5820" s="19" t="str">
        <f>HYPERLINK("https://ssdweb.co/ssdweb/hd/Vision360.html?d=926130070&amp;zoomslide=1&amp;z=1926130070&amp;ISCONFIRM=0","VIDEO")</f>
        <v>VIDEO</v>
      </c>
      <c r="AA5820" s="19" t="str">
        <f>HYPERLINK("https://ssdweb.co/ssdweb/CERTH/633432007.pdf","CERTI")</f>
        <v>CERTI</v>
      </c>
    </row>
    <row r="5821" spans="1:27" ht="15" x14ac:dyDescent="0.25">
      <c r="A5821" s="2">
        <v>5816</v>
      </c>
      <c r="B5821" s="39">
        <v>926050395</v>
      </c>
      <c r="C5821" s="28" t="str">
        <f>HYPERLINK("https://pld.live/RapDetail.aspx?STONELIST=926050395","DNA")</f>
        <v>DNA</v>
      </c>
      <c r="D5821" s="18" t="s">
        <v>3134</v>
      </c>
      <c r="E5821" s="18" t="s">
        <v>2186</v>
      </c>
      <c r="F5821" s="2" t="s">
        <v>7987</v>
      </c>
      <c r="G5821" s="2" t="s">
        <v>5134</v>
      </c>
      <c r="H5821" s="14">
        <v>4.04</v>
      </c>
      <c r="I5821" s="2" t="s">
        <v>4699</v>
      </c>
      <c r="J5821" s="2" t="s">
        <v>3942</v>
      </c>
      <c r="K5821" s="2" t="s">
        <v>1452</v>
      </c>
      <c r="L5821" s="2" t="s">
        <v>5221</v>
      </c>
      <c r="M5821" s="2" t="s">
        <v>5221</v>
      </c>
      <c r="N5821" s="2" t="s">
        <v>2317</v>
      </c>
      <c r="O5821" s="14">
        <v>37000</v>
      </c>
      <c r="P5821" s="14">
        <v>99.53</v>
      </c>
      <c r="Q5821" s="14">
        <v>173.9</v>
      </c>
      <c r="R5821" s="14">
        <v>702.56</v>
      </c>
      <c r="S5821" s="2" t="s">
        <v>7978</v>
      </c>
      <c r="T5821" s="2">
        <v>0.88</v>
      </c>
      <c r="U5821" s="2">
        <v>58.5</v>
      </c>
      <c r="V5821" s="2">
        <v>64</v>
      </c>
      <c r="W5821" s="2" t="s">
        <v>7862</v>
      </c>
      <c r="X5821" s="2" t="s">
        <v>3061</v>
      </c>
      <c r="Y5821" s="2">
        <v>149480</v>
      </c>
      <c r="Z5821" s="19" t="str">
        <f>HYPERLINK("https://ssdweb.co/ssdweb/hd/Vision360.html?d=926050395&amp;zoomslide=1&amp;z=1926050395&amp;ISCONFIRM=0","VIDEO")</f>
        <v>VIDEO</v>
      </c>
      <c r="AA5821" s="19" t="str">
        <f>HYPERLINK("https://ssdweb.co/ssdweb/CERTH/632449696.pdf","CERTI")</f>
        <v>CERTI</v>
      </c>
    </row>
    <row r="5822" spans="1:27" ht="15" x14ac:dyDescent="0.25">
      <c r="A5822" s="2">
        <v>5817</v>
      </c>
      <c r="B5822" s="39">
        <v>926050375</v>
      </c>
      <c r="C5822" s="28" t="str">
        <f>HYPERLINK("https://pld.live/RapDetail.aspx?STONELIST=926050375","DNA")</f>
        <v>DNA</v>
      </c>
      <c r="D5822" s="18" t="s">
        <v>3134</v>
      </c>
      <c r="E5822" s="18" t="s">
        <v>2186</v>
      </c>
      <c r="F5822" s="2" t="s">
        <v>5597</v>
      </c>
      <c r="G5822" s="2" t="s">
        <v>5134</v>
      </c>
      <c r="H5822" s="14">
        <v>4.03</v>
      </c>
      <c r="I5822" s="2" t="s">
        <v>4761</v>
      </c>
      <c r="J5822" s="2" t="s">
        <v>13</v>
      </c>
      <c r="K5822" s="2" t="s">
        <v>1452</v>
      </c>
      <c r="L5822" s="2" t="s">
        <v>5221</v>
      </c>
      <c r="M5822" s="2" t="s">
        <v>5221</v>
      </c>
      <c r="N5822" s="2" t="s">
        <v>2317</v>
      </c>
      <c r="O5822" s="14">
        <v>37500</v>
      </c>
      <c r="P5822" s="14">
        <v>99.13</v>
      </c>
      <c r="Q5822" s="14">
        <v>326.25</v>
      </c>
      <c r="R5822" s="14">
        <v>1314.79</v>
      </c>
      <c r="S5822" s="2" t="s">
        <v>4423</v>
      </c>
      <c r="T5822" s="2">
        <v>0.9</v>
      </c>
      <c r="U5822" s="2">
        <v>57.3</v>
      </c>
      <c r="V5822" s="2">
        <v>63</v>
      </c>
      <c r="W5822" s="2" t="s">
        <v>7862</v>
      </c>
      <c r="X5822" s="2" t="s">
        <v>3061</v>
      </c>
      <c r="Y5822" s="2">
        <v>151125</v>
      </c>
      <c r="Z5822" s="19" t="str">
        <f>HYPERLINK("https://ssdweb.co/ssdweb/hd/Vision360.html?d=926050375&amp;zoomslide=1&amp;z=1926050375&amp;ISCONFIRM=0","VIDEO")</f>
        <v>VIDEO</v>
      </c>
      <c r="AA5822" s="19" t="str">
        <f>HYPERLINK("https://ssdweb.co/ssdweb/CERTH/5493292124.pdf","CERTI")</f>
        <v>CERTI</v>
      </c>
    </row>
    <row r="5823" spans="1:27" ht="15" x14ac:dyDescent="0.25">
      <c r="A5823" s="2">
        <v>5818</v>
      </c>
      <c r="B5823" s="39">
        <v>926850159</v>
      </c>
      <c r="C5823" s="28" t="str">
        <f>HYPERLINK("https://pld.live/RapDetail.aspx?STONELIST=926850159","DNA")</f>
        <v>DNA</v>
      </c>
      <c r="D5823" s="18" t="s">
        <v>3134</v>
      </c>
      <c r="E5823" s="18" t="s">
        <v>2186</v>
      </c>
      <c r="F5823" s="2" t="s">
        <v>7987</v>
      </c>
      <c r="G5823" s="2" t="s">
        <v>5134</v>
      </c>
      <c r="H5823" s="14">
        <v>4.03</v>
      </c>
      <c r="I5823" s="2" t="s">
        <v>6845</v>
      </c>
      <c r="J5823" s="2" t="s">
        <v>13</v>
      </c>
      <c r="K5823" s="2" t="s">
        <v>1452</v>
      </c>
      <c r="L5823" s="2" t="s">
        <v>5221</v>
      </c>
      <c r="M5823" s="2" t="s">
        <v>5221</v>
      </c>
      <c r="N5823" s="2" t="s">
        <v>2317</v>
      </c>
      <c r="O5823" s="14">
        <v>7100</v>
      </c>
      <c r="P5823" s="14">
        <v>92.54</v>
      </c>
      <c r="Q5823" s="14">
        <v>529.66</v>
      </c>
      <c r="R5823" s="14">
        <v>2134.5300000000002</v>
      </c>
      <c r="S5823" s="2" t="s">
        <v>4285</v>
      </c>
      <c r="T5823" s="2">
        <v>0.91</v>
      </c>
      <c r="U5823" s="2">
        <v>56.2</v>
      </c>
      <c r="V5823" s="2">
        <v>59</v>
      </c>
      <c r="W5823" s="2" t="s">
        <v>7862</v>
      </c>
      <c r="X5823" s="2" t="s">
        <v>3061</v>
      </c>
      <c r="Y5823" s="2">
        <v>28613</v>
      </c>
      <c r="Z5823" s="19" t="str">
        <f>HYPERLINK("https://ssdweb.co/ssdweb/hd/Vision360.html?d=926850159&amp;zoomslide=1&amp;z=1926850159&amp;ISCONFIRM=0","VIDEO")</f>
        <v>VIDEO</v>
      </c>
      <c r="AA5823" s="19" t="str">
        <f>HYPERLINK("https://ssdweb.co/ssdweb/CERTH/681593696.pdf","CERTI")</f>
        <v>CERTI</v>
      </c>
    </row>
    <row r="5824" spans="1:27" ht="15" x14ac:dyDescent="0.25">
      <c r="A5824" s="2">
        <v>5819</v>
      </c>
      <c r="B5824" s="39">
        <v>926050336</v>
      </c>
      <c r="C5824" s="28" t="str">
        <f>HYPERLINK("https://pld.live/RapDetail.aspx?STONELIST=926050336","DNA")</f>
        <v>DNA</v>
      </c>
      <c r="D5824" s="18" t="s">
        <v>3134</v>
      </c>
      <c r="E5824" s="18" t="s">
        <v>2186</v>
      </c>
      <c r="F5824" s="2" t="s">
        <v>7987</v>
      </c>
      <c r="G5824" s="2" t="s">
        <v>5134</v>
      </c>
      <c r="H5824" s="14">
        <v>4.0199999999999996</v>
      </c>
      <c r="I5824" s="2" t="s">
        <v>4761</v>
      </c>
      <c r="J5824" s="2" t="s">
        <v>3942</v>
      </c>
      <c r="K5824" s="2" t="s">
        <v>1452</v>
      </c>
      <c r="L5824" s="2" t="s">
        <v>5221</v>
      </c>
      <c r="M5824" s="2" t="s">
        <v>5221</v>
      </c>
      <c r="N5824" s="2" t="s">
        <v>2317</v>
      </c>
      <c r="O5824" s="14">
        <v>40000</v>
      </c>
      <c r="P5824" s="14">
        <v>99.51</v>
      </c>
      <c r="Q5824" s="14">
        <v>196</v>
      </c>
      <c r="R5824" s="14">
        <v>787.92</v>
      </c>
      <c r="S5824" s="2" t="s">
        <v>4427</v>
      </c>
      <c r="T5824" s="2">
        <v>0.9</v>
      </c>
      <c r="U5824" s="2">
        <v>60.1</v>
      </c>
      <c r="V5824" s="2">
        <v>63</v>
      </c>
      <c r="W5824" s="2" t="s">
        <v>7862</v>
      </c>
      <c r="X5824" s="2" t="s">
        <v>3061</v>
      </c>
      <c r="Y5824" s="2">
        <v>160800</v>
      </c>
      <c r="Z5824" s="19" t="str">
        <f>HYPERLINK("https://ssdweb.co/ssdweb/hd/Vision360.html?d=926050336&amp;zoomslide=1&amp;z=1926050336&amp;ISCONFIRM=0","VIDEO")</f>
        <v>VIDEO</v>
      </c>
      <c r="AA5824" s="19" t="str">
        <f>HYPERLINK("https://ssdweb.co/ssdweb/CERTH/632488518.pdf","CERTI")</f>
        <v>CERTI</v>
      </c>
    </row>
    <row r="5825" spans="1:27" ht="15" x14ac:dyDescent="0.25">
      <c r="A5825" s="2">
        <v>5820</v>
      </c>
      <c r="B5825" s="39">
        <v>926010294</v>
      </c>
      <c r="C5825" s="28" t="str">
        <f>HYPERLINK("https://pld.live/RapDetail.aspx?STONELIST=926010294","DNA")</f>
        <v>DNA</v>
      </c>
      <c r="D5825" s="18" t="s">
        <v>3134</v>
      </c>
      <c r="E5825" s="18" t="s">
        <v>2186</v>
      </c>
      <c r="F5825" s="2" t="s">
        <v>7987</v>
      </c>
      <c r="G5825" s="2" t="s">
        <v>5134</v>
      </c>
      <c r="H5825" s="14">
        <v>4.0199999999999996</v>
      </c>
      <c r="I5825" s="2" t="s">
        <v>1505</v>
      </c>
      <c r="J5825" s="2" t="s">
        <v>13</v>
      </c>
      <c r="K5825" s="2" t="s">
        <v>1452</v>
      </c>
      <c r="L5825" s="2" t="s">
        <v>5221</v>
      </c>
      <c r="M5825" s="2" t="s">
        <v>5221</v>
      </c>
      <c r="N5825" s="2" t="s">
        <v>2317</v>
      </c>
      <c r="O5825" s="14">
        <v>25500</v>
      </c>
      <c r="P5825" s="14">
        <v>99.37</v>
      </c>
      <c r="Q5825" s="14">
        <v>160.65</v>
      </c>
      <c r="R5825" s="14">
        <v>645.80999999999995</v>
      </c>
      <c r="S5825" s="2" t="s">
        <v>7649</v>
      </c>
      <c r="T5825" s="2">
        <v>0.91</v>
      </c>
      <c r="U5825" s="2">
        <v>56.6</v>
      </c>
      <c r="V5825" s="2">
        <v>64</v>
      </c>
      <c r="W5825" s="2" t="s">
        <v>7862</v>
      </c>
      <c r="X5825" s="2" t="s">
        <v>3061</v>
      </c>
      <c r="Y5825" s="2">
        <v>102510</v>
      </c>
      <c r="Z5825" s="19" t="str">
        <f>HYPERLINK("https://ssdweb.co/ssdweb/hd/Vision360.html?d=926010294&amp;zoomslide=1&amp;z=1926010294&amp;ISCONFIRM=0","VIDEO")</f>
        <v>VIDEO</v>
      </c>
      <c r="AA5825" s="19" t="str">
        <f>HYPERLINK("https://ssdweb.co/ssdweb/CERTH/632421577.pdf","CERTI")</f>
        <v>CERTI</v>
      </c>
    </row>
    <row r="5826" spans="1:27" ht="15" x14ac:dyDescent="0.25">
      <c r="A5826" s="2">
        <v>5821</v>
      </c>
      <c r="B5826" s="39">
        <v>926850160</v>
      </c>
      <c r="C5826" s="28" t="str">
        <f>HYPERLINK("https://pld.live/RapDetail.aspx?STONELIST=926850160","DNA")</f>
        <v>DNA</v>
      </c>
      <c r="D5826" s="18" t="s">
        <v>3134</v>
      </c>
      <c r="E5826" s="18" t="s">
        <v>2186</v>
      </c>
      <c r="F5826" s="2" t="s">
        <v>7987</v>
      </c>
      <c r="G5826" s="2" t="s">
        <v>5134</v>
      </c>
      <c r="H5826" s="14">
        <v>4.01</v>
      </c>
      <c r="I5826" s="2" t="s">
        <v>4699</v>
      </c>
      <c r="J5826" s="2" t="s">
        <v>3942</v>
      </c>
      <c r="K5826" s="2" t="s">
        <v>1452</v>
      </c>
      <c r="L5826" s="2" t="s">
        <v>5221</v>
      </c>
      <c r="M5826" s="2" t="s">
        <v>5221</v>
      </c>
      <c r="N5826" s="2" t="s">
        <v>2317</v>
      </c>
      <c r="O5826" s="14">
        <v>37000</v>
      </c>
      <c r="P5826" s="14">
        <v>99.51</v>
      </c>
      <c r="Q5826" s="14">
        <v>181.3</v>
      </c>
      <c r="R5826" s="14">
        <v>727.01</v>
      </c>
      <c r="S5826" s="2" t="s">
        <v>2394</v>
      </c>
      <c r="T5826" s="2">
        <v>0.88</v>
      </c>
      <c r="U5826" s="2">
        <v>56.5</v>
      </c>
      <c r="V5826" s="2">
        <v>62</v>
      </c>
      <c r="W5826" s="2" t="s">
        <v>7862</v>
      </c>
      <c r="X5826" s="2" t="s">
        <v>3061</v>
      </c>
      <c r="Y5826" s="2">
        <v>148370</v>
      </c>
      <c r="Z5826" s="19" t="str">
        <f>HYPERLINK("https://ssdweb.co/ssdweb/hd/Vision360.html?d=926850160&amp;zoomslide=1&amp;z=1926850160&amp;ISCONFIRM=0","VIDEO")</f>
        <v>VIDEO</v>
      </c>
      <c r="AA5826" s="19" t="str">
        <f>HYPERLINK("https://ssdweb.co/ssdweb/CERTH/662473875.pdf","CERTI")</f>
        <v>CERTI</v>
      </c>
    </row>
    <row r="5827" spans="1:27" ht="15" x14ac:dyDescent="0.25">
      <c r="A5827" s="2">
        <v>5822</v>
      </c>
      <c r="B5827" s="39">
        <v>926050367</v>
      </c>
      <c r="C5827" s="28" t="str">
        <f>HYPERLINK("https://pld.live/RapDetail.aspx?STONELIST=926050367","DNA")</f>
        <v>DNA</v>
      </c>
      <c r="D5827" s="18" t="s">
        <v>3134</v>
      </c>
      <c r="E5827" s="18" t="s">
        <v>2186</v>
      </c>
      <c r="F5827" s="2" t="s">
        <v>7987</v>
      </c>
      <c r="G5827" s="2" t="s">
        <v>5134</v>
      </c>
      <c r="H5827" s="14">
        <v>4</v>
      </c>
      <c r="I5827" s="2" t="s">
        <v>4761</v>
      </c>
      <c r="J5827" s="2" t="s">
        <v>13</v>
      </c>
      <c r="K5827" s="2" t="s">
        <v>1452</v>
      </c>
      <c r="L5827" s="2" t="s">
        <v>5221</v>
      </c>
      <c r="M5827" s="2" t="s">
        <v>5221</v>
      </c>
      <c r="N5827" s="2" t="s">
        <v>2317</v>
      </c>
      <c r="O5827" s="14">
        <v>37500</v>
      </c>
      <c r="P5827" s="14">
        <v>99.51</v>
      </c>
      <c r="Q5827" s="14">
        <v>183.75</v>
      </c>
      <c r="R5827" s="14">
        <v>735</v>
      </c>
      <c r="S5827" s="2" t="s">
        <v>4534</v>
      </c>
      <c r="T5827" s="2">
        <v>0.9</v>
      </c>
      <c r="U5827" s="2">
        <v>58.7</v>
      </c>
      <c r="V5827" s="2">
        <v>57</v>
      </c>
      <c r="W5827" s="2" t="s">
        <v>7862</v>
      </c>
      <c r="X5827" s="2" t="s">
        <v>3061</v>
      </c>
      <c r="Y5827" s="2">
        <v>150000</v>
      </c>
      <c r="Z5827" s="19" t="str">
        <f>HYPERLINK("https://ssdweb.co/ssdweb/hd/Vision360.html?d=926050367&amp;zoomslide=1&amp;z=1926050367&amp;ISCONFIRM=0","VIDEO")</f>
        <v>VIDEO</v>
      </c>
      <c r="AA5827" s="19" t="str">
        <f>HYPERLINK("https://ssdweb.co/ssdweb/CERTH/632404754.pdf","CERTI")</f>
        <v>CERTI</v>
      </c>
    </row>
    <row r="5828" spans="1:27" ht="15" x14ac:dyDescent="0.25">
      <c r="A5828" s="2">
        <v>5823</v>
      </c>
      <c r="B5828" s="39">
        <v>924190687</v>
      </c>
      <c r="C5828" s="28" t="str">
        <f>HYPERLINK("https://pld.live/RapDetail.aspx?STONELIST=924190687","DNA")</f>
        <v>DNA</v>
      </c>
      <c r="D5828" s="18" t="s">
        <v>3628</v>
      </c>
      <c r="E5828" s="18" t="s">
        <v>2186</v>
      </c>
      <c r="F5828" s="2" t="s">
        <v>5597</v>
      </c>
      <c r="G5828" s="2" t="s">
        <v>5134</v>
      </c>
      <c r="H5828" s="14">
        <v>3.58</v>
      </c>
      <c r="I5828" s="2" t="s">
        <v>6587</v>
      </c>
      <c r="J5828" s="2" t="s">
        <v>13</v>
      </c>
      <c r="K5828" s="2" t="s">
        <v>1452</v>
      </c>
      <c r="L5828" s="2" t="s">
        <v>5221</v>
      </c>
      <c r="M5828" s="2" t="s">
        <v>5221</v>
      </c>
      <c r="N5828" s="2" t="s">
        <v>2317</v>
      </c>
      <c r="O5828" s="14">
        <v>22500</v>
      </c>
      <c r="P5828" s="14">
        <v>98.87</v>
      </c>
      <c r="Q5828" s="14">
        <v>254.25</v>
      </c>
      <c r="R5828" s="14">
        <v>910.22</v>
      </c>
      <c r="S5828" s="2" t="s">
        <v>3460</v>
      </c>
      <c r="T5828" s="2">
        <v>0.91</v>
      </c>
      <c r="U5828" s="2">
        <v>57.8</v>
      </c>
      <c r="V5828" s="2">
        <v>63</v>
      </c>
      <c r="W5828" s="2" t="s">
        <v>7862</v>
      </c>
      <c r="X5828" s="2" t="s">
        <v>3061</v>
      </c>
      <c r="Y5828" s="2">
        <v>80550</v>
      </c>
      <c r="Z5828" s="19" t="str">
        <f>HYPERLINK("https://ssdweb.co/ssdweb/hd/Vision360.html?d=924190687&amp;zoomslide=1&amp;z=1924190687&amp;ISCONFIRM=0","VIDEO")</f>
        <v>VIDEO</v>
      </c>
      <c r="AA5828" s="19" t="str">
        <f>HYPERLINK("https://ssdweb.co/ssdweb/CERTH/7468584383.pdf","CERTI")</f>
        <v>CERTI</v>
      </c>
    </row>
    <row r="5829" spans="1:27" ht="15" x14ac:dyDescent="0.25">
      <c r="A5829" s="2">
        <v>5824</v>
      </c>
      <c r="B5829" s="39">
        <v>926050372</v>
      </c>
      <c r="C5829" s="28" t="str">
        <f>HYPERLINK("https://pld.live/RapDetail.aspx?STONELIST=926050372","DNA")</f>
        <v>DNA</v>
      </c>
      <c r="D5829" s="18" t="s">
        <v>3628</v>
      </c>
      <c r="E5829" s="18" t="s">
        <v>2186</v>
      </c>
      <c r="F5829" s="2" t="s">
        <v>7987</v>
      </c>
      <c r="G5829" s="2" t="s">
        <v>5134</v>
      </c>
      <c r="H5829" s="14">
        <v>3.55</v>
      </c>
      <c r="I5829" s="2" t="s">
        <v>267</v>
      </c>
      <c r="J5829" s="2" t="s">
        <v>3942</v>
      </c>
      <c r="K5829" s="2" t="s">
        <v>1452</v>
      </c>
      <c r="L5829" s="2" t="s">
        <v>5221</v>
      </c>
      <c r="M5829" s="2" t="s">
        <v>5221</v>
      </c>
      <c r="N5829" s="2" t="s">
        <v>2317</v>
      </c>
      <c r="O5829" s="14">
        <v>32500</v>
      </c>
      <c r="P5829" s="14">
        <v>99.4</v>
      </c>
      <c r="Q5829" s="14">
        <v>195</v>
      </c>
      <c r="R5829" s="14">
        <v>692.25</v>
      </c>
      <c r="S5829" s="2" t="s">
        <v>7095</v>
      </c>
      <c r="T5829" s="2">
        <v>0.87</v>
      </c>
      <c r="U5829" s="2">
        <v>59.4</v>
      </c>
      <c r="V5829" s="2">
        <v>64</v>
      </c>
      <c r="W5829" s="2" t="s">
        <v>7862</v>
      </c>
      <c r="X5829" s="2" t="s">
        <v>3061</v>
      </c>
      <c r="Y5829" s="2">
        <v>115375</v>
      </c>
      <c r="Z5829" s="19" t="str">
        <f>HYPERLINK("https://ssdweb.co/ssdweb/hd/Vision360.html?d=926050372&amp;zoomslide=1&amp;z=1926050372&amp;ISCONFIRM=0","VIDEO")</f>
        <v>VIDEO</v>
      </c>
      <c r="AA5829" s="19" t="str">
        <f>HYPERLINK("https://ssdweb.co/ssdweb/CERTH/632404756.pdf","CERTI")</f>
        <v>CERTI</v>
      </c>
    </row>
    <row r="5830" spans="1:27" ht="15" x14ac:dyDescent="0.25">
      <c r="A5830" s="2">
        <v>5825</v>
      </c>
      <c r="B5830" s="39">
        <v>926590054</v>
      </c>
      <c r="C5830" s="28" t="str">
        <f>HYPERLINK("https://pld.live/RapDetail.aspx?STONELIST=926590054","DNA")</f>
        <v>DNA</v>
      </c>
      <c r="D5830" s="18" t="s">
        <v>3628</v>
      </c>
      <c r="E5830" s="18" t="s">
        <v>2186</v>
      </c>
      <c r="F5830" s="2" t="s">
        <v>7987</v>
      </c>
      <c r="G5830" s="2" t="s">
        <v>5134</v>
      </c>
      <c r="H5830" s="14">
        <v>3.51</v>
      </c>
      <c r="I5830" s="2" t="s">
        <v>4699</v>
      </c>
      <c r="J5830" s="2" t="s">
        <v>3942</v>
      </c>
      <c r="K5830" s="2" t="s">
        <v>1452</v>
      </c>
      <c r="L5830" s="2" t="s">
        <v>5221</v>
      </c>
      <c r="M5830" s="2" t="s">
        <v>5221</v>
      </c>
      <c r="N5830" s="2" t="s">
        <v>2317</v>
      </c>
      <c r="O5830" s="14">
        <v>27000</v>
      </c>
      <c r="P5830" s="14">
        <v>99.3</v>
      </c>
      <c r="Q5830" s="14">
        <v>189</v>
      </c>
      <c r="R5830" s="14">
        <v>663.39</v>
      </c>
      <c r="S5830" s="2" t="s">
        <v>268</v>
      </c>
      <c r="T5830" s="2">
        <v>0.88</v>
      </c>
      <c r="U5830" s="2">
        <v>57.4</v>
      </c>
      <c r="V5830" s="2">
        <v>68</v>
      </c>
      <c r="W5830" s="2" t="s">
        <v>7862</v>
      </c>
      <c r="X5830" s="2" t="s">
        <v>3061</v>
      </c>
      <c r="Y5830" s="2">
        <v>94770</v>
      </c>
      <c r="Z5830" s="19" t="str">
        <f>HYPERLINK("https://ssdweb.co/ssdweb/hd/Vision360.html?d=926590054&amp;zoomslide=1&amp;z=1926590054&amp;ISCONFIRM=0","VIDEO")</f>
        <v>VIDEO</v>
      </c>
      <c r="AA5830" s="19" t="str">
        <f>HYPERLINK("https://ssdweb.co/ssdweb/CERTH/647424645.pdf","CERTI")</f>
        <v>CERTI</v>
      </c>
    </row>
    <row r="5831" spans="1:27" ht="15" x14ac:dyDescent="0.25">
      <c r="A5831" s="2">
        <v>5826</v>
      </c>
      <c r="B5831" s="39">
        <v>926050355</v>
      </c>
      <c r="C5831" s="28" t="str">
        <f>HYPERLINK("https://pld.live/RapDetail.aspx?STONELIST=926050355","DNA")</f>
        <v>DNA</v>
      </c>
      <c r="D5831" s="18" t="s">
        <v>4563</v>
      </c>
      <c r="E5831" s="18" t="s">
        <v>2186</v>
      </c>
      <c r="F5831" s="2" t="s">
        <v>7987</v>
      </c>
      <c r="G5831" s="2" t="s">
        <v>5134</v>
      </c>
      <c r="H5831" s="14">
        <v>3.26</v>
      </c>
      <c r="I5831" s="2" t="s">
        <v>4699</v>
      </c>
      <c r="J5831" s="2" t="s">
        <v>13</v>
      </c>
      <c r="K5831" s="2" t="s">
        <v>1452</v>
      </c>
      <c r="L5831" s="2" t="s">
        <v>5221</v>
      </c>
      <c r="M5831" s="2" t="s">
        <v>5221</v>
      </c>
      <c r="N5831" s="2" t="s">
        <v>2317</v>
      </c>
      <c r="O5831" s="14">
        <v>25000</v>
      </c>
      <c r="P5831" s="14">
        <v>99.34</v>
      </c>
      <c r="Q5831" s="14">
        <v>165</v>
      </c>
      <c r="R5831" s="14">
        <v>537.9</v>
      </c>
      <c r="S5831" s="2" t="s">
        <v>2295</v>
      </c>
      <c r="T5831" s="2">
        <v>0.87</v>
      </c>
      <c r="U5831" s="2">
        <v>59.7</v>
      </c>
      <c r="V5831" s="2">
        <v>61</v>
      </c>
      <c r="W5831" s="2" t="s">
        <v>7862</v>
      </c>
      <c r="X5831" s="2" t="s">
        <v>3061</v>
      </c>
      <c r="Y5831" s="2">
        <v>81500</v>
      </c>
      <c r="Z5831" s="19" t="str">
        <f>HYPERLINK("https://ssdweb.co/ssdweb/hd/Vision360.html?d=926050355&amp;zoomslide=1&amp;z=1926050355&amp;ISCONFIRM=0","VIDEO")</f>
        <v>VIDEO</v>
      </c>
      <c r="AA5831" s="19" t="str">
        <f>HYPERLINK("https://ssdweb.co/ssdweb/CERTH/632404761.pdf","CERTI")</f>
        <v>CERTI</v>
      </c>
    </row>
    <row r="5832" spans="1:27" ht="15" x14ac:dyDescent="0.25">
      <c r="A5832" s="2">
        <v>5827</v>
      </c>
      <c r="B5832" s="39">
        <v>926540194</v>
      </c>
      <c r="C5832" s="28" t="str">
        <f>HYPERLINK("https://pld.live/RapDetail.aspx?STONELIST=926540194","DNA")</f>
        <v>DNA</v>
      </c>
      <c r="D5832" s="18" t="s">
        <v>4563</v>
      </c>
      <c r="E5832" s="18" t="s">
        <v>2186</v>
      </c>
      <c r="F5832" s="2" t="s">
        <v>7987</v>
      </c>
      <c r="G5832" s="2" t="s">
        <v>5134</v>
      </c>
      <c r="H5832" s="14">
        <v>3.24</v>
      </c>
      <c r="I5832" s="2" t="s">
        <v>1066</v>
      </c>
      <c r="J5832" s="2" t="s">
        <v>13</v>
      </c>
      <c r="K5832" s="2" t="s">
        <v>1452</v>
      </c>
      <c r="L5832" s="2" t="s">
        <v>5221</v>
      </c>
      <c r="M5832" s="2" t="s">
        <v>5221</v>
      </c>
      <c r="N5832" s="2" t="s">
        <v>924</v>
      </c>
      <c r="O5832" s="14">
        <v>5700</v>
      </c>
      <c r="P5832" s="14">
        <v>93.51</v>
      </c>
      <c r="Q5832" s="14">
        <v>369.93</v>
      </c>
      <c r="R5832" s="14">
        <v>1198.57</v>
      </c>
      <c r="S5832" s="2" t="s">
        <v>5705</v>
      </c>
      <c r="T5832" s="2">
        <v>0.91</v>
      </c>
      <c r="U5832" s="2">
        <v>56.2</v>
      </c>
      <c r="V5832" s="2">
        <v>63</v>
      </c>
      <c r="W5832" s="2" t="s">
        <v>7862</v>
      </c>
      <c r="X5832" s="2" t="s">
        <v>3061</v>
      </c>
      <c r="Y5832" s="2">
        <v>18468</v>
      </c>
      <c r="Z5832" s="19" t="str">
        <f>HYPERLINK("https://ssdweb.co/ssdweb/hd/Vision360.html?d=926540194&amp;zoomslide=1&amp;z=1926540194&amp;ISCONFIRM=0","VIDEO")</f>
        <v>VIDEO</v>
      </c>
      <c r="AA5832" s="19" t="str">
        <f>HYPERLINK("https://ssdweb.co/ssdweb/CERTH/651466443.pdf","CERTI")</f>
        <v>CERTI</v>
      </c>
    </row>
    <row r="5833" spans="1:27" ht="15" x14ac:dyDescent="0.25">
      <c r="A5833" s="2">
        <v>5828</v>
      </c>
      <c r="B5833" s="39">
        <v>926370015</v>
      </c>
      <c r="C5833" s="28" t="str">
        <f>HYPERLINK("https://pld.live/RapDetail.aspx?STONELIST=926370015","DNA")</f>
        <v>DNA</v>
      </c>
      <c r="D5833" s="18" t="s">
        <v>4563</v>
      </c>
      <c r="E5833" s="18" t="s">
        <v>2186</v>
      </c>
      <c r="F5833" s="2" t="s">
        <v>7987</v>
      </c>
      <c r="G5833" s="2" t="s">
        <v>5134</v>
      </c>
      <c r="H5833" s="14">
        <v>3.21</v>
      </c>
      <c r="I5833" s="2" t="s">
        <v>2659</v>
      </c>
      <c r="J5833" s="2" t="s">
        <v>13</v>
      </c>
      <c r="K5833" s="2" t="s">
        <v>1452</v>
      </c>
      <c r="L5833" s="2" t="s">
        <v>5221</v>
      </c>
      <c r="M5833" s="2" t="s">
        <v>5221</v>
      </c>
      <c r="N5833" s="2" t="s">
        <v>2317</v>
      </c>
      <c r="O5833" s="14">
        <v>5700</v>
      </c>
      <c r="P5833" s="14">
        <v>94.04</v>
      </c>
      <c r="Q5833" s="14">
        <v>339.72</v>
      </c>
      <c r="R5833" s="14">
        <v>1090.5</v>
      </c>
      <c r="S5833" s="2" t="s">
        <v>8050</v>
      </c>
      <c r="T5833" s="2">
        <v>0.86</v>
      </c>
      <c r="U5833" s="2">
        <v>59.8</v>
      </c>
      <c r="V5833" s="2">
        <v>63</v>
      </c>
      <c r="W5833" s="2" t="s">
        <v>7862</v>
      </c>
      <c r="X5833" s="2" t="s">
        <v>3061</v>
      </c>
      <c r="Y5833" s="2">
        <v>18297</v>
      </c>
      <c r="Z5833" s="19" t="str">
        <f>HYPERLINK("https://ssdweb.co/ssdweb/hd/Vision360.html?d=926370015&amp;zoomslide=1&amp;z=1926370015&amp;ISCONFIRM=0","VIDEO")</f>
        <v>VIDEO</v>
      </c>
      <c r="AA5833" s="19" t="str">
        <f>HYPERLINK("https://ssdweb.co/ssdweb/CERTH/642443934.pdf","CERTI")</f>
        <v>CERTI</v>
      </c>
    </row>
    <row r="5834" spans="1:27" ht="15" x14ac:dyDescent="0.25">
      <c r="A5834" s="2">
        <v>5829</v>
      </c>
      <c r="B5834" s="39">
        <v>924250741</v>
      </c>
      <c r="C5834" s="28" t="str">
        <f>HYPERLINK("https://pld.live/RapDetail.aspx?STONELIST=924250741","DNA")</f>
        <v>DNA</v>
      </c>
      <c r="D5834" s="18" t="s">
        <v>4563</v>
      </c>
      <c r="E5834" s="18" t="s">
        <v>2186</v>
      </c>
      <c r="F5834" s="2" t="s">
        <v>5597</v>
      </c>
      <c r="G5834" s="2" t="s">
        <v>5134</v>
      </c>
      <c r="H5834" s="14">
        <v>3.2</v>
      </c>
      <c r="I5834" s="2" t="s">
        <v>1505</v>
      </c>
      <c r="J5834" s="2" t="s">
        <v>13</v>
      </c>
      <c r="K5834" s="2" t="s">
        <v>1452</v>
      </c>
      <c r="L5834" s="2" t="s">
        <v>5221</v>
      </c>
      <c r="M5834" s="2" t="s">
        <v>5221</v>
      </c>
      <c r="N5834" s="2" t="s">
        <v>2317</v>
      </c>
      <c r="O5834" s="14">
        <v>19500</v>
      </c>
      <c r="P5834" s="14">
        <v>98.74</v>
      </c>
      <c r="Q5834" s="14">
        <v>245.7</v>
      </c>
      <c r="R5834" s="14">
        <v>786.24</v>
      </c>
      <c r="S5834" s="2" t="s">
        <v>616</v>
      </c>
      <c r="T5834" s="2">
        <v>0.9</v>
      </c>
      <c r="U5834" s="2">
        <v>56.4</v>
      </c>
      <c r="V5834" s="2">
        <v>63</v>
      </c>
      <c r="W5834" s="2" t="s">
        <v>7862</v>
      </c>
      <c r="X5834" s="2" t="s">
        <v>3061</v>
      </c>
      <c r="Y5834" s="2">
        <v>62400</v>
      </c>
      <c r="Z5834" s="19" t="str">
        <f>HYPERLINK("https://ssdweb.co/ssdweb/hd/Vision360.html?d=924250741&amp;zoomslide=1&amp;z=1924250741&amp;ISCONFIRM=0","VIDEO")</f>
        <v>VIDEO</v>
      </c>
      <c r="AA5834" s="19" t="str">
        <f>HYPERLINK("https://ssdweb.co/ssdweb/CERTH/1465657553.pdf","CERTI")</f>
        <v>CERTI</v>
      </c>
    </row>
    <row r="5835" spans="1:27" ht="15" x14ac:dyDescent="0.25">
      <c r="A5835" s="2">
        <v>5830</v>
      </c>
      <c r="B5835" s="39">
        <v>926030150</v>
      </c>
      <c r="C5835" s="28" t="str">
        <f>HYPERLINK("https://pld.live/RapDetail.aspx?STONELIST=926030150","DNA")</f>
        <v>DNA</v>
      </c>
      <c r="D5835" s="18" t="s">
        <v>4563</v>
      </c>
      <c r="E5835" s="18" t="s">
        <v>2186</v>
      </c>
      <c r="F5835" s="2" t="s">
        <v>7987</v>
      </c>
      <c r="G5835" s="2" t="s">
        <v>5134</v>
      </c>
      <c r="H5835" s="14">
        <v>3.14</v>
      </c>
      <c r="I5835" s="2" t="s">
        <v>3722</v>
      </c>
      <c r="J5835" s="2" t="s">
        <v>3942</v>
      </c>
      <c r="K5835" s="2" t="s">
        <v>1452</v>
      </c>
      <c r="L5835" s="2" t="s">
        <v>5221</v>
      </c>
      <c r="M5835" s="2" t="s">
        <v>5221</v>
      </c>
      <c r="N5835" s="2" t="s">
        <v>2317</v>
      </c>
      <c r="O5835" s="14">
        <v>17500</v>
      </c>
      <c r="P5835" s="14">
        <v>99.2</v>
      </c>
      <c r="Q5835" s="14">
        <v>140</v>
      </c>
      <c r="R5835" s="14">
        <v>439.6</v>
      </c>
      <c r="S5835" s="2" t="s">
        <v>1284</v>
      </c>
      <c r="T5835" s="2">
        <v>0.85</v>
      </c>
      <c r="U5835" s="2">
        <v>59.3</v>
      </c>
      <c r="V5835" s="2">
        <v>63</v>
      </c>
      <c r="W5835" s="2" t="s">
        <v>7862</v>
      </c>
      <c r="X5835" s="2" t="s">
        <v>3061</v>
      </c>
      <c r="Y5835" s="2">
        <v>54950</v>
      </c>
      <c r="Z5835" s="19" t="str">
        <f>HYPERLINK("https://ssdweb.co/ssdweb/hd/Vision360.html?d=926030150&amp;zoomslide=1&amp;z=1926030150&amp;ISCONFIRM=0","VIDEO")</f>
        <v>VIDEO</v>
      </c>
      <c r="AA5835" s="19" t="str">
        <f>HYPERLINK("https://ssdweb.co/ssdweb/CERTH/631430428.pdf","CERTI")</f>
        <v>CERTI</v>
      </c>
    </row>
    <row r="5836" spans="1:27" ht="15" x14ac:dyDescent="0.25">
      <c r="A5836" s="2">
        <v>5831</v>
      </c>
      <c r="B5836" s="39">
        <v>926010283</v>
      </c>
      <c r="C5836" s="28" t="str">
        <f>HYPERLINK("https://pld.live/RapDetail.aspx?STONELIST=926010283","DNA")</f>
        <v>DNA</v>
      </c>
      <c r="D5836" s="18" t="s">
        <v>4563</v>
      </c>
      <c r="E5836" s="18" t="s">
        <v>2186</v>
      </c>
      <c r="F5836" s="2" t="s">
        <v>7987</v>
      </c>
      <c r="G5836" s="2" t="s">
        <v>5134</v>
      </c>
      <c r="H5836" s="14">
        <v>3.1</v>
      </c>
      <c r="I5836" s="2" t="s">
        <v>6587</v>
      </c>
      <c r="J5836" s="2" t="s">
        <v>13</v>
      </c>
      <c r="K5836" s="2" t="s">
        <v>1452</v>
      </c>
      <c r="L5836" s="2" t="s">
        <v>5221</v>
      </c>
      <c r="M5836" s="2" t="s">
        <v>5221</v>
      </c>
      <c r="N5836" s="2" t="s">
        <v>2317</v>
      </c>
      <c r="O5836" s="14">
        <v>22500</v>
      </c>
      <c r="P5836" s="14">
        <v>99.33</v>
      </c>
      <c r="Q5836" s="14">
        <v>150.75</v>
      </c>
      <c r="R5836" s="14">
        <v>467.33</v>
      </c>
      <c r="S5836" s="2" t="s">
        <v>7654</v>
      </c>
      <c r="T5836" s="2">
        <v>0.91</v>
      </c>
      <c r="U5836" s="2">
        <v>58.7</v>
      </c>
      <c r="V5836" s="2">
        <v>59</v>
      </c>
      <c r="W5836" s="2" t="s">
        <v>7862</v>
      </c>
      <c r="X5836" s="2" t="s">
        <v>3061</v>
      </c>
      <c r="Y5836" s="2">
        <v>69750</v>
      </c>
      <c r="Z5836" s="19" t="str">
        <f>HYPERLINK("https://ssdweb.co/ssdweb/hd/Vision360.html?d=926010283&amp;zoomslide=1&amp;z=1926010283&amp;ISCONFIRM=0","VIDEO")</f>
        <v>VIDEO</v>
      </c>
      <c r="AA5836" s="19" t="str">
        <f>HYPERLINK("https://ssdweb.co/ssdweb/CERTH/631464400.pdf","CERTI")</f>
        <v>CERTI</v>
      </c>
    </row>
    <row r="5837" spans="1:27" ht="15" x14ac:dyDescent="0.25">
      <c r="A5837" s="2">
        <v>5832</v>
      </c>
      <c r="B5837" s="39">
        <v>924250621</v>
      </c>
      <c r="C5837" s="28" t="str">
        <f>HYPERLINK("https://pld.live/RapDetail.aspx?STONELIST=924250621","DNA")</f>
        <v>DNA</v>
      </c>
      <c r="D5837" s="18" t="s">
        <v>4563</v>
      </c>
      <c r="E5837" s="18" t="s">
        <v>2186</v>
      </c>
      <c r="F5837" s="2" t="s">
        <v>5597</v>
      </c>
      <c r="G5837" s="2" t="s">
        <v>5134</v>
      </c>
      <c r="H5837" s="14">
        <v>3.1</v>
      </c>
      <c r="I5837" s="2" t="s">
        <v>1505</v>
      </c>
      <c r="J5837" s="2" t="s">
        <v>13</v>
      </c>
      <c r="K5837" s="2" t="s">
        <v>1452</v>
      </c>
      <c r="L5837" s="2" t="s">
        <v>5221</v>
      </c>
      <c r="M5837" s="2" t="s">
        <v>5221</v>
      </c>
      <c r="N5837" s="2" t="s">
        <v>2317</v>
      </c>
      <c r="O5837" s="14">
        <v>19500</v>
      </c>
      <c r="P5837" s="14">
        <v>98.74</v>
      </c>
      <c r="Q5837" s="14">
        <v>245.7</v>
      </c>
      <c r="R5837" s="14">
        <v>761.67</v>
      </c>
      <c r="S5837" s="2" t="s">
        <v>3526</v>
      </c>
      <c r="T5837" s="2">
        <v>0.9</v>
      </c>
      <c r="U5837" s="2">
        <v>56.1</v>
      </c>
      <c r="V5837" s="2">
        <v>63</v>
      </c>
      <c r="W5837" s="2" t="s">
        <v>7862</v>
      </c>
      <c r="X5837" s="2" t="s">
        <v>3061</v>
      </c>
      <c r="Y5837" s="2">
        <v>60450</v>
      </c>
      <c r="Z5837" s="19" t="str">
        <f>HYPERLINK("https://ssdweb.co/ssdweb/hd/Vision360.html?d=924250621&amp;zoomslide=1&amp;z=1924250621&amp;ISCONFIRM=0","VIDEO")</f>
        <v>VIDEO</v>
      </c>
      <c r="AA5837" s="19" t="str">
        <f>HYPERLINK("https://ssdweb.co/ssdweb/CERTH/2464637150.pdf","CERTI")</f>
        <v>CERTI</v>
      </c>
    </row>
    <row r="5838" spans="1:27" ht="15" x14ac:dyDescent="0.25">
      <c r="A5838" s="2">
        <v>5833</v>
      </c>
      <c r="B5838" s="39">
        <v>926010292</v>
      </c>
      <c r="C5838" s="28" t="str">
        <f>HYPERLINK("https://pld.live/RapDetail.aspx?STONELIST=926010292","DNA")</f>
        <v>DNA</v>
      </c>
      <c r="D5838" s="18" t="s">
        <v>4563</v>
      </c>
      <c r="E5838" s="18" t="s">
        <v>2186</v>
      </c>
      <c r="F5838" s="2" t="s">
        <v>7987</v>
      </c>
      <c r="G5838" s="2" t="s">
        <v>5134</v>
      </c>
      <c r="H5838" s="14">
        <v>3.08</v>
      </c>
      <c r="I5838" s="2" t="s">
        <v>1505</v>
      </c>
      <c r="J5838" s="2" t="s">
        <v>13</v>
      </c>
      <c r="K5838" s="2" t="s">
        <v>1452</v>
      </c>
      <c r="L5838" s="2" t="s">
        <v>5221</v>
      </c>
      <c r="M5838" s="2" t="s">
        <v>5221</v>
      </c>
      <c r="N5838" s="2" t="s">
        <v>2317</v>
      </c>
      <c r="O5838" s="14">
        <v>19500</v>
      </c>
      <c r="P5838" s="14">
        <v>99.26</v>
      </c>
      <c r="Q5838" s="14">
        <v>144.30000000000001</v>
      </c>
      <c r="R5838" s="14">
        <v>444.44</v>
      </c>
      <c r="S5838" s="2" t="s">
        <v>5031</v>
      </c>
      <c r="T5838" s="2">
        <v>0.86</v>
      </c>
      <c r="U5838" s="2">
        <v>56.7</v>
      </c>
      <c r="V5838" s="2">
        <v>61</v>
      </c>
      <c r="W5838" s="2" t="s">
        <v>7862</v>
      </c>
      <c r="X5838" s="2" t="s">
        <v>3061</v>
      </c>
      <c r="Y5838" s="2">
        <v>60060</v>
      </c>
      <c r="Z5838" s="19" t="str">
        <f>HYPERLINK("https://ssdweb.co/ssdweb/hd/Vision360.html?d=926010292&amp;zoomslide=1&amp;z=1926010292&amp;ISCONFIRM=0","VIDEO")</f>
        <v>VIDEO</v>
      </c>
      <c r="AA5838" s="19" t="str">
        <f>HYPERLINK("https://ssdweb.co/ssdweb/CERTH/632421576.pdf","CERTI")</f>
        <v>CERTI</v>
      </c>
    </row>
    <row r="5839" spans="1:27" ht="15" x14ac:dyDescent="0.25">
      <c r="A5839" s="2">
        <v>5834</v>
      </c>
      <c r="B5839" s="39">
        <v>926030154</v>
      </c>
      <c r="C5839" s="28" t="str">
        <f>HYPERLINK("https://pld.live/RapDetail.aspx?STONELIST=926030154","DNA")</f>
        <v>DNA</v>
      </c>
      <c r="D5839" s="18" t="s">
        <v>4563</v>
      </c>
      <c r="E5839" s="18" t="s">
        <v>2186</v>
      </c>
      <c r="F5839" s="2" t="s">
        <v>7987</v>
      </c>
      <c r="G5839" s="2" t="s">
        <v>5134</v>
      </c>
      <c r="H5839" s="14">
        <v>3.08</v>
      </c>
      <c r="I5839" s="2" t="s">
        <v>1066</v>
      </c>
      <c r="J5839" s="2" t="s">
        <v>13</v>
      </c>
      <c r="K5839" s="2" t="s">
        <v>1452</v>
      </c>
      <c r="L5839" s="2" t="s">
        <v>5221</v>
      </c>
      <c r="M5839" s="2" t="s">
        <v>5721</v>
      </c>
      <c r="N5839" s="2" t="s">
        <v>924</v>
      </c>
      <c r="O5839" s="14">
        <v>5700</v>
      </c>
      <c r="P5839" s="14">
        <v>93.51</v>
      </c>
      <c r="Q5839" s="14">
        <v>369.93</v>
      </c>
      <c r="R5839" s="14">
        <v>1139.3800000000001</v>
      </c>
      <c r="S5839" s="2" t="s">
        <v>157</v>
      </c>
      <c r="T5839" s="2">
        <v>0.86</v>
      </c>
      <c r="U5839" s="2">
        <v>54.7</v>
      </c>
      <c r="V5839" s="2">
        <v>64</v>
      </c>
      <c r="W5839" s="2" t="s">
        <v>7862</v>
      </c>
      <c r="X5839" s="2" t="s">
        <v>3061</v>
      </c>
      <c r="Y5839" s="2">
        <v>17556</v>
      </c>
      <c r="Z5839" s="19" t="str">
        <f>HYPERLINK("https://ssdweb.co/ssdweb/hd/Vision360.html?d=926030154&amp;zoomslide=1&amp;z=1926030154&amp;ISCONFIRM=0","VIDEO")</f>
        <v>VIDEO</v>
      </c>
      <c r="AA5839" s="19" t="str">
        <f>HYPERLINK("https://ssdweb.co/ssdweb/CERTH/637468021.pdf","CERTI")</f>
        <v>CERTI</v>
      </c>
    </row>
    <row r="5840" spans="1:27" ht="15" x14ac:dyDescent="0.25">
      <c r="A5840" s="2">
        <v>5835</v>
      </c>
      <c r="B5840" s="39">
        <v>926450569</v>
      </c>
      <c r="C5840" s="28" t="str">
        <f>HYPERLINK("https://pld.live/RapDetail.aspx?STONELIST=926450569","DNA")</f>
        <v>DNA</v>
      </c>
      <c r="D5840" s="18" t="s">
        <v>4563</v>
      </c>
      <c r="E5840" s="18" t="s">
        <v>2186</v>
      </c>
      <c r="F5840" s="2" t="s">
        <v>7987</v>
      </c>
      <c r="G5840" s="2" t="s">
        <v>5134</v>
      </c>
      <c r="H5840" s="14">
        <v>3.06</v>
      </c>
      <c r="I5840" s="2" t="s">
        <v>6845</v>
      </c>
      <c r="J5840" s="2" t="s">
        <v>3942</v>
      </c>
      <c r="K5840" s="2" t="s">
        <v>1452</v>
      </c>
      <c r="L5840" s="2" t="s">
        <v>5221</v>
      </c>
      <c r="M5840" s="2" t="s">
        <v>5221</v>
      </c>
      <c r="N5840" s="2" t="s">
        <v>2317</v>
      </c>
      <c r="O5840" s="14">
        <v>6000</v>
      </c>
      <c r="P5840" s="14">
        <v>94.17</v>
      </c>
      <c r="Q5840" s="14">
        <v>349.8</v>
      </c>
      <c r="R5840" s="14">
        <v>1070.3900000000001</v>
      </c>
      <c r="S5840" s="2" t="s">
        <v>1983</v>
      </c>
      <c r="T5840" s="2">
        <v>0.91</v>
      </c>
      <c r="U5840" s="2">
        <v>58.3</v>
      </c>
      <c r="V5840" s="2">
        <v>57</v>
      </c>
      <c r="W5840" s="2" t="s">
        <v>7862</v>
      </c>
      <c r="X5840" s="2" t="s">
        <v>3061</v>
      </c>
      <c r="Y5840" s="2">
        <v>18360</v>
      </c>
      <c r="Z5840" s="19" t="str">
        <f>HYPERLINK("https://ssdweb.co/ssdweb/hd/Vision360.html?d=926450569&amp;zoomslide=1&amp;z=1926450569&amp;ISCONFIRM=0","VIDEO")</f>
        <v>VIDEO</v>
      </c>
      <c r="AA5840" s="19" t="str">
        <f>HYPERLINK("https://ssdweb.co/ssdweb/CERTH/660429281.pdf","CERTI")</f>
        <v>CERTI</v>
      </c>
    </row>
    <row r="5841" spans="1:27" ht="15" x14ac:dyDescent="0.25">
      <c r="A5841" s="2">
        <v>5836</v>
      </c>
      <c r="B5841" s="39">
        <v>926370018</v>
      </c>
      <c r="C5841" s="28" t="str">
        <f>HYPERLINK("https://pld.live/RapDetail.aspx?STONELIST=926370018","DNA")</f>
        <v>DNA</v>
      </c>
      <c r="D5841" s="18" t="s">
        <v>4563</v>
      </c>
      <c r="E5841" s="18" t="s">
        <v>2186</v>
      </c>
      <c r="F5841" s="2" t="s">
        <v>7987</v>
      </c>
      <c r="G5841" s="2" t="s">
        <v>5134</v>
      </c>
      <c r="H5841" s="14">
        <v>3.05</v>
      </c>
      <c r="I5841" s="2" t="s">
        <v>2659</v>
      </c>
      <c r="J5841" s="2" t="s">
        <v>13</v>
      </c>
      <c r="K5841" s="2" t="s">
        <v>1452</v>
      </c>
      <c r="L5841" s="2" t="s">
        <v>5221</v>
      </c>
      <c r="M5841" s="2" t="s">
        <v>5721</v>
      </c>
      <c r="N5841" s="2" t="s">
        <v>2317</v>
      </c>
      <c r="O5841" s="14">
        <v>5700</v>
      </c>
      <c r="P5841" s="14">
        <v>93.86</v>
      </c>
      <c r="Q5841" s="14">
        <v>349.98</v>
      </c>
      <c r="R5841" s="14">
        <v>1067.44</v>
      </c>
      <c r="S5841" s="2" t="s">
        <v>7460</v>
      </c>
      <c r="T5841" s="2">
        <v>0.91</v>
      </c>
      <c r="U5841" s="2">
        <v>56.3</v>
      </c>
      <c r="V5841" s="2">
        <v>61</v>
      </c>
      <c r="W5841" s="2" t="s">
        <v>7862</v>
      </c>
      <c r="X5841" s="2" t="s">
        <v>3061</v>
      </c>
      <c r="Y5841" s="2">
        <v>17385</v>
      </c>
      <c r="Z5841" s="19" t="str">
        <f>HYPERLINK("https://ssdweb.co/ssdweb/hd/Vision360.html?d=926370018&amp;zoomslide=1&amp;z=1926370018&amp;ISCONFIRM=0","VIDEO")</f>
        <v>VIDEO</v>
      </c>
      <c r="AA5841" s="19" t="str">
        <f>HYPERLINK("https://ssdweb.co/ssdweb/CERTH/643428139.pdf","CERTI")</f>
        <v>CERTI</v>
      </c>
    </row>
    <row r="5842" spans="1:27" ht="15" x14ac:dyDescent="0.25">
      <c r="A5842" s="2">
        <v>5837</v>
      </c>
      <c r="B5842" s="39">
        <v>923980395</v>
      </c>
      <c r="C5842" s="28" t="str">
        <f>HYPERLINK("https://pld.live/RapDetail.aspx?STONELIST=923980395","DNA")</f>
        <v>DNA</v>
      </c>
      <c r="D5842" s="18" t="s">
        <v>4563</v>
      </c>
      <c r="E5842" s="18" t="s">
        <v>2186</v>
      </c>
      <c r="F5842" s="2" t="s">
        <v>7987</v>
      </c>
      <c r="G5842" s="2" t="s">
        <v>5134</v>
      </c>
      <c r="H5842" s="14">
        <v>3.03</v>
      </c>
      <c r="I5842" s="2" t="s">
        <v>1505</v>
      </c>
      <c r="J5842" s="2" t="s">
        <v>13</v>
      </c>
      <c r="K5842" s="2" t="s">
        <v>1452</v>
      </c>
      <c r="L5842" s="2" t="s">
        <v>5221</v>
      </c>
      <c r="M5842" s="2" t="s">
        <v>5221</v>
      </c>
      <c r="N5842" s="2" t="s">
        <v>2317</v>
      </c>
      <c r="O5842" s="14">
        <v>19500</v>
      </c>
      <c r="P5842" s="14">
        <v>99.26</v>
      </c>
      <c r="Q5842" s="14">
        <v>144.30000000000001</v>
      </c>
      <c r="R5842" s="14">
        <v>437.23</v>
      </c>
      <c r="S5842" s="2" t="s">
        <v>2392</v>
      </c>
      <c r="T5842" s="2">
        <v>0.87</v>
      </c>
      <c r="U5842" s="2">
        <v>59.5</v>
      </c>
      <c r="V5842" s="2">
        <v>63</v>
      </c>
      <c r="W5842" s="2" t="s">
        <v>7862</v>
      </c>
      <c r="X5842" s="2" t="s">
        <v>3061</v>
      </c>
      <c r="Y5842" s="2">
        <v>59085</v>
      </c>
      <c r="Z5842" s="19" t="str">
        <f>HYPERLINK("https://ssdweb.co/ssdweb/hd/Vision360.html?d=923980395&amp;zoomslide=1&amp;z=1923980395&amp;ISCONFIRM=0","VIDEO")</f>
        <v>VIDEO</v>
      </c>
      <c r="AA5842" s="19" t="str">
        <f>HYPERLINK("https://ssdweb.co/ssdweb/CERTH/570371673.pdf","CERTI")</f>
        <v>CERTI</v>
      </c>
    </row>
    <row r="5843" spans="1:27" ht="15" x14ac:dyDescent="0.25">
      <c r="A5843" s="2">
        <v>5838</v>
      </c>
      <c r="B5843" s="39">
        <v>926890551</v>
      </c>
      <c r="C5843" s="28" t="str">
        <f>HYPERLINK("https://pld.live/RapDetail.aspx?STONELIST=926890551","DNA")</f>
        <v>DNA</v>
      </c>
      <c r="D5843" s="18" t="s">
        <v>4563</v>
      </c>
      <c r="E5843" s="18" t="s">
        <v>2186</v>
      </c>
      <c r="F5843" s="2" t="s">
        <v>7987</v>
      </c>
      <c r="G5843" s="2" t="s">
        <v>5134</v>
      </c>
      <c r="H5843" s="14">
        <v>3.02</v>
      </c>
      <c r="I5843" s="2" t="s">
        <v>4761</v>
      </c>
      <c r="J5843" s="2" t="s">
        <v>13</v>
      </c>
      <c r="K5843" s="2" t="s">
        <v>1452</v>
      </c>
      <c r="L5843" s="2" t="s">
        <v>5221</v>
      </c>
      <c r="M5843" s="2" t="s">
        <v>5221</v>
      </c>
      <c r="N5843" s="2" t="s">
        <v>2317</v>
      </c>
      <c r="O5843" s="14">
        <v>27500</v>
      </c>
      <c r="P5843" s="14">
        <v>99.36</v>
      </c>
      <c r="Q5843" s="14">
        <v>176</v>
      </c>
      <c r="R5843" s="14">
        <v>531.52</v>
      </c>
      <c r="S5843" s="2" t="s">
        <v>188</v>
      </c>
      <c r="T5843" s="2">
        <v>0.85</v>
      </c>
      <c r="U5843" s="2">
        <v>58.8</v>
      </c>
      <c r="V5843" s="2">
        <v>60</v>
      </c>
      <c r="W5843" s="2" t="s">
        <v>7862</v>
      </c>
      <c r="X5843" s="2" t="s">
        <v>3061</v>
      </c>
      <c r="Y5843" s="2">
        <v>83050</v>
      </c>
      <c r="Z5843" s="19" t="str">
        <f>HYPERLINK("https://ssdweb.co/ssdweb/hd/Vision360.html?d=926890551&amp;zoomslide=1&amp;z=1926890551&amp;ISCONFIRM=0","VIDEO")</f>
        <v>VIDEO</v>
      </c>
      <c r="AA5843" s="19" t="str">
        <f>HYPERLINK("https://ssdweb.co/ssdweb/CERTH/694508458.pdf","CERTI")</f>
        <v>CERTI</v>
      </c>
    </row>
    <row r="5844" spans="1:27" ht="15" x14ac:dyDescent="0.25">
      <c r="A5844" s="2">
        <v>5839</v>
      </c>
      <c r="B5844" s="39">
        <v>926560359</v>
      </c>
      <c r="C5844" s="28" t="str">
        <f>HYPERLINK("https://pld.live/RapDetail.aspx?STONELIST=926560359","DNA")</f>
        <v>DNA</v>
      </c>
      <c r="D5844" s="18" t="s">
        <v>4563</v>
      </c>
      <c r="E5844" s="18" t="s">
        <v>2186</v>
      </c>
      <c r="F5844" s="2" t="s">
        <v>7987</v>
      </c>
      <c r="G5844" s="2" t="s">
        <v>5134</v>
      </c>
      <c r="H5844" s="14">
        <v>3.02</v>
      </c>
      <c r="I5844" s="2" t="s">
        <v>6587</v>
      </c>
      <c r="J5844" s="2" t="s">
        <v>3942</v>
      </c>
      <c r="K5844" s="2" t="s">
        <v>1452</v>
      </c>
      <c r="L5844" s="2" t="s">
        <v>5221</v>
      </c>
      <c r="M5844" s="2" t="s">
        <v>5221</v>
      </c>
      <c r="N5844" s="2" t="s">
        <v>2317</v>
      </c>
      <c r="O5844" s="14">
        <v>24500</v>
      </c>
      <c r="P5844" s="14">
        <v>99.31</v>
      </c>
      <c r="Q5844" s="14">
        <v>169.05</v>
      </c>
      <c r="R5844" s="14">
        <v>510.53</v>
      </c>
      <c r="S5844" s="2" t="s">
        <v>1989</v>
      </c>
      <c r="T5844" s="2">
        <v>0.87</v>
      </c>
      <c r="U5844" s="2">
        <v>57.3</v>
      </c>
      <c r="V5844" s="2">
        <v>62</v>
      </c>
      <c r="W5844" s="2" t="s">
        <v>7862</v>
      </c>
      <c r="X5844" s="2" t="s">
        <v>3061</v>
      </c>
      <c r="Y5844" s="2">
        <v>73990</v>
      </c>
      <c r="Z5844" s="19" t="str">
        <f>HYPERLINK("https://ssdweb.co/ssdweb/hd/Vision360.html?d=926560359&amp;zoomslide=1&amp;z=1926560359&amp;ISCONFIRM=0","VIDEO")</f>
        <v>VIDEO</v>
      </c>
      <c r="AA5844" s="19" t="str">
        <f>HYPERLINK("https://ssdweb.co/ssdweb/CERTH/648419970.pdf","CERTI")</f>
        <v>CERTI</v>
      </c>
    </row>
    <row r="5845" spans="1:27" ht="15" x14ac:dyDescent="0.25">
      <c r="A5845" s="2">
        <v>5840</v>
      </c>
      <c r="B5845" s="39">
        <v>926890574</v>
      </c>
      <c r="C5845" s="28" t="str">
        <f>HYPERLINK("https://pld.live/RapDetail.aspx?STONELIST=926890574","DNA")</f>
        <v>DNA</v>
      </c>
      <c r="D5845" s="18" t="s">
        <v>4563</v>
      </c>
      <c r="E5845" s="18" t="s">
        <v>2186</v>
      </c>
      <c r="F5845" s="2" t="s">
        <v>7987</v>
      </c>
      <c r="G5845" s="2" t="s">
        <v>5134</v>
      </c>
      <c r="H5845" s="14">
        <v>3.01</v>
      </c>
      <c r="I5845" s="2" t="s">
        <v>267</v>
      </c>
      <c r="J5845" s="2" t="s">
        <v>13</v>
      </c>
      <c r="K5845" s="2" t="s">
        <v>1452</v>
      </c>
      <c r="L5845" s="2" t="s">
        <v>5221</v>
      </c>
      <c r="M5845" s="2" t="s">
        <v>5221</v>
      </c>
      <c r="N5845" s="2" t="s">
        <v>2317</v>
      </c>
      <c r="O5845" s="14">
        <v>30000</v>
      </c>
      <c r="P5845" s="14">
        <v>99.33</v>
      </c>
      <c r="Q5845" s="14">
        <v>201</v>
      </c>
      <c r="R5845" s="14">
        <v>605.01</v>
      </c>
      <c r="S5845" s="2" t="s">
        <v>7567</v>
      </c>
      <c r="T5845" s="2">
        <v>0.9</v>
      </c>
      <c r="U5845" s="2">
        <v>60.3</v>
      </c>
      <c r="V5845" s="2">
        <v>59</v>
      </c>
      <c r="W5845" s="2" t="s">
        <v>7862</v>
      </c>
      <c r="X5845" s="2" t="s">
        <v>3061</v>
      </c>
      <c r="Y5845" s="2">
        <v>90300</v>
      </c>
      <c r="Z5845" s="19" t="str">
        <f>HYPERLINK("https://ssdweb.co/ssdweb/hd/Vision360.html?d=926890574&amp;zoomslide=1&amp;z=1926890574&amp;ISCONFIRM=0","VIDEO")</f>
        <v>VIDEO</v>
      </c>
      <c r="AA5845" s="19" t="str">
        <f>HYPERLINK("https://ssdweb.co/ssdweb/CERTH/667408592.pdf","CERTI")</f>
        <v>CERTI</v>
      </c>
    </row>
    <row r="5846" spans="1:27" ht="15" x14ac:dyDescent="0.25">
      <c r="A5846" s="2">
        <v>5841</v>
      </c>
      <c r="B5846" s="39">
        <v>926890576</v>
      </c>
      <c r="C5846" s="28" t="str">
        <f>HYPERLINK("https://pld.live/RapDetail.aspx?STONELIST=926890576","DNA")</f>
        <v>DNA</v>
      </c>
      <c r="D5846" s="18" t="s">
        <v>4563</v>
      </c>
      <c r="E5846" s="18" t="s">
        <v>2186</v>
      </c>
      <c r="F5846" s="2" t="s">
        <v>7987</v>
      </c>
      <c r="G5846" s="2" t="s">
        <v>5134</v>
      </c>
      <c r="H5846" s="14">
        <v>3.01</v>
      </c>
      <c r="I5846" s="2" t="s">
        <v>4761</v>
      </c>
      <c r="J5846" s="2" t="s">
        <v>5144</v>
      </c>
      <c r="K5846" s="2" t="s">
        <v>1452</v>
      </c>
      <c r="L5846" s="2" t="s">
        <v>5221</v>
      </c>
      <c r="M5846" s="2" t="s">
        <v>5221</v>
      </c>
      <c r="N5846" s="2" t="s">
        <v>2317</v>
      </c>
      <c r="O5846" s="14">
        <v>24500</v>
      </c>
      <c r="P5846" s="14">
        <v>99.33</v>
      </c>
      <c r="Q5846" s="14">
        <v>164.15</v>
      </c>
      <c r="R5846" s="14">
        <v>494.09</v>
      </c>
      <c r="S5846" s="2" t="s">
        <v>8031</v>
      </c>
      <c r="T5846" s="2">
        <v>0.86</v>
      </c>
      <c r="U5846" s="2">
        <v>60.8</v>
      </c>
      <c r="V5846" s="2">
        <v>62</v>
      </c>
      <c r="W5846" s="2" t="s">
        <v>7862</v>
      </c>
      <c r="X5846" s="2" t="s">
        <v>3061</v>
      </c>
      <c r="Y5846" s="2">
        <v>73745</v>
      </c>
      <c r="Z5846" s="19" t="str">
        <f>HYPERLINK("https://ssdweb.co/ssdweb/hd/Vision360.html?d=926890576&amp;zoomslide=1&amp;z=1926890576&amp;ISCONFIRM=0","VIDEO")</f>
        <v>VIDEO</v>
      </c>
      <c r="AA5846" s="19" t="str">
        <f>HYPERLINK("https://ssdweb.co/ssdweb/CERTH/694508459.pdf","CERTI")</f>
        <v>CERTI</v>
      </c>
    </row>
    <row r="5847" spans="1:27" ht="15" x14ac:dyDescent="0.25">
      <c r="A5847" s="2">
        <v>5842</v>
      </c>
      <c r="B5847" s="39">
        <v>925230089</v>
      </c>
      <c r="C5847" s="28" t="str">
        <f>HYPERLINK("https://pld.live/RapDetail.aspx?STONELIST=925230089","DNA")</f>
        <v>DNA</v>
      </c>
      <c r="D5847" s="18" t="s">
        <v>3658</v>
      </c>
      <c r="E5847" s="18" t="s">
        <v>5128</v>
      </c>
      <c r="F5847" s="2" t="s">
        <v>7987</v>
      </c>
      <c r="G5847" s="2" t="s">
        <v>5134</v>
      </c>
      <c r="H5847" s="14">
        <v>2.2799999999999998</v>
      </c>
      <c r="I5847" s="2" t="s">
        <v>4761</v>
      </c>
      <c r="J5847" s="2" t="s">
        <v>5144</v>
      </c>
      <c r="K5847" s="2" t="s">
        <v>1452</v>
      </c>
      <c r="L5847" s="2" t="s">
        <v>5221</v>
      </c>
      <c r="M5847" s="2" t="s">
        <v>5221</v>
      </c>
      <c r="N5847" s="2" t="s">
        <v>2317</v>
      </c>
      <c r="O5847" s="14">
        <v>15000</v>
      </c>
      <c r="P5847" s="14">
        <v>99</v>
      </c>
      <c r="Q5847" s="14">
        <v>150</v>
      </c>
      <c r="R5847" s="14">
        <v>342</v>
      </c>
      <c r="S5847" s="2" t="s">
        <v>1401</v>
      </c>
      <c r="T5847" s="2">
        <v>0.88</v>
      </c>
      <c r="U5847" s="2">
        <v>56.1</v>
      </c>
      <c r="V5847" s="2">
        <v>61</v>
      </c>
      <c r="W5847" s="2" t="s">
        <v>7862</v>
      </c>
      <c r="X5847" s="2" t="s">
        <v>3061</v>
      </c>
      <c r="Y5847" s="2">
        <v>34200</v>
      </c>
      <c r="Z5847" s="19" t="str">
        <f>HYPERLINK("https://ssdweb.co/ssdweb/hd/Vision360.html?d=925230089&amp;zoomslide=1&amp;z=1925230089&amp;ISCONFIRM=0","VIDEO")</f>
        <v>VIDEO</v>
      </c>
      <c r="AA5847" s="19" t="str">
        <f>HYPERLINK("https://ssdweb.co/ssdweb/CERTH/621448201.pdf","CERTI")</f>
        <v>CERTI</v>
      </c>
    </row>
    <row r="5848" spans="1:27" ht="15" x14ac:dyDescent="0.25">
      <c r="A5848" s="2">
        <v>5843</v>
      </c>
      <c r="B5848" s="39">
        <v>925270565</v>
      </c>
      <c r="C5848" s="28" t="str">
        <f>HYPERLINK("https://pld.live/RapDetail.aspx?STONELIST=925270565","DNA")</f>
        <v>DNA</v>
      </c>
      <c r="D5848" s="18" t="s">
        <v>3658</v>
      </c>
      <c r="E5848" s="18" t="s">
        <v>5128</v>
      </c>
      <c r="F5848" s="2" t="s">
        <v>5597</v>
      </c>
      <c r="G5848" s="2" t="s">
        <v>5134</v>
      </c>
      <c r="H5848" s="14">
        <v>2.04</v>
      </c>
      <c r="I5848" s="2" t="s">
        <v>4761</v>
      </c>
      <c r="J5848" s="2" t="s">
        <v>5144</v>
      </c>
      <c r="K5848" s="2" t="s">
        <v>1452</v>
      </c>
      <c r="L5848" s="2" t="s">
        <v>5221</v>
      </c>
      <c r="M5848" s="2" t="s">
        <v>5221</v>
      </c>
      <c r="N5848" s="2" t="s">
        <v>2317</v>
      </c>
      <c r="O5848" s="14">
        <v>15000</v>
      </c>
      <c r="P5848" s="14">
        <v>98.37</v>
      </c>
      <c r="Q5848" s="14">
        <v>244.5</v>
      </c>
      <c r="R5848" s="14">
        <v>498.78</v>
      </c>
      <c r="S5848" s="2" t="s">
        <v>7988</v>
      </c>
      <c r="T5848" s="2">
        <v>0.91</v>
      </c>
      <c r="U5848" s="2">
        <v>59.3</v>
      </c>
      <c r="V5848" s="2">
        <v>61</v>
      </c>
      <c r="W5848" s="2" t="s">
        <v>7862</v>
      </c>
      <c r="X5848" s="2" t="s">
        <v>3061</v>
      </c>
      <c r="Y5848" s="2">
        <v>30600</v>
      </c>
      <c r="Z5848" s="19" t="str">
        <f>HYPERLINK("https://ssdweb.co/ssdweb/hd/Vision360.html?d=925270565&amp;zoomslide=1&amp;z=1925270565&amp;ISCONFIRM=0","VIDEO")</f>
        <v>VIDEO</v>
      </c>
      <c r="AA5848" s="19" t="str">
        <f>HYPERLINK("https://ssdweb.co/ssdweb/CERTH/6481540422.pdf","CERTI")</f>
        <v>CERTI</v>
      </c>
    </row>
    <row r="5849" spans="1:27" ht="15" x14ac:dyDescent="0.25">
      <c r="A5849" s="2">
        <v>5844</v>
      </c>
      <c r="B5849" s="39">
        <v>925360427</v>
      </c>
      <c r="C5849" s="28" t="str">
        <f>HYPERLINK("https://pld.live/RapDetail.aspx?STONELIST=925360427","DNA")</f>
        <v>DNA</v>
      </c>
      <c r="D5849" s="18" t="s">
        <v>6675</v>
      </c>
      <c r="E5849" s="18" t="s">
        <v>5128</v>
      </c>
      <c r="F5849" s="2" t="s">
        <v>7987</v>
      </c>
      <c r="G5849" s="2" t="s">
        <v>5134</v>
      </c>
      <c r="H5849" s="14">
        <v>1.97</v>
      </c>
      <c r="I5849" s="2" t="s">
        <v>6587</v>
      </c>
      <c r="J5849" s="2" t="s">
        <v>444</v>
      </c>
      <c r="K5849" s="2" t="s">
        <v>1452</v>
      </c>
      <c r="L5849" s="2" t="s">
        <v>5221</v>
      </c>
      <c r="M5849" s="2" t="s">
        <v>5221</v>
      </c>
      <c r="N5849" s="2" t="s">
        <v>2317</v>
      </c>
      <c r="O5849" s="14">
        <v>6700</v>
      </c>
      <c r="P5849" s="14">
        <v>98.19</v>
      </c>
      <c r="Q5849" s="14">
        <v>121.27</v>
      </c>
      <c r="R5849" s="14">
        <v>238.9</v>
      </c>
      <c r="S5849" s="2" t="s">
        <v>6492</v>
      </c>
      <c r="T5849" s="2">
        <v>0.86</v>
      </c>
      <c r="U5849" s="2">
        <v>59.2</v>
      </c>
      <c r="V5849" s="2">
        <v>60</v>
      </c>
      <c r="W5849" s="2" t="s">
        <v>7862</v>
      </c>
      <c r="X5849" s="2" t="s">
        <v>3061</v>
      </c>
      <c r="Y5849" s="2">
        <v>13199</v>
      </c>
      <c r="Z5849" s="19" t="str">
        <f>HYPERLINK("https://ssdweb.co/ssdweb/hd/Vision360.html?d=925360427&amp;zoomslide=1&amp;z=1925360427&amp;ISCONFIRM=0","VIDEO")</f>
        <v>VIDEO</v>
      </c>
      <c r="AA5849" s="19" t="str">
        <f>HYPERLINK("https://ssdweb.co/ssdweb/CERTH/622461192.pdf","CERTI")</f>
        <v>CERTI</v>
      </c>
    </row>
    <row r="5850" spans="1:27" ht="15" x14ac:dyDescent="0.25">
      <c r="A5850" s="2">
        <v>5845</v>
      </c>
      <c r="B5850" s="39">
        <v>926041299</v>
      </c>
      <c r="C5850" s="28" t="str">
        <f>HYPERLINK("https://pld.live/RapDetail.aspx?STONELIST=926041299","DNA")</f>
        <v>DNA</v>
      </c>
      <c r="D5850" s="18" t="s">
        <v>5313</v>
      </c>
      <c r="E5850" s="18" t="s">
        <v>5128</v>
      </c>
      <c r="F5850" s="2" t="s">
        <v>7987</v>
      </c>
      <c r="G5850" s="2" t="s">
        <v>5134</v>
      </c>
      <c r="H5850" s="14">
        <v>1.86</v>
      </c>
      <c r="I5850" s="2" t="s">
        <v>4699</v>
      </c>
      <c r="J5850" s="2" t="s">
        <v>13</v>
      </c>
      <c r="K5850" s="2" t="s">
        <v>1452</v>
      </c>
      <c r="L5850" s="2" t="s">
        <v>5221</v>
      </c>
      <c r="M5850" s="2" t="s">
        <v>5221</v>
      </c>
      <c r="N5850" s="2" t="s">
        <v>2317</v>
      </c>
      <c r="O5850" s="14">
        <v>10200</v>
      </c>
      <c r="P5850" s="14">
        <v>98.71</v>
      </c>
      <c r="Q5850" s="14">
        <v>131.58000000000001</v>
      </c>
      <c r="R5850" s="14">
        <v>244.74</v>
      </c>
      <c r="S5850" s="2" t="s">
        <v>3457</v>
      </c>
      <c r="T5850" s="2">
        <v>0.89</v>
      </c>
      <c r="U5850" s="2">
        <v>59.6</v>
      </c>
      <c r="V5850" s="2">
        <v>62</v>
      </c>
      <c r="W5850" s="2" t="s">
        <v>4336</v>
      </c>
      <c r="X5850" s="2" t="s">
        <v>3061</v>
      </c>
      <c r="Y5850" s="2">
        <v>18972</v>
      </c>
      <c r="Z5850" s="19" t="str">
        <f>HYPERLINK("https://ssdweb.co/ssdweb/hd/Vision360.html?d=926041299&amp;zoomslide=1&amp;z=1926041299&amp;ISCONFIRM=0","VIDEO")</f>
        <v>VIDEO</v>
      </c>
      <c r="AA5850" s="19" t="str">
        <f>HYPERLINK("https://ssdweb.co/ssdweb/CERTH/631464196.pdf","CERTI")</f>
        <v>CERTI</v>
      </c>
    </row>
    <row r="5851" spans="1:27" ht="15" x14ac:dyDescent="0.25">
      <c r="A5851" s="2">
        <v>5846</v>
      </c>
      <c r="B5851" s="39">
        <v>925981287</v>
      </c>
      <c r="C5851" s="28" t="str">
        <f>HYPERLINK("https://pld.live/RapDetail.aspx?STONELIST=925981287","DNA")</f>
        <v>DNA</v>
      </c>
      <c r="D5851" s="18" t="s">
        <v>5313</v>
      </c>
      <c r="E5851" s="18" t="s">
        <v>5128</v>
      </c>
      <c r="F5851" s="2" t="s">
        <v>7987</v>
      </c>
      <c r="G5851" s="2" t="s">
        <v>5134</v>
      </c>
      <c r="H5851" s="14">
        <v>1.75</v>
      </c>
      <c r="I5851" s="2" t="s">
        <v>267</v>
      </c>
      <c r="J5851" s="2" t="s">
        <v>3942</v>
      </c>
      <c r="K5851" s="2" t="s">
        <v>1452</v>
      </c>
      <c r="L5851" s="2" t="s">
        <v>5221</v>
      </c>
      <c r="M5851" s="2" t="s">
        <v>5221</v>
      </c>
      <c r="N5851" s="2" t="s">
        <v>2317</v>
      </c>
      <c r="O5851" s="14">
        <v>12500</v>
      </c>
      <c r="P5851" s="14">
        <v>98.82</v>
      </c>
      <c r="Q5851" s="14">
        <v>147.5</v>
      </c>
      <c r="R5851" s="14">
        <v>258.13</v>
      </c>
      <c r="S5851" s="2" t="s">
        <v>7571</v>
      </c>
      <c r="T5851" s="2">
        <v>0.87</v>
      </c>
      <c r="U5851" s="2">
        <v>59.6</v>
      </c>
      <c r="V5851" s="2">
        <v>63</v>
      </c>
      <c r="W5851" s="2" t="s">
        <v>7862</v>
      </c>
      <c r="X5851" s="2" t="s">
        <v>3061</v>
      </c>
      <c r="Y5851" s="2">
        <v>21875</v>
      </c>
      <c r="Z5851" s="19" t="str">
        <f>HYPERLINK("https://ssdweb.co/ssdweb/hd/Vision360.html?d=925981287&amp;zoomslide=1&amp;z=1925981287&amp;ISCONFIRM=0","VIDEO")</f>
        <v>VIDEO</v>
      </c>
      <c r="AA5851" s="19" t="str">
        <f>HYPERLINK("https://ssdweb.co/ssdweb/CERTH/631464181.pdf","CERTI")</f>
        <v>CERTI</v>
      </c>
    </row>
    <row r="5852" spans="1:27" ht="15" x14ac:dyDescent="0.25">
      <c r="A5852" s="2">
        <v>5847</v>
      </c>
      <c r="B5852" s="39">
        <v>926101726</v>
      </c>
      <c r="C5852" s="28" t="str">
        <f>HYPERLINK("https://pld.live/RapDetail.aspx?STONELIST=926101726","DNA")</f>
        <v>DNA</v>
      </c>
      <c r="D5852" s="18" t="s">
        <v>5313</v>
      </c>
      <c r="E5852" s="18" t="s">
        <v>5128</v>
      </c>
      <c r="F5852" s="2" t="s">
        <v>7987</v>
      </c>
      <c r="G5852" s="2" t="s">
        <v>5134</v>
      </c>
      <c r="H5852" s="14">
        <v>1.75</v>
      </c>
      <c r="I5852" s="2" t="s">
        <v>4699</v>
      </c>
      <c r="J5852" s="2" t="s">
        <v>3942</v>
      </c>
      <c r="K5852" s="2" t="s">
        <v>1452</v>
      </c>
      <c r="L5852" s="2" t="s">
        <v>5221</v>
      </c>
      <c r="M5852" s="2" t="s">
        <v>5221</v>
      </c>
      <c r="N5852" s="2" t="s">
        <v>2317</v>
      </c>
      <c r="O5852" s="14">
        <v>10800</v>
      </c>
      <c r="P5852" s="14">
        <v>98.72</v>
      </c>
      <c r="Q5852" s="14">
        <v>138.24</v>
      </c>
      <c r="R5852" s="14">
        <v>241.92</v>
      </c>
      <c r="S5852" s="2" t="s">
        <v>5545</v>
      </c>
      <c r="T5852" s="2">
        <v>0.87</v>
      </c>
      <c r="U5852" s="2">
        <v>59.2</v>
      </c>
      <c r="V5852" s="2">
        <v>61</v>
      </c>
      <c r="W5852" s="2" t="s">
        <v>7862</v>
      </c>
      <c r="X5852" s="2" t="s">
        <v>3061</v>
      </c>
      <c r="Y5852" s="2">
        <v>18900</v>
      </c>
      <c r="Z5852" s="19" t="str">
        <f>HYPERLINK("https://ssdweb.co/ssdweb/hd/Vision360.html?d=926101726&amp;zoomslide=1&amp;z=1926101726&amp;ISCONFIRM=0","VIDEO")</f>
        <v>VIDEO</v>
      </c>
      <c r="AA5852" s="19" t="str">
        <f>HYPERLINK("https://ssdweb.co/ssdweb/CERTH/633431984.pdf","CERTI")</f>
        <v>CERTI</v>
      </c>
    </row>
    <row r="5853" spans="1:27" ht="15" x14ac:dyDescent="0.25">
      <c r="A5853" s="2">
        <v>5848</v>
      </c>
      <c r="B5853" s="39">
        <v>925961390</v>
      </c>
      <c r="C5853" s="28" t="str">
        <f>HYPERLINK("https://pld.live/RapDetail.aspx?STONELIST=925961390","DNA")</f>
        <v>DNA</v>
      </c>
      <c r="D5853" s="18" t="s">
        <v>5313</v>
      </c>
      <c r="E5853" s="18" t="s">
        <v>5128</v>
      </c>
      <c r="F5853" s="2" t="s">
        <v>7987</v>
      </c>
      <c r="G5853" s="2" t="s">
        <v>5134</v>
      </c>
      <c r="H5853" s="14">
        <v>1.73</v>
      </c>
      <c r="I5853" s="2" t="s">
        <v>4761</v>
      </c>
      <c r="J5853" s="2" t="s">
        <v>13</v>
      </c>
      <c r="K5853" s="2" t="s">
        <v>1452</v>
      </c>
      <c r="L5853" s="2" t="s">
        <v>5221</v>
      </c>
      <c r="M5853" s="2" t="s">
        <v>5221</v>
      </c>
      <c r="N5853" s="2" t="s">
        <v>2317</v>
      </c>
      <c r="O5853" s="14">
        <v>10800</v>
      </c>
      <c r="P5853" s="14">
        <v>98.76</v>
      </c>
      <c r="Q5853" s="14">
        <v>133.91999999999999</v>
      </c>
      <c r="R5853" s="14">
        <v>231.68</v>
      </c>
      <c r="S5853" s="2" t="s">
        <v>6552</v>
      </c>
      <c r="T5853" s="2">
        <v>0.9</v>
      </c>
      <c r="U5853" s="2">
        <v>55.6</v>
      </c>
      <c r="V5853" s="2">
        <v>61</v>
      </c>
      <c r="W5853" s="2" t="s">
        <v>7862</v>
      </c>
      <c r="X5853" s="2" t="s">
        <v>3061</v>
      </c>
      <c r="Y5853" s="2">
        <v>18684</v>
      </c>
      <c r="Z5853" s="19" t="str">
        <f>HYPERLINK("https://ssdweb.co/ssdweb/hd/Vision360.html?d=925961390&amp;zoomslide=1&amp;z=1925961390&amp;ISCONFIRM=0","VIDEO")</f>
        <v>VIDEO</v>
      </c>
      <c r="AA5853" s="19" t="str">
        <f>HYPERLINK("https://ssdweb.co/ssdweb/CERTH/632488415.pdf","CERTI")</f>
        <v>CERTI</v>
      </c>
    </row>
    <row r="5854" spans="1:27" ht="15" x14ac:dyDescent="0.25">
      <c r="A5854" s="2">
        <v>5849</v>
      </c>
      <c r="B5854" s="39">
        <v>925971317</v>
      </c>
      <c r="C5854" s="28" t="str">
        <f>HYPERLINK("https://pld.live/RapDetail.aspx?STONELIST=925971317","DNA")</f>
        <v>DNA</v>
      </c>
      <c r="D5854" s="18" t="s">
        <v>5313</v>
      </c>
      <c r="E5854" s="18" t="s">
        <v>5128</v>
      </c>
      <c r="F5854" s="2" t="s">
        <v>7987</v>
      </c>
      <c r="G5854" s="2" t="s">
        <v>5134</v>
      </c>
      <c r="H5854" s="14">
        <v>1.71</v>
      </c>
      <c r="I5854" s="2" t="s">
        <v>267</v>
      </c>
      <c r="J5854" s="2" t="s">
        <v>13</v>
      </c>
      <c r="K5854" s="2" t="s">
        <v>1452</v>
      </c>
      <c r="L5854" s="2" t="s">
        <v>5221</v>
      </c>
      <c r="M5854" s="2" t="s">
        <v>5221</v>
      </c>
      <c r="N5854" s="2" t="s">
        <v>2317</v>
      </c>
      <c r="O5854" s="14">
        <v>11600</v>
      </c>
      <c r="P5854" s="14">
        <v>98.81</v>
      </c>
      <c r="Q5854" s="14">
        <v>138.04</v>
      </c>
      <c r="R5854" s="14">
        <v>236.05</v>
      </c>
      <c r="S5854" s="2" t="s">
        <v>7456</v>
      </c>
      <c r="T5854" s="2">
        <v>0.86</v>
      </c>
      <c r="U5854" s="2">
        <v>57.9</v>
      </c>
      <c r="V5854" s="2">
        <v>63</v>
      </c>
      <c r="W5854" s="2" t="s">
        <v>7862</v>
      </c>
      <c r="X5854" s="2" t="s">
        <v>3061</v>
      </c>
      <c r="Y5854" s="2">
        <v>19836</v>
      </c>
      <c r="Z5854" s="19" t="str">
        <f>HYPERLINK("https://ssdweb.co/ssdweb/hd/Vision360.html?d=925971317&amp;zoomslide=1&amp;z=1925971317&amp;ISCONFIRM=0","VIDEO")</f>
        <v>VIDEO</v>
      </c>
      <c r="AA5854" s="19" t="str">
        <f>HYPERLINK("https://ssdweb.co/ssdweb/CERTH/631404543.pdf","CERTI")</f>
        <v>CERTI</v>
      </c>
    </row>
    <row r="5855" spans="1:27" ht="15" x14ac:dyDescent="0.25">
      <c r="A5855" s="2">
        <v>5850</v>
      </c>
      <c r="B5855" s="39">
        <v>926020819</v>
      </c>
      <c r="C5855" s="28" t="str">
        <f>HYPERLINK("https://pld.live/RapDetail.aspx?STONELIST=926020819","DNA")</f>
        <v>DNA</v>
      </c>
      <c r="D5855" s="18" t="s">
        <v>711</v>
      </c>
      <c r="E5855" s="18" t="s">
        <v>5128</v>
      </c>
      <c r="F5855" s="2" t="s">
        <v>7987</v>
      </c>
      <c r="G5855" s="2" t="s">
        <v>5134</v>
      </c>
      <c r="H5855" s="14">
        <v>1.67</v>
      </c>
      <c r="I5855" s="2" t="s">
        <v>4761</v>
      </c>
      <c r="J5855" s="2" t="s">
        <v>13</v>
      </c>
      <c r="K5855" s="2" t="s">
        <v>1452</v>
      </c>
      <c r="L5855" s="2" t="s">
        <v>5221</v>
      </c>
      <c r="M5855" s="2" t="s">
        <v>5221</v>
      </c>
      <c r="N5855" s="2" t="s">
        <v>2317</v>
      </c>
      <c r="O5855" s="14">
        <v>10800</v>
      </c>
      <c r="P5855" s="14">
        <v>98.81</v>
      </c>
      <c r="Q5855" s="14">
        <v>128.52000000000001</v>
      </c>
      <c r="R5855" s="14">
        <v>214.63</v>
      </c>
      <c r="S5855" s="2" t="s">
        <v>7975</v>
      </c>
      <c r="T5855" s="2">
        <v>0.87</v>
      </c>
      <c r="U5855" s="2">
        <v>60.1</v>
      </c>
      <c r="V5855" s="2">
        <v>62</v>
      </c>
      <c r="W5855" s="2" t="s">
        <v>4336</v>
      </c>
      <c r="X5855" s="2" t="s">
        <v>3061</v>
      </c>
      <c r="Y5855" s="2">
        <v>18036</v>
      </c>
      <c r="Z5855" s="19" t="str">
        <f>HYPERLINK("https://ssdweb.co/ssdweb/hd/Vision360.html?d=926020819&amp;zoomslide=1&amp;z=1926020819&amp;ISCONFIRM=0","VIDEO")</f>
        <v>VIDEO</v>
      </c>
      <c r="AA5855" s="19" t="str">
        <f>HYPERLINK("https://ssdweb.co/ssdweb/CERTH/632403874.pdf","CERTI")</f>
        <v>CERTI</v>
      </c>
    </row>
    <row r="5856" spans="1:27" ht="15" x14ac:dyDescent="0.25">
      <c r="A5856" s="2">
        <v>5851</v>
      </c>
      <c r="B5856" s="39">
        <v>925981094</v>
      </c>
      <c r="C5856" s="28" t="str">
        <f>HYPERLINK("https://pld.live/RapDetail.aspx?STONELIST=925981094","DNA")</f>
        <v>DNA</v>
      </c>
      <c r="D5856" s="18" t="s">
        <v>711</v>
      </c>
      <c r="E5856" s="18" t="s">
        <v>5128</v>
      </c>
      <c r="F5856" s="2" t="s">
        <v>7987</v>
      </c>
      <c r="G5856" s="2" t="s">
        <v>5134</v>
      </c>
      <c r="H5856" s="14">
        <v>1.65</v>
      </c>
      <c r="I5856" s="2" t="s">
        <v>267</v>
      </c>
      <c r="J5856" s="2" t="s">
        <v>3942</v>
      </c>
      <c r="K5856" s="2" t="s">
        <v>1452</v>
      </c>
      <c r="L5856" s="2" t="s">
        <v>5221</v>
      </c>
      <c r="M5856" s="2" t="s">
        <v>5221</v>
      </c>
      <c r="N5856" s="2" t="s">
        <v>2317</v>
      </c>
      <c r="O5856" s="14">
        <v>12500</v>
      </c>
      <c r="P5856" s="14">
        <v>98.89</v>
      </c>
      <c r="Q5856" s="14">
        <v>138.75</v>
      </c>
      <c r="R5856" s="14">
        <v>228.94</v>
      </c>
      <c r="S5856" s="2" t="s">
        <v>6186</v>
      </c>
      <c r="T5856" s="2">
        <v>0.87</v>
      </c>
      <c r="U5856" s="2">
        <v>57.8</v>
      </c>
      <c r="V5856" s="2">
        <v>63</v>
      </c>
      <c r="W5856" s="2" t="s">
        <v>7862</v>
      </c>
      <c r="X5856" s="2" t="s">
        <v>3061</v>
      </c>
      <c r="Y5856" s="2">
        <v>20625</v>
      </c>
      <c r="Z5856" s="19" t="str">
        <f>HYPERLINK("https://ssdweb.co/ssdweb/hd/Vision360.html?d=925981094&amp;zoomslide=1&amp;z=1925981094&amp;ISCONFIRM=0","VIDEO")</f>
        <v>VIDEO</v>
      </c>
      <c r="AA5856" s="19" t="str">
        <f>HYPERLINK("https://ssdweb.co/ssdweb/CERTH/629479154.pdf","CERTI")</f>
        <v>CERTI</v>
      </c>
    </row>
    <row r="5857" spans="1:27" ht="15" x14ac:dyDescent="0.25">
      <c r="A5857" s="2">
        <v>5852</v>
      </c>
      <c r="B5857" s="39">
        <v>924350702</v>
      </c>
      <c r="C5857" s="28" t="str">
        <f>HYPERLINK("https://pld.live/RapDetail.aspx?STONELIST=924350702","DNA")</f>
        <v>DNA</v>
      </c>
      <c r="D5857" s="18" t="s">
        <v>711</v>
      </c>
      <c r="E5857" s="18" t="s">
        <v>2186</v>
      </c>
      <c r="F5857" s="2" t="s">
        <v>7987</v>
      </c>
      <c r="G5857" s="2" t="s">
        <v>5134</v>
      </c>
      <c r="H5857" s="14">
        <v>1.62</v>
      </c>
      <c r="I5857" s="2" t="s">
        <v>4761</v>
      </c>
      <c r="J5857" s="2" t="s">
        <v>5144</v>
      </c>
      <c r="K5857" s="2" t="s">
        <v>1452</v>
      </c>
      <c r="L5857" s="2" t="s">
        <v>5221</v>
      </c>
      <c r="M5857" s="2" t="s">
        <v>5221</v>
      </c>
      <c r="N5857" s="2" t="s">
        <v>2317</v>
      </c>
      <c r="O5857" s="14">
        <v>9300</v>
      </c>
      <c r="P5857" s="14">
        <v>98.65</v>
      </c>
      <c r="Q5857" s="14">
        <v>125.55</v>
      </c>
      <c r="R5857" s="14">
        <v>203.39</v>
      </c>
      <c r="S5857" s="2" t="s">
        <v>5431</v>
      </c>
      <c r="T5857" s="2">
        <v>0.89</v>
      </c>
      <c r="U5857" s="2">
        <v>57.7</v>
      </c>
      <c r="V5857" s="2">
        <v>64</v>
      </c>
      <c r="W5857" s="2" t="s">
        <v>7862</v>
      </c>
      <c r="X5857" s="2" t="s">
        <v>3061</v>
      </c>
      <c r="Y5857" s="2">
        <v>15066</v>
      </c>
      <c r="Z5857" s="19" t="str">
        <f>HYPERLINK("https://ssdweb.co/ssdweb/hd/Vision360.html?d=924350702&amp;zoomslide=1&amp;z=1924350702&amp;ISCONFIRM=0","VIDEO")</f>
        <v>VIDEO</v>
      </c>
      <c r="AA5857" s="19" t="str">
        <f>HYPERLINK("https://ssdweb.co/ssdweb/CERTH/593391112.pdf","CERTI")</f>
        <v>CERTI</v>
      </c>
    </row>
    <row r="5858" spans="1:27" ht="15" x14ac:dyDescent="0.25">
      <c r="A5858" s="2">
        <v>5853</v>
      </c>
      <c r="B5858" s="39">
        <v>924620122</v>
      </c>
      <c r="C5858" s="28" t="str">
        <f>HYPERLINK("https://pld.live/RapDetail.aspx?STONELIST=924620122","DNA")</f>
        <v>DNA</v>
      </c>
      <c r="D5858" s="18" t="s">
        <v>711</v>
      </c>
      <c r="E5858" s="18" t="s">
        <v>2186</v>
      </c>
      <c r="F5858" s="2" t="s">
        <v>7987</v>
      </c>
      <c r="G5858" s="2" t="s">
        <v>5134</v>
      </c>
      <c r="H5858" s="14">
        <v>1.61</v>
      </c>
      <c r="I5858" s="2" t="s">
        <v>6587</v>
      </c>
      <c r="J5858" s="2" t="s">
        <v>13</v>
      </c>
      <c r="K5858" s="2" t="s">
        <v>1452</v>
      </c>
      <c r="L5858" s="2" t="s">
        <v>5221</v>
      </c>
      <c r="M5858" s="2" t="s">
        <v>5221</v>
      </c>
      <c r="N5858" s="2" t="s">
        <v>2317</v>
      </c>
      <c r="O5858" s="14">
        <v>9300</v>
      </c>
      <c r="P5858" s="14">
        <v>98.67</v>
      </c>
      <c r="Q5858" s="14">
        <v>123.69</v>
      </c>
      <c r="R5858" s="14">
        <v>199.14</v>
      </c>
      <c r="S5858" s="2" t="s">
        <v>7898</v>
      </c>
      <c r="T5858" s="2">
        <v>0.89</v>
      </c>
      <c r="U5858" s="2">
        <v>57.7</v>
      </c>
      <c r="V5858" s="2">
        <v>64</v>
      </c>
      <c r="W5858" s="2" t="s">
        <v>7862</v>
      </c>
      <c r="X5858" s="2" t="s">
        <v>3061</v>
      </c>
      <c r="Y5858" s="2">
        <v>14973</v>
      </c>
      <c r="Z5858" s="19" t="str">
        <f>HYPERLINK("https://ssdweb.co/ssdweb/hd/Vision360.html?d=924620122&amp;zoomslide=1&amp;z=1924620122&amp;ISCONFIRM=0","VIDEO")</f>
        <v>VIDEO</v>
      </c>
      <c r="AA5858" s="19" t="str">
        <f>HYPERLINK("https://ssdweb.co/ssdweb/CERTH/602359478.pdf","CERTI")</f>
        <v>CERTI</v>
      </c>
    </row>
    <row r="5859" spans="1:27" ht="15" x14ac:dyDescent="0.25">
      <c r="A5859" s="2">
        <v>5854</v>
      </c>
      <c r="B5859" s="39">
        <v>925971326</v>
      </c>
      <c r="C5859" s="28" t="str">
        <f>HYPERLINK("https://pld.live/RapDetail.aspx?STONELIST=925971326","DNA")</f>
        <v>DNA</v>
      </c>
      <c r="D5859" s="18" t="s">
        <v>711</v>
      </c>
      <c r="E5859" s="18" t="s">
        <v>5128</v>
      </c>
      <c r="F5859" s="2" t="s">
        <v>7987</v>
      </c>
      <c r="G5859" s="2" t="s">
        <v>5134</v>
      </c>
      <c r="H5859" s="14">
        <v>1.59</v>
      </c>
      <c r="I5859" s="2" t="s">
        <v>267</v>
      </c>
      <c r="J5859" s="2" t="s">
        <v>6555</v>
      </c>
      <c r="K5859" s="2" t="s">
        <v>1452</v>
      </c>
      <c r="L5859" s="2" t="s">
        <v>5221</v>
      </c>
      <c r="M5859" s="2" t="s">
        <v>5221</v>
      </c>
      <c r="N5859" s="2" t="s">
        <v>2317</v>
      </c>
      <c r="O5859" s="14">
        <v>13200</v>
      </c>
      <c r="P5859" s="14">
        <v>98.52</v>
      </c>
      <c r="Q5859" s="14">
        <v>195.36</v>
      </c>
      <c r="R5859" s="14">
        <v>310.62</v>
      </c>
      <c r="S5859" s="2" t="s">
        <v>939</v>
      </c>
      <c r="T5859" s="2">
        <v>0.87</v>
      </c>
      <c r="U5859" s="2">
        <v>58.3</v>
      </c>
      <c r="V5859" s="2">
        <v>61</v>
      </c>
      <c r="W5859" s="2" t="s">
        <v>7862</v>
      </c>
      <c r="X5859" s="2" t="s">
        <v>3061</v>
      </c>
      <c r="Y5859" s="2">
        <v>20988</v>
      </c>
      <c r="Z5859" s="19" t="str">
        <f>HYPERLINK("https://ssdweb.co/ssdweb/hd/Vision360.html?d=925971326&amp;zoomslide=1&amp;z=1925971326&amp;ISCONFIRM=0","VIDEO")</f>
        <v>VIDEO</v>
      </c>
      <c r="AA5859" s="19" t="str">
        <f>HYPERLINK("https://ssdweb.co/ssdweb/CERTH/631430383.pdf","CERTI")</f>
        <v>CERTI</v>
      </c>
    </row>
    <row r="5860" spans="1:27" ht="15" x14ac:dyDescent="0.25">
      <c r="A5860" s="2">
        <v>5855</v>
      </c>
      <c r="B5860" s="39">
        <v>925801913</v>
      </c>
      <c r="C5860" s="28" t="str">
        <f>HYPERLINK("https://pld.live/RapDetail.aspx?STONELIST=925801913","DNA")</f>
        <v>DNA</v>
      </c>
      <c r="D5860" s="18" t="s">
        <v>711</v>
      </c>
      <c r="E5860" s="18" t="s">
        <v>5128</v>
      </c>
      <c r="F5860" s="2" t="s">
        <v>7987</v>
      </c>
      <c r="G5860" s="2" t="s">
        <v>5134</v>
      </c>
      <c r="H5860" s="14">
        <v>1.58</v>
      </c>
      <c r="I5860" s="2" t="s">
        <v>267</v>
      </c>
      <c r="J5860" s="2" t="s">
        <v>3942</v>
      </c>
      <c r="K5860" s="2" t="s">
        <v>1452</v>
      </c>
      <c r="L5860" s="2" t="s">
        <v>5221</v>
      </c>
      <c r="M5860" s="2" t="s">
        <v>5221</v>
      </c>
      <c r="N5860" s="2" t="s">
        <v>2317</v>
      </c>
      <c r="O5860" s="14">
        <v>12500</v>
      </c>
      <c r="P5860" s="14">
        <v>98.89</v>
      </c>
      <c r="Q5860" s="14">
        <v>138.75</v>
      </c>
      <c r="R5860" s="14">
        <v>219.23</v>
      </c>
      <c r="S5860" s="2" t="s">
        <v>7227</v>
      </c>
      <c r="T5860" s="2">
        <v>0.87</v>
      </c>
      <c r="U5860" s="2">
        <v>57</v>
      </c>
      <c r="V5860" s="2">
        <v>62</v>
      </c>
      <c r="W5860" s="2" t="s">
        <v>7862</v>
      </c>
      <c r="X5860" s="2" t="s">
        <v>3061</v>
      </c>
      <c r="Y5860" s="2">
        <v>19750</v>
      </c>
      <c r="Z5860" s="19" t="str">
        <f>HYPERLINK("https://ssdweb.co/ssdweb/hd/Vision360.html?d=925801913&amp;zoomslide=1&amp;z=1925801913&amp;ISCONFIRM=0","VIDEO")</f>
        <v>VIDEO</v>
      </c>
      <c r="AA5860" s="19" t="str">
        <f>HYPERLINK("https://ssdweb.co/ssdweb/CERTH/627471586.pdf","CERTI")</f>
        <v>CERTI</v>
      </c>
    </row>
    <row r="5861" spans="1:27" ht="15" x14ac:dyDescent="0.25">
      <c r="A5861" s="2">
        <v>5856</v>
      </c>
      <c r="B5861" s="39">
        <v>926101212</v>
      </c>
      <c r="C5861" s="28" t="str">
        <f>HYPERLINK("https://pld.live/RapDetail.aspx?STONELIST=926101212","DNA")</f>
        <v>DNA</v>
      </c>
      <c r="D5861" s="18" t="s">
        <v>711</v>
      </c>
      <c r="E5861" s="18" t="s">
        <v>5128</v>
      </c>
      <c r="F5861" s="2" t="s">
        <v>7987</v>
      </c>
      <c r="G5861" s="2" t="s">
        <v>5134</v>
      </c>
      <c r="H5861" s="14">
        <v>1.58</v>
      </c>
      <c r="I5861" s="2" t="s">
        <v>267</v>
      </c>
      <c r="J5861" s="2" t="s">
        <v>13</v>
      </c>
      <c r="K5861" s="2" t="s">
        <v>1452</v>
      </c>
      <c r="L5861" s="2" t="s">
        <v>5221</v>
      </c>
      <c r="M5861" s="2" t="s">
        <v>5221</v>
      </c>
      <c r="N5861" s="2" t="s">
        <v>2317</v>
      </c>
      <c r="O5861" s="14">
        <v>11600</v>
      </c>
      <c r="P5861" s="14">
        <v>98.83</v>
      </c>
      <c r="Q5861" s="14">
        <v>135.72</v>
      </c>
      <c r="R5861" s="14">
        <v>214.44</v>
      </c>
      <c r="S5861" s="2" t="s">
        <v>3046</v>
      </c>
      <c r="T5861" s="2">
        <v>0.88</v>
      </c>
      <c r="U5861" s="2">
        <v>58.5</v>
      </c>
      <c r="V5861" s="2">
        <v>60</v>
      </c>
      <c r="W5861" s="2" t="s">
        <v>7862</v>
      </c>
      <c r="X5861" s="2" t="s">
        <v>3061</v>
      </c>
      <c r="Y5861" s="2">
        <v>18328</v>
      </c>
      <c r="Z5861" s="19" t="str">
        <f>HYPERLINK("https://ssdweb.co/ssdweb/hd/Vision360.html?d=926101212&amp;zoomslide=1&amp;z=1926101212&amp;ISCONFIRM=0","VIDEO")</f>
        <v>VIDEO</v>
      </c>
      <c r="AA5861" s="19" t="str">
        <f>HYPERLINK("https://ssdweb.co/ssdweb/CERTH/632488367.pdf","CERTI")</f>
        <v>CERTI</v>
      </c>
    </row>
    <row r="5862" spans="1:27" ht="15" x14ac:dyDescent="0.25">
      <c r="A5862" s="2">
        <v>5857</v>
      </c>
      <c r="B5862" s="39">
        <v>925801486</v>
      </c>
      <c r="C5862" s="28" t="str">
        <f>HYPERLINK("https://pld.live/RapDetail.aspx?STONELIST=925801486","DNA")</f>
        <v>DNA</v>
      </c>
      <c r="D5862" s="18" t="s">
        <v>711</v>
      </c>
      <c r="E5862" s="18" t="s">
        <v>5128</v>
      </c>
      <c r="F5862" s="2" t="s">
        <v>7987</v>
      </c>
      <c r="G5862" s="2" t="s">
        <v>5134</v>
      </c>
      <c r="H5862" s="14">
        <v>1.58</v>
      </c>
      <c r="I5862" s="2" t="s">
        <v>4699</v>
      </c>
      <c r="J5862" s="2" t="s">
        <v>3942</v>
      </c>
      <c r="K5862" s="2" t="s">
        <v>1452</v>
      </c>
      <c r="L5862" s="2" t="s">
        <v>5221</v>
      </c>
      <c r="M5862" s="2" t="s">
        <v>5221</v>
      </c>
      <c r="N5862" s="2" t="s">
        <v>2317</v>
      </c>
      <c r="O5862" s="14">
        <v>10800</v>
      </c>
      <c r="P5862" s="14">
        <v>98.75</v>
      </c>
      <c r="Q5862" s="14">
        <v>135</v>
      </c>
      <c r="R5862" s="14">
        <v>213.3</v>
      </c>
      <c r="S5862" s="2" t="s">
        <v>7732</v>
      </c>
      <c r="T5862" s="2">
        <v>0.91</v>
      </c>
      <c r="U5862" s="2">
        <v>56.2</v>
      </c>
      <c r="V5862" s="2">
        <v>66</v>
      </c>
      <c r="W5862" s="2" t="s">
        <v>7862</v>
      </c>
      <c r="X5862" s="2" t="s">
        <v>3061</v>
      </c>
      <c r="Y5862" s="2">
        <v>17064</v>
      </c>
      <c r="Z5862" s="19" t="str">
        <f>HYPERLINK("https://ssdweb.co/ssdweb/hd/Vision360.html?d=925801486&amp;zoomslide=1&amp;z=1925801486&amp;ISCONFIRM=0","VIDEO")</f>
        <v>VIDEO</v>
      </c>
      <c r="AA5862" s="19" t="str">
        <f>HYPERLINK("https://ssdweb.co/ssdweb/CERTH/626414933.pdf","CERTI")</f>
        <v>CERTI</v>
      </c>
    </row>
    <row r="5863" spans="1:27" ht="15" x14ac:dyDescent="0.25">
      <c r="A5863" s="2">
        <v>5858</v>
      </c>
      <c r="B5863" s="39">
        <v>925732173</v>
      </c>
      <c r="C5863" s="28" t="str">
        <f>HYPERLINK("https://pld.live/RapDetail.aspx?STONELIST=925732173","DNA")</f>
        <v>DNA</v>
      </c>
      <c r="D5863" s="18" t="s">
        <v>711</v>
      </c>
      <c r="E5863" s="18" t="s">
        <v>5128</v>
      </c>
      <c r="F5863" s="2" t="s">
        <v>7987</v>
      </c>
      <c r="G5863" s="2" t="s">
        <v>5134</v>
      </c>
      <c r="H5863" s="14">
        <v>1.57</v>
      </c>
      <c r="I5863" s="2" t="s">
        <v>267</v>
      </c>
      <c r="J5863" s="2" t="s">
        <v>3942</v>
      </c>
      <c r="K5863" s="2" t="s">
        <v>1452</v>
      </c>
      <c r="L5863" s="2" t="s">
        <v>5221</v>
      </c>
      <c r="M5863" s="2" t="s">
        <v>5221</v>
      </c>
      <c r="N5863" s="2" t="s">
        <v>2317</v>
      </c>
      <c r="O5863" s="14">
        <v>12500</v>
      </c>
      <c r="P5863" s="14">
        <v>98.89</v>
      </c>
      <c r="Q5863" s="14">
        <v>138.75</v>
      </c>
      <c r="R5863" s="14">
        <v>217.84</v>
      </c>
      <c r="S5863" s="2" t="s">
        <v>2045</v>
      </c>
      <c r="T5863" s="2">
        <v>0.86</v>
      </c>
      <c r="U5863" s="2">
        <v>59.4</v>
      </c>
      <c r="V5863" s="2">
        <v>59</v>
      </c>
      <c r="W5863" s="2" t="s">
        <v>7862</v>
      </c>
      <c r="X5863" s="2" t="s">
        <v>3061</v>
      </c>
      <c r="Y5863" s="2">
        <v>19625</v>
      </c>
      <c r="Z5863" s="19" t="str">
        <f>HYPERLINK("https://ssdweb.co/ssdweb/hd/Vision360.html?d=925732173&amp;zoomslide=1&amp;z=1925732173&amp;ISCONFIRM=0","VIDEO")</f>
        <v>VIDEO</v>
      </c>
      <c r="AA5863" s="19" t="str">
        <f>HYPERLINK("https://ssdweb.co/ssdweb/CERTH/626466210.pdf","CERTI")</f>
        <v>CERTI</v>
      </c>
    </row>
    <row r="5864" spans="1:27" ht="15" x14ac:dyDescent="0.25">
      <c r="A5864" s="2">
        <v>5859</v>
      </c>
      <c r="B5864" s="39">
        <v>926101722</v>
      </c>
      <c r="C5864" s="28" t="str">
        <f>HYPERLINK("https://pld.live/RapDetail.aspx?STONELIST=926101722","DNA")</f>
        <v>DNA</v>
      </c>
      <c r="D5864" s="18" t="s">
        <v>711</v>
      </c>
      <c r="E5864" s="18" t="s">
        <v>5128</v>
      </c>
      <c r="F5864" s="2" t="s">
        <v>7987</v>
      </c>
      <c r="G5864" s="2" t="s">
        <v>5134</v>
      </c>
      <c r="H5864" s="14">
        <v>1.57</v>
      </c>
      <c r="I5864" s="2" t="s">
        <v>267</v>
      </c>
      <c r="J5864" s="2" t="s">
        <v>13</v>
      </c>
      <c r="K5864" s="2" t="s">
        <v>1452</v>
      </c>
      <c r="L5864" s="2" t="s">
        <v>5221</v>
      </c>
      <c r="M5864" s="2" t="s">
        <v>5221</v>
      </c>
      <c r="N5864" s="2" t="s">
        <v>2317</v>
      </c>
      <c r="O5864" s="14">
        <v>11600</v>
      </c>
      <c r="P5864" s="14">
        <v>98.83</v>
      </c>
      <c r="Q5864" s="14">
        <v>135.72</v>
      </c>
      <c r="R5864" s="14">
        <v>213.08</v>
      </c>
      <c r="S5864" s="2" t="s">
        <v>2634</v>
      </c>
      <c r="T5864" s="2">
        <v>0.88</v>
      </c>
      <c r="U5864" s="2">
        <v>57.6</v>
      </c>
      <c r="V5864" s="2">
        <v>61</v>
      </c>
      <c r="W5864" s="2" t="s">
        <v>7862</v>
      </c>
      <c r="X5864" s="2" t="s">
        <v>3061</v>
      </c>
      <c r="Y5864" s="2">
        <v>18212</v>
      </c>
      <c r="Z5864" s="19" t="str">
        <f>HYPERLINK("https://ssdweb.co/ssdweb/hd/Vision360.html?d=926101722&amp;zoomslide=1&amp;z=1926101722&amp;ISCONFIRM=0","VIDEO")</f>
        <v>VIDEO</v>
      </c>
      <c r="AA5864" s="19" t="str">
        <f>HYPERLINK("https://ssdweb.co/ssdweb/CERTH/633490530.pdf","CERTI")</f>
        <v>CERTI</v>
      </c>
    </row>
    <row r="5865" spans="1:27" ht="15" x14ac:dyDescent="0.25">
      <c r="A5865" s="2">
        <v>5860</v>
      </c>
      <c r="B5865" s="39">
        <v>924610452</v>
      </c>
      <c r="C5865" s="28" t="str">
        <f>HYPERLINK("https://pld.live/RapDetail.aspx?STONELIST=924610452","DNA")</f>
        <v>DNA</v>
      </c>
      <c r="D5865" s="18" t="s">
        <v>711</v>
      </c>
      <c r="E5865" s="18" t="s">
        <v>5128</v>
      </c>
      <c r="F5865" s="2" t="s">
        <v>7987</v>
      </c>
      <c r="G5865" s="2" t="s">
        <v>5134</v>
      </c>
      <c r="H5865" s="14">
        <v>1.57</v>
      </c>
      <c r="I5865" s="2" t="s">
        <v>4761</v>
      </c>
      <c r="J5865" s="2" t="s">
        <v>13</v>
      </c>
      <c r="K5865" s="2" t="s">
        <v>1452</v>
      </c>
      <c r="L5865" s="2" t="s">
        <v>5221</v>
      </c>
      <c r="M5865" s="2" t="s">
        <v>5221</v>
      </c>
      <c r="N5865" s="2" t="s">
        <v>2317</v>
      </c>
      <c r="O5865" s="14">
        <v>10800</v>
      </c>
      <c r="P5865" s="14">
        <v>98.79</v>
      </c>
      <c r="Q5865" s="14">
        <v>130.68</v>
      </c>
      <c r="R5865" s="14">
        <v>205.17</v>
      </c>
      <c r="S5865" s="2" t="s">
        <v>2233</v>
      </c>
      <c r="T5865" s="2">
        <v>0.91</v>
      </c>
      <c r="U5865" s="2">
        <v>55.9</v>
      </c>
      <c r="V5865" s="2">
        <v>62</v>
      </c>
      <c r="W5865" s="2" t="s">
        <v>7862</v>
      </c>
      <c r="X5865" s="2" t="s">
        <v>3061</v>
      </c>
      <c r="Y5865" s="2">
        <v>16956</v>
      </c>
      <c r="Z5865" s="19" t="str">
        <f>HYPERLINK("https://ssdweb.co/ssdweb/hd/Vision360.html?d=924610452&amp;zoomslide=1&amp;z=1924610452&amp;ISCONFIRM=0","VIDEO")</f>
        <v>VIDEO</v>
      </c>
      <c r="AA5865" s="19" t="str">
        <f>HYPERLINK("https://ssdweb.co/ssdweb/CERTH/602359475.pdf","CERTI")</f>
        <v>CERTI</v>
      </c>
    </row>
    <row r="5866" spans="1:27" ht="15" x14ac:dyDescent="0.25">
      <c r="A5866" s="2">
        <v>5861</v>
      </c>
      <c r="B5866" s="39">
        <v>926020754</v>
      </c>
      <c r="C5866" s="28" t="str">
        <f>HYPERLINK("https://pld.live/RapDetail.aspx?STONELIST=926020754","DNA")</f>
        <v>DNA</v>
      </c>
      <c r="D5866" s="18" t="s">
        <v>711</v>
      </c>
      <c r="E5866" s="18" t="s">
        <v>5128</v>
      </c>
      <c r="F5866" s="2" t="s">
        <v>7987</v>
      </c>
      <c r="G5866" s="2" t="s">
        <v>5134</v>
      </c>
      <c r="H5866" s="14">
        <v>1.56</v>
      </c>
      <c r="I5866" s="2" t="s">
        <v>267</v>
      </c>
      <c r="J5866" s="2" t="s">
        <v>6555</v>
      </c>
      <c r="K5866" s="2" t="s">
        <v>1452</v>
      </c>
      <c r="L5866" s="2" t="s">
        <v>5221</v>
      </c>
      <c r="M5866" s="2" t="s">
        <v>5221</v>
      </c>
      <c r="N5866" s="2" t="s">
        <v>2317</v>
      </c>
      <c r="O5866" s="14">
        <v>13200</v>
      </c>
      <c r="P5866" s="14">
        <v>98.52</v>
      </c>
      <c r="Q5866" s="14">
        <v>195.36</v>
      </c>
      <c r="R5866" s="14">
        <v>304.76</v>
      </c>
      <c r="S5866" s="2" t="s">
        <v>4977</v>
      </c>
      <c r="T5866" s="2">
        <v>0.91</v>
      </c>
      <c r="U5866" s="2">
        <v>57</v>
      </c>
      <c r="V5866" s="2">
        <v>63</v>
      </c>
      <c r="W5866" s="2" t="s">
        <v>7862</v>
      </c>
      <c r="X5866" s="2" t="s">
        <v>3061</v>
      </c>
      <c r="Y5866" s="2">
        <v>20592</v>
      </c>
      <c r="Z5866" s="19" t="str">
        <f>HYPERLINK("https://ssdweb.co/ssdweb/hd/Vision360.html?d=926020754&amp;zoomslide=1&amp;z=1926020754&amp;ISCONFIRM=0","VIDEO")</f>
        <v>VIDEO</v>
      </c>
      <c r="AA5866" s="19" t="str">
        <f>HYPERLINK("https://ssdweb.co/ssdweb/CERTH/630447736.pdf","CERTI")</f>
        <v>CERTI</v>
      </c>
    </row>
    <row r="5867" spans="1:27" ht="15" x14ac:dyDescent="0.25">
      <c r="A5867" s="2">
        <v>5862</v>
      </c>
      <c r="B5867" s="39">
        <v>925981283</v>
      </c>
      <c r="C5867" s="28" t="str">
        <f>HYPERLINK("https://pld.live/RapDetail.aspx?STONELIST=925981283","DNA")</f>
        <v>DNA</v>
      </c>
      <c r="D5867" s="18" t="s">
        <v>711</v>
      </c>
      <c r="E5867" s="18" t="s">
        <v>5128</v>
      </c>
      <c r="F5867" s="2" t="s">
        <v>7987</v>
      </c>
      <c r="G5867" s="2" t="s">
        <v>5134</v>
      </c>
      <c r="H5867" s="14">
        <v>1.56</v>
      </c>
      <c r="I5867" s="2" t="s">
        <v>267</v>
      </c>
      <c r="J5867" s="2" t="s">
        <v>6555</v>
      </c>
      <c r="K5867" s="2" t="s">
        <v>1452</v>
      </c>
      <c r="L5867" s="2" t="s">
        <v>5221</v>
      </c>
      <c r="M5867" s="2" t="s">
        <v>5221</v>
      </c>
      <c r="N5867" s="2" t="s">
        <v>2317</v>
      </c>
      <c r="O5867" s="14">
        <v>13200</v>
      </c>
      <c r="P5867" s="14">
        <v>98.52</v>
      </c>
      <c r="Q5867" s="14">
        <v>195.36</v>
      </c>
      <c r="R5867" s="14">
        <v>304.76</v>
      </c>
      <c r="S5867" s="2" t="s">
        <v>6704</v>
      </c>
      <c r="T5867" s="2">
        <v>0.87</v>
      </c>
      <c r="U5867" s="2">
        <v>56.2</v>
      </c>
      <c r="V5867" s="2">
        <v>60</v>
      </c>
      <c r="W5867" s="2" t="s">
        <v>7862</v>
      </c>
      <c r="X5867" s="2" t="s">
        <v>3061</v>
      </c>
      <c r="Y5867" s="2">
        <v>20592</v>
      </c>
      <c r="Z5867" s="19" t="str">
        <f>HYPERLINK("https://ssdweb.co/ssdweb/hd/Vision360.html?d=925981283&amp;zoomslide=1&amp;z=1925981283&amp;ISCONFIRM=0","VIDEO")</f>
        <v>VIDEO</v>
      </c>
      <c r="AA5867" s="19" t="str">
        <f>HYPERLINK("https://ssdweb.co/ssdweb/CERTH/631464177.pdf","CERTI")</f>
        <v>CERTI</v>
      </c>
    </row>
    <row r="5868" spans="1:27" ht="15" x14ac:dyDescent="0.25">
      <c r="A5868" s="2">
        <v>5863</v>
      </c>
      <c r="B5868" s="39">
        <v>925300368</v>
      </c>
      <c r="C5868" s="28" t="str">
        <f>HYPERLINK("https://pld.live/RapDetail.aspx?STONELIST=925300368","DNA")</f>
        <v>DNA</v>
      </c>
      <c r="D5868" s="18" t="s">
        <v>711</v>
      </c>
      <c r="E5868" s="18" t="s">
        <v>5128</v>
      </c>
      <c r="F5868" s="2" t="s">
        <v>7987</v>
      </c>
      <c r="G5868" s="2" t="s">
        <v>5134</v>
      </c>
      <c r="H5868" s="14">
        <v>1.55</v>
      </c>
      <c r="I5868" s="2" t="s">
        <v>267</v>
      </c>
      <c r="J5868" s="2" t="s">
        <v>6555</v>
      </c>
      <c r="K5868" s="2" t="s">
        <v>1452</v>
      </c>
      <c r="L5868" s="2" t="s">
        <v>5221</v>
      </c>
      <c r="M5868" s="2" t="s">
        <v>5221</v>
      </c>
      <c r="N5868" s="2" t="s">
        <v>2317</v>
      </c>
      <c r="O5868" s="14">
        <v>13200</v>
      </c>
      <c r="P5868" s="14">
        <v>98.52</v>
      </c>
      <c r="Q5868" s="14">
        <v>195.36</v>
      </c>
      <c r="R5868" s="14">
        <v>302.81</v>
      </c>
      <c r="S5868" s="2" t="s">
        <v>5307</v>
      </c>
      <c r="T5868" s="2">
        <v>0.88</v>
      </c>
      <c r="U5868" s="2">
        <v>59.9</v>
      </c>
      <c r="V5868" s="2">
        <v>64</v>
      </c>
      <c r="W5868" s="2" t="s">
        <v>7862</v>
      </c>
      <c r="X5868" s="2" t="s">
        <v>3061</v>
      </c>
      <c r="Y5868" s="2">
        <v>20460</v>
      </c>
      <c r="Z5868" s="19" t="str">
        <f>HYPERLINK("https://ssdweb.co/ssdweb/hd/Vision360.html?d=925300368&amp;zoomslide=1&amp;z=1925300368&amp;ISCONFIRM=0","VIDEO")</f>
        <v>VIDEO</v>
      </c>
      <c r="AA5868" s="19" t="str">
        <f>HYPERLINK("https://ssdweb.co/ssdweb/CERTH/623493214.pdf","CERTI")</f>
        <v>CERTI</v>
      </c>
    </row>
    <row r="5869" spans="1:27" ht="15" x14ac:dyDescent="0.25">
      <c r="A5869" s="2">
        <v>5864</v>
      </c>
      <c r="B5869" s="39">
        <v>925981284</v>
      </c>
      <c r="C5869" s="28" t="str">
        <f>HYPERLINK("https://pld.live/RapDetail.aspx?STONELIST=925981284","DNA")</f>
        <v>DNA</v>
      </c>
      <c r="D5869" s="18" t="s">
        <v>711</v>
      </c>
      <c r="E5869" s="18" t="s">
        <v>5128</v>
      </c>
      <c r="F5869" s="2" t="s">
        <v>7987</v>
      </c>
      <c r="G5869" s="2" t="s">
        <v>5134</v>
      </c>
      <c r="H5869" s="14">
        <v>1.55</v>
      </c>
      <c r="I5869" s="2" t="s">
        <v>267</v>
      </c>
      <c r="J5869" s="2" t="s">
        <v>6555</v>
      </c>
      <c r="K5869" s="2" t="s">
        <v>1452</v>
      </c>
      <c r="L5869" s="2" t="s">
        <v>5221</v>
      </c>
      <c r="M5869" s="2" t="s">
        <v>5221</v>
      </c>
      <c r="N5869" s="2" t="s">
        <v>2317</v>
      </c>
      <c r="O5869" s="14">
        <v>13200</v>
      </c>
      <c r="P5869" s="14">
        <v>98.52</v>
      </c>
      <c r="Q5869" s="14">
        <v>195.36</v>
      </c>
      <c r="R5869" s="14">
        <v>302.81</v>
      </c>
      <c r="S5869" s="2" t="s">
        <v>479</v>
      </c>
      <c r="T5869" s="2">
        <v>0.86</v>
      </c>
      <c r="U5869" s="2">
        <v>59.2</v>
      </c>
      <c r="V5869" s="2">
        <v>62</v>
      </c>
      <c r="W5869" s="2" t="s">
        <v>7862</v>
      </c>
      <c r="X5869" s="2" t="s">
        <v>3061</v>
      </c>
      <c r="Y5869" s="2">
        <v>20460</v>
      </c>
      <c r="Z5869" s="19" t="str">
        <f>HYPERLINK("https://ssdweb.co/ssdweb/hd/Vision360.html?d=925981284&amp;zoomslide=1&amp;z=1925981284&amp;ISCONFIRM=0","VIDEO")</f>
        <v>VIDEO</v>
      </c>
      <c r="AA5869" s="19" t="str">
        <f>HYPERLINK("https://ssdweb.co/ssdweb/CERTH/631464178.pdf","CERTI")</f>
        <v>CERTI</v>
      </c>
    </row>
    <row r="5870" spans="1:27" ht="15" x14ac:dyDescent="0.25">
      <c r="A5870" s="2">
        <v>5865</v>
      </c>
      <c r="B5870" s="39">
        <v>925310397</v>
      </c>
      <c r="C5870" s="28" t="str">
        <f>HYPERLINK("https://pld.live/RapDetail.aspx?STONELIST=925310397","DNA")</f>
        <v>DNA</v>
      </c>
      <c r="D5870" s="18" t="s">
        <v>711</v>
      </c>
      <c r="E5870" s="18" t="s">
        <v>5128</v>
      </c>
      <c r="F5870" s="2" t="s">
        <v>7987</v>
      </c>
      <c r="G5870" s="2" t="s">
        <v>5134</v>
      </c>
      <c r="H5870" s="14">
        <v>1.55</v>
      </c>
      <c r="I5870" s="2" t="s">
        <v>267</v>
      </c>
      <c r="J5870" s="2" t="s">
        <v>3942</v>
      </c>
      <c r="K5870" s="2" t="s">
        <v>1452</v>
      </c>
      <c r="L5870" s="2" t="s">
        <v>5221</v>
      </c>
      <c r="M5870" s="2" t="s">
        <v>5221</v>
      </c>
      <c r="N5870" s="2" t="s">
        <v>2317</v>
      </c>
      <c r="O5870" s="14">
        <v>12500</v>
      </c>
      <c r="P5870" s="14">
        <v>98.89</v>
      </c>
      <c r="Q5870" s="14">
        <v>138.75</v>
      </c>
      <c r="R5870" s="14">
        <v>215.06</v>
      </c>
      <c r="S5870" s="2" t="s">
        <v>568</v>
      </c>
      <c r="T5870" s="2">
        <v>0.86</v>
      </c>
      <c r="U5870" s="2">
        <v>56.9</v>
      </c>
      <c r="V5870" s="2">
        <v>63</v>
      </c>
      <c r="W5870" s="2" t="s">
        <v>7862</v>
      </c>
      <c r="X5870" s="2" t="s">
        <v>3061</v>
      </c>
      <c r="Y5870" s="2">
        <v>19375</v>
      </c>
      <c r="Z5870" s="19" t="str">
        <f>HYPERLINK("https://ssdweb.co/ssdweb/hd/Vision360.html?d=925310397&amp;zoomslide=1&amp;z=1925310397&amp;ISCONFIRM=0","VIDEO")</f>
        <v>VIDEO</v>
      </c>
      <c r="AA5870" s="19" t="str">
        <f>HYPERLINK("https://ssdweb.co/ssdweb/CERTH/621448142.pdf","CERTI")</f>
        <v>CERTI</v>
      </c>
    </row>
    <row r="5871" spans="1:27" ht="15" x14ac:dyDescent="0.25">
      <c r="A5871" s="2">
        <v>5866</v>
      </c>
      <c r="B5871" s="39">
        <v>925801723</v>
      </c>
      <c r="C5871" s="28" t="str">
        <f>HYPERLINK("https://pld.live/RapDetail.aspx?STONELIST=925801723","DNA")</f>
        <v>DNA</v>
      </c>
      <c r="D5871" s="18" t="s">
        <v>711</v>
      </c>
      <c r="E5871" s="18" t="s">
        <v>5128</v>
      </c>
      <c r="F5871" s="2" t="s">
        <v>7987</v>
      </c>
      <c r="G5871" s="2" t="s">
        <v>5134</v>
      </c>
      <c r="H5871" s="14">
        <v>1.55</v>
      </c>
      <c r="I5871" s="2" t="s">
        <v>267</v>
      </c>
      <c r="J5871" s="2" t="s">
        <v>13</v>
      </c>
      <c r="K5871" s="2" t="s">
        <v>1452</v>
      </c>
      <c r="L5871" s="2" t="s">
        <v>5221</v>
      </c>
      <c r="M5871" s="2" t="s">
        <v>5221</v>
      </c>
      <c r="N5871" s="2" t="s">
        <v>2317</v>
      </c>
      <c r="O5871" s="14">
        <v>11600</v>
      </c>
      <c r="P5871" s="14">
        <v>98.83</v>
      </c>
      <c r="Q5871" s="14">
        <v>135.72</v>
      </c>
      <c r="R5871" s="14">
        <v>210.37</v>
      </c>
      <c r="S5871" s="2" t="s">
        <v>4446</v>
      </c>
      <c r="T5871" s="2">
        <v>0.88</v>
      </c>
      <c r="U5871" s="2">
        <v>57.6</v>
      </c>
      <c r="V5871" s="2">
        <v>61</v>
      </c>
      <c r="W5871" s="2" t="s">
        <v>7862</v>
      </c>
      <c r="X5871" s="2" t="s">
        <v>3061</v>
      </c>
      <c r="Y5871" s="2">
        <v>17980</v>
      </c>
      <c r="Z5871" s="19" t="str">
        <f>HYPERLINK("https://ssdweb.co/ssdweb/hd/Vision360.html?d=925801723&amp;zoomslide=1&amp;z=1925801723&amp;ISCONFIRM=0","VIDEO")</f>
        <v>VIDEO</v>
      </c>
      <c r="AA5871" s="19" t="str">
        <f>HYPERLINK("https://ssdweb.co/ssdweb/CERTH/626427491.pdf","CERTI")</f>
        <v>CERTI</v>
      </c>
    </row>
    <row r="5872" spans="1:27" ht="15" x14ac:dyDescent="0.25">
      <c r="A5872" s="2">
        <v>5867</v>
      </c>
      <c r="B5872" s="39">
        <v>925722020</v>
      </c>
      <c r="C5872" s="28" t="str">
        <f>HYPERLINK("https://pld.live/RapDetail.aspx?STONELIST=925722020","DNA")</f>
        <v>DNA</v>
      </c>
      <c r="D5872" s="18" t="s">
        <v>711</v>
      </c>
      <c r="E5872" s="18" t="s">
        <v>5128</v>
      </c>
      <c r="F5872" s="2" t="s">
        <v>7987</v>
      </c>
      <c r="G5872" s="2" t="s">
        <v>5134</v>
      </c>
      <c r="H5872" s="14">
        <v>1.55</v>
      </c>
      <c r="I5872" s="2" t="s">
        <v>267</v>
      </c>
      <c r="J5872" s="2" t="s">
        <v>13</v>
      </c>
      <c r="K5872" s="2" t="s">
        <v>1452</v>
      </c>
      <c r="L5872" s="2" t="s">
        <v>5221</v>
      </c>
      <c r="M5872" s="2" t="s">
        <v>5221</v>
      </c>
      <c r="N5872" s="2" t="s">
        <v>2317</v>
      </c>
      <c r="O5872" s="14">
        <v>11600</v>
      </c>
      <c r="P5872" s="14">
        <v>98.83</v>
      </c>
      <c r="Q5872" s="14">
        <v>135.72</v>
      </c>
      <c r="R5872" s="14">
        <v>210.37</v>
      </c>
      <c r="S5872" s="2" t="s">
        <v>8069</v>
      </c>
      <c r="T5872" s="2">
        <v>0.89</v>
      </c>
      <c r="U5872" s="2">
        <v>57.4</v>
      </c>
      <c r="V5872" s="2">
        <v>61</v>
      </c>
      <c r="W5872" s="2" t="s">
        <v>7862</v>
      </c>
      <c r="X5872" s="2" t="s">
        <v>3061</v>
      </c>
      <c r="Y5872" s="2">
        <v>17980</v>
      </c>
      <c r="Z5872" s="19" t="str">
        <f>HYPERLINK("https://ssdweb.co/ssdweb/hd/Vision360.html?d=925722020&amp;zoomslide=1&amp;z=1925722020&amp;ISCONFIRM=0","VIDEO")</f>
        <v>VIDEO</v>
      </c>
      <c r="AA5872" s="19" t="str">
        <f>HYPERLINK("https://ssdweb.co/ssdweb/CERTH/625457950.pdf","CERTI")</f>
        <v>CERTI</v>
      </c>
    </row>
    <row r="5873" spans="1:27" ht="15" x14ac:dyDescent="0.25">
      <c r="A5873" s="2">
        <v>5868</v>
      </c>
      <c r="B5873" s="39">
        <v>926171510</v>
      </c>
      <c r="C5873" s="28" t="str">
        <f>HYPERLINK("https://pld.live/RapDetail.aspx?STONELIST=926171510","DNA")</f>
        <v>DNA</v>
      </c>
      <c r="D5873" s="18" t="s">
        <v>711</v>
      </c>
      <c r="E5873" s="18" t="s">
        <v>5128</v>
      </c>
      <c r="F5873" s="2" t="s">
        <v>7987</v>
      </c>
      <c r="G5873" s="2" t="s">
        <v>5134</v>
      </c>
      <c r="H5873" s="14">
        <v>1.55</v>
      </c>
      <c r="I5873" s="2" t="s">
        <v>4761</v>
      </c>
      <c r="J5873" s="2" t="s">
        <v>3942</v>
      </c>
      <c r="K5873" s="2" t="s">
        <v>1452</v>
      </c>
      <c r="L5873" s="2" t="s">
        <v>5221</v>
      </c>
      <c r="M5873" s="2" t="s">
        <v>5221</v>
      </c>
      <c r="N5873" s="2" t="s">
        <v>2317</v>
      </c>
      <c r="O5873" s="14">
        <v>11600</v>
      </c>
      <c r="P5873" s="14">
        <v>98.81</v>
      </c>
      <c r="Q5873" s="14">
        <v>138.04</v>
      </c>
      <c r="R5873" s="14">
        <v>213.96</v>
      </c>
      <c r="S5873" s="2" t="s">
        <v>8076</v>
      </c>
      <c r="T5873" s="2">
        <v>0.86</v>
      </c>
      <c r="U5873" s="2">
        <v>59.3</v>
      </c>
      <c r="V5873" s="2">
        <v>60</v>
      </c>
      <c r="W5873" s="2" t="s">
        <v>7862</v>
      </c>
      <c r="X5873" s="2" t="s">
        <v>3061</v>
      </c>
      <c r="Y5873" s="2">
        <v>17980</v>
      </c>
      <c r="Z5873" s="19" t="str">
        <f>HYPERLINK("https://ssdweb.co/ssdweb/hd/Vision360.html?d=926171510&amp;zoomslide=1&amp;z=1926171510&amp;ISCONFIRM=0","VIDEO")</f>
        <v>VIDEO</v>
      </c>
      <c r="AA5873" s="19" t="str">
        <f>HYPERLINK("https://ssdweb.co/ssdweb/CERTH/635423889.pdf","CERTI")</f>
        <v>CERTI</v>
      </c>
    </row>
    <row r="5874" spans="1:27" ht="15" x14ac:dyDescent="0.25">
      <c r="A5874" s="2">
        <v>5869</v>
      </c>
      <c r="B5874" s="39">
        <v>925801986</v>
      </c>
      <c r="C5874" s="28" t="str">
        <f>HYPERLINK("https://pld.live/RapDetail.aspx?STONELIST=925801986","DNA")</f>
        <v>DNA</v>
      </c>
      <c r="D5874" s="18" t="s">
        <v>711</v>
      </c>
      <c r="E5874" s="18" t="s">
        <v>5128</v>
      </c>
      <c r="F5874" s="2" t="s">
        <v>7987</v>
      </c>
      <c r="G5874" s="2" t="s">
        <v>5134</v>
      </c>
      <c r="H5874" s="14">
        <v>1.54</v>
      </c>
      <c r="I5874" s="2" t="s">
        <v>267</v>
      </c>
      <c r="J5874" s="2" t="s">
        <v>6555</v>
      </c>
      <c r="K5874" s="2" t="s">
        <v>1452</v>
      </c>
      <c r="L5874" s="2" t="s">
        <v>5221</v>
      </c>
      <c r="M5874" s="2" t="s">
        <v>5221</v>
      </c>
      <c r="N5874" s="2" t="s">
        <v>2317</v>
      </c>
      <c r="O5874" s="14">
        <v>13200</v>
      </c>
      <c r="P5874" s="14">
        <v>98.52</v>
      </c>
      <c r="Q5874" s="14">
        <v>195.36</v>
      </c>
      <c r="R5874" s="14">
        <v>300.85000000000002</v>
      </c>
      <c r="S5874" s="2" t="s">
        <v>6688</v>
      </c>
      <c r="T5874" s="2">
        <v>0.87</v>
      </c>
      <c r="U5874" s="2">
        <v>59.5</v>
      </c>
      <c r="V5874" s="2">
        <v>63</v>
      </c>
      <c r="W5874" s="2" t="s">
        <v>7862</v>
      </c>
      <c r="X5874" s="2" t="s">
        <v>3061</v>
      </c>
      <c r="Y5874" s="2">
        <v>20328</v>
      </c>
      <c r="Z5874" s="19" t="str">
        <f>HYPERLINK("https://ssdweb.co/ssdweb/hd/Vision360.html?d=925801986&amp;zoomslide=1&amp;z=1925801986&amp;ISCONFIRM=0","VIDEO")</f>
        <v>VIDEO</v>
      </c>
      <c r="AA5874" s="19" t="str">
        <f>HYPERLINK("https://ssdweb.co/ssdweb/CERTH/627415201.pdf","CERTI")</f>
        <v>CERTI</v>
      </c>
    </row>
    <row r="5875" spans="1:27" ht="15" x14ac:dyDescent="0.25">
      <c r="A5875" s="2">
        <v>5870</v>
      </c>
      <c r="B5875" s="39">
        <v>926020793</v>
      </c>
      <c r="C5875" s="28" t="str">
        <f>HYPERLINK("https://pld.live/RapDetail.aspx?STONELIST=926020793","DNA")</f>
        <v>DNA</v>
      </c>
      <c r="D5875" s="18" t="s">
        <v>711</v>
      </c>
      <c r="E5875" s="18" t="s">
        <v>5128</v>
      </c>
      <c r="F5875" s="2" t="s">
        <v>7987</v>
      </c>
      <c r="G5875" s="2" t="s">
        <v>5134</v>
      </c>
      <c r="H5875" s="14">
        <v>1.54</v>
      </c>
      <c r="I5875" s="2" t="s">
        <v>267</v>
      </c>
      <c r="J5875" s="2" t="s">
        <v>3942</v>
      </c>
      <c r="K5875" s="2" t="s">
        <v>1452</v>
      </c>
      <c r="L5875" s="2" t="s">
        <v>5221</v>
      </c>
      <c r="M5875" s="2" t="s">
        <v>5221</v>
      </c>
      <c r="N5875" s="2" t="s">
        <v>2317</v>
      </c>
      <c r="O5875" s="14">
        <v>12500</v>
      </c>
      <c r="P5875" s="14">
        <v>98.89</v>
      </c>
      <c r="Q5875" s="14">
        <v>138.75</v>
      </c>
      <c r="R5875" s="14">
        <v>213.68</v>
      </c>
      <c r="S5875" s="2" t="s">
        <v>2686</v>
      </c>
      <c r="T5875" s="2">
        <v>0.91</v>
      </c>
      <c r="U5875" s="2">
        <v>56.5</v>
      </c>
      <c r="V5875" s="2">
        <v>63</v>
      </c>
      <c r="W5875" s="2" t="s">
        <v>7862</v>
      </c>
      <c r="X5875" s="2" t="s">
        <v>3061</v>
      </c>
      <c r="Y5875" s="2">
        <v>19250</v>
      </c>
      <c r="Z5875" s="19" t="str">
        <f>HYPERLINK("https://ssdweb.co/ssdweb/hd/Vision360.html?d=926020793&amp;zoomslide=1&amp;z=1926020793&amp;ISCONFIRM=0","VIDEO")</f>
        <v>VIDEO</v>
      </c>
      <c r="AA5875" s="19" t="str">
        <f>HYPERLINK("https://ssdweb.co/ssdweb/CERTH/631430250.pdf","CERTI")</f>
        <v>CERTI</v>
      </c>
    </row>
    <row r="5876" spans="1:27" ht="15" x14ac:dyDescent="0.25">
      <c r="A5876" s="2">
        <v>5871</v>
      </c>
      <c r="B5876" s="39">
        <v>925771145</v>
      </c>
      <c r="C5876" s="28" t="str">
        <f>HYPERLINK("https://pld.live/RapDetail.aspx?STONELIST=925771145","DNA")</f>
        <v>DNA</v>
      </c>
      <c r="D5876" s="18" t="s">
        <v>711</v>
      </c>
      <c r="E5876" s="18" t="s">
        <v>5128</v>
      </c>
      <c r="F5876" s="2" t="s">
        <v>7987</v>
      </c>
      <c r="G5876" s="2" t="s">
        <v>5134</v>
      </c>
      <c r="H5876" s="14">
        <v>1.54</v>
      </c>
      <c r="I5876" s="2" t="s">
        <v>267</v>
      </c>
      <c r="J5876" s="2" t="s">
        <v>13</v>
      </c>
      <c r="K5876" s="2" t="s">
        <v>1452</v>
      </c>
      <c r="L5876" s="2" t="s">
        <v>5221</v>
      </c>
      <c r="M5876" s="2" t="s">
        <v>5221</v>
      </c>
      <c r="N5876" s="2" t="s">
        <v>2317</v>
      </c>
      <c r="O5876" s="14">
        <v>11600</v>
      </c>
      <c r="P5876" s="14">
        <v>98.83</v>
      </c>
      <c r="Q5876" s="14">
        <v>135.72</v>
      </c>
      <c r="R5876" s="14">
        <v>209.01</v>
      </c>
      <c r="S5876" s="2" t="s">
        <v>4157</v>
      </c>
      <c r="T5876" s="2">
        <v>0.86</v>
      </c>
      <c r="U5876" s="2">
        <v>57.9</v>
      </c>
      <c r="V5876" s="2">
        <v>59</v>
      </c>
      <c r="W5876" s="2" t="s">
        <v>7862</v>
      </c>
      <c r="X5876" s="2" t="s">
        <v>3061</v>
      </c>
      <c r="Y5876" s="2">
        <v>17864</v>
      </c>
      <c r="Z5876" s="19" t="str">
        <f>HYPERLINK("https://ssdweb.co/ssdweb/hd/Vision360.html?d=925771145&amp;zoomslide=1&amp;z=1925771145&amp;ISCONFIRM=0","VIDEO")</f>
        <v>VIDEO</v>
      </c>
      <c r="AA5876" s="19" t="str">
        <f>HYPERLINK("https://ssdweb.co/ssdweb/CERTH/626457266.pdf","CERTI")</f>
        <v>CERTI</v>
      </c>
    </row>
    <row r="5877" spans="1:27" ht="15" x14ac:dyDescent="0.25">
      <c r="A5877" s="2">
        <v>5872</v>
      </c>
      <c r="B5877" s="39">
        <v>926071947</v>
      </c>
      <c r="C5877" s="28" t="str">
        <f>HYPERLINK("https://pld.live/RapDetail.aspx?STONELIST=926071947","DNA")</f>
        <v>DNA</v>
      </c>
      <c r="D5877" s="18" t="s">
        <v>711</v>
      </c>
      <c r="E5877" s="18" t="s">
        <v>5128</v>
      </c>
      <c r="F5877" s="2" t="s">
        <v>7987</v>
      </c>
      <c r="G5877" s="2" t="s">
        <v>5134</v>
      </c>
      <c r="H5877" s="14">
        <v>1.54</v>
      </c>
      <c r="I5877" s="2" t="s">
        <v>267</v>
      </c>
      <c r="J5877" s="2" t="s">
        <v>13</v>
      </c>
      <c r="K5877" s="2" t="s">
        <v>1452</v>
      </c>
      <c r="L5877" s="2" t="s">
        <v>5221</v>
      </c>
      <c r="M5877" s="2" t="s">
        <v>5221</v>
      </c>
      <c r="N5877" s="2" t="s">
        <v>2317</v>
      </c>
      <c r="O5877" s="14">
        <v>11600</v>
      </c>
      <c r="P5877" s="14">
        <v>98.83</v>
      </c>
      <c r="Q5877" s="14">
        <v>135.72</v>
      </c>
      <c r="R5877" s="14">
        <v>209.01</v>
      </c>
      <c r="S5877" s="2" t="s">
        <v>1027</v>
      </c>
      <c r="T5877" s="2">
        <v>0.9</v>
      </c>
      <c r="U5877" s="2">
        <v>57.3</v>
      </c>
      <c r="V5877" s="2">
        <v>63</v>
      </c>
      <c r="W5877" s="2" t="s">
        <v>7862</v>
      </c>
      <c r="X5877" s="2" t="s">
        <v>3061</v>
      </c>
      <c r="Y5877" s="2">
        <v>17864</v>
      </c>
      <c r="Z5877" s="19" t="str">
        <f>HYPERLINK("https://ssdweb.co/ssdweb/hd/Vision360.html?d=926071947&amp;zoomslide=1&amp;z=1926071947&amp;ISCONFIRM=0","VIDEO")</f>
        <v>VIDEO</v>
      </c>
      <c r="AA5877" s="19" t="str">
        <f>HYPERLINK("https://ssdweb.co/ssdweb/CERTH/632449565.pdf","CERTI")</f>
        <v>CERTI</v>
      </c>
    </row>
    <row r="5878" spans="1:27" ht="15" x14ac:dyDescent="0.25">
      <c r="A5878" s="2">
        <v>5873</v>
      </c>
      <c r="B5878" s="39">
        <v>925980898</v>
      </c>
      <c r="C5878" s="28" t="str">
        <f>HYPERLINK("https://pld.live/RapDetail.aspx?STONELIST=925980898","DNA")</f>
        <v>DNA</v>
      </c>
      <c r="D5878" s="18" t="s">
        <v>711</v>
      </c>
      <c r="E5878" s="18" t="s">
        <v>5128</v>
      </c>
      <c r="F5878" s="2" t="s">
        <v>7987</v>
      </c>
      <c r="G5878" s="2" t="s">
        <v>5134</v>
      </c>
      <c r="H5878" s="14">
        <v>1.53</v>
      </c>
      <c r="I5878" s="2" t="s">
        <v>267</v>
      </c>
      <c r="J5878" s="2" t="s">
        <v>7032</v>
      </c>
      <c r="K5878" s="2" t="s">
        <v>1452</v>
      </c>
      <c r="L5878" s="2" t="s">
        <v>5221</v>
      </c>
      <c r="M5878" s="2" t="s">
        <v>5221</v>
      </c>
      <c r="N5878" s="2" t="s">
        <v>2317</v>
      </c>
      <c r="O5878" s="14">
        <v>14100</v>
      </c>
      <c r="P5878" s="14">
        <v>96.88</v>
      </c>
      <c r="Q5878" s="14">
        <v>439.92</v>
      </c>
      <c r="R5878" s="14">
        <v>673.08</v>
      </c>
      <c r="S5878" s="2" t="s">
        <v>1893</v>
      </c>
      <c r="T5878" s="2">
        <v>0.86</v>
      </c>
      <c r="U5878" s="2">
        <v>59.7</v>
      </c>
      <c r="V5878" s="2">
        <v>62</v>
      </c>
      <c r="W5878" s="2" t="s">
        <v>7862</v>
      </c>
      <c r="X5878" s="2" t="s">
        <v>3061</v>
      </c>
      <c r="Y5878" s="2">
        <v>21573</v>
      </c>
      <c r="Z5878" s="19" t="str">
        <f>HYPERLINK("https://ssdweb.co/ssdweb/hd/Vision360.html?d=925980898&amp;zoomslide=1&amp;z=1925980898&amp;ISCONFIRM=0","VIDEO")</f>
        <v>VIDEO</v>
      </c>
      <c r="AA5878" s="19" t="str">
        <f>HYPERLINK("https://ssdweb.co/ssdweb/CERTH/629453271.pdf","CERTI")</f>
        <v>CERTI</v>
      </c>
    </row>
    <row r="5879" spans="1:27" ht="15" x14ac:dyDescent="0.25">
      <c r="A5879" s="2">
        <v>5874</v>
      </c>
      <c r="B5879" s="39">
        <v>925801847</v>
      </c>
      <c r="C5879" s="28" t="str">
        <f>HYPERLINK("https://pld.live/RapDetail.aspx?STONELIST=925801847","DNA")</f>
        <v>DNA</v>
      </c>
      <c r="D5879" s="18" t="s">
        <v>711</v>
      </c>
      <c r="E5879" s="18" t="s">
        <v>5128</v>
      </c>
      <c r="F5879" s="2" t="s">
        <v>7987</v>
      </c>
      <c r="G5879" s="2" t="s">
        <v>5134</v>
      </c>
      <c r="H5879" s="14">
        <v>1.53</v>
      </c>
      <c r="I5879" s="2" t="s">
        <v>267</v>
      </c>
      <c r="J5879" s="2" t="s">
        <v>6555</v>
      </c>
      <c r="K5879" s="2" t="s">
        <v>1452</v>
      </c>
      <c r="L5879" s="2" t="s">
        <v>5221</v>
      </c>
      <c r="M5879" s="2" t="s">
        <v>5221</v>
      </c>
      <c r="N5879" s="2" t="s">
        <v>2317</v>
      </c>
      <c r="O5879" s="14">
        <v>13200</v>
      </c>
      <c r="P5879" s="14">
        <v>98.52</v>
      </c>
      <c r="Q5879" s="14">
        <v>195.36</v>
      </c>
      <c r="R5879" s="14">
        <v>298.89999999999998</v>
      </c>
      <c r="S5879" s="2" t="s">
        <v>4667</v>
      </c>
      <c r="T5879" s="2">
        <v>0.87</v>
      </c>
      <c r="U5879" s="2">
        <v>56.2</v>
      </c>
      <c r="V5879" s="2">
        <v>61</v>
      </c>
      <c r="W5879" s="2" t="s">
        <v>7862</v>
      </c>
      <c r="X5879" s="2" t="s">
        <v>3061</v>
      </c>
      <c r="Y5879" s="2">
        <v>20196</v>
      </c>
      <c r="Z5879" s="19" t="str">
        <f>HYPERLINK("https://ssdweb.co/ssdweb/hd/Vision360.html?d=925801847&amp;zoomslide=1&amp;z=1925801847&amp;ISCONFIRM=0","VIDEO")</f>
        <v>VIDEO</v>
      </c>
      <c r="AA5879" s="19" t="str">
        <f>HYPERLINK("https://ssdweb.co/ssdweb/CERTH/627471568.pdf","CERTI")</f>
        <v>CERTI</v>
      </c>
    </row>
    <row r="5880" spans="1:27" ht="15" x14ac:dyDescent="0.25">
      <c r="A5880" s="2">
        <v>5875</v>
      </c>
      <c r="B5880" s="39">
        <v>926041310</v>
      </c>
      <c r="C5880" s="28" t="str">
        <f>HYPERLINK("https://pld.live/RapDetail.aspx?STONELIST=926041310","DNA")</f>
        <v>DNA</v>
      </c>
      <c r="D5880" s="18" t="s">
        <v>711</v>
      </c>
      <c r="E5880" s="18" t="s">
        <v>5128</v>
      </c>
      <c r="F5880" s="2" t="s">
        <v>7987</v>
      </c>
      <c r="G5880" s="2" t="s">
        <v>5134</v>
      </c>
      <c r="H5880" s="14">
        <v>1.53</v>
      </c>
      <c r="I5880" s="2" t="s">
        <v>267</v>
      </c>
      <c r="J5880" s="2" t="s">
        <v>6555</v>
      </c>
      <c r="K5880" s="2" t="s">
        <v>1452</v>
      </c>
      <c r="L5880" s="2" t="s">
        <v>5221</v>
      </c>
      <c r="M5880" s="2" t="s">
        <v>5221</v>
      </c>
      <c r="N5880" s="2" t="s">
        <v>2317</v>
      </c>
      <c r="O5880" s="14">
        <v>13200</v>
      </c>
      <c r="P5880" s="14">
        <v>98.52</v>
      </c>
      <c r="Q5880" s="14">
        <v>195.36</v>
      </c>
      <c r="R5880" s="14">
        <v>298.89999999999998</v>
      </c>
      <c r="S5880" s="2" t="s">
        <v>7643</v>
      </c>
      <c r="T5880" s="2">
        <v>0.89</v>
      </c>
      <c r="U5880" s="2">
        <v>59.6</v>
      </c>
      <c r="V5880" s="2">
        <v>64</v>
      </c>
      <c r="W5880" s="2" t="s">
        <v>7862</v>
      </c>
      <c r="X5880" s="2" t="s">
        <v>3061</v>
      </c>
      <c r="Y5880" s="2">
        <v>20196</v>
      </c>
      <c r="Z5880" s="19" t="str">
        <f>HYPERLINK("https://ssdweb.co/ssdweb/hd/Vision360.html?d=926041310&amp;zoomslide=1&amp;z=1926041310&amp;ISCONFIRM=0","VIDEO")</f>
        <v>VIDEO</v>
      </c>
      <c r="AA5880" s="19" t="str">
        <f>HYPERLINK("https://ssdweb.co/ssdweb/CERTH/632403837.pdf","CERTI")</f>
        <v>CERTI</v>
      </c>
    </row>
    <row r="5881" spans="1:27" ht="15" x14ac:dyDescent="0.25">
      <c r="A5881" s="2">
        <v>5876</v>
      </c>
      <c r="B5881" s="39">
        <v>925300366</v>
      </c>
      <c r="C5881" s="28" t="str">
        <f>HYPERLINK("https://pld.live/RapDetail.aspx?STONELIST=925300366","DNA")</f>
        <v>DNA</v>
      </c>
      <c r="D5881" s="18" t="s">
        <v>711</v>
      </c>
      <c r="E5881" s="18" t="s">
        <v>5128</v>
      </c>
      <c r="F5881" s="2" t="s">
        <v>5597</v>
      </c>
      <c r="G5881" s="2" t="s">
        <v>5134</v>
      </c>
      <c r="H5881" s="14">
        <v>1.53</v>
      </c>
      <c r="I5881" s="2" t="s">
        <v>267</v>
      </c>
      <c r="J5881" s="2" t="s">
        <v>3942</v>
      </c>
      <c r="K5881" s="2" t="s">
        <v>1452</v>
      </c>
      <c r="L5881" s="2" t="s">
        <v>5221</v>
      </c>
      <c r="M5881" s="2" t="s">
        <v>5721</v>
      </c>
      <c r="N5881" s="2" t="s">
        <v>2317</v>
      </c>
      <c r="O5881" s="14">
        <v>12500</v>
      </c>
      <c r="P5881" s="14">
        <v>98.08</v>
      </c>
      <c r="Q5881" s="14">
        <v>240</v>
      </c>
      <c r="R5881" s="14">
        <v>367.2</v>
      </c>
      <c r="S5881" s="2" t="s">
        <v>1590</v>
      </c>
      <c r="T5881" s="2">
        <v>0.91</v>
      </c>
      <c r="U5881" s="2">
        <v>58.8</v>
      </c>
      <c r="V5881" s="2">
        <v>60</v>
      </c>
      <c r="W5881" s="2" t="s">
        <v>7862</v>
      </c>
      <c r="X5881" s="2" t="s">
        <v>3061</v>
      </c>
      <c r="Y5881" s="2">
        <v>19125</v>
      </c>
      <c r="Z5881" s="19" t="str">
        <f>HYPERLINK("https://ssdweb.co/ssdweb/hd/Vision360.html?d=925300366&amp;zoomslide=1&amp;z=1925300366&amp;ISCONFIRM=0","VIDEO")</f>
        <v>VIDEO</v>
      </c>
      <c r="AA5881" s="19" t="str">
        <f>HYPERLINK("https://ssdweb.co/ssdweb/CERTH/1489686894.pdf","CERTI")</f>
        <v>CERTI</v>
      </c>
    </row>
    <row r="5882" spans="1:27" ht="15" x14ac:dyDescent="0.25">
      <c r="A5882" s="2">
        <v>5877</v>
      </c>
      <c r="B5882" s="39">
        <v>925961365</v>
      </c>
      <c r="C5882" s="28" t="str">
        <f>HYPERLINK("https://pld.live/RapDetail.aspx?STONELIST=925961365","DNA")</f>
        <v>DNA</v>
      </c>
      <c r="D5882" s="18" t="s">
        <v>711</v>
      </c>
      <c r="E5882" s="18" t="s">
        <v>5128</v>
      </c>
      <c r="F5882" s="2" t="s">
        <v>7987</v>
      </c>
      <c r="G5882" s="2" t="s">
        <v>5134</v>
      </c>
      <c r="H5882" s="14">
        <v>1.53</v>
      </c>
      <c r="I5882" s="2" t="s">
        <v>267</v>
      </c>
      <c r="J5882" s="2" t="s">
        <v>13</v>
      </c>
      <c r="K5882" s="2" t="s">
        <v>1452</v>
      </c>
      <c r="L5882" s="2" t="s">
        <v>5221</v>
      </c>
      <c r="M5882" s="2" t="s">
        <v>5221</v>
      </c>
      <c r="N5882" s="2" t="s">
        <v>2317</v>
      </c>
      <c r="O5882" s="14">
        <v>11600</v>
      </c>
      <c r="P5882" s="14">
        <v>98.83</v>
      </c>
      <c r="Q5882" s="14">
        <v>135.72</v>
      </c>
      <c r="R5882" s="14">
        <v>207.65</v>
      </c>
      <c r="S5882" s="2" t="s">
        <v>6011</v>
      </c>
      <c r="T5882" s="2">
        <v>0.86</v>
      </c>
      <c r="U5882" s="2">
        <v>59.3</v>
      </c>
      <c r="V5882" s="2">
        <v>63</v>
      </c>
      <c r="W5882" s="2" t="s">
        <v>7862</v>
      </c>
      <c r="X5882" s="2" t="s">
        <v>3061</v>
      </c>
      <c r="Y5882" s="2">
        <v>17748</v>
      </c>
      <c r="Z5882" s="19" t="str">
        <f>HYPERLINK("https://ssdweb.co/ssdweb/hd/Vision360.html?d=925961365&amp;zoomslide=1&amp;z=1925961365&amp;ISCONFIRM=0","VIDEO")</f>
        <v>VIDEO</v>
      </c>
      <c r="AA5882" s="19" t="str">
        <f>HYPERLINK("https://ssdweb.co/ssdweb/CERTH/630447870.pdf","CERTI")</f>
        <v>CERTI</v>
      </c>
    </row>
    <row r="5883" spans="1:27" ht="15" x14ac:dyDescent="0.25">
      <c r="A5883" s="2">
        <v>5878</v>
      </c>
      <c r="B5883" s="39">
        <v>925802076</v>
      </c>
      <c r="C5883" s="28" t="str">
        <f>HYPERLINK("https://pld.live/RapDetail.aspx?STONELIST=925802076","DNA")</f>
        <v>DNA</v>
      </c>
      <c r="D5883" s="18" t="s">
        <v>711</v>
      </c>
      <c r="E5883" s="18" t="s">
        <v>5128</v>
      </c>
      <c r="F5883" s="2" t="s">
        <v>7987</v>
      </c>
      <c r="G5883" s="2" t="s">
        <v>5134</v>
      </c>
      <c r="H5883" s="14">
        <v>1.53</v>
      </c>
      <c r="I5883" s="2" t="s">
        <v>267</v>
      </c>
      <c r="J5883" s="2" t="s">
        <v>13</v>
      </c>
      <c r="K5883" s="2" t="s">
        <v>1452</v>
      </c>
      <c r="L5883" s="2" t="s">
        <v>5221</v>
      </c>
      <c r="M5883" s="2" t="s">
        <v>5721</v>
      </c>
      <c r="N5883" s="2" t="s">
        <v>2317</v>
      </c>
      <c r="O5883" s="14">
        <v>11600</v>
      </c>
      <c r="P5883" s="14">
        <v>98.84</v>
      </c>
      <c r="Q5883" s="14">
        <v>134.56</v>
      </c>
      <c r="R5883" s="14">
        <v>205.88</v>
      </c>
      <c r="S5883" s="2" t="s">
        <v>8083</v>
      </c>
      <c r="T5883" s="2">
        <v>0.92</v>
      </c>
      <c r="U5883" s="2">
        <v>57.8</v>
      </c>
      <c r="V5883" s="2">
        <v>59</v>
      </c>
      <c r="W5883" s="2" t="s">
        <v>7862</v>
      </c>
      <c r="X5883" s="2" t="s">
        <v>3061</v>
      </c>
      <c r="Y5883" s="2">
        <v>17748</v>
      </c>
      <c r="Z5883" s="19" t="str">
        <f>HYPERLINK("https://ssdweb.co/ssdweb/hd/Vision360.html?d=925802076&amp;zoomslide=1&amp;z=1925802076&amp;ISCONFIRM=0","VIDEO")</f>
        <v>VIDEO</v>
      </c>
      <c r="AA5883" s="19" t="str">
        <f>HYPERLINK("https://ssdweb.co/ssdweb/CERTH/629453390.pdf","CERTI")</f>
        <v>CERTI</v>
      </c>
    </row>
    <row r="5884" spans="1:27" ht="15" x14ac:dyDescent="0.25">
      <c r="A5884" s="2">
        <v>5879</v>
      </c>
      <c r="B5884" s="39">
        <v>925961312</v>
      </c>
      <c r="C5884" s="28" t="str">
        <f>HYPERLINK("https://pld.live/RapDetail.aspx?STONELIST=925961312","DNA")</f>
        <v>DNA</v>
      </c>
      <c r="D5884" s="18" t="s">
        <v>711</v>
      </c>
      <c r="E5884" s="18" t="s">
        <v>5128</v>
      </c>
      <c r="F5884" s="2" t="s">
        <v>7987</v>
      </c>
      <c r="G5884" s="2" t="s">
        <v>5134</v>
      </c>
      <c r="H5884" s="14">
        <v>1.53</v>
      </c>
      <c r="I5884" s="2" t="s">
        <v>4761</v>
      </c>
      <c r="J5884" s="2" t="s">
        <v>3942</v>
      </c>
      <c r="K5884" s="2" t="s">
        <v>1452</v>
      </c>
      <c r="L5884" s="2" t="s">
        <v>5221</v>
      </c>
      <c r="M5884" s="2" t="s">
        <v>5221</v>
      </c>
      <c r="N5884" s="2" t="s">
        <v>2317</v>
      </c>
      <c r="O5884" s="14">
        <v>11600</v>
      </c>
      <c r="P5884" s="14">
        <v>98.81</v>
      </c>
      <c r="Q5884" s="14">
        <v>138.04</v>
      </c>
      <c r="R5884" s="14">
        <v>211.2</v>
      </c>
      <c r="S5884" s="2" t="s">
        <v>2543</v>
      </c>
      <c r="T5884" s="2">
        <v>0.9</v>
      </c>
      <c r="U5884" s="2">
        <v>55.9</v>
      </c>
      <c r="V5884" s="2">
        <v>63</v>
      </c>
      <c r="W5884" s="2" t="s">
        <v>7862</v>
      </c>
      <c r="X5884" s="2" t="s">
        <v>3061</v>
      </c>
      <c r="Y5884" s="2">
        <v>17748</v>
      </c>
      <c r="Z5884" s="19" t="str">
        <f>HYPERLINK("https://ssdweb.co/ssdweb/hd/Vision360.html?d=925961312&amp;zoomslide=1&amp;z=1925961312&amp;ISCONFIRM=0","VIDEO")</f>
        <v>VIDEO</v>
      </c>
      <c r="AA5884" s="19" t="str">
        <f>HYPERLINK("https://ssdweb.co/ssdweb/CERTH/629478995.pdf","CERTI")</f>
        <v>CERTI</v>
      </c>
    </row>
    <row r="5885" spans="1:27" ht="15" x14ac:dyDescent="0.25">
      <c r="A5885" s="2">
        <v>5880</v>
      </c>
      <c r="B5885" s="39">
        <v>925300370</v>
      </c>
      <c r="C5885" s="28" t="str">
        <f>HYPERLINK("https://pld.live/RapDetail.aspx?STONELIST=925300370","DNA")</f>
        <v>DNA</v>
      </c>
      <c r="D5885" s="18" t="s">
        <v>711</v>
      </c>
      <c r="E5885" s="18" t="s">
        <v>5128</v>
      </c>
      <c r="F5885" s="2" t="s">
        <v>7987</v>
      </c>
      <c r="G5885" s="2" t="s">
        <v>5134</v>
      </c>
      <c r="H5885" s="14">
        <v>1.52</v>
      </c>
      <c r="I5885" s="2" t="s">
        <v>267</v>
      </c>
      <c r="J5885" s="2" t="s">
        <v>7032</v>
      </c>
      <c r="K5885" s="2" t="s">
        <v>1452</v>
      </c>
      <c r="L5885" s="2" t="s">
        <v>5221</v>
      </c>
      <c r="M5885" s="2" t="s">
        <v>5221</v>
      </c>
      <c r="N5885" s="2" t="s">
        <v>2317</v>
      </c>
      <c r="O5885" s="14">
        <v>14100</v>
      </c>
      <c r="P5885" s="14">
        <v>96.88</v>
      </c>
      <c r="Q5885" s="14">
        <v>439.92</v>
      </c>
      <c r="R5885" s="14">
        <v>668.68</v>
      </c>
      <c r="S5885" s="2" t="s">
        <v>7099</v>
      </c>
      <c r="T5885" s="2">
        <v>0.87</v>
      </c>
      <c r="U5885" s="2">
        <v>59</v>
      </c>
      <c r="V5885" s="2">
        <v>59</v>
      </c>
      <c r="W5885" s="2" t="s">
        <v>7862</v>
      </c>
      <c r="X5885" s="2" t="s">
        <v>3061</v>
      </c>
      <c r="Y5885" s="2">
        <v>21432</v>
      </c>
      <c r="Z5885" s="19" t="str">
        <f>HYPERLINK("https://ssdweb.co/ssdweb/hd/Vision360.html?d=925300370&amp;zoomslide=1&amp;z=1925300370&amp;ISCONFIRM=0","VIDEO")</f>
        <v>VIDEO</v>
      </c>
      <c r="AA5885" s="19" t="str">
        <f>HYPERLINK("https://ssdweb.co/ssdweb/CERTH/624499617.pdf","CERTI")</f>
        <v>CERTI</v>
      </c>
    </row>
    <row r="5886" spans="1:27" ht="15" x14ac:dyDescent="0.25">
      <c r="A5886" s="2">
        <v>5881</v>
      </c>
      <c r="B5886" s="39">
        <v>925300375</v>
      </c>
      <c r="C5886" s="28" t="str">
        <f>HYPERLINK("https://pld.live/RapDetail.aspx?STONELIST=925300375","DNA")</f>
        <v>DNA</v>
      </c>
      <c r="D5886" s="18" t="s">
        <v>711</v>
      </c>
      <c r="E5886" s="18" t="s">
        <v>5128</v>
      </c>
      <c r="F5886" s="2" t="s">
        <v>5597</v>
      </c>
      <c r="G5886" s="2" t="s">
        <v>5134</v>
      </c>
      <c r="H5886" s="14">
        <v>1.52</v>
      </c>
      <c r="I5886" s="2" t="s">
        <v>267</v>
      </c>
      <c r="J5886" s="2" t="s">
        <v>6555</v>
      </c>
      <c r="K5886" s="2" t="s">
        <v>1452</v>
      </c>
      <c r="L5886" s="2" t="s">
        <v>5221</v>
      </c>
      <c r="M5886" s="2" t="s">
        <v>5221</v>
      </c>
      <c r="N5886" s="2" t="s">
        <v>2317</v>
      </c>
      <c r="O5886" s="14">
        <v>13200</v>
      </c>
      <c r="P5886" s="14">
        <v>97.73</v>
      </c>
      <c r="Q5886" s="14">
        <v>299.64</v>
      </c>
      <c r="R5886" s="14">
        <v>455.45</v>
      </c>
      <c r="S5886" s="2" t="s">
        <v>2791</v>
      </c>
      <c r="T5886" s="2">
        <v>0.88</v>
      </c>
      <c r="U5886" s="2">
        <v>59.6</v>
      </c>
      <c r="V5886" s="2">
        <v>61</v>
      </c>
      <c r="W5886" s="2" t="s">
        <v>7862</v>
      </c>
      <c r="X5886" s="2" t="s">
        <v>3061</v>
      </c>
      <c r="Y5886" s="2">
        <v>20064</v>
      </c>
      <c r="Z5886" s="19" t="str">
        <f>HYPERLINK("https://ssdweb.co/ssdweb/hd/Vision360.html?d=925300375&amp;zoomslide=1&amp;z=1925300375&amp;ISCONFIRM=0","VIDEO")</f>
        <v>VIDEO</v>
      </c>
      <c r="AA5886" s="19" t="str">
        <f>HYPERLINK("https://ssdweb.co/ssdweb/CERTH/2484733299.pdf","CERTI")</f>
        <v>CERTI</v>
      </c>
    </row>
    <row r="5887" spans="1:27" ht="15" x14ac:dyDescent="0.25">
      <c r="A5887" s="2">
        <v>5882</v>
      </c>
      <c r="B5887" s="39">
        <v>925951278</v>
      </c>
      <c r="C5887" s="28" t="str">
        <f>HYPERLINK("https://pld.live/RapDetail.aspx?STONELIST=925951278","DNA")</f>
        <v>DNA</v>
      </c>
      <c r="D5887" s="18" t="s">
        <v>711</v>
      </c>
      <c r="E5887" s="18" t="s">
        <v>5128</v>
      </c>
      <c r="F5887" s="2" t="s">
        <v>7987</v>
      </c>
      <c r="G5887" s="2" t="s">
        <v>5134</v>
      </c>
      <c r="H5887" s="14">
        <v>1.52</v>
      </c>
      <c r="I5887" s="2" t="s">
        <v>267</v>
      </c>
      <c r="J5887" s="2" t="s">
        <v>13</v>
      </c>
      <c r="K5887" s="2" t="s">
        <v>1452</v>
      </c>
      <c r="L5887" s="2" t="s">
        <v>5221</v>
      </c>
      <c r="M5887" s="2" t="s">
        <v>5221</v>
      </c>
      <c r="N5887" s="2" t="s">
        <v>2317</v>
      </c>
      <c r="O5887" s="14">
        <v>11600</v>
      </c>
      <c r="P5887" s="14">
        <v>98.83</v>
      </c>
      <c r="Q5887" s="14">
        <v>135.72</v>
      </c>
      <c r="R5887" s="14">
        <v>206.29</v>
      </c>
      <c r="S5887" s="2" t="s">
        <v>1719</v>
      </c>
      <c r="T5887" s="2">
        <v>0.84</v>
      </c>
      <c r="U5887" s="2">
        <v>60.8</v>
      </c>
      <c r="V5887" s="2">
        <v>63</v>
      </c>
      <c r="W5887" s="2" t="s">
        <v>7862</v>
      </c>
      <c r="X5887" s="2" t="s">
        <v>3061</v>
      </c>
      <c r="Y5887" s="2">
        <v>17632</v>
      </c>
      <c r="Z5887" s="19" t="str">
        <f>HYPERLINK("https://ssdweb.co/ssdweb/hd/Vision360.html?d=925951278&amp;zoomslide=1&amp;z=1925951278&amp;ISCONFIRM=0","VIDEO")</f>
        <v>VIDEO</v>
      </c>
      <c r="AA5887" s="19" t="str">
        <f>HYPERLINK("https://ssdweb.co/ssdweb/CERTH/629479144.pdf","CERTI")</f>
        <v>CERTI</v>
      </c>
    </row>
    <row r="5888" spans="1:27" ht="15" x14ac:dyDescent="0.25">
      <c r="A5888" s="2">
        <v>5883</v>
      </c>
      <c r="B5888" s="39">
        <v>925950899</v>
      </c>
      <c r="C5888" s="28" t="str">
        <f>HYPERLINK("https://pld.live/RapDetail.aspx?STONELIST=925950899","DNA")</f>
        <v>DNA</v>
      </c>
      <c r="D5888" s="18" t="s">
        <v>711</v>
      </c>
      <c r="E5888" s="18" t="s">
        <v>5128</v>
      </c>
      <c r="F5888" s="2" t="s">
        <v>7987</v>
      </c>
      <c r="G5888" s="2" t="s">
        <v>5134</v>
      </c>
      <c r="H5888" s="14">
        <v>1.52</v>
      </c>
      <c r="I5888" s="2" t="s">
        <v>267</v>
      </c>
      <c r="J5888" s="2" t="s">
        <v>13</v>
      </c>
      <c r="K5888" s="2" t="s">
        <v>1452</v>
      </c>
      <c r="L5888" s="2" t="s">
        <v>5221</v>
      </c>
      <c r="M5888" s="2" t="s">
        <v>5221</v>
      </c>
      <c r="N5888" s="2" t="s">
        <v>2317</v>
      </c>
      <c r="O5888" s="14">
        <v>11600</v>
      </c>
      <c r="P5888" s="14">
        <v>98.83</v>
      </c>
      <c r="Q5888" s="14">
        <v>135.72</v>
      </c>
      <c r="R5888" s="14">
        <v>206.29</v>
      </c>
      <c r="S5888" s="2" t="s">
        <v>1029</v>
      </c>
      <c r="T5888" s="2">
        <v>0.88</v>
      </c>
      <c r="U5888" s="2">
        <v>59.9</v>
      </c>
      <c r="V5888" s="2">
        <v>62</v>
      </c>
      <c r="W5888" s="2" t="s">
        <v>7862</v>
      </c>
      <c r="X5888" s="2" t="s">
        <v>3061</v>
      </c>
      <c r="Y5888" s="2">
        <v>17632</v>
      </c>
      <c r="Z5888" s="19" t="str">
        <f>HYPERLINK("https://ssdweb.co/ssdweb/hd/Vision360.html?d=925950899&amp;zoomslide=1&amp;z=1925950899&amp;ISCONFIRM=0","VIDEO")</f>
        <v>VIDEO</v>
      </c>
      <c r="AA5888" s="19" t="str">
        <f>HYPERLINK("https://ssdweb.co/ssdweb/CERTH/628426970.pdf","CERTI")</f>
        <v>CERTI</v>
      </c>
    </row>
    <row r="5889" spans="1:27" ht="15" x14ac:dyDescent="0.25">
      <c r="A5889" s="2">
        <v>5884</v>
      </c>
      <c r="B5889" s="39">
        <v>925722052</v>
      </c>
      <c r="C5889" s="28" t="str">
        <f>HYPERLINK("https://pld.live/RapDetail.aspx?STONELIST=925722052","DNA")</f>
        <v>DNA</v>
      </c>
      <c r="D5889" s="18" t="s">
        <v>711</v>
      </c>
      <c r="E5889" s="18" t="s">
        <v>5128</v>
      </c>
      <c r="F5889" s="2" t="s">
        <v>7987</v>
      </c>
      <c r="G5889" s="2" t="s">
        <v>5134</v>
      </c>
      <c r="H5889" s="14">
        <v>1.52</v>
      </c>
      <c r="I5889" s="2" t="s">
        <v>267</v>
      </c>
      <c r="J5889" s="2" t="s">
        <v>13</v>
      </c>
      <c r="K5889" s="2" t="s">
        <v>1452</v>
      </c>
      <c r="L5889" s="2" t="s">
        <v>5221</v>
      </c>
      <c r="M5889" s="2" t="s">
        <v>5221</v>
      </c>
      <c r="N5889" s="2" t="s">
        <v>2317</v>
      </c>
      <c r="O5889" s="14">
        <v>11600</v>
      </c>
      <c r="P5889" s="14">
        <v>98.83</v>
      </c>
      <c r="Q5889" s="14">
        <v>135.72</v>
      </c>
      <c r="R5889" s="14">
        <v>206.29</v>
      </c>
      <c r="S5889" s="2" t="s">
        <v>5389</v>
      </c>
      <c r="T5889" s="2">
        <v>0.85</v>
      </c>
      <c r="U5889" s="2">
        <v>60.1</v>
      </c>
      <c r="V5889" s="2">
        <v>61</v>
      </c>
      <c r="W5889" s="2" t="s">
        <v>7862</v>
      </c>
      <c r="X5889" s="2" t="s">
        <v>3061</v>
      </c>
      <c r="Y5889" s="2">
        <v>17632</v>
      </c>
      <c r="Z5889" s="19" t="str">
        <f>HYPERLINK("https://ssdweb.co/ssdweb/hd/Vision360.html?d=925722052&amp;zoomslide=1&amp;z=1925722052&amp;ISCONFIRM=0","VIDEO")</f>
        <v>VIDEO</v>
      </c>
      <c r="AA5889" s="19" t="str">
        <f>HYPERLINK("https://ssdweb.co/ssdweb/CERTH/625432348.pdf","CERTI")</f>
        <v>CERTI</v>
      </c>
    </row>
    <row r="5890" spans="1:27" ht="15" x14ac:dyDescent="0.25">
      <c r="A5890" s="2">
        <v>5885</v>
      </c>
      <c r="B5890" s="39">
        <v>926101680</v>
      </c>
      <c r="C5890" s="28" t="str">
        <f>HYPERLINK("https://pld.live/RapDetail.aspx?STONELIST=926101680","DNA")</f>
        <v>DNA</v>
      </c>
      <c r="D5890" s="18" t="s">
        <v>711</v>
      </c>
      <c r="E5890" s="18" t="s">
        <v>5128</v>
      </c>
      <c r="F5890" s="2" t="s">
        <v>7987</v>
      </c>
      <c r="G5890" s="2" t="s">
        <v>5134</v>
      </c>
      <c r="H5890" s="14">
        <v>1.52</v>
      </c>
      <c r="I5890" s="2" t="s">
        <v>267</v>
      </c>
      <c r="J5890" s="2" t="s">
        <v>13</v>
      </c>
      <c r="K5890" s="2" t="s">
        <v>1452</v>
      </c>
      <c r="L5890" s="2" t="s">
        <v>5221</v>
      </c>
      <c r="M5890" s="2" t="s">
        <v>5221</v>
      </c>
      <c r="N5890" s="2" t="s">
        <v>2317</v>
      </c>
      <c r="O5890" s="14">
        <v>11600</v>
      </c>
      <c r="P5890" s="14">
        <v>98.83</v>
      </c>
      <c r="Q5890" s="14">
        <v>135.72</v>
      </c>
      <c r="R5890" s="14">
        <v>206.29</v>
      </c>
      <c r="S5890" s="2" t="s">
        <v>7568</v>
      </c>
      <c r="T5890" s="2">
        <v>0.86</v>
      </c>
      <c r="U5890" s="2">
        <v>57.8</v>
      </c>
      <c r="V5890" s="2">
        <v>61</v>
      </c>
      <c r="W5890" s="2" t="s">
        <v>7862</v>
      </c>
      <c r="X5890" s="2" t="s">
        <v>3061</v>
      </c>
      <c r="Y5890" s="2">
        <v>17632</v>
      </c>
      <c r="Z5890" s="19" t="str">
        <f>HYPERLINK("https://ssdweb.co/ssdweb/hd/Vision360.html?d=926101680&amp;zoomslide=1&amp;z=1926101680&amp;ISCONFIRM=0","VIDEO")</f>
        <v>VIDEO</v>
      </c>
      <c r="AA5890" s="19" t="str">
        <f>HYPERLINK("https://ssdweb.co/ssdweb/CERTH/632449604.pdf","CERTI")</f>
        <v>CERTI</v>
      </c>
    </row>
    <row r="5891" spans="1:27" ht="15" x14ac:dyDescent="0.25">
      <c r="A5891" s="2">
        <v>5886</v>
      </c>
      <c r="B5891" s="39">
        <v>925951326</v>
      </c>
      <c r="C5891" s="28" t="str">
        <f>HYPERLINK("https://pld.live/RapDetail.aspx?STONELIST=925951326","DNA")</f>
        <v>DNA</v>
      </c>
      <c r="D5891" s="18" t="s">
        <v>711</v>
      </c>
      <c r="E5891" s="18" t="s">
        <v>5128</v>
      </c>
      <c r="F5891" s="2" t="s">
        <v>7987</v>
      </c>
      <c r="G5891" s="2" t="s">
        <v>5134</v>
      </c>
      <c r="H5891" s="14">
        <v>1.52</v>
      </c>
      <c r="I5891" s="2" t="s">
        <v>267</v>
      </c>
      <c r="J5891" s="2" t="s">
        <v>5144</v>
      </c>
      <c r="K5891" s="2" t="s">
        <v>1452</v>
      </c>
      <c r="L5891" s="2" t="s">
        <v>5221</v>
      </c>
      <c r="M5891" s="2" t="s">
        <v>5221</v>
      </c>
      <c r="N5891" s="2" t="s">
        <v>2317</v>
      </c>
      <c r="O5891" s="14">
        <v>9900</v>
      </c>
      <c r="P5891" s="14">
        <v>98.7</v>
      </c>
      <c r="Q5891" s="14">
        <v>128.69999999999999</v>
      </c>
      <c r="R5891" s="14">
        <v>195.62</v>
      </c>
      <c r="S5891" s="2" t="s">
        <v>5234</v>
      </c>
      <c r="T5891" s="2">
        <v>0.89</v>
      </c>
      <c r="U5891" s="2">
        <v>59.2</v>
      </c>
      <c r="V5891" s="2">
        <v>63</v>
      </c>
      <c r="W5891" s="2" t="s">
        <v>7862</v>
      </c>
      <c r="X5891" s="2" t="s">
        <v>3061</v>
      </c>
      <c r="Y5891" s="2">
        <v>15048</v>
      </c>
      <c r="Z5891" s="19" t="str">
        <f>HYPERLINK("https://ssdweb.co/ssdweb/hd/Vision360.html?d=925951326&amp;zoomslide=1&amp;z=1925951326&amp;ISCONFIRM=0","VIDEO")</f>
        <v>VIDEO</v>
      </c>
      <c r="AA5891" s="19" t="str">
        <f>HYPERLINK("https://ssdweb.co/ssdweb/CERTH/631404503.pdf","CERTI")</f>
        <v>CERTI</v>
      </c>
    </row>
    <row r="5892" spans="1:27" ht="15" x14ac:dyDescent="0.25">
      <c r="A5892" s="2">
        <v>5887</v>
      </c>
      <c r="B5892" s="39">
        <v>926841247</v>
      </c>
      <c r="C5892" s="28" t="str">
        <f>HYPERLINK("https://pld.live/RapDetail.aspx?STONELIST=926841247","DNA")</f>
        <v>DNA</v>
      </c>
      <c r="D5892" s="18" t="s">
        <v>711</v>
      </c>
      <c r="E5892" s="18" t="s">
        <v>2186</v>
      </c>
      <c r="F5892" s="2" t="s">
        <v>7987</v>
      </c>
      <c r="G5892" s="2" t="s">
        <v>5134</v>
      </c>
      <c r="H5892" s="14">
        <v>1.52</v>
      </c>
      <c r="I5892" s="2" t="s">
        <v>4761</v>
      </c>
      <c r="J5892" s="2" t="s">
        <v>3942</v>
      </c>
      <c r="K5892" s="2" t="s">
        <v>1452</v>
      </c>
      <c r="L5892" s="2" t="s">
        <v>5221</v>
      </c>
      <c r="M5892" s="2" t="s">
        <v>5221</v>
      </c>
      <c r="N5892" s="2" t="s">
        <v>2317</v>
      </c>
      <c r="O5892" s="14">
        <v>11600</v>
      </c>
      <c r="P5892" s="14">
        <v>98.81</v>
      </c>
      <c r="Q5892" s="14">
        <v>138.04</v>
      </c>
      <c r="R5892" s="14">
        <v>209.82</v>
      </c>
      <c r="S5892" s="2" t="s">
        <v>5989</v>
      </c>
      <c r="T5892" s="2">
        <v>0.91</v>
      </c>
      <c r="U5892" s="2">
        <v>56.6</v>
      </c>
      <c r="V5892" s="2">
        <v>62</v>
      </c>
      <c r="W5892" s="2" t="s">
        <v>7862</v>
      </c>
      <c r="X5892" s="2" t="s">
        <v>3061</v>
      </c>
      <c r="Y5892" s="2">
        <v>17632</v>
      </c>
      <c r="Z5892" s="19" t="str">
        <f>HYPERLINK("https://ssdweb.co/ssdweb/hd/Vision360.html?d=926841247&amp;zoomslide=1&amp;z=1926841247&amp;ISCONFIRM=0","VIDEO")</f>
        <v>VIDEO</v>
      </c>
      <c r="AA5892" s="19" t="str">
        <f>HYPERLINK("https://ssdweb.co/ssdweb/CERTH/656485763.pdf","CERTI")</f>
        <v>CERTI</v>
      </c>
    </row>
    <row r="5893" spans="1:27" ht="15" x14ac:dyDescent="0.25">
      <c r="A5893" s="2">
        <v>5888</v>
      </c>
      <c r="B5893" s="39">
        <v>927152984</v>
      </c>
      <c r="C5893" s="28" t="str">
        <f>HYPERLINK("https://pld.live/RapDetail.aspx?STONELIST=927152984","DNA")</f>
        <v>DNA</v>
      </c>
      <c r="D5893" s="18" t="s">
        <v>711</v>
      </c>
      <c r="E5893" s="18" t="s">
        <v>5128</v>
      </c>
      <c r="F5893" s="2" t="s">
        <v>7987</v>
      </c>
      <c r="G5893" s="2" t="s">
        <v>5134</v>
      </c>
      <c r="H5893" s="14">
        <v>1.52</v>
      </c>
      <c r="I5893" s="2" t="s">
        <v>4761</v>
      </c>
      <c r="J5893" s="2" t="s">
        <v>3942</v>
      </c>
      <c r="K5893" s="2" t="s">
        <v>1452</v>
      </c>
      <c r="L5893" s="2" t="s">
        <v>5221</v>
      </c>
      <c r="M5893" s="2" t="s">
        <v>5221</v>
      </c>
      <c r="N5893" s="2" t="s">
        <v>2317</v>
      </c>
      <c r="O5893" s="14">
        <v>11600</v>
      </c>
      <c r="P5893" s="14">
        <v>98.78</v>
      </c>
      <c r="Q5893" s="14">
        <v>141.52000000000001</v>
      </c>
      <c r="R5893" s="14">
        <v>215.11</v>
      </c>
      <c r="S5893" s="2" t="s">
        <v>2236</v>
      </c>
      <c r="T5893" s="2">
        <v>0.91</v>
      </c>
      <c r="U5893" s="2">
        <v>59.5</v>
      </c>
      <c r="V5893" s="2">
        <v>61</v>
      </c>
      <c r="W5893" s="2" t="s">
        <v>7862</v>
      </c>
      <c r="X5893" s="2" t="s">
        <v>3061</v>
      </c>
      <c r="Y5893" s="2">
        <v>17632</v>
      </c>
      <c r="Z5893" s="19" t="str">
        <f>HYPERLINK("https://ssdweb.co/ssdweb/hd/Vision360.html?d=927152984&amp;zoomslide=1&amp;z=1927152984&amp;ISCONFIRM=0","VIDEO")</f>
        <v>VIDEO</v>
      </c>
      <c r="AA5893" s="19" t="str">
        <f>HYPERLINK("https://ssdweb.co/ssdweb/CERTH/675596778.pdf","CERTI")</f>
        <v>CERTI</v>
      </c>
    </row>
    <row r="5894" spans="1:27" ht="15" x14ac:dyDescent="0.25">
      <c r="A5894" s="2">
        <v>5889</v>
      </c>
      <c r="B5894" s="39">
        <v>927152527</v>
      </c>
      <c r="C5894" s="28" t="str">
        <f>HYPERLINK("https://pld.live/RapDetail.aspx?STONELIST=927152527","DNA")</f>
        <v>DNA</v>
      </c>
      <c r="D5894" s="18" t="s">
        <v>711</v>
      </c>
      <c r="E5894" s="18" t="s">
        <v>5128</v>
      </c>
      <c r="F5894" s="2" t="s">
        <v>7987</v>
      </c>
      <c r="G5894" s="2" t="s">
        <v>5134</v>
      </c>
      <c r="H5894" s="14">
        <v>1.52</v>
      </c>
      <c r="I5894" s="2" t="s">
        <v>4761</v>
      </c>
      <c r="J5894" s="2" t="s">
        <v>3942</v>
      </c>
      <c r="K5894" s="2" t="s">
        <v>1452</v>
      </c>
      <c r="L5894" s="2" t="s">
        <v>5221</v>
      </c>
      <c r="M5894" s="2" t="s">
        <v>5221</v>
      </c>
      <c r="N5894" s="2" t="s">
        <v>2317</v>
      </c>
      <c r="O5894" s="14">
        <v>11600</v>
      </c>
      <c r="P5894" s="14">
        <v>98.78</v>
      </c>
      <c r="Q5894" s="14">
        <v>141.52000000000001</v>
      </c>
      <c r="R5894" s="14">
        <v>215.11</v>
      </c>
      <c r="S5894" s="2" t="s">
        <v>7852</v>
      </c>
      <c r="T5894" s="2">
        <v>0.9</v>
      </c>
      <c r="U5894" s="2">
        <v>59.4</v>
      </c>
      <c r="V5894" s="2">
        <v>61</v>
      </c>
      <c r="W5894" s="2" t="s">
        <v>7862</v>
      </c>
      <c r="X5894" s="2" t="s">
        <v>3061</v>
      </c>
      <c r="Y5894" s="2">
        <v>17632</v>
      </c>
      <c r="Z5894" s="19" t="str">
        <f>HYPERLINK("https://ssdweb.co/ssdweb/hd/Vision360.html?d=927152527&amp;zoomslide=1&amp;z=1927152527&amp;ISCONFIRM=0","VIDEO")</f>
        <v>VIDEO</v>
      </c>
      <c r="AA5894" s="19" t="str">
        <f>HYPERLINK("https://ssdweb.co/ssdweb/CERTH/670484523.pdf","CERTI")</f>
        <v>CERTI</v>
      </c>
    </row>
    <row r="5895" spans="1:27" ht="15" x14ac:dyDescent="0.25">
      <c r="A5895" s="2">
        <v>5890</v>
      </c>
      <c r="B5895" s="39">
        <v>926041316</v>
      </c>
      <c r="C5895" s="28" t="str">
        <f>HYPERLINK("https://pld.live/RapDetail.aspx?STONELIST=926041316","DNA")</f>
        <v>DNA</v>
      </c>
      <c r="D5895" s="18" t="s">
        <v>711</v>
      </c>
      <c r="E5895" s="18" t="s">
        <v>5128</v>
      </c>
      <c r="F5895" s="2" t="s">
        <v>7987</v>
      </c>
      <c r="G5895" s="2" t="s">
        <v>5134</v>
      </c>
      <c r="H5895" s="14">
        <v>1.52</v>
      </c>
      <c r="I5895" s="2" t="s">
        <v>4761</v>
      </c>
      <c r="J5895" s="2" t="s">
        <v>3942</v>
      </c>
      <c r="K5895" s="2" t="s">
        <v>1452</v>
      </c>
      <c r="L5895" s="2" t="s">
        <v>5221</v>
      </c>
      <c r="M5895" s="2" t="s">
        <v>5221</v>
      </c>
      <c r="N5895" s="2" t="s">
        <v>2317</v>
      </c>
      <c r="O5895" s="14">
        <v>11600</v>
      </c>
      <c r="P5895" s="14">
        <v>98.83</v>
      </c>
      <c r="Q5895" s="14">
        <v>135.72</v>
      </c>
      <c r="R5895" s="14">
        <v>206.29</v>
      </c>
      <c r="S5895" s="2" t="s">
        <v>5806</v>
      </c>
      <c r="T5895" s="2">
        <v>0.85</v>
      </c>
      <c r="U5895" s="2">
        <v>58.7</v>
      </c>
      <c r="V5895" s="2">
        <v>59</v>
      </c>
      <c r="W5895" s="2" t="s">
        <v>4336</v>
      </c>
      <c r="X5895" s="2" t="s">
        <v>3061</v>
      </c>
      <c r="Y5895" s="2">
        <v>17632</v>
      </c>
      <c r="Z5895" s="19" t="str">
        <f>HYPERLINK("https://ssdweb.co/ssdweb/hd/Vision360.html?d=926041316&amp;zoomslide=1&amp;z=1926041316&amp;ISCONFIRM=0","VIDEO")</f>
        <v>VIDEO</v>
      </c>
      <c r="AA5895" s="19" t="str">
        <f>HYPERLINK("https://ssdweb.co/ssdweb/CERTH/632421427.pdf","CERTI")</f>
        <v>CERTI</v>
      </c>
    </row>
    <row r="5896" spans="1:27" ht="15" x14ac:dyDescent="0.25">
      <c r="A5896" s="2">
        <v>5891</v>
      </c>
      <c r="B5896" s="39">
        <v>926841219</v>
      </c>
      <c r="C5896" s="28" t="str">
        <f>HYPERLINK("https://pld.live/RapDetail.aspx?STONELIST=926841219","DNA")</f>
        <v>DNA</v>
      </c>
      <c r="D5896" s="18" t="s">
        <v>711</v>
      </c>
      <c r="E5896" s="18" t="s">
        <v>2186</v>
      </c>
      <c r="F5896" s="2" t="s">
        <v>7987</v>
      </c>
      <c r="G5896" s="2" t="s">
        <v>5134</v>
      </c>
      <c r="H5896" s="14">
        <v>1.52</v>
      </c>
      <c r="I5896" s="2" t="s">
        <v>4761</v>
      </c>
      <c r="J5896" s="2" t="s">
        <v>13</v>
      </c>
      <c r="K5896" s="2" t="s">
        <v>1452</v>
      </c>
      <c r="L5896" s="2" t="s">
        <v>5221</v>
      </c>
      <c r="M5896" s="2" t="s">
        <v>5721</v>
      </c>
      <c r="N5896" s="2" t="s">
        <v>2317</v>
      </c>
      <c r="O5896" s="14">
        <v>10800</v>
      </c>
      <c r="P5896" s="14">
        <v>98.79</v>
      </c>
      <c r="Q5896" s="14">
        <v>130.68</v>
      </c>
      <c r="R5896" s="14">
        <v>198.63</v>
      </c>
      <c r="S5896" s="2" t="s">
        <v>4598</v>
      </c>
      <c r="T5896" s="2">
        <v>0.89</v>
      </c>
      <c r="U5896" s="2">
        <v>59.3</v>
      </c>
      <c r="V5896" s="2">
        <v>58</v>
      </c>
      <c r="W5896" s="2" t="s">
        <v>7862</v>
      </c>
      <c r="X5896" s="2" t="s">
        <v>3061</v>
      </c>
      <c r="Y5896" s="2">
        <v>16416</v>
      </c>
      <c r="Z5896" s="19" t="str">
        <f>HYPERLINK("https://ssdweb.co/ssdweb/hd/Vision360.html?d=926841219&amp;zoomslide=1&amp;z=1926841219&amp;ISCONFIRM=0","VIDEO")</f>
        <v>VIDEO</v>
      </c>
      <c r="AA5896" s="19" t="str">
        <f>HYPERLINK("https://ssdweb.co/ssdweb/CERTH/668437135.pdf","CERTI")</f>
        <v>CERTI</v>
      </c>
    </row>
    <row r="5897" spans="1:27" ht="15" x14ac:dyDescent="0.25">
      <c r="A5897" s="2">
        <v>5892</v>
      </c>
      <c r="B5897" s="39">
        <v>926831149</v>
      </c>
      <c r="C5897" s="28" t="str">
        <f>HYPERLINK("https://pld.live/RapDetail.aspx?STONELIST=926831149","DNA")</f>
        <v>DNA</v>
      </c>
      <c r="D5897" s="18" t="s">
        <v>711</v>
      </c>
      <c r="E5897" s="18" t="s">
        <v>5128</v>
      </c>
      <c r="F5897" s="2" t="s">
        <v>7987</v>
      </c>
      <c r="G5897" s="2" t="s">
        <v>5134</v>
      </c>
      <c r="H5897" s="14">
        <v>1.52</v>
      </c>
      <c r="I5897" s="2" t="s">
        <v>4761</v>
      </c>
      <c r="J5897" s="2" t="s">
        <v>5144</v>
      </c>
      <c r="K5897" s="2" t="s">
        <v>1452</v>
      </c>
      <c r="L5897" s="2" t="s">
        <v>5221</v>
      </c>
      <c r="M5897" s="2" t="s">
        <v>5221</v>
      </c>
      <c r="N5897" s="2" t="s">
        <v>2317</v>
      </c>
      <c r="O5897" s="14">
        <v>9300</v>
      </c>
      <c r="P5897" s="14">
        <v>98.65</v>
      </c>
      <c r="Q5897" s="14">
        <v>125.55</v>
      </c>
      <c r="R5897" s="14">
        <v>190.84</v>
      </c>
      <c r="S5897" s="2" t="s">
        <v>7822</v>
      </c>
      <c r="T5897" s="2">
        <v>0.84</v>
      </c>
      <c r="U5897" s="2">
        <v>60.3</v>
      </c>
      <c r="V5897" s="2">
        <v>61</v>
      </c>
      <c r="W5897" s="2" t="s">
        <v>7862</v>
      </c>
      <c r="X5897" s="2" t="s">
        <v>3061</v>
      </c>
      <c r="Y5897" s="2">
        <v>14136</v>
      </c>
      <c r="Z5897" s="19" t="str">
        <f>HYPERLINK("https://ssdweb.co/ssdweb/hd/Vision360.html?d=926831149&amp;zoomslide=1&amp;z=1926831149&amp;ISCONFIRM=0","VIDEO")</f>
        <v>VIDEO</v>
      </c>
      <c r="AA5897" s="19" t="str">
        <f>HYPERLINK("https://ssdweb.co/ssdweb/CERTH/655451818.pdf","CERTI")</f>
        <v>CERTI</v>
      </c>
    </row>
    <row r="5898" spans="1:27" ht="15" x14ac:dyDescent="0.25">
      <c r="A5898" s="2">
        <v>5893</v>
      </c>
      <c r="B5898" s="39">
        <v>925310399</v>
      </c>
      <c r="C5898" s="28" t="str">
        <f>HYPERLINK("https://pld.live/RapDetail.aspx?STONELIST=925310399","DNA")</f>
        <v>DNA</v>
      </c>
      <c r="D5898" s="18" t="s">
        <v>711</v>
      </c>
      <c r="E5898" s="18" t="s">
        <v>5128</v>
      </c>
      <c r="F5898" s="2" t="s">
        <v>7987</v>
      </c>
      <c r="G5898" s="2" t="s">
        <v>5134</v>
      </c>
      <c r="H5898" s="14">
        <v>1.51</v>
      </c>
      <c r="I5898" s="2" t="s">
        <v>267</v>
      </c>
      <c r="J5898" s="2" t="s">
        <v>6555</v>
      </c>
      <c r="K5898" s="2" t="s">
        <v>1452</v>
      </c>
      <c r="L5898" s="2" t="s">
        <v>5221</v>
      </c>
      <c r="M5898" s="2" t="s">
        <v>5221</v>
      </c>
      <c r="N5898" s="2" t="s">
        <v>2317</v>
      </c>
      <c r="O5898" s="14">
        <v>13200</v>
      </c>
      <c r="P5898" s="14">
        <v>98.52</v>
      </c>
      <c r="Q5898" s="14">
        <v>195.36</v>
      </c>
      <c r="R5898" s="14">
        <v>294.99</v>
      </c>
      <c r="S5898" s="2" t="s">
        <v>3277</v>
      </c>
      <c r="T5898" s="2">
        <v>0.9</v>
      </c>
      <c r="U5898" s="2">
        <v>58.4</v>
      </c>
      <c r="V5898" s="2">
        <v>64</v>
      </c>
      <c r="W5898" s="2" t="s">
        <v>7862</v>
      </c>
      <c r="X5898" s="2" t="s">
        <v>3061</v>
      </c>
      <c r="Y5898" s="2">
        <v>19932</v>
      </c>
      <c r="Z5898" s="19" t="str">
        <f>HYPERLINK("https://ssdweb.co/ssdweb/hd/Vision360.html?d=925310399&amp;zoomslide=1&amp;z=1925310399&amp;ISCONFIRM=0","VIDEO")</f>
        <v>VIDEO</v>
      </c>
      <c r="AA5898" s="19" t="str">
        <f>HYPERLINK("https://ssdweb.co/ssdweb/CERTH/622461191.pdf","CERTI")</f>
        <v>CERTI</v>
      </c>
    </row>
    <row r="5899" spans="1:27" ht="15" x14ac:dyDescent="0.25">
      <c r="A5899" s="2">
        <v>5894</v>
      </c>
      <c r="B5899" s="39">
        <v>925801765</v>
      </c>
      <c r="C5899" s="28" t="str">
        <f>HYPERLINK("https://pld.live/RapDetail.aspx?STONELIST=925801765","DNA")</f>
        <v>DNA</v>
      </c>
      <c r="D5899" s="18" t="s">
        <v>711</v>
      </c>
      <c r="E5899" s="18" t="s">
        <v>5128</v>
      </c>
      <c r="F5899" s="2" t="s">
        <v>7987</v>
      </c>
      <c r="G5899" s="2" t="s">
        <v>5134</v>
      </c>
      <c r="H5899" s="14">
        <v>1.51</v>
      </c>
      <c r="I5899" s="2" t="s">
        <v>267</v>
      </c>
      <c r="J5899" s="2" t="s">
        <v>3942</v>
      </c>
      <c r="K5899" s="2" t="s">
        <v>1452</v>
      </c>
      <c r="L5899" s="2" t="s">
        <v>5221</v>
      </c>
      <c r="M5899" s="2" t="s">
        <v>5221</v>
      </c>
      <c r="N5899" s="2" t="s">
        <v>2317</v>
      </c>
      <c r="O5899" s="14">
        <v>12500</v>
      </c>
      <c r="P5899" s="14">
        <v>98.89</v>
      </c>
      <c r="Q5899" s="14">
        <v>138.75</v>
      </c>
      <c r="R5899" s="14">
        <v>209.51</v>
      </c>
      <c r="S5899" s="2" t="s">
        <v>2237</v>
      </c>
      <c r="T5899" s="2">
        <v>0.86</v>
      </c>
      <c r="U5899" s="2">
        <v>58.7</v>
      </c>
      <c r="V5899" s="2">
        <v>60</v>
      </c>
      <c r="W5899" s="2" t="s">
        <v>7862</v>
      </c>
      <c r="X5899" s="2" t="s">
        <v>3061</v>
      </c>
      <c r="Y5899" s="2">
        <v>18875</v>
      </c>
      <c r="Z5899" s="19" t="str">
        <f>HYPERLINK("https://ssdweb.co/ssdweb/hd/Vision360.html?d=925801765&amp;zoomslide=1&amp;z=1925801765&amp;ISCONFIRM=0","VIDEO")</f>
        <v>VIDEO</v>
      </c>
      <c r="AA5899" s="19" t="str">
        <f>HYPERLINK("https://ssdweb.co/ssdweb/CERTH/626499208.pdf","CERTI")</f>
        <v>CERTI</v>
      </c>
    </row>
    <row r="5900" spans="1:27" ht="15" x14ac:dyDescent="0.25">
      <c r="A5900" s="2">
        <v>5895</v>
      </c>
      <c r="B5900" s="39">
        <v>925981255</v>
      </c>
      <c r="C5900" s="28" t="str">
        <f>HYPERLINK("https://pld.live/RapDetail.aspx?STONELIST=925981255","DNA")</f>
        <v>DNA</v>
      </c>
      <c r="D5900" s="18" t="s">
        <v>711</v>
      </c>
      <c r="E5900" s="18" t="s">
        <v>5128</v>
      </c>
      <c r="F5900" s="2" t="s">
        <v>7987</v>
      </c>
      <c r="G5900" s="2" t="s">
        <v>5134</v>
      </c>
      <c r="H5900" s="14">
        <v>1.51</v>
      </c>
      <c r="I5900" s="2" t="s">
        <v>267</v>
      </c>
      <c r="J5900" s="2" t="s">
        <v>3942</v>
      </c>
      <c r="K5900" s="2" t="s">
        <v>1452</v>
      </c>
      <c r="L5900" s="2" t="s">
        <v>5221</v>
      </c>
      <c r="M5900" s="2" t="s">
        <v>5221</v>
      </c>
      <c r="N5900" s="2" t="s">
        <v>2317</v>
      </c>
      <c r="O5900" s="14">
        <v>12500</v>
      </c>
      <c r="P5900" s="14">
        <v>98.89</v>
      </c>
      <c r="Q5900" s="14">
        <v>138.75</v>
      </c>
      <c r="R5900" s="14">
        <v>209.51</v>
      </c>
      <c r="S5900" s="2" t="s">
        <v>3122</v>
      </c>
      <c r="T5900" s="2">
        <v>0.84</v>
      </c>
      <c r="U5900" s="2">
        <v>60.4</v>
      </c>
      <c r="V5900" s="2">
        <v>64</v>
      </c>
      <c r="W5900" s="2" t="s">
        <v>7862</v>
      </c>
      <c r="X5900" s="2" t="s">
        <v>3061</v>
      </c>
      <c r="Y5900" s="2">
        <v>18875</v>
      </c>
      <c r="Z5900" s="19" t="str">
        <f>HYPERLINK("https://ssdweb.co/ssdweb/hd/Vision360.html?d=925981255&amp;zoomslide=1&amp;z=1925981255&amp;ISCONFIRM=0","VIDEO")</f>
        <v>VIDEO</v>
      </c>
      <c r="AA5900" s="19" t="str">
        <f>HYPERLINK("https://ssdweb.co/ssdweb/CERTH/631430232.pdf","CERTI")</f>
        <v>CERTI</v>
      </c>
    </row>
    <row r="5901" spans="1:27" ht="15" x14ac:dyDescent="0.25">
      <c r="A5901" s="2">
        <v>5896</v>
      </c>
      <c r="B5901" s="39">
        <v>926610097</v>
      </c>
      <c r="C5901" s="28" t="str">
        <f>HYPERLINK("https://pld.live/RapDetail.aspx?STONELIST=926610097","DNA")</f>
        <v>DNA</v>
      </c>
      <c r="D5901" s="18" t="s">
        <v>711</v>
      </c>
      <c r="E5901" s="18" t="s">
        <v>2186</v>
      </c>
      <c r="F5901" s="2" t="s">
        <v>7987</v>
      </c>
      <c r="G5901" s="2" t="s">
        <v>5134</v>
      </c>
      <c r="H5901" s="14">
        <v>1.51</v>
      </c>
      <c r="I5901" s="2" t="s">
        <v>267</v>
      </c>
      <c r="J5901" s="2" t="s">
        <v>13</v>
      </c>
      <c r="K5901" s="2" t="s">
        <v>1452</v>
      </c>
      <c r="L5901" s="2" t="s">
        <v>5221</v>
      </c>
      <c r="M5901" s="2" t="s">
        <v>5221</v>
      </c>
      <c r="N5901" s="2" t="s">
        <v>2317</v>
      </c>
      <c r="O5901" s="14">
        <v>11600</v>
      </c>
      <c r="P5901" s="14">
        <v>98.83</v>
      </c>
      <c r="Q5901" s="14">
        <v>135.72</v>
      </c>
      <c r="R5901" s="14">
        <v>204.94</v>
      </c>
      <c r="S5901" s="2" t="s">
        <v>3516</v>
      </c>
      <c r="T5901" s="2">
        <v>0.87</v>
      </c>
      <c r="U5901" s="2">
        <v>60.7</v>
      </c>
      <c r="V5901" s="2">
        <v>65</v>
      </c>
      <c r="W5901" s="2" t="s">
        <v>7862</v>
      </c>
      <c r="X5901" s="2" t="s">
        <v>3061</v>
      </c>
      <c r="Y5901" s="2">
        <v>17516</v>
      </c>
      <c r="Z5901" s="19" t="str">
        <f>HYPERLINK("https://ssdweb.co/ssdweb/hd/Vision360.html?d=926610097&amp;zoomslide=1&amp;z=1926610097&amp;ISCONFIRM=0","VIDEO")</f>
        <v>VIDEO</v>
      </c>
      <c r="AA5901" s="19" t="str">
        <f>HYPERLINK("https://ssdweb.co/ssdweb/CERTH/646458026.pdf","CERTI")</f>
        <v>CERTI</v>
      </c>
    </row>
    <row r="5902" spans="1:27" ht="15" x14ac:dyDescent="0.25">
      <c r="A5902" s="2">
        <v>5897</v>
      </c>
      <c r="B5902" s="39">
        <v>941280515</v>
      </c>
      <c r="C5902" s="28" t="str">
        <f>HYPERLINK("https://pld.live/RapDetail.aspx?STONELIST=941280515","DNA")</f>
        <v>DNA</v>
      </c>
      <c r="D5902" s="18" t="s">
        <v>711</v>
      </c>
      <c r="E5902" s="18" t="s">
        <v>2186</v>
      </c>
      <c r="F5902" s="2" t="s">
        <v>7987</v>
      </c>
      <c r="G5902" s="2" t="s">
        <v>5134</v>
      </c>
      <c r="H5902" s="14">
        <v>1.51</v>
      </c>
      <c r="I5902" s="2" t="s">
        <v>267</v>
      </c>
      <c r="J5902" s="2" t="s">
        <v>13</v>
      </c>
      <c r="K5902" s="2" t="s">
        <v>1452</v>
      </c>
      <c r="L5902" s="2" t="s">
        <v>5221</v>
      </c>
      <c r="M5902" s="2" t="s">
        <v>5221</v>
      </c>
      <c r="N5902" s="2" t="s">
        <v>2317</v>
      </c>
      <c r="O5902" s="14">
        <v>11600</v>
      </c>
      <c r="P5902" s="14">
        <v>98.79</v>
      </c>
      <c r="Q5902" s="14">
        <v>140.36000000000001</v>
      </c>
      <c r="R5902" s="14">
        <v>211.94</v>
      </c>
      <c r="S5902" s="2" t="s">
        <v>5101</v>
      </c>
      <c r="T5902" s="2">
        <v>0.92</v>
      </c>
      <c r="U5902" s="2">
        <v>59.4</v>
      </c>
      <c r="V5902" s="2">
        <v>59</v>
      </c>
      <c r="W5902" s="2" t="s">
        <v>7862</v>
      </c>
      <c r="X5902" s="2" t="s">
        <v>3061</v>
      </c>
      <c r="Y5902" s="2">
        <v>17516</v>
      </c>
      <c r="Z5902" s="19" t="str">
        <f>HYPERLINK("https://ssdweb.co/ssdweb/hd/Vision360.html?d=941280515&amp;zoomslide=1&amp;z=1941280515&amp;ISCONFIRM=0","VIDEO")</f>
        <v>VIDEO</v>
      </c>
      <c r="AA5902" s="19" t="str">
        <f>HYPERLINK("https://ssdweb.co/ssdweb/CERTH/691552697.pdf","CERTI")</f>
        <v>CERTI</v>
      </c>
    </row>
    <row r="5903" spans="1:27" ht="15" x14ac:dyDescent="0.25">
      <c r="A5903" s="2">
        <v>5898</v>
      </c>
      <c r="B5903" s="39">
        <v>925290602</v>
      </c>
      <c r="C5903" s="28" t="str">
        <f>HYPERLINK("https://pld.live/RapDetail.aspx?STONELIST=925290602","DNA")</f>
        <v>DNA</v>
      </c>
      <c r="D5903" s="18" t="s">
        <v>711</v>
      </c>
      <c r="E5903" s="18" t="s">
        <v>5128</v>
      </c>
      <c r="F5903" s="2" t="s">
        <v>7987</v>
      </c>
      <c r="G5903" s="2" t="s">
        <v>5134</v>
      </c>
      <c r="H5903" s="14">
        <v>1.51</v>
      </c>
      <c r="I5903" s="2" t="s">
        <v>267</v>
      </c>
      <c r="J5903" s="2" t="s">
        <v>13</v>
      </c>
      <c r="K5903" s="2" t="s">
        <v>1452</v>
      </c>
      <c r="L5903" s="2" t="s">
        <v>5221</v>
      </c>
      <c r="M5903" s="2" t="s">
        <v>5221</v>
      </c>
      <c r="N5903" s="2" t="s">
        <v>2317</v>
      </c>
      <c r="O5903" s="14">
        <v>11600</v>
      </c>
      <c r="P5903" s="14">
        <v>98.83</v>
      </c>
      <c r="Q5903" s="14">
        <v>135.72</v>
      </c>
      <c r="R5903" s="14">
        <v>204.94</v>
      </c>
      <c r="S5903" s="2" t="s">
        <v>4053</v>
      </c>
      <c r="T5903" s="2">
        <v>0.85</v>
      </c>
      <c r="U5903" s="2">
        <v>61.2</v>
      </c>
      <c r="V5903" s="2">
        <v>63</v>
      </c>
      <c r="W5903" s="2" t="s">
        <v>7862</v>
      </c>
      <c r="X5903" s="2" t="s">
        <v>3061</v>
      </c>
      <c r="Y5903" s="2">
        <v>17516</v>
      </c>
      <c r="Z5903" s="19" t="str">
        <f>HYPERLINK("https://ssdweb.co/ssdweb/hd/Vision360.html?d=925290602&amp;zoomslide=1&amp;z=1925290602&amp;ISCONFIRM=0","VIDEO")</f>
        <v>VIDEO</v>
      </c>
      <c r="AA5903" s="19" t="str">
        <f>HYPERLINK("https://ssdweb.co/ssdweb/CERTH/623412627.pdf","CERTI")</f>
        <v>CERTI</v>
      </c>
    </row>
    <row r="5904" spans="1:27" ht="15" x14ac:dyDescent="0.25">
      <c r="A5904" s="2">
        <v>5899</v>
      </c>
      <c r="B5904" s="39">
        <v>926101224</v>
      </c>
      <c r="C5904" s="28" t="str">
        <f>HYPERLINK("https://pld.live/RapDetail.aspx?STONELIST=926101224","DNA")</f>
        <v>DNA</v>
      </c>
      <c r="D5904" s="18" t="s">
        <v>711</v>
      </c>
      <c r="E5904" s="18" t="s">
        <v>5128</v>
      </c>
      <c r="F5904" s="2" t="s">
        <v>7987</v>
      </c>
      <c r="G5904" s="2" t="s">
        <v>5134</v>
      </c>
      <c r="H5904" s="14">
        <v>1.51</v>
      </c>
      <c r="I5904" s="2" t="s">
        <v>267</v>
      </c>
      <c r="J5904" s="2" t="s">
        <v>13</v>
      </c>
      <c r="K5904" s="2" t="s">
        <v>1452</v>
      </c>
      <c r="L5904" s="2" t="s">
        <v>5221</v>
      </c>
      <c r="M5904" s="2" t="s">
        <v>5221</v>
      </c>
      <c r="N5904" s="2" t="s">
        <v>2317</v>
      </c>
      <c r="O5904" s="14">
        <v>11600</v>
      </c>
      <c r="P5904" s="14">
        <v>98.83</v>
      </c>
      <c r="Q5904" s="14">
        <v>135.72</v>
      </c>
      <c r="R5904" s="14">
        <v>204.94</v>
      </c>
      <c r="S5904" s="2" t="s">
        <v>1268</v>
      </c>
      <c r="T5904" s="2">
        <v>0.87</v>
      </c>
      <c r="U5904" s="2">
        <v>57.9</v>
      </c>
      <c r="V5904" s="2">
        <v>63</v>
      </c>
      <c r="W5904" s="2" t="s">
        <v>7862</v>
      </c>
      <c r="X5904" s="2" t="s">
        <v>3061</v>
      </c>
      <c r="Y5904" s="2">
        <v>17516</v>
      </c>
      <c r="Z5904" s="19" t="str">
        <f>HYPERLINK("https://ssdweb.co/ssdweb/hd/Vision360.html?d=926101224&amp;zoomslide=1&amp;z=1926101224&amp;ISCONFIRM=0","VIDEO")</f>
        <v>VIDEO</v>
      </c>
      <c r="AA5904" s="19" t="str">
        <f>HYPERLINK("https://ssdweb.co/ssdweb/CERTH/632421478.pdf","CERTI")</f>
        <v>CERTI</v>
      </c>
    </row>
    <row r="5905" spans="1:27" ht="15" x14ac:dyDescent="0.25">
      <c r="A5905" s="2">
        <v>5900</v>
      </c>
      <c r="B5905" s="39">
        <v>925961381</v>
      </c>
      <c r="C5905" s="28" t="str">
        <f>HYPERLINK("https://pld.live/RapDetail.aspx?STONELIST=925961381","DNA")</f>
        <v>DNA</v>
      </c>
      <c r="D5905" s="18" t="s">
        <v>711</v>
      </c>
      <c r="E5905" s="18" t="s">
        <v>5128</v>
      </c>
      <c r="F5905" s="2" t="s">
        <v>7987</v>
      </c>
      <c r="G5905" s="2" t="s">
        <v>5134</v>
      </c>
      <c r="H5905" s="14">
        <v>1.51</v>
      </c>
      <c r="I5905" s="2" t="s">
        <v>267</v>
      </c>
      <c r="J5905" s="2" t="s">
        <v>13</v>
      </c>
      <c r="K5905" s="2" t="s">
        <v>1452</v>
      </c>
      <c r="L5905" s="2" t="s">
        <v>5221</v>
      </c>
      <c r="M5905" s="2" t="s">
        <v>5221</v>
      </c>
      <c r="N5905" s="2" t="s">
        <v>2317</v>
      </c>
      <c r="O5905" s="14">
        <v>11600</v>
      </c>
      <c r="P5905" s="14">
        <v>98.83</v>
      </c>
      <c r="Q5905" s="14">
        <v>135.72</v>
      </c>
      <c r="R5905" s="14">
        <v>204.94</v>
      </c>
      <c r="S5905" s="2" t="s">
        <v>5981</v>
      </c>
      <c r="T5905" s="2">
        <v>0.85</v>
      </c>
      <c r="U5905" s="2">
        <v>56.1</v>
      </c>
      <c r="V5905" s="2">
        <v>62</v>
      </c>
      <c r="W5905" s="2" t="s">
        <v>7862</v>
      </c>
      <c r="X5905" s="2" t="s">
        <v>3061</v>
      </c>
      <c r="Y5905" s="2">
        <v>17516</v>
      </c>
      <c r="Z5905" s="19" t="str">
        <f>HYPERLINK("https://ssdweb.co/ssdweb/hd/Vision360.html?d=925961381&amp;zoomslide=1&amp;z=1925961381&amp;ISCONFIRM=0","VIDEO")</f>
        <v>VIDEO</v>
      </c>
      <c r="AA5905" s="19" t="str">
        <f>HYPERLINK("https://ssdweb.co/ssdweb/CERTH/631430377.pdf","CERTI")</f>
        <v>CERTI</v>
      </c>
    </row>
    <row r="5906" spans="1:27" ht="15" x14ac:dyDescent="0.25">
      <c r="A5906" s="2">
        <v>5901</v>
      </c>
      <c r="B5906" s="39">
        <v>926071900</v>
      </c>
      <c r="C5906" s="28" t="str">
        <f>HYPERLINK("https://pld.live/RapDetail.aspx?STONELIST=926071900","DNA")</f>
        <v>DNA</v>
      </c>
      <c r="D5906" s="18" t="s">
        <v>711</v>
      </c>
      <c r="E5906" s="18" t="s">
        <v>5128</v>
      </c>
      <c r="F5906" s="2" t="s">
        <v>7987</v>
      </c>
      <c r="G5906" s="2" t="s">
        <v>5134</v>
      </c>
      <c r="H5906" s="14">
        <v>1.51</v>
      </c>
      <c r="I5906" s="2" t="s">
        <v>4761</v>
      </c>
      <c r="J5906" s="2" t="s">
        <v>7032</v>
      </c>
      <c r="K5906" s="2" t="s">
        <v>1452</v>
      </c>
      <c r="L5906" s="2" t="s">
        <v>5221</v>
      </c>
      <c r="M5906" s="2" t="s">
        <v>5221</v>
      </c>
      <c r="N5906" s="2" t="s">
        <v>2317</v>
      </c>
      <c r="O5906" s="14">
        <v>13200</v>
      </c>
      <c r="P5906" s="14">
        <v>96.86</v>
      </c>
      <c r="Q5906" s="14">
        <v>414.48</v>
      </c>
      <c r="R5906" s="14">
        <v>625.86</v>
      </c>
      <c r="S5906" s="2" t="s">
        <v>6455</v>
      </c>
      <c r="T5906" s="2">
        <v>0.89</v>
      </c>
      <c r="U5906" s="2">
        <v>56.7</v>
      </c>
      <c r="V5906" s="2">
        <v>63</v>
      </c>
      <c r="W5906" s="2" t="s">
        <v>7862</v>
      </c>
      <c r="X5906" s="2" t="s">
        <v>3061</v>
      </c>
      <c r="Y5906" s="2">
        <v>19932</v>
      </c>
      <c r="Z5906" s="19" t="str">
        <f>HYPERLINK("https://ssdweb.co/ssdweb/hd/Vision360.html?d=926071900&amp;zoomslide=1&amp;z=1926071900&amp;ISCONFIRM=0","VIDEO")</f>
        <v>VIDEO</v>
      </c>
      <c r="AA5906" s="19" t="str">
        <f>HYPERLINK("https://ssdweb.co/ssdweb/CERTH/632488346.pdf","CERTI")</f>
        <v>CERTI</v>
      </c>
    </row>
    <row r="5907" spans="1:27" ht="15" x14ac:dyDescent="0.25">
      <c r="A5907" s="2">
        <v>5902</v>
      </c>
      <c r="B5907" s="39">
        <v>926841347</v>
      </c>
      <c r="C5907" s="28" t="str">
        <f>HYPERLINK("https://pld.live/RapDetail.aspx?STONELIST=926841347","DNA")</f>
        <v>DNA</v>
      </c>
      <c r="D5907" s="18" t="s">
        <v>711</v>
      </c>
      <c r="E5907" s="18" t="s">
        <v>2186</v>
      </c>
      <c r="F5907" s="2" t="s">
        <v>7987</v>
      </c>
      <c r="G5907" s="2" t="s">
        <v>5134</v>
      </c>
      <c r="H5907" s="14">
        <v>1.51</v>
      </c>
      <c r="I5907" s="2" t="s">
        <v>4761</v>
      </c>
      <c r="J5907" s="2" t="s">
        <v>3942</v>
      </c>
      <c r="K5907" s="2" t="s">
        <v>1452</v>
      </c>
      <c r="L5907" s="2" t="s">
        <v>5221</v>
      </c>
      <c r="M5907" s="2" t="s">
        <v>5721</v>
      </c>
      <c r="N5907" s="2" t="s">
        <v>2317</v>
      </c>
      <c r="O5907" s="14">
        <v>11600</v>
      </c>
      <c r="P5907" s="14">
        <v>98.81</v>
      </c>
      <c r="Q5907" s="14">
        <v>138.04</v>
      </c>
      <c r="R5907" s="14">
        <v>208.44</v>
      </c>
      <c r="S5907" s="2" t="s">
        <v>3719</v>
      </c>
      <c r="T5907" s="2">
        <v>0.86</v>
      </c>
      <c r="U5907" s="2">
        <v>60</v>
      </c>
      <c r="V5907" s="2">
        <v>61</v>
      </c>
      <c r="W5907" s="2" t="s">
        <v>7862</v>
      </c>
      <c r="X5907" s="2" t="s">
        <v>3061</v>
      </c>
      <c r="Y5907" s="2">
        <v>17516</v>
      </c>
      <c r="Z5907" s="19" t="str">
        <f>HYPERLINK("https://ssdweb.co/ssdweb/hd/Vision360.html?d=926841347&amp;zoomslide=1&amp;z=1926841347&amp;ISCONFIRM=0","VIDEO")</f>
        <v>VIDEO</v>
      </c>
      <c r="AA5907" s="19" t="str">
        <f>HYPERLINK("https://ssdweb.co/ssdweb/CERTH/668437136.pdf","CERTI")</f>
        <v>CERTI</v>
      </c>
    </row>
    <row r="5908" spans="1:27" ht="15" x14ac:dyDescent="0.25">
      <c r="A5908" s="2">
        <v>5903</v>
      </c>
      <c r="B5908" s="39">
        <v>926581296</v>
      </c>
      <c r="C5908" s="28" t="str">
        <f>HYPERLINK("https://pld.live/RapDetail.aspx?STONELIST=926581296","DNA")</f>
        <v>DNA</v>
      </c>
      <c r="D5908" s="18" t="s">
        <v>711</v>
      </c>
      <c r="E5908" s="18" t="s">
        <v>5128</v>
      </c>
      <c r="F5908" s="2" t="s">
        <v>7987</v>
      </c>
      <c r="G5908" s="2" t="s">
        <v>5134</v>
      </c>
      <c r="H5908" s="14">
        <v>1.51</v>
      </c>
      <c r="I5908" s="2" t="s">
        <v>4699</v>
      </c>
      <c r="J5908" s="2" t="s">
        <v>6555</v>
      </c>
      <c r="K5908" s="2" t="s">
        <v>1452</v>
      </c>
      <c r="L5908" s="2" t="s">
        <v>5221</v>
      </c>
      <c r="M5908" s="2" t="s">
        <v>5221</v>
      </c>
      <c r="N5908" s="2" t="s">
        <v>2317</v>
      </c>
      <c r="O5908" s="14">
        <v>11500</v>
      </c>
      <c r="P5908" s="14">
        <v>98.56</v>
      </c>
      <c r="Q5908" s="14">
        <v>165.6</v>
      </c>
      <c r="R5908" s="14">
        <v>250.06</v>
      </c>
      <c r="S5908" s="2" t="s">
        <v>8023</v>
      </c>
      <c r="T5908" s="2">
        <v>0.87</v>
      </c>
      <c r="U5908" s="2">
        <v>58.5</v>
      </c>
      <c r="V5908" s="2">
        <v>61</v>
      </c>
      <c r="W5908" s="2" t="s">
        <v>7862</v>
      </c>
      <c r="X5908" s="2" t="s">
        <v>3061</v>
      </c>
      <c r="Y5908" s="2">
        <v>17365</v>
      </c>
      <c r="Z5908" s="19" t="str">
        <f>HYPERLINK("https://ssdweb.co/ssdweb/hd/Vision360.html?d=926581296&amp;zoomslide=1&amp;z=1926581296&amp;ISCONFIRM=0","VIDEO")</f>
        <v>VIDEO</v>
      </c>
      <c r="AA5908" s="19" t="str">
        <f>HYPERLINK("https://ssdweb.co/ssdweb/CERTH/647475470.pdf","CERTI")</f>
        <v>CERTI</v>
      </c>
    </row>
    <row r="5909" spans="1:27" ht="15" x14ac:dyDescent="0.25">
      <c r="A5909" s="2">
        <v>5904</v>
      </c>
      <c r="B5909" s="39">
        <v>925801672</v>
      </c>
      <c r="C5909" s="28" t="str">
        <f>HYPERLINK("https://pld.live/RapDetail.aspx?STONELIST=925801672","DNA")</f>
        <v>DNA</v>
      </c>
      <c r="D5909" s="18" t="s">
        <v>711</v>
      </c>
      <c r="E5909" s="18" t="s">
        <v>5128</v>
      </c>
      <c r="F5909" s="2" t="s">
        <v>7987</v>
      </c>
      <c r="G5909" s="2" t="s">
        <v>5134</v>
      </c>
      <c r="H5909" s="14">
        <v>1.5</v>
      </c>
      <c r="I5909" s="2" t="s">
        <v>267</v>
      </c>
      <c r="J5909" s="2" t="s">
        <v>7032</v>
      </c>
      <c r="K5909" s="2" t="s">
        <v>1452</v>
      </c>
      <c r="L5909" s="2" t="s">
        <v>5221</v>
      </c>
      <c r="M5909" s="2" t="s">
        <v>5221</v>
      </c>
      <c r="N5909" s="2" t="s">
        <v>2317</v>
      </c>
      <c r="O5909" s="14">
        <v>14100</v>
      </c>
      <c r="P5909" s="14">
        <v>96.88</v>
      </c>
      <c r="Q5909" s="14">
        <v>439.92</v>
      </c>
      <c r="R5909" s="14">
        <v>659.88</v>
      </c>
      <c r="S5909" s="2" t="s">
        <v>788</v>
      </c>
      <c r="T5909" s="2">
        <v>0.85</v>
      </c>
      <c r="U5909" s="2">
        <v>60.5</v>
      </c>
      <c r="V5909" s="2">
        <v>60</v>
      </c>
      <c r="W5909" s="2" t="s">
        <v>7862</v>
      </c>
      <c r="X5909" s="2" t="s">
        <v>3061</v>
      </c>
      <c r="Y5909" s="2">
        <v>21150</v>
      </c>
      <c r="Z5909" s="19" t="str">
        <f>HYPERLINK("https://ssdweb.co/ssdweb/hd/Vision360.html?d=925801672&amp;zoomslide=1&amp;z=1925801672&amp;ISCONFIRM=0","VIDEO")</f>
        <v>VIDEO</v>
      </c>
      <c r="AA5909" s="19" t="str">
        <f>HYPERLINK("https://ssdweb.co/ssdweb/CERTH/626427638.pdf","CERTI")</f>
        <v>CERTI</v>
      </c>
    </row>
    <row r="5910" spans="1:27" ht="15" x14ac:dyDescent="0.25">
      <c r="A5910" s="2">
        <v>5905</v>
      </c>
      <c r="B5910" s="39">
        <v>925722081</v>
      </c>
      <c r="C5910" s="28" t="str">
        <f>HYPERLINK("https://pld.live/RapDetail.aspx?STONELIST=925722081","DNA")</f>
        <v>DNA</v>
      </c>
      <c r="D5910" s="18" t="s">
        <v>711</v>
      </c>
      <c r="E5910" s="18" t="s">
        <v>5128</v>
      </c>
      <c r="F5910" s="2" t="s">
        <v>7987</v>
      </c>
      <c r="G5910" s="2" t="s">
        <v>5134</v>
      </c>
      <c r="H5910" s="14">
        <v>1.5</v>
      </c>
      <c r="I5910" s="2" t="s">
        <v>267</v>
      </c>
      <c r="J5910" s="2" t="s">
        <v>7032</v>
      </c>
      <c r="K5910" s="2" t="s">
        <v>1452</v>
      </c>
      <c r="L5910" s="2" t="s">
        <v>5221</v>
      </c>
      <c r="M5910" s="2" t="s">
        <v>5221</v>
      </c>
      <c r="N5910" s="2" t="s">
        <v>2317</v>
      </c>
      <c r="O5910" s="14">
        <v>14100</v>
      </c>
      <c r="P5910" s="14">
        <v>96.88</v>
      </c>
      <c r="Q5910" s="14">
        <v>439.92</v>
      </c>
      <c r="R5910" s="14">
        <v>659.88</v>
      </c>
      <c r="S5910" s="2" t="s">
        <v>1109</v>
      </c>
      <c r="T5910" s="2">
        <v>0.87</v>
      </c>
      <c r="U5910" s="2">
        <v>58.1</v>
      </c>
      <c r="V5910" s="2">
        <v>60</v>
      </c>
      <c r="W5910" s="2" t="s">
        <v>7862</v>
      </c>
      <c r="X5910" s="2" t="s">
        <v>3061</v>
      </c>
      <c r="Y5910" s="2">
        <v>21150</v>
      </c>
      <c r="Z5910" s="19" t="str">
        <f>HYPERLINK("https://ssdweb.co/ssdweb/hd/Vision360.html?d=925722081&amp;zoomslide=1&amp;z=1925722081&amp;ISCONFIRM=0","VIDEO")</f>
        <v>VIDEO</v>
      </c>
      <c r="AA5910" s="19" t="str">
        <f>HYPERLINK("https://ssdweb.co/ssdweb/CERTH/625432249.pdf","CERTI")</f>
        <v>CERTI</v>
      </c>
    </row>
    <row r="5911" spans="1:27" ht="15" x14ac:dyDescent="0.25">
      <c r="A5911" s="2">
        <v>5906</v>
      </c>
      <c r="B5911" s="39">
        <v>925961289</v>
      </c>
      <c r="C5911" s="28" t="str">
        <f>HYPERLINK("https://pld.live/RapDetail.aspx?STONELIST=925961289","DNA")</f>
        <v>DNA</v>
      </c>
      <c r="D5911" s="18" t="s">
        <v>711</v>
      </c>
      <c r="E5911" s="18" t="s">
        <v>5128</v>
      </c>
      <c r="F5911" s="2" t="s">
        <v>7987</v>
      </c>
      <c r="G5911" s="2" t="s">
        <v>5134</v>
      </c>
      <c r="H5911" s="14">
        <v>1.5</v>
      </c>
      <c r="I5911" s="2" t="s">
        <v>267</v>
      </c>
      <c r="J5911" s="2" t="s">
        <v>6555</v>
      </c>
      <c r="K5911" s="2" t="s">
        <v>1452</v>
      </c>
      <c r="L5911" s="2" t="s">
        <v>5221</v>
      </c>
      <c r="M5911" s="2" t="s">
        <v>5221</v>
      </c>
      <c r="N5911" s="2" t="s">
        <v>2317</v>
      </c>
      <c r="O5911" s="14">
        <v>13200</v>
      </c>
      <c r="P5911" s="14">
        <v>98.52</v>
      </c>
      <c r="Q5911" s="14">
        <v>195.36</v>
      </c>
      <c r="R5911" s="14">
        <v>293.04000000000002</v>
      </c>
      <c r="S5911" s="2" t="s">
        <v>761</v>
      </c>
      <c r="T5911" s="2">
        <v>0.85</v>
      </c>
      <c r="U5911" s="2">
        <v>61.1</v>
      </c>
      <c r="V5911" s="2">
        <v>61</v>
      </c>
      <c r="W5911" s="2" t="s">
        <v>7862</v>
      </c>
      <c r="X5911" s="2" t="s">
        <v>3061</v>
      </c>
      <c r="Y5911" s="2">
        <v>19800</v>
      </c>
      <c r="Z5911" s="19" t="str">
        <f>HYPERLINK("https://ssdweb.co/ssdweb/hd/Vision360.html?d=925961289&amp;zoomslide=1&amp;z=1925961289&amp;ISCONFIRM=0","VIDEO")</f>
        <v>VIDEO</v>
      </c>
      <c r="AA5911" s="19" t="str">
        <f>HYPERLINK("https://ssdweb.co/ssdweb/CERTH/629479149.pdf","CERTI")</f>
        <v>CERTI</v>
      </c>
    </row>
    <row r="5912" spans="1:27" ht="15" x14ac:dyDescent="0.25">
      <c r="A5912" s="2">
        <v>5907</v>
      </c>
      <c r="B5912" s="39">
        <v>925981198</v>
      </c>
      <c r="C5912" s="28" t="str">
        <f>HYPERLINK("https://pld.live/RapDetail.aspx?STONELIST=925981198","DNA")</f>
        <v>DNA</v>
      </c>
      <c r="D5912" s="18" t="s">
        <v>711</v>
      </c>
      <c r="E5912" s="18" t="s">
        <v>5128</v>
      </c>
      <c r="F5912" s="2" t="s">
        <v>7987</v>
      </c>
      <c r="G5912" s="2" t="s">
        <v>5134</v>
      </c>
      <c r="H5912" s="14">
        <v>1.5</v>
      </c>
      <c r="I5912" s="2" t="s">
        <v>267</v>
      </c>
      <c r="J5912" s="2" t="s">
        <v>6555</v>
      </c>
      <c r="K5912" s="2" t="s">
        <v>1452</v>
      </c>
      <c r="L5912" s="2" t="s">
        <v>5221</v>
      </c>
      <c r="M5912" s="2" t="s">
        <v>5221</v>
      </c>
      <c r="N5912" s="2" t="s">
        <v>2317</v>
      </c>
      <c r="O5912" s="14">
        <v>13200</v>
      </c>
      <c r="P5912" s="14">
        <v>98.52</v>
      </c>
      <c r="Q5912" s="14">
        <v>195.36</v>
      </c>
      <c r="R5912" s="14">
        <v>293.04000000000002</v>
      </c>
      <c r="S5912" s="2" t="s">
        <v>658</v>
      </c>
      <c r="T5912" s="2">
        <v>0.86</v>
      </c>
      <c r="U5912" s="2">
        <v>58.7</v>
      </c>
      <c r="V5912" s="2">
        <v>61</v>
      </c>
      <c r="W5912" s="2" t="s">
        <v>7862</v>
      </c>
      <c r="X5912" s="2" t="s">
        <v>3061</v>
      </c>
      <c r="Y5912" s="2">
        <v>19800</v>
      </c>
      <c r="Z5912" s="19" t="str">
        <f>HYPERLINK("https://ssdweb.co/ssdweb/hd/Vision360.html?d=925981198&amp;zoomslide=1&amp;z=1925981198&amp;ISCONFIRM=0","VIDEO")</f>
        <v>VIDEO</v>
      </c>
      <c r="AA5912" s="19" t="str">
        <f>HYPERLINK("https://ssdweb.co/ssdweb/CERTH/630447839.pdf","CERTI")</f>
        <v>CERTI</v>
      </c>
    </row>
    <row r="5913" spans="1:27" ht="15" x14ac:dyDescent="0.25">
      <c r="A5913" s="2">
        <v>5908</v>
      </c>
      <c r="B5913" s="39">
        <v>926020807</v>
      </c>
      <c r="C5913" s="28" t="str">
        <f>HYPERLINK("https://pld.live/RapDetail.aspx?STONELIST=926020807","DNA")</f>
        <v>DNA</v>
      </c>
      <c r="D5913" s="18" t="s">
        <v>711</v>
      </c>
      <c r="E5913" s="18" t="s">
        <v>5128</v>
      </c>
      <c r="F5913" s="2" t="s">
        <v>7987</v>
      </c>
      <c r="G5913" s="2" t="s">
        <v>5134</v>
      </c>
      <c r="H5913" s="14">
        <v>1.5</v>
      </c>
      <c r="I5913" s="2" t="s">
        <v>267</v>
      </c>
      <c r="J5913" s="2" t="s">
        <v>6555</v>
      </c>
      <c r="K5913" s="2" t="s">
        <v>1452</v>
      </c>
      <c r="L5913" s="2" t="s">
        <v>5221</v>
      </c>
      <c r="M5913" s="2" t="s">
        <v>5221</v>
      </c>
      <c r="N5913" s="2" t="s">
        <v>2317</v>
      </c>
      <c r="O5913" s="14">
        <v>13200</v>
      </c>
      <c r="P5913" s="14">
        <v>98.52</v>
      </c>
      <c r="Q5913" s="14">
        <v>195.36</v>
      </c>
      <c r="R5913" s="14">
        <v>293.04000000000002</v>
      </c>
      <c r="S5913" s="2" t="s">
        <v>6069</v>
      </c>
      <c r="T5913" s="2">
        <v>0.92</v>
      </c>
      <c r="U5913" s="2">
        <v>58.4</v>
      </c>
      <c r="V5913" s="2">
        <v>65</v>
      </c>
      <c r="W5913" s="2" t="s">
        <v>7862</v>
      </c>
      <c r="X5913" s="2" t="s">
        <v>3061</v>
      </c>
      <c r="Y5913" s="2">
        <v>19800</v>
      </c>
      <c r="Z5913" s="19" t="str">
        <f>HYPERLINK("https://ssdweb.co/ssdweb/hd/Vision360.html?d=926020807&amp;zoomslide=1&amp;z=1926020807&amp;ISCONFIRM=0","VIDEO")</f>
        <v>VIDEO</v>
      </c>
      <c r="AA5913" s="19" t="str">
        <f>HYPERLINK("https://ssdweb.co/ssdweb/CERTH/631464199.pdf","CERTI")</f>
        <v>CERTI</v>
      </c>
    </row>
    <row r="5914" spans="1:27" ht="15" x14ac:dyDescent="0.25">
      <c r="A5914" s="2">
        <v>5909</v>
      </c>
      <c r="B5914" s="39">
        <v>925802055</v>
      </c>
      <c r="C5914" s="28" t="str">
        <f>HYPERLINK("https://pld.live/RapDetail.aspx?STONELIST=925802055","DNA")</f>
        <v>DNA</v>
      </c>
      <c r="D5914" s="18" t="s">
        <v>711</v>
      </c>
      <c r="E5914" s="18" t="s">
        <v>5128</v>
      </c>
      <c r="F5914" s="2" t="s">
        <v>7987</v>
      </c>
      <c r="G5914" s="2" t="s">
        <v>5134</v>
      </c>
      <c r="H5914" s="14">
        <v>1.5</v>
      </c>
      <c r="I5914" s="2" t="s">
        <v>267</v>
      </c>
      <c r="J5914" s="2" t="s">
        <v>3942</v>
      </c>
      <c r="K5914" s="2" t="s">
        <v>1452</v>
      </c>
      <c r="L5914" s="2" t="s">
        <v>5221</v>
      </c>
      <c r="M5914" s="2" t="s">
        <v>5221</v>
      </c>
      <c r="N5914" s="2" t="s">
        <v>2317</v>
      </c>
      <c r="O5914" s="14">
        <v>12500</v>
      </c>
      <c r="P5914" s="14">
        <v>98.89</v>
      </c>
      <c r="Q5914" s="14">
        <v>138.75</v>
      </c>
      <c r="R5914" s="14">
        <v>208.13</v>
      </c>
      <c r="S5914" s="2" t="s">
        <v>2470</v>
      </c>
      <c r="T5914" s="2">
        <v>0.9</v>
      </c>
      <c r="U5914" s="2">
        <v>60.1</v>
      </c>
      <c r="V5914" s="2">
        <v>61</v>
      </c>
      <c r="W5914" s="2" t="s">
        <v>7862</v>
      </c>
      <c r="X5914" s="2" t="s">
        <v>3061</v>
      </c>
      <c r="Y5914" s="2">
        <v>18750</v>
      </c>
      <c r="Z5914" s="19" t="str">
        <f>HYPERLINK("https://ssdweb.co/ssdweb/hd/Vision360.html?d=925802055&amp;zoomslide=1&amp;z=1925802055&amp;ISCONFIRM=0","VIDEO")</f>
        <v>VIDEO</v>
      </c>
      <c r="AA5914" s="19" t="str">
        <f>HYPERLINK("https://ssdweb.co/ssdweb/CERTH/627410472.pdf","CERTI")</f>
        <v>CERTI</v>
      </c>
    </row>
    <row r="5915" spans="1:27" ht="15" x14ac:dyDescent="0.25">
      <c r="A5915" s="2">
        <v>5910</v>
      </c>
      <c r="B5915" s="39">
        <v>925190165</v>
      </c>
      <c r="C5915" s="28" t="str">
        <f>HYPERLINK("https://pld.live/RapDetail.aspx?STONELIST=925190165","DNA")</f>
        <v>DNA</v>
      </c>
      <c r="D5915" s="18" t="s">
        <v>711</v>
      </c>
      <c r="E5915" s="18" t="s">
        <v>5128</v>
      </c>
      <c r="F5915" s="2" t="s">
        <v>7987</v>
      </c>
      <c r="G5915" s="2" t="s">
        <v>5134</v>
      </c>
      <c r="H5915" s="14">
        <v>1.5</v>
      </c>
      <c r="I5915" s="2" t="s">
        <v>267</v>
      </c>
      <c r="J5915" s="2" t="s">
        <v>3942</v>
      </c>
      <c r="K5915" s="2" t="s">
        <v>1452</v>
      </c>
      <c r="L5915" s="2" t="s">
        <v>5221</v>
      </c>
      <c r="M5915" s="2" t="s">
        <v>5221</v>
      </c>
      <c r="N5915" s="2" t="s">
        <v>2317</v>
      </c>
      <c r="O5915" s="14">
        <v>12500</v>
      </c>
      <c r="P5915" s="14">
        <v>98.89</v>
      </c>
      <c r="Q5915" s="14">
        <v>138.75</v>
      </c>
      <c r="R5915" s="14">
        <v>208.13</v>
      </c>
      <c r="S5915" s="2" t="s">
        <v>1295</v>
      </c>
      <c r="T5915" s="2">
        <v>0.84</v>
      </c>
      <c r="U5915" s="2">
        <v>60.3</v>
      </c>
      <c r="V5915" s="2">
        <v>62</v>
      </c>
      <c r="W5915" s="2" t="s">
        <v>7862</v>
      </c>
      <c r="X5915" s="2" t="s">
        <v>3061</v>
      </c>
      <c r="Y5915" s="2">
        <v>18750</v>
      </c>
      <c r="Z5915" s="19" t="str">
        <f>HYPERLINK("https://ssdweb.co/ssdweb/hd/Vision360.html?d=925190165&amp;zoomslide=1&amp;z=1925190165&amp;ISCONFIRM=0","VIDEO")</f>
        <v>VIDEO</v>
      </c>
      <c r="AA5915" s="19" t="str">
        <f>HYPERLINK("https://ssdweb.co/ssdweb/CERTH/619469659.pdf","CERTI")</f>
        <v>CERTI</v>
      </c>
    </row>
    <row r="5916" spans="1:27" ht="15" x14ac:dyDescent="0.25">
      <c r="A5916" s="2">
        <v>5911</v>
      </c>
      <c r="B5916" s="39">
        <v>925732265</v>
      </c>
      <c r="C5916" s="28" t="str">
        <f>HYPERLINK("https://pld.live/RapDetail.aspx?STONELIST=925732265","DNA")</f>
        <v>DNA</v>
      </c>
      <c r="D5916" s="18" t="s">
        <v>5281</v>
      </c>
      <c r="E5916" s="18" t="s">
        <v>5128</v>
      </c>
      <c r="F5916" s="2" t="s">
        <v>7987</v>
      </c>
      <c r="G5916" s="2" t="s">
        <v>5134</v>
      </c>
      <c r="H5916" s="14">
        <v>1.49</v>
      </c>
      <c r="I5916" s="2" t="s">
        <v>267</v>
      </c>
      <c r="J5916" s="2" t="s">
        <v>6555</v>
      </c>
      <c r="K5916" s="2" t="s">
        <v>1452</v>
      </c>
      <c r="L5916" s="2" t="s">
        <v>5221</v>
      </c>
      <c r="M5916" s="2" t="s">
        <v>5221</v>
      </c>
      <c r="N5916" s="2" t="s">
        <v>2317</v>
      </c>
      <c r="O5916" s="14">
        <v>8200</v>
      </c>
      <c r="P5916" s="14">
        <v>97.85</v>
      </c>
      <c r="Q5916" s="14">
        <v>176.3</v>
      </c>
      <c r="R5916" s="14">
        <v>262.69</v>
      </c>
      <c r="S5916" s="2" t="s">
        <v>6594</v>
      </c>
      <c r="T5916" s="2">
        <v>0.91</v>
      </c>
      <c r="U5916" s="2">
        <v>59.6</v>
      </c>
      <c r="V5916" s="2">
        <v>61</v>
      </c>
      <c r="W5916" s="2" t="s">
        <v>7862</v>
      </c>
      <c r="X5916" s="2" t="s">
        <v>3061</v>
      </c>
      <c r="Y5916" s="2">
        <v>12218</v>
      </c>
      <c r="Z5916" s="19" t="str">
        <f>HYPERLINK("https://ssdweb.co/ssdweb/hd/Vision360.html?d=925732265&amp;zoomslide=1&amp;z=1925732265&amp;ISCONFIRM=0","VIDEO")</f>
        <v>VIDEO</v>
      </c>
      <c r="AA5916" s="19" t="str">
        <f>HYPERLINK("https://ssdweb.co/ssdweb/CERTH/626499173.pdf","CERTI")</f>
        <v>CERTI</v>
      </c>
    </row>
    <row r="5917" spans="1:27" ht="15" x14ac:dyDescent="0.25">
      <c r="A5917" s="2">
        <v>5912</v>
      </c>
      <c r="B5917" s="39">
        <v>925300373</v>
      </c>
      <c r="C5917" s="28" t="str">
        <f>HYPERLINK("https://pld.live/RapDetail.aspx?STONELIST=925300373","DNA")</f>
        <v>DNA</v>
      </c>
      <c r="D5917" s="18" t="s">
        <v>5281</v>
      </c>
      <c r="E5917" s="18" t="s">
        <v>5128</v>
      </c>
      <c r="F5917" s="2" t="s">
        <v>7987</v>
      </c>
      <c r="G5917" s="2" t="s">
        <v>5134</v>
      </c>
      <c r="H5917" s="14">
        <v>1.49</v>
      </c>
      <c r="I5917" s="2" t="s">
        <v>267</v>
      </c>
      <c r="J5917" s="2" t="s">
        <v>6555</v>
      </c>
      <c r="K5917" s="2" t="s">
        <v>1452</v>
      </c>
      <c r="L5917" s="2" t="s">
        <v>5221</v>
      </c>
      <c r="M5917" s="2" t="s">
        <v>5221</v>
      </c>
      <c r="N5917" s="2" t="s">
        <v>2317</v>
      </c>
      <c r="O5917" s="14">
        <v>8200</v>
      </c>
      <c r="P5917" s="14">
        <v>97.85</v>
      </c>
      <c r="Q5917" s="14">
        <v>176.3</v>
      </c>
      <c r="R5917" s="14">
        <v>262.69</v>
      </c>
      <c r="S5917" s="2" t="s">
        <v>6741</v>
      </c>
      <c r="T5917" s="2">
        <v>0.86</v>
      </c>
      <c r="U5917" s="2">
        <v>58.4</v>
      </c>
      <c r="V5917" s="2">
        <v>62</v>
      </c>
      <c r="W5917" s="2" t="s">
        <v>7862</v>
      </c>
      <c r="X5917" s="2" t="s">
        <v>3061</v>
      </c>
      <c r="Y5917" s="2">
        <v>12218</v>
      </c>
      <c r="Z5917" s="19" t="str">
        <f>HYPERLINK("https://ssdweb.co/ssdweb/hd/Vision360.html?d=925300373&amp;zoomslide=1&amp;z=1925300373&amp;ISCONFIRM=0","VIDEO")</f>
        <v>VIDEO</v>
      </c>
      <c r="AA5917" s="19" t="str">
        <f>HYPERLINK("https://ssdweb.co/ssdweb/CERTH/624499616.pdf","CERTI")</f>
        <v>CERTI</v>
      </c>
    </row>
    <row r="5918" spans="1:27" ht="15" x14ac:dyDescent="0.25">
      <c r="A5918" s="2">
        <v>5913</v>
      </c>
      <c r="B5918" s="39">
        <v>925802052</v>
      </c>
      <c r="C5918" s="28" t="str">
        <f>HYPERLINK("https://pld.live/RapDetail.aspx?STONELIST=925802052","DNA")</f>
        <v>DNA</v>
      </c>
      <c r="D5918" s="18" t="s">
        <v>5281</v>
      </c>
      <c r="E5918" s="18" t="s">
        <v>5128</v>
      </c>
      <c r="F5918" s="2" t="s">
        <v>7987</v>
      </c>
      <c r="G5918" s="2" t="s">
        <v>5134</v>
      </c>
      <c r="H5918" s="14">
        <v>1.47</v>
      </c>
      <c r="I5918" s="2" t="s">
        <v>267</v>
      </c>
      <c r="J5918" s="2" t="s">
        <v>13</v>
      </c>
      <c r="K5918" s="2" t="s">
        <v>1452</v>
      </c>
      <c r="L5918" s="2" t="s">
        <v>5221</v>
      </c>
      <c r="M5918" s="2" t="s">
        <v>5221</v>
      </c>
      <c r="N5918" s="2" t="s">
        <v>2317</v>
      </c>
      <c r="O5918" s="14">
        <v>6700</v>
      </c>
      <c r="P5918" s="14">
        <v>98.03</v>
      </c>
      <c r="Q5918" s="14">
        <v>131.99</v>
      </c>
      <c r="R5918" s="14">
        <v>194.03</v>
      </c>
      <c r="S5918" s="2" t="s">
        <v>795</v>
      </c>
      <c r="T5918" s="2">
        <v>0.86</v>
      </c>
      <c r="U5918" s="2">
        <v>58.7</v>
      </c>
      <c r="V5918" s="2">
        <v>63</v>
      </c>
      <c r="W5918" s="2" t="s">
        <v>7862</v>
      </c>
      <c r="X5918" s="2" t="s">
        <v>3061</v>
      </c>
      <c r="Y5918" s="2">
        <v>9849</v>
      </c>
      <c r="Z5918" s="19" t="str">
        <f>HYPERLINK("https://ssdweb.co/ssdweb/hd/Vision360.html?d=925802052&amp;zoomslide=1&amp;z=1925802052&amp;ISCONFIRM=0","VIDEO")</f>
        <v>VIDEO</v>
      </c>
      <c r="AA5918" s="19" t="str">
        <f>HYPERLINK("https://ssdweb.co/ssdweb/CERTH/627431856.pdf","CERTI")</f>
        <v>CERTI</v>
      </c>
    </row>
    <row r="5919" spans="1:27" ht="15" x14ac:dyDescent="0.25">
      <c r="A5919" s="2">
        <v>5914</v>
      </c>
      <c r="B5919" s="39">
        <v>925862077</v>
      </c>
      <c r="C5919" s="28" t="str">
        <f>HYPERLINK("https://pld.live/RapDetail.aspx?STONELIST=925862077","DNA")</f>
        <v>DNA</v>
      </c>
      <c r="D5919" s="18" t="s">
        <v>5281</v>
      </c>
      <c r="E5919" s="18" t="s">
        <v>5128</v>
      </c>
      <c r="F5919" s="2" t="s">
        <v>7987</v>
      </c>
      <c r="G5919" s="2" t="s">
        <v>5134</v>
      </c>
      <c r="H5919" s="14">
        <v>1.46</v>
      </c>
      <c r="I5919" s="2" t="s">
        <v>267</v>
      </c>
      <c r="J5919" s="2" t="s">
        <v>7032</v>
      </c>
      <c r="K5919" s="2" t="s">
        <v>1452</v>
      </c>
      <c r="L5919" s="2" t="s">
        <v>5221</v>
      </c>
      <c r="M5919" s="2" t="s">
        <v>5221</v>
      </c>
      <c r="N5919" s="2" t="s">
        <v>2317</v>
      </c>
      <c r="O5919" s="14">
        <v>9300</v>
      </c>
      <c r="P5919" s="14">
        <v>97.2</v>
      </c>
      <c r="Q5919" s="14">
        <v>260.39999999999998</v>
      </c>
      <c r="R5919" s="14">
        <v>380.18</v>
      </c>
      <c r="S5919" s="2" t="s">
        <v>7368</v>
      </c>
      <c r="T5919" s="2">
        <v>0.86</v>
      </c>
      <c r="U5919" s="2">
        <v>59.7</v>
      </c>
      <c r="V5919" s="2">
        <v>61</v>
      </c>
      <c r="W5919" s="2" t="s">
        <v>7862</v>
      </c>
      <c r="X5919" s="2" t="s">
        <v>3061</v>
      </c>
      <c r="Y5919" s="2">
        <v>13578</v>
      </c>
      <c r="Z5919" s="19" t="str">
        <f>HYPERLINK("https://ssdweb.co/ssdweb/hd/Vision360.html?d=925862077&amp;zoomslide=1&amp;z=1925862077&amp;ISCONFIRM=0","VIDEO")</f>
        <v>VIDEO</v>
      </c>
      <c r="AA5919" s="19" t="str">
        <f>HYPERLINK("https://ssdweb.co/ssdweb/CERTH/629453291.pdf","CERTI")</f>
        <v>CERTI</v>
      </c>
    </row>
    <row r="5920" spans="1:27" ht="15" x14ac:dyDescent="0.25">
      <c r="A5920" s="2">
        <v>5915</v>
      </c>
      <c r="B5920" s="39">
        <v>926101727</v>
      </c>
      <c r="C5920" s="28" t="str">
        <f>HYPERLINK("https://pld.live/RapDetail.aspx?STONELIST=926101727","DNA")</f>
        <v>DNA</v>
      </c>
      <c r="D5920" s="18" t="s">
        <v>5281</v>
      </c>
      <c r="E5920" s="18" t="s">
        <v>5128</v>
      </c>
      <c r="F5920" s="2" t="s">
        <v>7987</v>
      </c>
      <c r="G5920" s="2" t="s">
        <v>5134</v>
      </c>
      <c r="H5920" s="14">
        <v>1.46</v>
      </c>
      <c r="I5920" s="2" t="s">
        <v>267</v>
      </c>
      <c r="J5920" s="2" t="s">
        <v>3942</v>
      </c>
      <c r="K5920" s="2" t="s">
        <v>1452</v>
      </c>
      <c r="L5920" s="2" t="s">
        <v>5221</v>
      </c>
      <c r="M5920" s="2" t="s">
        <v>5221</v>
      </c>
      <c r="N5920" s="2" t="s">
        <v>2317</v>
      </c>
      <c r="O5920" s="14">
        <v>7600</v>
      </c>
      <c r="P5920" s="14">
        <v>98.21</v>
      </c>
      <c r="Q5920" s="14">
        <v>136.04</v>
      </c>
      <c r="R5920" s="14">
        <v>198.62</v>
      </c>
      <c r="S5920" s="2" t="s">
        <v>4832</v>
      </c>
      <c r="T5920" s="2">
        <v>0.9</v>
      </c>
      <c r="U5920" s="2">
        <v>58</v>
      </c>
      <c r="V5920" s="2">
        <v>61</v>
      </c>
      <c r="W5920" s="2" t="s">
        <v>7862</v>
      </c>
      <c r="X5920" s="2" t="s">
        <v>3061</v>
      </c>
      <c r="Y5920" s="2">
        <v>11096</v>
      </c>
      <c r="Z5920" s="19" t="str">
        <f>HYPERLINK("https://ssdweb.co/ssdweb/hd/Vision360.html?d=926101727&amp;zoomslide=1&amp;z=1926101727&amp;ISCONFIRM=0","VIDEO")</f>
        <v>VIDEO</v>
      </c>
      <c r="AA5920" s="19" t="str">
        <f>HYPERLINK("https://ssdweb.co/ssdweb/CERTH/633431985.pdf","CERTI")</f>
        <v>CERTI</v>
      </c>
    </row>
    <row r="5921" spans="1:27" ht="15" x14ac:dyDescent="0.25">
      <c r="A5921" s="2">
        <v>5916</v>
      </c>
      <c r="B5921" s="39">
        <v>925951324</v>
      </c>
      <c r="C5921" s="28" t="str">
        <f>HYPERLINK("https://pld.live/RapDetail.aspx?STONELIST=925951324","DNA")</f>
        <v>DNA</v>
      </c>
      <c r="D5921" s="18" t="s">
        <v>5281</v>
      </c>
      <c r="E5921" s="18" t="s">
        <v>5128</v>
      </c>
      <c r="F5921" s="2" t="s">
        <v>7987</v>
      </c>
      <c r="G5921" s="2" t="s">
        <v>5134</v>
      </c>
      <c r="H5921" s="14">
        <v>1.42</v>
      </c>
      <c r="I5921" s="2" t="s">
        <v>267</v>
      </c>
      <c r="J5921" s="2" t="s">
        <v>3942</v>
      </c>
      <c r="K5921" s="2" t="s">
        <v>1452</v>
      </c>
      <c r="L5921" s="2" t="s">
        <v>5221</v>
      </c>
      <c r="M5921" s="2" t="s">
        <v>5221</v>
      </c>
      <c r="N5921" s="2" t="s">
        <v>2317</v>
      </c>
      <c r="O5921" s="14">
        <v>7600</v>
      </c>
      <c r="P5921" s="14">
        <v>98.21</v>
      </c>
      <c r="Q5921" s="14">
        <v>136.04</v>
      </c>
      <c r="R5921" s="14">
        <v>193.18</v>
      </c>
      <c r="S5921" s="2" t="s">
        <v>4460</v>
      </c>
      <c r="T5921" s="2">
        <v>0.86</v>
      </c>
      <c r="U5921" s="2">
        <v>58</v>
      </c>
      <c r="V5921" s="2">
        <v>62</v>
      </c>
      <c r="W5921" s="2" t="s">
        <v>7862</v>
      </c>
      <c r="X5921" s="2" t="s">
        <v>3061</v>
      </c>
      <c r="Y5921" s="2">
        <v>10792</v>
      </c>
      <c r="Z5921" s="19" t="str">
        <f>HYPERLINK("https://ssdweb.co/ssdweb/hd/Vision360.html?d=925951324&amp;zoomslide=1&amp;z=1925951324&amp;ISCONFIRM=0","VIDEO")</f>
        <v>VIDEO</v>
      </c>
      <c r="AA5921" s="19" t="str">
        <f>HYPERLINK("https://ssdweb.co/ssdweb/CERTH/631404501.pdf","CERTI")</f>
        <v>CERTI</v>
      </c>
    </row>
    <row r="5922" spans="1:27" ht="15" x14ac:dyDescent="0.25">
      <c r="A5922" s="2">
        <v>5917</v>
      </c>
      <c r="B5922" s="39">
        <v>925802075</v>
      </c>
      <c r="C5922" s="28" t="str">
        <f>HYPERLINK("https://pld.live/RapDetail.aspx?STONELIST=925802075","DNA")</f>
        <v>DNA</v>
      </c>
      <c r="D5922" s="18" t="s">
        <v>5281</v>
      </c>
      <c r="E5922" s="18" t="s">
        <v>5128</v>
      </c>
      <c r="F5922" s="2" t="s">
        <v>7987</v>
      </c>
      <c r="G5922" s="2" t="s">
        <v>5134</v>
      </c>
      <c r="H5922" s="14">
        <v>1.41</v>
      </c>
      <c r="I5922" s="2" t="s">
        <v>267</v>
      </c>
      <c r="J5922" s="2" t="s">
        <v>6555</v>
      </c>
      <c r="K5922" s="2" t="s">
        <v>1452</v>
      </c>
      <c r="L5922" s="2" t="s">
        <v>5221</v>
      </c>
      <c r="M5922" s="2" t="s">
        <v>5221</v>
      </c>
      <c r="N5922" s="2" t="s">
        <v>2317</v>
      </c>
      <c r="O5922" s="14">
        <v>8200</v>
      </c>
      <c r="P5922" s="14">
        <v>97.85</v>
      </c>
      <c r="Q5922" s="14">
        <v>176.3</v>
      </c>
      <c r="R5922" s="14">
        <v>248.58</v>
      </c>
      <c r="S5922" s="2" t="s">
        <v>2499</v>
      </c>
      <c r="T5922" s="2">
        <v>0.91</v>
      </c>
      <c r="U5922" s="2">
        <v>57.5</v>
      </c>
      <c r="V5922" s="2">
        <v>61</v>
      </c>
      <c r="W5922" s="2" t="s">
        <v>7862</v>
      </c>
      <c r="X5922" s="2" t="s">
        <v>3061</v>
      </c>
      <c r="Y5922" s="2">
        <v>11562</v>
      </c>
      <c r="Z5922" s="19" t="str">
        <f>HYPERLINK("https://ssdweb.co/ssdweb/hd/Vision360.html?d=925802075&amp;zoomslide=1&amp;z=1925802075&amp;ISCONFIRM=0","VIDEO")</f>
        <v>VIDEO</v>
      </c>
      <c r="AA5922" s="19" t="str">
        <f>HYPERLINK("https://ssdweb.co/ssdweb/CERTH/628427033.pdf","CERTI")</f>
        <v>CERTI</v>
      </c>
    </row>
    <row r="5923" spans="1:27" ht="15" x14ac:dyDescent="0.25">
      <c r="A5923" s="2">
        <v>5918</v>
      </c>
      <c r="B5923" s="39">
        <v>925961383</v>
      </c>
      <c r="C5923" s="28" t="str">
        <f>HYPERLINK("https://pld.live/RapDetail.aspx?STONELIST=925961383","DNA")</f>
        <v>DNA</v>
      </c>
      <c r="D5923" s="18" t="s">
        <v>5281</v>
      </c>
      <c r="E5923" s="18" t="s">
        <v>5128</v>
      </c>
      <c r="F5923" s="2" t="s">
        <v>7987</v>
      </c>
      <c r="G5923" s="2" t="s">
        <v>5134</v>
      </c>
      <c r="H5923" s="14">
        <v>1.41</v>
      </c>
      <c r="I5923" s="2" t="s">
        <v>267</v>
      </c>
      <c r="J5923" s="2" t="s">
        <v>13</v>
      </c>
      <c r="K5923" s="2" t="s">
        <v>1452</v>
      </c>
      <c r="L5923" s="2" t="s">
        <v>5221</v>
      </c>
      <c r="M5923" s="2" t="s">
        <v>5221</v>
      </c>
      <c r="N5923" s="2" t="s">
        <v>2317</v>
      </c>
      <c r="O5923" s="14">
        <v>6700</v>
      </c>
      <c r="P5923" s="14">
        <v>98.03</v>
      </c>
      <c r="Q5923" s="14">
        <v>131.99</v>
      </c>
      <c r="R5923" s="14">
        <v>186.11</v>
      </c>
      <c r="S5923" s="2" t="s">
        <v>1377</v>
      </c>
      <c r="T5923" s="2">
        <v>0.9</v>
      </c>
      <c r="U5923" s="2">
        <v>58.3</v>
      </c>
      <c r="V5923" s="2">
        <v>58</v>
      </c>
      <c r="W5923" s="2" t="s">
        <v>7862</v>
      </c>
      <c r="X5923" s="2" t="s">
        <v>3061</v>
      </c>
      <c r="Y5923" s="2">
        <v>9447</v>
      </c>
      <c r="Z5923" s="19" t="str">
        <f>HYPERLINK("https://ssdweb.co/ssdweb/hd/Vision360.html?d=925961383&amp;zoomslide=1&amp;z=1925961383&amp;ISCONFIRM=0","VIDEO")</f>
        <v>VIDEO</v>
      </c>
      <c r="AA5923" s="19" t="str">
        <f>HYPERLINK("https://ssdweb.co/ssdweb/CERTH/631430379.pdf","CERTI")</f>
        <v>CERTI</v>
      </c>
    </row>
    <row r="5924" spans="1:27" ht="15" x14ac:dyDescent="0.25">
      <c r="A5924" s="2">
        <v>5919</v>
      </c>
      <c r="B5924" s="39">
        <v>926020820</v>
      </c>
      <c r="C5924" s="28" t="str">
        <f>HYPERLINK("https://pld.live/RapDetail.aspx?STONELIST=926020820","DNA")</f>
        <v>DNA</v>
      </c>
      <c r="D5924" s="18" t="s">
        <v>5235</v>
      </c>
      <c r="E5924" s="18" t="s">
        <v>5128</v>
      </c>
      <c r="F5924" s="2" t="s">
        <v>7987</v>
      </c>
      <c r="G5924" s="2" t="s">
        <v>5134</v>
      </c>
      <c r="H5924" s="14">
        <v>1.29</v>
      </c>
      <c r="I5924" s="2" t="s">
        <v>267</v>
      </c>
      <c r="J5924" s="2" t="s">
        <v>13</v>
      </c>
      <c r="K5924" s="2" t="s">
        <v>1452</v>
      </c>
      <c r="L5924" s="2" t="s">
        <v>5221</v>
      </c>
      <c r="M5924" s="2" t="s">
        <v>5221</v>
      </c>
      <c r="N5924" s="2" t="s">
        <v>2317</v>
      </c>
      <c r="O5924" s="14">
        <v>6700</v>
      </c>
      <c r="P5924" s="14">
        <v>98</v>
      </c>
      <c r="Q5924" s="14">
        <v>134</v>
      </c>
      <c r="R5924" s="14">
        <v>172.86</v>
      </c>
      <c r="S5924" s="2" t="s">
        <v>5096</v>
      </c>
      <c r="T5924" s="2">
        <v>0.91</v>
      </c>
      <c r="U5924" s="2">
        <v>57.1</v>
      </c>
      <c r="V5924" s="2">
        <v>62</v>
      </c>
      <c r="W5924" s="2" t="s">
        <v>7862</v>
      </c>
      <c r="X5924" s="2" t="s">
        <v>3061</v>
      </c>
      <c r="Y5924" s="2">
        <v>8643</v>
      </c>
      <c r="Z5924" s="19" t="str">
        <f>HYPERLINK("https://ssdweb.co/ssdweb/hd/Vision360.html?d=926020820&amp;zoomslide=1&amp;z=1926020820&amp;ISCONFIRM=0","VIDEO")</f>
        <v>VIDEO</v>
      </c>
      <c r="AA5924" s="19" t="str">
        <f>HYPERLINK("https://ssdweb.co/ssdweb/CERTH/632403871.pdf","CERTI")</f>
        <v>CERTI</v>
      </c>
    </row>
    <row r="5925" spans="1:27" ht="15" x14ac:dyDescent="0.25">
      <c r="A5925" s="2">
        <v>5920</v>
      </c>
      <c r="B5925" s="39">
        <v>926600038</v>
      </c>
      <c r="C5925" s="28" t="str">
        <f>HYPERLINK("https://pld.live/RapDetail.aspx?STONELIST=926600038","DNA")</f>
        <v>DNA</v>
      </c>
      <c r="D5925" s="18" t="s">
        <v>5235</v>
      </c>
      <c r="E5925" s="18" t="s">
        <v>2186</v>
      </c>
      <c r="F5925" s="2" t="s">
        <v>7987</v>
      </c>
      <c r="G5925" s="2" t="s">
        <v>5134</v>
      </c>
      <c r="H5925" s="14">
        <v>1.25</v>
      </c>
      <c r="I5925" s="2" t="s">
        <v>4761</v>
      </c>
      <c r="J5925" s="2" t="s">
        <v>13</v>
      </c>
      <c r="K5925" s="2" t="s">
        <v>1452</v>
      </c>
      <c r="L5925" s="2" t="s">
        <v>5221</v>
      </c>
      <c r="M5925" s="2" t="s">
        <v>5221</v>
      </c>
      <c r="N5925" s="2" t="s">
        <v>2317</v>
      </c>
      <c r="O5925" s="14">
        <v>6200</v>
      </c>
      <c r="P5925" s="14">
        <v>97.89</v>
      </c>
      <c r="Q5925" s="14">
        <v>130.82</v>
      </c>
      <c r="R5925" s="14">
        <v>163.53</v>
      </c>
      <c r="S5925" s="2" t="s">
        <v>6695</v>
      </c>
      <c r="T5925" s="2">
        <v>0.89</v>
      </c>
      <c r="U5925" s="2">
        <v>57</v>
      </c>
      <c r="V5925" s="2">
        <v>61</v>
      </c>
      <c r="W5925" s="2" t="s">
        <v>7862</v>
      </c>
      <c r="X5925" s="2" t="s">
        <v>3061</v>
      </c>
      <c r="Y5925" s="2">
        <v>7750</v>
      </c>
      <c r="Z5925" s="19" t="str">
        <f>HYPERLINK("https://ssdweb.co/ssdweb/hd/Vision360.html?d=926600038&amp;zoomslide=1&amp;z=1926600038&amp;ISCONFIRM=0","VIDEO")</f>
        <v>VIDEO</v>
      </c>
      <c r="AA5925" s="19" t="str">
        <f>HYPERLINK("https://ssdweb.co/ssdweb/CERTH/647452251.pdf","CERTI")</f>
        <v>CERTI</v>
      </c>
    </row>
    <row r="5926" spans="1:27" ht="15" x14ac:dyDescent="0.25">
      <c r="A5926" s="2">
        <v>5921</v>
      </c>
      <c r="B5926" s="39">
        <v>925300377</v>
      </c>
      <c r="C5926" s="28" t="str">
        <f>HYPERLINK("https://pld.live/RapDetail.aspx?STONELIST=925300377","DNA")</f>
        <v>DNA</v>
      </c>
      <c r="D5926" s="18" t="s">
        <v>5235</v>
      </c>
      <c r="E5926" s="18" t="s">
        <v>5128</v>
      </c>
      <c r="F5926" s="2" t="s">
        <v>7987</v>
      </c>
      <c r="G5926" s="2" t="s">
        <v>5134</v>
      </c>
      <c r="H5926" s="14">
        <v>1.22</v>
      </c>
      <c r="I5926" s="2" t="s">
        <v>267</v>
      </c>
      <c r="J5926" s="2" t="s">
        <v>13</v>
      </c>
      <c r="K5926" s="2" t="s">
        <v>1452</v>
      </c>
      <c r="L5926" s="2" t="s">
        <v>5221</v>
      </c>
      <c r="M5926" s="2" t="s">
        <v>5221</v>
      </c>
      <c r="N5926" s="2" t="s">
        <v>2317</v>
      </c>
      <c r="O5926" s="14">
        <v>6700</v>
      </c>
      <c r="P5926" s="14">
        <v>98</v>
      </c>
      <c r="Q5926" s="14">
        <v>134</v>
      </c>
      <c r="R5926" s="14">
        <v>163.47999999999999</v>
      </c>
      <c r="S5926" s="2" t="s">
        <v>201</v>
      </c>
      <c r="T5926" s="2">
        <v>0.88</v>
      </c>
      <c r="U5926" s="2">
        <v>60</v>
      </c>
      <c r="V5926" s="2">
        <v>61</v>
      </c>
      <c r="W5926" s="2" t="s">
        <v>7862</v>
      </c>
      <c r="X5926" s="2" t="s">
        <v>3061</v>
      </c>
      <c r="Y5926" s="2">
        <v>8174</v>
      </c>
      <c r="Z5926" s="19" t="str">
        <f>HYPERLINK("https://ssdweb.co/ssdweb/hd/Vision360.html?d=925300377&amp;zoomslide=1&amp;z=1925300377&amp;ISCONFIRM=0","VIDEO")</f>
        <v>VIDEO</v>
      </c>
      <c r="AA5926" s="19" t="str">
        <f>HYPERLINK("https://ssdweb.co/ssdweb/CERTH/624420590.pdf","CERTI")</f>
        <v>CERTI</v>
      </c>
    </row>
    <row r="5927" spans="1:27" ht="15" x14ac:dyDescent="0.25">
      <c r="A5927" s="2">
        <v>5922</v>
      </c>
      <c r="B5927" s="39">
        <v>925180140</v>
      </c>
      <c r="C5927" s="28" t="str">
        <f>HYPERLINK("https://pld.live/RapDetail.aspx?STONELIST=925180140","DNA")</f>
        <v>DNA</v>
      </c>
      <c r="D5927" s="18" t="s">
        <v>3054</v>
      </c>
      <c r="E5927" s="18" t="s">
        <v>5128</v>
      </c>
      <c r="F5927" s="2" t="s">
        <v>7987</v>
      </c>
      <c r="G5927" s="2" t="s">
        <v>5134</v>
      </c>
      <c r="H5927" s="14">
        <v>1.1299999999999999</v>
      </c>
      <c r="I5927" s="2" t="s">
        <v>267</v>
      </c>
      <c r="J5927" s="2" t="s">
        <v>3942</v>
      </c>
      <c r="K5927" s="2" t="s">
        <v>1452</v>
      </c>
      <c r="L5927" s="2" t="s">
        <v>5221</v>
      </c>
      <c r="M5927" s="2" t="s">
        <v>5221</v>
      </c>
      <c r="N5927" s="2" t="s">
        <v>2317</v>
      </c>
      <c r="O5927" s="14">
        <v>7600</v>
      </c>
      <c r="P5927" s="14">
        <v>98.21</v>
      </c>
      <c r="Q5927" s="14">
        <v>136.04</v>
      </c>
      <c r="R5927" s="14">
        <v>153.72999999999999</v>
      </c>
      <c r="S5927" s="2" t="s">
        <v>3000</v>
      </c>
      <c r="T5927" s="2">
        <v>0.88</v>
      </c>
      <c r="U5927" s="2">
        <v>57</v>
      </c>
      <c r="V5927" s="2">
        <v>60</v>
      </c>
      <c r="W5927" s="2" t="s">
        <v>7862</v>
      </c>
      <c r="X5927" s="2" t="s">
        <v>3061</v>
      </c>
      <c r="Y5927" s="2">
        <v>8588</v>
      </c>
      <c r="Z5927" s="19" t="str">
        <f>HYPERLINK("https://ssdweb.co/ssdweb/hd/Vision360.html?d=925180140&amp;zoomslide=1&amp;z=1925180140&amp;ISCONFIRM=0","VIDEO")</f>
        <v>VIDEO</v>
      </c>
      <c r="AA5927" s="19" t="str">
        <f>HYPERLINK("https://ssdweb.co/ssdweb/CERTH/613349702.pdf","CERTI")</f>
        <v>CERTI</v>
      </c>
    </row>
    <row r="5928" spans="1:27" ht="15" x14ac:dyDescent="0.25">
      <c r="A5928" s="2">
        <v>5923</v>
      </c>
      <c r="B5928" s="39">
        <v>926071950</v>
      </c>
      <c r="C5928" s="28" t="str">
        <f>HYPERLINK("https://pld.live/RapDetail.aspx?STONELIST=926071950","DNA")</f>
        <v>DNA</v>
      </c>
      <c r="D5928" s="18" t="s">
        <v>3054</v>
      </c>
      <c r="E5928" s="18" t="s">
        <v>5128</v>
      </c>
      <c r="F5928" s="2" t="s">
        <v>7987</v>
      </c>
      <c r="G5928" s="2" t="s">
        <v>5134</v>
      </c>
      <c r="H5928" s="14">
        <v>1.1100000000000001</v>
      </c>
      <c r="I5928" s="2" t="s">
        <v>267</v>
      </c>
      <c r="J5928" s="2" t="s">
        <v>7032</v>
      </c>
      <c r="K5928" s="2" t="s">
        <v>1452</v>
      </c>
      <c r="L5928" s="2" t="s">
        <v>5221</v>
      </c>
      <c r="M5928" s="2" t="s">
        <v>5221</v>
      </c>
      <c r="N5928" s="2" t="s">
        <v>2317</v>
      </c>
      <c r="O5928" s="14">
        <v>9300</v>
      </c>
      <c r="P5928" s="14">
        <v>97.26</v>
      </c>
      <c r="Q5928" s="14">
        <v>254.82</v>
      </c>
      <c r="R5928" s="14">
        <v>282.85000000000002</v>
      </c>
      <c r="S5928" s="2" t="s">
        <v>1064</v>
      </c>
      <c r="T5928" s="2">
        <v>0.9</v>
      </c>
      <c r="U5928" s="2">
        <v>57.7</v>
      </c>
      <c r="V5928" s="2">
        <v>59</v>
      </c>
      <c r="W5928" s="2" t="s">
        <v>7862</v>
      </c>
      <c r="X5928" s="2" t="s">
        <v>3061</v>
      </c>
      <c r="Y5928" s="2">
        <v>10323</v>
      </c>
      <c r="Z5928" s="19" t="str">
        <f>HYPERLINK("https://ssdweb.co/ssdweb/hd/Vision360.html?d=926071950&amp;zoomslide=1&amp;z=1926071950&amp;ISCONFIRM=0","VIDEO")</f>
        <v>VIDEO</v>
      </c>
      <c r="AA5928" s="19" t="str">
        <f>HYPERLINK("https://ssdweb.co/ssdweb/CERTH/633431981.pdf","CERTI")</f>
        <v>CERTI</v>
      </c>
    </row>
    <row r="5929" spans="1:27" ht="15" x14ac:dyDescent="0.25">
      <c r="A5929" s="2">
        <v>5924</v>
      </c>
      <c r="B5929" s="39">
        <v>925961389</v>
      </c>
      <c r="C5929" s="28" t="str">
        <f>HYPERLINK("https://pld.live/RapDetail.aspx?STONELIST=925961389","DNA")</f>
        <v>DNA</v>
      </c>
      <c r="D5929" s="18" t="s">
        <v>3054</v>
      </c>
      <c r="E5929" s="18" t="s">
        <v>5128</v>
      </c>
      <c r="F5929" s="2" t="s">
        <v>7987</v>
      </c>
      <c r="G5929" s="2" t="s">
        <v>5134</v>
      </c>
      <c r="H5929" s="14">
        <v>1.1000000000000001</v>
      </c>
      <c r="I5929" s="2" t="s">
        <v>267</v>
      </c>
      <c r="J5929" s="2" t="s">
        <v>7032</v>
      </c>
      <c r="K5929" s="2" t="s">
        <v>1452</v>
      </c>
      <c r="L5929" s="2" t="s">
        <v>5221</v>
      </c>
      <c r="M5929" s="2" t="s">
        <v>5221</v>
      </c>
      <c r="N5929" s="2" t="s">
        <v>2317</v>
      </c>
      <c r="O5929" s="14">
        <v>9300</v>
      </c>
      <c r="P5929" s="14">
        <v>97.26</v>
      </c>
      <c r="Q5929" s="14">
        <v>254.82</v>
      </c>
      <c r="R5929" s="14">
        <v>280.3</v>
      </c>
      <c r="S5929" s="2" t="s">
        <v>7895</v>
      </c>
      <c r="T5929" s="2">
        <v>0.87</v>
      </c>
      <c r="U5929" s="2">
        <v>57.5</v>
      </c>
      <c r="V5929" s="2">
        <v>63</v>
      </c>
      <c r="W5929" s="2" t="s">
        <v>7862</v>
      </c>
      <c r="X5929" s="2" t="s">
        <v>3061</v>
      </c>
      <c r="Y5929" s="2">
        <v>10230</v>
      </c>
      <c r="Z5929" s="19" t="str">
        <f>HYPERLINK("https://ssdweb.co/ssdweb/hd/Vision360.html?d=925961389&amp;zoomslide=1&amp;z=1925961389&amp;ISCONFIRM=0","VIDEO")</f>
        <v>VIDEO</v>
      </c>
      <c r="AA5929" s="19" t="str">
        <f>HYPERLINK("https://ssdweb.co/ssdweb/CERTH/632488414.pdf","CERTI")</f>
        <v>CERTI</v>
      </c>
    </row>
    <row r="5930" spans="1:27" ht="15" x14ac:dyDescent="0.25">
      <c r="A5930" s="2">
        <v>5925</v>
      </c>
      <c r="B5930" s="39">
        <v>925801155</v>
      </c>
      <c r="C5930" s="28" t="str">
        <f>HYPERLINK("https://pld.live/RapDetail.aspx?STONELIST=925801155","DNA")</f>
        <v>DNA</v>
      </c>
      <c r="D5930" s="18" t="s">
        <v>3054</v>
      </c>
      <c r="E5930" s="18" t="s">
        <v>5128</v>
      </c>
      <c r="F5930" s="2" t="s">
        <v>7987</v>
      </c>
      <c r="G5930" s="2" t="s">
        <v>5134</v>
      </c>
      <c r="H5930" s="14">
        <v>1.1000000000000001</v>
      </c>
      <c r="I5930" s="2" t="s">
        <v>267</v>
      </c>
      <c r="J5930" s="2" t="s">
        <v>3942</v>
      </c>
      <c r="K5930" s="2" t="s">
        <v>1452</v>
      </c>
      <c r="L5930" s="2" t="s">
        <v>5221</v>
      </c>
      <c r="M5930" s="2" t="s">
        <v>5221</v>
      </c>
      <c r="N5930" s="2" t="s">
        <v>2317</v>
      </c>
      <c r="O5930" s="14">
        <v>7600</v>
      </c>
      <c r="P5930" s="14">
        <v>98.21</v>
      </c>
      <c r="Q5930" s="14">
        <v>136.04</v>
      </c>
      <c r="R5930" s="14">
        <v>149.63999999999999</v>
      </c>
      <c r="S5930" s="2" t="s">
        <v>2039</v>
      </c>
      <c r="T5930" s="2">
        <v>0.86</v>
      </c>
      <c r="U5930" s="2">
        <v>58.1</v>
      </c>
      <c r="V5930" s="2">
        <v>61</v>
      </c>
      <c r="W5930" s="2" t="s">
        <v>7862</v>
      </c>
      <c r="X5930" s="2" t="s">
        <v>3061</v>
      </c>
      <c r="Y5930" s="2">
        <v>8360</v>
      </c>
      <c r="Z5930" s="19" t="str">
        <f>HYPERLINK("https://ssdweb.co/ssdweb/hd/Vision360.html?d=925801155&amp;zoomslide=1&amp;z=1925801155&amp;ISCONFIRM=0","VIDEO")</f>
        <v>VIDEO</v>
      </c>
      <c r="AA5930" s="19" t="str">
        <f>HYPERLINK("https://ssdweb.co/ssdweb/CERTH/626457451.pdf","CERTI")</f>
        <v>CERTI</v>
      </c>
    </row>
    <row r="5931" spans="1:27" ht="15" x14ac:dyDescent="0.25">
      <c r="A5931" s="2">
        <v>5926</v>
      </c>
      <c r="B5931" s="39">
        <v>926020821</v>
      </c>
      <c r="C5931" s="28" t="str">
        <f>HYPERLINK("https://pld.live/RapDetail.aspx?STONELIST=926020821","DNA")</f>
        <v>DNA</v>
      </c>
      <c r="D5931" s="18" t="s">
        <v>3054</v>
      </c>
      <c r="E5931" s="18" t="s">
        <v>5128</v>
      </c>
      <c r="F5931" s="2" t="s">
        <v>7987</v>
      </c>
      <c r="G5931" s="2" t="s">
        <v>5134</v>
      </c>
      <c r="H5931" s="14">
        <v>1.1000000000000001</v>
      </c>
      <c r="I5931" s="2" t="s">
        <v>267</v>
      </c>
      <c r="J5931" s="2" t="s">
        <v>13</v>
      </c>
      <c r="K5931" s="2" t="s">
        <v>1452</v>
      </c>
      <c r="L5931" s="2" t="s">
        <v>5221</v>
      </c>
      <c r="M5931" s="2" t="s">
        <v>5221</v>
      </c>
      <c r="N5931" s="2" t="s">
        <v>2317</v>
      </c>
      <c r="O5931" s="14">
        <v>6700</v>
      </c>
      <c r="P5931" s="14">
        <v>98.04</v>
      </c>
      <c r="Q5931" s="14">
        <v>131.32</v>
      </c>
      <c r="R5931" s="14">
        <v>144.44999999999999</v>
      </c>
      <c r="S5931" s="2" t="s">
        <v>7644</v>
      </c>
      <c r="T5931" s="2">
        <v>0.88</v>
      </c>
      <c r="U5931" s="2">
        <v>56.6</v>
      </c>
      <c r="V5931" s="2">
        <v>64</v>
      </c>
      <c r="W5931" s="2" t="s">
        <v>7862</v>
      </c>
      <c r="X5931" s="2" t="s">
        <v>3061</v>
      </c>
      <c r="Y5931" s="2">
        <v>7370</v>
      </c>
      <c r="Z5931" s="19" t="str">
        <f>HYPERLINK("https://ssdweb.co/ssdweb/hd/Vision360.html?d=926020821&amp;zoomslide=1&amp;z=1926020821&amp;ISCONFIRM=0","VIDEO")</f>
        <v>VIDEO</v>
      </c>
      <c r="AA5931" s="19" t="str">
        <f>HYPERLINK("https://ssdweb.co/ssdweb/CERTH/633490521.pdf","CERTI")</f>
        <v>CERTI</v>
      </c>
    </row>
    <row r="5932" spans="1:27" ht="15" x14ac:dyDescent="0.25">
      <c r="A5932" s="2">
        <v>5927</v>
      </c>
      <c r="B5932" s="39">
        <v>925300378</v>
      </c>
      <c r="C5932" s="28" t="str">
        <f>HYPERLINK("https://pld.live/RapDetail.aspx?STONELIST=925300378","DNA")</f>
        <v>DNA</v>
      </c>
      <c r="D5932" s="18" t="s">
        <v>3054</v>
      </c>
      <c r="E5932" s="18" t="s">
        <v>5128</v>
      </c>
      <c r="F5932" s="2" t="s">
        <v>7987</v>
      </c>
      <c r="G5932" s="2" t="s">
        <v>5134</v>
      </c>
      <c r="H5932" s="14">
        <v>1.0900000000000001</v>
      </c>
      <c r="I5932" s="2" t="s">
        <v>267</v>
      </c>
      <c r="J5932" s="2" t="s">
        <v>6555</v>
      </c>
      <c r="K5932" s="2" t="s">
        <v>1452</v>
      </c>
      <c r="L5932" s="2" t="s">
        <v>5221</v>
      </c>
      <c r="M5932" s="2" t="s">
        <v>5221</v>
      </c>
      <c r="N5932" s="2" t="s">
        <v>2317</v>
      </c>
      <c r="O5932" s="14">
        <v>8200</v>
      </c>
      <c r="P5932" s="14">
        <v>98.1</v>
      </c>
      <c r="Q5932" s="14">
        <v>155.80000000000001</v>
      </c>
      <c r="R5932" s="14">
        <v>169.82</v>
      </c>
      <c r="S5932" s="2" t="s">
        <v>7863</v>
      </c>
      <c r="T5932" s="2">
        <v>0.86</v>
      </c>
      <c r="U5932" s="2">
        <v>57.7</v>
      </c>
      <c r="V5932" s="2">
        <v>61</v>
      </c>
      <c r="W5932" s="2" t="s">
        <v>7862</v>
      </c>
      <c r="X5932" s="2" t="s">
        <v>3061</v>
      </c>
      <c r="Y5932" s="2">
        <v>8938</v>
      </c>
      <c r="Z5932" s="19" t="str">
        <f>HYPERLINK("https://ssdweb.co/ssdweb/hd/Vision360.html?d=925300378&amp;zoomslide=1&amp;z=1925300378&amp;ISCONFIRM=0","VIDEO")</f>
        <v>VIDEO</v>
      </c>
      <c r="AA5932" s="19" t="str">
        <f>HYPERLINK("https://ssdweb.co/ssdweb/CERTH/625457940.pdf","CERTI")</f>
        <v>CERTI</v>
      </c>
    </row>
    <row r="5933" spans="1:27" ht="15" x14ac:dyDescent="0.25">
      <c r="A5933" s="2">
        <v>5928</v>
      </c>
      <c r="B5933" s="39">
        <v>925981268</v>
      </c>
      <c r="C5933" s="28" t="str">
        <f>HYPERLINK("https://pld.live/RapDetail.aspx?STONELIST=925981268","DNA")</f>
        <v>DNA</v>
      </c>
      <c r="D5933" s="18" t="s">
        <v>3054</v>
      </c>
      <c r="E5933" s="18" t="s">
        <v>5128</v>
      </c>
      <c r="F5933" s="2" t="s">
        <v>7987</v>
      </c>
      <c r="G5933" s="2" t="s">
        <v>5134</v>
      </c>
      <c r="H5933" s="14">
        <v>1.0900000000000001</v>
      </c>
      <c r="I5933" s="2" t="s">
        <v>267</v>
      </c>
      <c r="J5933" s="2" t="s">
        <v>3942</v>
      </c>
      <c r="K5933" s="2" t="s">
        <v>1452</v>
      </c>
      <c r="L5933" s="2" t="s">
        <v>5221</v>
      </c>
      <c r="M5933" s="2" t="s">
        <v>5221</v>
      </c>
      <c r="N5933" s="2" t="s">
        <v>2317</v>
      </c>
      <c r="O5933" s="14">
        <v>7600</v>
      </c>
      <c r="P5933" s="14">
        <v>98.21</v>
      </c>
      <c r="Q5933" s="14">
        <v>136.04</v>
      </c>
      <c r="R5933" s="14">
        <v>148.28</v>
      </c>
      <c r="S5933" s="2" t="s">
        <v>4320</v>
      </c>
      <c r="T5933" s="2">
        <v>0.9</v>
      </c>
      <c r="U5933" s="2">
        <v>56.2</v>
      </c>
      <c r="V5933" s="2">
        <v>62</v>
      </c>
      <c r="W5933" s="2" t="s">
        <v>7862</v>
      </c>
      <c r="X5933" s="2" t="s">
        <v>3061</v>
      </c>
      <c r="Y5933" s="2">
        <v>8284</v>
      </c>
      <c r="Z5933" s="19" t="str">
        <f>HYPERLINK("https://ssdweb.co/ssdweb/hd/Vision360.html?d=925981268&amp;zoomslide=1&amp;z=1925981268&amp;ISCONFIRM=0","VIDEO")</f>
        <v>VIDEO</v>
      </c>
      <c r="AA5933" s="19" t="str">
        <f>HYPERLINK("https://ssdweb.co/ssdweb/CERTH/631430163.pdf","CERTI")</f>
        <v>CERTI</v>
      </c>
    </row>
    <row r="5934" spans="1:27" ht="15" x14ac:dyDescent="0.25">
      <c r="A5934" s="2">
        <v>5929</v>
      </c>
      <c r="B5934" s="39">
        <v>924610450</v>
      </c>
      <c r="C5934" s="28" t="str">
        <f>HYPERLINK("https://pld.live/RapDetail.aspx?STONELIST=924610450","DNA")</f>
        <v>DNA</v>
      </c>
      <c r="D5934" s="18" t="s">
        <v>3054</v>
      </c>
      <c r="E5934" s="18" t="s">
        <v>5128</v>
      </c>
      <c r="F5934" s="2" t="s">
        <v>7987</v>
      </c>
      <c r="G5934" s="2" t="s">
        <v>5134</v>
      </c>
      <c r="H5934" s="14">
        <v>1.0900000000000001</v>
      </c>
      <c r="I5934" s="2" t="s">
        <v>4761</v>
      </c>
      <c r="J5934" s="2" t="s">
        <v>7032</v>
      </c>
      <c r="K5934" s="2" t="s">
        <v>1452</v>
      </c>
      <c r="L5934" s="2" t="s">
        <v>5221</v>
      </c>
      <c r="M5934" s="2" t="s">
        <v>5221</v>
      </c>
      <c r="N5934" s="2" t="s">
        <v>2317</v>
      </c>
      <c r="O5934" s="14">
        <v>8200</v>
      </c>
      <c r="P5934" s="14">
        <v>97.07</v>
      </c>
      <c r="Q5934" s="14">
        <v>240.26</v>
      </c>
      <c r="R5934" s="14">
        <v>261.88</v>
      </c>
      <c r="S5934" s="2" t="s">
        <v>2978</v>
      </c>
      <c r="T5934" s="2">
        <v>0.87</v>
      </c>
      <c r="U5934" s="2">
        <v>58</v>
      </c>
      <c r="V5934" s="2">
        <v>63</v>
      </c>
      <c r="W5934" s="2" t="s">
        <v>7862</v>
      </c>
      <c r="X5934" s="2" t="s">
        <v>3061</v>
      </c>
      <c r="Y5934" s="2">
        <v>8938</v>
      </c>
      <c r="Z5934" s="19" t="str">
        <f>HYPERLINK("https://ssdweb.co/ssdweb/hd/Vision360.html?d=924610450&amp;zoomslide=1&amp;z=1924610450&amp;ISCONFIRM=0","VIDEO")</f>
        <v>VIDEO</v>
      </c>
      <c r="AA5934" s="19" t="str">
        <f>HYPERLINK("https://ssdweb.co/ssdweb/CERTH/602359454.pdf","CERTI")</f>
        <v>CERTI</v>
      </c>
    </row>
    <row r="5935" spans="1:27" ht="15" x14ac:dyDescent="0.25">
      <c r="A5935" s="2">
        <v>5930</v>
      </c>
      <c r="B5935" s="39">
        <v>925270575</v>
      </c>
      <c r="C5935" s="28" t="str">
        <f>HYPERLINK("https://pld.live/RapDetail.aspx?STONELIST=925270575","DNA")</f>
        <v>DNA</v>
      </c>
      <c r="D5935" s="18" t="s">
        <v>3054</v>
      </c>
      <c r="E5935" s="18" t="s">
        <v>5128</v>
      </c>
      <c r="F5935" s="2" t="s">
        <v>7987</v>
      </c>
      <c r="G5935" s="2" t="s">
        <v>5134</v>
      </c>
      <c r="H5935" s="14">
        <v>1.07</v>
      </c>
      <c r="I5935" s="2" t="s">
        <v>267</v>
      </c>
      <c r="J5935" s="2" t="s">
        <v>6555</v>
      </c>
      <c r="K5935" s="2" t="s">
        <v>1452</v>
      </c>
      <c r="L5935" s="2" t="s">
        <v>5221</v>
      </c>
      <c r="M5935" s="2" t="s">
        <v>5221</v>
      </c>
      <c r="N5935" s="2" t="s">
        <v>2317</v>
      </c>
      <c r="O5935" s="14">
        <v>8200</v>
      </c>
      <c r="P5935" s="14">
        <v>98.1</v>
      </c>
      <c r="Q5935" s="14">
        <v>155.80000000000001</v>
      </c>
      <c r="R5935" s="14">
        <v>166.71</v>
      </c>
      <c r="S5935" s="2" t="s">
        <v>5680</v>
      </c>
      <c r="T5935" s="2">
        <v>0.88</v>
      </c>
      <c r="U5935" s="2">
        <v>57.5</v>
      </c>
      <c r="V5935" s="2">
        <v>60</v>
      </c>
      <c r="W5935" s="2" t="s">
        <v>7862</v>
      </c>
      <c r="X5935" s="2" t="s">
        <v>3061</v>
      </c>
      <c r="Y5935" s="2">
        <v>8774</v>
      </c>
      <c r="Z5935" s="19" t="str">
        <f>HYPERLINK("https://ssdweb.co/ssdweb/hd/Vision360.html?d=925270575&amp;zoomslide=1&amp;z=1925270575&amp;ISCONFIRM=0","VIDEO")</f>
        <v>VIDEO</v>
      </c>
      <c r="AA5935" s="19" t="str">
        <f>HYPERLINK("https://ssdweb.co/ssdweb/CERTH/623412625.pdf","CERTI")</f>
        <v>CERTI</v>
      </c>
    </row>
    <row r="5936" spans="1:27" ht="15" x14ac:dyDescent="0.25">
      <c r="A5936" s="2">
        <v>5931</v>
      </c>
      <c r="B5936" s="39">
        <v>924610448</v>
      </c>
      <c r="C5936" s="28" t="str">
        <f>HYPERLINK("https://pld.live/RapDetail.aspx?STONELIST=924610448","DNA")</f>
        <v>DNA</v>
      </c>
      <c r="D5936" s="18" t="s">
        <v>3054</v>
      </c>
      <c r="E5936" s="18" t="s">
        <v>5128</v>
      </c>
      <c r="F5936" s="2" t="s">
        <v>7987</v>
      </c>
      <c r="G5936" s="2" t="s">
        <v>5134</v>
      </c>
      <c r="H5936" s="14">
        <v>1.07</v>
      </c>
      <c r="I5936" s="2" t="s">
        <v>267</v>
      </c>
      <c r="J5936" s="2" t="s">
        <v>13</v>
      </c>
      <c r="K5936" s="2" t="s">
        <v>1452</v>
      </c>
      <c r="L5936" s="2" t="s">
        <v>5221</v>
      </c>
      <c r="M5936" s="2" t="s">
        <v>5721</v>
      </c>
      <c r="N5936" s="2" t="s">
        <v>2317</v>
      </c>
      <c r="O5936" s="14">
        <v>6700</v>
      </c>
      <c r="P5936" s="14">
        <v>98.07</v>
      </c>
      <c r="Q5936" s="14">
        <v>129.31</v>
      </c>
      <c r="R5936" s="14">
        <v>138.36000000000001</v>
      </c>
      <c r="S5936" s="2" t="s">
        <v>4948</v>
      </c>
      <c r="T5936" s="2">
        <v>0.9</v>
      </c>
      <c r="U5936" s="2">
        <v>57.3</v>
      </c>
      <c r="V5936" s="2">
        <v>63</v>
      </c>
      <c r="W5936" s="2" t="s">
        <v>7862</v>
      </c>
      <c r="X5936" s="2" t="s">
        <v>3061</v>
      </c>
      <c r="Y5936" s="2">
        <v>7169</v>
      </c>
      <c r="Z5936" s="19" t="str">
        <f>HYPERLINK("https://ssdweb.co/ssdweb/hd/Vision360.html?d=924610448&amp;zoomslide=1&amp;z=1924610448&amp;ISCONFIRM=0","VIDEO")</f>
        <v>VIDEO</v>
      </c>
      <c r="AA5936" s="19" t="str">
        <f>HYPERLINK("https://ssdweb.co/ssdweb/CERTH/602359447.pdf","CERTI")</f>
        <v>CERTI</v>
      </c>
    </row>
    <row r="5937" spans="1:27" ht="15" x14ac:dyDescent="0.25">
      <c r="A5937" s="2">
        <v>5932</v>
      </c>
      <c r="B5937" s="39">
        <v>925732232</v>
      </c>
      <c r="C5937" s="28" t="str">
        <f>HYPERLINK("https://pld.live/RapDetail.aspx?STONELIST=925732232","DNA")</f>
        <v>DNA</v>
      </c>
      <c r="D5937" s="18" t="s">
        <v>3054</v>
      </c>
      <c r="E5937" s="18" t="s">
        <v>5128</v>
      </c>
      <c r="F5937" s="2" t="s">
        <v>7987</v>
      </c>
      <c r="G5937" s="2" t="s">
        <v>5134</v>
      </c>
      <c r="H5937" s="14">
        <v>1.06</v>
      </c>
      <c r="I5937" s="2" t="s">
        <v>267</v>
      </c>
      <c r="J5937" s="2" t="s">
        <v>3942</v>
      </c>
      <c r="K5937" s="2" t="s">
        <v>1452</v>
      </c>
      <c r="L5937" s="2" t="s">
        <v>5221</v>
      </c>
      <c r="M5937" s="2" t="s">
        <v>5221</v>
      </c>
      <c r="N5937" s="2" t="s">
        <v>2317</v>
      </c>
      <c r="O5937" s="14">
        <v>7600</v>
      </c>
      <c r="P5937" s="14">
        <v>98.21</v>
      </c>
      <c r="Q5937" s="14">
        <v>136.04</v>
      </c>
      <c r="R5937" s="14">
        <v>144.19999999999999</v>
      </c>
      <c r="S5937" s="2" t="s">
        <v>6473</v>
      </c>
      <c r="T5937" s="2">
        <v>0.86</v>
      </c>
      <c r="U5937" s="2">
        <v>58.9</v>
      </c>
      <c r="V5937" s="2">
        <v>62</v>
      </c>
      <c r="W5937" s="2" t="s">
        <v>7862</v>
      </c>
      <c r="X5937" s="2" t="s">
        <v>3061</v>
      </c>
      <c r="Y5937" s="2">
        <v>8056</v>
      </c>
      <c r="Z5937" s="19" t="str">
        <f>HYPERLINK("https://ssdweb.co/ssdweb/hd/Vision360.html?d=925732232&amp;zoomslide=1&amp;z=1925732232&amp;ISCONFIRM=0","VIDEO")</f>
        <v>VIDEO</v>
      </c>
      <c r="AA5937" s="19" t="str">
        <f>HYPERLINK("https://ssdweb.co/ssdweb/CERTH/626427605.pdf","CERTI")</f>
        <v>CERTI</v>
      </c>
    </row>
    <row r="5938" spans="1:27" ht="15" x14ac:dyDescent="0.25">
      <c r="A5938" s="2">
        <v>5933</v>
      </c>
      <c r="B5938" s="39">
        <v>925951319</v>
      </c>
      <c r="C5938" s="28" t="str">
        <f>HYPERLINK("https://pld.live/RapDetail.aspx?STONELIST=925951319","DNA")</f>
        <v>DNA</v>
      </c>
      <c r="D5938" s="18" t="s">
        <v>3054</v>
      </c>
      <c r="E5938" s="18" t="s">
        <v>5128</v>
      </c>
      <c r="F5938" s="2" t="s">
        <v>7987</v>
      </c>
      <c r="G5938" s="2" t="s">
        <v>5134</v>
      </c>
      <c r="H5938" s="14">
        <v>1.06</v>
      </c>
      <c r="I5938" s="2" t="s">
        <v>267</v>
      </c>
      <c r="J5938" s="2" t="s">
        <v>3942</v>
      </c>
      <c r="K5938" s="2" t="s">
        <v>1452</v>
      </c>
      <c r="L5938" s="2" t="s">
        <v>5221</v>
      </c>
      <c r="M5938" s="2" t="s">
        <v>5221</v>
      </c>
      <c r="N5938" s="2" t="s">
        <v>2317</v>
      </c>
      <c r="O5938" s="14">
        <v>7600</v>
      </c>
      <c r="P5938" s="14">
        <v>98.21</v>
      </c>
      <c r="Q5938" s="14">
        <v>136.04</v>
      </c>
      <c r="R5938" s="14">
        <v>144.19999999999999</v>
      </c>
      <c r="S5938" s="2" t="s">
        <v>7432</v>
      </c>
      <c r="T5938" s="2">
        <v>0.88</v>
      </c>
      <c r="U5938" s="2">
        <v>57.8</v>
      </c>
      <c r="V5938" s="2">
        <v>61</v>
      </c>
      <c r="W5938" s="2" t="s">
        <v>7862</v>
      </c>
      <c r="X5938" s="2" t="s">
        <v>3061</v>
      </c>
      <c r="Y5938" s="2">
        <v>8056</v>
      </c>
      <c r="Z5938" s="19" t="str">
        <f>HYPERLINK("https://ssdweb.co/ssdweb/hd/Vision360.html?d=925951319&amp;zoomslide=1&amp;z=1925951319&amp;ISCONFIRM=0","VIDEO")</f>
        <v>VIDEO</v>
      </c>
      <c r="AA5938" s="19" t="str">
        <f>HYPERLINK("https://ssdweb.co/ssdweb/CERTH/630447911.pdf","CERTI")</f>
        <v>CERTI</v>
      </c>
    </row>
    <row r="5939" spans="1:27" ht="15" x14ac:dyDescent="0.25">
      <c r="A5939" s="2">
        <v>5934</v>
      </c>
      <c r="B5939" s="39">
        <v>925220305</v>
      </c>
      <c r="C5939" s="28" t="str">
        <f>HYPERLINK("https://pld.live/RapDetail.aspx?STONELIST=925220305","DNA")</f>
        <v>DNA</v>
      </c>
      <c r="D5939" s="18" t="s">
        <v>3054</v>
      </c>
      <c r="E5939" s="18" t="s">
        <v>5128</v>
      </c>
      <c r="F5939" s="2" t="s">
        <v>7987</v>
      </c>
      <c r="G5939" s="2" t="s">
        <v>5134</v>
      </c>
      <c r="H5939" s="14">
        <v>1.06</v>
      </c>
      <c r="I5939" s="2" t="s">
        <v>267</v>
      </c>
      <c r="J5939" s="2" t="s">
        <v>3942</v>
      </c>
      <c r="K5939" s="2" t="s">
        <v>1452</v>
      </c>
      <c r="L5939" s="2" t="s">
        <v>5221</v>
      </c>
      <c r="M5939" s="2" t="s">
        <v>5221</v>
      </c>
      <c r="N5939" s="2" t="s">
        <v>2317</v>
      </c>
      <c r="O5939" s="14">
        <v>7600</v>
      </c>
      <c r="P5939" s="14">
        <v>98.21</v>
      </c>
      <c r="Q5939" s="14">
        <v>136.04</v>
      </c>
      <c r="R5939" s="14">
        <v>144.19999999999999</v>
      </c>
      <c r="S5939" s="2" t="s">
        <v>5823</v>
      </c>
      <c r="T5939" s="2">
        <v>0.86</v>
      </c>
      <c r="U5939" s="2">
        <v>56.6</v>
      </c>
      <c r="V5939" s="2">
        <v>63</v>
      </c>
      <c r="W5939" s="2" t="s">
        <v>7862</v>
      </c>
      <c r="X5939" s="2" t="s">
        <v>3061</v>
      </c>
      <c r="Y5939" s="2">
        <v>8056</v>
      </c>
      <c r="Z5939" s="19" t="str">
        <f>HYPERLINK("https://ssdweb.co/ssdweb/hd/Vision360.html?d=925220305&amp;zoomslide=1&amp;z=1925220305&amp;ISCONFIRM=0","VIDEO")</f>
        <v>VIDEO</v>
      </c>
      <c r="AA5939" s="19" t="str">
        <f>HYPERLINK("https://ssdweb.co/ssdweb/CERTH/623449314.pdf","CERTI")</f>
        <v>CERTI</v>
      </c>
    </row>
    <row r="5940" spans="1:27" ht="15" x14ac:dyDescent="0.25">
      <c r="A5940" s="2">
        <v>5935</v>
      </c>
      <c r="B5940" s="39">
        <v>925861963</v>
      </c>
      <c r="C5940" s="28" t="str">
        <f>HYPERLINK("https://pld.live/RapDetail.aspx?STONELIST=925861963","DNA")</f>
        <v>DNA</v>
      </c>
      <c r="D5940" s="18" t="s">
        <v>3054</v>
      </c>
      <c r="E5940" s="18" t="s">
        <v>5128</v>
      </c>
      <c r="F5940" s="2" t="s">
        <v>7987</v>
      </c>
      <c r="G5940" s="2" t="s">
        <v>5134</v>
      </c>
      <c r="H5940" s="14">
        <v>1.05</v>
      </c>
      <c r="I5940" s="2" t="s">
        <v>267</v>
      </c>
      <c r="J5940" s="2" t="s">
        <v>6555</v>
      </c>
      <c r="K5940" s="2" t="s">
        <v>1452</v>
      </c>
      <c r="L5940" s="2" t="s">
        <v>5221</v>
      </c>
      <c r="M5940" s="2" t="s">
        <v>5221</v>
      </c>
      <c r="N5940" s="2" t="s">
        <v>2317</v>
      </c>
      <c r="O5940" s="14">
        <v>8200</v>
      </c>
      <c r="P5940" s="14">
        <v>98.1</v>
      </c>
      <c r="Q5940" s="14">
        <v>155.80000000000001</v>
      </c>
      <c r="R5940" s="14">
        <v>163.59</v>
      </c>
      <c r="S5940" s="2" t="s">
        <v>6007</v>
      </c>
      <c r="T5940" s="2">
        <v>0.9</v>
      </c>
      <c r="U5940" s="2">
        <v>58.7</v>
      </c>
      <c r="V5940" s="2">
        <v>63</v>
      </c>
      <c r="W5940" s="2" t="s">
        <v>7862</v>
      </c>
      <c r="X5940" s="2" t="s">
        <v>3061</v>
      </c>
      <c r="Y5940" s="2">
        <v>8610</v>
      </c>
      <c r="Z5940" s="19" t="str">
        <f>HYPERLINK("https://ssdweb.co/ssdweb/hd/Vision360.html?d=925861963&amp;zoomslide=1&amp;z=1925861963&amp;ISCONFIRM=0","VIDEO")</f>
        <v>VIDEO</v>
      </c>
      <c r="AA5940" s="19" t="str">
        <f>HYPERLINK("https://ssdweb.co/ssdweb/CERTH/628426957.pdf","CERTI")</f>
        <v>CERTI</v>
      </c>
    </row>
    <row r="5941" spans="1:27" ht="15" x14ac:dyDescent="0.25">
      <c r="A5941" s="2">
        <v>5936</v>
      </c>
      <c r="B5941" s="39">
        <v>926101701</v>
      </c>
      <c r="C5941" s="28" t="str">
        <f>HYPERLINK("https://pld.live/RapDetail.aspx?STONELIST=926101701","DNA")</f>
        <v>DNA</v>
      </c>
      <c r="D5941" s="18" t="s">
        <v>3054</v>
      </c>
      <c r="E5941" s="18" t="s">
        <v>5128</v>
      </c>
      <c r="F5941" s="2" t="s">
        <v>7987</v>
      </c>
      <c r="G5941" s="2" t="s">
        <v>5134</v>
      </c>
      <c r="H5941" s="14">
        <v>1.05</v>
      </c>
      <c r="I5941" s="2" t="s">
        <v>267</v>
      </c>
      <c r="J5941" s="2" t="s">
        <v>3942</v>
      </c>
      <c r="K5941" s="2" t="s">
        <v>1452</v>
      </c>
      <c r="L5941" s="2" t="s">
        <v>5221</v>
      </c>
      <c r="M5941" s="2" t="s">
        <v>5221</v>
      </c>
      <c r="N5941" s="2" t="s">
        <v>2317</v>
      </c>
      <c r="O5941" s="14">
        <v>7600</v>
      </c>
      <c r="P5941" s="14">
        <v>98.21</v>
      </c>
      <c r="Q5941" s="14">
        <v>136.04</v>
      </c>
      <c r="R5941" s="14">
        <v>142.84</v>
      </c>
      <c r="S5941" s="2" t="s">
        <v>2110</v>
      </c>
      <c r="T5941" s="2">
        <v>0.88</v>
      </c>
      <c r="U5941" s="2">
        <v>59.9</v>
      </c>
      <c r="V5941" s="2">
        <v>64</v>
      </c>
      <c r="W5941" s="2" t="s">
        <v>7862</v>
      </c>
      <c r="X5941" s="2" t="s">
        <v>3061</v>
      </c>
      <c r="Y5941" s="2">
        <v>7980</v>
      </c>
      <c r="Z5941" s="19" t="str">
        <f>HYPERLINK("https://ssdweb.co/ssdweb/hd/Vision360.html?d=926101701&amp;zoomslide=1&amp;z=1926101701&amp;ISCONFIRM=0","VIDEO")</f>
        <v>VIDEO</v>
      </c>
      <c r="AA5941" s="19" t="str">
        <f>HYPERLINK("https://ssdweb.co/ssdweb/CERTH/633474098.pdf","CERTI")</f>
        <v>CERTI</v>
      </c>
    </row>
    <row r="5942" spans="1:27" ht="15" x14ac:dyDescent="0.25">
      <c r="A5942" s="2">
        <v>5937</v>
      </c>
      <c r="B5942" s="39">
        <v>924600181</v>
      </c>
      <c r="C5942" s="28" t="str">
        <f>HYPERLINK("https://pld.live/RapDetail.aspx?STONELIST=924600181","DNA")</f>
        <v>DNA</v>
      </c>
      <c r="D5942" s="18" t="s">
        <v>3054</v>
      </c>
      <c r="E5942" s="18" t="s">
        <v>5128</v>
      </c>
      <c r="F5942" s="2" t="s">
        <v>5597</v>
      </c>
      <c r="G5942" s="2" t="s">
        <v>5134</v>
      </c>
      <c r="H5942" s="14">
        <v>1.05</v>
      </c>
      <c r="I5942" s="2" t="s">
        <v>267</v>
      </c>
      <c r="J5942" s="2" t="s">
        <v>444</v>
      </c>
      <c r="K5942" s="2" t="s">
        <v>1452</v>
      </c>
      <c r="L5942" s="2" t="s">
        <v>5221</v>
      </c>
      <c r="M5942" s="2" t="s">
        <v>5721</v>
      </c>
      <c r="N5942" s="2" t="s">
        <v>2317</v>
      </c>
      <c r="O5942" s="14">
        <v>4600</v>
      </c>
      <c r="P5942" s="14">
        <v>95.98</v>
      </c>
      <c r="Q5942" s="14">
        <v>184.92</v>
      </c>
      <c r="R5942" s="14">
        <v>194.17</v>
      </c>
      <c r="S5942" s="2" t="s">
        <v>4385</v>
      </c>
      <c r="T5942" s="2">
        <v>0.89</v>
      </c>
      <c r="U5942" s="2">
        <v>58.9</v>
      </c>
      <c r="V5942" s="2">
        <v>60</v>
      </c>
      <c r="W5942" s="2" t="s">
        <v>7862</v>
      </c>
      <c r="X5942" s="2" t="s">
        <v>3061</v>
      </c>
      <c r="Y5942" s="2">
        <v>4830</v>
      </c>
      <c r="Z5942" s="19" t="str">
        <f>HYPERLINK("https://ssdweb.co/ssdweb/hd/Vision360.html?d=924600181&amp;zoomslide=1&amp;z=1924600181&amp;ISCONFIRM=0","VIDEO")</f>
        <v>VIDEO</v>
      </c>
      <c r="AA5942" s="19" t="str">
        <f>HYPERLINK("https://ssdweb.co/ssdweb/CERTH/6472712335.pdf","CERTI")</f>
        <v>CERTI</v>
      </c>
    </row>
    <row r="5943" spans="1:27" ht="15" x14ac:dyDescent="0.25">
      <c r="A5943" s="2">
        <v>5938</v>
      </c>
      <c r="B5943" s="39">
        <v>926831016</v>
      </c>
      <c r="C5943" s="28" t="str">
        <f>HYPERLINK("https://pld.live/RapDetail.aspx?STONELIST=926831016","DNA")</f>
        <v>DNA</v>
      </c>
      <c r="D5943" s="18" t="s">
        <v>3054</v>
      </c>
      <c r="E5943" s="18" t="s">
        <v>5128</v>
      </c>
      <c r="F5943" s="2" t="s">
        <v>7987</v>
      </c>
      <c r="G5943" s="2" t="s">
        <v>5134</v>
      </c>
      <c r="H5943" s="14">
        <v>1.04</v>
      </c>
      <c r="I5943" s="2" t="s">
        <v>267</v>
      </c>
      <c r="J5943" s="2" t="s">
        <v>6555</v>
      </c>
      <c r="K5943" s="2" t="s">
        <v>1452</v>
      </c>
      <c r="L5943" s="2" t="s">
        <v>5221</v>
      </c>
      <c r="M5943" s="2" t="s">
        <v>5221</v>
      </c>
      <c r="N5943" s="2" t="s">
        <v>2317</v>
      </c>
      <c r="O5943" s="14">
        <v>8200</v>
      </c>
      <c r="P5943" s="14">
        <v>98.1</v>
      </c>
      <c r="Q5943" s="14">
        <v>155.80000000000001</v>
      </c>
      <c r="R5943" s="14">
        <v>162.03</v>
      </c>
      <c r="S5943" s="2" t="s">
        <v>2455</v>
      </c>
      <c r="T5943" s="2">
        <v>0.91</v>
      </c>
      <c r="U5943" s="2">
        <v>57</v>
      </c>
      <c r="V5943" s="2">
        <v>60</v>
      </c>
      <c r="W5943" s="2" t="s">
        <v>7862</v>
      </c>
      <c r="X5943" s="2" t="s">
        <v>3061</v>
      </c>
      <c r="Y5943" s="2">
        <v>8528</v>
      </c>
      <c r="Z5943" s="19" t="str">
        <f>HYPERLINK("https://ssdweb.co/ssdweb/hd/Vision360.html?d=926831016&amp;zoomslide=1&amp;z=1926831016&amp;ISCONFIRM=0","VIDEO")</f>
        <v>VIDEO</v>
      </c>
      <c r="AA5943" s="19" t="str">
        <f>HYPERLINK("https://ssdweb.co/ssdweb/CERTH/654432321.pdf","CERTI")</f>
        <v>CERTI</v>
      </c>
    </row>
    <row r="5944" spans="1:27" ht="15" x14ac:dyDescent="0.25">
      <c r="A5944" s="2">
        <v>5939</v>
      </c>
      <c r="B5944" s="39">
        <v>926841292</v>
      </c>
      <c r="C5944" s="28" t="str">
        <f>HYPERLINK("https://pld.live/RapDetail.aspx?STONELIST=926841292","DNA")</f>
        <v>DNA</v>
      </c>
      <c r="D5944" s="18" t="s">
        <v>3054</v>
      </c>
      <c r="E5944" s="18" t="s">
        <v>2186</v>
      </c>
      <c r="F5944" s="2" t="s">
        <v>7987</v>
      </c>
      <c r="G5944" s="2" t="s">
        <v>5134</v>
      </c>
      <c r="H5944" s="14">
        <v>1.04</v>
      </c>
      <c r="I5944" s="2" t="s">
        <v>267</v>
      </c>
      <c r="J5944" s="2" t="s">
        <v>6555</v>
      </c>
      <c r="K5944" s="2" t="s">
        <v>1452</v>
      </c>
      <c r="L5944" s="2" t="s">
        <v>5221</v>
      </c>
      <c r="M5944" s="2" t="s">
        <v>5221</v>
      </c>
      <c r="N5944" s="2" t="s">
        <v>2317</v>
      </c>
      <c r="O5944" s="14">
        <v>8200</v>
      </c>
      <c r="P5944" s="14">
        <v>98.1</v>
      </c>
      <c r="Q5944" s="14">
        <v>155.80000000000001</v>
      </c>
      <c r="R5944" s="14">
        <v>162.03</v>
      </c>
      <c r="S5944" s="2" t="s">
        <v>7016</v>
      </c>
      <c r="T5944" s="2">
        <v>0.86</v>
      </c>
      <c r="U5944" s="2">
        <v>56.7</v>
      </c>
      <c r="V5944" s="2">
        <v>61</v>
      </c>
      <c r="W5944" s="2" t="s">
        <v>7862</v>
      </c>
      <c r="X5944" s="2" t="s">
        <v>3061</v>
      </c>
      <c r="Y5944" s="2">
        <v>8528</v>
      </c>
      <c r="Z5944" s="19" t="str">
        <f>HYPERLINK("https://ssdweb.co/ssdweb/hd/Vision360.html?d=926841292&amp;zoomslide=1&amp;z=1926841292&amp;ISCONFIRM=0","VIDEO")</f>
        <v>VIDEO</v>
      </c>
      <c r="AA5944" s="19" t="str">
        <f>HYPERLINK("https://ssdweb.co/ssdweb/CERTH/659414310.pdf","CERTI")</f>
        <v>CERTI</v>
      </c>
    </row>
    <row r="5945" spans="1:27" ht="15" x14ac:dyDescent="0.25">
      <c r="A5945" s="2">
        <v>5940</v>
      </c>
      <c r="B5945" s="39">
        <v>926621080</v>
      </c>
      <c r="C5945" s="28" t="str">
        <f>HYPERLINK("https://pld.live/RapDetail.aspx?STONELIST=926621080","DNA")</f>
        <v>DNA</v>
      </c>
      <c r="D5945" s="18" t="s">
        <v>3054</v>
      </c>
      <c r="E5945" s="18" t="s">
        <v>5128</v>
      </c>
      <c r="F5945" s="2" t="s">
        <v>7987</v>
      </c>
      <c r="G5945" s="2" t="s">
        <v>5134</v>
      </c>
      <c r="H5945" s="14">
        <v>1.04</v>
      </c>
      <c r="I5945" s="2" t="s">
        <v>267</v>
      </c>
      <c r="J5945" s="2" t="s">
        <v>3942</v>
      </c>
      <c r="K5945" s="2" t="s">
        <v>1452</v>
      </c>
      <c r="L5945" s="2" t="s">
        <v>5221</v>
      </c>
      <c r="M5945" s="2" t="s">
        <v>5221</v>
      </c>
      <c r="N5945" s="2" t="s">
        <v>2317</v>
      </c>
      <c r="O5945" s="14">
        <v>7600</v>
      </c>
      <c r="P5945" s="14">
        <v>98.21</v>
      </c>
      <c r="Q5945" s="14">
        <v>136.04</v>
      </c>
      <c r="R5945" s="14">
        <v>141.47999999999999</v>
      </c>
      <c r="S5945" s="2" t="s">
        <v>7105</v>
      </c>
      <c r="T5945" s="2">
        <v>0.88</v>
      </c>
      <c r="U5945" s="2">
        <v>57.2</v>
      </c>
      <c r="V5945" s="2">
        <v>61</v>
      </c>
      <c r="W5945" s="2" t="s">
        <v>7862</v>
      </c>
      <c r="X5945" s="2" t="s">
        <v>3061</v>
      </c>
      <c r="Y5945" s="2">
        <v>7904</v>
      </c>
      <c r="Z5945" s="19" t="str">
        <f>HYPERLINK("https://ssdweb.co/ssdweb/hd/Vision360.html?d=926621080&amp;zoomslide=1&amp;z=1926621080&amp;ISCONFIRM=0","VIDEO")</f>
        <v>VIDEO</v>
      </c>
      <c r="AA5945" s="19" t="str">
        <f>HYPERLINK("https://ssdweb.co/ssdweb/CERTH/647475466.pdf","CERTI")</f>
        <v>CERTI</v>
      </c>
    </row>
    <row r="5946" spans="1:27" ht="15" x14ac:dyDescent="0.25">
      <c r="A5946" s="2">
        <v>5941</v>
      </c>
      <c r="B5946" s="39">
        <v>926871113</v>
      </c>
      <c r="C5946" s="28" t="str">
        <f>HYPERLINK("https://pld.live/RapDetail.aspx?STONELIST=926871113","DNA")</f>
        <v>DNA</v>
      </c>
      <c r="D5946" s="18" t="s">
        <v>3054</v>
      </c>
      <c r="E5946" s="18" t="s">
        <v>5128</v>
      </c>
      <c r="F5946" s="2" t="s">
        <v>7987</v>
      </c>
      <c r="G5946" s="2" t="s">
        <v>5134</v>
      </c>
      <c r="H5946" s="14">
        <v>1.04</v>
      </c>
      <c r="I5946" s="2" t="s">
        <v>267</v>
      </c>
      <c r="J5946" s="2" t="s">
        <v>13</v>
      </c>
      <c r="K5946" s="2" t="s">
        <v>1452</v>
      </c>
      <c r="L5946" s="2" t="s">
        <v>5221</v>
      </c>
      <c r="M5946" s="2" t="s">
        <v>5221</v>
      </c>
      <c r="N5946" s="2" t="s">
        <v>2317</v>
      </c>
      <c r="O5946" s="14">
        <v>6700</v>
      </c>
      <c r="P5946" s="14">
        <v>98.04</v>
      </c>
      <c r="Q5946" s="14">
        <v>131.32</v>
      </c>
      <c r="R5946" s="14">
        <v>136.57</v>
      </c>
      <c r="S5946" s="2" t="s">
        <v>6918</v>
      </c>
      <c r="T5946" s="2">
        <v>0.85</v>
      </c>
      <c r="U5946" s="2">
        <v>58</v>
      </c>
      <c r="V5946" s="2">
        <v>65</v>
      </c>
      <c r="W5946" s="2" t="s">
        <v>7862</v>
      </c>
      <c r="X5946" s="2" t="s">
        <v>3061</v>
      </c>
      <c r="Y5946" s="2">
        <v>6968</v>
      </c>
      <c r="Z5946" s="19" t="str">
        <f>HYPERLINK("https://ssdweb.co/ssdweb/hd/Vision360.html?d=926871113&amp;zoomslide=1&amp;z=1926871113&amp;ISCONFIRM=0","VIDEO")</f>
        <v>VIDEO</v>
      </c>
      <c r="AA5946" s="19" t="str">
        <f>HYPERLINK("https://ssdweb.co/ssdweb/CERTH/655451790.pdf","CERTI")</f>
        <v>CERTI</v>
      </c>
    </row>
    <row r="5947" spans="1:27" ht="15" x14ac:dyDescent="0.25">
      <c r="A5947" s="2">
        <v>5942</v>
      </c>
      <c r="B5947" s="39">
        <v>926831038</v>
      </c>
      <c r="C5947" s="28" t="str">
        <f>HYPERLINK("https://pld.live/RapDetail.aspx?STONELIST=926831038","DNA")</f>
        <v>DNA</v>
      </c>
      <c r="D5947" s="18" t="s">
        <v>3054</v>
      </c>
      <c r="E5947" s="18" t="s">
        <v>5128</v>
      </c>
      <c r="F5947" s="2" t="s">
        <v>7987</v>
      </c>
      <c r="G5947" s="2" t="s">
        <v>5134</v>
      </c>
      <c r="H5947" s="14">
        <v>1.04</v>
      </c>
      <c r="I5947" s="2" t="s">
        <v>267</v>
      </c>
      <c r="J5947" s="2" t="s">
        <v>13</v>
      </c>
      <c r="K5947" s="2" t="s">
        <v>1452</v>
      </c>
      <c r="L5947" s="2" t="s">
        <v>5221</v>
      </c>
      <c r="M5947" s="2" t="s">
        <v>5221</v>
      </c>
      <c r="N5947" s="2" t="s">
        <v>2317</v>
      </c>
      <c r="O5947" s="14">
        <v>6700</v>
      </c>
      <c r="P5947" s="14">
        <v>98.04</v>
      </c>
      <c r="Q5947" s="14">
        <v>131.32</v>
      </c>
      <c r="R5947" s="14">
        <v>136.57</v>
      </c>
      <c r="S5947" s="2" t="s">
        <v>3514</v>
      </c>
      <c r="T5947" s="2">
        <v>0.88</v>
      </c>
      <c r="U5947" s="2">
        <v>57.8</v>
      </c>
      <c r="V5947" s="2">
        <v>61</v>
      </c>
      <c r="W5947" s="2" t="s">
        <v>7862</v>
      </c>
      <c r="X5947" s="2" t="s">
        <v>3061</v>
      </c>
      <c r="Y5947" s="2">
        <v>6968</v>
      </c>
      <c r="Z5947" s="19" t="str">
        <f>HYPERLINK("https://ssdweb.co/ssdweb/hd/Vision360.html?d=926831038&amp;zoomslide=1&amp;z=1926831038&amp;ISCONFIRM=0","VIDEO")</f>
        <v>VIDEO</v>
      </c>
      <c r="AA5947" s="19" t="str">
        <f>HYPERLINK("https://ssdweb.co/ssdweb/CERTH/654432344.pdf","CERTI")</f>
        <v>CERTI</v>
      </c>
    </row>
    <row r="5948" spans="1:27" ht="15" x14ac:dyDescent="0.25">
      <c r="A5948" s="2">
        <v>5943</v>
      </c>
      <c r="B5948" s="39">
        <v>926701080</v>
      </c>
      <c r="C5948" s="28" t="str">
        <f>HYPERLINK("https://pld.live/RapDetail.aspx?STONELIST=926701080","DNA")</f>
        <v>DNA</v>
      </c>
      <c r="D5948" s="18" t="s">
        <v>3054</v>
      </c>
      <c r="E5948" s="18" t="s">
        <v>5128</v>
      </c>
      <c r="F5948" s="2" t="s">
        <v>7987</v>
      </c>
      <c r="G5948" s="2" t="s">
        <v>5134</v>
      </c>
      <c r="H5948" s="14">
        <v>1.04</v>
      </c>
      <c r="I5948" s="2" t="s">
        <v>267</v>
      </c>
      <c r="J5948" s="2" t="s">
        <v>13</v>
      </c>
      <c r="K5948" s="2" t="s">
        <v>1452</v>
      </c>
      <c r="L5948" s="2" t="s">
        <v>5221</v>
      </c>
      <c r="M5948" s="2" t="s">
        <v>5221</v>
      </c>
      <c r="N5948" s="2" t="s">
        <v>2317</v>
      </c>
      <c r="O5948" s="14">
        <v>6700</v>
      </c>
      <c r="P5948" s="14">
        <v>98.04</v>
      </c>
      <c r="Q5948" s="14">
        <v>131.32</v>
      </c>
      <c r="R5948" s="14">
        <v>136.57</v>
      </c>
      <c r="S5948" s="2" t="s">
        <v>2811</v>
      </c>
      <c r="T5948" s="2">
        <v>0.87</v>
      </c>
      <c r="U5948" s="2">
        <v>58.3</v>
      </c>
      <c r="V5948" s="2">
        <v>58</v>
      </c>
      <c r="W5948" s="2" t="s">
        <v>7862</v>
      </c>
      <c r="X5948" s="2" t="s">
        <v>3061</v>
      </c>
      <c r="Y5948" s="2">
        <v>6968</v>
      </c>
      <c r="Z5948" s="19" t="str">
        <f>HYPERLINK("https://ssdweb.co/ssdweb/hd/Vision360.html?d=926701080&amp;zoomslide=1&amp;z=1926701080&amp;ISCONFIRM=0","VIDEO")</f>
        <v>VIDEO</v>
      </c>
      <c r="AA5948" s="19" t="str">
        <f>HYPERLINK("https://ssdweb.co/ssdweb/CERTH/652442316.pdf","CERTI")</f>
        <v>CERTI</v>
      </c>
    </row>
    <row r="5949" spans="1:27" ht="15" x14ac:dyDescent="0.25">
      <c r="A5949" s="2">
        <v>5944</v>
      </c>
      <c r="B5949" s="39">
        <v>926621123</v>
      </c>
      <c r="C5949" s="28" t="str">
        <f>HYPERLINK("https://pld.live/RapDetail.aspx?STONELIST=926621123","DNA")</f>
        <v>DNA</v>
      </c>
      <c r="D5949" s="18" t="s">
        <v>3054</v>
      </c>
      <c r="E5949" s="18" t="s">
        <v>5128</v>
      </c>
      <c r="F5949" s="2" t="s">
        <v>7987</v>
      </c>
      <c r="G5949" s="2" t="s">
        <v>5134</v>
      </c>
      <c r="H5949" s="14">
        <v>1.04</v>
      </c>
      <c r="I5949" s="2" t="s">
        <v>4761</v>
      </c>
      <c r="J5949" s="2" t="s">
        <v>6555</v>
      </c>
      <c r="K5949" s="2" t="s">
        <v>1452</v>
      </c>
      <c r="L5949" s="2" t="s">
        <v>5221</v>
      </c>
      <c r="M5949" s="2" t="s">
        <v>5221</v>
      </c>
      <c r="N5949" s="2" t="s">
        <v>2317</v>
      </c>
      <c r="O5949" s="14">
        <v>7500</v>
      </c>
      <c r="P5949" s="14">
        <v>97.99</v>
      </c>
      <c r="Q5949" s="14">
        <v>150.75</v>
      </c>
      <c r="R5949" s="14">
        <v>156.78</v>
      </c>
      <c r="S5949" s="2" t="s">
        <v>302</v>
      </c>
      <c r="T5949" s="2">
        <v>0.89</v>
      </c>
      <c r="U5949" s="2">
        <v>55.5</v>
      </c>
      <c r="V5949" s="2">
        <v>60</v>
      </c>
      <c r="W5949" s="2" t="s">
        <v>7862</v>
      </c>
      <c r="X5949" s="2" t="s">
        <v>3061</v>
      </c>
      <c r="Y5949" s="2">
        <v>7800</v>
      </c>
      <c r="Z5949" s="19" t="str">
        <f>HYPERLINK("https://ssdweb.co/ssdweb/hd/Vision360.html?d=926621123&amp;zoomslide=1&amp;z=1926621123&amp;ISCONFIRM=0","VIDEO")</f>
        <v>VIDEO</v>
      </c>
      <c r="AA5949" s="19" t="str">
        <f>HYPERLINK("https://ssdweb.co/ssdweb/CERTH/651466271.pdf","CERTI")</f>
        <v>CERTI</v>
      </c>
    </row>
    <row r="5950" spans="1:27" ht="15" x14ac:dyDescent="0.25">
      <c r="A5950" s="2">
        <v>5945</v>
      </c>
      <c r="B5950" s="39">
        <v>926830618</v>
      </c>
      <c r="C5950" s="28" t="str">
        <f>HYPERLINK("https://pld.live/RapDetail.aspx?STONELIST=926830618","DNA")</f>
        <v>DNA</v>
      </c>
      <c r="D5950" s="18" t="s">
        <v>3054</v>
      </c>
      <c r="E5950" s="18" t="s">
        <v>5128</v>
      </c>
      <c r="F5950" s="2" t="s">
        <v>7987</v>
      </c>
      <c r="G5950" s="2" t="s">
        <v>5134</v>
      </c>
      <c r="H5950" s="14">
        <v>1.04</v>
      </c>
      <c r="I5950" s="2" t="s">
        <v>4761</v>
      </c>
      <c r="J5950" s="2" t="s">
        <v>6555</v>
      </c>
      <c r="K5950" s="2" t="s">
        <v>1452</v>
      </c>
      <c r="L5950" s="2" t="s">
        <v>5221</v>
      </c>
      <c r="M5950" s="2" t="s">
        <v>5221</v>
      </c>
      <c r="N5950" s="2" t="s">
        <v>2317</v>
      </c>
      <c r="O5950" s="14">
        <v>7500</v>
      </c>
      <c r="P5950" s="14">
        <v>97.99</v>
      </c>
      <c r="Q5950" s="14">
        <v>150.75</v>
      </c>
      <c r="R5950" s="14">
        <v>156.78</v>
      </c>
      <c r="S5950" s="2" t="s">
        <v>3120</v>
      </c>
      <c r="T5950" s="2">
        <v>0.88</v>
      </c>
      <c r="U5950" s="2">
        <v>58.5</v>
      </c>
      <c r="V5950" s="2">
        <v>62</v>
      </c>
      <c r="W5950" s="2" t="s">
        <v>7862</v>
      </c>
      <c r="X5950" s="2" t="s">
        <v>3061</v>
      </c>
      <c r="Y5950" s="2">
        <v>7800</v>
      </c>
      <c r="Z5950" s="19" t="str">
        <f>HYPERLINK("https://ssdweb.co/ssdweb/hd/Vision360.html?d=926830618&amp;zoomslide=1&amp;z=1926830618&amp;ISCONFIRM=0","VIDEO")</f>
        <v>VIDEO</v>
      </c>
      <c r="AA5950" s="19" t="str">
        <f>HYPERLINK("https://ssdweb.co/ssdweb/CERTH/652442359.pdf","CERTI")</f>
        <v>CERTI</v>
      </c>
    </row>
    <row r="5951" spans="1:27" ht="15" x14ac:dyDescent="0.25">
      <c r="A5951" s="2">
        <v>5946</v>
      </c>
      <c r="B5951" s="39">
        <v>926681138</v>
      </c>
      <c r="C5951" s="28" t="str">
        <f>HYPERLINK("https://pld.live/RapDetail.aspx?STONELIST=926681138","DNA")</f>
        <v>DNA</v>
      </c>
      <c r="D5951" s="18" t="s">
        <v>3054</v>
      </c>
      <c r="E5951" s="18" t="s">
        <v>2186</v>
      </c>
      <c r="F5951" s="2" t="s">
        <v>7987</v>
      </c>
      <c r="G5951" s="2" t="s">
        <v>5134</v>
      </c>
      <c r="H5951" s="14">
        <v>1.04</v>
      </c>
      <c r="I5951" s="2" t="s">
        <v>4761</v>
      </c>
      <c r="J5951" s="2" t="s">
        <v>6555</v>
      </c>
      <c r="K5951" s="2" t="s">
        <v>1452</v>
      </c>
      <c r="L5951" s="2" t="s">
        <v>5221</v>
      </c>
      <c r="M5951" s="2" t="s">
        <v>5221</v>
      </c>
      <c r="N5951" s="2" t="s">
        <v>2317</v>
      </c>
      <c r="O5951" s="14">
        <v>7500</v>
      </c>
      <c r="P5951" s="14">
        <v>97.99</v>
      </c>
      <c r="Q5951" s="14">
        <v>150.75</v>
      </c>
      <c r="R5951" s="14">
        <v>156.78</v>
      </c>
      <c r="S5951" s="2" t="s">
        <v>3365</v>
      </c>
      <c r="T5951" s="2">
        <v>0.88</v>
      </c>
      <c r="U5951" s="2">
        <v>58.5</v>
      </c>
      <c r="V5951" s="2">
        <v>63</v>
      </c>
      <c r="W5951" s="2" t="s">
        <v>7862</v>
      </c>
      <c r="X5951" s="2" t="s">
        <v>3061</v>
      </c>
      <c r="Y5951" s="2">
        <v>7800</v>
      </c>
      <c r="Z5951" s="19" t="str">
        <f>HYPERLINK("https://ssdweb.co/ssdweb/hd/Vision360.html?d=926681138&amp;zoomslide=1&amp;z=1926681138&amp;ISCONFIRM=0","VIDEO")</f>
        <v>VIDEO</v>
      </c>
      <c r="AA5951" s="19" t="str">
        <f>HYPERLINK("https://ssdweb.co/ssdweb/CERTH/660440532.pdf","CERTI")</f>
        <v>CERTI</v>
      </c>
    </row>
    <row r="5952" spans="1:27" ht="15" x14ac:dyDescent="0.25">
      <c r="A5952" s="2">
        <v>5947</v>
      </c>
      <c r="B5952" s="39">
        <v>925950078</v>
      </c>
      <c r="C5952" s="28" t="str">
        <f>HYPERLINK("https://pld.live/RapDetail.aspx?STONELIST=925950078","DNA")</f>
        <v>DNA</v>
      </c>
      <c r="D5952" s="18" t="s">
        <v>3054</v>
      </c>
      <c r="E5952" s="18" t="s">
        <v>5128</v>
      </c>
      <c r="F5952" s="2" t="s">
        <v>7987</v>
      </c>
      <c r="G5952" s="2" t="s">
        <v>5134</v>
      </c>
      <c r="H5952" s="14">
        <v>1.03</v>
      </c>
      <c r="I5952" s="2" t="s">
        <v>267</v>
      </c>
      <c r="J5952" s="2" t="s">
        <v>7032</v>
      </c>
      <c r="K5952" s="2" t="s">
        <v>1452</v>
      </c>
      <c r="L5952" s="2" t="s">
        <v>5221</v>
      </c>
      <c r="M5952" s="2" t="s">
        <v>5221</v>
      </c>
      <c r="N5952" s="2" t="s">
        <v>2317</v>
      </c>
      <c r="O5952" s="14">
        <v>9300</v>
      </c>
      <c r="P5952" s="14">
        <v>97.26</v>
      </c>
      <c r="Q5952" s="14">
        <v>254.82</v>
      </c>
      <c r="R5952" s="14">
        <v>262.45999999999998</v>
      </c>
      <c r="S5952" s="2" t="s">
        <v>5686</v>
      </c>
      <c r="T5952" s="2">
        <v>0.91</v>
      </c>
      <c r="U5952" s="2">
        <v>56.1</v>
      </c>
      <c r="V5952" s="2">
        <v>61</v>
      </c>
      <c r="W5952" s="2" t="s">
        <v>7862</v>
      </c>
      <c r="X5952" s="2" t="s">
        <v>3061</v>
      </c>
      <c r="Y5952" s="2">
        <v>9579</v>
      </c>
      <c r="Z5952" s="19" t="str">
        <f>HYPERLINK("https://ssdweb.co/ssdweb/hd/Vision360.html?d=925950078&amp;zoomslide=1&amp;z=1925950078&amp;ISCONFIRM=0","VIDEO")</f>
        <v>VIDEO</v>
      </c>
      <c r="AA5952" s="19" t="str">
        <f>HYPERLINK("https://ssdweb.co/ssdweb/CERTH/627410532.pdf","CERTI")</f>
        <v>CERTI</v>
      </c>
    </row>
    <row r="5953" spans="1:27" ht="15" x14ac:dyDescent="0.25">
      <c r="A5953" s="2">
        <v>5948</v>
      </c>
      <c r="B5953" s="39">
        <v>926101669</v>
      </c>
      <c r="C5953" s="28" t="str">
        <f>HYPERLINK("https://pld.live/RapDetail.aspx?STONELIST=926101669","DNA")</f>
        <v>DNA</v>
      </c>
      <c r="D5953" s="18" t="s">
        <v>3054</v>
      </c>
      <c r="E5953" s="18" t="s">
        <v>5128</v>
      </c>
      <c r="F5953" s="2" t="s">
        <v>7987</v>
      </c>
      <c r="G5953" s="2" t="s">
        <v>5134</v>
      </c>
      <c r="H5953" s="14">
        <v>1.03</v>
      </c>
      <c r="I5953" s="2" t="s">
        <v>267</v>
      </c>
      <c r="J5953" s="2" t="s">
        <v>6555</v>
      </c>
      <c r="K5953" s="2" t="s">
        <v>1452</v>
      </c>
      <c r="L5953" s="2" t="s">
        <v>5221</v>
      </c>
      <c r="M5953" s="2" t="s">
        <v>5221</v>
      </c>
      <c r="N5953" s="2" t="s">
        <v>2317</v>
      </c>
      <c r="O5953" s="14">
        <v>8200</v>
      </c>
      <c r="P5953" s="14">
        <v>98.1</v>
      </c>
      <c r="Q5953" s="14">
        <v>155.80000000000001</v>
      </c>
      <c r="R5953" s="14">
        <v>160.47</v>
      </c>
      <c r="S5953" s="2" t="s">
        <v>3169</v>
      </c>
      <c r="T5953" s="2">
        <v>0.86</v>
      </c>
      <c r="U5953" s="2">
        <v>56.9</v>
      </c>
      <c r="V5953" s="2">
        <v>63</v>
      </c>
      <c r="W5953" s="2" t="s">
        <v>7862</v>
      </c>
      <c r="X5953" s="2" t="s">
        <v>3061</v>
      </c>
      <c r="Y5953" s="2">
        <v>8446</v>
      </c>
      <c r="Z5953" s="19" t="str">
        <f>HYPERLINK("https://ssdweb.co/ssdweb/hd/Vision360.html?d=926101669&amp;zoomslide=1&amp;z=1926101669&amp;ISCONFIRM=0","VIDEO")</f>
        <v>VIDEO</v>
      </c>
      <c r="AA5953" s="19" t="str">
        <f>HYPERLINK("https://ssdweb.co/ssdweb/CERTH/633490525.pdf","CERTI")</f>
        <v>CERTI</v>
      </c>
    </row>
    <row r="5954" spans="1:27" ht="15" x14ac:dyDescent="0.25">
      <c r="A5954" s="2">
        <v>5949</v>
      </c>
      <c r="B5954" s="39">
        <v>926921495</v>
      </c>
      <c r="C5954" s="28" t="str">
        <f>HYPERLINK("https://pld.live/RapDetail.aspx?STONELIST=926921495","DNA")</f>
        <v>DNA</v>
      </c>
      <c r="D5954" s="18" t="s">
        <v>3054</v>
      </c>
      <c r="E5954" s="18" t="s">
        <v>2186</v>
      </c>
      <c r="F5954" s="2" t="s">
        <v>7987</v>
      </c>
      <c r="G5954" s="2" t="s">
        <v>5134</v>
      </c>
      <c r="H5954" s="14">
        <v>1.03</v>
      </c>
      <c r="I5954" s="2" t="s">
        <v>267</v>
      </c>
      <c r="J5954" s="2" t="s">
        <v>13</v>
      </c>
      <c r="K5954" s="2" t="s">
        <v>1452</v>
      </c>
      <c r="L5954" s="2" t="s">
        <v>5221</v>
      </c>
      <c r="M5954" s="2" t="s">
        <v>5221</v>
      </c>
      <c r="N5954" s="2" t="s">
        <v>2317</v>
      </c>
      <c r="O5954" s="14">
        <v>6700</v>
      </c>
      <c r="P5954" s="14">
        <v>98.01</v>
      </c>
      <c r="Q5954" s="14">
        <v>133.33000000000001</v>
      </c>
      <c r="R5954" s="14">
        <v>137.33000000000001</v>
      </c>
      <c r="S5954" s="2" t="s">
        <v>4201</v>
      </c>
      <c r="T5954" s="2">
        <v>0.92</v>
      </c>
      <c r="U5954" s="2">
        <v>60.3</v>
      </c>
      <c r="V5954" s="2">
        <v>60</v>
      </c>
      <c r="W5954" s="2" t="s">
        <v>7862</v>
      </c>
      <c r="X5954" s="2" t="s">
        <v>3061</v>
      </c>
      <c r="Y5954" s="2">
        <v>6901</v>
      </c>
      <c r="Z5954" s="19" t="str">
        <f>HYPERLINK("https://ssdweb.co/ssdweb/hd/Vision360.html?d=926921495&amp;zoomslide=1&amp;z=1926921495&amp;ISCONFIRM=0","VIDEO")</f>
        <v>VIDEO</v>
      </c>
      <c r="AA5954" s="19" t="str">
        <f>HYPERLINK("https://ssdweb.co/ssdweb/CERTH/668446626.pdf","CERTI")</f>
        <v>CERTI</v>
      </c>
    </row>
    <row r="5955" spans="1:27" ht="15" x14ac:dyDescent="0.25">
      <c r="A5955" s="2">
        <v>5950</v>
      </c>
      <c r="B5955" s="39">
        <v>941071374</v>
      </c>
      <c r="C5955" s="28" t="str">
        <f>HYPERLINK("https://pld.live/RapDetail.aspx?STONELIST=941071374","DNA")</f>
        <v>DNA</v>
      </c>
      <c r="D5955" s="18" t="s">
        <v>3054</v>
      </c>
      <c r="E5955" s="18" t="s">
        <v>5128</v>
      </c>
      <c r="F5955" s="2" t="s">
        <v>7987</v>
      </c>
      <c r="G5955" s="2" t="s">
        <v>5134</v>
      </c>
      <c r="H5955" s="14">
        <v>1.02</v>
      </c>
      <c r="I5955" s="2" t="s">
        <v>267</v>
      </c>
      <c r="J5955" s="2" t="s">
        <v>6555</v>
      </c>
      <c r="K5955" s="2" t="s">
        <v>1452</v>
      </c>
      <c r="L5955" s="2" t="s">
        <v>5221</v>
      </c>
      <c r="M5955" s="2" t="s">
        <v>5221</v>
      </c>
      <c r="N5955" s="2" t="s">
        <v>2317</v>
      </c>
      <c r="O5955" s="14">
        <v>8200</v>
      </c>
      <c r="P5955" s="14">
        <v>98.05</v>
      </c>
      <c r="Q5955" s="14">
        <v>159.9</v>
      </c>
      <c r="R5955" s="14">
        <v>163.1</v>
      </c>
      <c r="S5955" s="2" t="s">
        <v>6802</v>
      </c>
      <c r="T5955" s="2">
        <v>0.91</v>
      </c>
      <c r="U5955" s="2">
        <v>56.3</v>
      </c>
      <c r="V5955" s="2">
        <v>64</v>
      </c>
      <c r="W5955" s="2" t="s">
        <v>7862</v>
      </c>
      <c r="X5955" s="2" t="s">
        <v>3061</v>
      </c>
      <c r="Y5955" s="2">
        <v>8364</v>
      </c>
      <c r="Z5955" s="19" t="str">
        <f>HYPERLINK("https://ssdweb.co/ssdweb/hd/Vision360.html?d=941071374&amp;zoomslide=1&amp;z=1941071374&amp;ISCONFIRM=0","VIDEO")</f>
        <v>VIDEO</v>
      </c>
      <c r="AA5955" s="19" t="str">
        <f>HYPERLINK("https://ssdweb.co/ssdweb/CERTH/677510575.pdf","CERTI")</f>
        <v>CERTI</v>
      </c>
    </row>
    <row r="5956" spans="1:27" ht="15" x14ac:dyDescent="0.25">
      <c r="A5956" s="2">
        <v>5951</v>
      </c>
      <c r="B5956" s="39">
        <v>926621101</v>
      </c>
      <c r="C5956" s="28" t="str">
        <f>HYPERLINK("https://pld.live/RapDetail.aspx?STONELIST=926621101","DNA")</f>
        <v>DNA</v>
      </c>
      <c r="D5956" s="18" t="s">
        <v>3054</v>
      </c>
      <c r="E5956" s="18" t="s">
        <v>5128</v>
      </c>
      <c r="F5956" s="2" t="s">
        <v>7987</v>
      </c>
      <c r="G5956" s="2" t="s">
        <v>5134</v>
      </c>
      <c r="H5956" s="14">
        <v>1.02</v>
      </c>
      <c r="I5956" s="2" t="s">
        <v>267</v>
      </c>
      <c r="J5956" s="2" t="s">
        <v>3942</v>
      </c>
      <c r="K5956" s="2" t="s">
        <v>1452</v>
      </c>
      <c r="L5956" s="2" t="s">
        <v>5221</v>
      </c>
      <c r="M5956" s="2" t="s">
        <v>5221</v>
      </c>
      <c r="N5956" s="2" t="s">
        <v>2317</v>
      </c>
      <c r="O5956" s="14">
        <v>7600</v>
      </c>
      <c r="P5956" s="14">
        <v>98.21</v>
      </c>
      <c r="Q5956" s="14">
        <v>136.04</v>
      </c>
      <c r="R5956" s="14">
        <v>138.76</v>
      </c>
      <c r="S5956" s="2" t="s">
        <v>5312</v>
      </c>
      <c r="T5956" s="2">
        <v>0.91</v>
      </c>
      <c r="U5956" s="2">
        <v>55.9</v>
      </c>
      <c r="V5956" s="2">
        <v>62</v>
      </c>
      <c r="W5956" s="2" t="s">
        <v>7862</v>
      </c>
      <c r="X5956" s="2" t="s">
        <v>3061</v>
      </c>
      <c r="Y5956" s="2">
        <v>7752</v>
      </c>
      <c r="Z5956" s="19" t="str">
        <f>HYPERLINK("https://ssdweb.co/ssdweb/hd/Vision360.html?d=926621101&amp;zoomslide=1&amp;z=1926621101&amp;ISCONFIRM=0","VIDEO")</f>
        <v>VIDEO</v>
      </c>
      <c r="AA5956" s="19" t="str">
        <f>HYPERLINK("https://ssdweb.co/ssdweb/CERTH/648419732.pdf","CERTI")</f>
        <v>CERTI</v>
      </c>
    </row>
    <row r="5957" spans="1:27" ht="15" x14ac:dyDescent="0.25">
      <c r="A5957" s="2">
        <v>5952</v>
      </c>
      <c r="B5957" s="39">
        <v>941071389</v>
      </c>
      <c r="C5957" s="28" t="str">
        <f>HYPERLINK("https://pld.live/RapDetail.aspx?STONELIST=941071389","DNA")</f>
        <v>DNA</v>
      </c>
      <c r="D5957" s="18" t="s">
        <v>3054</v>
      </c>
      <c r="E5957" s="18" t="s">
        <v>5128</v>
      </c>
      <c r="F5957" s="2" t="s">
        <v>7987</v>
      </c>
      <c r="G5957" s="2" t="s">
        <v>5134</v>
      </c>
      <c r="H5957" s="14">
        <v>1.02</v>
      </c>
      <c r="I5957" s="2" t="s">
        <v>267</v>
      </c>
      <c r="J5957" s="2" t="s">
        <v>3942</v>
      </c>
      <c r="K5957" s="2" t="s">
        <v>1452</v>
      </c>
      <c r="L5957" s="2" t="s">
        <v>5221</v>
      </c>
      <c r="M5957" s="2" t="s">
        <v>5221</v>
      </c>
      <c r="N5957" s="2" t="s">
        <v>2317</v>
      </c>
      <c r="O5957" s="14">
        <v>7600</v>
      </c>
      <c r="P5957" s="14">
        <v>98.16</v>
      </c>
      <c r="Q5957" s="14">
        <v>139.84</v>
      </c>
      <c r="R5957" s="14">
        <v>142.63999999999999</v>
      </c>
      <c r="S5957" s="2" t="s">
        <v>5114</v>
      </c>
      <c r="T5957" s="2">
        <v>0.87</v>
      </c>
      <c r="U5957" s="2">
        <v>58.4</v>
      </c>
      <c r="V5957" s="2">
        <v>61</v>
      </c>
      <c r="W5957" s="2" t="s">
        <v>7862</v>
      </c>
      <c r="X5957" s="2" t="s">
        <v>3061</v>
      </c>
      <c r="Y5957" s="2">
        <v>7752</v>
      </c>
      <c r="Z5957" s="19" t="str">
        <f>HYPERLINK("https://ssdweb.co/ssdweb/hd/Vision360.html?d=941071389&amp;zoomslide=1&amp;z=1941071389&amp;ISCONFIRM=0","VIDEO")</f>
        <v>VIDEO</v>
      </c>
      <c r="AA5957" s="19" t="str">
        <f>HYPERLINK("https://ssdweb.co/ssdweb/CERTH/678564543.pdf","CERTI")</f>
        <v>CERTI</v>
      </c>
    </row>
    <row r="5958" spans="1:27" ht="15" x14ac:dyDescent="0.25">
      <c r="A5958" s="2">
        <v>5953</v>
      </c>
      <c r="B5958" s="39">
        <v>941071383</v>
      </c>
      <c r="C5958" s="28" t="str">
        <f>HYPERLINK("https://pld.live/RapDetail.aspx?STONELIST=941071383","DNA")</f>
        <v>DNA</v>
      </c>
      <c r="D5958" s="18" t="s">
        <v>3054</v>
      </c>
      <c r="E5958" s="18" t="s">
        <v>5128</v>
      </c>
      <c r="F5958" s="2" t="s">
        <v>7987</v>
      </c>
      <c r="G5958" s="2" t="s">
        <v>5134</v>
      </c>
      <c r="H5958" s="14">
        <v>1.02</v>
      </c>
      <c r="I5958" s="2" t="s">
        <v>267</v>
      </c>
      <c r="J5958" s="2" t="s">
        <v>3942</v>
      </c>
      <c r="K5958" s="2" t="s">
        <v>1452</v>
      </c>
      <c r="L5958" s="2" t="s">
        <v>5221</v>
      </c>
      <c r="M5958" s="2" t="s">
        <v>5221</v>
      </c>
      <c r="N5958" s="2" t="s">
        <v>2317</v>
      </c>
      <c r="O5958" s="14">
        <v>7600</v>
      </c>
      <c r="P5958" s="14">
        <v>98.16</v>
      </c>
      <c r="Q5958" s="14">
        <v>139.84</v>
      </c>
      <c r="R5958" s="14">
        <v>142.63999999999999</v>
      </c>
      <c r="S5958" s="2" t="s">
        <v>6835</v>
      </c>
      <c r="T5958" s="2">
        <v>0.86</v>
      </c>
      <c r="U5958" s="2">
        <v>57.3</v>
      </c>
      <c r="V5958" s="2">
        <v>60</v>
      </c>
      <c r="W5958" s="2" t="s">
        <v>7862</v>
      </c>
      <c r="X5958" s="2" t="s">
        <v>3061</v>
      </c>
      <c r="Y5958" s="2">
        <v>7752</v>
      </c>
      <c r="Z5958" s="19" t="str">
        <f>HYPERLINK("https://ssdweb.co/ssdweb/hd/Vision360.html?d=941071383&amp;zoomslide=1&amp;z=1941071383&amp;ISCONFIRM=0","VIDEO")</f>
        <v>VIDEO</v>
      </c>
      <c r="AA5958" s="19" t="str">
        <f>HYPERLINK("https://ssdweb.co/ssdweb/CERTH/678564578.pdf","CERTI")</f>
        <v>CERTI</v>
      </c>
    </row>
    <row r="5959" spans="1:27" ht="15" x14ac:dyDescent="0.25">
      <c r="A5959" s="2">
        <v>5954</v>
      </c>
      <c r="B5959" s="39">
        <v>941071387</v>
      </c>
      <c r="C5959" s="28" t="str">
        <f>HYPERLINK("https://pld.live/RapDetail.aspx?STONELIST=941071387","DNA")</f>
        <v>DNA</v>
      </c>
      <c r="D5959" s="18" t="s">
        <v>3054</v>
      </c>
      <c r="E5959" s="18" t="s">
        <v>5128</v>
      </c>
      <c r="F5959" s="2" t="s">
        <v>7987</v>
      </c>
      <c r="G5959" s="2" t="s">
        <v>5134</v>
      </c>
      <c r="H5959" s="14">
        <v>1.02</v>
      </c>
      <c r="I5959" s="2" t="s">
        <v>267</v>
      </c>
      <c r="J5959" s="2" t="s">
        <v>3942</v>
      </c>
      <c r="K5959" s="2" t="s">
        <v>1452</v>
      </c>
      <c r="L5959" s="2" t="s">
        <v>5221</v>
      </c>
      <c r="M5959" s="2" t="s">
        <v>5221</v>
      </c>
      <c r="N5959" s="2" t="s">
        <v>2317</v>
      </c>
      <c r="O5959" s="14">
        <v>7600</v>
      </c>
      <c r="P5959" s="14">
        <v>98.16</v>
      </c>
      <c r="Q5959" s="14">
        <v>139.84</v>
      </c>
      <c r="R5959" s="14">
        <v>142.63999999999999</v>
      </c>
      <c r="S5959" s="2" t="s">
        <v>7240</v>
      </c>
      <c r="T5959" s="2">
        <v>0.91</v>
      </c>
      <c r="U5959" s="2">
        <v>56.3</v>
      </c>
      <c r="V5959" s="2">
        <v>61</v>
      </c>
      <c r="W5959" s="2" t="s">
        <v>7862</v>
      </c>
      <c r="X5959" s="2" t="s">
        <v>3061</v>
      </c>
      <c r="Y5959" s="2">
        <v>7752</v>
      </c>
      <c r="Z5959" s="19" t="str">
        <f>HYPERLINK("https://ssdweb.co/ssdweb/hd/Vision360.html?d=941071387&amp;zoomslide=1&amp;z=1941071387&amp;ISCONFIRM=0","VIDEO")</f>
        <v>VIDEO</v>
      </c>
      <c r="AA5959" s="19" t="str">
        <f>HYPERLINK("https://ssdweb.co/ssdweb/CERTH/678564544.pdf","CERTI")</f>
        <v>CERTI</v>
      </c>
    </row>
    <row r="5960" spans="1:27" ht="15" x14ac:dyDescent="0.25">
      <c r="A5960" s="2">
        <v>5955</v>
      </c>
      <c r="B5960" s="39">
        <v>941071363</v>
      </c>
      <c r="C5960" s="28" t="str">
        <f>HYPERLINK("https://pld.live/RapDetail.aspx?STONELIST=941071363","DNA")</f>
        <v>DNA</v>
      </c>
      <c r="D5960" s="18" t="s">
        <v>3054</v>
      </c>
      <c r="E5960" s="18" t="s">
        <v>5128</v>
      </c>
      <c r="F5960" s="2" t="s">
        <v>7987</v>
      </c>
      <c r="G5960" s="2" t="s">
        <v>5134</v>
      </c>
      <c r="H5960" s="14">
        <v>1.02</v>
      </c>
      <c r="I5960" s="2" t="s">
        <v>267</v>
      </c>
      <c r="J5960" s="2" t="s">
        <v>3942</v>
      </c>
      <c r="K5960" s="2" t="s">
        <v>1452</v>
      </c>
      <c r="L5960" s="2" t="s">
        <v>5221</v>
      </c>
      <c r="M5960" s="2" t="s">
        <v>5721</v>
      </c>
      <c r="N5960" s="2" t="s">
        <v>2317</v>
      </c>
      <c r="O5960" s="14">
        <v>7600</v>
      </c>
      <c r="P5960" s="14">
        <v>98.18</v>
      </c>
      <c r="Q5960" s="14">
        <v>138.32</v>
      </c>
      <c r="R5960" s="14">
        <v>141.09</v>
      </c>
      <c r="S5960" s="2" t="s">
        <v>2037</v>
      </c>
      <c r="T5960" s="2">
        <v>0.87</v>
      </c>
      <c r="U5960" s="2">
        <v>56.2</v>
      </c>
      <c r="V5960" s="2">
        <v>57</v>
      </c>
      <c r="W5960" s="2" t="s">
        <v>7862</v>
      </c>
      <c r="X5960" s="2" t="s">
        <v>3061</v>
      </c>
      <c r="Y5960" s="2">
        <v>7752</v>
      </c>
      <c r="Z5960" s="19" t="str">
        <f>HYPERLINK("https://ssdweb.co/ssdweb/hd/Vision360.html?d=941071363&amp;zoomslide=1&amp;z=1941071363&amp;ISCONFIRM=0","VIDEO")</f>
        <v>VIDEO</v>
      </c>
      <c r="AA5960" s="19" t="str">
        <f>HYPERLINK("https://ssdweb.co/ssdweb/CERTH/675596727.pdf","CERTI")</f>
        <v>CERTI</v>
      </c>
    </row>
    <row r="5961" spans="1:27" ht="15" x14ac:dyDescent="0.25">
      <c r="A5961" s="2">
        <v>5956</v>
      </c>
      <c r="B5961" s="39">
        <v>926841356</v>
      </c>
      <c r="C5961" s="28" t="str">
        <f>HYPERLINK("https://pld.live/RapDetail.aspx?STONELIST=926841356","DNA")</f>
        <v>DNA</v>
      </c>
      <c r="D5961" s="18" t="s">
        <v>3054</v>
      </c>
      <c r="E5961" s="18" t="s">
        <v>2186</v>
      </c>
      <c r="F5961" s="2" t="s">
        <v>7987</v>
      </c>
      <c r="G5961" s="2" t="s">
        <v>5134</v>
      </c>
      <c r="H5961" s="14">
        <v>1.02</v>
      </c>
      <c r="I5961" s="2" t="s">
        <v>267</v>
      </c>
      <c r="J5961" s="2" t="s">
        <v>13</v>
      </c>
      <c r="K5961" s="2" t="s">
        <v>1452</v>
      </c>
      <c r="L5961" s="2" t="s">
        <v>5221</v>
      </c>
      <c r="M5961" s="2" t="s">
        <v>5221</v>
      </c>
      <c r="N5961" s="2" t="s">
        <v>2317</v>
      </c>
      <c r="O5961" s="14">
        <v>6700</v>
      </c>
      <c r="P5961" s="14">
        <v>98.04</v>
      </c>
      <c r="Q5961" s="14">
        <v>131.32</v>
      </c>
      <c r="R5961" s="14">
        <v>133.94999999999999</v>
      </c>
      <c r="S5961" s="2" t="s">
        <v>7694</v>
      </c>
      <c r="T5961" s="2">
        <v>0.91</v>
      </c>
      <c r="U5961" s="2">
        <v>58.1</v>
      </c>
      <c r="V5961" s="2">
        <v>59</v>
      </c>
      <c r="W5961" s="2" t="s">
        <v>7862</v>
      </c>
      <c r="X5961" s="2" t="s">
        <v>3061</v>
      </c>
      <c r="Y5961" s="2">
        <v>6834</v>
      </c>
      <c r="Z5961" s="19" t="str">
        <f>HYPERLINK("https://ssdweb.co/ssdweb/hd/Vision360.html?d=926841356&amp;zoomslide=1&amp;z=1926841356&amp;ISCONFIRM=0","VIDEO")</f>
        <v>VIDEO</v>
      </c>
      <c r="AA5961" s="19" t="str">
        <f>HYPERLINK("https://ssdweb.co/ssdweb/CERTH/659436996.pdf","CERTI")</f>
        <v>CERTI</v>
      </c>
    </row>
    <row r="5962" spans="1:27" ht="15" x14ac:dyDescent="0.25">
      <c r="A5962" s="2">
        <v>5957</v>
      </c>
      <c r="B5962" s="39">
        <v>926921491</v>
      </c>
      <c r="C5962" s="28" t="str">
        <f>HYPERLINK("https://pld.live/RapDetail.aspx?STONELIST=926921491","DNA")</f>
        <v>DNA</v>
      </c>
      <c r="D5962" s="18" t="s">
        <v>3054</v>
      </c>
      <c r="E5962" s="18" t="s">
        <v>2186</v>
      </c>
      <c r="F5962" s="2" t="s">
        <v>7987</v>
      </c>
      <c r="G5962" s="2" t="s">
        <v>5134</v>
      </c>
      <c r="H5962" s="14">
        <v>1.02</v>
      </c>
      <c r="I5962" s="2" t="s">
        <v>267</v>
      </c>
      <c r="J5962" s="2" t="s">
        <v>13</v>
      </c>
      <c r="K5962" s="2" t="s">
        <v>1452</v>
      </c>
      <c r="L5962" s="2" t="s">
        <v>5221</v>
      </c>
      <c r="M5962" s="2" t="s">
        <v>5221</v>
      </c>
      <c r="N5962" s="2" t="s">
        <v>2317</v>
      </c>
      <c r="O5962" s="14">
        <v>6700</v>
      </c>
      <c r="P5962" s="14">
        <v>98.01</v>
      </c>
      <c r="Q5962" s="14">
        <v>133.33000000000001</v>
      </c>
      <c r="R5962" s="14">
        <v>136</v>
      </c>
      <c r="S5962" s="2" t="s">
        <v>893</v>
      </c>
      <c r="T5962" s="2">
        <v>0.9</v>
      </c>
      <c r="U5962" s="2">
        <v>57.7</v>
      </c>
      <c r="V5962" s="2">
        <v>63</v>
      </c>
      <c r="W5962" s="2" t="s">
        <v>7862</v>
      </c>
      <c r="X5962" s="2" t="s">
        <v>3061</v>
      </c>
      <c r="Y5962" s="2">
        <v>6834</v>
      </c>
      <c r="Z5962" s="19" t="str">
        <f>HYPERLINK("https://ssdweb.co/ssdweb/hd/Vision360.html?d=926921491&amp;zoomslide=1&amp;z=1926921491&amp;ISCONFIRM=0","VIDEO")</f>
        <v>VIDEO</v>
      </c>
      <c r="AA5962" s="19" t="str">
        <f>HYPERLINK("https://ssdweb.co/ssdweb/CERTH/668437138.pdf","CERTI")</f>
        <v>CERTI</v>
      </c>
    </row>
    <row r="5963" spans="1:27" ht="15" x14ac:dyDescent="0.25">
      <c r="A5963" s="2">
        <v>5958</v>
      </c>
      <c r="B5963" s="39">
        <v>926841384</v>
      </c>
      <c r="C5963" s="28" t="str">
        <f>HYPERLINK("https://pld.live/RapDetail.aspx?STONELIST=926841384","DNA")</f>
        <v>DNA</v>
      </c>
      <c r="D5963" s="18" t="s">
        <v>3054</v>
      </c>
      <c r="E5963" s="18" t="s">
        <v>2186</v>
      </c>
      <c r="F5963" s="2" t="s">
        <v>7987</v>
      </c>
      <c r="G5963" s="2" t="s">
        <v>5134</v>
      </c>
      <c r="H5963" s="14">
        <v>1.02</v>
      </c>
      <c r="I5963" s="2" t="s">
        <v>267</v>
      </c>
      <c r="J5963" s="2" t="s">
        <v>13</v>
      </c>
      <c r="K5963" s="2" t="s">
        <v>1452</v>
      </c>
      <c r="L5963" s="2" t="s">
        <v>5221</v>
      </c>
      <c r="M5963" s="2" t="s">
        <v>5221</v>
      </c>
      <c r="N5963" s="2" t="s">
        <v>2317</v>
      </c>
      <c r="O5963" s="14">
        <v>6700</v>
      </c>
      <c r="P5963" s="14">
        <v>98.01</v>
      </c>
      <c r="Q5963" s="14">
        <v>133.33000000000001</v>
      </c>
      <c r="R5963" s="14">
        <v>136</v>
      </c>
      <c r="S5963" s="2" t="s">
        <v>619</v>
      </c>
      <c r="T5963" s="2">
        <v>0.86</v>
      </c>
      <c r="U5963" s="2">
        <v>57.6</v>
      </c>
      <c r="V5963" s="2">
        <v>62</v>
      </c>
      <c r="W5963" s="2" t="s">
        <v>7862</v>
      </c>
      <c r="X5963" s="2" t="s">
        <v>2616</v>
      </c>
      <c r="Y5963" s="2">
        <v>6834</v>
      </c>
      <c r="Z5963" s="19" t="str">
        <f>HYPERLINK("https://ssdweb.co/ssdweb/hd/Vision360.html?d=926841384&amp;zoomslide=1&amp;z=1926841384&amp;ISCONFIRM=0","VIDEO")</f>
        <v>VIDEO</v>
      </c>
      <c r="AA5963" s="19" t="str">
        <f>HYPERLINK("https://ssdweb.co/ssdweb/CERTH/662473913.pdf","CERTI")</f>
        <v>CERTI</v>
      </c>
    </row>
    <row r="5964" spans="1:27" ht="15" x14ac:dyDescent="0.25">
      <c r="A5964" s="2">
        <v>5959</v>
      </c>
      <c r="B5964" s="39">
        <v>941071366</v>
      </c>
      <c r="C5964" s="28" t="str">
        <f>HYPERLINK("https://pld.live/RapDetail.aspx?STONELIST=941071366","DNA")</f>
        <v>DNA</v>
      </c>
      <c r="D5964" s="18" t="s">
        <v>3054</v>
      </c>
      <c r="E5964" s="18" t="s">
        <v>5128</v>
      </c>
      <c r="F5964" s="2" t="s">
        <v>7987</v>
      </c>
      <c r="G5964" s="2" t="s">
        <v>5134</v>
      </c>
      <c r="H5964" s="14">
        <v>1.02</v>
      </c>
      <c r="I5964" s="2" t="s">
        <v>267</v>
      </c>
      <c r="J5964" s="2" t="s">
        <v>13</v>
      </c>
      <c r="K5964" s="2" t="s">
        <v>1452</v>
      </c>
      <c r="L5964" s="2" t="s">
        <v>5221</v>
      </c>
      <c r="M5964" s="2" t="s">
        <v>5221</v>
      </c>
      <c r="N5964" s="2" t="s">
        <v>2317</v>
      </c>
      <c r="O5964" s="14">
        <v>6700</v>
      </c>
      <c r="P5964" s="14">
        <v>97.99</v>
      </c>
      <c r="Q5964" s="14">
        <v>134.66999999999999</v>
      </c>
      <c r="R5964" s="14">
        <v>137.36000000000001</v>
      </c>
      <c r="S5964" s="2" t="s">
        <v>7048</v>
      </c>
      <c r="T5964" s="2">
        <v>0.85</v>
      </c>
      <c r="U5964" s="2">
        <v>58.3</v>
      </c>
      <c r="V5964" s="2">
        <v>61</v>
      </c>
      <c r="W5964" s="2" t="s">
        <v>7862</v>
      </c>
      <c r="X5964" s="2" t="s">
        <v>3061</v>
      </c>
      <c r="Y5964" s="2">
        <v>6834</v>
      </c>
      <c r="Z5964" s="19" t="str">
        <f>HYPERLINK("https://ssdweb.co/ssdweb/hd/Vision360.html?d=941071366&amp;zoomslide=1&amp;z=1941071366&amp;ISCONFIRM=0","VIDEO")</f>
        <v>VIDEO</v>
      </c>
      <c r="AA5964" s="19" t="str">
        <f>HYPERLINK("https://ssdweb.co/ssdweb/CERTH/677510561.pdf","CERTI")</f>
        <v>CERTI</v>
      </c>
    </row>
    <row r="5965" spans="1:27" ht="15" x14ac:dyDescent="0.25">
      <c r="A5965" s="2">
        <v>5960</v>
      </c>
      <c r="B5965" s="39">
        <v>941040747</v>
      </c>
      <c r="C5965" s="28" t="str">
        <f>HYPERLINK("https://pld.live/RapDetail.aspx?STONELIST=941040747","DNA")</f>
        <v>DNA</v>
      </c>
      <c r="D5965" s="18" t="s">
        <v>3054</v>
      </c>
      <c r="E5965" s="18" t="s">
        <v>5128</v>
      </c>
      <c r="F5965" s="2" t="s">
        <v>7987</v>
      </c>
      <c r="G5965" s="2" t="s">
        <v>5134</v>
      </c>
      <c r="H5965" s="14">
        <v>1.02</v>
      </c>
      <c r="I5965" s="2" t="s">
        <v>267</v>
      </c>
      <c r="J5965" s="2" t="s">
        <v>13</v>
      </c>
      <c r="K5965" s="2" t="s">
        <v>1452</v>
      </c>
      <c r="L5965" s="2" t="s">
        <v>5221</v>
      </c>
      <c r="M5965" s="2" t="s">
        <v>5221</v>
      </c>
      <c r="N5965" s="2" t="s">
        <v>2317</v>
      </c>
      <c r="O5965" s="14">
        <v>6700</v>
      </c>
      <c r="P5965" s="14">
        <v>97.99</v>
      </c>
      <c r="Q5965" s="14">
        <v>134.66999999999999</v>
      </c>
      <c r="R5965" s="14">
        <v>137.36000000000001</v>
      </c>
      <c r="S5965" s="2" t="s">
        <v>5540</v>
      </c>
      <c r="T5965" s="2">
        <v>0.92</v>
      </c>
      <c r="U5965" s="2">
        <v>60.8</v>
      </c>
      <c r="V5965" s="2">
        <v>62</v>
      </c>
      <c r="W5965" s="2" t="s">
        <v>7862</v>
      </c>
      <c r="X5965" s="2" t="s">
        <v>3061</v>
      </c>
      <c r="Y5965" s="2">
        <v>6834</v>
      </c>
      <c r="Z5965" s="19" t="str">
        <f>HYPERLINK("https://ssdweb.co/ssdweb/hd/Vision360.html?d=941040747&amp;zoomslide=1&amp;z=1941040747&amp;ISCONFIRM=0","VIDEO")</f>
        <v>VIDEO</v>
      </c>
      <c r="AA5965" s="19" t="str">
        <f>HYPERLINK("https://ssdweb.co/ssdweb/CERTH/675596645.pdf","CERTI")</f>
        <v>CERTI</v>
      </c>
    </row>
    <row r="5966" spans="1:27" ht="15" x14ac:dyDescent="0.25">
      <c r="A5966" s="2">
        <v>5961</v>
      </c>
      <c r="B5966" s="39">
        <v>926841391</v>
      </c>
      <c r="C5966" s="28" t="str">
        <f>HYPERLINK("https://pld.live/RapDetail.aspx?STONELIST=926841391","DNA")</f>
        <v>DNA</v>
      </c>
      <c r="D5966" s="18" t="s">
        <v>3054</v>
      </c>
      <c r="E5966" s="18" t="s">
        <v>2186</v>
      </c>
      <c r="F5966" s="2" t="s">
        <v>7987</v>
      </c>
      <c r="G5966" s="2" t="s">
        <v>5134</v>
      </c>
      <c r="H5966" s="14">
        <v>1.02</v>
      </c>
      <c r="I5966" s="2" t="s">
        <v>267</v>
      </c>
      <c r="J5966" s="2" t="s">
        <v>13</v>
      </c>
      <c r="K5966" s="2" t="s">
        <v>1452</v>
      </c>
      <c r="L5966" s="2" t="s">
        <v>5221</v>
      </c>
      <c r="M5966" s="2" t="s">
        <v>5721</v>
      </c>
      <c r="N5966" s="2" t="s">
        <v>2317</v>
      </c>
      <c r="O5966" s="14">
        <v>6700</v>
      </c>
      <c r="P5966" s="14">
        <v>98.01</v>
      </c>
      <c r="Q5966" s="14">
        <v>133.33000000000001</v>
      </c>
      <c r="R5966" s="14">
        <v>136</v>
      </c>
      <c r="S5966" s="2" t="s">
        <v>565</v>
      </c>
      <c r="T5966" s="2">
        <v>0.89</v>
      </c>
      <c r="U5966" s="2">
        <v>55.9</v>
      </c>
      <c r="V5966" s="2">
        <v>61</v>
      </c>
      <c r="W5966" s="2" t="s">
        <v>7862</v>
      </c>
      <c r="X5966" s="2" t="s">
        <v>3061</v>
      </c>
      <c r="Y5966" s="2">
        <v>6834</v>
      </c>
      <c r="Z5966" s="19" t="str">
        <f>HYPERLINK("https://ssdweb.co/ssdweb/hd/Vision360.html?d=926841391&amp;zoomslide=1&amp;z=1926841391&amp;ISCONFIRM=0","VIDEO")</f>
        <v>VIDEO</v>
      </c>
      <c r="AA5966" s="19" t="str">
        <f>HYPERLINK("https://ssdweb.co/ssdweb/CERTH/668437137.pdf","CERTI")</f>
        <v>CERTI</v>
      </c>
    </row>
    <row r="5967" spans="1:27" ht="15" x14ac:dyDescent="0.25">
      <c r="A5967" s="2">
        <v>5962</v>
      </c>
      <c r="B5967" s="39">
        <v>927092419</v>
      </c>
      <c r="C5967" s="28" t="str">
        <f>HYPERLINK("https://pld.live/RapDetail.aspx?STONELIST=927092419","DNA")</f>
        <v>DNA</v>
      </c>
      <c r="D5967" s="18" t="s">
        <v>3054</v>
      </c>
      <c r="E5967" s="18" t="s">
        <v>5128</v>
      </c>
      <c r="F5967" s="2" t="s">
        <v>7987</v>
      </c>
      <c r="G5967" s="2" t="s">
        <v>5134</v>
      </c>
      <c r="H5967" s="14">
        <v>1.02</v>
      </c>
      <c r="I5967" s="2" t="s">
        <v>4761</v>
      </c>
      <c r="J5967" s="2" t="s">
        <v>6555</v>
      </c>
      <c r="K5967" s="2" t="s">
        <v>1452</v>
      </c>
      <c r="L5967" s="2" t="s">
        <v>5221</v>
      </c>
      <c r="M5967" s="2" t="s">
        <v>5221</v>
      </c>
      <c r="N5967" s="2" t="s">
        <v>2317</v>
      </c>
      <c r="O5967" s="14">
        <v>7500</v>
      </c>
      <c r="P5967" s="14">
        <v>97.93</v>
      </c>
      <c r="Q5967" s="14">
        <v>155.25</v>
      </c>
      <c r="R5967" s="14">
        <v>158.36000000000001</v>
      </c>
      <c r="S5967" s="2" t="s">
        <v>6560</v>
      </c>
      <c r="T5967" s="2">
        <v>0.88</v>
      </c>
      <c r="U5967" s="2">
        <v>56.8</v>
      </c>
      <c r="V5967" s="2">
        <v>62</v>
      </c>
      <c r="W5967" s="2" t="s">
        <v>7862</v>
      </c>
      <c r="X5967" s="2" t="s">
        <v>3061</v>
      </c>
      <c r="Y5967" s="2">
        <v>7650</v>
      </c>
      <c r="Z5967" s="19" t="str">
        <f>HYPERLINK("https://ssdweb.co/ssdweb/hd/Vision360.html?d=927092419&amp;zoomslide=1&amp;z=1927092419&amp;ISCONFIRM=0","VIDEO")</f>
        <v>VIDEO</v>
      </c>
      <c r="AA5967" s="19" t="str">
        <f>HYPERLINK("https://ssdweb.co/ssdweb/CERTH/670484399.pdf","CERTI")</f>
        <v>CERTI</v>
      </c>
    </row>
    <row r="5968" spans="1:27" ht="15" x14ac:dyDescent="0.25">
      <c r="A5968" s="2">
        <v>5963</v>
      </c>
      <c r="B5968" s="39">
        <v>926681141</v>
      </c>
      <c r="C5968" s="28" t="str">
        <f>HYPERLINK("https://pld.live/RapDetail.aspx?STONELIST=926681141","DNA")</f>
        <v>DNA</v>
      </c>
      <c r="D5968" s="18" t="s">
        <v>3054</v>
      </c>
      <c r="E5968" s="18" t="s">
        <v>2186</v>
      </c>
      <c r="F5968" s="2" t="s">
        <v>7987</v>
      </c>
      <c r="G5968" s="2" t="s">
        <v>5134</v>
      </c>
      <c r="H5968" s="14">
        <v>1.02</v>
      </c>
      <c r="I5968" s="2" t="s">
        <v>4761</v>
      </c>
      <c r="J5968" s="2" t="s">
        <v>6555</v>
      </c>
      <c r="K5968" s="2" t="s">
        <v>1452</v>
      </c>
      <c r="L5968" s="2" t="s">
        <v>5221</v>
      </c>
      <c r="M5968" s="2" t="s">
        <v>5721</v>
      </c>
      <c r="N5968" s="2" t="s">
        <v>2317</v>
      </c>
      <c r="O5968" s="14">
        <v>7500</v>
      </c>
      <c r="P5968" s="14">
        <v>97.99</v>
      </c>
      <c r="Q5968" s="14">
        <v>150.75</v>
      </c>
      <c r="R5968" s="14">
        <v>153.77000000000001</v>
      </c>
      <c r="S5968" s="2" t="s">
        <v>5332</v>
      </c>
      <c r="T5968" s="2">
        <v>0.88</v>
      </c>
      <c r="U5968" s="2">
        <v>58.7</v>
      </c>
      <c r="V5968" s="2">
        <v>63</v>
      </c>
      <c r="W5968" s="2" t="s">
        <v>7862</v>
      </c>
      <c r="X5968" s="2" t="s">
        <v>3061</v>
      </c>
      <c r="Y5968" s="2">
        <v>7650</v>
      </c>
      <c r="Z5968" s="19" t="str">
        <f>HYPERLINK("https://ssdweb.co/ssdweb/hd/Vision360.html?d=926681141&amp;zoomslide=1&amp;z=1926681141&amp;ISCONFIRM=0","VIDEO")</f>
        <v>VIDEO</v>
      </c>
      <c r="AA5968" s="19" t="str">
        <f>HYPERLINK("https://ssdweb.co/ssdweb/CERTH/660440533.pdf","CERTI")</f>
        <v>CERTI</v>
      </c>
    </row>
    <row r="5969" spans="1:27" ht="15" x14ac:dyDescent="0.25">
      <c r="A5969" s="2">
        <v>5964</v>
      </c>
      <c r="B5969" s="39">
        <v>926901155</v>
      </c>
      <c r="C5969" s="28" t="str">
        <f>HYPERLINK("https://pld.live/RapDetail.aspx?STONELIST=926901155","DNA")</f>
        <v>DNA</v>
      </c>
      <c r="D5969" s="18" t="s">
        <v>3054</v>
      </c>
      <c r="E5969" s="18" t="s">
        <v>5128</v>
      </c>
      <c r="F5969" s="2" t="s">
        <v>7987</v>
      </c>
      <c r="G5969" s="2" t="s">
        <v>5134</v>
      </c>
      <c r="H5969" s="14">
        <v>1.02</v>
      </c>
      <c r="I5969" s="2" t="s">
        <v>4761</v>
      </c>
      <c r="J5969" s="2" t="s">
        <v>3942</v>
      </c>
      <c r="K5969" s="2" t="s">
        <v>1452</v>
      </c>
      <c r="L5969" s="2" t="s">
        <v>5221</v>
      </c>
      <c r="M5969" s="2" t="s">
        <v>5221</v>
      </c>
      <c r="N5969" s="2" t="s">
        <v>2317</v>
      </c>
      <c r="O5969" s="14">
        <v>6900</v>
      </c>
      <c r="P5969" s="14">
        <v>98.04</v>
      </c>
      <c r="Q5969" s="14">
        <v>135.24</v>
      </c>
      <c r="R5969" s="14">
        <v>137.94</v>
      </c>
      <c r="S5969" s="2" t="s">
        <v>1926</v>
      </c>
      <c r="T5969" s="2">
        <v>0.87</v>
      </c>
      <c r="U5969" s="2">
        <v>57.4</v>
      </c>
      <c r="V5969" s="2">
        <v>59</v>
      </c>
      <c r="W5969" s="2" t="s">
        <v>7862</v>
      </c>
      <c r="X5969" s="2" t="s">
        <v>3061</v>
      </c>
      <c r="Y5969" s="2">
        <v>7038</v>
      </c>
      <c r="Z5969" s="19" t="str">
        <f>HYPERLINK("https://ssdweb.co/ssdweb/hd/Vision360.html?d=926901155&amp;zoomslide=1&amp;z=1926901155&amp;ISCONFIRM=0","VIDEO")</f>
        <v>VIDEO</v>
      </c>
      <c r="AA5969" s="19" t="str">
        <f>HYPERLINK("https://ssdweb.co/ssdweb/CERTH/662473873.pdf","CERTI")</f>
        <v>CERTI</v>
      </c>
    </row>
    <row r="5970" spans="1:27" ht="15" x14ac:dyDescent="0.25">
      <c r="A5970" s="2">
        <v>5965</v>
      </c>
      <c r="B5970" s="39">
        <v>9413501278</v>
      </c>
      <c r="C5970" s="28" t="str">
        <f>HYPERLINK("https://pld.live/RapDetail.aspx?STONELIST=9413501278","DNA")</f>
        <v>DNA</v>
      </c>
      <c r="D5970" s="18" t="s">
        <v>3054</v>
      </c>
      <c r="E5970" s="18" t="s">
        <v>5128</v>
      </c>
      <c r="F5970" s="2" t="s">
        <v>7987</v>
      </c>
      <c r="G5970" s="2" t="s">
        <v>5134</v>
      </c>
      <c r="H5970" s="14">
        <v>1.02</v>
      </c>
      <c r="I5970" s="2" t="s">
        <v>4761</v>
      </c>
      <c r="J5970" s="2" t="s">
        <v>3942</v>
      </c>
      <c r="K5970" s="2" t="s">
        <v>1452</v>
      </c>
      <c r="L5970" s="2" t="s">
        <v>5221</v>
      </c>
      <c r="M5970" s="2" t="s">
        <v>5221</v>
      </c>
      <c r="N5970" s="2" t="s">
        <v>2317</v>
      </c>
      <c r="O5970" s="14">
        <v>6900</v>
      </c>
      <c r="P5970" s="14">
        <v>98.01</v>
      </c>
      <c r="Q5970" s="14">
        <v>137.31</v>
      </c>
      <c r="R5970" s="14">
        <v>140.06</v>
      </c>
      <c r="S5970" s="2" t="s">
        <v>7012</v>
      </c>
      <c r="T5970" s="2">
        <v>0.86</v>
      </c>
      <c r="U5970" s="2">
        <v>57.3</v>
      </c>
      <c r="V5970" s="2">
        <v>59</v>
      </c>
      <c r="W5970" s="2" t="s">
        <v>7862</v>
      </c>
      <c r="X5970" s="2" t="s">
        <v>3061</v>
      </c>
      <c r="Y5970" s="2">
        <v>7038</v>
      </c>
      <c r="Z5970" s="19" t="str">
        <f>HYPERLINK("https://ssdweb.co/ssdweb/hd/Vision360.html?d=9413501278&amp;zoomslide=1&amp;z=19413501278&amp;ISCONFIRM=0","VIDEO")</f>
        <v>VIDEO</v>
      </c>
      <c r="AA5970" s="19" t="str">
        <f>HYPERLINK("https://ssdweb.co/ssdweb/CERTH/694579641.pdf","CERTI")</f>
        <v>CERTI</v>
      </c>
    </row>
    <row r="5971" spans="1:27" ht="15" x14ac:dyDescent="0.25">
      <c r="A5971" s="2">
        <v>5966</v>
      </c>
      <c r="B5971" s="39">
        <v>927132485</v>
      </c>
      <c r="C5971" s="28" t="str">
        <f>HYPERLINK("https://pld.live/RapDetail.aspx?STONELIST=927132485","DNA")</f>
        <v>DNA</v>
      </c>
      <c r="D5971" s="18" t="s">
        <v>3054</v>
      </c>
      <c r="E5971" s="18" t="s">
        <v>5128</v>
      </c>
      <c r="F5971" s="2" t="s">
        <v>7987</v>
      </c>
      <c r="G5971" s="2" t="s">
        <v>5134</v>
      </c>
      <c r="H5971" s="14">
        <v>1.02</v>
      </c>
      <c r="I5971" s="2" t="s">
        <v>4761</v>
      </c>
      <c r="J5971" s="2" t="s">
        <v>3942</v>
      </c>
      <c r="K5971" s="2" t="s">
        <v>1452</v>
      </c>
      <c r="L5971" s="2" t="s">
        <v>5221</v>
      </c>
      <c r="M5971" s="2" t="s">
        <v>5221</v>
      </c>
      <c r="N5971" s="2" t="s">
        <v>2317</v>
      </c>
      <c r="O5971" s="14">
        <v>6900</v>
      </c>
      <c r="P5971" s="14">
        <v>98.01</v>
      </c>
      <c r="Q5971" s="14">
        <v>137.31</v>
      </c>
      <c r="R5971" s="14">
        <v>140.06</v>
      </c>
      <c r="S5971" s="2" t="s">
        <v>1185</v>
      </c>
      <c r="T5971" s="2">
        <v>0.89</v>
      </c>
      <c r="U5971" s="2">
        <v>55.8</v>
      </c>
      <c r="V5971" s="2">
        <v>54</v>
      </c>
      <c r="W5971" s="2" t="s">
        <v>7862</v>
      </c>
      <c r="X5971" s="2" t="s">
        <v>3061</v>
      </c>
      <c r="Y5971" s="2">
        <v>7038</v>
      </c>
      <c r="Z5971" s="19" t="str">
        <f>HYPERLINK("https://ssdweb.co/ssdweb/hd/Vision360.html?d=927132485&amp;zoomslide=1&amp;z=1927132485&amp;ISCONFIRM=0","VIDEO")</f>
        <v>VIDEO</v>
      </c>
      <c r="AA5971" s="19" t="str">
        <f>HYPERLINK("https://ssdweb.co/ssdweb/CERTH/674504082.pdf","CERTI")</f>
        <v>CERTI</v>
      </c>
    </row>
    <row r="5972" spans="1:27" ht="15" x14ac:dyDescent="0.25">
      <c r="A5972" s="2">
        <v>5967</v>
      </c>
      <c r="B5972" s="39">
        <v>941071350</v>
      </c>
      <c r="C5972" s="28" t="str">
        <f>HYPERLINK("https://pld.live/RapDetail.aspx?STONELIST=941071350","DNA")</f>
        <v>DNA</v>
      </c>
      <c r="D5972" s="18" t="s">
        <v>3054</v>
      </c>
      <c r="E5972" s="18" t="s">
        <v>5128</v>
      </c>
      <c r="F5972" s="2" t="s">
        <v>7987</v>
      </c>
      <c r="G5972" s="2" t="s">
        <v>5134</v>
      </c>
      <c r="H5972" s="14">
        <v>1.02</v>
      </c>
      <c r="I5972" s="2" t="s">
        <v>4761</v>
      </c>
      <c r="J5972" s="2" t="s">
        <v>3942</v>
      </c>
      <c r="K5972" s="2" t="s">
        <v>1452</v>
      </c>
      <c r="L5972" s="2" t="s">
        <v>5221</v>
      </c>
      <c r="M5972" s="2" t="s">
        <v>5221</v>
      </c>
      <c r="N5972" s="2" t="s">
        <v>2317</v>
      </c>
      <c r="O5972" s="14">
        <v>6900</v>
      </c>
      <c r="P5972" s="14">
        <v>98.01</v>
      </c>
      <c r="Q5972" s="14">
        <v>137.31</v>
      </c>
      <c r="R5972" s="14">
        <v>140.06</v>
      </c>
      <c r="S5972" s="2" t="s">
        <v>2841</v>
      </c>
      <c r="T5972" s="2">
        <v>0.9</v>
      </c>
      <c r="U5972" s="2">
        <v>55.2</v>
      </c>
      <c r="V5972" s="2">
        <v>65</v>
      </c>
      <c r="W5972" s="2" t="s">
        <v>7862</v>
      </c>
      <c r="X5972" s="2" t="s">
        <v>3061</v>
      </c>
      <c r="Y5972" s="2">
        <v>7038</v>
      </c>
      <c r="Z5972" s="19" t="str">
        <f>HYPERLINK("https://ssdweb.co/ssdweb/hd/Vision360.html?d=941071350&amp;zoomslide=1&amp;z=1941071350&amp;ISCONFIRM=0","VIDEO")</f>
        <v>VIDEO</v>
      </c>
      <c r="AA5972" s="19" t="str">
        <f>HYPERLINK("https://ssdweb.co/ssdweb/CERTH/675596638.pdf","CERTI")</f>
        <v>CERTI</v>
      </c>
    </row>
    <row r="5973" spans="1:27" ht="15" x14ac:dyDescent="0.25">
      <c r="A5973" s="2">
        <v>5968</v>
      </c>
      <c r="B5973" s="39">
        <v>927102406</v>
      </c>
      <c r="C5973" s="28" t="str">
        <f>HYPERLINK("https://pld.live/RapDetail.aspx?STONELIST=927102406","DNA")</f>
        <v>DNA</v>
      </c>
      <c r="D5973" s="18" t="s">
        <v>3054</v>
      </c>
      <c r="E5973" s="18" t="s">
        <v>5128</v>
      </c>
      <c r="F5973" s="2" t="s">
        <v>7987</v>
      </c>
      <c r="G5973" s="2" t="s">
        <v>5134</v>
      </c>
      <c r="H5973" s="14">
        <v>1.02</v>
      </c>
      <c r="I5973" s="2" t="s">
        <v>4761</v>
      </c>
      <c r="J5973" s="2" t="s">
        <v>3942</v>
      </c>
      <c r="K5973" s="2" t="s">
        <v>1452</v>
      </c>
      <c r="L5973" s="2" t="s">
        <v>5221</v>
      </c>
      <c r="M5973" s="2" t="s">
        <v>5221</v>
      </c>
      <c r="N5973" s="2" t="s">
        <v>2317</v>
      </c>
      <c r="O5973" s="14">
        <v>6900</v>
      </c>
      <c r="P5973" s="14">
        <v>98.01</v>
      </c>
      <c r="Q5973" s="14">
        <v>137.31</v>
      </c>
      <c r="R5973" s="14">
        <v>140.06</v>
      </c>
      <c r="S5973" s="2" t="s">
        <v>2346</v>
      </c>
      <c r="T5973" s="2">
        <v>0.87</v>
      </c>
      <c r="U5973" s="2">
        <v>56.9</v>
      </c>
      <c r="V5973" s="2">
        <v>60</v>
      </c>
      <c r="W5973" s="2" t="s">
        <v>7862</v>
      </c>
      <c r="X5973" s="2" t="s">
        <v>3061</v>
      </c>
      <c r="Y5973" s="2">
        <v>7038</v>
      </c>
      <c r="Z5973" s="19" t="str">
        <f>HYPERLINK("https://ssdweb.co/ssdweb/hd/Vision360.html?d=927102406&amp;zoomslide=1&amp;z=1927102406&amp;ISCONFIRM=0","VIDEO")</f>
        <v>VIDEO</v>
      </c>
      <c r="AA5973" s="19" t="str">
        <f>HYPERLINK("https://ssdweb.co/ssdweb/CERTH/669458224.pdf","CERTI")</f>
        <v>CERTI</v>
      </c>
    </row>
    <row r="5974" spans="1:27" ht="15" x14ac:dyDescent="0.25">
      <c r="A5974" s="2">
        <v>5969</v>
      </c>
      <c r="B5974" s="39">
        <v>927153010</v>
      </c>
      <c r="C5974" s="28" t="str">
        <f>HYPERLINK("https://pld.live/RapDetail.aspx?STONELIST=927153010","DNA")</f>
        <v>DNA</v>
      </c>
      <c r="D5974" s="18" t="s">
        <v>3054</v>
      </c>
      <c r="E5974" s="18" t="s">
        <v>5128</v>
      </c>
      <c r="F5974" s="2" t="s">
        <v>7987</v>
      </c>
      <c r="G5974" s="2" t="s">
        <v>5134</v>
      </c>
      <c r="H5974" s="14">
        <v>1.02</v>
      </c>
      <c r="I5974" s="2" t="s">
        <v>4761</v>
      </c>
      <c r="J5974" s="2" t="s">
        <v>3942</v>
      </c>
      <c r="K5974" s="2" t="s">
        <v>1452</v>
      </c>
      <c r="L5974" s="2" t="s">
        <v>5221</v>
      </c>
      <c r="M5974" s="2" t="s">
        <v>5721</v>
      </c>
      <c r="N5974" s="2" t="s">
        <v>2317</v>
      </c>
      <c r="O5974" s="14">
        <v>6900</v>
      </c>
      <c r="P5974" s="14">
        <v>98.04</v>
      </c>
      <c r="Q5974" s="14">
        <v>135.24</v>
      </c>
      <c r="R5974" s="14">
        <v>137.94</v>
      </c>
      <c r="S5974" s="2" t="s">
        <v>6070</v>
      </c>
      <c r="T5974" s="2">
        <v>0.86</v>
      </c>
      <c r="U5974" s="2">
        <v>57</v>
      </c>
      <c r="V5974" s="2">
        <v>63</v>
      </c>
      <c r="W5974" s="2" t="s">
        <v>7862</v>
      </c>
      <c r="X5974" s="2" t="s">
        <v>3061</v>
      </c>
      <c r="Y5974" s="2">
        <v>7038</v>
      </c>
      <c r="Z5974" s="19" t="str">
        <f>HYPERLINK("https://ssdweb.co/ssdweb/hd/Vision360.html?d=927153010&amp;zoomslide=1&amp;z=1927153010&amp;ISCONFIRM=0","VIDEO")</f>
        <v>VIDEO</v>
      </c>
      <c r="AA5974" s="19" t="str">
        <f>HYPERLINK("https://ssdweb.co/ssdweb/CERTH/678564558.pdf","CERTI")</f>
        <v>CERTI</v>
      </c>
    </row>
    <row r="5975" spans="1:27" ht="15" x14ac:dyDescent="0.25">
      <c r="A5975" s="2">
        <v>5970</v>
      </c>
      <c r="B5975" s="39">
        <v>926681198</v>
      </c>
      <c r="C5975" s="28" t="str">
        <f>HYPERLINK("https://pld.live/RapDetail.aspx?STONELIST=926681198","DNA")</f>
        <v>DNA</v>
      </c>
      <c r="D5975" s="18" t="s">
        <v>3054</v>
      </c>
      <c r="E5975" s="18" t="s">
        <v>2186</v>
      </c>
      <c r="F5975" s="2" t="s">
        <v>5597</v>
      </c>
      <c r="G5975" s="2" t="s">
        <v>5134</v>
      </c>
      <c r="H5975" s="14">
        <v>1.02</v>
      </c>
      <c r="I5975" s="2" t="s">
        <v>4761</v>
      </c>
      <c r="J5975" s="2" t="s">
        <v>13</v>
      </c>
      <c r="K5975" s="2" t="s">
        <v>1452</v>
      </c>
      <c r="L5975" s="2" t="s">
        <v>5221</v>
      </c>
      <c r="M5975" s="2" t="s">
        <v>5221</v>
      </c>
      <c r="N5975" s="2" t="s">
        <v>2317</v>
      </c>
      <c r="O5975" s="14">
        <v>6200</v>
      </c>
      <c r="P5975" s="14">
        <v>96.69</v>
      </c>
      <c r="Q5975" s="14">
        <v>205.22</v>
      </c>
      <c r="R5975" s="14">
        <v>209.32</v>
      </c>
      <c r="S5975" s="2" t="s">
        <v>7977</v>
      </c>
      <c r="T5975" s="2">
        <v>0.9</v>
      </c>
      <c r="U5975" s="2">
        <v>58.7</v>
      </c>
      <c r="V5975" s="2">
        <v>60</v>
      </c>
      <c r="W5975" s="2" t="s">
        <v>7862</v>
      </c>
      <c r="X5975" s="2" t="s">
        <v>3061</v>
      </c>
      <c r="Y5975" s="2">
        <v>6324</v>
      </c>
      <c r="Z5975" s="19" t="str">
        <f>HYPERLINK("https://ssdweb.co/ssdweb/hd/Vision360.html?d=926681198&amp;zoomslide=1&amp;z=1926681198&amp;ISCONFIRM=0","VIDEO")</f>
        <v>VIDEO</v>
      </c>
      <c r="AA5975" s="19" t="str">
        <f>HYPERLINK("https://ssdweb.co/ssdweb/CERTH/5506472224.pdf","CERTI")</f>
        <v>CERTI</v>
      </c>
    </row>
    <row r="5976" spans="1:27" ht="15" x14ac:dyDescent="0.25">
      <c r="A5976" s="2">
        <v>5971</v>
      </c>
      <c r="B5976" s="39">
        <v>927152965</v>
      </c>
      <c r="C5976" s="28" t="str">
        <f>HYPERLINK("https://pld.live/RapDetail.aspx?STONELIST=927152965","DNA")</f>
        <v>DNA</v>
      </c>
      <c r="D5976" s="18" t="s">
        <v>3054</v>
      </c>
      <c r="E5976" s="18" t="s">
        <v>5128</v>
      </c>
      <c r="F5976" s="2" t="s">
        <v>7987</v>
      </c>
      <c r="G5976" s="2" t="s">
        <v>5134</v>
      </c>
      <c r="H5976" s="14">
        <v>1.02</v>
      </c>
      <c r="I5976" s="2" t="s">
        <v>4761</v>
      </c>
      <c r="J5976" s="2" t="s">
        <v>13</v>
      </c>
      <c r="K5976" s="2" t="s">
        <v>1452</v>
      </c>
      <c r="L5976" s="2" t="s">
        <v>5221</v>
      </c>
      <c r="M5976" s="2" t="s">
        <v>5221</v>
      </c>
      <c r="N5976" s="2" t="s">
        <v>2317</v>
      </c>
      <c r="O5976" s="14">
        <v>6200</v>
      </c>
      <c r="P5976" s="14">
        <v>97.85</v>
      </c>
      <c r="Q5976" s="14">
        <v>133.30000000000001</v>
      </c>
      <c r="R5976" s="14">
        <v>135.97</v>
      </c>
      <c r="S5976" s="2" t="s">
        <v>3275</v>
      </c>
      <c r="T5976" s="2">
        <v>0.89</v>
      </c>
      <c r="U5976" s="2">
        <v>56.1</v>
      </c>
      <c r="V5976" s="2">
        <v>57</v>
      </c>
      <c r="W5976" s="2" t="s">
        <v>7862</v>
      </c>
      <c r="X5976" s="2" t="s">
        <v>3061</v>
      </c>
      <c r="Y5976" s="2">
        <v>6324</v>
      </c>
      <c r="Z5976" s="19" t="str">
        <f>HYPERLINK("https://ssdweb.co/ssdweb/hd/Vision360.html?d=927152965&amp;zoomslide=1&amp;z=1927152965&amp;ISCONFIRM=0","VIDEO")</f>
        <v>VIDEO</v>
      </c>
      <c r="AA5976" s="19" t="str">
        <f>HYPERLINK("https://ssdweb.co/ssdweb/CERTH/674532533.pdf","CERTI")</f>
        <v>CERTI</v>
      </c>
    </row>
    <row r="5977" spans="1:27" ht="15" x14ac:dyDescent="0.25">
      <c r="A5977" s="2">
        <v>5972</v>
      </c>
      <c r="B5977" s="39">
        <v>941060570</v>
      </c>
      <c r="C5977" s="28" t="str">
        <f>HYPERLINK("https://pld.live/RapDetail.aspx?STONELIST=941060570","DNA")</f>
        <v>DNA</v>
      </c>
      <c r="D5977" s="18" t="s">
        <v>3054</v>
      </c>
      <c r="E5977" s="18" t="s">
        <v>2186</v>
      </c>
      <c r="F5977" s="2" t="s">
        <v>7987</v>
      </c>
      <c r="G5977" s="2" t="s">
        <v>5134</v>
      </c>
      <c r="H5977" s="14">
        <v>1.02</v>
      </c>
      <c r="I5977" s="2" t="s">
        <v>4699</v>
      </c>
      <c r="J5977" s="2" t="s">
        <v>3942</v>
      </c>
      <c r="K5977" s="2" t="s">
        <v>1452</v>
      </c>
      <c r="L5977" s="2" t="s">
        <v>5221</v>
      </c>
      <c r="M5977" s="2" t="s">
        <v>5221</v>
      </c>
      <c r="N5977" s="2" t="s">
        <v>2317</v>
      </c>
      <c r="O5977" s="14">
        <v>6400</v>
      </c>
      <c r="P5977" s="14">
        <v>97.91</v>
      </c>
      <c r="Q5977" s="14">
        <v>133.76</v>
      </c>
      <c r="R5977" s="14">
        <v>136.44</v>
      </c>
      <c r="S5977" s="2" t="s">
        <v>3767</v>
      </c>
      <c r="T5977" s="2">
        <v>0.92</v>
      </c>
      <c r="U5977" s="2">
        <v>55</v>
      </c>
      <c r="V5977" s="2">
        <v>62</v>
      </c>
      <c r="W5977" s="2" t="s">
        <v>7862</v>
      </c>
      <c r="X5977" s="2" t="s">
        <v>3061</v>
      </c>
      <c r="Y5977" s="2">
        <v>6528</v>
      </c>
      <c r="Z5977" s="19" t="str">
        <f>HYPERLINK("https://ssdweb.co/ssdweb/hd/Vision360.html?d=941060570&amp;zoomslide=1&amp;z=1941060570&amp;ISCONFIRM=0","VIDEO")</f>
        <v>VIDEO</v>
      </c>
      <c r="AA5977" s="19" t="str">
        <f>HYPERLINK("https://ssdweb.co/ssdweb/CERTH/678564520.pdf","CERTI")</f>
        <v>CERTI</v>
      </c>
    </row>
    <row r="5978" spans="1:27" ht="15" x14ac:dyDescent="0.25">
      <c r="A5978" s="2">
        <v>5973</v>
      </c>
      <c r="B5978" s="39">
        <v>925961377</v>
      </c>
      <c r="C5978" s="28" t="str">
        <f>HYPERLINK("https://pld.live/RapDetail.aspx?STONELIST=925961377","DNA")</f>
        <v>DNA</v>
      </c>
      <c r="D5978" s="18" t="s">
        <v>3054</v>
      </c>
      <c r="E5978" s="18" t="s">
        <v>5128</v>
      </c>
      <c r="F5978" s="2" t="s">
        <v>7987</v>
      </c>
      <c r="G5978" s="2" t="s">
        <v>5134</v>
      </c>
      <c r="H5978" s="14">
        <v>1.01</v>
      </c>
      <c r="I5978" s="2" t="s">
        <v>267</v>
      </c>
      <c r="J5978" s="2" t="s">
        <v>7032</v>
      </c>
      <c r="K5978" s="2" t="s">
        <v>1452</v>
      </c>
      <c r="L5978" s="2" t="s">
        <v>5221</v>
      </c>
      <c r="M5978" s="2" t="s">
        <v>5221</v>
      </c>
      <c r="N5978" s="2" t="s">
        <v>2317</v>
      </c>
      <c r="O5978" s="14">
        <v>9300</v>
      </c>
      <c r="P5978" s="14">
        <v>97.26</v>
      </c>
      <c r="Q5978" s="14">
        <v>254.82</v>
      </c>
      <c r="R5978" s="14">
        <v>257.37</v>
      </c>
      <c r="S5978" s="2" t="s">
        <v>7952</v>
      </c>
      <c r="T5978" s="2">
        <v>0.87</v>
      </c>
      <c r="U5978" s="2">
        <v>58.1</v>
      </c>
      <c r="V5978" s="2">
        <v>63</v>
      </c>
      <c r="W5978" s="2" t="s">
        <v>7862</v>
      </c>
      <c r="X5978" s="2" t="s">
        <v>3061</v>
      </c>
      <c r="Y5978" s="2">
        <v>9393</v>
      </c>
      <c r="Z5978" s="19" t="str">
        <f>HYPERLINK("https://ssdweb.co/ssdweb/hd/Vision360.html?d=925961377&amp;zoomslide=1&amp;z=1925961377&amp;ISCONFIRM=0","VIDEO")</f>
        <v>VIDEO</v>
      </c>
      <c r="AA5978" s="19" t="str">
        <f>HYPERLINK("https://ssdweb.co/ssdweb/CERTH/631404560.pdf","CERTI")</f>
        <v>CERTI</v>
      </c>
    </row>
    <row r="5979" spans="1:27" ht="15" x14ac:dyDescent="0.25">
      <c r="A5979" s="2">
        <v>5974</v>
      </c>
      <c r="B5979" s="39">
        <v>941071394</v>
      </c>
      <c r="C5979" s="28" t="str">
        <f>HYPERLINK("https://pld.live/RapDetail.aspx?STONELIST=941071394","DNA")</f>
        <v>DNA</v>
      </c>
      <c r="D5979" s="18" t="s">
        <v>3054</v>
      </c>
      <c r="E5979" s="18" t="s">
        <v>5128</v>
      </c>
      <c r="F5979" s="2" t="s">
        <v>7987</v>
      </c>
      <c r="G5979" s="2" t="s">
        <v>5134</v>
      </c>
      <c r="H5979" s="14">
        <v>1.01</v>
      </c>
      <c r="I5979" s="2" t="s">
        <v>267</v>
      </c>
      <c r="J5979" s="2" t="s">
        <v>7032</v>
      </c>
      <c r="K5979" s="2" t="s">
        <v>1452</v>
      </c>
      <c r="L5979" s="2" t="s">
        <v>5221</v>
      </c>
      <c r="M5979" s="2" t="s">
        <v>5221</v>
      </c>
      <c r="N5979" s="2" t="s">
        <v>2317</v>
      </c>
      <c r="O5979" s="14">
        <v>9300</v>
      </c>
      <c r="P5979" s="14">
        <v>97.26</v>
      </c>
      <c r="Q5979" s="14">
        <v>254.82</v>
      </c>
      <c r="R5979" s="14">
        <v>257.37</v>
      </c>
      <c r="S5979" s="2" t="s">
        <v>8065</v>
      </c>
      <c r="T5979" s="2">
        <v>0.89</v>
      </c>
      <c r="U5979" s="2">
        <v>60</v>
      </c>
      <c r="V5979" s="2">
        <v>60</v>
      </c>
      <c r="W5979" s="2" t="s">
        <v>7862</v>
      </c>
      <c r="X5979" s="2" t="s">
        <v>3061</v>
      </c>
      <c r="Y5979" s="2">
        <v>9393</v>
      </c>
      <c r="Z5979" s="19" t="str">
        <f>HYPERLINK("https://ssdweb.co/ssdweb/hd/Vision360.html?d=941071394&amp;zoomslide=1&amp;z=1941071394&amp;ISCONFIRM=0","VIDEO")</f>
        <v>VIDEO</v>
      </c>
      <c r="AA5979" s="19" t="str">
        <f>HYPERLINK("https://ssdweb.co/ssdweb/CERTH/680504962.pdf","CERTI")</f>
        <v>CERTI</v>
      </c>
    </row>
    <row r="5980" spans="1:27" ht="15" x14ac:dyDescent="0.25">
      <c r="A5980" s="2">
        <v>5975</v>
      </c>
      <c r="B5980" s="39">
        <v>941071380</v>
      </c>
      <c r="C5980" s="28" t="str">
        <f>HYPERLINK("https://pld.live/RapDetail.aspx?STONELIST=941071380","DNA")</f>
        <v>DNA</v>
      </c>
      <c r="D5980" s="18" t="s">
        <v>3054</v>
      </c>
      <c r="E5980" s="18" t="s">
        <v>5128</v>
      </c>
      <c r="F5980" s="2" t="s">
        <v>7987</v>
      </c>
      <c r="G5980" s="2" t="s">
        <v>5134</v>
      </c>
      <c r="H5980" s="14">
        <v>1.01</v>
      </c>
      <c r="I5980" s="2" t="s">
        <v>267</v>
      </c>
      <c r="J5980" s="2" t="s">
        <v>7032</v>
      </c>
      <c r="K5980" s="2" t="s">
        <v>1452</v>
      </c>
      <c r="L5980" s="2" t="s">
        <v>5221</v>
      </c>
      <c r="M5980" s="2" t="s">
        <v>5221</v>
      </c>
      <c r="N5980" s="2" t="s">
        <v>2317</v>
      </c>
      <c r="O5980" s="14">
        <v>9300</v>
      </c>
      <c r="P5980" s="14">
        <v>97.26</v>
      </c>
      <c r="Q5980" s="14">
        <v>254.82</v>
      </c>
      <c r="R5980" s="14">
        <v>257.37</v>
      </c>
      <c r="S5980" s="2" t="s">
        <v>1438</v>
      </c>
      <c r="T5980" s="2">
        <v>0.87</v>
      </c>
      <c r="U5980" s="2">
        <v>56.7</v>
      </c>
      <c r="V5980" s="2">
        <v>61</v>
      </c>
      <c r="W5980" s="2" t="s">
        <v>7862</v>
      </c>
      <c r="X5980" s="2" t="s">
        <v>3061</v>
      </c>
      <c r="Y5980" s="2">
        <v>9393</v>
      </c>
      <c r="Z5980" s="19" t="str">
        <f>HYPERLINK("https://ssdweb.co/ssdweb/hd/Vision360.html?d=941071380&amp;zoomslide=1&amp;z=1941071380&amp;ISCONFIRM=0","VIDEO")</f>
        <v>VIDEO</v>
      </c>
      <c r="AA5980" s="19" t="str">
        <f>HYPERLINK("https://ssdweb.co/ssdweb/CERTH/678564575.pdf","CERTI")</f>
        <v>CERTI</v>
      </c>
    </row>
    <row r="5981" spans="1:27" ht="15" x14ac:dyDescent="0.25">
      <c r="A5981" s="2">
        <v>5976</v>
      </c>
      <c r="B5981" s="39">
        <v>941140862</v>
      </c>
      <c r="C5981" s="28" t="str">
        <f>HYPERLINK("https://pld.live/RapDetail.aspx?STONELIST=941140862","DNA")</f>
        <v>DNA</v>
      </c>
      <c r="D5981" s="18" t="s">
        <v>3054</v>
      </c>
      <c r="E5981" s="18" t="s">
        <v>5128</v>
      </c>
      <c r="F5981" s="2" t="s">
        <v>7987</v>
      </c>
      <c r="G5981" s="2" t="s">
        <v>5134</v>
      </c>
      <c r="H5981" s="14">
        <v>1.01</v>
      </c>
      <c r="I5981" s="2" t="s">
        <v>267</v>
      </c>
      <c r="J5981" s="2" t="s">
        <v>6555</v>
      </c>
      <c r="K5981" s="2" t="s">
        <v>1452</v>
      </c>
      <c r="L5981" s="2" t="s">
        <v>5221</v>
      </c>
      <c r="M5981" s="2" t="s">
        <v>5221</v>
      </c>
      <c r="N5981" s="2" t="s">
        <v>2317</v>
      </c>
      <c r="O5981" s="14">
        <v>8200</v>
      </c>
      <c r="P5981" s="14">
        <v>98.05</v>
      </c>
      <c r="Q5981" s="14">
        <v>159.9</v>
      </c>
      <c r="R5981" s="14">
        <v>161.5</v>
      </c>
      <c r="S5981" s="2" t="s">
        <v>6725</v>
      </c>
      <c r="T5981" s="2">
        <v>0.87</v>
      </c>
      <c r="U5981" s="2">
        <v>57.8</v>
      </c>
      <c r="V5981" s="2">
        <v>62</v>
      </c>
      <c r="W5981" s="2" t="s">
        <v>7862</v>
      </c>
      <c r="X5981" s="2" t="s">
        <v>3061</v>
      </c>
      <c r="Y5981" s="2">
        <v>8282</v>
      </c>
      <c r="Z5981" s="19" t="str">
        <f>HYPERLINK("https://ssdweb.co/ssdweb/hd/Vision360.html?d=941140862&amp;zoomslide=1&amp;z=1941140862&amp;ISCONFIRM=0","VIDEO")</f>
        <v>VIDEO</v>
      </c>
      <c r="AA5981" s="19" t="str">
        <f>HYPERLINK("https://ssdweb.co/ssdweb/CERTH/678564572.pdf","CERTI")</f>
        <v>CERTI</v>
      </c>
    </row>
    <row r="5982" spans="1:27" ht="15" x14ac:dyDescent="0.25">
      <c r="A5982" s="2">
        <v>5977</v>
      </c>
      <c r="B5982" s="39">
        <v>941021763</v>
      </c>
      <c r="C5982" s="28" t="str">
        <f>HYPERLINK("https://pld.live/RapDetail.aspx?STONELIST=941021763","DNA")</f>
        <v>DNA</v>
      </c>
      <c r="D5982" s="18" t="s">
        <v>3054</v>
      </c>
      <c r="E5982" s="18" t="s">
        <v>5128</v>
      </c>
      <c r="F5982" s="2" t="s">
        <v>7987</v>
      </c>
      <c r="G5982" s="2" t="s">
        <v>5134</v>
      </c>
      <c r="H5982" s="14">
        <v>1.01</v>
      </c>
      <c r="I5982" s="2" t="s">
        <v>267</v>
      </c>
      <c r="J5982" s="2" t="s">
        <v>3942</v>
      </c>
      <c r="K5982" s="2" t="s">
        <v>1452</v>
      </c>
      <c r="L5982" s="2" t="s">
        <v>5221</v>
      </c>
      <c r="M5982" s="2" t="s">
        <v>5221</v>
      </c>
      <c r="N5982" s="2" t="s">
        <v>2317</v>
      </c>
      <c r="O5982" s="14">
        <v>7600</v>
      </c>
      <c r="P5982" s="14">
        <v>98.16</v>
      </c>
      <c r="Q5982" s="14">
        <v>139.84</v>
      </c>
      <c r="R5982" s="14">
        <v>141.24</v>
      </c>
      <c r="S5982" s="2" t="s">
        <v>224</v>
      </c>
      <c r="T5982" s="2">
        <v>0.9</v>
      </c>
      <c r="U5982" s="2">
        <v>55.5</v>
      </c>
      <c r="V5982" s="2">
        <v>64</v>
      </c>
      <c r="W5982" s="2" t="s">
        <v>7862</v>
      </c>
      <c r="X5982" s="2" t="s">
        <v>3061</v>
      </c>
      <c r="Y5982" s="2">
        <v>7676</v>
      </c>
      <c r="Z5982" s="19" t="str">
        <f>HYPERLINK("https://ssdweb.co/ssdweb/hd/Vision360.html?d=941021763&amp;zoomslide=1&amp;z=1941021763&amp;ISCONFIRM=0","VIDEO")</f>
        <v>VIDEO</v>
      </c>
      <c r="AA5982" s="19" t="str">
        <f>HYPERLINK("https://ssdweb.co/ssdweb/CERTH/671477230.pdf","CERTI")</f>
        <v>CERTI</v>
      </c>
    </row>
    <row r="5983" spans="1:27" ht="15" x14ac:dyDescent="0.25">
      <c r="A5983" s="2">
        <v>5978</v>
      </c>
      <c r="B5983" s="39">
        <v>926831167</v>
      </c>
      <c r="C5983" s="28" t="str">
        <f>HYPERLINK("https://pld.live/RapDetail.aspx?STONELIST=926831167","DNA")</f>
        <v>DNA</v>
      </c>
      <c r="D5983" s="18" t="s">
        <v>3054</v>
      </c>
      <c r="E5983" s="18" t="s">
        <v>5128</v>
      </c>
      <c r="F5983" s="2" t="s">
        <v>5597</v>
      </c>
      <c r="G5983" s="2" t="s">
        <v>5134</v>
      </c>
      <c r="H5983" s="14">
        <v>1.01</v>
      </c>
      <c r="I5983" s="2" t="s">
        <v>267</v>
      </c>
      <c r="J5983" s="2" t="s">
        <v>13</v>
      </c>
      <c r="K5983" s="2" t="s">
        <v>1452</v>
      </c>
      <c r="L5983" s="2" t="s">
        <v>5221</v>
      </c>
      <c r="M5983" s="2" t="s">
        <v>5221</v>
      </c>
      <c r="N5983" s="2" t="s">
        <v>2317</v>
      </c>
      <c r="O5983" s="14">
        <v>6700</v>
      </c>
      <c r="P5983" s="14">
        <v>96.87</v>
      </c>
      <c r="Q5983" s="14">
        <v>209.71</v>
      </c>
      <c r="R5983" s="14">
        <v>211.81</v>
      </c>
      <c r="S5983" s="2" t="s">
        <v>1025</v>
      </c>
      <c r="T5983" s="2">
        <v>0.86</v>
      </c>
      <c r="U5983" s="2">
        <v>60.5</v>
      </c>
      <c r="V5983" s="2">
        <v>59</v>
      </c>
      <c r="W5983" s="2" t="s">
        <v>7862</v>
      </c>
      <c r="X5983" s="2" t="s">
        <v>3061</v>
      </c>
      <c r="Y5983" s="2">
        <v>6767</v>
      </c>
      <c r="Z5983" s="19" t="str">
        <f>HYPERLINK("https://ssdweb.co/ssdweb/hd/Vision360.html?d=926831167&amp;zoomslide=1&amp;z=1926831167&amp;ISCONFIRM=0","VIDEO")</f>
        <v>VIDEO</v>
      </c>
      <c r="AA5983" s="19" t="str">
        <f>HYPERLINK("https://ssdweb.co/ssdweb/CERTH/2504655700.pdf","CERTI")</f>
        <v>CERTI</v>
      </c>
    </row>
    <row r="5984" spans="1:27" ht="15" x14ac:dyDescent="0.25">
      <c r="A5984" s="2">
        <v>5979</v>
      </c>
      <c r="B5984" s="39">
        <v>926750975</v>
      </c>
      <c r="C5984" s="28" t="str">
        <f>HYPERLINK("https://pld.live/RapDetail.aspx?STONELIST=926750975","DNA")</f>
        <v>DNA</v>
      </c>
      <c r="D5984" s="18" t="s">
        <v>3054</v>
      </c>
      <c r="E5984" s="18" t="s">
        <v>5128</v>
      </c>
      <c r="F5984" s="2" t="s">
        <v>5597</v>
      </c>
      <c r="G5984" s="2" t="s">
        <v>5134</v>
      </c>
      <c r="H5984" s="14">
        <v>1.01</v>
      </c>
      <c r="I5984" s="2" t="s">
        <v>267</v>
      </c>
      <c r="J5984" s="2" t="s">
        <v>5144</v>
      </c>
      <c r="K5984" s="2" t="s">
        <v>1452</v>
      </c>
      <c r="L5984" s="2" t="s">
        <v>5221</v>
      </c>
      <c r="M5984" s="2" t="s">
        <v>5221</v>
      </c>
      <c r="N5984" s="2" t="s">
        <v>2317</v>
      </c>
      <c r="O5984" s="14">
        <v>5700</v>
      </c>
      <c r="P5984" s="14">
        <v>96.4</v>
      </c>
      <c r="Q5984" s="14">
        <v>205.2</v>
      </c>
      <c r="R5984" s="14">
        <v>207.25</v>
      </c>
      <c r="S5984" s="2" t="s">
        <v>3003</v>
      </c>
      <c r="T5984" s="2">
        <v>0.86</v>
      </c>
      <c r="U5984" s="2">
        <v>58.6</v>
      </c>
      <c r="V5984" s="2">
        <v>61</v>
      </c>
      <c r="W5984" s="2" t="s">
        <v>7862</v>
      </c>
      <c r="X5984" s="2" t="s">
        <v>3061</v>
      </c>
      <c r="Y5984" s="2">
        <v>5757</v>
      </c>
      <c r="Z5984" s="19" t="str">
        <f>HYPERLINK("https://ssdweb.co/ssdweb/hd/Vision360.html?d=926750975&amp;zoomslide=1&amp;z=1926750975&amp;ISCONFIRM=0","VIDEO")</f>
        <v>VIDEO</v>
      </c>
      <c r="AA5984" s="19" t="str">
        <f>HYPERLINK("https://ssdweb.co/ssdweb/CERTH/6502472201.pdf","CERTI")</f>
        <v>CERTI</v>
      </c>
    </row>
    <row r="5985" spans="1:27" ht="15" x14ac:dyDescent="0.25">
      <c r="A5985" s="2">
        <v>5980</v>
      </c>
      <c r="B5985" s="39">
        <v>926270894</v>
      </c>
      <c r="C5985" s="28" t="str">
        <f>HYPERLINK("https://pld.live/RapDetail.aspx?STONELIST=926270894","DNA")</f>
        <v>DNA</v>
      </c>
      <c r="D5985" s="18" t="s">
        <v>3054</v>
      </c>
      <c r="E5985" s="18" t="s">
        <v>5128</v>
      </c>
      <c r="F5985" s="2" t="s">
        <v>7987</v>
      </c>
      <c r="G5985" s="2" t="s">
        <v>5134</v>
      </c>
      <c r="H5985" s="14">
        <v>1.01</v>
      </c>
      <c r="I5985" s="2" t="s">
        <v>4761</v>
      </c>
      <c r="J5985" s="2" t="s">
        <v>7032</v>
      </c>
      <c r="K5985" s="2" t="s">
        <v>1452</v>
      </c>
      <c r="L5985" s="2" t="s">
        <v>5221</v>
      </c>
      <c r="M5985" s="2" t="s">
        <v>5221</v>
      </c>
      <c r="N5985" s="2" t="s">
        <v>2317</v>
      </c>
      <c r="O5985" s="14">
        <v>8200</v>
      </c>
      <c r="P5985" s="14">
        <v>97.07</v>
      </c>
      <c r="Q5985" s="14">
        <v>240.26</v>
      </c>
      <c r="R5985" s="14">
        <v>242.66</v>
      </c>
      <c r="S5985" s="2" t="s">
        <v>5029</v>
      </c>
      <c r="T5985" s="2">
        <v>0.91</v>
      </c>
      <c r="U5985" s="2">
        <v>56.2</v>
      </c>
      <c r="V5985" s="2">
        <v>60</v>
      </c>
      <c r="W5985" s="2" t="s">
        <v>7862</v>
      </c>
      <c r="X5985" s="2" t="s">
        <v>3061</v>
      </c>
      <c r="Y5985" s="2">
        <v>8282</v>
      </c>
      <c r="Z5985" s="19" t="str">
        <f>HYPERLINK("https://ssdweb.co/ssdweb/hd/Vision360.html?d=926270894&amp;zoomslide=1&amp;z=1926270894&amp;ISCONFIRM=0","VIDEO")</f>
        <v>VIDEO</v>
      </c>
      <c r="AA5985" s="19" t="str">
        <f>HYPERLINK("https://ssdweb.co/ssdweb/CERTH/640419172.pdf","CERTI")</f>
        <v>CERTI</v>
      </c>
    </row>
    <row r="5986" spans="1:27" ht="15" x14ac:dyDescent="0.25">
      <c r="A5986" s="2">
        <v>5981</v>
      </c>
      <c r="B5986" s="39">
        <v>926921492</v>
      </c>
      <c r="C5986" s="28" t="str">
        <f>HYPERLINK("https://pld.live/RapDetail.aspx?STONELIST=926921492","DNA")</f>
        <v>DNA</v>
      </c>
      <c r="D5986" s="18" t="s">
        <v>3054</v>
      </c>
      <c r="E5986" s="18" t="s">
        <v>2186</v>
      </c>
      <c r="F5986" s="2" t="s">
        <v>7987</v>
      </c>
      <c r="G5986" s="2" t="s">
        <v>5134</v>
      </c>
      <c r="H5986" s="14">
        <v>1</v>
      </c>
      <c r="I5986" s="2" t="s">
        <v>267</v>
      </c>
      <c r="J5986" s="2" t="s">
        <v>3942</v>
      </c>
      <c r="K5986" s="2" t="s">
        <v>1452</v>
      </c>
      <c r="L5986" s="2" t="s">
        <v>5221</v>
      </c>
      <c r="M5986" s="2" t="s">
        <v>5221</v>
      </c>
      <c r="N5986" s="2" t="s">
        <v>2317</v>
      </c>
      <c r="O5986" s="14">
        <v>7600</v>
      </c>
      <c r="P5986" s="14">
        <v>98.18</v>
      </c>
      <c r="Q5986" s="14">
        <v>138.32</v>
      </c>
      <c r="R5986" s="14">
        <v>138.32</v>
      </c>
      <c r="S5986" s="2" t="s">
        <v>2364</v>
      </c>
      <c r="T5986" s="2">
        <v>0.89</v>
      </c>
      <c r="U5986" s="2">
        <v>60.1</v>
      </c>
      <c r="V5986" s="2">
        <v>61</v>
      </c>
      <c r="W5986" s="2" t="s">
        <v>7862</v>
      </c>
      <c r="X5986" s="2" t="s">
        <v>3061</v>
      </c>
      <c r="Y5986" s="2">
        <v>7600</v>
      </c>
      <c r="Z5986" s="19" t="str">
        <f>HYPERLINK("https://ssdweb.co/ssdweb/hd/Vision360.html?d=926921492&amp;zoomslide=1&amp;z=1926921492&amp;ISCONFIRM=0","VIDEO")</f>
        <v>VIDEO</v>
      </c>
      <c r="AA5986" s="19" t="str">
        <f>HYPERLINK("https://ssdweb.co/ssdweb/CERTH/668446630.pdf","CERTI")</f>
        <v>CERTI</v>
      </c>
    </row>
    <row r="5987" spans="1:27" ht="15" x14ac:dyDescent="0.25">
      <c r="A5987" s="2">
        <v>5982</v>
      </c>
      <c r="B5987" s="39">
        <v>941040724</v>
      </c>
      <c r="C5987" s="28" t="str">
        <f>HYPERLINK("https://pld.live/RapDetail.aspx?STONELIST=941040724","DNA")</f>
        <v>DNA</v>
      </c>
      <c r="D5987" s="18" t="s">
        <v>3054</v>
      </c>
      <c r="E5987" s="18" t="s">
        <v>5128</v>
      </c>
      <c r="F5987" s="2" t="s">
        <v>7987</v>
      </c>
      <c r="G5987" s="2" t="s">
        <v>5134</v>
      </c>
      <c r="H5987" s="14">
        <v>1</v>
      </c>
      <c r="I5987" s="2" t="s">
        <v>267</v>
      </c>
      <c r="J5987" s="2" t="s">
        <v>3942</v>
      </c>
      <c r="K5987" s="2" t="s">
        <v>1452</v>
      </c>
      <c r="L5987" s="2" t="s">
        <v>5221</v>
      </c>
      <c r="M5987" s="2" t="s">
        <v>5221</v>
      </c>
      <c r="N5987" s="2" t="s">
        <v>2317</v>
      </c>
      <c r="O5987" s="14">
        <v>7600</v>
      </c>
      <c r="P5987" s="14">
        <v>98.16</v>
      </c>
      <c r="Q5987" s="14">
        <v>139.84</v>
      </c>
      <c r="R5987" s="14">
        <v>139.84</v>
      </c>
      <c r="S5987" s="2" t="s">
        <v>5467</v>
      </c>
      <c r="T5987" s="2">
        <v>0.85</v>
      </c>
      <c r="U5987" s="2">
        <v>60.8</v>
      </c>
      <c r="V5987" s="2">
        <v>58</v>
      </c>
      <c r="W5987" s="2" t="s">
        <v>7862</v>
      </c>
      <c r="X5987" s="2" t="s">
        <v>3061</v>
      </c>
      <c r="Y5987" s="2">
        <v>7600</v>
      </c>
      <c r="Z5987" s="19" t="str">
        <f>HYPERLINK("https://ssdweb.co/ssdweb/hd/Vision360.html?d=941040724&amp;zoomslide=1&amp;z=1941040724&amp;ISCONFIRM=0","VIDEO")</f>
        <v>VIDEO</v>
      </c>
      <c r="AA5987" s="19" t="str">
        <f>HYPERLINK("https://ssdweb.co/ssdweb/CERTH/675596750.pdf","CERTI")</f>
        <v>CERTI</v>
      </c>
    </row>
    <row r="5988" spans="1:27" ht="15" x14ac:dyDescent="0.25">
      <c r="A5988" s="2">
        <v>5983</v>
      </c>
      <c r="B5988" s="39">
        <v>926921489</v>
      </c>
      <c r="C5988" s="28" t="str">
        <f>HYPERLINK("https://pld.live/RapDetail.aspx?STONELIST=926921489","DNA")</f>
        <v>DNA</v>
      </c>
      <c r="D5988" s="18" t="s">
        <v>3054</v>
      </c>
      <c r="E5988" s="18" t="s">
        <v>2186</v>
      </c>
      <c r="F5988" s="2" t="s">
        <v>7987</v>
      </c>
      <c r="G5988" s="2" t="s">
        <v>5134</v>
      </c>
      <c r="H5988" s="14">
        <v>1</v>
      </c>
      <c r="I5988" s="2" t="s">
        <v>267</v>
      </c>
      <c r="J5988" s="2" t="s">
        <v>3942</v>
      </c>
      <c r="K5988" s="2" t="s">
        <v>1452</v>
      </c>
      <c r="L5988" s="2" t="s">
        <v>5221</v>
      </c>
      <c r="M5988" s="2" t="s">
        <v>5721</v>
      </c>
      <c r="N5988" s="2" t="s">
        <v>2317</v>
      </c>
      <c r="O5988" s="14">
        <v>7600</v>
      </c>
      <c r="P5988" s="14">
        <v>98.18</v>
      </c>
      <c r="Q5988" s="14">
        <v>138.32</v>
      </c>
      <c r="R5988" s="14">
        <v>138.32</v>
      </c>
      <c r="S5988" s="2" t="s">
        <v>4259</v>
      </c>
      <c r="T5988" s="2">
        <v>0.85</v>
      </c>
      <c r="U5988" s="2">
        <v>59.5</v>
      </c>
      <c r="V5988" s="2">
        <v>65</v>
      </c>
      <c r="W5988" s="2" t="s">
        <v>7862</v>
      </c>
      <c r="X5988" s="2" t="s">
        <v>3061</v>
      </c>
      <c r="Y5988" s="2">
        <v>7600</v>
      </c>
      <c r="Z5988" s="19" t="str">
        <f>HYPERLINK("https://ssdweb.co/ssdweb/hd/Vision360.html?d=926921489&amp;zoomslide=1&amp;z=1926921489&amp;ISCONFIRM=0","VIDEO")</f>
        <v>VIDEO</v>
      </c>
      <c r="AA5988" s="19" t="str">
        <f>HYPERLINK("https://ssdweb.co/ssdweb/CERTH/662473874.pdf","CERTI")</f>
        <v>CERTI</v>
      </c>
    </row>
    <row r="5989" spans="1:27" ht="15" x14ac:dyDescent="0.25">
      <c r="A5989" s="2">
        <v>5984</v>
      </c>
      <c r="B5989" s="39">
        <v>941071369</v>
      </c>
      <c r="C5989" s="28" t="str">
        <f>HYPERLINK("https://pld.live/RapDetail.aspx?STONELIST=941071369","DNA")</f>
        <v>DNA</v>
      </c>
      <c r="D5989" s="18" t="s">
        <v>3054</v>
      </c>
      <c r="E5989" s="18" t="s">
        <v>5128</v>
      </c>
      <c r="F5989" s="2" t="s">
        <v>7987</v>
      </c>
      <c r="G5989" s="2" t="s">
        <v>5134</v>
      </c>
      <c r="H5989" s="14">
        <v>1</v>
      </c>
      <c r="I5989" s="2" t="s">
        <v>267</v>
      </c>
      <c r="J5989" s="2" t="s">
        <v>3942</v>
      </c>
      <c r="K5989" s="2" t="s">
        <v>1452</v>
      </c>
      <c r="L5989" s="2" t="s">
        <v>5221</v>
      </c>
      <c r="M5989" s="2" t="s">
        <v>5721</v>
      </c>
      <c r="N5989" s="2" t="s">
        <v>2317</v>
      </c>
      <c r="O5989" s="14">
        <v>7600</v>
      </c>
      <c r="P5989" s="14">
        <v>98.18</v>
      </c>
      <c r="Q5989" s="14">
        <v>138.32</v>
      </c>
      <c r="R5989" s="14">
        <v>138.32</v>
      </c>
      <c r="S5989" s="2" t="s">
        <v>2126</v>
      </c>
      <c r="T5989" s="2">
        <v>0.91</v>
      </c>
      <c r="U5989" s="2">
        <v>56.1</v>
      </c>
      <c r="V5989" s="2">
        <v>61</v>
      </c>
      <c r="W5989" s="2" t="s">
        <v>7862</v>
      </c>
      <c r="X5989" s="2" t="s">
        <v>3061</v>
      </c>
      <c r="Y5989" s="2">
        <v>7600</v>
      </c>
      <c r="Z5989" s="19" t="str">
        <f>HYPERLINK("https://ssdweb.co/ssdweb/hd/Vision360.html?d=941071369&amp;zoomslide=1&amp;z=1941071369&amp;ISCONFIRM=0","VIDEO")</f>
        <v>VIDEO</v>
      </c>
      <c r="AA5989" s="19" t="str">
        <f>HYPERLINK("https://ssdweb.co/ssdweb/CERTH/677510566.pdf","CERTI")</f>
        <v>CERTI</v>
      </c>
    </row>
    <row r="5990" spans="1:27" ht="15" x14ac:dyDescent="0.25">
      <c r="A5990" s="2">
        <v>5985</v>
      </c>
      <c r="B5990" s="39">
        <v>927140419</v>
      </c>
      <c r="C5990" s="28" t="str">
        <f>HYPERLINK("https://pld.live/RapDetail.aspx?STONELIST=927140419","DNA")</f>
        <v>DNA</v>
      </c>
      <c r="D5990" s="18" t="s">
        <v>3054</v>
      </c>
      <c r="E5990" s="18" t="s">
        <v>2186</v>
      </c>
      <c r="F5990" s="2" t="s">
        <v>7987</v>
      </c>
      <c r="G5990" s="2" t="s">
        <v>5134</v>
      </c>
      <c r="H5990" s="14">
        <v>1</v>
      </c>
      <c r="I5990" s="2" t="s">
        <v>267</v>
      </c>
      <c r="J5990" s="2" t="s">
        <v>13</v>
      </c>
      <c r="K5990" s="2" t="s">
        <v>1452</v>
      </c>
      <c r="L5990" s="2" t="s">
        <v>5221</v>
      </c>
      <c r="M5990" s="2" t="s">
        <v>5221</v>
      </c>
      <c r="N5990" s="2" t="s">
        <v>2317</v>
      </c>
      <c r="O5990" s="14">
        <v>6700</v>
      </c>
      <c r="P5990" s="14">
        <v>97.99</v>
      </c>
      <c r="Q5990" s="14">
        <v>134.66999999999999</v>
      </c>
      <c r="R5990" s="14">
        <v>134.66999999999999</v>
      </c>
      <c r="S5990" s="2" t="s">
        <v>4174</v>
      </c>
      <c r="T5990" s="2">
        <v>0.89</v>
      </c>
      <c r="U5990" s="2">
        <v>59.3</v>
      </c>
      <c r="V5990" s="2">
        <v>63</v>
      </c>
      <c r="W5990" s="2" t="s">
        <v>7862</v>
      </c>
      <c r="X5990" s="2" t="s">
        <v>3061</v>
      </c>
      <c r="Y5990" s="2">
        <v>6700</v>
      </c>
      <c r="Z5990" s="19" t="str">
        <f>HYPERLINK("https://ssdweb.co/ssdweb/hd/Vision360.html?d=927140419&amp;zoomslide=1&amp;z=1927140419&amp;ISCONFIRM=0","VIDEO")</f>
        <v>VIDEO</v>
      </c>
      <c r="AA5990" s="19" t="str">
        <f>HYPERLINK("https://ssdweb.co/ssdweb/CERTH/671477226.pdf","CERTI")</f>
        <v>CERTI</v>
      </c>
    </row>
    <row r="5991" spans="1:27" ht="15" x14ac:dyDescent="0.25">
      <c r="A5991" s="2">
        <v>5986</v>
      </c>
      <c r="B5991" s="39">
        <v>941021793</v>
      </c>
      <c r="C5991" s="28" t="str">
        <f>HYPERLINK("https://pld.live/RapDetail.aspx?STONELIST=941021793","DNA")</f>
        <v>DNA</v>
      </c>
      <c r="D5991" s="18" t="s">
        <v>3054</v>
      </c>
      <c r="E5991" s="18" t="s">
        <v>5128</v>
      </c>
      <c r="F5991" s="2" t="s">
        <v>7987</v>
      </c>
      <c r="G5991" s="2" t="s">
        <v>5134</v>
      </c>
      <c r="H5991" s="14">
        <v>1</v>
      </c>
      <c r="I5991" s="2" t="s">
        <v>267</v>
      </c>
      <c r="J5991" s="2" t="s">
        <v>13</v>
      </c>
      <c r="K5991" s="2" t="s">
        <v>1452</v>
      </c>
      <c r="L5991" s="2" t="s">
        <v>5221</v>
      </c>
      <c r="M5991" s="2" t="s">
        <v>5221</v>
      </c>
      <c r="N5991" s="2" t="s">
        <v>2317</v>
      </c>
      <c r="O5991" s="14">
        <v>6700</v>
      </c>
      <c r="P5991" s="14">
        <v>97.99</v>
      </c>
      <c r="Q5991" s="14">
        <v>134.66999999999999</v>
      </c>
      <c r="R5991" s="14">
        <v>134.66999999999999</v>
      </c>
      <c r="S5991" s="2" t="s">
        <v>6649</v>
      </c>
      <c r="T5991" s="2">
        <v>0.88</v>
      </c>
      <c r="U5991" s="2">
        <v>59.2</v>
      </c>
      <c r="V5991" s="2">
        <v>59</v>
      </c>
      <c r="W5991" s="2" t="s">
        <v>7862</v>
      </c>
      <c r="X5991" s="2" t="s">
        <v>3061</v>
      </c>
      <c r="Y5991" s="2">
        <v>6700</v>
      </c>
      <c r="Z5991" s="19" t="str">
        <f>HYPERLINK("https://ssdweb.co/ssdweb/hd/Vision360.html?d=941021793&amp;zoomslide=1&amp;z=1941021793&amp;ISCONFIRM=0","VIDEO")</f>
        <v>VIDEO</v>
      </c>
      <c r="AA5991" s="19" t="str">
        <f>HYPERLINK("https://ssdweb.co/ssdweb/CERTH/674504076.pdf","CERTI")</f>
        <v>CERTI</v>
      </c>
    </row>
    <row r="5992" spans="1:27" ht="15" x14ac:dyDescent="0.25">
      <c r="A5992" s="2">
        <v>5987</v>
      </c>
      <c r="B5992" s="39">
        <v>941071395</v>
      </c>
      <c r="C5992" s="28" t="str">
        <f>HYPERLINK("https://pld.live/RapDetail.aspx?STONELIST=941071395","DNA")</f>
        <v>DNA</v>
      </c>
      <c r="D5992" s="18" t="s">
        <v>3054</v>
      </c>
      <c r="E5992" s="18" t="s">
        <v>5128</v>
      </c>
      <c r="F5992" s="2" t="s">
        <v>7987</v>
      </c>
      <c r="G5992" s="2" t="s">
        <v>5134</v>
      </c>
      <c r="H5992" s="14">
        <v>1</v>
      </c>
      <c r="I5992" s="2" t="s">
        <v>267</v>
      </c>
      <c r="J5992" s="2" t="s">
        <v>13</v>
      </c>
      <c r="K5992" s="2" t="s">
        <v>1452</v>
      </c>
      <c r="L5992" s="2" t="s">
        <v>5221</v>
      </c>
      <c r="M5992" s="2" t="s">
        <v>5221</v>
      </c>
      <c r="N5992" s="2" t="s">
        <v>2317</v>
      </c>
      <c r="O5992" s="14">
        <v>6700</v>
      </c>
      <c r="P5992" s="14">
        <v>97.99</v>
      </c>
      <c r="Q5992" s="14">
        <v>134.66999999999999</v>
      </c>
      <c r="R5992" s="14">
        <v>134.66999999999999</v>
      </c>
      <c r="S5992" s="2" t="s">
        <v>4861</v>
      </c>
      <c r="T5992" s="2">
        <v>0.85</v>
      </c>
      <c r="U5992" s="2">
        <v>58.9</v>
      </c>
      <c r="V5992" s="2">
        <v>64</v>
      </c>
      <c r="W5992" s="2" t="s">
        <v>7862</v>
      </c>
      <c r="X5992" s="2" t="s">
        <v>3061</v>
      </c>
      <c r="Y5992" s="2">
        <v>6700</v>
      </c>
      <c r="Z5992" s="19" t="str">
        <f>HYPERLINK("https://ssdweb.co/ssdweb/hd/Vision360.html?d=941071395&amp;zoomslide=1&amp;z=1941071395&amp;ISCONFIRM=0","VIDEO")</f>
        <v>VIDEO</v>
      </c>
      <c r="AA5992" s="19" t="str">
        <f>HYPERLINK("https://ssdweb.co/ssdweb/CERTH/680504959.pdf","CERTI")</f>
        <v>CERTI</v>
      </c>
    </row>
    <row r="5993" spans="1:27" ht="15" x14ac:dyDescent="0.25">
      <c r="A5993" s="2">
        <v>5988</v>
      </c>
      <c r="B5993" s="39">
        <v>927152985</v>
      </c>
      <c r="C5993" s="28" t="str">
        <f>HYPERLINK("https://pld.live/RapDetail.aspx?STONELIST=927152985","DNA")</f>
        <v>DNA</v>
      </c>
      <c r="D5993" s="18" t="s">
        <v>3054</v>
      </c>
      <c r="E5993" s="18" t="s">
        <v>5128</v>
      </c>
      <c r="F5993" s="2" t="s">
        <v>7987</v>
      </c>
      <c r="G5993" s="2" t="s">
        <v>5134</v>
      </c>
      <c r="H5993" s="14">
        <v>1</v>
      </c>
      <c r="I5993" s="2" t="s">
        <v>267</v>
      </c>
      <c r="J5993" s="2" t="s">
        <v>13</v>
      </c>
      <c r="K5993" s="2" t="s">
        <v>1452</v>
      </c>
      <c r="L5993" s="2" t="s">
        <v>5221</v>
      </c>
      <c r="M5993" s="2" t="s">
        <v>5221</v>
      </c>
      <c r="N5993" s="2" t="s">
        <v>2317</v>
      </c>
      <c r="O5993" s="14">
        <v>6700</v>
      </c>
      <c r="P5993" s="14">
        <v>97.99</v>
      </c>
      <c r="Q5993" s="14">
        <v>134.66999999999999</v>
      </c>
      <c r="R5993" s="14">
        <v>134.66999999999999</v>
      </c>
      <c r="S5993" s="2" t="s">
        <v>6383</v>
      </c>
      <c r="T5993" s="2">
        <v>0.92</v>
      </c>
      <c r="U5993" s="2">
        <v>59</v>
      </c>
      <c r="V5993" s="2">
        <v>60</v>
      </c>
      <c r="W5993" s="2" t="s">
        <v>7862</v>
      </c>
      <c r="X5993" s="2" t="s">
        <v>3061</v>
      </c>
      <c r="Y5993" s="2">
        <v>6700</v>
      </c>
      <c r="Z5993" s="19" t="str">
        <f>HYPERLINK("https://ssdweb.co/ssdweb/hd/Vision360.html?d=927152985&amp;zoomslide=1&amp;z=1927152985&amp;ISCONFIRM=0","VIDEO")</f>
        <v>VIDEO</v>
      </c>
      <c r="AA5993" s="19" t="str">
        <f>HYPERLINK("https://ssdweb.co/ssdweb/CERTH/675596762.pdf","CERTI")</f>
        <v>CERTI</v>
      </c>
    </row>
    <row r="5994" spans="1:27" ht="15" x14ac:dyDescent="0.25">
      <c r="A5994" s="2">
        <v>5989</v>
      </c>
      <c r="B5994" s="39">
        <v>926741038</v>
      </c>
      <c r="C5994" s="28" t="str">
        <f>HYPERLINK("https://pld.live/RapDetail.aspx?STONELIST=926741038","DNA")</f>
        <v>DNA</v>
      </c>
      <c r="D5994" s="18" t="s">
        <v>3054</v>
      </c>
      <c r="E5994" s="18" t="s">
        <v>5128</v>
      </c>
      <c r="F5994" s="2" t="s">
        <v>7987</v>
      </c>
      <c r="G5994" s="2" t="s">
        <v>5134</v>
      </c>
      <c r="H5994" s="14">
        <v>1</v>
      </c>
      <c r="I5994" s="2" t="s">
        <v>267</v>
      </c>
      <c r="J5994" s="2" t="s">
        <v>444</v>
      </c>
      <c r="K5994" s="2" t="s">
        <v>1452</v>
      </c>
      <c r="L5994" s="2" t="s">
        <v>5221</v>
      </c>
      <c r="M5994" s="2" t="s">
        <v>5221</v>
      </c>
      <c r="N5994" s="2" t="s">
        <v>2317</v>
      </c>
      <c r="O5994" s="14">
        <v>4600</v>
      </c>
      <c r="P5994" s="14">
        <v>97.35</v>
      </c>
      <c r="Q5994" s="14">
        <v>121.9</v>
      </c>
      <c r="R5994" s="14">
        <v>121.9</v>
      </c>
      <c r="S5994" s="2" t="s">
        <v>1498</v>
      </c>
      <c r="T5994" s="2">
        <v>0.84</v>
      </c>
      <c r="U5994" s="2">
        <v>59.5</v>
      </c>
      <c r="V5994" s="2">
        <v>60</v>
      </c>
      <c r="W5994" s="2" t="s">
        <v>7862</v>
      </c>
      <c r="X5994" s="2" t="s">
        <v>3061</v>
      </c>
      <c r="Y5994" s="2">
        <v>4600</v>
      </c>
      <c r="Z5994" s="19" t="str">
        <f>HYPERLINK("https://ssdweb.co/ssdweb/hd/Vision360.html?d=926741038&amp;zoomslide=1&amp;z=1926741038&amp;ISCONFIRM=0","VIDEO")</f>
        <v>VIDEO</v>
      </c>
      <c r="AA5994" s="19" t="str">
        <f>HYPERLINK("https://ssdweb.co/ssdweb/CERTH/652442333.pdf","CERTI")</f>
        <v>CERTI</v>
      </c>
    </row>
    <row r="5995" spans="1:27" ht="15" x14ac:dyDescent="0.25">
      <c r="A5995" s="2">
        <v>5990</v>
      </c>
      <c r="B5995" s="39">
        <v>926311330</v>
      </c>
      <c r="C5995" s="28" t="str">
        <f>HYPERLINK("https://pld.live/RapDetail.aspx?STONELIST=926311330","DNA")</f>
        <v>DNA</v>
      </c>
      <c r="D5995" s="18" t="s">
        <v>3054</v>
      </c>
      <c r="E5995" s="18" t="s">
        <v>5128</v>
      </c>
      <c r="F5995" s="2" t="s">
        <v>7987</v>
      </c>
      <c r="G5995" s="2" t="s">
        <v>5134</v>
      </c>
      <c r="H5995" s="14">
        <v>1</v>
      </c>
      <c r="I5995" s="2" t="s">
        <v>4761</v>
      </c>
      <c r="J5995" s="2" t="s">
        <v>7032</v>
      </c>
      <c r="K5995" s="2" t="s">
        <v>1452</v>
      </c>
      <c r="L5995" s="2" t="s">
        <v>5221</v>
      </c>
      <c r="M5995" s="2" t="s">
        <v>5221</v>
      </c>
      <c r="N5995" s="2" t="s">
        <v>2317</v>
      </c>
      <c r="O5995" s="14">
        <v>8200</v>
      </c>
      <c r="P5995" s="14">
        <v>97.07</v>
      </c>
      <c r="Q5995" s="14">
        <v>240.26</v>
      </c>
      <c r="R5995" s="14">
        <v>240.26</v>
      </c>
      <c r="S5995" s="2" t="s">
        <v>6089</v>
      </c>
      <c r="T5995" s="2">
        <v>0.85</v>
      </c>
      <c r="U5995" s="2">
        <v>61.1</v>
      </c>
      <c r="V5995" s="2">
        <v>61</v>
      </c>
      <c r="W5995" s="2" t="s">
        <v>7862</v>
      </c>
      <c r="X5995" s="2" t="s">
        <v>3061</v>
      </c>
      <c r="Y5995" s="2">
        <v>8200</v>
      </c>
      <c r="Z5995" s="19" t="str">
        <f>HYPERLINK("https://ssdweb.co/ssdweb/hd/Vision360.html?d=926311330&amp;zoomslide=1&amp;z=1926311330&amp;ISCONFIRM=0","VIDEO")</f>
        <v>VIDEO</v>
      </c>
      <c r="AA5995" s="19" t="str">
        <f>HYPERLINK("https://ssdweb.co/ssdweb/CERTH/642443332.pdf","CERTI")</f>
        <v>CERTI</v>
      </c>
    </row>
    <row r="5996" spans="1:27" ht="15" x14ac:dyDescent="0.25">
      <c r="A5996" s="2">
        <v>5991</v>
      </c>
      <c r="B5996" s="39">
        <v>926791087</v>
      </c>
      <c r="C5996" s="28" t="str">
        <f>HYPERLINK("https://pld.live/RapDetail.aspx?STONELIST=926791087","DNA")</f>
        <v>DNA</v>
      </c>
      <c r="D5996" s="18" t="s">
        <v>3054</v>
      </c>
      <c r="E5996" s="18" t="s">
        <v>2186</v>
      </c>
      <c r="F5996" s="2" t="s">
        <v>7987</v>
      </c>
      <c r="G5996" s="2" t="s">
        <v>5134</v>
      </c>
      <c r="H5996" s="14">
        <v>1</v>
      </c>
      <c r="I5996" s="2" t="s">
        <v>4761</v>
      </c>
      <c r="J5996" s="2" t="s">
        <v>6555</v>
      </c>
      <c r="K5996" s="2" t="s">
        <v>1452</v>
      </c>
      <c r="L5996" s="2" t="s">
        <v>5221</v>
      </c>
      <c r="M5996" s="2" t="s">
        <v>5221</v>
      </c>
      <c r="N5996" s="2" t="s">
        <v>2317</v>
      </c>
      <c r="O5996" s="14">
        <v>7500</v>
      </c>
      <c r="P5996" s="14">
        <v>97.96</v>
      </c>
      <c r="Q5996" s="14">
        <v>153</v>
      </c>
      <c r="R5996" s="14">
        <v>153</v>
      </c>
      <c r="S5996" s="2" t="s">
        <v>7521</v>
      </c>
      <c r="T5996" s="2">
        <v>0.91</v>
      </c>
      <c r="U5996" s="2">
        <v>56.4</v>
      </c>
      <c r="V5996" s="2">
        <v>58</v>
      </c>
      <c r="W5996" s="2" t="s">
        <v>7862</v>
      </c>
      <c r="X5996" s="2" t="s">
        <v>3061</v>
      </c>
      <c r="Y5996" s="2">
        <v>7500</v>
      </c>
      <c r="Z5996" s="19" t="str">
        <f>HYPERLINK("https://ssdweb.co/ssdweb/hd/Vision360.html?d=926791087&amp;zoomslide=1&amp;z=1926791087&amp;ISCONFIRM=0","VIDEO")</f>
        <v>VIDEO</v>
      </c>
      <c r="AA5996" s="19" t="str">
        <f>HYPERLINK("https://ssdweb.co/ssdweb/CERTH/660490618.pdf","CERTI")</f>
        <v>CERTI</v>
      </c>
    </row>
    <row r="5997" spans="1:27" ht="15" x14ac:dyDescent="0.25">
      <c r="A5997" s="2">
        <v>5992</v>
      </c>
      <c r="B5997" s="39">
        <v>925280555</v>
      </c>
      <c r="C5997" s="28" t="str">
        <f>HYPERLINK("https://pld.live/RapDetail.aspx?STONELIST=925280555","DNA")</f>
        <v>DNA</v>
      </c>
      <c r="D5997" s="18" t="s">
        <v>3054</v>
      </c>
      <c r="E5997" s="18" t="s">
        <v>5128</v>
      </c>
      <c r="F5997" s="2" t="s">
        <v>5597</v>
      </c>
      <c r="G5997" s="2" t="s">
        <v>5134</v>
      </c>
      <c r="H5997" s="14">
        <v>1</v>
      </c>
      <c r="I5997" s="2" t="s">
        <v>4761</v>
      </c>
      <c r="J5997" s="2" t="s">
        <v>6555</v>
      </c>
      <c r="K5997" s="2" t="s">
        <v>1452</v>
      </c>
      <c r="L5997" s="2" t="s">
        <v>5221</v>
      </c>
      <c r="M5997" s="2" t="s">
        <v>5221</v>
      </c>
      <c r="N5997" s="2" t="s">
        <v>2317</v>
      </c>
      <c r="O5997" s="14">
        <v>7500</v>
      </c>
      <c r="P5997" s="14">
        <v>96.87</v>
      </c>
      <c r="Q5997" s="14">
        <v>234.75</v>
      </c>
      <c r="R5997" s="14">
        <v>234.75</v>
      </c>
      <c r="S5997" s="2" t="s">
        <v>7438</v>
      </c>
      <c r="T5997" s="2">
        <v>0.86</v>
      </c>
      <c r="U5997" s="2">
        <v>58.7</v>
      </c>
      <c r="V5997" s="2">
        <v>63</v>
      </c>
      <c r="W5997" s="2" t="s">
        <v>7862</v>
      </c>
      <c r="X5997" s="2" t="s">
        <v>3061</v>
      </c>
      <c r="Y5997" s="2">
        <v>7500</v>
      </c>
      <c r="Z5997" s="19" t="str">
        <f>HYPERLINK("https://ssdweb.co/ssdweb/hd/Vision360.html?d=925280555&amp;zoomslide=1&amp;z=1925280555&amp;ISCONFIRM=0","VIDEO")</f>
        <v>VIDEO</v>
      </c>
      <c r="AA5997" s="19" t="str">
        <f>HYPERLINK("https://ssdweb.co/ssdweb/CERTH/2487654432.pdf","CERTI")</f>
        <v>CERTI</v>
      </c>
    </row>
    <row r="5998" spans="1:27" ht="15" x14ac:dyDescent="0.25">
      <c r="A5998" s="2">
        <v>5993</v>
      </c>
      <c r="B5998" s="39">
        <v>941071346</v>
      </c>
      <c r="C5998" s="28" t="str">
        <f>HYPERLINK("https://pld.live/RapDetail.aspx?STONELIST=941071346","DNA")</f>
        <v>DNA</v>
      </c>
      <c r="D5998" s="18" t="s">
        <v>3054</v>
      </c>
      <c r="E5998" s="18" t="s">
        <v>5128</v>
      </c>
      <c r="F5998" s="2" t="s">
        <v>7987</v>
      </c>
      <c r="G5998" s="2" t="s">
        <v>5134</v>
      </c>
      <c r="H5998" s="14">
        <v>1</v>
      </c>
      <c r="I5998" s="2" t="s">
        <v>4761</v>
      </c>
      <c r="J5998" s="2" t="s">
        <v>3942</v>
      </c>
      <c r="K5998" s="2" t="s">
        <v>1452</v>
      </c>
      <c r="L5998" s="2" t="s">
        <v>5221</v>
      </c>
      <c r="M5998" s="2" t="s">
        <v>5221</v>
      </c>
      <c r="N5998" s="2" t="s">
        <v>2317</v>
      </c>
      <c r="O5998" s="14">
        <v>6900</v>
      </c>
      <c r="P5998" s="14">
        <v>98.01</v>
      </c>
      <c r="Q5998" s="14">
        <v>137.31</v>
      </c>
      <c r="R5998" s="14">
        <v>137.31</v>
      </c>
      <c r="S5998" s="2" t="s">
        <v>2639</v>
      </c>
      <c r="T5998" s="2">
        <v>0.89</v>
      </c>
      <c r="U5998" s="2">
        <v>57.6</v>
      </c>
      <c r="V5998" s="2">
        <v>58</v>
      </c>
      <c r="W5998" s="2" t="s">
        <v>7862</v>
      </c>
      <c r="X5998" s="2" t="s">
        <v>3061</v>
      </c>
      <c r="Y5998" s="2">
        <v>6900</v>
      </c>
      <c r="Z5998" s="19" t="str">
        <f>HYPERLINK("https://ssdweb.co/ssdweb/hd/Vision360.html?d=941071346&amp;zoomslide=1&amp;z=1941071346&amp;ISCONFIRM=0","VIDEO")</f>
        <v>VIDEO</v>
      </c>
      <c r="AA5998" s="19" t="str">
        <f>HYPERLINK("https://ssdweb.co/ssdweb/CERTH/675596657.pdf","CERTI")</f>
        <v>CERTI</v>
      </c>
    </row>
    <row r="5999" spans="1:27" ht="15" x14ac:dyDescent="0.25">
      <c r="A5999" s="2">
        <v>5994</v>
      </c>
      <c r="B5999" s="39">
        <v>941040798</v>
      </c>
      <c r="C5999" s="28" t="str">
        <f>HYPERLINK("https://pld.live/RapDetail.aspx?STONELIST=941040798","DNA")</f>
        <v>DNA</v>
      </c>
      <c r="D5999" s="18" t="s">
        <v>3054</v>
      </c>
      <c r="E5999" s="18" t="s">
        <v>5128</v>
      </c>
      <c r="F5999" s="2" t="s">
        <v>7987</v>
      </c>
      <c r="G5999" s="2" t="s">
        <v>5134</v>
      </c>
      <c r="H5999" s="14">
        <v>1</v>
      </c>
      <c r="I5999" s="2" t="s">
        <v>4761</v>
      </c>
      <c r="J5999" s="2" t="s">
        <v>3942</v>
      </c>
      <c r="K5999" s="2" t="s">
        <v>1452</v>
      </c>
      <c r="L5999" s="2" t="s">
        <v>5221</v>
      </c>
      <c r="M5999" s="2" t="s">
        <v>5221</v>
      </c>
      <c r="N5999" s="2" t="s">
        <v>2317</v>
      </c>
      <c r="O5999" s="14">
        <v>6900</v>
      </c>
      <c r="P5999" s="14">
        <v>98.01</v>
      </c>
      <c r="Q5999" s="14">
        <v>137.31</v>
      </c>
      <c r="R5999" s="14">
        <v>137.31</v>
      </c>
      <c r="S5999" s="2" t="s">
        <v>2596</v>
      </c>
      <c r="T5999" s="2">
        <v>0.86</v>
      </c>
      <c r="U5999" s="2">
        <v>60</v>
      </c>
      <c r="V5999" s="2">
        <v>62</v>
      </c>
      <c r="W5999" s="2" t="s">
        <v>7862</v>
      </c>
      <c r="X5999" s="2" t="s">
        <v>3061</v>
      </c>
      <c r="Y5999" s="2">
        <v>6900</v>
      </c>
      <c r="Z5999" s="19" t="str">
        <f>HYPERLINK("https://ssdweb.co/ssdweb/hd/Vision360.html?d=941040798&amp;zoomslide=1&amp;z=1941040798&amp;ISCONFIRM=0","VIDEO")</f>
        <v>VIDEO</v>
      </c>
      <c r="AA5999" s="19" t="str">
        <f>HYPERLINK("https://ssdweb.co/ssdweb/CERTH/680504958.pdf","CERTI")</f>
        <v>CERTI</v>
      </c>
    </row>
    <row r="6000" spans="1:27" ht="15" x14ac:dyDescent="0.25">
      <c r="A6000" s="2">
        <v>5995</v>
      </c>
      <c r="B6000" s="39">
        <v>926841376</v>
      </c>
      <c r="C6000" s="28" t="str">
        <f>HYPERLINK("https://pld.live/RapDetail.aspx?STONELIST=926841376","DNA")</f>
        <v>DNA</v>
      </c>
      <c r="D6000" s="18" t="s">
        <v>3054</v>
      </c>
      <c r="E6000" s="18" t="s">
        <v>2186</v>
      </c>
      <c r="F6000" s="2" t="s">
        <v>7987</v>
      </c>
      <c r="G6000" s="2" t="s">
        <v>5134</v>
      </c>
      <c r="H6000" s="14">
        <v>1</v>
      </c>
      <c r="I6000" s="2" t="s">
        <v>4761</v>
      </c>
      <c r="J6000" s="2" t="s">
        <v>13</v>
      </c>
      <c r="K6000" s="2" t="s">
        <v>1452</v>
      </c>
      <c r="L6000" s="2" t="s">
        <v>5721</v>
      </c>
      <c r="M6000" s="2" t="s">
        <v>5221</v>
      </c>
      <c r="N6000" s="2" t="s">
        <v>2317</v>
      </c>
      <c r="O6000" s="14">
        <v>6200</v>
      </c>
      <c r="P6000" s="14">
        <v>97.95</v>
      </c>
      <c r="Q6000" s="14">
        <v>127.1</v>
      </c>
      <c r="R6000" s="14">
        <v>127.1</v>
      </c>
      <c r="S6000" s="2" t="s">
        <v>5696</v>
      </c>
      <c r="T6000" s="2">
        <v>0.86</v>
      </c>
      <c r="U6000" s="2">
        <v>59.5</v>
      </c>
      <c r="V6000" s="2">
        <v>60</v>
      </c>
      <c r="W6000" s="2" t="s">
        <v>7862</v>
      </c>
      <c r="X6000" s="2" t="s">
        <v>3061</v>
      </c>
      <c r="Y6000" s="2">
        <v>6200</v>
      </c>
      <c r="Z6000" s="19" t="str">
        <f>HYPERLINK("https://ssdweb.co/ssdweb/hd/Vision360.html?d=926841376&amp;zoomslide=1&amp;z=1926841376&amp;ISCONFIRM=0","VIDEO")</f>
        <v>VIDEO</v>
      </c>
      <c r="AA6000" s="19" t="str">
        <f>HYPERLINK("https://ssdweb.co/ssdweb/CERTH/660440540.pdf","CERTI")</f>
        <v>CERTI</v>
      </c>
    </row>
    <row r="6001" spans="1:27" ht="15" x14ac:dyDescent="0.25">
      <c r="A6001" s="2">
        <v>5996</v>
      </c>
      <c r="B6001" s="39">
        <v>941071396</v>
      </c>
      <c r="C6001" s="28" t="str">
        <f>HYPERLINK("https://pld.live/RapDetail.aspx?STONELIST=941071396","DNA")</f>
        <v>DNA</v>
      </c>
      <c r="D6001" s="18" t="s">
        <v>3054</v>
      </c>
      <c r="E6001" s="18" t="s">
        <v>5128</v>
      </c>
      <c r="F6001" s="2" t="s">
        <v>7987</v>
      </c>
      <c r="G6001" s="2" t="s">
        <v>5134</v>
      </c>
      <c r="H6001" s="14">
        <v>1</v>
      </c>
      <c r="I6001" s="2" t="s">
        <v>4699</v>
      </c>
      <c r="J6001" s="2" t="s">
        <v>13</v>
      </c>
      <c r="K6001" s="2" t="s">
        <v>1452</v>
      </c>
      <c r="L6001" s="2" t="s">
        <v>5221</v>
      </c>
      <c r="M6001" s="2" t="s">
        <v>5221</v>
      </c>
      <c r="N6001" s="2" t="s">
        <v>2317</v>
      </c>
      <c r="O6001" s="14">
        <v>5800</v>
      </c>
      <c r="P6001" s="14">
        <v>97.76</v>
      </c>
      <c r="Q6001" s="14">
        <v>129.91999999999999</v>
      </c>
      <c r="R6001" s="14">
        <v>129.91999999999999</v>
      </c>
      <c r="S6001" s="2" t="s">
        <v>6853</v>
      </c>
      <c r="T6001" s="2">
        <v>0.87</v>
      </c>
      <c r="U6001" s="2">
        <v>55.8</v>
      </c>
      <c r="V6001" s="2">
        <v>60</v>
      </c>
      <c r="W6001" s="2" t="s">
        <v>7862</v>
      </c>
      <c r="X6001" s="2" t="s">
        <v>3061</v>
      </c>
      <c r="Y6001" s="2">
        <v>5800</v>
      </c>
      <c r="Z6001" s="19" t="str">
        <f>HYPERLINK("https://ssdweb.co/ssdweb/hd/Vision360.html?d=941071396&amp;zoomslide=1&amp;z=1941071396&amp;ISCONFIRM=0","VIDEO")</f>
        <v>VIDEO</v>
      </c>
      <c r="AA6001" s="19" t="str">
        <f>HYPERLINK("https://ssdweb.co/ssdweb/CERTH/680504960.pdf","CERTI")</f>
        <v>CERTI</v>
      </c>
    </row>
    <row r="6002" spans="1:27" ht="15" x14ac:dyDescent="0.25">
      <c r="A6002" s="2">
        <v>5997</v>
      </c>
      <c r="B6002" s="39">
        <v>927140507</v>
      </c>
      <c r="C6002" s="28" t="str">
        <f>HYPERLINK("https://pld.live/RapDetail.aspx?STONELIST=927140507","DNA")</f>
        <v>DNA</v>
      </c>
      <c r="D6002" s="18" t="s">
        <v>3054</v>
      </c>
      <c r="E6002" s="18" t="s">
        <v>2186</v>
      </c>
      <c r="F6002" s="2" t="s">
        <v>7987</v>
      </c>
      <c r="G6002" s="2" t="s">
        <v>5134</v>
      </c>
      <c r="H6002" s="14">
        <v>1</v>
      </c>
      <c r="I6002" s="2" t="s">
        <v>6587</v>
      </c>
      <c r="J6002" s="2" t="s">
        <v>13</v>
      </c>
      <c r="K6002" s="2" t="s">
        <v>1452</v>
      </c>
      <c r="L6002" s="2" t="s">
        <v>5221</v>
      </c>
      <c r="M6002" s="2" t="s">
        <v>5721</v>
      </c>
      <c r="N6002" s="2" t="s">
        <v>2317</v>
      </c>
      <c r="O6002" s="14">
        <v>5400</v>
      </c>
      <c r="P6002" s="14">
        <v>97.69</v>
      </c>
      <c r="Q6002" s="14">
        <v>124.74</v>
      </c>
      <c r="R6002" s="14">
        <v>124.74</v>
      </c>
      <c r="S6002" s="2" t="s">
        <v>937</v>
      </c>
      <c r="T6002" s="2">
        <v>0.91</v>
      </c>
      <c r="U6002" s="2">
        <v>56.5</v>
      </c>
      <c r="V6002" s="2">
        <v>65</v>
      </c>
      <c r="W6002" s="2" t="s">
        <v>7862</v>
      </c>
      <c r="X6002" s="2" t="s">
        <v>3061</v>
      </c>
      <c r="Y6002" s="2">
        <v>5400</v>
      </c>
      <c r="Z6002" s="19" t="str">
        <f>HYPERLINK("https://ssdweb.co/ssdweb/hd/Vision360.html?d=927140507&amp;zoomslide=1&amp;z=1927140507&amp;ISCONFIRM=0","VIDEO")</f>
        <v>VIDEO</v>
      </c>
      <c r="AA6002" s="19" t="str">
        <f>HYPERLINK("https://ssdweb.co/ssdweb/CERTH/678564527.pdf","CERTI")</f>
        <v>CERTI</v>
      </c>
    </row>
    <row r="6003" spans="1:27" ht="15" x14ac:dyDescent="0.25">
      <c r="A6003" s="2">
        <v>5998</v>
      </c>
      <c r="B6003" s="39">
        <v>926270858</v>
      </c>
      <c r="C6003" s="28" t="str">
        <f>HYPERLINK("https://pld.live/RapDetail.aspx?STONELIST=926270858","DNA")</f>
        <v>DNA</v>
      </c>
      <c r="D6003" s="18" t="s">
        <v>4121</v>
      </c>
      <c r="E6003" s="18" t="s">
        <v>5128</v>
      </c>
      <c r="F6003" s="2" t="s">
        <v>7987</v>
      </c>
      <c r="G6003" s="2" t="s">
        <v>5134</v>
      </c>
      <c r="H6003" s="14">
        <v>0.99</v>
      </c>
      <c r="I6003" s="2" t="s">
        <v>4761</v>
      </c>
      <c r="J6003" s="2" t="s">
        <v>13</v>
      </c>
      <c r="K6003" s="2" t="s">
        <v>1452</v>
      </c>
      <c r="L6003" s="2" t="s">
        <v>5221</v>
      </c>
      <c r="M6003" s="2" t="s">
        <v>5221</v>
      </c>
      <c r="N6003" s="2" t="s">
        <v>2317</v>
      </c>
      <c r="O6003" s="14">
        <v>4900</v>
      </c>
      <c r="P6003" s="14">
        <v>97.47</v>
      </c>
      <c r="Q6003" s="14">
        <v>123.97</v>
      </c>
      <c r="R6003" s="14">
        <v>122.73</v>
      </c>
      <c r="S6003" s="2" t="s">
        <v>2800</v>
      </c>
      <c r="T6003" s="2">
        <v>0.89</v>
      </c>
      <c r="U6003" s="2">
        <v>56.7</v>
      </c>
      <c r="V6003" s="2">
        <v>62</v>
      </c>
      <c r="W6003" s="2" t="s">
        <v>7862</v>
      </c>
      <c r="X6003" s="2" t="s">
        <v>3061</v>
      </c>
      <c r="Y6003" s="2">
        <v>4851</v>
      </c>
      <c r="Z6003" s="19" t="str">
        <f>HYPERLINK("https://ssdweb.co/ssdweb/hd/Vision360.html?d=926270858&amp;zoomslide=1&amp;z=1926270858&amp;ISCONFIRM=0","VIDEO")</f>
        <v>VIDEO</v>
      </c>
      <c r="AA6003" s="19" t="str">
        <f>HYPERLINK("https://ssdweb.co/ssdweb/CERTH/644472237.pdf","CERTI")</f>
        <v>CERTI</v>
      </c>
    </row>
    <row r="6004" spans="1:27" ht="15" x14ac:dyDescent="0.25">
      <c r="A6004" s="2">
        <v>5999</v>
      </c>
      <c r="B6004" s="39">
        <v>927153021</v>
      </c>
      <c r="C6004" s="28" t="str">
        <f>HYPERLINK("https://pld.live/RapDetail.aspx?STONELIST=927153021","DNA")</f>
        <v>DNA</v>
      </c>
      <c r="D6004" s="18" t="s">
        <v>4121</v>
      </c>
      <c r="E6004" s="18" t="s">
        <v>5128</v>
      </c>
      <c r="F6004" s="2" t="s">
        <v>7987</v>
      </c>
      <c r="G6004" s="2" t="s">
        <v>5134</v>
      </c>
      <c r="H6004" s="14">
        <v>0.98</v>
      </c>
      <c r="I6004" s="2" t="s">
        <v>4761</v>
      </c>
      <c r="J6004" s="2" t="s">
        <v>3942</v>
      </c>
      <c r="K6004" s="2" t="s">
        <v>1452</v>
      </c>
      <c r="L6004" s="2" t="s">
        <v>5221</v>
      </c>
      <c r="M6004" s="2" t="s">
        <v>5221</v>
      </c>
      <c r="N6004" s="2" t="s">
        <v>2317</v>
      </c>
      <c r="O6004" s="14">
        <v>5200</v>
      </c>
      <c r="P6004" s="14">
        <v>97.46</v>
      </c>
      <c r="Q6004" s="14">
        <v>132.08000000000001</v>
      </c>
      <c r="R6004" s="14">
        <v>129.44</v>
      </c>
      <c r="S6004" s="2" t="s">
        <v>7125</v>
      </c>
      <c r="T6004" s="2">
        <v>0.85</v>
      </c>
      <c r="U6004" s="2">
        <v>57</v>
      </c>
      <c r="V6004" s="2">
        <v>63</v>
      </c>
      <c r="W6004" s="2" t="s">
        <v>7862</v>
      </c>
      <c r="X6004" s="2" t="s">
        <v>3061</v>
      </c>
      <c r="Y6004" s="2">
        <v>5096</v>
      </c>
      <c r="Z6004" s="19" t="str">
        <f>HYPERLINK("https://ssdweb.co/ssdweb/hd/Vision360.html?d=927153021&amp;zoomslide=1&amp;z=1927153021&amp;ISCONFIRM=0","VIDEO")</f>
        <v>VIDEO</v>
      </c>
      <c r="AA6004" s="19" t="str">
        <f>HYPERLINK("https://ssdweb.co/ssdweb/CERTH/678550453.pdf","CERTI")</f>
        <v>CERTI</v>
      </c>
    </row>
    <row r="6005" spans="1:27" ht="15" x14ac:dyDescent="0.25">
      <c r="A6005" s="2">
        <v>6000</v>
      </c>
      <c r="B6005" s="39">
        <v>926581271</v>
      </c>
      <c r="C6005" s="28" t="str">
        <f>HYPERLINK("https://pld.live/RapDetail.aspx?STONELIST=926581271","DNA")</f>
        <v>DNA</v>
      </c>
      <c r="D6005" s="18" t="s">
        <v>4121</v>
      </c>
      <c r="E6005" s="18" t="s">
        <v>5128</v>
      </c>
      <c r="F6005" s="2" t="s">
        <v>7987</v>
      </c>
      <c r="G6005" s="2" t="s">
        <v>5134</v>
      </c>
      <c r="H6005" s="14">
        <v>0.96</v>
      </c>
      <c r="I6005" s="2" t="s">
        <v>267</v>
      </c>
      <c r="J6005" s="2" t="s">
        <v>13</v>
      </c>
      <c r="K6005" s="2" t="s">
        <v>1452</v>
      </c>
      <c r="L6005" s="2" t="s">
        <v>5221</v>
      </c>
      <c r="M6005" s="2" t="s">
        <v>5221</v>
      </c>
      <c r="N6005" s="2" t="s">
        <v>2317</v>
      </c>
      <c r="O6005" s="14">
        <v>5200</v>
      </c>
      <c r="P6005" s="14">
        <v>97.58</v>
      </c>
      <c r="Q6005" s="14">
        <v>125.84</v>
      </c>
      <c r="R6005" s="14">
        <v>120.81</v>
      </c>
      <c r="S6005" s="2" t="s">
        <v>136</v>
      </c>
      <c r="T6005" s="2">
        <v>0.87</v>
      </c>
      <c r="U6005" s="2">
        <v>57.5</v>
      </c>
      <c r="V6005" s="2">
        <v>59</v>
      </c>
      <c r="W6005" s="2" t="s">
        <v>7862</v>
      </c>
      <c r="X6005" s="2" t="s">
        <v>3061</v>
      </c>
      <c r="Y6005" s="2">
        <v>4992</v>
      </c>
      <c r="Z6005" s="19" t="str">
        <f>HYPERLINK("https://ssdweb.co/ssdweb/hd/Vision360.html?d=926581271&amp;zoomslide=1&amp;z=1926581271&amp;ISCONFIRM=0","VIDEO")</f>
        <v>VIDEO</v>
      </c>
      <c r="AA6005" s="19" t="str">
        <f>HYPERLINK("https://ssdweb.co/ssdweb/CERTH/647452177.pdf","CERTI")</f>
        <v>CERTI</v>
      </c>
    </row>
    <row r="6006" spans="1:27" ht="15" x14ac:dyDescent="0.25">
      <c r="A6006" s="2">
        <v>6001</v>
      </c>
      <c r="B6006" s="39">
        <v>925940644</v>
      </c>
      <c r="C6006" s="28" t="str">
        <f>HYPERLINK("https://pld.live/RapDetail.aspx?STONELIST=925940644","DNA")</f>
        <v>DNA</v>
      </c>
      <c r="D6006" s="18" t="s">
        <v>4121</v>
      </c>
      <c r="E6006" s="18" t="s">
        <v>5128</v>
      </c>
      <c r="F6006" s="2" t="s">
        <v>7987</v>
      </c>
      <c r="G6006" s="2" t="s">
        <v>5134</v>
      </c>
      <c r="H6006" s="14">
        <v>0.96</v>
      </c>
      <c r="I6006" s="2" t="s">
        <v>267</v>
      </c>
      <c r="J6006" s="2" t="s">
        <v>5144</v>
      </c>
      <c r="K6006" s="2" t="s">
        <v>1452</v>
      </c>
      <c r="L6006" s="2" t="s">
        <v>5221</v>
      </c>
      <c r="M6006" s="2" t="s">
        <v>5221</v>
      </c>
      <c r="N6006" s="2" t="s">
        <v>2317</v>
      </c>
      <c r="O6006" s="14">
        <v>4400</v>
      </c>
      <c r="P6006" s="14">
        <v>97.2</v>
      </c>
      <c r="Q6006" s="14">
        <v>123.2</v>
      </c>
      <c r="R6006" s="14">
        <v>118.27</v>
      </c>
      <c r="S6006" s="2" t="s">
        <v>2797</v>
      </c>
      <c r="T6006" s="2">
        <v>0.91</v>
      </c>
      <c r="U6006" s="2">
        <v>58.3</v>
      </c>
      <c r="V6006" s="2">
        <v>61</v>
      </c>
      <c r="W6006" s="2" t="s">
        <v>7862</v>
      </c>
      <c r="X6006" s="2" t="s">
        <v>3061</v>
      </c>
      <c r="Y6006" s="2">
        <v>4224</v>
      </c>
      <c r="Z6006" s="19" t="str">
        <f>HYPERLINK("https://ssdweb.co/ssdweb/hd/Vision360.html?d=925940644&amp;zoomslide=1&amp;z=1925940644&amp;ISCONFIRM=0","VIDEO")</f>
        <v>VIDEO</v>
      </c>
      <c r="AA6006" s="19" t="str">
        <f>HYPERLINK("https://ssdweb.co/ssdweb/CERTH/629497324.pdf","CERTI")</f>
        <v>CERTI</v>
      </c>
    </row>
    <row r="6007" spans="1:27" ht="15" x14ac:dyDescent="0.25">
      <c r="A6007" s="2">
        <v>6002</v>
      </c>
      <c r="B6007" s="39">
        <v>927153002</v>
      </c>
      <c r="C6007" s="28" t="str">
        <f>HYPERLINK("https://pld.live/RapDetail.aspx?STONELIST=927153002","DNA")</f>
        <v>DNA</v>
      </c>
      <c r="D6007" s="18" t="s">
        <v>4121</v>
      </c>
      <c r="E6007" s="18" t="s">
        <v>5128</v>
      </c>
      <c r="F6007" s="2" t="s">
        <v>7987</v>
      </c>
      <c r="G6007" s="2" t="s">
        <v>5134</v>
      </c>
      <c r="H6007" s="14">
        <v>0.95</v>
      </c>
      <c r="I6007" s="2" t="s">
        <v>4761</v>
      </c>
      <c r="J6007" s="2" t="s">
        <v>13</v>
      </c>
      <c r="K6007" s="2" t="s">
        <v>1452</v>
      </c>
      <c r="L6007" s="2" t="s">
        <v>5221</v>
      </c>
      <c r="M6007" s="2" t="s">
        <v>5221</v>
      </c>
      <c r="N6007" s="2" t="s">
        <v>2317</v>
      </c>
      <c r="O6007" s="14">
        <v>4900</v>
      </c>
      <c r="P6007" s="14">
        <v>97.39</v>
      </c>
      <c r="Q6007" s="14">
        <v>127.89</v>
      </c>
      <c r="R6007" s="14">
        <v>121.5</v>
      </c>
      <c r="S6007" s="2" t="s">
        <v>6816</v>
      </c>
      <c r="T6007" s="2">
        <v>0.9</v>
      </c>
      <c r="U6007" s="2">
        <v>55.7</v>
      </c>
      <c r="V6007" s="2">
        <v>59</v>
      </c>
      <c r="W6007" s="2" t="s">
        <v>7862</v>
      </c>
      <c r="X6007" s="2" t="s">
        <v>3061</v>
      </c>
      <c r="Y6007" s="2">
        <v>4655</v>
      </c>
      <c r="Z6007" s="19" t="str">
        <f>HYPERLINK("https://ssdweb.co/ssdweb/hd/Vision360.html?d=927153002&amp;zoomslide=1&amp;z=1927153002&amp;ISCONFIRM=0","VIDEO")</f>
        <v>VIDEO</v>
      </c>
      <c r="AA6007" s="19" t="str">
        <f>HYPERLINK("https://ssdweb.co/ssdweb/CERTH/678550452.pdf","CERTI")</f>
        <v>CERTI</v>
      </c>
    </row>
    <row r="6008" spans="1:27" ht="15" x14ac:dyDescent="0.25">
      <c r="A6008" s="2">
        <v>6003</v>
      </c>
      <c r="B6008" s="39">
        <v>926291483</v>
      </c>
      <c r="C6008" s="28" t="str">
        <f>HYPERLINK("https://pld.live/RapDetail.aspx?STONELIST=926291483","DNA")</f>
        <v>DNA</v>
      </c>
      <c r="D6008" s="18" t="s">
        <v>2990</v>
      </c>
      <c r="E6008" s="18" t="s">
        <v>5128</v>
      </c>
      <c r="F6008" s="2" t="s">
        <v>7987</v>
      </c>
      <c r="G6008" s="2" t="s">
        <v>5134</v>
      </c>
      <c r="H6008" s="14">
        <v>0.93</v>
      </c>
      <c r="I6008" s="2" t="s">
        <v>4761</v>
      </c>
      <c r="J6008" s="2" t="s">
        <v>13</v>
      </c>
      <c r="K6008" s="2" t="s">
        <v>1452</v>
      </c>
      <c r="L6008" s="2" t="s">
        <v>5221</v>
      </c>
      <c r="M6008" s="2" t="s">
        <v>5221</v>
      </c>
      <c r="N6008" s="2" t="s">
        <v>2317</v>
      </c>
      <c r="O6008" s="14">
        <v>4900</v>
      </c>
      <c r="P6008" s="14">
        <v>97.47</v>
      </c>
      <c r="Q6008" s="14">
        <v>123.97</v>
      </c>
      <c r="R6008" s="14">
        <v>115.29</v>
      </c>
      <c r="S6008" s="2" t="s">
        <v>7825</v>
      </c>
      <c r="T6008" s="2">
        <v>0.88</v>
      </c>
      <c r="U6008" s="2">
        <v>60.1</v>
      </c>
      <c r="V6008" s="2">
        <v>59</v>
      </c>
      <c r="W6008" s="2" t="s">
        <v>7862</v>
      </c>
      <c r="X6008" s="2" t="s">
        <v>3061</v>
      </c>
      <c r="Y6008" s="2">
        <v>4557</v>
      </c>
      <c r="Z6008" s="19" t="str">
        <f>HYPERLINK("https://ssdweb.co/ssdweb/hd/Vision360.html?d=926291483&amp;zoomslide=1&amp;z=1926291483&amp;ISCONFIRM=0","VIDEO")</f>
        <v>VIDEO</v>
      </c>
      <c r="AA6008" s="19" t="str">
        <f>HYPERLINK("https://ssdweb.co/ssdweb/CERTH/644466740.pdf","CERTI")</f>
        <v>CERTI</v>
      </c>
    </row>
    <row r="6009" spans="1:27" ht="15" x14ac:dyDescent="0.25">
      <c r="A6009" s="2">
        <v>6004</v>
      </c>
      <c r="B6009" s="39">
        <v>924410827</v>
      </c>
      <c r="C6009" s="28" t="str">
        <f>HYPERLINK("https://pld.live/RapDetail.aspx?STONELIST=924410827","DNA")</f>
        <v>DNA</v>
      </c>
      <c r="D6009" s="18" t="s">
        <v>2990</v>
      </c>
      <c r="E6009" s="18" t="s">
        <v>2186</v>
      </c>
      <c r="F6009" s="2" t="s">
        <v>5597</v>
      </c>
      <c r="G6009" s="2" t="s">
        <v>5134</v>
      </c>
      <c r="H6009" s="14">
        <v>0.93</v>
      </c>
      <c r="I6009" s="2" t="s">
        <v>4699</v>
      </c>
      <c r="J6009" s="2" t="s">
        <v>13</v>
      </c>
      <c r="K6009" s="2" t="s">
        <v>1452</v>
      </c>
      <c r="L6009" s="2" t="s">
        <v>5221</v>
      </c>
      <c r="M6009" s="2" t="s">
        <v>5221</v>
      </c>
      <c r="N6009" s="2" t="s">
        <v>2317</v>
      </c>
      <c r="O6009" s="14">
        <v>4600</v>
      </c>
      <c r="P6009" s="14">
        <v>95.87</v>
      </c>
      <c r="Q6009" s="14">
        <v>189.98</v>
      </c>
      <c r="R6009" s="14">
        <v>176.68</v>
      </c>
      <c r="S6009" s="2" t="s">
        <v>6804</v>
      </c>
      <c r="T6009" s="2">
        <v>0.88</v>
      </c>
      <c r="U6009" s="2">
        <v>58.6</v>
      </c>
      <c r="V6009" s="2">
        <v>60</v>
      </c>
      <c r="W6009" s="2" t="s">
        <v>7862</v>
      </c>
      <c r="X6009" s="2" t="s">
        <v>3061</v>
      </c>
      <c r="Y6009" s="2">
        <v>4278</v>
      </c>
      <c r="Z6009" s="19" t="str">
        <f>HYPERLINK("https://ssdweb.co/ssdweb/hd/Vision360.html?d=924410827&amp;zoomslide=1&amp;z=1924410827&amp;ISCONFIRM=0","VIDEO")</f>
        <v>VIDEO</v>
      </c>
      <c r="AA6009" s="19" t="str">
        <f>HYPERLINK("https://ssdweb.co/ssdweb/CERTH/7478519064.pdf","CERTI")</f>
        <v>CERTI</v>
      </c>
    </row>
    <row r="6010" spans="1:27" ht="15" x14ac:dyDescent="0.25">
      <c r="A6010" s="2">
        <v>6005</v>
      </c>
      <c r="B6010" s="39">
        <v>925940581</v>
      </c>
      <c r="C6010" s="28" t="str">
        <f>HYPERLINK("https://pld.live/RapDetail.aspx?STONELIST=925940581","DNA")</f>
        <v>DNA</v>
      </c>
      <c r="D6010" s="18" t="s">
        <v>2990</v>
      </c>
      <c r="E6010" s="18" t="s">
        <v>5128</v>
      </c>
      <c r="F6010" s="2" t="s">
        <v>7987</v>
      </c>
      <c r="G6010" s="2" t="s">
        <v>5134</v>
      </c>
      <c r="H6010" s="14">
        <v>0.92</v>
      </c>
      <c r="I6010" s="2" t="s">
        <v>267</v>
      </c>
      <c r="J6010" s="2" t="s">
        <v>3942</v>
      </c>
      <c r="K6010" s="2" t="s">
        <v>1452</v>
      </c>
      <c r="L6010" s="2" t="s">
        <v>5221</v>
      </c>
      <c r="M6010" s="2" t="s">
        <v>5221</v>
      </c>
      <c r="N6010" s="2" t="s">
        <v>2317</v>
      </c>
      <c r="O6010" s="14">
        <v>5600</v>
      </c>
      <c r="P6010" s="14">
        <v>97.66</v>
      </c>
      <c r="Q6010" s="14">
        <v>131.04</v>
      </c>
      <c r="R6010" s="14">
        <v>120.56</v>
      </c>
      <c r="S6010" s="2" t="s">
        <v>468</v>
      </c>
      <c r="T6010" s="2">
        <v>0.88</v>
      </c>
      <c r="U6010" s="2">
        <v>57.9</v>
      </c>
      <c r="V6010" s="2">
        <v>63</v>
      </c>
      <c r="W6010" s="2" t="s">
        <v>7862</v>
      </c>
      <c r="X6010" s="2" t="s">
        <v>3061</v>
      </c>
      <c r="Y6010" s="2">
        <v>5152</v>
      </c>
      <c r="Z6010" s="19" t="str">
        <f>HYPERLINK("https://ssdweb.co/ssdweb/hd/Vision360.html?d=925940581&amp;zoomslide=1&amp;z=1925940581&amp;ISCONFIRM=0","VIDEO")</f>
        <v>VIDEO</v>
      </c>
      <c r="AA6010" s="19" t="str">
        <f>HYPERLINK("https://ssdweb.co/ssdweb/CERTH/629435559.pdf","CERTI")</f>
        <v>CERTI</v>
      </c>
    </row>
    <row r="6011" spans="1:27" ht="15" x14ac:dyDescent="0.25">
      <c r="A6011" s="2">
        <v>6006</v>
      </c>
      <c r="B6011" s="39">
        <v>925830746</v>
      </c>
      <c r="C6011" s="28" t="str">
        <f>HYPERLINK("https://pld.live/RapDetail.aspx?STONELIST=925830746","DNA")</f>
        <v>DNA</v>
      </c>
      <c r="D6011" s="18" t="s">
        <v>2990</v>
      </c>
      <c r="E6011" s="18" t="s">
        <v>5128</v>
      </c>
      <c r="F6011" s="2" t="s">
        <v>7987</v>
      </c>
      <c r="G6011" s="2" t="s">
        <v>5134</v>
      </c>
      <c r="H6011" s="14">
        <v>0.92</v>
      </c>
      <c r="I6011" s="2" t="s">
        <v>267</v>
      </c>
      <c r="J6011" s="2" t="s">
        <v>13</v>
      </c>
      <c r="K6011" s="2" t="s">
        <v>1452</v>
      </c>
      <c r="L6011" s="2" t="s">
        <v>5221</v>
      </c>
      <c r="M6011" s="2" t="s">
        <v>5221</v>
      </c>
      <c r="N6011" s="2" t="s">
        <v>2317</v>
      </c>
      <c r="O6011" s="14">
        <v>5200</v>
      </c>
      <c r="P6011" s="14">
        <v>97.58</v>
      </c>
      <c r="Q6011" s="14">
        <v>125.84</v>
      </c>
      <c r="R6011" s="14">
        <v>115.77</v>
      </c>
      <c r="S6011" s="2" t="s">
        <v>4864</v>
      </c>
      <c r="T6011" s="2">
        <v>0.87</v>
      </c>
      <c r="U6011" s="2">
        <v>60</v>
      </c>
      <c r="V6011" s="2">
        <v>61</v>
      </c>
      <c r="W6011" s="2" t="s">
        <v>7862</v>
      </c>
      <c r="X6011" s="2" t="s">
        <v>3061</v>
      </c>
      <c r="Y6011" s="2">
        <v>4784</v>
      </c>
      <c r="Z6011" s="19" t="str">
        <f>HYPERLINK("https://ssdweb.co/ssdweb/hd/Vision360.html?d=925830746&amp;zoomslide=1&amp;z=1925830746&amp;ISCONFIRM=0","VIDEO")</f>
        <v>VIDEO</v>
      </c>
      <c r="AA6011" s="19" t="str">
        <f>HYPERLINK("https://ssdweb.co/ssdweb/CERTH/628426751.pdf","CERTI")</f>
        <v>CERTI</v>
      </c>
    </row>
    <row r="6012" spans="1:27" ht="15" x14ac:dyDescent="0.25">
      <c r="A6012" s="2">
        <v>6007</v>
      </c>
      <c r="B6012" s="39">
        <v>926111158</v>
      </c>
      <c r="C6012" s="28" t="str">
        <f>HYPERLINK("https://pld.live/RapDetail.aspx?STONELIST=926111158","DNA")</f>
        <v>DNA</v>
      </c>
      <c r="D6012" s="18" t="s">
        <v>2990</v>
      </c>
      <c r="E6012" s="18" t="s">
        <v>5128</v>
      </c>
      <c r="F6012" s="2" t="s">
        <v>5597</v>
      </c>
      <c r="G6012" s="2" t="s">
        <v>5134</v>
      </c>
      <c r="H6012" s="14">
        <v>0.92</v>
      </c>
      <c r="I6012" s="2" t="s">
        <v>4761</v>
      </c>
      <c r="J6012" s="2" t="s">
        <v>5144</v>
      </c>
      <c r="K6012" s="2" t="s">
        <v>1452</v>
      </c>
      <c r="L6012" s="2" t="s">
        <v>5221</v>
      </c>
      <c r="M6012" s="2" t="s">
        <v>5221</v>
      </c>
      <c r="N6012" s="2" t="s">
        <v>2317</v>
      </c>
      <c r="O6012" s="14">
        <v>4200</v>
      </c>
      <c r="P6012" s="14">
        <v>95.24</v>
      </c>
      <c r="Q6012" s="14">
        <v>199.92</v>
      </c>
      <c r="R6012" s="14">
        <v>183.93</v>
      </c>
      <c r="S6012" s="2" t="s">
        <v>2864</v>
      </c>
      <c r="T6012" s="2">
        <v>0.87</v>
      </c>
      <c r="U6012" s="2">
        <v>58.3</v>
      </c>
      <c r="V6012" s="2">
        <v>63</v>
      </c>
      <c r="W6012" s="2" t="s">
        <v>7862</v>
      </c>
      <c r="X6012" s="2" t="s">
        <v>3061</v>
      </c>
      <c r="Y6012" s="2">
        <v>3864</v>
      </c>
      <c r="Z6012" s="19" t="str">
        <f>HYPERLINK("https://ssdweb.co/ssdweb/hd/Vision360.html?d=926111158&amp;zoomslide=1&amp;z=1926111158&amp;ISCONFIRM=0","VIDEO")</f>
        <v>VIDEO</v>
      </c>
      <c r="AA6012" s="19" t="str">
        <f>HYPERLINK("https://ssdweb.co/ssdweb/CERTH/1498371366.pdf","CERTI")</f>
        <v>CERTI</v>
      </c>
    </row>
    <row r="6013" spans="1:27" ht="15" x14ac:dyDescent="0.25">
      <c r="A6013" s="2">
        <v>6008</v>
      </c>
      <c r="B6013" s="39">
        <v>924420423</v>
      </c>
      <c r="C6013" s="28" t="str">
        <f>HYPERLINK("https://pld.live/RapDetail.aspx?STONELIST=924420423","DNA")</f>
        <v>DNA</v>
      </c>
      <c r="D6013" s="18" t="s">
        <v>2990</v>
      </c>
      <c r="E6013" s="18" t="s">
        <v>5128</v>
      </c>
      <c r="F6013" s="2" t="s">
        <v>7987</v>
      </c>
      <c r="G6013" s="2" t="s">
        <v>5134</v>
      </c>
      <c r="H6013" s="14">
        <v>0.91</v>
      </c>
      <c r="I6013" s="2" t="s">
        <v>4761</v>
      </c>
      <c r="J6013" s="2" t="s">
        <v>5144</v>
      </c>
      <c r="K6013" s="2" t="s">
        <v>1452</v>
      </c>
      <c r="L6013" s="2" t="s">
        <v>5221</v>
      </c>
      <c r="M6013" s="2" t="s">
        <v>5221</v>
      </c>
      <c r="N6013" s="2" t="s">
        <v>2317</v>
      </c>
      <c r="O6013" s="14">
        <v>4200</v>
      </c>
      <c r="P6013" s="14">
        <v>97.12</v>
      </c>
      <c r="Q6013" s="14">
        <v>120.96</v>
      </c>
      <c r="R6013" s="14">
        <v>110.07</v>
      </c>
      <c r="S6013" s="2" t="s">
        <v>1672</v>
      </c>
      <c r="T6013" s="2">
        <v>0.86</v>
      </c>
      <c r="U6013" s="2">
        <v>58.6</v>
      </c>
      <c r="V6013" s="2">
        <v>59</v>
      </c>
      <c r="W6013" s="2" t="s">
        <v>7862</v>
      </c>
      <c r="X6013" s="2" t="s">
        <v>3061</v>
      </c>
      <c r="Y6013" s="2">
        <v>3822</v>
      </c>
      <c r="Z6013" s="19" t="str">
        <f>HYPERLINK("https://ssdweb.co/ssdweb/hd/Vision360.html?d=924420423&amp;zoomslide=1&amp;z=1924420423&amp;ISCONFIRM=0","VIDEO")</f>
        <v>VIDEO</v>
      </c>
      <c r="AA6013" s="19" t="str">
        <f>HYPERLINK("https://ssdweb.co/ssdweb/CERTH/598353197.pdf","CERTI")</f>
        <v>CERTI</v>
      </c>
    </row>
    <row r="6014" spans="1:27" ht="15" x14ac:dyDescent="0.25">
      <c r="A6014" s="2">
        <v>6009</v>
      </c>
      <c r="B6014" s="39">
        <v>925940614</v>
      </c>
      <c r="C6014" s="28" t="str">
        <f>HYPERLINK("https://pld.live/RapDetail.aspx?STONELIST=925940614","DNA")</f>
        <v>DNA</v>
      </c>
      <c r="D6014" s="18" t="s">
        <v>2990</v>
      </c>
      <c r="E6014" s="18" t="s">
        <v>5128</v>
      </c>
      <c r="F6014" s="2" t="s">
        <v>5597</v>
      </c>
      <c r="G6014" s="2" t="s">
        <v>5134</v>
      </c>
      <c r="H6014" s="14">
        <v>0.9</v>
      </c>
      <c r="I6014" s="2" t="s">
        <v>267</v>
      </c>
      <c r="J6014" s="2" t="s">
        <v>6555</v>
      </c>
      <c r="K6014" s="2" t="s">
        <v>1452</v>
      </c>
      <c r="L6014" s="2" t="s">
        <v>5221</v>
      </c>
      <c r="M6014" s="2" t="s">
        <v>5221</v>
      </c>
      <c r="N6014" s="2" t="s">
        <v>2317</v>
      </c>
      <c r="O6014" s="14">
        <v>6300</v>
      </c>
      <c r="P6014" s="14">
        <v>96.43</v>
      </c>
      <c r="Q6014" s="14">
        <v>224.91</v>
      </c>
      <c r="R6014" s="14">
        <v>202.42</v>
      </c>
      <c r="S6014" s="2" t="s">
        <v>282</v>
      </c>
      <c r="T6014" s="2">
        <v>0.84</v>
      </c>
      <c r="U6014" s="2">
        <v>59.5</v>
      </c>
      <c r="V6014" s="2">
        <v>64</v>
      </c>
      <c r="W6014" s="2" t="s">
        <v>7862</v>
      </c>
      <c r="X6014" s="2" t="s">
        <v>3061</v>
      </c>
      <c r="Y6014" s="2">
        <v>5670</v>
      </c>
      <c r="Z6014" s="19" t="str">
        <f>HYPERLINK("https://ssdweb.co/ssdweb/hd/Vision360.html?d=925940614&amp;zoomslide=1&amp;z=1925940614&amp;ISCONFIRM=0","VIDEO")</f>
        <v>VIDEO</v>
      </c>
      <c r="AA6014" s="19" t="str">
        <f>HYPERLINK("https://ssdweb.co/ssdweb/CERTH/6492108471.pdf","CERTI")</f>
        <v>CERTI</v>
      </c>
    </row>
    <row r="6015" spans="1:27" ht="15" x14ac:dyDescent="0.25">
      <c r="A6015" s="2">
        <v>6010</v>
      </c>
      <c r="B6015" s="39">
        <v>924420437</v>
      </c>
      <c r="C6015" s="28" t="str">
        <f>HYPERLINK("https://pld.live/RapDetail.aspx?STONELIST=924420437","DNA")</f>
        <v>DNA</v>
      </c>
      <c r="D6015" s="18" t="s">
        <v>2990</v>
      </c>
      <c r="E6015" s="18" t="s">
        <v>5128</v>
      </c>
      <c r="F6015" s="2" t="s">
        <v>7987</v>
      </c>
      <c r="G6015" s="2" t="s">
        <v>5134</v>
      </c>
      <c r="H6015" s="14">
        <v>0.9</v>
      </c>
      <c r="I6015" s="2" t="s">
        <v>267</v>
      </c>
      <c r="J6015" s="2" t="s">
        <v>3942</v>
      </c>
      <c r="K6015" s="2" t="s">
        <v>1452</v>
      </c>
      <c r="L6015" s="2" t="s">
        <v>5221</v>
      </c>
      <c r="M6015" s="2" t="s">
        <v>5721</v>
      </c>
      <c r="N6015" s="2" t="s">
        <v>2317</v>
      </c>
      <c r="O6015" s="14">
        <v>5600</v>
      </c>
      <c r="P6015" s="14">
        <v>97.7</v>
      </c>
      <c r="Q6015" s="14">
        <v>128.80000000000001</v>
      </c>
      <c r="R6015" s="14">
        <v>115.92</v>
      </c>
      <c r="S6015" s="2" t="s">
        <v>2680</v>
      </c>
      <c r="T6015" s="2">
        <v>0.79</v>
      </c>
      <c r="U6015" s="2">
        <v>57.8</v>
      </c>
      <c r="V6015" s="2">
        <v>61</v>
      </c>
      <c r="W6015" s="2" t="s">
        <v>7862</v>
      </c>
      <c r="X6015" s="2" t="s">
        <v>3061</v>
      </c>
      <c r="Y6015" s="2">
        <v>5040</v>
      </c>
      <c r="Z6015" s="19" t="str">
        <f>HYPERLINK("https://ssdweb.co/ssdweb/hd/Vision360.html?d=924420437&amp;zoomslide=1&amp;z=1924420437&amp;ISCONFIRM=0","VIDEO")</f>
        <v>VIDEO</v>
      </c>
      <c r="AA6015" s="19" t="str">
        <f>HYPERLINK("https://ssdweb.co/ssdweb/CERTH/600304555.pdf","CERTI")</f>
        <v>CERTI</v>
      </c>
    </row>
    <row r="6016" spans="1:27" ht="15" x14ac:dyDescent="0.25">
      <c r="A6016" s="2">
        <v>6011</v>
      </c>
      <c r="B6016" s="39">
        <v>924900242</v>
      </c>
      <c r="C6016" s="28" t="str">
        <f>HYPERLINK("https://pld.live/RapDetail.aspx?STONELIST=924900242","DNA")</f>
        <v>DNA</v>
      </c>
      <c r="D6016" s="18" t="s">
        <v>2990</v>
      </c>
      <c r="E6016" s="18" t="s">
        <v>5128</v>
      </c>
      <c r="F6016" s="2" t="s">
        <v>7987</v>
      </c>
      <c r="G6016" s="2" t="s">
        <v>5134</v>
      </c>
      <c r="H6016" s="14">
        <v>0.9</v>
      </c>
      <c r="I6016" s="2" t="s">
        <v>267</v>
      </c>
      <c r="J6016" s="2" t="s">
        <v>13</v>
      </c>
      <c r="K6016" s="2" t="s">
        <v>1452</v>
      </c>
      <c r="L6016" s="2" t="s">
        <v>5221</v>
      </c>
      <c r="M6016" s="2" t="s">
        <v>5221</v>
      </c>
      <c r="N6016" s="2" t="s">
        <v>2317</v>
      </c>
      <c r="O6016" s="14">
        <v>5200</v>
      </c>
      <c r="P6016" s="14">
        <v>97.58</v>
      </c>
      <c r="Q6016" s="14">
        <v>125.84</v>
      </c>
      <c r="R6016" s="14">
        <v>113.26</v>
      </c>
      <c r="S6016" s="2" t="s">
        <v>6289</v>
      </c>
      <c r="T6016" s="2">
        <v>0.9</v>
      </c>
      <c r="U6016" s="2">
        <v>58.5</v>
      </c>
      <c r="V6016" s="2">
        <v>60</v>
      </c>
      <c r="W6016" s="2" t="s">
        <v>7862</v>
      </c>
      <c r="X6016" s="2" t="s">
        <v>3061</v>
      </c>
      <c r="Y6016" s="2">
        <v>4680</v>
      </c>
      <c r="Z6016" s="19" t="str">
        <f>HYPERLINK("https://ssdweb.co/ssdweb/hd/Vision360.html?d=924900242&amp;zoomslide=1&amp;z=1924900242&amp;ISCONFIRM=0","VIDEO")</f>
        <v>VIDEO</v>
      </c>
      <c r="AA6016" s="19" t="str">
        <f>HYPERLINK("https://ssdweb.co/ssdweb/CERTH/607332390.pdf","CERTI")</f>
        <v>CERTI</v>
      </c>
    </row>
    <row r="6017" spans="1:27" ht="15" x14ac:dyDescent="0.25">
      <c r="A6017" s="2">
        <v>6012</v>
      </c>
      <c r="B6017" s="39">
        <v>924440184</v>
      </c>
      <c r="C6017" s="28" t="str">
        <f>HYPERLINK("https://pld.live/RapDetail.aspx?STONELIST=924440184","DNA")</f>
        <v>DNA</v>
      </c>
      <c r="D6017" s="18" t="s">
        <v>5847</v>
      </c>
      <c r="E6017" s="18" t="s">
        <v>5128</v>
      </c>
      <c r="F6017" s="2" t="s">
        <v>7987</v>
      </c>
      <c r="G6017" s="2" t="s">
        <v>5134</v>
      </c>
      <c r="H6017" s="14">
        <v>0.76</v>
      </c>
      <c r="I6017" s="2" t="s">
        <v>267</v>
      </c>
      <c r="J6017" s="2" t="s">
        <v>3942</v>
      </c>
      <c r="K6017" s="2" t="s">
        <v>1452</v>
      </c>
      <c r="L6017" s="2" t="s">
        <v>5221</v>
      </c>
      <c r="M6017" s="2" t="s">
        <v>5721</v>
      </c>
      <c r="N6017" s="2" t="s">
        <v>2317</v>
      </c>
      <c r="O6017" s="14">
        <v>4000</v>
      </c>
      <c r="P6017" s="14">
        <v>96.25</v>
      </c>
      <c r="Q6017" s="14">
        <v>150</v>
      </c>
      <c r="R6017" s="14">
        <v>114</v>
      </c>
      <c r="S6017" s="2" t="s">
        <v>1326</v>
      </c>
      <c r="T6017" s="2">
        <v>0.86</v>
      </c>
      <c r="U6017" s="2">
        <v>58.4</v>
      </c>
      <c r="V6017" s="2">
        <v>59</v>
      </c>
      <c r="W6017" s="2" t="s">
        <v>7862</v>
      </c>
      <c r="X6017" s="2" t="s">
        <v>3061</v>
      </c>
      <c r="Y6017" s="2">
        <v>3040</v>
      </c>
      <c r="Z6017" s="19" t="str">
        <f>HYPERLINK("https://ssdweb.co/ssdweb/hd/Vision360.html?d=924440184&amp;zoomslide=1&amp;z=1924440184&amp;ISCONFIRM=0","VIDEO")</f>
        <v>VIDEO</v>
      </c>
      <c r="AA6017" s="19" t="str">
        <f>HYPERLINK("https://ssdweb.co/ssdweb/CERTH/600385333.pdf","CERTI")</f>
        <v>CERTI</v>
      </c>
    </row>
    <row r="6018" spans="1:27" ht="15" x14ac:dyDescent="0.25">
      <c r="A6018" s="2">
        <v>6013</v>
      </c>
      <c r="B6018" s="39">
        <v>926550584</v>
      </c>
      <c r="C6018" s="28" t="str">
        <f>HYPERLINK("https://pld.live/RapDetail.aspx?STONELIST=926550584","DNA")</f>
        <v>DNA</v>
      </c>
      <c r="D6018" s="18" t="s">
        <v>5847</v>
      </c>
      <c r="E6018" s="18" t="s">
        <v>5128</v>
      </c>
      <c r="F6018" s="2" t="s">
        <v>7987</v>
      </c>
      <c r="G6018" s="2" t="s">
        <v>5134</v>
      </c>
      <c r="H6018" s="14">
        <v>0.73</v>
      </c>
      <c r="I6018" s="2" t="s">
        <v>267</v>
      </c>
      <c r="J6018" s="2" t="s">
        <v>7032</v>
      </c>
      <c r="K6018" s="2" t="s">
        <v>1452</v>
      </c>
      <c r="L6018" s="2" t="s">
        <v>5221</v>
      </c>
      <c r="M6018" s="2" t="s">
        <v>5221</v>
      </c>
      <c r="N6018" s="2" t="s">
        <v>2317</v>
      </c>
      <c r="O6018" s="14">
        <v>4700</v>
      </c>
      <c r="P6018" s="14">
        <v>93.23</v>
      </c>
      <c r="Q6018" s="14">
        <v>318.19</v>
      </c>
      <c r="R6018" s="14">
        <v>232.28</v>
      </c>
      <c r="S6018" s="2" t="s">
        <v>2865</v>
      </c>
      <c r="T6018" s="2">
        <v>0.88</v>
      </c>
      <c r="U6018" s="2">
        <v>56.1</v>
      </c>
      <c r="V6018" s="2">
        <v>59</v>
      </c>
      <c r="W6018" s="2" t="s">
        <v>7862</v>
      </c>
      <c r="X6018" s="2" t="s">
        <v>3061</v>
      </c>
      <c r="Y6018" s="2">
        <v>3431</v>
      </c>
      <c r="Z6018" s="19" t="str">
        <f>HYPERLINK("https://ssdweb.co/ssdweb/hd/Vision360.html?d=926550584&amp;zoomslide=1&amp;z=1926550584&amp;ISCONFIRM=0","VIDEO")</f>
        <v>VIDEO</v>
      </c>
      <c r="AA6018" s="19" t="str">
        <f>HYPERLINK("https://ssdweb.co/ssdweb/CERTH/660440451.pdf","CERTI")</f>
        <v>CERTI</v>
      </c>
    </row>
    <row r="6019" spans="1:27" ht="15" x14ac:dyDescent="0.25">
      <c r="A6019" s="2">
        <v>6014</v>
      </c>
      <c r="B6019" s="39">
        <v>925760408</v>
      </c>
      <c r="C6019" s="28" t="str">
        <f>HYPERLINK("https://pld.live/RapDetail.aspx?STONELIST=925760408","DNA")</f>
        <v>DNA</v>
      </c>
      <c r="D6019" s="18" t="s">
        <v>5847</v>
      </c>
      <c r="E6019" s="18" t="s">
        <v>5128</v>
      </c>
      <c r="F6019" s="2" t="s">
        <v>7987</v>
      </c>
      <c r="G6019" s="2" t="s">
        <v>5134</v>
      </c>
      <c r="H6019" s="14">
        <v>0.73</v>
      </c>
      <c r="I6019" s="2" t="s">
        <v>267</v>
      </c>
      <c r="J6019" s="2" t="s">
        <v>7032</v>
      </c>
      <c r="K6019" s="2" t="s">
        <v>1452</v>
      </c>
      <c r="L6019" s="2" t="s">
        <v>5221</v>
      </c>
      <c r="M6019" s="2" t="s">
        <v>5221</v>
      </c>
      <c r="N6019" s="2" t="s">
        <v>2317</v>
      </c>
      <c r="O6019" s="14">
        <v>4700</v>
      </c>
      <c r="P6019" s="14">
        <v>93.32</v>
      </c>
      <c r="Q6019" s="14">
        <v>313.95999999999998</v>
      </c>
      <c r="R6019" s="14">
        <v>229.19</v>
      </c>
      <c r="S6019" s="2" t="s">
        <v>4464</v>
      </c>
      <c r="T6019" s="2">
        <v>0.9</v>
      </c>
      <c r="U6019" s="2">
        <v>59.2</v>
      </c>
      <c r="V6019" s="2">
        <v>62</v>
      </c>
      <c r="W6019" s="2" t="s">
        <v>7862</v>
      </c>
      <c r="X6019" s="2" t="s">
        <v>3061</v>
      </c>
      <c r="Y6019" s="2">
        <v>3431</v>
      </c>
      <c r="Z6019" s="19" t="str">
        <f>HYPERLINK("https://ssdweb.co/ssdweb/hd/Vision360.html?d=925760408&amp;zoomslide=1&amp;z=1925760408&amp;ISCONFIRM=0","VIDEO")</f>
        <v>VIDEO</v>
      </c>
      <c r="AA6019" s="19" t="str">
        <f>HYPERLINK("https://ssdweb.co/ssdweb/CERTH/626457209.pdf","CERTI")</f>
        <v>CERTI</v>
      </c>
    </row>
    <row r="6020" spans="1:27" ht="15" x14ac:dyDescent="0.25">
      <c r="A6020" s="2">
        <v>6015</v>
      </c>
      <c r="B6020" s="39">
        <v>924980188</v>
      </c>
      <c r="C6020" s="28" t="str">
        <f>HYPERLINK("https://pld.live/RapDetail.aspx?STONELIST=924980188","DNA")</f>
        <v>DNA</v>
      </c>
      <c r="D6020" s="18" t="s">
        <v>5847</v>
      </c>
      <c r="E6020" s="18" t="s">
        <v>5128</v>
      </c>
      <c r="F6020" s="2" t="s">
        <v>7987</v>
      </c>
      <c r="G6020" s="2" t="s">
        <v>5134</v>
      </c>
      <c r="H6020" s="14">
        <v>0.73</v>
      </c>
      <c r="I6020" s="2" t="s">
        <v>267</v>
      </c>
      <c r="J6020" s="2" t="s">
        <v>6555</v>
      </c>
      <c r="K6020" s="2" t="s">
        <v>1452</v>
      </c>
      <c r="L6020" s="2" t="s">
        <v>5221</v>
      </c>
      <c r="M6020" s="2" t="s">
        <v>5221</v>
      </c>
      <c r="N6020" s="2" t="s">
        <v>2317</v>
      </c>
      <c r="O6020" s="14">
        <v>4300</v>
      </c>
      <c r="P6020" s="14">
        <v>95.95</v>
      </c>
      <c r="Q6020" s="14">
        <v>174.15</v>
      </c>
      <c r="R6020" s="14">
        <v>127.13</v>
      </c>
      <c r="S6020" s="2" t="s">
        <v>2477</v>
      </c>
      <c r="T6020" s="2">
        <v>0.91</v>
      </c>
      <c r="U6020" s="2">
        <v>58</v>
      </c>
      <c r="V6020" s="2">
        <v>62</v>
      </c>
      <c r="W6020" s="2" t="s">
        <v>7862</v>
      </c>
      <c r="X6020" s="2" t="s">
        <v>3061</v>
      </c>
      <c r="Y6020" s="2">
        <v>3139</v>
      </c>
      <c r="Z6020" s="19" t="str">
        <f>HYPERLINK("https://ssdweb.co/ssdweb/hd/Vision360.html?d=924980188&amp;zoomslide=1&amp;z=1924980188&amp;ISCONFIRM=0","VIDEO")</f>
        <v>VIDEO</v>
      </c>
      <c r="AA6020" s="19" t="str">
        <f>HYPERLINK("https://ssdweb.co/ssdweb/CERTH/612321924.pdf","CERTI")</f>
        <v>CERTI</v>
      </c>
    </row>
    <row r="6021" spans="1:27" ht="15" x14ac:dyDescent="0.25">
      <c r="A6021" s="2">
        <v>6016</v>
      </c>
      <c r="B6021" s="39">
        <v>831010777</v>
      </c>
      <c r="C6021" s="28" t="str">
        <f>HYPERLINK("https://pld.live/RapDetail.aspx?STONELIST=831010777","DNA")</f>
        <v>DNA</v>
      </c>
      <c r="D6021" s="18" t="s">
        <v>5847</v>
      </c>
      <c r="E6021" s="18" t="s">
        <v>5128</v>
      </c>
      <c r="F6021" s="2" t="s">
        <v>5597</v>
      </c>
      <c r="G6021" s="2" t="s">
        <v>5134</v>
      </c>
      <c r="H6021" s="14">
        <v>0.73</v>
      </c>
      <c r="I6021" s="2" t="s">
        <v>267</v>
      </c>
      <c r="J6021" s="2" t="s">
        <v>3942</v>
      </c>
      <c r="K6021" s="2" t="s">
        <v>1452</v>
      </c>
      <c r="L6021" s="2" t="s">
        <v>5221</v>
      </c>
      <c r="M6021" s="2" t="s">
        <v>5221</v>
      </c>
      <c r="N6021" s="2" t="s">
        <v>2317</v>
      </c>
      <c r="O6021" s="14">
        <v>4000</v>
      </c>
      <c r="P6021" s="14">
        <v>93.63</v>
      </c>
      <c r="Q6021" s="14">
        <v>254.8</v>
      </c>
      <c r="R6021" s="14">
        <v>186</v>
      </c>
      <c r="S6021" s="2" t="s">
        <v>1095</v>
      </c>
      <c r="T6021" s="2">
        <v>0.9</v>
      </c>
      <c r="U6021" s="2">
        <v>59.2</v>
      </c>
      <c r="V6021" s="2">
        <v>59</v>
      </c>
      <c r="W6021" s="2" t="s">
        <v>7862</v>
      </c>
      <c r="X6021" s="2" t="s">
        <v>3061</v>
      </c>
      <c r="Y6021" s="2">
        <v>2920</v>
      </c>
      <c r="Z6021" s="19" t="str">
        <f>HYPERLINK("https://ssdweb.co/ssdweb/hd/Vision360.html?d=831010777&amp;zoomslide=1&amp;z=1831010777&amp;ISCONFIRM=0","VIDEO")</f>
        <v>VIDEO</v>
      </c>
      <c r="AA6021" s="19" t="str">
        <f>HYPERLINK("https://ssdweb.co/ssdweb/CERTH/6482821970.pdf","CERTI")</f>
        <v>CERTI</v>
      </c>
    </row>
    <row r="6022" spans="1:27" ht="15" x14ac:dyDescent="0.25">
      <c r="A6022" s="2">
        <v>6017</v>
      </c>
      <c r="B6022" s="39">
        <v>941170223</v>
      </c>
      <c r="C6022" s="28" t="str">
        <f>HYPERLINK("https://pld.live/RapDetail.aspx?STONELIST=941170223","DNA")</f>
        <v>DNA</v>
      </c>
      <c r="D6022" s="18" t="s">
        <v>5847</v>
      </c>
      <c r="E6022" s="18" t="s">
        <v>5128</v>
      </c>
      <c r="F6022" s="2" t="s">
        <v>7987</v>
      </c>
      <c r="G6022" s="2" t="s">
        <v>5134</v>
      </c>
      <c r="H6022" s="14">
        <v>0.72</v>
      </c>
      <c r="I6022" s="2" t="s">
        <v>267</v>
      </c>
      <c r="J6022" s="2" t="s">
        <v>6555</v>
      </c>
      <c r="K6022" s="2" t="s">
        <v>1452</v>
      </c>
      <c r="L6022" s="2" t="s">
        <v>5221</v>
      </c>
      <c r="M6022" s="2" t="s">
        <v>5221</v>
      </c>
      <c r="N6022" s="2" t="s">
        <v>2317</v>
      </c>
      <c r="O6022" s="14">
        <v>4300</v>
      </c>
      <c r="P6022" s="14">
        <v>95.81</v>
      </c>
      <c r="Q6022" s="14">
        <v>180.17</v>
      </c>
      <c r="R6022" s="14">
        <v>129.72</v>
      </c>
      <c r="S6022" s="2" t="s">
        <v>7542</v>
      </c>
      <c r="T6022" s="2">
        <v>0.9</v>
      </c>
      <c r="U6022" s="2">
        <v>56.8</v>
      </c>
      <c r="V6022" s="2">
        <v>61</v>
      </c>
      <c r="W6022" s="2" t="s">
        <v>7862</v>
      </c>
      <c r="X6022" s="2" t="s">
        <v>3061</v>
      </c>
      <c r="Y6022" s="2">
        <v>3096</v>
      </c>
      <c r="Z6022" s="19" t="str">
        <f>HYPERLINK("https://ssdweb.co/ssdweb/hd/Vision360.html?d=941170223&amp;zoomslide=1&amp;z=1941170223&amp;ISCONFIRM=0","VIDEO")</f>
        <v>VIDEO</v>
      </c>
      <c r="AA6022" s="19" t="str">
        <f>HYPERLINK("https://ssdweb.co/ssdweb/CERTH/675504577.pdf","CERTI")</f>
        <v>CERTI</v>
      </c>
    </row>
    <row r="6023" spans="1:27" ht="15" x14ac:dyDescent="0.25">
      <c r="A6023" s="2">
        <v>6018</v>
      </c>
      <c r="B6023" s="39">
        <v>941170498</v>
      </c>
      <c r="C6023" s="28" t="str">
        <f>HYPERLINK("https://pld.live/RapDetail.aspx?STONELIST=941170498","DNA")</f>
        <v>DNA</v>
      </c>
      <c r="D6023" s="18" t="s">
        <v>5847</v>
      </c>
      <c r="E6023" s="18" t="s">
        <v>5128</v>
      </c>
      <c r="F6023" s="2" t="s">
        <v>7987</v>
      </c>
      <c r="G6023" s="2" t="s">
        <v>5134</v>
      </c>
      <c r="H6023" s="14">
        <v>0.72</v>
      </c>
      <c r="I6023" s="2" t="s">
        <v>267</v>
      </c>
      <c r="J6023" s="2" t="s">
        <v>6555</v>
      </c>
      <c r="K6023" s="2" t="s">
        <v>1452</v>
      </c>
      <c r="L6023" s="2" t="s">
        <v>5221</v>
      </c>
      <c r="M6023" s="2" t="s">
        <v>5221</v>
      </c>
      <c r="N6023" s="2" t="s">
        <v>2317</v>
      </c>
      <c r="O6023" s="14">
        <v>4300</v>
      </c>
      <c r="P6023" s="14">
        <v>95.81</v>
      </c>
      <c r="Q6023" s="14">
        <v>180.17</v>
      </c>
      <c r="R6023" s="14">
        <v>129.72</v>
      </c>
      <c r="S6023" s="2" t="s">
        <v>5097</v>
      </c>
      <c r="T6023" s="2">
        <v>0.9</v>
      </c>
      <c r="U6023" s="2">
        <v>59.2</v>
      </c>
      <c r="V6023" s="2">
        <v>60</v>
      </c>
      <c r="W6023" s="2" t="s">
        <v>7862</v>
      </c>
      <c r="X6023" s="2" t="s">
        <v>3061</v>
      </c>
      <c r="Y6023" s="2">
        <v>3096</v>
      </c>
      <c r="Z6023" s="19" t="str">
        <f>HYPERLINK("https://ssdweb.co/ssdweb/hd/Vision360.html?d=941170498&amp;zoomslide=1&amp;z=1941170498&amp;ISCONFIRM=0","VIDEO")</f>
        <v>VIDEO</v>
      </c>
      <c r="AA6023" s="19" t="str">
        <f>HYPERLINK("https://ssdweb.co/ssdweb/CERTH/678550443.pdf","CERTI")</f>
        <v>CERTI</v>
      </c>
    </row>
    <row r="6024" spans="1:27" ht="15" x14ac:dyDescent="0.25">
      <c r="A6024" s="2">
        <v>6019</v>
      </c>
      <c r="B6024" s="39">
        <v>941260885</v>
      </c>
      <c r="C6024" s="28" t="str">
        <f>HYPERLINK("https://pld.live/RapDetail.aspx?STONELIST=941260885","DNA")</f>
        <v>DNA</v>
      </c>
      <c r="D6024" s="18" t="s">
        <v>5847</v>
      </c>
      <c r="E6024" s="18" t="s">
        <v>5128</v>
      </c>
      <c r="F6024" s="2" t="s">
        <v>7987</v>
      </c>
      <c r="G6024" s="2" t="s">
        <v>5134</v>
      </c>
      <c r="H6024" s="14">
        <v>0.72</v>
      </c>
      <c r="I6024" s="2" t="s">
        <v>267</v>
      </c>
      <c r="J6024" s="2" t="s">
        <v>6555</v>
      </c>
      <c r="K6024" s="2" t="s">
        <v>1452</v>
      </c>
      <c r="L6024" s="2" t="s">
        <v>5221</v>
      </c>
      <c r="M6024" s="2" t="s">
        <v>5221</v>
      </c>
      <c r="N6024" s="2" t="s">
        <v>2317</v>
      </c>
      <c r="O6024" s="14">
        <v>4300</v>
      </c>
      <c r="P6024" s="14">
        <v>95.81</v>
      </c>
      <c r="Q6024" s="14">
        <v>180.17</v>
      </c>
      <c r="R6024" s="14">
        <v>129.72</v>
      </c>
      <c r="S6024" s="2" t="s">
        <v>7946</v>
      </c>
      <c r="T6024" s="2">
        <v>0.9</v>
      </c>
      <c r="U6024" s="2">
        <v>58.6</v>
      </c>
      <c r="V6024" s="2">
        <v>62</v>
      </c>
      <c r="W6024" s="2" t="s">
        <v>7862</v>
      </c>
      <c r="X6024" s="2" t="s">
        <v>3061</v>
      </c>
      <c r="Y6024" s="2">
        <v>3096</v>
      </c>
      <c r="Z6024" s="19" t="str">
        <f>HYPERLINK("https://ssdweb.co/ssdweb/hd/Vision360.html?d=941260885&amp;zoomslide=1&amp;z=1941260885&amp;ISCONFIRM=0","VIDEO")</f>
        <v>VIDEO</v>
      </c>
      <c r="AA6024" s="19" t="str">
        <f>HYPERLINK("https://ssdweb.co/ssdweb/CERTH/681517248.pdf","CERTI")</f>
        <v>CERTI</v>
      </c>
    </row>
    <row r="6025" spans="1:27" ht="15" x14ac:dyDescent="0.25">
      <c r="A6025" s="2">
        <v>6020</v>
      </c>
      <c r="B6025" s="39">
        <v>941261130</v>
      </c>
      <c r="C6025" s="28" t="str">
        <f>HYPERLINK("https://pld.live/RapDetail.aspx?STONELIST=941261130","DNA")</f>
        <v>DNA</v>
      </c>
      <c r="D6025" s="18" t="s">
        <v>5847</v>
      </c>
      <c r="E6025" s="18" t="s">
        <v>5128</v>
      </c>
      <c r="F6025" s="2" t="s">
        <v>7987</v>
      </c>
      <c r="G6025" s="2" t="s">
        <v>5134</v>
      </c>
      <c r="H6025" s="14">
        <v>0.72</v>
      </c>
      <c r="I6025" s="2" t="s">
        <v>267</v>
      </c>
      <c r="J6025" s="2" t="s">
        <v>3942</v>
      </c>
      <c r="K6025" s="2" t="s">
        <v>1452</v>
      </c>
      <c r="L6025" s="2" t="s">
        <v>5221</v>
      </c>
      <c r="M6025" s="2" t="s">
        <v>5221</v>
      </c>
      <c r="N6025" s="2" t="s">
        <v>2317</v>
      </c>
      <c r="O6025" s="14">
        <v>4000</v>
      </c>
      <c r="P6025" s="14">
        <v>96.05</v>
      </c>
      <c r="Q6025" s="14">
        <v>158</v>
      </c>
      <c r="R6025" s="14">
        <v>113.76</v>
      </c>
      <c r="S6025" s="2" t="s">
        <v>7142</v>
      </c>
      <c r="T6025" s="2">
        <v>0.88</v>
      </c>
      <c r="U6025" s="2">
        <v>57.1</v>
      </c>
      <c r="V6025" s="2">
        <v>61</v>
      </c>
      <c r="W6025" s="2" t="s">
        <v>7862</v>
      </c>
      <c r="X6025" s="2" t="s">
        <v>3061</v>
      </c>
      <c r="Y6025" s="2">
        <v>2880</v>
      </c>
      <c r="Z6025" s="19" t="str">
        <f>HYPERLINK("https://ssdweb.co/ssdweb/hd/Vision360.html?d=941261130&amp;zoomslide=1&amp;z=1941261130&amp;ISCONFIRM=0","VIDEO")</f>
        <v>VIDEO</v>
      </c>
      <c r="AA6025" s="19" t="str">
        <f>HYPERLINK("https://ssdweb.co/ssdweb/CERTH/692505617.pdf","CERTI")</f>
        <v>CERTI</v>
      </c>
    </row>
    <row r="6026" spans="1:27" ht="15" x14ac:dyDescent="0.25">
      <c r="A6026" s="2">
        <v>6021</v>
      </c>
      <c r="B6026" s="39">
        <v>941260977</v>
      </c>
      <c r="C6026" s="28" t="str">
        <f>HYPERLINK("https://pld.live/RapDetail.aspx?STONELIST=941260977","DNA")</f>
        <v>DNA</v>
      </c>
      <c r="D6026" s="18" t="s">
        <v>5847</v>
      </c>
      <c r="E6026" s="18" t="s">
        <v>5128</v>
      </c>
      <c r="F6026" s="2" t="s">
        <v>7987</v>
      </c>
      <c r="G6026" s="2" t="s">
        <v>5134</v>
      </c>
      <c r="H6026" s="14">
        <v>0.72</v>
      </c>
      <c r="I6026" s="2" t="s">
        <v>267</v>
      </c>
      <c r="J6026" s="2" t="s">
        <v>3942</v>
      </c>
      <c r="K6026" s="2" t="s">
        <v>1452</v>
      </c>
      <c r="L6026" s="2" t="s">
        <v>5221</v>
      </c>
      <c r="M6026" s="2" t="s">
        <v>5221</v>
      </c>
      <c r="N6026" s="2" t="s">
        <v>2317</v>
      </c>
      <c r="O6026" s="14">
        <v>4000</v>
      </c>
      <c r="P6026" s="14">
        <v>96.05</v>
      </c>
      <c r="Q6026" s="14">
        <v>158</v>
      </c>
      <c r="R6026" s="14">
        <v>113.76</v>
      </c>
      <c r="S6026" s="2" t="s">
        <v>5304</v>
      </c>
      <c r="T6026" s="2">
        <v>0.87</v>
      </c>
      <c r="U6026" s="2">
        <v>56.2</v>
      </c>
      <c r="V6026" s="2">
        <v>60</v>
      </c>
      <c r="W6026" s="2" t="s">
        <v>7862</v>
      </c>
      <c r="X6026" s="2" t="s">
        <v>3061</v>
      </c>
      <c r="Y6026" s="2">
        <v>2880</v>
      </c>
      <c r="Z6026" s="19" t="str">
        <f>HYPERLINK("https://ssdweb.co/ssdweb/hd/Vision360.html?d=941260977&amp;zoomslide=1&amp;z=1941260977&amp;ISCONFIRM=0","VIDEO")</f>
        <v>VIDEO</v>
      </c>
      <c r="AA6026" s="19" t="str">
        <f>HYPERLINK("https://ssdweb.co/ssdweb/CERTH/684505097.pdf","CERTI")</f>
        <v>CERTI</v>
      </c>
    </row>
    <row r="6027" spans="1:27" ht="15" x14ac:dyDescent="0.25">
      <c r="A6027" s="2">
        <v>6022</v>
      </c>
      <c r="B6027" s="39">
        <v>941191131</v>
      </c>
      <c r="C6027" s="28" t="str">
        <f>HYPERLINK("https://pld.live/RapDetail.aspx?STONELIST=941191131","DNA")</f>
        <v>DNA</v>
      </c>
      <c r="D6027" s="18" t="s">
        <v>5847</v>
      </c>
      <c r="E6027" s="18" t="s">
        <v>5128</v>
      </c>
      <c r="F6027" s="2" t="s">
        <v>7987</v>
      </c>
      <c r="G6027" s="2" t="s">
        <v>5134</v>
      </c>
      <c r="H6027" s="14">
        <v>0.72</v>
      </c>
      <c r="I6027" s="2" t="s">
        <v>267</v>
      </c>
      <c r="J6027" s="2" t="s">
        <v>3942</v>
      </c>
      <c r="K6027" s="2" t="s">
        <v>1452</v>
      </c>
      <c r="L6027" s="2" t="s">
        <v>5221</v>
      </c>
      <c r="M6027" s="2" t="s">
        <v>5721</v>
      </c>
      <c r="N6027" s="2" t="s">
        <v>2317</v>
      </c>
      <c r="O6027" s="14">
        <v>4000</v>
      </c>
      <c r="P6027" s="14">
        <v>96.1</v>
      </c>
      <c r="Q6027" s="14">
        <v>156</v>
      </c>
      <c r="R6027" s="14">
        <v>112.32</v>
      </c>
      <c r="S6027" s="2" t="s">
        <v>4546</v>
      </c>
      <c r="T6027" s="2">
        <v>0.88</v>
      </c>
      <c r="U6027" s="2">
        <v>58</v>
      </c>
      <c r="V6027" s="2">
        <v>62</v>
      </c>
      <c r="W6027" s="2" t="s">
        <v>7862</v>
      </c>
      <c r="X6027" s="2" t="s">
        <v>3061</v>
      </c>
      <c r="Y6027" s="2">
        <v>2880</v>
      </c>
      <c r="Z6027" s="19" t="str">
        <f>HYPERLINK("https://ssdweb.co/ssdweb/hd/Vision360.html?d=941191131&amp;zoomslide=1&amp;z=1941191131&amp;ISCONFIRM=0","VIDEO")</f>
        <v>VIDEO</v>
      </c>
      <c r="AA6027" s="19" t="str">
        <f>HYPERLINK("https://ssdweb.co/ssdweb/CERTH/678550446.pdf","CERTI")</f>
        <v>CERTI</v>
      </c>
    </row>
    <row r="6028" spans="1:27" ht="15" x14ac:dyDescent="0.25">
      <c r="A6028" s="2">
        <v>6023</v>
      </c>
      <c r="B6028" s="39">
        <v>925750680</v>
      </c>
      <c r="C6028" s="28" t="str">
        <f>HYPERLINK("https://pld.live/RapDetail.aspx?STONELIST=925750680","DNA")</f>
        <v>DNA</v>
      </c>
      <c r="D6028" s="18" t="s">
        <v>5847</v>
      </c>
      <c r="E6028" s="18" t="s">
        <v>5128</v>
      </c>
      <c r="F6028" s="2" t="s">
        <v>7987</v>
      </c>
      <c r="G6028" s="2" t="s">
        <v>5134</v>
      </c>
      <c r="H6028" s="14">
        <v>0.72</v>
      </c>
      <c r="I6028" s="2" t="s">
        <v>267</v>
      </c>
      <c r="J6028" s="2" t="s">
        <v>13</v>
      </c>
      <c r="K6028" s="2" t="s">
        <v>1452</v>
      </c>
      <c r="L6028" s="2" t="s">
        <v>5221</v>
      </c>
      <c r="M6028" s="2" t="s">
        <v>5221</v>
      </c>
      <c r="N6028" s="2" t="s">
        <v>2317</v>
      </c>
      <c r="O6028" s="14">
        <v>3700</v>
      </c>
      <c r="P6028" s="14">
        <v>96.05</v>
      </c>
      <c r="Q6028" s="14">
        <v>146.15</v>
      </c>
      <c r="R6028" s="14">
        <v>105.23</v>
      </c>
      <c r="S6028" s="2" t="s">
        <v>4217</v>
      </c>
      <c r="T6028" s="2">
        <v>0.87</v>
      </c>
      <c r="U6028" s="2">
        <v>59.3</v>
      </c>
      <c r="V6028" s="2">
        <v>65</v>
      </c>
      <c r="W6028" s="2" t="s">
        <v>7862</v>
      </c>
      <c r="X6028" s="2" t="s">
        <v>3061</v>
      </c>
      <c r="Y6028" s="2">
        <v>2664</v>
      </c>
      <c r="Z6028" s="19" t="str">
        <f>HYPERLINK("https://ssdweb.co/ssdweb/hd/Vision360.html?d=925750680&amp;zoomslide=1&amp;z=1925750680&amp;ISCONFIRM=0","VIDEO")</f>
        <v>VIDEO</v>
      </c>
      <c r="AA6028" s="19" t="str">
        <f>HYPERLINK("https://ssdweb.co/ssdweb/CERTH/626457205.pdf","CERTI")</f>
        <v>CERTI</v>
      </c>
    </row>
    <row r="6029" spans="1:27" ht="15" x14ac:dyDescent="0.25">
      <c r="A6029" s="2">
        <v>6024</v>
      </c>
      <c r="B6029" s="39">
        <v>941261120</v>
      </c>
      <c r="C6029" s="28" t="str">
        <f>HYPERLINK("https://pld.live/RapDetail.aspx?STONELIST=941261120","DNA")</f>
        <v>DNA</v>
      </c>
      <c r="D6029" s="18" t="s">
        <v>5847</v>
      </c>
      <c r="E6029" s="18" t="s">
        <v>5128</v>
      </c>
      <c r="F6029" s="2" t="s">
        <v>7987</v>
      </c>
      <c r="G6029" s="2" t="s">
        <v>5134</v>
      </c>
      <c r="H6029" s="14">
        <v>0.72</v>
      </c>
      <c r="I6029" s="2" t="s">
        <v>267</v>
      </c>
      <c r="J6029" s="2" t="s">
        <v>13</v>
      </c>
      <c r="K6029" s="2" t="s">
        <v>1452</v>
      </c>
      <c r="L6029" s="2" t="s">
        <v>5221</v>
      </c>
      <c r="M6029" s="2" t="s">
        <v>5221</v>
      </c>
      <c r="N6029" s="2" t="s">
        <v>2317</v>
      </c>
      <c r="O6029" s="14">
        <v>3700</v>
      </c>
      <c r="P6029" s="14">
        <v>95.89</v>
      </c>
      <c r="Q6029" s="14">
        <v>152.07</v>
      </c>
      <c r="R6029" s="14">
        <v>109.49</v>
      </c>
      <c r="S6029" s="2" t="s">
        <v>2100</v>
      </c>
      <c r="T6029" s="2">
        <v>0.86</v>
      </c>
      <c r="U6029" s="2">
        <v>56.4</v>
      </c>
      <c r="V6029" s="2">
        <v>62</v>
      </c>
      <c r="W6029" s="2" t="s">
        <v>7862</v>
      </c>
      <c r="X6029" s="2" t="s">
        <v>3061</v>
      </c>
      <c r="Y6029" s="2">
        <v>2664</v>
      </c>
      <c r="Z6029" s="19" t="str">
        <f>HYPERLINK("https://ssdweb.co/ssdweb/hd/Vision360.html?d=941261120&amp;zoomslide=1&amp;z=1941261120&amp;ISCONFIRM=0","VIDEO")</f>
        <v>VIDEO</v>
      </c>
      <c r="AA6029" s="19" t="str">
        <f>HYPERLINK("https://ssdweb.co/ssdweb/CERTH/691533670.pdf","CERTI")</f>
        <v>CERTI</v>
      </c>
    </row>
    <row r="6030" spans="1:27" ht="15" x14ac:dyDescent="0.25">
      <c r="A6030" s="2">
        <v>6025</v>
      </c>
      <c r="B6030" s="39">
        <v>941190885</v>
      </c>
      <c r="C6030" s="28" t="str">
        <f>HYPERLINK("https://pld.live/RapDetail.aspx?STONELIST=941190885","DNA")</f>
        <v>DNA</v>
      </c>
      <c r="D6030" s="18" t="s">
        <v>5847</v>
      </c>
      <c r="E6030" s="18" t="s">
        <v>5128</v>
      </c>
      <c r="F6030" s="2" t="s">
        <v>7987</v>
      </c>
      <c r="G6030" s="2" t="s">
        <v>5134</v>
      </c>
      <c r="H6030" s="14">
        <v>0.72</v>
      </c>
      <c r="I6030" s="2" t="s">
        <v>267</v>
      </c>
      <c r="J6030" s="2" t="s">
        <v>13</v>
      </c>
      <c r="K6030" s="2" t="s">
        <v>1452</v>
      </c>
      <c r="L6030" s="2" t="s">
        <v>5221</v>
      </c>
      <c r="M6030" s="2" t="s">
        <v>5221</v>
      </c>
      <c r="N6030" s="2" t="s">
        <v>2317</v>
      </c>
      <c r="O6030" s="14">
        <v>3700</v>
      </c>
      <c r="P6030" s="14">
        <v>95.89</v>
      </c>
      <c r="Q6030" s="14">
        <v>152.07</v>
      </c>
      <c r="R6030" s="14">
        <v>109.49</v>
      </c>
      <c r="S6030" s="2" t="s">
        <v>5426</v>
      </c>
      <c r="T6030" s="2">
        <v>0.9</v>
      </c>
      <c r="U6030" s="2">
        <v>58.1</v>
      </c>
      <c r="V6030" s="2">
        <v>61</v>
      </c>
      <c r="W6030" s="2" t="s">
        <v>7862</v>
      </c>
      <c r="X6030" s="2" t="s">
        <v>3061</v>
      </c>
      <c r="Y6030" s="2">
        <v>2664</v>
      </c>
      <c r="Z6030" s="19" t="str">
        <f>HYPERLINK("https://ssdweb.co/ssdweb/hd/Vision360.html?d=941190885&amp;zoomslide=1&amp;z=1941190885&amp;ISCONFIRM=0","VIDEO")</f>
        <v>VIDEO</v>
      </c>
      <c r="AA6030" s="19" t="str">
        <f>HYPERLINK("https://ssdweb.co/ssdweb/CERTH/678550444.pdf","CERTI")</f>
        <v>CERTI</v>
      </c>
    </row>
    <row r="6031" spans="1:27" ht="15" x14ac:dyDescent="0.25">
      <c r="A6031" s="2">
        <v>6026</v>
      </c>
      <c r="B6031" s="39">
        <v>941191317</v>
      </c>
      <c r="C6031" s="28" t="str">
        <f>HYPERLINK("https://pld.live/RapDetail.aspx?STONELIST=941191317","DNA")</f>
        <v>DNA</v>
      </c>
      <c r="D6031" s="18" t="s">
        <v>5847</v>
      </c>
      <c r="E6031" s="18" t="s">
        <v>5128</v>
      </c>
      <c r="F6031" s="2" t="s">
        <v>7987</v>
      </c>
      <c r="G6031" s="2" t="s">
        <v>5134</v>
      </c>
      <c r="H6031" s="14">
        <v>0.72</v>
      </c>
      <c r="I6031" s="2" t="s">
        <v>267</v>
      </c>
      <c r="J6031" s="2" t="s">
        <v>13</v>
      </c>
      <c r="K6031" s="2" t="s">
        <v>1452</v>
      </c>
      <c r="L6031" s="2" t="s">
        <v>5221</v>
      </c>
      <c r="M6031" s="2" t="s">
        <v>5221</v>
      </c>
      <c r="N6031" s="2" t="s">
        <v>2317</v>
      </c>
      <c r="O6031" s="14">
        <v>3700</v>
      </c>
      <c r="P6031" s="14">
        <v>95.89</v>
      </c>
      <c r="Q6031" s="14">
        <v>152.07</v>
      </c>
      <c r="R6031" s="14">
        <v>109.49</v>
      </c>
      <c r="S6031" s="2" t="s">
        <v>537</v>
      </c>
      <c r="T6031" s="2">
        <v>0.91</v>
      </c>
      <c r="U6031" s="2">
        <v>56.7</v>
      </c>
      <c r="V6031" s="2">
        <v>63</v>
      </c>
      <c r="W6031" s="2" t="s">
        <v>7862</v>
      </c>
      <c r="X6031" s="2" t="s">
        <v>3061</v>
      </c>
      <c r="Y6031" s="2">
        <v>2664</v>
      </c>
      <c r="Z6031" s="19" t="str">
        <f>HYPERLINK("https://ssdweb.co/ssdweb/hd/Vision360.html?d=941191317&amp;zoomslide=1&amp;z=1941191317&amp;ISCONFIRM=0","VIDEO")</f>
        <v>VIDEO</v>
      </c>
      <c r="AA6031" s="19" t="str">
        <f>HYPERLINK("https://ssdweb.co/ssdweb/CERTH/680505095.pdf","CERTI")</f>
        <v>CERTI</v>
      </c>
    </row>
    <row r="6032" spans="1:27" ht="15" x14ac:dyDescent="0.25">
      <c r="A6032" s="2">
        <v>6027</v>
      </c>
      <c r="B6032" s="39">
        <v>941170412</v>
      </c>
      <c r="C6032" s="28" t="str">
        <f>HYPERLINK("https://pld.live/RapDetail.aspx?STONELIST=941170412","DNA")</f>
        <v>DNA</v>
      </c>
      <c r="D6032" s="18" t="s">
        <v>5847</v>
      </c>
      <c r="E6032" s="18" t="s">
        <v>5128</v>
      </c>
      <c r="F6032" s="2" t="s">
        <v>7987</v>
      </c>
      <c r="G6032" s="2" t="s">
        <v>5134</v>
      </c>
      <c r="H6032" s="14">
        <v>0.72</v>
      </c>
      <c r="I6032" s="2" t="s">
        <v>4761</v>
      </c>
      <c r="J6032" s="2" t="s">
        <v>3942</v>
      </c>
      <c r="K6032" s="2" t="s">
        <v>1452</v>
      </c>
      <c r="L6032" s="2" t="s">
        <v>5221</v>
      </c>
      <c r="M6032" s="2" t="s">
        <v>5221</v>
      </c>
      <c r="N6032" s="2" t="s">
        <v>2317</v>
      </c>
      <c r="O6032" s="14">
        <v>3800</v>
      </c>
      <c r="P6032" s="14">
        <v>95.95</v>
      </c>
      <c r="Q6032" s="14">
        <v>153.9</v>
      </c>
      <c r="R6032" s="14">
        <v>110.81</v>
      </c>
      <c r="S6032" s="2" t="s">
        <v>6233</v>
      </c>
      <c r="T6032" s="2">
        <v>0.86</v>
      </c>
      <c r="U6032" s="2">
        <v>57.5</v>
      </c>
      <c r="V6032" s="2">
        <v>61</v>
      </c>
      <c r="W6032" s="2" t="s">
        <v>7862</v>
      </c>
      <c r="X6032" s="2" t="s">
        <v>3061</v>
      </c>
      <c r="Y6032" s="2">
        <v>2736</v>
      </c>
      <c r="Z6032" s="19" t="str">
        <f>HYPERLINK("https://ssdweb.co/ssdweb/hd/Vision360.html?d=941170412&amp;zoomslide=1&amp;z=1941170412&amp;ISCONFIRM=0","VIDEO")</f>
        <v>VIDEO</v>
      </c>
      <c r="AA6032" s="19" t="str">
        <f>HYPERLINK("https://ssdweb.co/ssdweb/CERTH/678550441.pdf","CERTI")</f>
        <v>CERTI</v>
      </c>
    </row>
    <row r="6033" spans="1:27" ht="15" x14ac:dyDescent="0.25">
      <c r="A6033" s="2">
        <v>6028</v>
      </c>
      <c r="B6033" s="39">
        <v>941260563</v>
      </c>
      <c r="C6033" s="28" t="str">
        <f>HYPERLINK("https://pld.live/RapDetail.aspx?STONELIST=941260563","DNA")</f>
        <v>DNA</v>
      </c>
      <c r="D6033" s="18" t="s">
        <v>5847</v>
      </c>
      <c r="E6033" s="18" t="s">
        <v>5128</v>
      </c>
      <c r="F6033" s="2" t="s">
        <v>7987</v>
      </c>
      <c r="G6033" s="2" t="s">
        <v>5134</v>
      </c>
      <c r="H6033" s="14">
        <v>0.71</v>
      </c>
      <c r="I6033" s="2" t="s">
        <v>267</v>
      </c>
      <c r="J6033" s="2" t="s">
        <v>3942</v>
      </c>
      <c r="K6033" s="2" t="s">
        <v>1452</v>
      </c>
      <c r="L6033" s="2" t="s">
        <v>5221</v>
      </c>
      <c r="M6033" s="2" t="s">
        <v>5221</v>
      </c>
      <c r="N6033" s="2" t="s">
        <v>2317</v>
      </c>
      <c r="O6033" s="14">
        <v>4000</v>
      </c>
      <c r="P6033" s="14">
        <v>96.05</v>
      </c>
      <c r="Q6033" s="14">
        <v>158</v>
      </c>
      <c r="R6033" s="14">
        <v>112.18</v>
      </c>
      <c r="S6033" s="2" t="s">
        <v>885</v>
      </c>
      <c r="T6033" s="2">
        <v>0.87</v>
      </c>
      <c r="U6033" s="2">
        <v>60.4</v>
      </c>
      <c r="V6033" s="2">
        <v>60</v>
      </c>
      <c r="W6033" s="2" t="s">
        <v>7862</v>
      </c>
      <c r="X6033" s="2" t="s">
        <v>3061</v>
      </c>
      <c r="Y6033" s="2">
        <v>2840</v>
      </c>
      <c r="Z6033" s="19" t="str">
        <f>HYPERLINK("https://ssdweb.co/ssdweb/hd/Vision360.html?d=941260563&amp;zoomslide=1&amp;z=1941260563&amp;ISCONFIRM=0","VIDEO")</f>
        <v>VIDEO</v>
      </c>
      <c r="AA6033" s="19" t="str">
        <f>HYPERLINK("https://ssdweb.co/ssdweb/CERTH/680505093.pdf","CERTI")</f>
        <v>CERTI</v>
      </c>
    </row>
    <row r="6034" spans="1:27" ht="15" x14ac:dyDescent="0.25">
      <c r="A6034" s="2">
        <v>6029</v>
      </c>
      <c r="B6034" s="39">
        <v>941261126</v>
      </c>
      <c r="C6034" s="28" t="str">
        <f>HYPERLINK("https://pld.live/RapDetail.aspx?STONELIST=941261126","DNA")</f>
        <v>DNA</v>
      </c>
      <c r="D6034" s="18" t="s">
        <v>5847</v>
      </c>
      <c r="E6034" s="18" t="s">
        <v>5128</v>
      </c>
      <c r="F6034" s="2" t="s">
        <v>7987</v>
      </c>
      <c r="G6034" s="2" t="s">
        <v>5134</v>
      </c>
      <c r="H6034" s="14">
        <v>0.71</v>
      </c>
      <c r="I6034" s="2" t="s">
        <v>267</v>
      </c>
      <c r="J6034" s="2" t="s">
        <v>3942</v>
      </c>
      <c r="K6034" s="2" t="s">
        <v>1452</v>
      </c>
      <c r="L6034" s="2" t="s">
        <v>5221</v>
      </c>
      <c r="M6034" s="2" t="s">
        <v>5221</v>
      </c>
      <c r="N6034" s="2" t="s">
        <v>2317</v>
      </c>
      <c r="O6034" s="14">
        <v>4000</v>
      </c>
      <c r="P6034" s="14">
        <v>96.05</v>
      </c>
      <c r="Q6034" s="14">
        <v>158</v>
      </c>
      <c r="R6034" s="14">
        <v>112.18</v>
      </c>
      <c r="S6034" s="2" t="s">
        <v>7235</v>
      </c>
      <c r="T6034" s="2">
        <v>0.86</v>
      </c>
      <c r="U6034" s="2">
        <v>56.2</v>
      </c>
      <c r="V6034" s="2">
        <v>61</v>
      </c>
      <c r="W6034" s="2" t="s">
        <v>7862</v>
      </c>
      <c r="X6034" s="2" t="s">
        <v>3061</v>
      </c>
      <c r="Y6034" s="2">
        <v>2840</v>
      </c>
      <c r="Z6034" s="19" t="str">
        <f>HYPERLINK("https://ssdweb.co/ssdweb/hd/Vision360.html?d=941261126&amp;zoomslide=1&amp;z=1941261126&amp;ISCONFIRM=0","VIDEO")</f>
        <v>VIDEO</v>
      </c>
      <c r="AA6034" s="19" t="str">
        <f>HYPERLINK("https://ssdweb.co/ssdweb/CERTH/692505613.pdf","CERTI")</f>
        <v>CERTI</v>
      </c>
    </row>
    <row r="6035" spans="1:27" ht="15" x14ac:dyDescent="0.25">
      <c r="A6035" s="2">
        <v>6030</v>
      </c>
      <c r="B6035" s="39">
        <v>941170410</v>
      </c>
      <c r="C6035" s="28" t="str">
        <f>HYPERLINK("https://pld.live/RapDetail.aspx?STONELIST=941170410","DNA")</f>
        <v>DNA</v>
      </c>
      <c r="D6035" s="18" t="s">
        <v>5847</v>
      </c>
      <c r="E6035" s="18" t="s">
        <v>5128</v>
      </c>
      <c r="F6035" s="2" t="s">
        <v>7987</v>
      </c>
      <c r="G6035" s="2" t="s">
        <v>5134</v>
      </c>
      <c r="H6035" s="14">
        <v>0.71</v>
      </c>
      <c r="I6035" s="2" t="s">
        <v>267</v>
      </c>
      <c r="J6035" s="2" t="s">
        <v>3942</v>
      </c>
      <c r="K6035" s="2" t="s">
        <v>1452</v>
      </c>
      <c r="L6035" s="2" t="s">
        <v>5221</v>
      </c>
      <c r="M6035" s="2" t="s">
        <v>5721</v>
      </c>
      <c r="N6035" s="2" t="s">
        <v>2317</v>
      </c>
      <c r="O6035" s="14">
        <v>4000</v>
      </c>
      <c r="P6035" s="14">
        <v>96.1</v>
      </c>
      <c r="Q6035" s="14">
        <v>156</v>
      </c>
      <c r="R6035" s="14">
        <v>110.76</v>
      </c>
      <c r="S6035" s="2" t="s">
        <v>689</v>
      </c>
      <c r="T6035" s="2">
        <v>0.91</v>
      </c>
      <c r="U6035" s="2">
        <v>57.1</v>
      </c>
      <c r="V6035" s="2">
        <v>59</v>
      </c>
      <c r="W6035" s="2" t="s">
        <v>7862</v>
      </c>
      <c r="X6035" s="2" t="s">
        <v>3061</v>
      </c>
      <c r="Y6035" s="2">
        <v>2840</v>
      </c>
      <c r="Z6035" s="19" t="str">
        <f>HYPERLINK("https://ssdweb.co/ssdweb/hd/Vision360.html?d=941170410&amp;zoomslide=1&amp;z=1941170410&amp;ISCONFIRM=0","VIDEO")</f>
        <v>VIDEO</v>
      </c>
      <c r="AA6035" s="19" t="str">
        <f>HYPERLINK("https://ssdweb.co/ssdweb/CERTH/678550436.pdf","CERTI")</f>
        <v>CERTI</v>
      </c>
    </row>
    <row r="6036" spans="1:27" ht="15" x14ac:dyDescent="0.25">
      <c r="A6036" s="2">
        <v>6031</v>
      </c>
      <c r="B6036" s="39">
        <v>941170536</v>
      </c>
      <c r="C6036" s="28" t="str">
        <f>HYPERLINK("https://pld.live/RapDetail.aspx?STONELIST=941170536","DNA")</f>
        <v>DNA</v>
      </c>
      <c r="D6036" s="18" t="s">
        <v>5847</v>
      </c>
      <c r="E6036" s="18" t="s">
        <v>5128</v>
      </c>
      <c r="F6036" s="2" t="s">
        <v>7987</v>
      </c>
      <c r="G6036" s="2" t="s">
        <v>5134</v>
      </c>
      <c r="H6036" s="14">
        <v>0.71</v>
      </c>
      <c r="I6036" s="2" t="s">
        <v>267</v>
      </c>
      <c r="J6036" s="2" t="s">
        <v>3942</v>
      </c>
      <c r="K6036" s="2" t="s">
        <v>1452</v>
      </c>
      <c r="L6036" s="2" t="s">
        <v>5221</v>
      </c>
      <c r="M6036" s="2" t="s">
        <v>5721</v>
      </c>
      <c r="N6036" s="2" t="s">
        <v>2317</v>
      </c>
      <c r="O6036" s="14">
        <v>4000</v>
      </c>
      <c r="P6036" s="14">
        <v>96.1</v>
      </c>
      <c r="Q6036" s="14">
        <v>156</v>
      </c>
      <c r="R6036" s="14">
        <v>110.76</v>
      </c>
      <c r="S6036" s="2" t="s">
        <v>6892</v>
      </c>
      <c r="T6036" s="2">
        <v>0.92</v>
      </c>
      <c r="U6036" s="2">
        <v>58.5</v>
      </c>
      <c r="V6036" s="2">
        <v>60</v>
      </c>
      <c r="W6036" s="2" t="s">
        <v>7862</v>
      </c>
      <c r="X6036" s="2" t="s">
        <v>3061</v>
      </c>
      <c r="Y6036" s="2">
        <v>2840</v>
      </c>
      <c r="Z6036" s="19" t="str">
        <f>HYPERLINK("https://ssdweb.co/ssdweb/hd/Vision360.html?d=941170536&amp;zoomslide=1&amp;z=1941170536&amp;ISCONFIRM=0","VIDEO")</f>
        <v>VIDEO</v>
      </c>
      <c r="AA6036" s="19" t="str">
        <f>HYPERLINK("https://ssdweb.co/ssdweb/CERTH/678550438.pdf","CERTI")</f>
        <v>CERTI</v>
      </c>
    </row>
    <row r="6037" spans="1:27" ht="15" x14ac:dyDescent="0.25">
      <c r="A6037" s="2">
        <v>6032</v>
      </c>
      <c r="B6037" s="39">
        <v>941261115</v>
      </c>
      <c r="C6037" s="28" t="str">
        <f>HYPERLINK("https://pld.live/RapDetail.aspx?STONELIST=941261115","DNA")</f>
        <v>DNA</v>
      </c>
      <c r="D6037" s="18" t="s">
        <v>5847</v>
      </c>
      <c r="E6037" s="18" t="s">
        <v>5128</v>
      </c>
      <c r="F6037" s="2" t="s">
        <v>7987</v>
      </c>
      <c r="G6037" s="2" t="s">
        <v>5134</v>
      </c>
      <c r="H6037" s="14">
        <v>0.71</v>
      </c>
      <c r="I6037" s="2" t="s">
        <v>267</v>
      </c>
      <c r="J6037" s="2" t="s">
        <v>13</v>
      </c>
      <c r="K6037" s="2" t="s">
        <v>1452</v>
      </c>
      <c r="L6037" s="2" t="s">
        <v>5221</v>
      </c>
      <c r="M6037" s="2" t="s">
        <v>5221</v>
      </c>
      <c r="N6037" s="2" t="s">
        <v>2317</v>
      </c>
      <c r="O6037" s="14">
        <v>3700</v>
      </c>
      <c r="P6037" s="14">
        <v>95.89</v>
      </c>
      <c r="Q6037" s="14">
        <v>152.07</v>
      </c>
      <c r="R6037" s="14">
        <v>107.97</v>
      </c>
      <c r="S6037" s="2" t="s">
        <v>2176</v>
      </c>
      <c r="T6037" s="2">
        <v>0.88</v>
      </c>
      <c r="U6037" s="2">
        <v>59.2</v>
      </c>
      <c r="V6037" s="2">
        <v>60</v>
      </c>
      <c r="W6037" s="2" t="s">
        <v>7862</v>
      </c>
      <c r="X6037" s="2" t="s">
        <v>3061</v>
      </c>
      <c r="Y6037" s="2">
        <v>2627</v>
      </c>
      <c r="Z6037" s="19" t="str">
        <f>HYPERLINK("https://ssdweb.co/ssdweb/hd/Vision360.html?d=941261115&amp;zoomslide=1&amp;z=1941261115&amp;ISCONFIRM=0","VIDEO")</f>
        <v>VIDEO</v>
      </c>
      <c r="AA6037" s="19" t="str">
        <f>HYPERLINK("https://ssdweb.co/ssdweb/CERTH/691533666.pdf","CERTI")</f>
        <v>CERTI</v>
      </c>
    </row>
    <row r="6038" spans="1:27" ht="15" x14ac:dyDescent="0.25">
      <c r="A6038" s="2">
        <v>6033</v>
      </c>
      <c r="B6038" s="39">
        <v>924390500</v>
      </c>
      <c r="C6038" s="28" t="str">
        <f>HYPERLINK("https://pld.live/RapDetail.aspx?STONELIST=924390500","DNA")</f>
        <v>DNA</v>
      </c>
      <c r="D6038" s="18" t="s">
        <v>5847</v>
      </c>
      <c r="E6038" s="18" t="s">
        <v>5128</v>
      </c>
      <c r="F6038" s="2" t="s">
        <v>7987</v>
      </c>
      <c r="G6038" s="2" t="s">
        <v>5134</v>
      </c>
      <c r="H6038" s="14">
        <v>0.71</v>
      </c>
      <c r="I6038" s="2" t="s">
        <v>267</v>
      </c>
      <c r="J6038" s="2" t="s">
        <v>444</v>
      </c>
      <c r="K6038" s="2" t="s">
        <v>1452</v>
      </c>
      <c r="L6038" s="2" t="s">
        <v>5221</v>
      </c>
      <c r="M6038" s="2" t="s">
        <v>5221</v>
      </c>
      <c r="N6038" s="2" t="s">
        <v>2317</v>
      </c>
      <c r="O6038" s="14">
        <v>2800</v>
      </c>
      <c r="P6038" s="14">
        <v>95.21</v>
      </c>
      <c r="Q6038" s="14">
        <v>134.12</v>
      </c>
      <c r="R6038" s="14">
        <v>95.23</v>
      </c>
      <c r="S6038" s="2" t="s">
        <v>2341</v>
      </c>
      <c r="T6038" s="2">
        <v>0.91</v>
      </c>
      <c r="U6038" s="2">
        <v>56.3</v>
      </c>
      <c r="V6038" s="2">
        <v>58</v>
      </c>
      <c r="W6038" s="2" t="s">
        <v>7862</v>
      </c>
      <c r="X6038" s="2" t="s">
        <v>3061</v>
      </c>
      <c r="Y6038" s="2">
        <v>1988</v>
      </c>
      <c r="Z6038" s="19" t="str">
        <f>HYPERLINK("https://ssdweb.co/ssdweb/hd/Vision360.html?d=924390500&amp;zoomslide=1&amp;z=1924390500&amp;ISCONFIRM=0","VIDEO")</f>
        <v>VIDEO</v>
      </c>
      <c r="AA6038" s="19" t="str">
        <f>HYPERLINK("https://ssdweb.co/ssdweb/CERTH/595368163.pdf","CERTI")</f>
        <v>CERTI</v>
      </c>
    </row>
    <row r="6039" spans="1:27" ht="15" x14ac:dyDescent="0.25">
      <c r="A6039" s="2">
        <v>6034</v>
      </c>
      <c r="B6039" s="39">
        <v>941160553</v>
      </c>
      <c r="C6039" s="28" t="str">
        <f>HYPERLINK("https://pld.live/RapDetail.aspx?STONELIST=941160553","DNA")</f>
        <v>DNA</v>
      </c>
      <c r="D6039" s="18" t="s">
        <v>5847</v>
      </c>
      <c r="E6039" s="18" t="s">
        <v>5128</v>
      </c>
      <c r="F6039" s="2" t="s">
        <v>7987</v>
      </c>
      <c r="G6039" s="2" t="s">
        <v>5134</v>
      </c>
      <c r="H6039" s="14">
        <v>0.71</v>
      </c>
      <c r="I6039" s="2" t="s">
        <v>4699</v>
      </c>
      <c r="J6039" s="2" t="s">
        <v>5144</v>
      </c>
      <c r="K6039" s="2" t="s">
        <v>1452</v>
      </c>
      <c r="L6039" s="2" t="s">
        <v>5221</v>
      </c>
      <c r="M6039" s="2" t="s">
        <v>5721</v>
      </c>
      <c r="N6039" s="2" t="s">
        <v>2317</v>
      </c>
      <c r="O6039" s="14">
        <v>3000</v>
      </c>
      <c r="P6039" s="14">
        <v>95.37</v>
      </c>
      <c r="Q6039" s="14">
        <v>138.9</v>
      </c>
      <c r="R6039" s="14">
        <v>98.62</v>
      </c>
      <c r="S6039" s="2" t="s">
        <v>4606</v>
      </c>
      <c r="T6039" s="2">
        <v>0.9</v>
      </c>
      <c r="U6039" s="2">
        <v>56.8</v>
      </c>
      <c r="V6039" s="2">
        <v>63</v>
      </c>
      <c r="W6039" s="2" t="s">
        <v>7862</v>
      </c>
      <c r="X6039" s="2" t="s">
        <v>3061</v>
      </c>
      <c r="Y6039" s="2">
        <v>2130</v>
      </c>
      <c r="Z6039" s="19" t="str">
        <f>HYPERLINK("https://ssdweb.co/ssdweb/hd/Vision360.html?d=941160553&amp;zoomslide=1&amp;z=1941160553&amp;ISCONFIRM=0","VIDEO")</f>
        <v>VIDEO</v>
      </c>
      <c r="AA6039" s="19" t="str">
        <f>HYPERLINK("https://ssdweb.co/ssdweb/CERTH/675504564.pdf","CERTI")</f>
        <v>CERTI</v>
      </c>
    </row>
    <row r="6040" spans="1:27" ht="15" x14ac:dyDescent="0.25">
      <c r="A6040" s="2">
        <v>6035</v>
      </c>
      <c r="B6040" s="39">
        <v>924880377</v>
      </c>
      <c r="C6040" s="28" t="str">
        <f>HYPERLINK("https://pld.live/RapDetail.aspx?STONELIST=924880377","DNA")</f>
        <v>DNA</v>
      </c>
      <c r="D6040" s="18" t="s">
        <v>5847</v>
      </c>
      <c r="E6040" s="18" t="s">
        <v>5128</v>
      </c>
      <c r="F6040" s="2" t="s">
        <v>7987</v>
      </c>
      <c r="G6040" s="2" t="s">
        <v>5134</v>
      </c>
      <c r="H6040" s="14">
        <v>0.7</v>
      </c>
      <c r="I6040" s="2" t="s">
        <v>267</v>
      </c>
      <c r="J6040" s="2" t="s">
        <v>6555</v>
      </c>
      <c r="K6040" s="2" t="s">
        <v>1452</v>
      </c>
      <c r="L6040" s="2" t="s">
        <v>5221</v>
      </c>
      <c r="M6040" s="2" t="s">
        <v>5221</v>
      </c>
      <c r="N6040" s="2" t="s">
        <v>2317</v>
      </c>
      <c r="O6040" s="14">
        <v>4300</v>
      </c>
      <c r="P6040" s="14">
        <v>95.95</v>
      </c>
      <c r="Q6040" s="14">
        <v>174.15</v>
      </c>
      <c r="R6040" s="14">
        <v>121.91</v>
      </c>
      <c r="S6040" s="2" t="s">
        <v>4044</v>
      </c>
      <c r="T6040" s="2">
        <v>0.86</v>
      </c>
      <c r="U6040" s="2">
        <v>60.5</v>
      </c>
      <c r="V6040" s="2">
        <v>54</v>
      </c>
      <c r="W6040" s="2" t="s">
        <v>7862</v>
      </c>
      <c r="X6040" s="2" t="s">
        <v>3061</v>
      </c>
      <c r="Y6040" s="2">
        <v>3010</v>
      </c>
      <c r="Z6040" s="19" t="str">
        <f>HYPERLINK("https://ssdweb.co/ssdweb/hd/Vision360.html?d=924880377&amp;zoomslide=1&amp;z=1924880377&amp;ISCONFIRM=0","VIDEO")</f>
        <v>VIDEO</v>
      </c>
      <c r="AA6040" s="19" t="str">
        <f>HYPERLINK("https://ssdweb.co/ssdweb/CERTH/611396912.pdf","CERTI")</f>
        <v>CERTI</v>
      </c>
    </row>
    <row r="6041" spans="1:27" ht="15" x14ac:dyDescent="0.25">
      <c r="A6041" s="2">
        <v>6036</v>
      </c>
      <c r="B6041" s="39">
        <v>941261131</v>
      </c>
      <c r="C6041" s="28" t="str">
        <f>HYPERLINK("https://pld.live/RapDetail.aspx?STONELIST=941261131","DNA")</f>
        <v>DNA</v>
      </c>
      <c r="D6041" s="18" t="s">
        <v>5847</v>
      </c>
      <c r="E6041" s="18" t="s">
        <v>5128</v>
      </c>
      <c r="F6041" s="2" t="s">
        <v>7987</v>
      </c>
      <c r="G6041" s="2" t="s">
        <v>5134</v>
      </c>
      <c r="H6041" s="14">
        <v>0.7</v>
      </c>
      <c r="I6041" s="2" t="s">
        <v>267</v>
      </c>
      <c r="J6041" s="2" t="s">
        <v>6555</v>
      </c>
      <c r="K6041" s="2" t="s">
        <v>1452</v>
      </c>
      <c r="L6041" s="2" t="s">
        <v>5221</v>
      </c>
      <c r="M6041" s="2" t="s">
        <v>5221</v>
      </c>
      <c r="N6041" s="2" t="s">
        <v>2317</v>
      </c>
      <c r="O6041" s="14">
        <v>4300</v>
      </c>
      <c r="P6041" s="14">
        <v>95.81</v>
      </c>
      <c r="Q6041" s="14">
        <v>180.17</v>
      </c>
      <c r="R6041" s="14">
        <v>126.12</v>
      </c>
      <c r="S6041" s="2" t="s">
        <v>5863</v>
      </c>
      <c r="T6041" s="2">
        <v>0.85</v>
      </c>
      <c r="U6041" s="2">
        <v>56.8</v>
      </c>
      <c r="V6041" s="2">
        <v>59</v>
      </c>
      <c r="W6041" s="2" t="s">
        <v>7862</v>
      </c>
      <c r="X6041" s="2" t="s">
        <v>3061</v>
      </c>
      <c r="Y6041" s="2">
        <v>3010</v>
      </c>
      <c r="Z6041" s="19" t="str">
        <f>HYPERLINK("https://ssdweb.co/ssdweb/hd/Vision360.html?d=941261131&amp;zoomslide=1&amp;z=1941261131&amp;ISCONFIRM=0","VIDEO")</f>
        <v>VIDEO</v>
      </c>
      <c r="AA6041" s="19" t="str">
        <f>HYPERLINK("https://ssdweb.co/ssdweb/CERTH/692505618.pdf","CERTI")</f>
        <v>CERTI</v>
      </c>
    </row>
    <row r="6042" spans="1:27" ht="15" x14ac:dyDescent="0.25">
      <c r="A6042" s="2">
        <v>6037</v>
      </c>
      <c r="B6042" s="39">
        <v>941190970</v>
      </c>
      <c r="C6042" s="28" t="str">
        <f>HYPERLINK("https://pld.live/RapDetail.aspx?STONELIST=941190970","DNA")</f>
        <v>DNA</v>
      </c>
      <c r="D6042" s="18" t="s">
        <v>5847</v>
      </c>
      <c r="E6042" s="18" t="s">
        <v>5128</v>
      </c>
      <c r="F6042" s="2" t="s">
        <v>7987</v>
      </c>
      <c r="G6042" s="2" t="s">
        <v>5134</v>
      </c>
      <c r="H6042" s="14">
        <v>0.7</v>
      </c>
      <c r="I6042" s="2" t="s">
        <v>267</v>
      </c>
      <c r="J6042" s="2" t="s">
        <v>3942</v>
      </c>
      <c r="K6042" s="2" t="s">
        <v>1452</v>
      </c>
      <c r="L6042" s="2" t="s">
        <v>5221</v>
      </c>
      <c r="M6042" s="2" t="s">
        <v>5221</v>
      </c>
      <c r="N6042" s="2" t="s">
        <v>2317</v>
      </c>
      <c r="O6042" s="14">
        <v>4000</v>
      </c>
      <c r="P6042" s="14">
        <v>96.05</v>
      </c>
      <c r="Q6042" s="14">
        <v>158</v>
      </c>
      <c r="R6042" s="14">
        <v>110.6</v>
      </c>
      <c r="S6042" s="2" t="s">
        <v>4962</v>
      </c>
      <c r="T6042" s="2">
        <v>0.9</v>
      </c>
      <c r="U6042" s="2">
        <v>55.7</v>
      </c>
      <c r="V6042" s="2">
        <v>65</v>
      </c>
      <c r="W6042" s="2" t="s">
        <v>7862</v>
      </c>
      <c r="X6042" s="2" t="s">
        <v>3061</v>
      </c>
      <c r="Y6042" s="2">
        <v>2800</v>
      </c>
      <c r="Z6042" s="19" t="str">
        <f>HYPERLINK("https://ssdweb.co/ssdweb/hd/Vision360.html?d=941190970&amp;zoomslide=1&amp;z=1941190970&amp;ISCONFIRM=0","VIDEO")</f>
        <v>VIDEO</v>
      </c>
      <c r="AA6042" s="19" t="str">
        <f>HYPERLINK("https://ssdweb.co/ssdweb/CERTH/678550434.pdf","CERTI")</f>
        <v>CERTI</v>
      </c>
    </row>
    <row r="6043" spans="1:27" ht="15" x14ac:dyDescent="0.25">
      <c r="A6043" s="2">
        <v>6038</v>
      </c>
      <c r="B6043" s="39">
        <v>941260955</v>
      </c>
      <c r="C6043" s="28" t="str">
        <f>HYPERLINK("https://pld.live/RapDetail.aspx?STONELIST=941260955","DNA")</f>
        <v>DNA</v>
      </c>
      <c r="D6043" s="18" t="s">
        <v>5847</v>
      </c>
      <c r="E6043" s="18" t="s">
        <v>5128</v>
      </c>
      <c r="F6043" s="2" t="s">
        <v>7987</v>
      </c>
      <c r="G6043" s="2" t="s">
        <v>5134</v>
      </c>
      <c r="H6043" s="14">
        <v>0.7</v>
      </c>
      <c r="I6043" s="2" t="s">
        <v>267</v>
      </c>
      <c r="J6043" s="2" t="s">
        <v>3942</v>
      </c>
      <c r="K6043" s="2" t="s">
        <v>1452</v>
      </c>
      <c r="L6043" s="2" t="s">
        <v>5221</v>
      </c>
      <c r="M6043" s="2" t="s">
        <v>5221</v>
      </c>
      <c r="N6043" s="2" t="s">
        <v>2317</v>
      </c>
      <c r="O6043" s="14">
        <v>4000</v>
      </c>
      <c r="P6043" s="14">
        <v>96.05</v>
      </c>
      <c r="Q6043" s="14">
        <v>158</v>
      </c>
      <c r="R6043" s="14">
        <v>110.6</v>
      </c>
      <c r="S6043" s="2" t="s">
        <v>446</v>
      </c>
      <c r="T6043" s="2">
        <v>0.87</v>
      </c>
      <c r="U6043" s="2">
        <v>55.9</v>
      </c>
      <c r="V6043" s="2">
        <v>62</v>
      </c>
      <c r="W6043" s="2" t="s">
        <v>7862</v>
      </c>
      <c r="X6043" s="2" t="s">
        <v>3061</v>
      </c>
      <c r="Y6043" s="2">
        <v>2800</v>
      </c>
      <c r="Z6043" s="19" t="str">
        <f>HYPERLINK("https://ssdweb.co/ssdweb/hd/Vision360.html?d=941260955&amp;zoomslide=1&amp;z=1941260955&amp;ISCONFIRM=0","VIDEO")</f>
        <v>VIDEO</v>
      </c>
      <c r="AA6043" s="19" t="str">
        <f>HYPERLINK("https://ssdweb.co/ssdweb/CERTH/681569622.pdf","CERTI")</f>
        <v>CERTI</v>
      </c>
    </row>
    <row r="6044" spans="1:27" ht="15" x14ac:dyDescent="0.25">
      <c r="A6044" s="2">
        <v>6039</v>
      </c>
      <c r="B6044" s="39">
        <v>941261122</v>
      </c>
      <c r="C6044" s="28" t="str">
        <f>HYPERLINK("https://pld.live/RapDetail.aspx?STONELIST=941261122","DNA")</f>
        <v>DNA</v>
      </c>
      <c r="D6044" s="18" t="s">
        <v>5847</v>
      </c>
      <c r="E6044" s="18" t="s">
        <v>5128</v>
      </c>
      <c r="F6044" s="2" t="s">
        <v>7987</v>
      </c>
      <c r="G6044" s="2" t="s">
        <v>5134</v>
      </c>
      <c r="H6044" s="14">
        <v>0.7</v>
      </c>
      <c r="I6044" s="2" t="s">
        <v>267</v>
      </c>
      <c r="J6044" s="2" t="s">
        <v>3942</v>
      </c>
      <c r="K6044" s="2" t="s">
        <v>1452</v>
      </c>
      <c r="L6044" s="2" t="s">
        <v>5221</v>
      </c>
      <c r="M6044" s="2" t="s">
        <v>5221</v>
      </c>
      <c r="N6044" s="2" t="s">
        <v>2317</v>
      </c>
      <c r="O6044" s="14">
        <v>4000</v>
      </c>
      <c r="P6044" s="14">
        <v>96.05</v>
      </c>
      <c r="Q6044" s="14">
        <v>158</v>
      </c>
      <c r="R6044" s="14">
        <v>110.6</v>
      </c>
      <c r="S6044" s="2" t="s">
        <v>1655</v>
      </c>
      <c r="T6044" s="2">
        <v>0.85</v>
      </c>
      <c r="U6044" s="2">
        <v>58.6</v>
      </c>
      <c r="V6044" s="2">
        <v>58</v>
      </c>
      <c r="W6044" s="2" t="s">
        <v>7862</v>
      </c>
      <c r="X6044" s="2" t="s">
        <v>3061</v>
      </c>
      <c r="Y6044" s="2">
        <v>2800</v>
      </c>
      <c r="Z6044" s="19" t="str">
        <f>HYPERLINK("https://ssdweb.co/ssdweb/hd/Vision360.html?d=941261122&amp;zoomslide=1&amp;z=1941261122&amp;ISCONFIRM=0","VIDEO")</f>
        <v>VIDEO</v>
      </c>
      <c r="AA6044" s="19" t="str">
        <f>HYPERLINK("https://ssdweb.co/ssdweb/CERTH/691577882.pdf","CERTI")</f>
        <v>CERTI</v>
      </c>
    </row>
    <row r="6045" spans="1:27" ht="15" x14ac:dyDescent="0.25">
      <c r="A6045" s="2">
        <v>6040</v>
      </c>
      <c r="B6045" s="39">
        <v>941261123</v>
      </c>
      <c r="C6045" s="28" t="str">
        <f>HYPERLINK("https://pld.live/RapDetail.aspx?STONELIST=941261123","DNA")</f>
        <v>DNA</v>
      </c>
      <c r="D6045" s="18" t="s">
        <v>5847</v>
      </c>
      <c r="E6045" s="18" t="s">
        <v>5128</v>
      </c>
      <c r="F6045" s="2" t="s">
        <v>7987</v>
      </c>
      <c r="G6045" s="2" t="s">
        <v>5134</v>
      </c>
      <c r="H6045" s="14">
        <v>0.7</v>
      </c>
      <c r="I6045" s="2" t="s">
        <v>267</v>
      </c>
      <c r="J6045" s="2" t="s">
        <v>3942</v>
      </c>
      <c r="K6045" s="2" t="s">
        <v>1452</v>
      </c>
      <c r="L6045" s="2" t="s">
        <v>5221</v>
      </c>
      <c r="M6045" s="2" t="s">
        <v>5221</v>
      </c>
      <c r="N6045" s="2" t="s">
        <v>2317</v>
      </c>
      <c r="O6045" s="14">
        <v>4000</v>
      </c>
      <c r="P6045" s="14">
        <v>96.05</v>
      </c>
      <c r="Q6045" s="14">
        <v>158</v>
      </c>
      <c r="R6045" s="14">
        <v>110.6</v>
      </c>
      <c r="S6045" s="2" t="s">
        <v>679</v>
      </c>
      <c r="T6045" s="2">
        <v>0.9</v>
      </c>
      <c r="U6045" s="2">
        <v>57.9</v>
      </c>
      <c r="V6045" s="2">
        <v>61</v>
      </c>
      <c r="W6045" s="2" t="s">
        <v>7862</v>
      </c>
      <c r="X6045" s="2" t="s">
        <v>3061</v>
      </c>
      <c r="Y6045" s="2">
        <v>2800</v>
      </c>
      <c r="Z6045" s="19" t="str">
        <f>HYPERLINK("https://ssdweb.co/ssdweb/hd/Vision360.html?d=941261123&amp;zoomslide=1&amp;z=1941261123&amp;ISCONFIRM=0","VIDEO")</f>
        <v>VIDEO</v>
      </c>
      <c r="AA6045" s="19" t="str">
        <f>HYPERLINK("https://ssdweb.co/ssdweb/CERTH/691577883.pdf","CERTI")</f>
        <v>CERTI</v>
      </c>
    </row>
    <row r="6046" spans="1:27" ht="15" x14ac:dyDescent="0.25">
      <c r="A6046" s="2">
        <v>6041</v>
      </c>
      <c r="B6046" s="39">
        <v>941261129</v>
      </c>
      <c r="C6046" s="28" t="str">
        <f>HYPERLINK("https://pld.live/RapDetail.aspx?STONELIST=941261129","DNA")</f>
        <v>DNA</v>
      </c>
      <c r="D6046" s="18" t="s">
        <v>5847</v>
      </c>
      <c r="E6046" s="18" t="s">
        <v>5128</v>
      </c>
      <c r="F6046" s="2" t="s">
        <v>7987</v>
      </c>
      <c r="G6046" s="2" t="s">
        <v>5134</v>
      </c>
      <c r="H6046" s="14">
        <v>0.7</v>
      </c>
      <c r="I6046" s="2" t="s">
        <v>267</v>
      </c>
      <c r="J6046" s="2" t="s">
        <v>3942</v>
      </c>
      <c r="K6046" s="2" t="s">
        <v>1452</v>
      </c>
      <c r="L6046" s="2" t="s">
        <v>5221</v>
      </c>
      <c r="M6046" s="2" t="s">
        <v>5221</v>
      </c>
      <c r="N6046" s="2" t="s">
        <v>2317</v>
      </c>
      <c r="O6046" s="14">
        <v>4000</v>
      </c>
      <c r="P6046" s="14">
        <v>96.05</v>
      </c>
      <c r="Q6046" s="14">
        <v>158</v>
      </c>
      <c r="R6046" s="14">
        <v>110.6</v>
      </c>
      <c r="S6046" s="2" t="s">
        <v>7325</v>
      </c>
      <c r="T6046" s="2">
        <v>0.89</v>
      </c>
      <c r="U6046" s="2">
        <v>57.4</v>
      </c>
      <c r="V6046" s="2">
        <v>61</v>
      </c>
      <c r="W6046" s="2" t="s">
        <v>7862</v>
      </c>
      <c r="X6046" s="2" t="s">
        <v>3061</v>
      </c>
      <c r="Y6046" s="2">
        <v>2800</v>
      </c>
      <c r="Z6046" s="19" t="str">
        <f>HYPERLINK("https://ssdweb.co/ssdweb/hd/Vision360.html?d=941261129&amp;zoomslide=1&amp;z=1941261129&amp;ISCONFIRM=0","VIDEO")</f>
        <v>VIDEO</v>
      </c>
      <c r="AA6046" s="19" t="str">
        <f>HYPERLINK("https://ssdweb.co/ssdweb/CERTH/692505616.pdf","CERTI")</f>
        <v>CERTI</v>
      </c>
    </row>
    <row r="6047" spans="1:27" ht="15" x14ac:dyDescent="0.25">
      <c r="A6047" s="2">
        <v>6042</v>
      </c>
      <c r="B6047" s="39">
        <v>941261105</v>
      </c>
      <c r="C6047" s="28" t="str">
        <f>HYPERLINK("https://pld.live/RapDetail.aspx?STONELIST=941261105","DNA")</f>
        <v>DNA</v>
      </c>
      <c r="D6047" s="18" t="s">
        <v>5847</v>
      </c>
      <c r="E6047" s="18" t="s">
        <v>5128</v>
      </c>
      <c r="F6047" s="2" t="s">
        <v>7987</v>
      </c>
      <c r="G6047" s="2" t="s">
        <v>5134</v>
      </c>
      <c r="H6047" s="14">
        <v>0.7</v>
      </c>
      <c r="I6047" s="2" t="s">
        <v>267</v>
      </c>
      <c r="J6047" s="2" t="s">
        <v>13</v>
      </c>
      <c r="K6047" s="2" t="s">
        <v>1452</v>
      </c>
      <c r="L6047" s="2" t="s">
        <v>5221</v>
      </c>
      <c r="M6047" s="2" t="s">
        <v>5221</v>
      </c>
      <c r="N6047" s="2" t="s">
        <v>2317</v>
      </c>
      <c r="O6047" s="14">
        <v>3700</v>
      </c>
      <c r="P6047" s="14">
        <v>95.89</v>
      </c>
      <c r="Q6047" s="14">
        <v>152.07</v>
      </c>
      <c r="R6047" s="14">
        <v>106.45</v>
      </c>
      <c r="S6047" s="2" t="s">
        <v>3812</v>
      </c>
      <c r="T6047" s="2">
        <v>0.89</v>
      </c>
      <c r="U6047" s="2">
        <v>59.1</v>
      </c>
      <c r="V6047" s="2">
        <v>60</v>
      </c>
      <c r="W6047" s="2" t="s">
        <v>7862</v>
      </c>
      <c r="X6047" s="2" t="s">
        <v>3061</v>
      </c>
      <c r="Y6047" s="2">
        <v>2590</v>
      </c>
      <c r="Z6047" s="19" t="str">
        <f>HYPERLINK("https://ssdweb.co/ssdweb/hd/Vision360.html?d=941261105&amp;zoomslide=1&amp;z=1941261105&amp;ISCONFIRM=0","VIDEO")</f>
        <v>VIDEO</v>
      </c>
      <c r="AA6047" s="19" t="str">
        <f>HYPERLINK("https://ssdweb.co/ssdweb/CERTH/689587163.pdf","CERTI")</f>
        <v>CERTI</v>
      </c>
    </row>
    <row r="6048" spans="1:27" ht="15" x14ac:dyDescent="0.25">
      <c r="A6048" s="2">
        <v>6043</v>
      </c>
      <c r="B6048" s="39">
        <v>941261107</v>
      </c>
      <c r="C6048" s="28" t="str">
        <f>HYPERLINK("https://pld.live/RapDetail.aspx?STONELIST=941261107","DNA")</f>
        <v>DNA</v>
      </c>
      <c r="D6048" s="18" t="s">
        <v>5847</v>
      </c>
      <c r="E6048" s="18" t="s">
        <v>5128</v>
      </c>
      <c r="F6048" s="2" t="s">
        <v>7987</v>
      </c>
      <c r="G6048" s="2" t="s">
        <v>5134</v>
      </c>
      <c r="H6048" s="14">
        <v>0.7</v>
      </c>
      <c r="I6048" s="2" t="s">
        <v>267</v>
      </c>
      <c r="J6048" s="2" t="s">
        <v>13</v>
      </c>
      <c r="K6048" s="2" t="s">
        <v>1452</v>
      </c>
      <c r="L6048" s="2" t="s">
        <v>5221</v>
      </c>
      <c r="M6048" s="2" t="s">
        <v>5221</v>
      </c>
      <c r="N6048" s="2" t="s">
        <v>2317</v>
      </c>
      <c r="O6048" s="14">
        <v>3700</v>
      </c>
      <c r="P6048" s="14">
        <v>95.89</v>
      </c>
      <c r="Q6048" s="14">
        <v>152.07</v>
      </c>
      <c r="R6048" s="14">
        <v>106.45</v>
      </c>
      <c r="S6048" s="2" t="s">
        <v>5094</v>
      </c>
      <c r="T6048" s="2">
        <v>0.88</v>
      </c>
      <c r="U6048" s="2">
        <v>56.2</v>
      </c>
      <c r="V6048" s="2">
        <v>60</v>
      </c>
      <c r="W6048" s="2" t="s">
        <v>7862</v>
      </c>
      <c r="X6048" s="2" t="s">
        <v>3061</v>
      </c>
      <c r="Y6048" s="2">
        <v>2590</v>
      </c>
      <c r="Z6048" s="19" t="str">
        <f>HYPERLINK("https://ssdweb.co/ssdweb/hd/Vision360.html?d=941261107&amp;zoomslide=1&amp;z=1941261107&amp;ISCONFIRM=0","VIDEO")</f>
        <v>VIDEO</v>
      </c>
      <c r="AA6048" s="19" t="str">
        <f>HYPERLINK("https://ssdweb.co/ssdweb/CERTH/691533680.pdf","CERTI")</f>
        <v>CERTI</v>
      </c>
    </row>
    <row r="6049" spans="1:27" ht="15" x14ac:dyDescent="0.25">
      <c r="A6049" s="2">
        <v>6044</v>
      </c>
      <c r="B6049" s="39">
        <v>941261128</v>
      </c>
      <c r="C6049" s="28" t="str">
        <f>HYPERLINK("https://pld.live/RapDetail.aspx?STONELIST=941261128","DNA")</f>
        <v>DNA</v>
      </c>
      <c r="D6049" s="18" t="s">
        <v>5847</v>
      </c>
      <c r="E6049" s="18" t="s">
        <v>5128</v>
      </c>
      <c r="F6049" s="2" t="s">
        <v>7987</v>
      </c>
      <c r="G6049" s="2" t="s">
        <v>5134</v>
      </c>
      <c r="H6049" s="14">
        <v>0.7</v>
      </c>
      <c r="I6049" s="2" t="s">
        <v>267</v>
      </c>
      <c r="J6049" s="2" t="s">
        <v>13</v>
      </c>
      <c r="K6049" s="2" t="s">
        <v>1452</v>
      </c>
      <c r="L6049" s="2" t="s">
        <v>5221</v>
      </c>
      <c r="M6049" s="2" t="s">
        <v>5221</v>
      </c>
      <c r="N6049" s="2" t="s">
        <v>2317</v>
      </c>
      <c r="O6049" s="14">
        <v>3700</v>
      </c>
      <c r="P6049" s="14">
        <v>95.89</v>
      </c>
      <c r="Q6049" s="14">
        <v>152.07</v>
      </c>
      <c r="R6049" s="14">
        <v>106.45</v>
      </c>
      <c r="S6049" s="2" t="s">
        <v>2621</v>
      </c>
      <c r="T6049" s="2">
        <v>0.84</v>
      </c>
      <c r="U6049" s="2">
        <v>59.6</v>
      </c>
      <c r="V6049" s="2">
        <v>63</v>
      </c>
      <c r="W6049" s="2" t="s">
        <v>7862</v>
      </c>
      <c r="X6049" s="2" t="s">
        <v>3061</v>
      </c>
      <c r="Y6049" s="2">
        <v>2590</v>
      </c>
      <c r="Z6049" s="19" t="str">
        <f>HYPERLINK("https://ssdweb.co/ssdweb/hd/Vision360.html?d=941261128&amp;zoomslide=1&amp;z=1941261128&amp;ISCONFIRM=0","VIDEO")</f>
        <v>VIDEO</v>
      </c>
      <c r="AA6049" s="19" t="str">
        <f>HYPERLINK("https://ssdweb.co/ssdweb/CERTH/692505615.pdf","CERTI")</f>
        <v>CERTI</v>
      </c>
    </row>
    <row r="6050" spans="1:27" ht="15" x14ac:dyDescent="0.25">
      <c r="A6050" s="2">
        <v>6045</v>
      </c>
      <c r="B6050" s="39">
        <v>941261132</v>
      </c>
      <c r="C6050" s="28" t="str">
        <f>HYPERLINK("https://pld.live/RapDetail.aspx?STONELIST=941261132","DNA")</f>
        <v>DNA</v>
      </c>
      <c r="D6050" s="18" t="s">
        <v>5847</v>
      </c>
      <c r="E6050" s="18" t="s">
        <v>5128</v>
      </c>
      <c r="F6050" s="2" t="s">
        <v>7987</v>
      </c>
      <c r="G6050" s="2" t="s">
        <v>5134</v>
      </c>
      <c r="H6050" s="14">
        <v>0.7</v>
      </c>
      <c r="I6050" s="2" t="s">
        <v>267</v>
      </c>
      <c r="J6050" s="2" t="s">
        <v>5144</v>
      </c>
      <c r="K6050" s="2" t="s">
        <v>1452</v>
      </c>
      <c r="L6050" s="2" t="s">
        <v>5221</v>
      </c>
      <c r="M6050" s="2" t="s">
        <v>5221</v>
      </c>
      <c r="N6050" s="2" t="s">
        <v>2317</v>
      </c>
      <c r="O6050" s="14">
        <v>3400</v>
      </c>
      <c r="P6050" s="14">
        <v>95.65</v>
      </c>
      <c r="Q6050" s="14">
        <v>147.9</v>
      </c>
      <c r="R6050" s="14">
        <v>103.53</v>
      </c>
      <c r="S6050" s="2" t="s">
        <v>900</v>
      </c>
      <c r="T6050" s="2">
        <v>0.87</v>
      </c>
      <c r="U6050" s="2">
        <v>59.1</v>
      </c>
      <c r="V6050" s="2">
        <v>59</v>
      </c>
      <c r="W6050" s="2" t="s">
        <v>7862</v>
      </c>
      <c r="X6050" s="2" t="s">
        <v>3061</v>
      </c>
      <c r="Y6050" s="2">
        <v>2380</v>
      </c>
      <c r="Z6050" s="19" t="str">
        <f>HYPERLINK("https://ssdweb.co/ssdweb/hd/Vision360.html?d=941261132&amp;zoomslide=1&amp;z=1941261132&amp;ISCONFIRM=0","VIDEO")</f>
        <v>VIDEO</v>
      </c>
      <c r="AA6050" s="19" t="str">
        <f>HYPERLINK("https://ssdweb.co/ssdweb/CERTH/692505619.pdf","CERTI")</f>
        <v>CERTI</v>
      </c>
    </row>
    <row r="6051" spans="1:27" ht="15" x14ac:dyDescent="0.25">
      <c r="A6051" s="2">
        <v>6046</v>
      </c>
      <c r="B6051" s="39">
        <v>941170499</v>
      </c>
      <c r="C6051" s="28" t="str">
        <f>HYPERLINK("https://pld.live/RapDetail.aspx?STONELIST=941170499","DNA")</f>
        <v>DNA</v>
      </c>
      <c r="D6051" s="18" t="s">
        <v>1924</v>
      </c>
      <c r="E6051" s="18" t="s">
        <v>5128</v>
      </c>
      <c r="F6051" s="2" t="s">
        <v>7987</v>
      </c>
      <c r="G6051" s="2" t="s">
        <v>5134</v>
      </c>
      <c r="H6051" s="14">
        <v>0.69</v>
      </c>
      <c r="I6051" s="2" t="s">
        <v>267</v>
      </c>
      <c r="J6051" s="2" t="s">
        <v>6555</v>
      </c>
      <c r="K6051" s="2" t="s">
        <v>1452</v>
      </c>
      <c r="L6051" s="2" t="s">
        <v>5221</v>
      </c>
      <c r="M6051" s="2" t="s">
        <v>5721</v>
      </c>
      <c r="N6051" s="2" t="s">
        <v>2317</v>
      </c>
      <c r="O6051" s="14">
        <v>3000</v>
      </c>
      <c r="P6051" s="14">
        <v>93.4</v>
      </c>
      <c r="Q6051" s="14">
        <v>198</v>
      </c>
      <c r="R6051" s="14">
        <v>136.62</v>
      </c>
      <c r="S6051" s="2" t="s">
        <v>2723</v>
      </c>
      <c r="T6051" s="2">
        <v>0.86</v>
      </c>
      <c r="U6051" s="2">
        <v>56.6</v>
      </c>
      <c r="V6051" s="2">
        <v>59</v>
      </c>
      <c r="W6051" s="2" t="s">
        <v>7862</v>
      </c>
      <c r="X6051" s="2" t="s">
        <v>3061</v>
      </c>
      <c r="Y6051" s="2">
        <v>2070</v>
      </c>
      <c r="Z6051" s="19" t="str">
        <f>HYPERLINK("https://ssdweb.co/ssdweb/hd/Vision360.html?d=941170499&amp;zoomslide=1&amp;z=1941170499&amp;ISCONFIRM=0","VIDEO")</f>
        <v>VIDEO</v>
      </c>
      <c r="AA6051" s="19" t="str">
        <f>HYPERLINK("https://ssdweb.co/ssdweb/CERTH/678550433.pdf","CERTI")</f>
        <v>CERTI</v>
      </c>
    </row>
    <row r="6052" spans="1:27" ht="15" x14ac:dyDescent="0.25">
      <c r="A6052" s="2">
        <v>6047</v>
      </c>
      <c r="B6052" s="39">
        <v>941261135</v>
      </c>
      <c r="C6052" s="28" t="str">
        <f>HYPERLINK("https://pld.live/RapDetail.aspx?STONELIST=941261135","DNA")</f>
        <v>DNA</v>
      </c>
      <c r="D6052" s="18" t="s">
        <v>1924</v>
      </c>
      <c r="E6052" s="18" t="s">
        <v>5128</v>
      </c>
      <c r="F6052" s="2" t="s">
        <v>7987</v>
      </c>
      <c r="G6052" s="2" t="s">
        <v>5134</v>
      </c>
      <c r="H6052" s="14">
        <v>0.69</v>
      </c>
      <c r="I6052" s="2" t="s">
        <v>267</v>
      </c>
      <c r="J6052" s="2" t="s">
        <v>3942</v>
      </c>
      <c r="K6052" s="2" t="s">
        <v>1452</v>
      </c>
      <c r="L6052" s="2" t="s">
        <v>5221</v>
      </c>
      <c r="M6052" s="2" t="s">
        <v>5221</v>
      </c>
      <c r="N6052" s="2" t="s">
        <v>2317</v>
      </c>
      <c r="O6052" s="14">
        <v>2800</v>
      </c>
      <c r="P6052" s="14">
        <v>94.11</v>
      </c>
      <c r="Q6052" s="14">
        <v>164.92</v>
      </c>
      <c r="R6052" s="14">
        <v>113.79</v>
      </c>
      <c r="S6052" s="2" t="s">
        <v>2104</v>
      </c>
      <c r="T6052" s="2">
        <v>0.84</v>
      </c>
      <c r="U6052" s="2">
        <v>60.3</v>
      </c>
      <c r="V6052" s="2">
        <v>63</v>
      </c>
      <c r="W6052" s="2" t="s">
        <v>7862</v>
      </c>
      <c r="X6052" s="2" t="s">
        <v>3061</v>
      </c>
      <c r="Y6052" s="2">
        <v>1932</v>
      </c>
      <c r="Z6052" s="19" t="str">
        <f>HYPERLINK("https://ssdweb.co/ssdweb/hd/Vision360.html?d=941261135&amp;zoomslide=1&amp;z=1941261135&amp;ISCONFIRM=0","VIDEO")</f>
        <v>VIDEO</v>
      </c>
      <c r="AA6052" s="19" t="str">
        <f>HYPERLINK("https://ssdweb.co/ssdweb/CERTH/692533954.pdf","CERTI")</f>
        <v>CERTI</v>
      </c>
    </row>
    <row r="6053" spans="1:27" ht="15" x14ac:dyDescent="0.25">
      <c r="A6053" s="2">
        <v>6048</v>
      </c>
      <c r="B6053" s="39">
        <v>9412601138</v>
      </c>
      <c r="C6053" s="28" t="str">
        <f>HYPERLINK("https://pld.live/RapDetail.aspx?STONELIST=9412601138","DNA")</f>
        <v>DNA</v>
      </c>
      <c r="D6053" s="18" t="s">
        <v>1924</v>
      </c>
      <c r="E6053" s="18" t="s">
        <v>5128</v>
      </c>
      <c r="F6053" s="2" t="s">
        <v>7987</v>
      </c>
      <c r="G6053" s="2" t="s">
        <v>5134</v>
      </c>
      <c r="H6053" s="14">
        <v>0.68</v>
      </c>
      <c r="I6053" s="2" t="s">
        <v>267</v>
      </c>
      <c r="J6053" s="2" t="s">
        <v>13</v>
      </c>
      <c r="K6053" s="2" t="s">
        <v>1452</v>
      </c>
      <c r="L6053" s="2" t="s">
        <v>5221</v>
      </c>
      <c r="M6053" s="2" t="s">
        <v>5221</v>
      </c>
      <c r="N6053" s="2" t="s">
        <v>2317</v>
      </c>
      <c r="O6053" s="14">
        <v>2600</v>
      </c>
      <c r="P6053" s="14">
        <v>93.85</v>
      </c>
      <c r="Q6053" s="14">
        <v>159.9</v>
      </c>
      <c r="R6053" s="14">
        <v>108.73</v>
      </c>
      <c r="S6053" s="2" t="s">
        <v>4116</v>
      </c>
      <c r="T6053" s="2">
        <v>0.84</v>
      </c>
      <c r="U6053" s="2">
        <v>58.9</v>
      </c>
      <c r="V6053" s="2">
        <v>60</v>
      </c>
      <c r="W6053" s="2" t="s">
        <v>7862</v>
      </c>
      <c r="X6053" s="2" t="s">
        <v>3061</v>
      </c>
      <c r="Y6053" s="2">
        <v>1768</v>
      </c>
      <c r="Z6053" s="19" t="str">
        <f>HYPERLINK("https://ssdweb.co/ssdweb/hd/Vision360.html?d=9412601138&amp;zoomslide=1&amp;z=19412601138&amp;ISCONFIRM=0","VIDEO")</f>
        <v>VIDEO</v>
      </c>
      <c r="AA6053" s="19" t="str">
        <f>HYPERLINK("https://ssdweb.co/ssdweb/CERTH/694508386.pdf","CERTI")</f>
        <v>CERTI</v>
      </c>
    </row>
    <row r="6054" spans="1:27" ht="15" x14ac:dyDescent="0.25">
      <c r="A6054" s="2">
        <v>6049</v>
      </c>
      <c r="B6054" s="39">
        <v>941170248</v>
      </c>
      <c r="C6054" s="28" t="str">
        <f>HYPERLINK("https://pld.live/RapDetail.aspx?STONELIST=941170248","DNA")</f>
        <v>DNA</v>
      </c>
      <c r="D6054" s="18" t="s">
        <v>1924</v>
      </c>
      <c r="E6054" s="18" t="s">
        <v>5128</v>
      </c>
      <c r="F6054" s="2" t="s">
        <v>7987</v>
      </c>
      <c r="G6054" s="2" t="s">
        <v>5134</v>
      </c>
      <c r="H6054" s="14">
        <v>0.61</v>
      </c>
      <c r="I6054" s="2" t="s">
        <v>4761</v>
      </c>
      <c r="J6054" s="2" t="s">
        <v>6555</v>
      </c>
      <c r="K6054" s="2" t="s">
        <v>1452</v>
      </c>
      <c r="L6054" s="2" t="s">
        <v>5221</v>
      </c>
      <c r="M6054" s="2" t="s">
        <v>5221</v>
      </c>
      <c r="N6054" s="2" t="s">
        <v>2317</v>
      </c>
      <c r="O6054" s="14">
        <v>2800</v>
      </c>
      <c r="P6054" s="14">
        <v>93.75</v>
      </c>
      <c r="Q6054" s="14">
        <v>175</v>
      </c>
      <c r="R6054" s="14">
        <v>106.75</v>
      </c>
      <c r="S6054" s="2" t="s">
        <v>8074</v>
      </c>
      <c r="T6054" s="2">
        <v>0.88</v>
      </c>
      <c r="U6054" s="2">
        <v>58.7</v>
      </c>
      <c r="V6054" s="2">
        <v>62</v>
      </c>
      <c r="W6054" s="2" t="s">
        <v>7862</v>
      </c>
      <c r="X6054" s="2" t="s">
        <v>3061</v>
      </c>
      <c r="Y6054" s="2">
        <v>1708</v>
      </c>
      <c r="Z6054" s="19" t="str">
        <f>HYPERLINK("https://ssdweb.co/ssdweb/hd/Vision360.html?d=941170248&amp;zoomslide=1&amp;z=1941170248&amp;ISCONFIRM=0","VIDEO")</f>
        <v>VIDEO</v>
      </c>
      <c r="AA6054" s="19" t="str">
        <f>HYPERLINK("https://ssdweb.co/ssdweb/CERTH/675504579.pdf","CERTI")</f>
        <v>CERTI</v>
      </c>
    </row>
    <row r="6055" spans="1:27" ht="15" x14ac:dyDescent="0.25">
      <c r="A6055" s="2">
        <v>6050</v>
      </c>
      <c r="B6055" s="39">
        <v>941160549</v>
      </c>
      <c r="C6055" s="28" t="str">
        <f>HYPERLINK("https://pld.live/RapDetail.aspx?STONELIST=941160549","DNA")</f>
        <v>DNA</v>
      </c>
      <c r="D6055" s="18" t="s">
        <v>1924</v>
      </c>
      <c r="E6055" s="18" t="s">
        <v>5128</v>
      </c>
      <c r="F6055" s="2" t="s">
        <v>7987</v>
      </c>
      <c r="G6055" s="2" t="s">
        <v>5134</v>
      </c>
      <c r="H6055" s="14">
        <v>0.61</v>
      </c>
      <c r="I6055" s="2" t="s">
        <v>4699</v>
      </c>
      <c r="J6055" s="2" t="s">
        <v>3942</v>
      </c>
      <c r="K6055" s="2" t="s">
        <v>1452</v>
      </c>
      <c r="L6055" s="2" t="s">
        <v>5221</v>
      </c>
      <c r="M6055" s="2" t="s">
        <v>5221</v>
      </c>
      <c r="N6055" s="2" t="s">
        <v>2317</v>
      </c>
      <c r="O6055" s="14">
        <v>2500</v>
      </c>
      <c r="P6055" s="14">
        <v>93.68</v>
      </c>
      <c r="Q6055" s="14">
        <v>158</v>
      </c>
      <c r="R6055" s="14">
        <v>96.38</v>
      </c>
      <c r="S6055" s="2" t="s">
        <v>4099</v>
      </c>
      <c r="T6055" s="2">
        <v>0.88</v>
      </c>
      <c r="U6055" s="2">
        <v>57.5</v>
      </c>
      <c r="V6055" s="2">
        <v>62</v>
      </c>
      <c r="W6055" s="2" t="s">
        <v>7862</v>
      </c>
      <c r="X6055" s="2" t="s">
        <v>3061</v>
      </c>
      <c r="Y6055" s="2">
        <v>1525</v>
      </c>
      <c r="Z6055" s="19" t="str">
        <f>HYPERLINK("https://ssdweb.co/ssdweb/hd/Vision360.html?d=941160549&amp;zoomslide=1&amp;z=1941160549&amp;ISCONFIRM=0","VIDEO")</f>
        <v>VIDEO</v>
      </c>
      <c r="AA6055" s="19" t="str">
        <f>HYPERLINK("https://ssdweb.co/ssdweb/CERTH/675504562.pdf","CERTI")</f>
        <v>CERTI</v>
      </c>
    </row>
    <row r="6056" spans="1:27" ht="15" x14ac:dyDescent="0.25">
      <c r="A6056" s="2">
        <v>6051</v>
      </c>
      <c r="B6056" s="39">
        <v>926120417</v>
      </c>
      <c r="C6056" s="28" t="str">
        <f>HYPERLINK("https://pld.live/RapDetail.aspx?STONELIST=926120417","DNA")</f>
        <v>DNA</v>
      </c>
      <c r="D6056" s="18" t="s">
        <v>1924</v>
      </c>
      <c r="E6056" s="18" t="s">
        <v>5128</v>
      </c>
      <c r="F6056" s="2" t="s">
        <v>5597</v>
      </c>
      <c r="G6056" s="2" t="s">
        <v>5134</v>
      </c>
      <c r="H6056" s="14">
        <v>0.6</v>
      </c>
      <c r="I6056" s="2" t="s">
        <v>267</v>
      </c>
      <c r="J6056" s="2" t="s">
        <v>5144</v>
      </c>
      <c r="K6056" s="2" t="s">
        <v>1452</v>
      </c>
      <c r="L6056" s="2" t="s">
        <v>5221</v>
      </c>
      <c r="M6056" s="2" t="s">
        <v>5221</v>
      </c>
      <c r="N6056" s="2" t="s">
        <v>2317</v>
      </c>
      <c r="O6056" s="14">
        <v>2400</v>
      </c>
      <c r="P6056" s="14">
        <v>89.38</v>
      </c>
      <c r="Q6056" s="14">
        <v>254.88</v>
      </c>
      <c r="R6056" s="14">
        <v>152.93</v>
      </c>
      <c r="S6056" s="2" t="s">
        <v>2881</v>
      </c>
      <c r="T6056" s="2">
        <v>0.87</v>
      </c>
      <c r="U6056" s="2">
        <v>57.7</v>
      </c>
      <c r="V6056" s="2">
        <v>62</v>
      </c>
      <c r="W6056" s="2" t="s">
        <v>7862</v>
      </c>
      <c r="X6056" s="2" t="s">
        <v>3061</v>
      </c>
      <c r="Y6056" s="2">
        <v>1440</v>
      </c>
      <c r="Z6056" s="19" t="str">
        <f>HYPERLINK("https://ssdweb.co/ssdweb/hd/Vision360.html?d=926120417&amp;zoomslide=1&amp;z=1926120417&amp;ISCONFIRM=0","VIDEO")</f>
        <v>VIDEO</v>
      </c>
      <c r="AA6056" s="19" t="str">
        <f>HYPERLINK("https://ssdweb.co/ssdweb/CERTH/1497304610.pdf","CERTI")</f>
        <v>CERTI</v>
      </c>
    </row>
    <row r="6057" spans="1:27" ht="15" x14ac:dyDescent="0.25">
      <c r="A6057" s="2">
        <v>6052</v>
      </c>
      <c r="B6057" s="39">
        <v>925220313</v>
      </c>
      <c r="C6057" s="28" t="str">
        <f>HYPERLINK("https://pld.live/RapDetail.aspx?STONELIST=925220313","DNA")</f>
        <v>DNA</v>
      </c>
      <c r="D6057" s="18" t="s">
        <v>5466</v>
      </c>
      <c r="E6057" s="18" t="s">
        <v>5128</v>
      </c>
      <c r="F6057" s="2" t="s">
        <v>7987</v>
      </c>
      <c r="G6057" s="2" t="s">
        <v>5134</v>
      </c>
      <c r="H6057" s="14">
        <v>0.57999999999999996</v>
      </c>
      <c r="I6057" s="2" t="s">
        <v>267</v>
      </c>
      <c r="J6057" s="2" t="s">
        <v>3942</v>
      </c>
      <c r="K6057" s="2" t="s">
        <v>1452</v>
      </c>
      <c r="L6057" s="2" t="s">
        <v>5221</v>
      </c>
      <c r="M6057" s="2" t="s">
        <v>5221</v>
      </c>
      <c r="N6057" s="2" t="s">
        <v>2317</v>
      </c>
      <c r="O6057" s="14">
        <v>2800</v>
      </c>
      <c r="P6057" s="14">
        <v>93.61</v>
      </c>
      <c r="Q6057" s="14">
        <v>178.92</v>
      </c>
      <c r="R6057" s="14">
        <v>103.77</v>
      </c>
      <c r="S6057" s="2" t="s">
        <v>6113</v>
      </c>
      <c r="T6057" s="2">
        <v>0.86</v>
      </c>
      <c r="U6057" s="2">
        <v>57</v>
      </c>
      <c r="V6057" s="2">
        <v>61</v>
      </c>
      <c r="W6057" s="2" t="s">
        <v>7862</v>
      </c>
      <c r="X6057" s="2" t="s">
        <v>3061</v>
      </c>
      <c r="Y6057" s="2">
        <v>1624</v>
      </c>
      <c r="Z6057" s="19" t="str">
        <f>HYPERLINK("https://ssdweb.co/ssdweb/hd/Vision360.html?d=925220313&amp;zoomslide=1&amp;z=1925220313&amp;ISCONFIRM=0","VIDEO")</f>
        <v>VIDEO</v>
      </c>
      <c r="AA6057" s="19" t="str">
        <f>HYPERLINK("https://ssdweb.co/ssdweb/CERTH/623492902.pdf","CERTI")</f>
        <v>CERTI</v>
      </c>
    </row>
    <row r="6058" spans="1:27" ht="15" x14ac:dyDescent="0.25">
      <c r="A6058" s="2">
        <v>6053</v>
      </c>
      <c r="B6058" s="39">
        <v>924370407</v>
      </c>
      <c r="C6058" s="28" t="str">
        <f>HYPERLINK("https://pld.live/RapDetail.aspx?STONELIST=924370407","DNA")</f>
        <v>DNA</v>
      </c>
      <c r="D6058" s="18" t="s">
        <v>5466</v>
      </c>
      <c r="E6058" s="18" t="s">
        <v>5128</v>
      </c>
      <c r="F6058" s="2" t="s">
        <v>5597</v>
      </c>
      <c r="G6058" s="2" t="s">
        <v>5134</v>
      </c>
      <c r="H6058" s="14">
        <v>0.55000000000000004</v>
      </c>
      <c r="I6058" s="2" t="s">
        <v>267</v>
      </c>
      <c r="J6058" s="2" t="s">
        <v>6555</v>
      </c>
      <c r="K6058" s="2" t="s">
        <v>1452</v>
      </c>
      <c r="L6058" s="2" t="s">
        <v>5221</v>
      </c>
      <c r="M6058" s="2" t="s">
        <v>5221</v>
      </c>
      <c r="N6058" s="2" t="s">
        <v>2317</v>
      </c>
      <c r="O6058" s="14">
        <v>3000</v>
      </c>
      <c r="P6058" s="14">
        <v>90.33</v>
      </c>
      <c r="Q6058" s="14">
        <v>290.10000000000002</v>
      </c>
      <c r="R6058" s="14">
        <v>159.56</v>
      </c>
      <c r="S6058" s="2" t="s">
        <v>1101</v>
      </c>
      <c r="T6058" s="2">
        <v>0.86</v>
      </c>
      <c r="U6058" s="2">
        <v>59</v>
      </c>
      <c r="V6058" s="2">
        <v>66</v>
      </c>
      <c r="W6058" s="2" t="s">
        <v>7862</v>
      </c>
      <c r="X6058" s="2" t="s">
        <v>3061</v>
      </c>
      <c r="Y6058" s="2">
        <v>1650</v>
      </c>
      <c r="Z6058" s="19" t="str">
        <f>HYPERLINK("https://ssdweb.co/ssdweb/hd/Vision360.html?d=924370407&amp;zoomslide=1&amp;z=1924370407&amp;ISCONFIRM=0","VIDEO")</f>
        <v>VIDEO</v>
      </c>
      <c r="AA6058" s="19" t="str">
        <f>HYPERLINK("https://ssdweb.co/ssdweb/CERTH/7472313848.pdf","CERTI")</f>
        <v>CERTI</v>
      </c>
    </row>
    <row r="6059" spans="1:27" ht="15" x14ac:dyDescent="0.25">
      <c r="A6059" s="2">
        <v>6054</v>
      </c>
      <c r="B6059" s="39">
        <v>941360298</v>
      </c>
      <c r="C6059" s="28" t="str">
        <f>HYPERLINK("https://pld.live/RapDetail.aspx?STONELIST=941360298","DNA")</f>
        <v>DNA</v>
      </c>
      <c r="D6059" s="18" t="s">
        <v>5466</v>
      </c>
      <c r="E6059" s="18" t="s">
        <v>2186</v>
      </c>
      <c r="F6059" s="2" t="s">
        <v>7987</v>
      </c>
      <c r="G6059" s="2" t="s">
        <v>5134</v>
      </c>
      <c r="H6059" s="14">
        <v>0.54</v>
      </c>
      <c r="I6059" s="2" t="s">
        <v>267</v>
      </c>
      <c r="J6059" s="2" t="s">
        <v>3942</v>
      </c>
      <c r="K6059" s="2" t="s">
        <v>1452</v>
      </c>
      <c r="L6059" s="2" t="s">
        <v>5221</v>
      </c>
      <c r="M6059" s="2" t="s">
        <v>5221</v>
      </c>
      <c r="N6059" s="2" t="s">
        <v>2317</v>
      </c>
      <c r="O6059" s="14">
        <v>2800</v>
      </c>
      <c r="P6059" s="14">
        <v>93.39</v>
      </c>
      <c r="Q6059" s="14">
        <v>185.08</v>
      </c>
      <c r="R6059" s="14">
        <v>99.94</v>
      </c>
      <c r="S6059" s="2" t="s">
        <v>8040</v>
      </c>
      <c r="T6059" s="2">
        <v>0.91</v>
      </c>
      <c r="U6059" s="2">
        <v>60.7</v>
      </c>
      <c r="V6059" s="2">
        <v>61</v>
      </c>
      <c r="W6059" s="2" t="s">
        <v>7862</v>
      </c>
      <c r="X6059" s="2" t="s">
        <v>3061</v>
      </c>
      <c r="Y6059" s="2">
        <v>1512</v>
      </c>
      <c r="Z6059" s="19" t="str">
        <f>HYPERLINK("https://ssdweb.co/ssdweb/hd/Vision360.html?d=941360298&amp;zoomslide=1&amp;z=1941360298&amp;ISCONFIRM=0","VIDEO")</f>
        <v>VIDEO</v>
      </c>
      <c r="AA6059" s="19" t="str">
        <f>HYPERLINK("https://ssdweb.co/ssdweb/CERTH/694508356.pdf","CERTI")</f>
        <v>CERTI</v>
      </c>
    </row>
    <row r="6060" spans="1:27" ht="15" x14ac:dyDescent="0.25">
      <c r="A6060" s="2">
        <v>6055</v>
      </c>
      <c r="B6060" s="39">
        <v>924970368</v>
      </c>
      <c r="C6060" s="28" t="str">
        <f>HYPERLINK("https://pld.live/RapDetail.aspx?STONELIST=924970368","DNA")</f>
        <v>DNA</v>
      </c>
      <c r="D6060" s="18" t="s">
        <v>5466</v>
      </c>
      <c r="E6060" s="18" t="s">
        <v>5128</v>
      </c>
      <c r="F6060" s="2" t="s">
        <v>7987</v>
      </c>
      <c r="G6060" s="2" t="s">
        <v>5134</v>
      </c>
      <c r="H6060" s="14">
        <v>0.54</v>
      </c>
      <c r="I6060" s="2" t="s">
        <v>4761</v>
      </c>
      <c r="J6060" s="2" t="s">
        <v>7032</v>
      </c>
      <c r="K6060" s="2" t="s">
        <v>1452</v>
      </c>
      <c r="L6060" s="2" t="s">
        <v>5221</v>
      </c>
      <c r="M6060" s="2" t="s">
        <v>5221</v>
      </c>
      <c r="N6060" s="2" t="s">
        <v>2317</v>
      </c>
      <c r="O6060" s="14">
        <v>3000</v>
      </c>
      <c r="P6060" s="14">
        <v>90.87</v>
      </c>
      <c r="Q6060" s="14">
        <v>273.89999999999998</v>
      </c>
      <c r="R6060" s="14">
        <v>147.91</v>
      </c>
      <c r="S6060" s="2" t="s">
        <v>94</v>
      </c>
      <c r="T6060" s="2">
        <v>0.91</v>
      </c>
      <c r="U6060" s="2">
        <v>58.5</v>
      </c>
      <c r="V6060" s="2">
        <v>61</v>
      </c>
      <c r="W6060" s="2" t="s">
        <v>7862</v>
      </c>
      <c r="X6060" s="2" t="s">
        <v>3061</v>
      </c>
      <c r="Y6060" s="2">
        <v>1620</v>
      </c>
      <c r="Z6060" s="19" t="str">
        <f>HYPERLINK("https://ssdweb.co/ssdweb/hd/Vision360.html?d=924970368&amp;zoomslide=1&amp;z=1924970368&amp;ISCONFIRM=0","VIDEO")</f>
        <v>VIDEO</v>
      </c>
      <c r="AA6060" s="19" t="str">
        <f>HYPERLINK("https://ssdweb.co/ssdweb/CERTH/607357702.pdf","CERTI")</f>
        <v>CERTI</v>
      </c>
    </row>
    <row r="6061" spans="1:27" ht="15" x14ac:dyDescent="0.25">
      <c r="A6061" s="2">
        <v>6056</v>
      </c>
      <c r="B6061" s="39">
        <v>831010331</v>
      </c>
      <c r="C6061" s="28" t="str">
        <f>HYPERLINK("https://pld.live/RapDetail.aspx?STONELIST=831010331","DNA")</f>
        <v>DNA</v>
      </c>
      <c r="D6061" s="18" t="s">
        <v>5466</v>
      </c>
      <c r="E6061" s="18" t="s">
        <v>5128</v>
      </c>
      <c r="F6061" s="2" t="s">
        <v>5597</v>
      </c>
      <c r="G6061" s="2" t="s">
        <v>5134</v>
      </c>
      <c r="H6061" s="14">
        <v>0.52</v>
      </c>
      <c r="I6061" s="2" t="s">
        <v>267</v>
      </c>
      <c r="J6061" s="2" t="s">
        <v>6555</v>
      </c>
      <c r="K6061" s="2" t="s">
        <v>1452</v>
      </c>
      <c r="L6061" s="2" t="s">
        <v>5221</v>
      </c>
      <c r="M6061" s="2" t="s">
        <v>5221</v>
      </c>
      <c r="N6061" s="2" t="s">
        <v>2317</v>
      </c>
      <c r="O6061" s="14">
        <v>3000</v>
      </c>
      <c r="P6061" s="14">
        <v>90.33</v>
      </c>
      <c r="Q6061" s="14">
        <v>290.10000000000002</v>
      </c>
      <c r="R6061" s="14">
        <v>150.85</v>
      </c>
      <c r="S6061" s="2" t="s">
        <v>6392</v>
      </c>
      <c r="T6061" s="2">
        <v>0.91</v>
      </c>
      <c r="U6061" s="2">
        <v>56.9</v>
      </c>
      <c r="V6061" s="2">
        <v>62</v>
      </c>
      <c r="W6061" s="2" t="s">
        <v>7862</v>
      </c>
      <c r="X6061" s="2" t="s">
        <v>3061</v>
      </c>
      <c r="Y6061" s="2">
        <v>1560</v>
      </c>
      <c r="Z6061" s="19" t="str">
        <f>HYPERLINK("https://ssdweb.co/ssdweb/hd/Vision360.html?d=831010331&amp;zoomslide=1&amp;z=1831010331&amp;ISCONFIRM=0","VIDEO")</f>
        <v>VIDEO</v>
      </c>
      <c r="AA6061" s="19" t="str">
        <f>HYPERLINK("https://ssdweb.co/ssdweb/CERTH/2476766567.pdf","CERTI")</f>
        <v>CERTI</v>
      </c>
    </row>
    <row r="6062" spans="1:27" ht="15" x14ac:dyDescent="0.25">
      <c r="A6062" s="2">
        <v>6057</v>
      </c>
      <c r="B6062" s="39">
        <v>941350984</v>
      </c>
      <c r="C6062" s="28" t="str">
        <f>HYPERLINK("https://pld.live/RapDetail.aspx?STONELIST=941350984","DNA")</f>
        <v>DNA</v>
      </c>
      <c r="D6062" s="18" t="s">
        <v>5466</v>
      </c>
      <c r="E6062" s="18" t="s">
        <v>5128</v>
      </c>
      <c r="F6062" s="2" t="s">
        <v>7987</v>
      </c>
      <c r="G6062" s="2" t="s">
        <v>5134</v>
      </c>
      <c r="H6062" s="14">
        <v>0.52</v>
      </c>
      <c r="I6062" s="2" t="s">
        <v>267</v>
      </c>
      <c r="J6062" s="2" t="s">
        <v>6555</v>
      </c>
      <c r="K6062" s="2" t="s">
        <v>1452</v>
      </c>
      <c r="L6062" s="2" t="s">
        <v>5221</v>
      </c>
      <c r="M6062" s="2" t="s">
        <v>5221</v>
      </c>
      <c r="N6062" s="2" t="s">
        <v>2317</v>
      </c>
      <c r="O6062" s="14">
        <v>3000</v>
      </c>
      <c r="P6062" s="14">
        <v>92.67</v>
      </c>
      <c r="Q6062" s="14">
        <v>219.9</v>
      </c>
      <c r="R6062" s="14">
        <v>114.35</v>
      </c>
      <c r="S6062" s="2" t="s">
        <v>1914</v>
      </c>
      <c r="T6062" s="2">
        <v>0.91</v>
      </c>
      <c r="U6062" s="2">
        <v>59.8</v>
      </c>
      <c r="V6062" s="2">
        <v>61</v>
      </c>
      <c r="W6062" s="2" t="s">
        <v>7862</v>
      </c>
      <c r="X6062" s="2" t="s">
        <v>3061</v>
      </c>
      <c r="Y6062" s="2">
        <v>1560</v>
      </c>
      <c r="Z6062" s="19" t="str">
        <f>HYPERLINK("https://ssdweb.co/ssdweb/hd/Vision360.html?d=941350984&amp;zoomslide=1&amp;z=1941350984&amp;ISCONFIRM=0","VIDEO")</f>
        <v>VIDEO</v>
      </c>
      <c r="AA6062" s="19" t="str">
        <f>HYPERLINK("https://ssdweb.co/ssdweb/CERTH/694508351.pdf","CERTI")</f>
        <v>CERTI</v>
      </c>
    </row>
    <row r="6063" spans="1:27" ht="15" x14ac:dyDescent="0.25">
      <c r="A6063" s="2">
        <v>6058</v>
      </c>
      <c r="B6063" s="39">
        <v>941370468</v>
      </c>
      <c r="C6063" s="28" t="str">
        <f>HYPERLINK("https://pld.live/RapDetail.aspx?STONELIST=941370468","DNA")</f>
        <v>DNA</v>
      </c>
      <c r="D6063" s="18" t="s">
        <v>5466</v>
      </c>
      <c r="E6063" s="18" t="s">
        <v>5128</v>
      </c>
      <c r="F6063" s="2" t="s">
        <v>7987</v>
      </c>
      <c r="G6063" s="2" t="s">
        <v>5134</v>
      </c>
      <c r="H6063" s="14">
        <v>0.52</v>
      </c>
      <c r="I6063" s="2" t="s">
        <v>267</v>
      </c>
      <c r="J6063" s="2" t="s">
        <v>6555</v>
      </c>
      <c r="K6063" s="2" t="s">
        <v>1452</v>
      </c>
      <c r="L6063" s="2" t="s">
        <v>5221</v>
      </c>
      <c r="M6063" s="2" t="s">
        <v>5221</v>
      </c>
      <c r="N6063" s="2" t="s">
        <v>2317</v>
      </c>
      <c r="O6063" s="14">
        <v>3000</v>
      </c>
      <c r="P6063" s="14">
        <v>92.67</v>
      </c>
      <c r="Q6063" s="14">
        <v>219.9</v>
      </c>
      <c r="R6063" s="14">
        <v>114.35</v>
      </c>
      <c r="S6063" s="2" t="s">
        <v>6046</v>
      </c>
      <c r="T6063" s="2">
        <v>0.91</v>
      </c>
      <c r="U6063" s="2">
        <v>58.7</v>
      </c>
      <c r="V6063" s="2">
        <v>63</v>
      </c>
      <c r="W6063" s="2" t="s">
        <v>7862</v>
      </c>
      <c r="X6063" s="2" t="s">
        <v>3061</v>
      </c>
      <c r="Y6063" s="2">
        <v>1560</v>
      </c>
      <c r="Z6063" s="19" t="str">
        <f>HYPERLINK("https://ssdweb.co/ssdweb/hd/Vision360.html?d=941370468&amp;zoomslide=1&amp;z=1941370468&amp;ISCONFIRM=0","VIDEO")</f>
        <v>VIDEO</v>
      </c>
      <c r="AA6063" s="19" t="str">
        <f>HYPERLINK("https://ssdweb.co/ssdweb/CERTH/694508355.pdf","CERTI")</f>
        <v>CERTI</v>
      </c>
    </row>
    <row r="6064" spans="1:27" ht="15" x14ac:dyDescent="0.25">
      <c r="A6064" s="2">
        <v>6059</v>
      </c>
      <c r="B6064" s="39">
        <v>941350982</v>
      </c>
      <c r="C6064" s="28" t="str">
        <f>HYPERLINK("https://pld.live/RapDetail.aspx?STONELIST=941350982","DNA")</f>
        <v>DNA</v>
      </c>
      <c r="D6064" s="18" t="s">
        <v>5466</v>
      </c>
      <c r="E6064" s="18" t="s">
        <v>5128</v>
      </c>
      <c r="F6064" s="2" t="s">
        <v>7987</v>
      </c>
      <c r="G6064" s="2" t="s">
        <v>5134</v>
      </c>
      <c r="H6064" s="14">
        <v>0.52</v>
      </c>
      <c r="I6064" s="2" t="s">
        <v>267</v>
      </c>
      <c r="J6064" s="2" t="s">
        <v>3942</v>
      </c>
      <c r="K6064" s="2" t="s">
        <v>1452</v>
      </c>
      <c r="L6064" s="2" t="s">
        <v>5221</v>
      </c>
      <c r="M6064" s="2" t="s">
        <v>5221</v>
      </c>
      <c r="N6064" s="2" t="s">
        <v>2317</v>
      </c>
      <c r="O6064" s="14">
        <v>2800</v>
      </c>
      <c r="P6064" s="14">
        <v>93.39</v>
      </c>
      <c r="Q6064" s="14">
        <v>185.08</v>
      </c>
      <c r="R6064" s="14">
        <v>96.24</v>
      </c>
      <c r="S6064" s="2" t="s">
        <v>6217</v>
      </c>
      <c r="T6064" s="2">
        <v>0.91</v>
      </c>
      <c r="U6064" s="2">
        <v>59.3</v>
      </c>
      <c r="V6064" s="2">
        <v>64</v>
      </c>
      <c r="W6064" s="2" t="s">
        <v>7862</v>
      </c>
      <c r="X6064" s="2" t="s">
        <v>3061</v>
      </c>
      <c r="Y6064" s="2">
        <v>1456</v>
      </c>
      <c r="Z6064" s="19" t="str">
        <f>HYPERLINK("https://ssdweb.co/ssdweb/hd/Vision360.html?d=941350982&amp;zoomslide=1&amp;z=1941350982&amp;ISCONFIRM=0","VIDEO")</f>
        <v>VIDEO</v>
      </c>
      <c r="AA6064" s="19" t="str">
        <f>HYPERLINK("https://ssdweb.co/ssdweb/CERTH/694508350.pdf","CERTI")</f>
        <v>CERTI</v>
      </c>
    </row>
    <row r="6065" spans="1:27" ht="15" x14ac:dyDescent="0.25">
      <c r="A6065" s="2">
        <v>6060</v>
      </c>
      <c r="B6065" s="39">
        <v>941350903</v>
      </c>
      <c r="C6065" s="28" t="str">
        <f>HYPERLINK("https://pld.live/RapDetail.aspx?STONELIST=941350903","DNA")</f>
        <v>DNA</v>
      </c>
      <c r="D6065" s="18" t="s">
        <v>5466</v>
      </c>
      <c r="E6065" s="18" t="s">
        <v>5128</v>
      </c>
      <c r="F6065" s="2" t="s">
        <v>7987</v>
      </c>
      <c r="G6065" s="2" t="s">
        <v>5134</v>
      </c>
      <c r="H6065" s="14">
        <v>0.52</v>
      </c>
      <c r="I6065" s="2" t="s">
        <v>267</v>
      </c>
      <c r="J6065" s="2" t="s">
        <v>3942</v>
      </c>
      <c r="K6065" s="2" t="s">
        <v>1452</v>
      </c>
      <c r="L6065" s="2" t="s">
        <v>5221</v>
      </c>
      <c r="M6065" s="2" t="s">
        <v>5221</v>
      </c>
      <c r="N6065" s="2" t="s">
        <v>2317</v>
      </c>
      <c r="O6065" s="14">
        <v>2800</v>
      </c>
      <c r="P6065" s="14">
        <v>93.39</v>
      </c>
      <c r="Q6065" s="14">
        <v>185.08</v>
      </c>
      <c r="R6065" s="14">
        <v>96.24</v>
      </c>
      <c r="S6065" s="2" t="s">
        <v>6317</v>
      </c>
      <c r="T6065" s="2">
        <v>0.9</v>
      </c>
      <c r="U6065" s="2">
        <v>58.1</v>
      </c>
      <c r="V6065" s="2">
        <v>62</v>
      </c>
      <c r="W6065" s="2" t="s">
        <v>7862</v>
      </c>
      <c r="X6065" s="2" t="s">
        <v>3061</v>
      </c>
      <c r="Y6065" s="2">
        <v>1456</v>
      </c>
      <c r="Z6065" s="19" t="str">
        <f>HYPERLINK("https://ssdweb.co/ssdweb/hd/Vision360.html?d=941350903&amp;zoomslide=1&amp;z=1941350903&amp;ISCONFIRM=0","VIDEO")</f>
        <v>VIDEO</v>
      </c>
      <c r="AA6065" s="19" t="str">
        <f>HYPERLINK("https://ssdweb.co/ssdweb/CERTH/694508349.pdf","CERTI")</f>
        <v>CERTI</v>
      </c>
    </row>
    <row r="6066" spans="1:27" ht="15" x14ac:dyDescent="0.25">
      <c r="A6066" s="2">
        <v>6061</v>
      </c>
      <c r="B6066" s="39">
        <v>927132654</v>
      </c>
      <c r="C6066" s="28" t="str">
        <f>HYPERLINK("https://pld.live/RapDetail.aspx?STONELIST=927132654","DNA")</f>
        <v>DNA</v>
      </c>
      <c r="D6066" s="18" t="s">
        <v>5466</v>
      </c>
      <c r="E6066" s="18" t="s">
        <v>5128</v>
      </c>
      <c r="F6066" s="2" t="s">
        <v>7987</v>
      </c>
      <c r="G6066" s="2" t="s">
        <v>5134</v>
      </c>
      <c r="H6066" s="14">
        <v>0.52</v>
      </c>
      <c r="I6066" s="2" t="s">
        <v>4761</v>
      </c>
      <c r="J6066" s="2" t="s">
        <v>6555</v>
      </c>
      <c r="K6066" s="2" t="s">
        <v>1452</v>
      </c>
      <c r="L6066" s="2" t="s">
        <v>5221</v>
      </c>
      <c r="M6066" s="2" t="s">
        <v>5721</v>
      </c>
      <c r="N6066" s="2" t="s">
        <v>2317</v>
      </c>
      <c r="O6066" s="14">
        <v>2800</v>
      </c>
      <c r="P6066" s="14">
        <v>93.11</v>
      </c>
      <c r="Q6066" s="14">
        <v>192.92</v>
      </c>
      <c r="R6066" s="14">
        <v>100.32</v>
      </c>
      <c r="S6066" s="2" t="s">
        <v>7107</v>
      </c>
      <c r="T6066" s="2">
        <v>0.91</v>
      </c>
      <c r="U6066" s="2">
        <v>57</v>
      </c>
      <c r="V6066" s="2">
        <v>65</v>
      </c>
      <c r="W6066" s="2" t="s">
        <v>7862</v>
      </c>
      <c r="X6066" s="2" t="s">
        <v>3061</v>
      </c>
      <c r="Y6066" s="2">
        <v>1456</v>
      </c>
      <c r="Z6066" s="19" t="str">
        <f>HYPERLINK("https://ssdweb.co/ssdweb/hd/Vision360.html?d=927132654&amp;zoomslide=1&amp;z=1927132654&amp;ISCONFIRM=0","VIDEO")</f>
        <v>VIDEO</v>
      </c>
      <c r="AA6066" s="19" t="str">
        <f>HYPERLINK("https://ssdweb.co/ssdweb/CERTH/678550415.pdf","CERTI")</f>
        <v>CERTI</v>
      </c>
    </row>
    <row r="6067" spans="1:27" ht="15" x14ac:dyDescent="0.25">
      <c r="A6067" s="2">
        <v>6062</v>
      </c>
      <c r="B6067" s="39">
        <v>941170472</v>
      </c>
      <c r="C6067" s="28" t="str">
        <f>HYPERLINK("https://pld.live/RapDetail.aspx?STONELIST=941170472","DNA")</f>
        <v>DNA</v>
      </c>
      <c r="D6067" s="18" t="s">
        <v>5466</v>
      </c>
      <c r="E6067" s="18" t="s">
        <v>5128</v>
      </c>
      <c r="F6067" s="2" t="s">
        <v>7987</v>
      </c>
      <c r="G6067" s="2" t="s">
        <v>5134</v>
      </c>
      <c r="H6067" s="14">
        <v>0.51</v>
      </c>
      <c r="I6067" s="2" t="s">
        <v>267</v>
      </c>
      <c r="J6067" s="2" t="s">
        <v>3942</v>
      </c>
      <c r="K6067" s="2" t="s">
        <v>1452</v>
      </c>
      <c r="L6067" s="2" t="s">
        <v>5221</v>
      </c>
      <c r="M6067" s="2" t="s">
        <v>5721</v>
      </c>
      <c r="N6067" s="2" t="s">
        <v>2317</v>
      </c>
      <c r="O6067" s="14">
        <v>2800</v>
      </c>
      <c r="P6067" s="14">
        <v>93.46</v>
      </c>
      <c r="Q6067" s="14">
        <v>183.12</v>
      </c>
      <c r="R6067" s="14">
        <v>93.39</v>
      </c>
      <c r="S6067" s="2" t="s">
        <v>1527</v>
      </c>
      <c r="T6067" s="2">
        <v>0.87</v>
      </c>
      <c r="U6067" s="2">
        <v>59.5</v>
      </c>
      <c r="V6067" s="2">
        <v>60</v>
      </c>
      <c r="W6067" s="2" t="s">
        <v>7862</v>
      </c>
      <c r="X6067" s="2" t="s">
        <v>3061</v>
      </c>
      <c r="Y6067" s="2">
        <v>1428</v>
      </c>
      <c r="Z6067" s="19" t="str">
        <f>HYPERLINK("https://ssdweb.co/ssdweb/hd/Vision360.html?d=941170472&amp;zoomslide=1&amp;z=1941170472&amp;ISCONFIRM=0","VIDEO")</f>
        <v>VIDEO</v>
      </c>
      <c r="AA6067" s="19" t="str">
        <f>HYPERLINK("https://ssdweb.co/ssdweb/CERTH/678550405.pdf","CERTI")</f>
        <v>CERTI</v>
      </c>
    </row>
    <row r="6068" spans="1:27" ht="15" x14ac:dyDescent="0.25">
      <c r="A6068" s="2">
        <v>6063</v>
      </c>
      <c r="B6068" s="39">
        <v>927152990</v>
      </c>
      <c r="C6068" s="28" t="str">
        <f>HYPERLINK("https://pld.live/RapDetail.aspx?STONELIST=927152990","DNA")</f>
        <v>DNA</v>
      </c>
      <c r="D6068" s="18" t="s">
        <v>5466</v>
      </c>
      <c r="E6068" s="18" t="s">
        <v>5128</v>
      </c>
      <c r="F6068" s="2" t="s">
        <v>7987</v>
      </c>
      <c r="G6068" s="2" t="s">
        <v>5134</v>
      </c>
      <c r="H6068" s="14">
        <v>0.51</v>
      </c>
      <c r="I6068" s="2" t="s">
        <v>267</v>
      </c>
      <c r="J6068" s="2" t="s">
        <v>3942</v>
      </c>
      <c r="K6068" s="2" t="s">
        <v>1452</v>
      </c>
      <c r="L6068" s="2" t="s">
        <v>5221</v>
      </c>
      <c r="M6068" s="2" t="s">
        <v>5721</v>
      </c>
      <c r="N6068" s="2" t="s">
        <v>2317</v>
      </c>
      <c r="O6068" s="14">
        <v>2800</v>
      </c>
      <c r="P6068" s="14">
        <v>93.46</v>
      </c>
      <c r="Q6068" s="14">
        <v>183.12</v>
      </c>
      <c r="R6068" s="14">
        <v>93.39</v>
      </c>
      <c r="S6068" s="2" t="s">
        <v>4760</v>
      </c>
      <c r="T6068" s="2">
        <v>0.91</v>
      </c>
      <c r="U6068" s="2">
        <v>58.2</v>
      </c>
      <c r="V6068" s="2">
        <v>55</v>
      </c>
      <c r="W6068" s="2" t="s">
        <v>7862</v>
      </c>
      <c r="X6068" s="2" t="s">
        <v>3061</v>
      </c>
      <c r="Y6068" s="2">
        <v>1428</v>
      </c>
      <c r="Z6068" s="19" t="str">
        <f>HYPERLINK("https://ssdweb.co/ssdweb/hd/Vision360.html?d=927152990&amp;zoomslide=1&amp;z=1927152990&amp;ISCONFIRM=0","VIDEO")</f>
        <v>VIDEO</v>
      </c>
      <c r="AA6068" s="19" t="str">
        <f>HYPERLINK("https://ssdweb.co/ssdweb/CERTH/675596616.pdf","CERTI")</f>
        <v>CERTI</v>
      </c>
    </row>
    <row r="6069" spans="1:27" ht="15" x14ac:dyDescent="0.25">
      <c r="A6069" s="2">
        <v>6064</v>
      </c>
      <c r="B6069" s="39">
        <v>941370467</v>
      </c>
      <c r="C6069" s="28" t="str">
        <f>HYPERLINK("https://pld.live/RapDetail.aspx?STONELIST=941370467","DNA")</f>
        <v>DNA</v>
      </c>
      <c r="D6069" s="18" t="s">
        <v>5466</v>
      </c>
      <c r="E6069" s="18" t="s">
        <v>5128</v>
      </c>
      <c r="F6069" s="2" t="s">
        <v>7987</v>
      </c>
      <c r="G6069" s="2" t="s">
        <v>5134</v>
      </c>
      <c r="H6069" s="14">
        <v>0.51</v>
      </c>
      <c r="I6069" s="2" t="s">
        <v>267</v>
      </c>
      <c r="J6069" s="2" t="s">
        <v>13</v>
      </c>
      <c r="K6069" s="2" t="s">
        <v>1452</v>
      </c>
      <c r="L6069" s="2" t="s">
        <v>5221</v>
      </c>
      <c r="M6069" s="2" t="s">
        <v>5221</v>
      </c>
      <c r="N6069" s="2" t="s">
        <v>2317</v>
      </c>
      <c r="O6069" s="14">
        <v>2600</v>
      </c>
      <c r="P6069" s="14">
        <v>93.08</v>
      </c>
      <c r="Q6069" s="14">
        <v>179.92</v>
      </c>
      <c r="R6069" s="14">
        <v>91.76</v>
      </c>
      <c r="S6069" s="2" t="s">
        <v>6958</v>
      </c>
      <c r="T6069" s="2">
        <v>0.91</v>
      </c>
      <c r="U6069" s="2">
        <v>58.4</v>
      </c>
      <c r="V6069" s="2">
        <v>65</v>
      </c>
      <c r="W6069" s="2" t="s">
        <v>7862</v>
      </c>
      <c r="X6069" s="2" t="s">
        <v>3061</v>
      </c>
      <c r="Y6069" s="2">
        <v>1326</v>
      </c>
      <c r="Z6069" s="19" t="str">
        <f>HYPERLINK("https://ssdweb.co/ssdweb/hd/Vision360.html?d=941370467&amp;zoomslide=1&amp;z=1941370467&amp;ISCONFIRM=0","VIDEO")</f>
        <v>VIDEO</v>
      </c>
      <c r="AA6069" s="19" t="str">
        <f>HYPERLINK("https://ssdweb.co/ssdweb/CERTH/694508358.pdf","CERTI")</f>
        <v>CERTI</v>
      </c>
    </row>
    <row r="6070" spans="1:27" ht="15" x14ac:dyDescent="0.25">
      <c r="A6070" s="2">
        <v>6065</v>
      </c>
      <c r="B6070" s="39">
        <v>925260334</v>
      </c>
      <c r="C6070" s="28" t="str">
        <f>HYPERLINK("https://pld.live/RapDetail.aspx?STONELIST=925260334","DNA")</f>
        <v>DNA</v>
      </c>
      <c r="D6070" s="18" t="s">
        <v>5466</v>
      </c>
      <c r="E6070" s="18" t="s">
        <v>5128</v>
      </c>
      <c r="F6070" s="2" t="s">
        <v>7987</v>
      </c>
      <c r="G6070" s="2" t="s">
        <v>5134</v>
      </c>
      <c r="H6070" s="14">
        <v>0.51</v>
      </c>
      <c r="I6070" s="2" t="s">
        <v>4761</v>
      </c>
      <c r="J6070" s="2" t="s">
        <v>7032</v>
      </c>
      <c r="K6070" s="2" t="s">
        <v>1452</v>
      </c>
      <c r="L6070" s="2" t="s">
        <v>5221</v>
      </c>
      <c r="M6070" s="2" t="s">
        <v>5221</v>
      </c>
      <c r="N6070" s="2" t="s">
        <v>2317</v>
      </c>
      <c r="O6070" s="14">
        <v>3000</v>
      </c>
      <c r="P6070" s="14">
        <v>90.87</v>
      </c>
      <c r="Q6070" s="14">
        <v>273.89999999999998</v>
      </c>
      <c r="R6070" s="14">
        <v>139.69</v>
      </c>
      <c r="S6070" s="2" t="s">
        <v>6044</v>
      </c>
      <c r="T6070" s="2">
        <v>0.87</v>
      </c>
      <c r="U6070" s="2">
        <v>59.5</v>
      </c>
      <c r="V6070" s="2">
        <v>62</v>
      </c>
      <c r="W6070" s="2" t="s">
        <v>7862</v>
      </c>
      <c r="X6070" s="2" t="s">
        <v>3061</v>
      </c>
      <c r="Y6070" s="2">
        <v>1530</v>
      </c>
      <c r="Z6070" s="19" t="str">
        <f>HYPERLINK("https://ssdweb.co/ssdweb/hd/Vision360.html?d=925260334&amp;zoomslide=1&amp;z=1925260334&amp;ISCONFIRM=0","VIDEO")</f>
        <v>VIDEO</v>
      </c>
      <c r="AA6070" s="19" t="str">
        <f>HYPERLINK("https://ssdweb.co/ssdweb/CERTH/624420383.pdf","CERTI")</f>
        <v>CERTI</v>
      </c>
    </row>
    <row r="6071" spans="1:27" ht="15" x14ac:dyDescent="0.25">
      <c r="A6071" s="2">
        <v>6066</v>
      </c>
      <c r="B6071" s="39">
        <v>941160569</v>
      </c>
      <c r="C6071" s="28" t="str">
        <f>HYPERLINK("https://pld.live/RapDetail.aspx?STONELIST=941160569","DNA")</f>
        <v>DNA</v>
      </c>
      <c r="D6071" s="18" t="s">
        <v>5466</v>
      </c>
      <c r="E6071" s="18" t="s">
        <v>5128</v>
      </c>
      <c r="F6071" s="2" t="s">
        <v>7987</v>
      </c>
      <c r="G6071" s="2" t="s">
        <v>5134</v>
      </c>
      <c r="H6071" s="14">
        <v>0.51</v>
      </c>
      <c r="I6071" s="2" t="s">
        <v>4761</v>
      </c>
      <c r="J6071" s="2" t="s">
        <v>3942</v>
      </c>
      <c r="K6071" s="2" t="s">
        <v>1452</v>
      </c>
      <c r="L6071" s="2" t="s">
        <v>5221</v>
      </c>
      <c r="M6071" s="2" t="s">
        <v>5721</v>
      </c>
      <c r="N6071" s="2" t="s">
        <v>2317</v>
      </c>
      <c r="O6071" s="14">
        <v>2600</v>
      </c>
      <c r="P6071" s="14">
        <v>93.04</v>
      </c>
      <c r="Q6071" s="14">
        <v>180.96</v>
      </c>
      <c r="R6071" s="14">
        <v>92.29</v>
      </c>
      <c r="S6071" s="2" t="s">
        <v>1249</v>
      </c>
      <c r="T6071" s="2">
        <v>0.87</v>
      </c>
      <c r="U6071" s="2">
        <v>56.8</v>
      </c>
      <c r="V6071" s="2">
        <v>62</v>
      </c>
      <c r="W6071" s="2" t="s">
        <v>7862</v>
      </c>
      <c r="X6071" s="2" t="s">
        <v>3061</v>
      </c>
      <c r="Y6071" s="2">
        <v>1326</v>
      </c>
      <c r="Z6071" s="19" t="str">
        <f>HYPERLINK("https://ssdweb.co/ssdweb/hd/Vision360.html?d=941160569&amp;zoomslide=1&amp;z=1941160569&amp;ISCONFIRM=0","VIDEO")</f>
        <v>VIDEO</v>
      </c>
      <c r="AA6071" s="19" t="str">
        <f>HYPERLINK("https://ssdweb.co/ssdweb/CERTH/675504567.pdf","CERTI")</f>
        <v>CERTI</v>
      </c>
    </row>
    <row r="6072" spans="1:27" ht="15" x14ac:dyDescent="0.25">
      <c r="A6072" s="2">
        <v>6067</v>
      </c>
      <c r="B6072" s="39">
        <v>927102506</v>
      </c>
      <c r="C6072" s="28" t="str">
        <f>HYPERLINK("https://pld.live/RapDetail.aspx?STONELIST=927102506","DNA")</f>
        <v>DNA</v>
      </c>
      <c r="D6072" s="18" t="s">
        <v>5466</v>
      </c>
      <c r="E6072" s="18" t="s">
        <v>5128</v>
      </c>
      <c r="F6072" s="2" t="s">
        <v>7987</v>
      </c>
      <c r="G6072" s="2" t="s">
        <v>5134</v>
      </c>
      <c r="H6072" s="14">
        <v>0.51</v>
      </c>
      <c r="I6072" s="2" t="s">
        <v>4761</v>
      </c>
      <c r="J6072" s="2" t="s">
        <v>13</v>
      </c>
      <c r="K6072" s="2" t="s">
        <v>1452</v>
      </c>
      <c r="L6072" s="2" t="s">
        <v>5221</v>
      </c>
      <c r="M6072" s="2" t="s">
        <v>5721</v>
      </c>
      <c r="N6072" s="2" t="s">
        <v>2317</v>
      </c>
      <c r="O6072" s="14">
        <v>2500</v>
      </c>
      <c r="P6072" s="14">
        <v>93.28</v>
      </c>
      <c r="Q6072" s="14">
        <v>168</v>
      </c>
      <c r="R6072" s="14">
        <v>85.68</v>
      </c>
      <c r="S6072" s="2" t="s">
        <v>2668</v>
      </c>
      <c r="T6072" s="2">
        <v>0.9</v>
      </c>
      <c r="U6072" s="2">
        <v>59.1</v>
      </c>
      <c r="V6072" s="2">
        <v>57</v>
      </c>
      <c r="W6072" s="2" t="s">
        <v>7862</v>
      </c>
      <c r="X6072" s="2" t="s">
        <v>3061</v>
      </c>
      <c r="Y6072" s="2">
        <v>1275</v>
      </c>
      <c r="Z6072" s="19" t="str">
        <f>HYPERLINK("https://ssdweb.co/ssdweb/hd/Vision360.html?d=927102506&amp;zoomslide=1&amp;z=1927102506&amp;ISCONFIRM=0","VIDEO")</f>
        <v>VIDEO</v>
      </c>
      <c r="AA6072" s="19" t="str">
        <f>HYPERLINK("https://ssdweb.co/ssdweb/CERTH/689586872.pdf","CERTI")</f>
        <v>CERTI</v>
      </c>
    </row>
    <row r="6073" spans="1:27" ht="15" x14ac:dyDescent="0.25">
      <c r="A6073" s="2">
        <v>6068</v>
      </c>
      <c r="B6073" s="39">
        <v>941270810</v>
      </c>
      <c r="C6073" s="28" t="str">
        <f>HYPERLINK("https://pld.live/RapDetail.aspx?STONELIST=941270810","DNA")</f>
        <v>DNA</v>
      </c>
      <c r="D6073" s="18" t="s">
        <v>5466</v>
      </c>
      <c r="E6073" s="18" t="s">
        <v>5128</v>
      </c>
      <c r="F6073" s="2" t="s">
        <v>7987</v>
      </c>
      <c r="G6073" s="2" t="s">
        <v>5134</v>
      </c>
      <c r="H6073" s="14">
        <v>0.5</v>
      </c>
      <c r="I6073" s="2" t="s">
        <v>4761</v>
      </c>
      <c r="J6073" s="2" t="s">
        <v>5144</v>
      </c>
      <c r="K6073" s="2" t="s">
        <v>1452</v>
      </c>
      <c r="L6073" s="2" t="s">
        <v>5221</v>
      </c>
      <c r="M6073" s="2" t="s">
        <v>5721</v>
      </c>
      <c r="N6073" s="2" t="s">
        <v>2317</v>
      </c>
      <c r="O6073" s="14">
        <v>2300</v>
      </c>
      <c r="P6073" s="14">
        <v>93.13</v>
      </c>
      <c r="Q6073" s="14">
        <v>158.01</v>
      </c>
      <c r="R6073" s="14">
        <v>79.010000000000005</v>
      </c>
      <c r="S6073" s="2" t="s">
        <v>1092</v>
      </c>
      <c r="T6073" s="2">
        <v>0.91</v>
      </c>
      <c r="U6073" s="2">
        <v>59.6</v>
      </c>
      <c r="V6073" s="2">
        <v>60</v>
      </c>
      <c r="W6073" s="2" t="s">
        <v>7862</v>
      </c>
      <c r="X6073" s="2" t="s">
        <v>3061</v>
      </c>
      <c r="Y6073" s="2">
        <v>1150</v>
      </c>
      <c r="Z6073" s="19" t="str">
        <f>HYPERLINK("https://ssdweb.co/ssdweb/hd/Vision360.html?d=941270810&amp;zoomslide=1&amp;z=1941270810&amp;ISCONFIRM=0","VIDEO")</f>
        <v>VIDEO</v>
      </c>
      <c r="AA6073" s="19" t="str">
        <f>HYPERLINK("https://ssdweb.co/ssdweb/CERTH/692533962.pdf","CERTI")</f>
        <v>CERTI</v>
      </c>
    </row>
    <row r="6074" spans="1:27" ht="15" x14ac:dyDescent="0.25">
      <c r="A6074" s="2">
        <v>6069</v>
      </c>
      <c r="B6074" s="39">
        <v>926820140</v>
      </c>
      <c r="C6074" s="28" t="str">
        <f>HYPERLINK("https://pld.live/RapDetail.aspx?STONELIST=926820140","DNA")</f>
        <v>DNA</v>
      </c>
      <c r="D6074" s="18" t="s">
        <v>38</v>
      </c>
      <c r="E6074" s="18" t="s">
        <v>2186</v>
      </c>
      <c r="F6074" s="2" t="s">
        <v>7987</v>
      </c>
      <c r="G6074" s="2" t="s">
        <v>6781</v>
      </c>
      <c r="H6074" s="14">
        <v>13.23</v>
      </c>
      <c r="I6074" s="2" t="s">
        <v>4761</v>
      </c>
      <c r="J6074" s="2" t="s">
        <v>13</v>
      </c>
      <c r="K6074" s="2" t="s">
        <v>1452</v>
      </c>
      <c r="L6074" s="2" t="s">
        <v>5221</v>
      </c>
      <c r="M6074" s="2" t="s">
        <v>5221</v>
      </c>
      <c r="N6074" s="2" t="s">
        <v>2317</v>
      </c>
      <c r="O6074" s="14">
        <v>83500</v>
      </c>
      <c r="P6074" s="14">
        <v>99.52</v>
      </c>
      <c r="Q6074" s="14">
        <v>400.8</v>
      </c>
      <c r="R6074" s="14">
        <v>5302.58</v>
      </c>
      <c r="S6074" s="2" t="s">
        <v>3888</v>
      </c>
      <c r="T6074" s="2">
        <v>1.53</v>
      </c>
      <c r="U6074" s="2">
        <v>62</v>
      </c>
      <c r="V6074" s="2">
        <v>62</v>
      </c>
      <c r="W6074" s="2" t="s">
        <v>7862</v>
      </c>
      <c r="X6074" s="2" t="s">
        <v>6687</v>
      </c>
      <c r="Y6074" s="2">
        <v>1104705</v>
      </c>
      <c r="Z6074" s="19" t="str">
        <f>HYPERLINK("https://ssdweb.co/ssdweb/hd/Vision360.html?d=926820140&amp;zoomslide=1&amp;z=1926820140&amp;ISCONFIRM=0","VIDEO")</f>
        <v>VIDEO</v>
      </c>
      <c r="AA6074" s="19" t="str">
        <f>HYPERLINK("https://ssdweb.co/ssdweb/CERTH/669458687.pdf","CERTI")</f>
        <v>CERTI</v>
      </c>
    </row>
    <row r="6075" spans="1:27" ht="15" x14ac:dyDescent="0.25">
      <c r="A6075" s="2">
        <v>6070</v>
      </c>
      <c r="B6075" s="39">
        <v>926820147</v>
      </c>
      <c r="C6075" s="28" t="str">
        <f>HYPERLINK("https://pld.live/RapDetail.aspx?STONELIST=926820147","DNA")</f>
        <v>DNA</v>
      </c>
      <c r="D6075" s="18" t="s">
        <v>38</v>
      </c>
      <c r="E6075" s="18" t="s">
        <v>2186</v>
      </c>
      <c r="F6075" s="2" t="s">
        <v>7987</v>
      </c>
      <c r="G6075" s="2" t="s">
        <v>6781</v>
      </c>
      <c r="H6075" s="14">
        <v>11.51</v>
      </c>
      <c r="I6075" s="2" t="s">
        <v>4761</v>
      </c>
      <c r="J6075" s="2" t="s">
        <v>13</v>
      </c>
      <c r="K6075" s="2" t="s">
        <v>1452</v>
      </c>
      <c r="L6075" s="2" t="s">
        <v>5221</v>
      </c>
      <c r="M6075" s="2" t="s">
        <v>5221</v>
      </c>
      <c r="N6075" s="2" t="s">
        <v>2317</v>
      </c>
      <c r="O6075" s="14">
        <v>83500</v>
      </c>
      <c r="P6075" s="14">
        <v>99.52</v>
      </c>
      <c r="Q6075" s="14">
        <v>400.8</v>
      </c>
      <c r="R6075" s="14">
        <v>4613.21</v>
      </c>
      <c r="S6075" s="2" t="s">
        <v>2273</v>
      </c>
      <c r="T6075" s="2">
        <v>1.54</v>
      </c>
      <c r="U6075" s="2">
        <v>62.5</v>
      </c>
      <c r="V6075" s="2">
        <v>58</v>
      </c>
      <c r="W6075" s="2" t="s">
        <v>7862</v>
      </c>
      <c r="X6075" s="2" t="s">
        <v>6687</v>
      </c>
      <c r="Y6075" s="2">
        <v>961085</v>
      </c>
      <c r="Z6075" s="19" t="str">
        <f>HYPERLINK("https://ssdweb.co/ssdweb/hd/Vision360.html?d=926820147&amp;zoomslide=1&amp;z=1926820147&amp;ISCONFIRM=0","VIDEO")</f>
        <v>VIDEO</v>
      </c>
      <c r="AA6075" s="19" t="str">
        <f>HYPERLINK("https://ssdweb.co/ssdweb/CERTH/671477281.pdf","CERTI")</f>
        <v>CERTI</v>
      </c>
    </row>
    <row r="6076" spans="1:27" ht="15" x14ac:dyDescent="0.25">
      <c r="A6076" s="2">
        <v>6071</v>
      </c>
      <c r="B6076" s="39">
        <v>926820146</v>
      </c>
      <c r="C6076" s="28" t="str">
        <f>HYPERLINK("https://pld.live/RapDetail.aspx?STONELIST=926820146","DNA")</f>
        <v>DNA</v>
      </c>
      <c r="D6076" s="18" t="s">
        <v>38</v>
      </c>
      <c r="E6076" s="18" t="s">
        <v>2186</v>
      </c>
      <c r="F6076" s="2" t="s">
        <v>7987</v>
      </c>
      <c r="G6076" s="2" t="s">
        <v>6781</v>
      </c>
      <c r="H6076" s="14">
        <v>11.1</v>
      </c>
      <c r="I6076" s="2" t="s">
        <v>4699</v>
      </c>
      <c r="J6076" s="2" t="s">
        <v>13</v>
      </c>
      <c r="K6076" s="2" t="s">
        <v>1452</v>
      </c>
      <c r="L6076" s="2" t="s">
        <v>5221</v>
      </c>
      <c r="M6076" s="2" t="s">
        <v>5221</v>
      </c>
      <c r="N6076" s="2" t="s">
        <v>2317</v>
      </c>
      <c r="O6076" s="14">
        <v>76500</v>
      </c>
      <c r="P6076" s="14">
        <v>99.51</v>
      </c>
      <c r="Q6076" s="14">
        <v>374.85</v>
      </c>
      <c r="R6076" s="14">
        <v>4160.84</v>
      </c>
      <c r="S6076" s="2" t="s">
        <v>1</v>
      </c>
      <c r="T6076" s="2">
        <v>1.56</v>
      </c>
      <c r="U6076" s="2">
        <v>61.1</v>
      </c>
      <c r="V6076" s="2">
        <v>61</v>
      </c>
      <c r="W6076" s="2" t="s">
        <v>7862</v>
      </c>
      <c r="X6076" s="2" t="s">
        <v>6687</v>
      </c>
      <c r="Y6076" s="2">
        <v>849150</v>
      </c>
      <c r="Z6076" s="19" t="str">
        <f>HYPERLINK("https://ssdweb.co/ssdweb/hd/Vision360.html?d=926820146&amp;zoomslide=1&amp;z=1926820146&amp;ISCONFIRM=0","VIDEO")</f>
        <v>VIDEO</v>
      </c>
      <c r="AA6076" s="19" t="str">
        <f>HYPERLINK("https://ssdweb.co/ssdweb/CERTH/671477280.pdf","CERTI")</f>
        <v>CERTI</v>
      </c>
    </row>
    <row r="6077" spans="1:27" ht="15" x14ac:dyDescent="0.25">
      <c r="A6077" s="2">
        <v>6072</v>
      </c>
      <c r="B6077" s="39">
        <v>926360326</v>
      </c>
      <c r="C6077" s="28" t="str">
        <f>HYPERLINK("https://pld.live/RapDetail.aspx?STONELIST=926360326","DNA")</f>
        <v>DNA</v>
      </c>
      <c r="D6077" s="18" t="s">
        <v>1966</v>
      </c>
      <c r="E6077" s="18" t="s">
        <v>2186</v>
      </c>
      <c r="F6077" s="2" t="s">
        <v>7987</v>
      </c>
      <c r="G6077" s="2" t="s">
        <v>6781</v>
      </c>
      <c r="H6077" s="14">
        <v>7.25</v>
      </c>
      <c r="I6077" s="2" t="s">
        <v>1505</v>
      </c>
      <c r="J6077" s="2" t="s">
        <v>13</v>
      </c>
      <c r="K6077" s="2" t="s">
        <v>1452</v>
      </c>
      <c r="L6077" s="2" t="s">
        <v>5221</v>
      </c>
      <c r="M6077" s="2" t="s">
        <v>5221</v>
      </c>
      <c r="N6077" s="2" t="s">
        <v>2317</v>
      </c>
      <c r="O6077" s="14">
        <v>33500</v>
      </c>
      <c r="P6077" s="14">
        <v>99.39</v>
      </c>
      <c r="Q6077" s="14">
        <v>204.35</v>
      </c>
      <c r="R6077" s="14">
        <v>1481.54</v>
      </c>
      <c r="S6077" s="2" t="s">
        <v>7626</v>
      </c>
      <c r="T6077" s="2">
        <v>1.65</v>
      </c>
      <c r="U6077" s="2">
        <v>59.5</v>
      </c>
      <c r="V6077" s="2">
        <v>62</v>
      </c>
      <c r="W6077" s="2" t="s">
        <v>7862</v>
      </c>
      <c r="X6077" s="2" t="s">
        <v>6687</v>
      </c>
      <c r="Y6077" s="2">
        <v>242875</v>
      </c>
      <c r="Z6077" s="19" t="str">
        <f>HYPERLINK("https://ssdweb.co/ssdweb/hd/Vision360.html?d=926360326&amp;zoomslide=1&amp;z=1926360326&amp;ISCONFIRM=0","VIDEO")</f>
        <v>VIDEO</v>
      </c>
      <c r="AA6077" s="19" t="str">
        <f>HYPERLINK("https://ssdweb.co/ssdweb/CERTH/642460653.pdf","CERTI")</f>
        <v>CERTI</v>
      </c>
    </row>
    <row r="6078" spans="1:27" ht="15" x14ac:dyDescent="0.25">
      <c r="A6078" s="2">
        <v>6073</v>
      </c>
      <c r="B6078" s="39">
        <v>941220462</v>
      </c>
      <c r="C6078" s="28" t="str">
        <f>HYPERLINK("https://pld.live/RapDetail.aspx?STONELIST=941220462","DNA")</f>
        <v>DNA</v>
      </c>
      <c r="D6078" s="18" t="s">
        <v>1966</v>
      </c>
      <c r="E6078" s="18" t="s">
        <v>2186</v>
      </c>
      <c r="F6078" s="2" t="s">
        <v>7987</v>
      </c>
      <c r="G6078" s="2" t="s">
        <v>6781</v>
      </c>
      <c r="H6078" s="14">
        <v>7.22</v>
      </c>
      <c r="I6078" s="2" t="s">
        <v>4761</v>
      </c>
      <c r="J6078" s="2" t="s">
        <v>3942</v>
      </c>
      <c r="K6078" s="2" t="s">
        <v>1452</v>
      </c>
      <c r="L6078" s="2" t="s">
        <v>5221</v>
      </c>
      <c r="M6078" s="2" t="s">
        <v>5221</v>
      </c>
      <c r="N6078" s="2" t="s">
        <v>2317</v>
      </c>
      <c r="O6078" s="14">
        <v>55000</v>
      </c>
      <c r="P6078" s="14">
        <v>99.38</v>
      </c>
      <c r="Q6078" s="14">
        <v>341</v>
      </c>
      <c r="R6078" s="14">
        <v>2462.02</v>
      </c>
      <c r="S6078" s="2" t="s">
        <v>4895</v>
      </c>
      <c r="T6078" s="2">
        <v>1.55</v>
      </c>
      <c r="U6078" s="2">
        <v>60.6</v>
      </c>
      <c r="V6078" s="2">
        <v>62</v>
      </c>
      <c r="W6078" s="2" t="s">
        <v>7862</v>
      </c>
      <c r="X6078" s="2" t="s">
        <v>6687</v>
      </c>
      <c r="Y6078" s="2">
        <v>397100</v>
      </c>
      <c r="Z6078" s="19" t="str">
        <f>HYPERLINK("https://ssdweb.co/ssdweb/hd/Vision360.html?d=941220462&amp;zoomslide=1&amp;z=1941220462&amp;ISCONFIRM=0","VIDEO")</f>
        <v>VIDEO</v>
      </c>
      <c r="AA6078" s="19" t="str">
        <f>HYPERLINK("https://ssdweb.co/ssdweb/CERTH/681547762.pdf","CERTI")</f>
        <v>CERTI</v>
      </c>
    </row>
    <row r="6079" spans="1:27" ht="15" x14ac:dyDescent="0.25">
      <c r="A6079" s="2">
        <v>6074</v>
      </c>
      <c r="B6079" s="39">
        <v>923130007</v>
      </c>
      <c r="C6079" s="28" t="str">
        <f>HYPERLINK("https://pld.live/RapDetail.aspx?STONELIST=923130007","DNA")</f>
        <v>DNA</v>
      </c>
      <c r="D6079" s="18" t="s">
        <v>4061</v>
      </c>
      <c r="E6079" s="18" t="s">
        <v>2186</v>
      </c>
      <c r="F6079" s="2" t="s">
        <v>5597</v>
      </c>
      <c r="G6079" s="2" t="s">
        <v>6781</v>
      </c>
      <c r="H6079" s="14">
        <v>6.53</v>
      </c>
      <c r="I6079" s="2" t="s">
        <v>1505</v>
      </c>
      <c r="J6079" s="2" t="s">
        <v>13</v>
      </c>
      <c r="K6079" s="2" t="s">
        <v>1452</v>
      </c>
      <c r="L6079" s="2" t="s">
        <v>5221</v>
      </c>
      <c r="M6079" s="2" t="s">
        <v>5221</v>
      </c>
      <c r="N6079" s="2" t="s">
        <v>2317</v>
      </c>
      <c r="O6079" s="14">
        <v>33500</v>
      </c>
      <c r="P6079" s="14">
        <v>99.25</v>
      </c>
      <c r="Q6079" s="14">
        <v>251.25</v>
      </c>
      <c r="R6079" s="14">
        <v>1640.66</v>
      </c>
      <c r="S6079" s="2" t="s">
        <v>7108</v>
      </c>
      <c r="T6079" s="2">
        <v>1.5</v>
      </c>
      <c r="U6079" s="2">
        <v>66.2</v>
      </c>
      <c r="V6079" s="2">
        <v>61</v>
      </c>
      <c r="W6079" s="2" t="s">
        <v>7862</v>
      </c>
      <c r="X6079" s="2" t="s">
        <v>6687</v>
      </c>
      <c r="Y6079" s="2">
        <v>218755</v>
      </c>
      <c r="Z6079" s="19" t="str">
        <f>HYPERLINK("https://ssdweb.co/ssdweb/hd/Vision360.html?d=923130007&amp;zoomslide=1&amp;z=1923130007&amp;ISCONFIRM=0","VIDEO")</f>
        <v>VIDEO</v>
      </c>
      <c r="AA6079" s="19" t="str">
        <f>HYPERLINK("https://ssdweb.co/ssdweb/CERTH/2221508555.pdf","CERTI")</f>
        <v>CERTI</v>
      </c>
    </row>
    <row r="6080" spans="1:27" ht="15" x14ac:dyDescent="0.25">
      <c r="A6080" s="2">
        <v>6075</v>
      </c>
      <c r="B6080" s="39">
        <v>821133223</v>
      </c>
      <c r="C6080" s="28" t="str">
        <f>HYPERLINK("https://pld.live/RapDetail.aspx?STONELIST=821133223","DNA")</f>
        <v>DNA</v>
      </c>
      <c r="D6080" s="18" t="s">
        <v>4061</v>
      </c>
      <c r="E6080" s="18" t="s">
        <v>1253</v>
      </c>
      <c r="F6080" s="2" t="s">
        <v>7987</v>
      </c>
      <c r="G6080" s="2" t="s">
        <v>6781</v>
      </c>
      <c r="H6080" s="14">
        <v>6.02</v>
      </c>
      <c r="I6080" s="2" t="s">
        <v>4761</v>
      </c>
      <c r="J6080" s="2" t="s">
        <v>13</v>
      </c>
      <c r="K6080" s="2" t="s">
        <v>1452</v>
      </c>
      <c r="L6080" s="2" t="s">
        <v>5221</v>
      </c>
      <c r="M6080" s="2" t="s">
        <v>5221</v>
      </c>
      <c r="N6080" s="2" t="s">
        <v>2317</v>
      </c>
      <c r="O6080" s="14">
        <v>52500</v>
      </c>
      <c r="P6080" s="14">
        <v>99.6</v>
      </c>
      <c r="Q6080" s="14">
        <v>210</v>
      </c>
      <c r="R6080" s="14">
        <v>1264.2</v>
      </c>
      <c r="S6080" s="2" t="s">
        <v>5982</v>
      </c>
      <c r="T6080" s="2">
        <v>1.54</v>
      </c>
      <c r="U6080" s="2">
        <v>62.7</v>
      </c>
      <c r="V6080" s="2">
        <v>59</v>
      </c>
      <c r="W6080" s="2" t="s">
        <v>7862</v>
      </c>
      <c r="X6080" s="2" t="s">
        <v>6687</v>
      </c>
      <c r="Y6080" s="2">
        <v>316050</v>
      </c>
      <c r="Z6080" s="19" t="str">
        <f>HYPERLINK("https://ssdweb.co/ssdweb/hd/Vision360.html?d=821133223&amp;zoomslide=1&amp;z=1821133223&amp;ISCONFIRM=0","VIDEO")</f>
        <v>VIDEO</v>
      </c>
      <c r="AA6080" s="19" t="str">
        <f>HYPERLINK("https://ssdweb.co/ssdweb/CERTH/670484527.pdf","CERTI")</f>
        <v>CERTI</v>
      </c>
    </row>
    <row r="6081" spans="1:27" ht="15" x14ac:dyDescent="0.25">
      <c r="A6081" s="2">
        <v>6076</v>
      </c>
      <c r="B6081" s="39">
        <v>926470445</v>
      </c>
      <c r="C6081" s="28" t="str">
        <f>HYPERLINK("https://pld.live/RapDetail.aspx?STONELIST=926470445","DNA")</f>
        <v>DNA</v>
      </c>
      <c r="D6081" s="18" t="s">
        <v>3174</v>
      </c>
      <c r="E6081" s="18" t="s">
        <v>2186</v>
      </c>
      <c r="F6081" s="2" t="s">
        <v>7987</v>
      </c>
      <c r="G6081" s="2" t="s">
        <v>6781</v>
      </c>
      <c r="H6081" s="14">
        <v>5.54</v>
      </c>
      <c r="I6081" s="2" t="s">
        <v>6587</v>
      </c>
      <c r="J6081" s="2" t="s">
        <v>13</v>
      </c>
      <c r="K6081" s="2" t="s">
        <v>1452</v>
      </c>
      <c r="L6081" s="2" t="s">
        <v>5221</v>
      </c>
      <c r="M6081" s="2" t="s">
        <v>5221</v>
      </c>
      <c r="N6081" s="2" t="s">
        <v>2317</v>
      </c>
      <c r="O6081" s="14">
        <v>42500</v>
      </c>
      <c r="P6081" s="14">
        <v>99.62</v>
      </c>
      <c r="Q6081" s="14">
        <v>161.5</v>
      </c>
      <c r="R6081" s="14">
        <v>894.71</v>
      </c>
      <c r="S6081" s="2" t="s">
        <v>5434</v>
      </c>
      <c r="T6081" s="2">
        <v>1.68</v>
      </c>
      <c r="U6081" s="2">
        <v>63.6</v>
      </c>
      <c r="V6081" s="2">
        <v>63</v>
      </c>
      <c r="W6081" s="2" t="s">
        <v>7862</v>
      </c>
      <c r="X6081" s="2" t="s">
        <v>6687</v>
      </c>
      <c r="Y6081" s="2">
        <v>235450</v>
      </c>
      <c r="Z6081" s="19" t="str">
        <f>HYPERLINK("https://ssdweb.co/ssdweb/hd/Vision360.html?d=926470445&amp;zoomslide=1&amp;z=1926470445&amp;ISCONFIRM=0","VIDEO")</f>
        <v>VIDEO</v>
      </c>
      <c r="AA6081" s="19" t="str">
        <f>HYPERLINK("https://ssdweb.co/ssdweb/CERTH/651454548.pdf","CERTI")</f>
        <v>CERTI</v>
      </c>
    </row>
    <row r="6082" spans="1:27" ht="15" x14ac:dyDescent="0.25">
      <c r="A6082" s="2">
        <v>6077</v>
      </c>
      <c r="B6082" s="39">
        <v>926470475</v>
      </c>
      <c r="C6082" s="28" t="str">
        <f>HYPERLINK("https://pld.live/RapDetail.aspx?STONELIST=926470475","DNA")</f>
        <v>DNA</v>
      </c>
      <c r="D6082" s="18" t="s">
        <v>3174</v>
      </c>
      <c r="E6082" s="18" t="s">
        <v>2186</v>
      </c>
      <c r="F6082" s="2" t="s">
        <v>7987</v>
      </c>
      <c r="G6082" s="2" t="s">
        <v>6781</v>
      </c>
      <c r="H6082" s="14">
        <v>5.52</v>
      </c>
      <c r="I6082" s="2" t="s">
        <v>4699</v>
      </c>
      <c r="J6082" s="2" t="s">
        <v>13</v>
      </c>
      <c r="K6082" s="2" t="s">
        <v>1452</v>
      </c>
      <c r="L6082" s="2" t="s">
        <v>5221</v>
      </c>
      <c r="M6082" s="2" t="s">
        <v>5221</v>
      </c>
      <c r="N6082" s="2" t="s">
        <v>2317</v>
      </c>
      <c r="O6082" s="14">
        <v>48500</v>
      </c>
      <c r="P6082" s="14">
        <v>99.62</v>
      </c>
      <c r="Q6082" s="14">
        <v>184.3</v>
      </c>
      <c r="R6082" s="14">
        <v>1017.34</v>
      </c>
      <c r="S6082" s="2" t="s">
        <v>6898</v>
      </c>
      <c r="T6082" s="2">
        <v>1.58</v>
      </c>
      <c r="U6082" s="2">
        <v>62.5</v>
      </c>
      <c r="V6082" s="2">
        <v>62</v>
      </c>
      <c r="W6082" s="2" t="s">
        <v>7862</v>
      </c>
      <c r="X6082" s="2" t="s">
        <v>6687</v>
      </c>
      <c r="Y6082" s="2">
        <v>267720</v>
      </c>
      <c r="Z6082" s="19" t="str">
        <f>HYPERLINK("https://ssdweb.co/ssdweb/hd/Vision360.html?d=926470475&amp;zoomslide=1&amp;z=1926470475&amp;ISCONFIRM=0","VIDEO")</f>
        <v>VIDEO</v>
      </c>
      <c r="AA6082" s="19" t="str">
        <f>HYPERLINK("https://ssdweb.co/ssdweb/CERTH/651454547.pdf","CERTI")</f>
        <v>CERTI</v>
      </c>
    </row>
    <row r="6083" spans="1:27" ht="15" x14ac:dyDescent="0.25">
      <c r="A6083" s="2">
        <v>6078</v>
      </c>
      <c r="B6083" s="39">
        <v>926410375</v>
      </c>
      <c r="C6083" s="28" t="str">
        <f>HYPERLINK("https://pld.live/RapDetail.aspx?STONELIST=926410375","DNA")</f>
        <v>DNA</v>
      </c>
      <c r="D6083" s="18" t="s">
        <v>3174</v>
      </c>
      <c r="E6083" s="18" t="s">
        <v>2186</v>
      </c>
      <c r="F6083" s="2" t="s">
        <v>7987</v>
      </c>
      <c r="G6083" s="2" t="s">
        <v>6781</v>
      </c>
      <c r="H6083" s="14">
        <v>5.52</v>
      </c>
      <c r="I6083" s="2" t="s">
        <v>4699</v>
      </c>
      <c r="J6083" s="2" t="s">
        <v>13</v>
      </c>
      <c r="K6083" s="2" t="s">
        <v>1452</v>
      </c>
      <c r="L6083" s="2" t="s">
        <v>5221</v>
      </c>
      <c r="M6083" s="2" t="s">
        <v>5221</v>
      </c>
      <c r="N6083" s="2" t="s">
        <v>2317</v>
      </c>
      <c r="O6083" s="14">
        <v>48500</v>
      </c>
      <c r="P6083" s="14">
        <v>99.62</v>
      </c>
      <c r="Q6083" s="14">
        <v>184.3</v>
      </c>
      <c r="R6083" s="14">
        <v>1017.34</v>
      </c>
      <c r="S6083" s="2" t="s">
        <v>7293</v>
      </c>
      <c r="T6083" s="2">
        <v>1.62</v>
      </c>
      <c r="U6083" s="2">
        <v>61.2</v>
      </c>
      <c r="V6083" s="2">
        <v>60</v>
      </c>
      <c r="W6083" s="2" t="s">
        <v>7862</v>
      </c>
      <c r="X6083" s="2" t="s">
        <v>6687</v>
      </c>
      <c r="Y6083" s="2">
        <v>267720</v>
      </c>
      <c r="Z6083" s="19" t="str">
        <f>HYPERLINK("https://ssdweb.co/ssdweb/hd/Vision360.html?d=926410375&amp;zoomslide=1&amp;z=1926410375&amp;ISCONFIRM=0","VIDEO")</f>
        <v>VIDEO</v>
      </c>
      <c r="AA6083" s="19" t="str">
        <f>HYPERLINK("https://ssdweb.co/ssdweb/CERTH/644466953.pdf","CERTI")</f>
        <v>CERTI</v>
      </c>
    </row>
    <row r="6084" spans="1:27" ht="15" x14ac:dyDescent="0.25">
      <c r="A6084" s="2">
        <v>6079</v>
      </c>
      <c r="B6084" s="39">
        <v>926470459</v>
      </c>
      <c r="C6084" s="28" t="str">
        <f>HYPERLINK("https://pld.live/RapDetail.aspx?STONELIST=926470459","DNA")</f>
        <v>DNA</v>
      </c>
      <c r="D6084" s="18" t="s">
        <v>3174</v>
      </c>
      <c r="E6084" s="18" t="s">
        <v>2186</v>
      </c>
      <c r="F6084" s="2" t="s">
        <v>7987</v>
      </c>
      <c r="G6084" s="2" t="s">
        <v>6781</v>
      </c>
      <c r="H6084" s="14">
        <v>5.5</v>
      </c>
      <c r="I6084" s="2" t="s">
        <v>1066</v>
      </c>
      <c r="J6084" s="2" t="s">
        <v>13</v>
      </c>
      <c r="K6084" s="2" t="s">
        <v>1452</v>
      </c>
      <c r="L6084" s="2" t="s">
        <v>5221</v>
      </c>
      <c r="M6084" s="2" t="s">
        <v>5221</v>
      </c>
      <c r="N6084" s="2" t="s">
        <v>924</v>
      </c>
      <c r="O6084" s="14">
        <v>9500</v>
      </c>
      <c r="P6084" s="14">
        <v>95.79</v>
      </c>
      <c r="Q6084" s="14">
        <v>399.95</v>
      </c>
      <c r="R6084" s="14">
        <v>2199.73</v>
      </c>
      <c r="S6084" s="2" t="s">
        <v>2142</v>
      </c>
      <c r="T6084" s="2">
        <v>1.66</v>
      </c>
      <c r="U6084" s="2">
        <v>63.3</v>
      </c>
      <c r="V6084" s="2">
        <v>62</v>
      </c>
      <c r="W6084" s="2" t="s">
        <v>7862</v>
      </c>
      <c r="X6084" s="2" t="s">
        <v>6687</v>
      </c>
      <c r="Y6084" s="2">
        <v>52250</v>
      </c>
      <c r="Z6084" s="19" t="str">
        <f>HYPERLINK("https://ssdweb.co/ssdweb/hd/Vision360.html?d=926470459&amp;zoomslide=1&amp;z=1926470459&amp;ISCONFIRM=0","VIDEO")</f>
        <v>VIDEO</v>
      </c>
      <c r="AA6084" s="19" t="str">
        <f>HYPERLINK("https://ssdweb.co/ssdweb/CERTH/651454583.pdf","CERTI")</f>
        <v>CERTI</v>
      </c>
    </row>
    <row r="6085" spans="1:27" ht="15" x14ac:dyDescent="0.25">
      <c r="A6085" s="2">
        <v>6080</v>
      </c>
      <c r="B6085" s="39">
        <v>919300006</v>
      </c>
      <c r="C6085" s="28" t="str">
        <f>HYPERLINK("https://pld.live/RapDetail.aspx?STONELIST=919300006","DNA")</f>
        <v>DNA</v>
      </c>
      <c r="D6085" s="18" t="s">
        <v>3174</v>
      </c>
      <c r="E6085" s="18" t="s">
        <v>2186</v>
      </c>
      <c r="F6085" s="2" t="s">
        <v>5597</v>
      </c>
      <c r="G6085" s="2" t="s">
        <v>6781</v>
      </c>
      <c r="H6085" s="14">
        <v>5.46</v>
      </c>
      <c r="I6085" s="2" t="s">
        <v>3722</v>
      </c>
      <c r="J6085" s="2" t="s">
        <v>13</v>
      </c>
      <c r="K6085" s="2" t="s">
        <v>1452</v>
      </c>
      <c r="L6085" s="2" t="s">
        <v>5221</v>
      </c>
      <c r="M6085" s="2" t="s">
        <v>5221</v>
      </c>
      <c r="N6085" s="2" t="s">
        <v>2317</v>
      </c>
      <c r="O6085" s="14">
        <v>25500</v>
      </c>
      <c r="P6085" s="14">
        <v>99.14</v>
      </c>
      <c r="Q6085" s="14">
        <v>219.3</v>
      </c>
      <c r="R6085" s="14">
        <v>1197.3800000000001</v>
      </c>
      <c r="S6085" s="2" t="s">
        <v>5558</v>
      </c>
      <c r="T6085" s="2">
        <v>1.63</v>
      </c>
      <c r="U6085" s="2">
        <v>60.3</v>
      </c>
      <c r="V6085" s="2">
        <v>62</v>
      </c>
      <c r="W6085" s="2" t="s">
        <v>7862</v>
      </c>
      <c r="X6085" s="2" t="s">
        <v>6687</v>
      </c>
      <c r="Y6085" s="2">
        <v>139230</v>
      </c>
      <c r="Z6085" s="19" t="str">
        <f>HYPERLINK("https://ssdweb.co/ssdweb/hd/Vision360.html?d=919300006&amp;zoomslide=1&amp;z=1919300006&amp;ISCONFIRM=0","VIDEO")</f>
        <v>VIDEO</v>
      </c>
      <c r="AA6085" s="19" t="str">
        <f>HYPERLINK("https://ssdweb.co/ssdweb/CERTH/3475798001.pdf","CERTI")</f>
        <v>CERTI</v>
      </c>
    </row>
    <row r="6086" spans="1:27" ht="15" x14ac:dyDescent="0.25">
      <c r="A6086" s="2">
        <v>6081</v>
      </c>
      <c r="B6086" s="39">
        <v>919300009</v>
      </c>
      <c r="C6086" s="28" t="str">
        <f>HYPERLINK("https://pld.live/RapDetail.aspx?STONELIST=919300009","DNA")</f>
        <v>DNA</v>
      </c>
      <c r="D6086" s="18" t="s">
        <v>3174</v>
      </c>
      <c r="E6086" s="18" t="s">
        <v>2186</v>
      </c>
      <c r="F6086" s="2" t="s">
        <v>7987</v>
      </c>
      <c r="G6086" s="2" t="s">
        <v>6781</v>
      </c>
      <c r="H6086" s="14">
        <v>5.35</v>
      </c>
      <c r="I6086" s="2" t="s">
        <v>6587</v>
      </c>
      <c r="J6086" s="2" t="s">
        <v>13</v>
      </c>
      <c r="K6086" s="2" t="s">
        <v>1452</v>
      </c>
      <c r="L6086" s="2" t="s">
        <v>5221</v>
      </c>
      <c r="M6086" s="2" t="s">
        <v>5221</v>
      </c>
      <c r="N6086" s="2" t="s">
        <v>2317</v>
      </c>
      <c r="O6086" s="14">
        <v>42500</v>
      </c>
      <c r="P6086" s="14">
        <v>99.62</v>
      </c>
      <c r="Q6086" s="14">
        <v>161.5</v>
      </c>
      <c r="R6086" s="14">
        <v>864.03</v>
      </c>
      <c r="S6086" s="2" t="s">
        <v>6794</v>
      </c>
      <c r="T6086" s="2">
        <v>1.63</v>
      </c>
      <c r="U6086" s="2">
        <v>60.3</v>
      </c>
      <c r="V6086" s="2">
        <v>61</v>
      </c>
      <c r="W6086" s="2" t="s">
        <v>7862</v>
      </c>
      <c r="X6086" s="2" t="s">
        <v>6687</v>
      </c>
      <c r="Y6086" s="2">
        <v>227375</v>
      </c>
      <c r="Z6086" s="19" t="str">
        <f>HYPERLINK("https://ssdweb.co/ssdweb/hd/Vision360.html?d=919300009&amp;zoomslide=1&amp;z=1919300009&amp;ISCONFIRM=0","VIDEO")</f>
        <v>VIDEO</v>
      </c>
      <c r="AA6086" s="19" t="str">
        <f>HYPERLINK("https://ssdweb.co/ssdweb/CERTH/602315936.pdf","CERTI")</f>
        <v>CERTI</v>
      </c>
    </row>
    <row r="6087" spans="1:27" ht="15" x14ac:dyDescent="0.25">
      <c r="A6087" s="2">
        <v>6082</v>
      </c>
      <c r="B6087" s="39">
        <v>926560412</v>
      </c>
      <c r="C6087" s="28" t="str">
        <f>HYPERLINK("https://pld.live/RapDetail.aspx?STONELIST=926560412","DNA")</f>
        <v>DNA</v>
      </c>
      <c r="D6087" s="18" t="s">
        <v>3174</v>
      </c>
      <c r="E6087" s="18" t="s">
        <v>2186</v>
      </c>
      <c r="F6087" s="2" t="s">
        <v>7987</v>
      </c>
      <c r="G6087" s="2" t="s">
        <v>6781</v>
      </c>
      <c r="H6087" s="14">
        <v>5.25</v>
      </c>
      <c r="I6087" s="2" t="s">
        <v>4699</v>
      </c>
      <c r="J6087" s="2" t="s">
        <v>13</v>
      </c>
      <c r="K6087" s="2" t="s">
        <v>1452</v>
      </c>
      <c r="L6087" s="2" t="s">
        <v>5221</v>
      </c>
      <c r="M6087" s="2" t="s">
        <v>5221</v>
      </c>
      <c r="N6087" s="2" t="s">
        <v>2317</v>
      </c>
      <c r="O6087" s="14">
        <v>48500</v>
      </c>
      <c r="P6087" s="14">
        <v>99.62</v>
      </c>
      <c r="Q6087" s="14">
        <v>184.3</v>
      </c>
      <c r="R6087" s="14">
        <v>967.58</v>
      </c>
      <c r="S6087" s="2" t="s">
        <v>2607</v>
      </c>
      <c r="T6087" s="2">
        <v>1.62</v>
      </c>
      <c r="U6087" s="2">
        <v>60.7</v>
      </c>
      <c r="V6087" s="2">
        <v>60</v>
      </c>
      <c r="W6087" s="2" t="s">
        <v>7862</v>
      </c>
      <c r="X6087" s="2" t="s">
        <v>6687</v>
      </c>
      <c r="Y6087" s="2">
        <v>254625</v>
      </c>
      <c r="Z6087" s="19" t="str">
        <f>HYPERLINK("https://ssdweb.co/ssdweb/hd/Vision360.html?d=926560412&amp;zoomslide=1&amp;z=1926560412&amp;ISCONFIRM=0","VIDEO")</f>
        <v>VIDEO</v>
      </c>
      <c r="AA6087" s="19" t="str">
        <f>HYPERLINK("https://ssdweb.co/ssdweb/CERTH/651454546.pdf","CERTI")</f>
        <v>CERTI</v>
      </c>
    </row>
    <row r="6088" spans="1:27" ht="15" x14ac:dyDescent="0.25">
      <c r="A6088" s="2">
        <v>6083</v>
      </c>
      <c r="B6088" s="39">
        <v>941180069</v>
      </c>
      <c r="C6088" s="28" t="str">
        <f>HYPERLINK("https://pld.live/RapDetail.aspx?STONELIST=941180069","DNA")</f>
        <v>DNA</v>
      </c>
      <c r="D6088" s="18" t="s">
        <v>3174</v>
      </c>
      <c r="E6088" s="18" t="s">
        <v>2186</v>
      </c>
      <c r="F6088" s="2" t="s">
        <v>7987</v>
      </c>
      <c r="G6088" s="2" t="s">
        <v>6781</v>
      </c>
      <c r="H6088" s="14">
        <v>5.25</v>
      </c>
      <c r="I6088" s="2" t="s">
        <v>4699</v>
      </c>
      <c r="J6088" s="2" t="s">
        <v>13</v>
      </c>
      <c r="K6088" s="2" t="s">
        <v>1452</v>
      </c>
      <c r="L6088" s="2" t="s">
        <v>5221</v>
      </c>
      <c r="M6088" s="2" t="s">
        <v>5221</v>
      </c>
      <c r="N6088" s="2" t="s">
        <v>2317</v>
      </c>
      <c r="O6088" s="14">
        <v>48500</v>
      </c>
      <c r="P6088" s="14">
        <v>99.62</v>
      </c>
      <c r="Q6088" s="14">
        <v>184.3</v>
      </c>
      <c r="R6088" s="14">
        <v>967.58</v>
      </c>
      <c r="S6088" s="2" t="s">
        <v>3558</v>
      </c>
      <c r="T6088" s="2">
        <v>1.54</v>
      </c>
      <c r="U6088" s="2">
        <v>61.6</v>
      </c>
      <c r="V6088" s="2">
        <v>58</v>
      </c>
      <c r="W6088" s="2" t="s">
        <v>7862</v>
      </c>
      <c r="X6088" s="2" t="s">
        <v>6687</v>
      </c>
      <c r="Y6088" s="2">
        <v>254625</v>
      </c>
      <c r="Z6088" s="19" t="str">
        <f>HYPERLINK("https://ssdweb.co/ssdweb/hd/Vision360.html?d=941180069&amp;zoomslide=1&amp;z=1941180069&amp;ISCONFIRM=0","VIDEO")</f>
        <v>VIDEO</v>
      </c>
      <c r="AA6088" s="19" t="str">
        <f>HYPERLINK("https://ssdweb.co/ssdweb/CERTH/675504737.pdf","CERTI")</f>
        <v>CERTI</v>
      </c>
    </row>
    <row r="6089" spans="1:27" ht="15" x14ac:dyDescent="0.25">
      <c r="A6089" s="2">
        <v>6084</v>
      </c>
      <c r="B6089" s="39">
        <v>926470452</v>
      </c>
      <c r="C6089" s="28" t="str">
        <f>HYPERLINK("https://pld.live/RapDetail.aspx?STONELIST=926470452","DNA")</f>
        <v>DNA</v>
      </c>
      <c r="D6089" s="18" t="s">
        <v>3174</v>
      </c>
      <c r="E6089" s="18" t="s">
        <v>2186</v>
      </c>
      <c r="F6089" s="2" t="s">
        <v>7987</v>
      </c>
      <c r="G6089" s="2" t="s">
        <v>6781</v>
      </c>
      <c r="H6089" s="14">
        <v>5.25</v>
      </c>
      <c r="I6089" s="2" t="s">
        <v>6587</v>
      </c>
      <c r="J6089" s="2" t="s">
        <v>13</v>
      </c>
      <c r="K6089" s="2" t="s">
        <v>1452</v>
      </c>
      <c r="L6089" s="2" t="s">
        <v>5221</v>
      </c>
      <c r="M6089" s="2" t="s">
        <v>5221</v>
      </c>
      <c r="N6089" s="2" t="s">
        <v>2317</v>
      </c>
      <c r="O6089" s="14">
        <v>42500</v>
      </c>
      <c r="P6089" s="14">
        <v>99.62</v>
      </c>
      <c r="Q6089" s="14">
        <v>161.5</v>
      </c>
      <c r="R6089" s="14">
        <v>847.88</v>
      </c>
      <c r="S6089" s="2" t="s">
        <v>1004</v>
      </c>
      <c r="T6089" s="2">
        <v>1.63</v>
      </c>
      <c r="U6089" s="2">
        <v>61.9</v>
      </c>
      <c r="V6089" s="2">
        <v>61</v>
      </c>
      <c r="W6089" s="2" t="s">
        <v>7862</v>
      </c>
      <c r="X6089" s="2" t="s">
        <v>6687</v>
      </c>
      <c r="Y6089" s="2">
        <v>223125</v>
      </c>
      <c r="Z6089" s="19" t="str">
        <f>HYPERLINK("https://ssdweb.co/ssdweb/hd/Vision360.html?d=926470452&amp;zoomslide=1&amp;z=1926470452&amp;ISCONFIRM=0","VIDEO")</f>
        <v>VIDEO</v>
      </c>
      <c r="AA6089" s="19" t="str">
        <f>HYPERLINK("https://ssdweb.co/ssdweb/CERTH/651454544.pdf","CERTI")</f>
        <v>CERTI</v>
      </c>
    </row>
    <row r="6090" spans="1:27" ht="15" x14ac:dyDescent="0.25">
      <c r="A6090" s="2">
        <v>6085</v>
      </c>
      <c r="B6090" s="39">
        <v>926470448</v>
      </c>
      <c r="C6090" s="28" t="str">
        <f>HYPERLINK("https://pld.live/RapDetail.aspx?STONELIST=926470448","DNA")</f>
        <v>DNA</v>
      </c>
      <c r="D6090" s="18" t="s">
        <v>3174</v>
      </c>
      <c r="E6090" s="18" t="s">
        <v>2186</v>
      </c>
      <c r="F6090" s="2" t="s">
        <v>7987</v>
      </c>
      <c r="G6090" s="2" t="s">
        <v>6781</v>
      </c>
      <c r="H6090" s="14">
        <v>5.25</v>
      </c>
      <c r="I6090" s="2" t="s">
        <v>6587</v>
      </c>
      <c r="J6090" s="2" t="s">
        <v>13</v>
      </c>
      <c r="K6090" s="2" t="s">
        <v>1452</v>
      </c>
      <c r="L6090" s="2" t="s">
        <v>5221</v>
      </c>
      <c r="M6090" s="2" t="s">
        <v>5221</v>
      </c>
      <c r="N6090" s="2" t="s">
        <v>2317</v>
      </c>
      <c r="O6090" s="14">
        <v>42500</v>
      </c>
      <c r="P6090" s="14">
        <v>99.62</v>
      </c>
      <c r="Q6090" s="14">
        <v>161.5</v>
      </c>
      <c r="R6090" s="14">
        <v>847.88</v>
      </c>
      <c r="S6090" s="2" t="s">
        <v>7808</v>
      </c>
      <c r="T6090" s="2">
        <v>1.62</v>
      </c>
      <c r="U6090" s="2">
        <v>61.1</v>
      </c>
      <c r="V6090" s="2">
        <v>63</v>
      </c>
      <c r="W6090" s="2" t="s">
        <v>7862</v>
      </c>
      <c r="X6090" s="2" t="s">
        <v>6687</v>
      </c>
      <c r="Y6090" s="2">
        <v>223125</v>
      </c>
      <c r="Z6090" s="19" t="str">
        <f>HYPERLINK("https://ssdweb.co/ssdweb/hd/Vision360.html?d=926470448&amp;zoomslide=1&amp;z=1926470448&amp;ISCONFIRM=0","VIDEO")</f>
        <v>VIDEO</v>
      </c>
      <c r="AA6090" s="19" t="str">
        <f>HYPERLINK("https://ssdweb.co/ssdweb/CERTH/651454560.pdf","CERTI")</f>
        <v>CERTI</v>
      </c>
    </row>
    <row r="6091" spans="1:27" ht="15" x14ac:dyDescent="0.25">
      <c r="A6091" s="2">
        <v>6086</v>
      </c>
      <c r="B6091" s="39">
        <v>926560418</v>
      </c>
      <c r="C6091" s="28" t="str">
        <f>HYPERLINK("https://pld.live/RapDetail.aspx?STONELIST=926560418","DNA")</f>
        <v>DNA</v>
      </c>
      <c r="D6091" s="18" t="s">
        <v>3174</v>
      </c>
      <c r="E6091" s="18" t="s">
        <v>2186</v>
      </c>
      <c r="F6091" s="2" t="s">
        <v>7987</v>
      </c>
      <c r="G6091" s="2" t="s">
        <v>6781</v>
      </c>
      <c r="H6091" s="14">
        <v>5.24</v>
      </c>
      <c r="I6091" s="2" t="s">
        <v>6845</v>
      </c>
      <c r="J6091" s="2" t="s">
        <v>13</v>
      </c>
      <c r="K6091" s="2" t="s">
        <v>1452</v>
      </c>
      <c r="L6091" s="2" t="s">
        <v>5221</v>
      </c>
      <c r="M6091" s="2" t="s">
        <v>5221</v>
      </c>
      <c r="N6091" s="2" t="s">
        <v>2317</v>
      </c>
      <c r="O6091" s="14">
        <v>9500</v>
      </c>
      <c r="P6091" s="14">
        <v>96.95</v>
      </c>
      <c r="Q6091" s="14">
        <v>289.75</v>
      </c>
      <c r="R6091" s="14">
        <v>1518.29</v>
      </c>
      <c r="S6091" s="2" t="s">
        <v>3045</v>
      </c>
      <c r="T6091" s="2">
        <v>1.66</v>
      </c>
      <c r="U6091" s="2">
        <v>61.8</v>
      </c>
      <c r="V6091" s="2">
        <v>63</v>
      </c>
      <c r="W6091" s="2" t="s">
        <v>7862</v>
      </c>
      <c r="X6091" s="2" t="s">
        <v>6687</v>
      </c>
      <c r="Y6091" s="2">
        <v>49780</v>
      </c>
      <c r="Z6091" s="19" t="str">
        <f>HYPERLINK("https://ssdweb.co/ssdweb/hd/Vision360.html?d=926560418&amp;zoomslide=1&amp;z=1926560418&amp;ISCONFIRM=0","VIDEO")</f>
        <v>VIDEO</v>
      </c>
      <c r="AA6091" s="19" t="str">
        <f>HYPERLINK("https://ssdweb.co/ssdweb/CERTH/652467595.pdf","CERTI")</f>
        <v>CERTI</v>
      </c>
    </row>
    <row r="6092" spans="1:27" ht="15" x14ac:dyDescent="0.25">
      <c r="A6092" s="2">
        <v>6087</v>
      </c>
      <c r="B6092" s="39">
        <v>926410414</v>
      </c>
      <c r="C6092" s="28" t="str">
        <f>HYPERLINK("https://pld.live/RapDetail.aspx?STONELIST=926410414","DNA")</f>
        <v>DNA</v>
      </c>
      <c r="D6092" s="18" t="s">
        <v>3174</v>
      </c>
      <c r="E6092" s="18" t="s">
        <v>2186</v>
      </c>
      <c r="F6092" s="2" t="s">
        <v>7987</v>
      </c>
      <c r="G6092" s="2" t="s">
        <v>6781</v>
      </c>
      <c r="H6092" s="14">
        <v>5.23</v>
      </c>
      <c r="I6092" s="2" t="s">
        <v>4699</v>
      </c>
      <c r="J6092" s="2" t="s">
        <v>3942</v>
      </c>
      <c r="K6092" s="2" t="s">
        <v>1452</v>
      </c>
      <c r="L6092" s="2" t="s">
        <v>5221</v>
      </c>
      <c r="M6092" s="2" t="s">
        <v>5221</v>
      </c>
      <c r="N6092" s="2" t="s">
        <v>2317</v>
      </c>
      <c r="O6092" s="14">
        <v>51000</v>
      </c>
      <c r="P6092" s="14">
        <v>99.59</v>
      </c>
      <c r="Q6092" s="14">
        <v>209.1</v>
      </c>
      <c r="R6092" s="14">
        <v>1093.5899999999999</v>
      </c>
      <c r="S6092" s="2" t="s">
        <v>1691</v>
      </c>
      <c r="T6092" s="2">
        <v>1.63</v>
      </c>
      <c r="U6092" s="2">
        <v>60.4</v>
      </c>
      <c r="V6092" s="2">
        <v>60</v>
      </c>
      <c r="W6092" s="2" t="s">
        <v>7862</v>
      </c>
      <c r="X6092" s="2" t="s">
        <v>6687</v>
      </c>
      <c r="Y6092" s="2">
        <v>266730</v>
      </c>
      <c r="Z6092" s="19" t="str">
        <f>HYPERLINK("https://ssdweb.co/ssdweb/hd/Vision360.html?d=926410414&amp;zoomslide=1&amp;z=1926410414&amp;ISCONFIRM=0","VIDEO")</f>
        <v>VIDEO</v>
      </c>
      <c r="AA6092" s="19" t="str">
        <f>HYPERLINK("https://ssdweb.co/ssdweb/CERTH/644442140.pdf","CERTI")</f>
        <v>CERTI</v>
      </c>
    </row>
    <row r="6093" spans="1:27" ht="15" x14ac:dyDescent="0.25">
      <c r="A6093" s="2">
        <v>6088</v>
      </c>
      <c r="B6093" s="39">
        <v>926470412</v>
      </c>
      <c r="C6093" s="28" t="str">
        <f>HYPERLINK("https://pld.live/RapDetail.aspx?STONELIST=926470412","DNA")</f>
        <v>DNA</v>
      </c>
      <c r="D6093" s="18" t="s">
        <v>3174</v>
      </c>
      <c r="E6093" s="18" t="s">
        <v>2186</v>
      </c>
      <c r="F6093" s="2" t="s">
        <v>7987</v>
      </c>
      <c r="G6093" s="2" t="s">
        <v>6781</v>
      </c>
      <c r="H6093" s="14">
        <v>5.23</v>
      </c>
      <c r="I6093" s="2" t="s">
        <v>4699</v>
      </c>
      <c r="J6093" s="2" t="s">
        <v>13</v>
      </c>
      <c r="K6093" s="2" t="s">
        <v>1452</v>
      </c>
      <c r="L6093" s="2" t="s">
        <v>5221</v>
      </c>
      <c r="M6093" s="2" t="s">
        <v>5221</v>
      </c>
      <c r="N6093" s="2" t="s">
        <v>2317</v>
      </c>
      <c r="O6093" s="14">
        <v>48500</v>
      </c>
      <c r="P6093" s="14">
        <v>99.62</v>
      </c>
      <c r="Q6093" s="14">
        <v>184.3</v>
      </c>
      <c r="R6093" s="14">
        <v>963.89</v>
      </c>
      <c r="S6093" s="2" t="s">
        <v>4723</v>
      </c>
      <c r="T6093" s="2">
        <v>1.63</v>
      </c>
      <c r="U6093" s="2">
        <v>62.6</v>
      </c>
      <c r="V6093" s="2">
        <v>63</v>
      </c>
      <c r="W6093" s="2" t="s">
        <v>7862</v>
      </c>
      <c r="X6093" s="2" t="s">
        <v>6687</v>
      </c>
      <c r="Y6093" s="2">
        <v>253655</v>
      </c>
      <c r="Z6093" s="19" t="str">
        <f>HYPERLINK("https://ssdweb.co/ssdweb/hd/Vision360.html?d=926470412&amp;zoomslide=1&amp;z=1926470412&amp;ISCONFIRM=0","VIDEO")</f>
        <v>VIDEO</v>
      </c>
      <c r="AA6093" s="19" t="str">
        <f>HYPERLINK("https://ssdweb.co/ssdweb/CERTH/647476786.pdf","CERTI")</f>
        <v>CERTI</v>
      </c>
    </row>
    <row r="6094" spans="1:27" ht="15" x14ac:dyDescent="0.25">
      <c r="A6094" s="2">
        <v>6089</v>
      </c>
      <c r="B6094" s="39">
        <v>926470476</v>
      </c>
      <c r="C6094" s="28" t="str">
        <f>HYPERLINK("https://pld.live/RapDetail.aspx?STONELIST=926470476","DNA")</f>
        <v>DNA</v>
      </c>
      <c r="D6094" s="18" t="s">
        <v>3174</v>
      </c>
      <c r="E6094" s="18" t="s">
        <v>2186</v>
      </c>
      <c r="F6094" s="2" t="s">
        <v>7987</v>
      </c>
      <c r="G6094" s="2" t="s">
        <v>6781</v>
      </c>
      <c r="H6094" s="14">
        <v>5.23</v>
      </c>
      <c r="I6094" s="2" t="s">
        <v>6587</v>
      </c>
      <c r="J6094" s="2" t="s">
        <v>13</v>
      </c>
      <c r="K6094" s="2" t="s">
        <v>1452</v>
      </c>
      <c r="L6094" s="2" t="s">
        <v>5221</v>
      </c>
      <c r="M6094" s="2" t="s">
        <v>5221</v>
      </c>
      <c r="N6094" s="2" t="s">
        <v>2317</v>
      </c>
      <c r="O6094" s="14">
        <v>42500</v>
      </c>
      <c r="P6094" s="14">
        <v>99.62</v>
      </c>
      <c r="Q6094" s="14">
        <v>161.5</v>
      </c>
      <c r="R6094" s="14">
        <v>844.65</v>
      </c>
      <c r="S6094" s="2" t="s">
        <v>4928</v>
      </c>
      <c r="T6094" s="2">
        <v>1.63</v>
      </c>
      <c r="U6094" s="2">
        <v>63.6</v>
      </c>
      <c r="V6094" s="2">
        <v>61</v>
      </c>
      <c r="W6094" s="2" t="s">
        <v>7862</v>
      </c>
      <c r="X6094" s="2" t="s">
        <v>6687</v>
      </c>
      <c r="Y6094" s="2">
        <v>222275</v>
      </c>
      <c r="Z6094" s="19" t="str">
        <f>HYPERLINK("https://ssdweb.co/ssdweb/hd/Vision360.html?d=926470476&amp;zoomslide=1&amp;z=1926470476&amp;ISCONFIRM=0","VIDEO")</f>
        <v>VIDEO</v>
      </c>
      <c r="AA6094" s="19" t="str">
        <f>HYPERLINK("https://ssdweb.co/ssdweb/CERTH/651454559.pdf","CERTI")</f>
        <v>CERTI</v>
      </c>
    </row>
    <row r="6095" spans="1:27" ht="15" x14ac:dyDescent="0.25">
      <c r="A6095" s="2">
        <v>6090</v>
      </c>
      <c r="B6095" s="39">
        <v>926470436</v>
      </c>
      <c r="C6095" s="28" t="str">
        <f>HYPERLINK("https://pld.live/RapDetail.aspx?STONELIST=926470436","DNA")</f>
        <v>DNA</v>
      </c>
      <c r="D6095" s="18" t="s">
        <v>3174</v>
      </c>
      <c r="E6095" s="18" t="s">
        <v>2186</v>
      </c>
      <c r="F6095" s="2" t="s">
        <v>7987</v>
      </c>
      <c r="G6095" s="2" t="s">
        <v>6781</v>
      </c>
      <c r="H6095" s="14">
        <v>5.22</v>
      </c>
      <c r="I6095" s="2" t="s">
        <v>4699</v>
      </c>
      <c r="J6095" s="2" t="s">
        <v>13</v>
      </c>
      <c r="K6095" s="2" t="s">
        <v>1452</v>
      </c>
      <c r="L6095" s="2" t="s">
        <v>5221</v>
      </c>
      <c r="M6095" s="2" t="s">
        <v>5221</v>
      </c>
      <c r="N6095" s="2" t="s">
        <v>2317</v>
      </c>
      <c r="O6095" s="14">
        <v>48500</v>
      </c>
      <c r="P6095" s="14">
        <v>99.62</v>
      </c>
      <c r="Q6095" s="14">
        <v>184.3</v>
      </c>
      <c r="R6095" s="14">
        <v>962.05</v>
      </c>
      <c r="S6095" s="2" t="s">
        <v>5026</v>
      </c>
      <c r="T6095" s="2">
        <v>1.62</v>
      </c>
      <c r="U6095" s="2">
        <v>60.2</v>
      </c>
      <c r="V6095" s="2">
        <v>59</v>
      </c>
      <c r="W6095" s="2" t="s">
        <v>7862</v>
      </c>
      <c r="X6095" s="2" t="s">
        <v>6687</v>
      </c>
      <c r="Y6095" s="2">
        <v>253170</v>
      </c>
      <c r="Z6095" s="19" t="str">
        <f>HYPERLINK("https://ssdweb.co/ssdweb/hd/Vision360.html?d=926470436&amp;zoomslide=1&amp;z=1926470436&amp;ISCONFIRM=0","VIDEO")</f>
        <v>VIDEO</v>
      </c>
      <c r="AA6095" s="19" t="str">
        <f>HYPERLINK("https://ssdweb.co/ssdweb/CERTH/648463576.pdf","CERTI")</f>
        <v>CERTI</v>
      </c>
    </row>
    <row r="6096" spans="1:27" ht="15" x14ac:dyDescent="0.25">
      <c r="A6096" s="2">
        <v>6091</v>
      </c>
      <c r="B6096" s="39">
        <v>926420453</v>
      </c>
      <c r="C6096" s="28" t="str">
        <f>HYPERLINK("https://pld.live/RapDetail.aspx?STONELIST=926420453","DNA")</f>
        <v>DNA</v>
      </c>
      <c r="D6096" s="18" t="s">
        <v>3174</v>
      </c>
      <c r="E6096" s="18" t="s">
        <v>2186</v>
      </c>
      <c r="F6096" s="2" t="s">
        <v>7987</v>
      </c>
      <c r="G6096" s="2" t="s">
        <v>6781</v>
      </c>
      <c r="H6096" s="14">
        <v>5.22</v>
      </c>
      <c r="I6096" s="2" t="s">
        <v>6845</v>
      </c>
      <c r="J6096" s="2" t="s">
        <v>3942</v>
      </c>
      <c r="K6096" s="2" t="s">
        <v>1452</v>
      </c>
      <c r="L6096" s="2" t="s">
        <v>5221</v>
      </c>
      <c r="M6096" s="2" t="s">
        <v>5221</v>
      </c>
      <c r="N6096" s="2" t="s">
        <v>2317</v>
      </c>
      <c r="O6096" s="14">
        <v>10500</v>
      </c>
      <c r="P6096" s="14">
        <v>97.14</v>
      </c>
      <c r="Q6096" s="14">
        <v>300.3</v>
      </c>
      <c r="R6096" s="14">
        <v>1567.57</v>
      </c>
      <c r="S6096" s="2" t="s">
        <v>6707</v>
      </c>
      <c r="T6096" s="2">
        <v>1.63</v>
      </c>
      <c r="U6096" s="2">
        <v>62.2</v>
      </c>
      <c r="V6096" s="2">
        <v>60</v>
      </c>
      <c r="W6096" s="2" t="s">
        <v>7862</v>
      </c>
      <c r="X6096" s="2" t="s">
        <v>6687</v>
      </c>
      <c r="Y6096" s="2">
        <v>54810</v>
      </c>
      <c r="Z6096" s="19" t="str">
        <f>HYPERLINK("https://ssdweb.co/ssdweb/hd/Vision360.html?d=926420453&amp;zoomslide=1&amp;z=1926420453&amp;ISCONFIRM=0","VIDEO")</f>
        <v>VIDEO</v>
      </c>
      <c r="AA6096" s="19" t="str">
        <f>HYPERLINK("https://ssdweb.co/ssdweb/CERTH/649412688.pdf","CERTI")</f>
        <v>CERTI</v>
      </c>
    </row>
    <row r="6097" spans="1:27" ht="15" x14ac:dyDescent="0.25">
      <c r="A6097" s="2">
        <v>6092</v>
      </c>
      <c r="B6097" s="39">
        <v>926470451</v>
      </c>
      <c r="C6097" s="28" t="str">
        <f>HYPERLINK("https://pld.live/RapDetail.aspx?STONELIST=926470451","DNA")</f>
        <v>DNA</v>
      </c>
      <c r="D6097" s="18" t="s">
        <v>3174</v>
      </c>
      <c r="E6097" s="18" t="s">
        <v>2186</v>
      </c>
      <c r="F6097" s="2" t="s">
        <v>7987</v>
      </c>
      <c r="G6097" s="2" t="s">
        <v>6781</v>
      </c>
      <c r="H6097" s="14">
        <v>5.21</v>
      </c>
      <c r="I6097" s="2" t="s">
        <v>6587</v>
      </c>
      <c r="J6097" s="2" t="s">
        <v>13</v>
      </c>
      <c r="K6097" s="2" t="s">
        <v>1452</v>
      </c>
      <c r="L6097" s="2" t="s">
        <v>5221</v>
      </c>
      <c r="M6097" s="2" t="s">
        <v>5221</v>
      </c>
      <c r="N6097" s="2" t="s">
        <v>2317</v>
      </c>
      <c r="O6097" s="14">
        <v>42500</v>
      </c>
      <c r="P6097" s="14">
        <v>99.62</v>
      </c>
      <c r="Q6097" s="14">
        <v>161.5</v>
      </c>
      <c r="R6097" s="14">
        <v>841.42</v>
      </c>
      <c r="S6097" s="2" t="s">
        <v>134</v>
      </c>
      <c r="T6097" s="2">
        <v>1.68</v>
      </c>
      <c r="U6097" s="2">
        <v>60.6</v>
      </c>
      <c r="V6097" s="2">
        <v>62</v>
      </c>
      <c r="W6097" s="2" t="s">
        <v>7862</v>
      </c>
      <c r="X6097" s="2" t="s">
        <v>6687</v>
      </c>
      <c r="Y6097" s="2">
        <v>221425</v>
      </c>
      <c r="Z6097" s="19" t="str">
        <f>HYPERLINK("https://ssdweb.co/ssdweb/hd/Vision360.html?d=926470451&amp;zoomslide=1&amp;z=1926470451&amp;ISCONFIRM=0","VIDEO")</f>
        <v>VIDEO</v>
      </c>
      <c r="AA6097" s="19" t="str">
        <f>HYPERLINK("https://ssdweb.co/ssdweb/CERTH/651454552.pdf","CERTI")</f>
        <v>CERTI</v>
      </c>
    </row>
    <row r="6098" spans="1:27" ht="15" x14ac:dyDescent="0.25">
      <c r="A6098" s="2">
        <v>6093</v>
      </c>
      <c r="B6098" s="39">
        <v>926470450</v>
      </c>
      <c r="C6098" s="28" t="str">
        <f>HYPERLINK("https://pld.live/RapDetail.aspx?STONELIST=926470450","DNA")</f>
        <v>DNA</v>
      </c>
      <c r="D6098" s="18" t="s">
        <v>3174</v>
      </c>
      <c r="E6098" s="18" t="s">
        <v>2186</v>
      </c>
      <c r="F6098" s="2" t="s">
        <v>7987</v>
      </c>
      <c r="G6098" s="2" t="s">
        <v>6781</v>
      </c>
      <c r="H6098" s="14">
        <v>5.21</v>
      </c>
      <c r="I6098" s="2" t="s">
        <v>6587</v>
      </c>
      <c r="J6098" s="2" t="s">
        <v>13</v>
      </c>
      <c r="K6098" s="2" t="s">
        <v>1452</v>
      </c>
      <c r="L6098" s="2" t="s">
        <v>5221</v>
      </c>
      <c r="M6098" s="2" t="s">
        <v>5221</v>
      </c>
      <c r="N6098" s="2" t="s">
        <v>2317</v>
      </c>
      <c r="O6098" s="14">
        <v>42500</v>
      </c>
      <c r="P6098" s="14">
        <v>99.62</v>
      </c>
      <c r="Q6098" s="14">
        <v>161.5</v>
      </c>
      <c r="R6098" s="14">
        <v>841.42</v>
      </c>
      <c r="S6098" s="2" t="s">
        <v>3639</v>
      </c>
      <c r="T6098" s="2">
        <v>1.64</v>
      </c>
      <c r="U6098" s="2">
        <v>62.2</v>
      </c>
      <c r="V6098" s="2">
        <v>67</v>
      </c>
      <c r="W6098" s="2" t="s">
        <v>7862</v>
      </c>
      <c r="X6098" s="2" t="s">
        <v>6687</v>
      </c>
      <c r="Y6098" s="2">
        <v>221425</v>
      </c>
      <c r="Z6098" s="19" t="str">
        <f>HYPERLINK("https://ssdweb.co/ssdweb/hd/Vision360.html?d=926470450&amp;zoomslide=1&amp;z=1926470450&amp;ISCONFIRM=0","VIDEO")</f>
        <v>VIDEO</v>
      </c>
      <c r="AA6098" s="19" t="str">
        <f>HYPERLINK("https://ssdweb.co/ssdweb/CERTH/651454551.pdf","CERTI")</f>
        <v>CERTI</v>
      </c>
    </row>
    <row r="6099" spans="1:27" ht="15" x14ac:dyDescent="0.25">
      <c r="A6099" s="2">
        <v>6094</v>
      </c>
      <c r="B6099" s="39">
        <v>926420443</v>
      </c>
      <c r="C6099" s="28" t="str">
        <f>HYPERLINK("https://pld.live/RapDetail.aspx?STONELIST=926420443","DNA")</f>
        <v>DNA</v>
      </c>
      <c r="D6099" s="18" t="s">
        <v>3174</v>
      </c>
      <c r="E6099" s="18" t="s">
        <v>2186</v>
      </c>
      <c r="F6099" s="2" t="s">
        <v>7987</v>
      </c>
      <c r="G6099" s="2" t="s">
        <v>6781</v>
      </c>
      <c r="H6099" s="14">
        <v>5.2</v>
      </c>
      <c r="I6099" s="2" t="s">
        <v>6587</v>
      </c>
      <c r="J6099" s="2" t="s">
        <v>13</v>
      </c>
      <c r="K6099" s="2" t="s">
        <v>1452</v>
      </c>
      <c r="L6099" s="2" t="s">
        <v>5221</v>
      </c>
      <c r="M6099" s="2" t="s">
        <v>5221</v>
      </c>
      <c r="N6099" s="2" t="s">
        <v>2317</v>
      </c>
      <c r="O6099" s="14">
        <v>42500</v>
      </c>
      <c r="P6099" s="14">
        <v>99.62</v>
      </c>
      <c r="Q6099" s="14">
        <v>161.5</v>
      </c>
      <c r="R6099" s="14">
        <v>839.8</v>
      </c>
      <c r="S6099" s="2" t="s">
        <v>866</v>
      </c>
      <c r="T6099" s="2">
        <v>1.64</v>
      </c>
      <c r="U6099" s="2">
        <v>61.2</v>
      </c>
      <c r="V6099" s="2">
        <v>61</v>
      </c>
      <c r="W6099" s="2" t="s">
        <v>7862</v>
      </c>
      <c r="X6099" s="2" t="s">
        <v>6687</v>
      </c>
      <c r="Y6099" s="2">
        <v>221000</v>
      </c>
      <c r="Z6099" s="19" t="str">
        <f>HYPERLINK("https://ssdweb.co/ssdweb/hd/Vision360.html?d=926420443&amp;zoomslide=1&amp;z=1926420443&amp;ISCONFIRM=0","VIDEO")</f>
        <v>VIDEO</v>
      </c>
      <c r="AA6099" s="19" t="str">
        <f>HYPERLINK("https://ssdweb.co/ssdweb/CERTH/647476785.pdf","CERTI")</f>
        <v>CERTI</v>
      </c>
    </row>
    <row r="6100" spans="1:27" ht="15" x14ac:dyDescent="0.25">
      <c r="A6100" s="2">
        <v>6095</v>
      </c>
      <c r="B6100" s="39">
        <v>926470440</v>
      </c>
      <c r="C6100" s="28" t="str">
        <f>HYPERLINK("https://pld.live/RapDetail.aspx?STONELIST=926470440","DNA")</f>
        <v>DNA</v>
      </c>
      <c r="D6100" s="18" t="s">
        <v>3174</v>
      </c>
      <c r="E6100" s="18" t="s">
        <v>2186</v>
      </c>
      <c r="F6100" s="2" t="s">
        <v>7987</v>
      </c>
      <c r="G6100" s="2" t="s">
        <v>6781</v>
      </c>
      <c r="H6100" s="14">
        <v>5.2</v>
      </c>
      <c r="I6100" s="2" t="s">
        <v>6845</v>
      </c>
      <c r="J6100" s="2" t="s">
        <v>13</v>
      </c>
      <c r="K6100" s="2" t="s">
        <v>1452</v>
      </c>
      <c r="L6100" s="2" t="s">
        <v>5221</v>
      </c>
      <c r="M6100" s="2" t="s">
        <v>5221</v>
      </c>
      <c r="N6100" s="2" t="s">
        <v>2317</v>
      </c>
      <c r="O6100" s="14">
        <v>9500</v>
      </c>
      <c r="P6100" s="14">
        <v>96.95</v>
      </c>
      <c r="Q6100" s="14">
        <v>289.75</v>
      </c>
      <c r="R6100" s="14">
        <v>1506.7</v>
      </c>
      <c r="S6100" s="2" t="s">
        <v>7478</v>
      </c>
      <c r="T6100" s="2">
        <v>1.56</v>
      </c>
      <c r="U6100" s="2">
        <v>61.6</v>
      </c>
      <c r="V6100" s="2">
        <v>62</v>
      </c>
      <c r="W6100" s="2" t="s">
        <v>7862</v>
      </c>
      <c r="X6100" s="2" t="s">
        <v>6687</v>
      </c>
      <c r="Y6100" s="2">
        <v>49400</v>
      </c>
      <c r="Z6100" s="19" t="str">
        <f>HYPERLINK("https://ssdweb.co/ssdweb/hd/Vision360.html?d=926470440&amp;zoomslide=1&amp;z=1926470440&amp;ISCONFIRM=0","VIDEO")</f>
        <v>VIDEO</v>
      </c>
      <c r="AA6100" s="19" t="str">
        <f>HYPERLINK("https://ssdweb.co/ssdweb/CERTH/648463547.pdf","CERTI")</f>
        <v>CERTI</v>
      </c>
    </row>
    <row r="6101" spans="1:27" ht="15" x14ac:dyDescent="0.25">
      <c r="A6101" s="2">
        <v>6096</v>
      </c>
      <c r="B6101" s="39">
        <v>926560394</v>
      </c>
      <c r="C6101" s="28" t="str">
        <f>HYPERLINK("https://pld.live/RapDetail.aspx?STONELIST=926560394","DNA")</f>
        <v>DNA</v>
      </c>
      <c r="D6101" s="18" t="s">
        <v>3174</v>
      </c>
      <c r="E6101" s="18" t="s">
        <v>2186</v>
      </c>
      <c r="F6101" s="2" t="s">
        <v>7987</v>
      </c>
      <c r="G6101" s="2" t="s">
        <v>6781</v>
      </c>
      <c r="H6101" s="14">
        <v>5.04</v>
      </c>
      <c r="I6101" s="2" t="s">
        <v>4699</v>
      </c>
      <c r="J6101" s="2" t="s">
        <v>3942</v>
      </c>
      <c r="K6101" s="2" t="s">
        <v>1452</v>
      </c>
      <c r="L6101" s="2" t="s">
        <v>5221</v>
      </c>
      <c r="M6101" s="2" t="s">
        <v>5221</v>
      </c>
      <c r="N6101" s="2" t="s">
        <v>2317</v>
      </c>
      <c r="O6101" s="14">
        <v>51000</v>
      </c>
      <c r="P6101" s="14">
        <v>99.59</v>
      </c>
      <c r="Q6101" s="14">
        <v>209.1</v>
      </c>
      <c r="R6101" s="14">
        <v>1053.8599999999999</v>
      </c>
      <c r="S6101" s="2" t="s">
        <v>1760</v>
      </c>
      <c r="T6101" s="2">
        <v>1.62</v>
      </c>
      <c r="U6101" s="2">
        <v>61.6</v>
      </c>
      <c r="V6101" s="2">
        <v>61</v>
      </c>
      <c r="W6101" s="2" t="s">
        <v>7862</v>
      </c>
      <c r="X6101" s="2" t="s">
        <v>6687</v>
      </c>
      <c r="Y6101" s="2">
        <v>257040</v>
      </c>
      <c r="Z6101" s="19" t="str">
        <f>HYPERLINK("https://ssdweb.co/ssdweb/hd/Vision360.html?d=926560394&amp;zoomslide=1&amp;z=1926560394&amp;ISCONFIRM=0","VIDEO")</f>
        <v>VIDEO</v>
      </c>
      <c r="AA6101" s="19" t="str">
        <f>HYPERLINK("https://ssdweb.co/ssdweb/CERTH/648463574.pdf","CERTI")</f>
        <v>CERTI</v>
      </c>
    </row>
    <row r="6102" spans="1:27" ht="15" x14ac:dyDescent="0.25">
      <c r="A6102" s="2">
        <v>6097</v>
      </c>
      <c r="B6102" s="39">
        <v>926470473</v>
      </c>
      <c r="C6102" s="28" t="str">
        <f>HYPERLINK("https://pld.live/RapDetail.aspx?STONELIST=926470473","DNA")</f>
        <v>DNA</v>
      </c>
      <c r="D6102" s="18" t="s">
        <v>3174</v>
      </c>
      <c r="E6102" s="18" t="s">
        <v>2186</v>
      </c>
      <c r="F6102" s="2" t="s">
        <v>7987</v>
      </c>
      <c r="G6102" s="2" t="s">
        <v>6781</v>
      </c>
      <c r="H6102" s="14">
        <v>5.04</v>
      </c>
      <c r="I6102" s="2" t="s">
        <v>6587</v>
      </c>
      <c r="J6102" s="2" t="s">
        <v>13</v>
      </c>
      <c r="K6102" s="2" t="s">
        <v>1452</v>
      </c>
      <c r="L6102" s="2" t="s">
        <v>5221</v>
      </c>
      <c r="M6102" s="2" t="s">
        <v>5221</v>
      </c>
      <c r="N6102" s="2" t="s">
        <v>2317</v>
      </c>
      <c r="O6102" s="14">
        <v>42500</v>
      </c>
      <c r="P6102" s="14">
        <v>99.62</v>
      </c>
      <c r="Q6102" s="14">
        <v>161.5</v>
      </c>
      <c r="R6102" s="14">
        <v>813.96</v>
      </c>
      <c r="S6102" s="2" t="s">
        <v>5627</v>
      </c>
      <c r="T6102" s="2">
        <v>1.53</v>
      </c>
      <c r="U6102" s="2">
        <v>60.1</v>
      </c>
      <c r="V6102" s="2">
        <v>61</v>
      </c>
      <c r="W6102" s="2" t="s">
        <v>7862</v>
      </c>
      <c r="X6102" s="2" t="s">
        <v>6687</v>
      </c>
      <c r="Y6102" s="2">
        <v>214200</v>
      </c>
      <c r="Z6102" s="19" t="str">
        <f>HYPERLINK("https://ssdweb.co/ssdweb/hd/Vision360.html?d=926470473&amp;zoomslide=1&amp;z=1926470473&amp;ISCONFIRM=0","VIDEO")</f>
        <v>VIDEO</v>
      </c>
      <c r="AA6102" s="19" t="str">
        <f>HYPERLINK("https://ssdweb.co/ssdweb/CERTH/651454550.pdf","CERTI")</f>
        <v>CERTI</v>
      </c>
    </row>
    <row r="6103" spans="1:27" ht="15" x14ac:dyDescent="0.25">
      <c r="A6103" s="2">
        <v>6098</v>
      </c>
      <c r="B6103" s="39">
        <v>926470453</v>
      </c>
      <c r="C6103" s="28" t="str">
        <f>HYPERLINK("https://pld.live/RapDetail.aspx?STONELIST=926470453","DNA")</f>
        <v>DNA</v>
      </c>
      <c r="D6103" s="18" t="s">
        <v>3174</v>
      </c>
      <c r="E6103" s="18" t="s">
        <v>2186</v>
      </c>
      <c r="F6103" s="2" t="s">
        <v>7987</v>
      </c>
      <c r="G6103" s="2" t="s">
        <v>6781</v>
      </c>
      <c r="H6103" s="14">
        <v>5.04</v>
      </c>
      <c r="I6103" s="2" t="s">
        <v>6587</v>
      </c>
      <c r="J6103" s="2" t="s">
        <v>13</v>
      </c>
      <c r="K6103" s="2" t="s">
        <v>1452</v>
      </c>
      <c r="L6103" s="2" t="s">
        <v>5221</v>
      </c>
      <c r="M6103" s="2" t="s">
        <v>5221</v>
      </c>
      <c r="N6103" s="2" t="s">
        <v>2317</v>
      </c>
      <c r="O6103" s="14">
        <v>42500</v>
      </c>
      <c r="P6103" s="14">
        <v>99.62</v>
      </c>
      <c r="Q6103" s="14">
        <v>161.5</v>
      </c>
      <c r="R6103" s="14">
        <v>813.96</v>
      </c>
      <c r="S6103" s="2" t="s">
        <v>935</v>
      </c>
      <c r="T6103" s="2">
        <v>1.61</v>
      </c>
      <c r="U6103" s="2">
        <v>63.1</v>
      </c>
      <c r="V6103" s="2">
        <v>61</v>
      </c>
      <c r="W6103" s="2" t="s">
        <v>7862</v>
      </c>
      <c r="X6103" s="2" t="s">
        <v>6687</v>
      </c>
      <c r="Y6103" s="2">
        <v>214200</v>
      </c>
      <c r="Z6103" s="19" t="str">
        <f>HYPERLINK("https://ssdweb.co/ssdweb/hd/Vision360.html?d=926470453&amp;zoomslide=1&amp;z=1926470453&amp;ISCONFIRM=0","VIDEO")</f>
        <v>VIDEO</v>
      </c>
      <c r="AA6103" s="19" t="str">
        <f>HYPERLINK("https://ssdweb.co/ssdweb/CERTH/651454554.pdf","CERTI")</f>
        <v>CERTI</v>
      </c>
    </row>
    <row r="6104" spans="1:27" ht="15" x14ac:dyDescent="0.25">
      <c r="A6104" s="2">
        <v>6099</v>
      </c>
      <c r="B6104" s="39">
        <v>926470419</v>
      </c>
      <c r="C6104" s="28" t="str">
        <f>HYPERLINK("https://pld.live/RapDetail.aspx?STONELIST=926470419","DNA")</f>
        <v>DNA</v>
      </c>
      <c r="D6104" s="18" t="s">
        <v>3174</v>
      </c>
      <c r="E6104" s="18" t="s">
        <v>2186</v>
      </c>
      <c r="F6104" s="2" t="s">
        <v>7987</v>
      </c>
      <c r="G6104" s="2" t="s">
        <v>6781</v>
      </c>
      <c r="H6104" s="14">
        <v>5.04</v>
      </c>
      <c r="I6104" s="2" t="s">
        <v>6587</v>
      </c>
      <c r="J6104" s="2" t="s">
        <v>13</v>
      </c>
      <c r="K6104" s="2" t="s">
        <v>1452</v>
      </c>
      <c r="L6104" s="2" t="s">
        <v>5221</v>
      </c>
      <c r="M6104" s="2" t="s">
        <v>5221</v>
      </c>
      <c r="N6104" s="2" t="s">
        <v>2317</v>
      </c>
      <c r="O6104" s="14">
        <v>42500</v>
      </c>
      <c r="P6104" s="14">
        <v>99.62</v>
      </c>
      <c r="Q6104" s="14">
        <v>161.5</v>
      </c>
      <c r="R6104" s="14">
        <v>813.96</v>
      </c>
      <c r="S6104" s="2" t="s">
        <v>5971</v>
      </c>
      <c r="T6104" s="2">
        <v>1.59</v>
      </c>
      <c r="U6104" s="2">
        <v>60.2</v>
      </c>
      <c r="V6104" s="2">
        <v>60</v>
      </c>
      <c r="W6104" s="2" t="s">
        <v>7862</v>
      </c>
      <c r="X6104" s="2" t="s">
        <v>6687</v>
      </c>
      <c r="Y6104" s="2">
        <v>214200</v>
      </c>
      <c r="Z6104" s="19" t="str">
        <f>HYPERLINK("https://ssdweb.co/ssdweb/hd/Vision360.html?d=926470419&amp;zoomslide=1&amp;z=1926470419&amp;ISCONFIRM=0","VIDEO")</f>
        <v>VIDEO</v>
      </c>
      <c r="AA6104" s="19" t="str">
        <f>HYPERLINK("https://ssdweb.co/ssdweb/CERTH/648492653.pdf","CERTI")</f>
        <v>CERTI</v>
      </c>
    </row>
    <row r="6105" spans="1:27" ht="15" x14ac:dyDescent="0.25">
      <c r="A6105" s="2">
        <v>6100</v>
      </c>
      <c r="B6105" s="39">
        <v>926420431</v>
      </c>
      <c r="C6105" s="28" t="str">
        <f>HYPERLINK("https://pld.live/RapDetail.aspx?STONELIST=926420431","DNA")</f>
        <v>DNA</v>
      </c>
      <c r="D6105" s="18" t="s">
        <v>3174</v>
      </c>
      <c r="E6105" s="18" t="s">
        <v>2186</v>
      </c>
      <c r="F6105" s="2" t="s">
        <v>7987</v>
      </c>
      <c r="G6105" s="2" t="s">
        <v>6781</v>
      </c>
      <c r="H6105" s="14">
        <v>5.03</v>
      </c>
      <c r="I6105" s="2" t="s">
        <v>6587</v>
      </c>
      <c r="J6105" s="2" t="s">
        <v>13</v>
      </c>
      <c r="K6105" s="2" t="s">
        <v>1452</v>
      </c>
      <c r="L6105" s="2" t="s">
        <v>5221</v>
      </c>
      <c r="M6105" s="2" t="s">
        <v>5221</v>
      </c>
      <c r="N6105" s="2" t="s">
        <v>2317</v>
      </c>
      <c r="O6105" s="14">
        <v>42500</v>
      </c>
      <c r="P6105" s="14">
        <v>99.62</v>
      </c>
      <c r="Q6105" s="14">
        <v>161.5</v>
      </c>
      <c r="R6105" s="14">
        <v>812.35</v>
      </c>
      <c r="S6105" s="2" t="s">
        <v>1242</v>
      </c>
      <c r="T6105" s="2">
        <v>1.63</v>
      </c>
      <c r="U6105" s="2">
        <v>60.6</v>
      </c>
      <c r="V6105" s="2">
        <v>61</v>
      </c>
      <c r="W6105" s="2" t="s">
        <v>7862</v>
      </c>
      <c r="X6105" s="2" t="s">
        <v>6687</v>
      </c>
      <c r="Y6105" s="2">
        <v>213775</v>
      </c>
      <c r="Z6105" s="19" t="str">
        <f>HYPERLINK("https://ssdweb.co/ssdweb/hd/Vision360.html?d=926420431&amp;zoomslide=1&amp;z=1926420431&amp;ISCONFIRM=0","VIDEO")</f>
        <v>VIDEO</v>
      </c>
      <c r="AA6105" s="19" t="str">
        <f>HYPERLINK("https://ssdweb.co/ssdweb/CERTH/645459010.pdf","CERTI")</f>
        <v>CERTI</v>
      </c>
    </row>
    <row r="6106" spans="1:27" ht="15" x14ac:dyDescent="0.25">
      <c r="A6106" s="2">
        <v>6101</v>
      </c>
      <c r="B6106" s="39">
        <v>926590061</v>
      </c>
      <c r="C6106" s="28" t="str">
        <f>HYPERLINK("https://pld.live/RapDetail.aspx?STONELIST=926590061","DNA")</f>
        <v>DNA</v>
      </c>
      <c r="D6106" s="18" t="s">
        <v>3174</v>
      </c>
      <c r="E6106" s="18" t="s">
        <v>2186</v>
      </c>
      <c r="F6106" s="2" t="s">
        <v>7987</v>
      </c>
      <c r="G6106" s="2" t="s">
        <v>6781</v>
      </c>
      <c r="H6106" s="14">
        <v>5.03</v>
      </c>
      <c r="I6106" s="2" t="s">
        <v>6874</v>
      </c>
      <c r="J6106" s="2" t="s">
        <v>3942</v>
      </c>
      <c r="K6106" s="2" t="s">
        <v>1452</v>
      </c>
      <c r="L6106" s="2" t="s">
        <v>5221</v>
      </c>
      <c r="M6106" s="2" t="s">
        <v>5221</v>
      </c>
      <c r="N6106" s="2" t="s">
        <v>924</v>
      </c>
      <c r="O6106" s="14">
        <v>10500</v>
      </c>
      <c r="P6106" s="14">
        <v>96.19</v>
      </c>
      <c r="Q6106" s="14">
        <v>400.05</v>
      </c>
      <c r="R6106" s="14">
        <v>2012.25</v>
      </c>
      <c r="S6106" s="2" t="s">
        <v>6592</v>
      </c>
      <c r="T6106" s="2">
        <v>1.62</v>
      </c>
      <c r="U6106" s="2">
        <v>62.2</v>
      </c>
      <c r="V6106" s="2">
        <v>59</v>
      </c>
      <c r="W6106" s="2" t="s">
        <v>7862</v>
      </c>
      <c r="X6106" s="2" t="s">
        <v>6687</v>
      </c>
      <c r="Y6106" s="2">
        <v>52815</v>
      </c>
      <c r="Z6106" s="19" t="str">
        <f>HYPERLINK("https://ssdweb.co/ssdweb/hd/Vision360.html?d=926590061&amp;zoomslide=1&amp;z=1926590061&amp;ISCONFIRM=0","VIDEO")</f>
        <v>VIDEO</v>
      </c>
      <c r="AA6106" s="19" t="str">
        <f>HYPERLINK("https://ssdweb.co/ssdweb/CERTH/651454582.pdf","CERTI")</f>
        <v>CERTI</v>
      </c>
    </row>
    <row r="6107" spans="1:27" ht="15" x14ac:dyDescent="0.25">
      <c r="A6107" s="2">
        <v>6102</v>
      </c>
      <c r="B6107" s="39">
        <v>926470458</v>
      </c>
      <c r="C6107" s="28" t="str">
        <f>HYPERLINK("https://pld.live/RapDetail.aspx?STONELIST=926470458","DNA")</f>
        <v>DNA</v>
      </c>
      <c r="D6107" s="18" t="s">
        <v>3174</v>
      </c>
      <c r="E6107" s="18" t="s">
        <v>2186</v>
      </c>
      <c r="F6107" s="2" t="s">
        <v>7987</v>
      </c>
      <c r="G6107" s="2" t="s">
        <v>6781</v>
      </c>
      <c r="H6107" s="14">
        <v>5.03</v>
      </c>
      <c r="I6107" s="2" t="s">
        <v>6874</v>
      </c>
      <c r="J6107" s="2" t="s">
        <v>3942</v>
      </c>
      <c r="K6107" s="2" t="s">
        <v>1452</v>
      </c>
      <c r="L6107" s="2" t="s">
        <v>5221</v>
      </c>
      <c r="M6107" s="2" t="s">
        <v>5221</v>
      </c>
      <c r="N6107" s="2" t="s">
        <v>924</v>
      </c>
      <c r="O6107" s="14">
        <v>10500</v>
      </c>
      <c r="P6107" s="14">
        <v>96.19</v>
      </c>
      <c r="Q6107" s="14">
        <v>400.05</v>
      </c>
      <c r="R6107" s="14">
        <v>2012.25</v>
      </c>
      <c r="S6107" s="2" t="s">
        <v>4254</v>
      </c>
      <c r="T6107" s="2">
        <v>1.53</v>
      </c>
      <c r="U6107" s="2">
        <v>62</v>
      </c>
      <c r="V6107" s="2">
        <v>61</v>
      </c>
      <c r="W6107" s="2" t="s">
        <v>7862</v>
      </c>
      <c r="X6107" s="2" t="s">
        <v>6687</v>
      </c>
      <c r="Y6107" s="2">
        <v>52815</v>
      </c>
      <c r="Z6107" s="19" t="str">
        <f>HYPERLINK("https://ssdweb.co/ssdweb/hd/Vision360.html?d=926470458&amp;zoomslide=1&amp;z=1926470458&amp;ISCONFIRM=0","VIDEO")</f>
        <v>VIDEO</v>
      </c>
      <c r="AA6107" s="19" t="str">
        <f>HYPERLINK("https://ssdweb.co/ssdweb/CERTH/651454581.pdf","CERTI")</f>
        <v>CERTI</v>
      </c>
    </row>
    <row r="6108" spans="1:27" ht="15" x14ac:dyDescent="0.25">
      <c r="A6108" s="2">
        <v>6103</v>
      </c>
      <c r="B6108" s="39">
        <v>941220282</v>
      </c>
      <c r="C6108" s="28" t="str">
        <f>HYPERLINK("https://pld.live/RapDetail.aspx?STONELIST=941220282","DNA")</f>
        <v>DNA</v>
      </c>
      <c r="D6108" s="18" t="s">
        <v>3174</v>
      </c>
      <c r="E6108" s="18" t="s">
        <v>2186</v>
      </c>
      <c r="F6108" s="2" t="s">
        <v>7987</v>
      </c>
      <c r="G6108" s="2" t="s">
        <v>6781</v>
      </c>
      <c r="H6108" s="14">
        <v>5.0199999999999996</v>
      </c>
      <c r="I6108" s="2" t="s">
        <v>4761</v>
      </c>
      <c r="J6108" s="2" t="s">
        <v>13</v>
      </c>
      <c r="K6108" s="2" t="s">
        <v>1452</v>
      </c>
      <c r="L6108" s="2" t="s">
        <v>5221</v>
      </c>
      <c r="M6108" s="2" t="s">
        <v>5221</v>
      </c>
      <c r="N6108" s="2" t="s">
        <v>2317</v>
      </c>
      <c r="O6108" s="14">
        <v>52500</v>
      </c>
      <c r="P6108" s="14">
        <v>99.62</v>
      </c>
      <c r="Q6108" s="14">
        <v>199.5</v>
      </c>
      <c r="R6108" s="14">
        <v>1001.49</v>
      </c>
      <c r="S6108" s="2" t="s">
        <v>1604</v>
      </c>
      <c r="T6108" s="2">
        <v>1.55</v>
      </c>
      <c r="U6108" s="2">
        <v>59.9</v>
      </c>
      <c r="V6108" s="2">
        <v>63</v>
      </c>
      <c r="W6108" s="2" t="s">
        <v>7862</v>
      </c>
      <c r="X6108" s="2" t="s">
        <v>6687</v>
      </c>
      <c r="Y6108" s="2">
        <v>263550</v>
      </c>
      <c r="Z6108" s="19" t="str">
        <f>HYPERLINK("https://ssdweb.co/ssdweb/hd/Vision360.html?d=941220282&amp;zoomslide=1&amp;z=1941220282&amp;ISCONFIRM=0","VIDEO")</f>
        <v>VIDEO</v>
      </c>
      <c r="AA6108" s="19" t="str">
        <f>HYPERLINK("https://ssdweb.co/ssdweb/CERTH/678550341.pdf","CERTI")</f>
        <v>CERTI</v>
      </c>
    </row>
    <row r="6109" spans="1:27" ht="15" x14ac:dyDescent="0.25">
      <c r="A6109" s="2">
        <v>6104</v>
      </c>
      <c r="B6109" s="39">
        <v>941230229</v>
      </c>
      <c r="C6109" s="28" t="str">
        <f>HYPERLINK("https://pld.live/RapDetail.aspx?STONELIST=941230229","DNA")</f>
        <v>DNA</v>
      </c>
      <c r="D6109" s="18" t="s">
        <v>3174</v>
      </c>
      <c r="E6109" s="18" t="s">
        <v>2186</v>
      </c>
      <c r="F6109" s="2" t="s">
        <v>7987</v>
      </c>
      <c r="G6109" s="2" t="s">
        <v>6781</v>
      </c>
      <c r="H6109" s="14">
        <v>5.0199999999999996</v>
      </c>
      <c r="I6109" s="2" t="s">
        <v>4699</v>
      </c>
      <c r="J6109" s="2" t="s">
        <v>13</v>
      </c>
      <c r="K6109" s="2" t="s">
        <v>1452</v>
      </c>
      <c r="L6109" s="2" t="s">
        <v>5221</v>
      </c>
      <c r="M6109" s="2" t="s">
        <v>5221</v>
      </c>
      <c r="N6109" s="2" t="s">
        <v>2317</v>
      </c>
      <c r="O6109" s="14">
        <v>48500</v>
      </c>
      <c r="P6109" s="14">
        <v>99.62</v>
      </c>
      <c r="Q6109" s="14">
        <v>184.3</v>
      </c>
      <c r="R6109" s="14">
        <v>925.19</v>
      </c>
      <c r="S6109" s="2" t="s">
        <v>4622</v>
      </c>
      <c r="T6109" s="2">
        <v>1.56</v>
      </c>
      <c r="U6109" s="2">
        <v>61.6</v>
      </c>
      <c r="V6109" s="2">
        <v>61</v>
      </c>
      <c r="W6109" s="2" t="s">
        <v>7862</v>
      </c>
      <c r="X6109" s="2" t="s">
        <v>6687</v>
      </c>
      <c r="Y6109" s="2">
        <v>243470</v>
      </c>
      <c r="Z6109" s="19" t="str">
        <f>HYPERLINK("https://ssdweb.co/ssdweb/hd/Vision360.html?d=941230229&amp;zoomslide=1&amp;z=1941230229&amp;ISCONFIRM=0","VIDEO")</f>
        <v>VIDEO</v>
      </c>
      <c r="AA6109" s="19" t="str">
        <f>HYPERLINK("https://ssdweb.co/ssdweb/CERTH/680505448.pdf","CERTI")</f>
        <v>CERTI</v>
      </c>
    </row>
    <row r="6110" spans="1:27" ht="15" x14ac:dyDescent="0.25">
      <c r="A6110" s="2">
        <v>6105</v>
      </c>
      <c r="B6110" s="39">
        <v>941230225</v>
      </c>
      <c r="C6110" s="28" t="str">
        <f>HYPERLINK("https://pld.live/RapDetail.aspx?STONELIST=941230225","DNA")</f>
        <v>DNA</v>
      </c>
      <c r="D6110" s="18" t="s">
        <v>3174</v>
      </c>
      <c r="E6110" s="18" t="s">
        <v>2186</v>
      </c>
      <c r="F6110" s="2" t="s">
        <v>7987</v>
      </c>
      <c r="G6110" s="2" t="s">
        <v>6781</v>
      </c>
      <c r="H6110" s="14">
        <v>5.0199999999999996</v>
      </c>
      <c r="I6110" s="2" t="s">
        <v>4699</v>
      </c>
      <c r="J6110" s="2" t="s">
        <v>13</v>
      </c>
      <c r="K6110" s="2" t="s">
        <v>1452</v>
      </c>
      <c r="L6110" s="2" t="s">
        <v>5221</v>
      </c>
      <c r="M6110" s="2" t="s">
        <v>5221</v>
      </c>
      <c r="N6110" s="2" t="s">
        <v>2317</v>
      </c>
      <c r="O6110" s="14">
        <v>48500</v>
      </c>
      <c r="P6110" s="14">
        <v>99.62</v>
      </c>
      <c r="Q6110" s="14">
        <v>184.3</v>
      </c>
      <c r="R6110" s="14">
        <v>925.19</v>
      </c>
      <c r="S6110" s="2" t="s">
        <v>5231</v>
      </c>
      <c r="T6110" s="2">
        <v>1.54</v>
      </c>
      <c r="U6110" s="2">
        <v>60.6</v>
      </c>
      <c r="V6110" s="2">
        <v>60</v>
      </c>
      <c r="W6110" s="2" t="s">
        <v>7862</v>
      </c>
      <c r="X6110" s="2" t="s">
        <v>6687</v>
      </c>
      <c r="Y6110" s="2">
        <v>243470</v>
      </c>
      <c r="Z6110" s="19" t="str">
        <f>HYPERLINK("https://ssdweb.co/ssdweb/hd/Vision360.html?d=941230225&amp;zoomslide=1&amp;z=1941230225&amp;ISCONFIRM=0","VIDEO")</f>
        <v>VIDEO</v>
      </c>
      <c r="AA6110" s="19" t="str">
        <f>HYPERLINK("https://ssdweb.co/ssdweb/CERTH/680505447.pdf","CERTI")</f>
        <v>CERTI</v>
      </c>
    </row>
    <row r="6111" spans="1:27" ht="15" x14ac:dyDescent="0.25">
      <c r="A6111" s="2">
        <v>6106</v>
      </c>
      <c r="B6111" s="39">
        <v>926470421</v>
      </c>
      <c r="C6111" s="28" t="str">
        <f>HYPERLINK("https://pld.live/RapDetail.aspx?STONELIST=926470421","DNA")</f>
        <v>DNA</v>
      </c>
      <c r="D6111" s="18" t="s">
        <v>3174</v>
      </c>
      <c r="E6111" s="18" t="s">
        <v>2186</v>
      </c>
      <c r="F6111" s="2" t="s">
        <v>7987</v>
      </c>
      <c r="G6111" s="2" t="s">
        <v>6781</v>
      </c>
      <c r="H6111" s="14">
        <v>5.0199999999999996</v>
      </c>
      <c r="I6111" s="2" t="s">
        <v>6587</v>
      </c>
      <c r="J6111" s="2" t="s">
        <v>13</v>
      </c>
      <c r="K6111" s="2" t="s">
        <v>1452</v>
      </c>
      <c r="L6111" s="2" t="s">
        <v>5221</v>
      </c>
      <c r="M6111" s="2" t="s">
        <v>5221</v>
      </c>
      <c r="N6111" s="2" t="s">
        <v>2317</v>
      </c>
      <c r="O6111" s="14">
        <v>42500</v>
      </c>
      <c r="P6111" s="14">
        <v>99.62</v>
      </c>
      <c r="Q6111" s="14">
        <v>161.5</v>
      </c>
      <c r="R6111" s="14">
        <v>810.73</v>
      </c>
      <c r="S6111" s="2" t="s">
        <v>4850</v>
      </c>
      <c r="T6111" s="2">
        <v>1.61</v>
      </c>
      <c r="U6111" s="2">
        <v>58.7</v>
      </c>
      <c r="V6111" s="2">
        <v>65</v>
      </c>
      <c r="W6111" s="2" t="s">
        <v>7862</v>
      </c>
      <c r="X6111" s="2" t="s">
        <v>6687</v>
      </c>
      <c r="Y6111" s="2">
        <v>213350</v>
      </c>
      <c r="Z6111" s="19" t="str">
        <f>HYPERLINK("https://ssdweb.co/ssdweb/hd/Vision360.html?d=926470421&amp;zoomslide=1&amp;z=1926470421&amp;ISCONFIRM=0","VIDEO")</f>
        <v>VIDEO</v>
      </c>
      <c r="AA6111" s="19" t="str">
        <f>HYPERLINK("https://ssdweb.co/ssdweb/CERTH/648492655.pdf","CERTI")</f>
        <v>CERTI</v>
      </c>
    </row>
    <row r="6112" spans="1:27" ht="15" x14ac:dyDescent="0.25">
      <c r="A6112" s="2">
        <v>6107</v>
      </c>
      <c r="B6112" s="39">
        <v>926590062</v>
      </c>
      <c r="C6112" s="28" t="str">
        <f>HYPERLINK("https://pld.live/RapDetail.aspx?STONELIST=926590062","DNA")</f>
        <v>DNA</v>
      </c>
      <c r="D6112" s="18" t="s">
        <v>3174</v>
      </c>
      <c r="E6112" s="18" t="s">
        <v>2186</v>
      </c>
      <c r="F6112" s="2" t="s">
        <v>7987</v>
      </c>
      <c r="G6112" s="2" t="s">
        <v>6781</v>
      </c>
      <c r="H6112" s="14">
        <v>5.0199999999999996</v>
      </c>
      <c r="I6112" s="2" t="s">
        <v>6845</v>
      </c>
      <c r="J6112" s="2" t="s">
        <v>3942</v>
      </c>
      <c r="K6112" s="2" t="s">
        <v>1452</v>
      </c>
      <c r="L6112" s="2" t="s">
        <v>5221</v>
      </c>
      <c r="M6112" s="2" t="s">
        <v>5221</v>
      </c>
      <c r="N6112" s="2" t="s">
        <v>2317</v>
      </c>
      <c r="O6112" s="14">
        <v>10500</v>
      </c>
      <c r="P6112" s="14">
        <v>97.14</v>
      </c>
      <c r="Q6112" s="14">
        <v>300.3</v>
      </c>
      <c r="R6112" s="14">
        <v>1507.51</v>
      </c>
      <c r="S6112" s="2" t="s">
        <v>820</v>
      </c>
      <c r="T6112" s="2">
        <v>1.63</v>
      </c>
      <c r="U6112" s="2">
        <v>61.4</v>
      </c>
      <c r="V6112" s="2">
        <v>59</v>
      </c>
      <c r="W6112" s="2" t="s">
        <v>7862</v>
      </c>
      <c r="X6112" s="2" t="s">
        <v>6687</v>
      </c>
      <c r="Y6112" s="2">
        <v>52710</v>
      </c>
      <c r="Z6112" s="19" t="str">
        <f>HYPERLINK("https://ssdweb.co/ssdweb/hd/Vision360.html?d=926590062&amp;zoomslide=1&amp;z=1926590062&amp;ISCONFIRM=0","VIDEO")</f>
        <v>VIDEO</v>
      </c>
      <c r="AA6112" s="19" t="str">
        <f>HYPERLINK("https://ssdweb.co/ssdweb/CERTH/652467598.pdf","CERTI")</f>
        <v>CERTI</v>
      </c>
    </row>
    <row r="6113" spans="1:27" ht="15" x14ac:dyDescent="0.25">
      <c r="A6113" s="2">
        <v>6108</v>
      </c>
      <c r="B6113" s="39">
        <v>926470466</v>
      </c>
      <c r="C6113" s="28" t="str">
        <f>HYPERLINK("https://pld.live/RapDetail.aspx?STONELIST=926470466","DNA")</f>
        <v>DNA</v>
      </c>
      <c r="D6113" s="18" t="s">
        <v>3174</v>
      </c>
      <c r="E6113" s="18" t="s">
        <v>2186</v>
      </c>
      <c r="F6113" s="2" t="s">
        <v>7987</v>
      </c>
      <c r="G6113" s="2" t="s">
        <v>6781</v>
      </c>
      <c r="H6113" s="14">
        <v>5.0199999999999996</v>
      </c>
      <c r="I6113" s="2" t="s">
        <v>6874</v>
      </c>
      <c r="J6113" s="2" t="s">
        <v>3942</v>
      </c>
      <c r="K6113" s="2" t="s">
        <v>1452</v>
      </c>
      <c r="L6113" s="2" t="s">
        <v>5221</v>
      </c>
      <c r="M6113" s="2" t="s">
        <v>5221</v>
      </c>
      <c r="N6113" s="2" t="s">
        <v>924</v>
      </c>
      <c r="O6113" s="14">
        <v>10500</v>
      </c>
      <c r="P6113" s="14">
        <v>96.19</v>
      </c>
      <c r="Q6113" s="14">
        <v>400.05</v>
      </c>
      <c r="R6113" s="14">
        <v>2008.25</v>
      </c>
      <c r="S6113" s="2" t="s">
        <v>3934</v>
      </c>
      <c r="T6113" s="2">
        <v>1.73</v>
      </c>
      <c r="U6113" s="2">
        <v>59.5</v>
      </c>
      <c r="V6113" s="2">
        <v>63</v>
      </c>
      <c r="W6113" s="2" t="s">
        <v>7862</v>
      </c>
      <c r="X6113" s="2" t="s">
        <v>6687</v>
      </c>
      <c r="Y6113" s="2">
        <v>52710</v>
      </c>
      <c r="Z6113" s="19" t="str">
        <f>HYPERLINK("https://ssdweb.co/ssdweb/hd/Vision360.html?d=926470466&amp;zoomslide=1&amp;z=1926470466&amp;ISCONFIRM=0","VIDEO")</f>
        <v>VIDEO</v>
      </c>
      <c r="AA6113" s="19" t="str">
        <f>HYPERLINK("https://ssdweb.co/ssdweb/CERTH/653439188.pdf","CERTI")</f>
        <v>CERTI</v>
      </c>
    </row>
    <row r="6114" spans="1:27" ht="15" x14ac:dyDescent="0.25">
      <c r="A6114" s="2">
        <v>6109</v>
      </c>
      <c r="B6114" s="39">
        <v>926360294</v>
      </c>
      <c r="C6114" s="28" t="str">
        <f>HYPERLINK("https://pld.live/RapDetail.aspx?STONELIST=926360294","DNA")</f>
        <v>DNA</v>
      </c>
      <c r="D6114" s="18" t="s">
        <v>3174</v>
      </c>
      <c r="E6114" s="18" t="s">
        <v>2186</v>
      </c>
      <c r="F6114" s="2" t="s">
        <v>7987</v>
      </c>
      <c r="G6114" s="2" t="s">
        <v>6781</v>
      </c>
      <c r="H6114" s="14">
        <v>5.01</v>
      </c>
      <c r="I6114" s="2" t="s">
        <v>6587</v>
      </c>
      <c r="J6114" s="2" t="s">
        <v>3942</v>
      </c>
      <c r="K6114" s="2" t="s">
        <v>1452</v>
      </c>
      <c r="L6114" s="2" t="s">
        <v>5221</v>
      </c>
      <c r="M6114" s="2" t="s">
        <v>5221</v>
      </c>
      <c r="N6114" s="2" t="s">
        <v>2317</v>
      </c>
      <c r="O6114" s="14">
        <v>44500</v>
      </c>
      <c r="P6114" s="14">
        <v>99.58</v>
      </c>
      <c r="Q6114" s="14">
        <v>186.9</v>
      </c>
      <c r="R6114" s="14">
        <v>936.37</v>
      </c>
      <c r="S6114" s="2" t="s">
        <v>1036</v>
      </c>
      <c r="T6114" s="2">
        <v>1.62</v>
      </c>
      <c r="U6114" s="2">
        <v>60.6</v>
      </c>
      <c r="V6114" s="2">
        <v>64</v>
      </c>
      <c r="W6114" s="2" t="s">
        <v>7862</v>
      </c>
      <c r="X6114" s="2" t="s">
        <v>6687</v>
      </c>
      <c r="Y6114" s="2">
        <v>222945</v>
      </c>
      <c r="Z6114" s="19" t="str">
        <f>HYPERLINK("https://ssdweb.co/ssdweb/hd/Vision360.html?d=926360294&amp;zoomslide=1&amp;z=1926360294&amp;ISCONFIRM=0","VIDEO")</f>
        <v>VIDEO</v>
      </c>
      <c r="AA6114" s="19" t="str">
        <f>HYPERLINK("https://ssdweb.co/ssdweb/CERTH/642443982.pdf","CERTI")</f>
        <v>CERTI</v>
      </c>
    </row>
    <row r="6115" spans="1:27" ht="15" x14ac:dyDescent="0.25">
      <c r="A6115" s="2">
        <v>6110</v>
      </c>
      <c r="B6115" s="39">
        <v>926060013</v>
      </c>
      <c r="C6115" s="28" t="str">
        <f>HYPERLINK("https://pld.live/RapDetail.aspx?STONELIST=926060013","DNA")</f>
        <v>DNA</v>
      </c>
      <c r="D6115" s="18" t="s">
        <v>3543</v>
      </c>
      <c r="E6115" s="18" t="s">
        <v>2186</v>
      </c>
      <c r="F6115" s="2" t="s">
        <v>7987</v>
      </c>
      <c r="G6115" s="2" t="s">
        <v>6781</v>
      </c>
      <c r="H6115" s="14">
        <v>4.75</v>
      </c>
      <c r="I6115" s="2" t="s">
        <v>395</v>
      </c>
      <c r="J6115" s="2" t="s">
        <v>5144</v>
      </c>
      <c r="K6115" s="2" t="s">
        <v>1452</v>
      </c>
      <c r="L6115" s="2" t="s">
        <v>5221</v>
      </c>
      <c r="M6115" s="2" t="s">
        <v>5221</v>
      </c>
      <c r="N6115" s="2" t="s">
        <v>2317</v>
      </c>
      <c r="O6115" s="14">
        <v>6800</v>
      </c>
      <c r="P6115" s="14">
        <v>93.82</v>
      </c>
      <c r="Q6115" s="14">
        <v>420.24</v>
      </c>
      <c r="R6115" s="14">
        <v>1996.14</v>
      </c>
      <c r="S6115" s="2" t="s">
        <v>4340</v>
      </c>
      <c r="T6115" s="2">
        <v>1.47</v>
      </c>
      <c r="U6115" s="2">
        <v>68.099999999999994</v>
      </c>
      <c r="V6115" s="2">
        <v>61</v>
      </c>
      <c r="W6115" s="2" t="s">
        <v>7862</v>
      </c>
      <c r="X6115" s="2" t="s">
        <v>7374</v>
      </c>
      <c r="Y6115" s="2">
        <v>32300</v>
      </c>
      <c r="Z6115" s="19" t="str">
        <f>HYPERLINK("https://ssdweb.co/ssdweb/hd/Vision360.html?d=926060013&amp;zoomslide=1&amp;z=1926060013&amp;ISCONFIRM=0","VIDEO")</f>
        <v>VIDEO</v>
      </c>
      <c r="AA6115" s="19" t="str">
        <f>HYPERLINK("https://ssdweb.co/ssdweb/CERTH/631429942.pdf","CERTI")</f>
        <v>CERTI</v>
      </c>
    </row>
    <row r="6116" spans="1:27" ht="15" x14ac:dyDescent="0.25">
      <c r="A6116" s="2">
        <v>6111</v>
      </c>
      <c r="B6116" s="39">
        <v>925410049</v>
      </c>
      <c r="C6116" s="28" t="str">
        <f>HYPERLINK("https://pld.live/RapDetail.aspx?STONELIST=925410049","DNA")</f>
        <v>DNA</v>
      </c>
      <c r="D6116" s="18" t="s">
        <v>437</v>
      </c>
      <c r="E6116" s="18" t="s">
        <v>2186</v>
      </c>
      <c r="F6116" s="2" t="s">
        <v>7987</v>
      </c>
      <c r="G6116" s="2" t="s">
        <v>6781</v>
      </c>
      <c r="H6116" s="14">
        <v>4.3499999999999996</v>
      </c>
      <c r="I6116" s="2" t="s">
        <v>1505</v>
      </c>
      <c r="J6116" s="2" t="s">
        <v>5144</v>
      </c>
      <c r="K6116" s="2" t="s">
        <v>1452</v>
      </c>
      <c r="L6116" s="2" t="s">
        <v>5221</v>
      </c>
      <c r="M6116" s="2" t="s">
        <v>5221</v>
      </c>
      <c r="N6116" s="2" t="s">
        <v>2317</v>
      </c>
      <c r="O6116" s="14">
        <v>23500</v>
      </c>
      <c r="P6116" s="14">
        <v>99.47</v>
      </c>
      <c r="Q6116" s="14">
        <v>124.55</v>
      </c>
      <c r="R6116" s="14">
        <v>541.79</v>
      </c>
      <c r="S6116" s="2" t="s">
        <v>1391</v>
      </c>
      <c r="T6116" s="2">
        <v>1.53</v>
      </c>
      <c r="U6116" s="2">
        <v>60.2</v>
      </c>
      <c r="V6116" s="2">
        <v>62</v>
      </c>
      <c r="W6116" s="2" t="s">
        <v>7862</v>
      </c>
      <c r="X6116" s="2" t="s">
        <v>6687</v>
      </c>
      <c r="Y6116" s="2">
        <v>102225</v>
      </c>
      <c r="Z6116" s="19" t="str">
        <f>HYPERLINK("https://ssdweb.co/ssdweb/hd/Vision360.html?d=925410049&amp;zoomslide=1&amp;z=1925410049&amp;ISCONFIRM=0","VIDEO")</f>
        <v>VIDEO</v>
      </c>
      <c r="AA6116" s="19" t="str">
        <f>HYPERLINK("https://ssdweb.co/ssdweb/CERTH/621475829.pdf","CERTI")</f>
        <v>CERTI</v>
      </c>
    </row>
    <row r="6117" spans="1:27" ht="15" x14ac:dyDescent="0.25">
      <c r="A6117" s="2">
        <v>6112</v>
      </c>
      <c r="B6117" s="39">
        <v>831020218</v>
      </c>
      <c r="C6117" s="28" t="str">
        <f>HYPERLINK("https://pld.live/RapDetail.aspx?STONELIST=831020218","DNA")</f>
        <v>DNA</v>
      </c>
      <c r="D6117" s="18" t="s">
        <v>3134</v>
      </c>
      <c r="E6117" s="18" t="s">
        <v>2186</v>
      </c>
      <c r="F6117" s="2" t="s">
        <v>7987</v>
      </c>
      <c r="G6117" s="2" t="s">
        <v>6781</v>
      </c>
      <c r="H6117" s="14">
        <v>4.28</v>
      </c>
      <c r="I6117" s="2" t="s">
        <v>6587</v>
      </c>
      <c r="J6117" s="2" t="s">
        <v>13</v>
      </c>
      <c r="K6117" s="2" t="s">
        <v>1452</v>
      </c>
      <c r="L6117" s="2" t="s">
        <v>5221</v>
      </c>
      <c r="M6117" s="2" t="s">
        <v>5221</v>
      </c>
      <c r="N6117" s="2" t="s">
        <v>2317</v>
      </c>
      <c r="O6117" s="14">
        <v>30000</v>
      </c>
      <c r="P6117" s="14">
        <v>99.55</v>
      </c>
      <c r="Q6117" s="14">
        <v>135</v>
      </c>
      <c r="R6117" s="14">
        <v>577.79999999999995</v>
      </c>
      <c r="S6117" s="2" t="s">
        <v>3501</v>
      </c>
      <c r="T6117" s="2">
        <v>1.52</v>
      </c>
      <c r="U6117" s="2">
        <v>62.9</v>
      </c>
      <c r="V6117" s="2">
        <v>63</v>
      </c>
      <c r="W6117" s="2" t="s">
        <v>7862</v>
      </c>
      <c r="X6117" s="2" t="s">
        <v>6687</v>
      </c>
      <c r="Y6117" s="2">
        <v>128400</v>
      </c>
      <c r="Z6117" s="19" t="str">
        <f>HYPERLINK("https://ssdweb.co/ssdweb/hd/Vision360.html?d=831020218&amp;zoomslide=1&amp;z=1831020218&amp;ISCONFIRM=0","VIDEO")</f>
        <v>VIDEO</v>
      </c>
      <c r="AA6117" s="19" t="str">
        <f>HYPERLINK("https://ssdweb.co/ssdweb/CERTH/536278209.pdf","CERTI")</f>
        <v>CERTI</v>
      </c>
    </row>
    <row r="6118" spans="1:27" ht="15" x14ac:dyDescent="0.25">
      <c r="A6118" s="2">
        <v>6113</v>
      </c>
      <c r="B6118" s="39">
        <v>831020593</v>
      </c>
      <c r="C6118" s="28" t="str">
        <f>HYPERLINK("https://pld.live/RapDetail.aspx?STONELIST=831020593","DNA")</f>
        <v>DNA</v>
      </c>
      <c r="D6118" s="18" t="s">
        <v>3134</v>
      </c>
      <c r="E6118" s="18" t="s">
        <v>2186</v>
      </c>
      <c r="F6118" s="2" t="s">
        <v>7987</v>
      </c>
      <c r="G6118" s="2" t="s">
        <v>6781</v>
      </c>
      <c r="H6118" s="14">
        <v>4.1900000000000004</v>
      </c>
      <c r="I6118" s="2" t="s">
        <v>267</v>
      </c>
      <c r="J6118" s="2" t="s">
        <v>3942</v>
      </c>
      <c r="K6118" s="2" t="s">
        <v>1452</v>
      </c>
      <c r="L6118" s="2" t="s">
        <v>5221</v>
      </c>
      <c r="M6118" s="2" t="s">
        <v>5221</v>
      </c>
      <c r="N6118" s="2" t="s">
        <v>2317</v>
      </c>
      <c r="O6118" s="14">
        <v>43500</v>
      </c>
      <c r="P6118" s="14">
        <v>99.37</v>
      </c>
      <c r="Q6118" s="14">
        <v>274.05</v>
      </c>
      <c r="R6118" s="14">
        <v>1148.27</v>
      </c>
      <c r="S6118" s="2" t="s">
        <v>6973</v>
      </c>
      <c r="T6118" s="2">
        <v>1.48</v>
      </c>
      <c r="U6118" s="2">
        <v>63</v>
      </c>
      <c r="V6118" s="2">
        <v>61</v>
      </c>
      <c r="W6118" s="2" t="s">
        <v>7862</v>
      </c>
      <c r="X6118" s="2" t="s">
        <v>6687</v>
      </c>
      <c r="Y6118" s="2">
        <v>182265</v>
      </c>
      <c r="Z6118" s="19" t="str">
        <f>HYPERLINK("https://ssdweb.co/ssdweb/hd/Vision360.html?d=831020593&amp;zoomslide=1&amp;z=1831020593&amp;ISCONFIRM=0","VIDEO")</f>
        <v>VIDEO</v>
      </c>
      <c r="AA6118" s="19" t="str">
        <f>HYPERLINK("https://ssdweb.co/ssdweb/CERTH/632404751.pdf","CERTI")</f>
        <v>CERTI</v>
      </c>
    </row>
    <row r="6119" spans="1:27" ht="15" x14ac:dyDescent="0.25">
      <c r="A6119" s="2">
        <v>6114</v>
      </c>
      <c r="B6119" s="39">
        <v>926000050</v>
      </c>
      <c r="C6119" s="28" t="str">
        <f>HYPERLINK("https://pld.live/RapDetail.aspx?STONELIST=926000050","DNA")</f>
        <v>DNA</v>
      </c>
      <c r="D6119" s="18" t="s">
        <v>3134</v>
      </c>
      <c r="E6119" s="18" t="s">
        <v>2186</v>
      </c>
      <c r="F6119" s="2" t="s">
        <v>7987</v>
      </c>
      <c r="G6119" s="2" t="s">
        <v>6781</v>
      </c>
      <c r="H6119" s="14">
        <v>4.1100000000000003</v>
      </c>
      <c r="I6119" s="2" t="s">
        <v>4699</v>
      </c>
      <c r="J6119" s="2" t="s">
        <v>5144</v>
      </c>
      <c r="K6119" s="2" t="s">
        <v>1452</v>
      </c>
      <c r="L6119" s="2" t="s">
        <v>5221</v>
      </c>
      <c r="M6119" s="2" t="s">
        <v>5221</v>
      </c>
      <c r="N6119" s="2" t="s">
        <v>2317</v>
      </c>
      <c r="O6119" s="14">
        <v>31500</v>
      </c>
      <c r="P6119" s="14">
        <v>99.57</v>
      </c>
      <c r="Q6119" s="14">
        <v>135.44999999999999</v>
      </c>
      <c r="R6119" s="14">
        <v>556.70000000000005</v>
      </c>
      <c r="S6119" s="2" t="s">
        <v>4822</v>
      </c>
      <c r="T6119" s="2">
        <v>1.53</v>
      </c>
      <c r="U6119" s="2">
        <v>61.9</v>
      </c>
      <c r="V6119" s="2">
        <v>61</v>
      </c>
      <c r="W6119" s="2" t="s">
        <v>7862</v>
      </c>
      <c r="X6119" s="2" t="s">
        <v>6687</v>
      </c>
      <c r="Y6119" s="2">
        <v>129465</v>
      </c>
      <c r="Z6119" s="19" t="str">
        <f>HYPERLINK("https://ssdweb.co/ssdweb/hd/Vision360.html?d=926000050&amp;zoomslide=1&amp;z=1926000050&amp;ISCONFIRM=0","VIDEO")</f>
        <v>VIDEO</v>
      </c>
      <c r="AA6119" s="19" t="str">
        <f>HYPERLINK("https://ssdweb.co/ssdweb/CERTH/631404412.pdf","CERTI")</f>
        <v>CERTI</v>
      </c>
    </row>
    <row r="6120" spans="1:27" ht="15" x14ac:dyDescent="0.25">
      <c r="A6120" s="2">
        <v>6115</v>
      </c>
      <c r="B6120" s="39">
        <v>925680200</v>
      </c>
      <c r="C6120" s="28" t="str">
        <f>HYPERLINK("https://pld.live/RapDetail.aspx?STONELIST=925680200","DNA")</f>
        <v>DNA</v>
      </c>
      <c r="D6120" s="18" t="s">
        <v>3134</v>
      </c>
      <c r="E6120" s="18" t="s">
        <v>2186</v>
      </c>
      <c r="F6120" s="2" t="s">
        <v>7987</v>
      </c>
      <c r="G6120" s="2" t="s">
        <v>6781</v>
      </c>
      <c r="H6120" s="14">
        <v>4.0999999999999996</v>
      </c>
      <c r="I6120" s="2" t="s">
        <v>6587</v>
      </c>
      <c r="J6120" s="2" t="s">
        <v>13</v>
      </c>
      <c r="K6120" s="2" t="s">
        <v>1452</v>
      </c>
      <c r="L6120" s="2" t="s">
        <v>5221</v>
      </c>
      <c r="M6120" s="2" t="s">
        <v>5221</v>
      </c>
      <c r="N6120" s="2" t="s">
        <v>2317</v>
      </c>
      <c r="O6120" s="14">
        <v>30000</v>
      </c>
      <c r="P6120" s="14">
        <v>99.55</v>
      </c>
      <c r="Q6120" s="14">
        <v>135</v>
      </c>
      <c r="R6120" s="14">
        <v>553.5</v>
      </c>
      <c r="S6120" s="2" t="s">
        <v>1560</v>
      </c>
      <c r="T6120" s="2">
        <v>1.48</v>
      </c>
      <c r="U6120" s="2">
        <v>61.6</v>
      </c>
      <c r="V6120" s="2">
        <v>61</v>
      </c>
      <c r="W6120" s="2" t="s">
        <v>7862</v>
      </c>
      <c r="X6120" s="2" t="s">
        <v>6687</v>
      </c>
      <c r="Y6120" s="2">
        <v>123000</v>
      </c>
      <c r="Z6120" s="19" t="str">
        <f>HYPERLINK("https://ssdweb.co/ssdweb/hd/Vision360.html?d=925680200&amp;zoomslide=1&amp;z=1925680200&amp;ISCONFIRM=0","VIDEO")</f>
        <v>VIDEO</v>
      </c>
      <c r="AA6120" s="19" t="str">
        <f>HYPERLINK("https://ssdweb.co/ssdweb/CERTH/626427726.pdf","CERTI")</f>
        <v>CERTI</v>
      </c>
    </row>
    <row r="6121" spans="1:27" ht="15" x14ac:dyDescent="0.25">
      <c r="A6121" s="2">
        <v>6116</v>
      </c>
      <c r="B6121" s="39">
        <v>925320057</v>
      </c>
      <c r="C6121" s="28" t="str">
        <f>HYPERLINK("https://pld.live/RapDetail.aspx?STONELIST=925320057","DNA")</f>
        <v>DNA</v>
      </c>
      <c r="D6121" s="18" t="s">
        <v>3134</v>
      </c>
      <c r="E6121" s="18" t="s">
        <v>2186</v>
      </c>
      <c r="F6121" s="2" t="s">
        <v>7987</v>
      </c>
      <c r="G6121" s="2" t="s">
        <v>6781</v>
      </c>
      <c r="H6121" s="14">
        <v>4.09</v>
      </c>
      <c r="I6121" s="2" t="s">
        <v>6587</v>
      </c>
      <c r="J6121" s="2" t="s">
        <v>13</v>
      </c>
      <c r="K6121" s="2" t="s">
        <v>1452</v>
      </c>
      <c r="L6121" s="2" t="s">
        <v>5221</v>
      </c>
      <c r="M6121" s="2" t="s">
        <v>5221</v>
      </c>
      <c r="N6121" s="2" t="s">
        <v>2317</v>
      </c>
      <c r="O6121" s="14">
        <v>30000</v>
      </c>
      <c r="P6121" s="14">
        <v>99.55</v>
      </c>
      <c r="Q6121" s="14">
        <v>135</v>
      </c>
      <c r="R6121" s="14">
        <v>552.15</v>
      </c>
      <c r="S6121" s="2" t="s">
        <v>6989</v>
      </c>
      <c r="T6121" s="2">
        <v>1.48</v>
      </c>
      <c r="U6121" s="2">
        <v>63.2</v>
      </c>
      <c r="V6121" s="2">
        <v>60</v>
      </c>
      <c r="W6121" s="2" t="s">
        <v>7862</v>
      </c>
      <c r="X6121" s="2" t="s">
        <v>6687</v>
      </c>
      <c r="Y6121" s="2">
        <v>122700</v>
      </c>
      <c r="Z6121" s="19" t="str">
        <f>HYPERLINK("https://ssdweb.co/ssdweb/hd/Vision360.html?d=925320057&amp;zoomslide=1&amp;z=1925320057&amp;ISCONFIRM=0","VIDEO")</f>
        <v>VIDEO</v>
      </c>
      <c r="AA6121" s="19" t="str">
        <f>HYPERLINK("https://ssdweb.co/ssdweb/CERTH/620449032.pdf","CERTI")</f>
        <v>CERTI</v>
      </c>
    </row>
    <row r="6122" spans="1:27" ht="15" x14ac:dyDescent="0.25">
      <c r="A6122" s="2">
        <v>6117</v>
      </c>
      <c r="B6122" s="39">
        <v>926000060</v>
      </c>
      <c r="C6122" s="28" t="str">
        <f>HYPERLINK("https://pld.live/RapDetail.aspx?STONELIST=926000060","DNA")</f>
        <v>DNA</v>
      </c>
      <c r="D6122" s="18" t="s">
        <v>3134</v>
      </c>
      <c r="E6122" s="18" t="s">
        <v>2186</v>
      </c>
      <c r="F6122" s="2" t="s">
        <v>7987</v>
      </c>
      <c r="G6122" s="2" t="s">
        <v>6781</v>
      </c>
      <c r="H6122" s="14">
        <v>4.09</v>
      </c>
      <c r="I6122" s="2" t="s">
        <v>6587</v>
      </c>
      <c r="J6122" s="2" t="s">
        <v>13</v>
      </c>
      <c r="K6122" s="2" t="s">
        <v>1452</v>
      </c>
      <c r="L6122" s="2" t="s">
        <v>5221</v>
      </c>
      <c r="M6122" s="2" t="s">
        <v>5221</v>
      </c>
      <c r="N6122" s="2" t="s">
        <v>2317</v>
      </c>
      <c r="O6122" s="14">
        <v>30000</v>
      </c>
      <c r="P6122" s="14">
        <v>99.56</v>
      </c>
      <c r="Q6122" s="14">
        <v>132</v>
      </c>
      <c r="R6122" s="14">
        <v>539.88</v>
      </c>
      <c r="S6122" s="2" t="s">
        <v>7682</v>
      </c>
      <c r="T6122" s="2">
        <v>1.49</v>
      </c>
      <c r="U6122" s="2">
        <v>62.3</v>
      </c>
      <c r="V6122" s="2">
        <v>60</v>
      </c>
      <c r="W6122" s="2" t="s">
        <v>8016</v>
      </c>
      <c r="X6122" s="2" t="s">
        <v>6687</v>
      </c>
      <c r="Y6122" s="2">
        <v>122700</v>
      </c>
      <c r="Z6122" s="19" t="str">
        <f>HYPERLINK("https://ssdweb.co/ssdweb/hd/Vision360.html?d=926000060&amp;zoomslide=1&amp;z=1926000060&amp;ISCONFIRM=0","VIDEO")</f>
        <v>VIDEO</v>
      </c>
      <c r="AA6122" s="19" t="str">
        <f>HYPERLINK("https://ssdweb.co/ssdweb/CERTH/631430445.pdf","CERTI")</f>
        <v>CERTI</v>
      </c>
    </row>
    <row r="6123" spans="1:27" ht="15" x14ac:dyDescent="0.25">
      <c r="A6123" s="2">
        <v>6118</v>
      </c>
      <c r="B6123" s="39">
        <v>926010080</v>
      </c>
      <c r="C6123" s="28" t="str">
        <f>HYPERLINK("https://pld.live/RapDetail.aspx?STONELIST=926010080","DNA")</f>
        <v>DNA</v>
      </c>
      <c r="D6123" s="18" t="s">
        <v>3134</v>
      </c>
      <c r="E6123" s="18" t="s">
        <v>2186</v>
      </c>
      <c r="F6123" s="2" t="s">
        <v>7987</v>
      </c>
      <c r="G6123" s="2" t="s">
        <v>6781</v>
      </c>
      <c r="H6123" s="14">
        <v>4.08</v>
      </c>
      <c r="I6123" s="2" t="s">
        <v>6874</v>
      </c>
      <c r="J6123" s="2" t="s">
        <v>3942</v>
      </c>
      <c r="K6123" s="2" t="s">
        <v>1452</v>
      </c>
      <c r="L6123" s="2" t="s">
        <v>5221</v>
      </c>
      <c r="M6123" s="2" t="s">
        <v>5221</v>
      </c>
      <c r="N6123" s="2" t="s">
        <v>924</v>
      </c>
      <c r="O6123" s="14">
        <v>7400</v>
      </c>
      <c r="P6123" s="14">
        <v>94.73</v>
      </c>
      <c r="Q6123" s="14">
        <v>389.98</v>
      </c>
      <c r="R6123" s="14">
        <v>1591.12</v>
      </c>
      <c r="S6123" s="2" t="s">
        <v>7674</v>
      </c>
      <c r="T6123" s="2">
        <v>1.48</v>
      </c>
      <c r="U6123" s="2">
        <v>62.9</v>
      </c>
      <c r="V6123" s="2">
        <v>61</v>
      </c>
      <c r="W6123" s="2" t="s">
        <v>7862</v>
      </c>
      <c r="X6123" s="2" t="s">
        <v>6687</v>
      </c>
      <c r="Y6123" s="2">
        <v>30192</v>
      </c>
      <c r="Z6123" s="19" t="str">
        <f>HYPERLINK("https://ssdweb.co/ssdweb/hd/Vision360.html?d=926010080&amp;zoomslide=1&amp;z=1926010080&amp;ISCONFIRM=0","VIDEO")</f>
        <v>VIDEO</v>
      </c>
      <c r="AA6123" s="19" t="str">
        <f>HYPERLINK("https://ssdweb.co/ssdweb/CERTH/639406135.pdf","CERTI")</f>
        <v>CERTI</v>
      </c>
    </row>
    <row r="6124" spans="1:27" ht="15" x14ac:dyDescent="0.25">
      <c r="A6124" s="2">
        <v>6119</v>
      </c>
      <c r="B6124" s="39">
        <v>925710206</v>
      </c>
      <c r="C6124" s="28" t="str">
        <f>HYPERLINK("https://pld.live/RapDetail.aspx?STONELIST=925710206","DNA")</f>
        <v>DNA</v>
      </c>
      <c r="D6124" s="18" t="s">
        <v>3134</v>
      </c>
      <c r="E6124" s="18" t="s">
        <v>2186</v>
      </c>
      <c r="F6124" s="2" t="s">
        <v>7987</v>
      </c>
      <c r="G6124" s="2" t="s">
        <v>6781</v>
      </c>
      <c r="H6124" s="14">
        <v>4.07</v>
      </c>
      <c r="I6124" s="2" t="s">
        <v>1505</v>
      </c>
      <c r="J6124" s="2" t="s">
        <v>3942</v>
      </c>
      <c r="K6124" s="2" t="s">
        <v>1452</v>
      </c>
      <c r="L6124" s="2" t="s">
        <v>5221</v>
      </c>
      <c r="M6124" s="2" t="s">
        <v>5221</v>
      </c>
      <c r="N6124" s="2" t="s">
        <v>2317</v>
      </c>
      <c r="O6124" s="14">
        <v>27000</v>
      </c>
      <c r="P6124" s="14">
        <v>99.52</v>
      </c>
      <c r="Q6124" s="14">
        <v>129.6</v>
      </c>
      <c r="R6124" s="14">
        <v>527.47</v>
      </c>
      <c r="S6124" s="2" t="s">
        <v>611</v>
      </c>
      <c r="T6124" s="2">
        <v>1.59</v>
      </c>
      <c r="U6124" s="2">
        <v>61.2</v>
      </c>
      <c r="V6124" s="2">
        <v>59</v>
      </c>
      <c r="W6124" s="2" t="s">
        <v>7862</v>
      </c>
      <c r="X6124" s="2" t="s">
        <v>6687</v>
      </c>
      <c r="Y6124" s="2">
        <v>109890</v>
      </c>
      <c r="Z6124" s="19" t="str">
        <f>HYPERLINK("https://ssdweb.co/ssdweb/hd/Vision360.html?d=925710206&amp;zoomslide=1&amp;z=1925710206&amp;ISCONFIRM=0","VIDEO")</f>
        <v>VIDEO</v>
      </c>
      <c r="AA6124" s="19" t="str">
        <f>HYPERLINK("https://ssdweb.co/ssdweb/CERTH/627431877.pdf","CERTI")</f>
        <v>CERTI</v>
      </c>
    </row>
    <row r="6125" spans="1:27" ht="15" x14ac:dyDescent="0.25">
      <c r="A6125" s="2">
        <v>6120</v>
      </c>
      <c r="B6125" s="39">
        <v>925660149</v>
      </c>
      <c r="C6125" s="28" t="str">
        <f>HYPERLINK("https://pld.live/RapDetail.aspx?STONELIST=925660149","DNA")</f>
        <v>DNA</v>
      </c>
      <c r="D6125" s="18" t="s">
        <v>3134</v>
      </c>
      <c r="E6125" s="18" t="s">
        <v>2186</v>
      </c>
      <c r="F6125" s="2" t="s">
        <v>7987</v>
      </c>
      <c r="G6125" s="2" t="s">
        <v>6781</v>
      </c>
      <c r="H6125" s="14">
        <v>4.0599999999999996</v>
      </c>
      <c r="I6125" s="2" t="s">
        <v>6587</v>
      </c>
      <c r="J6125" s="2" t="s">
        <v>13</v>
      </c>
      <c r="K6125" s="2" t="s">
        <v>1452</v>
      </c>
      <c r="L6125" s="2" t="s">
        <v>5221</v>
      </c>
      <c r="M6125" s="2" t="s">
        <v>5221</v>
      </c>
      <c r="N6125" s="2" t="s">
        <v>2317</v>
      </c>
      <c r="O6125" s="14">
        <v>30000</v>
      </c>
      <c r="P6125" s="14">
        <v>99.56</v>
      </c>
      <c r="Q6125" s="14">
        <v>132</v>
      </c>
      <c r="R6125" s="14">
        <v>535.91999999999996</v>
      </c>
      <c r="S6125" s="2" t="s">
        <v>489</v>
      </c>
      <c r="T6125" s="2">
        <v>1.48</v>
      </c>
      <c r="U6125" s="2">
        <v>63.5</v>
      </c>
      <c r="V6125" s="2">
        <v>58</v>
      </c>
      <c r="W6125" s="2" t="s">
        <v>8016</v>
      </c>
      <c r="X6125" s="2" t="s">
        <v>6687</v>
      </c>
      <c r="Y6125" s="2">
        <v>121800</v>
      </c>
      <c r="Z6125" s="19" t="str">
        <f>HYPERLINK("https://ssdweb.co/ssdweb/hd/Vision360.html?d=925660149&amp;zoomslide=1&amp;z=1925660149&amp;ISCONFIRM=0","VIDEO")</f>
        <v>VIDEO</v>
      </c>
      <c r="AA6125" s="19" t="str">
        <f>HYPERLINK("https://ssdweb.co/ssdweb/CERTH/624499606.pdf","CERTI")</f>
        <v>CERTI</v>
      </c>
    </row>
    <row r="6126" spans="1:27" ht="15" x14ac:dyDescent="0.25">
      <c r="A6126" s="2">
        <v>6121</v>
      </c>
      <c r="B6126" s="39">
        <v>925690218</v>
      </c>
      <c r="C6126" s="28" t="str">
        <f>HYPERLINK("https://pld.live/RapDetail.aspx?STONELIST=925690218","DNA")</f>
        <v>DNA</v>
      </c>
      <c r="D6126" s="18" t="s">
        <v>3134</v>
      </c>
      <c r="E6126" s="18" t="s">
        <v>2186</v>
      </c>
      <c r="F6126" s="2" t="s">
        <v>7987</v>
      </c>
      <c r="G6126" s="2" t="s">
        <v>6781</v>
      </c>
      <c r="H6126" s="14">
        <v>4.0599999999999996</v>
      </c>
      <c r="I6126" s="2" t="s">
        <v>1505</v>
      </c>
      <c r="J6126" s="2" t="s">
        <v>13</v>
      </c>
      <c r="K6126" s="2" t="s">
        <v>1452</v>
      </c>
      <c r="L6126" s="2" t="s">
        <v>5221</v>
      </c>
      <c r="M6126" s="2" t="s">
        <v>5221</v>
      </c>
      <c r="N6126" s="2" t="s">
        <v>2317</v>
      </c>
      <c r="O6126" s="14">
        <v>25500</v>
      </c>
      <c r="P6126" s="14">
        <v>99.51</v>
      </c>
      <c r="Q6126" s="14">
        <v>124.95</v>
      </c>
      <c r="R6126" s="14">
        <v>507.3</v>
      </c>
      <c r="S6126" s="2" t="s">
        <v>5526</v>
      </c>
      <c r="T6126" s="2">
        <v>1.61</v>
      </c>
      <c r="U6126" s="2">
        <v>60.2</v>
      </c>
      <c r="V6126" s="2">
        <v>61</v>
      </c>
      <c r="W6126" s="2" t="s">
        <v>7862</v>
      </c>
      <c r="X6126" s="2" t="s">
        <v>6687</v>
      </c>
      <c r="Y6126" s="2">
        <v>103530</v>
      </c>
      <c r="Z6126" s="19" t="str">
        <f>HYPERLINK("https://ssdweb.co/ssdweb/hd/Vision360.html?d=925690218&amp;zoomslide=1&amp;z=1925690218&amp;ISCONFIRM=0","VIDEO")</f>
        <v>VIDEO</v>
      </c>
      <c r="AA6126" s="19" t="str">
        <f>HYPERLINK("https://ssdweb.co/ssdweb/CERTH/626427725.pdf","CERTI")</f>
        <v>CERTI</v>
      </c>
    </row>
    <row r="6127" spans="1:27" ht="15" x14ac:dyDescent="0.25">
      <c r="A6127" s="2">
        <v>6122</v>
      </c>
      <c r="B6127" s="39">
        <v>925930280</v>
      </c>
      <c r="C6127" s="28" t="str">
        <f>HYPERLINK("https://pld.live/RapDetail.aspx?STONELIST=925930280","DNA")</f>
        <v>DNA</v>
      </c>
      <c r="D6127" s="18" t="s">
        <v>3134</v>
      </c>
      <c r="E6127" s="18" t="s">
        <v>2186</v>
      </c>
      <c r="F6127" s="2" t="s">
        <v>7987</v>
      </c>
      <c r="G6127" s="2" t="s">
        <v>6781</v>
      </c>
      <c r="H6127" s="14">
        <v>4.05</v>
      </c>
      <c r="I6127" s="2" t="s">
        <v>4761</v>
      </c>
      <c r="J6127" s="2" t="s">
        <v>13</v>
      </c>
      <c r="K6127" s="2" t="s">
        <v>1452</v>
      </c>
      <c r="L6127" s="2" t="s">
        <v>5221</v>
      </c>
      <c r="M6127" s="2" t="s">
        <v>5221</v>
      </c>
      <c r="N6127" s="2" t="s">
        <v>2317</v>
      </c>
      <c r="O6127" s="14">
        <v>37500</v>
      </c>
      <c r="P6127" s="14">
        <v>99.53</v>
      </c>
      <c r="Q6127" s="14">
        <v>176.25</v>
      </c>
      <c r="R6127" s="14">
        <v>713.81</v>
      </c>
      <c r="S6127" s="2" t="s">
        <v>6836</v>
      </c>
      <c r="T6127" s="2">
        <v>1.48</v>
      </c>
      <c r="U6127" s="2">
        <v>63.1</v>
      </c>
      <c r="V6127" s="2">
        <v>59</v>
      </c>
      <c r="W6127" s="2" t="s">
        <v>7862</v>
      </c>
      <c r="X6127" s="2" t="s">
        <v>6687</v>
      </c>
      <c r="Y6127" s="2">
        <v>151875</v>
      </c>
      <c r="Z6127" s="19" t="str">
        <f>HYPERLINK("https://ssdweb.co/ssdweb/hd/Vision360.html?d=925930280&amp;zoomslide=1&amp;z=1925930280&amp;ISCONFIRM=0","VIDEO")</f>
        <v>VIDEO</v>
      </c>
      <c r="AA6127" s="19" t="str">
        <f>HYPERLINK("https://ssdweb.co/ssdweb/CERTH/630447747.pdf","CERTI")</f>
        <v>CERTI</v>
      </c>
    </row>
    <row r="6128" spans="1:27" ht="15" x14ac:dyDescent="0.25">
      <c r="A6128" s="2">
        <v>6123</v>
      </c>
      <c r="B6128" s="39">
        <v>925660164</v>
      </c>
      <c r="C6128" s="28" t="str">
        <f>HYPERLINK("https://pld.live/RapDetail.aspx?STONELIST=925660164","DNA")</f>
        <v>DNA</v>
      </c>
      <c r="D6128" s="18" t="s">
        <v>3134</v>
      </c>
      <c r="E6128" s="18" t="s">
        <v>2186</v>
      </c>
      <c r="F6128" s="2" t="s">
        <v>7987</v>
      </c>
      <c r="G6128" s="2" t="s">
        <v>6781</v>
      </c>
      <c r="H6128" s="14">
        <v>4.04</v>
      </c>
      <c r="I6128" s="2" t="s">
        <v>6587</v>
      </c>
      <c r="J6128" s="2" t="s">
        <v>13</v>
      </c>
      <c r="K6128" s="2" t="s">
        <v>1452</v>
      </c>
      <c r="L6128" s="2" t="s">
        <v>5221</v>
      </c>
      <c r="M6128" s="2" t="s">
        <v>5221</v>
      </c>
      <c r="N6128" s="2" t="s">
        <v>2317</v>
      </c>
      <c r="O6128" s="14">
        <v>30000</v>
      </c>
      <c r="P6128" s="14">
        <v>99.55</v>
      </c>
      <c r="Q6128" s="14">
        <v>135</v>
      </c>
      <c r="R6128" s="14">
        <v>545.4</v>
      </c>
      <c r="S6128" s="2" t="s">
        <v>7165</v>
      </c>
      <c r="T6128" s="2">
        <v>1.49</v>
      </c>
      <c r="U6128" s="2">
        <v>63.1</v>
      </c>
      <c r="V6128" s="2">
        <v>60</v>
      </c>
      <c r="W6128" s="2" t="s">
        <v>7862</v>
      </c>
      <c r="X6128" s="2" t="s">
        <v>6687</v>
      </c>
      <c r="Y6128" s="2">
        <v>121200</v>
      </c>
      <c r="Z6128" s="19" t="str">
        <f>HYPERLINK("https://ssdweb.co/ssdweb/hd/Vision360.html?d=925660164&amp;zoomslide=1&amp;z=1925660164&amp;ISCONFIRM=0","VIDEO")</f>
        <v>VIDEO</v>
      </c>
      <c r="AA6128" s="19" t="str">
        <f>HYPERLINK("https://ssdweb.co/ssdweb/CERTH/623493343.pdf","CERTI")</f>
        <v>CERTI</v>
      </c>
    </row>
    <row r="6129" spans="1:27" ht="15" x14ac:dyDescent="0.25">
      <c r="A6129" s="2">
        <v>6124</v>
      </c>
      <c r="B6129" s="39">
        <v>925340020</v>
      </c>
      <c r="C6129" s="28" t="str">
        <f>HYPERLINK("https://pld.live/RapDetail.aspx?STONELIST=925340020","DNA")</f>
        <v>DNA</v>
      </c>
      <c r="D6129" s="18" t="s">
        <v>3134</v>
      </c>
      <c r="E6129" s="18" t="s">
        <v>2186</v>
      </c>
      <c r="F6129" s="2" t="s">
        <v>7987</v>
      </c>
      <c r="G6129" s="2" t="s">
        <v>6781</v>
      </c>
      <c r="H6129" s="14">
        <v>4.04</v>
      </c>
      <c r="I6129" s="2" t="s">
        <v>1505</v>
      </c>
      <c r="J6129" s="2" t="s">
        <v>13</v>
      </c>
      <c r="K6129" s="2" t="s">
        <v>1452</v>
      </c>
      <c r="L6129" s="2" t="s">
        <v>5221</v>
      </c>
      <c r="M6129" s="2" t="s">
        <v>5221</v>
      </c>
      <c r="N6129" s="2" t="s">
        <v>2317</v>
      </c>
      <c r="O6129" s="14">
        <v>25500</v>
      </c>
      <c r="P6129" s="14">
        <v>99.52</v>
      </c>
      <c r="Q6129" s="14">
        <v>122.4</v>
      </c>
      <c r="R6129" s="14">
        <v>494.5</v>
      </c>
      <c r="S6129" s="2" t="s">
        <v>3159</v>
      </c>
      <c r="T6129" s="2">
        <v>1.49</v>
      </c>
      <c r="U6129" s="2">
        <v>64.099999999999994</v>
      </c>
      <c r="V6129" s="2">
        <v>60</v>
      </c>
      <c r="W6129" s="2" t="s">
        <v>8016</v>
      </c>
      <c r="X6129" s="2" t="s">
        <v>6687</v>
      </c>
      <c r="Y6129" s="2">
        <v>103020</v>
      </c>
      <c r="Z6129" s="19" t="str">
        <f>HYPERLINK("https://ssdweb.co/ssdweb/hd/Vision360.html?d=925340020&amp;zoomslide=1&amp;z=1925340020&amp;ISCONFIRM=0","VIDEO")</f>
        <v>VIDEO</v>
      </c>
      <c r="AA6129" s="19" t="str">
        <f>HYPERLINK("https://ssdweb.co/ssdweb/CERTH/621475647.pdf","CERTI")</f>
        <v>CERTI</v>
      </c>
    </row>
    <row r="6130" spans="1:27" ht="15" x14ac:dyDescent="0.25">
      <c r="A6130" s="2">
        <v>6125</v>
      </c>
      <c r="B6130" s="39">
        <v>926010275</v>
      </c>
      <c r="C6130" s="28" t="str">
        <f>HYPERLINK("https://pld.live/RapDetail.aspx?STONELIST=926010275","DNA")</f>
        <v>DNA</v>
      </c>
      <c r="D6130" s="18" t="s">
        <v>3134</v>
      </c>
      <c r="E6130" s="18" t="s">
        <v>2186</v>
      </c>
      <c r="F6130" s="2" t="s">
        <v>7987</v>
      </c>
      <c r="G6130" s="2" t="s">
        <v>6781</v>
      </c>
      <c r="H6130" s="14">
        <v>4.0199999999999996</v>
      </c>
      <c r="I6130" s="2" t="s">
        <v>6587</v>
      </c>
      <c r="J6130" s="2" t="s">
        <v>3942</v>
      </c>
      <c r="K6130" s="2" t="s">
        <v>1452</v>
      </c>
      <c r="L6130" s="2" t="s">
        <v>5221</v>
      </c>
      <c r="M6130" s="2" t="s">
        <v>5221</v>
      </c>
      <c r="N6130" s="2" t="s">
        <v>2317</v>
      </c>
      <c r="O6130" s="14">
        <v>32000</v>
      </c>
      <c r="P6130" s="14">
        <v>99.56</v>
      </c>
      <c r="Q6130" s="14">
        <v>140.80000000000001</v>
      </c>
      <c r="R6130" s="14">
        <v>566.02</v>
      </c>
      <c r="S6130" s="2" t="s">
        <v>3160</v>
      </c>
      <c r="T6130" s="2">
        <v>1.57</v>
      </c>
      <c r="U6130" s="2">
        <v>60.5</v>
      </c>
      <c r="V6130" s="2">
        <v>63</v>
      </c>
      <c r="W6130" s="2" t="s">
        <v>7862</v>
      </c>
      <c r="X6130" s="2" t="s">
        <v>6687</v>
      </c>
      <c r="Y6130" s="2">
        <v>128640</v>
      </c>
      <c r="Z6130" s="19" t="str">
        <f>HYPERLINK("https://ssdweb.co/ssdweb/hd/Vision360.html?d=926010275&amp;zoomslide=1&amp;z=1926010275&amp;ISCONFIRM=0","VIDEO")</f>
        <v>VIDEO</v>
      </c>
      <c r="AA6130" s="19" t="str">
        <f>HYPERLINK("https://ssdweb.co/ssdweb/CERTH/631464407.pdf","CERTI")</f>
        <v>CERTI</v>
      </c>
    </row>
    <row r="6131" spans="1:27" ht="15" x14ac:dyDescent="0.25">
      <c r="A6131" s="2">
        <v>6126</v>
      </c>
      <c r="B6131" s="39">
        <v>925710201</v>
      </c>
      <c r="C6131" s="28" t="str">
        <f>HYPERLINK("https://pld.live/RapDetail.aspx?STONELIST=925710201","DNA")</f>
        <v>DNA</v>
      </c>
      <c r="D6131" s="18" t="s">
        <v>3134</v>
      </c>
      <c r="E6131" s="18" t="s">
        <v>2186</v>
      </c>
      <c r="F6131" s="2" t="s">
        <v>7987</v>
      </c>
      <c r="G6131" s="2" t="s">
        <v>6781</v>
      </c>
      <c r="H6131" s="14">
        <v>4.0199999999999996</v>
      </c>
      <c r="I6131" s="2" t="s">
        <v>6587</v>
      </c>
      <c r="J6131" s="2" t="s">
        <v>5144</v>
      </c>
      <c r="K6131" s="2" t="s">
        <v>1452</v>
      </c>
      <c r="L6131" s="2" t="s">
        <v>5221</v>
      </c>
      <c r="M6131" s="2" t="s">
        <v>5221</v>
      </c>
      <c r="N6131" s="2" t="s">
        <v>2317</v>
      </c>
      <c r="O6131" s="14">
        <v>27500</v>
      </c>
      <c r="P6131" s="14">
        <v>99.53</v>
      </c>
      <c r="Q6131" s="14">
        <v>129.25</v>
      </c>
      <c r="R6131" s="14">
        <v>519.59</v>
      </c>
      <c r="S6131" s="2" t="s">
        <v>2289</v>
      </c>
      <c r="T6131" s="2">
        <v>1.58</v>
      </c>
      <c r="U6131" s="2">
        <v>60.5</v>
      </c>
      <c r="V6131" s="2">
        <v>62</v>
      </c>
      <c r="W6131" s="2" t="s">
        <v>7862</v>
      </c>
      <c r="X6131" s="2" t="s">
        <v>6687</v>
      </c>
      <c r="Y6131" s="2">
        <v>110550</v>
      </c>
      <c r="Z6131" s="19" t="str">
        <f>HYPERLINK("https://ssdweb.co/ssdweb/hd/Vision360.html?d=925710201&amp;zoomslide=1&amp;z=1925710201&amp;ISCONFIRM=0","VIDEO")</f>
        <v>VIDEO</v>
      </c>
      <c r="AA6131" s="19" t="str">
        <f>HYPERLINK("https://ssdweb.co/ssdweb/CERTH/627410587.pdf","CERTI")</f>
        <v>CERTI</v>
      </c>
    </row>
    <row r="6132" spans="1:27" ht="15" x14ac:dyDescent="0.25">
      <c r="A6132" s="2">
        <v>6127</v>
      </c>
      <c r="B6132" s="39">
        <v>925680152</v>
      </c>
      <c r="C6132" s="28" t="str">
        <f>HYPERLINK("https://pld.live/RapDetail.aspx?STONELIST=925680152","DNA")</f>
        <v>DNA</v>
      </c>
      <c r="D6132" s="18" t="s">
        <v>3134</v>
      </c>
      <c r="E6132" s="18" t="s">
        <v>2186</v>
      </c>
      <c r="F6132" s="2" t="s">
        <v>7987</v>
      </c>
      <c r="G6132" s="2" t="s">
        <v>6781</v>
      </c>
      <c r="H6132" s="14">
        <v>4.0199999999999996</v>
      </c>
      <c r="I6132" s="2" t="s">
        <v>6587</v>
      </c>
      <c r="J6132" s="2" t="s">
        <v>5144</v>
      </c>
      <c r="K6132" s="2" t="s">
        <v>1452</v>
      </c>
      <c r="L6132" s="2" t="s">
        <v>5221</v>
      </c>
      <c r="M6132" s="2" t="s">
        <v>5221</v>
      </c>
      <c r="N6132" s="2" t="s">
        <v>2317</v>
      </c>
      <c r="O6132" s="14">
        <v>27500</v>
      </c>
      <c r="P6132" s="14">
        <v>99.53</v>
      </c>
      <c r="Q6132" s="14">
        <v>129.25</v>
      </c>
      <c r="R6132" s="14">
        <v>519.59</v>
      </c>
      <c r="S6132" s="2" t="s">
        <v>4591</v>
      </c>
      <c r="T6132" s="2">
        <v>1.53</v>
      </c>
      <c r="U6132" s="2">
        <v>61.5</v>
      </c>
      <c r="V6132" s="2">
        <v>62</v>
      </c>
      <c r="W6132" s="2" t="s">
        <v>7862</v>
      </c>
      <c r="X6132" s="2" t="s">
        <v>6687</v>
      </c>
      <c r="Y6132" s="2">
        <v>110550</v>
      </c>
      <c r="Z6132" s="19" t="str">
        <f>HYPERLINK("https://ssdweb.co/ssdweb/hd/Vision360.html?d=925680152&amp;zoomslide=1&amp;z=1925680152&amp;ISCONFIRM=0","VIDEO")</f>
        <v>VIDEO</v>
      </c>
      <c r="AA6132" s="19" t="str">
        <f>HYPERLINK("https://ssdweb.co/ssdweb/CERTH/625432364.pdf","CERTI")</f>
        <v>CERTI</v>
      </c>
    </row>
    <row r="6133" spans="1:27" ht="15" x14ac:dyDescent="0.25">
      <c r="A6133" s="2">
        <v>6128</v>
      </c>
      <c r="B6133" s="39">
        <v>925670206</v>
      </c>
      <c r="C6133" s="28" t="str">
        <f>HYPERLINK("https://pld.live/RapDetail.aspx?STONELIST=925670206","DNA")</f>
        <v>DNA</v>
      </c>
      <c r="D6133" s="18" t="s">
        <v>7401</v>
      </c>
      <c r="E6133" s="18" t="s">
        <v>2186</v>
      </c>
      <c r="F6133" s="2" t="s">
        <v>7987</v>
      </c>
      <c r="G6133" s="2" t="s">
        <v>6781</v>
      </c>
      <c r="H6133" s="14">
        <v>3.75</v>
      </c>
      <c r="I6133" s="2" t="s">
        <v>6587</v>
      </c>
      <c r="J6133" s="2" t="s">
        <v>13</v>
      </c>
      <c r="K6133" s="2" t="s">
        <v>1452</v>
      </c>
      <c r="L6133" s="2" t="s">
        <v>5221</v>
      </c>
      <c r="M6133" s="2" t="s">
        <v>5221</v>
      </c>
      <c r="N6133" s="2" t="s">
        <v>2317</v>
      </c>
      <c r="O6133" s="14">
        <v>22500</v>
      </c>
      <c r="P6133" s="14">
        <v>99.4</v>
      </c>
      <c r="Q6133" s="14">
        <v>135</v>
      </c>
      <c r="R6133" s="14">
        <v>506.25</v>
      </c>
      <c r="S6133" s="2" t="s">
        <v>5335</v>
      </c>
      <c r="T6133" s="2">
        <v>1.49</v>
      </c>
      <c r="U6133" s="2">
        <v>62.3</v>
      </c>
      <c r="V6133" s="2">
        <v>62</v>
      </c>
      <c r="W6133" s="2" t="s">
        <v>7862</v>
      </c>
      <c r="X6133" s="2" t="s">
        <v>6687</v>
      </c>
      <c r="Y6133" s="2">
        <v>84375</v>
      </c>
      <c r="Z6133" s="19" t="str">
        <f>HYPERLINK("https://ssdweb.co/ssdweb/hd/Vision360.html?d=925670206&amp;zoomslide=1&amp;z=1925670206&amp;ISCONFIRM=0","VIDEO")</f>
        <v>VIDEO</v>
      </c>
      <c r="AA6133" s="19" t="str">
        <f>HYPERLINK("https://ssdweb.co/ssdweb/CERTH/625432359.pdf","CERTI")</f>
        <v>CERTI</v>
      </c>
    </row>
    <row r="6134" spans="1:27" ht="15" x14ac:dyDescent="0.25">
      <c r="A6134" s="2">
        <v>6129</v>
      </c>
      <c r="B6134" s="39">
        <v>924930075</v>
      </c>
      <c r="C6134" s="28" t="str">
        <f>HYPERLINK("https://pld.live/RapDetail.aspx?STONELIST=924930075","DNA")</f>
        <v>DNA</v>
      </c>
      <c r="D6134" s="18" t="s">
        <v>3628</v>
      </c>
      <c r="E6134" s="18" t="s">
        <v>2186</v>
      </c>
      <c r="F6134" s="2" t="s">
        <v>7987</v>
      </c>
      <c r="G6134" s="2" t="s">
        <v>6781</v>
      </c>
      <c r="H6134" s="14">
        <v>3.55</v>
      </c>
      <c r="I6134" s="2" t="s">
        <v>1505</v>
      </c>
      <c r="J6134" s="2" t="s">
        <v>5144</v>
      </c>
      <c r="K6134" s="2" t="s">
        <v>1452</v>
      </c>
      <c r="L6134" s="2" t="s">
        <v>5221</v>
      </c>
      <c r="M6134" s="2" t="s">
        <v>5221</v>
      </c>
      <c r="N6134" s="2" t="s">
        <v>2317</v>
      </c>
      <c r="O6134" s="14">
        <v>18000</v>
      </c>
      <c r="P6134" s="14">
        <v>99.32</v>
      </c>
      <c r="Q6134" s="14">
        <v>122.4</v>
      </c>
      <c r="R6134" s="14">
        <v>434.52</v>
      </c>
      <c r="S6134" s="2" t="s">
        <v>4764</v>
      </c>
      <c r="T6134" s="2">
        <v>1.53</v>
      </c>
      <c r="U6134" s="2">
        <v>62.4</v>
      </c>
      <c r="V6134" s="2">
        <v>63</v>
      </c>
      <c r="W6134" s="2" t="s">
        <v>8016</v>
      </c>
      <c r="X6134" s="2" t="s">
        <v>6687</v>
      </c>
      <c r="Y6134" s="2">
        <v>63900</v>
      </c>
      <c r="Z6134" s="19" t="str">
        <f>HYPERLINK("https://ssdweb.co/ssdweb/hd/Vision360.html?d=924930075&amp;zoomslide=1&amp;z=1924930075&amp;ISCONFIRM=0","VIDEO")</f>
        <v>VIDEO</v>
      </c>
      <c r="AA6134" s="19" t="str">
        <f>HYPERLINK("https://ssdweb.co/ssdweb/CERTH/602358449.pdf","CERTI")</f>
        <v>CERTI</v>
      </c>
    </row>
    <row r="6135" spans="1:27" ht="15" x14ac:dyDescent="0.25">
      <c r="A6135" s="2">
        <v>6130</v>
      </c>
      <c r="B6135" s="39">
        <v>922560043</v>
      </c>
      <c r="C6135" s="28" t="str">
        <f>HYPERLINK("https://pld.live/RapDetail.aspx?STONELIST=922560043","DNA")</f>
        <v>DNA</v>
      </c>
      <c r="D6135" s="18" t="s">
        <v>3628</v>
      </c>
      <c r="E6135" s="18" t="s">
        <v>2186</v>
      </c>
      <c r="F6135" s="2" t="s">
        <v>7987</v>
      </c>
      <c r="G6135" s="2" t="s">
        <v>6781</v>
      </c>
      <c r="H6135" s="14">
        <v>3.53</v>
      </c>
      <c r="I6135" s="2" t="s">
        <v>1505</v>
      </c>
      <c r="J6135" s="2" t="s">
        <v>5144</v>
      </c>
      <c r="K6135" s="2" t="s">
        <v>1452</v>
      </c>
      <c r="L6135" s="2" t="s">
        <v>5221</v>
      </c>
      <c r="M6135" s="2" t="s">
        <v>5221</v>
      </c>
      <c r="N6135" s="2" t="s">
        <v>2317</v>
      </c>
      <c r="O6135" s="14">
        <v>18000</v>
      </c>
      <c r="P6135" s="14">
        <v>99.33</v>
      </c>
      <c r="Q6135" s="14">
        <v>120.6</v>
      </c>
      <c r="R6135" s="14">
        <v>425.72</v>
      </c>
      <c r="S6135" s="2" t="s">
        <v>3547</v>
      </c>
      <c r="T6135" s="2">
        <v>1.51</v>
      </c>
      <c r="U6135" s="2">
        <v>61.4</v>
      </c>
      <c r="V6135" s="2">
        <v>62</v>
      </c>
      <c r="W6135" s="2" t="s">
        <v>7862</v>
      </c>
      <c r="X6135" s="2" t="s">
        <v>6687</v>
      </c>
      <c r="Y6135" s="2">
        <v>63540</v>
      </c>
      <c r="Z6135" s="19" t="str">
        <f>HYPERLINK("https://ssdweb.co/ssdweb/hd/Vision360.html?d=922560043&amp;zoomslide=1&amp;z=1922560043&amp;ISCONFIRM=0","VIDEO")</f>
        <v>VIDEO</v>
      </c>
      <c r="AA6135" s="19" t="str">
        <f>HYPERLINK("https://ssdweb.co/ssdweb/CERTH/528240508.pdf","CERTI")</f>
        <v>CERTI</v>
      </c>
    </row>
    <row r="6136" spans="1:27" ht="15" x14ac:dyDescent="0.25">
      <c r="A6136" s="2">
        <v>6131</v>
      </c>
      <c r="B6136" s="39">
        <v>941230365</v>
      </c>
      <c r="C6136" s="28" t="str">
        <f>HYPERLINK("https://pld.live/RapDetail.aspx?STONELIST=941230365","DNA")</f>
        <v>DNA</v>
      </c>
      <c r="D6136" s="18" t="s">
        <v>3628</v>
      </c>
      <c r="E6136" s="18" t="s">
        <v>2186</v>
      </c>
      <c r="F6136" s="2" t="s">
        <v>7987</v>
      </c>
      <c r="G6136" s="2" t="s">
        <v>6781</v>
      </c>
      <c r="H6136" s="14">
        <v>3.52</v>
      </c>
      <c r="I6136" s="2" t="s">
        <v>4761</v>
      </c>
      <c r="J6136" s="2" t="s">
        <v>3942</v>
      </c>
      <c r="K6136" s="2" t="s">
        <v>1452</v>
      </c>
      <c r="L6136" s="2" t="s">
        <v>5221</v>
      </c>
      <c r="M6136" s="2" t="s">
        <v>5221</v>
      </c>
      <c r="N6136" s="2" t="s">
        <v>2317</v>
      </c>
      <c r="O6136" s="14">
        <v>29500</v>
      </c>
      <c r="P6136" s="14">
        <v>99.42</v>
      </c>
      <c r="Q6136" s="14">
        <v>171.1</v>
      </c>
      <c r="R6136" s="14">
        <v>602.27</v>
      </c>
      <c r="S6136" s="2" t="s">
        <v>310</v>
      </c>
      <c r="T6136" s="2">
        <v>1.53</v>
      </c>
      <c r="U6136" s="2">
        <v>60.5</v>
      </c>
      <c r="V6136" s="2">
        <v>61</v>
      </c>
      <c r="W6136" s="2" t="s">
        <v>7862</v>
      </c>
      <c r="X6136" s="2" t="s">
        <v>6687</v>
      </c>
      <c r="Y6136" s="2">
        <v>103840</v>
      </c>
      <c r="Z6136" s="19" t="str">
        <f>HYPERLINK("https://ssdweb.co/ssdweb/hd/Vision360.html?d=941230365&amp;zoomslide=1&amp;z=1941230365&amp;ISCONFIRM=0","VIDEO")</f>
        <v>VIDEO</v>
      </c>
      <c r="AA6136" s="19" t="str">
        <f>HYPERLINK("https://ssdweb.co/ssdweb/CERTH/680505450.pdf","CERTI")</f>
        <v>CERTI</v>
      </c>
    </row>
    <row r="6137" spans="1:27" ht="15" x14ac:dyDescent="0.25">
      <c r="A6137" s="2">
        <v>6132</v>
      </c>
      <c r="B6137" s="39">
        <v>941220301</v>
      </c>
      <c r="C6137" s="28" t="str">
        <f>HYPERLINK("https://pld.live/RapDetail.aspx?STONELIST=941220301","DNA")</f>
        <v>DNA</v>
      </c>
      <c r="D6137" s="18" t="s">
        <v>3628</v>
      </c>
      <c r="E6137" s="18" t="s">
        <v>2186</v>
      </c>
      <c r="F6137" s="2" t="s">
        <v>7987</v>
      </c>
      <c r="G6137" s="2" t="s">
        <v>6781</v>
      </c>
      <c r="H6137" s="14">
        <v>3.52</v>
      </c>
      <c r="I6137" s="2" t="s">
        <v>4761</v>
      </c>
      <c r="J6137" s="2" t="s">
        <v>5144</v>
      </c>
      <c r="K6137" s="2" t="s">
        <v>1452</v>
      </c>
      <c r="L6137" s="2" t="s">
        <v>5221</v>
      </c>
      <c r="M6137" s="2" t="s">
        <v>5221</v>
      </c>
      <c r="N6137" s="2" t="s">
        <v>2317</v>
      </c>
      <c r="O6137" s="14">
        <v>24500</v>
      </c>
      <c r="P6137" s="14">
        <v>99.43</v>
      </c>
      <c r="Q6137" s="14">
        <v>139.65</v>
      </c>
      <c r="R6137" s="14">
        <v>491.57</v>
      </c>
      <c r="S6137" s="2" t="s">
        <v>4251</v>
      </c>
      <c r="T6137" s="2">
        <v>1.54</v>
      </c>
      <c r="U6137" s="2">
        <v>61.4</v>
      </c>
      <c r="V6137" s="2">
        <v>61</v>
      </c>
      <c r="W6137" s="2" t="s">
        <v>7862</v>
      </c>
      <c r="X6137" s="2" t="s">
        <v>6687</v>
      </c>
      <c r="Y6137" s="2">
        <v>86240</v>
      </c>
      <c r="Z6137" s="19" t="str">
        <f>HYPERLINK("https://ssdweb.co/ssdweb/hd/Vision360.html?d=941220301&amp;zoomslide=1&amp;z=1941220301&amp;ISCONFIRM=0","VIDEO")</f>
        <v>VIDEO</v>
      </c>
      <c r="AA6137" s="19" t="str">
        <f>HYPERLINK("https://ssdweb.co/ssdweb/CERTH/678550339.pdf","CERTI")</f>
        <v>CERTI</v>
      </c>
    </row>
    <row r="6138" spans="1:27" ht="15" x14ac:dyDescent="0.25">
      <c r="A6138" s="2">
        <v>6133</v>
      </c>
      <c r="B6138" s="39">
        <v>925400050</v>
      </c>
      <c r="C6138" s="28" t="str">
        <f>HYPERLINK("https://pld.live/RapDetail.aspx?STONELIST=925400050","DNA")</f>
        <v>DNA</v>
      </c>
      <c r="D6138" s="18" t="s">
        <v>3628</v>
      </c>
      <c r="E6138" s="18" t="s">
        <v>2186</v>
      </c>
      <c r="F6138" s="2" t="s">
        <v>7987</v>
      </c>
      <c r="G6138" s="2" t="s">
        <v>6781</v>
      </c>
      <c r="H6138" s="14">
        <v>3.52</v>
      </c>
      <c r="I6138" s="2" t="s">
        <v>3722</v>
      </c>
      <c r="J6138" s="2" t="s">
        <v>13</v>
      </c>
      <c r="K6138" s="2" t="s">
        <v>1452</v>
      </c>
      <c r="L6138" s="2" t="s">
        <v>5221</v>
      </c>
      <c r="M6138" s="2" t="s">
        <v>5221</v>
      </c>
      <c r="N6138" s="2" t="s">
        <v>2317</v>
      </c>
      <c r="O6138" s="14">
        <v>16500</v>
      </c>
      <c r="P6138" s="14">
        <v>99.24</v>
      </c>
      <c r="Q6138" s="14">
        <v>125.4</v>
      </c>
      <c r="R6138" s="14">
        <v>441.41</v>
      </c>
      <c r="S6138" s="2" t="s">
        <v>1278</v>
      </c>
      <c r="T6138" s="2">
        <v>1.53</v>
      </c>
      <c r="U6138" s="2">
        <v>61.9</v>
      </c>
      <c r="V6138" s="2">
        <v>62</v>
      </c>
      <c r="W6138" s="2" t="s">
        <v>7862</v>
      </c>
      <c r="X6138" s="2" t="s">
        <v>6687</v>
      </c>
      <c r="Y6138" s="2">
        <v>58080</v>
      </c>
      <c r="Z6138" s="19" t="str">
        <f>HYPERLINK("https://ssdweb.co/ssdweb/hd/Vision360.html?d=925400050&amp;zoomslide=1&amp;z=1925400050&amp;ISCONFIRM=0","VIDEO")</f>
        <v>VIDEO</v>
      </c>
      <c r="AA6138" s="19" t="str">
        <f>HYPERLINK("https://ssdweb.co/ssdweb/CERTH/621475826.pdf","CERTI")</f>
        <v>CERTI</v>
      </c>
    </row>
    <row r="6139" spans="1:27" ht="15" x14ac:dyDescent="0.25">
      <c r="A6139" s="2">
        <v>6134</v>
      </c>
      <c r="B6139" s="39">
        <v>926150079</v>
      </c>
      <c r="C6139" s="28" t="str">
        <f>HYPERLINK("https://pld.live/RapDetail.aspx?STONELIST=926150079","DNA")</f>
        <v>DNA</v>
      </c>
      <c r="D6139" s="18" t="s">
        <v>6469</v>
      </c>
      <c r="E6139" s="18" t="s">
        <v>2186</v>
      </c>
      <c r="F6139" s="2" t="s">
        <v>7987</v>
      </c>
      <c r="G6139" s="2" t="s">
        <v>6781</v>
      </c>
      <c r="H6139" s="14">
        <v>3.35</v>
      </c>
      <c r="I6139" s="2" t="s">
        <v>6587</v>
      </c>
      <c r="J6139" s="2" t="s">
        <v>13</v>
      </c>
      <c r="K6139" s="2" t="s">
        <v>1452</v>
      </c>
      <c r="L6139" s="2" t="s">
        <v>5221</v>
      </c>
      <c r="M6139" s="2" t="s">
        <v>5221</v>
      </c>
      <c r="N6139" s="2" t="s">
        <v>2317</v>
      </c>
      <c r="O6139" s="14">
        <v>22500</v>
      </c>
      <c r="P6139" s="14">
        <v>99.39</v>
      </c>
      <c r="Q6139" s="14">
        <v>137.25</v>
      </c>
      <c r="R6139" s="14">
        <v>459.79</v>
      </c>
      <c r="S6139" s="2" t="s">
        <v>528</v>
      </c>
      <c r="T6139" s="2">
        <v>1.5</v>
      </c>
      <c r="U6139" s="2">
        <v>60.1</v>
      </c>
      <c r="V6139" s="2">
        <v>63</v>
      </c>
      <c r="W6139" s="2" t="s">
        <v>7862</v>
      </c>
      <c r="X6139" s="2" t="s">
        <v>6687</v>
      </c>
      <c r="Y6139" s="2">
        <v>75375</v>
      </c>
      <c r="Z6139" s="19" t="str">
        <f>HYPERLINK("https://ssdweb.co/ssdweb/hd/Vision360.html?d=926150079&amp;zoomslide=1&amp;z=1926150079&amp;ISCONFIRM=0","VIDEO")</f>
        <v>VIDEO</v>
      </c>
      <c r="AA6139" s="19" t="str">
        <f>HYPERLINK("https://ssdweb.co/ssdweb/CERTH/634431534.pdf","CERTI")</f>
        <v>CERTI</v>
      </c>
    </row>
    <row r="6140" spans="1:27" ht="15" x14ac:dyDescent="0.25">
      <c r="A6140" s="2">
        <v>6135</v>
      </c>
      <c r="B6140" s="39">
        <v>924190741</v>
      </c>
      <c r="C6140" s="28" t="str">
        <f>HYPERLINK("https://pld.live/RapDetail.aspx?STONELIST=924190741","DNA")</f>
        <v>DNA</v>
      </c>
      <c r="D6140" s="18" t="s">
        <v>6469</v>
      </c>
      <c r="E6140" s="18" t="s">
        <v>2186</v>
      </c>
      <c r="F6140" s="2" t="s">
        <v>7987</v>
      </c>
      <c r="G6140" s="2" t="s">
        <v>6781</v>
      </c>
      <c r="H6140" s="14">
        <v>3.31</v>
      </c>
      <c r="I6140" s="2" t="s">
        <v>6587</v>
      </c>
      <c r="J6140" s="2" t="s">
        <v>13</v>
      </c>
      <c r="K6140" s="2" t="s">
        <v>1452</v>
      </c>
      <c r="L6140" s="2" t="s">
        <v>5221</v>
      </c>
      <c r="M6140" s="2" t="s">
        <v>5221</v>
      </c>
      <c r="N6140" s="2" t="s">
        <v>2317</v>
      </c>
      <c r="O6140" s="14">
        <v>22500</v>
      </c>
      <c r="P6140" s="14">
        <v>99.4</v>
      </c>
      <c r="Q6140" s="14">
        <v>135</v>
      </c>
      <c r="R6140" s="14">
        <v>446.85</v>
      </c>
      <c r="S6140" s="2" t="s">
        <v>846</v>
      </c>
      <c r="T6140" s="2">
        <v>1.53</v>
      </c>
      <c r="U6140" s="2">
        <v>62.2</v>
      </c>
      <c r="V6140" s="2">
        <v>63</v>
      </c>
      <c r="W6140" s="2" t="s">
        <v>7862</v>
      </c>
      <c r="X6140" s="2" t="s">
        <v>6687</v>
      </c>
      <c r="Y6140" s="2">
        <v>74475</v>
      </c>
      <c r="Z6140" s="19" t="str">
        <f>HYPERLINK("https://ssdweb.co/ssdweb/hd/Vision360.html?d=924190741&amp;zoomslide=1&amp;z=1924190741&amp;ISCONFIRM=0","VIDEO")</f>
        <v>VIDEO</v>
      </c>
      <c r="AA6140" s="19" t="str">
        <f>HYPERLINK("https://ssdweb.co/ssdweb/CERTH/582351787.pdf","CERTI")</f>
        <v>CERTI</v>
      </c>
    </row>
    <row r="6141" spans="1:27" ht="15" x14ac:dyDescent="0.25">
      <c r="A6141" s="2">
        <v>6136</v>
      </c>
      <c r="B6141" s="39">
        <v>926010296</v>
      </c>
      <c r="C6141" s="28" t="str">
        <f>HYPERLINK("https://pld.live/RapDetail.aspx?STONELIST=926010296","DNA")</f>
        <v>DNA</v>
      </c>
      <c r="D6141" s="18" t="s">
        <v>6469</v>
      </c>
      <c r="E6141" s="18" t="s">
        <v>2186</v>
      </c>
      <c r="F6141" s="2" t="s">
        <v>7987</v>
      </c>
      <c r="G6141" s="2" t="s">
        <v>6781</v>
      </c>
      <c r="H6141" s="14">
        <v>3.31</v>
      </c>
      <c r="I6141" s="2" t="s">
        <v>1505</v>
      </c>
      <c r="J6141" s="2" t="s">
        <v>13</v>
      </c>
      <c r="K6141" s="2" t="s">
        <v>1452</v>
      </c>
      <c r="L6141" s="2" t="s">
        <v>5221</v>
      </c>
      <c r="M6141" s="2" t="s">
        <v>5221</v>
      </c>
      <c r="N6141" s="2" t="s">
        <v>2317</v>
      </c>
      <c r="O6141" s="14">
        <v>19500</v>
      </c>
      <c r="P6141" s="14">
        <v>99.33</v>
      </c>
      <c r="Q6141" s="14">
        <v>130.65</v>
      </c>
      <c r="R6141" s="14">
        <v>432.45</v>
      </c>
      <c r="S6141" s="2" t="s">
        <v>4505</v>
      </c>
      <c r="T6141" s="2">
        <v>1.54</v>
      </c>
      <c r="U6141" s="2">
        <v>61.2</v>
      </c>
      <c r="V6141" s="2">
        <v>62</v>
      </c>
      <c r="W6141" s="2" t="s">
        <v>7862</v>
      </c>
      <c r="X6141" s="2" t="s">
        <v>6687</v>
      </c>
      <c r="Y6141" s="2">
        <v>64545</v>
      </c>
      <c r="Z6141" s="19" t="str">
        <f>HYPERLINK("https://ssdweb.co/ssdweb/hd/Vision360.html?d=926010296&amp;zoomslide=1&amp;z=1926010296&amp;ISCONFIRM=0","VIDEO")</f>
        <v>VIDEO</v>
      </c>
      <c r="AA6141" s="19" t="str">
        <f>HYPERLINK("https://ssdweb.co/ssdweb/CERTH/632421578.pdf","CERTI")</f>
        <v>CERTI</v>
      </c>
    </row>
    <row r="6142" spans="1:27" ht="15" x14ac:dyDescent="0.25">
      <c r="A6142" s="2">
        <v>6137</v>
      </c>
      <c r="B6142" s="39">
        <v>924380176</v>
      </c>
      <c r="C6142" s="28" t="str">
        <f>HYPERLINK("https://pld.live/RapDetail.aspx?STONELIST=924380176","DNA")</f>
        <v>DNA</v>
      </c>
      <c r="D6142" s="18" t="s">
        <v>4563</v>
      </c>
      <c r="E6142" s="18" t="s">
        <v>2186</v>
      </c>
      <c r="F6142" s="2" t="s">
        <v>7987</v>
      </c>
      <c r="G6142" s="2" t="s">
        <v>6781</v>
      </c>
      <c r="H6142" s="14">
        <v>3.27</v>
      </c>
      <c r="I6142" s="2" t="s">
        <v>6587</v>
      </c>
      <c r="J6142" s="2" t="s">
        <v>13</v>
      </c>
      <c r="K6142" s="2" t="s">
        <v>1452</v>
      </c>
      <c r="L6142" s="2" t="s">
        <v>5221</v>
      </c>
      <c r="M6142" s="2" t="s">
        <v>5221</v>
      </c>
      <c r="N6142" s="2" t="s">
        <v>2317</v>
      </c>
      <c r="O6142" s="14">
        <v>22500</v>
      </c>
      <c r="P6142" s="14">
        <v>99.41</v>
      </c>
      <c r="Q6142" s="14">
        <v>132.75</v>
      </c>
      <c r="R6142" s="14">
        <v>434.09</v>
      </c>
      <c r="S6142" s="2" t="s">
        <v>4555</v>
      </c>
      <c r="T6142" s="2">
        <v>1.53</v>
      </c>
      <c r="U6142" s="2">
        <v>62.3</v>
      </c>
      <c r="V6142" s="2">
        <v>60</v>
      </c>
      <c r="W6142" s="2" t="s">
        <v>8016</v>
      </c>
      <c r="X6142" s="2" t="s">
        <v>6687</v>
      </c>
      <c r="Y6142" s="2">
        <v>73575</v>
      </c>
      <c r="Z6142" s="19" t="str">
        <f>HYPERLINK("https://ssdweb.co/ssdweb/hd/Vision360.html?d=924380176&amp;zoomslide=1&amp;z=1924380176&amp;ISCONFIRM=0","VIDEO")</f>
        <v>VIDEO</v>
      </c>
      <c r="AA6142" s="19" t="str">
        <f>HYPERLINK("https://ssdweb.co/ssdweb/CERTH/589397108.pdf","CERTI")</f>
        <v>CERTI</v>
      </c>
    </row>
    <row r="6143" spans="1:27" ht="15" x14ac:dyDescent="0.25">
      <c r="A6143" s="2">
        <v>6138</v>
      </c>
      <c r="B6143" s="39">
        <v>924890042</v>
      </c>
      <c r="C6143" s="28" t="str">
        <f>HYPERLINK("https://pld.live/RapDetail.aspx?STONELIST=924890042","DNA")</f>
        <v>DNA</v>
      </c>
      <c r="D6143" s="18" t="s">
        <v>4563</v>
      </c>
      <c r="E6143" s="18" t="s">
        <v>2186</v>
      </c>
      <c r="F6143" s="2" t="s">
        <v>7987</v>
      </c>
      <c r="G6143" s="2" t="s">
        <v>6781</v>
      </c>
      <c r="H6143" s="14">
        <v>3.26</v>
      </c>
      <c r="I6143" s="2" t="s">
        <v>1505</v>
      </c>
      <c r="J6143" s="2" t="s">
        <v>13</v>
      </c>
      <c r="K6143" s="2" t="s">
        <v>1452</v>
      </c>
      <c r="L6143" s="2" t="s">
        <v>5221</v>
      </c>
      <c r="M6143" s="2" t="s">
        <v>5221</v>
      </c>
      <c r="N6143" s="2" t="s">
        <v>2317</v>
      </c>
      <c r="O6143" s="14">
        <v>19500</v>
      </c>
      <c r="P6143" s="14">
        <v>99.33</v>
      </c>
      <c r="Q6143" s="14">
        <v>130.65</v>
      </c>
      <c r="R6143" s="14">
        <v>425.92</v>
      </c>
      <c r="S6143" s="2" t="s">
        <v>5951</v>
      </c>
      <c r="T6143" s="2">
        <v>1.53</v>
      </c>
      <c r="U6143" s="2">
        <v>61.1</v>
      </c>
      <c r="V6143" s="2">
        <v>61</v>
      </c>
      <c r="W6143" s="2" t="s">
        <v>7862</v>
      </c>
      <c r="X6143" s="2" t="s">
        <v>6687</v>
      </c>
      <c r="Y6143" s="2">
        <v>63570</v>
      </c>
      <c r="Z6143" s="19" t="str">
        <f>HYPERLINK("https://ssdweb.co/ssdweb/hd/Vision360.html?d=924890042&amp;zoomslide=1&amp;z=1924890042&amp;ISCONFIRM=0","VIDEO")</f>
        <v>VIDEO</v>
      </c>
      <c r="AA6143" s="19" t="str">
        <f>HYPERLINK("https://ssdweb.co/ssdweb/CERTH/605305698.pdf","CERTI")</f>
        <v>CERTI</v>
      </c>
    </row>
    <row r="6144" spans="1:27" ht="15" x14ac:dyDescent="0.25">
      <c r="A6144" s="2">
        <v>6139</v>
      </c>
      <c r="B6144" s="39">
        <v>924930251</v>
      </c>
      <c r="C6144" s="28" t="str">
        <f>HYPERLINK("https://pld.live/RapDetail.aspx?STONELIST=924930251","DNA")</f>
        <v>DNA</v>
      </c>
      <c r="D6144" s="18" t="s">
        <v>4563</v>
      </c>
      <c r="E6144" s="18" t="s">
        <v>2186</v>
      </c>
      <c r="F6144" s="2" t="s">
        <v>7987</v>
      </c>
      <c r="G6144" s="2" t="s">
        <v>6781</v>
      </c>
      <c r="H6144" s="14">
        <v>3.26</v>
      </c>
      <c r="I6144" s="2" t="s">
        <v>1505</v>
      </c>
      <c r="J6144" s="2" t="s">
        <v>13</v>
      </c>
      <c r="K6144" s="2" t="s">
        <v>1452</v>
      </c>
      <c r="L6144" s="2" t="s">
        <v>5221</v>
      </c>
      <c r="M6144" s="2" t="s">
        <v>5221</v>
      </c>
      <c r="N6144" s="2" t="s">
        <v>2317</v>
      </c>
      <c r="O6144" s="14">
        <v>19500</v>
      </c>
      <c r="P6144" s="14">
        <v>99.33</v>
      </c>
      <c r="Q6144" s="14">
        <v>130.65</v>
      </c>
      <c r="R6144" s="14">
        <v>425.92</v>
      </c>
      <c r="S6144" s="2" t="s">
        <v>2855</v>
      </c>
      <c r="T6144" s="2">
        <v>1.53</v>
      </c>
      <c r="U6144" s="2">
        <v>61.1</v>
      </c>
      <c r="V6144" s="2">
        <v>62</v>
      </c>
      <c r="W6144" s="2" t="s">
        <v>7862</v>
      </c>
      <c r="X6144" s="2" t="s">
        <v>6687</v>
      </c>
      <c r="Y6144" s="2">
        <v>63570</v>
      </c>
      <c r="Z6144" s="19" t="str">
        <f>HYPERLINK("https://ssdweb.co/ssdweb/hd/Vision360.html?d=924930251&amp;zoomslide=1&amp;z=1924930251&amp;ISCONFIRM=0","VIDEO")</f>
        <v>VIDEO</v>
      </c>
      <c r="AA6144" s="19" t="str">
        <f>HYPERLINK("https://ssdweb.co/ssdweb/CERTH/605330747.pdf","CERTI")</f>
        <v>CERTI</v>
      </c>
    </row>
    <row r="6145" spans="1:27" ht="15" x14ac:dyDescent="0.25">
      <c r="A6145" s="2">
        <v>6140</v>
      </c>
      <c r="B6145" s="39">
        <v>926450416</v>
      </c>
      <c r="C6145" s="28" t="str">
        <f>HYPERLINK("https://pld.live/RapDetail.aspx?STONELIST=926450416","DNA")</f>
        <v>DNA</v>
      </c>
      <c r="D6145" s="18" t="s">
        <v>4563</v>
      </c>
      <c r="E6145" s="18" t="s">
        <v>2186</v>
      </c>
      <c r="F6145" s="2" t="s">
        <v>7987</v>
      </c>
      <c r="G6145" s="2" t="s">
        <v>6781</v>
      </c>
      <c r="H6145" s="14">
        <v>3.25</v>
      </c>
      <c r="I6145" s="2" t="s">
        <v>1505</v>
      </c>
      <c r="J6145" s="2" t="s">
        <v>13</v>
      </c>
      <c r="K6145" s="2" t="s">
        <v>1452</v>
      </c>
      <c r="L6145" s="2" t="s">
        <v>5221</v>
      </c>
      <c r="M6145" s="2" t="s">
        <v>5221</v>
      </c>
      <c r="N6145" s="2" t="s">
        <v>2317</v>
      </c>
      <c r="O6145" s="14">
        <v>19500</v>
      </c>
      <c r="P6145" s="14">
        <v>99.31</v>
      </c>
      <c r="Q6145" s="14">
        <v>134.55000000000001</v>
      </c>
      <c r="R6145" s="14">
        <v>437.29</v>
      </c>
      <c r="S6145" s="2" t="s">
        <v>5744</v>
      </c>
      <c r="T6145" s="2">
        <v>1.54</v>
      </c>
      <c r="U6145" s="2">
        <v>61.2</v>
      </c>
      <c r="V6145" s="2">
        <v>60</v>
      </c>
      <c r="W6145" s="2" t="s">
        <v>7862</v>
      </c>
      <c r="X6145" s="2" t="s">
        <v>6687</v>
      </c>
      <c r="Y6145" s="2">
        <v>63375</v>
      </c>
      <c r="Z6145" s="19" t="str">
        <f>HYPERLINK("https://ssdweb.co/ssdweb/hd/Vision360.html?d=926450416&amp;zoomslide=1&amp;z=1926450416&amp;ISCONFIRM=0","VIDEO")</f>
        <v>VIDEO</v>
      </c>
      <c r="AA6145" s="19" t="str">
        <f>HYPERLINK("https://ssdweb.co/ssdweb/CERTH/660489735.pdf","CERTI")</f>
        <v>CERTI</v>
      </c>
    </row>
    <row r="6146" spans="1:27" ht="15" x14ac:dyDescent="0.25">
      <c r="A6146" s="2">
        <v>6141</v>
      </c>
      <c r="B6146" s="39">
        <v>926360397</v>
      </c>
      <c r="C6146" s="28" t="str">
        <f>HYPERLINK("https://pld.live/RapDetail.aspx?STONELIST=926360397","DNA")</f>
        <v>DNA</v>
      </c>
      <c r="D6146" s="18" t="s">
        <v>4563</v>
      </c>
      <c r="E6146" s="18" t="s">
        <v>2186</v>
      </c>
      <c r="F6146" s="2" t="s">
        <v>7987</v>
      </c>
      <c r="G6146" s="2" t="s">
        <v>6781</v>
      </c>
      <c r="H6146" s="14">
        <v>3.24</v>
      </c>
      <c r="I6146" s="2" t="s">
        <v>4699</v>
      </c>
      <c r="J6146" s="2" t="s">
        <v>13</v>
      </c>
      <c r="K6146" s="2" t="s">
        <v>1452</v>
      </c>
      <c r="L6146" s="2" t="s">
        <v>5221</v>
      </c>
      <c r="M6146" s="2" t="s">
        <v>5221</v>
      </c>
      <c r="N6146" s="2" t="s">
        <v>2317</v>
      </c>
      <c r="O6146" s="14">
        <v>25000</v>
      </c>
      <c r="P6146" s="14">
        <v>99.41</v>
      </c>
      <c r="Q6146" s="14">
        <v>147.5</v>
      </c>
      <c r="R6146" s="14">
        <v>477.9</v>
      </c>
      <c r="S6146" s="2" t="s">
        <v>5508</v>
      </c>
      <c r="T6146" s="2">
        <v>1.62</v>
      </c>
      <c r="U6146" s="2">
        <v>61</v>
      </c>
      <c r="V6146" s="2">
        <v>61</v>
      </c>
      <c r="W6146" s="2" t="s">
        <v>7862</v>
      </c>
      <c r="X6146" s="2" t="s">
        <v>6687</v>
      </c>
      <c r="Y6146" s="2">
        <v>81000</v>
      </c>
      <c r="Z6146" s="19" t="str">
        <f>HYPERLINK("https://ssdweb.co/ssdweb/hd/Vision360.html?d=926360397&amp;zoomslide=1&amp;z=1926360397&amp;ISCONFIRM=0","VIDEO")</f>
        <v>VIDEO</v>
      </c>
      <c r="AA6146" s="19" t="str">
        <f>HYPERLINK("https://ssdweb.co/ssdweb/CERTH/645461926.pdf","CERTI")</f>
        <v>CERTI</v>
      </c>
    </row>
    <row r="6147" spans="1:27" ht="15" x14ac:dyDescent="0.25">
      <c r="A6147" s="2">
        <v>6142</v>
      </c>
      <c r="B6147" s="39">
        <v>925670187</v>
      </c>
      <c r="C6147" s="28" t="str">
        <f>HYPERLINK("https://pld.live/RapDetail.aspx?STONELIST=925670187","DNA")</f>
        <v>DNA</v>
      </c>
      <c r="D6147" s="18" t="s">
        <v>4563</v>
      </c>
      <c r="E6147" s="18" t="s">
        <v>2186</v>
      </c>
      <c r="F6147" s="2" t="s">
        <v>7987</v>
      </c>
      <c r="G6147" s="2" t="s">
        <v>6781</v>
      </c>
      <c r="H6147" s="14">
        <v>3.21</v>
      </c>
      <c r="I6147" s="2" t="s">
        <v>1505</v>
      </c>
      <c r="J6147" s="2" t="s">
        <v>13</v>
      </c>
      <c r="K6147" s="2" t="s">
        <v>1452</v>
      </c>
      <c r="L6147" s="2" t="s">
        <v>5221</v>
      </c>
      <c r="M6147" s="2" t="s">
        <v>5221</v>
      </c>
      <c r="N6147" s="2" t="s">
        <v>2317</v>
      </c>
      <c r="O6147" s="14">
        <v>19500</v>
      </c>
      <c r="P6147" s="14">
        <v>99.34</v>
      </c>
      <c r="Q6147" s="14">
        <v>128.69999999999999</v>
      </c>
      <c r="R6147" s="14">
        <v>413.13</v>
      </c>
      <c r="S6147" s="2" t="s">
        <v>6355</v>
      </c>
      <c r="T6147" s="2">
        <v>1.63</v>
      </c>
      <c r="U6147" s="2">
        <v>59.8</v>
      </c>
      <c r="V6147" s="2">
        <v>62</v>
      </c>
      <c r="W6147" s="2" t="s">
        <v>8016</v>
      </c>
      <c r="X6147" s="2" t="s">
        <v>6687</v>
      </c>
      <c r="Y6147" s="2">
        <v>62595</v>
      </c>
      <c r="Z6147" s="19" t="str">
        <f>HYPERLINK("https://ssdweb.co/ssdweb/hd/Vision360.html?d=925670187&amp;zoomslide=1&amp;z=1925670187&amp;ISCONFIRM=0","VIDEO")</f>
        <v>VIDEO</v>
      </c>
      <c r="AA6147" s="19" t="str">
        <f>HYPERLINK("https://ssdweb.co/ssdweb/CERTH/625458078.pdf","CERTI")</f>
        <v>CERTI</v>
      </c>
    </row>
    <row r="6148" spans="1:27" ht="15" x14ac:dyDescent="0.25">
      <c r="A6148" s="2">
        <v>6143</v>
      </c>
      <c r="B6148" s="39">
        <v>831020641</v>
      </c>
      <c r="C6148" s="28" t="str">
        <f>HYPERLINK("https://pld.live/RapDetail.aspx?STONELIST=831020641","DNA")</f>
        <v>DNA</v>
      </c>
      <c r="D6148" s="18" t="s">
        <v>4563</v>
      </c>
      <c r="E6148" s="18" t="s">
        <v>2186</v>
      </c>
      <c r="F6148" s="2" t="s">
        <v>7987</v>
      </c>
      <c r="G6148" s="2" t="s">
        <v>6781</v>
      </c>
      <c r="H6148" s="14">
        <v>3.2</v>
      </c>
      <c r="I6148" s="2" t="s">
        <v>1505</v>
      </c>
      <c r="J6148" s="2" t="s">
        <v>13</v>
      </c>
      <c r="K6148" s="2" t="s">
        <v>1452</v>
      </c>
      <c r="L6148" s="2" t="s">
        <v>5221</v>
      </c>
      <c r="M6148" s="2" t="s">
        <v>5221</v>
      </c>
      <c r="N6148" s="2" t="s">
        <v>2317</v>
      </c>
      <c r="O6148" s="14">
        <v>19500</v>
      </c>
      <c r="P6148" s="14">
        <v>99.34</v>
      </c>
      <c r="Q6148" s="14">
        <v>128.69999999999999</v>
      </c>
      <c r="R6148" s="14">
        <v>411.84</v>
      </c>
      <c r="S6148" s="2" t="s">
        <v>3155</v>
      </c>
      <c r="T6148" s="2">
        <v>1.54</v>
      </c>
      <c r="U6148" s="2">
        <v>61</v>
      </c>
      <c r="V6148" s="2">
        <v>59</v>
      </c>
      <c r="W6148" s="2" t="s">
        <v>8016</v>
      </c>
      <c r="X6148" s="2" t="s">
        <v>6687</v>
      </c>
      <c r="Y6148" s="2">
        <v>62400</v>
      </c>
      <c r="Z6148" s="19" t="str">
        <f>HYPERLINK("https://ssdweb.co/ssdweb/hd/Vision360.html?d=831020641&amp;zoomslide=1&amp;z=1831020641&amp;ISCONFIRM=0","VIDEO")</f>
        <v>VIDEO</v>
      </c>
      <c r="AA6148" s="19" t="str">
        <f>HYPERLINK("https://ssdweb.co/ssdweb/CERTH/592362563.pdf","CERTI")</f>
        <v>CERTI</v>
      </c>
    </row>
    <row r="6149" spans="1:27" ht="15" x14ac:dyDescent="0.25">
      <c r="A6149" s="2">
        <v>6144</v>
      </c>
      <c r="B6149" s="39">
        <v>925670197</v>
      </c>
      <c r="C6149" s="28" t="str">
        <f>HYPERLINK("https://pld.live/RapDetail.aspx?STONELIST=925670197","DNA")</f>
        <v>DNA</v>
      </c>
      <c r="D6149" s="18" t="s">
        <v>4563</v>
      </c>
      <c r="E6149" s="18" t="s">
        <v>2186</v>
      </c>
      <c r="F6149" s="2" t="s">
        <v>7987</v>
      </c>
      <c r="G6149" s="2" t="s">
        <v>6781</v>
      </c>
      <c r="H6149" s="14">
        <v>3.11</v>
      </c>
      <c r="I6149" s="2" t="s">
        <v>6587</v>
      </c>
      <c r="J6149" s="2" t="s">
        <v>13</v>
      </c>
      <c r="K6149" s="2" t="s">
        <v>1452</v>
      </c>
      <c r="L6149" s="2" t="s">
        <v>5221</v>
      </c>
      <c r="M6149" s="2" t="s">
        <v>5221</v>
      </c>
      <c r="N6149" s="2" t="s">
        <v>2317</v>
      </c>
      <c r="O6149" s="14">
        <v>22500</v>
      </c>
      <c r="P6149" s="14">
        <v>99.4</v>
      </c>
      <c r="Q6149" s="14">
        <v>135</v>
      </c>
      <c r="R6149" s="14">
        <v>419.85</v>
      </c>
      <c r="S6149" s="2" t="s">
        <v>864</v>
      </c>
      <c r="T6149" s="2">
        <v>1.52</v>
      </c>
      <c r="U6149" s="2">
        <v>61.3</v>
      </c>
      <c r="V6149" s="2">
        <v>60</v>
      </c>
      <c r="W6149" s="2" t="s">
        <v>7862</v>
      </c>
      <c r="X6149" s="2" t="s">
        <v>6687</v>
      </c>
      <c r="Y6149" s="2">
        <v>69975</v>
      </c>
      <c r="Z6149" s="19" t="str">
        <f>HYPERLINK("https://ssdweb.co/ssdweb/hd/Vision360.html?d=925670197&amp;zoomslide=1&amp;z=1925670197&amp;ISCONFIRM=0","VIDEO")</f>
        <v>VIDEO</v>
      </c>
      <c r="AA6149" s="19" t="str">
        <f>HYPERLINK("https://ssdweb.co/ssdweb/CERTH/625432391.pdf","CERTI")</f>
        <v>CERTI</v>
      </c>
    </row>
    <row r="6150" spans="1:27" ht="15" x14ac:dyDescent="0.25">
      <c r="A6150" s="2">
        <v>6145</v>
      </c>
      <c r="B6150" s="39">
        <v>924930201</v>
      </c>
      <c r="C6150" s="28" t="str">
        <f>HYPERLINK("https://pld.live/RapDetail.aspx?STONELIST=924930201","DNA")</f>
        <v>DNA</v>
      </c>
      <c r="D6150" s="18" t="s">
        <v>4563</v>
      </c>
      <c r="E6150" s="18" t="s">
        <v>2186</v>
      </c>
      <c r="F6150" s="2" t="s">
        <v>7987</v>
      </c>
      <c r="G6150" s="2" t="s">
        <v>6781</v>
      </c>
      <c r="H6150" s="14">
        <v>3.11</v>
      </c>
      <c r="I6150" s="2" t="s">
        <v>1505</v>
      </c>
      <c r="J6150" s="2" t="s">
        <v>13</v>
      </c>
      <c r="K6150" s="2" t="s">
        <v>1452</v>
      </c>
      <c r="L6150" s="2" t="s">
        <v>5221</v>
      </c>
      <c r="M6150" s="2" t="s">
        <v>5221</v>
      </c>
      <c r="N6150" s="2" t="s">
        <v>2317</v>
      </c>
      <c r="O6150" s="14">
        <v>19500</v>
      </c>
      <c r="P6150" s="14">
        <v>99.33</v>
      </c>
      <c r="Q6150" s="14">
        <v>130.65</v>
      </c>
      <c r="R6150" s="14">
        <v>406.32</v>
      </c>
      <c r="S6150" s="2" t="s">
        <v>3979</v>
      </c>
      <c r="T6150" s="2">
        <v>1.55</v>
      </c>
      <c r="U6150" s="2">
        <v>60.7</v>
      </c>
      <c r="V6150" s="2">
        <v>62</v>
      </c>
      <c r="W6150" s="2" t="s">
        <v>7862</v>
      </c>
      <c r="X6150" s="2" t="s">
        <v>6687</v>
      </c>
      <c r="Y6150" s="2">
        <v>60645</v>
      </c>
      <c r="Z6150" s="19" t="str">
        <f>HYPERLINK("https://ssdweb.co/ssdweb/hd/Vision360.html?d=924930201&amp;zoomslide=1&amp;z=1924930201&amp;ISCONFIRM=0","VIDEO")</f>
        <v>VIDEO</v>
      </c>
      <c r="AA6150" s="19" t="str">
        <f>HYPERLINK("https://ssdweb.co/ssdweb/CERTH/604379504.pdf","CERTI")</f>
        <v>CERTI</v>
      </c>
    </row>
    <row r="6151" spans="1:27" ht="15" x14ac:dyDescent="0.25">
      <c r="A6151" s="2">
        <v>6146</v>
      </c>
      <c r="B6151" s="39">
        <v>831020122</v>
      </c>
      <c r="C6151" s="28" t="str">
        <f>HYPERLINK("https://pld.live/RapDetail.aspx?STONELIST=831020122","DNA")</f>
        <v>DNA</v>
      </c>
      <c r="D6151" s="18" t="s">
        <v>4563</v>
      </c>
      <c r="E6151" s="18" t="s">
        <v>2186</v>
      </c>
      <c r="F6151" s="2" t="s">
        <v>7987</v>
      </c>
      <c r="G6151" s="2" t="s">
        <v>6781</v>
      </c>
      <c r="H6151" s="14">
        <v>3.1</v>
      </c>
      <c r="I6151" s="2" t="s">
        <v>6587</v>
      </c>
      <c r="J6151" s="2" t="s">
        <v>3942</v>
      </c>
      <c r="K6151" s="2" t="s">
        <v>1452</v>
      </c>
      <c r="L6151" s="2" t="s">
        <v>5221</v>
      </c>
      <c r="M6151" s="2" t="s">
        <v>5221</v>
      </c>
      <c r="N6151" s="2" t="s">
        <v>2317</v>
      </c>
      <c r="O6151" s="14">
        <v>24500</v>
      </c>
      <c r="P6151" s="14">
        <v>99.41</v>
      </c>
      <c r="Q6151" s="14">
        <v>144.55000000000001</v>
      </c>
      <c r="R6151" s="14">
        <v>448.11</v>
      </c>
      <c r="S6151" s="2" t="s">
        <v>577</v>
      </c>
      <c r="T6151" s="2">
        <v>1.48</v>
      </c>
      <c r="U6151" s="2">
        <v>63.3</v>
      </c>
      <c r="V6151" s="2">
        <v>60</v>
      </c>
      <c r="W6151" s="2" t="s">
        <v>7862</v>
      </c>
      <c r="X6151" s="2" t="s">
        <v>6687</v>
      </c>
      <c r="Y6151" s="2">
        <v>75950</v>
      </c>
      <c r="Z6151" s="19" t="str">
        <f>HYPERLINK("https://ssdweb.co/ssdweb/hd/Vision360.html?d=831020122&amp;zoomslide=1&amp;z=1831020122&amp;ISCONFIRM=0","VIDEO")</f>
        <v>VIDEO</v>
      </c>
      <c r="AA6151" s="19" t="str">
        <f>HYPERLINK("https://ssdweb.co/ssdweb/CERTH/546232440.pdf","CERTI")</f>
        <v>CERTI</v>
      </c>
    </row>
    <row r="6152" spans="1:27" ht="15" x14ac:dyDescent="0.25">
      <c r="A6152" s="2">
        <v>6147</v>
      </c>
      <c r="B6152" s="39">
        <v>925570105</v>
      </c>
      <c r="C6152" s="28" t="str">
        <f>HYPERLINK("https://pld.live/RapDetail.aspx?STONELIST=925570105","DNA")</f>
        <v>DNA</v>
      </c>
      <c r="D6152" s="18" t="s">
        <v>4563</v>
      </c>
      <c r="E6152" s="18" t="s">
        <v>2186</v>
      </c>
      <c r="F6152" s="2" t="s">
        <v>7987</v>
      </c>
      <c r="G6152" s="2" t="s">
        <v>6781</v>
      </c>
      <c r="H6152" s="14">
        <v>3.1</v>
      </c>
      <c r="I6152" s="2" t="s">
        <v>1505</v>
      </c>
      <c r="J6152" s="2" t="s">
        <v>5144</v>
      </c>
      <c r="K6152" s="2" t="s">
        <v>1452</v>
      </c>
      <c r="L6152" s="2" t="s">
        <v>5221</v>
      </c>
      <c r="M6152" s="2" t="s">
        <v>5221</v>
      </c>
      <c r="N6152" s="2" t="s">
        <v>2317</v>
      </c>
      <c r="O6152" s="14">
        <v>18000</v>
      </c>
      <c r="P6152" s="14">
        <v>99.32</v>
      </c>
      <c r="Q6152" s="14">
        <v>122.4</v>
      </c>
      <c r="R6152" s="14">
        <v>379.44</v>
      </c>
      <c r="S6152" s="2" t="s">
        <v>5860</v>
      </c>
      <c r="T6152" s="2">
        <v>1.5</v>
      </c>
      <c r="U6152" s="2">
        <v>60.6</v>
      </c>
      <c r="V6152" s="2">
        <v>61</v>
      </c>
      <c r="W6152" s="2" t="s">
        <v>8016</v>
      </c>
      <c r="X6152" s="2" t="s">
        <v>6687</v>
      </c>
      <c r="Y6152" s="2">
        <v>55800</v>
      </c>
      <c r="Z6152" s="19" t="str">
        <f>HYPERLINK("https://ssdweb.co/ssdweb/hd/Vision360.html?d=925570105&amp;zoomslide=1&amp;z=1925570105&amp;ISCONFIRM=0","VIDEO")</f>
        <v>VIDEO</v>
      </c>
      <c r="AA6152" s="19" t="str">
        <f>HYPERLINK("https://ssdweb.co/ssdweb/CERTH/624499752.pdf","CERTI")</f>
        <v>CERTI</v>
      </c>
    </row>
    <row r="6153" spans="1:27" ht="15" x14ac:dyDescent="0.25">
      <c r="A6153" s="2">
        <v>6148</v>
      </c>
      <c r="B6153" s="39">
        <v>925670135</v>
      </c>
      <c r="C6153" s="28" t="str">
        <f>HYPERLINK("https://pld.live/RapDetail.aspx?STONELIST=925670135","DNA")</f>
        <v>DNA</v>
      </c>
      <c r="D6153" s="18" t="s">
        <v>4563</v>
      </c>
      <c r="E6153" s="18" t="s">
        <v>2186</v>
      </c>
      <c r="F6153" s="2" t="s">
        <v>7987</v>
      </c>
      <c r="G6153" s="2" t="s">
        <v>6781</v>
      </c>
      <c r="H6153" s="14">
        <v>3.09</v>
      </c>
      <c r="I6153" s="2" t="s">
        <v>6587</v>
      </c>
      <c r="J6153" s="2" t="s">
        <v>13</v>
      </c>
      <c r="K6153" s="2" t="s">
        <v>1452</v>
      </c>
      <c r="L6153" s="2" t="s">
        <v>5221</v>
      </c>
      <c r="M6153" s="2" t="s">
        <v>5221</v>
      </c>
      <c r="N6153" s="2" t="s">
        <v>2317</v>
      </c>
      <c r="O6153" s="14">
        <v>22500</v>
      </c>
      <c r="P6153" s="14">
        <v>99.4</v>
      </c>
      <c r="Q6153" s="14">
        <v>135</v>
      </c>
      <c r="R6153" s="14">
        <v>417.15</v>
      </c>
      <c r="S6153" s="2" t="s">
        <v>2536</v>
      </c>
      <c r="T6153" s="2">
        <v>1.48</v>
      </c>
      <c r="U6153" s="2">
        <v>62.8</v>
      </c>
      <c r="V6153" s="2">
        <v>60</v>
      </c>
      <c r="W6153" s="2" t="s">
        <v>7862</v>
      </c>
      <c r="X6153" s="2" t="s">
        <v>6687</v>
      </c>
      <c r="Y6153" s="2">
        <v>69525</v>
      </c>
      <c r="Z6153" s="19" t="str">
        <f>HYPERLINK("https://ssdweb.co/ssdweb/hd/Vision360.html?d=925670135&amp;zoomslide=1&amp;z=1925670135&amp;ISCONFIRM=0","VIDEO")</f>
        <v>VIDEO</v>
      </c>
      <c r="AA6153" s="19" t="str">
        <f>HYPERLINK("https://ssdweb.co/ssdweb/CERTH/623493345.pdf","CERTI")</f>
        <v>CERTI</v>
      </c>
    </row>
    <row r="6154" spans="1:27" ht="15" x14ac:dyDescent="0.25">
      <c r="A6154" s="2">
        <v>6149</v>
      </c>
      <c r="B6154" s="39">
        <v>926130065</v>
      </c>
      <c r="C6154" s="28" t="str">
        <f>HYPERLINK("https://pld.live/RapDetail.aspx?STONELIST=926130065","DNA")</f>
        <v>DNA</v>
      </c>
      <c r="D6154" s="18" t="s">
        <v>4563</v>
      </c>
      <c r="E6154" s="18" t="s">
        <v>2186</v>
      </c>
      <c r="F6154" s="2" t="s">
        <v>7987</v>
      </c>
      <c r="G6154" s="2" t="s">
        <v>6781</v>
      </c>
      <c r="H6154" s="14">
        <v>3.08</v>
      </c>
      <c r="I6154" s="2" t="s">
        <v>6587</v>
      </c>
      <c r="J6154" s="2" t="s">
        <v>13</v>
      </c>
      <c r="K6154" s="2" t="s">
        <v>1452</v>
      </c>
      <c r="L6154" s="2" t="s">
        <v>5221</v>
      </c>
      <c r="M6154" s="2" t="s">
        <v>5221</v>
      </c>
      <c r="N6154" s="2" t="s">
        <v>2317</v>
      </c>
      <c r="O6154" s="14">
        <v>22500</v>
      </c>
      <c r="P6154" s="14">
        <v>99.4</v>
      </c>
      <c r="Q6154" s="14">
        <v>135</v>
      </c>
      <c r="R6154" s="14">
        <v>415.8</v>
      </c>
      <c r="S6154" s="2" t="s">
        <v>1422</v>
      </c>
      <c r="T6154" s="2">
        <v>1.51</v>
      </c>
      <c r="U6154" s="2">
        <v>61.4</v>
      </c>
      <c r="V6154" s="2">
        <v>62</v>
      </c>
      <c r="W6154" s="2" t="s">
        <v>7862</v>
      </c>
      <c r="X6154" s="2" t="s">
        <v>6687</v>
      </c>
      <c r="Y6154" s="2">
        <v>69300</v>
      </c>
      <c r="Z6154" s="19" t="str">
        <f>HYPERLINK("https://ssdweb.co/ssdweb/hd/Vision360.html?d=926130065&amp;zoomslide=1&amp;z=1926130065&amp;ISCONFIRM=0","VIDEO")</f>
        <v>VIDEO</v>
      </c>
      <c r="AA6154" s="19" t="str">
        <f>HYPERLINK("https://ssdweb.co/ssdweb/CERTH/633432006.pdf","CERTI")</f>
        <v>CERTI</v>
      </c>
    </row>
    <row r="6155" spans="1:27" ht="15" x14ac:dyDescent="0.25">
      <c r="A6155" s="2">
        <v>6150</v>
      </c>
      <c r="B6155" s="39">
        <v>926360038</v>
      </c>
      <c r="C6155" s="28" t="str">
        <f>HYPERLINK("https://pld.live/RapDetail.aspx?STONELIST=926360038","DNA")</f>
        <v>DNA</v>
      </c>
      <c r="D6155" s="18" t="s">
        <v>4563</v>
      </c>
      <c r="E6155" s="18" t="s">
        <v>2186</v>
      </c>
      <c r="F6155" s="2" t="s">
        <v>7987</v>
      </c>
      <c r="G6155" s="2" t="s">
        <v>6781</v>
      </c>
      <c r="H6155" s="14">
        <v>3.07</v>
      </c>
      <c r="I6155" s="2" t="s">
        <v>1505</v>
      </c>
      <c r="J6155" s="2" t="s">
        <v>13</v>
      </c>
      <c r="K6155" s="2" t="s">
        <v>1452</v>
      </c>
      <c r="L6155" s="2" t="s">
        <v>5221</v>
      </c>
      <c r="M6155" s="2" t="s">
        <v>5221</v>
      </c>
      <c r="N6155" s="2" t="s">
        <v>2317</v>
      </c>
      <c r="O6155" s="14">
        <v>19500</v>
      </c>
      <c r="P6155" s="14">
        <v>99.31</v>
      </c>
      <c r="Q6155" s="14">
        <v>134.55000000000001</v>
      </c>
      <c r="R6155" s="14">
        <v>413.07</v>
      </c>
      <c r="S6155" s="2" t="s">
        <v>4049</v>
      </c>
      <c r="T6155" s="2">
        <v>1.66</v>
      </c>
      <c r="U6155" s="2">
        <v>59.9</v>
      </c>
      <c r="V6155" s="2">
        <v>63</v>
      </c>
      <c r="W6155" s="2" t="s">
        <v>7862</v>
      </c>
      <c r="X6155" s="2" t="s">
        <v>6687</v>
      </c>
      <c r="Y6155" s="2">
        <v>59865</v>
      </c>
      <c r="Z6155" s="19" t="str">
        <f>HYPERLINK("https://ssdweb.co/ssdweb/hd/Vision360.html?d=926360038&amp;zoomslide=1&amp;z=1926360038&amp;ISCONFIRM=0","VIDEO")</f>
        <v>VIDEO</v>
      </c>
      <c r="AA6155" s="19" t="str">
        <f>HYPERLINK("https://ssdweb.co/ssdweb/CERTH/660489712.pdf","CERTI")</f>
        <v>CERTI</v>
      </c>
    </row>
    <row r="6156" spans="1:27" ht="15" x14ac:dyDescent="0.25">
      <c r="A6156" s="2">
        <v>6151</v>
      </c>
      <c r="B6156" s="39">
        <v>831020414</v>
      </c>
      <c r="C6156" s="28" t="str">
        <f>HYPERLINK("https://pld.live/RapDetail.aspx?STONELIST=831020414","DNA")</f>
        <v>DNA</v>
      </c>
      <c r="D6156" s="18" t="s">
        <v>4563</v>
      </c>
      <c r="E6156" s="18" t="s">
        <v>2186</v>
      </c>
      <c r="F6156" s="2" t="s">
        <v>5597</v>
      </c>
      <c r="G6156" s="2" t="s">
        <v>6781</v>
      </c>
      <c r="H6156" s="14">
        <v>3.07</v>
      </c>
      <c r="I6156" s="2" t="s">
        <v>1505</v>
      </c>
      <c r="J6156" s="2" t="s">
        <v>5144</v>
      </c>
      <c r="K6156" s="2" t="s">
        <v>1452</v>
      </c>
      <c r="L6156" s="2" t="s">
        <v>5221</v>
      </c>
      <c r="M6156" s="2" t="s">
        <v>5221</v>
      </c>
      <c r="N6156" s="2" t="s">
        <v>2317</v>
      </c>
      <c r="O6156" s="14">
        <v>18000</v>
      </c>
      <c r="P6156" s="14">
        <v>98.81</v>
      </c>
      <c r="Q6156" s="14">
        <v>214.2</v>
      </c>
      <c r="R6156" s="14">
        <v>657.59</v>
      </c>
      <c r="S6156" s="2" t="s">
        <v>7353</v>
      </c>
      <c r="T6156" s="2">
        <v>1.53</v>
      </c>
      <c r="U6156" s="2">
        <v>62.5</v>
      </c>
      <c r="V6156" s="2">
        <v>60</v>
      </c>
      <c r="W6156" s="2" t="s">
        <v>7862</v>
      </c>
      <c r="X6156" s="2" t="s">
        <v>6687</v>
      </c>
      <c r="Y6156" s="2">
        <v>55260</v>
      </c>
      <c r="Z6156" s="19" t="str">
        <f>HYPERLINK("https://ssdweb.co/ssdweb/hd/Vision360.html?d=831020414&amp;zoomslide=1&amp;z=1831020414&amp;ISCONFIRM=0","VIDEO")</f>
        <v>VIDEO</v>
      </c>
      <c r="AA6156" s="19" t="str">
        <f>HYPERLINK("https://ssdweb.co/ssdweb/CERTH/2467395010.pdf","CERTI")</f>
        <v>CERTI</v>
      </c>
    </row>
    <row r="6157" spans="1:27" ht="15" x14ac:dyDescent="0.25">
      <c r="A6157" s="2">
        <v>6152</v>
      </c>
      <c r="B6157" s="39">
        <v>926360051</v>
      </c>
      <c r="C6157" s="28" t="str">
        <f>HYPERLINK("https://pld.live/RapDetail.aspx?STONELIST=926360051","DNA")</f>
        <v>DNA</v>
      </c>
      <c r="D6157" s="18" t="s">
        <v>4563</v>
      </c>
      <c r="E6157" s="18" t="s">
        <v>2186</v>
      </c>
      <c r="F6157" s="2" t="s">
        <v>7987</v>
      </c>
      <c r="G6157" s="2" t="s">
        <v>6781</v>
      </c>
      <c r="H6157" s="14">
        <v>3.06</v>
      </c>
      <c r="I6157" s="2" t="s">
        <v>6587</v>
      </c>
      <c r="J6157" s="2" t="s">
        <v>13</v>
      </c>
      <c r="K6157" s="2" t="s">
        <v>1452</v>
      </c>
      <c r="L6157" s="2" t="s">
        <v>5221</v>
      </c>
      <c r="M6157" s="2" t="s">
        <v>5221</v>
      </c>
      <c r="N6157" s="2" t="s">
        <v>2317</v>
      </c>
      <c r="O6157" s="14">
        <v>22500</v>
      </c>
      <c r="P6157" s="14">
        <v>99.38</v>
      </c>
      <c r="Q6157" s="14">
        <v>139.5</v>
      </c>
      <c r="R6157" s="14">
        <v>426.87</v>
      </c>
      <c r="S6157" s="2" t="s">
        <v>4624</v>
      </c>
      <c r="T6157" s="2">
        <v>1.62</v>
      </c>
      <c r="U6157" s="2">
        <v>61.4</v>
      </c>
      <c r="V6157" s="2">
        <v>61</v>
      </c>
      <c r="W6157" s="2" t="s">
        <v>7862</v>
      </c>
      <c r="X6157" s="2" t="s">
        <v>6687</v>
      </c>
      <c r="Y6157" s="2">
        <v>68850</v>
      </c>
      <c r="Z6157" s="19" t="str">
        <f>HYPERLINK("https://ssdweb.co/ssdweb/hd/Vision360.html?d=926360051&amp;zoomslide=1&amp;z=1926360051&amp;ISCONFIRM=0","VIDEO")</f>
        <v>VIDEO</v>
      </c>
      <c r="AA6157" s="19" t="str">
        <f>HYPERLINK("https://ssdweb.co/ssdweb/CERTH/666408444.pdf","CERTI")</f>
        <v>CERTI</v>
      </c>
    </row>
    <row r="6158" spans="1:27" ht="15" x14ac:dyDescent="0.25">
      <c r="A6158" s="2">
        <v>6153</v>
      </c>
      <c r="B6158" s="39">
        <v>926450391</v>
      </c>
      <c r="C6158" s="28" t="str">
        <f>HYPERLINK("https://pld.live/RapDetail.aspx?STONELIST=926450391","DNA")</f>
        <v>DNA</v>
      </c>
      <c r="D6158" s="18" t="s">
        <v>4563</v>
      </c>
      <c r="E6158" s="18" t="s">
        <v>2186</v>
      </c>
      <c r="F6158" s="2" t="s">
        <v>7987</v>
      </c>
      <c r="G6158" s="2" t="s">
        <v>6781</v>
      </c>
      <c r="H6158" s="14">
        <v>3.06</v>
      </c>
      <c r="I6158" s="2" t="s">
        <v>1505</v>
      </c>
      <c r="J6158" s="2" t="s">
        <v>13</v>
      </c>
      <c r="K6158" s="2" t="s">
        <v>1452</v>
      </c>
      <c r="L6158" s="2" t="s">
        <v>5221</v>
      </c>
      <c r="M6158" s="2" t="s">
        <v>5221</v>
      </c>
      <c r="N6158" s="2" t="s">
        <v>2317</v>
      </c>
      <c r="O6158" s="14">
        <v>19500</v>
      </c>
      <c r="P6158" s="14">
        <v>99.31</v>
      </c>
      <c r="Q6158" s="14">
        <v>134.55000000000001</v>
      </c>
      <c r="R6158" s="14">
        <v>411.72</v>
      </c>
      <c r="S6158" s="2" t="s">
        <v>7124</v>
      </c>
      <c r="T6158" s="2">
        <v>1.6</v>
      </c>
      <c r="U6158" s="2">
        <v>60.2</v>
      </c>
      <c r="V6158" s="2">
        <v>63</v>
      </c>
      <c r="W6158" s="2" t="s">
        <v>7862</v>
      </c>
      <c r="X6158" s="2" t="s">
        <v>6687</v>
      </c>
      <c r="Y6158" s="2">
        <v>59670</v>
      </c>
      <c r="Z6158" s="19" t="str">
        <f>HYPERLINK("https://ssdweb.co/ssdweb/hd/Vision360.html?d=926450391&amp;zoomslide=1&amp;z=1926450391&amp;ISCONFIRM=0","VIDEO")</f>
        <v>VIDEO</v>
      </c>
      <c r="AA6158" s="19" t="str">
        <f>HYPERLINK("https://ssdweb.co/ssdweb/CERTH/660489734.pdf","CERTI")</f>
        <v>CERTI</v>
      </c>
    </row>
    <row r="6159" spans="1:27" ht="15" x14ac:dyDescent="0.25">
      <c r="A6159" s="2">
        <v>6154</v>
      </c>
      <c r="B6159" s="39">
        <v>922420058</v>
      </c>
      <c r="C6159" s="28" t="str">
        <f>HYPERLINK("https://pld.live/RapDetail.aspx?STONELIST=922420058","DNA")</f>
        <v>DNA</v>
      </c>
      <c r="D6159" s="18" t="s">
        <v>4563</v>
      </c>
      <c r="E6159" s="18" t="s">
        <v>2186</v>
      </c>
      <c r="F6159" s="2" t="s">
        <v>5597</v>
      </c>
      <c r="G6159" s="2" t="s">
        <v>6781</v>
      </c>
      <c r="H6159" s="14">
        <v>3.05</v>
      </c>
      <c r="I6159" s="2" t="s">
        <v>6587</v>
      </c>
      <c r="J6159" s="2" t="s">
        <v>13</v>
      </c>
      <c r="K6159" s="2" t="s">
        <v>1452</v>
      </c>
      <c r="L6159" s="2" t="s">
        <v>5221</v>
      </c>
      <c r="M6159" s="2" t="s">
        <v>5221</v>
      </c>
      <c r="N6159" s="2" t="s">
        <v>2317</v>
      </c>
      <c r="O6159" s="14">
        <v>22500</v>
      </c>
      <c r="P6159" s="14">
        <v>98.96</v>
      </c>
      <c r="Q6159" s="14">
        <v>234</v>
      </c>
      <c r="R6159" s="14">
        <v>713.7</v>
      </c>
      <c r="S6159" s="2" t="s">
        <v>4319</v>
      </c>
      <c r="T6159" s="2">
        <v>1.5</v>
      </c>
      <c r="U6159" s="2">
        <v>64</v>
      </c>
      <c r="V6159" s="2">
        <v>61</v>
      </c>
      <c r="W6159" s="2" t="s">
        <v>7862</v>
      </c>
      <c r="X6159" s="2" t="s">
        <v>6687</v>
      </c>
      <c r="Y6159" s="2">
        <v>68625</v>
      </c>
      <c r="Z6159" s="19" t="str">
        <f>HYPERLINK("https://ssdweb.co/ssdweb/hd/Vision360.html?d=922420058&amp;zoomslide=1&amp;z=1922420058&amp;ISCONFIRM=0","VIDEO")</f>
        <v>VIDEO</v>
      </c>
      <c r="AA6159" s="19" t="str">
        <f>HYPERLINK("https://ssdweb.co/ssdweb/CERTH/1425938854.pdf","CERTI")</f>
        <v>CERTI</v>
      </c>
    </row>
    <row r="6160" spans="1:27" ht="15" x14ac:dyDescent="0.25">
      <c r="A6160" s="2">
        <v>6155</v>
      </c>
      <c r="B6160" s="39">
        <v>925670207</v>
      </c>
      <c r="C6160" s="28" t="str">
        <f>HYPERLINK("https://pld.live/RapDetail.aspx?STONELIST=925670207","DNA")</f>
        <v>DNA</v>
      </c>
      <c r="D6160" s="18" t="s">
        <v>4563</v>
      </c>
      <c r="E6160" s="18" t="s">
        <v>2186</v>
      </c>
      <c r="F6160" s="2" t="s">
        <v>7987</v>
      </c>
      <c r="G6160" s="2" t="s">
        <v>6781</v>
      </c>
      <c r="H6160" s="14">
        <v>3.04</v>
      </c>
      <c r="I6160" s="2" t="s">
        <v>6587</v>
      </c>
      <c r="J6160" s="2" t="s">
        <v>3942</v>
      </c>
      <c r="K6160" s="2" t="s">
        <v>1452</v>
      </c>
      <c r="L6160" s="2" t="s">
        <v>5221</v>
      </c>
      <c r="M6160" s="2" t="s">
        <v>5221</v>
      </c>
      <c r="N6160" s="2" t="s">
        <v>2317</v>
      </c>
      <c r="O6160" s="14">
        <v>24500</v>
      </c>
      <c r="P6160" s="14">
        <v>99.41</v>
      </c>
      <c r="Q6160" s="14">
        <v>144.55000000000001</v>
      </c>
      <c r="R6160" s="14">
        <v>439.43</v>
      </c>
      <c r="S6160" s="2" t="s">
        <v>4967</v>
      </c>
      <c r="T6160" s="2">
        <v>1.48</v>
      </c>
      <c r="U6160" s="2">
        <v>63.2</v>
      </c>
      <c r="V6160" s="2">
        <v>63</v>
      </c>
      <c r="W6160" s="2" t="s">
        <v>7862</v>
      </c>
      <c r="X6160" s="2" t="s">
        <v>6687</v>
      </c>
      <c r="Y6160" s="2">
        <v>74480</v>
      </c>
      <c r="Z6160" s="19" t="str">
        <f>HYPERLINK("https://ssdweb.co/ssdweb/hd/Vision360.html?d=925670207&amp;zoomslide=1&amp;z=1925670207&amp;ISCONFIRM=0","VIDEO")</f>
        <v>VIDEO</v>
      </c>
      <c r="AA6160" s="19" t="str">
        <f>HYPERLINK("https://ssdweb.co/ssdweb/CERTH/625432360.pdf","CERTI")</f>
        <v>CERTI</v>
      </c>
    </row>
    <row r="6161" spans="1:27" ht="15" x14ac:dyDescent="0.25">
      <c r="A6161" s="2">
        <v>6156</v>
      </c>
      <c r="B6161" s="39">
        <v>925690217</v>
      </c>
      <c r="C6161" s="28" t="str">
        <f>HYPERLINK("https://pld.live/RapDetail.aspx?STONELIST=925690217","DNA")</f>
        <v>DNA</v>
      </c>
      <c r="D6161" s="18" t="s">
        <v>4563</v>
      </c>
      <c r="E6161" s="18" t="s">
        <v>2186</v>
      </c>
      <c r="F6161" s="2" t="s">
        <v>7987</v>
      </c>
      <c r="G6161" s="2" t="s">
        <v>6781</v>
      </c>
      <c r="H6161" s="14">
        <v>3.04</v>
      </c>
      <c r="I6161" s="2" t="s">
        <v>1505</v>
      </c>
      <c r="J6161" s="2" t="s">
        <v>13</v>
      </c>
      <c r="K6161" s="2" t="s">
        <v>1452</v>
      </c>
      <c r="L6161" s="2" t="s">
        <v>5221</v>
      </c>
      <c r="M6161" s="2" t="s">
        <v>5221</v>
      </c>
      <c r="N6161" s="2" t="s">
        <v>2317</v>
      </c>
      <c r="O6161" s="14">
        <v>19500</v>
      </c>
      <c r="P6161" s="14">
        <v>99.33</v>
      </c>
      <c r="Q6161" s="14">
        <v>130.65</v>
      </c>
      <c r="R6161" s="14">
        <v>397.18</v>
      </c>
      <c r="S6161" s="2" t="s">
        <v>6577</v>
      </c>
      <c r="T6161" s="2">
        <v>1.49</v>
      </c>
      <c r="U6161" s="2">
        <v>63.3</v>
      </c>
      <c r="V6161" s="2">
        <v>59</v>
      </c>
      <c r="W6161" s="2" t="s">
        <v>7862</v>
      </c>
      <c r="X6161" s="2" t="s">
        <v>6687</v>
      </c>
      <c r="Y6161" s="2">
        <v>59280</v>
      </c>
      <c r="Z6161" s="19" t="str">
        <f>HYPERLINK("https://ssdweb.co/ssdweb/hd/Vision360.html?d=925690217&amp;zoomslide=1&amp;z=1925690217&amp;ISCONFIRM=0","VIDEO")</f>
        <v>VIDEO</v>
      </c>
      <c r="AA6161" s="19" t="str">
        <f>HYPERLINK("https://ssdweb.co/ssdweb/CERTH/626427729.pdf","CERTI")</f>
        <v>CERTI</v>
      </c>
    </row>
    <row r="6162" spans="1:27" ht="15" x14ac:dyDescent="0.25">
      <c r="A6162" s="2">
        <v>6157</v>
      </c>
      <c r="B6162" s="39">
        <v>941220076</v>
      </c>
      <c r="C6162" s="28" t="str">
        <f>HYPERLINK("https://pld.live/RapDetail.aspx?STONELIST=941220076","DNA")</f>
        <v>DNA</v>
      </c>
      <c r="D6162" s="18" t="s">
        <v>4563</v>
      </c>
      <c r="E6162" s="18" t="s">
        <v>2186</v>
      </c>
      <c r="F6162" s="2" t="s">
        <v>7987</v>
      </c>
      <c r="G6162" s="2" t="s">
        <v>6781</v>
      </c>
      <c r="H6162" s="14">
        <v>3.03</v>
      </c>
      <c r="I6162" s="2" t="s">
        <v>267</v>
      </c>
      <c r="J6162" s="2" t="s">
        <v>3942</v>
      </c>
      <c r="K6162" s="2" t="s">
        <v>1452</v>
      </c>
      <c r="L6162" s="2" t="s">
        <v>5221</v>
      </c>
      <c r="M6162" s="2" t="s">
        <v>5221</v>
      </c>
      <c r="N6162" s="2" t="s">
        <v>2317</v>
      </c>
      <c r="O6162" s="14">
        <v>32500</v>
      </c>
      <c r="P6162" s="14">
        <v>99.23</v>
      </c>
      <c r="Q6162" s="14">
        <v>250.25</v>
      </c>
      <c r="R6162" s="14">
        <v>758.26</v>
      </c>
      <c r="S6162" s="2" t="s">
        <v>7156</v>
      </c>
      <c r="T6162" s="2">
        <v>1.56</v>
      </c>
      <c r="U6162" s="2">
        <v>61.9</v>
      </c>
      <c r="V6162" s="2">
        <v>62</v>
      </c>
      <c r="W6162" s="2" t="s">
        <v>7862</v>
      </c>
      <c r="X6162" s="2" t="s">
        <v>6687</v>
      </c>
      <c r="Y6162" s="2">
        <v>98475</v>
      </c>
      <c r="Z6162" s="19" t="str">
        <f>HYPERLINK("https://ssdweb.co/ssdweb/hd/Vision360.html?d=941220076&amp;zoomslide=1&amp;z=1941220076&amp;ISCONFIRM=0","VIDEO")</f>
        <v>VIDEO</v>
      </c>
      <c r="AA6162" s="19" t="str">
        <f>HYPERLINK("https://ssdweb.co/ssdweb/CERTH/678550338.pdf","CERTI")</f>
        <v>CERTI</v>
      </c>
    </row>
    <row r="6163" spans="1:27" ht="15" x14ac:dyDescent="0.25">
      <c r="A6163" s="2">
        <v>6158</v>
      </c>
      <c r="B6163" s="39">
        <v>926450532</v>
      </c>
      <c r="C6163" s="28" t="str">
        <f>HYPERLINK("https://pld.live/RapDetail.aspx?STONELIST=926450532","DNA")</f>
        <v>DNA</v>
      </c>
      <c r="D6163" s="18" t="s">
        <v>4563</v>
      </c>
      <c r="E6163" s="18" t="s">
        <v>2186</v>
      </c>
      <c r="F6163" s="2" t="s">
        <v>7987</v>
      </c>
      <c r="G6163" s="2" t="s">
        <v>6781</v>
      </c>
      <c r="H6163" s="14">
        <v>3.03</v>
      </c>
      <c r="I6163" s="2" t="s">
        <v>6587</v>
      </c>
      <c r="J6163" s="2" t="s">
        <v>13</v>
      </c>
      <c r="K6163" s="2" t="s">
        <v>1452</v>
      </c>
      <c r="L6163" s="2" t="s">
        <v>5221</v>
      </c>
      <c r="M6163" s="2" t="s">
        <v>5221</v>
      </c>
      <c r="N6163" s="2" t="s">
        <v>2317</v>
      </c>
      <c r="O6163" s="14">
        <v>22500</v>
      </c>
      <c r="P6163" s="14">
        <v>99.39</v>
      </c>
      <c r="Q6163" s="14">
        <v>137.25</v>
      </c>
      <c r="R6163" s="14">
        <v>415.87</v>
      </c>
      <c r="S6163" s="2" t="s">
        <v>7740</v>
      </c>
      <c r="T6163" s="2">
        <v>1.49</v>
      </c>
      <c r="U6163" s="2">
        <v>61.9</v>
      </c>
      <c r="V6163" s="2">
        <v>60</v>
      </c>
      <c r="W6163" s="2" t="s">
        <v>7862</v>
      </c>
      <c r="X6163" s="2" t="s">
        <v>6687</v>
      </c>
      <c r="Y6163" s="2">
        <v>68175</v>
      </c>
      <c r="Z6163" s="19" t="str">
        <f>HYPERLINK("https://ssdweb.co/ssdweb/hd/Vision360.html?d=926450532&amp;zoomslide=1&amp;z=1926450532&amp;ISCONFIRM=0","VIDEO")</f>
        <v>VIDEO</v>
      </c>
      <c r="AA6163" s="19" t="str">
        <f>HYPERLINK("https://ssdweb.co/ssdweb/CERTH/645461933.pdf","CERTI")</f>
        <v>CERTI</v>
      </c>
    </row>
    <row r="6164" spans="1:27" ht="15" x14ac:dyDescent="0.25">
      <c r="A6164" s="2">
        <v>6159</v>
      </c>
      <c r="B6164" s="39">
        <v>924380509</v>
      </c>
      <c r="C6164" s="28" t="str">
        <f>HYPERLINK("https://pld.live/RapDetail.aspx?STONELIST=924380509","DNA")</f>
        <v>DNA</v>
      </c>
      <c r="D6164" s="18" t="s">
        <v>4563</v>
      </c>
      <c r="E6164" s="18" t="s">
        <v>2186</v>
      </c>
      <c r="F6164" s="2" t="s">
        <v>5597</v>
      </c>
      <c r="G6164" s="2" t="s">
        <v>6781</v>
      </c>
      <c r="H6164" s="14">
        <v>3.03</v>
      </c>
      <c r="I6164" s="2" t="s">
        <v>6587</v>
      </c>
      <c r="J6164" s="2" t="s">
        <v>5144</v>
      </c>
      <c r="K6164" s="2" t="s">
        <v>1452</v>
      </c>
      <c r="L6164" s="2" t="s">
        <v>5221</v>
      </c>
      <c r="M6164" s="2" t="s">
        <v>5221</v>
      </c>
      <c r="N6164" s="2" t="s">
        <v>2317</v>
      </c>
      <c r="O6164" s="14">
        <v>20500</v>
      </c>
      <c r="P6164" s="14">
        <v>98.9</v>
      </c>
      <c r="Q6164" s="14">
        <v>225.5</v>
      </c>
      <c r="R6164" s="14">
        <v>683.27</v>
      </c>
      <c r="S6164" s="2" t="s">
        <v>4847</v>
      </c>
      <c r="T6164" s="2">
        <v>1.51</v>
      </c>
      <c r="U6164" s="2">
        <v>64</v>
      </c>
      <c r="V6164" s="2">
        <v>61</v>
      </c>
      <c r="W6164" s="2" t="s">
        <v>7862</v>
      </c>
      <c r="X6164" s="2" t="s">
        <v>6687</v>
      </c>
      <c r="Y6164" s="2">
        <v>62115</v>
      </c>
      <c r="Z6164" s="19" t="str">
        <f>HYPERLINK("https://ssdweb.co/ssdweb/hd/Vision360.html?d=924380509&amp;zoomslide=1&amp;z=1924380509&amp;ISCONFIRM=0","VIDEO")</f>
        <v>VIDEO</v>
      </c>
      <c r="AA6164" s="19" t="str">
        <f>HYPERLINK("https://ssdweb.co/ssdweb/CERTH/2478329064.pdf","CERTI")</f>
        <v>CERTI</v>
      </c>
    </row>
    <row r="6165" spans="1:27" ht="15" x14ac:dyDescent="0.25">
      <c r="A6165" s="2">
        <v>6160</v>
      </c>
      <c r="B6165" s="39">
        <v>924380474</v>
      </c>
      <c r="C6165" s="28" t="str">
        <f>HYPERLINK("https://pld.live/RapDetail.aspx?STONELIST=924380474","DNA")</f>
        <v>DNA</v>
      </c>
      <c r="D6165" s="18" t="s">
        <v>4563</v>
      </c>
      <c r="E6165" s="18" t="s">
        <v>2186</v>
      </c>
      <c r="F6165" s="2" t="s">
        <v>7987</v>
      </c>
      <c r="G6165" s="2" t="s">
        <v>6781</v>
      </c>
      <c r="H6165" s="14">
        <v>3.03</v>
      </c>
      <c r="I6165" s="2" t="s">
        <v>1505</v>
      </c>
      <c r="J6165" s="2" t="s">
        <v>13</v>
      </c>
      <c r="K6165" s="2" t="s">
        <v>1452</v>
      </c>
      <c r="L6165" s="2" t="s">
        <v>5221</v>
      </c>
      <c r="M6165" s="2" t="s">
        <v>5221</v>
      </c>
      <c r="N6165" s="2" t="s">
        <v>2317</v>
      </c>
      <c r="O6165" s="14">
        <v>19500</v>
      </c>
      <c r="P6165" s="14">
        <v>99.34</v>
      </c>
      <c r="Q6165" s="14">
        <v>128.69999999999999</v>
      </c>
      <c r="R6165" s="14">
        <v>389.96</v>
      </c>
      <c r="S6165" s="2" t="s">
        <v>5755</v>
      </c>
      <c r="T6165" s="2">
        <v>1.57</v>
      </c>
      <c r="U6165" s="2">
        <v>60.6</v>
      </c>
      <c r="V6165" s="2">
        <v>62</v>
      </c>
      <c r="W6165" s="2" t="s">
        <v>8016</v>
      </c>
      <c r="X6165" s="2" t="s">
        <v>6687</v>
      </c>
      <c r="Y6165" s="2">
        <v>59085</v>
      </c>
      <c r="Z6165" s="19" t="str">
        <f>HYPERLINK("https://ssdweb.co/ssdweb/hd/Vision360.html?d=924380474&amp;zoomslide=1&amp;z=1924380474&amp;ISCONFIRM=0","VIDEO")</f>
        <v>VIDEO</v>
      </c>
      <c r="AA6165" s="19" t="str">
        <f>HYPERLINK("https://ssdweb.co/ssdweb/CERTH/593391171.pdf","CERTI")</f>
        <v>CERTI</v>
      </c>
    </row>
    <row r="6166" spans="1:27" ht="15" x14ac:dyDescent="0.25">
      <c r="A6166" s="2">
        <v>6161</v>
      </c>
      <c r="B6166" s="39">
        <v>941220231</v>
      </c>
      <c r="C6166" s="28" t="str">
        <f>HYPERLINK("https://pld.live/RapDetail.aspx?STONELIST=941220231","DNA")</f>
        <v>DNA</v>
      </c>
      <c r="D6166" s="18" t="s">
        <v>4563</v>
      </c>
      <c r="E6166" s="18" t="s">
        <v>2186</v>
      </c>
      <c r="F6166" s="2" t="s">
        <v>7987</v>
      </c>
      <c r="G6166" s="2" t="s">
        <v>6781</v>
      </c>
      <c r="H6166" s="14">
        <v>3.02</v>
      </c>
      <c r="I6166" s="2" t="s">
        <v>267</v>
      </c>
      <c r="J6166" s="2" t="s">
        <v>13</v>
      </c>
      <c r="K6166" s="2" t="s">
        <v>1452</v>
      </c>
      <c r="L6166" s="2" t="s">
        <v>5221</v>
      </c>
      <c r="M6166" s="2" t="s">
        <v>5221</v>
      </c>
      <c r="N6166" s="2" t="s">
        <v>2317</v>
      </c>
      <c r="O6166" s="14">
        <v>30000</v>
      </c>
      <c r="P6166" s="14">
        <v>99.37</v>
      </c>
      <c r="Q6166" s="14">
        <v>189</v>
      </c>
      <c r="R6166" s="14">
        <v>570.78</v>
      </c>
      <c r="S6166" s="2" t="s">
        <v>7201</v>
      </c>
      <c r="T6166" s="2">
        <v>1.52</v>
      </c>
      <c r="U6166" s="2">
        <v>60.7</v>
      </c>
      <c r="V6166" s="2">
        <v>62</v>
      </c>
      <c r="W6166" s="2" t="s">
        <v>7862</v>
      </c>
      <c r="X6166" s="2" t="s">
        <v>6687</v>
      </c>
      <c r="Y6166" s="2">
        <v>90600</v>
      </c>
      <c r="Z6166" s="19" t="str">
        <f>HYPERLINK("https://ssdweb.co/ssdweb/hd/Vision360.html?d=941220231&amp;zoomslide=1&amp;z=1941220231&amp;ISCONFIRM=0","VIDEO")</f>
        <v>VIDEO</v>
      </c>
      <c r="AA6166" s="19" t="str">
        <f>HYPERLINK("https://ssdweb.co/ssdweb/CERTH/678550334.pdf","CERTI")</f>
        <v>CERTI</v>
      </c>
    </row>
    <row r="6167" spans="1:27" ht="15" x14ac:dyDescent="0.25">
      <c r="A6167" s="2">
        <v>6162</v>
      </c>
      <c r="B6167" s="39">
        <v>941220321</v>
      </c>
      <c r="C6167" s="28" t="str">
        <f>HYPERLINK("https://pld.live/RapDetail.aspx?STONELIST=941220321","DNA")</f>
        <v>DNA</v>
      </c>
      <c r="D6167" s="18" t="s">
        <v>4563</v>
      </c>
      <c r="E6167" s="18" t="s">
        <v>2186</v>
      </c>
      <c r="F6167" s="2" t="s">
        <v>7987</v>
      </c>
      <c r="G6167" s="2" t="s">
        <v>6781</v>
      </c>
      <c r="H6167" s="14">
        <v>3.02</v>
      </c>
      <c r="I6167" s="2" t="s">
        <v>4761</v>
      </c>
      <c r="J6167" s="2" t="s">
        <v>3942</v>
      </c>
      <c r="K6167" s="2" t="s">
        <v>1452</v>
      </c>
      <c r="L6167" s="2" t="s">
        <v>5221</v>
      </c>
      <c r="M6167" s="2" t="s">
        <v>5221</v>
      </c>
      <c r="N6167" s="2" t="s">
        <v>2317</v>
      </c>
      <c r="O6167" s="14">
        <v>29500</v>
      </c>
      <c r="P6167" s="14">
        <v>99.42</v>
      </c>
      <c r="Q6167" s="14">
        <v>171.1</v>
      </c>
      <c r="R6167" s="14">
        <v>516.72</v>
      </c>
      <c r="S6167" s="2" t="s">
        <v>7853</v>
      </c>
      <c r="T6167" s="2">
        <v>1.56</v>
      </c>
      <c r="U6167" s="2">
        <v>62.4</v>
      </c>
      <c r="V6167" s="2">
        <v>61</v>
      </c>
      <c r="W6167" s="2" t="s">
        <v>7862</v>
      </c>
      <c r="X6167" s="2" t="s">
        <v>6687</v>
      </c>
      <c r="Y6167" s="2">
        <v>89090</v>
      </c>
      <c r="Z6167" s="19" t="str">
        <f>HYPERLINK("https://ssdweb.co/ssdweb/hd/Vision360.html?d=941220321&amp;zoomslide=1&amp;z=1941220321&amp;ISCONFIRM=0","VIDEO")</f>
        <v>VIDEO</v>
      </c>
      <c r="AA6167" s="19" t="str">
        <f>HYPERLINK("https://ssdweb.co/ssdweb/CERTH/681594755.pdf","CERTI")</f>
        <v>CERTI</v>
      </c>
    </row>
    <row r="6168" spans="1:27" ht="15" x14ac:dyDescent="0.25">
      <c r="A6168" s="2">
        <v>6163</v>
      </c>
      <c r="B6168" s="39">
        <v>941230273</v>
      </c>
      <c r="C6168" s="28" t="str">
        <f>HYPERLINK("https://pld.live/RapDetail.aspx?STONELIST=941230273","DNA")</f>
        <v>DNA</v>
      </c>
      <c r="D6168" s="18" t="s">
        <v>4563</v>
      </c>
      <c r="E6168" s="18" t="s">
        <v>2186</v>
      </c>
      <c r="F6168" s="2" t="s">
        <v>7987</v>
      </c>
      <c r="G6168" s="2" t="s">
        <v>6781</v>
      </c>
      <c r="H6168" s="14">
        <v>3.02</v>
      </c>
      <c r="I6168" s="2" t="s">
        <v>4761</v>
      </c>
      <c r="J6168" s="2" t="s">
        <v>3942</v>
      </c>
      <c r="K6168" s="2" t="s">
        <v>1452</v>
      </c>
      <c r="L6168" s="2" t="s">
        <v>5221</v>
      </c>
      <c r="M6168" s="2" t="s">
        <v>5221</v>
      </c>
      <c r="N6168" s="2" t="s">
        <v>2317</v>
      </c>
      <c r="O6168" s="14">
        <v>29500</v>
      </c>
      <c r="P6168" s="14">
        <v>99.42</v>
      </c>
      <c r="Q6168" s="14">
        <v>171.1</v>
      </c>
      <c r="R6168" s="14">
        <v>516.72</v>
      </c>
      <c r="S6168" s="2" t="s">
        <v>6791</v>
      </c>
      <c r="T6168" s="2">
        <v>1.56</v>
      </c>
      <c r="U6168" s="2">
        <v>60.5</v>
      </c>
      <c r="V6168" s="2">
        <v>61</v>
      </c>
      <c r="W6168" s="2" t="s">
        <v>7862</v>
      </c>
      <c r="X6168" s="2" t="s">
        <v>6687</v>
      </c>
      <c r="Y6168" s="2">
        <v>89090</v>
      </c>
      <c r="Z6168" s="19" t="str">
        <f>HYPERLINK("https://ssdweb.co/ssdweb/hd/Vision360.html?d=941230273&amp;zoomslide=1&amp;z=1941230273&amp;ISCONFIRM=0","VIDEO")</f>
        <v>VIDEO</v>
      </c>
      <c r="AA6168" s="19" t="str">
        <f>HYPERLINK("https://ssdweb.co/ssdweb/CERTH/681594758.pdf","CERTI")</f>
        <v>CERTI</v>
      </c>
    </row>
    <row r="6169" spans="1:27" ht="15" x14ac:dyDescent="0.25">
      <c r="A6169" s="2">
        <v>6164</v>
      </c>
      <c r="B6169" s="39">
        <v>941220270</v>
      </c>
      <c r="C6169" s="28" t="str">
        <f>HYPERLINK("https://pld.live/RapDetail.aspx?STONELIST=941220270","DNA")</f>
        <v>DNA</v>
      </c>
      <c r="D6169" s="18" t="s">
        <v>4563</v>
      </c>
      <c r="E6169" s="18" t="s">
        <v>2186</v>
      </c>
      <c r="F6169" s="2" t="s">
        <v>7987</v>
      </c>
      <c r="G6169" s="2" t="s">
        <v>6781</v>
      </c>
      <c r="H6169" s="14">
        <v>3.02</v>
      </c>
      <c r="I6169" s="2" t="s">
        <v>4761</v>
      </c>
      <c r="J6169" s="2" t="s">
        <v>13</v>
      </c>
      <c r="K6169" s="2" t="s">
        <v>1452</v>
      </c>
      <c r="L6169" s="2" t="s">
        <v>5221</v>
      </c>
      <c r="M6169" s="2" t="s">
        <v>5221</v>
      </c>
      <c r="N6169" s="2" t="s">
        <v>2317</v>
      </c>
      <c r="O6169" s="14">
        <v>27500</v>
      </c>
      <c r="P6169" s="14">
        <v>99.42</v>
      </c>
      <c r="Q6169" s="14">
        <v>159.5</v>
      </c>
      <c r="R6169" s="14">
        <v>481.69</v>
      </c>
      <c r="S6169" s="2" t="s">
        <v>2370</v>
      </c>
      <c r="T6169" s="2">
        <v>1.54</v>
      </c>
      <c r="U6169" s="2">
        <v>60.4</v>
      </c>
      <c r="V6169" s="2">
        <v>62</v>
      </c>
      <c r="W6169" s="2" t="s">
        <v>7862</v>
      </c>
      <c r="X6169" s="2" t="s">
        <v>6687</v>
      </c>
      <c r="Y6169" s="2">
        <v>83050</v>
      </c>
      <c r="Z6169" s="19" t="str">
        <f>HYPERLINK("https://ssdweb.co/ssdweb/hd/Vision360.html?d=941220270&amp;zoomslide=1&amp;z=1941220270&amp;ISCONFIRM=0","VIDEO")</f>
        <v>VIDEO</v>
      </c>
      <c r="AA6169" s="19" t="str">
        <f>HYPERLINK("https://ssdweb.co/ssdweb/CERTH/681594754.pdf","CERTI")</f>
        <v>CERTI</v>
      </c>
    </row>
    <row r="6170" spans="1:27" ht="15" x14ac:dyDescent="0.25">
      <c r="A6170" s="2">
        <v>6165</v>
      </c>
      <c r="B6170" s="39">
        <v>941180101</v>
      </c>
      <c r="C6170" s="28" t="str">
        <f>HYPERLINK("https://pld.live/RapDetail.aspx?STONELIST=941180101","DNA")</f>
        <v>DNA</v>
      </c>
      <c r="D6170" s="18" t="s">
        <v>4563</v>
      </c>
      <c r="E6170" s="18" t="s">
        <v>2186</v>
      </c>
      <c r="F6170" s="2" t="s">
        <v>7987</v>
      </c>
      <c r="G6170" s="2" t="s">
        <v>6781</v>
      </c>
      <c r="H6170" s="14">
        <v>3.02</v>
      </c>
      <c r="I6170" s="2" t="s">
        <v>4761</v>
      </c>
      <c r="J6170" s="2" t="s">
        <v>5144</v>
      </c>
      <c r="K6170" s="2" t="s">
        <v>1452</v>
      </c>
      <c r="L6170" s="2" t="s">
        <v>5221</v>
      </c>
      <c r="M6170" s="2" t="s">
        <v>5221</v>
      </c>
      <c r="N6170" s="2" t="s">
        <v>2317</v>
      </c>
      <c r="O6170" s="14">
        <v>24500</v>
      </c>
      <c r="P6170" s="14">
        <v>99.43</v>
      </c>
      <c r="Q6170" s="14">
        <v>139.65</v>
      </c>
      <c r="R6170" s="14">
        <v>421.74</v>
      </c>
      <c r="S6170" s="2" t="s">
        <v>7359</v>
      </c>
      <c r="T6170" s="2">
        <v>1.56</v>
      </c>
      <c r="U6170" s="2">
        <v>60</v>
      </c>
      <c r="V6170" s="2">
        <v>59</v>
      </c>
      <c r="W6170" s="2" t="s">
        <v>7862</v>
      </c>
      <c r="X6170" s="2" t="s">
        <v>6687</v>
      </c>
      <c r="Y6170" s="2">
        <v>73990</v>
      </c>
      <c r="Z6170" s="19" t="str">
        <f>HYPERLINK("https://ssdweb.co/ssdweb/hd/Vision360.html?d=941180101&amp;zoomslide=1&amp;z=1941180101&amp;ISCONFIRM=0","VIDEO")</f>
        <v>VIDEO</v>
      </c>
      <c r="AA6170" s="19" t="str">
        <f>HYPERLINK("https://ssdweb.co/ssdweb/CERTH/677510541.pdf","CERTI")</f>
        <v>CERTI</v>
      </c>
    </row>
    <row r="6171" spans="1:27" ht="15" x14ac:dyDescent="0.25">
      <c r="A6171" s="2">
        <v>6166</v>
      </c>
      <c r="B6171" s="39">
        <v>941220207</v>
      </c>
      <c r="C6171" s="28" t="str">
        <f>HYPERLINK("https://pld.live/RapDetail.aspx?STONELIST=941220207","DNA")</f>
        <v>DNA</v>
      </c>
      <c r="D6171" s="18" t="s">
        <v>4563</v>
      </c>
      <c r="E6171" s="18" t="s">
        <v>2186</v>
      </c>
      <c r="F6171" s="2" t="s">
        <v>7987</v>
      </c>
      <c r="G6171" s="2" t="s">
        <v>6781</v>
      </c>
      <c r="H6171" s="14">
        <v>3.02</v>
      </c>
      <c r="I6171" s="2" t="s">
        <v>4761</v>
      </c>
      <c r="J6171" s="2" t="s">
        <v>5144</v>
      </c>
      <c r="K6171" s="2" t="s">
        <v>1452</v>
      </c>
      <c r="L6171" s="2" t="s">
        <v>5221</v>
      </c>
      <c r="M6171" s="2" t="s">
        <v>5221</v>
      </c>
      <c r="N6171" s="2" t="s">
        <v>2317</v>
      </c>
      <c r="O6171" s="14">
        <v>24500</v>
      </c>
      <c r="P6171" s="14">
        <v>99.43</v>
      </c>
      <c r="Q6171" s="14">
        <v>139.65</v>
      </c>
      <c r="R6171" s="14">
        <v>421.74</v>
      </c>
      <c r="S6171" s="2" t="s">
        <v>7804</v>
      </c>
      <c r="T6171" s="2">
        <v>1.54</v>
      </c>
      <c r="U6171" s="2">
        <v>59.8</v>
      </c>
      <c r="V6171" s="2">
        <v>61</v>
      </c>
      <c r="W6171" s="2" t="s">
        <v>7862</v>
      </c>
      <c r="X6171" s="2" t="s">
        <v>6687</v>
      </c>
      <c r="Y6171" s="2">
        <v>73990</v>
      </c>
      <c r="Z6171" s="19" t="str">
        <f>HYPERLINK("https://ssdweb.co/ssdweb/hd/Vision360.html?d=941220207&amp;zoomslide=1&amp;z=1941220207&amp;ISCONFIRM=0","VIDEO")</f>
        <v>VIDEO</v>
      </c>
      <c r="AA6171" s="19" t="str">
        <f>HYPERLINK("https://ssdweb.co/ssdweb/CERTH/691509989.pdf","CERTI")</f>
        <v>CERTI</v>
      </c>
    </row>
    <row r="6172" spans="1:27" ht="15" x14ac:dyDescent="0.25">
      <c r="A6172" s="2">
        <v>6167</v>
      </c>
      <c r="B6172" s="39">
        <v>941090683</v>
      </c>
      <c r="C6172" s="28" t="str">
        <f>HYPERLINK("https://pld.live/RapDetail.aspx?STONELIST=941090683","DNA")</f>
        <v>DNA</v>
      </c>
      <c r="D6172" s="18" t="s">
        <v>4563</v>
      </c>
      <c r="E6172" s="18" t="s">
        <v>2186</v>
      </c>
      <c r="F6172" s="2" t="s">
        <v>7987</v>
      </c>
      <c r="G6172" s="2" t="s">
        <v>6781</v>
      </c>
      <c r="H6172" s="14">
        <v>3.02</v>
      </c>
      <c r="I6172" s="2" t="s">
        <v>4699</v>
      </c>
      <c r="J6172" s="2" t="s">
        <v>3942</v>
      </c>
      <c r="K6172" s="2" t="s">
        <v>1452</v>
      </c>
      <c r="L6172" s="2" t="s">
        <v>5221</v>
      </c>
      <c r="M6172" s="2" t="s">
        <v>5221</v>
      </c>
      <c r="N6172" s="2" t="s">
        <v>2317</v>
      </c>
      <c r="O6172" s="14">
        <v>27000</v>
      </c>
      <c r="P6172" s="14">
        <v>99.41</v>
      </c>
      <c r="Q6172" s="14">
        <v>159.30000000000001</v>
      </c>
      <c r="R6172" s="14">
        <v>481.09</v>
      </c>
      <c r="S6172" s="2" t="s">
        <v>6543</v>
      </c>
      <c r="T6172" s="2">
        <v>1.49</v>
      </c>
      <c r="U6172" s="2">
        <v>62.8</v>
      </c>
      <c r="V6172" s="2">
        <v>61</v>
      </c>
      <c r="W6172" s="2" t="s">
        <v>7862</v>
      </c>
      <c r="X6172" s="2" t="s">
        <v>6687</v>
      </c>
      <c r="Y6172" s="2">
        <v>81540</v>
      </c>
      <c r="Z6172" s="19" t="str">
        <f>HYPERLINK("https://ssdweb.co/ssdweb/hd/Vision360.html?d=941090683&amp;zoomslide=1&amp;z=1941090683&amp;ISCONFIRM=0","VIDEO")</f>
        <v>VIDEO</v>
      </c>
      <c r="AA6172" s="19" t="str">
        <f>HYPERLINK("https://ssdweb.co/ssdweb/CERTH/674532633.pdf","CERTI")</f>
        <v>CERTI</v>
      </c>
    </row>
    <row r="6173" spans="1:27" ht="15" x14ac:dyDescent="0.25">
      <c r="A6173" s="2">
        <v>6168</v>
      </c>
      <c r="B6173" s="39">
        <v>941180095</v>
      </c>
      <c r="C6173" s="28" t="str">
        <f>HYPERLINK("https://pld.live/RapDetail.aspx?STONELIST=941180095","DNA")</f>
        <v>DNA</v>
      </c>
      <c r="D6173" s="18" t="s">
        <v>4563</v>
      </c>
      <c r="E6173" s="18" t="s">
        <v>2186</v>
      </c>
      <c r="F6173" s="2" t="s">
        <v>7987</v>
      </c>
      <c r="G6173" s="2" t="s">
        <v>6781</v>
      </c>
      <c r="H6173" s="14">
        <v>3.02</v>
      </c>
      <c r="I6173" s="2" t="s">
        <v>4699</v>
      </c>
      <c r="J6173" s="2" t="s">
        <v>3942</v>
      </c>
      <c r="K6173" s="2" t="s">
        <v>1452</v>
      </c>
      <c r="L6173" s="2" t="s">
        <v>5221</v>
      </c>
      <c r="M6173" s="2" t="s">
        <v>5221</v>
      </c>
      <c r="N6173" s="2" t="s">
        <v>2317</v>
      </c>
      <c r="O6173" s="14">
        <v>27000</v>
      </c>
      <c r="P6173" s="14">
        <v>99.41</v>
      </c>
      <c r="Q6173" s="14">
        <v>159.30000000000001</v>
      </c>
      <c r="R6173" s="14">
        <v>481.09</v>
      </c>
      <c r="S6173" s="2" t="s">
        <v>3728</v>
      </c>
      <c r="T6173" s="2">
        <v>1.55</v>
      </c>
      <c r="U6173" s="2">
        <v>61.7</v>
      </c>
      <c r="V6173" s="2">
        <v>62</v>
      </c>
      <c r="W6173" s="2" t="s">
        <v>7862</v>
      </c>
      <c r="X6173" s="2" t="s">
        <v>6687</v>
      </c>
      <c r="Y6173" s="2">
        <v>81540</v>
      </c>
      <c r="Z6173" s="19" t="str">
        <f>HYPERLINK("https://ssdweb.co/ssdweb/hd/Vision360.html?d=941180095&amp;zoomslide=1&amp;z=1941180095&amp;ISCONFIRM=0","VIDEO")</f>
        <v>VIDEO</v>
      </c>
      <c r="AA6173" s="19" t="str">
        <f>HYPERLINK("https://ssdweb.co/ssdweb/CERTH/677510544.pdf","CERTI")</f>
        <v>CERTI</v>
      </c>
    </row>
    <row r="6174" spans="1:27" ht="15" x14ac:dyDescent="0.25">
      <c r="A6174" s="2">
        <v>6169</v>
      </c>
      <c r="B6174" s="39">
        <v>941180054</v>
      </c>
      <c r="C6174" s="28" t="str">
        <f>HYPERLINK("https://pld.live/RapDetail.aspx?STONELIST=941180054","DNA")</f>
        <v>DNA</v>
      </c>
      <c r="D6174" s="18" t="s">
        <v>4563</v>
      </c>
      <c r="E6174" s="18" t="s">
        <v>2186</v>
      </c>
      <c r="F6174" s="2" t="s">
        <v>7987</v>
      </c>
      <c r="G6174" s="2" t="s">
        <v>6781</v>
      </c>
      <c r="H6174" s="14">
        <v>3.02</v>
      </c>
      <c r="I6174" s="2" t="s">
        <v>4699</v>
      </c>
      <c r="J6174" s="2" t="s">
        <v>13</v>
      </c>
      <c r="K6174" s="2" t="s">
        <v>1452</v>
      </c>
      <c r="L6174" s="2" t="s">
        <v>5221</v>
      </c>
      <c r="M6174" s="2" t="s">
        <v>5221</v>
      </c>
      <c r="N6174" s="2" t="s">
        <v>2317</v>
      </c>
      <c r="O6174" s="14">
        <v>25000</v>
      </c>
      <c r="P6174" s="14">
        <v>99.4</v>
      </c>
      <c r="Q6174" s="14">
        <v>150</v>
      </c>
      <c r="R6174" s="14">
        <v>453</v>
      </c>
      <c r="S6174" s="2" t="s">
        <v>5146</v>
      </c>
      <c r="T6174" s="2">
        <v>1.52</v>
      </c>
      <c r="U6174" s="2">
        <v>62.1</v>
      </c>
      <c r="V6174" s="2">
        <v>61</v>
      </c>
      <c r="W6174" s="2" t="s">
        <v>7862</v>
      </c>
      <c r="X6174" s="2" t="s">
        <v>6687</v>
      </c>
      <c r="Y6174" s="2">
        <v>75500</v>
      </c>
      <c r="Z6174" s="19" t="str">
        <f>HYPERLINK("https://ssdweb.co/ssdweb/hd/Vision360.html?d=941180054&amp;zoomslide=1&amp;z=1941180054&amp;ISCONFIRM=0","VIDEO")</f>
        <v>VIDEO</v>
      </c>
      <c r="AA6174" s="19" t="str">
        <f>HYPERLINK("https://ssdweb.co/ssdweb/CERTH/675504734.pdf","CERTI")</f>
        <v>CERTI</v>
      </c>
    </row>
    <row r="6175" spans="1:27" ht="15" x14ac:dyDescent="0.25">
      <c r="A6175" s="2">
        <v>6170</v>
      </c>
      <c r="B6175" s="39">
        <v>941180076</v>
      </c>
      <c r="C6175" s="28" t="str">
        <f>HYPERLINK("https://pld.live/RapDetail.aspx?STONELIST=941180076","DNA")</f>
        <v>DNA</v>
      </c>
      <c r="D6175" s="18" t="s">
        <v>4563</v>
      </c>
      <c r="E6175" s="18" t="s">
        <v>2186</v>
      </c>
      <c r="F6175" s="2" t="s">
        <v>7987</v>
      </c>
      <c r="G6175" s="2" t="s">
        <v>6781</v>
      </c>
      <c r="H6175" s="14">
        <v>3.02</v>
      </c>
      <c r="I6175" s="2" t="s">
        <v>4699</v>
      </c>
      <c r="J6175" s="2" t="s">
        <v>13</v>
      </c>
      <c r="K6175" s="2" t="s">
        <v>1452</v>
      </c>
      <c r="L6175" s="2" t="s">
        <v>5221</v>
      </c>
      <c r="M6175" s="2" t="s">
        <v>5221</v>
      </c>
      <c r="N6175" s="2" t="s">
        <v>2317</v>
      </c>
      <c r="O6175" s="14">
        <v>25000</v>
      </c>
      <c r="P6175" s="14">
        <v>99.4</v>
      </c>
      <c r="Q6175" s="14">
        <v>150</v>
      </c>
      <c r="R6175" s="14">
        <v>453</v>
      </c>
      <c r="S6175" s="2" t="s">
        <v>5187</v>
      </c>
      <c r="T6175" s="2">
        <v>1.56</v>
      </c>
      <c r="U6175" s="2">
        <v>60.2</v>
      </c>
      <c r="V6175" s="2">
        <v>61</v>
      </c>
      <c r="W6175" s="2" t="s">
        <v>7862</v>
      </c>
      <c r="X6175" s="2" t="s">
        <v>6687</v>
      </c>
      <c r="Y6175" s="2">
        <v>75500</v>
      </c>
      <c r="Z6175" s="19" t="str">
        <f>HYPERLINK("https://ssdweb.co/ssdweb/hd/Vision360.html?d=941180076&amp;zoomslide=1&amp;z=1941180076&amp;ISCONFIRM=0","VIDEO")</f>
        <v>VIDEO</v>
      </c>
      <c r="AA6175" s="19" t="str">
        <f>HYPERLINK("https://ssdweb.co/ssdweb/CERTH/675596540.pdf","CERTI")</f>
        <v>CERTI</v>
      </c>
    </row>
    <row r="6176" spans="1:27" ht="15" x14ac:dyDescent="0.25">
      <c r="A6176" s="2">
        <v>6171</v>
      </c>
      <c r="B6176" s="39">
        <v>924250737</v>
      </c>
      <c r="C6176" s="28" t="str">
        <f>HYPERLINK("https://pld.live/RapDetail.aspx?STONELIST=924250737","DNA")</f>
        <v>DNA</v>
      </c>
      <c r="D6176" s="18" t="s">
        <v>4563</v>
      </c>
      <c r="E6176" s="18" t="s">
        <v>2186</v>
      </c>
      <c r="F6176" s="2" t="s">
        <v>7987</v>
      </c>
      <c r="G6176" s="2" t="s">
        <v>6781</v>
      </c>
      <c r="H6176" s="14">
        <v>3.02</v>
      </c>
      <c r="I6176" s="2" t="s">
        <v>6587</v>
      </c>
      <c r="J6176" s="2" t="s">
        <v>3942</v>
      </c>
      <c r="K6176" s="2" t="s">
        <v>1452</v>
      </c>
      <c r="L6176" s="2" t="s">
        <v>5221</v>
      </c>
      <c r="M6176" s="2" t="s">
        <v>5221</v>
      </c>
      <c r="N6176" s="2" t="s">
        <v>2317</v>
      </c>
      <c r="O6176" s="14">
        <v>24500</v>
      </c>
      <c r="P6176" s="14">
        <v>99.41</v>
      </c>
      <c r="Q6176" s="14">
        <v>144.55000000000001</v>
      </c>
      <c r="R6176" s="14">
        <v>436.54</v>
      </c>
      <c r="S6176" s="2" t="s">
        <v>2995</v>
      </c>
      <c r="T6176" s="2">
        <v>1.48</v>
      </c>
      <c r="U6176" s="2">
        <v>63.8</v>
      </c>
      <c r="V6176" s="2">
        <v>58</v>
      </c>
      <c r="W6176" s="2" t="s">
        <v>7862</v>
      </c>
      <c r="X6176" s="2" t="s">
        <v>6687</v>
      </c>
      <c r="Y6176" s="2">
        <v>73990</v>
      </c>
      <c r="Z6176" s="19" t="str">
        <f>HYPERLINK("https://ssdweb.co/ssdweb/hd/Vision360.html?d=924250737&amp;zoomslide=1&amp;z=1924250737&amp;ISCONFIRM=0","VIDEO")</f>
        <v>VIDEO</v>
      </c>
      <c r="AA6176" s="19" t="str">
        <f>HYPERLINK("https://ssdweb.co/ssdweb/CERTH/582394426.pdf","CERTI")</f>
        <v>CERTI</v>
      </c>
    </row>
    <row r="6177" spans="1:27" ht="15" x14ac:dyDescent="0.25">
      <c r="A6177" s="2">
        <v>6172</v>
      </c>
      <c r="B6177" s="39">
        <v>924250701</v>
      </c>
      <c r="C6177" s="28" t="str">
        <f>HYPERLINK("https://pld.live/RapDetail.aspx?STONELIST=924250701","DNA")</f>
        <v>DNA</v>
      </c>
      <c r="D6177" s="18" t="s">
        <v>4563</v>
      </c>
      <c r="E6177" s="18" t="s">
        <v>2186</v>
      </c>
      <c r="F6177" s="2" t="s">
        <v>5597</v>
      </c>
      <c r="G6177" s="2" t="s">
        <v>6781</v>
      </c>
      <c r="H6177" s="14">
        <v>3.02</v>
      </c>
      <c r="I6177" s="2" t="s">
        <v>6587</v>
      </c>
      <c r="J6177" s="2" t="s">
        <v>13</v>
      </c>
      <c r="K6177" s="2" t="s">
        <v>1452</v>
      </c>
      <c r="L6177" s="2" t="s">
        <v>5221</v>
      </c>
      <c r="M6177" s="2" t="s">
        <v>5221</v>
      </c>
      <c r="N6177" s="2" t="s">
        <v>2317</v>
      </c>
      <c r="O6177" s="14">
        <v>22500</v>
      </c>
      <c r="P6177" s="14">
        <v>98.96</v>
      </c>
      <c r="Q6177" s="14">
        <v>234</v>
      </c>
      <c r="R6177" s="14">
        <v>706.68</v>
      </c>
      <c r="S6177" s="2" t="s">
        <v>124</v>
      </c>
      <c r="T6177" s="2">
        <v>1.49</v>
      </c>
      <c r="U6177" s="2">
        <v>64.5</v>
      </c>
      <c r="V6177" s="2">
        <v>60</v>
      </c>
      <c r="W6177" s="2" t="s">
        <v>7862</v>
      </c>
      <c r="X6177" s="2" t="s">
        <v>6687</v>
      </c>
      <c r="Y6177" s="2">
        <v>67950</v>
      </c>
      <c r="Z6177" s="19" t="str">
        <f>HYPERLINK("https://ssdweb.co/ssdweb/hd/Vision360.html?d=924250701&amp;zoomslide=1&amp;z=1924250701&amp;ISCONFIRM=0","VIDEO")</f>
        <v>VIDEO</v>
      </c>
      <c r="AA6177" s="19" t="str">
        <f>HYPERLINK("https://ssdweb.co/ssdweb/CERTH/6462637212.pdf","CERTI")</f>
        <v>CERTI</v>
      </c>
    </row>
    <row r="6178" spans="1:27" ht="15" x14ac:dyDescent="0.25">
      <c r="A6178" s="2">
        <v>6173</v>
      </c>
      <c r="B6178" s="39">
        <v>926850154</v>
      </c>
      <c r="C6178" s="28" t="str">
        <f>HYPERLINK("https://pld.live/RapDetail.aspx?STONELIST=926850154","DNA")</f>
        <v>DNA</v>
      </c>
      <c r="D6178" s="18" t="s">
        <v>4563</v>
      </c>
      <c r="E6178" s="18" t="s">
        <v>2186</v>
      </c>
      <c r="F6178" s="2" t="s">
        <v>7987</v>
      </c>
      <c r="G6178" s="2" t="s">
        <v>6781</v>
      </c>
      <c r="H6178" s="14">
        <v>3.02</v>
      </c>
      <c r="I6178" s="2" t="s">
        <v>6587</v>
      </c>
      <c r="J6178" s="2" t="s">
        <v>13</v>
      </c>
      <c r="K6178" s="2" t="s">
        <v>1452</v>
      </c>
      <c r="L6178" s="2" t="s">
        <v>5221</v>
      </c>
      <c r="M6178" s="2" t="s">
        <v>5221</v>
      </c>
      <c r="N6178" s="2" t="s">
        <v>2317</v>
      </c>
      <c r="O6178" s="14">
        <v>22500</v>
      </c>
      <c r="P6178" s="14">
        <v>99.39</v>
      </c>
      <c r="Q6178" s="14">
        <v>137.25</v>
      </c>
      <c r="R6178" s="14">
        <v>414.5</v>
      </c>
      <c r="S6178" s="2" t="s">
        <v>6583</v>
      </c>
      <c r="T6178" s="2">
        <v>1.49</v>
      </c>
      <c r="U6178" s="2">
        <v>64.3</v>
      </c>
      <c r="V6178" s="2">
        <v>58</v>
      </c>
      <c r="W6178" s="2" t="s">
        <v>7862</v>
      </c>
      <c r="X6178" s="2" t="s">
        <v>6687</v>
      </c>
      <c r="Y6178" s="2">
        <v>67950</v>
      </c>
      <c r="Z6178" s="19" t="str">
        <f>HYPERLINK("https://ssdweb.co/ssdweb/hd/Vision360.html?d=926850154&amp;zoomslide=1&amp;z=1926850154&amp;ISCONFIRM=0","VIDEO")</f>
        <v>VIDEO</v>
      </c>
      <c r="AA6178" s="19" t="str">
        <f>HYPERLINK("https://ssdweb.co/ssdweb/CERTH/659414614.pdf","CERTI")</f>
        <v>CERTI</v>
      </c>
    </row>
    <row r="6179" spans="1:27" ht="15" x14ac:dyDescent="0.25">
      <c r="A6179" s="2">
        <v>6174</v>
      </c>
      <c r="B6179" s="39">
        <v>924350400</v>
      </c>
      <c r="C6179" s="28" t="str">
        <f>HYPERLINK("https://pld.live/RapDetail.aspx?STONELIST=924350400","DNA")</f>
        <v>DNA</v>
      </c>
      <c r="D6179" s="18" t="s">
        <v>4563</v>
      </c>
      <c r="E6179" s="18" t="s">
        <v>2186</v>
      </c>
      <c r="F6179" s="2" t="s">
        <v>5597</v>
      </c>
      <c r="G6179" s="2" t="s">
        <v>6781</v>
      </c>
      <c r="H6179" s="14">
        <v>3.02</v>
      </c>
      <c r="I6179" s="2" t="s">
        <v>1505</v>
      </c>
      <c r="J6179" s="2" t="s">
        <v>13</v>
      </c>
      <c r="K6179" s="2" t="s">
        <v>1452</v>
      </c>
      <c r="L6179" s="2" t="s">
        <v>5221</v>
      </c>
      <c r="M6179" s="2" t="s">
        <v>5221</v>
      </c>
      <c r="N6179" s="2" t="s">
        <v>2317</v>
      </c>
      <c r="O6179" s="14">
        <v>19500</v>
      </c>
      <c r="P6179" s="14">
        <v>98.85</v>
      </c>
      <c r="Q6179" s="14">
        <v>224.25</v>
      </c>
      <c r="R6179" s="14">
        <v>677.24</v>
      </c>
      <c r="S6179" s="2" t="s">
        <v>7902</v>
      </c>
      <c r="T6179" s="2">
        <v>1.48</v>
      </c>
      <c r="U6179" s="2">
        <v>63.5</v>
      </c>
      <c r="V6179" s="2">
        <v>60</v>
      </c>
      <c r="W6179" s="2" t="s">
        <v>7862</v>
      </c>
      <c r="X6179" s="2" t="s">
        <v>6687</v>
      </c>
      <c r="Y6179" s="2">
        <v>58890</v>
      </c>
      <c r="Z6179" s="19" t="str">
        <f>HYPERLINK("https://ssdweb.co/ssdweb/hd/Vision360.html?d=924350400&amp;zoomslide=1&amp;z=1924350400&amp;ISCONFIRM=0","VIDEO")</f>
        <v>VIDEO</v>
      </c>
      <c r="AA6179" s="19" t="str">
        <f>HYPERLINK("https://ssdweb.co/ssdweb/CERTH/6472028986.pdf","CERTI")</f>
        <v>CERTI</v>
      </c>
    </row>
    <row r="6180" spans="1:27" ht="15" x14ac:dyDescent="0.25">
      <c r="A6180" s="2">
        <v>6175</v>
      </c>
      <c r="B6180" s="39">
        <v>924950425</v>
      </c>
      <c r="C6180" s="28" t="str">
        <f>HYPERLINK("https://pld.live/RapDetail.aspx?STONELIST=924950425","DNA")</f>
        <v>DNA</v>
      </c>
      <c r="D6180" s="18" t="s">
        <v>4563</v>
      </c>
      <c r="E6180" s="18" t="s">
        <v>2186</v>
      </c>
      <c r="F6180" s="2" t="s">
        <v>7987</v>
      </c>
      <c r="G6180" s="2" t="s">
        <v>6781</v>
      </c>
      <c r="H6180" s="14">
        <v>3.02</v>
      </c>
      <c r="I6180" s="2" t="s">
        <v>1505</v>
      </c>
      <c r="J6180" s="2" t="s">
        <v>5144</v>
      </c>
      <c r="K6180" s="2" t="s">
        <v>1452</v>
      </c>
      <c r="L6180" s="2" t="s">
        <v>5221</v>
      </c>
      <c r="M6180" s="2" t="s">
        <v>5221</v>
      </c>
      <c r="N6180" s="2" t="s">
        <v>2317</v>
      </c>
      <c r="O6180" s="14">
        <v>18000</v>
      </c>
      <c r="P6180" s="14">
        <v>99.32</v>
      </c>
      <c r="Q6180" s="14">
        <v>122.4</v>
      </c>
      <c r="R6180" s="14">
        <v>369.65</v>
      </c>
      <c r="S6180" s="2" t="s">
        <v>1355</v>
      </c>
      <c r="T6180" s="2">
        <v>1.57</v>
      </c>
      <c r="U6180" s="2">
        <v>59.9</v>
      </c>
      <c r="V6180" s="2">
        <v>63</v>
      </c>
      <c r="W6180" s="2" t="s">
        <v>8016</v>
      </c>
      <c r="X6180" s="2" t="s">
        <v>6687</v>
      </c>
      <c r="Y6180" s="2">
        <v>54360</v>
      </c>
      <c r="Z6180" s="19" t="str">
        <f>HYPERLINK("https://ssdweb.co/ssdweb/hd/Vision360.html?d=924950425&amp;zoomslide=1&amp;z=1924950425&amp;ISCONFIRM=0","VIDEO")</f>
        <v>VIDEO</v>
      </c>
      <c r="AA6180" s="19" t="str">
        <f>HYPERLINK("https://ssdweb.co/ssdweb/CERTH/605381304.pdf","CERTI")</f>
        <v>CERTI</v>
      </c>
    </row>
    <row r="6181" spans="1:27" ht="15" x14ac:dyDescent="0.25">
      <c r="A6181" s="2">
        <v>6176</v>
      </c>
      <c r="B6181" s="39">
        <v>941200273</v>
      </c>
      <c r="C6181" s="28" t="str">
        <f>HYPERLINK("https://pld.live/RapDetail.aspx?STONELIST=941200273","DNA")</f>
        <v>DNA</v>
      </c>
      <c r="D6181" s="18" t="s">
        <v>4563</v>
      </c>
      <c r="E6181" s="18" t="s">
        <v>2186</v>
      </c>
      <c r="F6181" s="2" t="s">
        <v>7987</v>
      </c>
      <c r="G6181" s="2" t="s">
        <v>6781</v>
      </c>
      <c r="H6181" s="14">
        <v>3.01</v>
      </c>
      <c r="I6181" s="2" t="s">
        <v>4761</v>
      </c>
      <c r="J6181" s="2" t="s">
        <v>13</v>
      </c>
      <c r="K6181" s="2" t="s">
        <v>1452</v>
      </c>
      <c r="L6181" s="2" t="s">
        <v>5221</v>
      </c>
      <c r="M6181" s="2" t="s">
        <v>5221</v>
      </c>
      <c r="N6181" s="2" t="s">
        <v>2317</v>
      </c>
      <c r="O6181" s="14">
        <v>27500</v>
      </c>
      <c r="P6181" s="14">
        <v>99.42</v>
      </c>
      <c r="Q6181" s="14">
        <v>159.5</v>
      </c>
      <c r="R6181" s="14">
        <v>480.1</v>
      </c>
      <c r="S6181" s="2" t="s">
        <v>3331</v>
      </c>
      <c r="T6181" s="2">
        <v>1.49</v>
      </c>
      <c r="U6181" s="2">
        <v>63.2</v>
      </c>
      <c r="V6181" s="2">
        <v>60</v>
      </c>
      <c r="W6181" s="2" t="s">
        <v>7862</v>
      </c>
      <c r="X6181" s="2" t="s">
        <v>6687</v>
      </c>
      <c r="Y6181" s="2">
        <v>82775</v>
      </c>
      <c r="Z6181" s="19" t="str">
        <f>HYPERLINK("https://ssdweb.co/ssdweb/hd/Vision360.html?d=941200273&amp;zoomslide=1&amp;z=1941200273&amp;ISCONFIRM=0","VIDEO")</f>
        <v>VIDEO</v>
      </c>
      <c r="AA6181" s="19" t="str">
        <f>HYPERLINK("https://ssdweb.co/ssdweb/CERTH/691509988.pdf","CERTI")</f>
        <v>CERTI</v>
      </c>
    </row>
    <row r="6182" spans="1:27" ht="15" x14ac:dyDescent="0.25">
      <c r="A6182" s="2">
        <v>6177</v>
      </c>
      <c r="B6182" s="39">
        <v>925700121</v>
      </c>
      <c r="C6182" s="28" t="str">
        <f>HYPERLINK("https://pld.live/RapDetail.aspx?STONELIST=925700121","DNA")</f>
        <v>DNA</v>
      </c>
      <c r="D6182" s="18" t="s">
        <v>4563</v>
      </c>
      <c r="E6182" s="18" t="s">
        <v>2186</v>
      </c>
      <c r="F6182" s="2" t="s">
        <v>7987</v>
      </c>
      <c r="G6182" s="2" t="s">
        <v>6781</v>
      </c>
      <c r="H6182" s="14">
        <v>3.01</v>
      </c>
      <c r="I6182" s="2" t="s">
        <v>6587</v>
      </c>
      <c r="J6182" s="2" t="s">
        <v>3942</v>
      </c>
      <c r="K6182" s="2" t="s">
        <v>1452</v>
      </c>
      <c r="L6182" s="2" t="s">
        <v>5221</v>
      </c>
      <c r="M6182" s="2" t="s">
        <v>5221</v>
      </c>
      <c r="N6182" s="2" t="s">
        <v>2317</v>
      </c>
      <c r="O6182" s="14">
        <v>24500</v>
      </c>
      <c r="P6182" s="14">
        <v>99.41</v>
      </c>
      <c r="Q6182" s="14">
        <v>144.55000000000001</v>
      </c>
      <c r="R6182" s="14">
        <v>435.1</v>
      </c>
      <c r="S6182" s="2" t="s">
        <v>351</v>
      </c>
      <c r="T6182" s="2">
        <v>1.56</v>
      </c>
      <c r="U6182" s="2">
        <v>62.9</v>
      </c>
      <c r="V6182" s="2">
        <v>61</v>
      </c>
      <c r="W6182" s="2" t="s">
        <v>7862</v>
      </c>
      <c r="X6182" s="2" t="s">
        <v>6687</v>
      </c>
      <c r="Y6182" s="2">
        <v>73745</v>
      </c>
      <c r="Z6182" s="19" t="str">
        <f>HYPERLINK("https://ssdweb.co/ssdweb/hd/Vision360.html?d=925700121&amp;zoomslide=1&amp;z=1925700121&amp;ISCONFIRM=0","VIDEO")</f>
        <v>VIDEO</v>
      </c>
      <c r="AA6182" s="19" t="str">
        <f>HYPERLINK("https://ssdweb.co/ssdweb/CERTH/626457466.pdf","CERTI")</f>
        <v>CERTI</v>
      </c>
    </row>
    <row r="6183" spans="1:27" ht="15" x14ac:dyDescent="0.25">
      <c r="A6183" s="2">
        <v>6178</v>
      </c>
      <c r="B6183" s="39">
        <v>924250673</v>
      </c>
      <c r="C6183" s="28" t="str">
        <f>HYPERLINK("https://pld.live/RapDetail.aspx?STONELIST=924250673","DNA")</f>
        <v>DNA</v>
      </c>
      <c r="D6183" s="18" t="s">
        <v>4563</v>
      </c>
      <c r="E6183" s="18" t="s">
        <v>2186</v>
      </c>
      <c r="F6183" s="2" t="s">
        <v>5597</v>
      </c>
      <c r="G6183" s="2" t="s">
        <v>6781</v>
      </c>
      <c r="H6183" s="14">
        <v>3.01</v>
      </c>
      <c r="I6183" s="2" t="s">
        <v>6587</v>
      </c>
      <c r="J6183" s="2" t="s">
        <v>13</v>
      </c>
      <c r="K6183" s="2" t="s">
        <v>1452</v>
      </c>
      <c r="L6183" s="2" t="s">
        <v>5221</v>
      </c>
      <c r="M6183" s="2" t="s">
        <v>5221</v>
      </c>
      <c r="N6183" s="2" t="s">
        <v>2317</v>
      </c>
      <c r="O6183" s="14">
        <v>22500</v>
      </c>
      <c r="P6183" s="14">
        <v>98.96</v>
      </c>
      <c r="Q6183" s="14">
        <v>234</v>
      </c>
      <c r="R6183" s="14">
        <v>704.34</v>
      </c>
      <c r="S6183" s="2" t="s">
        <v>6964</v>
      </c>
      <c r="T6183" s="2">
        <v>1.48</v>
      </c>
      <c r="U6183" s="2">
        <v>63.1</v>
      </c>
      <c r="V6183" s="2">
        <v>60</v>
      </c>
      <c r="W6183" s="2" t="s">
        <v>7862</v>
      </c>
      <c r="X6183" s="2" t="s">
        <v>6687</v>
      </c>
      <c r="Y6183" s="2">
        <v>67725</v>
      </c>
      <c r="Z6183" s="19" t="str">
        <f>HYPERLINK("https://ssdweb.co/ssdweb/hd/Vision360.html?d=924250673&amp;zoomslide=1&amp;z=1924250673&amp;ISCONFIRM=0","VIDEO")</f>
        <v>VIDEO</v>
      </c>
      <c r="AA6183" s="19" t="str">
        <f>HYPERLINK("https://ssdweb.co/ssdweb/CERTH/5463637342.pdf","CERTI")</f>
        <v>CERTI</v>
      </c>
    </row>
    <row r="6184" spans="1:27" ht="15" x14ac:dyDescent="0.25">
      <c r="A6184" s="2">
        <v>6179</v>
      </c>
      <c r="B6184" s="39">
        <v>925650066</v>
      </c>
      <c r="C6184" s="28" t="str">
        <f>HYPERLINK("https://pld.live/RapDetail.aspx?STONELIST=925650066","DNA")</f>
        <v>DNA</v>
      </c>
      <c r="D6184" s="18" t="s">
        <v>4563</v>
      </c>
      <c r="E6184" s="18" t="s">
        <v>2186</v>
      </c>
      <c r="F6184" s="2" t="s">
        <v>7987</v>
      </c>
      <c r="G6184" s="2" t="s">
        <v>6781</v>
      </c>
      <c r="H6184" s="14">
        <v>3.01</v>
      </c>
      <c r="I6184" s="2" t="s">
        <v>6587</v>
      </c>
      <c r="J6184" s="2" t="s">
        <v>13</v>
      </c>
      <c r="K6184" s="2" t="s">
        <v>1452</v>
      </c>
      <c r="L6184" s="2" t="s">
        <v>5221</v>
      </c>
      <c r="M6184" s="2" t="s">
        <v>5221</v>
      </c>
      <c r="N6184" s="2" t="s">
        <v>2317</v>
      </c>
      <c r="O6184" s="14">
        <v>22500</v>
      </c>
      <c r="P6184" s="14">
        <v>99.4</v>
      </c>
      <c r="Q6184" s="14">
        <v>135</v>
      </c>
      <c r="R6184" s="14">
        <v>406.35</v>
      </c>
      <c r="S6184" s="2" t="s">
        <v>5884</v>
      </c>
      <c r="T6184" s="2">
        <v>1.53</v>
      </c>
      <c r="U6184" s="2">
        <v>61.7</v>
      </c>
      <c r="V6184" s="2">
        <v>63</v>
      </c>
      <c r="W6184" s="2" t="s">
        <v>7862</v>
      </c>
      <c r="X6184" s="2" t="s">
        <v>6687</v>
      </c>
      <c r="Y6184" s="2">
        <v>67725</v>
      </c>
      <c r="Z6184" s="19" t="str">
        <f>HYPERLINK("https://ssdweb.co/ssdweb/hd/Vision360.html?d=925650066&amp;zoomslide=1&amp;z=1925650066&amp;ISCONFIRM=0","VIDEO")</f>
        <v>VIDEO</v>
      </c>
      <c r="AA6184" s="19" t="str">
        <f>HYPERLINK("https://ssdweb.co/ssdweb/CERTH/624499598.pdf","CERTI")</f>
        <v>CERTI</v>
      </c>
    </row>
    <row r="6185" spans="1:27" ht="15" x14ac:dyDescent="0.25">
      <c r="A6185" s="2">
        <v>6180</v>
      </c>
      <c r="B6185" s="39">
        <v>941120019</v>
      </c>
      <c r="C6185" s="28" t="str">
        <f>HYPERLINK("https://pld.live/RapDetail.aspx?STONELIST=941120019","DNA")</f>
        <v>DNA</v>
      </c>
      <c r="D6185" s="18" t="s">
        <v>4563</v>
      </c>
      <c r="E6185" s="18" t="s">
        <v>2186</v>
      </c>
      <c r="F6185" s="2" t="s">
        <v>7987</v>
      </c>
      <c r="G6185" s="2" t="s">
        <v>6781</v>
      </c>
      <c r="H6185" s="14">
        <v>3</v>
      </c>
      <c r="I6185" s="2" t="s">
        <v>4761</v>
      </c>
      <c r="J6185" s="2" t="s">
        <v>13</v>
      </c>
      <c r="K6185" s="2" t="s">
        <v>1452</v>
      </c>
      <c r="L6185" s="2" t="s">
        <v>5221</v>
      </c>
      <c r="M6185" s="2" t="s">
        <v>5221</v>
      </c>
      <c r="N6185" s="2" t="s">
        <v>2317</v>
      </c>
      <c r="O6185" s="14">
        <v>27500</v>
      </c>
      <c r="P6185" s="14">
        <v>99.42</v>
      </c>
      <c r="Q6185" s="14">
        <v>159.5</v>
      </c>
      <c r="R6185" s="14">
        <v>478.5</v>
      </c>
      <c r="S6185" s="2" t="s">
        <v>6510</v>
      </c>
      <c r="T6185" s="2">
        <v>1.49</v>
      </c>
      <c r="U6185" s="2">
        <v>62.5</v>
      </c>
      <c r="V6185" s="2">
        <v>58</v>
      </c>
      <c r="W6185" s="2" t="s">
        <v>7862</v>
      </c>
      <c r="X6185" s="2" t="s">
        <v>6687</v>
      </c>
      <c r="Y6185" s="2">
        <v>82500</v>
      </c>
      <c r="Z6185" s="19" t="str">
        <f>HYPERLINK("https://ssdweb.co/ssdweb/hd/Vision360.html?d=941120019&amp;zoomslide=1&amp;z=1941120019&amp;ISCONFIRM=0","VIDEO")</f>
        <v>VIDEO</v>
      </c>
      <c r="AA6185" s="19" t="str">
        <f>HYPERLINK("https://ssdweb.co/ssdweb/CERTH/671437469.pdf","CERTI")</f>
        <v>CERTI</v>
      </c>
    </row>
    <row r="6186" spans="1:27" ht="15" x14ac:dyDescent="0.25">
      <c r="A6186" s="2">
        <v>6181</v>
      </c>
      <c r="B6186" s="39">
        <v>941230371</v>
      </c>
      <c r="C6186" s="28" t="str">
        <f>HYPERLINK("https://pld.live/RapDetail.aspx?STONELIST=941230371","DNA")</f>
        <v>DNA</v>
      </c>
      <c r="D6186" s="18" t="s">
        <v>4563</v>
      </c>
      <c r="E6186" s="18" t="s">
        <v>2186</v>
      </c>
      <c r="F6186" s="2" t="s">
        <v>7987</v>
      </c>
      <c r="G6186" s="2" t="s">
        <v>6781</v>
      </c>
      <c r="H6186" s="14">
        <v>3</v>
      </c>
      <c r="I6186" s="2" t="s">
        <v>4761</v>
      </c>
      <c r="J6186" s="2" t="s">
        <v>13</v>
      </c>
      <c r="K6186" s="2" t="s">
        <v>1452</v>
      </c>
      <c r="L6186" s="2" t="s">
        <v>5221</v>
      </c>
      <c r="M6186" s="2" t="s">
        <v>5221</v>
      </c>
      <c r="N6186" s="2" t="s">
        <v>2317</v>
      </c>
      <c r="O6186" s="14">
        <v>27500</v>
      </c>
      <c r="P6186" s="14">
        <v>99.42</v>
      </c>
      <c r="Q6186" s="14">
        <v>159.5</v>
      </c>
      <c r="R6186" s="14">
        <v>478.5</v>
      </c>
      <c r="S6186" s="2" t="s">
        <v>301</v>
      </c>
      <c r="T6186" s="2">
        <v>1.52</v>
      </c>
      <c r="U6186" s="2">
        <v>60.6</v>
      </c>
      <c r="V6186" s="2">
        <v>61</v>
      </c>
      <c r="W6186" s="2" t="s">
        <v>7862</v>
      </c>
      <c r="X6186" s="2" t="s">
        <v>6687</v>
      </c>
      <c r="Y6186" s="2">
        <v>82500</v>
      </c>
      <c r="Z6186" s="19" t="str">
        <f>HYPERLINK("https://ssdweb.co/ssdweb/hd/Vision360.html?d=941230371&amp;zoomslide=1&amp;z=1941230371&amp;ISCONFIRM=0","VIDEO")</f>
        <v>VIDEO</v>
      </c>
      <c r="AA6186" s="19" t="str">
        <f>HYPERLINK("https://ssdweb.co/ssdweb/CERTH/691509991.pdf","CERTI")</f>
        <v>CERTI</v>
      </c>
    </row>
    <row r="6187" spans="1:27" ht="15" x14ac:dyDescent="0.25">
      <c r="A6187" s="2">
        <v>6182</v>
      </c>
      <c r="B6187" s="39">
        <v>941100647</v>
      </c>
      <c r="C6187" s="28" t="str">
        <f>HYPERLINK("https://pld.live/RapDetail.aspx?STONELIST=941100647","DNA")</f>
        <v>DNA</v>
      </c>
      <c r="D6187" s="18" t="s">
        <v>4563</v>
      </c>
      <c r="E6187" s="18" t="s">
        <v>2186</v>
      </c>
      <c r="F6187" s="2" t="s">
        <v>7987</v>
      </c>
      <c r="G6187" s="2" t="s">
        <v>6781</v>
      </c>
      <c r="H6187" s="14">
        <v>3</v>
      </c>
      <c r="I6187" s="2" t="s">
        <v>6587</v>
      </c>
      <c r="J6187" s="2" t="s">
        <v>13</v>
      </c>
      <c r="K6187" s="2" t="s">
        <v>1452</v>
      </c>
      <c r="L6187" s="2" t="s">
        <v>5221</v>
      </c>
      <c r="M6187" s="2" t="s">
        <v>5721</v>
      </c>
      <c r="N6187" s="2" t="s">
        <v>2317</v>
      </c>
      <c r="O6187" s="14">
        <v>22500</v>
      </c>
      <c r="P6187" s="14">
        <v>99.39</v>
      </c>
      <c r="Q6187" s="14">
        <v>137.25</v>
      </c>
      <c r="R6187" s="14">
        <v>411.75</v>
      </c>
      <c r="S6187" s="2" t="s">
        <v>4829</v>
      </c>
      <c r="T6187" s="2">
        <v>1.61</v>
      </c>
      <c r="U6187" s="2">
        <v>63.9</v>
      </c>
      <c r="V6187" s="2">
        <v>62</v>
      </c>
      <c r="W6187" s="2" t="s">
        <v>7862</v>
      </c>
      <c r="X6187" s="2" t="s">
        <v>6687</v>
      </c>
      <c r="Y6187" s="2">
        <v>67500</v>
      </c>
      <c r="Z6187" s="19" t="str">
        <f>HYPERLINK("https://ssdweb.co/ssdweb/hd/Vision360.html?d=941100647&amp;zoomslide=1&amp;z=1941100647&amp;ISCONFIRM=0","VIDEO")</f>
        <v>VIDEO</v>
      </c>
      <c r="AA6187" s="19" t="str">
        <f>HYPERLINK("https://ssdweb.co/ssdweb/CERTH/674532634.pdf","CERTI")</f>
        <v>CERTI</v>
      </c>
    </row>
    <row r="6188" spans="1:27" ht="15" x14ac:dyDescent="0.25">
      <c r="A6188" s="2">
        <v>6183</v>
      </c>
      <c r="B6188" s="39">
        <v>821113397</v>
      </c>
      <c r="C6188" s="28" t="str">
        <f>HYPERLINK("https://pld.live/RapDetail.aspx?STONELIST=821113397","DNA")</f>
        <v>DNA</v>
      </c>
      <c r="D6188" s="18" t="s">
        <v>2694</v>
      </c>
      <c r="E6188" s="18" t="s">
        <v>2186</v>
      </c>
      <c r="F6188" s="2" t="s">
        <v>7987</v>
      </c>
      <c r="G6188" s="2" t="s">
        <v>6781</v>
      </c>
      <c r="H6188" s="14">
        <v>2.97</v>
      </c>
      <c r="I6188" s="2" t="s">
        <v>4699</v>
      </c>
      <c r="J6188" s="2" t="s">
        <v>13</v>
      </c>
      <c r="K6188" s="2" t="s">
        <v>1452</v>
      </c>
      <c r="L6188" s="2" t="s">
        <v>5221</v>
      </c>
      <c r="M6188" s="2" t="s">
        <v>5221</v>
      </c>
      <c r="N6188" s="2" t="s">
        <v>2317</v>
      </c>
      <c r="O6188" s="14">
        <v>15000</v>
      </c>
      <c r="P6188" s="14">
        <v>99.13</v>
      </c>
      <c r="Q6188" s="14">
        <v>130.5</v>
      </c>
      <c r="R6188" s="14">
        <v>387.59</v>
      </c>
      <c r="S6188" s="2" t="s">
        <v>7713</v>
      </c>
      <c r="T6188" s="2">
        <v>1.51</v>
      </c>
      <c r="U6188" s="2">
        <v>61.5</v>
      </c>
      <c r="V6188" s="2">
        <v>62</v>
      </c>
      <c r="W6188" s="2" t="s">
        <v>7862</v>
      </c>
      <c r="X6188" s="2" t="s">
        <v>6687</v>
      </c>
      <c r="Y6188" s="2">
        <v>44550</v>
      </c>
      <c r="Z6188" s="19" t="str">
        <f>HYPERLINK("https://ssdweb.co/ssdweb/hd/Vision360.html?d=821113397&amp;zoomslide=1&amp;z=1821113397&amp;ISCONFIRM=0","VIDEO")</f>
        <v>VIDEO</v>
      </c>
      <c r="AA6188" s="19" t="str">
        <f>HYPERLINK("https://ssdweb.co/ssdweb/CERTH/617471585.pdf","CERTI")</f>
        <v>CERTI</v>
      </c>
    </row>
    <row r="6189" spans="1:27" ht="15" x14ac:dyDescent="0.25">
      <c r="A6189" s="2">
        <v>6184</v>
      </c>
      <c r="B6189" s="39">
        <v>821113441</v>
      </c>
      <c r="C6189" s="28" t="str">
        <f>HYPERLINK("https://pld.live/RapDetail.aspx?STONELIST=821113441","DNA")</f>
        <v>DNA</v>
      </c>
      <c r="D6189" s="18" t="s">
        <v>2694</v>
      </c>
      <c r="E6189" s="18" t="s">
        <v>2186</v>
      </c>
      <c r="F6189" s="2" t="s">
        <v>7987</v>
      </c>
      <c r="G6189" s="2" t="s">
        <v>6781</v>
      </c>
      <c r="H6189" s="14">
        <v>2.97</v>
      </c>
      <c r="I6189" s="2" t="s">
        <v>4699</v>
      </c>
      <c r="J6189" s="2" t="s">
        <v>5144</v>
      </c>
      <c r="K6189" s="2" t="s">
        <v>1452</v>
      </c>
      <c r="L6189" s="2" t="s">
        <v>5221</v>
      </c>
      <c r="M6189" s="2" t="s">
        <v>5221</v>
      </c>
      <c r="N6189" s="2" t="s">
        <v>2317</v>
      </c>
      <c r="O6189" s="14">
        <v>14000</v>
      </c>
      <c r="P6189" s="14">
        <v>99.11</v>
      </c>
      <c r="Q6189" s="14">
        <v>124.6</v>
      </c>
      <c r="R6189" s="14">
        <v>370.06</v>
      </c>
      <c r="S6189" s="2" t="s">
        <v>6084</v>
      </c>
      <c r="T6189" s="2">
        <v>1.52</v>
      </c>
      <c r="U6189" s="2">
        <v>62.7</v>
      </c>
      <c r="V6189" s="2">
        <v>59</v>
      </c>
      <c r="W6189" s="2" t="s">
        <v>7862</v>
      </c>
      <c r="X6189" s="2" t="s">
        <v>6687</v>
      </c>
      <c r="Y6189" s="2">
        <v>41580</v>
      </c>
      <c r="Z6189" s="19" t="str">
        <f>HYPERLINK("https://ssdweb.co/ssdweb/hd/Vision360.html?d=821113441&amp;zoomslide=1&amp;z=1821113441&amp;ISCONFIRM=0","VIDEO")</f>
        <v>VIDEO</v>
      </c>
      <c r="AA6189" s="19" t="str">
        <f>HYPERLINK("https://ssdweb.co/ssdweb/CERTH/618419688.pdf","CERTI")</f>
        <v>CERTI</v>
      </c>
    </row>
    <row r="6190" spans="1:27" ht="15" x14ac:dyDescent="0.25">
      <c r="A6190" s="2">
        <v>6185</v>
      </c>
      <c r="B6190" s="39">
        <v>927020708</v>
      </c>
      <c r="C6190" s="28" t="str">
        <f>HYPERLINK("https://pld.live/RapDetail.aspx?STONELIST=927020708","DNA")</f>
        <v>DNA</v>
      </c>
      <c r="D6190" s="18" t="s">
        <v>2694</v>
      </c>
      <c r="E6190" s="18" t="s">
        <v>2186</v>
      </c>
      <c r="F6190" s="2" t="s">
        <v>7987</v>
      </c>
      <c r="G6190" s="2" t="s">
        <v>6781</v>
      </c>
      <c r="H6190" s="14">
        <v>2.89</v>
      </c>
      <c r="I6190" s="2" t="s">
        <v>4699</v>
      </c>
      <c r="J6190" s="2" t="s">
        <v>3942</v>
      </c>
      <c r="K6190" s="2" t="s">
        <v>1452</v>
      </c>
      <c r="L6190" s="2" t="s">
        <v>5221</v>
      </c>
      <c r="M6190" s="2" t="s">
        <v>5221</v>
      </c>
      <c r="N6190" s="2" t="s">
        <v>2317</v>
      </c>
      <c r="O6190" s="14">
        <v>16000</v>
      </c>
      <c r="P6190" s="14">
        <v>99.09</v>
      </c>
      <c r="Q6190" s="14">
        <v>145.6</v>
      </c>
      <c r="R6190" s="14">
        <v>420.78</v>
      </c>
      <c r="S6190" s="2" t="s">
        <v>6111</v>
      </c>
      <c r="T6190" s="2">
        <v>1.63</v>
      </c>
      <c r="U6190" s="2">
        <v>60.6</v>
      </c>
      <c r="V6190" s="2">
        <v>62</v>
      </c>
      <c r="W6190" s="2" t="s">
        <v>7862</v>
      </c>
      <c r="X6190" s="2" t="s">
        <v>6687</v>
      </c>
      <c r="Y6190" s="2">
        <v>46240</v>
      </c>
      <c r="Z6190" s="19" t="str">
        <f>HYPERLINK("https://ssdweb.co/ssdweb/hd/Vision360.html?d=927020708&amp;zoomslide=1&amp;z=1927020708&amp;ISCONFIRM=0","VIDEO")</f>
        <v>VIDEO</v>
      </c>
      <c r="AA6190" s="19" t="str">
        <f>HYPERLINK("https://ssdweb.co/ssdweb/CERTH/670484506.pdf","CERTI")</f>
        <v>CERTI</v>
      </c>
    </row>
    <row r="6191" spans="1:27" ht="15" x14ac:dyDescent="0.25">
      <c r="A6191" s="2">
        <v>6186</v>
      </c>
      <c r="B6191" s="39">
        <v>927020666</v>
      </c>
      <c r="C6191" s="28" t="str">
        <f>HYPERLINK("https://pld.live/RapDetail.aspx?STONELIST=927020666","DNA")</f>
        <v>DNA</v>
      </c>
      <c r="D6191" s="18" t="s">
        <v>2694</v>
      </c>
      <c r="E6191" s="18" t="s">
        <v>2186</v>
      </c>
      <c r="F6191" s="2" t="s">
        <v>7987</v>
      </c>
      <c r="G6191" s="2" t="s">
        <v>6781</v>
      </c>
      <c r="H6191" s="14">
        <v>2.89</v>
      </c>
      <c r="I6191" s="2" t="s">
        <v>6587</v>
      </c>
      <c r="J6191" s="2" t="s">
        <v>5144</v>
      </c>
      <c r="K6191" s="2" t="s">
        <v>1452</v>
      </c>
      <c r="L6191" s="2" t="s">
        <v>5221</v>
      </c>
      <c r="M6191" s="2" t="s">
        <v>5221</v>
      </c>
      <c r="N6191" s="2" t="s">
        <v>2317</v>
      </c>
      <c r="O6191" s="14">
        <v>13000</v>
      </c>
      <c r="P6191" s="14">
        <v>99.04</v>
      </c>
      <c r="Q6191" s="14">
        <v>124.8</v>
      </c>
      <c r="R6191" s="14">
        <v>360.67</v>
      </c>
      <c r="S6191" s="2" t="s">
        <v>4238</v>
      </c>
      <c r="T6191" s="2">
        <v>1.62</v>
      </c>
      <c r="U6191" s="2">
        <v>61.2</v>
      </c>
      <c r="V6191" s="2">
        <v>60</v>
      </c>
      <c r="W6191" s="2" t="s">
        <v>7862</v>
      </c>
      <c r="X6191" s="2" t="s">
        <v>6687</v>
      </c>
      <c r="Y6191" s="2">
        <v>37570</v>
      </c>
      <c r="Z6191" s="19" t="str">
        <f>HYPERLINK("https://ssdweb.co/ssdweb/hd/Vision360.html?d=927020666&amp;zoomslide=1&amp;z=1927020666&amp;ISCONFIRM=0","VIDEO")</f>
        <v>VIDEO</v>
      </c>
      <c r="AA6191" s="19" t="str">
        <f>HYPERLINK("https://ssdweb.co/ssdweb/CERTH/675504646.pdf","CERTI")</f>
        <v>CERTI</v>
      </c>
    </row>
    <row r="6192" spans="1:27" ht="15" x14ac:dyDescent="0.25">
      <c r="A6192" s="2">
        <v>6187</v>
      </c>
      <c r="B6192" s="39">
        <v>925570092</v>
      </c>
      <c r="C6192" s="28" t="str">
        <f>HYPERLINK("https://pld.live/RapDetail.aspx?STONELIST=925570092","DNA")</f>
        <v>DNA</v>
      </c>
      <c r="D6192" s="18" t="s">
        <v>2694</v>
      </c>
      <c r="E6192" s="18" t="s">
        <v>2186</v>
      </c>
      <c r="F6192" s="2" t="s">
        <v>7987</v>
      </c>
      <c r="G6192" s="2" t="s">
        <v>6781</v>
      </c>
      <c r="H6192" s="14">
        <v>2.86</v>
      </c>
      <c r="I6192" s="2" t="s">
        <v>6845</v>
      </c>
      <c r="J6192" s="2" t="s">
        <v>5144</v>
      </c>
      <c r="K6192" s="2" t="s">
        <v>1452</v>
      </c>
      <c r="L6192" s="2" t="s">
        <v>5221</v>
      </c>
      <c r="M6192" s="2" t="s">
        <v>5221</v>
      </c>
      <c r="N6192" s="2" t="s">
        <v>2317</v>
      </c>
      <c r="O6192" s="14">
        <v>4100</v>
      </c>
      <c r="P6192" s="14">
        <v>93.9</v>
      </c>
      <c r="Q6192" s="14">
        <v>250.1</v>
      </c>
      <c r="R6192" s="14">
        <v>715.29</v>
      </c>
      <c r="S6192" s="2" t="s">
        <v>2116</v>
      </c>
      <c r="T6192" s="2">
        <v>1.56</v>
      </c>
      <c r="U6192" s="2">
        <v>60.2</v>
      </c>
      <c r="V6192" s="2">
        <v>63</v>
      </c>
      <c r="W6192" s="2" t="s">
        <v>7862</v>
      </c>
      <c r="X6192" s="2" t="s">
        <v>6687</v>
      </c>
      <c r="Y6192" s="2">
        <v>11726</v>
      </c>
      <c r="Z6192" s="19" t="str">
        <f>HYPERLINK("https://ssdweb.co/ssdweb/hd/Vision360.html?d=925570092&amp;zoomslide=1&amp;z=1925570092&amp;ISCONFIRM=0","VIDEO")</f>
        <v>VIDEO</v>
      </c>
      <c r="AA6192" s="19" t="str">
        <f>HYPERLINK("https://ssdweb.co/ssdweb/CERTH/625432419.pdf","CERTI")</f>
        <v>CERTI</v>
      </c>
    </row>
    <row r="6193" spans="1:27" ht="15" x14ac:dyDescent="0.25">
      <c r="A6193" s="2">
        <v>6188</v>
      </c>
      <c r="B6193" s="39">
        <v>941060553</v>
      </c>
      <c r="C6193" s="28" t="str">
        <f>HYPERLINK("https://pld.live/RapDetail.aspx?STONELIST=941060553","DNA")</f>
        <v>DNA</v>
      </c>
      <c r="D6193" s="18" t="s">
        <v>2694</v>
      </c>
      <c r="E6193" s="18" t="s">
        <v>2186</v>
      </c>
      <c r="F6193" s="2" t="s">
        <v>7987</v>
      </c>
      <c r="G6193" s="2" t="s">
        <v>6781</v>
      </c>
      <c r="H6193" s="14">
        <v>2.85</v>
      </c>
      <c r="I6193" s="2" t="s">
        <v>4761</v>
      </c>
      <c r="J6193" s="2" t="s">
        <v>13</v>
      </c>
      <c r="K6193" s="2" t="s">
        <v>1452</v>
      </c>
      <c r="L6193" s="2" t="s">
        <v>5221</v>
      </c>
      <c r="M6193" s="2" t="s">
        <v>5221</v>
      </c>
      <c r="N6193" s="2" t="s">
        <v>2317</v>
      </c>
      <c r="O6193" s="14">
        <v>16000</v>
      </c>
      <c r="P6193" s="14">
        <v>99.13</v>
      </c>
      <c r="Q6193" s="14">
        <v>139.19999999999999</v>
      </c>
      <c r="R6193" s="14">
        <v>396.72</v>
      </c>
      <c r="S6193" s="2" t="s">
        <v>6969</v>
      </c>
      <c r="T6193" s="2">
        <v>1.61</v>
      </c>
      <c r="U6193" s="2">
        <v>60.8</v>
      </c>
      <c r="V6193" s="2">
        <v>59</v>
      </c>
      <c r="W6193" s="2" t="s">
        <v>7862</v>
      </c>
      <c r="X6193" s="2" t="s">
        <v>6687</v>
      </c>
      <c r="Y6193" s="2">
        <v>45600</v>
      </c>
      <c r="Z6193" s="19" t="str">
        <f>HYPERLINK("https://ssdweb.co/ssdweb/hd/Vision360.html?d=941060553&amp;zoomslide=1&amp;z=1941060553&amp;ISCONFIRM=0","VIDEO")</f>
        <v>VIDEO</v>
      </c>
      <c r="AA6193" s="19" t="str">
        <f>HYPERLINK("https://ssdweb.co/ssdweb/CERTH/675504670.pdf","CERTI")</f>
        <v>CERTI</v>
      </c>
    </row>
    <row r="6194" spans="1:27" ht="15" x14ac:dyDescent="0.25">
      <c r="A6194" s="2">
        <v>6189</v>
      </c>
      <c r="B6194" s="39">
        <v>927020698</v>
      </c>
      <c r="C6194" s="28" t="str">
        <f>HYPERLINK("https://pld.live/RapDetail.aspx?STONELIST=927020698","DNA")</f>
        <v>DNA</v>
      </c>
      <c r="D6194" s="18" t="s">
        <v>2694</v>
      </c>
      <c r="E6194" s="18" t="s">
        <v>2186</v>
      </c>
      <c r="F6194" s="2" t="s">
        <v>7987</v>
      </c>
      <c r="G6194" s="2" t="s">
        <v>6781</v>
      </c>
      <c r="H6194" s="14">
        <v>2.84</v>
      </c>
      <c r="I6194" s="2" t="s">
        <v>4761</v>
      </c>
      <c r="J6194" s="2" t="s">
        <v>13</v>
      </c>
      <c r="K6194" s="2" t="s">
        <v>1452</v>
      </c>
      <c r="L6194" s="2" t="s">
        <v>5221</v>
      </c>
      <c r="M6194" s="2" t="s">
        <v>5221</v>
      </c>
      <c r="N6194" s="2" t="s">
        <v>2317</v>
      </c>
      <c r="O6194" s="14">
        <v>16000</v>
      </c>
      <c r="P6194" s="14">
        <v>99.13</v>
      </c>
      <c r="Q6194" s="14">
        <v>139.19999999999999</v>
      </c>
      <c r="R6194" s="14">
        <v>395.33</v>
      </c>
      <c r="S6194" s="2" t="s">
        <v>2459</v>
      </c>
      <c r="T6194" s="2">
        <v>1.63</v>
      </c>
      <c r="U6194" s="2">
        <v>62.3</v>
      </c>
      <c r="V6194" s="2">
        <v>61</v>
      </c>
      <c r="W6194" s="2" t="s">
        <v>7862</v>
      </c>
      <c r="X6194" s="2" t="s">
        <v>6687</v>
      </c>
      <c r="Y6194" s="2">
        <v>45440</v>
      </c>
      <c r="Z6194" s="19" t="str">
        <f>HYPERLINK("https://ssdweb.co/ssdweb/hd/Vision360.html?d=927020698&amp;zoomslide=1&amp;z=1927020698&amp;ISCONFIRM=0","VIDEO")</f>
        <v>VIDEO</v>
      </c>
      <c r="AA6194" s="19" t="str">
        <f>HYPERLINK("https://ssdweb.co/ssdweb/CERTH/670484502.pdf","CERTI")</f>
        <v>CERTI</v>
      </c>
    </row>
    <row r="6195" spans="1:27" ht="15" x14ac:dyDescent="0.25">
      <c r="A6195" s="2">
        <v>6190</v>
      </c>
      <c r="B6195" s="39">
        <v>927080766</v>
      </c>
      <c r="C6195" s="28" t="str">
        <f>HYPERLINK("https://pld.live/RapDetail.aspx?STONELIST=927080766","DNA")</f>
        <v>DNA</v>
      </c>
      <c r="D6195" s="18" t="s">
        <v>2694</v>
      </c>
      <c r="E6195" s="18" t="s">
        <v>2186</v>
      </c>
      <c r="F6195" s="2" t="s">
        <v>7987</v>
      </c>
      <c r="G6195" s="2" t="s">
        <v>6781</v>
      </c>
      <c r="H6195" s="14">
        <v>2.7</v>
      </c>
      <c r="I6195" s="2" t="s">
        <v>4699</v>
      </c>
      <c r="J6195" s="2" t="s">
        <v>13</v>
      </c>
      <c r="K6195" s="2" t="s">
        <v>1452</v>
      </c>
      <c r="L6195" s="2" t="s">
        <v>5221</v>
      </c>
      <c r="M6195" s="2" t="s">
        <v>5221</v>
      </c>
      <c r="N6195" s="2" t="s">
        <v>2317</v>
      </c>
      <c r="O6195" s="14">
        <v>15000</v>
      </c>
      <c r="P6195" s="14">
        <v>99.1</v>
      </c>
      <c r="Q6195" s="14">
        <v>135</v>
      </c>
      <c r="R6195" s="14">
        <v>364.5</v>
      </c>
      <c r="S6195" s="2" t="s">
        <v>3907</v>
      </c>
      <c r="T6195" s="2">
        <v>1.58</v>
      </c>
      <c r="U6195" s="2">
        <v>61.2</v>
      </c>
      <c r="V6195" s="2">
        <v>61</v>
      </c>
      <c r="W6195" s="2" t="s">
        <v>7862</v>
      </c>
      <c r="X6195" s="2" t="s">
        <v>6687</v>
      </c>
      <c r="Y6195" s="2">
        <v>40500</v>
      </c>
      <c r="Z6195" s="19" t="str">
        <f>HYPERLINK("https://ssdweb.co/ssdweb/hd/Vision360.html?d=927080766&amp;zoomslide=1&amp;z=1927080766&amp;ISCONFIRM=0","VIDEO")</f>
        <v>VIDEO</v>
      </c>
      <c r="AA6195" s="19" t="str">
        <f>HYPERLINK("https://ssdweb.co/ssdweb/CERTH/675504652.pdf","CERTI")</f>
        <v>CERTI</v>
      </c>
    </row>
    <row r="6196" spans="1:27" ht="15" x14ac:dyDescent="0.25">
      <c r="A6196" s="2">
        <v>6191</v>
      </c>
      <c r="B6196" s="39">
        <v>926450596</v>
      </c>
      <c r="C6196" s="28" t="str">
        <f>HYPERLINK("https://pld.live/RapDetail.aspx?STONELIST=926450596","DNA")</f>
        <v>DNA</v>
      </c>
      <c r="D6196" s="18" t="s">
        <v>2694</v>
      </c>
      <c r="E6196" s="18" t="s">
        <v>2186</v>
      </c>
      <c r="F6196" s="2" t="s">
        <v>7987</v>
      </c>
      <c r="G6196" s="2" t="s">
        <v>6781</v>
      </c>
      <c r="H6196" s="14">
        <v>2.7</v>
      </c>
      <c r="I6196" s="2" t="s">
        <v>6587</v>
      </c>
      <c r="J6196" s="2" t="s">
        <v>13</v>
      </c>
      <c r="K6196" s="2" t="s">
        <v>1452</v>
      </c>
      <c r="L6196" s="2" t="s">
        <v>5221</v>
      </c>
      <c r="M6196" s="2" t="s">
        <v>5221</v>
      </c>
      <c r="N6196" s="2" t="s">
        <v>2317</v>
      </c>
      <c r="O6196" s="14">
        <v>14000</v>
      </c>
      <c r="P6196" s="14">
        <v>99.09</v>
      </c>
      <c r="Q6196" s="14">
        <v>127.4</v>
      </c>
      <c r="R6196" s="14">
        <v>343.98</v>
      </c>
      <c r="S6196" s="2" t="s">
        <v>4151</v>
      </c>
      <c r="T6196" s="2">
        <v>1.61</v>
      </c>
      <c r="U6196" s="2">
        <v>62.2</v>
      </c>
      <c r="V6196" s="2">
        <v>61</v>
      </c>
      <c r="W6196" s="2" t="s">
        <v>7862</v>
      </c>
      <c r="X6196" s="2" t="s">
        <v>6687</v>
      </c>
      <c r="Y6196" s="2">
        <v>37800</v>
      </c>
      <c r="Z6196" s="19" t="str">
        <f>HYPERLINK("https://ssdweb.co/ssdweb/hd/Vision360.html?d=926450596&amp;zoomslide=1&amp;z=1926450596&amp;ISCONFIRM=0","VIDEO")</f>
        <v>VIDEO</v>
      </c>
      <c r="AA6196" s="19" t="str">
        <f>HYPERLINK("https://ssdweb.co/ssdweb/CERTH/645490421.pdf","CERTI")</f>
        <v>CERTI</v>
      </c>
    </row>
    <row r="6197" spans="1:27" ht="15" x14ac:dyDescent="0.25">
      <c r="A6197" s="2">
        <v>6192</v>
      </c>
      <c r="B6197" s="39">
        <v>927070910</v>
      </c>
      <c r="C6197" s="28" t="str">
        <f>HYPERLINK("https://pld.live/RapDetail.aspx?STONELIST=927070910","DNA")</f>
        <v>DNA</v>
      </c>
      <c r="D6197" s="18" t="s">
        <v>4032</v>
      </c>
      <c r="E6197" s="18" t="s">
        <v>2186</v>
      </c>
      <c r="F6197" s="2" t="s">
        <v>7987</v>
      </c>
      <c r="G6197" s="2" t="s">
        <v>6781</v>
      </c>
      <c r="H6197" s="14">
        <v>2.69</v>
      </c>
      <c r="I6197" s="2" t="s">
        <v>6587</v>
      </c>
      <c r="J6197" s="2" t="s">
        <v>3942</v>
      </c>
      <c r="K6197" s="2" t="s">
        <v>1452</v>
      </c>
      <c r="L6197" s="2" t="s">
        <v>5221</v>
      </c>
      <c r="M6197" s="2" t="s">
        <v>5221</v>
      </c>
      <c r="N6197" s="2" t="s">
        <v>2317</v>
      </c>
      <c r="O6197" s="14">
        <v>15000</v>
      </c>
      <c r="P6197" s="14">
        <v>99.07</v>
      </c>
      <c r="Q6197" s="14">
        <v>139.5</v>
      </c>
      <c r="R6197" s="14">
        <v>375.26</v>
      </c>
      <c r="S6197" s="2" t="s">
        <v>4352</v>
      </c>
      <c r="T6197" s="2">
        <v>1.53</v>
      </c>
      <c r="U6197" s="2">
        <v>62.4</v>
      </c>
      <c r="V6197" s="2">
        <v>61</v>
      </c>
      <c r="W6197" s="2" t="s">
        <v>7862</v>
      </c>
      <c r="X6197" s="2" t="s">
        <v>6687</v>
      </c>
      <c r="Y6197" s="2">
        <v>40350</v>
      </c>
      <c r="Z6197" s="19" t="str">
        <f>HYPERLINK("https://ssdweb.co/ssdweb/hd/Vision360.html?d=927070910&amp;zoomslide=1&amp;z=1927070910&amp;ISCONFIRM=0","VIDEO")</f>
        <v>VIDEO</v>
      </c>
      <c r="AA6197" s="19" t="str">
        <f>HYPERLINK("https://ssdweb.co/ssdweb/CERTH/675504651.pdf","CERTI")</f>
        <v>CERTI</v>
      </c>
    </row>
    <row r="6198" spans="1:27" ht="15" x14ac:dyDescent="0.25">
      <c r="A6198" s="2">
        <v>6193</v>
      </c>
      <c r="B6198" s="39">
        <v>927070893</v>
      </c>
      <c r="C6198" s="28" t="str">
        <f>HYPERLINK("https://pld.live/RapDetail.aspx?STONELIST=927070893","DNA")</f>
        <v>DNA</v>
      </c>
      <c r="D6198" s="18" t="s">
        <v>4032</v>
      </c>
      <c r="E6198" s="18" t="s">
        <v>2186</v>
      </c>
      <c r="F6198" s="2" t="s">
        <v>7987</v>
      </c>
      <c r="G6198" s="2" t="s">
        <v>6781</v>
      </c>
      <c r="H6198" s="14">
        <v>2.67</v>
      </c>
      <c r="I6198" s="2" t="s">
        <v>4761</v>
      </c>
      <c r="J6198" s="2" t="s">
        <v>13</v>
      </c>
      <c r="K6198" s="2" t="s">
        <v>1452</v>
      </c>
      <c r="L6198" s="2" t="s">
        <v>5221</v>
      </c>
      <c r="M6198" s="2" t="s">
        <v>5221</v>
      </c>
      <c r="N6198" s="2" t="s">
        <v>2317</v>
      </c>
      <c r="O6198" s="14">
        <v>16000</v>
      </c>
      <c r="P6198" s="14">
        <v>99.13</v>
      </c>
      <c r="Q6198" s="14">
        <v>139.19999999999999</v>
      </c>
      <c r="R6198" s="14">
        <v>371.66</v>
      </c>
      <c r="S6198" s="2" t="s">
        <v>4939</v>
      </c>
      <c r="T6198" s="2">
        <v>1.53</v>
      </c>
      <c r="U6198" s="2">
        <v>63</v>
      </c>
      <c r="V6198" s="2">
        <v>63</v>
      </c>
      <c r="W6198" s="2" t="s">
        <v>7862</v>
      </c>
      <c r="X6198" s="2" t="s">
        <v>6687</v>
      </c>
      <c r="Y6198" s="2">
        <v>42720</v>
      </c>
      <c r="Z6198" s="19" t="str">
        <f>HYPERLINK("https://ssdweb.co/ssdweb/hd/Vision360.html?d=927070893&amp;zoomslide=1&amp;z=1927070893&amp;ISCONFIRM=0","VIDEO")</f>
        <v>VIDEO</v>
      </c>
      <c r="AA6198" s="19" t="str">
        <f>HYPERLINK("https://ssdweb.co/ssdweb/CERTH/675504650.pdf","CERTI")</f>
        <v>CERTI</v>
      </c>
    </row>
    <row r="6199" spans="1:27" ht="15" x14ac:dyDescent="0.25">
      <c r="A6199" s="2">
        <v>6194</v>
      </c>
      <c r="B6199" s="39">
        <v>821114735</v>
      </c>
      <c r="C6199" s="28" t="str">
        <f>HYPERLINK("https://pld.live/RapDetail.aspx?STONELIST=821114735","DNA")</f>
        <v>DNA</v>
      </c>
      <c r="D6199" s="18" t="s">
        <v>4032</v>
      </c>
      <c r="E6199" s="18" t="s">
        <v>2186</v>
      </c>
      <c r="F6199" s="2" t="s">
        <v>7987</v>
      </c>
      <c r="G6199" s="2" t="s">
        <v>6781</v>
      </c>
      <c r="H6199" s="14">
        <v>2.62</v>
      </c>
      <c r="I6199" s="2" t="s">
        <v>4761</v>
      </c>
      <c r="J6199" s="2" t="s">
        <v>13</v>
      </c>
      <c r="K6199" s="2" t="s">
        <v>1452</v>
      </c>
      <c r="L6199" s="2" t="s">
        <v>5221</v>
      </c>
      <c r="M6199" s="2" t="s">
        <v>5221</v>
      </c>
      <c r="N6199" s="2" t="s">
        <v>2317</v>
      </c>
      <c r="O6199" s="14">
        <v>16000</v>
      </c>
      <c r="P6199" s="14">
        <v>99.16</v>
      </c>
      <c r="Q6199" s="14">
        <v>134.4</v>
      </c>
      <c r="R6199" s="14">
        <v>352.13</v>
      </c>
      <c r="S6199" s="2" t="s">
        <v>5019</v>
      </c>
      <c r="T6199" s="2">
        <v>1.57</v>
      </c>
      <c r="U6199" s="2">
        <v>61.9</v>
      </c>
      <c r="V6199" s="2">
        <v>60</v>
      </c>
      <c r="W6199" s="2" t="s">
        <v>7862</v>
      </c>
      <c r="X6199" s="2" t="s">
        <v>6687</v>
      </c>
      <c r="Y6199" s="2">
        <v>41920</v>
      </c>
      <c r="Z6199" s="19" t="str">
        <f>HYPERLINK("https://ssdweb.co/ssdweb/hd/Vision360.html?d=821114735&amp;zoomslide=1&amp;z=1821114735&amp;ISCONFIRM=0","VIDEO")</f>
        <v>VIDEO</v>
      </c>
      <c r="AA6199" s="19" t="str">
        <f>HYPERLINK("https://ssdweb.co/ssdweb/CERTH/626479113.pdf","CERTI")</f>
        <v>CERTI</v>
      </c>
    </row>
    <row r="6200" spans="1:27" ht="15" x14ac:dyDescent="0.25">
      <c r="A6200" s="2">
        <v>6195</v>
      </c>
      <c r="B6200" s="39">
        <v>926030176</v>
      </c>
      <c r="C6200" s="28" t="str">
        <f>HYPERLINK("https://pld.live/RapDetail.aspx?STONELIST=926030176","DNA")</f>
        <v>DNA</v>
      </c>
      <c r="D6200" s="18" t="s">
        <v>4032</v>
      </c>
      <c r="E6200" s="18" t="s">
        <v>2186</v>
      </c>
      <c r="F6200" s="2" t="s">
        <v>7987</v>
      </c>
      <c r="G6200" s="2" t="s">
        <v>6781</v>
      </c>
      <c r="H6200" s="14">
        <v>2.61</v>
      </c>
      <c r="I6200" s="2" t="s">
        <v>1505</v>
      </c>
      <c r="J6200" s="2" t="s">
        <v>13</v>
      </c>
      <c r="K6200" s="2" t="s">
        <v>1452</v>
      </c>
      <c r="L6200" s="2" t="s">
        <v>5221</v>
      </c>
      <c r="M6200" s="2" t="s">
        <v>5221</v>
      </c>
      <c r="N6200" s="2" t="s">
        <v>2317</v>
      </c>
      <c r="O6200" s="14">
        <v>11500</v>
      </c>
      <c r="P6200" s="14">
        <v>98.96</v>
      </c>
      <c r="Q6200" s="14">
        <v>119.6</v>
      </c>
      <c r="R6200" s="14">
        <v>312.16000000000003</v>
      </c>
      <c r="S6200" s="2" t="s">
        <v>4919</v>
      </c>
      <c r="T6200" s="2">
        <v>1.63</v>
      </c>
      <c r="U6200" s="2">
        <v>61.5</v>
      </c>
      <c r="V6200" s="2">
        <v>60</v>
      </c>
      <c r="W6200" s="2" t="s">
        <v>7862</v>
      </c>
      <c r="X6200" s="2" t="s">
        <v>6687</v>
      </c>
      <c r="Y6200" s="2">
        <v>30015</v>
      </c>
      <c r="Z6200" s="19" t="str">
        <f>HYPERLINK("https://ssdweb.co/ssdweb/hd/Vision360.html?d=926030176&amp;zoomslide=1&amp;z=1926030176&amp;ISCONFIRM=0","VIDEO")</f>
        <v>VIDEO</v>
      </c>
      <c r="AA6200" s="19" t="str">
        <f>HYPERLINK("https://ssdweb.co/ssdweb/CERTH/631463897.pdf","CERTI")</f>
        <v>CERTI</v>
      </c>
    </row>
    <row r="6201" spans="1:27" ht="15" x14ac:dyDescent="0.25">
      <c r="A6201" s="2">
        <v>6196</v>
      </c>
      <c r="B6201" s="39">
        <v>925560099</v>
      </c>
      <c r="C6201" s="28" t="str">
        <f>HYPERLINK("https://pld.live/RapDetail.aspx?STONELIST=925560099","DNA")</f>
        <v>DNA</v>
      </c>
      <c r="D6201" s="18" t="s">
        <v>5154</v>
      </c>
      <c r="E6201" s="18" t="s">
        <v>2186</v>
      </c>
      <c r="F6201" s="2" t="s">
        <v>7987</v>
      </c>
      <c r="G6201" s="2" t="s">
        <v>6781</v>
      </c>
      <c r="H6201" s="14">
        <v>2.48</v>
      </c>
      <c r="I6201" s="2" t="s">
        <v>1505</v>
      </c>
      <c r="J6201" s="2" t="s">
        <v>13</v>
      </c>
      <c r="K6201" s="2" t="s">
        <v>1452</v>
      </c>
      <c r="L6201" s="2" t="s">
        <v>5221</v>
      </c>
      <c r="M6201" s="2" t="s">
        <v>5721</v>
      </c>
      <c r="N6201" s="2" t="s">
        <v>2317</v>
      </c>
      <c r="O6201" s="14">
        <v>11500</v>
      </c>
      <c r="P6201" s="14">
        <v>98.99</v>
      </c>
      <c r="Q6201" s="14">
        <v>116.15</v>
      </c>
      <c r="R6201" s="14">
        <v>288.05</v>
      </c>
      <c r="S6201" s="2" t="s">
        <v>4686</v>
      </c>
      <c r="T6201" s="2">
        <v>1.53</v>
      </c>
      <c r="U6201" s="2">
        <v>61.5</v>
      </c>
      <c r="V6201" s="2">
        <v>63</v>
      </c>
      <c r="W6201" s="2" t="s">
        <v>8016</v>
      </c>
      <c r="X6201" s="2" t="s">
        <v>6687</v>
      </c>
      <c r="Y6201" s="2">
        <v>28520</v>
      </c>
      <c r="Z6201" s="19" t="str">
        <f>HYPERLINK("https://ssdweb.co/ssdweb/hd/Vision360.html?d=925560099&amp;zoomslide=1&amp;z=1925560099&amp;ISCONFIRM=0","VIDEO")</f>
        <v>VIDEO</v>
      </c>
      <c r="AA6201" s="19" t="str">
        <f>HYPERLINK("https://ssdweb.co/ssdweb/CERTH/623493250.pdf","CERTI")</f>
        <v>CERTI</v>
      </c>
    </row>
    <row r="6202" spans="1:27" ht="15" x14ac:dyDescent="0.25">
      <c r="A6202" s="2">
        <v>6197</v>
      </c>
      <c r="B6202" s="39">
        <v>926010170</v>
      </c>
      <c r="C6202" s="28" t="str">
        <f>HYPERLINK("https://pld.live/RapDetail.aspx?STONELIST=926010170","DNA")</f>
        <v>DNA</v>
      </c>
      <c r="D6202" s="18" t="s">
        <v>5154</v>
      </c>
      <c r="E6202" s="18" t="s">
        <v>2186</v>
      </c>
      <c r="F6202" s="2" t="s">
        <v>7987</v>
      </c>
      <c r="G6202" s="2" t="s">
        <v>6781</v>
      </c>
      <c r="H6202" s="14">
        <v>2.42</v>
      </c>
      <c r="I6202" s="2" t="s">
        <v>1066</v>
      </c>
      <c r="J6202" s="2" t="s">
        <v>5144</v>
      </c>
      <c r="K6202" s="2" t="s">
        <v>1452</v>
      </c>
      <c r="L6202" s="2" t="s">
        <v>5221</v>
      </c>
      <c r="M6202" s="2" t="s">
        <v>5221</v>
      </c>
      <c r="N6202" s="2" t="s">
        <v>924</v>
      </c>
      <c r="O6202" s="14">
        <v>4100</v>
      </c>
      <c r="P6202" s="14">
        <v>92.93</v>
      </c>
      <c r="Q6202" s="14">
        <v>289.87</v>
      </c>
      <c r="R6202" s="14">
        <v>701.49</v>
      </c>
      <c r="S6202" s="2" t="s">
        <v>6934</v>
      </c>
      <c r="T6202" s="2">
        <v>1.51</v>
      </c>
      <c r="U6202" s="2">
        <v>59.8</v>
      </c>
      <c r="V6202" s="2">
        <v>62</v>
      </c>
      <c r="W6202" s="2" t="s">
        <v>7862</v>
      </c>
      <c r="X6202" s="2" t="s">
        <v>6687</v>
      </c>
      <c r="Y6202" s="2">
        <v>9922</v>
      </c>
      <c r="Z6202" s="19" t="str">
        <f>HYPERLINK("https://ssdweb.co/ssdweb/hd/Vision360.html?d=926010170&amp;zoomslide=1&amp;z=1926010170&amp;ISCONFIRM=0","VIDEO")</f>
        <v>VIDEO</v>
      </c>
      <c r="AA6202" s="19" t="str">
        <f>HYPERLINK("https://ssdweb.co/ssdweb/CERTH/639406145.pdf","CERTI")</f>
        <v>CERTI</v>
      </c>
    </row>
    <row r="6203" spans="1:27" ht="15" x14ac:dyDescent="0.25">
      <c r="A6203" s="2">
        <v>6198</v>
      </c>
      <c r="B6203" s="39">
        <v>831020540</v>
      </c>
      <c r="C6203" s="28" t="str">
        <f>HYPERLINK("https://pld.live/RapDetail.aspx?STONELIST=831020540","DNA")</f>
        <v>DNA</v>
      </c>
      <c r="D6203" s="18" t="s">
        <v>5154</v>
      </c>
      <c r="E6203" s="18" t="s">
        <v>2186</v>
      </c>
      <c r="F6203" s="2" t="s">
        <v>7987</v>
      </c>
      <c r="G6203" s="2" t="s">
        <v>6781</v>
      </c>
      <c r="H6203" s="14">
        <v>2.3199999999999998</v>
      </c>
      <c r="I6203" s="2" t="s">
        <v>6587</v>
      </c>
      <c r="J6203" s="2" t="s">
        <v>444</v>
      </c>
      <c r="K6203" s="2" t="s">
        <v>1452</v>
      </c>
      <c r="L6203" s="2" t="s">
        <v>5221</v>
      </c>
      <c r="M6203" s="2" t="s">
        <v>5221</v>
      </c>
      <c r="N6203" s="2" t="s">
        <v>2317</v>
      </c>
      <c r="O6203" s="14">
        <v>10700</v>
      </c>
      <c r="P6203" s="14">
        <v>98.93</v>
      </c>
      <c r="Q6203" s="14">
        <v>114.49</v>
      </c>
      <c r="R6203" s="14">
        <v>265.62</v>
      </c>
      <c r="S6203" s="2" t="s">
        <v>1944</v>
      </c>
      <c r="T6203" s="2">
        <v>1.6</v>
      </c>
      <c r="U6203" s="2">
        <v>60.5</v>
      </c>
      <c r="V6203" s="2">
        <v>60</v>
      </c>
      <c r="W6203" s="2" t="s">
        <v>7862</v>
      </c>
      <c r="X6203" s="2" t="s">
        <v>6687</v>
      </c>
      <c r="Y6203" s="2">
        <v>24824</v>
      </c>
      <c r="Z6203" s="19" t="str">
        <f>HYPERLINK("https://ssdweb.co/ssdweb/hd/Vision360.html?d=831020540&amp;zoomslide=1&amp;z=1831020540&amp;ISCONFIRM=0","VIDEO")</f>
        <v>VIDEO</v>
      </c>
      <c r="AA6203" s="19" t="str">
        <f>HYPERLINK("https://ssdweb.co/ssdweb/CERTH/597387046.pdf","CERTI")</f>
        <v>CERTI</v>
      </c>
    </row>
    <row r="6204" spans="1:27" ht="15" x14ac:dyDescent="0.25">
      <c r="A6204" s="2">
        <v>6199</v>
      </c>
      <c r="B6204" s="39">
        <v>923260235</v>
      </c>
      <c r="C6204" s="28" t="str">
        <f>HYPERLINK("https://pld.live/RapDetail.aspx?STONELIST=923260235","DNA")</f>
        <v>DNA</v>
      </c>
      <c r="D6204" s="18" t="s">
        <v>5154</v>
      </c>
      <c r="E6204" s="18" t="s">
        <v>2186</v>
      </c>
      <c r="F6204" s="2" t="s">
        <v>7987</v>
      </c>
      <c r="G6204" s="2" t="s">
        <v>6781</v>
      </c>
      <c r="H6204" s="14">
        <v>2.31</v>
      </c>
      <c r="I6204" s="2" t="s">
        <v>6587</v>
      </c>
      <c r="J6204" s="2" t="s">
        <v>5144</v>
      </c>
      <c r="K6204" s="2" t="s">
        <v>1452</v>
      </c>
      <c r="L6204" s="2" t="s">
        <v>5221</v>
      </c>
      <c r="M6204" s="2" t="s">
        <v>5221</v>
      </c>
      <c r="N6204" s="2" t="s">
        <v>2317</v>
      </c>
      <c r="O6204" s="14">
        <v>13000</v>
      </c>
      <c r="P6204" s="14">
        <v>99.08</v>
      </c>
      <c r="Q6204" s="14">
        <v>119.6</v>
      </c>
      <c r="R6204" s="14">
        <v>276.27999999999997</v>
      </c>
      <c r="S6204" s="2" t="s">
        <v>2228</v>
      </c>
      <c r="T6204" s="2">
        <v>1.51</v>
      </c>
      <c r="U6204" s="2">
        <v>63.1</v>
      </c>
      <c r="V6204" s="2">
        <v>60.5</v>
      </c>
      <c r="W6204" s="2" t="s">
        <v>7862</v>
      </c>
      <c r="X6204" s="2" t="s">
        <v>6687</v>
      </c>
      <c r="Y6204" s="2">
        <v>30030</v>
      </c>
      <c r="Z6204" s="19" t="str">
        <f>HYPERLINK("https://ssdweb.co/ssdweb/hd/Vision360.html?d=923260235&amp;zoomslide=1&amp;z=1923260235&amp;ISCONFIRM=0","VIDEO")</f>
        <v>VIDEO</v>
      </c>
      <c r="AA6204" s="19" t="str">
        <f>HYPERLINK("https://ssdweb.co/ssdweb/CERTH/539227738.pdf","CERTI")</f>
        <v>CERTI</v>
      </c>
    </row>
    <row r="6205" spans="1:27" ht="15" x14ac:dyDescent="0.25">
      <c r="A6205" s="2">
        <v>6200</v>
      </c>
      <c r="B6205" s="39">
        <v>925060367</v>
      </c>
      <c r="C6205" s="28" t="str">
        <f>HYPERLINK("https://pld.live/RapDetail.aspx?STONELIST=925060367","DNA")</f>
        <v>DNA</v>
      </c>
      <c r="D6205" s="18" t="s">
        <v>3658</v>
      </c>
      <c r="E6205" s="18" t="s">
        <v>2186</v>
      </c>
      <c r="F6205" s="2" t="s">
        <v>7987</v>
      </c>
      <c r="G6205" s="2" t="s">
        <v>6781</v>
      </c>
      <c r="H6205" s="14">
        <v>2.2599999999999998</v>
      </c>
      <c r="I6205" s="2" t="s">
        <v>6587</v>
      </c>
      <c r="J6205" s="2" t="s">
        <v>13</v>
      </c>
      <c r="K6205" s="2" t="s">
        <v>1452</v>
      </c>
      <c r="L6205" s="2" t="s">
        <v>5221</v>
      </c>
      <c r="M6205" s="2" t="s">
        <v>5221</v>
      </c>
      <c r="N6205" s="2" t="s">
        <v>2317</v>
      </c>
      <c r="O6205" s="14">
        <v>14000</v>
      </c>
      <c r="P6205" s="14">
        <v>99.11</v>
      </c>
      <c r="Q6205" s="14">
        <v>124.6</v>
      </c>
      <c r="R6205" s="14">
        <v>281.60000000000002</v>
      </c>
      <c r="S6205" s="2" t="s">
        <v>3879</v>
      </c>
      <c r="T6205" s="2">
        <v>1.52</v>
      </c>
      <c r="U6205" s="2">
        <v>62.9</v>
      </c>
      <c r="V6205" s="2">
        <v>62</v>
      </c>
      <c r="W6205" s="2" t="s">
        <v>7862</v>
      </c>
      <c r="X6205" s="2" t="s">
        <v>6687</v>
      </c>
      <c r="Y6205" s="2">
        <v>31640</v>
      </c>
      <c r="Z6205" s="19" t="str">
        <f>HYPERLINK("https://ssdweb.co/ssdweb/hd/Vision360.html?d=925060367&amp;zoomslide=1&amp;z=1925060367&amp;ISCONFIRM=0","VIDEO")</f>
        <v>VIDEO</v>
      </c>
      <c r="AA6205" s="19" t="str">
        <f>HYPERLINK("https://ssdweb.co/ssdweb/CERTH/610341111.pdf","CERTI")</f>
        <v>CERTI</v>
      </c>
    </row>
    <row r="6206" spans="1:27" ht="15" x14ac:dyDescent="0.25">
      <c r="A6206" s="2">
        <v>6201</v>
      </c>
      <c r="B6206" s="39">
        <v>831020260</v>
      </c>
      <c r="C6206" s="28" t="str">
        <f>HYPERLINK("https://pld.live/RapDetail.aspx?STONELIST=831020260","DNA")</f>
        <v>DNA</v>
      </c>
      <c r="D6206" s="18" t="s">
        <v>3658</v>
      </c>
      <c r="E6206" s="18" t="s">
        <v>2186</v>
      </c>
      <c r="F6206" s="2" t="s">
        <v>5597</v>
      </c>
      <c r="G6206" s="2" t="s">
        <v>6781</v>
      </c>
      <c r="H6206" s="14">
        <v>2.2599999999999998</v>
      </c>
      <c r="I6206" s="2" t="s">
        <v>6587</v>
      </c>
      <c r="J6206" s="2" t="s">
        <v>13</v>
      </c>
      <c r="K6206" s="2" t="s">
        <v>1452</v>
      </c>
      <c r="L6206" s="2" t="s">
        <v>5221</v>
      </c>
      <c r="M6206" s="2" t="s">
        <v>5721</v>
      </c>
      <c r="N6206" s="2" t="s">
        <v>2317</v>
      </c>
      <c r="O6206" s="14">
        <v>14000</v>
      </c>
      <c r="P6206" s="14">
        <v>98.41</v>
      </c>
      <c r="Q6206" s="14">
        <v>222.6</v>
      </c>
      <c r="R6206" s="14">
        <v>503.08</v>
      </c>
      <c r="S6206" s="2" t="s">
        <v>2076</v>
      </c>
      <c r="T6206" s="2">
        <v>1.48</v>
      </c>
      <c r="U6206" s="2">
        <v>64</v>
      </c>
      <c r="V6206" s="2">
        <v>61</v>
      </c>
      <c r="W6206" s="2" t="s">
        <v>7862</v>
      </c>
      <c r="X6206" s="2" t="s">
        <v>6687</v>
      </c>
      <c r="Y6206" s="2">
        <v>31640</v>
      </c>
      <c r="Z6206" s="19" t="str">
        <f>HYPERLINK("https://ssdweb.co/ssdweb/hd/Vision360.html?d=831020260&amp;zoomslide=1&amp;z=1831020260&amp;ISCONFIRM=0","VIDEO")</f>
        <v>VIDEO</v>
      </c>
      <c r="AA6206" s="19" t="str">
        <f>HYPERLINK("https://ssdweb.co/ssdweb/CERTH/6441419113.pdf","CERTI")</f>
        <v>CERTI</v>
      </c>
    </row>
    <row r="6207" spans="1:27" ht="15" x14ac:dyDescent="0.25">
      <c r="A6207" s="2">
        <v>6202</v>
      </c>
      <c r="B6207" s="39">
        <v>926410425</v>
      </c>
      <c r="C6207" s="28" t="str">
        <f>HYPERLINK("https://pld.live/RapDetail.aspx?STONELIST=926410425","DNA")</f>
        <v>DNA</v>
      </c>
      <c r="D6207" s="18" t="s">
        <v>3658</v>
      </c>
      <c r="E6207" s="18" t="s">
        <v>2186</v>
      </c>
      <c r="F6207" s="2" t="s">
        <v>7987</v>
      </c>
      <c r="G6207" s="2" t="s">
        <v>6781</v>
      </c>
      <c r="H6207" s="14">
        <v>2.23</v>
      </c>
      <c r="I6207" s="2" t="s">
        <v>4761</v>
      </c>
      <c r="J6207" s="2" t="s">
        <v>5144</v>
      </c>
      <c r="K6207" s="2" t="s">
        <v>1452</v>
      </c>
      <c r="L6207" s="2" t="s">
        <v>5221</v>
      </c>
      <c r="M6207" s="2" t="s">
        <v>5221</v>
      </c>
      <c r="N6207" s="2" t="s">
        <v>2317</v>
      </c>
      <c r="O6207" s="14">
        <v>15000</v>
      </c>
      <c r="P6207" s="14">
        <v>99.11</v>
      </c>
      <c r="Q6207" s="14">
        <v>133.5</v>
      </c>
      <c r="R6207" s="14">
        <v>297.70999999999998</v>
      </c>
      <c r="S6207" s="2" t="s">
        <v>6264</v>
      </c>
      <c r="T6207" s="2">
        <v>1.53</v>
      </c>
      <c r="U6207" s="2">
        <v>60</v>
      </c>
      <c r="V6207" s="2">
        <v>60</v>
      </c>
      <c r="W6207" s="2" t="s">
        <v>7862</v>
      </c>
      <c r="X6207" s="2" t="s">
        <v>6687</v>
      </c>
      <c r="Y6207" s="2">
        <v>33450</v>
      </c>
      <c r="Z6207" s="19" t="str">
        <f>HYPERLINK("https://ssdweb.co/ssdweb/hd/Vision360.html?d=926410425&amp;zoomslide=1&amp;z=1926410425&amp;ISCONFIRM=0","VIDEO")</f>
        <v>VIDEO</v>
      </c>
      <c r="AA6207" s="19" t="str">
        <f>HYPERLINK("https://ssdweb.co/ssdweb/CERTH/645461712.pdf","CERTI")</f>
        <v>CERTI</v>
      </c>
    </row>
    <row r="6208" spans="1:27" ht="15" x14ac:dyDescent="0.25">
      <c r="A6208" s="2">
        <v>6203</v>
      </c>
      <c r="B6208" s="39">
        <v>925570099</v>
      </c>
      <c r="C6208" s="28" t="str">
        <f>HYPERLINK("https://pld.live/RapDetail.aspx?STONELIST=925570099","DNA")</f>
        <v>DNA</v>
      </c>
      <c r="D6208" s="18" t="s">
        <v>3658</v>
      </c>
      <c r="E6208" s="18" t="s">
        <v>2186</v>
      </c>
      <c r="F6208" s="2" t="s">
        <v>7987</v>
      </c>
      <c r="G6208" s="2" t="s">
        <v>6781</v>
      </c>
      <c r="H6208" s="14">
        <v>2.23</v>
      </c>
      <c r="I6208" s="2" t="s">
        <v>6845</v>
      </c>
      <c r="J6208" s="2" t="s">
        <v>13</v>
      </c>
      <c r="K6208" s="2" t="s">
        <v>1452</v>
      </c>
      <c r="L6208" s="2" t="s">
        <v>5221</v>
      </c>
      <c r="M6208" s="2" t="s">
        <v>5221</v>
      </c>
      <c r="N6208" s="2" t="s">
        <v>2317</v>
      </c>
      <c r="O6208" s="14">
        <v>4300</v>
      </c>
      <c r="P6208" s="14">
        <v>93.95</v>
      </c>
      <c r="Q6208" s="14">
        <v>260.14999999999998</v>
      </c>
      <c r="R6208" s="14">
        <v>580.13</v>
      </c>
      <c r="S6208" s="2" t="s">
        <v>7668</v>
      </c>
      <c r="T6208" s="2">
        <v>1.53</v>
      </c>
      <c r="U6208" s="2">
        <v>61.9</v>
      </c>
      <c r="V6208" s="2">
        <v>63</v>
      </c>
      <c r="W6208" s="2" t="s">
        <v>7862</v>
      </c>
      <c r="X6208" s="2" t="s">
        <v>6687</v>
      </c>
      <c r="Y6208" s="2">
        <v>9589</v>
      </c>
      <c r="Z6208" s="19" t="str">
        <f>HYPERLINK("https://ssdweb.co/ssdweb/hd/Vision360.html?d=925570099&amp;zoomslide=1&amp;z=1925570099&amp;ISCONFIRM=0","VIDEO")</f>
        <v>VIDEO</v>
      </c>
      <c r="AA6208" s="19" t="str">
        <f>HYPERLINK("https://ssdweb.co/ssdweb/CERTH/625432410.pdf","CERTI")</f>
        <v>CERTI</v>
      </c>
    </row>
    <row r="6209" spans="1:27" ht="15" x14ac:dyDescent="0.25">
      <c r="A6209" s="2">
        <v>6204</v>
      </c>
      <c r="B6209" s="39">
        <v>831020524</v>
      </c>
      <c r="C6209" s="28" t="str">
        <f>HYPERLINK("https://pld.live/RapDetail.aspx?STONELIST=831020524","DNA")</f>
        <v>DNA</v>
      </c>
      <c r="D6209" s="18" t="s">
        <v>3658</v>
      </c>
      <c r="E6209" s="18" t="s">
        <v>2186</v>
      </c>
      <c r="F6209" s="2" t="s">
        <v>7987</v>
      </c>
      <c r="G6209" s="2" t="s">
        <v>6781</v>
      </c>
      <c r="H6209" s="14">
        <v>2.2000000000000002</v>
      </c>
      <c r="I6209" s="2" t="s">
        <v>1505</v>
      </c>
      <c r="J6209" s="2" t="s">
        <v>13</v>
      </c>
      <c r="K6209" s="2" t="s">
        <v>1452</v>
      </c>
      <c r="L6209" s="2" t="s">
        <v>5221</v>
      </c>
      <c r="M6209" s="2" t="s">
        <v>5221</v>
      </c>
      <c r="N6209" s="2" t="s">
        <v>2317</v>
      </c>
      <c r="O6209" s="14">
        <v>11500</v>
      </c>
      <c r="P6209" s="14">
        <v>98.97</v>
      </c>
      <c r="Q6209" s="14">
        <v>118.45</v>
      </c>
      <c r="R6209" s="14">
        <v>260.58999999999997</v>
      </c>
      <c r="S6209" s="2" t="s">
        <v>661</v>
      </c>
      <c r="T6209" s="2">
        <v>1.49</v>
      </c>
      <c r="U6209" s="2">
        <v>63.6</v>
      </c>
      <c r="V6209" s="2">
        <v>62.5</v>
      </c>
      <c r="W6209" s="2" t="s">
        <v>8016</v>
      </c>
      <c r="X6209" s="2" t="s">
        <v>6687</v>
      </c>
      <c r="Y6209" s="2">
        <v>25300</v>
      </c>
      <c r="Z6209" s="19" t="str">
        <f>HYPERLINK("https://ssdweb.co/ssdweb/hd/Vision360.html?d=831020524&amp;zoomslide=1&amp;z=1831020524&amp;ISCONFIRM=0","VIDEO")</f>
        <v>VIDEO</v>
      </c>
      <c r="AA6209" s="19" t="str">
        <f>HYPERLINK("https://ssdweb.co/ssdweb/CERTH/538297790.pdf","CERTI")</f>
        <v>CERTI</v>
      </c>
    </row>
    <row r="6210" spans="1:27" ht="15" x14ac:dyDescent="0.25">
      <c r="A6210" s="2">
        <v>6205</v>
      </c>
      <c r="B6210" s="39">
        <v>821115760</v>
      </c>
      <c r="C6210" s="28" t="str">
        <f>HYPERLINK("https://pld.live/RapDetail.aspx?STONELIST=821115760","DNA")</f>
        <v>DNA</v>
      </c>
      <c r="D6210" s="18" t="s">
        <v>3658</v>
      </c>
      <c r="E6210" s="18" t="s">
        <v>2186</v>
      </c>
      <c r="F6210" s="2" t="s">
        <v>7987</v>
      </c>
      <c r="G6210" s="2" t="s">
        <v>6781</v>
      </c>
      <c r="H6210" s="14">
        <v>2.1800000000000002</v>
      </c>
      <c r="I6210" s="2" t="s">
        <v>6587</v>
      </c>
      <c r="J6210" s="2" t="s">
        <v>5144</v>
      </c>
      <c r="K6210" s="2" t="s">
        <v>1452</v>
      </c>
      <c r="L6210" s="2" t="s">
        <v>5221</v>
      </c>
      <c r="M6210" s="2" t="s">
        <v>5221</v>
      </c>
      <c r="N6210" s="2" t="s">
        <v>1452</v>
      </c>
      <c r="O6210" s="14">
        <v>13000</v>
      </c>
      <c r="P6210" s="14">
        <v>99.05</v>
      </c>
      <c r="Q6210" s="14">
        <v>123.5</v>
      </c>
      <c r="R6210" s="14">
        <v>269.23</v>
      </c>
      <c r="S6210" s="2" t="s">
        <v>5374</v>
      </c>
      <c r="T6210" s="2">
        <v>1.61</v>
      </c>
      <c r="U6210" s="2">
        <v>62.4</v>
      </c>
      <c r="V6210" s="2">
        <v>59</v>
      </c>
      <c r="W6210" s="2" t="s">
        <v>7862</v>
      </c>
      <c r="X6210" s="2" t="s">
        <v>6687</v>
      </c>
      <c r="Y6210" s="2">
        <v>28340</v>
      </c>
      <c r="Z6210" s="19" t="str">
        <f>HYPERLINK("https://ssdweb.co/ssdweb/hd/Vision360.html?d=821115760&amp;zoomslide=1&amp;z=1821115760&amp;ISCONFIRM=0","VIDEO")</f>
        <v>VIDEO</v>
      </c>
      <c r="AA6210" s="19" t="str">
        <f>HYPERLINK("https://ssdweb.co/ssdweb/CERTH/595393945.pdf","CERTI")</f>
        <v>CERTI</v>
      </c>
    </row>
    <row r="6211" spans="1:27" ht="15" x14ac:dyDescent="0.25">
      <c r="A6211" s="2">
        <v>6206</v>
      </c>
      <c r="B6211" s="39">
        <v>831020530</v>
      </c>
      <c r="C6211" s="28" t="str">
        <f>HYPERLINK("https://pld.live/RapDetail.aspx?STONELIST=831020530","DNA")</f>
        <v>DNA</v>
      </c>
      <c r="D6211" s="18" t="s">
        <v>3658</v>
      </c>
      <c r="E6211" s="18" t="s">
        <v>2186</v>
      </c>
      <c r="F6211" s="2" t="s">
        <v>5597</v>
      </c>
      <c r="G6211" s="2" t="s">
        <v>6781</v>
      </c>
      <c r="H6211" s="14">
        <v>2.14</v>
      </c>
      <c r="I6211" s="2" t="s">
        <v>4699</v>
      </c>
      <c r="J6211" s="2" t="s">
        <v>5144</v>
      </c>
      <c r="K6211" s="2" t="s">
        <v>1452</v>
      </c>
      <c r="L6211" s="2" t="s">
        <v>5221</v>
      </c>
      <c r="M6211" s="2" t="s">
        <v>5221</v>
      </c>
      <c r="N6211" s="2" t="s">
        <v>2317</v>
      </c>
      <c r="O6211" s="14">
        <v>14000</v>
      </c>
      <c r="P6211" s="14">
        <v>98.39</v>
      </c>
      <c r="Q6211" s="14">
        <v>225.4</v>
      </c>
      <c r="R6211" s="14">
        <v>482.36</v>
      </c>
      <c r="S6211" s="2" t="s">
        <v>4996</v>
      </c>
      <c r="T6211" s="2">
        <v>1.53</v>
      </c>
      <c r="U6211" s="2">
        <v>62.1</v>
      </c>
      <c r="V6211" s="2">
        <v>62</v>
      </c>
      <c r="W6211" s="2" t="s">
        <v>7862</v>
      </c>
      <c r="X6211" s="2" t="s">
        <v>6687</v>
      </c>
      <c r="Y6211" s="2">
        <v>29960</v>
      </c>
      <c r="Z6211" s="19" t="str">
        <f>HYPERLINK("https://ssdweb.co/ssdweb/hd/Vision360.html?d=831020530&amp;zoomslide=1&amp;z=1831020530&amp;ISCONFIRM=0","VIDEO")</f>
        <v>VIDEO</v>
      </c>
      <c r="AA6211" s="19" t="str">
        <f>HYPERLINK("https://ssdweb.co/ssdweb/CERTH/6452553014.pdf","CERTI")</f>
        <v>CERTI</v>
      </c>
    </row>
    <row r="6212" spans="1:27" ht="15" x14ac:dyDescent="0.25">
      <c r="A6212" s="2">
        <v>6207</v>
      </c>
      <c r="B6212" s="39">
        <v>831020520</v>
      </c>
      <c r="C6212" s="28" t="str">
        <f>HYPERLINK("https://pld.live/RapDetail.aspx?STONELIST=831020520","DNA")</f>
        <v>DNA</v>
      </c>
      <c r="D6212" s="18" t="s">
        <v>3658</v>
      </c>
      <c r="E6212" s="18" t="s">
        <v>2186</v>
      </c>
      <c r="F6212" s="2" t="s">
        <v>7987</v>
      </c>
      <c r="G6212" s="2" t="s">
        <v>6781</v>
      </c>
      <c r="H6212" s="14">
        <v>2.1</v>
      </c>
      <c r="I6212" s="2" t="s">
        <v>6587</v>
      </c>
      <c r="J6212" s="2" t="s">
        <v>13</v>
      </c>
      <c r="K6212" s="2" t="s">
        <v>1452</v>
      </c>
      <c r="L6212" s="2" t="s">
        <v>5221</v>
      </c>
      <c r="M6212" s="2" t="s">
        <v>5221</v>
      </c>
      <c r="N6212" s="2" t="s">
        <v>2317</v>
      </c>
      <c r="O6212" s="14">
        <v>14000</v>
      </c>
      <c r="P6212" s="14">
        <v>99.11</v>
      </c>
      <c r="Q6212" s="14">
        <v>124.6</v>
      </c>
      <c r="R6212" s="14">
        <v>261.66000000000003</v>
      </c>
      <c r="S6212" s="2" t="s">
        <v>3614</v>
      </c>
      <c r="T6212" s="2">
        <v>1.57</v>
      </c>
      <c r="U6212" s="2">
        <v>61.8</v>
      </c>
      <c r="V6212" s="2">
        <v>61</v>
      </c>
      <c r="W6212" s="2" t="s">
        <v>7862</v>
      </c>
      <c r="X6212" s="2" t="s">
        <v>6687</v>
      </c>
      <c r="Y6212" s="2">
        <v>29400</v>
      </c>
      <c r="Z6212" s="19" t="str">
        <f>HYPERLINK("https://ssdweb.co/ssdweb/hd/Vision360.html?d=831020520&amp;zoomslide=1&amp;z=1831020520&amp;ISCONFIRM=0","VIDEO")</f>
        <v>VIDEO</v>
      </c>
      <c r="AA6212" s="19" t="str">
        <f>HYPERLINK("https://ssdweb.co/ssdweb/CERTH/592323163.pdf","CERTI")</f>
        <v>CERTI</v>
      </c>
    </row>
    <row r="6213" spans="1:27" ht="15" x14ac:dyDescent="0.25">
      <c r="A6213" s="2">
        <v>6208</v>
      </c>
      <c r="B6213" s="39">
        <v>925690220</v>
      </c>
      <c r="C6213" s="28" t="str">
        <f>HYPERLINK("https://pld.live/RapDetail.aspx?STONELIST=925690220","DNA")</f>
        <v>DNA</v>
      </c>
      <c r="D6213" s="18" t="s">
        <v>3658</v>
      </c>
      <c r="E6213" s="18" t="s">
        <v>2186</v>
      </c>
      <c r="F6213" s="2" t="s">
        <v>5597</v>
      </c>
      <c r="G6213" s="2" t="s">
        <v>6781</v>
      </c>
      <c r="H6213" s="14">
        <v>2.1</v>
      </c>
      <c r="I6213" s="2" t="s">
        <v>6587</v>
      </c>
      <c r="J6213" s="2" t="s">
        <v>13</v>
      </c>
      <c r="K6213" s="2" t="s">
        <v>1452</v>
      </c>
      <c r="L6213" s="2" t="s">
        <v>5221</v>
      </c>
      <c r="M6213" s="2" t="s">
        <v>5221</v>
      </c>
      <c r="N6213" s="2" t="s">
        <v>2317</v>
      </c>
      <c r="O6213" s="14">
        <v>14000</v>
      </c>
      <c r="P6213" s="14">
        <v>98.39</v>
      </c>
      <c r="Q6213" s="14">
        <v>225.4</v>
      </c>
      <c r="R6213" s="14">
        <v>473.34</v>
      </c>
      <c r="S6213" s="2" t="s">
        <v>813</v>
      </c>
      <c r="T6213" s="2">
        <v>1.63</v>
      </c>
      <c r="U6213" s="2">
        <v>59.8</v>
      </c>
      <c r="V6213" s="2">
        <v>58</v>
      </c>
      <c r="W6213" s="2" t="s">
        <v>7862</v>
      </c>
      <c r="X6213" s="2" t="s">
        <v>6687</v>
      </c>
      <c r="Y6213" s="2">
        <v>29400</v>
      </c>
      <c r="Z6213" s="19" t="str">
        <f>HYPERLINK("https://ssdweb.co/ssdweb/hd/Vision360.html?d=925690220&amp;zoomslide=1&amp;z=1925690220&amp;ISCONFIRM=0","VIDEO")</f>
        <v>VIDEO</v>
      </c>
      <c r="AA6213" s="19" t="str">
        <f>HYPERLINK("https://ssdweb.co/ssdweb/CERTH/6485902138.pdf","CERTI")</f>
        <v>CERTI</v>
      </c>
    </row>
    <row r="6214" spans="1:27" ht="15" x14ac:dyDescent="0.25">
      <c r="A6214" s="2">
        <v>6209</v>
      </c>
      <c r="B6214" s="39">
        <v>925060049</v>
      </c>
      <c r="C6214" s="28" t="str">
        <f>HYPERLINK("https://pld.live/RapDetail.aspx?STONELIST=925060049","DNA")</f>
        <v>DNA</v>
      </c>
      <c r="D6214" s="18" t="s">
        <v>3658</v>
      </c>
      <c r="E6214" s="18" t="s">
        <v>2186</v>
      </c>
      <c r="F6214" s="2" t="s">
        <v>7987</v>
      </c>
      <c r="G6214" s="2" t="s">
        <v>6781</v>
      </c>
      <c r="H6214" s="14">
        <v>2.1</v>
      </c>
      <c r="I6214" s="2" t="s">
        <v>6587</v>
      </c>
      <c r="J6214" s="2" t="s">
        <v>5144</v>
      </c>
      <c r="K6214" s="2" t="s">
        <v>1452</v>
      </c>
      <c r="L6214" s="2" t="s">
        <v>5221</v>
      </c>
      <c r="M6214" s="2" t="s">
        <v>5221</v>
      </c>
      <c r="N6214" s="2" t="s">
        <v>2317</v>
      </c>
      <c r="O6214" s="14">
        <v>13000</v>
      </c>
      <c r="P6214" s="14">
        <v>99.08</v>
      </c>
      <c r="Q6214" s="14">
        <v>119.6</v>
      </c>
      <c r="R6214" s="14">
        <v>251.16</v>
      </c>
      <c r="S6214" s="2" t="s">
        <v>3475</v>
      </c>
      <c r="T6214" s="2">
        <v>1.53</v>
      </c>
      <c r="U6214" s="2">
        <v>61.3</v>
      </c>
      <c r="V6214" s="2">
        <v>62</v>
      </c>
      <c r="W6214" s="2" t="s">
        <v>7862</v>
      </c>
      <c r="X6214" s="2" t="s">
        <v>6687</v>
      </c>
      <c r="Y6214" s="2">
        <v>27300</v>
      </c>
      <c r="Z6214" s="19" t="str">
        <f>HYPERLINK("https://ssdweb.co/ssdweb/hd/Vision360.html?d=925060049&amp;zoomslide=1&amp;z=1925060049&amp;ISCONFIRM=0","VIDEO")</f>
        <v>VIDEO</v>
      </c>
      <c r="AA6214" s="19" t="str">
        <f>HYPERLINK("https://ssdweb.co/ssdweb/CERTH/605359939.pdf","CERTI")</f>
        <v>CERTI</v>
      </c>
    </row>
    <row r="6215" spans="1:27" ht="15" x14ac:dyDescent="0.25">
      <c r="A6215" s="2">
        <v>6210</v>
      </c>
      <c r="B6215" s="39">
        <v>924950113</v>
      </c>
      <c r="C6215" s="28" t="str">
        <f>HYPERLINK("https://pld.live/RapDetail.aspx?STONELIST=924950113","DNA")</f>
        <v>DNA</v>
      </c>
      <c r="D6215" s="18" t="s">
        <v>3658</v>
      </c>
      <c r="E6215" s="18" t="s">
        <v>2186</v>
      </c>
      <c r="F6215" s="2" t="s">
        <v>7987</v>
      </c>
      <c r="G6215" s="2" t="s">
        <v>6781</v>
      </c>
      <c r="H6215" s="14">
        <v>2.0699999999999998</v>
      </c>
      <c r="I6215" s="2" t="s">
        <v>1505</v>
      </c>
      <c r="J6215" s="2" t="s">
        <v>3942</v>
      </c>
      <c r="K6215" s="2" t="s">
        <v>1452</v>
      </c>
      <c r="L6215" s="2" t="s">
        <v>5221</v>
      </c>
      <c r="M6215" s="2" t="s">
        <v>5221</v>
      </c>
      <c r="N6215" s="2" t="s">
        <v>2317</v>
      </c>
      <c r="O6215" s="14">
        <v>12000</v>
      </c>
      <c r="P6215" s="14">
        <v>98.92</v>
      </c>
      <c r="Q6215" s="14">
        <v>129.6</v>
      </c>
      <c r="R6215" s="14">
        <v>268.27</v>
      </c>
      <c r="S6215" s="2" t="s">
        <v>1981</v>
      </c>
      <c r="T6215" s="2">
        <v>1.55</v>
      </c>
      <c r="U6215" s="2">
        <v>59.9</v>
      </c>
      <c r="V6215" s="2">
        <v>61</v>
      </c>
      <c r="W6215" s="2" t="s">
        <v>7862</v>
      </c>
      <c r="X6215" s="2" t="s">
        <v>6687</v>
      </c>
      <c r="Y6215" s="2">
        <v>24840</v>
      </c>
      <c r="Z6215" s="19" t="str">
        <f>HYPERLINK("https://ssdweb.co/ssdweb/hd/Vision360.html?d=924950113&amp;zoomslide=1&amp;z=1924950113&amp;ISCONFIRM=0","VIDEO")</f>
        <v>VIDEO</v>
      </c>
      <c r="AA6215" s="19" t="str">
        <f>HYPERLINK("https://ssdweb.co/ssdweb/CERTH/602361376.pdf","CERTI")</f>
        <v>CERTI</v>
      </c>
    </row>
    <row r="6216" spans="1:27" ht="15" x14ac:dyDescent="0.25">
      <c r="A6216" s="2">
        <v>6211</v>
      </c>
      <c r="B6216" s="39">
        <v>831020529</v>
      </c>
      <c r="C6216" s="28" t="str">
        <f>HYPERLINK("https://pld.live/RapDetail.aspx?STONELIST=831020529","DNA")</f>
        <v>DNA</v>
      </c>
      <c r="D6216" s="18" t="s">
        <v>3658</v>
      </c>
      <c r="E6216" s="18" t="s">
        <v>2186</v>
      </c>
      <c r="F6216" s="2" t="s">
        <v>7987</v>
      </c>
      <c r="G6216" s="2" t="s">
        <v>6781</v>
      </c>
      <c r="H6216" s="14">
        <v>2.0499999999999998</v>
      </c>
      <c r="I6216" s="2" t="s">
        <v>4699</v>
      </c>
      <c r="J6216" s="2" t="s">
        <v>5144</v>
      </c>
      <c r="K6216" s="2" t="s">
        <v>1452</v>
      </c>
      <c r="L6216" s="2" t="s">
        <v>5221</v>
      </c>
      <c r="M6216" s="2" t="s">
        <v>5221</v>
      </c>
      <c r="N6216" s="2" t="s">
        <v>2317</v>
      </c>
      <c r="O6216" s="14">
        <v>14000</v>
      </c>
      <c r="P6216" s="14">
        <v>99.11</v>
      </c>
      <c r="Q6216" s="14">
        <v>124.6</v>
      </c>
      <c r="R6216" s="14">
        <v>255.43</v>
      </c>
      <c r="S6216" s="2" t="s">
        <v>1835</v>
      </c>
      <c r="T6216" s="2">
        <v>1.53</v>
      </c>
      <c r="U6216" s="2">
        <v>62</v>
      </c>
      <c r="V6216" s="2">
        <v>60</v>
      </c>
      <c r="W6216" s="2" t="s">
        <v>7862</v>
      </c>
      <c r="X6216" s="2" t="s">
        <v>6687</v>
      </c>
      <c r="Y6216" s="2">
        <v>28700</v>
      </c>
      <c r="Z6216" s="19" t="str">
        <f>HYPERLINK("https://ssdweb.co/ssdweb/hd/Vision360.html?d=831020529&amp;zoomslide=1&amp;z=1831020529&amp;ISCONFIRM=0","VIDEO")</f>
        <v>VIDEO</v>
      </c>
      <c r="AA6216" s="19" t="str">
        <f>HYPERLINK("https://ssdweb.co/ssdweb/CERTH/623449253.pdf","CERTI")</f>
        <v>CERTI</v>
      </c>
    </row>
    <row r="6217" spans="1:27" ht="15" x14ac:dyDescent="0.25">
      <c r="A6217" s="2">
        <v>6212</v>
      </c>
      <c r="B6217" s="39">
        <v>925700227</v>
      </c>
      <c r="C6217" s="28" t="str">
        <f>HYPERLINK("https://pld.live/RapDetail.aspx?STONELIST=925700227","DNA")</f>
        <v>DNA</v>
      </c>
      <c r="D6217" s="18" t="s">
        <v>3658</v>
      </c>
      <c r="E6217" s="18" t="s">
        <v>2186</v>
      </c>
      <c r="F6217" s="2" t="s">
        <v>7987</v>
      </c>
      <c r="G6217" s="2" t="s">
        <v>6781</v>
      </c>
      <c r="H6217" s="14">
        <v>2.0499999999999998</v>
      </c>
      <c r="I6217" s="2" t="s">
        <v>6587</v>
      </c>
      <c r="J6217" s="2" t="s">
        <v>13</v>
      </c>
      <c r="K6217" s="2" t="s">
        <v>1452</v>
      </c>
      <c r="L6217" s="2" t="s">
        <v>5221</v>
      </c>
      <c r="M6217" s="2" t="s">
        <v>5221</v>
      </c>
      <c r="N6217" s="2" t="s">
        <v>2317</v>
      </c>
      <c r="O6217" s="14">
        <v>14000</v>
      </c>
      <c r="P6217" s="14">
        <v>99.11</v>
      </c>
      <c r="Q6217" s="14">
        <v>124.6</v>
      </c>
      <c r="R6217" s="14">
        <v>255.43</v>
      </c>
      <c r="S6217" s="2" t="s">
        <v>7044</v>
      </c>
      <c r="T6217" s="2">
        <v>1.53</v>
      </c>
      <c r="U6217" s="2">
        <v>61.1</v>
      </c>
      <c r="V6217" s="2">
        <v>62</v>
      </c>
      <c r="W6217" s="2" t="s">
        <v>7862</v>
      </c>
      <c r="X6217" s="2" t="s">
        <v>6687</v>
      </c>
      <c r="Y6217" s="2">
        <v>28700</v>
      </c>
      <c r="Z6217" s="19" t="str">
        <f>HYPERLINK("https://ssdweb.co/ssdweb/hd/Vision360.html?d=925700227&amp;zoomslide=1&amp;z=1925700227&amp;ISCONFIRM=0","VIDEO")</f>
        <v>VIDEO</v>
      </c>
      <c r="AA6217" s="19" t="str">
        <f>HYPERLINK("https://ssdweb.co/ssdweb/CERTH/626427531.pdf","CERTI")</f>
        <v>CERTI</v>
      </c>
    </row>
    <row r="6218" spans="1:27" ht="15" x14ac:dyDescent="0.25">
      <c r="A6218" s="2">
        <v>6213</v>
      </c>
      <c r="B6218" s="39">
        <v>925680169</v>
      </c>
      <c r="C6218" s="28" t="str">
        <f>HYPERLINK("https://pld.live/RapDetail.aspx?STONELIST=925680169","DNA")</f>
        <v>DNA</v>
      </c>
      <c r="D6218" s="18" t="s">
        <v>3658</v>
      </c>
      <c r="E6218" s="18" t="s">
        <v>2186</v>
      </c>
      <c r="F6218" s="2" t="s">
        <v>7987</v>
      </c>
      <c r="G6218" s="2" t="s">
        <v>6781</v>
      </c>
      <c r="H6218" s="14">
        <v>2.0499999999999998</v>
      </c>
      <c r="I6218" s="2" t="s">
        <v>6587</v>
      </c>
      <c r="J6218" s="2" t="s">
        <v>5144</v>
      </c>
      <c r="K6218" s="2" t="s">
        <v>1452</v>
      </c>
      <c r="L6218" s="2" t="s">
        <v>5221</v>
      </c>
      <c r="M6218" s="2" t="s">
        <v>5221</v>
      </c>
      <c r="N6218" s="2" t="s">
        <v>2317</v>
      </c>
      <c r="O6218" s="14">
        <v>13000</v>
      </c>
      <c r="P6218" s="14">
        <v>99.08</v>
      </c>
      <c r="Q6218" s="14">
        <v>119.6</v>
      </c>
      <c r="R6218" s="14">
        <v>245.18</v>
      </c>
      <c r="S6218" s="2" t="s">
        <v>5706</v>
      </c>
      <c r="T6218" s="2">
        <v>1.55</v>
      </c>
      <c r="U6218" s="2">
        <v>61.6</v>
      </c>
      <c r="V6218" s="2">
        <v>60</v>
      </c>
      <c r="W6218" s="2" t="s">
        <v>7862</v>
      </c>
      <c r="X6218" s="2" t="s">
        <v>6687</v>
      </c>
      <c r="Y6218" s="2">
        <v>26650</v>
      </c>
      <c r="Z6218" s="19" t="str">
        <f>HYPERLINK("https://ssdweb.co/ssdweb/hd/Vision360.html?d=925680169&amp;zoomslide=1&amp;z=1925680169&amp;ISCONFIRM=0","VIDEO")</f>
        <v>VIDEO</v>
      </c>
      <c r="AA6218" s="19" t="str">
        <f>HYPERLINK("https://ssdweb.co/ssdweb/CERTH/626457282.pdf","CERTI")</f>
        <v>CERTI</v>
      </c>
    </row>
    <row r="6219" spans="1:27" ht="15" x14ac:dyDescent="0.25">
      <c r="A6219" s="2">
        <v>6214</v>
      </c>
      <c r="B6219" s="39">
        <v>926010234</v>
      </c>
      <c r="C6219" s="28" t="str">
        <f>HYPERLINK("https://pld.live/RapDetail.aspx?STONELIST=926010234","DNA")</f>
        <v>DNA</v>
      </c>
      <c r="D6219" s="18" t="s">
        <v>3658</v>
      </c>
      <c r="E6219" s="18" t="s">
        <v>2186</v>
      </c>
      <c r="F6219" s="2" t="s">
        <v>7987</v>
      </c>
      <c r="G6219" s="2" t="s">
        <v>6781</v>
      </c>
      <c r="H6219" s="14">
        <v>2.0499999999999998</v>
      </c>
      <c r="I6219" s="2" t="s">
        <v>3412</v>
      </c>
      <c r="J6219" s="2" t="s">
        <v>13</v>
      </c>
      <c r="K6219" s="2" t="s">
        <v>1452</v>
      </c>
      <c r="L6219" s="2" t="s">
        <v>5221</v>
      </c>
      <c r="M6219" s="2" t="s">
        <v>5221</v>
      </c>
      <c r="N6219" s="2" t="s">
        <v>924</v>
      </c>
      <c r="O6219" s="14">
        <v>4300</v>
      </c>
      <c r="P6219" s="14">
        <v>93.95</v>
      </c>
      <c r="Q6219" s="14">
        <v>260.14999999999998</v>
      </c>
      <c r="R6219" s="14">
        <v>533.30999999999995</v>
      </c>
      <c r="S6219" s="2" t="s">
        <v>7848</v>
      </c>
      <c r="T6219" s="2">
        <v>1.53</v>
      </c>
      <c r="U6219" s="2">
        <v>61.6</v>
      </c>
      <c r="V6219" s="2">
        <v>60</v>
      </c>
      <c r="W6219" s="2" t="s">
        <v>7862</v>
      </c>
      <c r="X6219" s="2" t="s">
        <v>6687</v>
      </c>
      <c r="Y6219" s="2">
        <v>8815</v>
      </c>
      <c r="Z6219" s="19" t="str">
        <f>HYPERLINK("https://ssdweb.co/ssdweb/hd/Vision360.html?d=926010234&amp;zoomslide=1&amp;z=1926010234&amp;ISCONFIRM=0","VIDEO")</f>
        <v>VIDEO</v>
      </c>
      <c r="AA6219" s="19" t="str">
        <f>HYPERLINK("https://ssdweb.co/ssdweb/CERTH/635427155.pdf","CERTI")</f>
        <v>CERTI</v>
      </c>
    </row>
    <row r="6220" spans="1:27" ht="15" x14ac:dyDescent="0.25">
      <c r="A6220" s="2">
        <v>6215</v>
      </c>
      <c r="B6220" s="39">
        <v>925610349</v>
      </c>
      <c r="C6220" s="28" t="str">
        <f>HYPERLINK("https://pld.live/RapDetail.aspx?STONELIST=925610349","DNA")</f>
        <v>DNA</v>
      </c>
      <c r="D6220" s="18" t="s">
        <v>3658</v>
      </c>
      <c r="E6220" s="18" t="s">
        <v>2186</v>
      </c>
      <c r="F6220" s="2" t="s">
        <v>7987</v>
      </c>
      <c r="G6220" s="2" t="s">
        <v>6781</v>
      </c>
      <c r="H6220" s="14">
        <v>2.04</v>
      </c>
      <c r="I6220" s="2" t="s">
        <v>4761</v>
      </c>
      <c r="J6220" s="2" t="s">
        <v>13</v>
      </c>
      <c r="K6220" s="2" t="s">
        <v>1452</v>
      </c>
      <c r="L6220" s="2" t="s">
        <v>5221</v>
      </c>
      <c r="M6220" s="2" t="s">
        <v>5221</v>
      </c>
      <c r="N6220" s="2" t="s">
        <v>2317</v>
      </c>
      <c r="O6220" s="14">
        <v>16000</v>
      </c>
      <c r="P6220" s="14">
        <v>99.16</v>
      </c>
      <c r="Q6220" s="14">
        <v>134.4</v>
      </c>
      <c r="R6220" s="14">
        <v>274.18</v>
      </c>
      <c r="S6220" s="2" t="s">
        <v>1431</v>
      </c>
      <c r="T6220" s="2">
        <v>1.62</v>
      </c>
      <c r="U6220" s="2">
        <v>61.3</v>
      </c>
      <c r="V6220" s="2">
        <v>62</v>
      </c>
      <c r="W6220" s="2" t="s">
        <v>7862</v>
      </c>
      <c r="X6220" s="2" t="s">
        <v>6687</v>
      </c>
      <c r="Y6220" s="2">
        <v>32640</v>
      </c>
      <c r="Z6220" s="19" t="str">
        <f>HYPERLINK("https://ssdweb.co/ssdweb/hd/Vision360.html?d=925610349&amp;zoomslide=1&amp;z=1925610349&amp;ISCONFIRM=0","VIDEO")</f>
        <v>VIDEO</v>
      </c>
      <c r="AA6220" s="19" t="str">
        <f>HYPERLINK("https://ssdweb.co/ssdweb/CERTH/623446070.pdf","CERTI")</f>
        <v>CERTI</v>
      </c>
    </row>
    <row r="6221" spans="1:27" ht="15" x14ac:dyDescent="0.25">
      <c r="A6221" s="2">
        <v>6216</v>
      </c>
      <c r="B6221" s="39">
        <v>923230145</v>
      </c>
      <c r="C6221" s="28" t="str">
        <f>HYPERLINK("https://pld.live/RapDetail.aspx?STONELIST=923230145","DNA")</f>
        <v>DNA</v>
      </c>
      <c r="D6221" s="18" t="s">
        <v>3658</v>
      </c>
      <c r="E6221" s="18" t="s">
        <v>2186</v>
      </c>
      <c r="F6221" s="2" t="s">
        <v>5597</v>
      </c>
      <c r="G6221" s="2" t="s">
        <v>6781</v>
      </c>
      <c r="H6221" s="14">
        <v>2.04</v>
      </c>
      <c r="I6221" s="2" t="s">
        <v>6587</v>
      </c>
      <c r="J6221" s="2" t="s">
        <v>13</v>
      </c>
      <c r="K6221" s="2" t="s">
        <v>1452</v>
      </c>
      <c r="L6221" s="2" t="s">
        <v>5221</v>
      </c>
      <c r="M6221" s="2" t="s">
        <v>5221</v>
      </c>
      <c r="N6221" s="2" t="s">
        <v>2317</v>
      </c>
      <c r="O6221" s="14">
        <v>14000</v>
      </c>
      <c r="P6221" s="14">
        <v>98.39</v>
      </c>
      <c r="Q6221" s="14">
        <v>225.4</v>
      </c>
      <c r="R6221" s="14">
        <v>459.82</v>
      </c>
      <c r="S6221" s="2" t="s">
        <v>5363</v>
      </c>
      <c r="T6221" s="2">
        <v>1.48</v>
      </c>
      <c r="U6221" s="2">
        <v>64</v>
      </c>
      <c r="V6221" s="2">
        <v>61</v>
      </c>
      <c r="W6221" s="2" t="s">
        <v>7862</v>
      </c>
      <c r="X6221" s="2" t="s">
        <v>6687</v>
      </c>
      <c r="Y6221" s="2">
        <v>28560</v>
      </c>
      <c r="Z6221" s="19" t="str">
        <f>HYPERLINK("https://ssdweb.co/ssdweb/hd/Vision360.html?d=923230145&amp;zoomslide=1&amp;z=1923230145&amp;ISCONFIRM=0","VIDEO")</f>
        <v>VIDEO</v>
      </c>
      <c r="AA6221" s="19" t="str">
        <f>HYPERLINK("https://ssdweb.co/ssdweb/CERTH/6441007098.pdf","CERTI")</f>
        <v>CERTI</v>
      </c>
    </row>
    <row r="6222" spans="1:27" ht="15" x14ac:dyDescent="0.25">
      <c r="A6222" s="2">
        <v>6217</v>
      </c>
      <c r="B6222" s="39">
        <v>925700181</v>
      </c>
      <c r="C6222" s="28" t="str">
        <f>HYPERLINK("https://pld.live/RapDetail.aspx?STONELIST=925700181","DNA")</f>
        <v>DNA</v>
      </c>
      <c r="D6222" s="18" t="s">
        <v>3658</v>
      </c>
      <c r="E6222" s="18" t="s">
        <v>2186</v>
      </c>
      <c r="F6222" s="2" t="s">
        <v>7987</v>
      </c>
      <c r="G6222" s="2" t="s">
        <v>6781</v>
      </c>
      <c r="H6222" s="14">
        <v>2.04</v>
      </c>
      <c r="I6222" s="2" t="s">
        <v>6587</v>
      </c>
      <c r="J6222" s="2" t="s">
        <v>13</v>
      </c>
      <c r="K6222" s="2" t="s">
        <v>1452</v>
      </c>
      <c r="L6222" s="2" t="s">
        <v>5221</v>
      </c>
      <c r="M6222" s="2" t="s">
        <v>5221</v>
      </c>
      <c r="N6222" s="2" t="s">
        <v>2317</v>
      </c>
      <c r="O6222" s="14">
        <v>14000</v>
      </c>
      <c r="P6222" s="14">
        <v>99.11</v>
      </c>
      <c r="Q6222" s="14">
        <v>124.6</v>
      </c>
      <c r="R6222" s="14">
        <v>254.18</v>
      </c>
      <c r="S6222" s="2" t="s">
        <v>4072</v>
      </c>
      <c r="T6222" s="2">
        <v>1.53</v>
      </c>
      <c r="U6222" s="2">
        <v>61.3</v>
      </c>
      <c r="V6222" s="2">
        <v>62</v>
      </c>
      <c r="W6222" s="2" t="s">
        <v>7862</v>
      </c>
      <c r="X6222" s="2" t="s">
        <v>6687</v>
      </c>
      <c r="Y6222" s="2">
        <v>28560</v>
      </c>
      <c r="Z6222" s="19" t="str">
        <f>HYPERLINK("https://ssdweb.co/ssdweb/hd/Vision360.html?d=925700181&amp;zoomslide=1&amp;z=1925700181&amp;ISCONFIRM=0","VIDEO")</f>
        <v>VIDEO</v>
      </c>
      <c r="AA6222" s="19" t="str">
        <f>HYPERLINK("https://ssdweb.co/ssdweb/CERTH/626427532.pdf","CERTI")</f>
        <v>CERTI</v>
      </c>
    </row>
    <row r="6223" spans="1:27" ht="15" x14ac:dyDescent="0.25">
      <c r="A6223" s="2">
        <v>6218</v>
      </c>
      <c r="B6223" s="39">
        <v>941120568</v>
      </c>
      <c r="C6223" s="28" t="str">
        <f>HYPERLINK("https://pld.live/RapDetail.aspx?STONELIST=941120568","DNA")</f>
        <v>DNA</v>
      </c>
      <c r="D6223" s="18" t="s">
        <v>3658</v>
      </c>
      <c r="E6223" s="18" t="s">
        <v>2186</v>
      </c>
      <c r="F6223" s="2" t="s">
        <v>7987</v>
      </c>
      <c r="G6223" s="2" t="s">
        <v>6781</v>
      </c>
      <c r="H6223" s="14">
        <v>2.0299999999999998</v>
      </c>
      <c r="I6223" s="2" t="s">
        <v>267</v>
      </c>
      <c r="J6223" s="2" t="s">
        <v>3942</v>
      </c>
      <c r="K6223" s="2" t="s">
        <v>1452</v>
      </c>
      <c r="L6223" s="2" t="s">
        <v>5221</v>
      </c>
      <c r="M6223" s="2" t="s">
        <v>5221</v>
      </c>
      <c r="N6223" s="2" t="s">
        <v>2317</v>
      </c>
      <c r="O6223" s="14">
        <v>18500</v>
      </c>
      <c r="P6223" s="14">
        <v>98.68</v>
      </c>
      <c r="Q6223" s="14">
        <v>244.2</v>
      </c>
      <c r="R6223" s="14">
        <v>495.73</v>
      </c>
      <c r="S6223" s="2" t="s">
        <v>8115</v>
      </c>
      <c r="T6223" s="2">
        <v>1.53</v>
      </c>
      <c r="U6223" s="2">
        <v>61.8</v>
      </c>
      <c r="V6223" s="2">
        <v>61</v>
      </c>
      <c r="W6223" s="2" t="s">
        <v>7862</v>
      </c>
      <c r="X6223" s="2" t="s">
        <v>6687</v>
      </c>
      <c r="Y6223" s="2">
        <v>37555</v>
      </c>
      <c r="Z6223" s="19" t="str">
        <f>HYPERLINK("https://ssdweb.co/ssdweb/hd/Vision360.html?d=941120568&amp;zoomslide=1&amp;z=1941120568&amp;ISCONFIRM=0","VIDEO")</f>
        <v>VIDEO</v>
      </c>
      <c r="AA6223" s="19" t="str">
        <f>HYPERLINK("https://ssdweb.co/ssdweb/CERTH/675504691.pdf","CERTI")</f>
        <v>CERTI</v>
      </c>
    </row>
    <row r="6224" spans="1:27" ht="15" x14ac:dyDescent="0.25">
      <c r="A6224" s="2">
        <v>6219</v>
      </c>
      <c r="B6224" s="39">
        <v>941230166</v>
      </c>
      <c r="C6224" s="28" t="str">
        <f>HYPERLINK("https://pld.live/RapDetail.aspx?STONELIST=941230166","DNA")</f>
        <v>DNA</v>
      </c>
      <c r="D6224" s="18" t="s">
        <v>3658</v>
      </c>
      <c r="E6224" s="18" t="s">
        <v>2186</v>
      </c>
      <c r="F6224" s="2" t="s">
        <v>7987</v>
      </c>
      <c r="G6224" s="2" t="s">
        <v>6781</v>
      </c>
      <c r="H6224" s="14">
        <v>2.0299999999999998</v>
      </c>
      <c r="I6224" s="2" t="s">
        <v>4761</v>
      </c>
      <c r="J6224" s="2" t="s">
        <v>3942</v>
      </c>
      <c r="K6224" s="2" t="s">
        <v>1452</v>
      </c>
      <c r="L6224" s="2" t="s">
        <v>5221</v>
      </c>
      <c r="M6224" s="2" t="s">
        <v>5221</v>
      </c>
      <c r="N6224" s="2" t="s">
        <v>2317</v>
      </c>
      <c r="O6224" s="14">
        <v>17000</v>
      </c>
      <c r="P6224" s="14">
        <v>99.12</v>
      </c>
      <c r="Q6224" s="14">
        <v>149.6</v>
      </c>
      <c r="R6224" s="14">
        <v>303.69</v>
      </c>
      <c r="S6224" s="2" t="s">
        <v>6672</v>
      </c>
      <c r="T6224" s="2">
        <v>1.55</v>
      </c>
      <c r="U6224" s="2">
        <v>61</v>
      </c>
      <c r="V6224" s="2">
        <v>62</v>
      </c>
      <c r="W6224" s="2" t="s">
        <v>7862</v>
      </c>
      <c r="X6224" s="2" t="s">
        <v>6687</v>
      </c>
      <c r="Y6224" s="2">
        <v>34510</v>
      </c>
      <c r="Z6224" s="19" t="str">
        <f>HYPERLINK("https://ssdweb.co/ssdweb/hd/Vision360.html?d=941230166&amp;zoomslide=1&amp;z=1941230166&amp;ISCONFIRM=0","VIDEO")</f>
        <v>VIDEO</v>
      </c>
      <c r="AA6224" s="19" t="str">
        <f>HYPERLINK("https://ssdweb.co/ssdweb/CERTH/678550326.pdf","CERTI")</f>
        <v>CERTI</v>
      </c>
    </row>
    <row r="6225" spans="1:27" ht="15" x14ac:dyDescent="0.25">
      <c r="A6225" s="2">
        <v>6220</v>
      </c>
      <c r="B6225" s="39">
        <v>926860072</v>
      </c>
      <c r="C6225" s="28" t="str">
        <f>HYPERLINK("https://pld.live/RapDetail.aspx?STONELIST=926860072","DNA")</f>
        <v>DNA</v>
      </c>
      <c r="D6225" s="18" t="s">
        <v>3658</v>
      </c>
      <c r="E6225" s="18" t="s">
        <v>2186</v>
      </c>
      <c r="F6225" s="2" t="s">
        <v>7987</v>
      </c>
      <c r="G6225" s="2" t="s">
        <v>6781</v>
      </c>
      <c r="H6225" s="14">
        <v>2.0299999999999998</v>
      </c>
      <c r="I6225" s="2" t="s">
        <v>6587</v>
      </c>
      <c r="J6225" s="2" t="s">
        <v>3942</v>
      </c>
      <c r="K6225" s="2" t="s">
        <v>1452</v>
      </c>
      <c r="L6225" s="2" t="s">
        <v>5221</v>
      </c>
      <c r="M6225" s="2" t="s">
        <v>5221</v>
      </c>
      <c r="N6225" s="2" t="s">
        <v>2317</v>
      </c>
      <c r="O6225" s="14">
        <v>15000</v>
      </c>
      <c r="P6225" s="14">
        <v>99.08</v>
      </c>
      <c r="Q6225" s="14">
        <v>138</v>
      </c>
      <c r="R6225" s="14">
        <v>280.14</v>
      </c>
      <c r="S6225" s="2" t="s">
        <v>6548</v>
      </c>
      <c r="T6225" s="2">
        <v>1.5</v>
      </c>
      <c r="U6225" s="2">
        <v>61.5</v>
      </c>
      <c r="V6225" s="2">
        <v>60</v>
      </c>
      <c r="W6225" s="2" t="s">
        <v>7862</v>
      </c>
      <c r="X6225" s="2" t="s">
        <v>6687</v>
      </c>
      <c r="Y6225" s="2">
        <v>30450</v>
      </c>
      <c r="Z6225" s="19" t="str">
        <f>HYPERLINK("https://ssdweb.co/ssdweb/hd/Vision360.html?d=926860072&amp;zoomslide=1&amp;z=1926860072&amp;ISCONFIRM=0","VIDEO")</f>
        <v>VIDEO</v>
      </c>
      <c r="AA6225" s="19" t="str">
        <f>HYPERLINK("https://ssdweb.co/ssdweb/CERTH/655451843.pdf","CERTI")</f>
        <v>CERTI</v>
      </c>
    </row>
    <row r="6226" spans="1:27" ht="15" x14ac:dyDescent="0.25">
      <c r="A6226" s="2">
        <v>6221</v>
      </c>
      <c r="B6226" s="39">
        <v>926410343</v>
      </c>
      <c r="C6226" s="28" t="str">
        <f>HYPERLINK("https://pld.live/RapDetail.aspx?STONELIST=926410343","DNA")</f>
        <v>DNA</v>
      </c>
      <c r="D6226" s="18" t="s">
        <v>3658</v>
      </c>
      <c r="E6226" s="18" t="s">
        <v>2186</v>
      </c>
      <c r="F6226" s="2" t="s">
        <v>7987</v>
      </c>
      <c r="G6226" s="2" t="s">
        <v>6781</v>
      </c>
      <c r="H6226" s="14">
        <v>2.0299999999999998</v>
      </c>
      <c r="I6226" s="2" t="s">
        <v>6587</v>
      </c>
      <c r="J6226" s="2" t="s">
        <v>13</v>
      </c>
      <c r="K6226" s="2" t="s">
        <v>1452</v>
      </c>
      <c r="L6226" s="2" t="s">
        <v>5221</v>
      </c>
      <c r="M6226" s="2" t="s">
        <v>5221</v>
      </c>
      <c r="N6226" s="2" t="s">
        <v>2317</v>
      </c>
      <c r="O6226" s="14">
        <v>14000</v>
      </c>
      <c r="P6226" s="14">
        <v>99.09</v>
      </c>
      <c r="Q6226" s="14">
        <v>127.4</v>
      </c>
      <c r="R6226" s="14">
        <v>258.62</v>
      </c>
      <c r="S6226" s="2" t="s">
        <v>3265</v>
      </c>
      <c r="T6226" s="2">
        <v>1.53</v>
      </c>
      <c r="U6226" s="2">
        <v>60.5</v>
      </c>
      <c r="V6226" s="2">
        <v>61</v>
      </c>
      <c r="W6226" s="2" t="s">
        <v>7862</v>
      </c>
      <c r="X6226" s="2" t="s">
        <v>6687</v>
      </c>
      <c r="Y6226" s="2">
        <v>28420</v>
      </c>
      <c r="Z6226" s="19" t="str">
        <f>HYPERLINK("https://ssdweb.co/ssdweb/hd/Vision360.html?d=926410343&amp;zoomslide=1&amp;z=1926410343&amp;ISCONFIRM=0","VIDEO")</f>
        <v>VIDEO</v>
      </c>
      <c r="AA6226" s="19" t="str">
        <f>HYPERLINK("https://ssdweb.co/ssdweb/CERTH/643427924.pdf","CERTI")</f>
        <v>CERTI</v>
      </c>
    </row>
    <row r="6227" spans="1:27" ht="15" x14ac:dyDescent="0.25">
      <c r="A6227" s="2">
        <v>6222</v>
      </c>
      <c r="B6227" s="39">
        <v>941220094</v>
      </c>
      <c r="C6227" s="28" t="str">
        <f>HYPERLINK("https://pld.live/RapDetail.aspx?STONELIST=941220094","DNA")</f>
        <v>DNA</v>
      </c>
      <c r="D6227" s="18" t="s">
        <v>3658</v>
      </c>
      <c r="E6227" s="18" t="s">
        <v>2186</v>
      </c>
      <c r="F6227" s="2" t="s">
        <v>7987</v>
      </c>
      <c r="G6227" s="2" t="s">
        <v>6781</v>
      </c>
      <c r="H6227" s="14">
        <v>2.02</v>
      </c>
      <c r="I6227" s="2" t="s">
        <v>267</v>
      </c>
      <c r="J6227" s="2" t="s">
        <v>3942</v>
      </c>
      <c r="K6227" s="2" t="s">
        <v>1452</v>
      </c>
      <c r="L6227" s="2" t="s">
        <v>5221</v>
      </c>
      <c r="M6227" s="2" t="s">
        <v>5221</v>
      </c>
      <c r="N6227" s="2" t="s">
        <v>2317</v>
      </c>
      <c r="O6227" s="14">
        <v>18500</v>
      </c>
      <c r="P6227" s="14">
        <v>98.68</v>
      </c>
      <c r="Q6227" s="14">
        <v>244.2</v>
      </c>
      <c r="R6227" s="14">
        <v>493.28</v>
      </c>
      <c r="S6227" s="2" t="s">
        <v>4054</v>
      </c>
      <c r="T6227" s="2">
        <v>1.5</v>
      </c>
      <c r="U6227" s="2">
        <v>61.1</v>
      </c>
      <c r="V6227" s="2">
        <v>62</v>
      </c>
      <c r="W6227" s="2" t="s">
        <v>7862</v>
      </c>
      <c r="X6227" s="2" t="s">
        <v>6687</v>
      </c>
      <c r="Y6227" s="2">
        <v>37370</v>
      </c>
      <c r="Z6227" s="19" t="str">
        <f>HYPERLINK("https://ssdweb.co/ssdweb/hd/Vision360.html?d=941220094&amp;zoomslide=1&amp;z=1941220094&amp;ISCONFIRM=0","VIDEO")</f>
        <v>VIDEO</v>
      </c>
      <c r="AA6227" s="19" t="str">
        <f>HYPERLINK("https://ssdweb.co/ssdweb/CERTH/678550323.pdf","CERTI")</f>
        <v>CERTI</v>
      </c>
    </row>
    <row r="6228" spans="1:27" ht="15" x14ac:dyDescent="0.25">
      <c r="A6228" s="2">
        <v>6223</v>
      </c>
      <c r="B6228" s="39">
        <v>941120583</v>
      </c>
      <c r="C6228" s="28" t="str">
        <f>HYPERLINK("https://pld.live/RapDetail.aspx?STONELIST=941120583","DNA")</f>
        <v>DNA</v>
      </c>
      <c r="D6228" s="18" t="s">
        <v>3658</v>
      </c>
      <c r="E6228" s="18" t="s">
        <v>2186</v>
      </c>
      <c r="F6228" s="2" t="s">
        <v>7987</v>
      </c>
      <c r="G6228" s="2" t="s">
        <v>6781</v>
      </c>
      <c r="H6228" s="14">
        <v>2.02</v>
      </c>
      <c r="I6228" s="2" t="s">
        <v>267</v>
      </c>
      <c r="J6228" s="2" t="s">
        <v>13</v>
      </c>
      <c r="K6228" s="2" t="s">
        <v>1452</v>
      </c>
      <c r="L6228" s="2" t="s">
        <v>5221</v>
      </c>
      <c r="M6228" s="2" t="s">
        <v>5221</v>
      </c>
      <c r="N6228" s="2" t="s">
        <v>2317</v>
      </c>
      <c r="O6228" s="14">
        <v>17500</v>
      </c>
      <c r="P6228" s="14">
        <v>99.03</v>
      </c>
      <c r="Q6228" s="14">
        <v>169.75</v>
      </c>
      <c r="R6228" s="14">
        <v>342.9</v>
      </c>
      <c r="S6228" s="2" t="s">
        <v>5572</v>
      </c>
      <c r="T6228" s="2">
        <v>1.53</v>
      </c>
      <c r="U6228" s="2">
        <v>61.5</v>
      </c>
      <c r="V6228" s="2">
        <v>60</v>
      </c>
      <c r="W6228" s="2" t="s">
        <v>7862</v>
      </c>
      <c r="X6228" s="2" t="s">
        <v>6687</v>
      </c>
      <c r="Y6228" s="2">
        <v>35350</v>
      </c>
      <c r="Z6228" s="19" t="str">
        <f>HYPERLINK("https://ssdweb.co/ssdweb/hd/Vision360.html?d=941120583&amp;zoomslide=1&amp;z=1941120583&amp;ISCONFIRM=0","VIDEO")</f>
        <v>VIDEO</v>
      </c>
      <c r="AA6228" s="19" t="str">
        <f>HYPERLINK("https://ssdweb.co/ssdweb/CERTH/677510622.pdf","CERTI")</f>
        <v>CERTI</v>
      </c>
    </row>
    <row r="6229" spans="1:27" ht="15" x14ac:dyDescent="0.25">
      <c r="A6229" s="2">
        <v>6224</v>
      </c>
      <c r="B6229" s="39">
        <v>941110528</v>
      </c>
      <c r="C6229" s="28" t="str">
        <f>HYPERLINK("https://pld.live/RapDetail.aspx?STONELIST=941110528","DNA")</f>
        <v>DNA</v>
      </c>
      <c r="D6229" s="18" t="s">
        <v>3658</v>
      </c>
      <c r="E6229" s="18" t="s">
        <v>2186</v>
      </c>
      <c r="F6229" s="2" t="s">
        <v>7987</v>
      </c>
      <c r="G6229" s="2" t="s">
        <v>6781</v>
      </c>
      <c r="H6229" s="14">
        <v>2.02</v>
      </c>
      <c r="I6229" s="2" t="s">
        <v>4761</v>
      </c>
      <c r="J6229" s="2" t="s">
        <v>3942</v>
      </c>
      <c r="K6229" s="2" t="s">
        <v>1452</v>
      </c>
      <c r="L6229" s="2" t="s">
        <v>5221</v>
      </c>
      <c r="M6229" s="2" t="s">
        <v>5221</v>
      </c>
      <c r="N6229" s="2" t="s">
        <v>2317</v>
      </c>
      <c r="O6229" s="14">
        <v>17000</v>
      </c>
      <c r="P6229" s="14">
        <v>99.12</v>
      </c>
      <c r="Q6229" s="14">
        <v>149.6</v>
      </c>
      <c r="R6229" s="14">
        <v>302.19</v>
      </c>
      <c r="S6229" s="2" t="s">
        <v>180</v>
      </c>
      <c r="T6229" s="2">
        <v>1.53</v>
      </c>
      <c r="U6229" s="2">
        <v>60.3</v>
      </c>
      <c r="V6229" s="2">
        <v>62</v>
      </c>
      <c r="W6229" s="2" t="s">
        <v>7862</v>
      </c>
      <c r="X6229" s="2" t="s">
        <v>6687</v>
      </c>
      <c r="Y6229" s="2">
        <v>34340</v>
      </c>
      <c r="Z6229" s="19" t="str">
        <f>HYPERLINK("https://ssdweb.co/ssdweb/hd/Vision360.html?d=941110528&amp;zoomslide=1&amp;z=1941110528&amp;ISCONFIRM=0","VIDEO")</f>
        <v>VIDEO</v>
      </c>
      <c r="AA6229" s="19" t="str">
        <f>HYPERLINK("https://ssdweb.co/ssdweb/CERTH/674532578.pdf","CERTI")</f>
        <v>CERTI</v>
      </c>
    </row>
    <row r="6230" spans="1:27" ht="15" x14ac:dyDescent="0.25">
      <c r="A6230" s="2">
        <v>6225</v>
      </c>
      <c r="B6230" s="39">
        <v>941110531</v>
      </c>
      <c r="C6230" s="28" t="str">
        <f>HYPERLINK("https://pld.live/RapDetail.aspx?STONELIST=941110531","DNA")</f>
        <v>DNA</v>
      </c>
      <c r="D6230" s="18" t="s">
        <v>3658</v>
      </c>
      <c r="E6230" s="18" t="s">
        <v>2186</v>
      </c>
      <c r="F6230" s="2" t="s">
        <v>7987</v>
      </c>
      <c r="G6230" s="2" t="s">
        <v>6781</v>
      </c>
      <c r="H6230" s="14">
        <v>2.02</v>
      </c>
      <c r="I6230" s="2" t="s">
        <v>4761</v>
      </c>
      <c r="J6230" s="2" t="s">
        <v>3942</v>
      </c>
      <c r="K6230" s="2" t="s">
        <v>1452</v>
      </c>
      <c r="L6230" s="2" t="s">
        <v>5221</v>
      </c>
      <c r="M6230" s="2" t="s">
        <v>5221</v>
      </c>
      <c r="N6230" s="2" t="s">
        <v>2317</v>
      </c>
      <c r="O6230" s="14">
        <v>17000</v>
      </c>
      <c r="P6230" s="14">
        <v>99.12</v>
      </c>
      <c r="Q6230" s="14">
        <v>149.6</v>
      </c>
      <c r="R6230" s="14">
        <v>302.19</v>
      </c>
      <c r="S6230" s="2" t="s">
        <v>114</v>
      </c>
      <c r="T6230" s="2">
        <v>1.56</v>
      </c>
      <c r="U6230" s="2">
        <v>60.2</v>
      </c>
      <c r="V6230" s="2">
        <v>62</v>
      </c>
      <c r="W6230" s="2" t="s">
        <v>7862</v>
      </c>
      <c r="X6230" s="2" t="s">
        <v>6687</v>
      </c>
      <c r="Y6230" s="2">
        <v>34340</v>
      </c>
      <c r="Z6230" s="19" t="str">
        <f>HYPERLINK("https://ssdweb.co/ssdweb/hd/Vision360.html?d=941110531&amp;zoomslide=1&amp;z=1941110531&amp;ISCONFIRM=0","VIDEO")</f>
        <v>VIDEO</v>
      </c>
      <c r="AA6230" s="19" t="str">
        <f>HYPERLINK("https://ssdweb.co/ssdweb/CERTH/674532581.pdf","CERTI")</f>
        <v>CERTI</v>
      </c>
    </row>
    <row r="6231" spans="1:27" ht="15" x14ac:dyDescent="0.25">
      <c r="A6231" s="2">
        <v>6226</v>
      </c>
      <c r="B6231" s="39">
        <v>941100677</v>
      </c>
      <c r="C6231" s="28" t="str">
        <f>HYPERLINK("https://pld.live/RapDetail.aspx?STONELIST=941100677","DNA")</f>
        <v>DNA</v>
      </c>
      <c r="D6231" s="18" t="s">
        <v>3658</v>
      </c>
      <c r="E6231" s="18" t="s">
        <v>2186</v>
      </c>
      <c r="F6231" s="2" t="s">
        <v>7987</v>
      </c>
      <c r="G6231" s="2" t="s">
        <v>6781</v>
      </c>
      <c r="H6231" s="14">
        <v>2.02</v>
      </c>
      <c r="I6231" s="2" t="s">
        <v>4761</v>
      </c>
      <c r="J6231" s="2" t="s">
        <v>13</v>
      </c>
      <c r="K6231" s="2" t="s">
        <v>1452</v>
      </c>
      <c r="L6231" s="2" t="s">
        <v>5221</v>
      </c>
      <c r="M6231" s="2" t="s">
        <v>5221</v>
      </c>
      <c r="N6231" s="2" t="s">
        <v>2317</v>
      </c>
      <c r="O6231" s="14">
        <v>16000</v>
      </c>
      <c r="P6231" s="14">
        <v>99.13</v>
      </c>
      <c r="Q6231" s="14">
        <v>139.19999999999999</v>
      </c>
      <c r="R6231" s="14">
        <v>281.18</v>
      </c>
      <c r="S6231" s="2" t="s">
        <v>1795</v>
      </c>
      <c r="T6231" s="2">
        <v>1.52</v>
      </c>
      <c r="U6231" s="2">
        <v>60.6</v>
      </c>
      <c r="V6231" s="2">
        <v>63</v>
      </c>
      <c r="W6231" s="2" t="s">
        <v>7862</v>
      </c>
      <c r="X6231" s="2" t="s">
        <v>6687</v>
      </c>
      <c r="Y6231" s="2">
        <v>32320</v>
      </c>
      <c r="Z6231" s="19" t="str">
        <f>HYPERLINK("https://ssdweb.co/ssdweb/hd/Vision360.html?d=941100677&amp;zoomslide=1&amp;z=1941100677&amp;ISCONFIRM=0","VIDEO")</f>
        <v>VIDEO</v>
      </c>
      <c r="AA6231" s="19" t="str">
        <f>HYPERLINK("https://ssdweb.co/ssdweb/CERTH/675504660.pdf","CERTI")</f>
        <v>CERTI</v>
      </c>
    </row>
    <row r="6232" spans="1:27" ht="15" x14ac:dyDescent="0.25">
      <c r="A6232" s="2">
        <v>6227</v>
      </c>
      <c r="B6232" s="39">
        <v>941180081</v>
      </c>
      <c r="C6232" s="28" t="str">
        <f>HYPERLINK("https://pld.live/RapDetail.aspx?STONELIST=941180081","DNA")</f>
        <v>DNA</v>
      </c>
      <c r="D6232" s="18" t="s">
        <v>3658</v>
      </c>
      <c r="E6232" s="18" t="s">
        <v>2186</v>
      </c>
      <c r="F6232" s="2" t="s">
        <v>7987</v>
      </c>
      <c r="G6232" s="2" t="s">
        <v>6781</v>
      </c>
      <c r="H6232" s="14">
        <v>2.02</v>
      </c>
      <c r="I6232" s="2" t="s">
        <v>4761</v>
      </c>
      <c r="J6232" s="2" t="s">
        <v>13</v>
      </c>
      <c r="K6232" s="2" t="s">
        <v>1452</v>
      </c>
      <c r="L6232" s="2" t="s">
        <v>5221</v>
      </c>
      <c r="M6232" s="2" t="s">
        <v>5221</v>
      </c>
      <c r="N6232" s="2" t="s">
        <v>2317</v>
      </c>
      <c r="O6232" s="14">
        <v>16000</v>
      </c>
      <c r="P6232" s="14">
        <v>99.13</v>
      </c>
      <c r="Q6232" s="14">
        <v>139.19999999999999</v>
      </c>
      <c r="R6232" s="14">
        <v>281.18</v>
      </c>
      <c r="S6232" s="2" t="s">
        <v>2630</v>
      </c>
      <c r="T6232" s="2">
        <v>1.55</v>
      </c>
      <c r="U6232" s="2">
        <v>60.2</v>
      </c>
      <c r="V6232" s="2">
        <v>62</v>
      </c>
      <c r="W6232" s="2" t="s">
        <v>7862</v>
      </c>
      <c r="X6232" s="2" t="s">
        <v>6687</v>
      </c>
      <c r="Y6232" s="2">
        <v>32320</v>
      </c>
      <c r="Z6232" s="19" t="str">
        <f>HYPERLINK("https://ssdweb.co/ssdweb/hd/Vision360.html?d=941180081&amp;zoomslide=1&amp;z=1941180081&amp;ISCONFIRM=0","VIDEO")</f>
        <v>VIDEO</v>
      </c>
      <c r="AA6232" s="19" t="str">
        <f>HYPERLINK("https://ssdweb.co/ssdweb/CERTH/675596786.pdf","CERTI")</f>
        <v>CERTI</v>
      </c>
    </row>
    <row r="6233" spans="1:27" ht="15" x14ac:dyDescent="0.25">
      <c r="A6233" s="2">
        <v>6228</v>
      </c>
      <c r="B6233" s="39">
        <v>941110550</v>
      </c>
      <c r="C6233" s="28" t="str">
        <f>HYPERLINK("https://pld.live/RapDetail.aspx?STONELIST=941110550","DNA")</f>
        <v>DNA</v>
      </c>
      <c r="D6233" s="18" t="s">
        <v>3658</v>
      </c>
      <c r="E6233" s="18" t="s">
        <v>2186</v>
      </c>
      <c r="F6233" s="2" t="s">
        <v>7987</v>
      </c>
      <c r="G6233" s="2" t="s">
        <v>6781</v>
      </c>
      <c r="H6233" s="14">
        <v>2.02</v>
      </c>
      <c r="I6233" s="2" t="s">
        <v>4761</v>
      </c>
      <c r="J6233" s="2" t="s">
        <v>13</v>
      </c>
      <c r="K6233" s="2" t="s">
        <v>1452</v>
      </c>
      <c r="L6233" s="2" t="s">
        <v>5221</v>
      </c>
      <c r="M6233" s="2" t="s">
        <v>5221</v>
      </c>
      <c r="N6233" s="2" t="s">
        <v>2317</v>
      </c>
      <c r="O6233" s="14">
        <v>16000</v>
      </c>
      <c r="P6233" s="14">
        <v>99.13</v>
      </c>
      <c r="Q6233" s="14">
        <v>139.19999999999999</v>
      </c>
      <c r="R6233" s="14">
        <v>281.18</v>
      </c>
      <c r="S6233" s="2" t="s">
        <v>1995</v>
      </c>
      <c r="T6233" s="2">
        <v>1.53</v>
      </c>
      <c r="U6233" s="2">
        <v>62.5</v>
      </c>
      <c r="V6233" s="2">
        <v>61</v>
      </c>
      <c r="W6233" s="2" t="s">
        <v>7862</v>
      </c>
      <c r="X6233" s="2" t="s">
        <v>6687</v>
      </c>
      <c r="Y6233" s="2">
        <v>32320</v>
      </c>
      <c r="Z6233" s="19" t="str">
        <f>HYPERLINK("https://ssdweb.co/ssdweb/hd/Vision360.html?d=941110550&amp;zoomslide=1&amp;z=1941110550&amp;ISCONFIRM=0","VIDEO")</f>
        <v>VIDEO</v>
      </c>
      <c r="AA6233" s="19" t="str">
        <f>HYPERLINK("https://ssdweb.co/ssdweb/CERTH/675504679.pdf","CERTI")</f>
        <v>CERTI</v>
      </c>
    </row>
    <row r="6234" spans="1:27" ht="15" x14ac:dyDescent="0.25">
      <c r="A6234" s="2">
        <v>6229</v>
      </c>
      <c r="B6234" s="39">
        <v>941060531</v>
      </c>
      <c r="C6234" s="28" t="str">
        <f>HYPERLINK("https://pld.live/RapDetail.aspx?STONELIST=941060531","DNA")</f>
        <v>DNA</v>
      </c>
      <c r="D6234" s="18" t="s">
        <v>3658</v>
      </c>
      <c r="E6234" s="18" t="s">
        <v>2186</v>
      </c>
      <c r="F6234" s="2" t="s">
        <v>7987</v>
      </c>
      <c r="G6234" s="2" t="s">
        <v>6781</v>
      </c>
      <c r="H6234" s="14">
        <v>2.02</v>
      </c>
      <c r="I6234" s="2" t="s">
        <v>4761</v>
      </c>
      <c r="J6234" s="2" t="s">
        <v>13</v>
      </c>
      <c r="K6234" s="2" t="s">
        <v>1452</v>
      </c>
      <c r="L6234" s="2" t="s">
        <v>5221</v>
      </c>
      <c r="M6234" s="2" t="s">
        <v>5221</v>
      </c>
      <c r="N6234" s="2" t="s">
        <v>2317</v>
      </c>
      <c r="O6234" s="14">
        <v>16000</v>
      </c>
      <c r="P6234" s="14">
        <v>99.13</v>
      </c>
      <c r="Q6234" s="14">
        <v>139.19999999999999</v>
      </c>
      <c r="R6234" s="14">
        <v>281.18</v>
      </c>
      <c r="S6234" s="2" t="s">
        <v>1984</v>
      </c>
      <c r="T6234" s="2">
        <v>1.48</v>
      </c>
      <c r="U6234" s="2">
        <v>59.2</v>
      </c>
      <c r="V6234" s="2">
        <v>60</v>
      </c>
      <c r="W6234" s="2" t="s">
        <v>7862</v>
      </c>
      <c r="X6234" s="2" t="s">
        <v>6687</v>
      </c>
      <c r="Y6234" s="2">
        <v>32320</v>
      </c>
      <c r="Z6234" s="19" t="str">
        <f>HYPERLINK("https://ssdweb.co/ssdweb/hd/Vision360.html?d=941060531&amp;zoomslide=1&amp;z=1941060531&amp;ISCONFIRM=0","VIDEO")</f>
        <v>VIDEO</v>
      </c>
      <c r="AA6234" s="19" t="str">
        <f>HYPERLINK("https://ssdweb.co/ssdweb/CERTH/674504102.pdf","CERTI")</f>
        <v>CERTI</v>
      </c>
    </row>
    <row r="6235" spans="1:27" ht="15" x14ac:dyDescent="0.25">
      <c r="A6235" s="2">
        <v>6230</v>
      </c>
      <c r="B6235" s="39">
        <v>927070932</v>
      </c>
      <c r="C6235" s="28" t="str">
        <f>HYPERLINK("https://pld.live/RapDetail.aspx?STONELIST=927070932","DNA")</f>
        <v>DNA</v>
      </c>
      <c r="D6235" s="18" t="s">
        <v>3658</v>
      </c>
      <c r="E6235" s="18" t="s">
        <v>2186</v>
      </c>
      <c r="F6235" s="2" t="s">
        <v>7987</v>
      </c>
      <c r="G6235" s="2" t="s">
        <v>6781</v>
      </c>
      <c r="H6235" s="14">
        <v>2.02</v>
      </c>
      <c r="I6235" s="2" t="s">
        <v>4761</v>
      </c>
      <c r="J6235" s="2" t="s">
        <v>13</v>
      </c>
      <c r="K6235" s="2" t="s">
        <v>1452</v>
      </c>
      <c r="L6235" s="2" t="s">
        <v>5221</v>
      </c>
      <c r="M6235" s="2" t="s">
        <v>5221</v>
      </c>
      <c r="N6235" s="2" t="s">
        <v>2317</v>
      </c>
      <c r="O6235" s="14">
        <v>16000</v>
      </c>
      <c r="P6235" s="14">
        <v>99.13</v>
      </c>
      <c r="Q6235" s="14">
        <v>139.19999999999999</v>
      </c>
      <c r="R6235" s="14">
        <v>281.18</v>
      </c>
      <c r="S6235" s="2" t="s">
        <v>6251</v>
      </c>
      <c r="T6235" s="2">
        <v>1.54</v>
      </c>
      <c r="U6235" s="2">
        <v>62.1</v>
      </c>
      <c r="V6235" s="2">
        <v>62</v>
      </c>
      <c r="W6235" s="2" t="s">
        <v>7862</v>
      </c>
      <c r="X6235" s="2" t="s">
        <v>6687</v>
      </c>
      <c r="Y6235" s="2">
        <v>32320</v>
      </c>
      <c r="Z6235" s="19" t="str">
        <f>HYPERLINK("https://ssdweb.co/ssdweb/hd/Vision360.html?d=927070932&amp;zoomslide=1&amp;z=1927070932&amp;ISCONFIRM=0","VIDEO")</f>
        <v>VIDEO</v>
      </c>
      <c r="AA6235" s="19" t="str">
        <f>HYPERLINK("https://ssdweb.co/ssdweb/CERTH/674504088.pdf","CERTI")</f>
        <v>CERTI</v>
      </c>
    </row>
    <row r="6236" spans="1:27" ht="15" x14ac:dyDescent="0.25">
      <c r="A6236" s="2">
        <v>6231</v>
      </c>
      <c r="B6236" s="39">
        <v>941150077</v>
      </c>
      <c r="C6236" s="28" t="str">
        <f>HYPERLINK("https://pld.live/RapDetail.aspx?STONELIST=941150077","DNA")</f>
        <v>DNA</v>
      </c>
      <c r="D6236" s="18" t="s">
        <v>3658</v>
      </c>
      <c r="E6236" s="18" t="s">
        <v>2186</v>
      </c>
      <c r="F6236" s="2" t="s">
        <v>7987</v>
      </c>
      <c r="G6236" s="2" t="s">
        <v>6781</v>
      </c>
      <c r="H6236" s="14">
        <v>2.02</v>
      </c>
      <c r="I6236" s="2" t="s">
        <v>4761</v>
      </c>
      <c r="J6236" s="2" t="s">
        <v>5144</v>
      </c>
      <c r="K6236" s="2" t="s">
        <v>1452</v>
      </c>
      <c r="L6236" s="2" t="s">
        <v>5221</v>
      </c>
      <c r="M6236" s="2" t="s">
        <v>5221</v>
      </c>
      <c r="N6236" s="2" t="s">
        <v>2317</v>
      </c>
      <c r="O6236" s="14">
        <v>15000</v>
      </c>
      <c r="P6236" s="14">
        <v>99.1</v>
      </c>
      <c r="Q6236" s="14">
        <v>135</v>
      </c>
      <c r="R6236" s="14">
        <v>272.7</v>
      </c>
      <c r="S6236" s="2" t="s">
        <v>3089</v>
      </c>
      <c r="T6236" s="2">
        <v>1.54</v>
      </c>
      <c r="U6236" s="2">
        <v>61.4</v>
      </c>
      <c r="V6236" s="2">
        <v>60</v>
      </c>
      <c r="W6236" s="2" t="s">
        <v>7862</v>
      </c>
      <c r="X6236" s="2" t="s">
        <v>6687</v>
      </c>
      <c r="Y6236" s="2">
        <v>30300</v>
      </c>
      <c r="Z6236" s="19" t="str">
        <f>HYPERLINK("https://ssdweb.co/ssdweb/hd/Vision360.html?d=941150077&amp;zoomslide=1&amp;z=1941150077&amp;ISCONFIRM=0","VIDEO")</f>
        <v>VIDEO</v>
      </c>
      <c r="AA6236" s="19" t="str">
        <f>HYPERLINK("https://ssdweb.co/ssdweb/CERTH/675504703.pdf","CERTI")</f>
        <v>CERTI</v>
      </c>
    </row>
    <row r="6237" spans="1:27" ht="15" x14ac:dyDescent="0.25">
      <c r="A6237" s="2">
        <v>6232</v>
      </c>
      <c r="B6237" s="39">
        <v>941250060</v>
      </c>
      <c r="C6237" s="28" t="str">
        <f>HYPERLINK("https://pld.live/RapDetail.aspx?STONELIST=941250060","DNA")</f>
        <v>DNA</v>
      </c>
      <c r="D6237" s="18" t="s">
        <v>3658</v>
      </c>
      <c r="E6237" s="18" t="s">
        <v>2186</v>
      </c>
      <c r="F6237" s="2" t="s">
        <v>7987</v>
      </c>
      <c r="G6237" s="2" t="s">
        <v>6781</v>
      </c>
      <c r="H6237" s="14">
        <v>2.02</v>
      </c>
      <c r="I6237" s="2" t="s">
        <v>4699</v>
      </c>
      <c r="J6237" s="2" t="s">
        <v>3942</v>
      </c>
      <c r="K6237" s="2" t="s">
        <v>1452</v>
      </c>
      <c r="L6237" s="2" t="s">
        <v>5221</v>
      </c>
      <c r="M6237" s="2" t="s">
        <v>5221</v>
      </c>
      <c r="N6237" s="2" t="s">
        <v>2317</v>
      </c>
      <c r="O6237" s="14">
        <v>16000</v>
      </c>
      <c r="P6237" s="14">
        <v>99.09</v>
      </c>
      <c r="Q6237" s="14">
        <v>145.6</v>
      </c>
      <c r="R6237" s="14">
        <v>294.11</v>
      </c>
      <c r="S6237" s="2" t="s">
        <v>5448</v>
      </c>
      <c r="T6237" s="2">
        <v>1.5</v>
      </c>
      <c r="U6237" s="2">
        <v>60.4</v>
      </c>
      <c r="V6237" s="2">
        <v>63</v>
      </c>
      <c r="W6237" s="2" t="s">
        <v>7862</v>
      </c>
      <c r="X6237" s="2" t="s">
        <v>6687</v>
      </c>
      <c r="Y6237" s="2">
        <v>32320</v>
      </c>
      <c r="Z6237" s="19" t="str">
        <f>HYPERLINK("https://ssdweb.co/ssdweb/hd/Vision360.html?d=941250060&amp;zoomslide=1&amp;z=1941250060&amp;ISCONFIRM=0","VIDEO")</f>
        <v>VIDEO</v>
      </c>
      <c r="AA6237" s="19" t="str">
        <f>HYPERLINK("https://ssdweb.co/ssdweb/CERTH/678550325.pdf","CERTI")</f>
        <v>CERTI</v>
      </c>
    </row>
    <row r="6238" spans="1:27" ht="15" x14ac:dyDescent="0.25">
      <c r="A6238" s="2">
        <v>6233</v>
      </c>
      <c r="B6238" s="39">
        <v>941060539</v>
      </c>
      <c r="C6238" s="28" t="str">
        <f>HYPERLINK("https://pld.live/RapDetail.aspx?STONELIST=941060539","DNA")</f>
        <v>DNA</v>
      </c>
      <c r="D6238" s="18" t="s">
        <v>3658</v>
      </c>
      <c r="E6238" s="18" t="s">
        <v>2186</v>
      </c>
      <c r="F6238" s="2" t="s">
        <v>7987</v>
      </c>
      <c r="G6238" s="2" t="s">
        <v>6781</v>
      </c>
      <c r="H6238" s="14">
        <v>2.02</v>
      </c>
      <c r="I6238" s="2" t="s">
        <v>4699</v>
      </c>
      <c r="J6238" s="2" t="s">
        <v>3942</v>
      </c>
      <c r="K6238" s="2" t="s">
        <v>1452</v>
      </c>
      <c r="L6238" s="2" t="s">
        <v>5221</v>
      </c>
      <c r="M6238" s="2" t="s">
        <v>5221</v>
      </c>
      <c r="N6238" s="2" t="s">
        <v>2317</v>
      </c>
      <c r="O6238" s="14">
        <v>16000</v>
      </c>
      <c r="P6238" s="14">
        <v>99.09</v>
      </c>
      <c r="Q6238" s="14">
        <v>145.6</v>
      </c>
      <c r="R6238" s="14">
        <v>294.11</v>
      </c>
      <c r="S6238" s="2" t="s">
        <v>1293</v>
      </c>
      <c r="T6238" s="2">
        <v>1.62</v>
      </c>
      <c r="U6238" s="2">
        <v>59.9</v>
      </c>
      <c r="V6238" s="2">
        <v>60</v>
      </c>
      <c r="W6238" s="2" t="s">
        <v>7862</v>
      </c>
      <c r="X6238" s="2" t="s">
        <v>6687</v>
      </c>
      <c r="Y6238" s="2">
        <v>32320</v>
      </c>
      <c r="Z6238" s="19" t="str">
        <f>HYPERLINK("https://ssdweb.co/ssdweb/hd/Vision360.html?d=941060539&amp;zoomslide=1&amp;z=1941060539&amp;ISCONFIRM=0","VIDEO")</f>
        <v>VIDEO</v>
      </c>
      <c r="AA6238" s="19" t="str">
        <f>HYPERLINK("https://ssdweb.co/ssdweb/CERTH/674504103.pdf","CERTI")</f>
        <v>CERTI</v>
      </c>
    </row>
    <row r="6239" spans="1:27" ht="15" x14ac:dyDescent="0.25">
      <c r="A6239" s="2">
        <v>6234</v>
      </c>
      <c r="B6239" s="39">
        <v>941110511</v>
      </c>
      <c r="C6239" s="28" t="str">
        <f>HYPERLINK("https://pld.live/RapDetail.aspx?STONELIST=941110511","DNA")</f>
        <v>DNA</v>
      </c>
      <c r="D6239" s="18" t="s">
        <v>3658</v>
      </c>
      <c r="E6239" s="18" t="s">
        <v>2186</v>
      </c>
      <c r="F6239" s="2" t="s">
        <v>7987</v>
      </c>
      <c r="G6239" s="2" t="s">
        <v>6781</v>
      </c>
      <c r="H6239" s="14">
        <v>2.02</v>
      </c>
      <c r="I6239" s="2" t="s">
        <v>4699</v>
      </c>
      <c r="J6239" s="2" t="s">
        <v>13</v>
      </c>
      <c r="K6239" s="2" t="s">
        <v>1452</v>
      </c>
      <c r="L6239" s="2" t="s">
        <v>5221</v>
      </c>
      <c r="M6239" s="2" t="s">
        <v>5221</v>
      </c>
      <c r="N6239" s="2" t="s">
        <v>2317</v>
      </c>
      <c r="O6239" s="14">
        <v>15000</v>
      </c>
      <c r="P6239" s="14">
        <v>99.1</v>
      </c>
      <c r="Q6239" s="14">
        <v>135</v>
      </c>
      <c r="R6239" s="14">
        <v>272.7</v>
      </c>
      <c r="S6239" s="2" t="s">
        <v>7041</v>
      </c>
      <c r="T6239" s="2">
        <v>1.53</v>
      </c>
      <c r="U6239" s="2">
        <v>62.1</v>
      </c>
      <c r="V6239" s="2">
        <v>62</v>
      </c>
      <c r="W6239" s="2" t="s">
        <v>7862</v>
      </c>
      <c r="X6239" s="2" t="s">
        <v>6687</v>
      </c>
      <c r="Y6239" s="2">
        <v>30300</v>
      </c>
      <c r="Z6239" s="19" t="str">
        <f>HYPERLINK("https://ssdweb.co/ssdweb/hd/Vision360.html?d=941110511&amp;zoomslide=1&amp;z=1941110511&amp;ISCONFIRM=0","VIDEO")</f>
        <v>VIDEO</v>
      </c>
      <c r="AA6239" s="19" t="str">
        <f>HYPERLINK("https://ssdweb.co/ssdweb/CERTH/674532540.pdf","CERTI")</f>
        <v>CERTI</v>
      </c>
    </row>
    <row r="6240" spans="1:27" ht="15" x14ac:dyDescent="0.25">
      <c r="A6240" s="2">
        <v>6235</v>
      </c>
      <c r="B6240" s="39">
        <v>941100655</v>
      </c>
      <c r="C6240" s="28" t="str">
        <f>HYPERLINK("https://pld.live/RapDetail.aspx?STONELIST=941100655","DNA")</f>
        <v>DNA</v>
      </c>
      <c r="D6240" s="18" t="s">
        <v>3658</v>
      </c>
      <c r="E6240" s="18" t="s">
        <v>2186</v>
      </c>
      <c r="F6240" s="2" t="s">
        <v>7987</v>
      </c>
      <c r="G6240" s="2" t="s">
        <v>6781</v>
      </c>
      <c r="H6240" s="14">
        <v>2.02</v>
      </c>
      <c r="I6240" s="2" t="s">
        <v>4699</v>
      </c>
      <c r="J6240" s="2" t="s">
        <v>13</v>
      </c>
      <c r="K6240" s="2" t="s">
        <v>1452</v>
      </c>
      <c r="L6240" s="2" t="s">
        <v>5221</v>
      </c>
      <c r="M6240" s="2" t="s">
        <v>5221</v>
      </c>
      <c r="N6240" s="2" t="s">
        <v>2317</v>
      </c>
      <c r="O6240" s="14">
        <v>15000</v>
      </c>
      <c r="P6240" s="14">
        <v>99.1</v>
      </c>
      <c r="Q6240" s="14">
        <v>135</v>
      </c>
      <c r="R6240" s="14">
        <v>272.7</v>
      </c>
      <c r="S6240" s="2" t="s">
        <v>5116</v>
      </c>
      <c r="T6240" s="2">
        <v>1.56</v>
      </c>
      <c r="U6240" s="2">
        <v>62.3</v>
      </c>
      <c r="V6240" s="2">
        <v>62</v>
      </c>
      <c r="W6240" s="2" t="s">
        <v>7862</v>
      </c>
      <c r="X6240" s="2" t="s">
        <v>6687</v>
      </c>
      <c r="Y6240" s="2">
        <v>30300</v>
      </c>
      <c r="Z6240" s="19" t="str">
        <f>HYPERLINK("https://ssdweb.co/ssdweb/hd/Vision360.html?d=941100655&amp;zoomslide=1&amp;z=1941100655&amp;ISCONFIRM=0","VIDEO")</f>
        <v>VIDEO</v>
      </c>
      <c r="AA6240" s="19" t="str">
        <f>HYPERLINK("https://ssdweb.co/ssdweb/CERTH/674532546.pdf","CERTI")</f>
        <v>CERTI</v>
      </c>
    </row>
    <row r="6241" spans="1:27" ht="15" x14ac:dyDescent="0.25">
      <c r="A6241" s="2">
        <v>6236</v>
      </c>
      <c r="B6241" s="39">
        <v>941150086</v>
      </c>
      <c r="C6241" s="28" t="str">
        <f>HYPERLINK("https://pld.live/RapDetail.aspx?STONELIST=941150086","DNA")</f>
        <v>DNA</v>
      </c>
      <c r="D6241" s="18" t="s">
        <v>3658</v>
      </c>
      <c r="E6241" s="18" t="s">
        <v>2186</v>
      </c>
      <c r="F6241" s="2" t="s">
        <v>7987</v>
      </c>
      <c r="G6241" s="2" t="s">
        <v>6781</v>
      </c>
      <c r="H6241" s="14">
        <v>2.02</v>
      </c>
      <c r="I6241" s="2" t="s">
        <v>4699</v>
      </c>
      <c r="J6241" s="2" t="s">
        <v>13</v>
      </c>
      <c r="K6241" s="2" t="s">
        <v>1452</v>
      </c>
      <c r="L6241" s="2" t="s">
        <v>5221</v>
      </c>
      <c r="M6241" s="2" t="s">
        <v>5221</v>
      </c>
      <c r="N6241" s="2" t="s">
        <v>2317</v>
      </c>
      <c r="O6241" s="14">
        <v>15000</v>
      </c>
      <c r="P6241" s="14">
        <v>99.1</v>
      </c>
      <c r="Q6241" s="14">
        <v>135</v>
      </c>
      <c r="R6241" s="14">
        <v>272.7</v>
      </c>
      <c r="S6241" s="2" t="s">
        <v>503</v>
      </c>
      <c r="T6241" s="2">
        <v>1.54</v>
      </c>
      <c r="U6241" s="2">
        <v>61.7</v>
      </c>
      <c r="V6241" s="2">
        <v>63</v>
      </c>
      <c r="W6241" s="2" t="s">
        <v>7862</v>
      </c>
      <c r="X6241" s="2" t="s">
        <v>6687</v>
      </c>
      <c r="Y6241" s="2">
        <v>30300</v>
      </c>
      <c r="Z6241" s="19" t="str">
        <f>HYPERLINK("https://ssdweb.co/ssdweb/hd/Vision360.html?d=941150086&amp;zoomslide=1&amp;z=1941150086&amp;ISCONFIRM=0","VIDEO")</f>
        <v>VIDEO</v>
      </c>
      <c r="AA6241" s="19" t="str">
        <f>HYPERLINK("https://ssdweb.co/ssdweb/CERTH/675504725.pdf","CERTI")</f>
        <v>CERTI</v>
      </c>
    </row>
    <row r="6242" spans="1:27" ht="15" x14ac:dyDescent="0.25">
      <c r="A6242" s="2">
        <v>6237</v>
      </c>
      <c r="B6242" s="39">
        <v>941100582</v>
      </c>
      <c r="C6242" s="28" t="str">
        <f>HYPERLINK("https://pld.live/RapDetail.aspx?STONELIST=941100582","DNA")</f>
        <v>DNA</v>
      </c>
      <c r="D6242" s="18" t="s">
        <v>3658</v>
      </c>
      <c r="E6242" s="18" t="s">
        <v>2186</v>
      </c>
      <c r="F6242" s="2" t="s">
        <v>7987</v>
      </c>
      <c r="G6242" s="2" t="s">
        <v>6781</v>
      </c>
      <c r="H6242" s="14">
        <v>2.02</v>
      </c>
      <c r="I6242" s="2" t="s">
        <v>4699</v>
      </c>
      <c r="J6242" s="2" t="s">
        <v>13</v>
      </c>
      <c r="K6242" s="2" t="s">
        <v>1452</v>
      </c>
      <c r="L6242" s="2" t="s">
        <v>5221</v>
      </c>
      <c r="M6242" s="2" t="s">
        <v>5221</v>
      </c>
      <c r="N6242" s="2" t="s">
        <v>2317</v>
      </c>
      <c r="O6242" s="14">
        <v>15000</v>
      </c>
      <c r="P6242" s="14">
        <v>99.1</v>
      </c>
      <c r="Q6242" s="14">
        <v>135</v>
      </c>
      <c r="R6242" s="14">
        <v>272.7</v>
      </c>
      <c r="S6242" s="2" t="s">
        <v>3361</v>
      </c>
      <c r="T6242" s="2">
        <v>1.54</v>
      </c>
      <c r="U6242" s="2">
        <v>61.8</v>
      </c>
      <c r="V6242" s="2">
        <v>60</v>
      </c>
      <c r="W6242" s="2" t="s">
        <v>7862</v>
      </c>
      <c r="X6242" s="2" t="s">
        <v>6687</v>
      </c>
      <c r="Y6242" s="2">
        <v>30300</v>
      </c>
      <c r="Z6242" s="19" t="str">
        <f>HYPERLINK("https://ssdweb.co/ssdweb/hd/Vision360.html?d=941100582&amp;zoomslide=1&amp;z=1941100582&amp;ISCONFIRM=0","VIDEO")</f>
        <v>VIDEO</v>
      </c>
      <c r="AA6242" s="19" t="str">
        <f>HYPERLINK("https://ssdweb.co/ssdweb/CERTH/674532564.pdf","CERTI")</f>
        <v>CERTI</v>
      </c>
    </row>
    <row r="6243" spans="1:27" ht="15" x14ac:dyDescent="0.25">
      <c r="A6243" s="2">
        <v>6238</v>
      </c>
      <c r="B6243" s="39">
        <v>941110569</v>
      </c>
      <c r="C6243" s="28" t="str">
        <f>HYPERLINK("https://pld.live/RapDetail.aspx?STONELIST=941110569","DNA")</f>
        <v>DNA</v>
      </c>
      <c r="D6243" s="18" t="s">
        <v>3658</v>
      </c>
      <c r="E6243" s="18" t="s">
        <v>2186</v>
      </c>
      <c r="F6243" s="2" t="s">
        <v>7987</v>
      </c>
      <c r="G6243" s="2" t="s">
        <v>6781</v>
      </c>
      <c r="H6243" s="14">
        <v>2.02</v>
      </c>
      <c r="I6243" s="2" t="s">
        <v>4699</v>
      </c>
      <c r="J6243" s="2" t="s">
        <v>13</v>
      </c>
      <c r="K6243" s="2" t="s">
        <v>1452</v>
      </c>
      <c r="L6243" s="2" t="s">
        <v>5221</v>
      </c>
      <c r="M6243" s="2" t="s">
        <v>5221</v>
      </c>
      <c r="N6243" s="2" t="s">
        <v>2317</v>
      </c>
      <c r="O6243" s="14">
        <v>15000</v>
      </c>
      <c r="P6243" s="14">
        <v>99.03</v>
      </c>
      <c r="Q6243" s="14">
        <v>145.5</v>
      </c>
      <c r="R6243" s="14">
        <v>293.91000000000003</v>
      </c>
      <c r="S6243" s="2" t="s">
        <v>1172</v>
      </c>
      <c r="T6243" s="2">
        <v>1.53</v>
      </c>
      <c r="U6243" s="2">
        <v>60.2</v>
      </c>
      <c r="V6243" s="2">
        <v>61</v>
      </c>
      <c r="W6243" s="2" t="s">
        <v>7862</v>
      </c>
      <c r="X6243" s="2" t="s">
        <v>6687</v>
      </c>
      <c r="Y6243" s="2">
        <v>30300</v>
      </c>
      <c r="Z6243" s="19" t="str">
        <f>HYPERLINK("https://ssdweb.co/ssdweb/hd/Vision360.html?d=941110569&amp;zoomslide=1&amp;z=1941110569&amp;ISCONFIRM=0","VIDEO")</f>
        <v>VIDEO</v>
      </c>
      <c r="AA6243" s="19" t="str">
        <f>HYPERLINK("https://ssdweb.co/ssdweb/CERTH/675596790.pdf","CERTI")</f>
        <v>CERTI</v>
      </c>
    </row>
    <row r="6244" spans="1:27" ht="15" x14ac:dyDescent="0.25">
      <c r="A6244" s="2">
        <v>6239</v>
      </c>
      <c r="B6244" s="39">
        <v>941110566</v>
      </c>
      <c r="C6244" s="28" t="str">
        <f>HYPERLINK("https://pld.live/RapDetail.aspx?STONELIST=941110566","DNA")</f>
        <v>DNA</v>
      </c>
      <c r="D6244" s="18" t="s">
        <v>3658</v>
      </c>
      <c r="E6244" s="18" t="s">
        <v>2186</v>
      </c>
      <c r="F6244" s="2" t="s">
        <v>7987</v>
      </c>
      <c r="G6244" s="2" t="s">
        <v>6781</v>
      </c>
      <c r="H6244" s="14">
        <v>2.02</v>
      </c>
      <c r="I6244" s="2" t="s">
        <v>4699</v>
      </c>
      <c r="J6244" s="2" t="s">
        <v>13</v>
      </c>
      <c r="K6244" s="2" t="s">
        <v>1452</v>
      </c>
      <c r="L6244" s="2" t="s">
        <v>5221</v>
      </c>
      <c r="M6244" s="2" t="s">
        <v>5221</v>
      </c>
      <c r="N6244" s="2" t="s">
        <v>2317</v>
      </c>
      <c r="O6244" s="14">
        <v>15000</v>
      </c>
      <c r="P6244" s="14">
        <v>99.1</v>
      </c>
      <c r="Q6244" s="14">
        <v>135</v>
      </c>
      <c r="R6244" s="14">
        <v>272.7</v>
      </c>
      <c r="S6244" s="2" t="s">
        <v>2278</v>
      </c>
      <c r="T6244" s="2">
        <v>1.53</v>
      </c>
      <c r="U6244" s="2">
        <v>62</v>
      </c>
      <c r="V6244" s="2">
        <v>59</v>
      </c>
      <c r="W6244" s="2" t="s">
        <v>7862</v>
      </c>
      <c r="X6244" s="2" t="s">
        <v>6687</v>
      </c>
      <c r="Y6244" s="2">
        <v>30300</v>
      </c>
      <c r="Z6244" s="19" t="str">
        <f>HYPERLINK("https://ssdweb.co/ssdweb/hd/Vision360.html?d=941110566&amp;zoomslide=1&amp;z=1941110566&amp;ISCONFIRM=0","VIDEO")</f>
        <v>VIDEO</v>
      </c>
      <c r="AA6244" s="19" t="str">
        <f>HYPERLINK("https://ssdweb.co/ssdweb/CERTH/675596794.pdf","CERTI")</f>
        <v>CERTI</v>
      </c>
    </row>
    <row r="6245" spans="1:27" ht="15" x14ac:dyDescent="0.25">
      <c r="A6245" s="2">
        <v>6240</v>
      </c>
      <c r="B6245" s="39">
        <v>941110551</v>
      </c>
      <c r="C6245" s="28" t="str">
        <f>HYPERLINK("https://pld.live/RapDetail.aspx?STONELIST=941110551","DNA")</f>
        <v>DNA</v>
      </c>
      <c r="D6245" s="18" t="s">
        <v>3658</v>
      </c>
      <c r="E6245" s="18" t="s">
        <v>2186</v>
      </c>
      <c r="F6245" s="2" t="s">
        <v>7987</v>
      </c>
      <c r="G6245" s="2" t="s">
        <v>6781</v>
      </c>
      <c r="H6245" s="14">
        <v>2.02</v>
      </c>
      <c r="I6245" s="2" t="s">
        <v>4699</v>
      </c>
      <c r="J6245" s="2" t="s">
        <v>13</v>
      </c>
      <c r="K6245" s="2" t="s">
        <v>1452</v>
      </c>
      <c r="L6245" s="2" t="s">
        <v>5221</v>
      </c>
      <c r="M6245" s="2" t="s">
        <v>5221</v>
      </c>
      <c r="N6245" s="2" t="s">
        <v>2317</v>
      </c>
      <c r="O6245" s="14">
        <v>15000</v>
      </c>
      <c r="P6245" s="14">
        <v>99.1</v>
      </c>
      <c r="Q6245" s="14">
        <v>135</v>
      </c>
      <c r="R6245" s="14">
        <v>272.7</v>
      </c>
      <c r="S6245" s="2" t="s">
        <v>240</v>
      </c>
      <c r="T6245" s="2">
        <v>1.49</v>
      </c>
      <c r="U6245" s="2">
        <v>61.4</v>
      </c>
      <c r="V6245" s="2">
        <v>62</v>
      </c>
      <c r="W6245" s="2" t="s">
        <v>7862</v>
      </c>
      <c r="X6245" s="2" t="s">
        <v>6687</v>
      </c>
      <c r="Y6245" s="2">
        <v>30300</v>
      </c>
      <c r="Z6245" s="19" t="str">
        <f>HYPERLINK("https://ssdweb.co/ssdweb/hd/Vision360.html?d=941110551&amp;zoomslide=1&amp;z=1941110551&amp;ISCONFIRM=0","VIDEO")</f>
        <v>VIDEO</v>
      </c>
      <c r="AA6245" s="19" t="str">
        <f>HYPERLINK("https://ssdweb.co/ssdweb/CERTH/675504680.pdf","CERTI")</f>
        <v>CERTI</v>
      </c>
    </row>
    <row r="6246" spans="1:27" ht="15" x14ac:dyDescent="0.25">
      <c r="A6246" s="2">
        <v>6241</v>
      </c>
      <c r="B6246" s="39">
        <v>925710156</v>
      </c>
      <c r="C6246" s="28" t="str">
        <f>HYPERLINK("https://pld.live/RapDetail.aspx?STONELIST=925710156","DNA")</f>
        <v>DNA</v>
      </c>
      <c r="D6246" s="18" t="s">
        <v>3658</v>
      </c>
      <c r="E6246" s="18" t="s">
        <v>2186</v>
      </c>
      <c r="F6246" s="2" t="s">
        <v>7987</v>
      </c>
      <c r="G6246" s="2" t="s">
        <v>6781</v>
      </c>
      <c r="H6246" s="14">
        <v>2.02</v>
      </c>
      <c r="I6246" s="2" t="s">
        <v>1066</v>
      </c>
      <c r="J6246" s="2" t="s">
        <v>13</v>
      </c>
      <c r="K6246" s="2" t="s">
        <v>1452</v>
      </c>
      <c r="L6246" s="2" t="s">
        <v>5221</v>
      </c>
      <c r="M6246" s="2" t="s">
        <v>5221</v>
      </c>
      <c r="N6246" s="2" t="s">
        <v>924</v>
      </c>
      <c r="O6246" s="14">
        <v>4300</v>
      </c>
      <c r="P6246" s="14">
        <v>93.02</v>
      </c>
      <c r="Q6246" s="14">
        <v>300.14</v>
      </c>
      <c r="R6246" s="14">
        <v>606.28</v>
      </c>
      <c r="S6246" s="2" t="s">
        <v>4543</v>
      </c>
      <c r="T6246" s="2">
        <v>1.53</v>
      </c>
      <c r="U6246" s="2">
        <v>59.9</v>
      </c>
      <c r="V6246" s="2">
        <v>62</v>
      </c>
      <c r="W6246" s="2" t="s">
        <v>7862</v>
      </c>
      <c r="X6246" s="2" t="s">
        <v>6687</v>
      </c>
      <c r="Y6246" s="2">
        <v>8686</v>
      </c>
      <c r="Z6246" s="19" t="str">
        <f>HYPERLINK("https://ssdweb.co/ssdweb/hd/Vision360.html?d=925710156&amp;zoomslide=1&amp;z=1925710156&amp;ISCONFIRM=0","VIDEO")</f>
        <v>VIDEO</v>
      </c>
      <c r="AA6246" s="19" t="str">
        <f>HYPERLINK("https://ssdweb.co/ssdweb/CERTH/631429911.pdf","CERTI")</f>
        <v>CERTI</v>
      </c>
    </row>
    <row r="6247" spans="1:27" ht="15" x14ac:dyDescent="0.25">
      <c r="A6247" s="2">
        <v>6242</v>
      </c>
      <c r="B6247" s="39">
        <v>941150101</v>
      </c>
      <c r="C6247" s="28" t="str">
        <f>HYPERLINK("https://pld.live/RapDetail.aspx?STONELIST=941150101","DNA")</f>
        <v>DNA</v>
      </c>
      <c r="D6247" s="18" t="s">
        <v>3658</v>
      </c>
      <c r="E6247" s="18" t="s">
        <v>2186</v>
      </c>
      <c r="F6247" s="2" t="s">
        <v>7987</v>
      </c>
      <c r="G6247" s="2" t="s">
        <v>6781</v>
      </c>
      <c r="H6247" s="14">
        <v>2.0099999999999998</v>
      </c>
      <c r="I6247" s="2" t="s">
        <v>267</v>
      </c>
      <c r="J6247" s="2" t="s">
        <v>13</v>
      </c>
      <c r="K6247" s="2" t="s">
        <v>1452</v>
      </c>
      <c r="L6247" s="2" t="s">
        <v>5221</v>
      </c>
      <c r="M6247" s="2" t="s">
        <v>5221</v>
      </c>
      <c r="N6247" s="2" t="s">
        <v>2317</v>
      </c>
      <c r="O6247" s="14">
        <v>17500</v>
      </c>
      <c r="P6247" s="14">
        <v>99.03</v>
      </c>
      <c r="Q6247" s="14">
        <v>169.75</v>
      </c>
      <c r="R6247" s="14">
        <v>341.2</v>
      </c>
      <c r="S6247" s="2" t="s">
        <v>2212</v>
      </c>
      <c r="T6247" s="2">
        <v>1.54</v>
      </c>
      <c r="U6247" s="2">
        <v>61.5</v>
      </c>
      <c r="V6247" s="2">
        <v>60</v>
      </c>
      <c r="W6247" s="2" t="s">
        <v>7862</v>
      </c>
      <c r="X6247" s="2" t="s">
        <v>6687</v>
      </c>
      <c r="Y6247" s="2">
        <v>35175</v>
      </c>
      <c r="Z6247" s="19" t="str">
        <f>HYPERLINK("https://ssdweb.co/ssdweb/hd/Vision360.html?d=941150101&amp;zoomslide=1&amp;z=1941150101&amp;ISCONFIRM=0","VIDEO")</f>
        <v>VIDEO</v>
      </c>
      <c r="AA6247" s="19" t="str">
        <f>HYPERLINK("https://ssdweb.co/ssdweb/CERTH/677510604.pdf","CERTI")</f>
        <v>CERTI</v>
      </c>
    </row>
    <row r="6248" spans="1:27" ht="15" x14ac:dyDescent="0.25">
      <c r="A6248" s="2">
        <v>6243</v>
      </c>
      <c r="B6248" s="39">
        <v>821133306</v>
      </c>
      <c r="C6248" s="28" t="str">
        <f>HYPERLINK("https://pld.live/RapDetail.aspx?STONELIST=821133306","DNA")</f>
        <v>DNA</v>
      </c>
      <c r="D6248" s="18" t="s">
        <v>3658</v>
      </c>
      <c r="E6248" s="18" t="s">
        <v>1253</v>
      </c>
      <c r="F6248" s="2" t="s">
        <v>7987</v>
      </c>
      <c r="G6248" s="2" t="s">
        <v>6781</v>
      </c>
      <c r="H6248" s="14">
        <v>2.0099999999999998</v>
      </c>
      <c r="I6248" s="2" t="s">
        <v>4761</v>
      </c>
      <c r="J6248" s="2" t="s">
        <v>6555</v>
      </c>
      <c r="K6248" s="2" t="s">
        <v>1452</v>
      </c>
      <c r="L6248" s="2" t="s">
        <v>5221</v>
      </c>
      <c r="M6248" s="2" t="s">
        <v>5221</v>
      </c>
      <c r="N6248" s="2" t="s">
        <v>2317</v>
      </c>
      <c r="O6248" s="14">
        <v>18500</v>
      </c>
      <c r="P6248" s="14">
        <v>98.57</v>
      </c>
      <c r="Q6248" s="14">
        <v>264.55</v>
      </c>
      <c r="R6248" s="14">
        <v>531.75</v>
      </c>
      <c r="S6248" s="2" t="s">
        <v>5409</v>
      </c>
      <c r="T6248" s="2">
        <v>1.53</v>
      </c>
      <c r="U6248" s="2">
        <v>63.5</v>
      </c>
      <c r="V6248" s="2">
        <v>59</v>
      </c>
      <c r="W6248" s="2" t="s">
        <v>7862</v>
      </c>
      <c r="X6248" s="2" t="s">
        <v>6687</v>
      </c>
      <c r="Y6248" s="2">
        <v>37185</v>
      </c>
      <c r="Z6248" s="19" t="str">
        <f>HYPERLINK("https://ssdweb.co/ssdweb/hd/Vision360.html?d=821133306&amp;zoomslide=1&amp;z=1821133306&amp;ISCONFIRM=0","VIDEO")</f>
        <v>VIDEO</v>
      </c>
      <c r="AA6248" s="19" t="str">
        <f>HYPERLINK("https://ssdweb.co/ssdweb/CERTH/669458209.pdf","CERTI")</f>
        <v>CERTI</v>
      </c>
    </row>
    <row r="6249" spans="1:27" ht="15" x14ac:dyDescent="0.25">
      <c r="A6249" s="2">
        <v>6244</v>
      </c>
      <c r="B6249" s="39">
        <v>941100652</v>
      </c>
      <c r="C6249" s="28" t="str">
        <f>HYPERLINK("https://pld.live/RapDetail.aspx?STONELIST=941100652","DNA")</f>
        <v>DNA</v>
      </c>
      <c r="D6249" s="18" t="s">
        <v>3658</v>
      </c>
      <c r="E6249" s="18" t="s">
        <v>2186</v>
      </c>
      <c r="F6249" s="2" t="s">
        <v>7987</v>
      </c>
      <c r="G6249" s="2" t="s">
        <v>6781</v>
      </c>
      <c r="H6249" s="14">
        <v>2.0099999999999998</v>
      </c>
      <c r="I6249" s="2" t="s">
        <v>4761</v>
      </c>
      <c r="J6249" s="2" t="s">
        <v>6555</v>
      </c>
      <c r="K6249" s="2" t="s">
        <v>1452</v>
      </c>
      <c r="L6249" s="2" t="s">
        <v>5221</v>
      </c>
      <c r="M6249" s="2" t="s">
        <v>5221</v>
      </c>
      <c r="N6249" s="2" t="s">
        <v>2317</v>
      </c>
      <c r="O6249" s="14">
        <v>18500</v>
      </c>
      <c r="P6249" s="14">
        <v>98.57</v>
      </c>
      <c r="Q6249" s="14">
        <v>264.55</v>
      </c>
      <c r="R6249" s="14">
        <v>531.75</v>
      </c>
      <c r="S6249" s="2" t="s">
        <v>6123</v>
      </c>
      <c r="T6249" s="2">
        <v>1.54</v>
      </c>
      <c r="U6249" s="2">
        <v>62.3</v>
      </c>
      <c r="V6249" s="2">
        <v>62</v>
      </c>
      <c r="W6249" s="2" t="s">
        <v>7862</v>
      </c>
      <c r="X6249" s="2" t="s">
        <v>6687</v>
      </c>
      <c r="Y6249" s="2">
        <v>37185</v>
      </c>
      <c r="Z6249" s="19" t="str">
        <f>HYPERLINK("https://ssdweb.co/ssdweb/hd/Vision360.html?d=941100652&amp;zoomslide=1&amp;z=1941100652&amp;ISCONFIRM=0","VIDEO")</f>
        <v>VIDEO</v>
      </c>
      <c r="AA6249" s="19" t="str">
        <f>HYPERLINK("https://ssdweb.co/ssdweb/CERTH/674532598.pdf","CERTI")</f>
        <v>CERTI</v>
      </c>
    </row>
    <row r="6250" spans="1:27" ht="15" x14ac:dyDescent="0.25">
      <c r="A6250" s="2">
        <v>6245</v>
      </c>
      <c r="B6250" s="39">
        <v>941060559</v>
      </c>
      <c r="C6250" s="28" t="str">
        <f>HYPERLINK("https://pld.live/RapDetail.aspx?STONELIST=941060559","DNA")</f>
        <v>DNA</v>
      </c>
      <c r="D6250" s="18" t="s">
        <v>3658</v>
      </c>
      <c r="E6250" s="18" t="s">
        <v>2186</v>
      </c>
      <c r="F6250" s="2" t="s">
        <v>7987</v>
      </c>
      <c r="G6250" s="2" t="s">
        <v>6781</v>
      </c>
      <c r="H6250" s="14">
        <v>2.0099999999999998</v>
      </c>
      <c r="I6250" s="2" t="s">
        <v>4761</v>
      </c>
      <c r="J6250" s="2" t="s">
        <v>6555</v>
      </c>
      <c r="K6250" s="2" t="s">
        <v>1452</v>
      </c>
      <c r="L6250" s="2" t="s">
        <v>5221</v>
      </c>
      <c r="M6250" s="2" t="s">
        <v>5221</v>
      </c>
      <c r="N6250" s="2" t="s">
        <v>2317</v>
      </c>
      <c r="O6250" s="14">
        <v>18500</v>
      </c>
      <c r="P6250" s="14">
        <v>98.57</v>
      </c>
      <c r="Q6250" s="14">
        <v>264.55</v>
      </c>
      <c r="R6250" s="14">
        <v>531.75</v>
      </c>
      <c r="S6250" s="2" t="s">
        <v>3792</v>
      </c>
      <c r="T6250" s="2">
        <v>1.54</v>
      </c>
      <c r="U6250" s="2">
        <v>61</v>
      </c>
      <c r="V6250" s="2">
        <v>63</v>
      </c>
      <c r="W6250" s="2" t="s">
        <v>7862</v>
      </c>
      <c r="X6250" s="2" t="s">
        <v>6687</v>
      </c>
      <c r="Y6250" s="2">
        <v>37185</v>
      </c>
      <c r="Z6250" s="19" t="str">
        <f>HYPERLINK("https://ssdweb.co/ssdweb/hd/Vision360.html?d=941060559&amp;zoomslide=1&amp;z=1941060559&amp;ISCONFIRM=0","VIDEO")</f>
        <v>VIDEO</v>
      </c>
      <c r="AA6250" s="19" t="str">
        <f>HYPERLINK("https://ssdweb.co/ssdweb/CERTH/674532530.pdf","CERTI")</f>
        <v>CERTI</v>
      </c>
    </row>
    <row r="6251" spans="1:27" ht="15" x14ac:dyDescent="0.25">
      <c r="A6251" s="2">
        <v>6246</v>
      </c>
      <c r="B6251" s="39">
        <v>941110524</v>
      </c>
      <c r="C6251" s="28" t="str">
        <f>HYPERLINK("https://pld.live/RapDetail.aspx?STONELIST=941110524","DNA")</f>
        <v>DNA</v>
      </c>
      <c r="D6251" s="18" t="s">
        <v>3658</v>
      </c>
      <c r="E6251" s="18" t="s">
        <v>2186</v>
      </c>
      <c r="F6251" s="2" t="s">
        <v>7987</v>
      </c>
      <c r="G6251" s="2" t="s">
        <v>6781</v>
      </c>
      <c r="H6251" s="14">
        <v>2.0099999999999998</v>
      </c>
      <c r="I6251" s="2" t="s">
        <v>4761</v>
      </c>
      <c r="J6251" s="2" t="s">
        <v>3942</v>
      </c>
      <c r="K6251" s="2" t="s">
        <v>1452</v>
      </c>
      <c r="L6251" s="2" t="s">
        <v>5221</v>
      </c>
      <c r="M6251" s="2" t="s">
        <v>5221</v>
      </c>
      <c r="N6251" s="2" t="s">
        <v>2317</v>
      </c>
      <c r="O6251" s="14">
        <v>17000</v>
      </c>
      <c r="P6251" s="14">
        <v>99.12</v>
      </c>
      <c r="Q6251" s="14">
        <v>149.6</v>
      </c>
      <c r="R6251" s="14">
        <v>300.7</v>
      </c>
      <c r="S6251" s="2" t="s">
        <v>4610</v>
      </c>
      <c r="T6251" s="2">
        <v>1.53</v>
      </c>
      <c r="U6251" s="2">
        <v>60.7</v>
      </c>
      <c r="V6251" s="2">
        <v>61</v>
      </c>
      <c r="W6251" s="2" t="s">
        <v>7862</v>
      </c>
      <c r="X6251" s="2" t="s">
        <v>6687</v>
      </c>
      <c r="Y6251" s="2">
        <v>34170</v>
      </c>
      <c r="Z6251" s="19" t="str">
        <f>HYPERLINK("https://ssdweb.co/ssdweb/hd/Vision360.html?d=941110524&amp;zoomslide=1&amp;z=1941110524&amp;ISCONFIRM=0","VIDEO")</f>
        <v>VIDEO</v>
      </c>
      <c r="AA6251" s="19" t="str">
        <f>HYPERLINK("https://ssdweb.co/ssdweb/CERTH/674532588.pdf","CERTI")</f>
        <v>CERTI</v>
      </c>
    </row>
    <row r="6252" spans="1:27" ht="15" x14ac:dyDescent="0.25">
      <c r="A6252" s="2">
        <v>6247</v>
      </c>
      <c r="B6252" s="39">
        <v>941090684</v>
      </c>
      <c r="C6252" s="28" t="str">
        <f>HYPERLINK("https://pld.live/RapDetail.aspx?STONELIST=941090684","DNA")</f>
        <v>DNA</v>
      </c>
      <c r="D6252" s="18" t="s">
        <v>3658</v>
      </c>
      <c r="E6252" s="18" t="s">
        <v>2186</v>
      </c>
      <c r="F6252" s="2" t="s">
        <v>7987</v>
      </c>
      <c r="G6252" s="2" t="s">
        <v>6781</v>
      </c>
      <c r="H6252" s="14">
        <v>2.0099999999999998</v>
      </c>
      <c r="I6252" s="2" t="s">
        <v>4761</v>
      </c>
      <c r="J6252" s="2" t="s">
        <v>3942</v>
      </c>
      <c r="K6252" s="2" t="s">
        <v>1452</v>
      </c>
      <c r="L6252" s="2" t="s">
        <v>5221</v>
      </c>
      <c r="M6252" s="2" t="s">
        <v>5221</v>
      </c>
      <c r="N6252" s="2" t="s">
        <v>2317</v>
      </c>
      <c r="O6252" s="14">
        <v>17000</v>
      </c>
      <c r="P6252" s="14">
        <v>99.12</v>
      </c>
      <c r="Q6252" s="14">
        <v>149.6</v>
      </c>
      <c r="R6252" s="14">
        <v>300.7</v>
      </c>
      <c r="S6252" s="2" t="s">
        <v>147</v>
      </c>
      <c r="T6252" s="2">
        <v>1.53</v>
      </c>
      <c r="U6252" s="2">
        <v>62.4</v>
      </c>
      <c r="V6252" s="2">
        <v>60</v>
      </c>
      <c r="W6252" s="2" t="s">
        <v>7862</v>
      </c>
      <c r="X6252" s="2" t="s">
        <v>6687</v>
      </c>
      <c r="Y6252" s="2">
        <v>34170</v>
      </c>
      <c r="Z6252" s="19" t="str">
        <f>HYPERLINK("https://ssdweb.co/ssdweb/hd/Vision360.html?d=941090684&amp;zoomslide=1&amp;z=1941090684&amp;ISCONFIRM=0","VIDEO")</f>
        <v>VIDEO</v>
      </c>
      <c r="AA6252" s="19" t="str">
        <f>HYPERLINK("https://ssdweb.co/ssdweb/CERTH/674532552.pdf","CERTI")</f>
        <v>CERTI</v>
      </c>
    </row>
    <row r="6253" spans="1:27" ht="15" x14ac:dyDescent="0.25">
      <c r="A6253" s="2">
        <v>6248</v>
      </c>
      <c r="B6253" s="39">
        <v>941150100</v>
      </c>
      <c r="C6253" s="28" t="str">
        <f>HYPERLINK("https://pld.live/RapDetail.aspx?STONELIST=941150100","DNA")</f>
        <v>DNA</v>
      </c>
      <c r="D6253" s="18" t="s">
        <v>3658</v>
      </c>
      <c r="E6253" s="18" t="s">
        <v>2186</v>
      </c>
      <c r="F6253" s="2" t="s">
        <v>7987</v>
      </c>
      <c r="G6253" s="2" t="s">
        <v>6781</v>
      </c>
      <c r="H6253" s="14">
        <v>2.0099999999999998</v>
      </c>
      <c r="I6253" s="2" t="s">
        <v>4761</v>
      </c>
      <c r="J6253" s="2" t="s">
        <v>3942</v>
      </c>
      <c r="K6253" s="2" t="s">
        <v>1452</v>
      </c>
      <c r="L6253" s="2" t="s">
        <v>5221</v>
      </c>
      <c r="M6253" s="2" t="s">
        <v>5221</v>
      </c>
      <c r="N6253" s="2" t="s">
        <v>2317</v>
      </c>
      <c r="O6253" s="14">
        <v>17000</v>
      </c>
      <c r="P6253" s="14">
        <v>99.12</v>
      </c>
      <c r="Q6253" s="14">
        <v>149.6</v>
      </c>
      <c r="R6253" s="14">
        <v>300.7</v>
      </c>
      <c r="S6253" s="2" t="s">
        <v>7028</v>
      </c>
      <c r="T6253" s="2">
        <v>1.52</v>
      </c>
      <c r="U6253" s="2">
        <v>61.8</v>
      </c>
      <c r="V6253" s="2">
        <v>62</v>
      </c>
      <c r="W6253" s="2" t="s">
        <v>7862</v>
      </c>
      <c r="X6253" s="2" t="s">
        <v>6687</v>
      </c>
      <c r="Y6253" s="2">
        <v>34170</v>
      </c>
      <c r="Z6253" s="19" t="str">
        <f>HYPERLINK("https://ssdweb.co/ssdweb/hd/Vision360.html?d=941150100&amp;zoomslide=1&amp;z=1941150100&amp;ISCONFIRM=0","VIDEO")</f>
        <v>VIDEO</v>
      </c>
      <c r="AA6253" s="19" t="str">
        <f>HYPERLINK("https://ssdweb.co/ssdweb/CERTH/677510581.pdf","CERTI")</f>
        <v>CERTI</v>
      </c>
    </row>
    <row r="6254" spans="1:27" ht="15" x14ac:dyDescent="0.25">
      <c r="A6254" s="2">
        <v>6249</v>
      </c>
      <c r="B6254" s="39">
        <v>941200220</v>
      </c>
      <c r="C6254" s="28" t="str">
        <f>HYPERLINK("https://pld.live/RapDetail.aspx?STONELIST=941200220","DNA")</f>
        <v>DNA</v>
      </c>
      <c r="D6254" s="18" t="s">
        <v>3658</v>
      </c>
      <c r="E6254" s="18" t="s">
        <v>2186</v>
      </c>
      <c r="F6254" s="2" t="s">
        <v>7987</v>
      </c>
      <c r="G6254" s="2" t="s">
        <v>6781</v>
      </c>
      <c r="H6254" s="14">
        <v>2.0099999999999998</v>
      </c>
      <c r="I6254" s="2" t="s">
        <v>4761</v>
      </c>
      <c r="J6254" s="2" t="s">
        <v>3942</v>
      </c>
      <c r="K6254" s="2" t="s">
        <v>1452</v>
      </c>
      <c r="L6254" s="2" t="s">
        <v>5221</v>
      </c>
      <c r="M6254" s="2" t="s">
        <v>5221</v>
      </c>
      <c r="N6254" s="2" t="s">
        <v>2317</v>
      </c>
      <c r="O6254" s="14">
        <v>17000</v>
      </c>
      <c r="P6254" s="14">
        <v>99.12</v>
      </c>
      <c r="Q6254" s="14">
        <v>149.6</v>
      </c>
      <c r="R6254" s="14">
        <v>300.7</v>
      </c>
      <c r="S6254" s="2" t="s">
        <v>555</v>
      </c>
      <c r="T6254" s="2">
        <v>1.5</v>
      </c>
      <c r="U6254" s="2">
        <v>61.2</v>
      </c>
      <c r="V6254" s="2">
        <v>64</v>
      </c>
      <c r="W6254" s="2" t="s">
        <v>7862</v>
      </c>
      <c r="X6254" s="2" t="s">
        <v>6687</v>
      </c>
      <c r="Y6254" s="2">
        <v>34170</v>
      </c>
      <c r="Z6254" s="19" t="str">
        <f>HYPERLINK("https://ssdweb.co/ssdweb/hd/Vision360.html?d=941200220&amp;zoomslide=1&amp;z=1941200220&amp;ISCONFIRM=0","VIDEO")</f>
        <v>VIDEO</v>
      </c>
      <c r="AA6254" s="19" t="str">
        <f>HYPERLINK("https://ssdweb.co/ssdweb/CERTH/678550321.pdf","CERTI")</f>
        <v>CERTI</v>
      </c>
    </row>
    <row r="6255" spans="1:27" ht="15" x14ac:dyDescent="0.25">
      <c r="A6255" s="2">
        <v>6250</v>
      </c>
      <c r="B6255" s="39">
        <v>941110553</v>
      </c>
      <c r="C6255" s="28" t="str">
        <f>HYPERLINK("https://pld.live/RapDetail.aspx?STONELIST=941110553","DNA")</f>
        <v>DNA</v>
      </c>
      <c r="D6255" s="18" t="s">
        <v>3658</v>
      </c>
      <c r="E6255" s="18" t="s">
        <v>2186</v>
      </c>
      <c r="F6255" s="2" t="s">
        <v>7987</v>
      </c>
      <c r="G6255" s="2" t="s">
        <v>6781</v>
      </c>
      <c r="H6255" s="14">
        <v>2.0099999999999998</v>
      </c>
      <c r="I6255" s="2" t="s">
        <v>4761</v>
      </c>
      <c r="J6255" s="2" t="s">
        <v>3942</v>
      </c>
      <c r="K6255" s="2" t="s">
        <v>1452</v>
      </c>
      <c r="L6255" s="2" t="s">
        <v>5221</v>
      </c>
      <c r="M6255" s="2" t="s">
        <v>5221</v>
      </c>
      <c r="N6255" s="2" t="s">
        <v>2317</v>
      </c>
      <c r="O6255" s="14">
        <v>17000</v>
      </c>
      <c r="P6255" s="14">
        <v>99.12</v>
      </c>
      <c r="Q6255" s="14">
        <v>149.6</v>
      </c>
      <c r="R6255" s="14">
        <v>300.7</v>
      </c>
      <c r="S6255" s="2" t="s">
        <v>5150</v>
      </c>
      <c r="T6255" s="2">
        <v>1.53</v>
      </c>
      <c r="U6255" s="2">
        <v>62.3</v>
      </c>
      <c r="V6255" s="2">
        <v>61</v>
      </c>
      <c r="W6255" s="2" t="s">
        <v>7862</v>
      </c>
      <c r="X6255" s="2" t="s">
        <v>6687</v>
      </c>
      <c r="Y6255" s="2">
        <v>34170</v>
      </c>
      <c r="Z6255" s="19" t="str">
        <f>HYPERLINK("https://ssdweb.co/ssdweb/hd/Vision360.html?d=941110553&amp;zoomslide=1&amp;z=1941110553&amp;ISCONFIRM=0","VIDEO")</f>
        <v>VIDEO</v>
      </c>
      <c r="AA6255" s="19" t="str">
        <f>HYPERLINK("https://ssdweb.co/ssdweb/CERTH/675504681.pdf","CERTI")</f>
        <v>CERTI</v>
      </c>
    </row>
    <row r="6256" spans="1:27" ht="15" x14ac:dyDescent="0.25">
      <c r="A6256" s="2">
        <v>6251</v>
      </c>
      <c r="B6256" s="39">
        <v>941100624</v>
      </c>
      <c r="C6256" s="28" t="str">
        <f>HYPERLINK("https://pld.live/RapDetail.aspx?STONELIST=941100624","DNA")</f>
        <v>DNA</v>
      </c>
      <c r="D6256" s="18" t="s">
        <v>3658</v>
      </c>
      <c r="E6256" s="18" t="s">
        <v>2186</v>
      </c>
      <c r="F6256" s="2" t="s">
        <v>7987</v>
      </c>
      <c r="G6256" s="2" t="s">
        <v>6781</v>
      </c>
      <c r="H6256" s="14">
        <v>2.0099999999999998</v>
      </c>
      <c r="I6256" s="2" t="s">
        <v>4761</v>
      </c>
      <c r="J6256" s="2" t="s">
        <v>3942</v>
      </c>
      <c r="K6256" s="2" t="s">
        <v>1452</v>
      </c>
      <c r="L6256" s="2" t="s">
        <v>5221</v>
      </c>
      <c r="M6256" s="2" t="s">
        <v>5221</v>
      </c>
      <c r="N6256" s="2" t="s">
        <v>2317</v>
      </c>
      <c r="O6256" s="14">
        <v>17000</v>
      </c>
      <c r="P6256" s="14">
        <v>99.12</v>
      </c>
      <c r="Q6256" s="14">
        <v>149.6</v>
      </c>
      <c r="R6256" s="14">
        <v>300.7</v>
      </c>
      <c r="S6256" s="2" t="s">
        <v>1028</v>
      </c>
      <c r="T6256" s="2">
        <v>1.48</v>
      </c>
      <c r="U6256" s="2">
        <v>64.7</v>
      </c>
      <c r="V6256" s="2">
        <v>61</v>
      </c>
      <c r="W6256" s="2" t="s">
        <v>7862</v>
      </c>
      <c r="X6256" s="2" t="s">
        <v>6687</v>
      </c>
      <c r="Y6256" s="2">
        <v>34170</v>
      </c>
      <c r="Z6256" s="19" t="str">
        <f>HYPERLINK("https://ssdweb.co/ssdweb/hd/Vision360.html?d=941100624&amp;zoomslide=1&amp;z=1941100624&amp;ISCONFIRM=0","VIDEO")</f>
        <v>VIDEO</v>
      </c>
      <c r="AA6256" s="19" t="str">
        <f>HYPERLINK("https://ssdweb.co/ssdweb/CERTH/674532606.pdf","CERTI")</f>
        <v>CERTI</v>
      </c>
    </row>
    <row r="6257" spans="1:27" ht="15" x14ac:dyDescent="0.25">
      <c r="A6257" s="2">
        <v>6252</v>
      </c>
      <c r="B6257" s="39">
        <v>821133307</v>
      </c>
      <c r="C6257" s="28" t="str">
        <f>HYPERLINK("https://pld.live/RapDetail.aspx?STONELIST=821133307","DNA")</f>
        <v>DNA</v>
      </c>
      <c r="D6257" s="18" t="s">
        <v>3658</v>
      </c>
      <c r="E6257" s="18" t="s">
        <v>1253</v>
      </c>
      <c r="F6257" s="2" t="s">
        <v>7987</v>
      </c>
      <c r="G6257" s="2" t="s">
        <v>6781</v>
      </c>
      <c r="H6257" s="14">
        <v>2.0099999999999998</v>
      </c>
      <c r="I6257" s="2" t="s">
        <v>4761</v>
      </c>
      <c r="J6257" s="2" t="s">
        <v>3942</v>
      </c>
      <c r="K6257" s="2" t="s">
        <v>1452</v>
      </c>
      <c r="L6257" s="2" t="s">
        <v>5221</v>
      </c>
      <c r="M6257" s="2" t="s">
        <v>5721</v>
      </c>
      <c r="N6257" s="2" t="s">
        <v>2317</v>
      </c>
      <c r="O6257" s="14">
        <v>17000</v>
      </c>
      <c r="P6257" s="14">
        <v>99.13</v>
      </c>
      <c r="Q6257" s="14">
        <v>147.9</v>
      </c>
      <c r="R6257" s="14">
        <v>297.27999999999997</v>
      </c>
      <c r="S6257" s="2" t="s">
        <v>6118</v>
      </c>
      <c r="T6257" s="2">
        <v>1.52</v>
      </c>
      <c r="U6257" s="2">
        <v>63.9</v>
      </c>
      <c r="V6257" s="2">
        <v>61</v>
      </c>
      <c r="W6257" s="2" t="s">
        <v>7862</v>
      </c>
      <c r="X6257" s="2" t="s">
        <v>6687</v>
      </c>
      <c r="Y6257" s="2">
        <v>34170</v>
      </c>
      <c r="Z6257" s="19" t="str">
        <f>HYPERLINK("https://ssdweb.co/ssdweb/hd/Vision360.html?d=821133307&amp;zoomslide=1&amp;z=1821133307&amp;ISCONFIRM=0","VIDEO")</f>
        <v>VIDEO</v>
      </c>
      <c r="AA6257" s="19" t="str">
        <f>HYPERLINK("https://ssdweb.co/ssdweb/CERTH/670484391.pdf","CERTI")</f>
        <v>CERTI</v>
      </c>
    </row>
    <row r="6258" spans="1:27" ht="15" x14ac:dyDescent="0.25">
      <c r="A6258" s="2">
        <v>6253</v>
      </c>
      <c r="B6258" s="39">
        <v>821133311</v>
      </c>
      <c r="C6258" s="28" t="str">
        <f>HYPERLINK("https://pld.live/RapDetail.aspx?STONELIST=821133311","DNA")</f>
        <v>DNA</v>
      </c>
      <c r="D6258" s="18" t="s">
        <v>3658</v>
      </c>
      <c r="E6258" s="18" t="s">
        <v>1253</v>
      </c>
      <c r="F6258" s="2" t="s">
        <v>7987</v>
      </c>
      <c r="G6258" s="2" t="s">
        <v>6781</v>
      </c>
      <c r="H6258" s="14">
        <v>2.0099999999999998</v>
      </c>
      <c r="I6258" s="2" t="s">
        <v>4761</v>
      </c>
      <c r="J6258" s="2" t="s">
        <v>13</v>
      </c>
      <c r="K6258" s="2" t="s">
        <v>1452</v>
      </c>
      <c r="L6258" s="2" t="s">
        <v>5221</v>
      </c>
      <c r="M6258" s="2" t="s">
        <v>5221</v>
      </c>
      <c r="N6258" s="2" t="s">
        <v>2317</v>
      </c>
      <c r="O6258" s="14">
        <v>16000</v>
      </c>
      <c r="P6258" s="14">
        <v>99.13</v>
      </c>
      <c r="Q6258" s="14">
        <v>139.19999999999999</v>
      </c>
      <c r="R6258" s="14">
        <v>279.79000000000002</v>
      </c>
      <c r="S6258" s="2" t="s">
        <v>657</v>
      </c>
      <c r="T6258" s="2">
        <v>1.56</v>
      </c>
      <c r="U6258" s="2">
        <v>63.7</v>
      </c>
      <c r="V6258" s="2">
        <v>58</v>
      </c>
      <c r="W6258" s="2" t="s">
        <v>7862</v>
      </c>
      <c r="X6258" s="2" t="s">
        <v>6687</v>
      </c>
      <c r="Y6258" s="2">
        <v>32160</v>
      </c>
      <c r="Z6258" s="19" t="str">
        <f>HYPERLINK("https://ssdweb.co/ssdweb/hd/Vision360.html?d=821133311&amp;zoomslide=1&amp;z=1821133311&amp;ISCONFIRM=0","VIDEO")</f>
        <v>VIDEO</v>
      </c>
      <c r="AA6258" s="19" t="str">
        <f>HYPERLINK("https://ssdweb.co/ssdweb/CERTH/669458210.pdf","CERTI")</f>
        <v>CERTI</v>
      </c>
    </row>
    <row r="6259" spans="1:27" ht="15" x14ac:dyDescent="0.25">
      <c r="A6259" s="2">
        <v>6254</v>
      </c>
      <c r="B6259" s="39">
        <v>941110525</v>
      </c>
      <c r="C6259" s="28" t="str">
        <f>HYPERLINK("https://pld.live/RapDetail.aspx?STONELIST=941110525","DNA")</f>
        <v>DNA</v>
      </c>
      <c r="D6259" s="18" t="s">
        <v>3658</v>
      </c>
      <c r="E6259" s="18" t="s">
        <v>2186</v>
      </c>
      <c r="F6259" s="2" t="s">
        <v>7987</v>
      </c>
      <c r="G6259" s="2" t="s">
        <v>6781</v>
      </c>
      <c r="H6259" s="14">
        <v>2.0099999999999998</v>
      </c>
      <c r="I6259" s="2" t="s">
        <v>4761</v>
      </c>
      <c r="J6259" s="2" t="s">
        <v>13</v>
      </c>
      <c r="K6259" s="2" t="s">
        <v>1452</v>
      </c>
      <c r="L6259" s="2" t="s">
        <v>5221</v>
      </c>
      <c r="M6259" s="2" t="s">
        <v>5221</v>
      </c>
      <c r="N6259" s="2" t="s">
        <v>2317</v>
      </c>
      <c r="O6259" s="14">
        <v>16000</v>
      </c>
      <c r="P6259" s="14">
        <v>99.13</v>
      </c>
      <c r="Q6259" s="14">
        <v>139.19999999999999</v>
      </c>
      <c r="R6259" s="14">
        <v>279.79000000000002</v>
      </c>
      <c r="S6259" s="2" t="s">
        <v>4904</v>
      </c>
      <c r="T6259" s="2">
        <v>1.56</v>
      </c>
      <c r="U6259" s="2">
        <v>61.5</v>
      </c>
      <c r="V6259" s="2">
        <v>62</v>
      </c>
      <c r="W6259" s="2" t="s">
        <v>7862</v>
      </c>
      <c r="X6259" s="2" t="s">
        <v>6687</v>
      </c>
      <c r="Y6259" s="2">
        <v>32160</v>
      </c>
      <c r="Z6259" s="19" t="str">
        <f>HYPERLINK("https://ssdweb.co/ssdweb/hd/Vision360.html?d=941110525&amp;zoomslide=1&amp;z=1941110525&amp;ISCONFIRM=0","VIDEO")</f>
        <v>VIDEO</v>
      </c>
      <c r="AA6259" s="19" t="str">
        <f>HYPERLINK("https://ssdweb.co/ssdweb/CERTH/674532587.pdf","CERTI")</f>
        <v>CERTI</v>
      </c>
    </row>
    <row r="6260" spans="1:27" ht="15" x14ac:dyDescent="0.25">
      <c r="A6260" s="2">
        <v>6255</v>
      </c>
      <c r="B6260" s="39">
        <v>821133312</v>
      </c>
      <c r="C6260" s="28" t="str">
        <f>HYPERLINK("https://pld.live/RapDetail.aspx?STONELIST=821133312","DNA")</f>
        <v>DNA</v>
      </c>
      <c r="D6260" s="18" t="s">
        <v>3658</v>
      </c>
      <c r="E6260" s="18" t="s">
        <v>1253</v>
      </c>
      <c r="F6260" s="2" t="s">
        <v>7987</v>
      </c>
      <c r="G6260" s="2" t="s">
        <v>6781</v>
      </c>
      <c r="H6260" s="14">
        <v>2.0099999999999998</v>
      </c>
      <c r="I6260" s="2" t="s">
        <v>4699</v>
      </c>
      <c r="J6260" s="2" t="s">
        <v>3942</v>
      </c>
      <c r="K6260" s="2" t="s">
        <v>1452</v>
      </c>
      <c r="L6260" s="2" t="s">
        <v>5221</v>
      </c>
      <c r="M6260" s="2" t="s">
        <v>5221</v>
      </c>
      <c r="N6260" s="2" t="s">
        <v>2317</v>
      </c>
      <c r="O6260" s="14">
        <v>16000</v>
      </c>
      <c r="P6260" s="14">
        <v>99.09</v>
      </c>
      <c r="Q6260" s="14">
        <v>145.6</v>
      </c>
      <c r="R6260" s="14">
        <v>292.66000000000003</v>
      </c>
      <c r="S6260" s="2" t="s">
        <v>5057</v>
      </c>
      <c r="T6260" s="2">
        <v>1.56</v>
      </c>
      <c r="U6260" s="2">
        <v>63.2</v>
      </c>
      <c r="V6260" s="2">
        <v>61</v>
      </c>
      <c r="W6260" s="2" t="s">
        <v>7862</v>
      </c>
      <c r="X6260" s="2" t="s">
        <v>6687</v>
      </c>
      <c r="Y6260" s="2">
        <v>32160</v>
      </c>
      <c r="Z6260" s="19" t="str">
        <f>HYPERLINK("https://ssdweb.co/ssdweb/hd/Vision360.html?d=821133312&amp;zoomslide=1&amp;z=1821133312&amp;ISCONFIRM=0","VIDEO")</f>
        <v>VIDEO</v>
      </c>
      <c r="AA6260" s="19" t="str">
        <f>HYPERLINK("https://ssdweb.co/ssdweb/CERTH/669458211.pdf","CERTI")</f>
        <v>CERTI</v>
      </c>
    </row>
    <row r="6261" spans="1:27" ht="15" x14ac:dyDescent="0.25">
      <c r="A6261" s="2">
        <v>6256</v>
      </c>
      <c r="B6261" s="39">
        <v>941180079</v>
      </c>
      <c r="C6261" s="28" t="str">
        <f>HYPERLINK("https://pld.live/RapDetail.aspx?STONELIST=941180079","DNA")</f>
        <v>DNA</v>
      </c>
      <c r="D6261" s="18" t="s">
        <v>3658</v>
      </c>
      <c r="E6261" s="18" t="s">
        <v>2186</v>
      </c>
      <c r="F6261" s="2" t="s">
        <v>7987</v>
      </c>
      <c r="G6261" s="2" t="s">
        <v>6781</v>
      </c>
      <c r="H6261" s="14">
        <v>2.0099999999999998</v>
      </c>
      <c r="I6261" s="2" t="s">
        <v>6587</v>
      </c>
      <c r="J6261" s="2" t="s">
        <v>3942</v>
      </c>
      <c r="K6261" s="2" t="s">
        <v>1452</v>
      </c>
      <c r="L6261" s="2" t="s">
        <v>5221</v>
      </c>
      <c r="M6261" s="2" t="s">
        <v>5221</v>
      </c>
      <c r="N6261" s="2" t="s">
        <v>2317</v>
      </c>
      <c r="O6261" s="14">
        <v>15000</v>
      </c>
      <c r="P6261" s="14">
        <v>99.07</v>
      </c>
      <c r="Q6261" s="14">
        <v>139.5</v>
      </c>
      <c r="R6261" s="14">
        <v>280.39999999999998</v>
      </c>
      <c r="S6261" s="2" t="s">
        <v>7439</v>
      </c>
      <c r="T6261" s="2">
        <v>1.52</v>
      </c>
      <c r="U6261" s="2">
        <v>62.6</v>
      </c>
      <c r="V6261" s="2">
        <v>62</v>
      </c>
      <c r="W6261" s="2" t="s">
        <v>7862</v>
      </c>
      <c r="X6261" s="2" t="s">
        <v>6687</v>
      </c>
      <c r="Y6261" s="2">
        <v>30150</v>
      </c>
      <c r="Z6261" s="19" t="str">
        <f>HYPERLINK("https://ssdweb.co/ssdweb/hd/Vision360.html?d=941180079&amp;zoomslide=1&amp;z=1941180079&amp;ISCONFIRM=0","VIDEO")</f>
        <v>VIDEO</v>
      </c>
      <c r="AA6261" s="19" t="str">
        <f>HYPERLINK("https://ssdweb.co/ssdweb/CERTH/675596575.pdf","CERTI")</f>
        <v>CERTI</v>
      </c>
    </row>
    <row r="6262" spans="1:27" ht="15" x14ac:dyDescent="0.25">
      <c r="A6262" s="2">
        <v>6257</v>
      </c>
      <c r="B6262" s="39">
        <v>941110542</v>
      </c>
      <c r="C6262" s="28" t="str">
        <f>HYPERLINK("https://pld.live/RapDetail.aspx?STONELIST=941110542","DNA")</f>
        <v>DNA</v>
      </c>
      <c r="D6262" s="18" t="s">
        <v>3658</v>
      </c>
      <c r="E6262" s="18" t="s">
        <v>2186</v>
      </c>
      <c r="F6262" s="2" t="s">
        <v>7987</v>
      </c>
      <c r="G6262" s="2" t="s">
        <v>6781</v>
      </c>
      <c r="H6262" s="14">
        <v>2</v>
      </c>
      <c r="I6262" s="2" t="s">
        <v>267</v>
      </c>
      <c r="J6262" s="2" t="s">
        <v>13</v>
      </c>
      <c r="K6262" s="2" t="s">
        <v>1452</v>
      </c>
      <c r="L6262" s="2" t="s">
        <v>5221</v>
      </c>
      <c r="M6262" s="2" t="s">
        <v>5721</v>
      </c>
      <c r="N6262" s="2" t="s">
        <v>2317</v>
      </c>
      <c r="O6262" s="14">
        <v>17500</v>
      </c>
      <c r="P6262" s="14">
        <v>99.04</v>
      </c>
      <c r="Q6262" s="14">
        <v>168</v>
      </c>
      <c r="R6262" s="14">
        <v>336</v>
      </c>
      <c r="S6262" s="2" t="s">
        <v>5867</v>
      </c>
      <c r="T6262" s="2">
        <v>1.56</v>
      </c>
      <c r="U6262" s="2">
        <v>60.3</v>
      </c>
      <c r="V6262" s="2">
        <v>61</v>
      </c>
      <c r="W6262" s="2" t="s">
        <v>7862</v>
      </c>
      <c r="X6262" s="2" t="s">
        <v>6687</v>
      </c>
      <c r="Y6262" s="2">
        <v>35000</v>
      </c>
      <c r="Z6262" s="19" t="str">
        <f>HYPERLINK("https://ssdweb.co/ssdweb/hd/Vision360.html?d=941110542&amp;zoomslide=1&amp;z=1941110542&amp;ISCONFIRM=0","VIDEO")</f>
        <v>VIDEO</v>
      </c>
      <c r="AA6262" s="19" t="str">
        <f>HYPERLINK("https://ssdweb.co/ssdweb/CERTH/675504663.pdf","CERTI")</f>
        <v>CERTI</v>
      </c>
    </row>
    <row r="6263" spans="1:27" ht="15" x14ac:dyDescent="0.25">
      <c r="A6263" s="2">
        <v>6258</v>
      </c>
      <c r="B6263" s="39">
        <v>821133303</v>
      </c>
      <c r="C6263" s="28" t="str">
        <f>HYPERLINK("https://pld.live/RapDetail.aspx?STONELIST=821133303","DNA")</f>
        <v>DNA</v>
      </c>
      <c r="D6263" s="18" t="s">
        <v>3658</v>
      </c>
      <c r="E6263" s="18" t="s">
        <v>1253</v>
      </c>
      <c r="F6263" s="2" t="s">
        <v>7987</v>
      </c>
      <c r="G6263" s="2" t="s">
        <v>6781</v>
      </c>
      <c r="H6263" s="14">
        <v>2</v>
      </c>
      <c r="I6263" s="2" t="s">
        <v>4761</v>
      </c>
      <c r="J6263" s="2" t="s">
        <v>3942</v>
      </c>
      <c r="K6263" s="2" t="s">
        <v>1452</v>
      </c>
      <c r="L6263" s="2" t="s">
        <v>5221</v>
      </c>
      <c r="M6263" s="2" t="s">
        <v>5221</v>
      </c>
      <c r="N6263" s="2" t="s">
        <v>2317</v>
      </c>
      <c r="O6263" s="14">
        <v>17000</v>
      </c>
      <c r="P6263" s="14">
        <v>99.12</v>
      </c>
      <c r="Q6263" s="14">
        <v>149.6</v>
      </c>
      <c r="R6263" s="14">
        <v>299.2</v>
      </c>
      <c r="S6263" s="2" t="s">
        <v>6787</v>
      </c>
      <c r="T6263" s="2">
        <v>1.55</v>
      </c>
      <c r="U6263" s="2">
        <v>60.5</v>
      </c>
      <c r="V6263" s="2">
        <v>59</v>
      </c>
      <c r="W6263" s="2" t="s">
        <v>7862</v>
      </c>
      <c r="X6263" s="2" t="s">
        <v>6687</v>
      </c>
      <c r="Y6263" s="2">
        <v>34000</v>
      </c>
      <c r="Z6263" s="19" t="str">
        <f>HYPERLINK("https://ssdweb.co/ssdweb/hd/Vision360.html?d=821133303&amp;zoomslide=1&amp;z=1821133303&amp;ISCONFIRM=0","VIDEO")</f>
        <v>VIDEO</v>
      </c>
      <c r="AA6263" s="19" t="str">
        <f>HYPERLINK("https://ssdweb.co/ssdweb/CERTH/670484389.pdf","CERTI")</f>
        <v>CERTI</v>
      </c>
    </row>
    <row r="6264" spans="1:27" ht="15" x14ac:dyDescent="0.25">
      <c r="A6264" s="2">
        <v>6259</v>
      </c>
      <c r="B6264" s="39">
        <v>941110541</v>
      </c>
      <c r="C6264" s="28" t="str">
        <f>HYPERLINK("https://pld.live/RapDetail.aspx?STONELIST=941110541","DNA")</f>
        <v>DNA</v>
      </c>
      <c r="D6264" s="18" t="s">
        <v>3658</v>
      </c>
      <c r="E6264" s="18" t="s">
        <v>2186</v>
      </c>
      <c r="F6264" s="2" t="s">
        <v>7987</v>
      </c>
      <c r="G6264" s="2" t="s">
        <v>6781</v>
      </c>
      <c r="H6264" s="14">
        <v>2</v>
      </c>
      <c r="I6264" s="2" t="s">
        <v>4761</v>
      </c>
      <c r="J6264" s="2" t="s">
        <v>3942</v>
      </c>
      <c r="K6264" s="2" t="s">
        <v>1452</v>
      </c>
      <c r="L6264" s="2" t="s">
        <v>5221</v>
      </c>
      <c r="M6264" s="2" t="s">
        <v>5221</v>
      </c>
      <c r="N6264" s="2" t="s">
        <v>2317</v>
      </c>
      <c r="O6264" s="14">
        <v>17000</v>
      </c>
      <c r="P6264" s="14">
        <v>99.12</v>
      </c>
      <c r="Q6264" s="14">
        <v>149.6</v>
      </c>
      <c r="R6264" s="14">
        <v>299.2</v>
      </c>
      <c r="S6264" s="2" t="s">
        <v>3985</v>
      </c>
      <c r="T6264" s="2">
        <v>1.53</v>
      </c>
      <c r="U6264" s="2">
        <v>63.2</v>
      </c>
      <c r="V6264" s="2">
        <v>61</v>
      </c>
      <c r="W6264" s="2" t="s">
        <v>7862</v>
      </c>
      <c r="X6264" s="2" t="s">
        <v>6687</v>
      </c>
      <c r="Y6264" s="2">
        <v>34000</v>
      </c>
      <c r="Z6264" s="19" t="str">
        <f>HYPERLINK("https://ssdweb.co/ssdweb/hd/Vision360.html?d=941110541&amp;zoomslide=1&amp;z=1941110541&amp;ISCONFIRM=0","VIDEO")</f>
        <v>VIDEO</v>
      </c>
      <c r="AA6264" s="19" t="str">
        <f>HYPERLINK("https://ssdweb.co/ssdweb/CERTH/675504662.pdf","CERTI")</f>
        <v>CERTI</v>
      </c>
    </row>
    <row r="6265" spans="1:27" ht="15" x14ac:dyDescent="0.25">
      <c r="A6265" s="2">
        <v>6260</v>
      </c>
      <c r="B6265" s="39">
        <v>941110571</v>
      </c>
      <c r="C6265" s="28" t="str">
        <f>HYPERLINK("https://pld.live/RapDetail.aspx?STONELIST=941110571","DNA")</f>
        <v>DNA</v>
      </c>
      <c r="D6265" s="18" t="s">
        <v>3658</v>
      </c>
      <c r="E6265" s="18" t="s">
        <v>2186</v>
      </c>
      <c r="F6265" s="2" t="s">
        <v>7987</v>
      </c>
      <c r="G6265" s="2" t="s">
        <v>6781</v>
      </c>
      <c r="H6265" s="14">
        <v>2</v>
      </c>
      <c r="I6265" s="2" t="s">
        <v>4761</v>
      </c>
      <c r="J6265" s="2" t="s">
        <v>13</v>
      </c>
      <c r="K6265" s="2" t="s">
        <v>1452</v>
      </c>
      <c r="L6265" s="2" t="s">
        <v>5221</v>
      </c>
      <c r="M6265" s="2" t="s">
        <v>5221</v>
      </c>
      <c r="N6265" s="2" t="s">
        <v>2317</v>
      </c>
      <c r="O6265" s="14">
        <v>16000</v>
      </c>
      <c r="P6265" s="14">
        <v>99.13</v>
      </c>
      <c r="Q6265" s="14">
        <v>139.19999999999999</v>
      </c>
      <c r="R6265" s="14">
        <v>278.39999999999998</v>
      </c>
      <c r="S6265" s="2" t="s">
        <v>4100</v>
      </c>
      <c r="T6265" s="2">
        <v>1.5</v>
      </c>
      <c r="U6265" s="2">
        <v>62.2</v>
      </c>
      <c r="V6265" s="2">
        <v>59</v>
      </c>
      <c r="W6265" s="2" t="s">
        <v>7862</v>
      </c>
      <c r="X6265" s="2" t="s">
        <v>6687</v>
      </c>
      <c r="Y6265" s="2">
        <v>32000</v>
      </c>
      <c r="Z6265" s="19" t="str">
        <f>HYPERLINK("https://ssdweb.co/ssdweb/hd/Vision360.html?d=941110571&amp;zoomslide=1&amp;z=1941110571&amp;ISCONFIRM=0","VIDEO")</f>
        <v>VIDEO</v>
      </c>
      <c r="AA6265" s="19" t="str">
        <f>HYPERLINK("https://ssdweb.co/ssdweb/CERTH/675596774.pdf","CERTI")</f>
        <v>CERTI</v>
      </c>
    </row>
    <row r="6266" spans="1:27" ht="15" x14ac:dyDescent="0.25">
      <c r="A6266" s="2">
        <v>6261</v>
      </c>
      <c r="B6266" s="39">
        <v>941060562</v>
      </c>
      <c r="C6266" s="28" t="str">
        <f>HYPERLINK("https://pld.live/RapDetail.aspx?STONELIST=941060562","DNA")</f>
        <v>DNA</v>
      </c>
      <c r="D6266" s="18" t="s">
        <v>3658</v>
      </c>
      <c r="E6266" s="18" t="s">
        <v>2186</v>
      </c>
      <c r="F6266" s="2" t="s">
        <v>7987</v>
      </c>
      <c r="G6266" s="2" t="s">
        <v>6781</v>
      </c>
      <c r="H6266" s="14">
        <v>2</v>
      </c>
      <c r="I6266" s="2" t="s">
        <v>4761</v>
      </c>
      <c r="J6266" s="2" t="s">
        <v>13</v>
      </c>
      <c r="K6266" s="2" t="s">
        <v>1452</v>
      </c>
      <c r="L6266" s="2" t="s">
        <v>5221</v>
      </c>
      <c r="M6266" s="2" t="s">
        <v>5221</v>
      </c>
      <c r="N6266" s="2" t="s">
        <v>2317</v>
      </c>
      <c r="O6266" s="14">
        <v>16000</v>
      </c>
      <c r="P6266" s="14">
        <v>99.13</v>
      </c>
      <c r="Q6266" s="14">
        <v>139.19999999999999</v>
      </c>
      <c r="R6266" s="14">
        <v>278.39999999999998</v>
      </c>
      <c r="S6266" s="2" t="s">
        <v>847</v>
      </c>
      <c r="T6266" s="2">
        <v>1.48</v>
      </c>
      <c r="U6266" s="2">
        <v>60.9</v>
      </c>
      <c r="V6266" s="2">
        <v>64</v>
      </c>
      <c r="W6266" s="2" t="s">
        <v>7862</v>
      </c>
      <c r="X6266" s="2" t="s">
        <v>6687</v>
      </c>
      <c r="Y6266" s="2">
        <v>32000</v>
      </c>
      <c r="Z6266" s="19" t="str">
        <f>HYPERLINK("https://ssdweb.co/ssdweb/hd/Vision360.html?d=941060562&amp;zoomslide=1&amp;z=1941060562&amp;ISCONFIRM=0","VIDEO")</f>
        <v>VIDEO</v>
      </c>
      <c r="AA6266" s="19" t="str">
        <f>HYPERLINK("https://ssdweb.co/ssdweb/CERTH/675504671.pdf","CERTI")</f>
        <v>CERTI</v>
      </c>
    </row>
    <row r="6267" spans="1:27" ht="15" x14ac:dyDescent="0.25">
      <c r="A6267" s="2">
        <v>6262</v>
      </c>
      <c r="B6267" s="39">
        <v>941080853</v>
      </c>
      <c r="C6267" s="28" t="str">
        <f>HYPERLINK("https://pld.live/RapDetail.aspx?STONELIST=941080853","DNA")</f>
        <v>DNA</v>
      </c>
      <c r="D6267" s="18" t="s">
        <v>3658</v>
      </c>
      <c r="E6267" s="18" t="s">
        <v>2186</v>
      </c>
      <c r="F6267" s="2" t="s">
        <v>7987</v>
      </c>
      <c r="G6267" s="2" t="s">
        <v>6781</v>
      </c>
      <c r="H6267" s="14">
        <v>2</v>
      </c>
      <c r="I6267" s="2" t="s">
        <v>4761</v>
      </c>
      <c r="J6267" s="2" t="s">
        <v>13</v>
      </c>
      <c r="K6267" s="2" t="s">
        <v>1452</v>
      </c>
      <c r="L6267" s="2" t="s">
        <v>5221</v>
      </c>
      <c r="M6267" s="2" t="s">
        <v>5221</v>
      </c>
      <c r="N6267" s="2" t="s">
        <v>2317</v>
      </c>
      <c r="O6267" s="14">
        <v>16000</v>
      </c>
      <c r="P6267" s="14">
        <v>99.13</v>
      </c>
      <c r="Q6267" s="14">
        <v>139.19999999999999</v>
      </c>
      <c r="R6267" s="14">
        <v>278.39999999999998</v>
      </c>
      <c r="S6267" s="2" t="s">
        <v>2182</v>
      </c>
      <c r="T6267" s="2">
        <v>1.48</v>
      </c>
      <c r="U6267" s="2">
        <v>64.2</v>
      </c>
      <c r="V6267" s="2">
        <v>62</v>
      </c>
      <c r="W6267" s="2" t="s">
        <v>7862</v>
      </c>
      <c r="X6267" s="2" t="s">
        <v>6687</v>
      </c>
      <c r="Y6267" s="2">
        <v>32000</v>
      </c>
      <c r="Z6267" s="19" t="str">
        <f>HYPERLINK("https://ssdweb.co/ssdweb/hd/Vision360.html?d=941080853&amp;zoomslide=1&amp;z=1941080853&amp;ISCONFIRM=0","VIDEO")</f>
        <v>VIDEO</v>
      </c>
      <c r="AA6267" s="19" t="str">
        <f>HYPERLINK("https://ssdweb.co/ssdweb/CERTH/675504657.pdf","CERTI")</f>
        <v>CERTI</v>
      </c>
    </row>
    <row r="6268" spans="1:27" ht="15" x14ac:dyDescent="0.25">
      <c r="A6268" s="2">
        <v>6263</v>
      </c>
      <c r="B6268" s="39">
        <v>941120580</v>
      </c>
      <c r="C6268" s="28" t="str">
        <f>HYPERLINK("https://pld.live/RapDetail.aspx?STONELIST=941120580","DNA")</f>
        <v>DNA</v>
      </c>
      <c r="D6268" s="18" t="s">
        <v>3658</v>
      </c>
      <c r="E6268" s="18" t="s">
        <v>2186</v>
      </c>
      <c r="F6268" s="2" t="s">
        <v>7987</v>
      </c>
      <c r="G6268" s="2" t="s">
        <v>6781</v>
      </c>
      <c r="H6268" s="14">
        <v>2</v>
      </c>
      <c r="I6268" s="2" t="s">
        <v>4699</v>
      </c>
      <c r="J6268" s="2" t="s">
        <v>13</v>
      </c>
      <c r="K6268" s="2" t="s">
        <v>1452</v>
      </c>
      <c r="L6268" s="2" t="s">
        <v>5221</v>
      </c>
      <c r="M6268" s="2" t="s">
        <v>5221</v>
      </c>
      <c r="N6268" s="2" t="s">
        <v>2317</v>
      </c>
      <c r="O6268" s="14">
        <v>15000</v>
      </c>
      <c r="P6268" s="14">
        <v>99.1</v>
      </c>
      <c r="Q6268" s="14">
        <v>135</v>
      </c>
      <c r="R6268" s="14">
        <v>270</v>
      </c>
      <c r="S6268" s="2" t="s">
        <v>6681</v>
      </c>
      <c r="T6268" s="2">
        <v>1.5</v>
      </c>
      <c r="U6268" s="2">
        <v>64.5</v>
      </c>
      <c r="V6268" s="2">
        <v>55</v>
      </c>
      <c r="W6268" s="2" t="s">
        <v>7862</v>
      </c>
      <c r="X6268" s="2" t="s">
        <v>6687</v>
      </c>
      <c r="Y6268" s="2">
        <v>30000</v>
      </c>
      <c r="Z6268" s="19" t="str">
        <f>HYPERLINK("https://ssdweb.co/ssdweb/hd/Vision360.html?d=941120580&amp;zoomslide=1&amp;z=1941120580&amp;ISCONFIRM=0","VIDEO")</f>
        <v>VIDEO</v>
      </c>
      <c r="AA6268" s="19" t="str">
        <f>HYPERLINK("https://ssdweb.co/ssdweb/CERTH/675596766.pdf","CERTI")</f>
        <v>CERTI</v>
      </c>
    </row>
    <row r="6269" spans="1:27" ht="15" x14ac:dyDescent="0.25">
      <c r="A6269" s="2">
        <v>6264</v>
      </c>
      <c r="B6269" s="39">
        <v>941110563</v>
      </c>
      <c r="C6269" s="28" t="str">
        <f>HYPERLINK("https://pld.live/RapDetail.aspx?STONELIST=941110563","DNA")</f>
        <v>DNA</v>
      </c>
      <c r="D6269" s="18" t="s">
        <v>3658</v>
      </c>
      <c r="E6269" s="18" t="s">
        <v>2186</v>
      </c>
      <c r="F6269" s="2" t="s">
        <v>7987</v>
      </c>
      <c r="G6269" s="2" t="s">
        <v>6781</v>
      </c>
      <c r="H6269" s="14">
        <v>2</v>
      </c>
      <c r="I6269" s="2" t="s">
        <v>4699</v>
      </c>
      <c r="J6269" s="2" t="s">
        <v>13</v>
      </c>
      <c r="K6269" s="2" t="s">
        <v>1452</v>
      </c>
      <c r="L6269" s="2" t="s">
        <v>5221</v>
      </c>
      <c r="M6269" s="2" t="s">
        <v>5221</v>
      </c>
      <c r="N6269" s="2" t="s">
        <v>2317</v>
      </c>
      <c r="O6269" s="14">
        <v>15000</v>
      </c>
      <c r="P6269" s="14">
        <v>99.1</v>
      </c>
      <c r="Q6269" s="14">
        <v>135</v>
      </c>
      <c r="R6269" s="14">
        <v>270</v>
      </c>
      <c r="S6269" s="2" t="s">
        <v>5852</v>
      </c>
      <c r="T6269" s="2">
        <v>1.56</v>
      </c>
      <c r="U6269" s="2">
        <v>61.4</v>
      </c>
      <c r="V6269" s="2">
        <v>62</v>
      </c>
      <c r="W6269" s="2" t="s">
        <v>7862</v>
      </c>
      <c r="X6269" s="2" t="s">
        <v>6687</v>
      </c>
      <c r="Y6269" s="2">
        <v>30000</v>
      </c>
      <c r="Z6269" s="19" t="str">
        <f>HYPERLINK("https://ssdweb.co/ssdweb/hd/Vision360.html?d=941110563&amp;zoomslide=1&amp;z=1941110563&amp;ISCONFIRM=0","VIDEO")</f>
        <v>VIDEO</v>
      </c>
      <c r="AA6269" s="19" t="str">
        <f>HYPERLINK("https://ssdweb.co/ssdweb/CERTH/675504688.pdf","CERTI")</f>
        <v>CERTI</v>
      </c>
    </row>
    <row r="6270" spans="1:27" ht="15" x14ac:dyDescent="0.25">
      <c r="A6270" s="2">
        <v>6265</v>
      </c>
      <c r="B6270" s="39">
        <v>831020614</v>
      </c>
      <c r="C6270" s="28" t="str">
        <f>HYPERLINK("https://pld.live/RapDetail.aspx?STONELIST=831020614","DNA")</f>
        <v>DNA</v>
      </c>
      <c r="D6270" s="18" t="s">
        <v>3658</v>
      </c>
      <c r="E6270" s="18" t="s">
        <v>2186</v>
      </c>
      <c r="F6270" s="2" t="s">
        <v>7987</v>
      </c>
      <c r="G6270" s="2" t="s">
        <v>6781</v>
      </c>
      <c r="H6270" s="14">
        <v>2</v>
      </c>
      <c r="I6270" s="2" t="s">
        <v>6587</v>
      </c>
      <c r="J6270" s="2" t="s">
        <v>13</v>
      </c>
      <c r="K6270" s="2" t="s">
        <v>1452</v>
      </c>
      <c r="L6270" s="2" t="s">
        <v>5221</v>
      </c>
      <c r="M6270" s="2" t="s">
        <v>5221</v>
      </c>
      <c r="N6270" s="2" t="s">
        <v>2317</v>
      </c>
      <c r="O6270" s="14">
        <v>14000</v>
      </c>
      <c r="P6270" s="14">
        <v>99.11</v>
      </c>
      <c r="Q6270" s="14">
        <v>124.6</v>
      </c>
      <c r="R6270" s="14">
        <v>249.2</v>
      </c>
      <c r="S6270" s="2" t="s">
        <v>1706</v>
      </c>
      <c r="T6270" s="2">
        <v>1.48</v>
      </c>
      <c r="U6270" s="2">
        <v>64.8</v>
      </c>
      <c r="V6270" s="2">
        <v>57.5</v>
      </c>
      <c r="W6270" s="2" t="s">
        <v>7862</v>
      </c>
      <c r="X6270" s="2" t="s">
        <v>6687</v>
      </c>
      <c r="Y6270" s="2">
        <v>28000</v>
      </c>
      <c r="Z6270" s="19" t="str">
        <f>HYPERLINK("https://ssdweb.co/ssdweb/hd/Vision360.html?d=831020614&amp;zoomslide=1&amp;z=1831020614&amp;ISCONFIRM=0","VIDEO")</f>
        <v>VIDEO</v>
      </c>
      <c r="AA6270" s="19" t="str">
        <f>HYPERLINK("https://ssdweb.co/ssdweb/CERTH/544262927.pdf","CERTI")</f>
        <v>CERTI</v>
      </c>
    </row>
    <row r="6271" spans="1:27" ht="15" x14ac:dyDescent="0.25">
      <c r="A6271" s="2">
        <v>6266</v>
      </c>
      <c r="B6271" s="39">
        <v>821113343</v>
      </c>
      <c r="C6271" s="28" t="str">
        <f>HYPERLINK("https://pld.live/RapDetail.aspx?STONELIST=821113343","DNA")</f>
        <v>DNA</v>
      </c>
      <c r="D6271" s="18" t="s">
        <v>6675</v>
      </c>
      <c r="E6271" s="18" t="s">
        <v>2186</v>
      </c>
      <c r="F6271" s="2" t="s">
        <v>7987</v>
      </c>
      <c r="G6271" s="2" t="s">
        <v>6781</v>
      </c>
      <c r="H6271" s="14">
        <v>1.98</v>
      </c>
      <c r="I6271" s="2" t="s">
        <v>4761</v>
      </c>
      <c r="J6271" s="2" t="s">
        <v>13</v>
      </c>
      <c r="K6271" s="2" t="s">
        <v>1452</v>
      </c>
      <c r="L6271" s="2" t="s">
        <v>5221</v>
      </c>
      <c r="M6271" s="2" t="s">
        <v>5221</v>
      </c>
      <c r="N6271" s="2" t="s">
        <v>2317</v>
      </c>
      <c r="O6271" s="14">
        <v>10800</v>
      </c>
      <c r="P6271" s="14">
        <v>98.8</v>
      </c>
      <c r="Q6271" s="14">
        <v>129.6</v>
      </c>
      <c r="R6271" s="14">
        <v>256.61</v>
      </c>
      <c r="S6271" s="2" t="s">
        <v>3743</v>
      </c>
      <c r="T6271" s="2">
        <v>1.61</v>
      </c>
      <c r="U6271" s="2">
        <v>64.900000000000006</v>
      </c>
      <c r="V6271" s="2">
        <v>61</v>
      </c>
      <c r="W6271" s="2" t="s">
        <v>7862</v>
      </c>
      <c r="X6271" s="2" t="s">
        <v>6687</v>
      </c>
      <c r="Y6271" s="2">
        <v>21384</v>
      </c>
      <c r="Z6271" s="19" t="str">
        <f>HYPERLINK("https://ssdweb.co/ssdweb/hd/Vision360.html?d=821113343&amp;zoomslide=1&amp;z=1821113343&amp;ISCONFIRM=0","VIDEO")</f>
        <v>VIDEO</v>
      </c>
      <c r="AA6271" s="19" t="str">
        <f>HYPERLINK("https://ssdweb.co/ssdweb/CERTH/620487490.pdf","CERTI")</f>
        <v>CERTI</v>
      </c>
    </row>
    <row r="6272" spans="1:27" ht="15" x14ac:dyDescent="0.25">
      <c r="A6272" s="2">
        <v>6267</v>
      </c>
      <c r="B6272" s="39">
        <v>821113401</v>
      </c>
      <c r="C6272" s="28" t="str">
        <f>HYPERLINK("https://pld.live/RapDetail.aspx?STONELIST=821113401","DNA")</f>
        <v>DNA</v>
      </c>
      <c r="D6272" s="18" t="s">
        <v>6675</v>
      </c>
      <c r="E6272" s="18" t="s">
        <v>2186</v>
      </c>
      <c r="F6272" s="2" t="s">
        <v>7987</v>
      </c>
      <c r="G6272" s="2" t="s">
        <v>6781</v>
      </c>
      <c r="H6272" s="14">
        <v>1.98</v>
      </c>
      <c r="I6272" s="2" t="s">
        <v>4699</v>
      </c>
      <c r="J6272" s="2" t="s">
        <v>13</v>
      </c>
      <c r="K6272" s="2" t="s">
        <v>1452</v>
      </c>
      <c r="L6272" s="2" t="s">
        <v>5221</v>
      </c>
      <c r="M6272" s="2" t="s">
        <v>5221</v>
      </c>
      <c r="N6272" s="2" t="s">
        <v>2317</v>
      </c>
      <c r="O6272" s="14">
        <v>10200</v>
      </c>
      <c r="P6272" s="14">
        <v>98.77</v>
      </c>
      <c r="Q6272" s="14">
        <v>125.46</v>
      </c>
      <c r="R6272" s="14">
        <v>248.41</v>
      </c>
      <c r="S6272" s="2" t="s">
        <v>526</v>
      </c>
      <c r="T6272" s="2">
        <v>1.58</v>
      </c>
      <c r="U6272" s="2">
        <v>62.9</v>
      </c>
      <c r="V6272" s="2">
        <v>63</v>
      </c>
      <c r="W6272" s="2" t="s">
        <v>7862</v>
      </c>
      <c r="X6272" s="2" t="s">
        <v>6687</v>
      </c>
      <c r="Y6272" s="2">
        <v>20196</v>
      </c>
      <c r="Z6272" s="19" t="str">
        <f>HYPERLINK("https://ssdweb.co/ssdweb/hd/Vision360.html?d=821113401&amp;zoomslide=1&amp;z=1821113401&amp;ISCONFIRM=0","VIDEO")</f>
        <v>VIDEO</v>
      </c>
      <c r="AA6272" s="19" t="str">
        <f>HYPERLINK("https://ssdweb.co/ssdweb/CERTH/621468209.pdf","CERTI")</f>
        <v>CERTI</v>
      </c>
    </row>
    <row r="6273" spans="1:27" ht="15" x14ac:dyDescent="0.25">
      <c r="A6273" s="2">
        <v>6268</v>
      </c>
      <c r="B6273" s="39">
        <v>821113444</v>
      </c>
      <c r="C6273" s="28" t="str">
        <f>HYPERLINK("https://pld.live/RapDetail.aspx?STONELIST=821113444","DNA")</f>
        <v>DNA</v>
      </c>
      <c r="D6273" s="18" t="s">
        <v>6675</v>
      </c>
      <c r="E6273" s="18" t="s">
        <v>2186</v>
      </c>
      <c r="F6273" s="2" t="s">
        <v>7987</v>
      </c>
      <c r="G6273" s="2" t="s">
        <v>6781</v>
      </c>
      <c r="H6273" s="14">
        <v>1.98</v>
      </c>
      <c r="I6273" s="2" t="s">
        <v>4699</v>
      </c>
      <c r="J6273" s="2" t="s">
        <v>5144</v>
      </c>
      <c r="K6273" s="2" t="s">
        <v>1452</v>
      </c>
      <c r="L6273" s="2" t="s">
        <v>5221</v>
      </c>
      <c r="M6273" s="2" t="s">
        <v>5221</v>
      </c>
      <c r="N6273" s="2" t="s">
        <v>2317</v>
      </c>
      <c r="O6273" s="14">
        <v>8800</v>
      </c>
      <c r="P6273" s="14">
        <v>98.58</v>
      </c>
      <c r="Q6273" s="14">
        <v>124.96</v>
      </c>
      <c r="R6273" s="14">
        <v>247.42</v>
      </c>
      <c r="S6273" s="2" t="s">
        <v>1833</v>
      </c>
      <c r="T6273" s="2">
        <v>1.5</v>
      </c>
      <c r="U6273" s="2">
        <v>63.9</v>
      </c>
      <c r="V6273" s="2">
        <v>57</v>
      </c>
      <c r="W6273" s="2" t="s">
        <v>7862</v>
      </c>
      <c r="X6273" s="2" t="s">
        <v>6687</v>
      </c>
      <c r="Y6273" s="2">
        <v>17424</v>
      </c>
      <c r="Z6273" s="19" t="str">
        <f>HYPERLINK("https://ssdweb.co/ssdweb/hd/Vision360.html?d=821113444&amp;zoomslide=1&amp;z=1821113444&amp;ISCONFIRM=0","VIDEO")</f>
        <v>VIDEO</v>
      </c>
      <c r="AA6273" s="19" t="str">
        <f>HYPERLINK("https://ssdweb.co/ssdweb/CERTH/610339535.pdf","CERTI")</f>
        <v>CERTI</v>
      </c>
    </row>
    <row r="6274" spans="1:27" ht="15" x14ac:dyDescent="0.25">
      <c r="A6274" s="2">
        <v>6269</v>
      </c>
      <c r="B6274" s="39">
        <v>821113815</v>
      </c>
      <c r="C6274" s="28" t="str">
        <f>HYPERLINK("https://pld.live/RapDetail.aspx?STONELIST=821113815","DNA")</f>
        <v>DNA</v>
      </c>
      <c r="D6274" s="18" t="s">
        <v>6675</v>
      </c>
      <c r="E6274" s="18" t="s">
        <v>2186</v>
      </c>
      <c r="F6274" s="2" t="s">
        <v>7987</v>
      </c>
      <c r="G6274" s="2" t="s">
        <v>6781</v>
      </c>
      <c r="H6274" s="14">
        <v>1.97</v>
      </c>
      <c r="I6274" s="2" t="s">
        <v>4699</v>
      </c>
      <c r="J6274" s="2" t="s">
        <v>13</v>
      </c>
      <c r="K6274" s="2" t="s">
        <v>1452</v>
      </c>
      <c r="L6274" s="2" t="s">
        <v>5221</v>
      </c>
      <c r="M6274" s="2" t="s">
        <v>5221</v>
      </c>
      <c r="N6274" s="2" t="s">
        <v>2317</v>
      </c>
      <c r="O6274" s="14">
        <v>10200</v>
      </c>
      <c r="P6274" s="14">
        <v>98.77</v>
      </c>
      <c r="Q6274" s="14">
        <v>125.46</v>
      </c>
      <c r="R6274" s="14">
        <v>247.16</v>
      </c>
      <c r="S6274" s="2" t="s">
        <v>3804</v>
      </c>
      <c r="T6274" s="2">
        <v>1.5</v>
      </c>
      <c r="U6274" s="2">
        <v>64.5</v>
      </c>
      <c r="V6274" s="2">
        <v>59</v>
      </c>
      <c r="W6274" s="2" t="s">
        <v>7862</v>
      </c>
      <c r="X6274" s="2" t="s">
        <v>6687</v>
      </c>
      <c r="Y6274" s="2">
        <v>20094</v>
      </c>
      <c r="Z6274" s="19" t="str">
        <f>HYPERLINK("https://ssdweb.co/ssdweb/hd/Vision360.html?d=821113815&amp;zoomslide=1&amp;z=1821113815&amp;ISCONFIRM=0","VIDEO")</f>
        <v>VIDEO</v>
      </c>
      <c r="AA6274" s="19" t="str">
        <f>HYPERLINK("https://ssdweb.co/ssdweb/CERTH/623492198.pdf","CERTI")</f>
        <v>CERTI</v>
      </c>
    </row>
    <row r="6275" spans="1:27" ht="15" x14ac:dyDescent="0.25">
      <c r="A6275" s="2">
        <v>6270</v>
      </c>
      <c r="B6275" s="39">
        <v>821113398</v>
      </c>
      <c r="C6275" s="28" t="str">
        <f>HYPERLINK("https://pld.live/RapDetail.aspx?STONELIST=821113398","DNA")</f>
        <v>DNA</v>
      </c>
      <c r="D6275" s="18" t="s">
        <v>6675</v>
      </c>
      <c r="E6275" s="18" t="s">
        <v>2186</v>
      </c>
      <c r="F6275" s="2" t="s">
        <v>7987</v>
      </c>
      <c r="G6275" s="2" t="s">
        <v>6781</v>
      </c>
      <c r="H6275" s="14">
        <v>1.95</v>
      </c>
      <c r="I6275" s="2" t="s">
        <v>4699</v>
      </c>
      <c r="J6275" s="2" t="s">
        <v>13</v>
      </c>
      <c r="K6275" s="2" t="s">
        <v>1452</v>
      </c>
      <c r="L6275" s="2" t="s">
        <v>5221</v>
      </c>
      <c r="M6275" s="2" t="s">
        <v>5221</v>
      </c>
      <c r="N6275" s="2" t="s">
        <v>2317</v>
      </c>
      <c r="O6275" s="14">
        <v>10200</v>
      </c>
      <c r="P6275" s="14">
        <v>98.77</v>
      </c>
      <c r="Q6275" s="14">
        <v>125.46</v>
      </c>
      <c r="R6275" s="14">
        <v>244.65</v>
      </c>
      <c r="S6275" s="2" t="s">
        <v>5691</v>
      </c>
      <c r="T6275" s="2">
        <v>1.5</v>
      </c>
      <c r="U6275" s="2">
        <v>64.5</v>
      </c>
      <c r="V6275" s="2">
        <v>60</v>
      </c>
      <c r="W6275" s="2" t="s">
        <v>7862</v>
      </c>
      <c r="X6275" s="2" t="s">
        <v>6687</v>
      </c>
      <c r="Y6275" s="2">
        <v>19890</v>
      </c>
      <c r="Z6275" s="19" t="str">
        <f>HYPERLINK("https://ssdweb.co/ssdweb/hd/Vision360.html?d=821113398&amp;zoomslide=1&amp;z=1821113398&amp;ISCONFIRM=0","VIDEO")</f>
        <v>VIDEO</v>
      </c>
      <c r="AA6275" s="19" t="str">
        <f>HYPERLINK("https://ssdweb.co/ssdweb/CERTH/614312505.pdf","CERTI")</f>
        <v>CERTI</v>
      </c>
    </row>
    <row r="6276" spans="1:27" ht="15" x14ac:dyDescent="0.25">
      <c r="A6276" s="2">
        <v>6271</v>
      </c>
      <c r="B6276" s="39">
        <v>923310430</v>
      </c>
      <c r="C6276" s="28" t="str">
        <f>HYPERLINK("https://pld.live/RapDetail.aspx?STONELIST=923310430","DNA")</f>
        <v>DNA</v>
      </c>
      <c r="D6276" s="18" t="s">
        <v>6675</v>
      </c>
      <c r="E6276" s="18" t="s">
        <v>2186</v>
      </c>
      <c r="F6276" s="2" t="s">
        <v>5597</v>
      </c>
      <c r="G6276" s="2" t="s">
        <v>6781</v>
      </c>
      <c r="H6276" s="14">
        <v>1.91</v>
      </c>
      <c r="I6276" s="2" t="s">
        <v>6587</v>
      </c>
      <c r="J6276" s="2" t="s">
        <v>13</v>
      </c>
      <c r="K6276" s="2" t="s">
        <v>1452</v>
      </c>
      <c r="L6276" s="2" t="s">
        <v>5221</v>
      </c>
      <c r="M6276" s="2" t="s">
        <v>5221</v>
      </c>
      <c r="N6276" s="2" t="s">
        <v>2317</v>
      </c>
      <c r="O6276" s="14">
        <v>9300</v>
      </c>
      <c r="P6276" s="14">
        <v>97.8</v>
      </c>
      <c r="Q6276" s="14">
        <v>204.6</v>
      </c>
      <c r="R6276" s="14">
        <v>390.79</v>
      </c>
      <c r="S6276" s="2" t="s">
        <v>4608</v>
      </c>
      <c r="T6276" s="2">
        <v>1.5</v>
      </c>
      <c r="U6276" s="2">
        <v>59.6</v>
      </c>
      <c r="V6276" s="2">
        <v>64</v>
      </c>
      <c r="W6276" s="2" t="s">
        <v>7862</v>
      </c>
      <c r="X6276" s="2" t="s">
        <v>6687</v>
      </c>
      <c r="Y6276" s="2">
        <v>17763</v>
      </c>
      <c r="Z6276" s="19" t="str">
        <f>HYPERLINK("https://ssdweb.co/ssdweb/hd/Vision360.html?d=923310430&amp;zoomslide=1&amp;z=1923310430&amp;ISCONFIRM=0","VIDEO")</f>
        <v>VIDEO</v>
      </c>
      <c r="AA6276" s="19" t="str">
        <f>HYPERLINK("https://ssdweb.co/ssdweb/CERTH/2446526021.pdf","CERTI")</f>
        <v>CERTI</v>
      </c>
    </row>
    <row r="6277" spans="1:27" ht="15" x14ac:dyDescent="0.25">
      <c r="A6277" s="2">
        <v>6272</v>
      </c>
      <c r="B6277" s="39">
        <v>924950042</v>
      </c>
      <c r="C6277" s="28" t="str">
        <f>HYPERLINK("https://pld.live/RapDetail.aspx?STONELIST=924950042","DNA")</f>
        <v>DNA</v>
      </c>
      <c r="D6277" s="18" t="s">
        <v>5313</v>
      </c>
      <c r="E6277" s="18" t="s">
        <v>2186</v>
      </c>
      <c r="F6277" s="2" t="s">
        <v>7987</v>
      </c>
      <c r="G6277" s="2" t="s">
        <v>6781</v>
      </c>
      <c r="H6277" s="14">
        <v>1.87</v>
      </c>
      <c r="I6277" s="2" t="s">
        <v>6587</v>
      </c>
      <c r="J6277" s="2" t="s">
        <v>5144</v>
      </c>
      <c r="K6277" s="2" t="s">
        <v>1452</v>
      </c>
      <c r="L6277" s="2" t="s">
        <v>5221</v>
      </c>
      <c r="M6277" s="2" t="s">
        <v>5221</v>
      </c>
      <c r="N6277" s="2" t="s">
        <v>2317</v>
      </c>
      <c r="O6277" s="14">
        <v>8200</v>
      </c>
      <c r="P6277" s="14">
        <v>98.6</v>
      </c>
      <c r="Q6277" s="14">
        <v>114.8</v>
      </c>
      <c r="R6277" s="14">
        <v>214.68</v>
      </c>
      <c r="S6277" s="2" t="s">
        <v>3078</v>
      </c>
      <c r="T6277" s="2">
        <v>1.53</v>
      </c>
      <c r="U6277" s="2">
        <v>62.1</v>
      </c>
      <c r="V6277" s="2">
        <v>61</v>
      </c>
      <c r="W6277" s="2" t="s">
        <v>7862</v>
      </c>
      <c r="X6277" s="2" t="s">
        <v>6687</v>
      </c>
      <c r="Y6277" s="2">
        <v>15334</v>
      </c>
      <c r="Z6277" s="19" t="str">
        <f>HYPERLINK("https://ssdweb.co/ssdweb/hd/Vision360.html?d=924950042&amp;zoomslide=1&amp;z=1924950042&amp;ISCONFIRM=0","VIDEO")</f>
        <v>VIDEO</v>
      </c>
      <c r="AA6277" s="19" t="str">
        <f>HYPERLINK("https://ssdweb.co/ssdweb/CERTH/602361373.pdf","CERTI")</f>
        <v>CERTI</v>
      </c>
    </row>
    <row r="6278" spans="1:27" ht="15" x14ac:dyDescent="0.25">
      <c r="A6278" s="2">
        <v>6273</v>
      </c>
      <c r="B6278" s="39">
        <v>831020648</v>
      </c>
      <c r="C6278" s="28" t="str">
        <f>HYPERLINK("https://pld.live/RapDetail.aspx?STONELIST=831020648","DNA")</f>
        <v>DNA</v>
      </c>
      <c r="D6278" s="18" t="s">
        <v>5313</v>
      </c>
      <c r="E6278" s="18" t="s">
        <v>2186</v>
      </c>
      <c r="F6278" s="2" t="s">
        <v>7987</v>
      </c>
      <c r="G6278" s="2" t="s">
        <v>6781</v>
      </c>
      <c r="H6278" s="14">
        <v>1.75</v>
      </c>
      <c r="I6278" s="2" t="s">
        <v>6587</v>
      </c>
      <c r="J6278" s="2" t="s">
        <v>13</v>
      </c>
      <c r="K6278" s="2" t="s">
        <v>1452</v>
      </c>
      <c r="L6278" s="2" t="s">
        <v>5221</v>
      </c>
      <c r="M6278" s="2" t="s">
        <v>5221</v>
      </c>
      <c r="N6278" s="2" t="s">
        <v>2317</v>
      </c>
      <c r="O6278" s="14">
        <v>9300</v>
      </c>
      <c r="P6278" s="14">
        <v>98.78</v>
      </c>
      <c r="Q6278" s="14">
        <v>113.46</v>
      </c>
      <c r="R6278" s="14">
        <v>198.56</v>
      </c>
      <c r="S6278" s="2" t="s">
        <v>1299</v>
      </c>
      <c r="T6278" s="2">
        <v>1.54</v>
      </c>
      <c r="U6278" s="2">
        <v>61.8</v>
      </c>
      <c r="V6278" s="2">
        <v>59</v>
      </c>
      <c r="W6278" s="2" t="s">
        <v>8016</v>
      </c>
      <c r="X6278" s="2" t="s">
        <v>6687</v>
      </c>
      <c r="Y6278" s="2">
        <v>16275</v>
      </c>
      <c r="Z6278" s="19" t="str">
        <f>HYPERLINK("https://ssdweb.co/ssdweb/hd/Vision360.html?d=831020648&amp;zoomslide=1&amp;z=1831020648&amp;ISCONFIRM=0","VIDEO")</f>
        <v>VIDEO</v>
      </c>
      <c r="AA6278" s="19" t="str">
        <f>HYPERLINK("https://ssdweb.co/ssdweb/CERTH/621448155.pdf","CERTI")</f>
        <v>CERTI</v>
      </c>
    </row>
    <row r="6279" spans="1:27" ht="15" x14ac:dyDescent="0.25">
      <c r="A6279" s="2">
        <v>6274</v>
      </c>
      <c r="B6279" s="39">
        <v>941090652</v>
      </c>
      <c r="C6279" s="28" t="str">
        <f>HYPERLINK("https://pld.live/RapDetail.aspx?STONELIST=941090652","DNA")</f>
        <v>DNA</v>
      </c>
      <c r="D6279" s="18" t="s">
        <v>5313</v>
      </c>
      <c r="E6279" s="18" t="s">
        <v>2186</v>
      </c>
      <c r="F6279" s="2" t="s">
        <v>7987</v>
      </c>
      <c r="G6279" s="2" t="s">
        <v>6781</v>
      </c>
      <c r="H6279" s="14">
        <v>1.74</v>
      </c>
      <c r="I6279" s="2" t="s">
        <v>267</v>
      </c>
      <c r="J6279" s="2" t="s">
        <v>5144</v>
      </c>
      <c r="K6279" s="2" t="s">
        <v>1452</v>
      </c>
      <c r="L6279" s="2" t="s">
        <v>5221</v>
      </c>
      <c r="M6279" s="2" t="s">
        <v>5221</v>
      </c>
      <c r="N6279" s="2" t="s">
        <v>2317</v>
      </c>
      <c r="O6279" s="14">
        <v>9900</v>
      </c>
      <c r="P6279" s="14">
        <v>98.69</v>
      </c>
      <c r="Q6279" s="14">
        <v>129.69</v>
      </c>
      <c r="R6279" s="14">
        <v>225.66</v>
      </c>
      <c r="S6279" s="2" t="s">
        <v>5668</v>
      </c>
      <c r="T6279" s="2">
        <v>1.57</v>
      </c>
      <c r="U6279" s="2">
        <v>59.9</v>
      </c>
      <c r="V6279" s="2">
        <v>62</v>
      </c>
      <c r="W6279" s="2" t="s">
        <v>7862</v>
      </c>
      <c r="X6279" s="2" t="s">
        <v>6687</v>
      </c>
      <c r="Y6279" s="2">
        <v>17226</v>
      </c>
      <c r="Z6279" s="19" t="str">
        <f>HYPERLINK("https://ssdweb.co/ssdweb/hd/Vision360.html?d=941090652&amp;zoomslide=1&amp;z=1941090652&amp;ISCONFIRM=0","VIDEO")</f>
        <v>VIDEO</v>
      </c>
      <c r="AA6279" s="19" t="str">
        <f>HYPERLINK("https://ssdweb.co/ssdweb/CERTH/674532548.pdf","CERTI")</f>
        <v>CERTI</v>
      </c>
    </row>
    <row r="6280" spans="1:27" ht="15" x14ac:dyDescent="0.25">
      <c r="A6280" s="2">
        <v>6275</v>
      </c>
      <c r="B6280" s="39">
        <v>927020673</v>
      </c>
      <c r="C6280" s="28" t="str">
        <f>HYPERLINK("https://pld.live/RapDetail.aspx?STONELIST=927020673","DNA")</f>
        <v>DNA</v>
      </c>
      <c r="D6280" s="18" t="s">
        <v>5313</v>
      </c>
      <c r="E6280" s="18" t="s">
        <v>2186</v>
      </c>
      <c r="F6280" s="2" t="s">
        <v>7987</v>
      </c>
      <c r="G6280" s="2" t="s">
        <v>6781</v>
      </c>
      <c r="H6280" s="14">
        <v>1.74</v>
      </c>
      <c r="I6280" s="2" t="s">
        <v>4761</v>
      </c>
      <c r="J6280" s="2" t="s">
        <v>13</v>
      </c>
      <c r="K6280" s="2" t="s">
        <v>1452</v>
      </c>
      <c r="L6280" s="2" t="s">
        <v>5221</v>
      </c>
      <c r="M6280" s="2" t="s">
        <v>5221</v>
      </c>
      <c r="N6280" s="2" t="s">
        <v>2317</v>
      </c>
      <c r="O6280" s="14">
        <v>10800</v>
      </c>
      <c r="P6280" s="14">
        <v>98.8</v>
      </c>
      <c r="Q6280" s="14">
        <v>129.6</v>
      </c>
      <c r="R6280" s="14">
        <v>225.5</v>
      </c>
      <c r="S6280" s="2" t="s">
        <v>1919</v>
      </c>
      <c r="T6280" s="2">
        <v>1.55</v>
      </c>
      <c r="U6280" s="2">
        <v>61.5</v>
      </c>
      <c r="V6280" s="2">
        <v>63</v>
      </c>
      <c r="W6280" s="2" t="s">
        <v>7862</v>
      </c>
      <c r="X6280" s="2" t="s">
        <v>6687</v>
      </c>
      <c r="Y6280" s="2">
        <v>18792</v>
      </c>
      <c r="Z6280" s="19" t="str">
        <f>HYPERLINK("https://ssdweb.co/ssdweb/hd/Vision360.html?d=927020673&amp;zoomslide=1&amp;z=1927020673&amp;ISCONFIRM=0","VIDEO")</f>
        <v>VIDEO</v>
      </c>
      <c r="AA6280" s="19" t="str">
        <f>HYPERLINK("https://ssdweb.co/ssdweb/CERTH/670484459.pdf","CERTI")</f>
        <v>CERTI</v>
      </c>
    </row>
    <row r="6281" spans="1:27" ht="15" x14ac:dyDescent="0.25">
      <c r="A6281" s="2">
        <v>6276</v>
      </c>
      <c r="B6281" s="39">
        <v>922990429</v>
      </c>
      <c r="C6281" s="28" t="str">
        <f>HYPERLINK("https://pld.live/RapDetail.aspx?STONELIST=922990429","DNA")</f>
        <v>DNA</v>
      </c>
      <c r="D6281" s="18" t="s">
        <v>5313</v>
      </c>
      <c r="E6281" s="18" t="s">
        <v>2186</v>
      </c>
      <c r="F6281" s="2" t="s">
        <v>5597</v>
      </c>
      <c r="G6281" s="2" t="s">
        <v>6781</v>
      </c>
      <c r="H6281" s="14">
        <v>1.7</v>
      </c>
      <c r="I6281" s="2" t="s">
        <v>4699</v>
      </c>
      <c r="J6281" s="2" t="s">
        <v>13</v>
      </c>
      <c r="K6281" s="2" t="s">
        <v>1452</v>
      </c>
      <c r="L6281" s="2" t="s">
        <v>5221</v>
      </c>
      <c r="M6281" s="2" t="s">
        <v>5721</v>
      </c>
      <c r="N6281" s="2" t="s">
        <v>2317</v>
      </c>
      <c r="O6281" s="14">
        <v>10200</v>
      </c>
      <c r="P6281" s="14">
        <v>97.86</v>
      </c>
      <c r="Q6281" s="14">
        <v>218.28</v>
      </c>
      <c r="R6281" s="14">
        <v>371.08</v>
      </c>
      <c r="S6281" s="2" t="s">
        <v>5637</v>
      </c>
      <c r="T6281" s="2">
        <v>1.51</v>
      </c>
      <c r="U6281" s="2">
        <v>62.9</v>
      </c>
      <c r="V6281" s="2">
        <v>62</v>
      </c>
      <c r="W6281" s="2" t="s">
        <v>7862</v>
      </c>
      <c r="X6281" s="2" t="s">
        <v>6687</v>
      </c>
      <c r="Y6281" s="2">
        <v>17340</v>
      </c>
      <c r="Z6281" s="19" t="str">
        <f>HYPERLINK("https://ssdweb.co/ssdweb/hd/Vision360.html?d=922990429&amp;zoomslide=1&amp;z=1922990429&amp;ISCONFIRM=0","VIDEO")</f>
        <v>VIDEO</v>
      </c>
      <c r="AA6281" s="19" t="str">
        <f>HYPERLINK("https://ssdweb.co/ssdweb/CERTH/7441013336.pdf","CERTI")</f>
        <v>CERTI</v>
      </c>
    </row>
    <row r="6282" spans="1:27" ht="15" x14ac:dyDescent="0.25">
      <c r="A6282" s="2">
        <v>6277</v>
      </c>
      <c r="B6282" s="39">
        <v>925490001</v>
      </c>
      <c r="C6282" s="28" t="str">
        <f>HYPERLINK("https://pld.live/RapDetail.aspx?STONELIST=925490001","DNA")</f>
        <v>DNA</v>
      </c>
      <c r="D6282" s="18" t="s">
        <v>5313</v>
      </c>
      <c r="E6282" s="18" t="s">
        <v>2186</v>
      </c>
      <c r="F6282" s="2" t="s">
        <v>7987</v>
      </c>
      <c r="G6282" s="2" t="s">
        <v>6781</v>
      </c>
      <c r="H6282" s="14">
        <v>1.7</v>
      </c>
      <c r="I6282" s="2" t="s">
        <v>1505</v>
      </c>
      <c r="J6282" s="2" t="s">
        <v>13</v>
      </c>
      <c r="K6282" s="2" t="s">
        <v>1452</v>
      </c>
      <c r="L6282" s="2" t="s">
        <v>5221</v>
      </c>
      <c r="M6282" s="2" t="s">
        <v>5221</v>
      </c>
      <c r="N6282" s="2" t="s">
        <v>2317</v>
      </c>
      <c r="O6282" s="14">
        <v>7900</v>
      </c>
      <c r="P6282" s="14">
        <v>98.61</v>
      </c>
      <c r="Q6282" s="14">
        <v>109.81</v>
      </c>
      <c r="R6282" s="14">
        <v>186.68</v>
      </c>
      <c r="S6282" s="2" t="s">
        <v>7355</v>
      </c>
      <c r="T6282" s="2">
        <v>1.6</v>
      </c>
      <c r="U6282" s="2">
        <v>60.4</v>
      </c>
      <c r="V6282" s="2">
        <v>62</v>
      </c>
      <c r="W6282" s="2" t="s">
        <v>7862</v>
      </c>
      <c r="X6282" s="2" t="s">
        <v>6687</v>
      </c>
      <c r="Y6282" s="2">
        <v>13430</v>
      </c>
      <c r="Z6282" s="19" t="str">
        <f>HYPERLINK("https://ssdweb.co/ssdweb/hd/Vision360.html?d=925490001&amp;zoomslide=1&amp;z=1925490001&amp;ISCONFIRM=0","VIDEO")</f>
        <v>VIDEO</v>
      </c>
      <c r="AA6282" s="19" t="str">
        <f>HYPERLINK("https://ssdweb.co/ssdweb/CERTH/614396188.pdf","CERTI")</f>
        <v>CERTI</v>
      </c>
    </row>
    <row r="6283" spans="1:27" ht="15" x14ac:dyDescent="0.25">
      <c r="A6283" s="2">
        <v>6278</v>
      </c>
      <c r="B6283" s="39">
        <v>925560102</v>
      </c>
      <c r="C6283" s="28" t="str">
        <f>HYPERLINK("https://pld.live/RapDetail.aspx?STONELIST=925560102","DNA")</f>
        <v>DNA</v>
      </c>
      <c r="D6283" s="18" t="s">
        <v>5313</v>
      </c>
      <c r="E6283" s="18" t="s">
        <v>2186</v>
      </c>
      <c r="F6283" s="2" t="s">
        <v>7987</v>
      </c>
      <c r="G6283" s="2" t="s">
        <v>6781</v>
      </c>
      <c r="H6283" s="14">
        <v>1.7</v>
      </c>
      <c r="I6283" s="2" t="s">
        <v>1505</v>
      </c>
      <c r="J6283" s="2" t="s">
        <v>13</v>
      </c>
      <c r="K6283" s="2" t="s">
        <v>1452</v>
      </c>
      <c r="L6283" s="2" t="s">
        <v>5221</v>
      </c>
      <c r="M6283" s="2" t="s">
        <v>5221</v>
      </c>
      <c r="N6283" s="2" t="s">
        <v>2317</v>
      </c>
      <c r="O6283" s="14">
        <v>7900</v>
      </c>
      <c r="P6283" s="14">
        <v>98.61</v>
      </c>
      <c r="Q6283" s="14">
        <v>109.81</v>
      </c>
      <c r="R6283" s="14">
        <v>186.68</v>
      </c>
      <c r="S6283" s="2" t="s">
        <v>1974</v>
      </c>
      <c r="T6283" s="2">
        <v>1.54</v>
      </c>
      <c r="U6283" s="2">
        <v>62.3</v>
      </c>
      <c r="V6283" s="2">
        <v>57</v>
      </c>
      <c r="W6283" s="2" t="s">
        <v>7862</v>
      </c>
      <c r="X6283" s="2" t="s">
        <v>6687</v>
      </c>
      <c r="Y6283" s="2">
        <v>13430</v>
      </c>
      <c r="Z6283" s="19" t="str">
        <f>HYPERLINK("https://ssdweb.co/ssdweb/hd/Vision360.html?d=925560102&amp;zoomslide=1&amp;z=1925560102&amp;ISCONFIRM=0","VIDEO")</f>
        <v>VIDEO</v>
      </c>
      <c r="AA6283" s="19" t="str">
        <f>HYPERLINK("https://ssdweb.co/ssdweb/CERTH/623449395.pdf","CERTI")</f>
        <v>CERTI</v>
      </c>
    </row>
    <row r="6284" spans="1:27" ht="15" x14ac:dyDescent="0.25">
      <c r="A6284" s="2">
        <v>6279</v>
      </c>
      <c r="B6284" s="39">
        <v>924510178</v>
      </c>
      <c r="C6284" s="28" t="str">
        <f>HYPERLINK("https://pld.live/RapDetail.aspx?STONELIST=924510178","DNA")</f>
        <v>DNA</v>
      </c>
      <c r="D6284" s="18" t="s">
        <v>711</v>
      </c>
      <c r="E6284" s="18" t="s">
        <v>2186</v>
      </c>
      <c r="F6284" s="2" t="s">
        <v>7987</v>
      </c>
      <c r="G6284" s="2" t="s">
        <v>6781</v>
      </c>
      <c r="H6284" s="14">
        <v>1.67</v>
      </c>
      <c r="I6284" s="2" t="s">
        <v>6587</v>
      </c>
      <c r="J6284" s="2" t="s">
        <v>444</v>
      </c>
      <c r="K6284" s="2" t="s">
        <v>1452</v>
      </c>
      <c r="L6284" s="2" t="s">
        <v>5221</v>
      </c>
      <c r="M6284" s="2" t="s">
        <v>5221</v>
      </c>
      <c r="N6284" s="2" t="s">
        <v>2317</v>
      </c>
      <c r="O6284" s="14">
        <v>6700</v>
      </c>
      <c r="P6284" s="14">
        <v>98.43</v>
      </c>
      <c r="Q6284" s="14">
        <v>105.19</v>
      </c>
      <c r="R6284" s="14">
        <v>175.67</v>
      </c>
      <c r="S6284" s="2" t="s">
        <v>4005</v>
      </c>
      <c r="T6284" s="2">
        <v>1.61</v>
      </c>
      <c r="U6284" s="2">
        <v>60.3</v>
      </c>
      <c r="V6284" s="2">
        <v>60</v>
      </c>
      <c r="W6284" s="2" t="s">
        <v>7862</v>
      </c>
      <c r="X6284" s="2" t="s">
        <v>6687</v>
      </c>
      <c r="Y6284" s="2">
        <v>11189</v>
      </c>
      <c r="Z6284" s="19" t="str">
        <f>HYPERLINK("https://ssdweb.co/ssdweb/hd/Vision360.html?d=924510178&amp;zoomslide=1&amp;z=1924510178&amp;ISCONFIRM=0","VIDEO")</f>
        <v>VIDEO</v>
      </c>
      <c r="AA6284" s="19" t="str">
        <f>HYPERLINK("https://ssdweb.co/ssdweb/CERTH/597388354.pdf","CERTI")</f>
        <v>CERTI</v>
      </c>
    </row>
    <row r="6285" spans="1:27" ht="15" x14ac:dyDescent="0.25">
      <c r="A6285" s="2">
        <v>6280</v>
      </c>
      <c r="B6285" s="39">
        <v>925490037</v>
      </c>
      <c r="C6285" s="28" t="str">
        <f>HYPERLINK("https://pld.live/RapDetail.aspx?STONELIST=925490037","DNA")</f>
        <v>DNA</v>
      </c>
      <c r="D6285" s="18" t="s">
        <v>711</v>
      </c>
      <c r="E6285" s="18" t="s">
        <v>2186</v>
      </c>
      <c r="F6285" s="2" t="s">
        <v>7987</v>
      </c>
      <c r="G6285" s="2" t="s">
        <v>6781</v>
      </c>
      <c r="H6285" s="14">
        <v>1.66</v>
      </c>
      <c r="I6285" s="2" t="s">
        <v>4699</v>
      </c>
      <c r="J6285" s="2" t="s">
        <v>5144</v>
      </c>
      <c r="K6285" s="2" t="s">
        <v>1452</v>
      </c>
      <c r="L6285" s="2" t="s">
        <v>5221</v>
      </c>
      <c r="M6285" s="2" t="s">
        <v>5221</v>
      </c>
      <c r="N6285" s="2" t="s">
        <v>2317</v>
      </c>
      <c r="O6285" s="14">
        <v>8800</v>
      </c>
      <c r="P6285" s="14">
        <v>98.69</v>
      </c>
      <c r="Q6285" s="14">
        <v>115.28</v>
      </c>
      <c r="R6285" s="14">
        <v>191.36</v>
      </c>
      <c r="S6285" s="2" t="s">
        <v>5005</v>
      </c>
      <c r="T6285" s="2">
        <v>1.54</v>
      </c>
      <c r="U6285" s="2">
        <v>62.1</v>
      </c>
      <c r="V6285" s="2">
        <v>61</v>
      </c>
      <c r="W6285" s="2" t="s">
        <v>7862</v>
      </c>
      <c r="X6285" s="2" t="s">
        <v>6687</v>
      </c>
      <c r="Y6285" s="2">
        <v>14608</v>
      </c>
      <c r="Z6285" s="19" t="str">
        <f>HYPERLINK("https://ssdweb.co/ssdweb/hd/Vision360.html?d=925490037&amp;zoomslide=1&amp;z=1925490037&amp;ISCONFIRM=0","VIDEO")</f>
        <v>VIDEO</v>
      </c>
      <c r="AA6285" s="19" t="str">
        <f>HYPERLINK("https://ssdweb.co/ssdweb/CERTH/621475714.pdf","CERTI")</f>
        <v>CERTI</v>
      </c>
    </row>
    <row r="6286" spans="1:27" ht="15" x14ac:dyDescent="0.25">
      <c r="A6286" s="2">
        <v>6281</v>
      </c>
      <c r="B6286" s="39">
        <v>927040794</v>
      </c>
      <c r="C6286" s="28" t="str">
        <f>HYPERLINK("https://pld.live/RapDetail.aspx?STONELIST=927040794","DNA")</f>
        <v>DNA</v>
      </c>
      <c r="D6286" s="18" t="s">
        <v>711</v>
      </c>
      <c r="E6286" s="18" t="s">
        <v>2186</v>
      </c>
      <c r="F6286" s="2" t="s">
        <v>7987</v>
      </c>
      <c r="G6286" s="2" t="s">
        <v>6781</v>
      </c>
      <c r="H6286" s="14">
        <v>1.62</v>
      </c>
      <c r="I6286" s="2" t="s">
        <v>4699</v>
      </c>
      <c r="J6286" s="2" t="s">
        <v>3942</v>
      </c>
      <c r="K6286" s="2" t="s">
        <v>1452</v>
      </c>
      <c r="L6286" s="2" t="s">
        <v>5221</v>
      </c>
      <c r="M6286" s="2" t="s">
        <v>5221</v>
      </c>
      <c r="N6286" s="2" t="s">
        <v>2317</v>
      </c>
      <c r="O6286" s="14">
        <v>10800</v>
      </c>
      <c r="P6286" s="14">
        <v>98.8</v>
      </c>
      <c r="Q6286" s="14">
        <v>129.6</v>
      </c>
      <c r="R6286" s="14">
        <v>209.95</v>
      </c>
      <c r="S6286" s="2" t="s">
        <v>2111</v>
      </c>
      <c r="T6286" s="2">
        <v>1.53</v>
      </c>
      <c r="U6286" s="2">
        <v>63.2</v>
      </c>
      <c r="V6286" s="2">
        <v>62</v>
      </c>
      <c r="W6286" s="2" t="s">
        <v>7862</v>
      </c>
      <c r="X6286" s="2" t="s">
        <v>6687</v>
      </c>
      <c r="Y6286" s="2">
        <v>17496</v>
      </c>
      <c r="Z6286" s="19" t="str">
        <f>HYPERLINK("https://ssdweb.co/ssdweb/hd/Vision360.html?d=927040794&amp;zoomslide=1&amp;z=1927040794&amp;ISCONFIRM=0","VIDEO")</f>
        <v>VIDEO</v>
      </c>
      <c r="AA6286" s="19" t="str">
        <f>HYPERLINK("https://ssdweb.co/ssdweb/CERTH/669458213.pdf","CERTI")</f>
        <v>CERTI</v>
      </c>
    </row>
    <row r="6287" spans="1:27" ht="15" x14ac:dyDescent="0.25">
      <c r="A6287" s="2">
        <v>6282</v>
      </c>
      <c r="B6287" s="39">
        <v>925930089</v>
      </c>
      <c r="C6287" s="28" t="str">
        <f>HYPERLINK("https://pld.live/RapDetail.aspx?STONELIST=925930089","DNA")</f>
        <v>DNA</v>
      </c>
      <c r="D6287" s="18" t="s">
        <v>711</v>
      </c>
      <c r="E6287" s="18" t="s">
        <v>2186</v>
      </c>
      <c r="F6287" s="2" t="s">
        <v>7987</v>
      </c>
      <c r="G6287" s="2" t="s">
        <v>6781</v>
      </c>
      <c r="H6287" s="14">
        <v>1.61</v>
      </c>
      <c r="I6287" s="2" t="s">
        <v>4761</v>
      </c>
      <c r="J6287" s="2" t="s">
        <v>13</v>
      </c>
      <c r="K6287" s="2" t="s">
        <v>1452</v>
      </c>
      <c r="L6287" s="2" t="s">
        <v>5221</v>
      </c>
      <c r="M6287" s="2" t="s">
        <v>5221</v>
      </c>
      <c r="N6287" s="2" t="s">
        <v>2317</v>
      </c>
      <c r="O6287" s="14">
        <v>10800</v>
      </c>
      <c r="P6287" s="14">
        <v>98.84</v>
      </c>
      <c r="Q6287" s="14">
        <v>125.28</v>
      </c>
      <c r="R6287" s="14">
        <v>201.7</v>
      </c>
      <c r="S6287" s="2" t="s">
        <v>4755</v>
      </c>
      <c r="T6287" s="2">
        <v>1.6</v>
      </c>
      <c r="U6287" s="2">
        <v>60.2</v>
      </c>
      <c r="V6287" s="2">
        <v>62</v>
      </c>
      <c r="W6287" s="2" t="s">
        <v>7862</v>
      </c>
      <c r="X6287" s="2" t="s">
        <v>6687</v>
      </c>
      <c r="Y6287" s="2">
        <v>17388</v>
      </c>
      <c r="Z6287" s="19" t="str">
        <f>HYPERLINK("https://ssdweb.co/ssdweb/hd/Vision360.html?d=925930089&amp;zoomslide=1&amp;z=1925930089&amp;ISCONFIRM=0","VIDEO")</f>
        <v>VIDEO</v>
      </c>
      <c r="AA6287" s="19" t="str">
        <f>HYPERLINK("https://ssdweb.co/ssdweb/CERTH/629453491.pdf","CERTI")</f>
        <v>CERTI</v>
      </c>
    </row>
    <row r="6288" spans="1:27" ht="15" x14ac:dyDescent="0.25">
      <c r="A6288" s="2">
        <v>6283</v>
      </c>
      <c r="B6288" s="39">
        <v>926060011</v>
      </c>
      <c r="C6288" s="28" t="str">
        <f>HYPERLINK("https://pld.live/RapDetail.aspx?STONELIST=926060011","DNA")</f>
        <v>DNA</v>
      </c>
      <c r="D6288" s="18" t="s">
        <v>711</v>
      </c>
      <c r="E6288" s="18" t="s">
        <v>2186</v>
      </c>
      <c r="F6288" s="2" t="s">
        <v>7987</v>
      </c>
      <c r="G6288" s="2" t="s">
        <v>6781</v>
      </c>
      <c r="H6288" s="14">
        <v>1.61</v>
      </c>
      <c r="I6288" s="2" t="s">
        <v>395</v>
      </c>
      <c r="J6288" s="2" t="s">
        <v>5144</v>
      </c>
      <c r="K6288" s="2" t="s">
        <v>1452</v>
      </c>
      <c r="L6288" s="2" t="s">
        <v>5221</v>
      </c>
      <c r="M6288" s="2" t="s">
        <v>5221</v>
      </c>
      <c r="N6288" s="2" t="s">
        <v>2317</v>
      </c>
      <c r="O6288" s="14">
        <v>3100</v>
      </c>
      <c r="P6288" s="14">
        <v>90.65</v>
      </c>
      <c r="Q6288" s="14">
        <v>289.85000000000002</v>
      </c>
      <c r="R6288" s="14">
        <v>466.66</v>
      </c>
      <c r="S6288" s="2" t="s">
        <v>6891</v>
      </c>
      <c r="T6288" s="2">
        <v>1.68</v>
      </c>
      <c r="U6288" s="2">
        <v>61.7</v>
      </c>
      <c r="V6288" s="2">
        <v>60</v>
      </c>
      <c r="W6288" s="2" t="s">
        <v>7862</v>
      </c>
      <c r="X6288" s="2" t="s">
        <v>7374</v>
      </c>
      <c r="Y6288" s="2">
        <v>4991</v>
      </c>
      <c r="Z6288" s="19" t="str">
        <f>HYPERLINK("https://ssdweb.co/ssdweb/hd/Vision360.html?d=926060011&amp;zoomslide=1&amp;z=1926060011&amp;ISCONFIRM=0","VIDEO")</f>
        <v>VIDEO</v>
      </c>
      <c r="AA6288" s="19" t="str">
        <f>HYPERLINK("https://ssdweb.co/ssdweb/CERTH/631429918.pdf","CERTI")</f>
        <v>CERTI</v>
      </c>
    </row>
    <row r="6289" spans="1:27" ht="15" x14ac:dyDescent="0.25">
      <c r="A6289" s="2">
        <v>6284</v>
      </c>
      <c r="B6289" s="39">
        <v>924940245</v>
      </c>
      <c r="C6289" s="28" t="str">
        <f>HYPERLINK("https://pld.live/RapDetail.aspx?STONELIST=924940245","DNA")</f>
        <v>DNA</v>
      </c>
      <c r="D6289" s="18" t="s">
        <v>711</v>
      </c>
      <c r="E6289" s="18" t="s">
        <v>2186</v>
      </c>
      <c r="F6289" s="2" t="s">
        <v>7987</v>
      </c>
      <c r="G6289" s="2" t="s">
        <v>6781</v>
      </c>
      <c r="H6289" s="14">
        <v>1.6</v>
      </c>
      <c r="I6289" s="2" t="s">
        <v>3722</v>
      </c>
      <c r="J6289" s="2" t="s">
        <v>13</v>
      </c>
      <c r="K6289" s="2" t="s">
        <v>1452</v>
      </c>
      <c r="L6289" s="2" t="s">
        <v>5221</v>
      </c>
      <c r="M6289" s="2" t="s">
        <v>5221</v>
      </c>
      <c r="N6289" s="2" t="s">
        <v>2317</v>
      </c>
      <c r="O6289" s="14">
        <v>6800</v>
      </c>
      <c r="P6289" s="14">
        <v>98.46</v>
      </c>
      <c r="Q6289" s="14">
        <v>104.72</v>
      </c>
      <c r="R6289" s="14">
        <v>167.55</v>
      </c>
      <c r="S6289" s="2" t="s">
        <v>3951</v>
      </c>
      <c r="T6289" s="2">
        <v>1.54</v>
      </c>
      <c r="U6289" s="2">
        <v>62.2</v>
      </c>
      <c r="V6289" s="2">
        <v>60</v>
      </c>
      <c r="W6289" s="2" t="s">
        <v>7862</v>
      </c>
      <c r="X6289" s="2" t="s">
        <v>6687</v>
      </c>
      <c r="Y6289" s="2">
        <v>10880</v>
      </c>
      <c r="Z6289" s="19" t="str">
        <f>HYPERLINK("https://ssdweb.co/ssdweb/hd/Vision360.html?d=924940245&amp;zoomslide=1&amp;z=1924940245&amp;ISCONFIRM=0","VIDEO")</f>
        <v>VIDEO</v>
      </c>
      <c r="AA6289" s="19" t="str">
        <f>HYPERLINK("https://ssdweb.co/ssdweb/CERTH/604303964.pdf","CERTI")</f>
        <v>CERTI</v>
      </c>
    </row>
    <row r="6290" spans="1:27" ht="15" x14ac:dyDescent="0.25">
      <c r="A6290" s="2">
        <v>6285</v>
      </c>
      <c r="B6290" s="39">
        <v>941180024</v>
      </c>
      <c r="C6290" s="28" t="str">
        <f>HYPERLINK("https://pld.live/RapDetail.aspx?STONELIST=941180024","DNA")</f>
        <v>DNA</v>
      </c>
      <c r="D6290" s="18" t="s">
        <v>711</v>
      </c>
      <c r="E6290" s="18" t="s">
        <v>2186</v>
      </c>
      <c r="F6290" s="2" t="s">
        <v>7987</v>
      </c>
      <c r="G6290" s="2" t="s">
        <v>6781</v>
      </c>
      <c r="H6290" s="14">
        <v>1.59</v>
      </c>
      <c r="I6290" s="2" t="s">
        <v>4761</v>
      </c>
      <c r="J6290" s="2" t="s">
        <v>13</v>
      </c>
      <c r="K6290" s="2" t="s">
        <v>1452</v>
      </c>
      <c r="L6290" s="2" t="s">
        <v>5221</v>
      </c>
      <c r="M6290" s="2" t="s">
        <v>5221</v>
      </c>
      <c r="N6290" s="2" t="s">
        <v>2317</v>
      </c>
      <c r="O6290" s="14">
        <v>10800</v>
      </c>
      <c r="P6290" s="14">
        <v>98.8</v>
      </c>
      <c r="Q6290" s="14">
        <v>129.6</v>
      </c>
      <c r="R6290" s="14">
        <v>206.06</v>
      </c>
      <c r="S6290" s="2" t="s">
        <v>1987</v>
      </c>
      <c r="T6290" s="2">
        <v>1.61</v>
      </c>
      <c r="U6290" s="2">
        <v>62.3</v>
      </c>
      <c r="V6290" s="2">
        <v>61</v>
      </c>
      <c r="W6290" s="2" t="s">
        <v>7862</v>
      </c>
      <c r="X6290" s="2" t="s">
        <v>6687</v>
      </c>
      <c r="Y6290" s="2">
        <v>17172</v>
      </c>
      <c r="Z6290" s="19" t="str">
        <f>HYPERLINK("https://ssdweb.co/ssdweb/hd/Vision360.html?d=941180024&amp;zoomslide=1&amp;z=1941180024&amp;ISCONFIRM=0","VIDEO")</f>
        <v>VIDEO</v>
      </c>
      <c r="AA6290" s="19" t="str">
        <f>HYPERLINK("https://ssdweb.co/ssdweb/CERTH/674532610.pdf","CERTI")</f>
        <v>CERTI</v>
      </c>
    </row>
    <row r="6291" spans="1:27" ht="15" x14ac:dyDescent="0.25">
      <c r="A6291" s="2">
        <v>6286</v>
      </c>
      <c r="B6291" s="39">
        <v>926000015</v>
      </c>
      <c r="C6291" s="28" t="str">
        <f>HYPERLINK("https://pld.live/RapDetail.aspx?STONELIST=926000015","DNA")</f>
        <v>DNA</v>
      </c>
      <c r="D6291" s="18" t="s">
        <v>711</v>
      </c>
      <c r="E6291" s="18" t="s">
        <v>2186</v>
      </c>
      <c r="F6291" s="2" t="s">
        <v>7987</v>
      </c>
      <c r="G6291" s="2" t="s">
        <v>6781</v>
      </c>
      <c r="H6291" s="14">
        <v>1.58</v>
      </c>
      <c r="I6291" s="2" t="s">
        <v>4699</v>
      </c>
      <c r="J6291" s="2" t="s">
        <v>3942</v>
      </c>
      <c r="K6291" s="2" t="s">
        <v>1452</v>
      </c>
      <c r="L6291" s="2" t="s">
        <v>5221</v>
      </c>
      <c r="M6291" s="2" t="s">
        <v>5221</v>
      </c>
      <c r="N6291" s="2" t="s">
        <v>2317</v>
      </c>
      <c r="O6291" s="14">
        <v>10800</v>
      </c>
      <c r="P6291" s="14">
        <v>98.84</v>
      </c>
      <c r="Q6291" s="14">
        <v>125.28</v>
      </c>
      <c r="R6291" s="14">
        <v>197.94</v>
      </c>
      <c r="S6291" s="2" t="s">
        <v>7516</v>
      </c>
      <c r="T6291" s="2">
        <v>1.62</v>
      </c>
      <c r="U6291" s="2">
        <v>60.9</v>
      </c>
      <c r="V6291" s="2">
        <v>60</v>
      </c>
      <c r="W6291" s="2" t="s">
        <v>7862</v>
      </c>
      <c r="X6291" s="2" t="s">
        <v>6687</v>
      </c>
      <c r="Y6291" s="2">
        <v>17064</v>
      </c>
      <c r="Z6291" s="19" t="str">
        <f>HYPERLINK("https://ssdweb.co/ssdweb/hd/Vision360.html?d=926000015&amp;zoomslide=1&amp;z=1926000015&amp;ISCONFIRM=0","VIDEO")</f>
        <v>VIDEO</v>
      </c>
      <c r="AA6291" s="19" t="str">
        <f>HYPERLINK("https://ssdweb.co/ssdweb/CERTH/629479004.pdf","CERTI")</f>
        <v>CERTI</v>
      </c>
    </row>
    <row r="6292" spans="1:27" ht="15" x14ac:dyDescent="0.25">
      <c r="A6292" s="2">
        <v>6287</v>
      </c>
      <c r="B6292" s="39">
        <v>925850924</v>
      </c>
      <c r="C6292" s="28" t="str">
        <f>HYPERLINK("https://pld.live/RapDetail.aspx?STONELIST=925850924","DNA")</f>
        <v>DNA</v>
      </c>
      <c r="D6292" s="18" t="s">
        <v>711</v>
      </c>
      <c r="E6292" s="18" t="s">
        <v>5128</v>
      </c>
      <c r="F6292" s="2" t="s">
        <v>7987</v>
      </c>
      <c r="G6292" s="2" t="s">
        <v>6781</v>
      </c>
      <c r="H6292" s="14">
        <v>1.57</v>
      </c>
      <c r="I6292" s="2" t="s">
        <v>4761</v>
      </c>
      <c r="J6292" s="2" t="s">
        <v>3942</v>
      </c>
      <c r="K6292" s="2" t="s">
        <v>1452</v>
      </c>
      <c r="L6292" s="2" t="s">
        <v>5221</v>
      </c>
      <c r="M6292" s="2" t="s">
        <v>5221</v>
      </c>
      <c r="N6292" s="2" t="s">
        <v>2317</v>
      </c>
      <c r="O6292" s="14">
        <v>11600</v>
      </c>
      <c r="P6292" s="14">
        <v>98.88</v>
      </c>
      <c r="Q6292" s="14">
        <v>129.91999999999999</v>
      </c>
      <c r="R6292" s="14">
        <v>203.97</v>
      </c>
      <c r="S6292" s="2" t="s">
        <v>511</v>
      </c>
      <c r="T6292" s="2">
        <v>1.48</v>
      </c>
      <c r="U6292" s="2">
        <v>62.8</v>
      </c>
      <c r="V6292" s="2">
        <v>62</v>
      </c>
      <c r="W6292" s="2" t="s">
        <v>7862</v>
      </c>
      <c r="X6292" s="2" t="s">
        <v>6687</v>
      </c>
      <c r="Y6292" s="2">
        <v>18212</v>
      </c>
      <c r="Z6292" s="19" t="str">
        <f>HYPERLINK("https://ssdweb.co/ssdweb/hd/Vision360.html?d=925850924&amp;zoomslide=1&amp;z=1925850924&amp;ISCONFIRM=0","VIDEO")</f>
        <v>VIDEO</v>
      </c>
      <c r="AA6292" s="19" t="str">
        <f>HYPERLINK("https://ssdweb.co/ssdweb/CERTH/627415145.pdf","CERTI")</f>
        <v>CERTI</v>
      </c>
    </row>
    <row r="6293" spans="1:27" ht="15" x14ac:dyDescent="0.25">
      <c r="A6293" s="2">
        <v>6288</v>
      </c>
      <c r="B6293" s="39">
        <v>925542700</v>
      </c>
      <c r="C6293" s="28" t="str">
        <f>HYPERLINK("https://pld.live/RapDetail.aspx?STONELIST=925542700","DNA")</f>
        <v>DNA</v>
      </c>
      <c r="D6293" s="18" t="s">
        <v>711</v>
      </c>
      <c r="E6293" s="18" t="s">
        <v>5128</v>
      </c>
      <c r="F6293" s="2" t="s">
        <v>7987</v>
      </c>
      <c r="G6293" s="2" t="s">
        <v>6781</v>
      </c>
      <c r="H6293" s="14">
        <v>1.56</v>
      </c>
      <c r="I6293" s="2" t="s">
        <v>267</v>
      </c>
      <c r="J6293" s="2" t="s">
        <v>13</v>
      </c>
      <c r="K6293" s="2" t="s">
        <v>1452</v>
      </c>
      <c r="L6293" s="2" t="s">
        <v>5221</v>
      </c>
      <c r="M6293" s="2" t="s">
        <v>5221</v>
      </c>
      <c r="N6293" s="2" t="s">
        <v>2317</v>
      </c>
      <c r="O6293" s="14">
        <v>11600</v>
      </c>
      <c r="P6293" s="14">
        <v>98.84</v>
      </c>
      <c r="Q6293" s="14">
        <v>134.56</v>
      </c>
      <c r="R6293" s="14">
        <v>209.91</v>
      </c>
      <c r="S6293" s="2" t="s">
        <v>4092</v>
      </c>
      <c r="T6293" s="2">
        <v>1.49</v>
      </c>
      <c r="U6293" s="2">
        <v>62.6</v>
      </c>
      <c r="V6293" s="2">
        <v>61</v>
      </c>
      <c r="W6293" s="2" t="s">
        <v>7862</v>
      </c>
      <c r="X6293" s="2" t="s">
        <v>6687</v>
      </c>
      <c r="Y6293" s="2">
        <v>18096</v>
      </c>
      <c r="Z6293" s="19" t="str">
        <f>HYPERLINK("https://ssdweb.co/ssdweb/hd/Vision360.html?d=925542700&amp;zoomslide=1&amp;z=1925542700&amp;ISCONFIRM=0","VIDEO")</f>
        <v>VIDEO</v>
      </c>
      <c r="AA6293" s="19" t="str">
        <f>HYPERLINK("https://ssdweb.co/ssdweb/CERTH/621475718.pdf","CERTI")</f>
        <v>CERTI</v>
      </c>
    </row>
    <row r="6294" spans="1:27" ht="15" x14ac:dyDescent="0.25">
      <c r="A6294" s="2">
        <v>6289</v>
      </c>
      <c r="B6294" s="39">
        <v>925950949</v>
      </c>
      <c r="C6294" s="28" t="str">
        <f>HYPERLINK("https://pld.live/RapDetail.aspx?STONELIST=925950949","DNA")</f>
        <v>DNA</v>
      </c>
      <c r="D6294" s="18" t="s">
        <v>711</v>
      </c>
      <c r="E6294" s="18" t="s">
        <v>5128</v>
      </c>
      <c r="F6294" s="2" t="s">
        <v>7987</v>
      </c>
      <c r="G6294" s="2" t="s">
        <v>6781</v>
      </c>
      <c r="H6294" s="14">
        <v>1.56</v>
      </c>
      <c r="I6294" s="2" t="s">
        <v>4761</v>
      </c>
      <c r="J6294" s="2" t="s">
        <v>5144</v>
      </c>
      <c r="K6294" s="2" t="s">
        <v>1452</v>
      </c>
      <c r="L6294" s="2" t="s">
        <v>5221</v>
      </c>
      <c r="M6294" s="2" t="s">
        <v>5221</v>
      </c>
      <c r="N6294" s="2" t="s">
        <v>2317</v>
      </c>
      <c r="O6294" s="14">
        <v>9300</v>
      </c>
      <c r="P6294" s="14">
        <v>98.71</v>
      </c>
      <c r="Q6294" s="14">
        <v>119.97</v>
      </c>
      <c r="R6294" s="14">
        <v>187.15</v>
      </c>
      <c r="S6294" s="2" t="s">
        <v>2513</v>
      </c>
      <c r="T6294" s="2">
        <v>1.53</v>
      </c>
      <c r="U6294" s="2">
        <v>62.3</v>
      </c>
      <c r="V6294" s="2">
        <v>61</v>
      </c>
      <c r="W6294" s="2" t="s">
        <v>7862</v>
      </c>
      <c r="X6294" s="2" t="s">
        <v>6687</v>
      </c>
      <c r="Y6294" s="2">
        <v>14508</v>
      </c>
      <c r="Z6294" s="19" t="str">
        <f>HYPERLINK("https://ssdweb.co/ssdweb/hd/Vision360.html?d=925950949&amp;zoomslide=1&amp;z=1925950949&amp;ISCONFIRM=0","VIDEO")</f>
        <v>VIDEO</v>
      </c>
      <c r="AA6294" s="19" t="str">
        <f>HYPERLINK("https://ssdweb.co/ssdweb/CERTH/628427035.pdf","CERTI")</f>
        <v>CERTI</v>
      </c>
    </row>
    <row r="6295" spans="1:27" ht="15" x14ac:dyDescent="0.25">
      <c r="A6295" s="2">
        <v>6290</v>
      </c>
      <c r="B6295" s="39">
        <v>925510161</v>
      </c>
      <c r="C6295" s="28" t="str">
        <f>HYPERLINK("https://pld.live/RapDetail.aspx?STONELIST=925510161","DNA")</f>
        <v>DNA</v>
      </c>
      <c r="D6295" s="18" t="s">
        <v>711</v>
      </c>
      <c r="E6295" s="18" t="s">
        <v>2186</v>
      </c>
      <c r="F6295" s="2" t="s">
        <v>7987</v>
      </c>
      <c r="G6295" s="2" t="s">
        <v>6781</v>
      </c>
      <c r="H6295" s="14">
        <v>1.55</v>
      </c>
      <c r="I6295" s="2" t="s">
        <v>267</v>
      </c>
      <c r="J6295" s="2" t="s">
        <v>13</v>
      </c>
      <c r="K6295" s="2" t="s">
        <v>1452</v>
      </c>
      <c r="L6295" s="2" t="s">
        <v>5221</v>
      </c>
      <c r="M6295" s="2" t="s">
        <v>5221</v>
      </c>
      <c r="N6295" s="2" t="s">
        <v>2317</v>
      </c>
      <c r="O6295" s="14">
        <v>11600</v>
      </c>
      <c r="P6295" s="14">
        <v>98.84</v>
      </c>
      <c r="Q6295" s="14">
        <v>134.56</v>
      </c>
      <c r="R6295" s="14">
        <v>208.57</v>
      </c>
      <c r="S6295" s="2" t="s">
        <v>3172</v>
      </c>
      <c r="T6295" s="2">
        <v>1.52</v>
      </c>
      <c r="U6295" s="2">
        <v>61.2</v>
      </c>
      <c r="V6295" s="2">
        <v>63</v>
      </c>
      <c r="W6295" s="2" t="s">
        <v>7862</v>
      </c>
      <c r="X6295" s="2" t="s">
        <v>6687</v>
      </c>
      <c r="Y6295" s="2">
        <v>17980</v>
      </c>
      <c r="Z6295" s="19" t="str">
        <f>HYPERLINK("https://ssdweb.co/ssdweb/hd/Vision360.html?d=925510161&amp;zoomslide=1&amp;z=1925510161&amp;ISCONFIRM=0","VIDEO")</f>
        <v>VIDEO</v>
      </c>
      <c r="AA6295" s="19" t="str">
        <f>HYPERLINK("https://ssdweb.co/ssdweb/CERTH/619453447.pdf","CERTI")</f>
        <v>CERTI</v>
      </c>
    </row>
    <row r="6296" spans="1:27" ht="15" x14ac:dyDescent="0.25">
      <c r="A6296" s="2">
        <v>6291</v>
      </c>
      <c r="B6296" s="39">
        <v>925771302</v>
      </c>
      <c r="C6296" s="28" t="str">
        <f>HYPERLINK("https://pld.live/RapDetail.aspx?STONELIST=925771302","DNA")</f>
        <v>DNA</v>
      </c>
      <c r="D6296" s="18" t="s">
        <v>711</v>
      </c>
      <c r="E6296" s="18" t="s">
        <v>5128</v>
      </c>
      <c r="F6296" s="2" t="s">
        <v>7987</v>
      </c>
      <c r="G6296" s="2" t="s">
        <v>6781</v>
      </c>
      <c r="H6296" s="14">
        <v>1.55</v>
      </c>
      <c r="I6296" s="2" t="s">
        <v>4761</v>
      </c>
      <c r="J6296" s="2" t="s">
        <v>3942</v>
      </c>
      <c r="K6296" s="2" t="s">
        <v>1452</v>
      </c>
      <c r="L6296" s="2" t="s">
        <v>5221</v>
      </c>
      <c r="M6296" s="2" t="s">
        <v>5221</v>
      </c>
      <c r="N6296" s="2" t="s">
        <v>2317</v>
      </c>
      <c r="O6296" s="14">
        <v>11600</v>
      </c>
      <c r="P6296" s="14">
        <v>98.88</v>
      </c>
      <c r="Q6296" s="14">
        <v>129.91999999999999</v>
      </c>
      <c r="R6296" s="14">
        <v>201.38</v>
      </c>
      <c r="S6296" s="2" t="s">
        <v>5770</v>
      </c>
      <c r="T6296" s="2">
        <v>1.49</v>
      </c>
      <c r="U6296" s="2">
        <v>61.1</v>
      </c>
      <c r="V6296" s="2">
        <v>58</v>
      </c>
      <c r="W6296" s="2" t="s">
        <v>7862</v>
      </c>
      <c r="X6296" s="2" t="s">
        <v>6687</v>
      </c>
      <c r="Y6296" s="2">
        <v>17980</v>
      </c>
      <c r="Z6296" s="19" t="str">
        <f>HYPERLINK("https://ssdweb.co/ssdweb/hd/Vision360.html?d=925771302&amp;zoomslide=1&amp;z=1925771302&amp;ISCONFIRM=0","VIDEO")</f>
        <v>VIDEO</v>
      </c>
      <c r="AA6296" s="19" t="str">
        <f>HYPERLINK("https://ssdweb.co/ssdweb/CERTH/626427465.pdf","CERTI")</f>
        <v>CERTI</v>
      </c>
    </row>
    <row r="6297" spans="1:27" ht="15" x14ac:dyDescent="0.25">
      <c r="A6297" s="2">
        <v>6292</v>
      </c>
      <c r="B6297" s="39">
        <v>941090653</v>
      </c>
      <c r="C6297" s="28" t="str">
        <f>HYPERLINK("https://pld.live/RapDetail.aspx?STONELIST=941090653","DNA")</f>
        <v>DNA</v>
      </c>
      <c r="D6297" s="18" t="s">
        <v>711</v>
      </c>
      <c r="E6297" s="18" t="s">
        <v>2186</v>
      </c>
      <c r="F6297" s="2" t="s">
        <v>7987</v>
      </c>
      <c r="G6297" s="2" t="s">
        <v>6781</v>
      </c>
      <c r="H6297" s="14">
        <v>1.55</v>
      </c>
      <c r="I6297" s="2" t="s">
        <v>4761</v>
      </c>
      <c r="J6297" s="2" t="s">
        <v>3942</v>
      </c>
      <c r="K6297" s="2" t="s">
        <v>1452</v>
      </c>
      <c r="L6297" s="2" t="s">
        <v>5221</v>
      </c>
      <c r="M6297" s="2" t="s">
        <v>5221</v>
      </c>
      <c r="N6297" s="2" t="s">
        <v>2317</v>
      </c>
      <c r="O6297" s="14">
        <v>11600</v>
      </c>
      <c r="P6297" s="14">
        <v>98.84</v>
      </c>
      <c r="Q6297" s="14">
        <v>134.56</v>
      </c>
      <c r="R6297" s="14">
        <v>208.57</v>
      </c>
      <c r="S6297" s="2" t="s">
        <v>1161</v>
      </c>
      <c r="T6297" s="2">
        <v>1.53</v>
      </c>
      <c r="U6297" s="2">
        <v>60</v>
      </c>
      <c r="V6297" s="2">
        <v>64</v>
      </c>
      <c r="W6297" s="2" t="s">
        <v>7862</v>
      </c>
      <c r="X6297" s="2" t="s">
        <v>6687</v>
      </c>
      <c r="Y6297" s="2">
        <v>17980</v>
      </c>
      <c r="Z6297" s="19" t="str">
        <f>HYPERLINK("https://ssdweb.co/ssdweb/hd/Vision360.html?d=941090653&amp;zoomslide=1&amp;z=1941090653&amp;ISCONFIRM=0","VIDEO")</f>
        <v>VIDEO</v>
      </c>
      <c r="AA6297" s="19" t="str">
        <f>HYPERLINK("https://ssdweb.co/ssdweb/CERTH/674532549.pdf","CERTI")</f>
        <v>CERTI</v>
      </c>
    </row>
    <row r="6298" spans="1:27" ht="15" x14ac:dyDescent="0.25">
      <c r="A6298" s="2">
        <v>6293</v>
      </c>
      <c r="B6298" s="39">
        <v>927040783</v>
      </c>
      <c r="C6298" s="28" t="str">
        <f>HYPERLINK("https://pld.live/RapDetail.aspx?STONELIST=927040783","DNA")</f>
        <v>DNA</v>
      </c>
      <c r="D6298" s="18" t="s">
        <v>711</v>
      </c>
      <c r="E6298" s="18" t="s">
        <v>2186</v>
      </c>
      <c r="F6298" s="2" t="s">
        <v>7987</v>
      </c>
      <c r="G6298" s="2" t="s">
        <v>6781</v>
      </c>
      <c r="H6298" s="14">
        <v>1.55</v>
      </c>
      <c r="I6298" s="2" t="s">
        <v>4761</v>
      </c>
      <c r="J6298" s="2" t="s">
        <v>3942</v>
      </c>
      <c r="K6298" s="2" t="s">
        <v>1452</v>
      </c>
      <c r="L6298" s="2" t="s">
        <v>5221</v>
      </c>
      <c r="M6298" s="2" t="s">
        <v>5221</v>
      </c>
      <c r="N6298" s="2" t="s">
        <v>2317</v>
      </c>
      <c r="O6298" s="14">
        <v>11600</v>
      </c>
      <c r="P6298" s="14">
        <v>98.84</v>
      </c>
      <c r="Q6298" s="14">
        <v>134.56</v>
      </c>
      <c r="R6298" s="14">
        <v>208.57</v>
      </c>
      <c r="S6298" s="2" t="s">
        <v>7523</v>
      </c>
      <c r="T6298" s="2">
        <v>1.55</v>
      </c>
      <c r="U6298" s="2">
        <v>62.1</v>
      </c>
      <c r="V6298" s="2">
        <v>60</v>
      </c>
      <c r="W6298" s="2" t="s">
        <v>7862</v>
      </c>
      <c r="X6298" s="2" t="s">
        <v>6687</v>
      </c>
      <c r="Y6298" s="2">
        <v>17980</v>
      </c>
      <c r="Z6298" s="19" t="str">
        <f>HYPERLINK("https://ssdweb.co/ssdweb/hd/Vision360.html?d=927040783&amp;zoomslide=1&amp;z=1927040783&amp;ISCONFIRM=0","VIDEO")</f>
        <v>VIDEO</v>
      </c>
      <c r="AA6298" s="19" t="str">
        <f>HYPERLINK("https://ssdweb.co/ssdweb/CERTH/670484483.pdf","CERTI")</f>
        <v>CERTI</v>
      </c>
    </row>
    <row r="6299" spans="1:27" ht="15" x14ac:dyDescent="0.25">
      <c r="A6299" s="2">
        <v>6294</v>
      </c>
      <c r="B6299" s="39">
        <v>925100001</v>
      </c>
      <c r="C6299" s="28" t="str">
        <f>HYPERLINK("https://pld.live/RapDetail.aspx?STONELIST=925100001","DNA")</f>
        <v>DNA</v>
      </c>
      <c r="D6299" s="18" t="s">
        <v>711</v>
      </c>
      <c r="E6299" s="18" t="s">
        <v>5128</v>
      </c>
      <c r="F6299" s="2" t="s">
        <v>7987</v>
      </c>
      <c r="G6299" s="2" t="s">
        <v>6781</v>
      </c>
      <c r="H6299" s="14">
        <v>1.55</v>
      </c>
      <c r="I6299" s="2" t="s">
        <v>4699</v>
      </c>
      <c r="J6299" s="2" t="s">
        <v>6555</v>
      </c>
      <c r="K6299" s="2" t="s">
        <v>1452</v>
      </c>
      <c r="L6299" s="2" t="s">
        <v>5221</v>
      </c>
      <c r="M6299" s="2" t="s">
        <v>5221</v>
      </c>
      <c r="N6299" s="2" t="s">
        <v>2317</v>
      </c>
      <c r="O6299" s="14">
        <v>11500</v>
      </c>
      <c r="P6299" s="14">
        <v>98.67</v>
      </c>
      <c r="Q6299" s="14">
        <v>152.94999999999999</v>
      </c>
      <c r="R6299" s="14">
        <v>237.07</v>
      </c>
      <c r="S6299" s="2" t="s">
        <v>6023</v>
      </c>
      <c r="T6299" s="2">
        <v>1.48</v>
      </c>
      <c r="U6299" s="2">
        <v>63.7</v>
      </c>
      <c r="V6299" s="2">
        <v>61</v>
      </c>
      <c r="W6299" s="2" t="s">
        <v>4336</v>
      </c>
      <c r="X6299" s="2" t="s">
        <v>6687</v>
      </c>
      <c r="Y6299" s="2">
        <v>17825</v>
      </c>
      <c r="Z6299" s="19" t="str">
        <f>HYPERLINK("https://ssdweb.co/ssdweb/hd/Vision360.html?d=925100001&amp;zoomslide=1&amp;z=1925100001&amp;ISCONFIRM=0","VIDEO")</f>
        <v>VIDEO</v>
      </c>
      <c r="AA6299" s="19" t="str">
        <f>HYPERLINK("https://ssdweb.co/ssdweb/CERTH/605330603.pdf","CERTI")</f>
        <v>CERTI</v>
      </c>
    </row>
    <row r="6300" spans="1:27" ht="15" x14ac:dyDescent="0.25">
      <c r="A6300" s="2">
        <v>6295</v>
      </c>
      <c r="B6300" s="39">
        <v>941130229</v>
      </c>
      <c r="C6300" s="28" t="str">
        <f>HYPERLINK("https://pld.live/RapDetail.aspx?STONELIST=941130229","DNA")</f>
        <v>DNA</v>
      </c>
      <c r="D6300" s="18" t="s">
        <v>711</v>
      </c>
      <c r="E6300" s="18" t="s">
        <v>2186</v>
      </c>
      <c r="F6300" s="2" t="s">
        <v>7987</v>
      </c>
      <c r="G6300" s="2" t="s">
        <v>6781</v>
      </c>
      <c r="H6300" s="14">
        <v>1.55</v>
      </c>
      <c r="I6300" s="2" t="s">
        <v>4699</v>
      </c>
      <c r="J6300" s="2" t="s">
        <v>13</v>
      </c>
      <c r="K6300" s="2" t="s">
        <v>1452</v>
      </c>
      <c r="L6300" s="2" t="s">
        <v>5221</v>
      </c>
      <c r="M6300" s="2" t="s">
        <v>5221</v>
      </c>
      <c r="N6300" s="2" t="s">
        <v>2317</v>
      </c>
      <c r="O6300" s="14">
        <v>10200</v>
      </c>
      <c r="P6300" s="14">
        <v>98.77</v>
      </c>
      <c r="Q6300" s="14">
        <v>125.46</v>
      </c>
      <c r="R6300" s="14">
        <v>194.46</v>
      </c>
      <c r="S6300" s="2" t="s">
        <v>2561</v>
      </c>
      <c r="T6300" s="2">
        <v>1.58</v>
      </c>
      <c r="U6300" s="2">
        <v>61.6</v>
      </c>
      <c r="V6300" s="2">
        <v>59</v>
      </c>
      <c r="W6300" s="2" t="s">
        <v>7862</v>
      </c>
      <c r="X6300" s="2" t="s">
        <v>6687</v>
      </c>
      <c r="Y6300" s="2">
        <v>15810</v>
      </c>
      <c r="Z6300" s="19" t="str">
        <f>HYPERLINK("https://ssdweb.co/ssdweb/hd/Vision360.html?d=941130229&amp;zoomslide=1&amp;z=1941130229&amp;ISCONFIRM=0","VIDEO")</f>
        <v>VIDEO</v>
      </c>
      <c r="AA6300" s="19" t="str">
        <f>HYPERLINK("https://ssdweb.co/ssdweb/CERTH/674504104.pdf","CERTI")</f>
        <v>CERTI</v>
      </c>
    </row>
    <row r="6301" spans="1:27" ht="15" x14ac:dyDescent="0.25">
      <c r="A6301" s="2">
        <v>6296</v>
      </c>
      <c r="B6301" s="39">
        <v>924160494</v>
      </c>
      <c r="C6301" s="28" t="str">
        <f>HYPERLINK("https://pld.live/RapDetail.aspx?STONELIST=924160494","DNA")</f>
        <v>DNA</v>
      </c>
      <c r="D6301" s="18" t="s">
        <v>711</v>
      </c>
      <c r="E6301" s="18" t="s">
        <v>2186</v>
      </c>
      <c r="F6301" s="2" t="s">
        <v>7987</v>
      </c>
      <c r="G6301" s="2" t="s">
        <v>6781</v>
      </c>
      <c r="H6301" s="14">
        <v>1.55</v>
      </c>
      <c r="I6301" s="2" t="s">
        <v>1505</v>
      </c>
      <c r="J6301" s="2" t="s">
        <v>3942</v>
      </c>
      <c r="K6301" s="2" t="s">
        <v>1452</v>
      </c>
      <c r="L6301" s="2" t="s">
        <v>5221</v>
      </c>
      <c r="M6301" s="2" t="s">
        <v>5221</v>
      </c>
      <c r="N6301" s="2" t="s">
        <v>2317</v>
      </c>
      <c r="O6301" s="14">
        <v>8400</v>
      </c>
      <c r="P6301" s="14">
        <v>98.63</v>
      </c>
      <c r="Q6301" s="14">
        <v>115.08</v>
      </c>
      <c r="R6301" s="14">
        <v>178.37</v>
      </c>
      <c r="S6301" s="2" t="s">
        <v>5123</v>
      </c>
      <c r="T6301" s="2">
        <v>1.54</v>
      </c>
      <c r="U6301" s="2">
        <v>62.1</v>
      </c>
      <c r="V6301" s="2">
        <v>62</v>
      </c>
      <c r="W6301" s="2" t="s">
        <v>8016</v>
      </c>
      <c r="X6301" s="2" t="s">
        <v>6687</v>
      </c>
      <c r="Y6301" s="2">
        <v>13020</v>
      </c>
      <c r="Z6301" s="19" t="str">
        <f>HYPERLINK("https://ssdweb.co/ssdweb/hd/Vision360.html?d=924160494&amp;zoomslide=1&amp;z=1924160494&amp;ISCONFIRM=0","VIDEO")</f>
        <v>VIDEO</v>
      </c>
      <c r="AA6301" s="19" t="str">
        <f>HYPERLINK("https://ssdweb.co/ssdweb/CERTH/577305237.pdf","CERTI")</f>
        <v>CERTI</v>
      </c>
    </row>
    <row r="6302" spans="1:27" ht="15" x14ac:dyDescent="0.25">
      <c r="A6302" s="2">
        <v>6297</v>
      </c>
      <c r="B6302" s="39">
        <v>924720004</v>
      </c>
      <c r="C6302" s="28" t="str">
        <f>HYPERLINK("https://pld.live/RapDetail.aspx?STONELIST=924720004","DNA")</f>
        <v>DNA</v>
      </c>
      <c r="D6302" s="18" t="s">
        <v>711</v>
      </c>
      <c r="E6302" s="18" t="s">
        <v>5128</v>
      </c>
      <c r="F6302" s="2" t="s">
        <v>7987</v>
      </c>
      <c r="G6302" s="2" t="s">
        <v>6781</v>
      </c>
      <c r="H6302" s="14">
        <v>1.54</v>
      </c>
      <c r="I6302" s="2" t="s">
        <v>267</v>
      </c>
      <c r="J6302" s="2" t="s">
        <v>6555</v>
      </c>
      <c r="K6302" s="2" t="s">
        <v>1452</v>
      </c>
      <c r="L6302" s="2" t="s">
        <v>5221</v>
      </c>
      <c r="M6302" s="2" t="s">
        <v>5221</v>
      </c>
      <c r="N6302" s="2" t="s">
        <v>2317</v>
      </c>
      <c r="O6302" s="14">
        <v>13200</v>
      </c>
      <c r="P6302" s="14">
        <v>98.41</v>
      </c>
      <c r="Q6302" s="14">
        <v>209.88</v>
      </c>
      <c r="R6302" s="14">
        <v>323.22000000000003</v>
      </c>
      <c r="S6302" s="2" t="s">
        <v>2588</v>
      </c>
      <c r="T6302" s="2">
        <v>1.53</v>
      </c>
      <c r="U6302" s="2">
        <v>60.6</v>
      </c>
      <c r="V6302" s="2">
        <v>63</v>
      </c>
      <c r="W6302" s="2" t="s">
        <v>7862</v>
      </c>
      <c r="X6302" s="2" t="s">
        <v>6687</v>
      </c>
      <c r="Y6302" s="2">
        <v>20328</v>
      </c>
      <c r="Z6302" s="19" t="str">
        <f>HYPERLINK("https://ssdweb.co/ssdweb/hd/Vision360.html?d=924720004&amp;zoomslide=1&amp;z=1924720004&amp;ISCONFIRM=0","VIDEO")</f>
        <v>VIDEO</v>
      </c>
      <c r="AA6302" s="19" t="str">
        <f>HYPERLINK("https://ssdweb.co/ssdweb/CERTH/596333938.pdf","CERTI")</f>
        <v>CERTI</v>
      </c>
    </row>
    <row r="6303" spans="1:27" ht="15" x14ac:dyDescent="0.25">
      <c r="A6303" s="2">
        <v>6298</v>
      </c>
      <c r="B6303" s="39">
        <v>925370439</v>
      </c>
      <c r="C6303" s="28" t="str">
        <f>HYPERLINK("https://pld.live/RapDetail.aspx?STONELIST=925370439","DNA")</f>
        <v>DNA</v>
      </c>
      <c r="D6303" s="18" t="s">
        <v>711</v>
      </c>
      <c r="E6303" s="18" t="s">
        <v>5128</v>
      </c>
      <c r="F6303" s="2" t="s">
        <v>7987</v>
      </c>
      <c r="G6303" s="2" t="s">
        <v>6781</v>
      </c>
      <c r="H6303" s="14">
        <v>1.54</v>
      </c>
      <c r="I6303" s="2" t="s">
        <v>267</v>
      </c>
      <c r="J6303" s="2" t="s">
        <v>13</v>
      </c>
      <c r="K6303" s="2" t="s">
        <v>1452</v>
      </c>
      <c r="L6303" s="2" t="s">
        <v>5221</v>
      </c>
      <c r="M6303" s="2" t="s">
        <v>5221</v>
      </c>
      <c r="N6303" s="2" t="s">
        <v>2317</v>
      </c>
      <c r="O6303" s="14">
        <v>11600</v>
      </c>
      <c r="P6303" s="14">
        <v>98.84</v>
      </c>
      <c r="Q6303" s="14">
        <v>134.56</v>
      </c>
      <c r="R6303" s="14">
        <v>207.22</v>
      </c>
      <c r="S6303" s="2" t="s">
        <v>1141</v>
      </c>
      <c r="T6303" s="2">
        <v>1.48</v>
      </c>
      <c r="U6303" s="2">
        <v>64</v>
      </c>
      <c r="V6303" s="2">
        <v>61</v>
      </c>
      <c r="W6303" s="2" t="s">
        <v>7862</v>
      </c>
      <c r="X6303" s="2" t="s">
        <v>6687</v>
      </c>
      <c r="Y6303" s="2">
        <v>17864</v>
      </c>
      <c r="Z6303" s="19" t="str">
        <f>HYPERLINK("https://ssdweb.co/ssdweb/hd/Vision360.html?d=925370439&amp;zoomslide=1&amp;z=1925370439&amp;ISCONFIRM=0","VIDEO")</f>
        <v>VIDEO</v>
      </c>
      <c r="AA6303" s="19" t="str">
        <f>HYPERLINK("https://ssdweb.co/ssdweb/CERTH/619424105.pdf","CERTI")</f>
        <v>CERTI</v>
      </c>
    </row>
    <row r="6304" spans="1:27" ht="15" x14ac:dyDescent="0.25">
      <c r="A6304" s="2">
        <v>6299</v>
      </c>
      <c r="B6304" s="39">
        <v>925270472</v>
      </c>
      <c r="C6304" s="28" t="str">
        <f>HYPERLINK("https://pld.live/RapDetail.aspx?STONELIST=925270472","DNA")</f>
        <v>DNA</v>
      </c>
      <c r="D6304" s="18" t="s">
        <v>711</v>
      </c>
      <c r="E6304" s="18" t="s">
        <v>5128</v>
      </c>
      <c r="F6304" s="2" t="s">
        <v>7987</v>
      </c>
      <c r="G6304" s="2" t="s">
        <v>6781</v>
      </c>
      <c r="H6304" s="14">
        <v>1.54</v>
      </c>
      <c r="I6304" s="2" t="s">
        <v>267</v>
      </c>
      <c r="J6304" s="2" t="s">
        <v>13</v>
      </c>
      <c r="K6304" s="2" t="s">
        <v>1452</v>
      </c>
      <c r="L6304" s="2" t="s">
        <v>5221</v>
      </c>
      <c r="M6304" s="2" t="s">
        <v>5221</v>
      </c>
      <c r="N6304" s="2" t="s">
        <v>2317</v>
      </c>
      <c r="O6304" s="14">
        <v>11600</v>
      </c>
      <c r="P6304" s="14">
        <v>98.84</v>
      </c>
      <c r="Q6304" s="14">
        <v>134.56</v>
      </c>
      <c r="R6304" s="14">
        <v>207.22</v>
      </c>
      <c r="S6304" s="2" t="s">
        <v>1960</v>
      </c>
      <c r="T6304" s="2">
        <v>1.51</v>
      </c>
      <c r="U6304" s="2">
        <v>62.3</v>
      </c>
      <c r="V6304" s="2">
        <v>61</v>
      </c>
      <c r="W6304" s="2" t="s">
        <v>7862</v>
      </c>
      <c r="X6304" s="2" t="s">
        <v>6687</v>
      </c>
      <c r="Y6304" s="2">
        <v>17864</v>
      </c>
      <c r="Z6304" s="19" t="str">
        <f>HYPERLINK("https://ssdweb.co/ssdweb/hd/Vision360.html?d=925270472&amp;zoomslide=1&amp;z=1925270472&amp;ISCONFIRM=0","VIDEO")</f>
        <v>VIDEO</v>
      </c>
      <c r="AA6304" s="19" t="str">
        <f>HYPERLINK("https://ssdweb.co/ssdweb/CERTH/616491820.pdf","CERTI")</f>
        <v>CERTI</v>
      </c>
    </row>
    <row r="6305" spans="1:27" ht="15" x14ac:dyDescent="0.25">
      <c r="A6305" s="2">
        <v>6300</v>
      </c>
      <c r="B6305" s="39">
        <v>821121957</v>
      </c>
      <c r="C6305" s="28" t="str">
        <f>HYPERLINK("https://pld.live/RapDetail.aspx?STONELIST=821121957","DNA")</f>
        <v>DNA</v>
      </c>
      <c r="D6305" s="18" t="s">
        <v>711</v>
      </c>
      <c r="E6305" s="18" t="s">
        <v>5128</v>
      </c>
      <c r="F6305" s="2" t="s">
        <v>7987</v>
      </c>
      <c r="G6305" s="2" t="s">
        <v>6781</v>
      </c>
      <c r="H6305" s="14">
        <v>1.54</v>
      </c>
      <c r="I6305" s="2" t="s">
        <v>4761</v>
      </c>
      <c r="J6305" s="2" t="s">
        <v>7032</v>
      </c>
      <c r="K6305" s="2" t="s">
        <v>1452</v>
      </c>
      <c r="L6305" s="2" t="s">
        <v>5221</v>
      </c>
      <c r="M6305" s="2" t="s">
        <v>5221</v>
      </c>
      <c r="N6305" s="2" t="s">
        <v>2317</v>
      </c>
      <c r="O6305" s="14">
        <v>13200</v>
      </c>
      <c r="P6305" s="14">
        <v>96.29</v>
      </c>
      <c r="Q6305" s="14">
        <v>489.72</v>
      </c>
      <c r="R6305" s="14">
        <v>754.17</v>
      </c>
      <c r="S6305" s="2" t="s">
        <v>5824</v>
      </c>
      <c r="T6305" s="2">
        <v>1.52</v>
      </c>
      <c r="U6305" s="2">
        <v>60.8</v>
      </c>
      <c r="V6305" s="2">
        <v>63</v>
      </c>
      <c r="W6305" s="2" t="s">
        <v>7862</v>
      </c>
      <c r="X6305" s="2" t="s">
        <v>6687</v>
      </c>
      <c r="Y6305" s="2">
        <v>20328</v>
      </c>
      <c r="Z6305" s="19" t="str">
        <f>HYPERLINK("https://ssdweb.co/ssdweb/hd/Vision360.html?d=821121957&amp;zoomslide=1&amp;z=1821121957&amp;ISCONFIRM=0","VIDEO")</f>
        <v>VIDEO</v>
      </c>
      <c r="AA6305" s="19" t="str">
        <f>HYPERLINK("https://ssdweb.co/ssdweb/CERTH/596349984.pdf","CERTI")</f>
        <v>CERTI</v>
      </c>
    </row>
    <row r="6306" spans="1:27" ht="15" x14ac:dyDescent="0.25">
      <c r="A6306" s="2">
        <v>6301</v>
      </c>
      <c r="B6306" s="39">
        <v>925710090</v>
      </c>
      <c r="C6306" s="28" t="str">
        <f>HYPERLINK("https://pld.live/RapDetail.aspx?STONELIST=925710090","DNA")</f>
        <v>DNA</v>
      </c>
      <c r="D6306" s="18" t="s">
        <v>711</v>
      </c>
      <c r="E6306" s="18" t="s">
        <v>2186</v>
      </c>
      <c r="F6306" s="2" t="s">
        <v>7987</v>
      </c>
      <c r="G6306" s="2" t="s">
        <v>6781</v>
      </c>
      <c r="H6306" s="14">
        <v>1.54</v>
      </c>
      <c r="I6306" s="2" t="s">
        <v>4761</v>
      </c>
      <c r="J6306" s="2" t="s">
        <v>13</v>
      </c>
      <c r="K6306" s="2" t="s">
        <v>1452</v>
      </c>
      <c r="L6306" s="2" t="s">
        <v>5221</v>
      </c>
      <c r="M6306" s="2" t="s">
        <v>5221</v>
      </c>
      <c r="N6306" s="2" t="s">
        <v>2317</v>
      </c>
      <c r="O6306" s="14">
        <v>10800</v>
      </c>
      <c r="P6306" s="14">
        <v>98.84</v>
      </c>
      <c r="Q6306" s="14">
        <v>125.28</v>
      </c>
      <c r="R6306" s="14">
        <v>192.93</v>
      </c>
      <c r="S6306" s="2" t="s">
        <v>3397</v>
      </c>
      <c r="T6306" s="2">
        <v>1.59</v>
      </c>
      <c r="U6306" s="2">
        <v>63.2</v>
      </c>
      <c r="V6306" s="2">
        <v>62</v>
      </c>
      <c r="W6306" s="2" t="s">
        <v>7862</v>
      </c>
      <c r="X6306" s="2" t="s">
        <v>6687</v>
      </c>
      <c r="Y6306" s="2">
        <v>16632</v>
      </c>
      <c r="Z6306" s="19" t="str">
        <f>HYPERLINK("https://ssdweb.co/ssdweb/hd/Vision360.html?d=925710090&amp;zoomslide=1&amp;z=1925710090&amp;ISCONFIRM=0","VIDEO")</f>
        <v>VIDEO</v>
      </c>
      <c r="AA6306" s="19" t="str">
        <f>HYPERLINK("https://ssdweb.co/ssdweb/CERTH/626414896.pdf","CERTI")</f>
        <v>CERTI</v>
      </c>
    </row>
    <row r="6307" spans="1:27" ht="15" x14ac:dyDescent="0.25">
      <c r="A6307" s="2">
        <v>6302</v>
      </c>
      <c r="B6307" s="39">
        <v>925771112</v>
      </c>
      <c r="C6307" s="28" t="str">
        <f>HYPERLINK("https://pld.live/RapDetail.aspx?STONELIST=925771112","DNA")</f>
        <v>DNA</v>
      </c>
      <c r="D6307" s="18" t="s">
        <v>711</v>
      </c>
      <c r="E6307" s="18" t="s">
        <v>5128</v>
      </c>
      <c r="F6307" s="2" t="s">
        <v>5597</v>
      </c>
      <c r="G6307" s="2" t="s">
        <v>6781</v>
      </c>
      <c r="H6307" s="14">
        <v>1.54</v>
      </c>
      <c r="I6307" s="2" t="s">
        <v>4761</v>
      </c>
      <c r="J6307" s="2" t="s">
        <v>5144</v>
      </c>
      <c r="K6307" s="2" t="s">
        <v>1452</v>
      </c>
      <c r="L6307" s="2" t="s">
        <v>5721</v>
      </c>
      <c r="M6307" s="2" t="s">
        <v>5221</v>
      </c>
      <c r="N6307" s="2" t="s">
        <v>2317</v>
      </c>
      <c r="O6307" s="14">
        <v>9300</v>
      </c>
      <c r="P6307" s="14">
        <v>97.66</v>
      </c>
      <c r="Q6307" s="14">
        <v>217.62</v>
      </c>
      <c r="R6307" s="14">
        <v>335.13</v>
      </c>
      <c r="S6307" s="2" t="s">
        <v>1497</v>
      </c>
      <c r="T6307" s="2">
        <v>1.53</v>
      </c>
      <c r="U6307" s="2">
        <v>62.6</v>
      </c>
      <c r="V6307" s="2">
        <v>59</v>
      </c>
      <c r="W6307" s="2" t="s">
        <v>7862</v>
      </c>
      <c r="X6307" s="2" t="s">
        <v>6687</v>
      </c>
      <c r="Y6307" s="2">
        <v>14322</v>
      </c>
      <c r="Z6307" s="19" t="str">
        <f>HYPERLINK("https://ssdweb.co/ssdweb/hd/Vision360.html?d=925771112&amp;zoomslide=1&amp;z=1925771112&amp;ISCONFIRM=0","VIDEO")</f>
        <v>VIDEO</v>
      </c>
      <c r="AA6307" s="19" t="str">
        <f>HYPERLINK("https://ssdweb.co/ssdweb/CERTH/1483820749.pdf","CERTI")</f>
        <v>CERTI</v>
      </c>
    </row>
    <row r="6308" spans="1:27" ht="15" x14ac:dyDescent="0.25">
      <c r="A6308" s="2">
        <v>6303</v>
      </c>
      <c r="B6308" s="39">
        <v>925490004</v>
      </c>
      <c r="C6308" s="28" t="str">
        <f>HYPERLINK("https://pld.live/RapDetail.aspx?STONELIST=925490004","DNA")</f>
        <v>DNA</v>
      </c>
      <c r="D6308" s="18" t="s">
        <v>711</v>
      </c>
      <c r="E6308" s="18" t="s">
        <v>2186</v>
      </c>
      <c r="F6308" s="2" t="s">
        <v>7987</v>
      </c>
      <c r="G6308" s="2" t="s">
        <v>6781</v>
      </c>
      <c r="H6308" s="14">
        <v>1.54</v>
      </c>
      <c r="I6308" s="2" t="s">
        <v>4699</v>
      </c>
      <c r="J6308" s="2" t="s">
        <v>3942</v>
      </c>
      <c r="K6308" s="2" t="s">
        <v>1452</v>
      </c>
      <c r="L6308" s="2" t="s">
        <v>5221</v>
      </c>
      <c r="M6308" s="2" t="s">
        <v>5221</v>
      </c>
      <c r="N6308" s="2" t="s">
        <v>2317</v>
      </c>
      <c r="O6308" s="14">
        <v>10800</v>
      </c>
      <c r="P6308" s="14">
        <v>98.84</v>
      </c>
      <c r="Q6308" s="14">
        <v>125.28</v>
      </c>
      <c r="R6308" s="14">
        <v>192.93</v>
      </c>
      <c r="S6308" s="2" t="s">
        <v>566</v>
      </c>
      <c r="T6308" s="2">
        <v>1.54</v>
      </c>
      <c r="U6308" s="2">
        <v>62.2</v>
      </c>
      <c r="V6308" s="2">
        <v>61</v>
      </c>
      <c r="W6308" s="2" t="s">
        <v>7862</v>
      </c>
      <c r="X6308" s="2" t="s">
        <v>6687</v>
      </c>
      <c r="Y6308" s="2">
        <v>16632</v>
      </c>
      <c r="Z6308" s="19" t="str">
        <f>HYPERLINK("https://ssdweb.co/ssdweb/hd/Vision360.html?d=925490004&amp;zoomslide=1&amp;z=1925490004&amp;ISCONFIRM=0","VIDEO")</f>
        <v>VIDEO</v>
      </c>
      <c r="AA6308" s="19" t="str">
        <f>HYPERLINK("https://ssdweb.co/ssdweb/CERTH/618455256.pdf","CERTI")</f>
        <v>CERTI</v>
      </c>
    </row>
    <row r="6309" spans="1:27" ht="15" x14ac:dyDescent="0.25">
      <c r="A6309" s="2">
        <v>6304</v>
      </c>
      <c r="B6309" s="39">
        <v>925630310</v>
      </c>
      <c r="C6309" s="28" t="str">
        <f>HYPERLINK("https://pld.live/RapDetail.aspx?STONELIST=925630310","DNA")</f>
        <v>DNA</v>
      </c>
      <c r="D6309" s="18" t="s">
        <v>711</v>
      </c>
      <c r="E6309" s="18" t="s">
        <v>2186</v>
      </c>
      <c r="F6309" s="2" t="s">
        <v>7987</v>
      </c>
      <c r="G6309" s="2" t="s">
        <v>6781</v>
      </c>
      <c r="H6309" s="14">
        <v>1.54</v>
      </c>
      <c r="I6309" s="2" t="s">
        <v>4699</v>
      </c>
      <c r="J6309" s="2" t="s">
        <v>5144</v>
      </c>
      <c r="K6309" s="2" t="s">
        <v>1452</v>
      </c>
      <c r="L6309" s="2" t="s">
        <v>5221</v>
      </c>
      <c r="M6309" s="2" t="s">
        <v>5221</v>
      </c>
      <c r="N6309" s="2" t="s">
        <v>2317</v>
      </c>
      <c r="O6309" s="14">
        <v>8800</v>
      </c>
      <c r="P6309" s="14">
        <v>98.69</v>
      </c>
      <c r="Q6309" s="14">
        <v>115.28</v>
      </c>
      <c r="R6309" s="14">
        <v>177.53</v>
      </c>
      <c r="S6309" s="2" t="s">
        <v>2627</v>
      </c>
      <c r="T6309" s="2">
        <v>1.54</v>
      </c>
      <c r="U6309" s="2">
        <v>59.6</v>
      </c>
      <c r="V6309" s="2">
        <v>62</v>
      </c>
      <c r="W6309" s="2" t="s">
        <v>7862</v>
      </c>
      <c r="X6309" s="2" t="s">
        <v>6687</v>
      </c>
      <c r="Y6309" s="2">
        <v>13552</v>
      </c>
      <c r="Z6309" s="19" t="str">
        <f>HYPERLINK("https://ssdweb.co/ssdweb/hd/Vision360.html?d=925630310&amp;zoomslide=1&amp;z=1925630310&amp;ISCONFIRM=0","VIDEO")</f>
        <v>VIDEO</v>
      </c>
      <c r="AA6309" s="19" t="str">
        <f>HYPERLINK("https://ssdweb.co/ssdweb/CERTH/623449360.pdf","CERTI")</f>
        <v>CERTI</v>
      </c>
    </row>
    <row r="6310" spans="1:27" ht="15" x14ac:dyDescent="0.25">
      <c r="A6310" s="2">
        <v>6305</v>
      </c>
      <c r="B6310" s="39">
        <v>925732172</v>
      </c>
      <c r="C6310" s="28" t="str">
        <f>HYPERLINK("https://pld.live/RapDetail.aspx?STONELIST=925732172","DNA")</f>
        <v>DNA</v>
      </c>
      <c r="D6310" s="18" t="s">
        <v>711</v>
      </c>
      <c r="E6310" s="18" t="s">
        <v>5128</v>
      </c>
      <c r="F6310" s="2" t="s">
        <v>7987</v>
      </c>
      <c r="G6310" s="2" t="s">
        <v>6781</v>
      </c>
      <c r="H6310" s="14">
        <v>1.54</v>
      </c>
      <c r="I6310" s="2" t="s">
        <v>6587</v>
      </c>
      <c r="J6310" s="2" t="s">
        <v>3942</v>
      </c>
      <c r="K6310" s="2" t="s">
        <v>1452</v>
      </c>
      <c r="L6310" s="2" t="s">
        <v>5221</v>
      </c>
      <c r="M6310" s="2" t="s">
        <v>5221</v>
      </c>
      <c r="N6310" s="2" t="s">
        <v>2317</v>
      </c>
      <c r="O6310" s="14">
        <v>10000</v>
      </c>
      <c r="P6310" s="14">
        <v>98.8</v>
      </c>
      <c r="Q6310" s="14">
        <v>120</v>
      </c>
      <c r="R6310" s="14">
        <v>184.8</v>
      </c>
      <c r="S6310" s="2" t="s">
        <v>6333</v>
      </c>
      <c r="T6310" s="2">
        <v>1.48</v>
      </c>
      <c r="U6310" s="2">
        <v>63.7</v>
      </c>
      <c r="V6310" s="2">
        <v>58</v>
      </c>
      <c r="W6310" s="2" t="s">
        <v>7862</v>
      </c>
      <c r="X6310" s="2" t="s">
        <v>6687</v>
      </c>
      <c r="Y6310" s="2">
        <v>15400</v>
      </c>
      <c r="Z6310" s="19" t="str">
        <f>HYPERLINK("https://ssdweb.co/ssdweb/hd/Vision360.html?d=925732172&amp;zoomslide=1&amp;z=1925732172&amp;ISCONFIRM=0","VIDEO")</f>
        <v>VIDEO</v>
      </c>
      <c r="AA6310" s="19" t="str">
        <f>HYPERLINK("https://ssdweb.co/ssdweb/CERTH/626427510.pdf","CERTI")</f>
        <v>CERTI</v>
      </c>
    </row>
    <row r="6311" spans="1:27" ht="15" x14ac:dyDescent="0.25">
      <c r="A6311" s="2">
        <v>6306</v>
      </c>
      <c r="B6311" s="39">
        <v>821126154</v>
      </c>
      <c r="C6311" s="28" t="str">
        <f>HYPERLINK("https://pld.live/RapDetail.aspx?STONELIST=821126154","DNA")</f>
        <v>DNA</v>
      </c>
      <c r="D6311" s="18" t="s">
        <v>711</v>
      </c>
      <c r="E6311" s="18" t="s">
        <v>5128</v>
      </c>
      <c r="F6311" s="2" t="s">
        <v>7987</v>
      </c>
      <c r="G6311" s="2" t="s">
        <v>6781</v>
      </c>
      <c r="H6311" s="14">
        <v>1.53</v>
      </c>
      <c r="I6311" s="2" t="s">
        <v>267</v>
      </c>
      <c r="J6311" s="2" t="s">
        <v>6555</v>
      </c>
      <c r="K6311" s="2" t="s">
        <v>1452</v>
      </c>
      <c r="L6311" s="2" t="s">
        <v>5221</v>
      </c>
      <c r="M6311" s="2" t="s">
        <v>5221</v>
      </c>
      <c r="N6311" s="2" t="s">
        <v>2317</v>
      </c>
      <c r="O6311" s="14">
        <v>13200</v>
      </c>
      <c r="P6311" s="14">
        <v>98.41</v>
      </c>
      <c r="Q6311" s="14">
        <v>209.88</v>
      </c>
      <c r="R6311" s="14">
        <v>321.12</v>
      </c>
      <c r="S6311" s="2" t="s">
        <v>2954</v>
      </c>
      <c r="T6311" s="2">
        <v>1.5</v>
      </c>
      <c r="U6311" s="2">
        <v>61.8</v>
      </c>
      <c r="V6311" s="2">
        <v>59</v>
      </c>
      <c r="W6311" s="2" t="s">
        <v>7862</v>
      </c>
      <c r="X6311" s="2" t="s">
        <v>6687</v>
      </c>
      <c r="Y6311" s="2">
        <v>20196</v>
      </c>
      <c r="Z6311" s="19" t="str">
        <f>HYPERLINK("https://ssdweb.co/ssdweb/hd/Vision360.html?d=821126154&amp;zoomslide=1&amp;z=1821126154&amp;ISCONFIRM=0","VIDEO")</f>
        <v>VIDEO</v>
      </c>
      <c r="AA6311" s="19" t="str">
        <f>HYPERLINK("https://ssdweb.co/ssdweb/CERTH/623415336.pdf","CERTI")</f>
        <v>CERTI</v>
      </c>
    </row>
    <row r="6312" spans="1:27" ht="15" x14ac:dyDescent="0.25">
      <c r="A6312" s="2">
        <v>6307</v>
      </c>
      <c r="B6312" s="39">
        <v>927140424</v>
      </c>
      <c r="C6312" s="28" t="str">
        <f>HYPERLINK("https://pld.live/RapDetail.aspx?STONELIST=927140424","DNA")</f>
        <v>DNA</v>
      </c>
      <c r="D6312" s="18" t="s">
        <v>711</v>
      </c>
      <c r="E6312" s="18" t="s">
        <v>2186</v>
      </c>
      <c r="F6312" s="2" t="s">
        <v>7987</v>
      </c>
      <c r="G6312" s="2" t="s">
        <v>6781</v>
      </c>
      <c r="H6312" s="14">
        <v>1.53</v>
      </c>
      <c r="I6312" s="2" t="s">
        <v>267</v>
      </c>
      <c r="J6312" s="2" t="s">
        <v>3942</v>
      </c>
      <c r="K6312" s="2" t="s">
        <v>1452</v>
      </c>
      <c r="L6312" s="2" t="s">
        <v>5221</v>
      </c>
      <c r="M6312" s="2" t="s">
        <v>5721</v>
      </c>
      <c r="N6312" s="2" t="s">
        <v>2317</v>
      </c>
      <c r="O6312" s="14">
        <v>12500</v>
      </c>
      <c r="P6312" s="14">
        <v>98.8</v>
      </c>
      <c r="Q6312" s="14">
        <v>150</v>
      </c>
      <c r="R6312" s="14">
        <v>229.5</v>
      </c>
      <c r="S6312" s="2" t="s">
        <v>7843</v>
      </c>
      <c r="T6312" s="2">
        <v>1.54</v>
      </c>
      <c r="U6312" s="2">
        <v>62</v>
      </c>
      <c r="V6312" s="2">
        <v>61</v>
      </c>
      <c r="W6312" s="2" t="s">
        <v>7862</v>
      </c>
      <c r="X6312" s="2" t="s">
        <v>6687</v>
      </c>
      <c r="Y6312" s="2">
        <v>19125</v>
      </c>
      <c r="Z6312" s="19" t="str">
        <f>HYPERLINK("https://ssdweb.co/ssdweb/hd/Vision360.html?d=927140424&amp;zoomslide=1&amp;z=1927140424&amp;ISCONFIRM=0","VIDEO")</f>
        <v>VIDEO</v>
      </c>
      <c r="AA6312" s="19" t="str">
        <f>HYPERLINK("https://ssdweb.co/ssdweb/CERTH/674504070.pdf","CERTI")</f>
        <v>CERTI</v>
      </c>
    </row>
    <row r="6313" spans="1:27" ht="15" x14ac:dyDescent="0.25">
      <c r="A6313" s="2">
        <v>6308</v>
      </c>
      <c r="B6313" s="39">
        <v>926170793</v>
      </c>
      <c r="C6313" s="28" t="str">
        <f>HYPERLINK("https://pld.live/RapDetail.aspx?STONELIST=926170793","DNA")</f>
        <v>DNA</v>
      </c>
      <c r="D6313" s="18" t="s">
        <v>711</v>
      </c>
      <c r="E6313" s="18" t="s">
        <v>5128</v>
      </c>
      <c r="F6313" s="2" t="s">
        <v>7987</v>
      </c>
      <c r="G6313" s="2" t="s">
        <v>6781</v>
      </c>
      <c r="H6313" s="14">
        <v>1.53</v>
      </c>
      <c r="I6313" s="2" t="s">
        <v>267</v>
      </c>
      <c r="J6313" s="2" t="s">
        <v>3942</v>
      </c>
      <c r="K6313" s="2" t="s">
        <v>1452</v>
      </c>
      <c r="L6313" s="2" t="s">
        <v>5221</v>
      </c>
      <c r="M6313" s="2" t="s">
        <v>5721</v>
      </c>
      <c r="N6313" s="2" t="s">
        <v>2317</v>
      </c>
      <c r="O6313" s="14">
        <v>12500</v>
      </c>
      <c r="P6313" s="14">
        <v>98.83</v>
      </c>
      <c r="Q6313" s="14">
        <v>146.25</v>
      </c>
      <c r="R6313" s="14">
        <v>223.76</v>
      </c>
      <c r="S6313" s="2" t="s">
        <v>6379</v>
      </c>
      <c r="T6313" s="2">
        <v>1.49</v>
      </c>
      <c r="U6313" s="2">
        <v>64</v>
      </c>
      <c r="V6313" s="2">
        <v>60</v>
      </c>
      <c r="W6313" s="2" t="s">
        <v>7862</v>
      </c>
      <c r="X6313" s="2" t="s">
        <v>6687</v>
      </c>
      <c r="Y6313" s="2">
        <v>19125</v>
      </c>
      <c r="Z6313" s="19" t="str">
        <f>HYPERLINK("https://ssdweb.co/ssdweb/hd/Vision360.html?d=926170793&amp;zoomslide=1&amp;z=1926170793&amp;ISCONFIRM=0","VIDEO")</f>
        <v>VIDEO</v>
      </c>
      <c r="AA6313" s="19" t="str">
        <f>HYPERLINK("https://ssdweb.co/ssdweb/CERTH/633490506.pdf","CERTI")</f>
        <v>CERTI</v>
      </c>
    </row>
    <row r="6314" spans="1:27" ht="15" x14ac:dyDescent="0.25">
      <c r="A6314" s="2">
        <v>6309</v>
      </c>
      <c r="B6314" s="39">
        <v>941060538</v>
      </c>
      <c r="C6314" s="28" t="str">
        <f>HYPERLINK("https://pld.live/RapDetail.aspx?STONELIST=941060538","DNA")</f>
        <v>DNA</v>
      </c>
      <c r="D6314" s="18" t="s">
        <v>711</v>
      </c>
      <c r="E6314" s="18" t="s">
        <v>2186</v>
      </c>
      <c r="F6314" s="2" t="s">
        <v>7987</v>
      </c>
      <c r="G6314" s="2" t="s">
        <v>6781</v>
      </c>
      <c r="H6314" s="14">
        <v>1.53</v>
      </c>
      <c r="I6314" s="2" t="s">
        <v>4761</v>
      </c>
      <c r="J6314" s="2" t="s">
        <v>3942</v>
      </c>
      <c r="K6314" s="2" t="s">
        <v>1452</v>
      </c>
      <c r="L6314" s="2" t="s">
        <v>5221</v>
      </c>
      <c r="M6314" s="2" t="s">
        <v>5221</v>
      </c>
      <c r="N6314" s="2" t="s">
        <v>2317</v>
      </c>
      <c r="O6314" s="14">
        <v>11600</v>
      </c>
      <c r="P6314" s="14">
        <v>98.84</v>
      </c>
      <c r="Q6314" s="14">
        <v>134.56</v>
      </c>
      <c r="R6314" s="14">
        <v>205.88</v>
      </c>
      <c r="S6314" s="2" t="s">
        <v>3279</v>
      </c>
      <c r="T6314" s="2">
        <v>1.48</v>
      </c>
      <c r="U6314" s="2">
        <v>58.6</v>
      </c>
      <c r="V6314" s="2">
        <v>62</v>
      </c>
      <c r="W6314" s="2" t="s">
        <v>7862</v>
      </c>
      <c r="X6314" s="2" t="s">
        <v>6687</v>
      </c>
      <c r="Y6314" s="2">
        <v>17748</v>
      </c>
      <c r="Z6314" s="19" t="str">
        <f>HYPERLINK("https://ssdweb.co/ssdweb/hd/Vision360.html?d=941060538&amp;zoomslide=1&amp;z=1941060538&amp;ISCONFIRM=0","VIDEO")</f>
        <v>VIDEO</v>
      </c>
      <c r="AA6314" s="19" t="str">
        <f>HYPERLINK("https://ssdweb.co/ssdweb/CERTH/674504099.pdf","CERTI")</f>
        <v>CERTI</v>
      </c>
    </row>
    <row r="6315" spans="1:27" ht="15" x14ac:dyDescent="0.25">
      <c r="A6315" s="2">
        <v>6310</v>
      </c>
      <c r="B6315" s="39">
        <v>924830129</v>
      </c>
      <c r="C6315" s="28" t="str">
        <f>HYPERLINK("https://pld.live/RapDetail.aspx?STONELIST=924830129","DNA")</f>
        <v>DNA</v>
      </c>
      <c r="D6315" s="18" t="s">
        <v>711</v>
      </c>
      <c r="E6315" s="18" t="s">
        <v>5128</v>
      </c>
      <c r="F6315" s="2" t="s">
        <v>7987</v>
      </c>
      <c r="G6315" s="2" t="s">
        <v>6781</v>
      </c>
      <c r="H6315" s="14">
        <v>1.53</v>
      </c>
      <c r="I6315" s="2" t="s">
        <v>1505</v>
      </c>
      <c r="J6315" s="2" t="s">
        <v>13</v>
      </c>
      <c r="K6315" s="2" t="s">
        <v>1452</v>
      </c>
      <c r="L6315" s="2" t="s">
        <v>5221</v>
      </c>
      <c r="M6315" s="2" t="s">
        <v>5221</v>
      </c>
      <c r="N6315" s="2" t="s">
        <v>2317</v>
      </c>
      <c r="O6315" s="14">
        <v>7900</v>
      </c>
      <c r="P6315" s="14">
        <v>98.63</v>
      </c>
      <c r="Q6315" s="14">
        <v>108.23</v>
      </c>
      <c r="R6315" s="14">
        <v>165.59</v>
      </c>
      <c r="S6315" s="2" t="s">
        <v>3880</v>
      </c>
      <c r="T6315" s="2">
        <v>1.51</v>
      </c>
      <c r="U6315" s="2">
        <v>64.099999999999994</v>
      </c>
      <c r="V6315" s="2">
        <v>58</v>
      </c>
      <c r="W6315" s="2" t="s">
        <v>4336</v>
      </c>
      <c r="X6315" s="2" t="s">
        <v>6687</v>
      </c>
      <c r="Y6315" s="2">
        <v>12087</v>
      </c>
      <c r="Z6315" s="19" t="str">
        <f>HYPERLINK("https://ssdweb.co/ssdweb/hd/Vision360.html?d=924830129&amp;zoomslide=1&amp;z=1924830129&amp;ISCONFIRM=0","VIDEO")</f>
        <v>VIDEO</v>
      </c>
      <c r="AA6315" s="19" t="str">
        <f>HYPERLINK("https://ssdweb.co/ssdweb/CERTH/600345127.pdf","CERTI")</f>
        <v>CERTI</v>
      </c>
    </row>
    <row r="6316" spans="1:27" ht="15" x14ac:dyDescent="0.25">
      <c r="A6316" s="2">
        <v>6311</v>
      </c>
      <c r="B6316" s="39">
        <v>821123506</v>
      </c>
      <c r="C6316" s="28" t="str">
        <f>HYPERLINK("https://pld.live/RapDetail.aspx?STONELIST=821123506","DNA")</f>
        <v>DNA</v>
      </c>
      <c r="D6316" s="18" t="s">
        <v>711</v>
      </c>
      <c r="E6316" s="18" t="s">
        <v>5128</v>
      </c>
      <c r="F6316" s="2" t="s">
        <v>7987</v>
      </c>
      <c r="G6316" s="2" t="s">
        <v>6781</v>
      </c>
      <c r="H6316" s="14">
        <v>1.52</v>
      </c>
      <c r="I6316" s="2" t="s">
        <v>267</v>
      </c>
      <c r="J6316" s="2" t="s">
        <v>6555</v>
      </c>
      <c r="K6316" s="2" t="s">
        <v>1452</v>
      </c>
      <c r="L6316" s="2" t="s">
        <v>5221</v>
      </c>
      <c r="M6316" s="2" t="s">
        <v>5221</v>
      </c>
      <c r="N6316" s="2" t="s">
        <v>2317</v>
      </c>
      <c r="O6316" s="14">
        <v>13200</v>
      </c>
      <c r="P6316" s="14">
        <v>98.41</v>
      </c>
      <c r="Q6316" s="14">
        <v>209.88</v>
      </c>
      <c r="R6316" s="14">
        <v>319.02</v>
      </c>
      <c r="S6316" s="2" t="s">
        <v>773</v>
      </c>
      <c r="T6316" s="2">
        <v>1.55</v>
      </c>
      <c r="U6316" s="2">
        <v>62.2</v>
      </c>
      <c r="V6316" s="2">
        <v>61</v>
      </c>
      <c r="W6316" s="2" t="s">
        <v>7862</v>
      </c>
      <c r="X6316" s="2" t="s">
        <v>6687</v>
      </c>
      <c r="Y6316" s="2">
        <v>20064</v>
      </c>
      <c r="Z6316" s="19" t="str">
        <f>HYPERLINK("https://ssdweb.co/ssdweb/hd/Vision360.html?d=821123506&amp;zoomslide=1&amp;z=1821123506&amp;ISCONFIRM=0","VIDEO")</f>
        <v>VIDEO</v>
      </c>
      <c r="AA6316" s="19" t="str">
        <f>HYPERLINK("https://ssdweb.co/ssdweb/CERTH/602302477.pdf","CERTI")</f>
        <v>CERTI</v>
      </c>
    </row>
    <row r="6317" spans="1:27" ht="15" x14ac:dyDescent="0.25">
      <c r="A6317" s="2">
        <v>6312</v>
      </c>
      <c r="B6317" s="39">
        <v>821123348</v>
      </c>
      <c r="C6317" s="28" t="str">
        <f>HYPERLINK("https://pld.live/RapDetail.aspx?STONELIST=821123348","DNA")</f>
        <v>DNA</v>
      </c>
      <c r="D6317" s="18" t="s">
        <v>711</v>
      </c>
      <c r="E6317" s="18" t="s">
        <v>5128</v>
      </c>
      <c r="F6317" s="2" t="s">
        <v>7987</v>
      </c>
      <c r="G6317" s="2" t="s">
        <v>6781</v>
      </c>
      <c r="H6317" s="14">
        <v>1.52</v>
      </c>
      <c r="I6317" s="2" t="s">
        <v>267</v>
      </c>
      <c r="J6317" s="2" t="s">
        <v>6555</v>
      </c>
      <c r="K6317" s="2" t="s">
        <v>1452</v>
      </c>
      <c r="L6317" s="2" t="s">
        <v>5221</v>
      </c>
      <c r="M6317" s="2" t="s">
        <v>5221</v>
      </c>
      <c r="N6317" s="2" t="s">
        <v>2317</v>
      </c>
      <c r="O6317" s="14">
        <v>13200</v>
      </c>
      <c r="P6317" s="14">
        <v>98.41</v>
      </c>
      <c r="Q6317" s="14">
        <v>209.88</v>
      </c>
      <c r="R6317" s="14">
        <v>319.02</v>
      </c>
      <c r="S6317" s="2" t="s">
        <v>1867</v>
      </c>
      <c r="T6317" s="2">
        <v>1.51</v>
      </c>
      <c r="U6317" s="2">
        <v>63.1</v>
      </c>
      <c r="V6317" s="2">
        <v>57</v>
      </c>
      <c r="W6317" s="2" t="s">
        <v>7862</v>
      </c>
      <c r="X6317" s="2" t="s">
        <v>6687</v>
      </c>
      <c r="Y6317" s="2">
        <v>20064</v>
      </c>
      <c r="Z6317" s="19" t="str">
        <f>HYPERLINK("https://ssdweb.co/ssdweb/hd/Vision360.html?d=821123348&amp;zoomslide=1&amp;z=1821123348&amp;ISCONFIRM=0","VIDEO")</f>
        <v>VIDEO</v>
      </c>
      <c r="AA6317" s="19" t="str">
        <f>HYPERLINK("https://ssdweb.co/ssdweb/CERTH/598394579.pdf","CERTI")</f>
        <v>CERTI</v>
      </c>
    </row>
    <row r="6318" spans="1:27" ht="15" x14ac:dyDescent="0.25">
      <c r="A6318" s="2">
        <v>6313</v>
      </c>
      <c r="B6318" s="39">
        <v>831010826</v>
      </c>
      <c r="C6318" s="28" t="str">
        <f>HYPERLINK("https://pld.live/RapDetail.aspx?STONELIST=831010826","DNA")</f>
        <v>DNA</v>
      </c>
      <c r="D6318" s="18" t="s">
        <v>711</v>
      </c>
      <c r="E6318" s="18" t="s">
        <v>5128</v>
      </c>
      <c r="F6318" s="2" t="s">
        <v>7987</v>
      </c>
      <c r="G6318" s="2" t="s">
        <v>6781</v>
      </c>
      <c r="H6318" s="14">
        <v>1.52</v>
      </c>
      <c r="I6318" s="2" t="s">
        <v>267</v>
      </c>
      <c r="J6318" s="2" t="s">
        <v>3942</v>
      </c>
      <c r="K6318" s="2" t="s">
        <v>1452</v>
      </c>
      <c r="L6318" s="2" t="s">
        <v>5221</v>
      </c>
      <c r="M6318" s="2" t="s">
        <v>5221</v>
      </c>
      <c r="N6318" s="2" t="s">
        <v>2317</v>
      </c>
      <c r="O6318" s="14">
        <v>12500</v>
      </c>
      <c r="P6318" s="14">
        <v>98.84</v>
      </c>
      <c r="Q6318" s="14">
        <v>145</v>
      </c>
      <c r="R6318" s="14">
        <v>220.4</v>
      </c>
      <c r="S6318" s="2" t="s">
        <v>6606</v>
      </c>
      <c r="T6318" s="2">
        <v>1.54</v>
      </c>
      <c r="U6318" s="2">
        <v>63.6</v>
      </c>
      <c r="V6318" s="2">
        <v>59</v>
      </c>
      <c r="W6318" s="2" t="s">
        <v>7862</v>
      </c>
      <c r="X6318" s="2" t="s">
        <v>6687</v>
      </c>
      <c r="Y6318" s="2">
        <v>19000</v>
      </c>
      <c r="Z6318" s="19" t="str">
        <f>HYPERLINK("https://ssdweb.co/ssdweb/hd/Vision360.html?d=831010826&amp;zoomslide=1&amp;z=1831010826&amp;ISCONFIRM=0","VIDEO")</f>
        <v>VIDEO</v>
      </c>
      <c r="AA6318" s="19" t="str">
        <f>HYPERLINK("https://ssdweb.co/ssdweb/CERTH/602303071.pdf","CERTI")</f>
        <v>CERTI</v>
      </c>
    </row>
    <row r="6319" spans="1:27" ht="15" x14ac:dyDescent="0.25">
      <c r="A6319" s="2">
        <v>6314</v>
      </c>
      <c r="B6319" s="39">
        <v>941120571</v>
      </c>
      <c r="C6319" s="28" t="str">
        <f>HYPERLINK("https://pld.live/RapDetail.aspx?STONELIST=941120571","DNA")</f>
        <v>DNA</v>
      </c>
      <c r="D6319" s="18" t="s">
        <v>711</v>
      </c>
      <c r="E6319" s="18" t="s">
        <v>2186</v>
      </c>
      <c r="F6319" s="2" t="s">
        <v>7987</v>
      </c>
      <c r="G6319" s="2" t="s">
        <v>6781</v>
      </c>
      <c r="H6319" s="14">
        <v>1.52</v>
      </c>
      <c r="I6319" s="2" t="s">
        <v>267</v>
      </c>
      <c r="J6319" s="2" t="s">
        <v>13</v>
      </c>
      <c r="K6319" s="2" t="s">
        <v>1452</v>
      </c>
      <c r="L6319" s="2" t="s">
        <v>5221</v>
      </c>
      <c r="M6319" s="2" t="s">
        <v>5221</v>
      </c>
      <c r="N6319" s="2" t="s">
        <v>2317</v>
      </c>
      <c r="O6319" s="14">
        <v>11600</v>
      </c>
      <c r="P6319" s="14">
        <v>98.79</v>
      </c>
      <c r="Q6319" s="14">
        <v>140.36000000000001</v>
      </c>
      <c r="R6319" s="14">
        <v>213.35</v>
      </c>
      <c r="S6319" s="2" t="s">
        <v>435</v>
      </c>
      <c r="T6319" s="2">
        <v>1.53</v>
      </c>
      <c r="U6319" s="2">
        <v>60.9</v>
      </c>
      <c r="V6319" s="2">
        <v>60</v>
      </c>
      <c r="W6319" s="2" t="s">
        <v>7862</v>
      </c>
      <c r="X6319" s="2" t="s">
        <v>6687</v>
      </c>
      <c r="Y6319" s="2">
        <v>17632</v>
      </c>
      <c r="Z6319" s="19" t="str">
        <f>HYPERLINK("https://ssdweb.co/ssdweb/hd/Vision360.html?d=941120571&amp;zoomslide=1&amp;z=1941120571&amp;ISCONFIRM=0","VIDEO")</f>
        <v>VIDEO</v>
      </c>
      <c r="AA6319" s="19" t="str">
        <f>HYPERLINK("https://ssdweb.co/ssdweb/CERTH/675504694.pdf","CERTI")</f>
        <v>CERTI</v>
      </c>
    </row>
    <row r="6320" spans="1:27" ht="15" x14ac:dyDescent="0.25">
      <c r="A6320" s="2">
        <v>6315</v>
      </c>
      <c r="B6320" s="39">
        <v>927040775</v>
      </c>
      <c r="C6320" s="28" t="str">
        <f>HYPERLINK("https://pld.live/RapDetail.aspx?STONELIST=927040775","DNA")</f>
        <v>DNA</v>
      </c>
      <c r="D6320" s="18" t="s">
        <v>711</v>
      </c>
      <c r="E6320" s="18" t="s">
        <v>2186</v>
      </c>
      <c r="F6320" s="2" t="s">
        <v>7987</v>
      </c>
      <c r="G6320" s="2" t="s">
        <v>6781</v>
      </c>
      <c r="H6320" s="14">
        <v>1.52</v>
      </c>
      <c r="I6320" s="2" t="s">
        <v>267</v>
      </c>
      <c r="J6320" s="2" t="s">
        <v>13</v>
      </c>
      <c r="K6320" s="2" t="s">
        <v>1452</v>
      </c>
      <c r="L6320" s="2" t="s">
        <v>5221</v>
      </c>
      <c r="M6320" s="2" t="s">
        <v>5221</v>
      </c>
      <c r="N6320" s="2" t="s">
        <v>2317</v>
      </c>
      <c r="O6320" s="14">
        <v>11600</v>
      </c>
      <c r="P6320" s="14">
        <v>98.79</v>
      </c>
      <c r="Q6320" s="14">
        <v>140.36000000000001</v>
      </c>
      <c r="R6320" s="14">
        <v>213.35</v>
      </c>
      <c r="S6320" s="2" t="s">
        <v>4383</v>
      </c>
      <c r="T6320" s="2">
        <v>1.53</v>
      </c>
      <c r="U6320" s="2">
        <v>61.6</v>
      </c>
      <c r="V6320" s="2">
        <v>61</v>
      </c>
      <c r="W6320" s="2" t="s">
        <v>7862</v>
      </c>
      <c r="X6320" s="2" t="s">
        <v>6687</v>
      </c>
      <c r="Y6320" s="2">
        <v>17632</v>
      </c>
      <c r="Z6320" s="19" t="str">
        <f>HYPERLINK("https://ssdweb.co/ssdweb/hd/Vision360.html?d=927040775&amp;zoomslide=1&amp;z=1927040775&amp;ISCONFIRM=0","VIDEO")</f>
        <v>VIDEO</v>
      </c>
      <c r="AA6320" s="19" t="str">
        <f>HYPERLINK("https://ssdweb.co/ssdweb/CERTH/670484522.pdf","CERTI")</f>
        <v>CERTI</v>
      </c>
    </row>
    <row r="6321" spans="1:27" ht="15" x14ac:dyDescent="0.25">
      <c r="A6321" s="2">
        <v>6316</v>
      </c>
      <c r="B6321" s="39">
        <v>925360389</v>
      </c>
      <c r="C6321" s="28" t="str">
        <f>HYPERLINK("https://pld.live/RapDetail.aspx?STONELIST=925360389","DNA")</f>
        <v>DNA</v>
      </c>
      <c r="D6321" s="18" t="s">
        <v>711</v>
      </c>
      <c r="E6321" s="18" t="s">
        <v>5128</v>
      </c>
      <c r="F6321" s="2" t="s">
        <v>5597</v>
      </c>
      <c r="G6321" s="2" t="s">
        <v>6781</v>
      </c>
      <c r="H6321" s="14">
        <v>1.52</v>
      </c>
      <c r="I6321" s="2" t="s">
        <v>267</v>
      </c>
      <c r="J6321" s="2" t="s">
        <v>5144</v>
      </c>
      <c r="K6321" s="2" t="s">
        <v>1452</v>
      </c>
      <c r="L6321" s="2" t="s">
        <v>5221</v>
      </c>
      <c r="M6321" s="2" t="s">
        <v>5721</v>
      </c>
      <c r="N6321" s="2" t="s">
        <v>2317</v>
      </c>
      <c r="O6321" s="14">
        <v>9900</v>
      </c>
      <c r="P6321" s="14">
        <v>97.7</v>
      </c>
      <c r="Q6321" s="14">
        <v>227.7</v>
      </c>
      <c r="R6321" s="14">
        <v>346.1</v>
      </c>
      <c r="S6321" s="2" t="s">
        <v>1767</v>
      </c>
      <c r="T6321" s="2">
        <v>1.55</v>
      </c>
      <c r="U6321" s="2">
        <v>61.9</v>
      </c>
      <c r="V6321" s="2">
        <v>61</v>
      </c>
      <c r="W6321" s="2" t="s">
        <v>7862</v>
      </c>
      <c r="X6321" s="2" t="s">
        <v>6687</v>
      </c>
      <c r="Y6321" s="2">
        <v>15048</v>
      </c>
      <c r="Z6321" s="19" t="str">
        <f>HYPERLINK("https://ssdweb.co/ssdweb/hd/Vision360.html?d=925360389&amp;zoomslide=1&amp;z=1925360389&amp;ISCONFIRM=0","VIDEO")</f>
        <v>VIDEO</v>
      </c>
      <c r="AA6321" s="19" t="str">
        <f>HYPERLINK("https://ssdweb.co/ssdweb/CERTH/7483487128.pdf","CERTI")</f>
        <v>CERTI</v>
      </c>
    </row>
    <row r="6322" spans="1:27" ht="15" x14ac:dyDescent="0.25">
      <c r="A6322" s="2">
        <v>6317</v>
      </c>
      <c r="B6322" s="39">
        <v>927010107</v>
      </c>
      <c r="C6322" s="28" t="str">
        <f>HYPERLINK("https://pld.live/RapDetail.aspx?STONELIST=927010107","DNA")</f>
        <v>DNA</v>
      </c>
      <c r="D6322" s="18" t="s">
        <v>711</v>
      </c>
      <c r="E6322" s="18" t="s">
        <v>2186</v>
      </c>
      <c r="F6322" s="2" t="s">
        <v>7987</v>
      </c>
      <c r="G6322" s="2" t="s">
        <v>6781</v>
      </c>
      <c r="H6322" s="14">
        <v>1.52</v>
      </c>
      <c r="I6322" s="2" t="s">
        <v>4761</v>
      </c>
      <c r="J6322" s="2" t="s">
        <v>3942</v>
      </c>
      <c r="K6322" s="2" t="s">
        <v>1452</v>
      </c>
      <c r="L6322" s="2" t="s">
        <v>5221</v>
      </c>
      <c r="M6322" s="2" t="s">
        <v>5221</v>
      </c>
      <c r="N6322" s="2" t="s">
        <v>2317</v>
      </c>
      <c r="O6322" s="14">
        <v>11600</v>
      </c>
      <c r="P6322" s="14">
        <v>98.84</v>
      </c>
      <c r="Q6322" s="14">
        <v>134.56</v>
      </c>
      <c r="R6322" s="14">
        <v>204.53</v>
      </c>
      <c r="S6322" s="2" t="s">
        <v>4461</v>
      </c>
      <c r="T6322" s="2">
        <v>1.53</v>
      </c>
      <c r="U6322" s="2">
        <v>61.2</v>
      </c>
      <c r="V6322" s="2">
        <v>61</v>
      </c>
      <c r="W6322" s="2" t="s">
        <v>7862</v>
      </c>
      <c r="X6322" s="2" t="s">
        <v>6687</v>
      </c>
      <c r="Y6322" s="2">
        <v>17632</v>
      </c>
      <c r="Z6322" s="19" t="str">
        <f>HYPERLINK("https://ssdweb.co/ssdweb/hd/Vision360.html?d=927010107&amp;zoomslide=1&amp;z=1927010107&amp;ISCONFIRM=0","VIDEO")</f>
        <v>VIDEO</v>
      </c>
      <c r="AA6322" s="19" t="str">
        <f>HYPERLINK("https://ssdweb.co/ssdweb/CERTH/670484466.pdf","CERTI")</f>
        <v>CERTI</v>
      </c>
    </row>
    <row r="6323" spans="1:27" ht="15" x14ac:dyDescent="0.25">
      <c r="A6323" s="2">
        <v>6318</v>
      </c>
      <c r="B6323" s="39">
        <v>927010477</v>
      </c>
      <c r="C6323" s="28" t="str">
        <f>HYPERLINK("https://pld.live/RapDetail.aspx?STONELIST=927010477","DNA")</f>
        <v>DNA</v>
      </c>
      <c r="D6323" s="18" t="s">
        <v>711</v>
      </c>
      <c r="E6323" s="18" t="s">
        <v>2186</v>
      </c>
      <c r="F6323" s="2" t="s">
        <v>7987</v>
      </c>
      <c r="G6323" s="2" t="s">
        <v>6781</v>
      </c>
      <c r="H6323" s="14">
        <v>1.52</v>
      </c>
      <c r="I6323" s="2" t="s">
        <v>4761</v>
      </c>
      <c r="J6323" s="2" t="s">
        <v>3942</v>
      </c>
      <c r="K6323" s="2" t="s">
        <v>1452</v>
      </c>
      <c r="L6323" s="2" t="s">
        <v>5221</v>
      </c>
      <c r="M6323" s="2" t="s">
        <v>5221</v>
      </c>
      <c r="N6323" s="2" t="s">
        <v>2317</v>
      </c>
      <c r="O6323" s="14">
        <v>11600</v>
      </c>
      <c r="P6323" s="14">
        <v>98.84</v>
      </c>
      <c r="Q6323" s="14">
        <v>134.56</v>
      </c>
      <c r="R6323" s="14">
        <v>204.53</v>
      </c>
      <c r="S6323" s="2" t="s">
        <v>1451</v>
      </c>
      <c r="T6323" s="2">
        <v>1.54</v>
      </c>
      <c r="U6323" s="2">
        <v>61.8</v>
      </c>
      <c r="V6323" s="2">
        <v>63</v>
      </c>
      <c r="W6323" s="2" t="s">
        <v>7862</v>
      </c>
      <c r="X6323" s="2" t="s">
        <v>6687</v>
      </c>
      <c r="Y6323" s="2">
        <v>17632</v>
      </c>
      <c r="Z6323" s="19" t="str">
        <f>HYPERLINK("https://ssdweb.co/ssdweb/hd/Vision360.html?d=927010477&amp;zoomslide=1&amp;z=1927010477&amp;ISCONFIRM=0","VIDEO")</f>
        <v>VIDEO</v>
      </c>
      <c r="AA6323" s="19" t="str">
        <f>HYPERLINK("https://ssdweb.co/ssdweb/CERTH/670484468.pdf","CERTI")</f>
        <v>CERTI</v>
      </c>
    </row>
    <row r="6324" spans="1:27" ht="15" x14ac:dyDescent="0.25">
      <c r="A6324" s="2">
        <v>6319</v>
      </c>
      <c r="B6324" s="39">
        <v>927010722</v>
      </c>
      <c r="C6324" s="28" t="str">
        <f>HYPERLINK("https://pld.live/RapDetail.aspx?STONELIST=927010722","DNA")</f>
        <v>DNA</v>
      </c>
      <c r="D6324" s="18" t="s">
        <v>711</v>
      </c>
      <c r="E6324" s="18" t="s">
        <v>2186</v>
      </c>
      <c r="F6324" s="2" t="s">
        <v>7987</v>
      </c>
      <c r="G6324" s="2" t="s">
        <v>6781</v>
      </c>
      <c r="H6324" s="14">
        <v>1.52</v>
      </c>
      <c r="I6324" s="2" t="s">
        <v>4761</v>
      </c>
      <c r="J6324" s="2" t="s">
        <v>3942</v>
      </c>
      <c r="K6324" s="2" t="s">
        <v>1452</v>
      </c>
      <c r="L6324" s="2" t="s">
        <v>5221</v>
      </c>
      <c r="M6324" s="2" t="s">
        <v>5221</v>
      </c>
      <c r="N6324" s="2" t="s">
        <v>2317</v>
      </c>
      <c r="O6324" s="14">
        <v>11600</v>
      </c>
      <c r="P6324" s="14">
        <v>98.84</v>
      </c>
      <c r="Q6324" s="14">
        <v>134.56</v>
      </c>
      <c r="R6324" s="14">
        <v>204.53</v>
      </c>
      <c r="S6324" s="2" t="s">
        <v>823</v>
      </c>
      <c r="T6324" s="2">
        <v>1.49</v>
      </c>
      <c r="U6324" s="2">
        <v>64.5</v>
      </c>
      <c r="V6324" s="2">
        <v>62</v>
      </c>
      <c r="W6324" s="2" t="s">
        <v>7862</v>
      </c>
      <c r="X6324" s="2" t="s">
        <v>6687</v>
      </c>
      <c r="Y6324" s="2">
        <v>17632</v>
      </c>
      <c r="Z6324" s="19" t="str">
        <f>HYPERLINK("https://ssdweb.co/ssdweb/hd/Vision360.html?d=927010722&amp;zoomslide=1&amp;z=1927010722&amp;ISCONFIRM=0","VIDEO")</f>
        <v>VIDEO</v>
      </c>
      <c r="AA6324" s="19" t="str">
        <f>HYPERLINK("https://ssdweb.co/ssdweb/CERTH/666408420.pdf","CERTI")</f>
        <v>CERTI</v>
      </c>
    </row>
    <row r="6325" spans="1:27" ht="15" x14ac:dyDescent="0.25">
      <c r="A6325" s="2">
        <v>6320</v>
      </c>
      <c r="B6325" s="39">
        <v>927010816</v>
      </c>
      <c r="C6325" s="28" t="str">
        <f>HYPERLINK("https://pld.live/RapDetail.aspx?STONELIST=927010816","DNA")</f>
        <v>DNA</v>
      </c>
      <c r="D6325" s="18" t="s">
        <v>711</v>
      </c>
      <c r="E6325" s="18" t="s">
        <v>2186</v>
      </c>
      <c r="F6325" s="2" t="s">
        <v>7987</v>
      </c>
      <c r="G6325" s="2" t="s">
        <v>6781</v>
      </c>
      <c r="H6325" s="14">
        <v>1.52</v>
      </c>
      <c r="I6325" s="2" t="s">
        <v>4761</v>
      </c>
      <c r="J6325" s="2" t="s">
        <v>3942</v>
      </c>
      <c r="K6325" s="2" t="s">
        <v>1452</v>
      </c>
      <c r="L6325" s="2" t="s">
        <v>5221</v>
      </c>
      <c r="M6325" s="2" t="s">
        <v>5221</v>
      </c>
      <c r="N6325" s="2" t="s">
        <v>2317</v>
      </c>
      <c r="O6325" s="14">
        <v>11600</v>
      </c>
      <c r="P6325" s="14">
        <v>98.84</v>
      </c>
      <c r="Q6325" s="14">
        <v>134.56</v>
      </c>
      <c r="R6325" s="14">
        <v>204.53</v>
      </c>
      <c r="S6325" s="2" t="s">
        <v>6808</v>
      </c>
      <c r="T6325" s="2">
        <v>1.54</v>
      </c>
      <c r="U6325" s="2">
        <v>62.2</v>
      </c>
      <c r="V6325" s="2">
        <v>61</v>
      </c>
      <c r="W6325" s="2" t="s">
        <v>7862</v>
      </c>
      <c r="X6325" s="2" t="s">
        <v>6687</v>
      </c>
      <c r="Y6325" s="2">
        <v>17632</v>
      </c>
      <c r="Z6325" s="19" t="str">
        <f>HYPERLINK("https://ssdweb.co/ssdweb/hd/Vision360.html?d=927010816&amp;zoomslide=1&amp;z=1927010816&amp;ISCONFIRM=0","VIDEO")</f>
        <v>VIDEO</v>
      </c>
      <c r="AA6325" s="19" t="str">
        <f>HYPERLINK("https://ssdweb.co/ssdweb/CERTH/668447805.pdf","CERTI")</f>
        <v>CERTI</v>
      </c>
    </row>
    <row r="6326" spans="1:27" ht="15" x14ac:dyDescent="0.25">
      <c r="A6326" s="2">
        <v>6321</v>
      </c>
      <c r="B6326" s="39">
        <v>925270464</v>
      </c>
      <c r="C6326" s="28" t="str">
        <f>HYPERLINK("https://pld.live/RapDetail.aspx?STONELIST=925270464","DNA")</f>
        <v>DNA</v>
      </c>
      <c r="D6326" s="18" t="s">
        <v>711</v>
      </c>
      <c r="E6326" s="18" t="s">
        <v>5128</v>
      </c>
      <c r="F6326" s="2" t="s">
        <v>7987</v>
      </c>
      <c r="G6326" s="2" t="s">
        <v>6781</v>
      </c>
      <c r="H6326" s="14">
        <v>1.52</v>
      </c>
      <c r="I6326" s="2" t="s">
        <v>4761</v>
      </c>
      <c r="J6326" s="2" t="s">
        <v>3942</v>
      </c>
      <c r="K6326" s="2" t="s">
        <v>1452</v>
      </c>
      <c r="L6326" s="2" t="s">
        <v>5221</v>
      </c>
      <c r="M6326" s="2" t="s">
        <v>5221</v>
      </c>
      <c r="N6326" s="2" t="s">
        <v>2317</v>
      </c>
      <c r="O6326" s="14">
        <v>11600</v>
      </c>
      <c r="P6326" s="14">
        <v>98.88</v>
      </c>
      <c r="Q6326" s="14">
        <v>129.91999999999999</v>
      </c>
      <c r="R6326" s="14">
        <v>197.48</v>
      </c>
      <c r="S6326" s="2" t="s">
        <v>360</v>
      </c>
      <c r="T6326" s="2">
        <v>1.48</v>
      </c>
      <c r="U6326" s="2">
        <v>64.400000000000006</v>
      </c>
      <c r="V6326" s="2">
        <v>59</v>
      </c>
      <c r="W6326" s="2" t="s">
        <v>7862</v>
      </c>
      <c r="X6326" s="2" t="s">
        <v>6687</v>
      </c>
      <c r="Y6326" s="2">
        <v>17632</v>
      </c>
      <c r="Z6326" s="19" t="str">
        <f>HYPERLINK("https://ssdweb.co/ssdweb/hd/Vision360.html?d=925270464&amp;zoomslide=1&amp;z=1925270464&amp;ISCONFIRM=0","VIDEO")</f>
        <v>VIDEO</v>
      </c>
      <c r="AA6326" s="19" t="str">
        <f>HYPERLINK("https://ssdweb.co/ssdweb/CERTH/615370229.pdf","CERTI")</f>
        <v>CERTI</v>
      </c>
    </row>
    <row r="6327" spans="1:27" ht="15" x14ac:dyDescent="0.25">
      <c r="A6327" s="2">
        <v>6322</v>
      </c>
      <c r="B6327" s="39">
        <v>927040802</v>
      </c>
      <c r="C6327" s="28" t="str">
        <f>HYPERLINK("https://pld.live/RapDetail.aspx?STONELIST=927040802","DNA")</f>
        <v>DNA</v>
      </c>
      <c r="D6327" s="18" t="s">
        <v>711</v>
      </c>
      <c r="E6327" s="18" t="s">
        <v>2186</v>
      </c>
      <c r="F6327" s="2" t="s">
        <v>7987</v>
      </c>
      <c r="G6327" s="2" t="s">
        <v>6781</v>
      </c>
      <c r="H6327" s="14">
        <v>1.52</v>
      </c>
      <c r="I6327" s="2" t="s">
        <v>4761</v>
      </c>
      <c r="J6327" s="2" t="s">
        <v>3942</v>
      </c>
      <c r="K6327" s="2" t="s">
        <v>1452</v>
      </c>
      <c r="L6327" s="2" t="s">
        <v>5221</v>
      </c>
      <c r="M6327" s="2" t="s">
        <v>5221</v>
      </c>
      <c r="N6327" s="2" t="s">
        <v>2317</v>
      </c>
      <c r="O6327" s="14">
        <v>11600</v>
      </c>
      <c r="P6327" s="14">
        <v>98.84</v>
      </c>
      <c r="Q6327" s="14">
        <v>134.56</v>
      </c>
      <c r="R6327" s="14">
        <v>204.53</v>
      </c>
      <c r="S6327" s="2" t="s">
        <v>6621</v>
      </c>
      <c r="T6327" s="2">
        <v>1.52</v>
      </c>
      <c r="U6327" s="2">
        <v>60.8</v>
      </c>
      <c r="V6327" s="2">
        <v>60</v>
      </c>
      <c r="W6327" s="2" t="s">
        <v>7862</v>
      </c>
      <c r="X6327" s="2" t="s">
        <v>6687</v>
      </c>
      <c r="Y6327" s="2">
        <v>17632</v>
      </c>
      <c r="Z6327" s="19" t="str">
        <f>HYPERLINK("https://ssdweb.co/ssdweb/hd/Vision360.html?d=927040802&amp;zoomslide=1&amp;z=1927040802&amp;ISCONFIRM=0","VIDEO")</f>
        <v>VIDEO</v>
      </c>
      <c r="AA6327" s="19" t="str">
        <f>HYPERLINK("https://ssdweb.co/ssdweb/CERTH/670484491.pdf","CERTI")</f>
        <v>CERTI</v>
      </c>
    </row>
    <row r="6328" spans="1:27" ht="15" x14ac:dyDescent="0.25">
      <c r="A6328" s="2">
        <v>6323</v>
      </c>
      <c r="B6328" s="39">
        <v>927040791</v>
      </c>
      <c r="C6328" s="28" t="str">
        <f>HYPERLINK("https://pld.live/RapDetail.aspx?STONELIST=927040791","DNA")</f>
        <v>DNA</v>
      </c>
      <c r="D6328" s="18" t="s">
        <v>711</v>
      </c>
      <c r="E6328" s="18" t="s">
        <v>2186</v>
      </c>
      <c r="F6328" s="2" t="s">
        <v>7987</v>
      </c>
      <c r="G6328" s="2" t="s">
        <v>6781</v>
      </c>
      <c r="H6328" s="14">
        <v>1.52</v>
      </c>
      <c r="I6328" s="2" t="s">
        <v>4761</v>
      </c>
      <c r="J6328" s="2" t="s">
        <v>3942</v>
      </c>
      <c r="K6328" s="2" t="s">
        <v>1452</v>
      </c>
      <c r="L6328" s="2" t="s">
        <v>5221</v>
      </c>
      <c r="M6328" s="2" t="s">
        <v>5221</v>
      </c>
      <c r="N6328" s="2" t="s">
        <v>2317</v>
      </c>
      <c r="O6328" s="14">
        <v>11600</v>
      </c>
      <c r="P6328" s="14">
        <v>98.84</v>
      </c>
      <c r="Q6328" s="14">
        <v>134.56</v>
      </c>
      <c r="R6328" s="14">
        <v>204.53</v>
      </c>
      <c r="S6328" s="2" t="s">
        <v>6974</v>
      </c>
      <c r="T6328" s="2">
        <v>1.5</v>
      </c>
      <c r="U6328" s="2">
        <v>61.4</v>
      </c>
      <c r="V6328" s="2">
        <v>65</v>
      </c>
      <c r="W6328" s="2" t="s">
        <v>7862</v>
      </c>
      <c r="X6328" s="2" t="s">
        <v>6687</v>
      </c>
      <c r="Y6328" s="2">
        <v>17632</v>
      </c>
      <c r="Z6328" s="19" t="str">
        <f>HYPERLINK("https://ssdweb.co/ssdweb/hd/Vision360.html?d=927040791&amp;zoomslide=1&amp;z=1927040791&amp;ISCONFIRM=0","VIDEO")</f>
        <v>VIDEO</v>
      </c>
      <c r="AA6328" s="19" t="str">
        <f>HYPERLINK("https://ssdweb.co/ssdweb/CERTH/670484489.pdf","CERTI")</f>
        <v>CERTI</v>
      </c>
    </row>
    <row r="6329" spans="1:27" ht="15" x14ac:dyDescent="0.25">
      <c r="A6329" s="2">
        <v>6324</v>
      </c>
      <c r="B6329" s="39">
        <v>927040798</v>
      </c>
      <c r="C6329" s="28" t="str">
        <f>HYPERLINK("https://pld.live/RapDetail.aspx?STONELIST=927040798","DNA")</f>
        <v>DNA</v>
      </c>
      <c r="D6329" s="18" t="s">
        <v>711</v>
      </c>
      <c r="E6329" s="18" t="s">
        <v>2186</v>
      </c>
      <c r="F6329" s="2" t="s">
        <v>7987</v>
      </c>
      <c r="G6329" s="2" t="s">
        <v>6781</v>
      </c>
      <c r="H6329" s="14">
        <v>1.52</v>
      </c>
      <c r="I6329" s="2" t="s">
        <v>4761</v>
      </c>
      <c r="J6329" s="2" t="s">
        <v>3942</v>
      </c>
      <c r="K6329" s="2" t="s">
        <v>1452</v>
      </c>
      <c r="L6329" s="2" t="s">
        <v>5221</v>
      </c>
      <c r="M6329" s="2" t="s">
        <v>5221</v>
      </c>
      <c r="N6329" s="2" t="s">
        <v>2317</v>
      </c>
      <c r="O6329" s="14">
        <v>11600</v>
      </c>
      <c r="P6329" s="14">
        <v>98.84</v>
      </c>
      <c r="Q6329" s="14">
        <v>134.56</v>
      </c>
      <c r="R6329" s="14">
        <v>204.53</v>
      </c>
      <c r="S6329" s="2" t="s">
        <v>6595</v>
      </c>
      <c r="T6329" s="2">
        <v>1.53</v>
      </c>
      <c r="U6329" s="2">
        <v>59.4</v>
      </c>
      <c r="V6329" s="2">
        <v>60</v>
      </c>
      <c r="W6329" s="2" t="s">
        <v>7862</v>
      </c>
      <c r="X6329" s="2" t="s">
        <v>6687</v>
      </c>
      <c r="Y6329" s="2">
        <v>17632</v>
      </c>
      <c r="Z6329" s="19" t="str">
        <f>HYPERLINK("https://ssdweb.co/ssdweb/hd/Vision360.html?d=927040798&amp;zoomslide=1&amp;z=1927040798&amp;ISCONFIRM=0","VIDEO")</f>
        <v>VIDEO</v>
      </c>
      <c r="AA6329" s="19" t="str">
        <f>HYPERLINK("https://ssdweb.co/ssdweb/CERTH/670484492.pdf","CERTI")</f>
        <v>CERTI</v>
      </c>
    </row>
    <row r="6330" spans="1:27" ht="15" x14ac:dyDescent="0.25">
      <c r="A6330" s="2">
        <v>6325</v>
      </c>
      <c r="B6330" s="39">
        <v>927040785</v>
      </c>
      <c r="C6330" s="28" t="str">
        <f>HYPERLINK("https://pld.live/RapDetail.aspx?STONELIST=927040785","DNA")</f>
        <v>DNA</v>
      </c>
      <c r="D6330" s="18" t="s">
        <v>711</v>
      </c>
      <c r="E6330" s="18" t="s">
        <v>2186</v>
      </c>
      <c r="F6330" s="2" t="s">
        <v>7987</v>
      </c>
      <c r="G6330" s="2" t="s">
        <v>6781</v>
      </c>
      <c r="H6330" s="14">
        <v>1.52</v>
      </c>
      <c r="I6330" s="2" t="s">
        <v>4761</v>
      </c>
      <c r="J6330" s="2" t="s">
        <v>13</v>
      </c>
      <c r="K6330" s="2" t="s">
        <v>1452</v>
      </c>
      <c r="L6330" s="2" t="s">
        <v>5221</v>
      </c>
      <c r="M6330" s="2" t="s">
        <v>5221</v>
      </c>
      <c r="N6330" s="2" t="s">
        <v>2317</v>
      </c>
      <c r="O6330" s="14">
        <v>10800</v>
      </c>
      <c r="P6330" s="14">
        <v>98.8</v>
      </c>
      <c r="Q6330" s="14">
        <v>129.6</v>
      </c>
      <c r="R6330" s="14">
        <v>196.99</v>
      </c>
      <c r="S6330" s="2" t="s">
        <v>4010</v>
      </c>
      <c r="T6330" s="2">
        <v>1.49</v>
      </c>
      <c r="U6330" s="2">
        <v>60.9</v>
      </c>
      <c r="V6330" s="2">
        <v>62</v>
      </c>
      <c r="W6330" s="2" t="s">
        <v>7862</v>
      </c>
      <c r="X6330" s="2" t="s">
        <v>6687</v>
      </c>
      <c r="Y6330" s="2">
        <v>16416</v>
      </c>
      <c r="Z6330" s="19" t="str">
        <f>HYPERLINK("https://ssdweb.co/ssdweb/hd/Vision360.html?d=927040785&amp;zoomslide=1&amp;z=1927040785&amp;ISCONFIRM=0","VIDEO")</f>
        <v>VIDEO</v>
      </c>
      <c r="AA6330" s="19" t="str">
        <f>HYPERLINK("https://ssdweb.co/ssdweb/CERTH/670484485.pdf","CERTI")</f>
        <v>CERTI</v>
      </c>
    </row>
    <row r="6331" spans="1:27" ht="15" x14ac:dyDescent="0.25">
      <c r="A6331" s="2">
        <v>6326</v>
      </c>
      <c r="B6331" s="39">
        <v>927030801</v>
      </c>
      <c r="C6331" s="28" t="str">
        <f>HYPERLINK("https://pld.live/RapDetail.aspx?STONELIST=927030801","DNA")</f>
        <v>DNA</v>
      </c>
      <c r="D6331" s="18" t="s">
        <v>711</v>
      </c>
      <c r="E6331" s="18" t="s">
        <v>2186</v>
      </c>
      <c r="F6331" s="2" t="s">
        <v>7987</v>
      </c>
      <c r="G6331" s="2" t="s">
        <v>6781</v>
      </c>
      <c r="H6331" s="14">
        <v>1.52</v>
      </c>
      <c r="I6331" s="2" t="s">
        <v>4761</v>
      </c>
      <c r="J6331" s="2" t="s">
        <v>5144</v>
      </c>
      <c r="K6331" s="2" t="s">
        <v>1452</v>
      </c>
      <c r="L6331" s="2" t="s">
        <v>5221</v>
      </c>
      <c r="M6331" s="2" t="s">
        <v>5221</v>
      </c>
      <c r="N6331" s="2" t="s">
        <v>2317</v>
      </c>
      <c r="O6331" s="14">
        <v>9300</v>
      </c>
      <c r="P6331" s="14">
        <v>98.66</v>
      </c>
      <c r="Q6331" s="14">
        <v>124.62</v>
      </c>
      <c r="R6331" s="14">
        <v>189.42</v>
      </c>
      <c r="S6331" s="2" t="s">
        <v>8030</v>
      </c>
      <c r="T6331" s="2">
        <v>1.55</v>
      </c>
      <c r="U6331" s="2">
        <v>61.6</v>
      </c>
      <c r="V6331" s="2">
        <v>62</v>
      </c>
      <c r="W6331" s="2" t="s">
        <v>7862</v>
      </c>
      <c r="X6331" s="2" t="s">
        <v>6687</v>
      </c>
      <c r="Y6331" s="2">
        <v>14136</v>
      </c>
      <c r="Z6331" s="19" t="str">
        <f>HYPERLINK("https://ssdweb.co/ssdweb/hd/Vision360.html?d=927030801&amp;zoomslide=1&amp;z=1927030801&amp;ISCONFIRM=0","VIDEO")</f>
        <v>VIDEO</v>
      </c>
      <c r="AA6331" s="19" t="str">
        <f>HYPERLINK("https://ssdweb.co/ssdweb/CERTH/670484516.pdf","CERTI")</f>
        <v>CERTI</v>
      </c>
    </row>
    <row r="6332" spans="1:27" ht="15" x14ac:dyDescent="0.25">
      <c r="A6332" s="2">
        <v>6327</v>
      </c>
      <c r="B6332" s="39">
        <v>927140426</v>
      </c>
      <c r="C6332" s="28" t="str">
        <f>HYPERLINK("https://pld.live/RapDetail.aspx?STONELIST=927140426","DNA")</f>
        <v>DNA</v>
      </c>
      <c r="D6332" s="18" t="s">
        <v>711</v>
      </c>
      <c r="E6332" s="18" t="s">
        <v>2186</v>
      </c>
      <c r="F6332" s="2" t="s">
        <v>7987</v>
      </c>
      <c r="G6332" s="2" t="s">
        <v>6781</v>
      </c>
      <c r="H6332" s="14">
        <v>1.52</v>
      </c>
      <c r="I6332" s="2" t="s">
        <v>4761</v>
      </c>
      <c r="J6332" s="2" t="s">
        <v>444</v>
      </c>
      <c r="K6332" s="2" t="s">
        <v>1452</v>
      </c>
      <c r="L6332" s="2" t="s">
        <v>5221</v>
      </c>
      <c r="M6332" s="2" t="s">
        <v>5221</v>
      </c>
      <c r="N6332" s="2" t="s">
        <v>2317</v>
      </c>
      <c r="O6332" s="14">
        <v>7600</v>
      </c>
      <c r="P6332" s="14">
        <v>98.49</v>
      </c>
      <c r="Q6332" s="14">
        <v>114.76</v>
      </c>
      <c r="R6332" s="14">
        <v>174.44</v>
      </c>
      <c r="S6332" s="2" t="s">
        <v>2348</v>
      </c>
      <c r="T6332" s="2">
        <v>1.47</v>
      </c>
      <c r="U6332" s="2">
        <v>59.6</v>
      </c>
      <c r="V6332" s="2">
        <v>63</v>
      </c>
      <c r="W6332" s="2" t="s">
        <v>7862</v>
      </c>
      <c r="X6332" s="2" t="s">
        <v>6687</v>
      </c>
      <c r="Y6332" s="2">
        <v>11552</v>
      </c>
      <c r="Z6332" s="19" t="str">
        <f>HYPERLINK("https://ssdweb.co/ssdweb/hd/Vision360.html?d=927140426&amp;zoomslide=1&amp;z=1927140426&amp;ISCONFIRM=0","VIDEO")</f>
        <v>VIDEO</v>
      </c>
      <c r="AA6332" s="19" t="str">
        <f>HYPERLINK("https://ssdweb.co/ssdweb/CERTH/674504071.pdf","CERTI")</f>
        <v>CERTI</v>
      </c>
    </row>
    <row r="6333" spans="1:27" ht="15" x14ac:dyDescent="0.25">
      <c r="A6333" s="2">
        <v>6328</v>
      </c>
      <c r="B6333" s="39">
        <v>927020135</v>
      </c>
      <c r="C6333" s="28" t="str">
        <f>HYPERLINK("https://pld.live/RapDetail.aspx?STONELIST=927020135","DNA")</f>
        <v>DNA</v>
      </c>
      <c r="D6333" s="18" t="s">
        <v>711</v>
      </c>
      <c r="E6333" s="18" t="s">
        <v>2186</v>
      </c>
      <c r="F6333" s="2" t="s">
        <v>7987</v>
      </c>
      <c r="G6333" s="2" t="s">
        <v>6781</v>
      </c>
      <c r="H6333" s="14">
        <v>1.52</v>
      </c>
      <c r="I6333" s="2" t="s">
        <v>4699</v>
      </c>
      <c r="J6333" s="2" t="s">
        <v>6555</v>
      </c>
      <c r="K6333" s="2" t="s">
        <v>1452</v>
      </c>
      <c r="L6333" s="2" t="s">
        <v>5221</v>
      </c>
      <c r="M6333" s="2" t="s">
        <v>5221</v>
      </c>
      <c r="N6333" s="2" t="s">
        <v>2317</v>
      </c>
      <c r="O6333" s="14">
        <v>11500</v>
      </c>
      <c r="P6333" s="14">
        <v>98.61</v>
      </c>
      <c r="Q6333" s="14">
        <v>159.85</v>
      </c>
      <c r="R6333" s="14">
        <v>242.97</v>
      </c>
      <c r="S6333" s="2" t="s">
        <v>6091</v>
      </c>
      <c r="T6333" s="2">
        <v>1.54</v>
      </c>
      <c r="U6333" s="2">
        <v>62.1</v>
      </c>
      <c r="V6333" s="2">
        <v>62</v>
      </c>
      <c r="W6333" s="2" t="s">
        <v>7862</v>
      </c>
      <c r="X6333" s="2" t="s">
        <v>6687</v>
      </c>
      <c r="Y6333" s="2">
        <v>17480</v>
      </c>
      <c r="Z6333" s="19" t="str">
        <f>HYPERLINK("https://ssdweb.co/ssdweb/hd/Vision360.html?d=927020135&amp;zoomslide=1&amp;z=1927020135&amp;ISCONFIRM=0","VIDEO")</f>
        <v>VIDEO</v>
      </c>
      <c r="AA6333" s="19" t="str">
        <f>HYPERLINK("https://ssdweb.co/ssdweb/CERTH/670484457.pdf","CERTI")</f>
        <v>CERTI</v>
      </c>
    </row>
    <row r="6334" spans="1:27" ht="15" x14ac:dyDescent="0.25">
      <c r="A6334" s="2">
        <v>6329</v>
      </c>
      <c r="B6334" s="39">
        <v>927010265</v>
      </c>
      <c r="C6334" s="28" t="str">
        <f>HYPERLINK("https://pld.live/RapDetail.aspx?STONELIST=927010265","DNA")</f>
        <v>DNA</v>
      </c>
      <c r="D6334" s="18" t="s">
        <v>711</v>
      </c>
      <c r="E6334" s="18" t="s">
        <v>2186</v>
      </c>
      <c r="F6334" s="2" t="s">
        <v>7987</v>
      </c>
      <c r="G6334" s="2" t="s">
        <v>6781</v>
      </c>
      <c r="H6334" s="14">
        <v>1.52</v>
      </c>
      <c r="I6334" s="2" t="s">
        <v>4699</v>
      </c>
      <c r="J6334" s="2" t="s">
        <v>6555</v>
      </c>
      <c r="K6334" s="2" t="s">
        <v>1452</v>
      </c>
      <c r="L6334" s="2" t="s">
        <v>5221</v>
      </c>
      <c r="M6334" s="2" t="s">
        <v>5221</v>
      </c>
      <c r="N6334" s="2" t="s">
        <v>2317</v>
      </c>
      <c r="O6334" s="14">
        <v>11500</v>
      </c>
      <c r="P6334" s="14">
        <v>98.61</v>
      </c>
      <c r="Q6334" s="14">
        <v>159.85</v>
      </c>
      <c r="R6334" s="14">
        <v>242.97</v>
      </c>
      <c r="S6334" s="2" t="s">
        <v>1427</v>
      </c>
      <c r="T6334" s="2">
        <v>1.54</v>
      </c>
      <c r="U6334" s="2">
        <v>62</v>
      </c>
      <c r="V6334" s="2">
        <v>59</v>
      </c>
      <c r="W6334" s="2" t="s">
        <v>7862</v>
      </c>
      <c r="X6334" s="2" t="s">
        <v>6687</v>
      </c>
      <c r="Y6334" s="2">
        <v>17480</v>
      </c>
      <c r="Z6334" s="19" t="str">
        <f>HYPERLINK("https://ssdweb.co/ssdweb/hd/Vision360.html?d=927010265&amp;zoomslide=1&amp;z=1927010265&amp;ISCONFIRM=0","VIDEO")</f>
        <v>VIDEO</v>
      </c>
      <c r="AA6334" s="19" t="str">
        <f>HYPERLINK("https://ssdweb.co/ssdweb/CERTH/670484467.pdf","CERTI")</f>
        <v>CERTI</v>
      </c>
    </row>
    <row r="6335" spans="1:27" ht="15" x14ac:dyDescent="0.25">
      <c r="A6335" s="2">
        <v>6330</v>
      </c>
      <c r="B6335" s="39">
        <v>926990345</v>
      </c>
      <c r="C6335" s="28" t="str">
        <f>HYPERLINK("https://pld.live/RapDetail.aspx?STONELIST=926990345","DNA")</f>
        <v>DNA</v>
      </c>
      <c r="D6335" s="18" t="s">
        <v>711</v>
      </c>
      <c r="E6335" s="18" t="s">
        <v>2186</v>
      </c>
      <c r="F6335" s="2" t="s">
        <v>7987</v>
      </c>
      <c r="G6335" s="2" t="s">
        <v>6781</v>
      </c>
      <c r="H6335" s="14">
        <v>1.52</v>
      </c>
      <c r="I6335" s="2" t="s">
        <v>4699</v>
      </c>
      <c r="J6335" s="2" t="s">
        <v>3942</v>
      </c>
      <c r="K6335" s="2" t="s">
        <v>1452</v>
      </c>
      <c r="L6335" s="2" t="s">
        <v>5221</v>
      </c>
      <c r="M6335" s="2" t="s">
        <v>5221</v>
      </c>
      <c r="N6335" s="2" t="s">
        <v>2317</v>
      </c>
      <c r="O6335" s="14">
        <v>10800</v>
      </c>
      <c r="P6335" s="14">
        <v>98.8</v>
      </c>
      <c r="Q6335" s="14">
        <v>129.6</v>
      </c>
      <c r="R6335" s="14">
        <v>196.99</v>
      </c>
      <c r="S6335" s="2" t="s">
        <v>756</v>
      </c>
      <c r="T6335" s="2">
        <v>1.54</v>
      </c>
      <c r="U6335" s="2">
        <v>61.4</v>
      </c>
      <c r="V6335" s="2">
        <v>61</v>
      </c>
      <c r="W6335" s="2" t="s">
        <v>7862</v>
      </c>
      <c r="X6335" s="2" t="s">
        <v>6687</v>
      </c>
      <c r="Y6335" s="2">
        <v>16416</v>
      </c>
      <c r="Z6335" s="19" t="str">
        <f>HYPERLINK("https://ssdweb.co/ssdweb/hd/Vision360.html?d=926990345&amp;zoomslide=1&amp;z=1926990345&amp;ISCONFIRM=0","VIDEO")</f>
        <v>VIDEO</v>
      </c>
      <c r="AA6335" s="19" t="str">
        <f>HYPERLINK("https://ssdweb.co/ssdweb/CERTH/666408414.pdf","CERTI")</f>
        <v>CERTI</v>
      </c>
    </row>
    <row r="6336" spans="1:27" ht="15" x14ac:dyDescent="0.25">
      <c r="A6336" s="2">
        <v>6331</v>
      </c>
      <c r="B6336" s="39">
        <v>927040296</v>
      </c>
      <c r="C6336" s="28" t="str">
        <f>HYPERLINK("https://pld.live/RapDetail.aspx?STONELIST=927040296","DNA")</f>
        <v>DNA</v>
      </c>
      <c r="D6336" s="18" t="s">
        <v>711</v>
      </c>
      <c r="E6336" s="18" t="s">
        <v>2186</v>
      </c>
      <c r="F6336" s="2" t="s">
        <v>7987</v>
      </c>
      <c r="G6336" s="2" t="s">
        <v>6781</v>
      </c>
      <c r="H6336" s="14">
        <v>1.52</v>
      </c>
      <c r="I6336" s="2" t="s">
        <v>4699</v>
      </c>
      <c r="J6336" s="2" t="s">
        <v>3942</v>
      </c>
      <c r="K6336" s="2" t="s">
        <v>1452</v>
      </c>
      <c r="L6336" s="2" t="s">
        <v>5221</v>
      </c>
      <c r="M6336" s="2" t="s">
        <v>5221</v>
      </c>
      <c r="N6336" s="2" t="s">
        <v>2317</v>
      </c>
      <c r="O6336" s="14">
        <v>10800</v>
      </c>
      <c r="P6336" s="14">
        <v>98.8</v>
      </c>
      <c r="Q6336" s="14">
        <v>129.6</v>
      </c>
      <c r="R6336" s="14">
        <v>196.99</v>
      </c>
      <c r="S6336" s="2" t="s">
        <v>4936</v>
      </c>
      <c r="T6336" s="2">
        <v>1.52</v>
      </c>
      <c r="U6336" s="2">
        <v>61.9</v>
      </c>
      <c r="V6336" s="2">
        <v>62</v>
      </c>
      <c r="W6336" s="2" t="s">
        <v>7862</v>
      </c>
      <c r="X6336" s="2" t="s">
        <v>6687</v>
      </c>
      <c r="Y6336" s="2">
        <v>16416</v>
      </c>
      <c r="Z6336" s="19" t="str">
        <f>HYPERLINK("https://ssdweb.co/ssdweb/hd/Vision360.html?d=927040296&amp;zoomslide=1&amp;z=1927040296&amp;ISCONFIRM=0","VIDEO")</f>
        <v>VIDEO</v>
      </c>
      <c r="AA6336" s="19" t="str">
        <f>HYPERLINK("https://ssdweb.co/ssdweb/CERTH/670484520.pdf","CERTI")</f>
        <v>CERTI</v>
      </c>
    </row>
    <row r="6337" spans="1:27" ht="15" x14ac:dyDescent="0.25">
      <c r="A6337" s="2">
        <v>6332</v>
      </c>
      <c r="B6337" s="39">
        <v>927020199</v>
      </c>
      <c r="C6337" s="28" t="str">
        <f>HYPERLINK("https://pld.live/RapDetail.aspx?STONELIST=927020199","DNA")</f>
        <v>DNA</v>
      </c>
      <c r="D6337" s="18" t="s">
        <v>711</v>
      </c>
      <c r="E6337" s="18" t="s">
        <v>2186</v>
      </c>
      <c r="F6337" s="2" t="s">
        <v>7987</v>
      </c>
      <c r="G6337" s="2" t="s">
        <v>6781</v>
      </c>
      <c r="H6337" s="14">
        <v>1.52</v>
      </c>
      <c r="I6337" s="2" t="s">
        <v>4699</v>
      </c>
      <c r="J6337" s="2" t="s">
        <v>13</v>
      </c>
      <c r="K6337" s="2" t="s">
        <v>1452</v>
      </c>
      <c r="L6337" s="2" t="s">
        <v>5221</v>
      </c>
      <c r="M6337" s="2" t="s">
        <v>5221</v>
      </c>
      <c r="N6337" s="2" t="s">
        <v>2317</v>
      </c>
      <c r="O6337" s="14">
        <v>10200</v>
      </c>
      <c r="P6337" s="14">
        <v>98.77</v>
      </c>
      <c r="Q6337" s="14">
        <v>125.46</v>
      </c>
      <c r="R6337" s="14">
        <v>190.7</v>
      </c>
      <c r="S6337" s="2" t="s">
        <v>6937</v>
      </c>
      <c r="T6337" s="2">
        <v>1.53</v>
      </c>
      <c r="U6337" s="2">
        <v>61.6</v>
      </c>
      <c r="V6337" s="2">
        <v>62</v>
      </c>
      <c r="W6337" s="2" t="s">
        <v>7862</v>
      </c>
      <c r="X6337" s="2" t="s">
        <v>6687</v>
      </c>
      <c r="Y6337" s="2">
        <v>15504</v>
      </c>
      <c r="Z6337" s="19" t="str">
        <f>HYPERLINK("https://ssdweb.co/ssdweb/hd/Vision360.html?d=927020199&amp;zoomslide=1&amp;z=1927020199&amp;ISCONFIRM=0","VIDEO")</f>
        <v>VIDEO</v>
      </c>
      <c r="AA6337" s="19" t="str">
        <f>HYPERLINK("https://ssdweb.co/ssdweb/CERTH/670484458.pdf","CERTI")</f>
        <v>CERTI</v>
      </c>
    </row>
    <row r="6338" spans="1:27" ht="15" x14ac:dyDescent="0.25">
      <c r="A6338" s="2">
        <v>6333</v>
      </c>
      <c r="B6338" s="39">
        <v>927010444</v>
      </c>
      <c r="C6338" s="28" t="str">
        <f>HYPERLINK("https://pld.live/RapDetail.aspx?STONELIST=927010444","DNA")</f>
        <v>DNA</v>
      </c>
      <c r="D6338" s="18" t="s">
        <v>711</v>
      </c>
      <c r="E6338" s="18" t="s">
        <v>2186</v>
      </c>
      <c r="F6338" s="2" t="s">
        <v>7987</v>
      </c>
      <c r="G6338" s="2" t="s">
        <v>6781</v>
      </c>
      <c r="H6338" s="14">
        <v>1.52</v>
      </c>
      <c r="I6338" s="2" t="s">
        <v>4699</v>
      </c>
      <c r="J6338" s="2" t="s">
        <v>13</v>
      </c>
      <c r="K6338" s="2" t="s">
        <v>1452</v>
      </c>
      <c r="L6338" s="2" t="s">
        <v>5221</v>
      </c>
      <c r="M6338" s="2" t="s">
        <v>5221</v>
      </c>
      <c r="N6338" s="2" t="s">
        <v>2317</v>
      </c>
      <c r="O6338" s="14">
        <v>10200</v>
      </c>
      <c r="P6338" s="14">
        <v>98.77</v>
      </c>
      <c r="Q6338" s="14">
        <v>125.46</v>
      </c>
      <c r="R6338" s="14">
        <v>190.7</v>
      </c>
      <c r="S6338" s="2" t="s">
        <v>2246</v>
      </c>
      <c r="T6338" s="2">
        <v>1.52</v>
      </c>
      <c r="U6338" s="2">
        <v>61.4</v>
      </c>
      <c r="V6338" s="2">
        <v>61</v>
      </c>
      <c r="W6338" s="2" t="s">
        <v>7862</v>
      </c>
      <c r="X6338" s="2" t="s">
        <v>6687</v>
      </c>
      <c r="Y6338" s="2">
        <v>15504</v>
      </c>
      <c r="Z6338" s="19" t="str">
        <f>HYPERLINK("https://ssdweb.co/ssdweb/hd/Vision360.html?d=927010444&amp;zoomslide=1&amp;z=1927010444&amp;ISCONFIRM=0","VIDEO")</f>
        <v>VIDEO</v>
      </c>
      <c r="AA6338" s="19" t="str">
        <f>HYPERLINK("https://ssdweb.co/ssdweb/CERTH/666408418.pdf","CERTI")</f>
        <v>CERTI</v>
      </c>
    </row>
    <row r="6339" spans="1:27" ht="15" x14ac:dyDescent="0.25">
      <c r="A6339" s="2">
        <v>6334</v>
      </c>
      <c r="B6339" s="39">
        <v>927010764</v>
      </c>
      <c r="C6339" s="28" t="str">
        <f>HYPERLINK("https://pld.live/RapDetail.aspx?STONELIST=927010764","DNA")</f>
        <v>DNA</v>
      </c>
      <c r="D6339" s="18" t="s">
        <v>711</v>
      </c>
      <c r="E6339" s="18" t="s">
        <v>2186</v>
      </c>
      <c r="F6339" s="2" t="s">
        <v>7987</v>
      </c>
      <c r="G6339" s="2" t="s">
        <v>6781</v>
      </c>
      <c r="H6339" s="14">
        <v>1.52</v>
      </c>
      <c r="I6339" s="2" t="s">
        <v>4699</v>
      </c>
      <c r="J6339" s="2" t="s">
        <v>13</v>
      </c>
      <c r="K6339" s="2" t="s">
        <v>1452</v>
      </c>
      <c r="L6339" s="2" t="s">
        <v>5221</v>
      </c>
      <c r="M6339" s="2" t="s">
        <v>5221</v>
      </c>
      <c r="N6339" s="2" t="s">
        <v>2317</v>
      </c>
      <c r="O6339" s="14">
        <v>10200</v>
      </c>
      <c r="P6339" s="14">
        <v>98.77</v>
      </c>
      <c r="Q6339" s="14">
        <v>125.46</v>
      </c>
      <c r="R6339" s="14">
        <v>190.7</v>
      </c>
      <c r="S6339" s="2" t="s">
        <v>942</v>
      </c>
      <c r="T6339" s="2">
        <v>1.55</v>
      </c>
      <c r="U6339" s="2">
        <v>62.2</v>
      </c>
      <c r="V6339" s="2">
        <v>63</v>
      </c>
      <c r="W6339" s="2" t="s">
        <v>7862</v>
      </c>
      <c r="X6339" s="2" t="s">
        <v>6687</v>
      </c>
      <c r="Y6339" s="2">
        <v>15504</v>
      </c>
      <c r="Z6339" s="19" t="str">
        <f>HYPERLINK("https://ssdweb.co/ssdweb/hd/Vision360.html?d=927010764&amp;zoomslide=1&amp;z=1927010764&amp;ISCONFIRM=0","VIDEO")</f>
        <v>VIDEO</v>
      </c>
      <c r="AA6339" s="19" t="str">
        <f>HYPERLINK("https://ssdweb.co/ssdweb/CERTH/665453145.pdf","CERTI")</f>
        <v>CERTI</v>
      </c>
    </row>
    <row r="6340" spans="1:27" ht="15" x14ac:dyDescent="0.25">
      <c r="A6340" s="2">
        <v>6335</v>
      </c>
      <c r="B6340" s="39">
        <v>925490022</v>
      </c>
      <c r="C6340" s="28" t="str">
        <f>HYPERLINK("https://pld.live/RapDetail.aspx?STONELIST=925490022","DNA")</f>
        <v>DNA</v>
      </c>
      <c r="D6340" s="18" t="s">
        <v>711</v>
      </c>
      <c r="E6340" s="18" t="s">
        <v>2186</v>
      </c>
      <c r="F6340" s="2" t="s">
        <v>7987</v>
      </c>
      <c r="G6340" s="2" t="s">
        <v>6781</v>
      </c>
      <c r="H6340" s="14">
        <v>1.52</v>
      </c>
      <c r="I6340" s="2" t="s">
        <v>6587</v>
      </c>
      <c r="J6340" s="2" t="s">
        <v>13</v>
      </c>
      <c r="K6340" s="2" t="s">
        <v>1452</v>
      </c>
      <c r="L6340" s="2" t="s">
        <v>5221</v>
      </c>
      <c r="M6340" s="2" t="s">
        <v>5221</v>
      </c>
      <c r="N6340" s="2" t="s">
        <v>2317</v>
      </c>
      <c r="O6340" s="14">
        <v>9300</v>
      </c>
      <c r="P6340" s="14">
        <v>98.78</v>
      </c>
      <c r="Q6340" s="14">
        <v>113.46</v>
      </c>
      <c r="R6340" s="14">
        <v>172.46</v>
      </c>
      <c r="S6340" s="2" t="s">
        <v>1250</v>
      </c>
      <c r="T6340" s="2">
        <v>1.63</v>
      </c>
      <c r="U6340" s="2">
        <v>61.5</v>
      </c>
      <c r="V6340" s="2">
        <v>62</v>
      </c>
      <c r="W6340" s="2" t="s">
        <v>8016</v>
      </c>
      <c r="X6340" s="2" t="s">
        <v>6687</v>
      </c>
      <c r="Y6340" s="2">
        <v>14136</v>
      </c>
      <c r="Z6340" s="19" t="str">
        <f>HYPERLINK("https://ssdweb.co/ssdweb/hd/Vision360.html?d=925490022&amp;zoomslide=1&amp;z=1925490022&amp;ISCONFIRM=0","VIDEO")</f>
        <v>VIDEO</v>
      </c>
      <c r="AA6340" s="19" t="str">
        <f>HYPERLINK("https://ssdweb.co/ssdweb/CERTH/619427260.pdf","CERTI")</f>
        <v>CERTI</v>
      </c>
    </row>
    <row r="6341" spans="1:27" ht="15" x14ac:dyDescent="0.25">
      <c r="A6341" s="2">
        <v>6336</v>
      </c>
      <c r="B6341" s="39">
        <v>925710065</v>
      </c>
      <c r="C6341" s="28" t="str">
        <f>HYPERLINK("https://pld.live/RapDetail.aspx?STONELIST=925710065","DNA")</f>
        <v>DNA</v>
      </c>
      <c r="D6341" s="18" t="s">
        <v>711</v>
      </c>
      <c r="E6341" s="18" t="s">
        <v>2186</v>
      </c>
      <c r="F6341" s="2" t="s">
        <v>7987</v>
      </c>
      <c r="G6341" s="2" t="s">
        <v>6781</v>
      </c>
      <c r="H6341" s="14">
        <v>1.52</v>
      </c>
      <c r="I6341" s="2" t="s">
        <v>1505</v>
      </c>
      <c r="J6341" s="2" t="s">
        <v>13</v>
      </c>
      <c r="K6341" s="2" t="s">
        <v>1452</v>
      </c>
      <c r="L6341" s="2" t="s">
        <v>5221</v>
      </c>
      <c r="M6341" s="2" t="s">
        <v>5721</v>
      </c>
      <c r="N6341" s="2" t="s">
        <v>2317</v>
      </c>
      <c r="O6341" s="14">
        <v>7900</v>
      </c>
      <c r="P6341" s="14">
        <v>98.66</v>
      </c>
      <c r="Q6341" s="14">
        <v>105.86</v>
      </c>
      <c r="R6341" s="14">
        <v>160.91</v>
      </c>
      <c r="S6341" s="2" t="s">
        <v>2714</v>
      </c>
      <c r="T6341" s="2">
        <v>1.51</v>
      </c>
      <c r="U6341" s="2">
        <v>64.2</v>
      </c>
      <c r="V6341" s="2">
        <v>63</v>
      </c>
      <c r="W6341" s="2" t="s">
        <v>8016</v>
      </c>
      <c r="X6341" s="2" t="s">
        <v>6687</v>
      </c>
      <c r="Y6341" s="2">
        <v>12008</v>
      </c>
      <c r="Z6341" s="19" t="str">
        <f>HYPERLINK("https://ssdweb.co/ssdweb/hd/Vision360.html?d=925710065&amp;zoomslide=1&amp;z=1925710065&amp;ISCONFIRM=0","VIDEO")</f>
        <v>VIDEO</v>
      </c>
      <c r="AA6341" s="19" t="str">
        <f>HYPERLINK("https://ssdweb.co/ssdweb/CERTH/626414961.pdf","CERTI")</f>
        <v>CERTI</v>
      </c>
    </row>
    <row r="6342" spans="1:27" ht="15" x14ac:dyDescent="0.25">
      <c r="A6342" s="2">
        <v>6337</v>
      </c>
      <c r="B6342" s="39">
        <v>926370016</v>
      </c>
      <c r="C6342" s="28" t="str">
        <f>HYPERLINK("https://pld.live/RapDetail.aspx?STONELIST=926370016","DNA")</f>
        <v>DNA</v>
      </c>
      <c r="D6342" s="18" t="s">
        <v>711</v>
      </c>
      <c r="E6342" s="18" t="s">
        <v>2186</v>
      </c>
      <c r="F6342" s="2" t="s">
        <v>7987</v>
      </c>
      <c r="G6342" s="2" t="s">
        <v>6781</v>
      </c>
      <c r="H6342" s="14">
        <v>1.52</v>
      </c>
      <c r="I6342" s="2" t="s">
        <v>2659</v>
      </c>
      <c r="J6342" s="2" t="s">
        <v>13</v>
      </c>
      <c r="K6342" s="2" t="s">
        <v>1452</v>
      </c>
      <c r="L6342" s="2" t="s">
        <v>5221</v>
      </c>
      <c r="M6342" s="2" t="s">
        <v>5221</v>
      </c>
      <c r="N6342" s="2" t="s">
        <v>2317</v>
      </c>
      <c r="O6342" s="14">
        <v>3300</v>
      </c>
      <c r="P6342" s="14">
        <v>93.03</v>
      </c>
      <c r="Q6342" s="14">
        <v>230.01</v>
      </c>
      <c r="R6342" s="14">
        <v>349.62</v>
      </c>
      <c r="S6342" s="2" t="s">
        <v>3716</v>
      </c>
      <c r="T6342" s="2">
        <v>1.6</v>
      </c>
      <c r="U6342" s="2">
        <v>60.6</v>
      </c>
      <c r="V6342" s="2">
        <v>62</v>
      </c>
      <c r="W6342" s="2" t="s">
        <v>7862</v>
      </c>
      <c r="X6342" s="2" t="s">
        <v>6687</v>
      </c>
      <c r="Y6342" s="2">
        <v>5016</v>
      </c>
      <c r="Z6342" s="19" t="str">
        <f>HYPERLINK("https://ssdweb.co/ssdweb/hd/Vision360.html?d=926370016&amp;zoomslide=1&amp;z=1926370016&amp;ISCONFIRM=0","VIDEO")</f>
        <v>VIDEO</v>
      </c>
      <c r="AA6342" s="19" t="str">
        <f>HYPERLINK("https://ssdweb.co/ssdweb/CERTH/642443888.pdf","CERTI")</f>
        <v>CERTI</v>
      </c>
    </row>
    <row r="6343" spans="1:27" ht="15" x14ac:dyDescent="0.25">
      <c r="A6343" s="2">
        <v>6338</v>
      </c>
      <c r="B6343" s="39">
        <v>925270452</v>
      </c>
      <c r="C6343" s="28" t="str">
        <f>HYPERLINK("https://pld.live/RapDetail.aspx?STONELIST=925270452","DNA")</f>
        <v>DNA</v>
      </c>
      <c r="D6343" s="18" t="s">
        <v>711</v>
      </c>
      <c r="E6343" s="18" t="s">
        <v>5128</v>
      </c>
      <c r="F6343" s="2" t="s">
        <v>7987</v>
      </c>
      <c r="G6343" s="2" t="s">
        <v>6781</v>
      </c>
      <c r="H6343" s="14">
        <v>1.51</v>
      </c>
      <c r="I6343" s="2" t="s">
        <v>267</v>
      </c>
      <c r="J6343" s="2" t="s">
        <v>3942</v>
      </c>
      <c r="K6343" s="2" t="s">
        <v>1452</v>
      </c>
      <c r="L6343" s="2" t="s">
        <v>5221</v>
      </c>
      <c r="M6343" s="2" t="s">
        <v>5221</v>
      </c>
      <c r="N6343" s="2" t="s">
        <v>2317</v>
      </c>
      <c r="O6343" s="14">
        <v>12500</v>
      </c>
      <c r="P6343" s="14">
        <v>98.84</v>
      </c>
      <c r="Q6343" s="14">
        <v>145</v>
      </c>
      <c r="R6343" s="14">
        <v>218.95</v>
      </c>
      <c r="S6343" s="2" t="s">
        <v>6220</v>
      </c>
      <c r="T6343" s="2">
        <v>1.48</v>
      </c>
      <c r="U6343" s="2">
        <v>64</v>
      </c>
      <c r="V6343" s="2">
        <v>56</v>
      </c>
      <c r="W6343" s="2" t="s">
        <v>7862</v>
      </c>
      <c r="X6343" s="2" t="s">
        <v>6687</v>
      </c>
      <c r="Y6343" s="2">
        <v>18875</v>
      </c>
      <c r="Z6343" s="19" t="str">
        <f>HYPERLINK("https://ssdweb.co/ssdweb/hd/Vision360.html?d=925270452&amp;zoomslide=1&amp;z=1925270452&amp;ISCONFIRM=0","VIDEO")</f>
        <v>VIDEO</v>
      </c>
      <c r="AA6343" s="19" t="str">
        <f>HYPERLINK("https://ssdweb.co/ssdweb/CERTH/615370160.pdf","CERTI")</f>
        <v>CERTI</v>
      </c>
    </row>
    <row r="6344" spans="1:27" ht="15" x14ac:dyDescent="0.25">
      <c r="A6344" s="2">
        <v>6339</v>
      </c>
      <c r="B6344" s="39">
        <v>925771223</v>
      </c>
      <c r="C6344" s="28" t="str">
        <f>HYPERLINK("https://pld.live/RapDetail.aspx?STONELIST=925771223","DNA")</f>
        <v>DNA</v>
      </c>
      <c r="D6344" s="18" t="s">
        <v>711</v>
      </c>
      <c r="E6344" s="18" t="s">
        <v>5128</v>
      </c>
      <c r="F6344" s="2" t="s">
        <v>7987</v>
      </c>
      <c r="G6344" s="2" t="s">
        <v>6781</v>
      </c>
      <c r="H6344" s="14">
        <v>1.51</v>
      </c>
      <c r="I6344" s="2" t="s">
        <v>267</v>
      </c>
      <c r="J6344" s="2" t="s">
        <v>13</v>
      </c>
      <c r="K6344" s="2" t="s">
        <v>1452</v>
      </c>
      <c r="L6344" s="2" t="s">
        <v>5221</v>
      </c>
      <c r="M6344" s="2" t="s">
        <v>5221</v>
      </c>
      <c r="N6344" s="2" t="s">
        <v>2317</v>
      </c>
      <c r="O6344" s="14">
        <v>11600</v>
      </c>
      <c r="P6344" s="14">
        <v>98.84</v>
      </c>
      <c r="Q6344" s="14">
        <v>134.56</v>
      </c>
      <c r="R6344" s="14">
        <v>203.19</v>
      </c>
      <c r="S6344" s="2" t="s">
        <v>3930</v>
      </c>
      <c r="T6344" s="2">
        <v>1.48</v>
      </c>
      <c r="U6344" s="2">
        <v>62.9</v>
      </c>
      <c r="V6344" s="2">
        <v>62</v>
      </c>
      <c r="W6344" s="2" t="s">
        <v>7862</v>
      </c>
      <c r="X6344" s="2" t="s">
        <v>6687</v>
      </c>
      <c r="Y6344" s="2">
        <v>17516</v>
      </c>
      <c r="Z6344" s="19" t="str">
        <f>HYPERLINK("https://ssdweb.co/ssdweb/hd/Vision360.html?d=925771223&amp;zoomslide=1&amp;z=1925771223&amp;ISCONFIRM=0","VIDEO")</f>
        <v>VIDEO</v>
      </c>
      <c r="AA6344" s="19" t="str">
        <f>HYPERLINK("https://ssdweb.co/ssdweb/CERTH/626466278.pdf","CERTI")</f>
        <v>CERTI</v>
      </c>
    </row>
    <row r="6345" spans="1:27" ht="15" x14ac:dyDescent="0.25">
      <c r="A6345" s="2">
        <v>6340</v>
      </c>
      <c r="B6345" s="39">
        <v>926960786</v>
      </c>
      <c r="C6345" s="28" t="str">
        <f>HYPERLINK("https://pld.live/RapDetail.aspx?STONELIST=926960786","DNA")</f>
        <v>DNA</v>
      </c>
      <c r="D6345" s="18" t="s">
        <v>711</v>
      </c>
      <c r="E6345" s="18" t="s">
        <v>5128</v>
      </c>
      <c r="F6345" s="2" t="s">
        <v>7987</v>
      </c>
      <c r="G6345" s="2" t="s">
        <v>6781</v>
      </c>
      <c r="H6345" s="14">
        <v>1.51</v>
      </c>
      <c r="I6345" s="2" t="s">
        <v>267</v>
      </c>
      <c r="J6345" s="2" t="s">
        <v>13</v>
      </c>
      <c r="K6345" s="2" t="s">
        <v>1452</v>
      </c>
      <c r="L6345" s="2" t="s">
        <v>5221</v>
      </c>
      <c r="M6345" s="2" t="s">
        <v>5221</v>
      </c>
      <c r="N6345" s="2" t="s">
        <v>2317</v>
      </c>
      <c r="O6345" s="14">
        <v>11600</v>
      </c>
      <c r="P6345" s="14">
        <v>98.79</v>
      </c>
      <c r="Q6345" s="14">
        <v>140.36000000000001</v>
      </c>
      <c r="R6345" s="14">
        <v>211.94</v>
      </c>
      <c r="S6345" s="2" t="s">
        <v>7424</v>
      </c>
      <c r="T6345" s="2">
        <v>1.52</v>
      </c>
      <c r="U6345" s="2">
        <v>61.6</v>
      </c>
      <c r="V6345" s="2">
        <v>61</v>
      </c>
      <c r="W6345" s="2" t="s">
        <v>7862</v>
      </c>
      <c r="X6345" s="2" t="s">
        <v>6687</v>
      </c>
      <c r="Y6345" s="2">
        <v>17516</v>
      </c>
      <c r="Z6345" s="19" t="str">
        <f>HYPERLINK("https://ssdweb.co/ssdweb/hd/Vision360.html?d=926960786&amp;zoomslide=1&amp;z=1926960786&amp;ISCONFIRM=0","VIDEO")</f>
        <v>VIDEO</v>
      </c>
      <c r="AA6345" s="19" t="str">
        <f>HYPERLINK("https://ssdweb.co/ssdweb/CERTH/670484380.pdf","CERTI")</f>
        <v>CERTI</v>
      </c>
    </row>
    <row r="6346" spans="1:27" ht="15" x14ac:dyDescent="0.25">
      <c r="A6346" s="2">
        <v>6341</v>
      </c>
      <c r="B6346" s="39">
        <v>831010609</v>
      </c>
      <c r="C6346" s="28" t="str">
        <f>HYPERLINK("https://pld.live/RapDetail.aspx?STONELIST=831010609","DNA")</f>
        <v>DNA</v>
      </c>
      <c r="D6346" s="18" t="s">
        <v>711</v>
      </c>
      <c r="E6346" s="18" t="s">
        <v>5128</v>
      </c>
      <c r="F6346" s="2" t="s">
        <v>7987</v>
      </c>
      <c r="G6346" s="2" t="s">
        <v>6781</v>
      </c>
      <c r="H6346" s="14">
        <v>1.51</v>
      </c>
      <c r="I6346" s="2" t="s">
        <v>267</v>
      </c>
      <c r="J6346" s="2" t="s">
        <v>444</v>
      </c>
      <c r="K6346" s="2" t="s">
        <v>1452</v>
      </c>
      <c r="L6346" s="2" t="s">
        <v>5221</v>
      </c>
      <c r="M6346" s="2" t="s">
        <v>5221</v>
      </c>
      <c r="N6346" s="2" t="s">
        <v>2317</v>
      </c>
      <c r="O6346" s="14">
        <v>8100</v>
      </c>
      <c r="P6346" s="14">
        <v>98.52</v>
      </c>
      <c r="Q6346" s="14">
        <v>119.88</v>
      </c>
      <c r="R6346" s="14">
        <v>181.02</v>
      </c>
      <c r="S6346" s="2" t="s">
        <v>1616</v>
      </c>
      <c r="T6346" s="2">
        <v>1.57</v>
      </c>
      <c r="U6346" s="2">
        <v>61.6</v>
      </c>
      <c r="V6346" s="2">
        <v>60</v>
      </c>
      <c r="W6346" s="2" t="s">
        <v>7862</v>
      </c>
      <c r="X6346" s="2" t="s">
        <v>6687</v>
      </c>
      <c r="Y6346" s="2">
        <v>12231</v>
      </c>
      <c r="Z6346" s="19" t="str">
        <f>HYPERLINK("https://ssdweb.co/ssdweb/hd/Vision360.html?d=831010609&amp;zoomslide=1&amp;z=1831010609&amp;ISCONFIRM=0","VIDEO")</f>
        <v>VIDEO</v>
      </c>
      <c r="AA6346" s="19" t="str">
        <f>HYPERLINK("https://ssdweb.co/ssdweb/CERTH/594320614.pdf","CERTI")</f>
        <v>CERTI</v>
      </c>
    </row>
    <row r="6347" spans="1:27" ht="15" x14ac:dyDescent="0.25">
      <c r="A6347" s="2">
        <v>6342</v>
      </c>
      <c r="B6347" s="39">
        <v>831010756</v>
      </c>
      <c r="C6347" s="28" t="str">
        <f>HYPERLINK("https://pld.live/RapDetail.aspx?STONELIST=831010756","DNA")</f>
        <v>DNA</v>
      </c>
      <c r="D6347" s="18" t="s">
        <v>711</v>
      </c>
      <c r="E6347" s="18" t="s">
        <v>5128</v>
      </c>
      <c r="F6347" s="2" t="s">
        <v>7987</v>
      </c>
      <c r="G6347" s="2" t="s">
        <v>6781</v>
      </c>
      <c r="H6347" s="14">
        <v>1.51</v>
      </c>
      <c r="I6347" s="2" t="s">
        <v>4761</v>
      </c>
      <c r="J6347" s="2" t="s">
        <v>7032</v>
      </c>
      <c r="K6347" s="2" t="s">
        <v>1452</v>
      </c>
      <c r="L6347" s="2" t="s">
        <v>5221</v>
      </c>
      <c r="M6347" s="2" t="s">
        <v>5221</v>
      </c>
      <c r="N6347" s="2" t="s">
        <v>2317</v>
      </c>
      <c r="O6347" s="14">
        <v>13200</v>
      </c>
      <c r="P6347" s="14">
        <v>96.29</v>
      </c>
      <c r="Q6347" s="14">
        <v>489.72</v>
      </c>
      <c r="R6347" s="14">
        <v>739.48</v>
      </c>
      <c r="S6347" s="2" t="s">
        <v>342</v>
      </c>
      <c r="T6347" s="2">
        <v>1.51</v>
      </c>
      <c r="U6347" s="2">
        <v>62.6</v>
      </c>
      <c r="V6347" s="2">
        <v>60</v>
      </c>
      <c r="W6347" s="2" t="s">
        <v>7862</v>
      </c>
      <c r="X6347" s="2" t="s">
        <v>6687</v>
      </c>
      <c r="Y6347" s="2">
        <v>19932</v>
      </c>
      <c r="Z6347" s="19" t="str">
        <f>HYPERLINK("https://ssdweb.co/ssdweb/hd/Vision360.html?d=831010756&amp;zoomslide=1&amp;z=1831010756&amp;ISCONFIRM=0","VIDEO")</f>
        <v>VIDEO</v>
      </c>
      <c r="AA6347" s="19" t="str">
        <f>HYPERLINK("https://ssdweb.co/ssdweb/CERTH/593304425.pdf","CERTI")</f>
        <v>CERTI</v>
      </c>
    </row>
    <row r="6348" spans="1:27" ht="15" x14ac:dyDescent="0.25">
      <c r="A6348" s="2">
        <v>6343</v>
      </c>
      <c r="B6348" s="39">
        <v>941330475</v>
      </c>
      <c r="C6348" s="28" t="str">
        <f>HYPERLINK("https://pld.live/RapDetail.aspx?STONELIST=941330475","DNA")</f>
        <v>DNA</v>
      </c>
      <c r="D6348" s="18" t="s">
        <v>711</v>
      </c>
      <c r="E6348" s="18" t="s">
        <v>2186</v>
      </c>
      <c r="F6348" s="2" t="s">
        <v>7987</v>
      </c>
      <c r="G6348" s="2" t="s">
        <v>6781</v>
      </c>
      <c r="H6348" s="14">
        <v>1.51</v>
      </c>
      <c r="I6348" s="2" t="s">
        <v>4761</v>
      </c>
      <c r="J6348" s="2" t="s">
        <v>3942</v>
      </c>
      <c r="K6348" s="2" t="s">
        <v>1452</v>
      </c>
      <c r="L6348" s="2" t="s">
        <v>5221</v>
      </c>
      <c r="M6348" s="2" t="s">
        <v>5221</v>
      </c>
      <c r="N6348" s="2" t="s">
        <v>2317</v>
      </c>
      <c r="O6348" s="14">
        <v>11600</v>
      </c>
      <c r="P6348" s="14">
        <v>98.84</v>
      </c>
      <c r="Q6348" s="14">
        <v>134.56</v>
      </c>
      <c r="R6348" s="14">
        <v>203.19</v>
      </c>
      <c r="S6348" s="2" t="s">
        <v>1567</v>
      </c>
      <c r="T6348" s="2">
        <v>1.58</v>
      </c>
      <c r="U6348" s="2">
        <v>60.1</v>
      </c>
      <c r="V6348" s="2">
        <v>62</v>
      </c>
      <c r="W6348" s="2" t="s">
        <v>7862</v>
      </c>
      <c r="X6348" s="2" t="s">
        <v>6687</v>
      </c>
      <c r="Y6348" s="2">
        <v>17516</v>
      </c>
      <c r="Z6348" s="19" t="str">
        <f>HYPERLINK("https://ssdweb.co/ssdweb/hd/Vision360.html?d=941330475&amp;zoomslide=1&amp;z=1941330475&amp;ISCONFIRM=0","VIDEO")</f>
        <v>VIDEO</v>
      </c>
      <c r="AA6348" s="19" t="str">
        <f>HYPERLINK("https://ssdweb.co/ssdweb/CERTH/687591668.pdf","CERTI")</f>
        <v>CERTI</v>
      </c>
    </row>
    <row r="6349" spans="1:27" ht="15" x14ac:dyDescent="0.25">
      <c r="A6349" s="2">
        <v>6344</v>
      </c>
      <c r="B6349" s="39">
        <v>927040771</v>
      </c>
      <c r="C6349" s="28" t="str">
        <f>HYPERLINK("https://pld.live/RapDetail.aspx?STONELIST=927040771","DNA")</f>
        <v>DNA</v>
      </c>
      <c r="D6349" s="18" t="s">
        <v>711</v>
      </c>
      <c r="E6349" s="18" t="s">
        <v>2186</v>
      </c>
      <c r="F6349" s="2" t="s">
        <v>7987</v>
      </c>
      <c r="G6349" s="2" t="s">
        <v>6781</v>
      </c>
      <c r="H6349" s="14">
        <v>1.51</v>
      </c>
      <c r="I6349" s="2" t="s">
        <v>4761</v>
      </c>
      <c r="J6349" s="2" t="s">
        <v>3942</v>
      </c>
      <c r="K6349" s="2" t="s">
        <v>1452</v>
      </c>
      <c r="L6349" s="2" t="s">
        <v>5221</v>
      </c>
      <c r="M6349" s="2" t="s">
        <v>5221</v>
      </c>
      <c r="N6349" s="2" t="s">
        <v>2317</v>
      </c>
      <c r="O6349" s="14">
        <v>11600</v>
      </c>
      <c r="P6349" s="14">
        <v>98.84</v>
      </c>
      <c r="Q6349" s="14">
        <v>134.56</v>
      </c>
      <c r="R6349" s="14">
        <v>203.19</v>
      </c>
      <c r="S6349" s="2" t="s">
        <v>21</v>
      </c>
      <c r="T6349" s="2">
        <v>1.56</v>
      </c>
      <c r="U6349" s="2">
        <v>63</v>
      </c>
      <c r="V6349" s="2">
        <v>61</v>
      </c>
      <c r="W6349" s="2" t="s">
        <v>7862</v>
      </c>
      <c r="X6349" s="2" t="s">
        <v>6687</v>
      </c>
      <c r="Y6349" s="2">
        <v>17516</v>
      </c>
      <c r="Z6349" s="19" t="str">
        <f>HYPERLINK("https://ssdweb.co/ssdweb/hd/Vision360.html?d=927040771&amp;zoomslide=1&amp;z=1927040771&amp;ISCONFIRM=0","VIDEO")</f>
        <v>VIDEO</v>
      </c>
      <c r="AA6349" s="19" t="str">
        <f>HYPERLINK("https://ssdweb.co/ssdweb/CERTH/667408300.pdf","CERTI")</f>
        <v>CERTI</v>
      </c>
    </row>
    <row r="6350" spans="1:27" ht="15" x14ac:dyDescent="0.25">
      <c r="A6350" s="2">
        <v>6345</v>
      </c>
      <c r="B6350" s="39">
        <v>927040780</v>
      </c>
      <c r="C6350" s="28" t="str">
        <f>HYPERLINK("https://pld.live/RapDetail.aspx?STONELIST=927040780","DNA")</f>
        <v>DNA</v>
      </c>
      <c r="D6350" s="18" t="s">
        <v>711</v>
      </c>
      <c r="E6350" s="18" t="s">
        <v>2186</v>
      </c>
      <c r="F6350" s="2" t="s">
        <v>7987</v>
      </c>
      <c r="G6350" s="2" t="s">
        <v>6781</v>
      </c>
      <c r="H6350" s="14">
        <v>1.51</v>
      </c>
      <c r="I6350" s="2" t="s">
        <v>4761</v>
      </c>
      <c r="J6350" s="2" t="s">
        <v>3942</v>
      </c>
      <c r="K6350" s="2" t="s">
        <v>1452</v>
      </c>
      <c r="L6350" s="2" t="s">
        <v>5221</v>
      </c>
      <c r="M6350" s="2" t="s">
        <v>5221</v>
      </c>
      <c r="N6350" s="2" t="s">
        <v>2317</v>
      </c>
      <c r="O6350" s="14">
        <v>11600</v>
      </c>
      <c r="P6350" s="14">
        <v>98.84</v>
      </c>
      <c r="Q6350" s="14">
        <v>134.56</v>
      </c>
      <c r="R6350" s="14">
        <v>203.19</v>
      </c>
      <c r="S6350" s="2" t="s">
        <v>3026</v>
      </c>
      <c r="T6350" s="2">
        <v>1.57</v>
      </c>
      <c r="U6350" s="2">
        <v>60</v>
      </c>
      <c r="V6350" s="2">
        <v>59</v>
      </c>
      <c r="W6350" s="2" t="s">
        <v>7862</v>
      </c>
      <c r="X6350" s="2" t="s">
        <v>6687</v>
      </c>
      <c r="Y6350" s="2">
        <v>17516</v>
      </c>
      <c r="Z6350" s="19" t="str">
        <f>HYPERLINK("https://ssdweb.co/ssdweb/hd/Vision360.html?d=927040780&amp;zoomslide=1&amp;z=1927040780&amp;ISCONFIRM=0","VIDEO")</f>
        <v>VIDEO</v>
      </c>
      <c r="AA6350" s="19" t="str">
        <f>HYPERLINK("https://ssdweb.co/ssdweb/CERTH/670484514.pdf","CERTI")</f>
        <v>CERTI</v>
      </c>
    </row>
    <row r="6351" spans="1:27" ht="15" x14ac:dyDescent="0.25">
      <c r="A6351" s="2">
        <v>6346</v>
      </c>
      <c r="B6351" s="39">
        <v>927030579</v>
      </c>
      <c r="C6351" s="28" t="str">
        <f>HYPERLINK("https://pld.live/RapDetail.aspx?STONELIST=927030579","DNA")</f>
        <v>DNA</v>
      </c>
      <c r="D6351" s="18" t="s">
        <v>711</v>
      </c>
      <c r="E6351" s="18" t="s">
        <v>2186</v>
      </c>
      <c r="F6351" s="2" t="s">
        <v>7987</v>
      </c>
      <c r="G6351" s="2" t="s">
        <v>6781</v>
      </c>
      <c r="H6351" s="14">
        <v>1.51</v>
      </c>
      <c r="I6351" s="2" t="s">
        <v>4761</v>
      </c>
      <c r="J6351" s="2" t="s">
        <v>3942</v>
      </c>
      <c r="K6351" s="2" t="s">
        <v>1452</v>
      </c>
      <c r="L6351" s="2" t="s">
        <v>5221</v>
      </c>
      <c r="M6351" s="2" t="s">
        <v>5221</v>
      </c>
      <c r="N6351" s="2" t="s">
        <v>2317</v>
      </c>
      <c r="O6351" s="14">
        <v>11600</v>
      </c>
      <c r="P6351" s="14">
        <v>98.84</v>
      </c>
      <c r="Q6351" s="14">
        <v>134.56</v>
      </c>
      <c r="R6351" s="14">
        <v>203.19</v>
      </c>
      <c r="S6351" s="2" t="s">
        <v>3481</v>
      </c>
      <c r="T6351" s="2">
        <v>1.53</v>
      </c>
      <c r="U6351" s="2">
        <v>62.3</v>
      </c>
      <c r="V6351" s="2">
        <v>58</v>
      </c>
      <c r="W6351" s="2" t="s">
        <v>7862</v>
      </c>
      <c r="X6351" s="2" t="s">
        <v>6687</v>
      </c>
      <c r="Y6351" s="2">
        <v>17516</v>
      </c>
      <c r="Z6351" s="19" t="str">
        <f>HYPERLINK("https://ssdweb.co/ssdweb/hd/Vision360.html?d=927030579&amp;zoomslide=1&amp;z=1927030579&amp;ISCONFIRM=0","VIDEO")</f>
        <v>VIDEO</v>
      </c>
      <c r="AA6351" s="19" t="str">
        <f>HYPERLINK("https://ssdweb.co/ssdweb/CERTH/666408404.pdf","CERTI")</f>
        <v>CERTI</v>
      </c>
    </row>
    <row r="6352" spans="1:27" ht="15" x14ac:dyDescent="0.25">
      <c r="A6352" s="2">
        <v>6347</v>
      </c>
      <c r="B6352" s="39">
        <v>927010799</v>
      </c>
      <c r="C6352" s="28" t="str">
        <f>HYPERLINK("https://pld.live/RapDetail.aspx?STONELIST=927010799","DNA")</f>
        <v>DNA</v>
      </c>
      <c r="D6352" s="18" t="s">
        <v>711</v>
      </c>
      <c r="E6352" s="18" t="s">
        <v>2186</v>
      </c>
      <c r="F6352" s="2" t="s">
        <v>7987</v>
      </c>
      <c r="G6352" s="2" t="s">
        <v>6781</v>
      </c>
      <c r="H6352" s="14">
        <v>1.51</v>
      </c>
      <c r="I6352" s="2" t="s">
        <v>4761</v>
      </c>
      <c r="J6352" s="2" t="s">
        <v>3942</v>
      </c>
      <c r="K6352" s="2" t="s">
        <v>1452</v>
      </c>
      <c r="L6352" s="2" t="s">
        <v>5221</v>
      </c>
      <c r="M6352" s="2" t="s">
        <v>5721</v>
      </c>
      <c r="N6352" s="2" t="s">
        <v>2317</v>
      </c>
      <c r="O6352" s="14">
        <v>11600</v>
      </c>
      <c r="P6352" s="14">
        <v>98.85</v>
      </c>
      <c r="Q6352" s="14">
        <v>133.4</v>
      </c>
      <c r="R6352" s="14">
        <v>201.43</v>
      </c>
      <c r="S6352" s="2" t="s">
        <v>2022</v>
      </c>
      <c r="T6352" s="2">
        <v>1.49</v>
      </c>
      <c r="U6352" s="2">
        <v>63</v>
      </c>
      <c r="V6352" s="2">
        <v>63</v>
      </c>
      <c r="W6352" s="2" t="s">
        <v>7862</v>
      </c>
      <c r="X6352" s="2" t="s">
        <v>6687</v>
      </c>
      <c r="Y6352" s="2">
        <v>17516</v>
      </c>
      <c r="Z6352" s="19" t="str">
        <f>HYPERLINK("https://ssdweb.co/ssdweb/hd/Vision360.html?d=927010799&amp;zoomslide=1&amp;z=1927010799&amp;ISCONFIRM=0","VIDEO")</f>
        <v>VIDEO</v>
      </c>
      <c r="AA6352" s="19" t="str">
        <f>HYPERLINK("https://ssdweb.co/ssdweb/CERTH/667408298.pdf","CERTI")</f>
        <v>CERTI</v>
      </c>
    </row>
    <row r="6353" spans="1:27" ht="15" x14ac:dyDescent="0.25">
      <c r="A6353" s="2">
        <v>6348</v>
      </c>
      <c r="B6353" s="39">
        <v>926980644</v>
      </c>
      <c r="C6353" s="28" t="str">
        <f>HYPERLINK("https://pld.live/RapDetail.aspx?STONELIST=926980644","DNA")</f>
        <v>DNA</v>
      </c>
      <c r="D6353" s="18" t="s">
        <v>711</v>
      </c>
      <c r="E6353" s="18" t="s">
        <v>2186</v>
      </c>
      <c r="F6353" s="2" t="s">
        <v>7987</v>
      </c>
      <c r="G6353" s="2" t="s">
        <v>6781</v>
      </c>
      <c r="H6353" s="14">
        <v>1.51</v>
      </c>
      <c r="I6353" s="2" t="s">
        <v>4761</v>
      </c>
      <c r="J6353" s="2" t="s">
        <v>13</v>
      </c>
      <c r="K6353" s="2" t="s">
        <v>1452</v>
      </c>
      <c r="L6353" s="2" t="s">
        <v>5221</v>
      </c>
      <c r="M6353" s="2" t="s">
        <v>5221</v>
      </c>
      <c r="N6353" s="2" t="s">
        <v>2317</v>
      </c>
      <c r="O6353" s="14">
        <v>10800</v>
      </c>
      <c r="P6353" s="14">
        <v>98.8</v>
      </c>
      <c r="Q6353" s="14">
        <v>129.6</v>
      </c>
      <c r="R6353" s="14">
        <v>195.7</v>
      </c>
      <c r="S6353" s="2" t="s">
        <v>3844</v>
      </c>
      <c r="T6353" s="2">
        <v>1.53</v>
      </c>
      <c r="U6353" s="2">
        <v>60.7</v>
      </c>
      <c r="V6353" s="2">
        <v>63</v>
      </c>
      <c r="W6353" s="2" t="s">
        <v>7862</v>
      </c>
      <c r="X6353" s="2" t="s">
        <v>6687</v>
      </c>
      <c r="Y6353" s="2">
        <v>16308</v>
      </c>
      <c r="Z6353" s="19" t="str">
        <f>HYPERLINK("https://ssdweb.co/ssdweb/hd/Vision360.html?d=926980644&amp;zoomslide=1&amp;z=1926980644&amp;ISCONFIRM=0","VIDEO")</f>
        <v>VIDEO</v>
      </c>
      <c r="AA6353" s="19" t="str">
        <f>HYPERLINK("https://ssdweb.co/ssdweb/CERTH/670484497.pdf","CERTI")</f>
        <v>CERTI</v>
      </c>
    </row>
    <row r="6354" spans="1:27" ht="15" x14ac:dyDescent="0.25">
      <c r="A6354" s="2">
        <v>6349</v>
      </c>
      <c r="B6354" s="39">
        <v>927040786</v>
      </c>
      <c r="C6354" s="28" t="str">
        <f>HYPERLINK("https://pld.live/RapDetail.aspx?STONELIST=927040786","DNA")</f>
        <v>DNA</v>
      </c>
      <c r="D6354" s="18" t="s">
        <v>711</v>
      </c>
      <c r="E6354" s="18" t="s">
        <v>2186</v>
      </c>
      <c r="F6354" s="2" t="s">
        <v>7987</v>
      </c>
      <c r="G6354" s="2" t="s">
        <v>6781</v>
      </c>
      <c r="H6354" s="14">
        <v>1.51</v>
      </c>
      <c r="I6354" s="2" t="s">
        <v>4761</v>
      </c>
      <c r="J6354" s="2" t="s">
        <v>13</v>
      </c>
      <c r="K6354" s="2" t="s">
        <v>1452</v>
      </c>
      <c r="L6354" s="2" t="s">
        <v>5221</v>
      </c>
      <c r="M6354" s="2" t="s">
        <v>5221</v>
      </c>
      <c r="N6354" s="2" t="s">
        <v>2317</v>
      </c>
      <c r="O6354" s="14">
        <v>10800</v>
      </c>
      <c r="P6354" s="14">
        <v>98.8</v>
      </c>
      <c r="Q6354" s="14">
        <v>129.6</v>
      </c>
      <c r="R6354" s="14">
        <v>195.7</v>
      </c>
      <c r="S6354" s="2" t="s">
        <v>976</v>
      </c>
      <c r="T6354" s="2">
        <v>1.56</v>
      </c>
      <c r="U6354" s="2">
        <v>60.6</v>
      </c>
      <c r="V6354" s="2">
        <v>62</v>
      </c>
      <c r="W6354" s="2" t="s">
        <v>7862</v>
      </c>
      <c r="X6354" s="2" t="s">
        <v>6687</v>
      </c>
      <c r="Y6354" s="2">
        <v>16308</v>
      </c>
      <c r="Z6354" s="19" t="str">
        <f>HYPERLINK("https://ssdweb.co/ssdweb/hd/Vision360.html?d=927040786&amp;zoomslide=1&amp;z=1927040786&amp;ISCONFIRM=0","VIDEO")</f>
        <v>VIDEO</v>
      </c>
      <c r="AA6354" s="19" t="str">
        <f>HYPERLINK("https://ssdweb.co/ssdweb/CERTH/670484486.pdf","CERTI")</f>
        <v>CERTI</v>
      </c>
    </row>
    <row r="6355" spans="1:27" ht="15" x14ac:dyDescent="0.25">
      <c r="A6355" s="2">
        <v>6350</v>
      </c>
      <c r="B6355" s="39">
        <v>927040797</v>
      </c>
      <c r="C6355" s="28" t="str">
        <f>HYPERLINK("https://pld.live/RapDetail.aspx?STONELIST=927040797","DNA")</f>
        <v>DNA</v>
      </c>
      <c r="D6355" s="18" t="s">
        <v>711</v>
      </c>
      <c r="E6355" s="18" t="s">
        <v>2186</v>
      </c>
      <c r="F6355" s="2" t="s">
        <v>7987</v>
      </c>
      <c r="G6355" s="2" t="s">
        <v>6781</v>
      </c>
      <c r="H6355" s="14">
        <v>1.51</v>
      </c>
      <c r="I6355" s="2" t="s">
        <v>4761</v>
      </c>
      <c r="J6355" s="2" t="s">
        <v>13</v>
      </c>
      <c r="K6355" s="2" t="s">
        <v>1452</v>
      </c>
      <c r="L6355" s="2" t="s">
        <v>5221</v>
      </c>
      <c r="M6355" s="2" t="s">
        <v>5221</v>
      </c>
      <c r="N6355" s="2" t="s">
        <v>2317</v>
      </c>
      <c r="O6355" s="14">
        <v>10800</v>
      </c>
      <c r="P6355" s="14">
        <v>98.8</v>
      </c>
      <c r="Q6355" s="14">
        <v>129.6</v>
      </c>
      <c r="R6355" s="14">
        <v>195.7</v>
      </c>
      <c r="S6355" s="2" t="s">
        <v>1083</v>
      </c>
      <c r="T6355" s="2">
        <v>1.53</v>
      </c>
      <c r="U6355" s="2">
        <v>62.3</v>
      </c>
      <c r="V6355" s="2">
        <v>60</v>
      </c>
      <c r="W6355" s="2" t="s">
        <v>7862</v>
      </c>
      <c r="X6355" s="2" t="s">
        <v>6687</v>
      </c>
      <c r="Y6355" s="2">
        <v>16308</v>
      </c>
      <c r="Z6355" s="19" t="str">
        <f>HYPERLINK("https://ssdweb.co/ssdweb/hd/Vision360.html?d=927040797&amp;zoomslide=1&amp;z=1927040797&amp;ISCONFIRM=0","VIDEO")</f>
        <v>VIDEO</v>
      </c>
      <c r="AA6355" s="19" t="str">
        <f>HYPERLINK("https://ssdweb.co/ssdweb/CERTH/670484490.pdf","CERTI")</f>
        <v>CERTI</v>
      </c>
    </row>
    <row r="6356" spans="1:27" ht="15" x14ac:dyDescent="0.25">
      <c r="A6356" s="2">
        <v>6351</v>
      </c>
      <c r="B6356" s="39">
        <v>924610097</v>
      </c>
      <c r="C6356" s="28" t="str">
        <f>HYPERLINK("https://pld.live/RapDetail.aspx?STONELIST=924610097","DNA")</f>
        <v>DNA</v>
      </c>
      <c r="D6356" s="18" t="s">
        <v>711</v>
      </c>
      <c r="E6356" s="18" t="s">
        <v>5128</v>
      </c>
      <c r="F6356" s="2" t="s">
        <v>7987</v>
      </c>
      <c r="G6356" s="2" t="s">
        <v>6781</v>
      </c>
      <c r="H6356" s="14">
        <v>1.51</v>
      </c>
      <c r="I6356" s="2" t="s">
        <v>1505</v>
      </c>
      <c r="J6356" s="2" t="s">
        <v>3942</v>
      </c>
      <c r="K6356" s="2" t="s">
        <v>1452</v>
      </c>
      <c r="L6356" s="2" t="s">
        <v>5221</v>
      </c>
      <c r="M6356" s="2" t="s">
        <v>5221</v>
      </c>
      <c r="N6356" s="2" t="s">
        <v>2317</v>
      </c>
      <c r="O6356" s="14">
        <v>8400</v>
      </c>
      <c r="P6356" s="14">
        <v>98.65</v>
      </c>
      <c r="Q6356" s="14">
        <v>113.4</v>
      </c>
      <c r="R6356" s="14">
        <v>171.23</v>
      </c>
      <c r="S6356" s="2" t="s">
        <v>2752</v>
      </c>
      <c r="T6356" s="2">
        <v>1.49</v>
      </c>
      <c r="U6356" s="2">
        <v>64</v>
      </c>
      <c r="V6356" s="2">
        <v>63</v>
      </c>
      <c r="W6356" s="2" t="s">
        <v>6297</v>
      </c>
      <c r="X6356" s="2" t="s">
        <v>6687</v>
      </c>
      <c r="Y6356" s="2">
        <v>12684</v>
      </c>
      <c r="Z6356" s="19" t="str">
        <f>HYPERLINK("https://ssdweb.co/ssdweb/hd/Vision360.html?d=924610097&amp;zoomslide=1&amp;z=1924610097&amp;ISCONFIRM=0","VIDEO")</f>
        <v>VIDEO</v>
      </c>
      <c r="AA6356" s="19" t="str">
        <f>HYPERLINK("https://ssdweb.co/ssdweb/CERTH/595398359.pdf","CERTI")</f>
        <v>CERTI</v>
      </c>
    </row>
    <row r="6357" spans="1:27" ht="15" x14ac:dyDescent="0.25">
      <c r="A6357" s="2">
        <v>6352</v>
      </c>
      <c r="B6357" s="39">
        <v>926010229</v>
      </c>
      <c r="C6357" s="28" t="str">
        <f>HYPERLINK("https://pld.live/RapDetail.aspx?STONELIST=926010229","DNA")</f>
        <v>DNA</v>
      </c>
      <c r="D6357" s="18" t="s">
        <v>711</v>
      </c>
      <c r="E6357" s="18" t="s">
        <v>2186</v>
      </c>
      <c r="F6357" s="2" t="s">
        <v>7987</v>
      </c>
      <c r="G6357" s="2" t="s">
        <v>6781</v>
      </c>
      <c r="H6357" s="14">
        <v>1.51</v>
      </c>
      <c r="I6357" s="2" t="s">
        <v>1066</v>
      </c>
      <c r="J6357" s="2" t="s">
        <v>5144</v>
      </c>
      <c r="K6357" s="2" t="s">
        <v>1452</v>
      </c>
      <c r="L6357" s="2" t="s">
        <v>5221</v>
      </c>
      <c r="M6357" s="2" t="s">
        <v>5221</v>
      </c>
      <c r="N6357" s="2" t="s">
        <v>924</v>
      </c>
      <c r="O6357" s="14">
        <v>3100</v>
      </c>
      <c r="P6357" s="14">
        <v>91.29</v>
      </c>
      <c r="Q6357" s="14">
        <v>270.01</v>
      </c>
      <c r="R6357" s="14">
        <v>407.72</v>
      </c>
      <c r="S6357" s="2" t="s">
        <v>5635</v>
      </c>
      <c r="T6357" s="2">
        <v>1.52</v>
      </c>
      <c r="U6357" s="2">
        <v>61.8</v>
      </c>
      <c r="V6357" s="2">
        <v>59</v>
      </c>
      <c r="W6357" s="2" t="s">
        <v>7862</v>
      </c>
      <c r="X6357" s="2" t="s">
        <v>6687</v>
      </c>
      <c r="Y6357" s="2">
        <v>4681</v>
      </c>
      <c r="Z6357" s="19" t="str">
        <f>HYPERLINK("https://ssdweb.co/ssdweb/hd/Vision360.html?d=926010229&amp;zoomslide=1&amp;z=1926010229&amp;ISCONFIRM=0","VIDEO")</f>
        <v>VIDEO</v>
      </c>
      <c r="AA6357" s="19" t="str">
        <f>HYPERLINK("https://ssdweb.co/ssdweb/CERTH/639406150.pdf","CERTI")</f>
        <v>CERTI</v>
      </c>
    </row>
    <row r="6358" spans="1:27" ht="15" x14ac:dyDescent="0.25">
      <c r="A6358" s="2">
        <v>6353</v>
      </c>
      <c r="B6358" s="39">
        <v>925961012</v>
      </c>
      <c r="C6358" s="28" t="str">
        <f>HYPERLINK("https://pld.live/RapDetail.aspx?STONELIST=925961012","DNA")</f>
        <v>DNA</v>
      </c>
      <c r="D6358" s="18" t="s">
        <v>711</v>
      </c>
      <c r="E6358" s="18" t="s">
        <v>5128</v>
      </c>
      <c r="F6358" s="2" t="s">
        <v>7987</v>
      </c>
      <c r="G6358" s="2" t="s">
        <v>6781</v>
      </c>
      <c r="H6358" s="14">
        <v>1.5</v>
      </c>
      <c r="I6358" s="2" t="s">
        <v>267</v>
      </c>
      <c r="J6358" s="2" t="s">
        <v>3942</v>
      </c>
      <c r="K6358" s="2" t="s">
        <v>1452</v>
      </c>
      <c r="L6358" s="2" t="s">
        <v>5221</v>
      </c>
      <c r="M6358" s="2" t="s">
        <v>5221</v>
      </c>
      <c r="N6358" s="2" t="s">
        <v>2317</v>
      </c>
      <c r="O6358" s="14">
        <v>12500</v>
      </c>
      <c r="P6358" s="14">
        <v>98.84</v>
      </c>
      <c r="Q6358" s="14">
        <v>145</v>
      </c>
      <c r="R6358" s="14">
        <v>217.5</v>
      </c>
      <c r="S6358" s="2" t="s">
        <v>6524</v>
      </c>
      <c r="T6358" s="2">
        <v>1.49</v>
      </c>
      <c r="U6358" s="2">
        <v>63.1</v>
      </c>
      <c r="V6358" s="2">
        <v>59</v>
      </c>
      <c r="W6358" s="2" t="s">
        <v>7862</v>
      </c>
      <c r="X6358" s="2" t="s">
        <v>6687</v>
      </c>
      <c r="Y6358" s="2">
        <v>18750</v>
      </c>
      <c r="Z6358" s="19" t="str">
        <f>HYPERLINK("https://ssdweb.co/ssdweb/hd/Vision360.html?d=925961012&amp;zoomslide=1&amp;z=1925961012&amp;ISCONFIRM=0","VIDEO")</f>
        <v>VIDEO</v>
      </c>
      <c r="AA6358" s="19" t="str">
        <f>HYPERLINK("https://ssdweb.co/ssdweb/CERTH/628427044.pdf","CERTI")</f>
        <v>CERTI</v>
      </c>
    </row>
    <row r="6359" spans="1:27" ht="15" x14ac:dyDescent="0.25">
      <c r="A6359" s="2">
        <v>6354</v>
      </c>
      <c r="B6359" s="39">
        <v>927020717</v>
      </c>
      <c r="C6359" s="28" t="str">
        <f>HYPERLINK("https://pld.live/RapDetail.aspx?STONELIST=927020717","DNA")</f>
        <v>DNA</v>
      </c>
      <c r="D6359" s="18" t="s">
        <v>711</v>
      </c>
      <c r="E6359" s="18" t="s">
        <v>2186</v>
      </c>
      <c r="F6359" s="2" t="s">
        <v>7987</v>
      </c>
      <c r="G6359" s="2" t="s">
        <v>6781</v>
      </c>
      <c r="H6359" s="14">
        <v>1.5</v>
      </c>
      <c r="I6359" s="2" t="s">
        <v>267</v>
      </c>
      <c r="J6359" s="2" t="s">
        <v>13</v>
      </c>
      <c r="K6359" s="2" t="s">
        <v>1452</v>
      </c>
      <c r="L6359" s="2" t="s">
        <v>5221</v>
      </c>
      <c r="M6359" s="2" t="s">
        <v>5221</v>
      </c>
      <c r="N6359" s="2" t="s">
        <v>2317</v>
      </c>
      <c r="O6359" s="14">
        <v>11600</v>
      </c>
      <c r="P6359" s="14">
        <v>98.79</v>
      </c>
      <c r="Q6359" s="14">
        <v>140.36000000000001</v>
      </c>
      <c r="R6359" s="14">
        <v>210.54</v>
      </c>
      <c r="S6359" s="2" t="s">
        <v>2265</v>
      </c>
      <c r="T6359" s="2">
        <v>1.51</v>
      </c>
      <c r="U6359" s="2">
        <v>58.4</v>
      </c>
      <c r="V6359" s="2">
        <v>63</v>
      </c>
      <c r="W6359" s="2" t="s">
        <v>7862</v>
      </c>
      <c r="X6359" s="2" t="s">
        <v>6687</v>
      </c>
      <c r="Y6359" s="2">
        <v>17400</v>
      </c>
      <c r="Z6359" s="19" t="str">
        <f>HYPERLINK("https://ssdweb.co/ssdweb/hd/Vision360.html?d=927020717&amp;zoomslide=1&amp;z=1927020717&amp;ISCONFIRM=0","VIDEO")</f>
        <v>VIDEO</v>
      </c>
      <c r="AA6359" s="19" t="str">
        <f>HYPERLINK("https://ssdweb.co/ssdweb/CERTH/670484508.pdf","CERTI")</f>
        <v>CERTI</v>
      </c>
    </row>
    <row r="6360" spans="1:27" ht="15" x14ac:dyDescent="0.25">
      <c r="A6360" s="2">
        <v>6355</v>
      </c>
      <c r="B6360" s="39">
        <v>925270486</v>
      </c>
      <c r="C6360" s="28" t="str">
        <f>HYPERLINK("https://pld.live/RapDetail.aspx?STONELIST=925270486","DNA")</f>
        <v>DNA</v>
      </c>
      <c r="D6360" s="18" t="s">
        <v>711</v>
      </c>
      <c r="E6360" s="18" t="s">
        <v>5128</v>
      </c>
      <c r="F6360" s="2" t="s">
        <v>7987</v>
      </c>
      <c r="G6360" s="2" t="s">
        <v>6781</v>
      </c>
      <c r="H6360" s="14">
        <v>1.5</v>
      </c>
      <c r="I6360" s="2" t="s">
        <v>267</v>
      </c>
      <c r="J6360" s="2" t="s">
        <v>5144</v>
      </c>
      <c r="K6360" s="2" t="s">
        <v>1452</v>
      </c>
      <c r="L6360" s="2" t="s">
        <v>5221</v>
      </c>
      <c r="M6360" s="2" t="s">
        <v>5221</v>
      </c>
      <c r="N6360" s="2" t="s">
        <v>2317</v>
      </c>
      <c r="O6360" s="14">
        <v>9900</v>
      </c>
      <c r="P6360" s="14">
        <v>98.69</v>
      </c>
      <c r="Q6360" s="14">
        <v>129.69</v>
      </c>
      <c r="R6360" s="14">
        <v>194.54</v>
      </c>
      <c r="S6360" s="2" t="s">
        <v>7147</v>
      </c>
      <c r="T6360" s="2">
        <v>1.49</v>
      </c>
      <c r="U6360" s="2">
        <v>64.2</v>
      </c>
      <c r="V6360" s="2">
        <v>60</v>
      </c>
      <c r="W6360" s="2" t="s">
        <v>7862</v>
      </c>
      <c r="X6360" s="2" t="s">
        <v>6687</v>
      </c>
      <c r="Y6360" s="2">
        <v>14850</v>
      </c>
      <c r="Z6360" s="19" t="str">
        <f>HYPERLINK("https://ssdweb.co/ssdweb/hd/Vision360.html?d=925270486&amp;zoomslide=1&amp;z=1925270486&amp;ISCONFIRM=0","VIDEO")</f>
        <v>VIDEO</v>
      </c>
      <c r="AA6360" s="19" t="str">
        <f>HYPERLINK("https://ssdweb.co/ssdweb/CERTH/616491826.pdf","CERTI")</f>
        <v>CERTI</v>
      </c>
    </row>
    <row r="6361" spans="1:27" ht="15" x14ac:dyDescent="0.25">
      <c r="A6361" s="2">
        <v>6356</v>
      </c>
      <c r="B6361" s="39">
        <v>821121922</v>
      </c>
      <c r="C6361" s="28" t="str">
        <f>HYPERLINK("https://pld.live/RapDetail.aspx?STONELIST=821121922","DNA")</f>
        <v>DNA</v>
      </c>
      <c r="D6361" s="18" t="s">
        <v>711</v>
      </c>
      <c r="E6361" s="18" t="s">
        <v>5128</v>
      </c>
      <c r="F6361" s="2" t="s">
        <v>7987</v>
      </c>
      <c r="G6361" s="2" t="s">
        <v>6781</v>
      </c>
      <c r="H6361" s="14">
        <v>1.5</v>
      </c>
      <c r="I6361" s="2" t="s">
        <v>4761</v>
      </c>
      <c r="J6361" s="2" t="s">
        <v>7032</v>
      </c>
      <c r="K6361" s="2" t="s">
        <v>1452</v>
      </c>
      <c r="L6361" s="2" t="s">
        <v>5221</v>
      </c>
      <c r="M6361" s="2" t="s">
        <v>5221</v>
      </c>
      <c r="N6361" s="2" t="s">
        <v>2317</v>
      </c>
      <c r="O6361" s="14">
        <v>13200</v>
      </c>
      <c r="P6361" s="14">
        <v>96.29</v>
      </c>
      <c r="Q6361" s="14">
        <v>489.72</v>
      </c>
      <c r="R6361" s="14">
        <v>734.58</v>
      </c>
      <c r="S6361" s="2" t="s">
        <v>4762</v>
      </c>
      <c r="T6361" s="2">
        <v>1.51</v>
      </c>
      <c r="U6361" s="2">
        <v>63.5</v>
      </c>
      <c r="V6361" s="2">
        <v>58</v>
      </c>
      <c r="W6361" s="2" t="s">
        <v>7862</v>
      </c>
      <c r="X6361" s="2" t="s">
        <v>6687</v>
      </c>
      <c r="Y6361" s="2">
        <v>19800</v>
      </c>
      <c r="Z6361" s="19" t="str">
        <f>HYPERLINK("https://ssdweb.co/ssdweb/hd/Vision360.html?d=821121922&amp;zoomslide=1&amp;z=1821121922&amp;ISCONFIRM=0","VIDEO")</f>
        <v>VIDEO</v>
      </c>
      <c r="AA6361" s="19" t="str">
        <f>HYPERLINK("https://ssdweb.co/ssdweb/CERTH/595303011.pdf","CERTI")</f>
        <v>CERTI</v>
      </c>
    </row>
    <row r="6362" spans="1:27" ht="15" x14ac:dyDescent="0.25">
      <c r="A6362" s="2">
        <v>6357</v>
      </c>
      <c r="B6362" s="39">
        <v>926990453</v>
      </c>
      <c r="C6362" s="28" t="str">
        <f>HYPERLINK("https://pld.live/RapDetail.aspx?STONELIST=926990453","DNA")</f>
        <v>DNA</v>
      </c>
      <c r="D6362" s="18" t="s">
        <v>711</v>
      </c>
      <c r="E6362" s="18" t="s">
        <v>2186</v>
      </c>
      <c r="F6362" s="2" t="s">
        <v>7987</v>
      </c>
      <c r="G6362" s="2" t="s">
        <v>6781</v>
      </c>
      <c r="H6362" s="14">
        <v>1.5</v>
      </c>
      <c r="I6362" s="2" t="s">
        <v>4761</v>
      </c>
      <c r="J6362" s="2" t="s">
        <v>3942</v>
      </c>
      <c r="K6362" s="2" t="s">
        <v>1452</v>
      </c>
      <c r="L6362" s="2" t="s">
        <v>5221</v>
      </c>
      <c r="M6362" s="2" t="s">
        <v>5221</v>
      </c>
      <c r="N6362" s="2" t="s">
        <v>2317</v>
      </c>
      <c r="O6362" s="14">
        <v>11600</v>
      </c>
      <c r="P6362" s="14">
        <v>98.84</v>
      </c>
      <c r="Q6362" s="14">
        <v>134.56</v>
      </c>
      <c r="R6362" s="14">
        <v>201.84</v>
      </c>
      <c r="S6362" s="2" t="s">
        <v>5256</v>
      </c>
      <c r="T6362" s="2">
        <v>1.48</v>
      </c>
      <c r="U6362" s="2">
        <v>62.8</v>
      </c>
      <c r="V6362" s="2">
        <v>62</v>
      </c>
      <c r="W6362" s="2" t="s">
        <v>7862</v>
      </c>
      <c r="X6362" s="2" t="s">
        <v>6687</v>
      </c>
      <c r="Y6362" s="2">
        <v>17400</v>
      </c>
      <c r="Z6362" s="19" t="str">
        <f>HYPERLINK("https://ssdweb.co/ssdweb/hd/Vision360.html?d=926990453&amp;zoomslide=1&amp;z=1926990453&amp;ISCONFIRM=0","VIDEO")</f>
        <v>VIDEO</v>
      </c>
      <c r="AA6362" s="19" t="str">
        <f>HYPERLINK("https://ssdweb.co/ssdweb/CERTH/666408415.pdf","CERTI")</f>
        <v>CERTI</v>
      </c>
    </row>
    <row r="6363" spans="1:27" ht="15" x14ac:dyDescent="0.25">
      <c r="A6363" s="2">
        <v>6358</v>
      </c>
      <c r="B6363" s="39">
        <v>927040784</v>
      </c>
      <c r="C6363" s="28" t="str">
        <f>HYPERLINK("https://pld.live/RapDetail.aspx?STONELIST=927040784","DNA")</f>
        <v>DNA</v>
      </c>
      <c r="D6363" s="18" t="s">
        <v>711</v>
      </c>
      <c r="E6363" s="18" t="s">
        <v>2186</v>
      </c>
      <c r="F6363" s="2" t="s">
        <v>7987</v>
      </c>
      <c r="G6363" s="2" t="s">
        <v>6781</v>
      </c>
      <c r="H6363" s="14">
        <v>1.5</v>
      </c>
      <c r="I6363" s="2" t="s">
        <v>4761</v>
      </c>
      <c r="J6363" s="2" t="s">
        <v>3942</v>
      </c>
      <c r="K6363" s="2" t="s">
        <v>1452</v>
      </c>
      <c r="L6363" s="2" t="s">
        <v>5221</v>
      </c>
      <c r="M6363" s="2" t="s">
        <v>5221</v>
      </c>
      <c r="N6363" s="2" t="s">
        <v>2317</v>
      </c>
      <c r="O6363" s="14">
        <v>11600</v>
      </c>
      <c r="P6363" s="14">
        <v>98.84</v>
      </c>
      <c r="Q6363" s="14">
        <v>134.56</v>
      </c>
      <c r="R6363" s="14">
        <v>201.84</v>
      </c>
      <c r="S6363" s="2" t="s">
        <v>5775</v>
      </c>
      <c r="T6363" s="2">
        <v>1.48</v>
      </c>
      <c r="U6363" s="2">
        <v>59.4</v>
      </c>
      <c r="V6363" s="2">
        <v>62</v>
      </c>
      <c r="W6363" s="2" t="s">
        <v>7862</v>
      </c>
      <c r="X6363" s="2" t="s">
        <v>6687</v>
      </c>
      <c r="Y6363" s="2">
        <v>17400</v>
      </c>
      <c r="Z6363" s="19" t="str">
        <f>HYPERLINK("https://ssdweb.co/ssdweb/hd/Vision360.html?d=927040784&amp;zoomslide=1&amp;z=1927040784&amp;ISCONFIRM=0","VIDEO")</f>
        <v>VIDEO</v>
      </c>
      <c r="AA6363" s="19" t="str">
        <f>HYPERLINK("https://ssdweb.co/ssdweb/CERTH/670484484.pdf","CERTI")</f>
        <v>CERTI</v>
      </c>
    </row>
    <row r="6364" spans="1:27" ht="15" x14ac:dyDescent="0.25">
      <c r="A6364" s="2">
        <v>6359</v>
      </c>
      <c r="B6364" s="39">
        <v>926830885</v>
      </c>
      <c r="C6364" s="28" t="str">
        <f>HYPERLINK("https://pld.live/RapDetail.aspx?STONELIST=926830885","DNA")</f>
        <v>DNA</v>
      </c>
      <c r="D6364" s="18" t="s">
        <v>711</v>
      </c>
      <c r="E6364" s="18" t="s">
        <v>5128</v>
      </c>
      <c r="F6364" s="2" t="s">
        <v>7987</v>
      </c>
      <c r="G6364" s="2" t="s">
        <v>6781</v>
      </c>
      <c r="H6364" s="14">
        <v>1.5</v>
      </c>
      <c r="I6364" s="2" t="s">
        <v>4761</v>
      </c>
      <c r="J6364" s="2" t="s">
        <v>13</v>
      </c>
      <c r="K6364" s="2" t="s">
        <v>1452</v>
      </c>
      <c r="L6364" s="2" t="s">
        <v>5221</v>
      </c>
      <c r="M6364" s="2" t="s">
        <v>5221</v>
      </c>
      <c r="N6364" s="2" t="s">
        <v>2317</v>
      </c>
      <c r="O6364" s="14">
        <v>10800</v>
      </c>
      <c r="P6364" s="14">
        <v>98.81</v>
      </c>
      <c r="Q6364" s="14">
        <v>128.52000000000001</v>
      </c>
      <c r="R6364" s="14">
        <v>192.78</v>
      </c>
      <c r="S6364" s="2" t="s">
        <v>669</v>
      </c>
      <c r="T6364" s="2">
        <v>1.47</v>
      </c>
      <c r="U6364" s="2">
        <v>60.9</v>
      </c>
      <c r="V6364" s="2">
        <v>59</v>
      </c>
      <c r="W6364" s="2" t="s">
        <v>7862</v>
      </c>
      <c r="X6364" s="2" t="s">
        <v>6687</v>
      </c>
      <c r="Y6364" s="2">
        <v>16200</v>
      </c>
      <c r="Z6364" s="19" t="str">
        <f>HYPERLINK("https://ssdweb.co/ssdweb/hd/Vision360.html?d=926830885&amp;zoomslide=1&amp;z=1926830885&amp;ISCONFIRM=0","VIDEO")</f>
        <v>VIDEO</v>
      </c>
      <c r="AA6364" s="19" t="str">
        <f>HYPERLINK("https://ssdweb.co/ssdweb/CERTH/653427306.pdf","CERTI")</f>
        <v>CERTI</v>
      </c>
    </row>
    <row r="6365" spans="1:27" ht="15" x14ac:dyDescent="0.25">
      <c r="A6365" s="2">
        <v>6360</v>
      </c>
      <c r="B6365" s="39">
        <v>927040781</v>
      </c>
      <c r="C6365" s="28" t="str">
        <f>HYPERLINK("https://pld.live/RapDetail.aspx?STONELIST=927040781","DNA")</f>
        <v>DNA</v>
      </c>
      <c r="D6365" s="18" t="s">
        <v>711</v>
      </c>
      <c r="E6365" s="18" t="s">
        <v>2186</v>
      </c>
      <c r="F6365" s="2" t="s">
        <v>7987</v>
      </c>
      <c r="G6365" s="2" t="s">
        <v>6781</v>
      </c>
      <c r="H6365" s="14">
        <v>1.5</v>
      </c>
      <c r="I6365" s="2" t="s">
        <v>4761</v>
      </c>
      <c r="J6365" s="2" t="s">
        <v>13</v>
      </c>
      <c r="K6365" s="2" t="s">
        <v>1452</v>
      </c>
      <c r="L6365" s="2" t="s">
        <v>5221</v>
      </c>
      <c r="M6365" s="2" t="s">
        <v>5221</v>
      </c>
      <c r="N6365" s="2" t="s">
        <v>2317</v>
      </c>
      <c r="O6365" s="14">
        <v>10800</v>
      </c>
      <c r="P6365" s="14">
        <v>98.8</v>
      </c>
      <c r="Q6365" s="14">
        <v>129.6</v>
      </c>
      <c r="R6365" s="14">
        <v>194.4</v>
      </c>
      <c r="S6365" s="2" t="s">
        <v>4744</v>
      </c>
      <c r="T6365" s="2">
        <v>1.51</v>
      </c>
      <c r="U6365" s="2">
        <v>62.4</v>
      </c>
      <c r="V6365" s="2">
        <v>60</v>
      </c>
      <c r="W6365" s="2" t="s">
        <v>7862</v>
      </c>
      <c r="X6365" s="2" t="s">
        <v>6687</v>
      </c>
      <c r="Y6365" s="2">
        <v>16200</v>
      </c>
      <c r="Z6365" s="19" t="str">
        <f>HYPERLINK("https://ssdweb.co/ssdweb/hd/Vision360.html?d=927040781&amp;zoomslide=1&amp;z=1927040781&amp;ISCONFIRM=0","VIDEO")</f>
        <v>VIDEO</v>
      </c>
      <c r="AA6365" s="19" t="str">
        <f>HYPERLINK("https://ssdweb.co/ssdweb/CERTH/670484513.pdf","CERTI")</f>
        <v>CERTI</v>
      </c>
    </row>
    <row r="6366" spans="1:27" ht="15" x14ac:dyDescent="0.25">
      <c r="A6366" s="2">
        <v>6361</v>
      </c>
      <c r="B6366" s="39">
        <v>927010366</v>
      </c>
      <c r="C6366" s="28" t="str">
        <f>HYPERLINK("https://pld.live/RapDetail.aspx?STONELIST=927010366","DNA")</f>
        <v>DNA</v>
      </c>
      <c r="D6366" s="18" t="s">
        <v>711</v>
      </c>
      <c r="E6366" s="18" t="s">
        <v>2186</v>
      </c>
      <c r="F6366" s="2" t="s">
        <v>7987</v>
      </c>
      <c r="G6366" s="2" t="s">
        <v>6781</v>
      </c>
      <c r="H6366" s="14">
        <v>1.5</v>
      </c>
      <c r="I6366" s="2" t="s">
        <v>4761</v>
      </c>
      <c r="J6366" s="2" t="s">
        <v>5144</v>
      </c>
      <c r="K6366" s="2" t="s">
        <v>1452</v>
      </c>
      <c r="L6366" s="2" t="s">
        <v>5221</v>
      </c>
      <c r="M6366" s="2" t="s">
        <v>5221</v>
      </c>
      <c r="N6366" s="2" t="s">
        <v>2317</v>
      </c>
      <c r="O6366" s="14">
        <v>9300</v>
      </c>
      <c r="P6366" s="14">
        <v>98.66</v>
      </c>
      <c r="Q6366" s="14">
        <v>124.62</v>
      </c>
      <c r="R6366" s="14">
        <v>186.93</v>
      </c>
      <c r="S6366" s="2" t="s">
        <v>4361</v>
      </c>
      <c r="T6366" s="2">
        <v>1.52</v>
      </c>
      <c r="U6366" s="2">
        <v>60.5</v>
      </c>
      <c r="V6366" s="2">
        <v>61</v>
      </c>
      <c r="W6366" s="2" t="s">
        <v>7862</v>
      </c>
      <c r="X6366" s="2" t="s">
        <v>6687</v>
      </c>
      <c r="Y6366" s="2">
        <v>13950</v>
      </c>
      <c r="Z6366" s="19" t="str">
        <f>HYPERLINK("https://ssdweb.co/ssdweb/hd/Vision360.html?d=927010366&amp;zoomslide=1&amp;z=1927010366&amp;ISCONFIRM=0","VIDEO")</f>
        <v>VIDEO</v>
      </c>
      <c r="AA6366" s="19" t="str">
        <f>HYPERLINK("https://ssdweb.co/ssdweb/CERTH/666408417.pdf","CERTI")</f>
        <v>CERTI</v>
      </c>
    </row>
    <row r="6367" spans="1:27" ht="15" x14ac:dyDescent="0.25">
      <c r="A6367" s="2">
        <v>6362</v>
      </c>
      <c r="B6367" s="39">
        <v>927040793</v>
      </c>
      <c r="C6367" s="28" t="str">
        <f>HYPERLINK("https://pld.live/RapDetail.aspx?STONELIST=927040793","DNA")</f>
        <v>DNA</v>
      </c>
      <c r="D6367" s="18" t="s">
        <v>711</v>
      </c>
      <c r="E6367" s="18" t="s">
        <v>2186</v>
      </c>
      <c r="F6367" s="2" t="s">
        <v>7987</v>
      </c>
      <c r="G6367" s="2" t="s">
        <v>6781</v>
      </c>
      <c r="H6367" s="14">
        <v>1.5</v>
      </c>
      <c r="I6367" s="2" t="s">
        <v>4699</v>
      </c>
      <c r="J6367" s="2" t="s">
        <v>3942</v>
      </c>
      <c r="K6367" s="2" t="s">
        <v>1452</v>
      </c>
      <c r="L6367" s="2" t="s">
        <v>5221</v>
      </c>
      <c r="M6367" s="2" t="s">
        <v>5721</v>
      </c>
      <c r="N6367" s="2" t="s">
        <v>2317</v>
      </c>
      <c r="O6367" s="14">
        <v>10800</v>
      </c>
      <c r="P6367" s="14">
        <v>98.81</v>
      </c>
      <c r="Q6367" s="14">
        <v>128.52000000000001</v>
      </c>
      <c r="R6367" s="14">
        <v>192.78</v>
      </c>
      <c r="S6367" s="2" t="s">
        <v>6913</v>
      </c>
      <c r="T6367" s="2">
        <v>1.49</v>
      </c>
      <c r="U6367" s="2">
        <v>62.9</v>
      </c>
      <c r="V6367" s="2">
        <v>64</v>
      </c>
      <c r="W6367" s="2" t="s">
        <v>7862</v>
      </c>
      <c r="X6367" s="2" t="s">
        <v>6687</v>
      </c>
      <c r="Y6367" s="2">
        <v>16200</v>
      </c>
      <c r="Z6367" s="19" t="str">
        <f>HYPERLINK("https://ssdweb.co/ssdweb/hd/Vision360.html?d=927040793&amp;zoomslide=1&amp;z=1927040793&amp;ISCONFIRM=0","VIDEO")</f>
        <v>VIDEO</v>
      </c>
      <c r="AA6367" s="19" t="str">
        <f>HYPERLINK("https://ssdweb.co/ssdweb/CERTH/670484488.pdf","CERTI")</f>
        <v>CERTI</v>
      </c>
    </row>
    <row r="6368" spans="1:27" ht="15" x14ac:dyDescent="0.25">
      <c r="A6368" s="2">
        <v>6363</v>
      </c>
      <c r="B6368" s="39">
        <v>821126928</v>
      </c>
      <c r="C6368" s="28" t="str">
        <f>HYPERLINK("https://pld.live/RapDetail.aspx?STONELIST=821126928","DNA")</f>
        <v>DNA</v>
      </c>
      <c r="D6368" s="18" t="s">
        <v>5281</v>
      </c>
      <c r="E6368" s="18" t="s">
        <v>5128</v>
      </c>
      <c r="F6368" s="2" t="s">
        <v>7987</v>
      </c>
      <c r="G6368" s="2" t="s">
        <v>6781</v>
      </c>
      <c r="H6368" s="14">
        <v>1.49</v>
      </c>
      <c r="I6368" s="2" t="s">
        <v>4761</v>
      </c>
      <c r="J6368" s="2" t="s">
        <v>5144</v>
      </c>
      <c r="K6368" s="2" t="s">
        <v>1452</v>
      </c>
      <c r="L6368" s="2" t="s">
        <v>5221</v>
      </c>
      <c r="M6368" s="2" t="s">
        <v>5221</v>
      </c>
      <c r="N6368" s="2" t="s">
        <v>2317</v>
      </c>
      <c r="O6368" s="14">
        <v>5400</v>
      </c>
      <c r="P6368" s="14">
        <v>97.87</v>
      </c>
      <c r="Q6368" s="14">
        <v>115.02</v>
      </c>
      <c r="R6368" s="14">
        <v>171.38</v>
      </c>
      <c r="S6368" s="2" t="s">
        <v>8109</v>
      </c>
      <c r="T6368" s="2">
        <v>1.53</v>
      </c>
      <c r="U6368" s="2">
        <v>60.9</v>
      </c>
      <c r="V6368" s="2">
        <v>61</v>
      </c>
      <c r="W6368" s="2" t="s">
        <v>7862</v>
      </c>
      <c r="X6368" s="2" t="s">
        <v>6687</v>
      </c>
      <c r="Y6368" s="2">
        <v>8046</v>
      </c>
      <c r="Z6368" s="19" t="str">
        <f>HYPERLINK("https://ssdweb.co/ssdweb/hd/Vision360.html?d=821126928&amp;zoomslide=1&amp;z=1821126928&amp;ISCONFIRM=0","VIDEO")</f>
        <v>VIDEO</v>
      </c>
      <c r="AA6368" s="19" t="str">
        <f>HYPERLINK("https://ssdweb.co/ssdweb/CERTH/622474020.pdf","CERTI")</f>
        <v>CERTI</v>
      </c>
    </row>
    <row r="6369" spans="1:27" ht="15" x14ac:dyDescent="0.25">
      <c r="A6369" s="2">
        <v>6364</v>
      </c>
      <c r="B6369" s="39">
        <v>821113115</v>
      </c>
      <c r="C6369" s="28" t="str">
        <f>HYPERLINK("https://pld.live/RapDetail.aspx?STONELIST=821113115","DNA")</f>
        <v>DNA</v>
      </c>
      <c r="D6369" s="18" t="s">
        <v>5281</v>
      </c>
      <c r="E6369" s="18" t="s">
        <v>2186</v>
      </c>
      <c r="F6369" s="2" t="s">
        <v>7987</v>
      </c>
      <c r="G6369" s="2" t="s">
        <v>6781</v>
      </c>
      <c r="H6369" s="14">
        <v>1.47</v>
      </c>
      <c r="I6369" s="2" t="s">
        <v>4699</v>
      </c>
      <c r="J6369" s="2" t="s">
        <v>13</v>
      </c>
      <c r="K6369" s="2" t="s">
        <v>1452</v>
      </c>
      <c r="L6369" s="2" t="s">
        <v>5221</v>
      </c>
      <c r="M6369" s="2" t="s">
        <v>5221</v>
      </c>
      <c r="N6369" s="2" t="s">
        <v>2317</v>
      </c>
      <c r="O6369" s="14">
        <v>5800</v>
      </c>
      <c r="P6369" s="14">
        <v>98.02</v>
      </c>
      <c r="Q6369" s="14">
        <v>114.84</v>
      </c>
      <c r="R6369" s="14">
        <v>168.81</v>
      </c>
      <c r="S6369" s="2" t="s">
        <v>5442</v>
      </c>
      <c r="T6369" s="2">
        <v>1.51</v>
      </c>
      <c r="U6369" s="2">
        <v>62</v>
      </c>
      <c r="V6369" s="2">
        <v>61</v>
      </c>
      <c r="W6369" s="2" t="s">
        <v>7862</v>
      </c>
      <c r="X6369" s="2" t="s">
        <v>6687</v>
      </c>
      <c r="Y6369" s="2">
        <v>8526</v>
      </c>
      <c r="Z6369" s="19" t="str">
        <f>HYPERLINK("https://ssdweb.co/ssdweb/hd/Vision360.html?d=821113115&amp;zoomslide=1&amp;z=1821113115&amp;ISCONFIRM=0","VIDEO")</f>
        <v>VIDEO</v>
      </c>
      <c r="AA6369" s="19" t="str">
        <f>HYPERLINK("https://ssdweb.co/ssdweb/CERTH/621403930.pdf","CERTI")</f>
        <v>CERTI</v>
      </c>
    </row>
    <row r="6370" spans="1:27" ht="15" x14ac:dyDescent="0.25">
      <c r="A6370" s="2">
        <v>6365</v>
      </c>
      <c r="B6370" s="39">
        <v>925670223</v>
      </c>
      <c r="C6370" s="28" t="str">
        <f>HYPERLINK("https://pld.live/RapDetail.aspx?STONELIST=925670223","DNA")</f>
        <v>DNA</v>
      </c>
      <c r="D6370" s="18" t="s">
        <v>5281</v>
      </c>
      <c r="E6370" s="18" t="s">
        <v>2186</v>
      </c>
      <c r="F6370" s="2" t="s">
        <v>7987</v>
      </c>
      <c r="G6370" s="2" t="s">
        <v>6781</v>
      </c>
      <c r="H6370" s="14">
        <v>1.43</v>
      </c>
      <c r="I6370" s="2" t="s">
        <v>4699</v>
      </c>
      <c r="J6370" s="2" t="s">
        <v>5144</v>
      </c>
      <c r="K6370" s="2" t="s">
        <v>1452</v>
      </c>
      <c r="L6370" s="2" t="s">
        <v>5221</v>
      </c>
      <c r="M6370" s="2" t="s">
        <v>5221</v>
      </c>
      <c r="N6370" s="2" t="s">
        <v>2317</v>
      </c>
      <c r="O6370" s="14">
        <v>5100</v>
      </c>
      <c r="P6370" s="14">
        <v>97.84</v>
      </c>
      <c r="Q6370" s="14">
        <v>110.16</v>
      </c>
      <c r="R6370" s="14">
        <v>157.53</v>
      </c>
      <c r="S6370" s="2" t="s">
        <v>3596</v>
      </c>
      <c r="T6370" s="2">
        <v>1.58</v>
      </c>
      <c r="U6370" s="2">
        <v>61.8</v>
      </c>
      <c r="V6370" s="2">
        <v>63</v>
      </c>
      <c r="W6370" s="2" t="s">
        <v>7862</v>
      </c>
      <c r="X6370" s="2" t="s">
        <v>6687</v>
      </c>
      <c r="Y6370" s="2">
        <v>7293</v>
      </c>
      <c r="Z6370" s="19" t="str">
        <f>HYPERLINK("https://ssdweb.co/ssdweb/hd/Vision360.html?d=925670223&amp;zoomslide=1&amp;z=1925670223&amp;ISCONFIRM=0","VIDEO")</f>
        <v>VIDEO</v>
      </c>
      <c r="AA6370" s="19" t="str">
        <f>HYPERLINK("https://ssdweb.co/ssdweb/CERTH/626457278.pdf","CERTI")</f>
        <v>CERTI</v>
      </c>
    </row>
    <row r="6371" spans="1:27" ht="15" x14ac:dyDescent="0.25">
      <c r="A6371" s="2">
        <v>6366</v>
      </c>
      <c r="B6371" s="39">
        <v>925880268</v>
      </c>
      <c r="C6371" s="28" t="str">
        <f>HYPERLINK("https://pld.live/RapDetail.aspx?STONELIST=925880268","DNA")</f>
        <v>DNA</v>
      </c>
      <c r="D6371" s="18" t="s">
        <v>5281</v>
      </c>
      <c r="E6371" s="18" t="s">
        <v>2186</v>
      </c>
      <c r="F6371" s="2" t="s">
        <v>7987</v>
      </c>
      <c r="G6371" s="2" t="s">
        <v>6781</v>
      </c>
      <c r="H6371" s="14">
        <v>1.42</v>
      </c>
      <c r="I6371" s="2" t="s">
        <v>267</v>
      </c>
      <c r="J6371" s="2" t="s">
        <v>3942</v>
      </c>
      <c r="K6371" s="2" t="s">
        <v>1452</v>
      </c>
      <c r="L6371" s="2" t="s">
        <v>5221</v>
      </c>
      <c r="M6371" s="2" t="s">
        <v>5221</v>
      </c>
      <c r="N6371" s="2" t="s">
        <v>2317</v>
      </c>
      <c r="O6371" s="14">
        <v>7600</v>
      </c>
      <c r="P6371" s="14">
        <v>98.22</v>
      </c>
      <c r="Q6371" s="14">
        <v>135.28</v>
      </c>
      <c r="R6371" s="14">
        <v>192.1</v>
      </c>
      <c r="S6371" s="2" t="s">
        <v>3754</v>
      </c>
      <c r="T6371" s="2">
        <v>1.54</v>
      </c>
      <c r="U6371" s="2">
        <v>62.3</v>
      </c>
      <c r="V6371" s="2">
        <v>61</v>
      </c>
      <c r="W6371" s="2" t="s">
        <v>7862</v>
      </c>
      <c r="X6371" s="2" t="s">
        <v>6687</v>
      </c>
      <c r="Y6371" s="2">
        <v>10792</v>
      </c>
      <c r="Z6371" s="19" t="str">
        <f>HYPERLINK("https://ssdweb.co/ssdweb/hd/Vision360.html?d=925880268&amp;zoomslide=1&amp;z=1925880268&amp;ISCONFIRM=0","VIDEO")</f>
        <v>VIDEO</v>
      </c>
      <c r="AA6371" s="19" t="str">
        <f>HYPERLINK("https://ssdweb.co/ssdweb/CERTH/629478926.pdf","CERTI")</f>
        <v>CERTI</v>
      </c>
    </row>
    <row r="6372" spans="1:27" ht="15" x14ac:dyDescent="0.25">
      <c r="A6372" s="2">
        <v>6367</v>
      </c>
      <c r="B6372" s="39">
        <v>927160145</v>
      </c>
      <c r="C6372" s="28" t="str">
        <f>HYPERLINK("https://pld.live/RapDetail.aspx?STONELIST=927160145","DNA")</f>
        <v>DNA</v>
      </c>
      <c r="D6372" s="18" t="s">
        <v>5281</v>
      </c>
      <c r="E6372" s="18" t="s">
        <v>2186</v>
      </c>
      <c r="F6372" s="2" t="s">
        <v>7987</v>
      </c>
      <c r="G6372" s="2" t="s">
        <v>6781</v>
      </c>
      <c r="H6372" s="14">
        <v>1.42</v>
      </c>
      <c r="I6372" s="2" t="s">
        <v>4699</v>
      </c>
      <c r="J6372" s="2" t="s">
        <v>3942</v>
      </c>
      <c r="K6372" s="2" t="s">
        <v>1452</v>
      </c>
      <c r="L6372" s="2" t="s">
        <v>5221</v>
      </c>
      <c r="M6372" s="2" t="s">
        <v>5221</v>
      </c>
      <c r="N6372" s="2" t="s">
        <v>2317</v>
      </c>
      <c r="O6372" s="14">
        <v>6400</v>
      </c>
      <c r="P6372" s="14">
        <v>98.05</v>
      </c>
      <c r="Q6372" s="14">
        <v>124.8</v>
      </c>
      <c r="R6372" s="14">
        <v>177.22</v>
      </c>
      <c r="S6372" s="2" t="s">
        <v>5652</v>
      </c>
      <c r="T6372" s="2">
        <v>1.64</v>
      </c>
      <c r="U6372" s="2">
        <v>59.7</v>
      </c>
      <c r="V6372" s="2">
        <v>62</v>
      </c>
      <c r="W6372" s="2" t="s">
        <v>7862</v>
      </c>
      <c r="X6372" s="2" t="s">
        <v>6687</v>
      </c>
      <c r="Y6372" s="2">
        <v>9088</v>
      </c>
      <c r="Z6372" s="19" t="str">
        <f>HYPERLINK("https://ssdweb.co/ssdweb/hd/Vision360.html?d=927160145&amp;zoomslide=1&amp;z=1927160145&amp;ISCONFIRM=0","VIDEO")</f>
        <v>VIDEO</v>
      </c>
      <c r="AA6372" s="19" t="str">
        <f>HYPERLINK("https://ssdweb.co/ssdweb/CERTH/671477227.pdf","CERTI")</f>
        <v>CERTI</v>
      </c>
    </row>
    <row r="6373" spans="1:27" ht="15" x14ac:dyDescent="0.25">
      <c r="A6373" s="2">
        <v>6368</v>
      </c>
      <c r="B6373" s="39">
        <v>926960845</v>
      </c>
      <c r="C6373" s="28" t="str">
        <f>HYPERLINK("https://pld.live/RapDetail.aspx?STONELIST=926960845","DNA")</f>
        <v>DNA</v>
      </c>
      <c r="D6373" s="18" t="s">
        <v>5281</v>
      </c>
      <c r="E6373" s="18" t="s">
        <v>5128</v>
      </c>
      <c r="F6373" s="2" t="s">
        <v>7987</v>
      </c>
      <c r="G6373" s="2" t="s">
        <v>6781</v>
      </c>
      <c r="H6373" s="14">
        <v>1.4</v>
      </c>
      <c r="I6373" s="2" t="s">
        <v>267</v>
      </c>
      <c r="J6373" s="2" t="s">
        <v>13</v>
      </c>
      <c r="K6373" s="2" t="s">
        <v>1452</v>
      </c>
      <c r="L6373" s="2" t="s">
        <v>5221</v>
      </c>
      <c r="M6373" s="2" t="s">
        <v>5221</v>
      </c>
      <c r="N6373" s="2" t="s">
        <v>2317</v>
      </c>
      <c r="O6373" s="14">
        <v>6700</v>
      </c>
      <c r="P6373" s="14">
        <v>98.06</v>
      </c>
      <c r="Q6373" s="14">
        <v>129.97999999999999</v>
      </c>
      <c r="R6373" s="14">
        <v>181.97</v>
      </c>
      <c r="S6373" s="2" t="s">
        <v>3984</v>
      </c>
      <c r="T6373" s="2">
        <v>1.52</v>
      </c>
      <c r="U6373" s="2">
        <v>62.5</v>
      </c>
      <c r="V6373" s="2">
        <v>61</v>
      </c>
      <c r="W6373" s="2" t="s">
        <v>7862</v>
      </c>
      <c r="X6373" s="2" t="s">
        <v>6687</v>
      </c>
      <c r="Y6373" s="2">
        <v>9380</v>
      </c>
      <c r="Z6373" s="19" t="str">
        <f>HYPERLINK("https://ssdweb.co/ssdweb/hd/Vision360.html?d=926960845&amp;zoomslide=1&amp;z=1926960845&amp;ISCONFIRM=0","VIDEO")</f>
        <v>VIDEO</v>
      </c>
      <c r="AA6373" s="19" t="str">
        <f>HYPERLINK("https://ssdweb.co/ssdweb/CERTH/660440549.pdf","CERTI")</f>
        <v>CERTI</v>
      </c>
    </row>
    <row r="6374" spans="1:27" ht="15" x14ac:dyDescent="0.25">
      <c r="A6374" s="2">
        <v>6369</v>
      </c>
      <c r="B6374" s="39">
        <v>941250693</v>
      </c>
      <c r="C6374" s="28" t="str">
        <f>HYPERLINK("https://pld.live/RapDetail.aspx?STONELIST=941250693","DNA")</f>
        <v>DNA</v>
      </c>
      <c r="D6374" s="18" t="s">
        <v>5281</v>
      </c>
      <c r="E6374" s="18" t="s">
        <v>2186</v>
      </c>
      <c r="F6374" s="2" t="s">
        <v>7987</v>
      </c>
      <c r="G6374" s="2" t="s">
        <v>6781</v>
      </c>
      <c r="H6374" s="14">
        <v>1.4</v>
      </c>
      <c r="I6374" s="2" t="s">
        <v>4699</v>
      </c>
      <c r="J6374" s="2" t="s">
        <v>13</v>
      </c>
      <c r="K6374" s="2" t="s">
        <v>1452</v>
      </c>
      <c r="L6374" s="2" t="s">
        <v>5221</v>
      </c>
      <c r="M6374" s="2" t="s">
        <v>5221</v>
      </c>
      <c r="N6374" s="2" t="s">
        <v>2317</v>
      </c>
      <c r="O6374" s="14">
        <v>5800</v>
      </c>
      <c r="P6374" s="14">
        <v>97.93</v>
      </c>
      <c r="Q6374" s="14">
        <v>120.06</v>
      </c>
      <c r="R6374" s="14">
        <v>168.08</v>
      </c>
      <c r="S6374" s="2" t="s">
        <v>7487</v>
      </c>
      <c r="T6374" s="2">
        <v>1.51</v>
      </c>
      <c r="U6374" s="2">
        <v>61.6</v>
      </c>
      <c r="V6374" s="2">
        <v>62</v>
      </c>
      <c r="W6374" s="2" t="s">
        <v>7862</v>
      </c>
      <c r="X6374" s="2" t="s">
        <v>6687</v>
      </c>
      <c r="Y6374" s="2">
        <v>8120</v>
      </c>
      <c r="Z6374" s="19" t="str">
        <f>HYPERLINK("https://ssdweb.co/ssdweb/hd/Vision360.html?d=941250693&amp;zoomslide=1&amp;z=1941250693&amp;ISCONFIRM=0","VIDEO")</f>
        <v>VIDEO</v>
      </c>
      <c r="AA6374" s="19" t="str">
        <f>HYPERLINK("https://ssdweb.co/ssdweb/CERTH/689543245.pdf","CERTI")</f>
        <v>CERTI</v>
      </c>
    </row>
    <row r="6375" spans="1:27" ht="15" x14ac:dyDescent="0.25">
      <c r="A6375" s="2">
        <v>6370</v>
      </c>
      <c r="B6375" s="39">
        <v>821114736</v>
      </c>
      <c r="C6375" s="28" t="str">
        <f>HYPERLINK("https://pld.live/RapDetail.aspx?STONELIST=821114736","DNA")</f>
        <v>DNA</v>
      </c>
      <c r="D6375" s="18" t="s">
        <v>5235</v>
      </c>
      <c r="E6375" s="18" t="s">
        <v>2186</v>
      </c>
      <c r="F6375" s="2" t="s">
        <v>7987</v>
      </c>
      <c r="G6375" s="2" t="s">
        <v>6781</v>
      </c>
      <c r="H6375" s="14">
        <v>1.39</v>
      </c>
      <c r="I6375" s="2" t="s">
        <v>4761</v>
      </c>
      <c r="J6375" s="2" t="s">
        <v>13</v>
      </c>
      <c r="K6375" s="2" t="s">
        <v>1452</v>
      </c>
      <c r="L6375" s="2" t="s">
        <v>5221</v>
      </c>
      <c r="M6375" s="2" t="s">
        <v>5221</v>
      </c>
      <c r="N6375" s="2" t="s">
        <v>2317</v>
      </c>
      <c r="O6375" s="14">
        <v>6200</v>
      </c>
      <c r="P6375" s="14">
        <v>98.15</v>
      </c>
      <c r="Q6375" s="14">
        <v>114.7</v>
      </c>
      <c r="R6375" s="14">
        <v>159.43</v>
      </c>
      <c r="S6375" s="2" t="s">
        <v>3116</v>
      </c>
      <c r="T6375" s="2">
        <v>1.6</v>
      </c>
      <c r="U6375" s="2">
        <v>62.7</v>
      </c>
      <c r="V6375" s="2">
        <v>58</v>
      </c>
      <c r="W6375" s="2" t="s">
        <v>7862</v>
      </c>
      <c r="X6375" s="2" t="s">
        <v>6687</v>
      </c>
      <c r="Y6375" s="2">
        <v>8618</v>
      </c>
      <c r="Z6375" s="19" t="str">
        <f>HYPERLINK("https://ssdweb.co/ssdweb/hd/Vision360.html?d=821114736&amp;zoomslide=1&amp;z=1821114736&amp;ISCONFIRM=0","VIDEO")</f>
        <v>VIDEO</v>
      </c>
      <c r="AA6375" s="19" t="str">
        <f>HYPERLINK("https://ssdweb.co/ssdweb/CERTH/626479910.pdf","CERTI")</f>
        <v>CERTI</v>
      </c>
    </row>
    <row r="6376" spans="1:27" ht="15" x14ac:dyDescent="0.25">
      <c r="A6376" s="2">
        <v>6371</v>
      </c>
      <c r="B6376" s="39">
        <v>925710202</v>
      </c>
      <c r="C6376" s="28" t="str">
        <f>HYPERLINK("https://pld.live/RapDetail.aspx?STONELIST=925710202","DNA")</f>
        <v>DNA</v>
      </c>
      <c r="D6376" s="18" t="s">
        <v>5235</v>
      </c>
      <c r="E6376" s="18" t="s">
        <v>2186</v>
      </c>
      <c r="F6376" s="2" t="s">
        <v>7987</v>
      </c>
      <c r="G6376" s="2" t="s">
        <v>6781</v>
      </c>
      <c r="H6376" s="14">
        <v>1.39</v>
      </c>
      <c r="I6376" s="2" t="s">
        <v>6587</v>
      </c>
      <c r="J6376" s="2" t="s">
        <v>5144</v>
      </c>
      <c r="K6376" s="2" t="s">
        <v>1452</v>
      </c>
      <c r="L6376" s="2" t="s">
        <v>5221</v>
      </c>
      <c r="M6376" s="2" t="s">
        <v>5221</v>
      </c>
      <c r="N6376" s="2" t="s">
        <v>2317</v>
      </c>
      <c r="O6376" s="14">
        <v>4800</v>
      </c>
      <c r="P6376" s="14">
        <v>97.96</v>
      </c>
      <c r="Q6376" s="14">
        <v>97.92</v>
      </c>
      <c r="R6376" s="14">
        <v>136.11000000000001</v>
      </c>
      <c r="S6376" s="2" t="s">
        <v>2206</v>
      </c>
      <c r="T6376" s="2">
        <v>1.63</v>
      </c>
      <c r="U6376" s="2">
        <v>60.3</v>
      </c>
      <c r="V6376" s="2">
        <v>62</v>
      </c>
      <c r="W6376" s="2" t="s">
        <v>8016</v>
      </c>
      <c r="X6376" s="2" t="s">
        <v>6687</v>
      </c>
      <c r="Y6376" s="2">
        <v>6672</v>
      </c>
      <c r="Z6376" s="19" t="str">
        <f>HYPERLINK("https://ssdweb.co/ssdweb/hd/Vision360.html?d=925710202&amp;zoomslide=1&amp;z=1925710202&amp;ISCONFIRM=0","VIDEO")</f>
        <v>VIDEO</v>
      </c>
      <c r="AA6376" s="19" t="str">
        <f>HYPERLINK("https://ssdweb.co/ssdweb/CERTH/627410463.pdf","CERTI")</f>
        <v>CERTI</v>
      </c>
    </row>
    <row r="6377" spans="1:27" ht="15" x14ac:dyDescent="0.25">
      <c r="A6377" s="2">
        <v>6372</v>
      </c>
      <c r="B6377" s="39">
        <v>927010779</v>
      </c>
      <c r="C6377" s="28" t="str">
        <f>HYPERLINK("https://pld.live/RapDetail.aspx?STONELIST=927010779","DNA")</f>
        <v>DNA</v>
      </c>
      <c r="D6377" s="18" t="s">
        <v>5235</v>
      </c>
      <c r="E6377" s="18" t="s">
        <v>2186</v>
      </c>
      <c r="F6377" s="2" t="s">
        <v>7987</v>
      </c>
      <c r="G6377" s="2" t="s">
        <v>6781</v>
      </c>
      <c r="H6377" s="14">
        <v>1.38</v>
      </c>
      <c r="I6377" s="2" t="s">
        <v>4699</v>
      </c>
      <c r="J6377" s="2" t="s">
        <v>3942</v>
      </c>
      <c r="K6377" s="2" t="s">
        <v>1452</v>
      </c>
      <c r="L6377" s="2" t="s">
        <v>5221</v>
      </c>
      <c r="M6377" s="2" t="s">
        <v>5221</v>
      </c>
      <c r="N6377" s="2" t="s">
        <v>2317</v>
      </c>
      <c r="O6377" s="14">
        <v>6400</v>
      </c>
      <c r="P6377" s="14">
        <v>98.13</v>
      </c>
      <c r="Q6377" s="14">
        <v>119.68</v>
      </c>
      <c r="R6377" s="14">
        <v>165.16</v>
      </c>
      <c r="S6377" s="2" t="s">
        <v>1701</v>
      </c>
      <c r="T6377" s="2">
        <v>1.53</v>
      </c>
      <c r="U6377" s="2">
        <v>61.9</v>
      </c>
      <c r="V6377" s="2">
        <v>63</v>
      </c>
      <c r="W6377" s="2" t="s">
        <v>7862</v>
      </c>
      <c r="X6377" s="2" t="s">
        <v>6687</v>
      </c>
      <c r="Y6377" s="2">
        <v>8832</v>
      </c>
      <c r="Z6377" s="19" t="str">
        <f>HYPERLINK("https://ssdweb.co/ssdweb/hd/Vision360.html?d=927010779&amp;zoomslide=1&amp;z=1927010779&amp;ISCONFIRM=0","VIDEO")</f>
        <v>VIDEO</v>
      </c>
      <c r="AA6377" s="19" t="str">
        <f>HYPERLINK("https://ssdweb.co/ssdweb/CERTH/670484470.pdf","CERTI")</f>
        <v>CERTI</v>
      </c>
    </row>
    <row r="6378" spans="1:27" ht="15" x14ac:dyDescent="0.25">
      <c r="A6378" s="2">
        <v>6373</v>
      </c>
      <c r="B6378" s="39">
        <v>926820073</v>
      </c>
      <c r="C6378" s="28" t="str">
        <f>HYPERLINK("https://pld.live/RapDetail.aspx?STONELIST=926820073","DNA")</f>
        <v>DNA</v>
      </c>
      <c r="D6378" s="18" t="s">
        <v>5235</v>
      </c>
      <c r="E6378" s="18" t="s">
        <v>2186</v>
      </c>
      <c r="F6378" s="2" t="s">
        <v>7987</v>
      </c>
      <c r="G6378" s="2" t="s">
        <v>6781</v>
      </c>
      <c r="H6378" s="14">
        <v>1.37</v>
      </c>
      <c r="I6378" s="2" t="s">
        <v>267</v>
      </c>
      <c r="J6378" s="2" t="s">
        <v>13</v>
      </c>
      <c r="K6378" s="2" t="s">
        <v>1452</v>
      </c>
      <c r="L6378" s="2" t="s">
        <v>5221</v>
      </c>
      <c r="M6378" s="2" t="s">
        <v>5221</v>
      </c>
      <c r="N6378" s="2" t="s">
        <v>2317</v>
      </c>
      <c r="O6378" s="14">
        <v>6700</v>
      </c>
      <c r="P6378" s="14">
        <v>98.13</v>
      </c>
      <c r="Q6378" s="14">
        <v>125.29</v>
      </c>
      <c r="R6378" s="14">
        <v>171.65</v>
      </c>
      <c r="S6378" s="2" t="s">
        <v>1044</v>
      </c>
      <c r="T6378" s="2">
        <v>1.62</v>
      </c>
      <c r="U6378" s="2">
        <v>59.8</v>
      </c>
      <c r="V6378" s="2">
        <v>63</v>
      </c>
      <c r="W6378" s="2" t="s">
        <v>7862</v>
      </c>
      <c r="X6378" s="2" t="s">
        <v>6687</v>
      </c>
      <c r="Y6378" s="2">
        <v>9179</v>
      </c>
      <c r="Z6378" s="19" t="str">
        <f>HYPERLINK("https://ssdweb.co/ssdweb/hd/Vision360.html?d=926820073&amp;zoomslide=1&amp;z=1926820073&amp;ISCONFIRM=0","VIDEO")</f>
        <v>VIDEO</v>
      </c>
      <c r="AA6378" s="19" t="str">
        <f>HYPERLINK("https://ssdweb.co/ssdweb/CERTH/660489649.pdf","CERTI")</f>
        <v>CERTI</v>
      </c>
    </row>
    <row r="6379" spans="1:27" ht="15" x14ac:dyDescent="0.25">
      <c r="A6379" s="2">
        <v>6374</v>
      </c>
      <c r="B6379" s="39">
        <v>926960858</v>
      </c>
      <c r="C6379" s="28" t="str">
        <f>HYPERLINK("https://pld.live/RapDetail.aspx?STONELIST=926960858","DNA")</f>
        <v>DNA</v>
      </c>
      <c r="D6379" s="18" t="s">
        <v>5235</v>
      </c>
      <c r="E6379" s="18" t="s">
        <v>5128</v>
      </c>
      <c r="F6379" s="2" t="s">
        <v>7987</v>
      </c>
      <c r="G6379" s="2" t="s">
        <v>6781</v>
      </c>
      <c r="H6379" s="14">
        <v>1.31</v>
      </c>
      <c r="I6379" s="2" t="s">
        <v>267</v>
      </c>
      <c r="J6379" s="2" t="s">
        <v>13</v>
      </c>
      <c r="K6379" s="2" t="s">
        <v>1452</v>
      </c>
      <c r="L6379" s="2" t="s">
        <v>5221</v>
      </c>
      <c r="M6379" s="2" t="s">
        <v>5221</v>
      </c>
      <c r="N6379" s="2" t="s">
        <v>2317</v>
      </c>
      <c r="O6379" s="14">
        <v>6700</v>
      </c>
      <c r="P6379" s="14">
        <v>98.13</v>
      </c>
      <c r="Q6379" s="14">
        <v>125.29</v>
      </c>
      <c r="R6379" s="14">
        <v>164.13</v>
      </c>
      <c r="S6379" s="2" t="s">
        <v>6607</v>
      </c>
      <c r="T6379" s="2">
        <v>1.56</v>
      </c>
      <c r="U6379" s="2">
        <v>62.1</v>
      </c>
      <c r="V6379" s="2">
        <v>60</v>
      </c>
      <c r="W6379" s="2" t="s">
        <v>7862</v>
      </c>
      <c r="X6379" s="2" t="s">
        <v>6687</v>
      </c>
      <c r="Y6379" s="2">
        <v>8777</v>
      </c>
      <c r="Z6379" s="19" t="str">
        <f>HYPERLINK("https://ssdweb.co/ssdweb/hd/Vision360.html?d=926960858&amp;zoomslide=1&amp;z=1926960858&amp;ISCONFIRM=0","VIDEO")</f>
        <v>VIDEO</v>
      </c>
      <c r="AA6379" s="19" t="str">
        <f>HYPERLINK("https://ssdweb.co/ssdweb/CERTH/670484382.pdf","CERTI")</f>
        <v>CERTI</v>
      </c>
    </row>
    <row r="6380" spans="1:27" ht="15" x14ac:dyDescent="0.25">
      <c r="A6380" s="2">
        <v>6375</v>
      </c>
      <c r="B6380" s="39">
        <v>821114730</v>
      </c>
      <c r="C6380" s="28" t="str">
        <f>HYPERLINK("https://pld.live/RapDetail.aspx?STONELIST=821114730","DNA")</f>
        <v>DNA</v>
      </c>
      <c r="D6380" s="18" t="s">
        <v>5235</v>
      </c>
      <c r="E6380" s="18" t="s">
        <v>2186</v>
      </c>
      <c r="F6380" s="2" t="s">
        <v>7987</v>
      </c>
      <c r="G6380" s="2" t="s">
        <v>6781</v>
      </c>
      <c r="H6380" s="14">
        <v>1.31</v>
      </c>
      <c r="I6380" s="2" t="s">
        <v>4699</v>
      </c>
      <c r="J6380" s="2" t="s">
        <v>3942</v>
      </c>
      <c r="K6380" s="2" t="s">
        <v>1452</v>
      </c>
      <c r="L6380" s="2" t="s">
        <v>5221</v>
      </c>
      <c r="M6380" s="2" t="s">
        <v>5221</v>
      </c>
      <c r="N6380" s="2" t="s">
        <v>2317</v>
      </c>
      <c r="O6380" s="14">
        <v>6400</v>
      </c>
      <c r="P6380" s="14">
        <v>98.16</v>
      </c>
      <c r="Q6380" s="14">
        <v>117.76</v>
      </c>
      <c r="R6380" s="14">
        <v>154.27000000000001</v>
      </c>
      <c r="S6380" s="2" t="s">
        <v>3302</v>
      </c>
      <c r="T6380" s="2">
        <v>1.67</v>
      </c>
      <c r="U6380" s="2">
        <v>64.599999999999994</v>
      </c>
      <c r="V6380" s="2">
        <v>58</v>
      </c>
      <c r="W6380" s="2" t="s">
        <v>7862</v>
      </c>
      <c r="X6380" s="2" t="s">
        <v>6687</v>
      </c>
      <c r="Y6380" s="2">
        <v>8384</v>
      </c>
      <c r="Z6380" s="19" t="str">
        <f>HYPERLINK("https://ssdweb.co/ssdweb/hd/Vision360.html?d=821114730&amp;zoomslide=1&amp;z=1821114730&amp;ISCONFIRM=0","VIDEO")</f>
        <v>VIDEO</v>
      </c>
      <c r="AA6380" s="19" t="str">
        <f>HYPERLINK("https://ssdweb.co/ssdweb/CERTH/626478918.pdf","CERTI")</f>
        <v>CERTI</v>
      </c>
    </row>
    <row r="6381" spans="1:27" ht="15" x14ac:dyDescent="0.25">
      <c r="A6381" s="2">
        <v>6376</v>
      </c>
      <c r="B6381" s="39">
        <v>927020703</v>
      </c>
      <c r="C6381" s="28" t="str">
        <f>HYPERLINK("https://pld.live/RapDetail.aspx?STONELIST=927020703","DNA")</f>
        <v>DNA</v>
      </c>
      <c r="D6381" s="18" t="s">
        <v>5235</v>
      </c>
      <c r="E6381" s="18" t="s">
        <v>2186</v>
      </c>
      <c r="F6381" s="2" t="s">
        <v>7987</v>
      </c>
      <c r="G6381" s="2" t="s">
        <v>6781</v>
      </c>
      <c r="H6381" s="14">
        <v>1.3</v>
      </c>
      <c r="I6381" s="2" t="s">
        <v>4699</v>
      </c>
      <c r="J6381" s="2" t="s">
        <v>3942</v>
      </c>
      <c r="K6381" s="2" t="s">
        <v>1452</v>
      </c>
      <c r="L6381" s="2" t="s">
        <v>5221</v>
      </c>
      <c r="M6381" s="2" t="s">
        <v>5221</v>
      </c>
      <c r="N6381" s="2" t="s">
        <v>2317</v>
      </c>
      <c r="O6381" s="14">
        <v>6400</v>
      </c>
      <c r="P6381" s="14">
        <v>98.13</v>
      </c>
      <c r="Q6381" s="14">
        <v>119.68</v>
      </c>
      <c r="R6381" s="14">
        <v>155.58000000000001</v>
      </c>
      <c r="S6381" s="2" t="s">
        <v>3768</v>
      </c>
      <c r="T6381" s="2">
        <v>1.54</v>
      </c>
      <c r="U6381" s="2">
        <v>62.4</v>
      </c>
      <c r="V6381" s="2">
        <v>61</v>
      </c>
      <c r="W6381" s="2" t="s">
        <v>7862</v>
      </c>
      <c r="X6381" s="2" t="s">
        <v>6687</v>
      </c>
      <c r="Y6381" s="2">
        <v>8320</v>
      </c>
      <c r="Z6381" s="19" t="str">
        <f>HYPERLINK("https://ssdweb.co/ssdweb/hd/Vision360.html?d=927020703&amp;zoomslide=1&amp;z=1927020703&amp;ISCONFIRM=0","VIDEO")</f>
        <v>VIDEO</v>
      </c>
      <c r="AA6381" s="19" t="str">
        <f>HYPERLINK("https://ssdweb.co/ssdweb/CERTH/668437143.pdf","CERTI")</f>
        <v>CERTI</v>
      </c>
    </row>
    <row r="6382" spans="1:27" ht="15" x14ac:dyDescent="0.25">
      <c r="A6382" s="2">
        <v>6377</v>
      </c>
      <c r="B6382" s="39">
        <v>926200088</v>
      </c>
      <c r="C6382" s="28" t="str">
        <f>HYPERLINK("https://pld.live/RapDetail.aspx?STONELIST=926200088","DNA")</f>
        <v>DNA</v>
      </c>
      <c r="D6382" s="18" t="s">
        <v>5235</v>
      </c>
      <c r="E6382" s="18" t="s">
        <v>5128</v>
      </c>
      <c r="F6382" s="2" t="s">
        <v>7987</v>
      </c>
      <c r="G6382" s="2" t="s">
        <v>6781</v>
      </c>
      <c r="H6382" s="14">
        <v>1.27</v>
      </c>
      <c r="I6382" s="2" t="s">
        <v>4761</v>
      </c>
      <c r="J6382" s="2" t="s">
        <v>7032</v>
      </c>
      <c r="K6382" s="2" t="s">
        <v>1452</v>
      </c>
      <c r="L6382" s="2" t="s">
        <v>5221</v>
      </c>
      <c r="M6382" s="2" t="s">
        <v>5221</v>
      </c>
      <c r="N6382" s="2" t="s">
        <v>2317</v>
      </c>
      <c r="O6382" s="14">
        <v>8200</v>
      </c>
      <c r="P6382" s="14">
        <v>96.43</v>
      </c>
      <c r="Q6382" s="14">
        <v>292.74</v>
      </c>
      <c r="R6382" s="14">
        <v>371.78</v>
      </c>
      <c r="S6382" s="2" t="s">
        <v>5694</v>
      </c>
      <c r="T6382" s="2">
        <v>1.53</v>
      </c>
      <c r="U6382" s="2">
        <v>62.1</v>
      </c>
      <c r="V6382" s="2">
        <v>61</v>
      </c>
      <c r="W6382" s="2" t="s">
        <v>7862</v>
      </c>
      <c r="X6382" s="2" t="s">
        <v>6687</v>
      </c>
      <c r="Y6382" s="2">
        <v>10414</v>
      </c>
      <c r="Z6382" s="19" t="str">
        <f>HYPERLINK("https://ssdweb.co/ssdweb/hd/Vision360.html?d=926200088&amp;zoomslide=1&amp;z=1926200088&amp;ISCONFIRM=0","VIDEO")</f>
        <v>VIDEO</v>
      </c>
      <c r="AA6382" s="19" t="str">
        <f>HYPERLINK("https://ssdweb.co/ssdweb/CERTH/634472371.pdf","CERTI")</f>
        <v>CERTI</v>
      </c>
    </row>
    <row r="6383" spans="1:27" ht="15" x14ac:dyDescent="0.25">
      <c r="A6383" s="2">
        <v>6378</v>
      </c>
      <c r="B6383" s="39">
        <v>941230648</v>
      </c>
      <c r="C6383" s="28" t="str">
        <f>HYPERLINK("https://pld.live/RapDetail.aspx?STONELIST=941230648","DNA")</f>
        <v>DNA</v>
      </c>
      <c r="D6383" s="18" t="s">
        <v>5235</v>
      </c>
      <c r="E6383" s="18" t="s">
        <v>2186</v>
      </c>
      <c r="F6383" s="2" t="s">
        <v>7987</v>
      </c>
      <c r="G6383" s="2" t="s">
        <v>6781</v>
      </c>
      <c r="H6383" s="14">
        <v>1.25</v>
      </c>
      <c r="I6383" s="2" t="s">
        <v>4761</v>
      </c>
      <c r="J6383" s="2" t="s">
        <v>3942</v>
      </c>
      <c r="K6383" s="2" t="s">
        <v>1452</v>
      </c>
      <c r="L6383" s="2" t="s">
        <v>5221</v>
      </c>
      <c r="M6383" s="2" t="s">
        <v>5221</v>
      </c>
      <c r="N6383" s="2" t="s">
        <v>2317</v>
      </c>
      <c r="O6383" s="14">
        <v>6900</v>
      </c>
      <c r="P6383" s="14">
        <v>98.19</v>
      </c>
      <c r="Q6383" s="14">
        <v>124.89</v>
      </c>
      <c r="R6383" s="14">
        <v>156.11000000000001</v>
      </c>
      <c r="S6383" s="2" t="s">
        <v>6275</v>
      </c>
      <c r="T6383" s="2">
        <v>1.54</v>
      </c>
      <c r="U6383" s="2">
        <v>60</v>
      </c>
      <c r="V6383" s="2">
        <v>62</v>
      </c>
      <c r="W6383" s="2" t="s">
        <v>7862</v>
      </c>
      <c r="X6383" s="2" t="s">
        <v>6687</v>
      </c>
      <c r="Y6383" s="2">
        <v>8625</v>
      </c>
      <c r="Z6383" s="19" t="str">
        <f>HYPERLINK("https://ssdweb.co/ssdweb/hd/Vision360.html?d=941230648&amp;zoomslide=1&amp;z=1941230648&amp;ISCONFIRM=0","VIDEO")</f>
        <v>VIDEO</v>
      </c>
      <c r="AA6383" s="19" t="str">
        <f>HYPERLINK("https://ssdweb.co/ssdweb/CERTH/681569640.pdf","CERTI")</f>
        <v>CERTI</v>
      </c>
    </row>
    <row r="6384" spans="1:27" ht="15" x14ac:dyDescent="0.25">
      <c r="A6384" s="2">
        <v>6379</v>
      </c>
      <c r="B6384" s="39">
        <v>927030799</v>
      </c>
      <c r="C6384" s="28" t="str">
        <f>HYPERLINK("https://pld.live/RapDetail.aspx?STONELIST=927030799","DNA")</f>
        <v>DNA</v>
      </c>
      <c r="D6384" s="18" t="s">
        <v>5235</v>
      </c>
      <c r="E6384" s="18" t="s">
        <v>2186</v>
      </c>
      <c r="F6384" s="2" t="s">
        <v>7987</v>
      </c>
      <c r="G6384" s="2" t="s">
        <v>6781</v>
      </c>
      <c r="H6384" s="14">
        <v>1.25</v>
      </c>
      <c r="I6384" s="2" t="s">
        <v>4761</v>
      </c>
      <c r="J6384" s="2" t="s">
        <v>13</v>
      </c>
      <c r="K6384" s="2" t="s">
        <v>1452</v>
      </c>
      <c r="L6384" s="2" t="s">
        <v>5221</v>
      </c>
      <c r="M6384" s="2" t="s">
        <v>5221</v>
      </c>
      <c r="N6384" s="2" t="s">
        <v>2317</v>
      </c>
      <c r="O6384" s="14">
        <v>6200</v>
      </c>
      <c r="P6384" s="14">
        <v>98.06</v>
      </c>
      <c r="Q6384" s="14">
        <v>120.28</v>
      </c>
      <c r="R6384" s="14">
        <v>150.35</v>
      </c>
      <c r="S6384" s="2" t="s">
        <v>4472</v>
      </c>
      <c r="T6384" s="2">
        <v>1.55</v>
      </c>
      <c r="U6384" s="2">
        <v>61.8</v>
      </c>
      <c r="V6384" s="2">
        <v>59</v>
      </c>
      <c r="W6384" s="2" t="s">
        <v>7862</v>
      </c>
      <c r="X6384" s="2" t="s">
        <v>6687</v>
      </c>
      <c r="Y6384" s="2">
        <v>7750</v>
      </c>
      <c r="Z6384" s="19" t="str">
        <f>HYPERLINK("https://ssdweb.co/ssdweb/hd/Vision360.html?d=927030799&amp;zoomslide=1&amp;z=1927030799&amp;ISCONFIRM=0","VIDEO")</f>
        <v>VIDEO</v>
      </c>
      <c r="AA6384" s="19" t="str">
        <f>HYPERLINK("https://ssdweb.co/ssdweb/CERTH/670484515.pdf","CERTI")</f>
        <v>CERTI</v>
      </c>
    </row>
    <row r="6385" spans="1:27" ht="15" x14ac:dyDescent="0.25">
      <c r="A6385" s="2">
        <v>6380</v>
      </c>
      <c r="B6385" s="39">
        <v>927040792</v>
      </c>
      <c r="C6385" s="28" t="str">
        <f>HYPERLINK("https://pld.live/RapDetail.aspx?STONELIST=927040792","DNA")</f>
        <v>DNA</v>
      </c>
      <c r="D6385" s="18" t="s">
        <v>5235</v>
      </c>
      <c r="E6385" s="18" t="s">
        <v>2186</v>
      </c>
      <c r="F6385" s="2" t="s">
        <v>7987</v>
      </c>
      <c r="G6385" s="2" t="s">
        <v>6781</v>
      </c>
      <c r="H6385" s="14">
        <v>1.25</v>
      </c>
      <c r="I6385" s="2" t="s">
        <v>4699</v>
      </c>
      <c r="J6385" s="2" t="s">
        <v>13</v>
      </c>
      <c r="K6385" s="2" t="s">
        <v>1452</v>
      </c>
      <c r="L6385" s="2" t="s">
        <v>5221</v>
      </c>
      <c r="M6385" s="2" t="s">
        <v>5221</v>
      </c>
      <c r="N6385" s="2" t="s">
        <v>2317</v>
      </c>
      <c r="O6385" s="14">
        <v>5800</v>
      </c>
      <c r="P6385" s="14">
        <v>98.02</v>
      </c>
      <c r="Q6385" s="14">
        <v>114.84</v>
      </c>
      <c r="R6385" s="14">
        <v>143.55000000000001</v>
      </c>
      <c r="S6385" s="2" t="s">
        <v>4694</v>
      </c>
      <c r="T6385" s="2">
        <v>1.53</v>
      </c>
      <c r="U6385" s="2">
        <v>60.1</v>
      </c>
      <c r="V6385" s="2">
        <v>62</v>
      </c>
      <c r="W6385" s="2" t="s">
        <v>7862</v>
      </c>
      <c r="X6385" s="2" t="s">
        <v>6687</v>
      </c>
      <c r="Y6385" s="2">
        <v>7250</v>
      </c>
      <c r="Z6385" s="19" t="str">
        <f>HYPERLINK("https://ssdweb.co/ssdweb/hd/Vision360.html?d=927040792&amp;zoomslide=1&amp;z=1927040792&amp;ISCONFIRM=0","VIDEO")</f>
        <v>VIDEO</v>
      </c>
      <c r="AA6385" s="19" t="str">
        <f>HYPERLINK("https://ssdweb.co/ssdweb/CERTH/669458214.pdf","CERTI")</f>
        <v>CERTI</v>
      </c>
    </row>
    <row r="6386" spans="1:27" ht="15" x14ac:dyDescent="0.25">
      <c r="A6386" s="2">
        <v>6381</v>
      </c>
      <c r="B6386" s="39">
        <v>941080851</v>
      </c>
      <c r="C6386" s="28" t="str">
        <f>HYPERLINK("https://pld.live/RapDetail.aspx?STONELIST=941080851","DNA")</f>
        <v>DNA</v>
      </c>
      <c r="D6386" s="18" t="s">
        <v>5235</v>
      </c>
      <c r="E6386" s="18" t="s">
        <v>2186</v>
      </c>
      <c r="F6386" s="2" t="s">
        <v>7987</v>
      </c>
      <c r="G6386" s="2" t="s">
        <v>6781</v>
      </c>
      <c r="H6386" s="14">
        <v>1.25</v>
      </c>
      <c r="I6386" s="2" t="s">
        <v>4699</v>
      </c>
      <c r="J6386" s="2" t="s">
        <v>13</v>
      </c>
      <c r="K6386" s="2" t="s">
        <v>1452</v>
      </c>
      <c r="L6386" s="2" t="s">
        <v>5221</v>
      </c>
      <c r="M6386" s="2" t="s">
        <v>5221</v>
      </c>
      <c r="N6386" s="2" t="s">
        <v>2317</v>
      </c>
      <c r="O6386" s="14">
        <v>5800</v>
      </c>
      <c r="P6386" s="14">
        <v>98.02</v>
      </c>
      <c r="Q6386" s="14">
        <v>114.84</v>
      </c>
      <c r="R6386" s="14">
        <v>143.55000000000001</v>
      </c>
      <c r="S6386" s="2" t="s">
        <v>2574</v>
      </c>
      <c r="T6386" s="2">
        <v>1.57</v>
      </c>
      <c r="U6386" s="2">
        <v>60.1</v>
      </c>
      <c r="V6386" s="2">
        <v>60</v>
      </c>
      <c r="W6386" s="2" t="s">
        <v>7862</v>
      </c>
      <c r="X6386" s="2" t="s">
        <v>6687</v>
      </c>
      <c r="Y6386" s="2">
        <v>7250</v>
      </c>
      <c r="Z6386" s="19" t="str">
        <f>HYPERLINK("https://ssdweb.co/ssdweb/hd/Vision360.html?d=941080851&amp;zoomslide=1&amp;z=1941080851&amp;ISCONFIRM=0","VIDEO")</f>
        <v>VIDEO</v>
      </c>
      <c r="AA6386" s="19" t="str">
        <f>HYPERLINK("https://ssdweb.co/ssdweb/CERTH/675504656.pdf","CERTI")</f>
        <v>CERTI</v>
      </c>
    </row>
    <row r="6387" spans="1:27" ht="15" x14ac:dyDescent="0.25">
      <c r="A6387" s="2">
        <v>6382</v>
      </c>
      <c r="B6387" s="39">
        <v>927052662</v>
      </c>
      <c r="C6387" s="28" t="str">
        <f>HYPERLINK("https://pld.live/RapDetail.aspx?STONELIST=927052662","DNA")</f>
        <v>DNA</v>
      </c>
      <c r="D6387" s="18" t="s">
        <v>5235</v>
      </c>
      <c r="E6387" s="18" t="s">
        <v>5128</v>
      </c>
      <c r="F6387" s="2" t="s">
        <v>7987</v>
      </c>
      <c r="G6387" s="2" t="s">
        <v>6781</v>
      </c>
      <c r="H6387" s="14">
        <v>1.24</v>
      </c>
      <c r="I6387" s="2" t="s">
        <v>4761</v>
      </c>
      <c r="J6387" s="2" t="s">
        <v>13</v>
      </c>
      <c r="K6387" s="2" t="s">
        <v>1452</v>
      </c>
      <c r="L6387" s="2" t="s">
        <v>5221</v>
      </c>
      <c r="M6387" s="2" t="s">
        <v>5221</v>
      </c>
      <c r="N6387" s="2" t="s">
        <v>2317</v>
      </c>
      <c r="O6387" s="14">
        <v>6200</v>
      </c>
      <c r="P6387" s="14">
        <v>98.06</v>
      </c>
      <c r="Q6387" s="14">
        <v>120.28</v>
      </c>
      <c r="R6387" s="14">
        <v>149.15</v>
      </c>
      <c r="S6387" s="2" t="s">
        <v>4294</v>
      </c>
      <c r="T6387" s="2">
        <v>1.53</v>
      </c>
      <c r="U6387" s="2">
        <v>61.2</v>
      </c>
      <c r="V6387" s="2">
        <v>62</v>
      </c>
      <c r="W6387" s="2" t="s">
        <v>7862</v>
      </c>
      <c r="X6387" s="2" t="s">
        <v>6687</v>
      </c>
      <c r="Y6387" s="2">
        <v>7688</v>
      </c>
      <c r="Z6387" s="19" t="str">
        <f>HYPERLINK("https://ssdweb.co/ssdweb/hd/Vision360.html?d=927052662&amp;zoomslide=1&amp;z=1927052662&amp;ISCONFIRM=0","VIDEO")</f>
        <v>VIDEO</v>
      </c>
      <c r="AA6387" s="19" t="str">
        <f>HYPERLINK("https://ssdweb.co/ssdweb/CERTH/670484359.pdf","CERTI")</f>
        <v>CERTI</v>
      </c>
    </row>
    <row r="6388" spans="1:27" ht="15" x14ac:dyDescent="0.25">
      <c r="A6388" s="2">
        <v>6383</v>
      </c>
      <c r="B6388" s="39">
        <v>941060530</v>
      </c>
      <c r="C6388" s="28" t="str">
        <f>HYPERLINK("https://pld.live/RapDetail.aspx?STONELIST=941060530","DNA")</f>
        <v>DNA</v>
      </c>
      <c r="D6388" s="18" t="s">
        <v>5235</v>
      </c>
      <c r="E6388" s="18" t="s">
        <v>2186</v>
      </c>
      <c r="F6388" s="2" t="s">
        <v>7987</v>
      </c>
      <c r="G6388" s="2" t="s">
        <v>6781</v>
      </c>
      <c r="H6388" s="14">
        <v>1.24</v>
      </c>
      <c r="I6388" s="2" t="s">
        <v>4761</v>
      </c>
      <c r="J6388" s="2" t="s">
        <v>13</v>
      </c>
      <c r="K6388" s="2" t="s">
        <v>1452</v>
      </c>
      <c r="L6388" s="2" t="s">
        <v>5221</v>
      </c>
      <c r="M6388" s="2" t="s">
        <v>5721</v>
      </c>
      <c r="N6388" s="2" t="s">
        <v>2317</v>
      </c>
      <c r="O6388" s="14">
        <v>6200</v>
      </c>
      <c r="P6388" s="14">
        <v>98.1</v>
      </c>
      <c r="Q6388" s="14">
        <v>117.8</v>
      </c>
      <c r="R6388" s="14">
        <v>146.07</v>
      </c>
      <c r="S6388" s="2" t="s">
        <v>6682</v>
      </c>
      <c r="T6388" s="2">
        <v>1.62</v>
      </c>
      <c r="U6388" s="2">
        <v>62.1</v>
      </c>
      <c r="V6388" s="2">
        <v>62</v>
      </c>
      <c r="W6388" s="2" t="s">
        <v>7862</v>
      </c>
      <c r="X6388" s="2" t="s">
        <v>6687</v>
      </c>
      <c r="Y6388" s="2">
        <v>7688</v>
      </c>
      <c r="Z6388" s="19" t="str">
        <f>HYPERLINK("https://ssdweb.co/ssdweb/hd/Vision360.html?d=941060530&amp;zoomslide=1&amp;z=1941060530&amp;ISCONFIRM=0","VIDEO")</f>
        <v>VIDEO</v>
      </c>
      <c r="AA6388" s="19" t="str">
        <f>HYPERLINK("https://ssdweb.co/ssdweb/CERTH/674504101.pdf","CERTI")</f>
        <v>CERTI</v>
      </c>
    </row>
    <row r="6389" spans="1:27" ht="15" x14ac:dyDescent="0.25">
      <c r="A6389" s="2">
        <v>6384</v>
      </c>
      <c r="B6389" s="39">
        <v>927052669</v>
      </c>
      <c r="C6389" s="28" t="str">
        <f>HYPERLINK("https://pld.live/RapDetail.aspx?STONELIST=927052669","DNA")</f>
        <v>DNA</v>
      </c>
      <c r="D6389" s="18" t="s">
        <v>5235</v>
      </c>
      <c r="E6389" s="18" t="s">
        <v>5128</v>
      </c>
      <c r="F6389" s="2" t="s">
        <v>7987</v>
      </c>
      <c r="G6389" s="2" t="s">
        <v>6781</v>
      </c>
      <c r="H6389" s="14">
        <v>1.23</v>
      </c>
      <c r="I6389" s="2" t="s">
        <v>4761</v>
      </c>
      <c r="J6389" s="2" t="s">
        <v>3942</v>
      </c>
      <c r="K6389" s="2" t="s">
        <v>1452</v>
      </c>
      <c r="L6389" s="2" t="s">
        <v>5221</v>
      </c>
      <c r="M6389" s="2" t="s">
        <v>5221</v>
      </c>
      <c r="N6389" s="2" t="s">
        <v>2317</v>
      </c>
      <c r="O6389" s="14">
        <v>6900</v>
      </c>
      <c r="P6389" s="14">
        <v>98.19</v>
      </c>
      <c r="Q6389" s="14">
        <v>124.89</v>
      </c>
      <c r="R6389" s="14">
        <v>153.61000000000001</v>
      </c>
      <c r="S6389" s="2" t="s">
        <v>7094</v>
      </c>
      <c r="T6389" s="2">
        <v>1.54</v>
      </c>
      <c r="U6389" s="2">
        <v>62.3</v>
      </c>
      <c r="V6389" s="2">
        <v>62</v>
      </c>
      <c r="W6389" s="2" t="s">
        <v>7862</v>
      </c>
      <c r="X6389" s="2" t="s">
        <v>6687</v>
      </c>
      <c r="Y6389" s="2">
        <v>8487</v>
      </c>
      <c r="Z6389" s="19" t="str">
        <f>HYPERLINK("https://ssdweb.co/ssdweb/hd/Vision360.html?d=927052669&amp;zoomslide=1&amp;z=1927052669&amp;ISCONFIRM=0","VIDEO")</f>
        <v>VIDEO</v>
      </c>
      <c r="AA6389" s="19" t="str">
        <f>HYPERLINK("https://ssdweb.co/ssdweb/CERTH/670484361.pdf","CERTI")</f>
        <v>CERTI</v>
      </c>
    </row>
    <row r="6390" spans="1:27" ht="15" x14ac:dyDescent="0.25">
      <c r="A6390" s="2">
        <v>6385</v>
      </c>
      <c r="B6390" s="39">
        <v>941080770</v>
      </c>
      <c r="C6390" s="28" t="str">
        <f>HYPERLINK("https://pld.live/RapDetail.aspx?STONELIST=941080770","DNA")</f>
        <v>DNA</v>
      </c>
      <c r="D6390" s="18" t="s">
        <v>5235</v>
      </c>
      <c r="E6390" s="18" t="s">
        <v>2186</v>
      </c>
      <c r="F6390" s="2" t="s">
        <v>7987</v>
      </c>
      <c r="G6390" s="2" t="s">
        <v>6781</v>
      </c>
      <c r="H6390" s="14">
        <v>1.22</v>
      </c>
      <c r="I6390" s="2" t="s">
        <v>4761</v>
      </c>
      <c r="J6390" s="2" t="s">
        <v>13</v>
      </c>
      <c r="K6390" s="2" t="s">
        <v>1452</v>
      </c>
      <c r="L6390" s="2" t="s">
        <v>5221</v>
      </c>
      <c r="M6390" s="2" t="s">
        <v>5721</v>
      </c>
      <c r="N6390" s="2" t="s">
        <v>2317</v>
      </c>
      <c r="O6390" s="14">
        <v>6200</v>
      </c>
      <c r="P6390" s="14">
        <v>98.1</v>
      </c>
      <c r="Q6390" s="14">
        <v>117.8</v>
      </c>
      <c r="R6390" s="14">
        <v>143.72</v>
      </c>
      <c r="S6390" s="2" t="s">
        <v>7894</v>
      </c>
      <c r="T6390" s="2">
        <v>1.53</v>
      </c>
      <c r="U6390" s="2">
        <v>61.1</v>
      </c>
      <c r="V6390" s="2">
        <v>61</v>
      </c>
      <c r="W6390" s="2" t="s">
        <v>7862</v>
      </c>
      <c r="X6390" s="2" t="s">
        <v>6687</v>
      </c>
      <c r="Y6390" s="2">
        <v>7564</v>
      </c>
      <c r="Z6390" s="19" t="str">
        <f>HYPERLINK("https://ssdweb.co/ssdweb/hd/Vision360.html?d=941080770&amp;zoomslide=1&amp;z=1941080770&amp;ISCONFIRM=0","VIDEO")</f>
        <v>VIDEO</v>
      </c>
      <c r="AA6390" s="19" t="str">
        <f>HYPERLINK("https://ssdweb.co/ssdweb/CERTH/674504074.pdf","CERTI")</f>
        <v>CERTI</v>
      </c>
    </row>
    <row r="6391" spans="1:27" ht="15" x14ac:dyDescent="0.25">
      <c r="A6391" s="2">
        <v>6386</v>
      </c>
      <c r="B6391" s="39">
        <v>924570992</v>
      </c>
      <c r="C6391" s="28" t="str">
        <f>HYPERLINK("https://pld.live/RapDetail.aspx?STONELIST=924570992","DNA")</f>
        <v>DNA</v>
      </c>
      <c r="D6391" s="18" t="s">
        <v>5235</v>
      </c>
      <c r="E6391" s="18" t="s">
        <v>2186</v>
      </c>
      <c r="F6391" s="2" t="s">
        <v>7987</v>
      </c>
      <c r="G6391" s="2" t="s">
        <v>6781</v>
      </c>
      <c r="H6391" s="14">
        <v>1.22</v>
      </c>
      <c r="I6391" s="2" t="s">
        <v>4699</v>
      </c>
      <c r="J6391" s="2" t="s">
        <v>13</v>
      </c>
      <c r="K6391" s="2" t="s">
        <v>1452</v>
      </c>
      <c r="L6391" s="2" t="s">
        <v>5221</v>
      </c>
      <c r="M6391" s="2" t="s">
        <v>5221</v>
      </c>
      <c r="N6391" s="2" t="s">
        <v>2317</v>
      </c>
      <c r="O6391" s="14">
        <v>5800</v>
      </c>
      <c r="P6391" s="14">
        <v>98.1</v>
      </c>
      <c r="Q6391" s="14">
        <v>110.2</v>
      </c>
      <c r="R6391" s="14">
        <v>134.44</v>
      </c>
      <c r="S6391" s="2" t="s">
        <v>7067</v>
      </c>
      <c r="T6391" s="2">
        <v>1.6</v>
      </c>
      <c r="U6391" s="2">
        <v>62.2</v>
      </c>
      <c r="V6391" s="2">
        <v>62</v>
      </c>
      <c r="W6391" s="2" t="s">
        <v>7862</v>
      </c>
      <c r="X6391" s="2" t="s">
        <v>6687</v>
      </c>
      <c r="Y6391" s="2">
        <v>7076</v>
      </c>
      <c r="Z6391" s="19" t="str">
        <f>HYPERLINK("https://ssdweb.co/ssdweb/hd/Vision360.html?d=924570992&amp;zoomslide=1&amp;z=1924570992&amp;ISCONFIRM=0","VIDEO")</f>
        <v>VIDEO</v>
      </c>
      <c r="AA6391" s="19" t="str">
        <f>HYPERLINK("https://ssdweb.co/ssdweb/CERTH/598378429.pdf","CERTI")</f>
        <v>CERTI</v>
      </c>
    </row>
    <row r="6392" spans="1:27" ht="15" x14ac:dyDescent="0.25">
      <c r="A6392" s="2">
        <v>6387</v>
      </c>
      <c r="B6392" s="39">
        <v>926780062</v>
      </c>
      <c r="C6392" s="28" t="str">
        <f>HYPERLINK("https://pld.live/RapDetail.aspx?STONELIST=926780062","DNA")</f>
        <v>DNA</v>
      </c>
      <c r="D6392" s="18" t="s">
        <v>5235</v>
      </c>
      <c r="E6392" s="18" t="s">
        <v>2186</v>
      </c>
      <c r="F6392" s="2" t="s">
        <v>7987</v>
      </c>
      <c r="G6392" s="2" t="s">
        <v>6781</v>
      </c>
      <c r="H6392" s="14">
        <v>1.2</v>
      </c>
      <c r="I6392" s="2" t="s">
        <v>267</v>
      </c>
      <c r="J6392" s="2" t="s">
        <v>3942</v>
      </c>
      <c r="K6392" s="2" t="s">
        <v>1452</v>
      </c>
      <c r="L6392" s="2" t="s">
        <v>5221</v>
      </c>
      <c r="M6392" s="2" t="s">
        <v>5221</v>
      </c>
      <c r="N6392" s="2" t="s">
        <v>2317</v>
      </c>
      <c r="O6392" s="14">
        <v>7600</v>
      </c>
      <c r="P6392" s="14">
        <v>98.25</v>
      </c>
      <c r="Q6392" s="14">
        <v>133</v>
      </c>
      <c r="R6392" s="14">
        <v>159.6</v>
      </c>
      <c r="S6392" s="2" t="s">
        <v>2599</v>
      </c>
      <c r="T6392" s="2">
        <v>1.53</v>
      </c>
      <c r="U6392" s="2">
        <v>60.5</v>
      </c>
      <c r="V6392" s="2">
        <v>66</v>
      </c>
      <c r="W6392" s="2" t="s">
        <v>7862</v>
      </c>
      <c r="X6392" s="2" t="s">
        <v>6687</v>
      </c>
      <c r="Y6392" s="2">
        <v>9120</v>
      </c>
      <c r="Z6392" s="19" t="str">
        <f>HYPERLINK("https://ssdweb.co/ssdweb/hd/Vision360.html?d=926780062&amp;zoomslide=1&amp;z=1926780062&amp;ISCONFIRM=0","VIDEO")</f>
        <v>VIDEO</v>
      </c>
      <c r="AA6392" s="19" t="str">
        <f>HYPERLINK("https://ssdweb.co/ssdweb/CERTH/653442511.pdf","CERTI")</f>
        <v>CERTI</v>
      </c>
    </row>
    <row r="6393" spans="1:27" ht="15" x14ac:dyDescent="0.25">
      <c r="A6393" s="2">
        <v>6388</v>
      </c>
      <c r="B6393" s="39">
        <v>926701106</v>
      </c>
      <c r="C6393" s="28" t="str">
        <f>HYPERLINK("https://pld.live/RapDetail.aspx?STONELIST=926701106","DNA")</f>
        <v>DNA</v>
      </c>
      <c r="D6393" s="18" t="s">
        <v>3054</v>
      </c>
      <c r="E6393" s="18" t="s">
        <v>5128</v>
      </c>
      <c r="F6393" s="2" t="s">
        <v>7987</v>
      </c>
      <c r="G6393" s="2" t="s">
        <v>6781</v>
      </c>
      <c r="H6393" s="14">
        <v>1.1000000000000001</v>
      </c>
      <c r="I6393" s="2" t="s">
        <v>4761</v>
      </c>
      <c r="J6393" s="2" t="s">
        <v>6555</v>
      </c>
      <c r="K6393" s="2" t="s">
        <v>1452</v>
      </c>
      <c r="L6393" s="2" t="s">
        <v>5221</v>
      </c>
      <c r="M6393" s="2" t="s">
        <v>5221</v>
      </c>
      <c r="N6393" s="2" t="s">
        <v>2317</v>
      </c>
      <c r="O6393" s="14">
        <v>7500</v>
      </c>
      <c r="P6393" s="14">
        <v>98.16</v>
      </c>
      <c r="Q6393" s="14">
        <v>138</v>
      </c>
      <c r="R6393" s="14">
        <v>151.80000000000001</v>
      </c>
      <c r="S6393" s="2" t="s">
        <v>5648</v>
      </c>
      <c r="T6393" s="2">
        <v>1.55</v>
      </c>
      <c r="U6393" s="2">
        <v>60.1</v>
      </c>
      <c r="V6393" s="2">
        <v>60</v>
      </c>
      <c r="W6393" s="2" t="s">
        <v>7862</v>
      </c>
      <c r="X6393" s="2" t="s">
        <v>6687</v>
      </c>
      <c r="Y6393" s="2">
        <v>8250</v>
      </c>
      <c r="Z6393" s="19" t="str">
        <f>HYPERLINK("https://ssdweb.co/ssdweb/hd/Vision360.html?d=926701106&amp;zoomslide=1&amp;z=1926701106&amp;ISCONFIRM=0","VIDEO")</f>
        <v>VIDEO</v>
      </c>
      <c r="AA6393" s="19" t="str">
        <f>HYPERLINK("https://ssdweb.co/ssdweb/CERTH/652442353.pdf","CERTI")</f>
        <v>CERTI</v>
      </c>
    </row>
    <row r="6394" spans="1:27" ht="15" x14ac:dyDescent="0.25">
      <c r="A6394" s="2">
        <v>6389</v>
      </c>
      <c r="B6394" s="39">
        <v>925680183</v>
      </c>
      <c r="C6394" s="28" t="str">
        <f>HYPERLINK("https://pld.live/RapDetail.aspx?STONELIST=925680183","DNA")</f>
        <v>DNA</v>
      </c>
      <c r="D6394" s="18" t="s">
        <v>3054</v>
      </c>
      <c r="E6394" s="18" t="s">
        <v>2186</v>
      </c>
      <c r="F6394" s="2" t="s">
        <v>7987</v>
      </c>
      <c r="G6394" s="2" t="s">
        <v>6781</v>
      </c>
      <c r="H6394" s="14">
        <v>1.1000000000000001</v>
      </c>
      <c r="I6394" s="2" t="s">
        <v>4699</v>
      </c>
      <c r="J6394" s="2" t="s">
        <v>5144</v>
      </c>
      <c r="K6394" s="2" t="s">
        <v>1452</v>
      </c>
      <c r="L6394" s="2" t="s">
        <v>5221</v>
      </c>
      <c r="M6394" s="2" t="s">
        <v>5221</v>
      </c>
      <c r="N6394" s="2" t="s">
        <v>2317</v>
      </c>
      <c r="O6394" s="14">
        <v>5100</v>
      </c>
      <c r="P6394" s="14">
        <v>98.04</v>
      </c>
      <c r="Q6394" s="14">
        <v>99.96</v>
      </c>
      <c r="R6394" s="14">
        <v>109.96</v>
      </c>
      <c r="S6394" s="2" t="s">
        <v>7036</v>
      </c>
      <c r="T6394" s="2">
        <v>1.64</v>
      </c>
      <c r="U6394" s="2">
        <v>60</v>
      </c>
      <c r="V6394" s="2">
        <v>66</v>
      </c>
      <c r="W6394" s="2" t="s">
        <v>7862</v>
      </c>
      <c r="X6394" s="2" t="s">
        <v>6687</v>
      </c>
      <c r="Y6394" s="2">
        <v>5610</v>
      </c>
      <c r="Z6394" s="19" t="str">
        <f>HYPERLINK("https://ssdweb.co/ssdweb/hd/Vision360.html?d=925680183&amp;zoomslide=1&amp;z=1925680183&amp;ISCONFIRM=0","VIDEO")</f>
        <v>VIDEO</v>
      </c>
      <c r="AA6394" s="19" t="str">
        <f>HYPERLINK("https://ssdweb.co/ssdweb/CERTH/626457336.pdf","CERTI")</f>
        <v>CERTI</v>
      </c>
    </row>
    <row r="6395" spans="1:27" ht="15" x14ac:dyDescent="0.25">
      <c r="A6395" s="2">
        <v>6390</v>
      </c>
      <c r="B6395" s="39">
        <v>926420217</v>
      </c>
      <c r="C6395" s="28" t="str">
        <f>HYPERLINK("https://pld.live/RapDetail.aspx?STONELIST=926420217","DNA")</f>
        <v>DNA</v>
      </c>
      <c r="D6395" s="18" t="s">
        <v>3054</v>
      </c>
      <c r="E6395" s="18" t="s">
        <v>2186</v>
      </c>
      <c r="F6395" s="2" t="s">
        <v>7987</v>
      </c>
      <c r="G6395" s="2" t="s">
        <v>6781</v>
      </c>
      <c r="H6395" s="14">
        <v>1.1000000000000001</v>
      </c>
      <c r="I6395" s="2" t="s">
        <v>1505</v>
      </c>
      <c r="J6395" s="2" t="s">
        <v>13</v>
      </c>
      <c r="K6395" s="2" t="s">
        <v>1452</v>
      </c>
      <c r="L6395" s="2" t="s">
        <v>5221</v>
      </c>
      <c r="M6395" s="2" t="s">
        <v>5221</v>
      </c>
      <c r="N6395" s="2" t="s">
        <v>2317</v>
      </c>
      <c r="O6395" s="14">
        <v>4600</v>
      </c>
      <c r="P6395" s="14">
        <v>97.76</v>
      </c>
      <c r="Q6395" s="14">
        <v>103.04</v>
      </c>
      <c r="R6395" s="14">
        <v>113.34</v>
      </c>
      <c r="S6395" s="2" t="s">
        <v>6854</v>
      </c>
      <c r="T6395" s="2">
        <v>1.6</v>
      </c>
      <c r="U6395" s="2">
        <v>60.7</v>
      </c>
      <c r="V6395" s="2">
        <v>59</v>
      </c>
      <c r="W6395" s="2" t="s">
        <v>7862</v>
      </c>
      <c r="X6395" s="2" t="s">
        <v>6687</v>
      </c>
      <c r="Y6395" s="2">
        <v>5060</v>
      </c>
      <c r="Z6395" s="19" t="str">
        <f>HYPERLINK("https://ssdweb.co/ssdweb/hd/Vision360.html?d=926420217&amp;zoomslide=1&amp;z=1926420217&amp;ISCONFIRM=0","VIDEO")</f>
        <v>VIDEO</v>
      </c>
      <c r="AA6395" s="19" t="str">
        <f>HYPERLINK("https://ssdweb.co/ssdweb/CERTH/643427940.pdf","CERTI")</f>
        <v>CERTI</v>
      </c>
    </row>
    <row r="6396" spans="1:27" ht="15" x14ac:dyDescent="0.25">
      <c r="A6396" s="2">
        <v>6391</v>
      </c>
      <c r="B6396" s="39">
        <v>925520962</v>
      </c>
      <c r="C6396" s="28" t="str">
        <f>HYPERLINK("https://pld.live/RapDetail.aspx?STONELIST=925520962","DNA")</f>
        <v>DNA</v>
      </c>
      <c r="D6396" s="18" t="s">
        <v>3054</v>
      </c>
      <c r="E6396" s="18" t="s">
        <v>5128</v>
      </c>
      <c r="F6396" s="2" t="s">
        <v>7987</v>
      </c>
      <c r="G6396" s="2" t="s">
        <v>6781</v>
      </c>
      <c r="H6396" s="14">
        <v>1.0900000000000001</v>
      </c>
      <c r="I6396" s="2" t="s">
        <v>4761</v>
      </c>
      <c r="J6396" s="2" t="s">
        <v>6555</v>
      </c>
      <c r="K6396" s="2" t="s">
        <v>1452</v>
      </c>
      <c r="L6396" s="2" t="s">
        <v>5221</v>
      </c>
      <c r="M6396" s="2" t="s">
        <v>5221</v>
      </c>
      <c r="N6396" s="2" t="s">
        <v>2317</v>
      </c>
      <c r="O6396" s="14">
        <v>7500</v>
      </c>
      <c r="P6396" s="14">
        <v>98.2</v>
      </c>
      <c r="Q6396" s="14">
        <v>135</v>
      </c>
      <c r="R6396" s="14">
        <v>147.15</v>
      </c>
      <c r="S6396" s="2" t="s">
        <v>2090</v>
      </c>
      <c r="T6396" s="2">
        <v>1.48</v>
      </c>
      <c r="U6396" s="2">
        <v>62</v>
      </c>
      <c r="V6396" s="2">
        <v>61</v>
      </c>
      <c r="W6396" s="2" t="s">
        <v>7862</v>
      </c>
      <c r="X6396" s="2" t="s">
        <v>6687</v>
      </c>
      <c r="Y6396" s="2">
        <v>8175</v>
      </c>
      <c r="Z6396" s="19" t="str">
        <f>HYPERLINK("https://ssdweb.co/ssdweb/hd/Vision360.html?d=925520962&amp;zoomslide=1&amp;z=1925520962&amp;ISCONFIRM=0","VIDEO")</f>
        <v>VIDEO</v>
      </c>
      <c r="AA6396" s="19" t="str">
        <f>HYPERLINK("https://ssdweb.co/ssdweb/CERTH/618439792.pdf","CERTI")</f>
        <v>CERTI</v>
      </c>
    </row>
    <row r="6397" spans="1:27" ht="15" x14ac:dyDescent="0.25">
      <c r="A6397" s="2">
        <v>6392</v>
      </c>
      <c r="B6397" s="39">
        <v>925400028</v>
      </c>
      <c r="C6397" s="28" t="str">
        <f>HYPERLINK("https://pld.live/RapDetail.aspx?STONELIST=925400028","DNA")</f>
        <v>DNA</v>
      </c>
      <c r="D6397" s="18" t="s">
        <v>3054</v>
      </c>
      <c r="E6397" s="18" t="s">
        <v>2186</v>
      </c>
      <c r="F6397" s="2" t="s">
        <v>7987</v>
      </c>
      <c r="G6397" s="2" t="s">
        <v>6781</v>
      </c>
      <c r="H6397" s="14">
        <v>1.0900000000000001</v>
      </c>
      <c r="I6397" s="2" t="s">
        <v>1505</v>
      </c>
      <c r="J6397" s="2" t="s">
        <v>13</v>
      </c>
      <c r="K6397" s="2" t="s">
        <v>1452</v>
      </c>
      <c r="L6397" s="2" t="s">
        <v>5221</v>
      </c>
      <c r="M6397" s="2" t="s">
        <v>5221</v>
      </c>
      <c r="N6397" s="2" t="s">
        <v>2317</v>
      </c>
      <c r="O6397" s="14">
        <v>4600</v>
      </c>
      <c r="P6397" s="14">
        <v>97.83</v>
      </c>
      <c r="Q6397" s="14">
        <v>99.82</v>
      </c>
      <c r="R6397" s="14">
        <v>108.8</v>
      </c>
      <c r="S6397" s="2" t="s">
        <v>852</v>
      </c>
      <c r="T6397" s="2">
        <v>1.59</v>
      </c>
      <c r="U6397" s="2">
        <v>60</v>
      </c>
      <c r="V6397" s="2">
        <v>62</v>
      </c>
      <c r="W6397" s="2" t="s">
        <v>7862</v>
      </c>
      <c r="X6397" s="2" t="s">
        <v>6687</v>
      </c>
      <c r="Y6397" s="2">
        <v>5014</v>
      </c>
      <c r="Z6397" s="19" t="str">
        <f>HYPERLINK("https://ssdweb.co/ssdweb/hd/Vision360.html?d=925400028&amp;zoomslide=1&amp;z=1925400028&amp;ISCONFIRM=0","VIDEO")</f>
        <v>VIDEO</v>
      </c>
      <c r="AA6397" s="19" t="str">
        <f>HYPERLINK("https://ssdweb.co/ssdweb/CERTH/617426412.pdf","CERTI")</f>
        <v>CERTI</v>
      </c>
    </row>
    <row r="6398" spans="1:27" ht="15" x14ac:dyDescent="0.25">
      <c r="A6398" s="2">
        <v>6393</v>
      </c>
      <c r="B6398" s="39">
        <v>925690210</v>
      </c>
      <c r="C6398" s="28" t="str">
        <f>HYPERLINK("https://pld.live/RapDetail.aspx?STONELIST=925690210","DNA")</f>
        <v>DNA</v>
      </c>
      <c r="D6398" s="18" t="s">
        <v>3054</v>
      </c>
      <c r="E6398" s="18" t="s">
        <v>2186</v>
      </c>
      <c r="F6398" s="2" t="s">
        <v>7987</v>
      </c>
      <c r="G6398" s="2" t="s">
        <v>6781</v>
      </c>
      <c r="H6398" s="14">
        <v>1.0900000000000001</v>
      </c>
      <c r="I6398" s="2" t="s">
        <v>1505</v>
      </c>
      <c r="J6398" s="2" t="s">
        <v>13</v>
      </c>
      <c r="K6398" s="2" t="s">
        <v>1452</v>
      </c>
      <c r="L6398" s="2" t="s">
        <v>5221</v>
      </c>
      <c r="M6398" s="2" t="s">
        <v>5221</v>
      </c>
      <c r="N6398" s="2" t="s">
        <v>2317</v>
      </c>
      <c r="O6398" s="14">
        <v>4600</v>
      </c>
      <c r="P6398" s="14">
        <v>97.83</v>
      </c>
      <c r="Q6398" s="14">
        <v>99.82</v>
      </c>
      <c r="R6398" s="14">
        <v>108.8</v>
      </c>
      <c r="S6398" s="2" t="s">
        <v>4448</v>
      </c>
      <c r="T6398" s="2">
        <v>1.57</v>
      </c>
      <c r="U6398" s="2">
        <v>61</v>
      </c>
      <c r="V6398" s="2">
        <v>62</v>
      </c>
      <c r="W6398" s="2" t="s">
        <v>8016</v>
      </c>
      <c r="X6398" s="2" t="s">
        <v>6687</v>
      </c>
      <c r="Y6398" s="2">
        <v>5014</v>
      </c>
      <c r="Z6398" s="19" t="str">
        <f>HYPERLINK("https://ssdweb.co/ssdweb/hd/Vision360.html?d=925690210&amp;zoomslide=1&amp;z=1925690210&amp;ISCONFIRM=0","VIDEO")</f>
        <v>VIDEO</v>
      </c>
      <c r="AA6398" s="19" t="str">
        <f>HYPERLINK("https://ssdweb.co/ssdweb/CERTH/626414908.pdf","CERTI")</f>
        <v>CERTI</v>
      </c>
    </row>
    <row r="6399" spans="1:27" ht="15" x14ac:dyDescent="0.25">
      <c r="A6399" s="2">
        <v>6394</v>
      </c>
      <c r="B6399" s="39">
        <v>926100923</v>
      </c>
      <c r="C6399" s="28" t="str">
        <f>HYPERLINK("https://pld.live/RapDetail.aspx?STONELIST=926100923","DNA")</f>
        <v>DNA</v>
      </c>
      <c r="D6399" s="18" t="s">
        <v>3054</v>
      </c>
      <c r="E6399" s="18" t="s">
        <v>5128</v>
      </c>
      <c r="F6399" s="2" t="s">
        <v>7987</v>
      </c>
      <c r="G6399" s="2" t="s">
        <v>6781</v>
      </c>
      <c r="H6399" s="14">
        <v>1.08</v>
      </c>
      <c r="I6399" s="2" t="s">
        <v>267</v>
      </c>
      <c r="J6399" s="2" t="s">
        <v>7032</v>
      </c>
      <c r="K6399" s="2" t="s">
        <v>1452</v>
      </c>
      <c r="L6399" s="2" t="s">
        <v>5221</v>
      </c>
      <c r="M6399" s="2" t="s">
        <v>5221</v>
      </c>
      <c r="N6399" s="2" t="s">
        <v>2317</v>
      </c>
      <c r="O6399" s="14">
        <v>9300</v>
      </c>
      <c r="P6399" s="14">
        <v>97.26</v>
      </c>
      <c r="Q6399" s="14">
        <v>254.82</v>
      </c>
      <c r="R6399" s="14">
        <v>275.20999999999998</v>
      </c>
      <c r="S6399" s="2" t="s">
        <v>2189</v>
      </c>
      <c r="T6399" s="2">
        <v>1.48</v>
      </c>
      <c r="U6399" s="2">
        <v>60.9</v>
      </c>
      <c r="V6399" s="2">
        <v>61</v>
      </c>
      <c r="W6399" s="2" t="s">
        <v>7862</v>
      </c>
      <c r="X6399" s="2" t="s">
        <v>6687</v>
      </c>
      <c r="Y6399" s="2">
        <v>10044</v>
      </c>
      <c r="Z6399" s="19" t="str">
        <f>HYPERLINK("https://ssdweb.co/ssdweb/hd/Vision360.html?d=926100923&amp;zoomslide=1&amp;z=1926100923&amp;ISCONFIRM=0","VIDEO")</f>
        <v>VIDEO</v>
      </c>
      <c r="AA6399" s="19" t="str">
        <f>HYPERLINK("https://ssdweb.co/ssdweb/CERTH/632488347.pdf","CERTI")</f>
        <v>CERTI</v>
      </c>
    </row>
    <row r="6400" spans="1:27" ht="15" x14ac:dyDescent="0.25">
      <c r="A6400" s="2">
        <v>6395</v>
      </c>
      <c r="B6400" s="39">
        <v>926050337</v>
      </c>
      <c r="C6400" s="28" t="str">
        <f>HYPERLINK("https://pld.live/RapDetail.aspx?STONELIST=926050337","DNA")</f>
        <v>DNA</v>
      </c>
      <c r="D6400" s="18" t="s">
        <v>3054</v>
      </c>
      <c r="E6400" s="18" t="s">
        <v>2186</v>
      </c>
      <c r="F6400" s="2" t="s">
        <v>7987</v>
      </c>
      <c r="G6400" s="2" t="s">
        <v>6781</v>
      </c>
      <c r="H6400" s="14">
        <v>1.08</v>
      </c>
      <c r="I6400" s="2" t="s">
        <v>267</v>
      </c>
      <c r="J6400" s="2" t="s">
        <v>5144</v>
      </c>
      <c r="K6400" s="2" t="s">
        <v>1452</v>
      </c>
      <c r="L6400" s="2" t="s">
        <v>5221</v>
      </c>
      <c r="M6400" s="2" t="s">
        <v>5221</v>
      </c>
      <c r="N6400" s="2" t="s">
        <v>2317</v>
      </c>
      <c r="O6400" s="14">
        <v>5700</v>
      </c>
      <c r="P6400" s="14">
        <v>98.16</v>
      </c>
      <c r="Q6400" s="14">
        <v>104.88</v>
      </c>
      <c r="R6400" s="14">
        <v>113.27</v>
      </c>
      <c r="S6400" s="2" t="s">
        <v>2693</v>
      </c>
      <c r="T6400" s="2">
        <v>1.5</v>
      </c>
      <c r="U6400" s="2">
        <v>59.3</v>
      </c>
      <c r="V6400" s="2">
        <v>63</v>
      </c>
      <c r="W6400" s="2" t="s">
        <v>7862</v>
      </c>
      <c r="X6400" s="2" t="s">
        <v>6687</v>
      </c>
      <c r="Y6400" s="2">
        <v>6156</v>
      </c>
      <c r="Z6400" s="19" t="str">
        <f>HYPERLINK("https://ssdweb.co/ssdweb/hd/Vision360.html?d=926050337&amp;zoomslide=1&amp;z=1926050337&amp;ISCONFIRM=0","VIDEO")</f>
        <v>VIDEO</v>
      </c>
      <c r="AA6400" s="19" t="str">
        <f>HYPERLINK("https://ssdweb.co/ssdweb/CERTH/632488326.pdf","CERTI")</f>
        <v>CERTI</v>
      </c>
    </row>
    <row r="6401" spans="1:27" ht="15" x14ac:dyDescent="0.25">
      <c r="A6401" s="2">
        <v>6396</v>
      </c>
      <c r="B6401" s="39">
        <v>925110052</v>
      </c>
      <c r="C6401" s="28" t="str">
        <f>HYPERLINK("https://pld.live/RapDetail.aspx?STONELIST=925110052","DNA")</f>
        <v>DNA</v>
      </c>
      <c r="D6401" s="18" t="s">
        <v>3054</v>
      </c>
      <c r="E6401" s="18" t="s">
        <v>5128</v>
      </c>
      <c r="F6401" s="2" t="s">
        <v>7987</v>
      </c>
      <c r="G6401" s="2" t="s">
        <v>6781</v>
      </c>
      <c r="H6401" s="14">
        <v>1.06</v>
      </c>
      <c r="I6401" s="2" t="s">
        <v>4761</v>
      </c>
      <c r="J6401" s="2" t="s">
        <v>7032</v>
      </c>
      <c r="K6401" s="2" t="s">
        <v>1452</v>
      </c>
      <c r="L6401" s="2" t="s">
        <v>5221</v>
      </c>
      <c r="M6401" s="2" t="s">
        <v>5221</v>
      </c>
      <c r="N6401" s="2" t="s">
        <v>2317</v>
      </c>
      <c r="O6401" s="14">
        <v>8200</v>
      </c>
      <c r="P6401" s="14">
        <v>97.26</v>
      </c>
      <c r="Q6401" s="14">
        <v>224.68</v>
      </c>
      <c r="R6401" s="14">
        <v>238.16</v>
      </c>
      <c r="S6401" s="2" t="s">
        <v>4419</v>
      </c>
      <c r="T6401" s="2">
        <v>1.55</v>
      </c>
      <c r="U6401" s="2">
        <v>61.5</v>
      </c>
      <c r="V6401" s="2">
        <v>59</v>
      </c>
      <c r="W6401" s="2" t="s">
        <v>7862</v>
      </c>
      <c r="X6401" s="2" t="s">
        <v>6687</v>
      </c>
      <c r="Y6401" s="2">
        <v>8692</v>
      </c>
      <c r="Z6401" s="19" t="str">
        <f>HYPERLINK("https://ssdweb.co/ssdweb/hd/Vision360.html?d=925110052&amp;zoomslide=1&amp;z=1925110052&amp;ISCONFIRM=0","VIDEO")</f>
        <v>VIDEO</v>
      </c>
      <c r="AA6401" s="19" t="str">
        <f>HYPERLINK("https://ssdweb.co/ssdweb/CERTH/605371072.pdf","CERTI")</f>
        <v>CERTI</v>
      </c>
    </row>
    <row r="6402" spans="1:27" ht="15" x14ac:dyDescent="0.25">
      <c r="A6402" s="2">
        <v>6397</v>
      </c>
      <c r="B6402" s="39">
        <v>925110104</v>
      </c>
      <c r="C6402" s="28" t="str">
        <f>HYPERLINK("https://pld.live/RapDetail.aspx?STONELIST=925110104","DNA")</f>
        <v>DNA</v>
      </c>
      <c r="D6402" s="18" t="s">
        <v>3054</v>
      </c>
      <c r="E6402" s="18" t="s">
        <v>5128</v>
      </c>
      <c r="F6402" s="2" t="s">
        <v>7987</v>
      </c>
      <c r="G6402" s="2" t="s">
        <v>6781</v>
      </c>
      <c r="H6402" s="14">
        <v>1.05</v>
      </c>
      <c r="I6402" s="2" t="s">
        <v>267</v>
      </c>
      <c r="J6402" s="2" t="s">
        <v>7032</v>
      </c>
      <c r="K6402" s="2" t="s">
        <v>1452</v>
      </c>
      <c r="L6402" s="2" t="s">
        <v>5221</v>
      </c>
      <c r="M6402" s="2" t="s">
        <v>5221</v>
      </c>
      <c r="N6402" s="2" t="s">
        <v>2317</v>
      </c>
      <c r="O6402" s="14">
        <v>9300</v>
      </c>
      <c r="P6402" s="14">
        <v>97.26</v>
      </c>
      <c r="Q6402" s="14">
        <v>254.82</v>
      </c>
      <c r="R6402" s="14">
        <v>267.56</v>
      </c>
      <c r="S6402" s="2" t="s">
        <v>2523</v>
      </c>
      <c r="T6402" s="2">
        <v>1.54</v>
      </c>
      <c r="U6402" s="2">
        <v>62</v>
      </c>
      <c r="V6402" s="2">
        <v>61</v>
      </c>
      <c r="W6402" s="2" t="s">
        <v>7862</v>
      </c>
      <c r="X6402" s="2" t="s">
        <v>6687</v>
      </c>
      <c r="Y6402" s="2">
        <v>9765</v>
      </c>
      <c r="Z6402" s="19" t="str">
        <f>HYPERLINK("https://ssdweb.co/ssdweb/hd/Vision360.html?d=925110104&amp;zoomslide=1&amp;z=1925110104&amp;ISCONFIRM=0","VIDEO")</f>
        <v>VIDEO</v>
      </c>
      <c r="AA6402" s="19" t="str">
        <f>HYPERLINK("https://ssdweb.co/ssdweb/CERTH/605390287.pdf","CERTI")</f>
        <v>CERTI</v>
      </c>
    </row>
    <row r="6403" spans="1:27" ht="15" x14ac:dyDescent="0.25">
      <c r="A6403" s="2">
        <v>6398</v>
      </c>
      <c r="B6403" s="39">
        <v>925732067</v>
      </c>
      <c r="C6403" s="28" t="str">
        <f>HYPERLINK("https://pld.live/RapDetail.aspx?STONELIST=925732067","DNA")</f>
        <v>DNA</v>
      </c>
      <c r="D6403" s="18" t="s">
        <v>3054</v>
      </c>
      <c r="E6403" s="18" t="s">
        <v>5128</v>
      </c>
      <c r="F6403" s="2" t="s">
        <v>7987</v>
      </c>
      <c r="G6403" s="2" t="s">
        <v>6781</v>
      </c>
      <c r="H6403" s="14">
        <v>1.05</v>
      </c>
      <c r="I6403" s="2" t="s">
        <v>6587</v>
      </c>
      <c r="J6403" s="2" t="s">
        <v>3942</v>
      </c>
      <c r="K6403" s="2" t="s">
        <v>1452</v>
      </c>
      <c r="L6403" s="2" t="s">
        <v>5221</v>
      </c>
      <c r="M6403" s="2" t="s">
        <v>5221</v>
      </c>
      <c r="N6403" s="2" t="s">
        <v>2317</v>
      </c>
      <c r="O6403" s="14">
        <v>5800</v>
      </c>
      <c r="P6403" s="14">
        <v>98.17</v>
      </c>
      <c r="Q6403" s="14">
        <v>106.14</v>
      </c>
      <c r="R6403" s="14">
        <v>111.45</v>
      </c>
      <c r="S6403" s="2" t="s">
        <v>1878</v>
      </c>
      <c r="T6403" s="2">
        <v>1.49</v>
      </c>
      <c r="U6403" s="2">
        <v>61</v>
      </c>
      <c r="V6403" s="2">
        <v>64</v>
      </c>
      <c r="W6403" s="2" t="s">
        <v>7862</v>
      </c>
      <c r="X6403" s="2" t="s">
        <v>6687</v>
      </c>
      <c r="Y6403" s="2">
        <v>6090</v>
      </c>
      <c r="Z6403" s="19" t="str">
        <f>HYPERLINK("https://ssdweb.co/ssdweb/hd/Vision360.html?d=925732067&amp;zoomslide=1&amp;z=1925732067&amp;ISCONFIRM=0","VIDEO")</f>
        <v>VIDEO</v>
      </c>
      <c r="AA6403" s="19" t="str">
        <f>HYPERLINK("https://ssdweb.co/ssdweb/CERTH/626457284.pdf","CERTI")</f>
        <v>CERTI</v>
      </c>
    </row>
    <row r="6404" spans="1:27" ht="15" x14ac:dyDescent="0.25">
      <c r="A6404" s="2">
        <v>6399</v>
      </c>
      <c r="B6404" s="39">
        <v>925660208</v>
      </c>
      <c r="C6404" s="28" t="str">
        <f>HYPERLINK("https://pld.live/RapDetail.aspx?STONELIST=925660208","DNA")</f>
        <v>DNA</v>
      </c>
      <c r="D6404" s="18" t="s">
        <v>3054</v>
      </c>
      <c r="E6404" s="18" t="s">
        <v>2186</v>
      </c>
      <c r="F6404" s="2" t="s">
        <v>7987</v>
      </c>
      <c r="G6404" s="2" t="s">
        <v>6781</v>
      </c>
      <c r="H6404" s="14">
        <v>1.05</v>
      </c>
      <c r="I6404" s="2" t="s">
        <v>6587</v>
      </c>
      <c r="J6404" s="2" t="s">
        <v>3942</v>
      </c>
      <c r="K6404" s="2" t="s">
        <v>1452</v>
      </c>
      <c r="L6404" s="2" t="s">
        <v>5221</v>
      </c>
      <c r="M6404" s="2" t="s">
        <v>5221</v>
      </c>
      <c r="N6404" s="2" t="s">
        <v>2317</v>
      </c>
      <c r="O6404" s="14">
        <v>5800</v>
      </c>
      <c r="P6404" s="14">
        <v>98.17</v>
      </c>
      <c r="Q6404" s="14">
        <v>106.14</v>
      </c>
      <c r="R6404" s="14">
        <v>111.45</v>
      </c>
      <c r="S6404" s="2" t="s">
        <v>7673</v>
      </c>
      <c r="T6404" s="2">
        <v>1.6</v>
      </c>
      <c r="U6404" s="2">
        <v>62.7</v>
      </c>
      <c r="V6404" s="2">
        <v>61</v>
      </c>
      <c r="W6404" s="2" t="s">
        <v>7862</v>
      </c>
      <c r="X6404" s="2" t="s">
        <v>6687</v>
      </c>
      <c r="Y6404" s="2">
        <v>6090</v>
      </c>
      <c r="Z6404" s="19" t="str">
        <f>HYPERLINK("https://ssdweb.co/ssdweb/hd/Vision360.html?d=925660208&amp;zoomslide=1&amp;z=1925660208&amp;ISCONFIRM=0","VIDEO")</f>
        <v>VIDEO</v>
      </c>
      <c r="AA6404" s="19" t="str">
        <f>HYPERLINK("https://ssdweb.co/ssdweb/CERTH/625458020.pdf","CERTI")</f>
        <v>CERTI</v>
      </c>
    </row>
    <row r="6405" spans="1:27" ht="15" x14ac:dyDescent="0.25">
      <c r="A6405" s="2">
        <v>6400</v>
      </c>
      <c r="B6405" s="39">
        <v>926010299</v>
      </c>
      <c r="C6405" s="28" t="str">
        <f>HYPERLINK("https://pld.live/RapDetail.aspx?STONELIST=926010299","DNA")</f>
        <v>DNA</v>
      </c>
      <c r="D6405" s="18" t="s">
        <v>3054</v>
      </c>
      <c r="E6405" s="18" t="s">
        <v>2186</v>
      </c>
      <c r="F6405" s="2" t="s">
        <v>7987</v>
      </c>
      <c r="G6405" s="2" t="s">
        <v>6781</v>
      </c>
      <c r="H6405" s="14">
        <v>1.05</v>
      </c>
      <c r="I6405" s="2" t="s">
        <v>6587</v>
      </c>
      <c r="J6405" s="2" t="s">
        <v>3942</v>
      </c>
      <c r="K6405" s="2" t="s">
        <v>1452</v>
      </c>
      <c r="L6405" s="2" t="s">
        <v>5221</v>
      </c>
      <c r="M6405" s="2" t="s">
        <v>5221</v>
      </c>
      <c r="N6405" s="2" t="s">
        <v>2317</v>
      </c>
      <c r="O6405" s="14">
        <v>5800</v>
      </c>
      <c r="P6405" s="14">
        <v>98.17</v>
      </c>
      <c r="Q6405" s="14">
        <v>106.14</v>
      </c>
      <c r="R6405" s="14">
        <v>111.45</v>
      </c>
      <c r="S6405" s="2" t="s">
        <v>1935</v>
      </c>
      <c r="T6405" s="2">
        <v>1.63</v>
      </c>
      <c r="U6405" s="2">
        <v>61.9</v>
      </c>
      <c r="V6405" s="2">
        <v>64</v>
      </c>
      <c r="W6405" s="2" t="s">
        <v>7862</v>
      </c>
      <c r="X6405" s="2" t="s">
        <v>6687</v>
      </c>
      <c r="Y6405" s="2">
        <v>6090</v>
      </c>
      <c r="Z6405" s="19" t="str">
        <f>HYPERLINK("https://ssdweb.co/ssdweb/hd/Vision360.html?d=926010299&amp;zoomslide=1&amp;z=1926010299&amp;ISCONFIRM=0","VIDEO")</f>
        <v>VIDEO</v>
      </c>
      <c r="AA6405" s="19" t="str">
        <f>HYPERLINK("https://ssdweb.co/ssdweb/CERTH/632449563.pdf","CERTI")</f>
        <v>CERTI</v>
      </c>
    </row>
    <row r="6406" spans="1:27" ht="15" x14ac:dyDescent="0.25">
      <c r="A6406" s="2">
        <v>6401</v>
      </c>
      <c r="B6406" s="39">
        <v>821126878</v>
      </c>
      <c r="C6406" s="28" t="str">
        <f>HYPERLINK("https://pld.live/RapDetail.aspx?STONELIST=821126878","DNA")</f>
        <v>DNA</v>
      </c>
      <c r="D6406" s="18" t="s">
        <v>3054</v>
      </c>
      <c r="E6406" s="18" t="s">
        <v>5128</v>
      </c>
      <c r="F6406" s="2" t="s">
        <v>7987</v>
      </c>
      <c r="G6406" s="2" t="s">
        <v>6781</v>
      </c>
      <c r="H6406" s="14">
        <v>1.04</v>
      </c>
      <c r="I6406" s="2" t="s">
        <v>4761</v>
      </c>
      <c r="J6406" s="2" t="s">
        <v>6555</v>
      </c>
      <c r="K6406" s="2" t="s">
        <v>1452</v>
      </c>
      <c r="L6406" s="2" t="s">
        <v>5221</v>
      </c>
      <c r="M6406" s="2" t="s">
        <v>5221</v>
      </c>
      <c r="N6406" s="2" t="s">
        <v>2317</v>
      </c>
      <c r="O6406" s="14">
        <v>7500</v>
      </c>
      <c r="P6406" s="14">
        <v>98.2</v>
      </c>
      <c r="Q6406" s="14">
        <v>135</v>
      </c>
      <c r="R6406" s="14">
        <v>140.4</v>
      </c>
      <c r="S6406" s="2" t="s">
        <v>1953</v>
      </c>
      <c r="T6406" s="2">
        <v>1.52</v>
      </c>
      <c r="U6406" s="2">
        <v>60.7</v>
      </c>
      <c r="V6406" s="2">
        <v>63</v>
      </c>
      <c r="W6406" s="2" t="s">
        <v>7862</v>
      </c>
      <c r="X6406" s="2" t="s">
        <v>6687</v>
      </c>
      <c r="Y6406" s="2">
        <v>7800</v>
      </c>
      <c r="Z6406" s="19" t="str">
        <f>HYPERLINK("https://ssdweb.co/ssdweb/hd/Vision360.html?d=821126878&amp;zoomslide=1&amp;z=1821126878&amp;ISCONFIRM=0","VIDEO")</f>
        <v>VIDEO</v>
      </c>
      <c r="AA6406" s="19" t="str">
        <f>HYPERLINK("https://ssdweb.co/ssdweb/CERTH/621411011.pdf","CERTI")</f>
        <v>CERTI</v>
      </c>
    </row>
    <row r="6407" spans="1:27" ht="15" x14ac:dyDescent="0.25">
      <c r="A6407" s="2">
        <v>6402</v>
      </c>
      <c r="B6407" s="39">
        <v>926740267</v>
      </c>
      <c r="C6407" s="28" t="str">
        <f>HYPERLINK("https://pld.live/RapDetail.aspx?STONELIST=926740267","DNA")</f>
        <v>DNA</v>
      </c>
      <c r="D6407" s="18" t="s">
        <v>3054</v>
      </c>
      <c r="E6407" s="18" t="s">
        <v>5128</v>
      </c>
      <c r="F6407" s="2" t="s">
        <v>7987</v>
      </c>
      <c r="G6407" s="2" t="s">
        <v>6781</v>
      </c>
      <c r="H6407" s="14">
        <v>1.04</v>
      </c>
      <c r="I6407" s="2" t="s">
        <v>4761</v>
      </c>
      <c r="J6407" s="2" t="s">
        <v>3942</v>
      </c>
      <c r="K6407" s="2" t="s">
        <v>1452</v>
      </c>
      <c r="L6407" s="2" t="s">
        <v>5221</v>
      </c>
      <c r="M6407" s="2" t="s">
        <v>5221</v>
      </c>
      <c r="N6407" s="2" t="s">
        <v>2317</v>
      </c>
      <c r="O6407" s="14">
        <v>6900</v>
      </c>
      <c r="P6407" s="14">
        <v>98.36</v>
      </c>
      <c r="Q6407" s="14">
        <v>113.16</v>
      </c>
      <c r="R6407" s="14">
        <v>117.69</v>
      </c>
      <c r="S6407" s="2" t="s">
        <v>3415</v>
      </c>
      <c r="T6407" s="2">
        <v>1.54</v>
      </c>
      <c r="U6407" s="2">
        <v>60.5</v>
      </c>
      <c r="V6407" s="2">
        <v>62</v>
      </c>
      <c r="W6407" s="2" t="s">
        <v>7862</v>
      </c>
      <c r="X6407" s="2" t="s">
        <v>6687</v>
      </c>
      <c r="Y6407" s="2">
        <v>7176</v>
      </c>
      <c r="Z6407" s="19" t="str">
        <f>HYPERLINK("https://ssdweb.co/ssdweb/hd/Vision360.html?d=926740267&amp;zoomslide=1&amp;z=1926740267&amp;ISCONFIRM=0","VIDEO")</f>
        <v>VIDEO</v>
      </c>
      <c r="AA6407" s="19" t="str">
        <f>HYPERLINK("https://ssdweb.co/ssdweb/CERTH/651466280.pdf","CERTI")</f>
        <v>CERTI</v>
      </c>
    </row>
    <row r="6408" spans="1:27" ht="15" x14ac:dyDescent="0.25">
      <c r="A6408" s="2">
        <v>6403</v>
      </c>
      <c r="B6408" s="39">
        <v>821113434</v>
      </c>
      <c r="C6408" s="28" t="str">
        <f>HYPERLINK("https://pld.live/RapDetail.aspx?STONELIST=821113434","DNA")</f>
        <v>DNA</v>
      </c>
      <c r="D6408" s="18" t="s">
        <v>3054</v>
      </c>
      <c r="E6408" s="18" t="s">
        <v>2186</v>
      </c>
      <c r="F6408" s="2" t="s">
        <v>7987</v>
      </c>
      <c r="G6408" s="2" t="s">
        <v>6781</v>
      </c>
      <c r="H6408" s="14">
        <v>1.04</v>
      </c>
      <c r="I6408" s="2" t="s">
        <v>4761</v>
      </c>
      <c r="J6408" s="2" t="s">
        <v>5144</v>
      </c>
      <c r="K6408" s="2" t="s">
        <v>1452</v>
      </c>
      <c r="L6408" s="2" t="s">
        <v>5221</v>
      </c>
      <c r="M6408" s="2" t="s">
        <v>5221</v>
      </c>
      <c r="N6408" s="2" t="s">
        <v>2317</v>
      </c>
      <c r="O6408" s="14">
        <v>5400</v>
      </c>
      <c r="P6408" s="14">
        <v>98.09</v>
      </c>
      <c r="Q6408" s="14">
        <v>103.14</v>
      </c>
      <c r="R6408" s="14">
        <v>107.27</v>
      </c>
      <c r="S6408" s="2" t="s">
        <v>4685</v>
      </c>
      <c r="T6408" s="2">
        <v>1.5</v>
      </c>
      <c r="U6408" s="2">
        <v>64</v>
      </c>
      <c r="V6408" s="2">
        <v>61</v>
      </c>
      <c r="W6408" s="2" t="s">
        <v>7862</v>
      </c>
      <c r="X6408" s="2" t="s">
        <v>6687</v>
      </c>
      <c r="Y6408" s="2">
        <v>5616</v>
      </c>
      <c r="Z6408" s="19" t="str">
        <f>HYPERLINK("https://ssdweb.co/ssdweb/hd/Vision360.html?d=821113434&amp;zoomslide=1&amp;z=1821113434&amp;ISCONFIRM=0","VIDEO")</f>
        <v>VIDEO</v>
      </c>
      <c r="AA6408" s="19" t="str">
        <f>HYPERLINK("https://ssdweb.co/ssdweb/CERTH/618448892.pdf","CERTI")</f>
        <v>CERTI</v>
      </c>
    </row>
    <row r="6409" spans="1:27" ht="15" x14ac:dyDescent="0.25">
      <c r="A6409" s="2">
        <v>6404</v>
      </c>
      <c r="B6409" s="39">
        <v>924950334</v>
      </c>
      <c r="C6409" s="28" t="str">
        <f>HYPERLINK("https://pld.live/RapDetail.aspx?STONELIST=924950334","DNA")</f>
        <v>DNA</v>
      </c>
      <c r="D6409" s="18" t="s">
        <v>3054</v>
      </c>
      <c r="E6409" s="18" t="s">
        <v>2186</v>
      </c>
      <c r="F6409" s="2" t="s">
        <v>7987</v>
      </c>
      <c r="G6409" s="2" t="s">
        <v>6781</v>
      </c>
      <c r="H6409" s="14">
        <v>1.04</v>
      </c>
      <c r="I6409" s="2" t="s">
        <v>4761</v>
      </c>
      <c r="J6409" s="2" t="s">
        <v>444</v>
      </c>
      <c r="K6409" s="2" t="s">
        <v>1452</v>
      </c>
      <c r="L6409" s="2" t="s">
        <v>5221</v>
      </c>
      <c r="M6409" s="2" t="s">
        <v>5221</v>
      </c>
      <c r="N6409" s="2" t="s">
        <v>2317</v>
      </c>
      <c r="O6409" s="14">
        <v>4300</v>
      </c>
      <c r="P6409" s="14">
        <v>97.67</v>
      </c>
      <c r="Q6409" s="14">
        <v>100.19</v>
      </c>
      <c r="R6409" s="14">
        <v>104.2</v>
      </c>
      <c r="S6409" s="2" t="s">
        <v>3495</v>
      </c>
      <c r="T6409" s="2">
        <v>1.55</v>
      </c>
      <c r="U6409" s="2">
        <v>62.4</v>
      </c>
      <c r="V6409" s="2">
        <v>62</v>
      </c>
      <c r="W6409" s="2" t="s">
        <v>7862</v>
      </c>
      <c r="X6409" s="2" t="s">
        <v>6687</v>
      </c>
      <c r="Y6409" s="2">
        <v>4472</v>
      </c>
      <c r="Z6409" s="19" t="str">
        <f>HYPERLINK("https://ssdweb.co/ssdweb/hd/Vision360.html?d=924950334&amp;zoomslide=1&amp;z=1924950334&amp;ISCONFIRM=0","VIDEO")</f>
        <v>VIDEO</v>
      </c>
      <c r="AA6409" s="19" t="str">
        <f>HYPERLINK("https://ssdweb.co/ssdweb/CERTH/605330704.pdf","CERTI")</f>
        <v>CERTI</v>
      </c>
    </row>
    <row r="6410" spans="1:27" ht="15" x14ac:dyDescent="0.25">
      <c r="A6410" s="2">
        <v>6405</v>
      </c>
      <c r="B6410" s="39">
        <v>831020370</v>
      </c>
      <c r="C6410" s="28" t="str">
        <f>HYPERLINK("https://pld.live/RapDetail.aspx?STONELIST=831020370","DNA")</f>
        <v>DNA</v>
      </c>
      <c r="D6410" s="18" t="s">
        <v>3054</v>
      </c>
      <c r="E6410" s="18" t="s">
        <v>2186</v>
      </c>
      <c r="F6410" s="2" t="s">
        <v>5597</v>
      </c>
      <c r="G6410" s="2" t="s">
        <v>6781</v>
      </c>
      <c r="H6410" s="14">
        <v>1.04</v>
      </c>
      <c r="I6410" s="2" t="s">
        <v>4699</v>
      </c>
      <c r="J6410" s="2" t="s">
        <v>13</v>
      </c>
      <c r="K6410" s="2" t="s">
        <v>1452</v>
      </c>
      <c r="L6410" s="2" t="s">
        <v>5221</v>
      </c>
      <c r="M6410" s="2" t="s">
        <v>5721</v>
      </c>
      <c r="N6410" s="2" t="s">
        <v>2317</v>
      </c>
      <c r="O6410" s="14">
        <v>5800</v>
      </c>
      <c r="P6410" s="14">
        <v>97.03</v>
      </c>
      <c r="Q6410" s="14">
        <v>172.26</v>
      </c>
      <c r="R6410" s="14">
        <v>179.15</v>
      </c>
      <c r="S6410" s="2" t="s">
        <v>6731</v>
      </c>
      <c r="T6410" s="2">
        <v>1.62</v>
      </c>
      <c r="U6410" s="2">
        <v>61.2</v>
      </c>
      <c r="V6410" s="2">
        <v>62</v>
      </c>
      <c r="W6410" s="2" t="s">
        <v>7862</v>
      </c>
      <c r="X6410" s="2" t="s">
        <v>6687</v>
      </c>
      <c r="Y6410" s="2">
        <v>6032</v>
      </c>
      <c r="Z6410" s="19" t="str">
        <f>HYPERLINK("https://ssdweb.co/ssdweb/hd/Vision360.html?d=831020370&amp;zoomslide=1&amp;z=1831020370&amp;ISCONFIRM=0","VIDEO")</f>
        <v>VIDEO</v>
      </c>
      <c r="AA6410" s="19" t="str">
        <f>HYPERLINK("https://ssdweb.co/ssdweb/CERTH/6452864159.pdf","CERTI")</f>
        <v>CERTI</v>
      </c>
    </row>
    <row r="6411" spans="1:27" ht="15" x14ac:dyDescent="0.25">
      <c r="A6411" s="2">
        <v>6406</v>
      </c>
      <c r="B6411" s="39">
        <v>926631392</v>
      </c>
      <c r="C6411" s="28" t="str">
        <f>HYPERLINK("https://pld.live/RapDetail.aspx?STONELIST=926631392","DNA")</f>
        <v>DNA</v>
      </c>
      <c r="D6411" s="18" t="s">
        <v>3054</v>
      </c>
      <c r="E6411" s="18" t="s">
        <v>5128</v>
      </c>
      <c r="F6411" s="2" t="s">
        <v>7987</v>
      </c>
      <c r="G6411" s="2" t="s">
        <v>6781</v>
      </c>
      <c r="H6411" s="14">
        <v>1.03</v>
      </c>
      <c r="I6411" s="2" t="s">
        <v>267</v>
      </c>
      <c r="J6411" s="2" t="s">
        <v>5144</v>
      </c>
      <c r="K6411" s="2" t="s">
        <v>1452</v>
      </c>
      <c r="L6411" s="2" t="s">
        <v>5221</v>
      </c>
      <c r="M6411" s="2" t="s">
        <v>5221</v>
      </c>
      <c r="N6411" s="2" t="s">
        <v>2317</v>
      </c>
      <c r="O6411" s="14">
        <v>5700</v>
      </c>
      <c r="P6411" s="14">
        <v>98.11</v>
      </c>
      <c r="Q6411" s="14">
        <v>107.73</v>
      </c>
      <c r="R6411" s="14">
        <v>110.96</v>
      </c>
      <c r="S6411" s="2" t="s">
        <v>4989</v>
      </c>
      <c r="T6411" s="2">
        <v>1.53</v>
      </c>
      <c r="U6411" s="2">
        <v>62.5</v>
      </c>
      <c r="V6411" s="2">
        <v>62</v>
      </c>
      <c r="W6411" s="2" t="s">
        <v>7862</v>
      </c>
      <c r="X6411" s="2" t="s">
        <v>6687</v>
      </c>
      <c r="Y6411" s="2">
        <v>5871</v>
      </c>
      <c r="Z6411" s="19" t="str">
        <f>HYPERLINK("https://ssdweb.co/ssdweb/hd/Vision360.html?d=926631392&amp;zoomslide=1&amp;z=1926631392&amp;ISCONFIRM=0","VIDEO")</f>
        <v>VIDEO</v>
      </c>
      <c r="AA6411" s="19" t="str">
        <f>HYPERLINK("https://ssdweb.co/ssdweb/CERTH/651466267.pdf","CERTI")</f>
        <v>CERTI</v>
      </c>
    </row>
    <row r="6412" spans="1:27" ht="15" x14ac:dyDescent="0.25">
      <c r="A6412" s="2">
        <v>6407</v>
      </c>
      <c r="B6412" s="39">
        <v>926410321</v>
      </c>
      <c r="C6412" s="28" t="str">
        <f>HYPERLINK("https://pld.live/RapDetail.aspx?STONELIST=926410321","DNA")</f>
        <v>DNA</v>
      </c>
      <c r="D6412" s="18" t="s">
        <v>3054</v>
      </c>
      <c r="E6412" s="18" t="s">
        <v>2186</v>
      </c>
      <c r="F6412" s="2" t="s">
        <v>7987</v>
      </c>
      <c r="G6412" s="2" t="s">
        <v>6781</v>
      </c>
      <c r="H6412" s="14">
        <v>1.03</v>
      </c>
      <c r="I6412" s="2" t="s">
        <v>4761</v>
      </c>
      <c r="J6412" s="2" t="s">
        <v>3942</v>
      </c>
      <c r="K6412" s="2" t="s">
        <v>1452</v>
      </c>
      <c r="L6412" s="2" t="s">
        <v>5221</v>
      </c>
      <c r="M6412" s="2" t="s">
        <v>5221</v>
      </c>
      <c r="N6412" s="2" t="s">
        <v>2317</v>
      </c>
      <c r="O6412" s="14">
        <v>6900</v>
      </c>
      <c r="P6412" s="14">
        <v>98.36</v>
      </c>
      <c r="Q6412" s="14">
        <v>113.16</v>
      </c>
      <c r="R6412" s="14">
        <v>116.55</v>
      </c>
      <c r="S6412" s="2" t="s">
        <v>7562</v>
      </c>
      <c r="T6412" s="2">
        <v>1.48</v>
      </c>
      <c r="U6412" s="2">
        <v>59.3</v>
      </c>
      <c r="V6412" s="2">
        <v>63</v>
      </c>
      <c r="W6412" s="2" t="s">
        <v>7862</v>
      </c>
      <c r="X6412" s="2" t="s">
        <v>6687</v>
      </c>
      <c r="Y6412" s="2">
        <v>7107</v>
      </c>
      <c r="Z6412" s="19" t="str">
        <f>HYPERLINK("https://ssdweb.co/ssdweb/hd/Vision360.html?d=926410321&amp;zoomslide=1&amp;z=1926410321&amp;ISCONFIRM=0","VIDEO")</f>
        <v>VIDEO</v>
      </c>
      <c r="AA6412" s="19" t="str">
        <f>HYPERLINK("https://ssdweb.co/ssdweb/CERTH/642497699.pdf","CERTI")</f>
        <v>CERTI</v>
      </c>
    </row>
    <row r="6413" spans="1:27" ht="15" x14ac:dyDescent="0.25">
      <c r="A6413" s="2">
        <v>6408</v>
      </c>
      <c r="B6413" s="39">
        <v>821113116</v>
      </c>
      <c r="C6413" s="28" t="str">
        <f>HYPERLINK("https://pld.live/RapDetail.aspx?STONELIST=821113116","DNA")</f>
        <v>DNA</v>
      </c>
      <c r="D6413" s="18" t="s">
        <v>3054</v>
      </c>
      <c r="E6413" s="18" t="s">
        <v>2186</v>
      </c>
      <c r="F6413" s="2" t="s">
        <v>7987</v>
      </c>
      <c r="G6413" s="2" t="s">
        <v>6781</v>
      </c>
      <c r="H6413" s="14">
        <v>1.03</v>
      </c>
      <c r="I6413" s="2" t="s">
        <v>4699</v>
      </c>
      <c r="J6413" s="2" t="s">
        <v>13</v>
      </c>
      <c r="K6413" s="2" t="s">
        <v>1452</v>
      </c>
      <c r="L6413" s="2" t="s">
        <v>5221</v>
      </c>
      <c r="M6413" s="2" t="s">
        <v>5221</v>
      </c>
      <c r="N6413" s="2" t="s">
        <v>2317</v>
      </c>
      <c r="O6413" s="14">
        <v>5800</v>
      </c>
      <c r="P6413" s="14">
        <v>98.22</v>
      </c>
      <c r="Q6413" s="14">
        <v>103.24</v>
      </c>
      <c r="R6413" s="14">
        <v>106.34</v>
      </c>
      <c r="S6413" s="2" t="s">
        <v>4687</v>
      </c>
      <c r="T6413" s="2">
        <v>1.5</v>
      </c>
      <c r="U6413" s="2">
        <v>65.099999999999994</v>
      </c>
      <c r="V6413" s="2">
        <v>58</v>
      </c>
      <c r="W6413" s="2" t="s">
        <v>7862</v>
      </c>
      <c r="X6413" s="2" t="s">
        <v>6687</v>
      </c>
      <c r="Y6413" s="2">
        <v>5974</v>
      </c>
      <c r="Z6413" s="19" t="str">
        <f>HYPERLINK("https://ssdweb.co/ssdweb/hd/Vision360.html?d=821113116&amp;zoomslide=1&amp;z=1821113116&amp;ISCONFIRM=0","VIDEO")</f>
        <v>VIDEO</v>
      </c>
      <c r="AA6413" s="19" t="str">
        <f>HYPERLINK("https://ssdweb.co/ssdweb/CERTH/621438265.pdf","CERTI")</f>
        <v>CERTI</v>
      </c>
    </row>
    <row r="6414" spans="1:27" ht="15" x14ac:dyDescent="0.25">
      <c r="A6414" s="2">
        <v>6409</v>
      </c>
      <c r="B6414" s="39">
        <v>941140498</v>
      </c>
      <c r="C6414" s="28" t="str">
        <f>HYPERLINK("https://pld.live/RapDetail.aspx?STONELIST=941140498","DNA")</f>
        <v>DNA</v>
      </c>
      <c r="D6414" s="18" t="s">
        <v>3054</v>
      </c>
      <c r="E6414" s="18" t="s">
        <v>5128</v>
      </c>
      <c r="F6414" s="2" t="s">
        <v>7987</v>
      </c>
      <c r="G6414" s="2" t="s">
        <v>6781</v>
      </c>
      <c r="H6414" s="14">
        <v>1.03</v>
      </c>
      <c r="I6414" s="2" t="s">
        <v>4699</v>
      </c>
      <c r="J6414" s="2" t="s">
        <v>13</v>
      </c>
      <c r="K6414" s="2" t="s">
        <v>1452</v>
      </c>
      <c r="L6414" s="2" t="s">
        <v>5221</v>
      </c>
      <c r="M6414" s="2" t="s">
        <v>5721</v>
      </c>
      <c r="N6414" s="2" t="s">
        <v>2317</v>
      </c>
      <c r="O6414" s="14">
        <v>5800</v>
      </c>
      <c r="P6414" s="14">
        <v>98.17</v>
      </c>
      <c r="Q6414" s="14">
        <v>106.14</v>
      </c>
      <c r="R6414" s="14">
        <v>109.32</v>
      </c>
      <c r="S6414" s="2" t="s">
        <v>4906</v>
      </c>
      <c r="T6414" s="2">
        <v>1.6</v>
      </c>
      <c r="U6414" s="2">
        <v>62</v>
      </c>
      <c r="V6414" s="2">
        <v>57</v>
      </c>
      <c r="W6414" s="2" t="s">
        <v>7862</v>
      </c>
      <c r="X6414" s="2" t="s">
        <v>6687</v>
      </c>
      <c r="Y6414" s="2">
        <v>5974</v>
      </c>
      <c r="Z6414" s="19" t="str">
        <f>HYPERLINK("https://ssdweb.co/ssdweb/hd/Vision360.html?d=941140498&amp;zoomslide=1&amp;z=1941140498&amp;ISCONFIRM=0","VIDEO")</f>
        <v>VIDEO</v>
      </c>
      <c r="AA6414" s="19" t="str">
        <f>HYPERLINK("https://ssdweb.co/ssdweb/CERTH/674504106.pdf","CERTI")</f>
        <v>CERTI</v>
      </c>
    </row>
    <row r="6415" spans="1:27" ht="15" x14ac:dyDescent="0.25">
      <c r="A6415" s="2">
        <v>6410</v>
      </c>
      <c r="B6415" s="39">
        <v>925110064</v>
      </c>
      <c r="C6415" s="28" t="str">
        <f>HYPERLINK("https://pld.live/RapDetail.aspx?STONELIST=925110064","DNA")</f>
        <v>DNA</v>
      </c>
      <c r="D6415" s="18" t="s">
        <v>3054</v>
      </c>
      <c r="E6415" s="18" t="s">
        <v>5128</v>
      </c>
      <c r="F6415" s="2" t="s">
        <v>7987</v>
      </c>
      <c r="G6415" s="2" t="s">
        <v>6781</v>
      </c>
      <c r="H6415" s="14">
        <v>1.02</v>
      </c>
      <c r="I6415" s="2" t="s">
        <v>267</v>
      </c>
      <c r="J6415" s="2" t="s">
        <v>7032</v>
      </c>
      <c r="K6415" s="2" t="s">
        <v>1452</v>
      </c>
      <c r="L6415" s="2" t="s">
        <v>5221</v>
      </c>
      <c r="M6415" s="2" t="s">
        <v>5221</v>
      </c>
      <c r="N6415" s="2" t="s">
        <v>2317</v>
      </c>
      <c r="O6415" s="14">
        <v>9300</v>
      </c>
      <c r="P6415" s="14">
        <v>97.26</v>
      </c>
      <c r="Q6415" s="14">
        <v>254.82</v>
      </c>
      <c r="R6415" s="14">
        <v>259.92</v>
      </c>
      <c r="S6415" s="2" t="s">
        <v>246</v>
      </c>
      <c r="T6415" s="2">
        <v>1.52</v>
      </c>
      <c r="U6415" s="2">
        <v>62.3</v>
      </c>
      <c r="V6415" s="2">
        <v>61</v>
      </c>
      <c r="W6415" s="2" t="s">
        <v>7862</v>
      </c>
      <c r="X6415" s="2" t="s">
        <v>6687</v>
      </c>
      <c r="Y6415" s="2">
        <v>9486</v>
      </c>
      <c r="Z6415" s="19" t="str">
        <f>HYPERLINK("https://ssdweb.co/ssdweb/hd/Vision360.html?d=925110064&amp;zoomslide=1&amp;z=1925110064&amp;ISCONFIRM=0","VIDEO")</f>
        <v>VIDEO</v>
      </c>
      <c r="AA6415" s="19" t="str">
        <f>HYPERLINK("https://ssdweb.co/ssdweb/CERTH/605390268.pdf","CERTI")</f>
        <v>CERTI</v>
      </c>
    </row>
    <row r="6416" spans="1:27" ht="15" x14ac:dyDescent="0.25">
      <c r="A6416" s="2">
        <v>6411</v>
      </c>
      <c r="B6416" s="39">
        <v>941080821</v>
      </c>
      <c r="C6416" s="28" t="str">
        <f>HYPERLINK("https://pld.live/RapDetail.aspx?STONELIST=941080821","DNA")</f>
        <v>DNA</v>
      </c>
      <c r="D6416" s="18" t="s">
        <v>3054</v>
      </c>
      <c r="E6416" s="18" t="s">
        <v>2186</v>
      </c>
      <c r="F6416" s="2" t="s">
        <v>7987</v>
      </c>
      <c r="G6416" s="2" t="s">
        <v>6781</v>
      </c>
      <c r="H6416" s="14">
        <v>1.02</v>
      </c>
      <c r="I6416" s="2" t="s">
        <v>267</v>
      </c>
      <c r="J6416" s="2" t="s">
        <v>3942</v>
      </c>
      <c r="K6416" s="2" t="s">
        <v>1452</v>
      </c>
      <c r="L6416" s="2" t="s">
        <v>5221</v>
      </c>
      <c r="M6416" s="2" t="s">
        <v>5221</v>
      </c>
      <c r="N6416" s="2" t="s">
        <v>2317</v>
      </c>
      <c r="O6416" s="14">
        <v>7600</v>
      </c>
      <c r="P6416" s="14">
        <v>98.42</v>
      </c>
      <c r="Q6416" s="14">
        <v>120.08</v>
      </c>
      <c r="R6416" s="14">
        <v>122.48</v>
      </c>
      <c r="S6416" s="2" t="s">
        <v>5537</v>
      </c>
      <c r="T6416" s="2">
        <v>1.53</v>
      </c>
      <c r="U6416" s="2">
        <v>59.9</v>
      </c>
      <c r="V6416" s="2">
        <v>61</v>
      </c>
      <c r="W6416" s="2" t="s">
        <v>7862</v>
      </c>
      <c r="X6416" s="2" t="s">
        <v>6687</v>
      </c>
      <c r="Y6416" s="2">
        <v>7752</v>
      </c>
      <c r="Z6416" s="19" t="str">
        <f>HYPERLINK("https://ssdweb.co/ssdweb/hd/Vision360.html?d=941080821&amp;zoomslide=1&amp;z=1941080821&amp;ISCONFIRM=0","VIDEO")</f>
        <v>VIDEO</v>
      </c>
      <c r="AA6416" s="19" t="str">
        <f>HYPERLINK("https://ssdweb.co/ssdweb/CERTH/674532576.pdf","CERTI")</f>
        <v>CERTI</v>
      </c>
    </row>
    <row r="6417" spans="1:27" ht="15" x14ac:dyDescent="0.25">
      <c r="A6417" s="2">
        <v>6412</v>
      </c>
      <c r="B6417" s="39">
        <v>927092596</v>
      </c>
      <c r="C6417" s="28" t="str">
        <f>HYPERLINK("https://pld.live/RapDetail.aspx?STONELIST=927092596","DNA")</f>
        <v>DNA</v>
      </c>
      <c r="D6417" s="18" t="s">
        <v>3054</v>
      </c>
      <c r="E6417" s="18" t="s">
        <v>5128</v>
      </c>
      <c r="F6417" s="2" t="s">
        <v>7987</v>
      </c>
      <c r="G6417" s="2" t="s">
        <v>6781</v>
      </c>
      <c r="H6417" s="14">
        <v>1.02</v>
      </c>
      <c r="I6417" s="2" t="s">
        <v>267</v>
      </c>
      <c r="J6417" s="2" t="s">
        <v>3942</v>
      </c>
      <c r="K6417" s="2" t="s">
        <v>1452</v>
      </c>
      <c r="L6417" s="2" t="s">
        <v>5221</v>
      </c>
      <c r="M6417" s="2" t="s">
        <v>5221</v>
      </c>
      <c r="N6417" s="2" t="s">
        <v>2317</v>
      </c>
      <c r="O6417" s="14">
        <v>7600</v>
      </c>
      <c r="P6417" s="14">
        <v>98.42</v>
      </c>
      <c r="Q6417" s="14">
        <v>120.08</v>
      </c>
      <c r="R6417" s="14">
        <v>122.48</v>
      </c>
      <c r="S6417" s="2" t="s">
        <v>2564</v>
      </c>
      <c r="T6417" s="2">
        <v>1.48</v>
      </c>
      <c r="U6417" s="2">
        <v>63.4</v>
      </c>
      <c r="V6417" s="2">
        <v>62</v>
      </c>
      <c r="W6417" s="2" t="s">
        <v>7862</v>
      </c>
      <c r="X6417" s="2" t="s">
        <v>6687</v>
      </c>
      <c r="Y6417" s="2">
        <v>7752</v>
      </c>
      <c r="Z6417" s="19" t="str">
        <f>HYPERLINK("https://ssdweb.co/ssdweb/hd/Vision360.html?d=927092596&amp;zoomslide=1&amp;z=1927092596&amp;ISCONFIRM=0","VIDEO")</f>
        <v>VIDEO</v>
      </c>
      <c r="AA6417" s="19" t="str">
        <f>HYPERLINK("https://ssdweb.co/ssdweb/CERTH/671437440.pdf","CERTI")</f>
        <v>CERTI</v>
      </c>
    </row>
    <row r="6418" spans="1:27" ht="15" x14ac:dyDescent="0.25">
      <c r="A6418" s="2">
        <v>6413</v>
      </c>
      <c r="B6418" s="39">
        <v>941071313</v>
      </c>
      <c r="C6418" s="28" t="str">
        <f>HYPERLINK("https://pld.live/RapDetail.aspx?STONELIST=941071313","DNA")</f>
        <v>DNA</v>
      </c>
      <c r="D6418" s="18" t="s">
        <v>3054</v>
      </c>
      <c r="E6418" s="18" t="s">
        <v>5128</v>
      </c>
      <c r="F6418" s="2" t="s">
        <v>7987</v>
      </c>
      <c r="G6418" s="2" t="s">
        <v>6781</v>
      </c>
      <c r="H6418" s="14">
        <v>1.02</v>
      </c>
      <c r="I6418" s="2" t="s">
        <v>267</v>
      </c>
      <c r="J6418" s="2" t="s">
        <v>3942</v>
      </c>
      <c r="K6418" s="2" t="s">
        <v>1452</v>
      </c>
      <c r="L6418" s="2" t="s">
        <v>5221</v>
      </c>
      <c r="M6418" s="2" t="s">
        <v>5221</v>
      </c>
      <c r="N6418" s="2" t="s">
        <v>2317</v>
      </c>
      <c r="O6418" s="14">
        <v>7600</v>
      </c>
      <c r="P6418" s="14">
        <v>98.42</v>
      </c>
      <c r="Q6418" s="14">
        <v>120.08</v>
      </c>
      <c r="R6418" s="14">
        <v>122.48</v>
      </c>
      <c r="S6418" s="2" t="s">
        <v>4221</v>
      </c>
      <c r="T6418" s="2">
        <v>1.53</v>
      </c>
      <c r="U6418" s="2">
        <v>62</v>
      </c>
      <c r="V6418" s="2">
        <v>62</v>
      </c>
      <c r="W6418" s="2" t="s">
        <v>7862</v>
      </c>
      <c r="X6418" s="2" t="s">
        <v>6687</v>
      </c>
      <c r="Y6418" s="2">
        <v>7752</v>
      </c>
      <c r="Z6418" s="19" t="str">
        <f>HYPERLINK("https://ssdweb.co/ssdweb/hd/Vision360.html?d=941071313&amp;zoomslide=1&amp;z=1941071313&amp;ISCONFIRM=0","VIDEO")</f>
        <v>VIDEO</v>
      </c>
      <c r="AA6418" s="19" t="str">
        <f>HYPERLINK("https://ssdweb.co/ssdweb/CERTH/674532528.pdf","CERTI")</f>
        <v>CERTI</v>
      </c>
    </row>
    <row r="6419" spans="1:27" ht="15" x14ac:dyDescent="0.25">
      <c r="A6419" s="2">
        <v>6414</v>
      </c>
      <c r="B6419" s="39">
        <v>941110514</v>
      </c>
      <c r="C6419" s="28" t="str">
        <f>HYPERLINK("https://pld.live/RapDetail.aspx?STONELIST=941110514","DNA")</f>
        <v>DNA</v>
      </c>
      <c r="D6419" s="18" t="s">
        <v>3054</v>
      </c>
      <c r="E6419" s="18" t="s">
        <v>2186</v>
      </c>
      <c r="F6419" s="2" t="s">
        <v>7987</v>
      </c>
      <c r="G6419" s="2" t="s">
        <v>6781</v>
      </c>
      <c r="H6419" s="14">
        <v>1.02</v>
      </c>
      <c r="I6419" s="2" t="s">
        <v>267</v>
      </c>
      <c r="J6419" s="2" t="s">
        <v>3942</v>
      </c>
      <c r="K6419" s="2" t="s">
        <v>1452</v>
      </c>
      <c r="L6419" s="2" t="s">
        <v>5221</v>
      </c>
      <c r="M6419" s="2" t="s">
        <v>5721</v>
      </c>
      <c r="N6419" s="2" t="s">
        <v>2317</v>
      </c>
      <c r="O6419" s="14">
        <v>7600</v>
      </c>
      <c r="P6419" s="14">
        <v>98.45</v>
      </c>
      <c r="Q6419" s="14">
        <v>117.8</v>
      </c>
      <c r="R6419" s="14">
        <v>120.16</v>
      </c>
      <c r="S6419" s="2" t="s">
        <v>3542</v>
      </c>
      <c r="T6419" s="2">
        <v>1.53</v>
      </c>
      <c r="U6419" s="2">
        <v>61</v>
      </c>
      <c r="V6419" s="2">
        <v>62</v>
      </c>
      <c r="W6419" s="2" t="s">
        <v>7862</v>
      </c>
      <c r="X6419" s="2" t="s">
        <v>6687</v>
      </c>
      <c r="Y6419" s="2">
        <v>7752</v>
      </c>
      <c r="Z6419" s="19" t="str">
        <f>HYPERLINK("https://ssdweb.co/ssdweb/hd/Vision360.html?d=941110514&amp;zoomslide=1&amp;z=1941110514&amp;ISCONFIRM=0","VIDEO")</f>
        <v>VIDEO</v>
      </c>
      <c r="AA6419" s="19" t="str">
        <f>HYPERLINK("https://ssdweb.co/ssdweb/CERTH/674532537.pdf","CERTI")</f>
        <v>CERTI</v>
      </c>
    </row>
    <row r="6420" spans="1:27" ht="15" x14ac:dyDescent="0.25">
      <c r="A6420" s="2">
        <v>6415</v>
      </c>
      <c r="B6420" s="39">
        <v>927030560</v>
      </c>
      <c r="C6420" s="28" t="str">
        <f>HYPERLINK("https://pld.live/RapDetail.aspx?STONELIST=927030560","DNA")</f>
        <v>DNA</v>
      </c>
      <c r="D6420" s="18" t="s">
        <v>3054</v>
      </c>
      <c r="E6420" s="18" t="s">
        <v>2186</v>
      </c>
      <c r="F6420" s="2" t="s">
        <v>7987</v>
      </c>
      <c r="G6420" s="2" t="s">
        <v>6781</v>
      </c>
      <c r="H6420" s="14">
        <v>1.02</v>
      </c>
      <c r="I6420" s="2" t="s">
        <v>267</v>
      </c>
      <c r="J6420" s="2" t="s">
        <v>3942</v>
      </c>
      <c r="K6420" s="2" t="s">
        <v>1452</v>
      </c>
      <c r="L6420" s="2" t="s">
        <v>5221</v>
      </c>
      <c r="M6420" s="2" t="s">
        <v>5721</v>
      </c>
      <c r="N6420" s="2" t="s">
        <v>2317</v>
      </c>
      <c r="O6420" s="14">
        <v>7600</v>
      </c>
      <c r="P6420" s="14">
        <v>98.45</v>
      </c>
      <c r="Q6420" s="14">
        <v>117.8</v>
      </c>
      <c r="R6420" s="14">
        <v>120.16</v>
      </c>
      <c r="S6420" s="2" t="s">
        <v>5578</v>
      </c>
      <c r="T6420" s="2">
        <v>1.49</v>
      </c>
      <c r="U6420" s="2">
        <v>62.2</v>
      </c>
      <c r="V6420" s="2">
        <v>60</v>
      </c>
      <c r="W6420" s="2" t="s">
        <v>7862</v>
      </c>
      <c r="X6420" s="2" t="s">
        <v>6687</v>
      </c>
      <c r="Y6420" s="2">
        <v>7752</v>
      </c>
      <c r="Z6420" s="19" t="str">
        <f>HYPERLINK("https://ssdweb.co/ssdweb/hd/Vision360.html?d=927030560&amp;zoomslide=1&amp;z=1927030560&amp;ISCONFIRM=0","VIDEO")</f>
        <v>VIDEO</v>
      </c>
      <c r="AA6420" s="19" t="str">
        <f>HYPERLINK("https://ssdweb.co/ssdweb/CERTH/662417162.pdf","CERTI")</f>
        <v>CERTI</v>
      </c>
    </row>
    <row r="6421" spans="1:27" ht="15" x14ac:dyDescent="0.25">
      <c r="A6421" s="2">
        <v>6416</v>
      </c>
      <c r="B6421" s="39">
        <v>941090654</v>
      </c>
      <c r="C6421" s="28" t="str">
        <f>HYPERLINK("https://pld.live/RapDetail.aspx?STONELIST=941090654","DNA")</f>
        <v>DNA</v>
      </c>
      <c r="D6421" s="18" t="s">
        <v>3054</v>
      </c>
      <c r="E6421" s="18" t="s">
        <v>2186</v>
      </c>
      <c r="F6421" s="2" t="s">
        <v>7987</v>
      </c>
      <c r="G6421" s="2" t="s">
        <v>6781</v>
      </c>
      <c r="H6421" s="14">
        <v>1.02</v>
      </c>
      <c r="I6421" s="2" t="s">
        <v>267</v>
      </c>
      <c r="J6421" s="2" t="s">
        <v>3942</v>
      </c>
      <c r="K6421" s="2" t="s">
        <v>1452</v>
      </c>
      <c r="L6421" s="2" t="s">
        <v>5221</v>
      </c>
      <c r="M6421" s="2" t="s">
        <v>5721</v>
      </c>
      <c r="N6421" s="2" t="s">
        <v>2317</v>
      </c>
      <c r="O6421" s="14">
        <v>7600</v>
      </c>
      <c r="P6421" s="14">
        <v>98.45</v>
      </c>
      <c r="Q6421" s="14">
        <v>117.8</v>
      </c>
      <c r="R6421" s="14">
        <v>120.16</v>
      </c>
      <c r="S6421" s="2" t="s">
        <v>4882</v>
      </c>
      <c r="T6421" s="2">
        <v>1.52</v>
      </c>
      <c r="U6421" s="2">
        <v>62.1</v>
      </c>
      <c r="V6421" s="2">
        <v>60</v>
      </c>
      <c r="W6421" s="2" t="s">
        <v>7862</v>
      </c>
      <c r="X6421" s="2" t="s">
        <v>6687</v>
      </c>
      <c r="Y6421" s="2">
        <v>7752</v>
      </c>
      <c r="Z6421" s="19" t="str">
        <f>HYPERLINK("https://ssdweb.co/ssdweb/hd/Vision360.html?d=941090654&amp;zoomslide=1&amp;z=1941090654&amp;ISCONFIRM=0","VIDEO")</f>
        <v>VIDEO</v>
      </c>
      <c r="AA6421" s="19" t="str">
        <f>HYPERLINK("https://ssdweb.co/ssdweb/CERTH/674532550.pdf","CERTI")</f>
        <v>CERTI</v>
      </c>
    </row>
    <row r="6422" spans="1:27" ht="15" x14ac:dyDescent="0.25">
      <c r="A6422" s="2">
        <v>6417</v>
      </c>
      <c r="B6422" s="39">
        <v>926750846</v>
      </c>
      <c r="C6422" s="28" t="str">
        <f>HYPERLINK("https://pld.live/RapDetail.aspx?STONELIST=926750846","DNA")</f>
        <v>DNA</v>
      </c>
      <c r="D6422" s="18" t="s">
        <v>3054</v>
      </c>
      <c r="E6422" s="18" t="s">
        <v>5128</v>
      </c>
      <c r="F6422" s="2" t="s">
        <v>7987</v>
      </c>
      <c r="G6422" s="2" t="s">
        <v>6781</v>
      </c>
      <c r="H6422" s="14">
        <v>1.02</v>
      </c>
      <c r="I6422" s="2" t="s">
        <v>267</v>
      </c>
      <c r="J6422" s="2" t="s">
        <v>13</v>
      </c>
      <c r="K6422" s="2" t="s">
        <v>1452</v>
      </c>
      <c r="L6422" s="2" t="s">
        <v>5221</v>
      </c>
      <c r="M6422" s="2" t="s">
        <v>5221</v>
      </c>
      <c r="N6422" s="2" t="s">
        <v>2317</v>
      </c>
      <c r="O6422" s="14">
        <v>6700</v>
      </c>
      <c r="P6422" s="14">
        <v>98.31</v>
      </c>
      <c r="Q6422" s="14">
        <v>113.23</v>
      </c>
      <c r="R6422" s="14">
        <v>115.49</v>
      </c>
      <c r="S6422" s="2" t="s">
        <v>2863</v>
      </c>
      <c r="T6422" s="2">
        <v>1.49</v>
      </c>
      <c r="U6422" s="2">
        <v>64.400000000000006</v>
      </c>
      <c r="V6422" s="2">
        <v>62</v>
      </c>
      <c r="W6422" s="2" t="s">
        <v>7862</v>
      </c>
      <c r="X6422" s="2" t="s">
        <v>6687</v>
      </c>
      <c r="Y6422" s="2">
        <v>6834</v>
      </c>
      <c r="Z6422" s="19" t="str">
        <f>HYPERLINK("https://ssdweb.co/ssdweb/hd/Vision360.html?d=926750846&amp;zoomslide=1&amp;z=1926750846&amp;ISCONFIRM=0","VIDEO")</f>
        <v>VIDEO</v>
      </c>
      <c r="AA6422" s="19" t="str">
        <f>HYPERLINK("https://ssdweb.co/ssdweb/CERTH/651401217.pdf","CERTI")</f>
        <v>CERTI</v>
      </c>
    </row>
    <row r="6423" spans="1:27" ht="15" x14ac:dyDescent="0.25">
      <c r="A6423" s="2">
        <v>6418</v>
      </c>
      <c r="B6423" s="39">
        <v>941021787</v>
      </c>
      <c r="C6423" s="28" t="str">
        <f>HYPERLINK("https://pld.live/RapDetail.aspx?STONELIST=941021787","DNA")</f>
        <v>DNA</v>
      </c>
      <c r="D6423" s="18" t="s">
        <v>3054</v>
      </c>
      <c r="E6423" s="18" t="s">
        <v>5128</v>
      </c>
      <c r="F6423" s="2" t="s">
        <v>7987</v>
      </c>
      <c r="G6423" s="2" t="s">
        <v>6781</v>
      </c>
      <c r="H6423" s="14">
        <v>1.02</v>
      </c>
      <c r="I6423" s="2" t="s">
        <v>267</v>
      </c>
      <c r="J6423" s="2" t="s">
        <v>13</v>
      </c>
      <c r="K6423" s="2" t="s">
        <v>1452</v>
      </c>
      <c r="L6423" s="2" t="s">
        <v>5221</v>
      </c>
      <c r="M6423" s="2" t="s">
        <v>5221</v>
      </c>
      <c r="N6423" s="2" t="s">
        <v>2317</v>
      </c>
      <c r="O6423" s="14">
        <v>6700</v>
      </c>
      <c r="P6423" s="14">
        <v>98.28</v>
      </c>
      <c r="Q6423" s="14">
        <v>115.24</v>
      </c>
      <c r="R6423" s="14">
        <v>117.54</v>
      </c>
      <c r="S6423" s="2" t="s">
        <v>4572</v>
      </c>
      <c r="T6423" s="2">
        <v>1.5</v>
      </c>
      <c r="U6423" s="2">
        <v>62.8</v>
      </c>
      <c r="V6423" s="2">
        <v>61</v>
      </c>
      <c r="W6423" s="2" t="s">
        <v>7862</v>
      </c>
      <c r="X6423" s="2" t="s">
        <v>6687</v>
      </c>
      <c r="Y6423" s="2">
        <v>6834</v>
      </c>
      <c r="Z6423" s="19" t="str">
        <f>HYPERLINK("https://ssdweb.co/ssdweb/hd/Vision360.html?d=941021787&amp;zoomslide=1&amp;z=1941021787&amp;ISCONFIRM=0","VIDEO")</f>
        <v>VIDEO</v>
      </c>
      <c r="AA6423" s="19" t="str">
        <f>HYPERLINK("https://ssdweb.co/ssdweb/CERTH/674504097.pdf","CERTI")</f>
        <v>CERTI</v>
      </c>
    </row>
    <row r="6424" spans="1:27" ht="15" x14ac:dyDescent="0.25">
      <c r="A6424" s="2">
        <v>6419</v>
      </c>
      <c r="B6424" s="39">
        <v>941071295</v>
      </c>
      <c r="C6424" s="28" t="str">
        <f>HYPERLINK("https://pld.live/RapDetail.aspx?STONELIST=941071295","DNA")</f>
        <v>DNA</v>
      </c>
      <c r="D6424" s="18" t="s">
        <v>3054</v>
      </c>
      <c r="E6424" s="18" t="s">
        <v>5128</v>
      </c>
      <c r="F6424" s="2" t="s">
        <v>7987</v>
      </c>
      <c r="G6424" s="2" t="s">
        <v>6781</v>
      </c>
      <c r="H6424" s="14">
        <v>1.02</v>
      </c>
      <c r="I6424" s="2" t="s">
        <v>267</v>
      </c>
      <c r="J6424" s="2" t="s">
        <v>13</v>
      </c>
      <c r="K6424" s="2" t="s">
        <v>1452</v>
      </c>
      <c r="L6424" s="2" t="s">
        <v>5221</v>
      </c>
      <c r="M6424" s="2" t="s">
        <v>5221</v>
      </c>
      <c r="N6424" s="2" t="s">
        <v>2317</v>
      </c>
      <c r="O6424" s="14">
        <v>6700</v>
      </c>
      <c r="P6424" s="14">
        <v>98.28</v>
      </c>
      <c r="Q6424" s="14">
        <v>115.24</v>
      </c>
      <c r="R6424" s="14">
        <v>117.54</v>
      </c>
      <c r="S6424" s="2" t="s">
        <v>5541</v>
      </c>
      <c r="T6424" s="2">
        <v>1.48</v>
      </c>
      <c r="U6424" s="2">
        <v>61.8</v>
      </c>
      <c r="V6424" s="2">
        <v>59</v>
      </c>
      <c r="W6424" s="2" t="s">
        <v>7862</v>
      </c>
      <c r="X6424" s="2" t="s">
        <v>6687</v>
      </c>
      <c r="Y6424" s="2">
        <v>6834</v>
      </c>
      <c r="Z6424" s="19" t="str">
        <f>HYPERLINK("https://ssdweb.co/ssdweb/hd/Vision360.html?d=941071295&amp;zoomslide=1&amp;z=1941071295&amp;ISCONFIRM=0","VIDEO")</f>
        <v>VIDEO</v>
      </c>
      <c r="AA6424" s="19" t="str">
        <f>HYPERLINK("https://ssdweb.co/ssdweb/CERTH/674504075.pdf","CERTI")</f>
        <v>CERTI</v>
      </c>
    </row>
    <row r="6425" spans="1:27" ht="15" x14ac:dyDescent="0.25">
      <c r="A6425" s="2">
        <v>6420</v>
      </c>
      <c r="B6425" s="39">
        <v>927140418</v>
      </c>
      <c r="C6425" s="28" t="str">
        <f>HYPERLINK("https://pld.live/RapDetail.aspx?STONELIST=927140418","DNA")</f>
        <v>DNA</v>
      </c>
      <c r="D6425" s="18" t="s">
        <v>3054</v>
      </c>
      <c r="E6425" s="18" t="s">
        <v>2186</v>
      </c>
      <c r="F6425" s="2" t="s">
        <v>7987</v>
      </c>
      <c r="G6425" s="2" t="s">
        <v>6781</v>
      </c>
      <c r="H6425" s="14">
        <v>1.02</v>
      </c>
      <c r="I6425" s="2" t="s">
        <v>267</v>
      </c>
      <c r="J6425" s="2" t="s">
        <v>13</v>
      </c>
      <c r="K6425" s="2" t="s">
        <v>1452</v>
      </c>
      <c r="L6425" s="2" t="s">
        <v>5221</v>
      </c>
      <c r="M6425" s="2" t="s">
        <v>5221</v>
      </c>
      <c r="N6425" s="2" t="s">
        <v>2317</v>
      </c>
      <c r="O6425" s="14">
        <v>6700</v>
      </c>
      <c r="P6425" s="14">
        <v>98.28</v>
      </c>
      <c r="Q6425" s="14">
        <v>115.24</v>
      </c>
      <c r="R6425" s="14">
        <v>117.54</v>
      </c>
      <c r="S6425" s="2" t="s">
        <v>2531</v>
      </c>
      <c r="T6425" s="2">
        <v>1.5</v>
      </c>
      <c r="U6425" s="2">
        <v>58.8</v>
      </c>
      <c r="V6425" s="2">
        <v>63</v>
      </c>
      <c r="W6425" s="2" t="s">
        <v>7862</v>
      </c>
      <c r="X6425" s="2" t="s">
        <v>6687</v>
      </c>
      <c r="Y6425" s="2">
        <v>6834</v>
      </c>
      <c r="Z6425" s="19" t="str">
        <f>HYPERLINK("https://ssdweb.co/ssdweb/hd/Vision360.html?d=927140418&amp;zoomslide=1&amp;z=1927140418&amp;ISCONFIRM=0","VIDEO")</f>
        <v>VIDEO</v>
      </c>
      <c r="AA6425" s="19" t="str">
        <f>HYPERLINK("https://ssdweb.co/ssdweb/CERTH/671477225.pdf","CERTI")</f>
        <v>CERTI</v>
      </c>
    </row>
    <row r="6426" spans="1:27" ht="15" x14ac:dyDescent="0.25">
      <c r="A6426" s="2">
        <v>6421</v>
      </c>
      <c r="B6426" s="39">
        <v>941090682</v>
      </c>
      <c r="C6426" s="28" t="str">
        <f>HYPERLINK("https://pld.live/RapDetail.aspx?STONELIST=941090682","DNA")</f>
        <v>DNA</v>
      </c>
      <c r="D6426" s="18" t="s">
        <v>3054</v>
      </c>
      <c r="E6426" s="18" t="s">
        <v>2186</v>
      </c>
      <c r="F6426" s="2" t="s">
        <v>7987</v>
      </c>
      <c r="G6426" s="2" t="s">
        <v>6781</v>
      </c>
      <c r="H6426" s="14">
        <v>1.02</v>
      </c>
      <c r="I6426" s="2" t="s">
        <v>267</v>
      </c>
      <c r="J6426" s="2" t="s">
        <v>13</v>
      </c>
      <c r="K6426" s="2" t="s">
        <v>1452</v>
      </c>
      <c r="L6426" s="2" t="s">
        <v>5221</v>
      </c>
      <c r="M6426" s="2" t="s">
        <v>5721</v>
      </c>
      <c r="N6426" s="2" t="s">
        <v>2317</v>
      </c>
      <c r="O6426" s="14">
        <v>6700</v>
      </c>
      <c r="P6426" s="14">
        <v>98.31</v>
      </c>
      <c r="Q6426" s="14">
        <v>113.23</v>
      </c>
      <c r="R6426" s="14">
        <v>115.49</v>
      </c>
      <c r="S6426" s="2" t="s">
        <v>2805</v>
      </c>
      <c r="T6426" s="2">
        <v>1.62</v>
      </c>
      <c r="U6426" s="2">
        <v>59.9</v>
      </c>
      <c r="V6426" s="2">
        <v>62</v>
      </c>
      <c r="W6426" s="2" t="s">
        <v>7862</v>
      </c>
      <c r="X6426" s="2" t="s">
        <v>6687</v>
      </c>
      <c r="Y6426" s="2">
        <v>6834</v>
      </c>
      <c r="Z6426" s="19" t="str">
        <f>HYPERLINK("https://ssdweb.co/ssdweb/hd/Vision360.html?d=941090682&amp;zoomslide=1&amp;z=1941090682&amp;ISCONFIRM=0","VIDEO")</f>
        <v>VIDEO</v>
      </c>
      <c r="AA6426" s="19" t="str">
        <f>HYPERLINK("https://ssdweb.co/ssdweb/CERTH/674532553.pdf","CERTI")</f>
        <v>CERTI</v>
      </c>
    </row>
    <row r="6427" spans="1:27" ht="15" x14ac:dyDescent="0.25">
      <c r="A6427" s="2">
        <v>6422</v>
      </c>
      <c r="B6427" s="39">
        <v>926621097</v>
      </c>
      <c r="C6427" s="28" t="str">
        <f>HYPERLINK("https://pld.live/RapDetail.aspx?STONELIST=926621097","DNA")</f>
        <v>DNA</v>
      </c>
      <c r="D6427" s="18" t="s">
        <v>3054</v>
      </c>
      <c r="E6427" s="18" t="s">
        <v>5128</v>
      </c>
      <c r="F6427" s="2" t="s">
        <v>7987</v>
      </c>
      <c r="G6427" s="2" t="s">
        <v>6781</v>
      </c>
      <c r="H6427" s="14">
        <v>1.02</v>
      </c>
      <c r="I6427" s="2" t="s">
        <v>4761</v>
      </c>
      <c r="J6427" s="2" t="s">
        <v>6555</v>
      </c>
      <c r="K6427" s="2" t="s">
        <v>1452</v>
      </c>
      <c r="L6427" s="2" t="s">
        <v>5221</v>
      </c>
      <c r="M6427" s="2" t="s">
        <v>5221</v>
      </c>
      <c r="N6427" s="2" t="s">
        <v>2317</v>
      </c>
      <c r="O6427" s="14">
        <v>7500</v>
      </c>
      <c r="P6427" s="14">
        <v>98.16</v>
      </c>
      <c r="Q6427" s="14">
        <v>138</v>
      </c>
      <c r="R6427" s="14">
        <v>140.76</v>
      </c>
      <c r="S6427" s="2" t="s">
        <v>2979</v>
      </c>
      <c r="T6427" s="2">
        <v>1.54</v>
      </c>
      <c r="U6427" s="2">
        <v>59.5</v>
      </c>
      <c r="V6427" s="2">
        <v>61</v>
      </c>
      <c r="W6427" s="2" t="s">
        <v>7862</v>
      </c>
      <c r="X6427" s="2" t="s">
        <v>6687</v>
      </c>
      <c r="Y6427" s="2">
        <v>7650</v>
      </c>
      <c r="Z6427" s="19" t="str">
        <f>HYPERLINK("https://ssdweb.co/ssdweb/hd/Vision360.html?d=926621097&amp;zoomslide=1&amp;z=1926621097&amp;ISCONFIRM=0","VIDEO")</f>
        <v>VIDEO</v>
      </c>
      <c r="AA6427" s="19" t="str">
        <f>HYPERLINK("https://ssdweb.co/ssdweb/CERTH/648419666.pdf","CERTI")</f>
        <v>CERTI</v>
      </c>
    </row>
    <row r="6428" spans="1:27" ht="15" x14ac:dyDescent="0.25">
      <c r="A6428" s="2">
        <v>6423</v>
      </c>
      <c r="B6428" s="39">
        <v>926740826</v>
      </c>
      <c r="C6428" s="28" t="str">
        <f>HYPERLINK("https://pld.live/RapDetail.aspx?STONELIST=926740826","DNA")</f>
        <v>DNA</v>
      </c>
      <c r="D6428" s="18" t="s">
        <v>3054</v>
      </c>
      <c r="E6428" s="18" t="s">
        <v>5128</v>
      </c>
      <c r="F6428" s="2" t="s">
        <v>7987</v>
      </c>
      <c r="G6428" s="2" t="s">
        <v>6781</v>
      </c>
      <c r="H6428" s="14">
        <v>1.02</v>
      </c>
      <c r="I6428" s="2" t="s">
        <v>4761</v>
      </c>
      <c r="J6428" s="2" t="s">
        <v>6555</v>
      </c>
      <c r="K6428" s="2" t="s">
        <v>1452</v>
      </c>
      <c r="L6428" s="2" t="s">
        <v>5221</v>
      </c>
      <c r="M6428" s="2" t="s">
        <v>5221</v>
      </c>
      <c r="N6428" s="2" t="s">
        <v>2317</v>
      </c>
      <c r="O6428" s="14">
        <v>7500</v>
      </c>
      <c r="P6428" s="14">
        <v>98.16</v>
      </c>
      <c r="Q6428" s="14">
        <v>138</v>
      </c>
      <c r="R6428" s="14">
        <v>140.76</v>
      </c>
      <c r="S6428" s="2" t="s">
        <v>2464</v>
      </c>
      <c r="T6428" s="2">
        <v>1.48</v>
      </c>
      <c r="U6428" s="2">
        <v>62.4</v>
      </c>
      <c r="V6428" s="2">
        <v>63</v>
      </c>
      <c r="W6428" s="2" t="s">
        <v>7862</v>
      </c>
      <c r="X6428" s="2" t="s">
        <v>6687</v>
      </c>
      <c r="Y6428" s="2">
        <v>7650</v>
      </c>
      <c r="Z6428" s="19" t="str">
        <f>HYPERLINK("https://ssdweb.co/ssdweb/hd/Vision360.html?d=926740826&amp;zoomslide=1&amp;z=1926740826&amp;ISCONFIRM=0","VIDEO")</f>
        <v>VIDEO</v>
      </c>
      <c r="AA6428" s="19" t="str">
        <f>HYPERLINK("https://ssdweb.co/ssdweb/CERTH/651401192.pdf","CERTI")</f>
        <v>CERTI</v>
      </c>
    </row>
    <row r="6429" spans="1:27" ht="15" x14ac:dyDescent="0.25">
      <c r="A6429" s="2">
        <v>6424</v>
      </c>
      <c r="B6429" s="39">
        <v>941080820</v>
      </c>
      <c r="C6429" s="28" t="str">
        <f>HYPERLINK("https://pld.live/RapDetail.aspx?STONELIST=941080820","DNA")</f>
        <v>DNA</v>
      </c>
      <c r="D6429" s="18" t="s">
        <v>3054</v>
      </c>
      <c r="E6429" s="18" t="s">
        <v>2186</v>
      </c>
      <c r="F6429" s="2" t="s">
        <v>7987</v>
      </c>
      <c r="G6429" s="2" t="s">
        <v>6781</v>
      </c>
      <c r="H6429" s="14">
        <v>1.02</v>
      </c>
      <c r="I6429" s="2" t="s">
        <v>4761</v>
      </c>
      <c r="J6429" s="2" t="s">
        <v>6555</v>
      </c>
      <c r="K6429" s="2" t="s">
        <v>1452</v>
      </c>
      <c r="L6429" s="2" t="s">
        <v>5221</v>
      </c>
      <c r="M6429" s="2" t="s">
        <v>5221</v>
      </c>
      <c r="N6429" s="2" t="s">
        <v>2317</v>
      </c>
      <c r="O6429" s="14">
        <v>7500</v>
      </c>
      <c r="P6429" s="14">
        <v>98.13</v>
      </c>
      <c r="Q6429" s="14">
        <v>140.25</v>
      </c>
      <c r="R6429" s="14">
        <v>143.06</v>
      </c>
      <c r="S6429" s="2" t="s">
        <v>1957</v>
      </c>
      <c r="T6429" s="2">
        <v>1.53</v>
      </c>
      <c r="U6429" s="2">
        <v>61.7</v>
      </c>
      <c r="V6429" s="2">
        <v>62</v>
      </c>
      <c r="W6429" s="2" t="s">
        <v>7862</v>
      </c>
      <c r="X6429" s="2" t="s">
        <v>6687</v>
      </c>
      <c r="Y6429" s="2">
        <v>7650</v>
      </c>
      <c r="Z6429" s="19" t="str">
        <f>HYPERLINK("https://ssdweb.co/ssdweb/hd/Vision360.html?d=941080820&amp;zoomslide=1&amp;z=1941080820&amp;ISCONFIRM=0","VIDEO")</f>
        <v>VIDEO</v>
      </c>
      <c r="AA6429" s="19" t="str">
        <f>HYPERLINK("https://ssdweb.co/ssdweb/CERTH/674532575.pdf","CERTI")</f>
        <v>CERTI</v>
      </c>
    </row>
    <row r="6430" spans="1:27" ht="15" x14ac:dyDescent="0.25">
      <c r="A6430" s="2">
        <v>6425</v>
      </c>
      <c r="B6430" s="39">
        <v>926972122</v>
      </c>
      <c r="C6430" s="28" t="str">
        <f>HYPERLINK("https://pld.live/RapDetail.aspx?STONELIST=926972122","DNA")</f>
        <v>DNA</v>
      </c>
      <c r="D6430" s="18" t="s">
        <v>3054</v>
      </c>
      <c r="E6430" s="18" t="s">
        <v>5128</v>
      </c>
      <c r="F6430" s="2" t="s">
        <v>7987</v>
      </c>
      <c r="G6430" s="2" t="s">
        <v>6781</v>
      </c>
      <c r="H6430" s="14">
        <v>1.02</v>
      </c>
      <c r="I6430" s="2" t="s">
        <v>4761</v>
      </c>
      <c r="J6430" s="2" t="s">
        <v>3942</v>
      </c>
      <c r="K6430" s="2" t="s">
        <v>1452</v>
      </c>
      <c r="L6430" s="2" t="s">
        <v>5221</v>
      </c>
      <c r="M6430" s="2" t="s">
        <v>5221</v>
      </c>
      <c r="N6430" s="2" t="s">
        <v>2317</v>
      </c>
      <c r="O6430" s="14">
        <v>6900</v>
      </c>
      <c r="P6430" s="14">
        <v>98.33</v>
      </c>
      <c r="Q6430" s="14">
        <v>115.23</v>
      </c>
      <c r="R6430" s="14">
        <v>117.53</v>
      </c>
      <c r="S6430" s="2" t="s">
        <v>7765</v>
      </c>
      <c r="T6430" s="2">
        <v>1.5</v>
      </c>
      <c r="U6430" s="2">
        <v>62.5</v>
      </c>
      <c r="V6430" s="2">
        <v>62</v>
      </c>
      <c r="W6430" s="2" t="s">
        <v>7862</v>
      </c>
      <c r="X6430" s="2" t="s">
        <v>6687</v>
      </c>
      <c r="Y6430" s="2">
        <v>7038</v>
      </c>
      <c r="Z6430" s="19" t="str">
        <f>HYPERLINK("https://ssdweb.co/ssdweb/hd/Vision360.html?d=926972122&amp;zoomslide=1&amp;z=1926972122&amp;ISCONFIRM=0","VIDEO")</f>
        <v>VIDEO</v>
      </c>
      <c r="AA6430" s="19" t="str">
        <f>HYPERLINK("https://ssdweb.co/ssdweb/CERTH/660440556.pdf","CERTI")</f>
        <v>CERTI</v>
      </c>
    </row>
    <row r="6431" spans="1:27" ht="15" x14ac:dyDescent="0.25">
      <c r="A6431" s="2">
        <v>6426</v>
      </c>
      <c r="B6431" s="39">
        <v>926701091</v>
      </c>
      <c r="C6431" s="28" t="str">
        <f>HYPERLINK("https://pld.live/RapDetail.aspx?STONELIST=926701091","DNA")</f>
        <v>DNA</v>
      </c>
      <c r="D6431" s="18" t="s">
        <v>3054</v>
      </c>
      <c r="E6431" s="18" t="s">
        <v>5128</v>
      </c>
      <c r="F6431" s="2" t="s">
        <v>7987</v>
      </c>
      <c r="G6431" s="2" t="s">
        <v>6781</v>
      </c>
      <c r="H6431" s="14">
        <v>1.02</v>
      </c>
      <c r="I6431" s="2" t="s">
        <v>4761</v>
      </c>
      <c r="J6431" s="2" t="s">
        <v>3942</v>
      </c>
      <c r="K6431" s="2" t="s">
        <v>1452</v>
      </c>
      <c r="L6431" s="2" t="s">
        <v>5221</v>
      </c>
      <c r="M6431" s="2" t="s">
        <v>5221</v>
      </c>
      <c r="N6431" s="2" t="s">
        <v>2317</v>
      </c>
      <c r="O6431" s="14">
        <v>6900</v>
      </c>
      <c r="P6431" s="14">
        <v>98.36</v>
      </c>
      <c r="Q6431" s="14">
        <v>113.16</v>
      </c>
      <c r="R6431" s="14">
        <v>115.42</v>
      </c>
      <c r="S6431" s="2" t="s">
        <v>5689</v>
      </c>
      <c r="T6431" s="2">
        <v>1.56</v>
      </c>
      <c r="U6431" s="2">
        <v>62.3</v>
      </c>
      <c r="V6431" s="2">
        <v>62</v>
      </c>
      <c r="W6431" s="2" t="s">
        <v>7862</v>
      </c>
      <c r="X6431" s="2" t="s">
        <v>6687</v>
      </c>
      <c r="Y6431" s="2">
        <v>7038</v>
      </c>
      <c r="Z6431" s="19" t="str">
        <f>HYPERLINK("https://ssdweb.co/ssdweb/hd/Vision360.html?d=926701091&amp;zoomslide=1&amp;z=1926701091&amp;ISCONFIRM=0","VIDEO")</f>
        <v>VIDEO</v>
      </c>
      <c r="AA6431" s="19" t="str">
        <f>HYPERLINK("https://ssdweb.co/ssdweb/CERTH/652442357.pdf","CERTI")</f>
        <v>CERTI</v>
      </c>
    </row>
    <row r="6432" spans="1:27" ht="15" x14ac:dyDescent="0.25">
      <c r="A6432" s="2">
        <v>6427</v>
      </c>
      <c r="B6432" s="39">
        <v>926700896</v>
      </c>
      <c r="C6432" s="28" t="str">
        <f>HYPERLINK("https://pld.live/RapDetail.aspx?STONELIST=926700896","DNA")</f>
        <v>DNA</v>
      </c>
      <c r="D6432" s="18" t="s">
        <v>3054</v>
      </c>
      <c r="E6432" s="18" t="s">
        <v>5128</v>
      </c>
      <c r="F6432" s="2" t="s">
        <v>7987</v>
      </c>
      <c r="G6432" s="2" t="s">
        <v>6781</v>
      </c>
      <c r="H6432" s="14">
        <v>1.02</v>
      </c>
      <c r="I6432" s="2" t="s">
        <v>4761</v>
      </c>
      <c r="J6432" s="2" t="s">
        <v>3942</v>
      </c>
      <c r="K6432" s="2" t="s">
        <v>1452</v>
      </c>
      <c r="L6432" s="2" t="s">
        <v>5221</v>
      </c>
      <c r="M6432" s="2" t="s">
        <v>5221</v>
      </c>
      <c r="N6432" s="2" t="s">
        <v>2317</v>
      </c>
      <c r="O6432" s="14">
        <v>6900</v>
      </c>
      <c r="P6432" s="14">
        <v>98.36</v>
      </c>
      <c r="Q6432" s="14">
        <v>113.16</v>
      </c>
      <c r="R6432" s="14">
        <v>115.42</v>
      </c>
      <c r="S6432" s="2" t="s">
        <v>7079</v>
      </c>
      <c r="T6432" s="2">
        <v>1.48</v>
      </c>
      <c r="U6432" s="2">
        <v>63.2</v>
      </c>
      <c r="V6432" s="2">
        <v>63</v>
      </c>
      <c r="W6432" s="2" t="s">
        <v>7862</v>
      </c>
      <c r="X6432" s="2" t="s">
        <v>6687</v>
      </c>
      <c r="Y6432" s="2">
        <v>7038</v>
      </c>
      <c r="Z6432" s="19" t="str">
        <f>HYPERLINK("https://ssdweb.co/ssdweb/hd/Vision360.html?d=926700896&amp;zoomslide=1&amp;z=1926700896&amp;ISCONFIRM=0","VIDEO")</f>
        <v>VIDEO</v>
      </c>
      <c r="AA6432" s="19" t="str">
        <f>HYPERLINK("https://ssdweb.co/ssdweb/CERTH/651466239.pdf","CERTI")</f>
        <v>CERTI</v>
      </c>
    </row>
    <row r="6433" spans="1:27" ht="15" x14ac:dyDescent="0.25">
      <c r="A6433" s="2">
        <v>6428</v>
      </c>
      <c r="B6433" s="39">
        <v>941100559</v>
      </c>
      <c r="C6433" s="28" t="str">
        <f>HYPERLINK("https://pld.live/RapDetail.aspx?STONELIST=941100559","DNA")</f>
        <v>DNA</v>
      </c>
      <c r="D6433" s="18" t="s">
        <v>3054</v>
      </c>
      <c r="E6433" s="18" t="s">
        <v>2186</v>
      </c>
      <c r="F6433" s="2" t="s">
        <v>7987</v>
      </c>
      <c r="G6433" s="2" t="s">
        <v>6781</v>
      </c>
      <c r="H6433" s="14">
        <v>1.02</v>
      </c>
      <c r="I6433" s="2" t="s">
        <v>4761</v>
      </c>
      <c r="J6433" s="2" t="s">
        <v>3942</v>
      </c>
      <c r="K6433" s="2" t="s">
        <v>1452</v>
      </c>
      <c r="L6433" s="2" t="s">
        <v>5221</v>
      </c>
      <c r="M6433" s="2" t="s">
        <v>5221</v>
      </c>
      <c r="N6433" s="2" t="s">
        <v>2317</v>
      </c>
      <c r="O6433" s="14">
        <v>6900</v>
      </c>
      <c r="P6433" s="14">
        <v>98.33</v>
      </c>
      <c r="Q6433" s="14">
        <v>115.23</v>
      </c>
      <c r="R6433" s="14">
        <v>117.53</v>
      </c>
      <c r="S6433" s="2" t="s">
        <v>4227</v>
      </c>
      <c r="T6433" s="2">
        <v>1.61</v>
      </c>
      <c r="U6433" s="2">
        <v>62.4</v>
      </c>
      <c r="V6433" s="2">
        <v>61</v>
      </c>
      <c r="W6433" s="2" t="s">
        <v>7862</v>
      </c>
      <c r="X6433" s="2" t="s">
        <v>6687</v>
      </c>
      <c r="Y6433" s="2">
        <v>7038</v>
      </c>
      <c r="Z6433" s="19" t="str">
        <f>HYPERLINK("https://ssdweb.co/ssdweb/hd/Vision360.html?d=941100559&amp;zoomslide=1&amp;z=1941100559&amp;ISCONFIRM=0","VIDEO")</f>
        <v>VIDEO</v>
      </c>
      <c r="AA6433" s="19" t="str">
        <f>HYPERLINK("https://ssdweb.co/ssdweb/CERTH/674532561.pdf","CERTI")</f>
        <v>CERTI</v>
      </c>
    </row>
    <row r="6434" spans="1:27" ht="15" x14ac:dyDescent="0.25">
      <c r="A6434" s="2">
        <v>6429</v>
      </c>
      <c r="B6434" s="39">
        <v>941130243</v>
      </c>
      <c r="C6434" s="28" t="str">
        <f>HYPERLINK("https://pld.live/RapDetail.aspx?STONELIST=941130243","DNA")</f>
        <v>DNA</v>
      </c>
      <c r="D6434" s="18" t="s">
        <v>3054</v>
      </c>
      <c r="E6434" s="18" t="s">
        <v>2186</v>
      </c>
      <c r="F6434" s="2" t="s">
        <v>7987</v>
      </c>
      <c r="G6434" s="2" t="s">
        <v>6781</v>
      </c>
      <c r="H6434" s="14">
        <v>1.02</v>
      </c>
      <c r="I6434" s="2" t="s">
        <v>4761</v>
      </c>
      <c r="J6434" s="2" t="s">
        <v>3942</v>
      </c>
      <c r="K6434" s="2" t="s">
        <v>1452</v>
      </c>
      <c r="L6434" s="2" t="s">
        <v>5221</v>
      </c>
      <c r="M6434" s="2" t="s">
        <v>5221</v>
      </c>
      <c r="N6434" s="2" t="s">
        <v>2317</v>
      </c>
      <c r="O6434" s="14">
        <v>6900</v>
      </c>
      <c r="P6434" s="14">
        <v>98.33</v>
      </c>
      <c r="Q6434" s="14">
        <v>115.23</v>
      </c>
      <c r="R6434" s="14">
        <v>117.53</v>
      </c>
      <c r="S6434" s="2" t="s">
        <v>5222</v>
      </c>
      <c r="T6434" s="2">
        <v>1.55</v>
      </c>
      <c r="U6434" s="2">
        <v>61.8</v>
      </c>
      <c r="V6434" s="2">
        <v>61</v>
      </c>
      <c r="W6434" s="2" t="s">
        <v>7862</v>
      </c>
      <c r="X6434" s="2" t="s">
        <v>6687</v>
      </c>
      <c r="Y6434" s="2">
        <v>7038</v>
      </c>
      <c r="Z6434" s="19" t="str">
        <f>HYPERLINK("https://ssdweb.co/ssdweb/hd/Vision360.html?d=941130243&amp;zoomslide=1&amp;z=1941130243&amp;ISCONFIRM=0","VIDEO")</f>
        <v>VIDEO</v>
      </c>
      <c r="AA6434" s="19" t="str">
        <f>HYPERLINK("https://ssdweb.co/ssdweb/CERTH/674504105.pdf","CERTI")</f>
        <v>CERTI</v>
      </c>
    </row>
    <row r="6435" spans="1:27" ht="15" x14ac:dyDescent="0.25">
      <c r="A6435" s="2">
        <v>6430</v>
      </c>
      <c r="B6435" s="39">
        <v>941100623</v>
      </c>
      <c r="C6435" s="28" t="str">
        <f>HYPERLINK("https://pld.live/RapDetail.aspx?STONELIST=941100623","DNA")</f>
        <v>DNA</v>
      </c>
      <c r="D6435" s="18" t="s">
        <v>3054</v>
      </c>
      <c r="E6435" s="18" t="s">
        <v>2186</v>
      </c>
      <c r="F6435" s="2" t="s">
        <v>7987</v>
      </c>
      <c r="G6435" s="2" t="s">
        <v>6781</v>
      </c>
      <c r="H6435" s="14">
        <v>1.02</v>
      </c>
      <c r="I6435" s="2" t="s">
        <v>4761</v>
      </c>
      <c r="J6435" s="2" t="s">
        <v>3942</v>
      </c>
      <c r="K6435" s="2" t="s">
        <v>1452</v>
      </c>
      <c r="L6435" s="2" t="s">
        <v>5221</v>
      </c>
      <c r="M6435" s="2" t="s">
        <v>5221</v>
      </c>
      <c r="N6435" s="2" t="s">
        <v>2317</v>
      </c>
      <c r="O6435" s="14">
        <v>6900</v>
      </c>
      <c r="P6435" s="14">
        <v>98.33</v>
      </c>
      <c r="Q6435" s="14">
        <v>115.23</v>
      </c>
      <c r="R6435" s="14">
        <v>117.53</v>
      </c>
      <c r="S6435" s="2" t="s">
        <v>2223</v>
      </c>
      <c r="T6435" s="2">
        <v>1.51</v>
      </c>
      <c r="U6435" s="2">
        <v>63.9</v>
      </c>
      <c r="V6435" s="2">
        <v>63</v>
      </c>
      <c r="W6435" s="2" t="s">
        <v>7862</v>
      </c>
      <c r="X6435" s="2" t="s">
        <v>6687</v>
      </c>
      <c r="Y6435" s="2">
        <v>7038</v>
      </c>
      <c r="Z6435" s="19" t="str">
        <f>HYPERLINK("https://ssdweb.co/ssdweb/hd/Vision360.html?d=941100623&amp;zoomslide=1&amp;z=1941100623&amp;ISCONFIRM=0","VIDEO")</f>
        <v>VIDEO</v>
      </c>
      <c r="AA6435" s="19" t="str">
        <f>HYPERLINK("https://ssdweb.co/ssdweb/CERTH/674532605.pdf","CERTI")</f>
        <v>CERTI</v>
      </c>
    </row>
    <row r="6436" spans="1:27" ht="15" x14ac:dyDescent="0.25">
      <c r="A6436" s="2">
        <v>6431</v>
      </c>
      <c r="B6436" s="39">
        <v>941110526</v>
      </c>
      <c r="C6436" s="28" t="str">
        <f>HYPERLINK("https://pld.live/RapDetail.aspx?STONELIST=941110526","DNA")</f>
        <v>DNA</v>
      </c>
      <c r="D6436" s="18" t="s">
        <v>3054</v>
      </c>
      <c r="E6436" s="18" t="s">
        <v>2186</v>
      </c>
      <c r="F6436" s="2" t="s">
        <v>7987</v>
      </c>
      <c r="G6436" s="2" t="s">
        <v>6781</v>
      </c>
      <c r="H6436" s="14">
        <v>1.02</v>
      </c>
      <c r="I6436" s="2" t="s">
        <v>4761</v>
      </c>
      <c r="J6436" s="2" t="s">
        <v>3942</v>
      </c>
      <c r="K6436" s="2" t="s">
        <v>1452</v>
      </c>
      <c r="L6436" s="2" t="s">
        <v>5221</v>
      </c>
      <c r="M6436" s="2" t="s">
        <v>5221</v>
      </c>
      <c r="N6436" s="2" t="s">
        <v>2317</v>
      </c>
      <c r="O6436" s="14">
        <v>6900</v>
      </c>
      <c r="P6436" s="14">
        <v>98.33</v>
      </c>
      <c r="Q6436" s="14">
        <v>115.23</v>
      </c>
      <c r="R6436" s="14">
        <v>117.53</v>
      </c>
      <c r="S6436" s="2" t="s">
        <v>732</v>
      </c>
      <c r="T6436" s="2">
        <v>1.55</v>
      </c>
      <c r="U6436" s="2">
        <v>61</v>
      </c>
      <c r="V6436" s="2">
        <v>58</v>
      </c>
      <c r="W6436" s="2" t="s">
        <v>7862</v>
      </c>
      <c r="X6436" s="2" t="s">
        <v>6687</v>
      </c>
      <c r="Y6436" s="2">
        <v>7038</v>
      </c>
      <c r="Z6436" s="19" t="str">
        <f>HYPERLINK("https://ssdweb.co/ssdweb/hd/Vision360.html?d=941110526&amp;zoomslide=1&amp;z=1941110526&amp;ISCONFIRM=0","VIDEO")</f>
        <v>VIDEO</v>
      </c>
      <c r="AA6436" s="19" t="str">
        <f>HYPERLINK("https://ssdweb.co/ssdweb/CERTH/674532577.pdf","CERTI")</f>
        <v>CERTI</v>
      </c>
    </row>
    <row r="6437" spans="1:27" ht="15" x14ac:dyDescent="0.25">
      <c r="A6437" s="2">
        <v>6432</v>
      </c>
      <c r="B6437" s="39">
        <v>941021778</v>
      </c>
      <c r="C6437" s="28" t="str">
        <f>HYPERLINK("https://pld.live/RapDetail.aspx?STONELIST=941021778","DNA")</f>
        <v>DNA</v>
      </c>
      <c r="D6437" s="18" t="s">
        <v>3054</v>
      </c>
      <c r="E6437" s="18" t="s">
        <v>5128</v>
      </c>
      <c r="F6437" s="2" t="s">
        <v>7987</v>
      </c>
      <c r="G6437" s="2" t="s">
        <v>6781</v>
      </c>
      <c r="H6437" s="14">
        <v>1.02</v>
      </c>
      <c r="I6437" s="2" t="s">
        <v>4761</v>
      </c>
      <c r="J6437" s="2" t="s">
        <v>3942</v>
      </c>
      <c r="K6437" s="2" t="s">
        <v>1452</v>
      </c>
      <c r="L6437" s="2" t="s">
        <v>5221</v>
      </c>
      <c r="M6437" s="2" t="s">
        <v>5221</v>
      </c>
      <c r="N6437" s="2" t="s">
        <v>2317</v>
      </c>
      <c r="O6437" s="14">
        <v>6900</v>
      </c>
      <c r="P6437" s="14">
        <v>98.33</v>
      </c>
      <c r="Q6437" s="14">
        <v>115.23</v>
      </c>
      <c r="R6437" s="14">
        <v>117.53</v>
      </c>
      <c r="S6437" s="2" t="s">
        <v>2375</v>
      </c>
      <c r="T6437" s="2">
        <v>1.52</v>
      </c>
      <c r="U6437" s="2">
        <v>61.1</v>
      </c>
      <c r="V6437" s="2">
        <v>60</v>
      </c>
      <c r="W6437" s="2" t="s">
        <v>7862</v>
      </c>
      <c r="X6437" s="2" t="s">
        <v>6687</v>
      </c>
      <c r="Y6437" s="2">
        <v>7038</v>
      </c>
      <c r="Z6437" s="19" t="str">
        <f>HYPERLINK("https://ssdweb.co/ssdweb/hd/Vision360.html?d=941021778&amp;zoomslide=1&amp;z=1941021778&amp;ISCONFIRM=0","VIDEO")</f>
        <v>VIDEO</v>
      </c>
      <c r="AA6437" s="19" t="str">
        <f>HYPERLINK("https://ssdweb.co/ssdweb/CERTH/674504095.pdf","CERTI")</f>
        <v>CERTI</v>
      </c>
    </row>
    <row r="6438" spans="1:27" ht="15" x14ac:dyDescent="0.25">
      <c r="A6438" s="2">
        <v>6433</v>
      </c>
      <c r="B6438" s="39">
        <v>941080847</v>
      </c>
      <c r="C6438" s="28" t="str">
        <f>HYPERLINK("https://pld.live/RapDetail.aspx?STONELIST=941080847","DNA")</f>
        <v>DNA</v>
      </c>
      <c r="D6438" s="18" t="s">
        <v>3054</v>
      </c>
      <c r="E6438" s="18" t="s">
        <v>2186</v>
      </c>
      <c r="F6438" s="2" t="s">
        <v>7987</v>
      </c>
      <c r="G6438" s="2" t="s">
        <v>6781</v>
      </c>
      <c r="H6438" s="14">
        <v>1.02</v>
      </c>
      <c r="I6438" s="2" t="s">
        <v>4761</v>
      </c>
      <c r="J6438" s="2" t="s">
        <v>3942</v>
      </c>
      <c r="K6438" s="2" t="s">
        <v>1452</v>
      </c>
      <c r="L6438" s="2" t="s">
        <v>5221</v>
      </c>
      <c r="M6438" s="2" t="s">
        <v>5221</v>
      </c>
      <c r="N6438" s="2" t="s">
        <v>2317</v>
      </c>
      <c r="O6438" s="14">
        <v>6900</v>
      </c>
      <c r="P6438" s="14">
        <v>98.33</v>
      </c>
      <c r="Q6438" s="14">
        <v>115.23</v>
      </c>
      <c r="R6438" s="14">
        <v>117.53</v>
      </c>
      <c r="S6438" s="2" t="s">
        <v>295</v>
      </c>
      <c r="T6438" s="2">
        <v>1.59</v>
      </c>
      <c r="U6438" s="2">
        <v>61.5</v>
      </c>
      <c r="V6438" s="2">
        <v>62</v>
      </c>
      <c r="W6438" s="2" t="s">
        <v>7862</v>
      </c>
      <c r="X6438" s="2" t="s">
        <v>6687</v>
      </c>
      <c r="Y6438" s="2">
        <v>7038</v>
      </c>
      <c r="Z6438" s="19" t="str">
        <f>HYPERLINK("https://ssdweb.co/ssdweb/hd/Vision360.html?d=941080847&amp;zoomslide=1&amp;z=1941080847&amp;ISCONFIRM=0","VIDEO")</f>
        <v>VIDEO</v>
      </c>
      <c r="AA6438" s="19" t="str">
        <f>HYPERLINK("https://ssdweb.co/ssdweb/CERTH/674532620.pdf","CERTI")</f>
        <v>CERTI</v>
      </c>
    </row>
    <row r="6439" spans="1:27" ht="15" x14ac:dyDescent="0.25">
      <c r="A6439" s="2">
        <v>6434</v>
      </c>
      <c r="B6439" s="39">
        <v>941080841</v>
      </c>
      <c r="C6439" s="28" t="str">
        <f>HYPERLINK("https://pld.live/RapDetail.aspx?STONELIST=941080841","DNA")</f>
        <v>DNA</v>
      </c>
      <c r="D6439" s="18" t="s">
        <v>3054</v>
      </c>
      <c r="E6439" s="18" t="s">
        <v>2186</v>
      </c>
      <c r="F6439" s="2" t="s">
        <v>7987</v>
      </c>
      <c r="G6439" s="2" t="s">
        <v>6781</v>
      </c>
      <c r="H6439" s="14">
        <v>1.02</v>
      </c>
      <c r="I6439" s="2" t="s">
        <v>4761</v>
      </c>
      <c r="J6439" s="2" t="s">
        <v>3942</v>
      </c>
      <c r="K6439" s="2" t="s">
        <v>1452</v>
      </c>
      <c r="L6439" s="2" t="s">
        <v>5221</v>
      </c>
      <c r="M6439" s="2" t="s">
        <v>5221</v>
      </c>
      <c r="N6439" s="2" t="s">
        <v>2317</v>
      </c>
      <c r="O6439" s="14">
        <v>6900</v>
      </c>
      <c r="P6439" s="14">
        <v>98.33</v>
      </c>
      <c r="Q6439" s="14">
        <v>115.23</v>
      </c>
      <c r="R6439" s="14">
        <v>117.53</v>
      </c>
      <c r="S6439" s="2" t="s">
        <v>221</v>
      </c>
      <c r="T6439" s="2">
        <v>1.48</v>
      </c>
      <c r="U6439" s="2">
        <v>61</v>
      </c>
      <c r="V6439" s="2">
        <v>61</v>
      </c>
      <c r="W6439" s="2" t="s">
        <v>7862</v>
      </c>
      <c r="X6439" s="2" t="s">
        <v>6687</v>
      </c>
      <c r="Y6439" s="2">
        <v>7038</v>
      </c>
      <c r="Z6439" s="19" t="str">
        <f>HYPERLINK("https://ssdweb.co/ssdweb/hd/Vision360.html?d=941080841&amp;zoomslide=1&amp;z=1941080841&amp;ISCONFIRM=0","VIDEO")</f>
        <v>VIDEO</v>
      </c>
      <c r="AA6439" s="19" t="str">
        <f>HYPERLINK("https://ssdweb.co/ssdweb/CERTH/674532622.pdf","CERTI")</f>
        <v>CERTI</v>
      </c>
    </row>
    <row r="6440" spans="1:27" ht="15" x14ac:dyDescent="0.25">
      <c r="A6440" s="2">
        <v>6435</v>
      </c>
      <c r="B6440" s="39">
        <v>941090198</v>
      </c>
      <c r="C6440" s="28" t="str">
        <f>HYPERLINK("https://pld.live/RapDetail.aspx?STONELIST=941090198","DNA")</f>
        <v>DNA</v>
      </c>
      <c r="D6440" s="18" t="s">
        <v>3054</v>
      </c>
      <c r="E6440" s="18" t="s">
        <v>2186</v>
      </c>
      <c r="F6440" s="2" t="s">
        <v>7987</v>
      </c>
      <c r="G6440" s="2" t="s">
        <v>6781</v>
      </c>
      <c r="H6440" s="14">
        <v>1.02</v>
      </c>
      <c r="I6440" s="2" t="s">
        <v>4761</v>
      </c>
      <c r="J6440" s="2" t="s">
        <v>3942</v>
      </c>
      <c r="K6440" s="2" t="s">
        <v>1452</v>
      </c>
      <c r="L6440" s="2" t="s">
        <v>5221</v>
      </c>
      <c r="M6440" s="2" t="s">
        <v>5221</v>
      </c>
      <c r="N6440" s="2" t="s">
        <v>2317</v>
      </c>
      <c r="O6440" s="14">
        <v>6900</v>
      </c>
      <c r="P6440" s="14">
        <v>98.33</v>
      </c>
      <c r="Q6440" s="14">
        <v>115.23</v>
      </c>
      <c r="R6440" s="14">
        <v>117.53</v>
      </c>
      <c r="S6440" s="2" t="s">
        <v>980</v>
      </c>
      <c r="T6440" s="2">
        <v>1.61</v>
      </c>
      <c r="U6440" s="2">
        <v>61.3</v>
      </c>
      <c r="V6440" s="2">
        <v>60</v>
      </c>
      <c r="W6440" s="2" t="s">
        <v>7862</v>
      </c>
      <c r="X6440" s="2" t="s">
        <v>6687</v>
      </c>
      <c r="Y6440" s="2">
        <v>7038</v>
      </c>
      <c r="Z6440" s="19" t="str">
        <f>HYPERLINK("https://ssdweb.co/ssdweb/hd/Vision360.html?d=941090198&amp;zoomslide=1&amp;z=1941090198&amp;ISCONFIRM=0","VIDEO")</f>
        <v>VIDEO</v>
      </c>
      <c r="AA6440" s="19" t="str">
        <f>HYPERLINK("https://ssdweb.co/ssdweb/CERTH/670445239.pdf","CERTI")</f>
        <v>CERTI</v>
      </c>
    </row>
    <row r="6441" spans="1:27" ht="15" x14ac:dyDescent="0.25">
      <c r="A6441" s="2">
        <v>6436</v>
      </c>
      <c r="B6441" s="39">
        <v>941050586</v>
      </c>
      <c r="C6441" s="28" t="str">
        <f>HYPERLINK("https://pld.live/RapDetail.aspx?STONELIST=941050586","DNA")</f>
        <v>DNA</v>
      </c>
      <c r="D6441" s="18" t="s">
        <v>3054</v>
      </c>
      <c r="E6441" s="18" t="s">
        <v>2186</v>
      </c>
      <c r="F6441" s="2" t="s">
        <v>7987</v>
      </c>
      <c r="G6441" s="2" t="s">
        <v>6781</v>
      </c>
      <c r="H6441" s="14">
        <v>1.02</v>
      </c>
      <c r="I6441" s="2" t="s">
        <v>4761</v>
      </c>
      <c r="J6441" s="2" t="s">
        <v>3942</v>
      </c>
      <c r="K6441" s="2" t="s">
        <v>1452</v>
      </c>
      <c r="L6441" s="2" t="s">
        <v>5221</v>
      </c>
      <c r="M6441" s="2" t="s">
        <v>5221</v>
      </c>
      <c r="N6441" s="2" t="s">
        <v>2317</v>
      </c>
      <c r="O6441" s="14">
        <v>6900</v>
      </c>
      <c r="P6441" s="14">
        <v>98.33</v>
      </c>
      <c r="Q6441" s="14">
        <v>115.23</v>
      </c>
      <c r="R6441" s="14">
        <v>117.53</v>
      </c>
      <c r="S6441" s="2" t="s">
        <v>5014</v>
      </c>
      <c r="T6441" s="2">
        <v>1.53</v>
      </c>
      <c r="U6441" s="2">
        <v>61.4</v>
      </c>
      <c r="V6441" s="2">
        <v>60</v>
      </c>
      <c r="W6441" s="2" t="s">
        <v>7862</v>
      </c>
      <c r="X6441" s="2" t="s">
        <v>6687</v>
      </c>
      <c r="Y6441" s="2">
        <v>7038</v>
      </c>
      <c r="Z6441" s="19" t="str">
        <f>HYPERLINK("https://ssdweb.co/ssdweb/hd/Vision360.html?d=941050586&amp;zoomslide=1&amp;z=1941050586&amp;ISCONFIRM=0","VIDEO")</f>
        <v>VIDEO</v>
      </c>
      <c r="AA6441" s="19" t="str">
        <f>HYPERLINK("https://ssdweb.co/ssdweb/CERTH/674504092.pdf","CERTI")</f>
        <v>CERTI</v>
      </c>
    </row>
    <row r="6442" spans="1:27" ht="15" x14ac:dyDescent="0.25">
      <c r="A6442" s="2">
        <v>6437</v>
      </c>
      <c r="B6442" s="39">
        <v>941050603</v>
      </c>
      <c r="C6442" s="28" t="str">
        <f>HYPERLINK("https://pld.live/RapDetail.aspx?STONELIST=941050603","DNA")</f>
        <v>DNA</v>
      </c>
      <c r="D6442" s="18" t="s">
        <v>3054</v>
      </c>
      <c r="E6442" s="18" t="s">
        <v>2186</v>
      </c>
      <c r="F6442" s="2" t="s">
        <v>7987</v>
      </c>
      <c r="G6442" s="2" t="s">
        <v>6781</v>
      </c>
      <c r="H6442" s="14">
        <v>1.02</v>
      </c>
      <c r="I6442" s="2" t="s">
        <v>4761</v>
      </c>
      <c r="J6442" s="2" t="s">
        <v>3942</v>
      </c>
      <c r="K6442" s="2" t="s">
        <v>1452</v>
      </c>
      <c r="L6442" s="2" t="s">
        <v>5221</v>
      </c>
      <c r="M6442" s="2" t="s">
        <v>5221</v>
      </c>
      <c r="N6442" s="2" t="s">
        <v>2317</v>
      </c>
      <c r="O6442" s="14">
        <v>6900</v>
      </c>
      <c r="P6442" s="14">
        <v>98.33</v>
      </c>
      <c r="Q6442" s="14">
        <v>115.23</v>
      </c>
      <c r="R6442" s="14">
        <v>117.53</v>
      </c>
      <c r="S6442" s="2" t="s">
        <v>7162</v>
      </c>
      <c r="T6442" s="2">
        <v>1.6</v>
      </c>
      <c r="U6442" s="2">
        <v>60.1</v>
      </c>
      <c r="V6442" s="2">
        <v>63</v>
      </c>
      <c r="W6442" s="2" t="s">
        <v>7862</v>
      </c>
      <c r="X6442" s="2" t="s">
        <v>6687</v>
      </c>
      <c r="Y6442" s="2">
        <v>7038</v>
      </c>
      <c r="Z6442" s="19" t="str">
        <f>HYPERLINK("https://ssdweb.co/ssdweb/hd/Vision360.html?d=941050603&amp;zoomslide=1&amp;z=1941050603&amp;ISCONFIRM=0","VIDEO")</f>
        <v>VIDEO</v>
      </c>
      <c r="AA6442" s="19" t="str">
        <f>HYPERLINK("https://ssdweb.co/ssdweb/CERTH/674532535.pdf","CERTI")</f>
        <v>CERTI</v>
      </c>
    </row>
    <row r="6443" spans="1:27" ht="15" x14ac:dyDescent="0.25">
      <c r="A6443" s="2">
        <v>6438</v>
      </c>
      <c r="B6443" s="39">
        <v>927052232</v>
      </c>
      <c r="C6443" s="28" t="str">
        <f>HYPERLINK("https://pld.live/RapDetail.aspx?STONELIST=927052232","DNA")</f>
        <v>DNA</v>
      </c>
      <c r="D6443" s="18" t="s">
        <v>3054</v>
      </c>
      <c r="E6443" s="18" t="s">
        <v>5128</v>
      </c>
      <c r="F6443" s="2" t="s">
        <v>7987</v>
      </c>
      <c r="G6443" s="2" t="s">
        <v>6781</v>
      </c>
      <c r="H6443" s="14">
        <v>1.02</v>
      </c>
      <c r="I6443" s="2" t="s">
        <v>4761</v>
      </c>
      <c r="J6443" s="2" t="s">
        <v>3942</v>
      </c>
      <c r="K6443" s="2" t="s">
        <v>1452</v>
      </c>
      <c r="L6443" s="2" t="s">
        <v>5221</v>
      </c>
      <c r="M6443" s="2" t="s">
        <v>5221</v>
      </c>
      <c r="N6443" s="2" t="s">
        <v>2317</v>
      </c>
      <c r="O6443" s="14">
        <v>6900</v>
      </c>
      <c r="P6443" s="14">
        <v>98.33</v>
      </c>
      <c r="Q6443" s="14">
        <v>115.23</v>
      </c>
      <c r="R6443" s="14">
        <v>117.53</v>
      </c>
      <c r="S6443" s="2" t="s">
        <v>5568</v>
      </c>
      <c r="T6443" s="2">
        <v>1.49</v>
      </c>
      <c r="U6443" s="2">
        <v>62.8</v>
      </c>
      <c r="V6443" s="2">
        <v>61</v>
      </c>
      <c r="W6443" s="2" t="s">
        <v>7862</v>
      </c>
      <c r="X6443" s="2" t="s">
        <v>6687</v>
      </c>
      <c r="Y6443" s="2">
        <v>7038</v>
      </c>
      <c r="Z6443" s="19" t="str">
        <f>HYPERLINK("https://ssdweb.co/ssdweb/hd/Vision360.html?d=927052232&amp;zoomslide=1&amp;z=1927052232&amp;ISCONFIRM=0","VIDEO")</f>
        <v>VIDEO</v>
      </c>
      <c r="AA6443" s="19" t="str">
        <f>HYPERLINK("https://ssdweb.co/ssdweb/CERTH/665453152.pdf","CERTI")</f>
        <v>CERTI</v>
      </c>
    </row>
    <row r="6444" spans="1:27" ht="15" x14ac:dyDescent="0.25">
      <c r="A6444" s="2">
        <v>6439</v>
      </c>
      <c r="B6444" s="39">
        <v>941080812</v>
      </c>
      <c r="C6444" s="28" t="str">
        <f>HYPERLINK("https://pld.live/RapDetail.aspx?STONELIST=941080812","DNA")</f>
        <v>DNA</v>
      </c>
      <c r="D6444" s="18" t="s">
        <v>3054</v>
      </c>
      <c r="E6444" s="18" t="s">
        <v>2186</v>
      </c>
      <c r="F6444" s="2" t="s">
        <v>7987</v>
      </c>
      <c r="G6444" s="2" t="s">
        <v>6781</v>
      </c>
      <c r="H6444" s="14">
        <v>1.02</v>
      </c>
      <c r="I6444" s="2" t="s">
        <v>4761</v>
      </c>
      <c r="J6444" s="2" t="s">
        <v>3942</v>
      </c>
      <c r="K6444" s="2" t="s">
        <v>1452</v>
      </c>
      <c r="L6444" s="2" t="s">
        <v>5221</v>
      </c>
      <c r="M6444" s="2" t="s">
        <v>5221</v>
      </c>
      <c r="N6444" s="2" t="s">
        <v>2317</v>
      </c>
      <c r="O6444" s="14">
        <v>6900</v>
      </c>
      <c r="P6444" s="14">
        <v>98.33</v>
      </c>
      <c r="Q6444" s="14">
        <v>115.23</v>
      </c>
      <c r="R6444" s="14">
        <v>117.53</v>
      </c>
      <c r="S6444" s="2" t="s">
        <v>2106</v>
      </c>
      <c r="T6444" s="2">
        <v>1.6</v>
      </c>
      <c r="U6444" s="2">
        <v>61.4</v>
      </c>
      <c r="V6444" s="2">
        <v>61</v>
      </c>
      <c r="W6444" s="2" t="s">
        <v>7862</v>
      </c>
      <c r="X6444" s="2" t="s">
        <v>6687</v>
      </c>
      <c r="Y6444" s="2">
        <v>7038</v>
      </c>
      <c r="Z6444" s="19" t="str">
        <f>HYPERLINK("https://ssdweb.co/ssdweb/hd/Vision360.html?d=941080812&amp;zoomslide=1&amp;z=1941080812&amp;ISCONFIRM=0","VIDEO")</f>
        <v>VIDEO</v>
      </c>
      <c r="AA6444" s="19" t="str">
        <f>HYPERLINK("https://ssdweb.co/ssdweb/CERTH/674532573.pdf","CERTI")</f>
        <v>CERTI</v>
      </c>
    </row>
    <row r="6445" spans="1:27" ht="15" x14ac:dyDescent="0.25">
      <c r="A6445" s="2">
        <v>6440</v>
      </c>
      <c r="B6445" s="39">
        <v>941090638</v>
      </c>
      <c r="C6445" s="28" t="str">
        <f>HYPERLINK("https://pld.live/RapDetail.aspx?STONELIST=941090638","DNA")</f>
        <v>DNA</v>
      </c>
      <c r="D6445" s="18" t="s">
        <v>3054</v>
      </c>
      <c r="E6445" s="18" t="s">
        <v>2186</v>
      </c>
      <c r="F6445" s="2" t="s">
        <v>7987</v>
      </c>
      <c r="G6445" s="2" t="s">
        <v>6781</v>
      </c>
      <c r="H6445" s="14">
        <v>1.02</v>
      </c>
      <c r="I6445" s="2" t="s">
        <v>4761</v>
      </c>
      <c r="J6445" s="2" t="s">
        <v>3942</v>
      </c>
      <c r="K6445" s="2" t="s">
        <v>1452</v>
      </c>
      <c r="L6445" s="2" t="s">
        <v>5221</v>
      </c>
      <c r="M6445" s="2" t="s">
        <v>5221</v>
      </c>
      <c r="N6445" s="2" t="s">
        <v>2317</v>
      </c>
      <c r="O6445" s="14">
        <v>6900</v>
      </c>
      <c r="P6445" s="14">
        <v>98.33</v>
      </c>
      <c r="Q6445" s="14">
        <v>115.23</v>
      </c>
      <c r="R6445" s="14">
        <v>117.53</v>
      </c>
      <c r="S6445" s="2" t="s">
        <v>3492</v>
      </c>
      <c r="T6445" s="2">
        <v>1.59</v>
      </c>
      <c r="U6445" s="2">
        <v>61</v>
      </c>
      <c r="V6445" s="2">
        <v>61</v>
      </c>
      <c r="W6445" s="2" t="s">
        <v>7862</v>
      </c>
      <c r="X6445" s="2" t="s">
        <v>6687</v>
      </c>
      <c r="Y6445" s="2">
        <v>7038</v>
      </c>
      <c r="Z6445" s="19" t="str">
        <f>HYPERLINK("https://ssdweb.co/ssdweb/hd/Vision360.html?d=941090638&amp;zoomslide=1&amp;z=1941090638&amp;ISCONFIRM=0","VIDEO")</f>
        <v>VIDEO</v>
      </c>
      <c r="AA6445" s="19" t="str">
        <f>HYPERLINK("https://ssdweb.co/ssdweb/CERTH/674532619.pdf","CERTI")</f>
        <v>CERTI</v>
      </c>
    </row>
    <row r="6446" spans="1:27" ht="15" x14ac:dyDescent="0.25">
      <c r="A6446" s="2">
        <v>6441</v>
      </c>
      <c r="B6446" s="39">
        <v>941090649</v>
      </c>
      <c r="C6446" s="28" t="str">
        <f>HYPERLINK("https://pld.live/RapDetail.aspx?STONELIST=941090649","DNA")</f>
        <v>DNA</v>
      </c>
      <c r="D6446" s="18" t="s">
        <v>3054</v>
      </c>
      <c r="E6446" s="18" t="s">
        <v>2186</v>
      </c>
      <c r="F6446" s="2" t="s">
        <v>7987</v>
      </c>
      <c r="G6446" s="2" t="s">
        <v>6781</v>
      </c>
      <c r="H6446" s="14">
        <v>1.02</v>
      </c>
      <c r="I6446" s="2" t="s">
        <v>4761</v>
      </c>
      <c r="J6446" s="2" t="s">
        <v>3942</v>
      </c>
      <c r="K6446" s="2" t="s">
        <v>1452</v>
      </c>
      <c r="L6446" s="2" t="s">
        <v>5221</v>
      </c>
      <c r="M6446" s="2" t="s">
        <v>5221</v>
      </c>
      <c r="N6446" s="2" t="s">
        <v>2317</v>
      </c>
      <c r="O6446" s="14">
        <v>6900</v>
      </c>
      <c r="P6446" s="14">
        <v>98.33</v>
      </c>
      <c r="Q6446" s="14">
        <v>115.23</v>
      </c>
      <c r="R6446" s="14">
        <v>117.53</v>
      </c>
      <c r="S6446" s="2" t="s">
        <v>30</v>
      </c>
      <c r="T6446" s="2">
        <v>1.56</v>
      </c>
      <c r="U6446" s="2">
        <v>60.9</v>
      </c>
      <c r="V6446" s="2">
        <v>63</v>
      </c>
      <c r="W6446" s="2" t="s">
        <v>7862</v>
      </c>
      <c r="X6446" s="2" t="s">
        <v>6687</v>
      </c>
      <c r="Y6446" s="2">
        <v>7038</v>
      </c>
      <c r="Z6446" s="19" t="str">
        <f>HYPERLINK("https://ssdweb.co/ssdweb/hd/Vision360.html?d=941090649&amp;zoomslide=1&amp;z=1941090649&amp;ISCONFIRM=0","VIDEO")</f>
        <v>VIDEO</v>
      </c>
      <c r="AA6446" s="19" t="str">
        <f>HYPERLINK("https://ssdweb.co/ssdweb/CERTH/674532617.pdf","CERTI")</f>
        <v>CERTI</v>
      </c>
    </row>
    <row r="6447" spans="1:27" ht="15" x14ac:dyDescent="0.25">
      <c r="A6447" s="2">
        <v>6442</v>
      </c>
      <c r="B6447" s="39">
        <v>927092055</v>
      </c>
      <c r="C6447" s="28" t="str">
        <f>HYPERLINK("https://pld.live/RapDetail.aspx?STONELIST=927092055","DNA")</f>
        <v>DNA</v>
      </c>
      <c r="D6447" s="18" t="s">
        <v>3054</v>
      </c>
      <c r="E6447" s="18" t="s">
        <v>5128</v>
      </c>
      <c r="F6447" s="2" t="s">
        <v>7987</v>
      </c>
      <c r="G6447" s="2" t="s">
        <v>6781</v>
      </c>
      <c r="H6447" s="14">
        <v>1.02</v>
      </c>
      <c r="I6447" s="2" t="s">
        <v>4761</v>
      </c>
      <c r="J6447" s="2" t="s">
        <v>3942</v>
      </c>
      <c r="K6447" s="2" t="s">
        <v>1452</v>
      </c>
      <c r="L6447" s="2" t="s">
        <v>5221</v>
      </c>
      <c r="M6447" s="2" t="s">
        <v>5221</v>
      </c>
      <c r="N6447" s="2" t="s">
        <v>2317</v>
      </c>
      <c r="O6447" s="14">
        <v>6900</v>
      </c>
      <c r="P6447" s="14">
        <v>98.33</v>
      </c>
      <c r="Q6447" s="14">
        <v>115.23</v>
      </c>
      <c r="R6447" s="14">
        <v>117.53</v>
      </c>
      <c r="S6447" s="2" t="s">
        <v>1375</v>
      </c>
      <c r="T6447" s="2">
        <v>1.55</v>
      </c>
      <c r="U6447" s="2">
        <v>60.6</v>
      </c>
      <c r="V6447" s="2">
        <v>60</v>
      </c>
      <c r="W6447" s="2" t="s">
        <v>7862</v>
      </c>
      <c r="X6447" s="2" t="s">
        <v>6687</v>
      </c>
      <c r="Y6447" s="2">
        <v>7038</v>
      </c>
      <c r="Z6447" s="19" t="str">
        <f>HYPERLINK("https://ssdweb.co/ssdweb/hd/Vision360.html?d=927092055&amp;zoomslide=1&amp;z=1927092055&amp;ISCONFIRM=0","VIDEO")</f>
        <v>VIDEO</v>
      </c>
      <c r="AA6447" s="19" t="str">
        <f>HYPERLINK("https://ssdweb.co/ssdweb/CERTH/665411165.pdf","CERTI")</f>
        <v>CERTI</v>
      </c>
    </row>
    <row r="6448" spans="1:27" ht="15" x14ac:dyDescent="0.25">
      <c r="A6448" s="2">
        <v>6443</v>
      </c>
      <c r="B6448" s="39">
        <v>926831161</v>
      </c>
      <c r="C6448" s="28" t="str">
        <f>HYPERLINK("https://pld.live/RapDetail.aspx?STONELIST=926831161","DNA")</f>
        <v>DNA</v>
      </c>
      <c r="D6448" s="18" t="s">
        <v>3054</v>
      </c>
      <c r="E6448" s="18" t="s">
        <v>5128</v>
      </c>
      <c r="F6448" s="2" t="s">
        <v>5597</v>
      </c>
      <c r="G6448" s="2" t="s">
        <v>6781</v>
      </c>
      <c r="H6448" s="14">
        <v>1.02</v>
      </c>
      <c r="I6448" s="2" t="s">
        <v>4761</v>
      </c>
      <c r="J6448" s="2" t="s">
        <v>3942</v>
      </c>
      <c r="K6448" s="2" t="s">
        <v>1452</v>
      </c>
      <c r="L6448" s="2" t="s">
        <v>5221</v>
      </c>
      <c r="M6448" s="2" t="s">
        <v>5721</v>
      </c>
      <c r="N6448" s="2" t="s">
        <v>2317</v>
      </c>
      <c r="O6448" s="14">
        <v>6900</v>
      </c>
      <c r="P6448" s="14">
        <v>96.91</v>
      </c>
      <c r="Q6448" s="14">
        <v>213.21</v>
      </c>
      <c r="R6448" s="14">
        <v>217.47</v>
      </c>
      <c r="S6448" s="2" t="s">
        <v>1383</v>
      </c>
      <c r="T6448" s="2">
        <v>1.49</v>
      </c>
      <c r="U6448" s="2">
        <v>63.4</v>
      </c>
      <c r="V6448" s="2">
        <v>60</v>
      </c>
      <c r="W6448" s="2" t="s">
        <v>7862</v>
      </c>
      <c r="X6448" s="2" t="s">
        <v>6687</v>
      </c>
      <c r="Y6448" s="2">
        <v>7038</v>
      </c>
      <c r="Z6448" s="19" t="str">
        <f>HYPERLINK("https://ssdweb.co/ssdweb/hd/Vision360.html?d=926831161&amp;zoomslide=1&amp;z=1926831161&amp;ISCONFIRM=0","VIDEO")</f>
        <v>VIDEO</v>
      </c>
      <c r="AA6448" s="19" t="str">
        <f>HYPERLINK("https://ssdweb.co/ssdweb/CERTH/1505624807.pdf","CERTI")</f>
        <v>CERTI</v>
      </c>
    </row>
    <row r="6449" spans="1:27" ht="15" x14ac:dyDescent="0.25">
      <c r="A6449" s="2">
        <v>6444</v>
      </c>
      <c r="B6449" s="39">
        <v>941100654</v>
      </c>
      <c r="C6449" s="28" t="str">
        <f>HYPERLINK("https://pld.live/RapDetail.aspx?STONELIST=941100654","DNA")</f>
        <v>DNA</v>
      </c>
      <c r="D6449" s="18" t="s">
        <v>3054</v>
      </c>
      <c r="E6449" s="18" t="s">
        <v>2186</v>
      </c>
      <c r="F6449" s="2" t="s">
        <v>7987</v>
      </c>
      <c r="G6449" s="2" t="s">
        <v>6781</v>
      </c>
      <c r="H6449" s="14">
        <v>1.02</v>
      </c>
      <c r="I6449" s="2" t="s">
        <v>4761</v>
      </c>
      <c r="J6449" s="2" t="s">
        <v>3942</v>
      </c>
      <c r="K6449" s="2" t="s">
        <v>1452</v>
      </c>
      <c r="L6449" s="2" t="s">
        <v>5221</v>
      </c>
      <c r="M6449" s="2" t="s">
        <v>5721</v>
      </c>
      <c r="N6449" s="2" t="s">
        <v>2317</v>
      </c>
      <c r="O6449" s="14">
        <v>6900</v>
      </c>
      <c r="P6449" s="14">
        <v>98.36</v>
      </c>
      <c r="Q6449" s="14">
        <v>113.16</v>
      </c>
      <c r="R6449" s="14">
        <v>115.42</v>
      </c>
      <c r="S6449" s="2" t="s">
        <v>1620</v>
      </c>
      <c r="T6449" s="2">
        <v>1.59</v>
      </c>
      <c r="U6449" s="2">
        <v>60.6</v>
      </c>
      <c r="V6449" s="2">
        <v>62</v>
      </c>
      <c r="W6449" s="2" t="s">
        <v>7862</v>
      </c>
      <c r="X6449" s="2" t="s">
        <v>6687</v>
      </c>
      <c r="Y6449" s="2">
        <v>7038</v>
      </c>
      <c r="Z6449" s="19" t="str">
        <f>HYPERLINK("https://ssdweb.co/ssdweb/hd/Vision360.html?d=941100654&amp;zoomslide=1&amp;z=1941100654&amp;ISCONFIRM=0","VIDEO")</f>
        <v>VIDEO</v>
      </c>
      <c r="AA6449" s="19" t="str">
        <f>HYPERLINK("https://ssdweb.co/ssdweb/CERTH/674532541.pdf","CERTI")</f>
        <v>CERTI</v>
      </c>
    </row>
    <row r="6450" spans="1:27" ht="15" x14ac:dyDescent="0.25">
      <c r="A6450" s="2">
        <v>6445</v>
      </c>
      <c r="B6450" s="39">
        <v>927092626</v>
      </c>
      <c r="C6450" s="28" t="str">
        <f>HYPERLINK("https://pld.live/RapDetail.aspx?STONELIST=927092626","DNA")</f>
        <v>DNA</v>
      </c>
      <c r="D6450" s="18" t="s">
        <v>3054</v>
      </c>
      <c r="E6450" s="18" t="s">
        <v>5128</v>
      </c>
      <c r="F6450" s="2" t="s">
        <v>7987</v>
      </c>
      <c r="G6450" s="2" t="s">
        <v>6781</v>
      </c>
      <c r="H6450" s="14">
        <v>1.02</v>
      </c>
      <c r="I6450" s="2" t="s">
        <v>4761</v>
      </c>
      <c r="J6450" s="2" t="s">
        <v>3942</v>
      </c>
      <c r="K6450" s="2" t="s">
        <v>1452</v>
      </c>
      <c r="L6450" s="2" t="s">
        <v>5221</v>
      </c>
      <c r="M6450" s="2" t="s">
        <v>5721</v>
      </c>
      <c r="N6450" s="2" t="s">
        <v>2317</v>
      </c>
      <c r="O6450" s="14">
        <v>6900</v>
      </c>
      <c r="P6450" s="14">
        <v>98.36</v>
      </c>
      <c r="Q6450" s="14">
        <v>113.16</v>
      </c>
      <c r="R6450" s="14">
        <v>115.42</v>
      </c>
      <c r="S6450" s="2" t="s">
        <v>6398</v>
      </c>
      <c r="T6450" s="2">
        <v>1.48</v>
      </c>
      <c r="U6450" s="2">
        <v>63.6</v>
      </c>
      <c r="V6450" s="2">
        <v>61</v>
      </c>
      <c r="W6450" s="2" t="s">
        <v>7862</v>
      </c>
      <c r="X6450" s="2" t="s">
        <v>6687</v>
      </c>
      <c r="Y6450" s="2">
        <v>7038</v>
      </c>
      <c r="Z6450" s="19" t="str">
        <f>HYPERLINK("https://ssdweb.co/ssdweb/hd/Vision360.html?d=927092626&amp;zoomslide=1&amp;z=1927092626&amp;ISCONFIRM=0","VIDEO")</f>
        <v>VIDEO</v>
      </c>
      <c r="AA6450" s="19" t="str">
        <f>HYPERLINK("https://ssdweb.co/ssdweb/CERTH/671437441.pdf","CERTI")</f>
        <v>CERTI</v>
      </c>
    </row>
    <row r="6451" spans="1:27" ht="15" x14ac:dyDescent="0.25">
      <c r="A6451" s="2">
        <v>6446</v>
      </c>
      <c r="B6451" s="39">
        <v>821130973</v>
      </c>
      <c r="C6451" s="28" t="str">
        <f>HYPERLINK("https://pld.live/RapDetail.aspx?STONELIST=821130973","DNA")</f>
        <v>DNA</v>
      </c>
      <c r="D6451" s="18" t="s">
        <v>3054</v>
      </c>
      <c r="E6451" s="18" t="s">
        <v>1253</v>
      </c>
      <c r="F6451" s="2" t="s">
        <v>7987</v>
      </c>
      <c r="G6451" s="2" t="s">
        <v>6781</v>
      </c>
      <c r="H6451" s="14">
        <v>1.02</v>
      </c>
      <c r="I6451" s="2" t="s">
        <v>4761</v>
      </c>
      <c r="J6451" s="2" t="s">
        <v>3942</v>
      </c>
      <c r="K6451" s="2" t="s">
        <v>1452</v>
      </c>
      <c r="L6451" s="2" t="s">
        <v>5721</v>
      </c>
      <c r="M6451" s="2" t="s">
        <v>5721</v>
      </c>
      <c r="N6451" s="2" t="s">
        <v>2317</v>
      </c>
      <c r="O6451" s="14">
        <v>6900</v>
      </c>
      <c r="P6451" s="14">
        <v>98.39</v>
      </c>
      <c r="Q6451" s="14">
        <v>111.09</v>
      </c>
      <c r="R6451" s="14">
        <v>113.31</v>
      </c>
      <c r="S6451" s="2" t="s">
        <v>2635</v>
      </c>
      <c r="T6451" s="2">
        <v>1.59</v>
      </c>
      <c r="U6451" s="2">
        <v>61.2</v>
      </c>
      <c r="V6451" s="2">
        <v>60</v>
      </c>
      <c r="W6451" s="2" t="s">
        <v>7862</v>
      </c>
      <c r="X6451" s="2" t="s">
        <v>6687</v>
      </c>
      <c r="Y6451" s="2">
        <v>7038</v>
      </c>
      <c r="Z6451" s="19" t="str">
        <f>HYPERLINK("https://ssdweb.co/ssdweb/hd/Vision360.html?d=821130973&amp;zoomslide=1&amp;z=1821130973&amp;ISCONFIRM=0","VIDEO")</f>
        <v>VIDEO</v>
      </c>
      <c r="AA6451" s="19" t="str">
        <f>HYPERLINK("https://ssdweb.co/ssdweb/CERTH/671411253.pdf","CERTI")</f>
        <v>CERTI</v>
      </c>
    </row>
    <row r="6452" spans="1:27" ht="15" x14ac:dyDescent="0.25">
      <c r="A6452" s="2">
        <v>6447</v>
      </c>
      <c r="B6452" s="39">
        <v>926930850</v>
      </c>
      <c r="C6452" s="28" t="str">
        <f>HYPERLINK("https://pld.live/RapDetail.aspx?STONELIST=926930850","DNA")</f>
        <v>DNA</v>
      </c>
      <c r="D6452" s="18" t="s">
        <v>3054</v>
      </c>
      <c r="E6452" s="18" t="s">
        <v>2186</v>
      </c>
      <c r="F6452" s="2" t="s">
        <v>7987</v>
      </c>
      <c r="G6452" s="2" t="s">
        <v>6781</v>
      </c>
      <c r="H6452" s="14">
        <v>1.02</v>
      </c>
      <c r="I6452" s="2" t="s">
        <v>4761</v>
      </c>
      <c r="J6452" s="2" t="s">
        <v>13</v>
      </c>
      <c r="K6452" s="2" t="s">
        <v>1452</v>
      </c>
      <c r="L6452" s="2" t="s">
        <v>5221</v>
      </c>
      <c r="M6452" s="2" t="s">
        <v>5221</v>
      </c>
      <c r="N6452" s="2" t="s">
        <v>2317</v>
      </c>
      <c r="O6452" s="14">
        <v>6200</v>
      </c>
      <c r="P6452" s="14">
        <v>98.23</v>
      </c>
      <c r="Q6452" s="14">
        <v>109.74</v>
      </c>
      <c r="R6452" s="14">
        <v>111.93</v>
      </c>
      <c r="S6452" s="2" t="s">
        <v>3291</v>
      </c>
      <c r="T6452" s="2">
        <v>1.49</v>
      </c>
      <c r="U6452" s="2">
        <v>62.5</v>
      </c>
      <c r="V6452" s="2">
        <v>61</v>
      </c>
      <c r="W6452" s="2" t="s">
        <v>7862</v>
      </c>
      <c r="X6452" s="2" t="s">
        <v>6687</v>
      </c>
      <c r="Y6452" s="2">
        <v>6324</v>
      </c>
      <c r="Z6452" s="19" t="str">
        <f>HYPERLINK("https://ssdweb.co/ssdweb/hd/Vision360.html?d=926930850&amp;zoomslide=1&amp;z=1926930850&amp;ISCONFIRM=0","VIDEO")</f>
        <v>VIDEO</v>
      </c>
      <c r="AA6452" s="19" t="str">
        <f>HYPERLINK("https://ssdweb.co/ssdweb/CERTH/659437019.pdf","CERTI")</f>
        <v>CERTI</v>
      </c>
    </row>
    <row r="6453" spans="1:27" ht="15" x14ac:dyDescent="0.25">
      <c r="A6453" s="2">
        <v>6448</v>
      </c>
      <c r="B6453" s="39">
        <v>941100512</v>
      </c>
      <c r="C6453" s="28" t="str">
        <f>HYPERLINK("https://pld.live/RapDetail.aspx?STONELIST=941100512","DNA")</f>
        <v>DNA</v>
      </c>
      <c r="D6453" s="18" t="s">
        <v>3054</v>
      </c>
      <c r="E6453" s="18" t="s">
        <v>2186</v>
      </c>
      <c r="F6453" s="2" t="s">
        <v>7987</v>
      </c>
      <c r="G6453" s="2" t="s">
        <v>6781</v>
      </c>
      <c r="H6453" s="14">
        <v>1.02</v>
      </c>
      <c r="I6453" s="2" t="s">
        <v>4761</v>
      </c>
      <c r="J6453" s="2" t="s">
        <v>13</v>
      </c>
      <c r="K6453" s="2" t="s">
        <v>1452</v>
      </c>
      <c r="L6453" s="2" t="s">
        <v>5221</v>
      </c>
      <c r="M6453" s="2" t="s">
        <v>5221</v>
      </c>
      <c r="N6453" s="2" t="s">
        <v>2317</v>
      </c>
      <c r="O6453" s="14">
        <v>6200</v>
      </c>
      <c r="P6453" s="14">
        <v>98.23</v>
      </c>
      <c r="Q6453" s="14">
        <v>109.74</v>
      </c>
      <c r="R6453" s="14">
        <v>111.93</v>
      </c>
      <c r="S6453" s="2" t="s">
        <v>2981</v>
      </c>
      <c r="T6453" s="2">
        <v>1.62</v>
      </c>
      <c r="U6453" s="2">
        <v>60.6</v>
      </c>
      <c r="V6453" s="2">
        <v>61</v>
      </c>
      <c r="W6453" s="2" t="s">
        <v>7862</v>
      </c>
      <c r="X6453" s="2" t="s">
        <v>6687</v>
      </c>
      <c r="Y6453" s="2">
        <v>6324</v>
      </c>
      <c r="Z6453" s="19" t="str">
        <f>HYPERLINK("https://ssdweb.co/ssdweb/hd/Vision360.html?d=941100512&amp;zoomslide=1&amp;z=1941100512&amp;ISCONFIRM=0","VIDEO")</f>
        <v>VIDEO</v>
      </c>
      <c r="AA6453" s="19" t="str">
        <f>HYPERLINK("https://ssdweb.co/ssdweb/CERTH/674504115.pdf","CERTI")</f>
        <v>CERTI</v>
      </c>
    </row>
    <row r="6454" spans="1:27" ht="15" x14ac:dyDescent="0.25">
      <c r="A6454" s="2">
        <v>6449</v>
      </c>
      <c r="B6454" s="39">
        <v>941100584</v>
      </c>
      <c r="C6454" s="28" t="str">
        <f>HYPERLINK("https://pld.live/RapDetail.aspx?STONELIST=941100584","DNA")</f>
        <v>DNA</v>
      </c>
      <c r="D6454" s="18" t="s">
        <v>3054</v>
      </c>
      <c r="E6454" s="18" t="s">
        <v>2186</v>
      </c>
      <c r="F6454" s="2" t="s">
        <v>7987</v>
      </c>
      <c r="G6454" s="2" t="s">
        <v>6781</v>
      </c>
      <c r="H6454" s="14">
        <v>1.02</v>
      </c>
      <c r="I6454" s="2" t="s">
        <v>4761</v>
      </c>
      <c r="J6454" s="2" t="s">
        <v>13</v>
      </c>
      <c r="K6454" s="2" t="s">
        <v>1452</v>
      </c>
      <c r="L6454" s="2" t="s">
        <v>5221</v>
      </c>
      <c r="M6454" s="2" t="s">
        <v>5221</v>
      </c>
      <c r="N6454" s="2" t="s">
        <v>2317</v>
      </c>
      <c r="O6454" s="14">
        <v>6200</v>
      </c>
      <c r="P6454" s="14">
        <v>98.23</v>
      </c>
      <c r="Q6454" s="14">
        <v>109.74</v>
      </c>
      <c r="R6454" s="14">
        <v>111.93</v>
      </c>
      <c r="S6454" s="2" t="s">
        <v>5610</v>
      </c>
      <c r="T6454" s="2">
        <v>1.63</v>
      </c>
      <c r="U6454" s="2">
        <v>60.1</v>
      </c>
      <c r="V6454" s="2">
        <v>62</v>
      </c>
      <c r="W6454" s="2" t="s">
        <v>7862</v>
      </c>
      <c r="X6454" s="2" t="s">
        <v>6687</v>
      </c>
      <c r="Y6454" s="2">
        <v>6324</v>
      </c>
      <c r="Z6454" s="19" t="str">
        <f>HYPERLINK("https://ssdweb.co/ssdweb/hd/Vision360.html?d=941100584&amp;zoomslide=1&amp;z=1941100584&amp;ISCONFIRM=0","VIDEO")</f>
        <v>VIDEO</v>
      </c>
      <c r="AA6454" s="19" t="str">
        <f>HYPERLINK("https://ssdweb.co/ssdweb/CERTH/674532565.pdf","CERTI")</f>
        <v>CERTI</v>
      </c>
    </row>
    <row r="6455" spans="1:27" ht="15" x14ac:dyDescent="0.25">
      <c r="A6455" s="2">
        <v>6450</v>
      </c>
      <c r="B6455" s="39">
        <v>941090692</v>
      </c>
      <c r="C6455" s="28" t="str">
        <f>HYPERLINK("https://pld.live/RapDetail.aspx?STONELIST=941090692","DNA")</f>
        <v>DNA</v>
      </c>
      <c r="D6455" s="18" t="s">
        <v>3054</v>
      </c>
      <c r="E6455" s="18" t="s">
        <v>2186</v>
      </c>
      <c r="F6455" s="2" t="s">
        <v>7987</v>
      </c>
      <c r="G6455" s="2" t="s">
        <v>6781</v>
      </c>
      <c r="H6455" s="14">
        <v>1.02</v>
      </c>
      <c r="I6455" s="2" t="s">
        <v>4761</v>
      </c>
      <c r="J6455" s="2" t="s">
        <v>13</v>
      </c>
      <c r="K6455" s="2" t="s">
        <v>1452</v>
      </c>
      <c r="L6455" s="2" t="s">
        <v>5221</v>
      </c>
      <c r="M6455" s="2" t="s">
        <v>5221</v>
      </c>
      <c r="N6455" s="2" t="s">
        <v>2317</v>
      </c>
      <c r="O6455" s="14">
        <v>6200</v>
      </c>
      <c r="P6455" s="14">
        <v>98.23</v>
      </c>
      <c r="Q6455" s="14">
        <v>109.74</v>
      </c>
      <c r="R6455" s="14">
        <v>111.93</v>
      </c>
      <c r="S6455" s="2" t="s">
        <v>7708</v>
      </c>
      <c r="T6455" s="2">
        <v>1.53</v>
      </c>
      <c r="U6455" s="2">
        <v>61.2</v>
      </c>
      <c r="V6455" s="2">
        <v>59</v>
      </c>
      <c r="W6455" s="2" t="s">
        <v>7862</v>
      </c>
      <c r="X6455" s="2" t="s">
        <v>6687</v>
      </c>
      <c r="Y6455" s="2">
        <v>6324</v>
      </c>
      <c r="Z6455" s="19" t="str">
        <f>HYPERLINK("https://ssdweb.co/ssdweb/hd/Vision360.html?d=941090692&amp;zoomslide=1&amp;z=1941090692&amp;ISCONFIRM=0","VIDEO")</f>
        <v>VIDEO</v>
      </c>
      <c r="AA6455" s="19" t="str">
        <f>HYPERLINK("https://ssdweb.co/ssdweb/CERTH/674532560.pdf","CERTI")</f>
        <v>CERTI</v>
      </c>
    </row>
    <row r="6456" spans="1:27" ht="15" x14ac:dyDescent="0.25">
      <c r="A6456" s="2">
        <v>6451</v>
      </c>
      <c r="B6456" s="39">
        <v>941080845</v>
      </c>
      <c r="C6456" s="28" t="str">
        <f>HYPERLINK("https://pld.live/RapDetail.aspx?STONELIST=941080845","DNA")</f>
        <v>DNA</v>
      </c>
      <c r="D6456" s="18" t="s">
        <v>3054</v>
      </c>
      <c r="E6456" s="18" t="s">
        <v>2186</v>
      </c>
      <c r="F6456" s="2" t="s">
        <v>7987</v>
      </c>
      <c r="G6456" s="2" t="s">
        <v>6781</v>
      </c>
      <c r="H6456" s="14">
        <v>1.02</v>
      </c>
      <c r="I6456" s="2" t="s">
        <v>4761</v>
      </c>
      <c r="J6456" s="2" t="s">
        <v>13</v>
      </c>
      <c r="K6456" s="2" t="s">
        <v>1452</v>
      </c>
      <c r="L6456" s="2" t="s">
        <v>5221</v>
      </c>
      <c r="M6456" s="2" t="s">
        <v>5221</v>
      </c>
      <c r="N6456" s="2" t="s">
        <v>2317</v>
      </c>
      <c r="O6456" s="14">
        <v>6200</v>
      </c>
      <c r="P6456" s="14">
        <v>98.23</v>
      </c>
      <c r="Q6456" s="14">
        <v>109.74</v>
      </c>
      <c r="R6456" s="14">
        <v>111.93</v>
      </c>
      <c r="S6456" s="2" t="s">
        <v>2799</v>
      </c>
      <c r="T6456" s="2">
        <v>1.54</v>
      </c>
      <c r="U6456" s="2">
        <v>61.5</v>
      </c>
      <c r="V6456" s="2">
        <v>63</v>
      </c>
      <c r="W6456" s="2" t="s">
        <v>7862</v>
      </c>
      <c r="X6456" s="2" t="s">
        <v>6687</v>
      </c>
      <c r="Y6456" s="2">
        <v>6324</v>
      </c>
      <c r="Z6456" s="19" t="str">
        <f>HYPERLINK("https://ssdweb.co/ssdweb/hd/Vision360.html?d=941080845&amp;zoomslide=1&amp;z=1941080845&amp;ISCONFIRM=0","VIDEO")</f>
        <v>VIDEO</v>
      </c>
      <c r="AA6456" s="19" t="str">
        <f>HYPERLINK("https://ssdweb.co/ssdweb/CERTH/674532621.pdf","CERTI")</f>
        <v>CERTI</v>
      </c>
    </row>
    <row r="6457" spans="1:27" ht="15" x14ac:dyDescent="0.25">
      <c r="A6457" s="2">
        <v>6452</v>
      </c>
      <c r="B6457" s="39">
        <v>927052612</v>
      </c>
      <c r="C6457" s="28" t="str">
        <f>HYPERLINK("https://pld.live/RapDetail.aspx?STONELIST=927052612","DNA")</f>
        <v>DNA</v>
      </c>
      <c r="D6457" s="18" t="s">
        <v>3054</v>
      </c>
      <c r="E6457" s="18" t="s">
        <v>5128</v>
      </c>
      <c r="F6457" s="2" t="s">
        <v>7987</v>
      </c>
      <c r="G6457" s="2" t="s">
        <v>6781</v>
      </c>
      <c r="H6457" s="14">
        <v>1.02</v>
      </c>
      <c r="I6457" s="2" t="s">
        <v>4761</v>
      </c>
      <c r="J6457" s="2" t="s">
        <v>13</v>
      </c>
      <c r="K6457" s="2" t="s">
        <v>1452</v>
      </c>
      <c r="L6457" s="2" t="s">
        <v>5221</v>
      </c>
      <c r="M6457" s="2" t="s">
        <v>5221</v>
      </c>
      <c r="N6457" s="2" t="s">
        <v>2317</v>
      </c>
      <c r="O6457" s="14">
        <v>6200</v>
      </c>
      <c r="P6457" s="14">
        <v>98.23</v>
      </c>
      <c r="Q6457" s="14">
        <v>109.74</v>
      </c>
      <c r="R6457" s="14">
        <v>111.93</v>
      </c>
      <c r="S6457" s="2" t="s">
        <v>8008</v>
      </c>
      <c r="T6457" s="2">
        <v>1.52</v>
      </c>
      <c r="U6457" s="2">
        <v>64.099999999999994</v>
      </c>
      <c r="V6457" s="2">
        <v>60</v>
      </c>
      <c r="W6457" s="2" t="s">
        <v>7862</v>
      </c>
      <c r="X6457" s="2" t="s">
        <v>6687</v>
      </c>
      <c r="Y6457" s="2">
        <v>6324</v>
      </c>
      <c r="Z6457" s="19" t="str">
        <f>HYPERLINK("https://ssdweb.co/ssdweb/hd/Vision360.html?d=927052612&amp;zoomslide=1&amp;z=1927052612&amp;ISCONFIRM=0","VIDEO")</f>
        <v>VIDEO</v>
      </c>
      <c r="AA6457" s="19" t="str">
        <f>HYPERLINK("https://ssdweb.co/ssdweb/CERTH/668447806.pdf","CERTI")</f>
        <v>CERTI</v>
      </c>
    </row>
    <row r="6458" spans="1:27" ht="15" x14ac:dyDescent="0.25">
      <c r="A6458" s="2">
        <v>6453</v>
      </c>
      <c r="B6458" s="39">
        <v>927052067</v>
      </c>
      <c r="C6458" s="28" t="str">
        <f>HYPERLINK("https://pld.live/RapDetail.aspx?STONELIST=927052067","DNA")</f>
        <v>DNA</v>
      </c>
      <c r="D6458" s="18" t="s">
        <v>3054</v>
      </c>
      <c r="E6458" s="18" t="s">
        <v>5128</v>
      </c>
      <c r="F6458" s="2" t="s">
        <v>7987</v>
      </c>
      <c r="G6458" s="2" t="s">
        <v>6781</v>
      </c>
      <c r="H6458" s="14">
        <v>1.02</v>
      </c>
      <c r="I6458" s="2" t="s">
        <v>4761</v>
      </c>
      <c r="J6458" s="2" t="s">
        <v>13</v>
      </c>
      <c r="K6458" s="2" t="s">
        <v>1452</v>
      </c>
      <c r="L6458" s="2" t="s">
        <v>5221</v>
      </c>
      <c r="M6458" s="2" t="s">
        <v>5221</v>
      </c>
      <c r="N6458" s="2" t="s">
        <v>2317</v>
      </c>
      <c r="O6458" s="14">
        <v>6200</v>
      </c>
      <c r="P6458" s="14">
        <v>98.23</v>
      </c>
      <c r="Q6458" s="14">
        <v>109.74</v>
      </c>
      <c r="R6458" s="14">
        <v>111.93</v>
      </c>
      <c r="S6458" s="2" t="s">
        <v>3079</v>
      </c>
      <c r="T6458" s="2">
        <v>1.49</v>
      </c>
      <c r="U6458" s="2">
        <v>62</v>
      </c>
      <c r="V6458" s="2">
        <v>59</v>
      </c>
      <c r="W6458" s="2" t="s">
        <v>7862</v>
      </c>
      <c r="X6458" s="2" t="s">
        <v>6687</v>
      </c>
      <c r="Y6458" s="2">
        <v>6324</v>
      </c>
      <c r="Z6458" s="19" t="str">
        <f>HYPERLINK("https://ssdweb.co/ssdweb/hd/Vision360.html?d=927052067&amp;zoomslide=1&amp;z=1927052067&amp;ISCONFIRM=0","VIDEO")</f>
        <v>VIDEO</v>
      </c>
      <c r="AA6458" s="19" t="str">
        <f>HYPERLINK("https://ssdweb.co/ssdweb/CERTH/671411238.pdf","CERTI")</f>
        <v>CERTI</v>
      </c>
    </row>
    <row r="6459" spans="1:27" ht="15" x14ac:dyDescent="0.25">
      <c r="A6459" s="2">
        <v>6454</v>
      </c>
      <c r="B6459" s="39">
        <v>941080818</v>
      </c>
      <c r="C6459" s="28" t="str">
        <f>HYPERLINK("https://pld.live/RapDetail.aspx?STONELIST=941080818","DNA")</f>
        <v>DNA</v>
      </c>
      <c r="D6459" s="18" t="s">
        <v>3054</v>
      </c>
      <c r="E6459" s="18" t="s">
        <v>2186</v>
      </c>
      <c r="F6459" s="2" t="s">
        <v>7987</v>
      </c>
      <c r="G6459" s="2" t="s">
        <v>6781</v>
      </c>
      <c r="H6459" s="14">
        <v>1.02</v>
      </c>
      <c r="I6459" s="2" t="s">
        <v>4761</v>
      </c>
      <c r="J6459" s="2" t="s">
        <v>13</v>
      </c>
      <c r="K6459" s="2" t="s">
        <v>1452</v>
      </c>
      <c r="L6459" s="2" t="s">
        <v>5221</v>
      </c>
      <c r="M6459" s="2" t="s">
        <v>5221</v>
      </c>
      <c r="N6459" s="2" t="s">
        <v>2317</v>
      </c>
      <c r="O6459" s="14">
        <v>6200</v>
      </c>
      <c r="P6459" s="14">
        <v>98.23</v>
      </c>
      <c r="Q6459" s="14">
        <v>109.74</v>
      </c>
      <c r="R6459" s="14">
        <v>111.93</v>
      </c>
      <c r="S6459" s="2" t="s">
        <v>6218</v>
      </c>
      <c r="T6459" s="2">
        <v>1.59</v>
      </c>
      <c r="U6459" s="2">
        <v>60.3</v>
      </c>
      <c r="V6459" s="2">
        <v>62</v>
      </c>
      <c r="W6459" s="2" t="s">
        <v>7862</v>
      </c>
      <c r="X6459" s="2" t="s">
        <v>6687</v>
      </c>
      <c r="Y6459" s="2">
        <v>6324</v>
      </c>
      <c r="Z6459" s="19" t="str">
        <f>HYPERLINK("https://ssdweb.co/ssdweb/hd/Vision360.html?d=941080818&amp;zoomslide=1&amp;z=1941080818&amp;ISCONFIRM=0","VIDEO")</f>
        <v>VIDEO</v>
      </c>
      <c r="AA6459" s="19" t="str">
        <f>HYPERLINK("https://ssdweb.co/ssdweb/CERTH/674532574.pdf","CERTI")</f>
        <v>CERTI</v>
      </c>
    </row>
    <row r="6460" spans="1:27" ht="15" x14ac:dyDescent="0.25">
      <c r="A6460" s="2">
        <v>6455</v>
      </c>
      <c r="B6460" s="39">
        <v>941080810</v>
      </c>
      <c r="C6460" s="28" t="str">
        <f>HYPERLINK("https://pld.live/RapDetail.aspx?STONELIST=941080810","DNA")</f>
        <v>DNA</v>
      </c>
      <c r="D6460" s="18" t="s">
        <v>3054</v>
      </c>
      <c r="E6460" s="18" t="s">
        <v>2186</v>
      </c>
      <c r="F6460" s="2" t="s">
        <v>7987</v>
      </c>
      <c r="G6460" s="2" t="s">
        <v>6781</v>
      </c>
      <c r="H6460" s="14">
        <v>1.02</v>
      </c>
      <c r="I6460" s="2" t="s">
        <v>4761</v>
      </c>
      <c r="J6460" s="2" t="s">
        <v>13</v>
      </c>
      <c r="K6460" s="2" t="s">
        <v>1452</v>
      </c>
      <c r="L6460" s="2" t="s">
        <v>5221</v>
      </c>
      <c r="M6460" s="2" t="s">
        <v>5221</v>
      </c>
      <c r="N6460" s="2" t="s">
        <v>2317</v>
      </c>
      <c r="O6460" s="14">
        <v>6200</v>
      </c>
      <c r="P6460" s="14">
        <v>98.23</v>
      </c>
      <c r="Q6460" s="14">
        <v>109.74</v>
      </c>
      <c r="R6460" s="14">
        <v>111.93</v>
      </c>
      <c r="S6460" s="2" t="s">
        <v>7627</v>
      </c>
      <c r="T6460" s="2">
        <v>1.54</v>
      </c>
      <c r="U6460" s="2">
        <v>62.1</v>
      </c>
      <c r="V6460" s="2">
        <v>61</v>
      </c>
      <c r="W6460" s="2" t="s">
        <v>7862</v>
      </c>
      <c r="X6460" s="2" t="s">
        <v>6687</v>
      </c>
      <c r="Y6460" s="2">
        <v>6324</v>
      </c>
      <c r="Z6460" s="19" t="str">
        <f>HYPERLINK("https://ssdweb.co/ssdweb/hd/Vision360.html?d=941080810&amp;zoomslide=1&amp;z=1941080810&amp;ISCONFIRM=0","VIDEO")</f>
        <v>VIDEO</v>
      </c>
      <c r="AA6460" s="19" t="str">
        <f>HYPERLINK("https://ssdweb.co/ssdweb/CERTH/674532572.pdf","CERTI")</f>
        <v>CERTI</v>
      </c>
    </row>
    <row r="6461" spans="1:27" ht="15" x14ac:dyDescent="0.25">
      <c r="A6461" s="2">
        <v>6456</v>
      </c>
      <c r="B6461" s="39">
        <v>941100641</v>
      </c>
      <c r="C6461" s="28" t="str">
        <f>HYPERLINK("https://pld.live/RapDetail.aspx?STONELIST=941100641","DNA")</f>
        <v>DNA</v>
      </c>
      <c r="D6461" s="18" t="s">
        <v>3054</v>
      </c>
      <c r="E6461" s="18" t="s">
        <v>2186</v>
      </c>
      <c r="F6461" s="2" t="s">
        <v>7987</v>
      </c>
      <c r="G6461" s="2" t="s">
        <v>6781</v>
      </c>
      <c r="H6461" s="14">
        <v>1.02</v>
      </c>
      <c r="I6461" s="2" t="s">
        <v>4761</v>
      </c>
      <c r="J6461" s="2" t="s">
        <v>5144</v>
      </c>
      <c r="K6461" s="2" t="s">
        <v>1452</v>
      </c>
      <c r="L6461" s="2" t="s">
        <v>5221</v>
      </c>
      <c r="M6461" s="2" t="s">
        <v>5221</v>
      </c>
      <c r="N6461" s="2" t="s">
        <v>2317</v>
      </c>
      <c r="O6461" s="14">
        <v>5400</v>
      </c>
      <c r="P6461" s="14">
        <v>98</v>
      </c>
      <c r="Q6461" s="14">
        <v>108</v>
      </c>
      <c r="R6461" s="14">
        <v>110.16</v>
      </c>
      <c r="S6461" s="2" t="s">
        <v>1290</v>
      </c>
      <c r="T6461" s="2">
        <v>1.62</v>
      </c>
      <c r="U6461" s="2">
        <v>61.1</v>
      </c>
      <c r="V6461" s="2">
        <v>62</v>
      </c>
      <c r="W6461" s="2" t="s">
        <v>7862</v>
      </c>
      <c r="X6461" s="2" t="s">
        <v>6687</v>
      </c>
      <c r="Y6461" s="2">
        <v>5508</v>
      </c>
      <c r="Z6461" s="19" t="str">
        <f>HYPERLINK("https://ssdweb.co/ssdweb/hd/Vision360.html?d=941100641&amp;zoomslide=1&amp;z=1941100641&amp;ISCONFIRM=0","VIDEO")</f>
        <v>VIDEO</v>
      </c>
      <c r="AA6461" s="19" t="str">
        <f>HYPERLINK("https://ssdweb.co/ssdweb/CERTH/674532607.pdf","CERTI")</f>
        <v>CERTI</v>
      </c>
    </row>
    <row r="6462" spans="1:27" ht="15" x14ac:dyDescent="0.25">
      <c r="A6462" s="2">
        <v>6457</v>
      </c>
      <c r="B6462" s="39">
        <v>925700252</v>
      </c>
      <c r="C6462" s="28" t="str">
        <f>HYPERLINK("https://pld.live/RapDetail.aspx?STONELIST=925700252","DNA")</f>
        <v>DNA</v>
      </c>
      <c r="D6462" s="18" t="s">
        <v>3054</v>
      </c>
      <c r="E6462" s="18" t="s">
        <v>2186</v>
      </c>
      <c r="F6462" s="2" t="s">
        <v>7987</v>
      </c>
      <c r="G6462" s="2" t="s">
        <v>6781</v>
      </c>
      <c r="H6462" s="14">
        <v>1.02</v>
      </c>
      <c r="I6462" s="2" t="s">
        <v>6874</v>
      </c>
      <c r="J6462" s="2" t="s">
        <v>444</v>
      </c>
      <c r="K6462" s="2" t="s">
        <v>1452</v>
      </c>
      <c r="L6462" s="2" t="s">
        <v>5221</v>
      </c>
      <c r="M6462" s="2" t="s">
        <v>5221</v>
      </c>
      <c r="N6462" s="2" t="s">
        <v>924</v>
      </c>
      <c r="O6462" s="14">
        <v>1900</v>
      </c>
      <c r="P6462" s="14">
        <v>84.74</v>
      </c>
      <c r="Q6462" s="14">
        <v>289.94</v>
      </c>
      <c r="R6462" s="14">
        <v>295.74</v>
      </c>
      <c r="S6462" s="2" t="s">
        <v>3891</v>
      </c>
      <c r="T6462" s="2">
        <v>1.61</v>
      </c>
      <c r="U6462" s="2">
        <v>59.1</v>
      </c>
      <c r="V6462" s="2">
        <v>65</v>
      </c>
      <c r="W6462" s="2" t="s">
        <v>7862</v>
      </c>
      <c r="X6462" s="2" t="s">
        <v>6687</v>
      </c>
      <c r="Y6462" s="2">
        <v>1938</v>
      </c>
      <c r="Z6462" s="19" t="str">
        <f>HYPERLINK("https://ssdweb.co/ssdweb/hd/Vision360.html?d=925700252&amp;zoomslide=1&amp;z=1925700252&amp;ISCONFIRM=0","VIDEO")</f>
        <v>VIDEO</v>
      </c>
      <c r="AA6462" s="19" t="str">
        <f>HYPERLINK("https://ssdweb.co/ssdweb/CERTH/631429908.pdf","CERTI")</f>
        <v>CERTI</v>
      </c>
    </row>
    <row r="6463" spans="1:27" ht="15" x14ac:dyDescent="0.25">
      <c r="A6463" s="2">
        <v>6458</v>
      </c>
      <c r="B6463" s="39">
        <v>941071306</v>
      </c>
      <c r="C6463" s="28" t="str">
        <f>HYPERLINK("https://pld.live/RapDetail.aspx?STONELIST=941071306","DNA")</f>
        <v>DNA</v>
      </c>
      <c r="D6463" s="18" t="s">
        <v>3054</v>
      </c>
      <c r="E6463" s="18" t="s">
        <v>5128</v>
      </c>
      <c r="F6463" s="2" t="s">
        <v>7987</v>
      </c>
      <c r="G6463" s="2" t="s">
        <v>6781</v>
      </c>
      <c r="H6463" s="14">
        <v>1.01</v>
      </c>
      <c r="I6463" s="2" t="s">
        <v>267</v>
      </c>
      <c r="J6463" s="2" t="s">
        <v>3942</v>
      </c>
      <c r="K6463" s="2" t="s">
        <v>1452</v>
      </c>
      <c r="L6463" s="2" t="s">
        <v>5221</v>
      </c>
      <c r="M6463" s="2" t="s">
        <v>5221</v>
      </c>
      <c r="N6463" s="2" t="s">
        <v>2317</v>
      </c>
      <c r="O6463" s="14">
        <v>7600</v>
      </c>
      <c r="P6463" s="14">
        <v>98.42</v>
      </c>
      <c r="Q6463" s="14">
        <v>120.08</v>
      </c>
      <c r="R6463" s="14">
        <v>121.28</v>
      </c>
      <c r="S6463" s="2" t="s">
        <v>6428</v>
      </c>
      <c r="T6463" s="2">
        <v>1.48</v>
      </c>
      <c r="U6463" s="2">
        <v>64</v>
      </c>
      <c r="V6463" s="2">
        <v>63</v>
      </c>
      <c r="W6463" s="2" t="s">
        <v>7862</v>
      </c>
      <c r="X6463" s="2" t="s">
        <v>6687</v>
      </c>
      <c r="Y6463" s="2">
        <v>7676</v>
      </c>
      <c r="Z6463" s="19" t="str">
        <f>HYPERLINK("https://ssdweb.co/ssdweb/hd/Vision360.html?d=941071306&amp;zoomslide=1&amp;z=1941071306&amp;ISCONFIRM=0","VIDEO")</f>
        <v>VIDEO</v>
      </c>
      <c r="AA6463" s="19" t="str">
        <f>HYPERLINK("https://ssdweb.co/ssdweb/CERTH/674532529.pdf","CERTI")</f>
        <v>CERTI</v>
      </c>
    </row>
    <row r="6464" spans="1:27" ht="15" x14ac:dyDescent="0.25">
      <c r="A6464" s="2">
        <v>6459</v>
      </c>
      <c r="B6464" s="39">
        <v>927132501</v>
      </c>
      <c r="C6464" s="28" t="str">
        <f>HYPERLINK("https://pld.live/RapDetail.aspx?STONELIST=927132501","DNA")</f>
        <v>DNA</v>
      </c>
      <c r="D6464" s="18" t="s">
        <v>3054</v>
      </c>
      <c r="E6464" s="18" t="s">
        <v>5128</v>
      </c>
      <c r="F6464" s="2" t="s">
        <v>7987</v>
      </c>
      <c r="G6464" s="2" t="s">
        <v>6781</v>
      </c>
      <c r="H6464" s="14">
        <v>1.01</v>
      </c>
      <c r="I6464" s="2" t="s">
        <v>267</v>
      </c>
      <c r="J6464" s="2" t="s">
        <v>3942</v>
      </c>
      <c r="K6464" s="2" t="s">
        <v>1452</v>
      </c>
      <c r="L6464" s="2" t="s">
        <v>5221</v>
      </c>
      <c r="M6464" s="2" t="s">
        <v>5221</v>
      </c>
      <c r="N6464" s="2" t="s">
        <v>2317</v>
      </c>
      <c r="O6464" s="14">
        <v>7600</v>
      </c>
      <c r="P6464" s="14">
        <v>98.42</v>
      </c>
      <c r="Q6464" s="14">
        <v>120.08</v>
      </c>
      <c r="R6464" s="14">
        <v>121.28</v>
      </c>
      <c r="S6464" s="2" t="s">
        <v>4141</v>
      </c>
      <c r="T6464" s="2">
        <v>1.48</v>
      </c>
      <c r="U6464" s="2">
        <v>64.099999999999994</v>
      </c>
      <c r="V6464" s="2">
        <v>61</v>
      </c>
      <c r="W6464" s="2" t="s">
        <v>7862</v>
      </c>
      <c r="X6464" s="2" t="s">
        <v>6687</v>
      </c>
      <c r="Y6464" s="2">
        <v>7676</v>
      </c>
      <c r="Z6464" s="19" t="str">
        <f>HYPERLINK("https://ssdweb.co/ssdweb/hd/Vision360.html?d=927132501&amp;zoomslide=1&amp;z=1927132501&amp;ISCONFIRM=0","VIDEO")</f>
        <v>VIDEO</v>
      </c>
      <c r="AA6464" s="19" t="str">
        <f>HYPERLINK("https://ssdweb.co/ssdweb/CERTH/674504079.pdf","CERTI")</f>
        <v>CERTI</v>
      </c>
    </row>
    <row r="6465" spans="1:27" ht="15" x14ac:dyDescent="0.25">
      <c r="A6465" s="2">
        <v>6460</v>
      </c>
      <c r="B6465" s="39">
        <v>926750841</v>
      </c>
      <c r="C6465" s="28" t="str">
        <f>HYPERLINK("https://pld.live/RapDetail.aspx?STONELIST=926750841","DNA")</f>
        <v>DNA</v>
      </c>
      <c r="D6465" s="18" t="s">
        <v>3054</v>
      </c>
      <c r="E6465" s="18" t="s">
        <v>5128</v>
      </c>
      <c r="F6465" s="2" t="s">
        <v>7987</v>
      </c>
      <c r="G6465" s="2" t="s">
        <v>6781</v>
      </c>
      <c r="H6465" s="14">
        <v>1.01</v>
      </c>
      <c r="I6465" s="2" t="s">
        <v>267</v>
      </c>
      <c r="J6465" s="2" t="s">
        <v>13</v>
      </c>
      <c r="K6465" s="2" t="s">
        <v>1452</v>
      </c>
      <c r="L6465" s="2" t="s">
        <v>5221</v>
      </c>
      <c r="M6465" s="2" t="s">
        <v>5221</v>
      </c>
      <c r="N6465" s="2" t="s">
        <v>2317</v>
      </c>
      <c r="O6465" s="14">
        <v>6700</v>
      </c>
      <c r="P6465" s="14">
        <v>98.31</v>
      </c>
      <c r="Q6465" s="14">
        <v>113.23</v>
      </c>
      <c r="R6465" s="14">
        <v>114.36</v>
      </c>
      <c r="S6465" s="2" t="s">
        <v>4840</v>
      </c>
      <c r="T6465" s="2">
        <v>1.51</v>
      </c>
      <c r="U6465" s="2">
        <v>60.7</v>
      </c>
      <c r="V6465" s="2">
        <v>62</v>
      </c>
      <c r="W6465" s="2" t="s">
        <v>7862</v>
      </c>
      <c r="X6465" s="2" t="s">
        <v>6687</v>
      </c>
      <c r="Y6465" s="2">
        <v>6767</v>
      </c>
      <c r="Z6465" s="19" t="str">
        <f>HYPERLINK("https://ssdweb.co/ssdweb/hd/Vision360.html?d=926750841&amp;zoomslide=1&amp;z=1926750841&amp;ISCONFIRM=0","VIDEO")</f>
        <v>VIDEO</v>
      </c>
      <c r="AA6465" s="19" t="str">
        <f>HYPERLINK("https://ssdweb.co/ssdweb/CERTH/651495343.pdf","CERTI")</f>
        <v>CERTI</v>
      </c>
    </row>
    <row r="6466" spans="1:27" ht="15" x14ac:dyDescent="0.25">
      <c r="A6466" s="2">
        <v>6461</v>
      </c>
      <c r="B6466" s="39">
        <v>927152925</v>
      </c>
      <c r="C6466" s="28" t="str">
        <f>HYPERLINK("https://pld.live/RapDetail.aspx?STONELIST=927152925","DNA")</f>
        <v>DNA</v>
      </c>
      <c r="D6466" s="18" t="s">
        <v>3054</v>
      </c>
      <c r="E6466" s="18" t="s">
        <v>5128</v>
      </c>
      <c r="F6466" s="2" t="s">
        <v>7987</v>
      </c>
      <c r="G6466" s="2" t="s">
        <v>6781</v>
      </c>
      <c r="H6466" s="14">
        <v>1.01</v>
      </c>
      <c r="I6466" s="2" t="s">
        <v>267</v>
      </c>
      <c r="J6466" s="2" t="s">
        <v>13</v>
      </c>
      <c r="K6466" s="2" t="s">
        <v>1452</v>
      </c>
      <c r="L6466" s="2" t="s">
        <v>5221</v>
      </c>
      <c r="M6466" s="2" t="s">
        <v>5221</v>
      </c>
      <c r="N6466" s="2" t="s">
        <v>2317</v>
      </c>
      <c r="O6466" s="14">
        <v>6700</v>
      </c>
      <c r="P6466" s="14">
        <v>98.28</v>
      </c>
      <c r="Q6466" s="14">
        <v>115.24</v>
      </c>
      <c r="R6466" s="14">
        <v>116.39</v>
      </c>
      <c r="S6466" s="2" t="s">
        <v>3152</v>
      </c>
      <c r="T6466" s="2">
        <v>1.49</v>
      </c>
      <c r="U6466" s="2">
        <v>64.3</v>
      </c>
      <c r="V6466" s="2">
        <v>59</v>
      </c>
      <c r="W6466" s="2" t="s">
        <v>7862</v>
      </c>
      <c r="X6466" s="2" t="s">
        <v>6687</v>
      </c>
      <c r="Y6466" s="2">
        <v>6767</v>
      </c>
      <c r="Z6466" s="19" t="str">
        <f>HYPERLINK("https://ssdweb.co/ssdweb/hd/Vision360.html?d=927152925&amp;zoomslide=1&amp;z=1927152925&amp;ISCONFIRM=0","VIDEO")</f>
        <v>VIDEO</v>
      </c>
      <c r="AA6466" s="19" t="str">
        <f>HYPERLINK("https://ssdweb.co/ssdweb/CERTH/674504110.pdf","CERTI")</f>
        <v>CERTI</v>
      </c>
    </row>
    <row r="6467" spans="1:27" ht="15" x14ac:dyDescent="0.25">
      <c r="A6467" s="2">
        <v>6462</v>
      </c>
      <c r="B6467" s="39">
        <v>941080823</v>
      </c>
      <c r="C6467" s="28" t="str">
        <f>HYPERLINK("https://pld.live/RapDetail.aspx?STONELIST=941080823","DNA")</f>
        <v>DNA</v>
      </c>
      <c r="D6467" s="18" t="s">
        <v>3054</v>
      </c>
      <c r="E6467" s="18" t="s">
        <v>2186</v>
      </c>
      <c r="F6467" s="2" t="s">
        <v>7987</v>
      </c>
      <c r="G6467" s="2" t="s">
        <v>6781</v>
      </c>
      <c r="H6467" s="14">
        <v>1.01</v>
      </c>
      <c r="I6467" s="2" t="s">
        <v>267</v>
      </c>
      <c r="J6467" s="2" t="s">
        <v>13</v>
      </c>
      <c r="K6467" s="2" t="s">
        <v>1452</v>
      </c>
      <c r="L6467" s="2" t="s">
        <v>5221</v>
      </c>
      <c r="M6467" s="2" t="s">
        <v>5221</v>
      </c>
      <c r="N6467" s="2" t="s">
        <v>2317</v>
      </c>
      <c r="O6467" s="14">
        <v>6700</v>
      </c>
      <c r="P6467" s="14">
        <v>98.28</v>
      </c>
      <c r="Q6467" s="14">
        <v>115.24</v>
      </c>
      <c r="R6467" s="14">
        <v>116.39</v>
      </c>
      <c r="S6467" s="2" t="s">
        <v>2282</v>
      </c>
      <c r="T6467" s="2">
        <v>1.54</v>
      </c>
      <c r="U6467" s="2">
        <v>60.6</v>
      </c>
      <c r="V6467" s="2">
        <v>62</v>
      </c>
      <c r="W6467" s="2" t="s">
        <v>7862</v>
      </c>
      <c r="X6467" s="2" t="s">
        <v>6687</v>
      </c>
      <c r="Y6467" s="2">
        <v>6767</v>
      </c>
      <c r="Z6467" s="19" t="str">
        <f>HYPERLINK("https://ssdweb.co/ssdweb/hd/Vision360.html?d=941080823&amp;zoomslide=1&amp;z=1941080823&amp;ISCONFIRM=0","VIDEO")</f>
        <v>VIDEO</v>
      </c>
      <c r="AA6467" s="19" t="str">
        <f>HYPERLINK("https://ssdweb.co/ssdweb/CERTH/674532625.pdf","CERTI")</f>
        <v>CERTI</v>
      </c>
    </row>
    <row r="6468" spans="1:27" ht="15" x14ac:dyDescent="0.25">
      <c r="A6468" s="2">
        <v>6463</v>
      </c>
      <c r="B6468" s="39">
        <v>941110533</v>
      </c>
      <c r="C6468" s="28" t="str">
        <f>HYPERLINK("https://pld.live/RapDetail.aspx?STONELIST=941110533","DNA")</f>
        <v>DNA</v>
      </c>
      <c r="D6468" s="18" t="s">
        <v>3054</v>
      </c>
      <c r="E6468" s="18" t="s">
        <v>2186</v>
      </c>
      <c r="F6468" s="2" t="s">
        <v>7987</v>
      </c>
      <c r="G6468" s="2" t="s">
        <v>6781</v>
      </c>
      <c r="H6468" s="14">
        <v>1.01</v>
      </c>
      <c r="I6468" s="2" t="s">
        <v>267</v>
      </c>
      <c r="J6468" s="2" t="s">
        <v>13</v>
      </c>
      <c r="K6468" s="2" t="s">
        <v>1452</v>
      </c>
      <c r="L6468" s="2" t="s">
        <v>5221</v>
      </c>
      <c r="M6468" s="2" t="s">
        <v>5721</v>
      </c>
      <c r="N6468" s="2" t="s">
        <v>2317</v>
      </c>
      <c r="O6468" s="14">
        <v>6700</v>
      </c>
      <c r="P6468" s="14">
        <v>98.31</v>
      </c>
      <c r="Q6468" s="14">
        <v>113.23</v>
      </c>
      <c r="R6468" s="14">
        <v>114.36</v>
      </c>
      <c r="S6468" s="2" t="s">
        <v>1364</v>
      </c>
      <c r="T6468" s="2">
        <v>1.48</v>
      </c>
      <c r="U6468" s="2">
        <v>62</v>
      </c>
      <c r="V6468" s="2">
        <v>64</v>
      </c>
      <c r="W6468" s="2" t="s">
        <v>7862</v>
      </c>
      <c r="X6468" s="2" t="s">
        <v>6687</v>
      </c>
      <c r="Y6468" s="2">
        <v>6767</v>
      </c>
      <c r="Z6468" s="19" t="str">
        <f>HYPERLINK("https://ssdweb.co/ssdweb/hd/Vision360.html?d=941110533&amp;zoomslide=1&amp;z=1941110533&amp;ISCONFIRM=0","VIDEO")</f>
        <v>VIDEO</v>
      </c>
      <c r="AA6468" s="19" t="str">
        <f>HYPERLINK("https://ssdweb.co/ssdweb/CERTH/674532585.pdf","CERTI")</f>
        <v>CERTI</v>
      </c>
    </row>
    <row r="6469" spans="1:27" ht="15" x14ac:dyDescent="0.25">
      <c r="A6469" s="2">
        <v>6464</v>
      </c>
      <c r="B6469" s="39">
        <v>927132430</v>
      </c>
      <c r="C6469" s="28" t="str">
        <f>HYPERLINK("https://pld.live/RapDetail.aspx?STONELIST=927132430","DNA")</f>
        <v>DNA</v>
      </c>
      <c r="D6469" s="18" t="s">
        <v>3054</v>
      </c>
      <c r="E6469" s="18" t="s">
        <v>5128</v>
      </c>
      <c r="F6469" s="2" t="s">
        <v>7987</v>
      </c>
      <c r="G6469" s="2" t="s">
        <v>6781</v>
      </c>
      <c r="H6469" s="14">
        <v>1.01</v>
      </c>
      <c r="I6469" s="2" t="s">
        <v>267</v>
      </c>
      <c r="J6469" s="2" t="s">
        <v>13</v>
      </c>
      <c r="K6469" s="2" t="s">
        <v>1452</v>
      </c>
      <c r="L6469" s="2" t="s">
        <v>5221</v>
      </c>
      <c r="M6469" s="2" t="s">
        <v>5721</v>
      </c>
      <c r="N6469" s="2" t="s">
        <v>2317</v>
      </c>
      <c r="O6469" s="14">
        <v>6700</v>
      </c>
      <c r="P6469" s="14">
        <v>98.31</v>
      </c>
      <c r="Q6469" s="14">
        <v>113.23</v>
      </c>
      <c r="R6469" s="14">
        <v>114.36</v>
      </c>
      <c r="S6469" s="2" t="s">
        <v>8041</v>
      </c>
      <c r="T6469" s="2">
        <v>1.54</v>
      </c>
      <c r="U6469" s="2">
        <v>61.6</v>
      </c>
      <c r="V6469" s="2">
        <v>61</v>
      </c>
      <c r="W6469" s="2" t="s">
        <v>7862</v>
      </c>
      <c r="X6469" s="2" t="s">
        <v>6687</v>
      </c>
      <c r="Y6469" s="2">
        <v>6767</v>
      </c>
      <c r="Z6469" s="19" t="str">
        <f>HYPERLINK("https://ssdweb.co/ssdweb/hd/Vision360.html?d=927132430&amp;zoomslide=1&amp;z=1927132430&amp;ISCONFIRM=0","VIDEO")</f>
        <v>VIDEO</v>
      </c>
      <c r="AA6469" s="19" t="str">
        <f>HYPERLINK("https://ssdweb.co/ssdweb/CERTH/671437444.pdf","CERTI")</f>
        <v>CERTI</v>
      </c>
    </row>
    <row r="6470" spans="1:27" ht="15" x14ac:dyDescent="0.25">
      <c r="A6470" s="2">
        <v>6465</v>
      </c>
      <c r="B6470" s="39">
        <v>926980648</v>
      </c>
      <c r="C6470" s="28" t="str">
        <f>HYPERLINK("https://pld.live/RapDetail.aspx?STONELIST=926980648","DNA")</f>
        <v>DNA</v>
      </c>
      <c r="D6470" s="18" t="s">
        <v>3054</v>
      </c>
      <c r="E6470" s="18" t="s">
        <v>2186</v>
      </c>
      <c r="F6470" s="2" t="s">
        <v>7987</v>
      </c>
      <c r="G6470" s="2" t="s">
        <v>6781</v>
      </c>
      <c r="H6470" s="14">
        <v>1.01</v>
      </c>
      <c r="I6470" s="2" t="s">
        <v>267</v>
      </c>
      <c r="J6470" s="2" t="s">
        <v>5144</v>
      </c>
      <c r="K6470" s="2" t="s">
        <v>1452</v>
      </c>
      <c r="L6470" s="2" t="s">
        <v>5221</v>
      </c>
      <c r="M6470" s="2" t="s">
        <v>5221</v>
      </c>
      <c r="N6470" s="2" t="s">
        <v>2317</v>
      </c>
      <c r="O6470" s="14">
        <v>5700</v>
      </c>
      <c r="P6470" s="14">
        <v>98.07</v>
      </c>
      <c r="Q6470" s="14">
        <v>110.01</v>
      </c>
      <c r="R6470" s="14">
        <v>111.11</v>
      </c>
      <c r="S6470" s="2" t="s">
        <v>3196</v>
      </c>
      <c r="T6470" s="2">
        <v>1.49</v>
      </c>
      <c r="U6470" s="2">
        <v>62.6</v>
      </c>
      <c r="V6470" s="2">
        <v>63</v>
      </c>
      <c r="W6470" s="2" t="s">
        <v>7862</v>
      </c>
      <c r="X6470" s="2" t="s">
        <v>6687</v>
      </c>
      <c r="Y6470" s="2">
        <v>5757</v>
      </c>
      <c r="Z6470" s="19" t="str">
        <f>HYPERLINK("https://ssdweb.co/ssdweb/hd/Vision360.html?d=926980648&amp;zoomslide=1&amp;z=1926980648&amp;ISCONFIRM=0","VIDEO")</f>
        <v>VIDEO</v>
      </c>
      <c r="AA6470" s="19" t="str">
        <f>HYPERLINK("https://ssdweb.co/ssdweb/CERTH/660440560.pdf","CERTI")</f>
        <v>CERTI</v>
      </c>
    </row>
    <row r="6471" spans="1:27" ht="15" x14ac:dyDescent="0.25">
      <c r="A6471" s="2">
        <v>6466</v>
      </c>
      <c r="B6471" s="39">
        <v>925370454</v>
      </c>
      <c r="C6471" s="28" t="str">
        <f>HYPERLINK("https://pld.live/RapDetail.aspx?STONELIST=925370454","DNA")</f>
        <v>DNA</v>
      </c>
      <c r="D6471" s="18" t="s">
        <v>3054</v>
      </c>
      <c r="E6471" s="18" t="s">
        <v>5128</v>
      </c>
      <c r="F6471" s="2" t="s">
        <v>7987</v>
      </c>
      <c r="G6471" s="2" t="s">
        <v>6781</v>
      </c>
      <c r="H6471" s="14">
        <v>1.01</v>
      </c>
      <c r="I6471" s="2" t="s">
        <v>267</v>
      </c>
      <c r="J6471" s="2" t="s">
        <v>5144</v>
      </c>
      <c r="K6471" s="2" t="s">
        <v>1452</v>
      </c>
      <c r="L6471" s="2" t="s">
        <v>5221</v>
      </c>
      <c r="M6471" s="2" t="s">
        <v>5221</v>
      </c>
      <c r="N6471" s="2" t="s">
        <v>2317</v>
      </c>
      <c r="O6471" s="14">
        <v>5700</v>
      </c>
      <c r="P6471" s="14">
        <v>98.16</v>
      </c>
      <c r="Q6471" s="14">
        <v>104.88</v>
      </c>
      <c r="R6471" s="14">
        <v>105.93</v>
      </c>
      <c r="S6471" s="2" t="s">
        <v>2933</v>
      </c>
      <c r="T6471" s="2">
        <v>1.52</v>
      </c>
      <c r="U6471" s="2">
        <v>58.3</v>
      </c>
      <c r="V6471" s="2">
        <v>63</v>
      </c>
      <c r="W6471" s="2" t="s">
        <v>7862</v>
      </c>
      <c r="X6471" s="2" t="s">
        <v>6687</v>
      </c>
      <c r="Y6471" s="2">
        <v>5757</v>
      </c>
      <c r="Z6471" s="19" t="str">
        <f>HYPERLINK("https://ssdweb.co/ssdweb/hd/Vision360.html?d=925370454&amp;zoomslide=1&amp;z=1925370454&amp;ISCONFIRM=0","VIDEO")</f>
        <v>VIDEO</v>
      </c>
      <c r="AA6471" s="19" t="str">
        <f>HYPERLINK("https://ssdweb.co/ssdweb/CERTH/620403222.pdf","CERTI")</f>
        <v>CERTI</v>
      </c>
    </row>
    <row r="6472" spans="1:27" ht="15" x14ac:dyDescent="0.25">
      <c r="A6472" s="2">
        <v>6467</v>
      </c>
      <c r="B6472" s="39">
        <v>941090621</v>
      </c>
      <c r="C6472" s="28" t="str">
        <f>HYPERLINK("https://pld.live/RapDetail.aspx?STONELIST=941090621","DNA")</f>
        <v>DNA</v>
      </c>
      <c r="D6472" s="18" t="s">
        <v>3054</v>
      </c>
      <c r="E6472" s="18" t="s">
        <v>2186</v>
      </c>
      <c r="F6472" s="2" t="s">
        <v>7987</v>
      </c>
      <c r="G6472" s="2" t="s">
        <v>6781</v>
      </c>
      <c r="H6472" s="14">
        <v>1.01</v>
      </c>
      <c r="I6472" s="2" t="s">
        <v>267</v>
      </c>
      <c r="J6472" s="2" t="s">
        <v>5144</v>
      </c>
      <c r="K6472" s="2" t="s">
        <v>1452</v>
      </c>
      <c r="L6472" s="2" t="s">
        <v>5221</v>
      </c>
      <c r="M6472" s="2" t="s">
        <v>5221</v>
      </c>
      <c r="N6472" s="2" t="s">
        <v>2317</v>
      </c>
      <c r="O6472" s="14">
        <v>5700</v>
      </c>
      <c r="P6472" s="14">
        <v>98.07</v>
      </c>
      <c r="Q6472" s="14">
        <v>110.01</v>
      </c>
      <c r="R6472" s="14">
        <v>111.11</v>
      </c>
      <c r="S6472" s="2" t="s">
        <v>509</v>
      </c>
      <c r="T6472" s="2">
        <v>1.55</v>
      </c>
      <c r="U6472" s="2">
        <v>61.2</v>
      </c>
      <c r="V6472" s="2">
        <v>61</v>
      </c>
      <c r="W6472" s="2" t="s">
        <v>7862</v>
      </c>
      <c r="X6472" s="2" t="s">
        <v>6687</v>
      </c>
      <c r="Y6472" s="2">
        <v>5757</v>
      </c>
      <c r="Z6472" s="19" t="str">
        <f>HYPERLINK("https://ssdweb.co/ssdweb/hd/Vision360.html?d=941090621&amp;zoomslide=1&amp;z=1941090621&amp;ISCONFIRM=0","VIDEO")</f>
        <v>VIDEO</v>
      </c>
      <c r="AA6472" s="19" t="str">
        <f>HYPERLINK("https://ssdweb.co/ssdweb/CERTH/674504113.pdf","CERTI")</f>
        <v>CERTI</v>
      </c>
    </row>
    <row r="6473" spans="1:27" ht="15" x14ac:dyDescent="0.25">
      <c r="A6473" s="2">
        <v>6468</v>
      </c>
      <c r="B6473" s="39">
        <v>926901111</v>
      </c>
      <c r="C6473" s="28" t="str">
        <f>HYPERLINK("https://pld.live/RapDetail.aspx?STONELIST=926901111","DNA")</f>
        <v>DNA</v>
      </c>
      <c r="D6473" s="18" t="s">
        <v>3054</v>
      </c>
      <c r="E6473" s="18" t="s">
        <v>5128</v>
      </c>
      <c r="F6473" s="2" t="s">
        <v>7987</v>
      </c>
      <c r="G6473" s="2" t="s">
        <v>6781</v>
      </c>
      <c r="H6473" s="14">
        <v>1.01</v>
      </c>
      <c r="I6473" s="2" t="s">
        <v>4761</v>
      </c>
      <c r="J6473" s="2" t="s">
        <v>6555</v>
      </c>
      <c r="K6473" s="2" t="s">
        <v>1452</v>
      </c>
      <c r="L6473" s="2" t="s">
        <v>5221</v>
      </c>
      <c r="M6473" s="2" t="s">
        <v>5221</v>
      </c>
      <c r="N6473" s="2" t="s">
        <v>2317</v>
      </c>
      <c r="O6473" s="14">
        <v>7500</v>
      </c>
      <c r="P6473" s="14">
        <v>98.13</v>
      </c>
      <c r="Q6473" s="14">
        <v>140.25</v>
      </c>
      <c r="R6473" s="14">
        <v>141.65</v>
      </c>
      <c r="S6473" s="2" t="s">
        <v>490</v>
      </c>
      <c r="T6473" s="2">
        <v>1.52</v>
      </c>
      <c r="U6473" s="2">
        <v>64.3</v>
      </c>
      <c r="V6473" s="2">
        <v>62</v>
      </c>
      <c r="W6473" s="2" t="s">
        <v>7862</v>
      </c>
      <c r="X6473" s="2" t="s">
        <v>6687</v>
      </c>
      <c r="Y6473" s="2">
        <v>7575</v>
      </c>
      <c r="Z6473" s="19" t="str">
        <f>HYPERLINK("https://ssdweb.co/ssdweb/hd/Vision360.html?d=926901111&amp;zoomslide=1&amp;z=1926901111&amp;ISCONFIRM=0","VIDEO")</f>
        <v>VIDEO</v>
      </c>
      <c r="AA6473" s="19" t="str">
        <f>HYPERLINK("https://ssdweb.co/ssdweb/CERTH/659436958.pdf","CERTI")</f>
        <v>CERTI</v>
      </c>
    </row>
    <row r="6474" spans="1:27" ht="15" x14ac:dyDescent="0.25">
      <c r="A6474" s="2">
        <v>6469</v>
      </c>
      <c r="B6474" s="39">
        <v>941021725</v>
      </c>
      <c r="C6474" s="28" t="str">
        <f>HYPERLINK("https://pld.live/RapDetail.aspx?STONELIST=941021725","DNA")</f>
        <v>DNA</v>
      </c>
      <c r="D6474" s="18" t="s">
        <v>3054</v>
      </c>
      <c r="E6474" s="18" t="s">
        <v>5128</v>
      </c>
      <c r="F6474" s="2" t="s">
        <v>7987</v>
      </c>
      <c r="G6474" s="2" t="s">
        <v>6781</v>
      </c>
      <c r="H6474" s="14">
        <v>1.01</v>
      </c>
      <c r="I6474" s="2" t="s">
        <v>4761</v>
      </c>
      <c r="J6474" s="2" t="s">
        <v>3942</v>
      </c>
      <c r="K6474" s="2" t="s">
        <v>1452</v>
      </c>
      <c r="L6474" s="2" t="s">
        <v>5221</v>
      </c>
      <c r="M6474" s="2" t="s">
        <v>5221</v>
      </c>
      <c r="N6474" s="2" t="s">
        <v>2317</v>
      </c>
      <c r="O6474" s="14">
        <v>6900</v>
      </c>
      <c r="P6474" s="14">
        <v>98.33</v>
      </c>
      <c r="Q6474" s="14">
        <v>115.23</v>
      </c>
      <c r="R6474" s="14">
        <v>116.38</v>
      </c>
      <c r="S6474" s="2" t="s">
        <v>6399</v>
      </c>
      <c r="T6474" s="2">
        <v>1.52</v>
      </c>
      <c r="U6474" s="2">
        <v>63.2</v>
      </c>
      <c r="V6474" s="2">
        <v>61</v>
      </c>
      <c r="W6474" s="2" t="s">
        <v>7862</v>
      </c>
      <c r="X6474" s="2" t="s">
        <v>6687</v>
      </c>
      <c r="Y6474" s="2">
        <v>6969</v>
      </c>
      <c r="Z6474" s="19" t="str">
        <f>HYPERLINK("https://ssdweb.co/ssdweb/hd/Vision360.html?d=941021725&amp;zoomslide=1&amp;z=1941021725&amp;ISCONFIRM=0","VIDEO")</f>
        <v>VIDEO</v>
      </c>
      <c r="AA6474" s="19" t="str">
        <f>HYPERLINK("https://ssdweb.co/ssdweb/CERTH/670445208.pdf","CERTI")</f>
        <v>CERTI</v>
      </c>
    </row>
    <row r="6475" spans="1:27" ht="15" x14ac:dyDescent="0.25">
      <c r="A6475" s="2">
        <v>6470</v>
      </c>
      <c r="B6475" s="39">
        <v>941080804</v>
      </c>
      <c r="C6475" s="28" t="str">
        <f>HYPERLINK("https://pld.live/RapDetail.aspx?STONELIST=941080804","DNA")</f>
        <v>DNA</v>
      </c>
      <c r="D6475" s="18" t="s">
        <v>3054</v>
      </c>
      <c r="E6475" s="18" t="s">
        <v>2186</v>
      </c>
      <c r="F6475" s="2" t="s">
        <v>7987</v>
      </c>
      <c r="G6475" s="2" t="s">
        <v>6781</v>
      </c>
      <c r="H6475" s="14">
        <v>1.01</v>
      </c>
      <c r="I6475" s="2" t="s">
        <v>4761</v>
      </c>
      <c r="J6475" s="2" t="s">
        <v>3942</v>
      </c>
      <c r="K6475" s="2" t="s">
        <v>1452</v>
      </c>
      <c r="L6475" s="2" t="s">
        <v>5221</v>
      </c>
      <c r="M6475" s="2" t="s">
        <v>5221</v>
      </c>
      <c r="N6475" s="2" t="s">
        <v>2317</v>
      </c>
      <c r="O6475" s="14">
        <v>6900</v>
      </c>
      <c r="P6475" s="14">
        <v>98.33</v>
      </c>
      <c r="Q6475" s="14">
        <v>115.23</v>
      </c>
      <c r="R6475" s="14">
        <v>116.38</v>
      </c>
      <c r="S6475" s="2" t="s">
        <v>340</v>
      </c>
      <c r="T6475" s="2">
        <v>1.53</v>
      </c>
      <c r="U6475" s="2">
        <v>61</v>
      </c>
      <c r="V6475" s="2">
        <v>61</v>
      </c>
      <c r="W6475" s="2" t="s">
        <v>7862</v>
      </c>
      <c r="X6475" s="2" t="s">
        <v>6687</v>
      </c>
      <c r="Y6475" s="2">
        <v>6969</v>
      </c>
      <c r="Z6475" s="19" t="str">
        <f>HYPERLINK("https://ssdweb.co/ssdweb/hd/Vision360.html?d=941080804&amp;zoomslide=1&amp;z=1941080804&amp;ISCONFIRM=0","VIDEO")</f>
        <v>VIDEO</v>
      </c>
      <c r="AA6475" s="19" t="str">
        <f>HYPERLINK("https://ssdweb.co/ssdweb/CERTH/674532571.pdf","CERTI")</f>
        <v>CERTI</v>
      </c>
    </row>
    <row r="6476" spans="1:27" ht="15" x14ac:dyDescent="0.25">
      <c r="A6476" s="2">
        <v>6471</v>
      </c>
      <c r="B6476" s="39">
        <v>927132472</v>
      </c>
      <c r="C6476" s="28" t="str">
        <f>HYPERLINK("https://pld.live/RapDetail.aspx?STONELIST=927132472","DNA")</f>
        <v>DNA</v>
      </c>
      <c r="D6476" s="18" t="s">
        <v>3054</v>
      </c>
      <c r="E6476" s="18" t="s">
        <v>5128</v>
      </c>
      <c r="F6476" s="2" t="s">
        <v>7987</v>
      </c>
      <c r="G6476" s="2" t="s">
        <v>6781</v>
      </c>
      <c r="H6476" s="14">
        <v>1.01</v>
      </c>
      <c r="I6476" s="2" t="s">
        <v>4761</v>
      </c>
      <c r="J6476" s="2" t="s">
        <v>3942</v>
      </c>
      <c r="K6476" s="2" t="s">
        <v>1452</v>
      </c>
      <c r="L6476" s="2" t="s">
        <v>5221</v>
      </c>
      <c r="M6476" s="2" t="s">
        <v>5221</v>
      </c>
      <c r="N6476" s="2" t="s">
        <v>2317</v>
      </c>
      <c r="O6476" s="14">
        <v>6900</v>
      </c>
      <c r="P6476" s="14">
        <v>98.33</v>
      </c>
      <c r="Q6476" s="14">
        <v>115.23</v>
      </c>
      <c r="R6476" s="14">
        <v>116.38</v>
      </c>
      <c r="S6476" s="2" t="s">
        <v>6630</v>
      </c>
      <c r="T6476" s="2">
        <v>1.53</v>
      </c>
      <c r="U6476" s="2">
        <v>62.3</v>
      </c>
      <c r="V6476" s="2">
        <v>61</v>
      </c>
      <c r="W6476" s="2" t="s">
        <v>7862</v>
      </c>
      <c r="X6476" s="2" t="s">
        <v>6687</v>
      </c>
      <c r="Y6476" s="2">
        <v>6969</v>
      </c>
      <c r="Z6476" s="19" t="str">
        <f>HYPERLINK("https://ssdweb.co/ssdweb/hd/Vision360.html?d=927132472&amp;zoomslide=1&amp;z=1927132472&amp;ISCONFIRM=0","VIDEO")</f>
        <v>VIDEO</v>
      </c>
      <c r="AA6476" s="19" t="str">
        <f>HYPERLINK("https://ssdweb.co/ssdweb/CERTH/671477250.pdf","CERTI")</f>
        <v>CERTI</v>
      </c>
    </row>
    <row r="6477" spans="1:27" ht="15" x14ac:dyDescent="0.25">
      <c r="A6477" s="2">
        <v>6472</v>
      </c>
      <c r="B6477" s="39">
        <v>941071326</v>
      </c>
      <c r="C6477" s="28" t="str">
        <f>HYPERLINK("https://pld.live/RapDetail.aspx?STONELIST=941071326","DNA")</f>
        <v>DNA</v>
      </c>
      <c r="D6477" s="18" t="s">
        <v>3054</v>
      </c>
      <c r="E6477" s="18" t="s">
        <v>5128</v>
      </c>
      <c r="F6477" s="2" t="s">
        <v>7987</v>
      </c>
      <c r="G6477" s="2" t="s">
        <v>6781</v>
      </c>
      <c r="H6477" s="14">
        <v>1.01</v>
      </c>
      <c r="I6477" s="2" t="s">
        <v>4761</v>
      </c>
      <c r="J6477" s="2" t="s">
        <v>3942</v>
      </c>
      <c r="K6477" s="2" t="s">
        <v>1452</v>
      </c>
      <c r="L6477" s="2" t="s">
        <v>5221</v>
      </c>
      <c r="M6477" s="2" t="s">
        <v>5221</v>
      </c>
      <c r="N6477" s="2" t="s">
        <v>2317</v>
      </c>
      <c r="O6477" s="14">
        <v>6900</v>
      </c>
      <c r="P6477" s="14">
        <v>98.33</v>
      </c>
      <c r="Q6477" s="14">
        <v>115.23</v>
      </c>
      <c r="R6477" s="14">
        <v>116.38</v>
      </c>
      <c r="S6477" s="2" t="s">
        <v>1901</v>
      </c>
      <c r="T6477" s="2">
        <v>1.48</v>
      </c>
      <c r="U6477" s="2">
        <v>64</v>
      </c>
      <c r="V6477" s="2">
        <v>58</v>
      </c>
      <c r="W6477" s="2" t="s">
        <v>7862</v>
      </c>
      <c r="X6477" s="2" t="s">
        <v>6687</v>
      </c>
      <c r="Y6477" s="2">
        <v>6969</v>
      </c>
      <c r="Z6477" s="19" t="str">
        <f>HYPERLINK("https://ssdweb.co/ssdweb/hd/Vision360.html?d=941071326&amp;zoomslide=1&amp;z=1941071326&amp;ISCONFIRM=0","VIDEO")</f>
        <v>VIDEO</v>
      </c>
      <c r="AA6477" s="19" t="str">
        <f>HYPERLINK("https://ssdweb.co/ssdweb/CERTH/674532567.pdf","CERTI")</f>
        <v>CERTI</v>
      </c>
    </row>
    <row r="6478" spans="1:27" ht="15" x14ac:dyDescent="0.25">
      <c r="A6478" s="2">
        <v>6473</v>
      </c>
      <c r="B6478" s="39">
        <v>941100490</v>
      </c>
      <c r="C6478" s="28" t="str">
        <f>HYPERLINK("https://pld.live/RapDetail.aspx?STONELIST=941100490","DNA")</f>
        <v>DNA</v>
      </c>
      <c r="D6478" s="18" t="s">
        <v>3054</v>
      </c>
      <c r="E6478" s="18" t="s">
        <v>2186</v>
      </c>
      <c r="F6478" s="2" t="s">
        <v>7987</v>
      </c>
      <c r="G6478" s="2" t="s">
        <v>6781</v>
      </c>
      <c r="H6478" s="14">
        <v>1.01</v>
      </c>
      <c r="I6478" s="2" t="s">
        <v>4761</v>
      </c>
      <c r="J6478" s="2" t="s">
        <v>3942</v>
      </c>
      <c r="K6478" s="2" t="s">
        <v>1452</v>
      </c>
      <c r="L6478" s="2" t="s">
        <v>5221</v>
      </c>
      <c r="M6478" s="2" t="s">
        <v>5721</v>
      </c>
      <c r="N6478" s="2" t="s">
        <v>2317</v>
      </c>
      <c r="O6478" s="14">
        <v>6900</v>
      </c>
      <c r="P6478" s="14">
        <v>98.36</v>
      </c>
      <c r="Q6478" s="14">
        <v>113.16</v>
      </c>
      <c r="R6478" s="14">
        <v>114.29</v>
      </c>
      <c r="S6478" s="2" t="s">
        <v>5927</v>
      </c>
      <c r="T6478" s="2">
        <v>1.56</v>
      </c>
      <c r="U6478" s="2">
        <v>61.9</v>
      </c>
      <c r="V6478" s="2">
        <v>60</v>
      </c>
      <c r="W6478" s="2" t="s">
        <v>7862</v>
      </c>
      <c r="X6478" s="2" t="s">
        <v>6687</v>
      </c>
      <c r="Y6478" s="2">
        <v>6969</v>
      </c>
      <c r="Z6478" s="19" t="str">
        <f>HYPERLINK("https://ssdweb.co/ssdweb/hd/Vision360.html?d=941100490&amp;zoomslide=1&amp;z=1941100490&amp;ISCONFIRM=0","VIDEO")</f>
        <v>VIDEO</v>
      </c>
      <c r="AA6478" s="19" t="str">
        <f>HYPERLINK("https://ssdweb.co/ssdweb/CERTH/674504078.pdf","CERTI")</f>
        <v>CERTI</v>
      </c>
    </row>
    <row r="6479" spans="1:27" ht="15" x14ac:dyDescent="0.25">
      <c r="A6479" s="2">
        <v>6474</v>
      </c>
      <c r="B6479" s="39">
        <v>941071296</v>
      </c>
      <c r="C6479" s="28" t="str">
        <f>HYPERLINK("https://pld.live/RapDetail.aspx?STONELIST=941071296","DNA")</f>
        <v>DNA</v>
      </c>
      <c r="D6479" s="18" t="s">
        <v>3054</v>
      </c>
      <c r="E6479" s="18" t="s">
        <v>5128</v>
      </c>
      <c r="F6479" s="2" t="s">
        <v>7987</v>
      </c>
      <c r="G6479" s="2" t="s">
        <v>6781</v>
      </c>
      <c r="H6479" s="14">
        <v>1.01</v>
      </c>
      <c r="I6479" s="2" t="s">
        <v>4761</v>
      </c>
      <c r="J6479" s="2" t="s">
        <v>3942</v>
      </c>
      <c r="K6479" s="2" t="s">
        <v>1452</v>
      </c>
      <c r="L6479" s="2" t="s">
        <v>5221</v>
      </c>
      <c r="M6479" s="2" t="s">
        <v>5721</v>
      </c>
      <c r="N6479" s="2" t="s">
        <v>2317</v>
      </c>
      <c r="O6479" s="14">
        <v>6900</v>
      </c>
      <c r="P6479" s="14">
        <v>98.36</v>
      </c>
      <c r="Q6479" s="14">
        <v>113.16</v>
      </c>
      <c r="R6479" s="14">
        <v>114.29</v>
      </c>
      <c r="S6479" s="2" t="s">
        <v>7623</v>
      </c>
      <c r="T6479" s="2">
        <v>1.48</v>
      </c>
      <c r="U6479" s="2">
        <v>63.7</v>
      </c>
      <c r="V6479" s="2">
        <v>60</v>
      </c>
      <c r="W6479" s="2" t="s">
        <v>7862</v>
      </c>
      <c r="X6479" s="2" t="s">
        <v>6687</v>
      </c>
      <c r="Y6479" s="2">
        <v>6969</v>
      </c>
      <c r="Z6479" s="19" t="str">
        <f>HYPERLINK("https://ssdweb.co/ssdweb/hd/Vision360.html?d=941071296&amp;zoomslide=1&amp;z=1941071296&amp;ISCONFIRM=0","VIDEO")</f>
        <v>VIDEO</v>
      </c>
      <c r="AA6479" s="19" t="str">
        <f>HYPERLINK("https://ssdweb.co/ssdweb/CERTH/674504077.pdf","CERTI")</f>
        <v>CERTI</v>
      </c>
    </row>
    <row r="6480" spans="1:27" ht="15" x14ac:dyDescent="0.25">
      <c r="A6480" s="2">
        <v>6475</v>
      </c>
      <c r="B6480" s="39">
        <v>941071302</v>
      </c>
      <c r="C6480" s="28" t="str">
        <f>HYPERLINK("https://pld.live/RapDetail.aspx?STONELIST=941071302","DNA")</f>
        <v>DNA</v>
      </c>
      <c r="D6480" s="18" t="s">
        <v>3054</v>
      </c>
      <c r="E6480" s="18" t="s">
        <v>5128</v>
      </c>
      <c r="F6480" s="2" t="s">
        <v>7987</v>
      </c>
      <c r="G6480" s="2" t="s">
        <v>6781</v>
      </c>
      <c r="H6480" s="14">
        <v>1.01</v>
      </c>
      <c r="I6480" s="2" t="s">
        <v>4761</v>
      </c>
      <c r="J6480" s="2" t="s">
        <v>3942</v>
      </c>
      <c r="K6480" s="2" t="s">
        <v>1452</v>
      </c>
      <c r="L6480" s="2" t="s">
        <v>5221</v>
      </c>
      <c r="M6480" s="2" t="s">
        <v>5721</v>
      </c>
      <c r="N6480" s="2" t="s">
        <v>2317</v>
      </c>
      <c r="O6480" s="14">
        <v>6900</v>
      </c>
      <c r="P6480" s="14">
        <v>98.36</v>
      </c>
      <c r="Q6480" s="14">
        <v>113.16</v>
      </c>
      <c r="R6480" s="14">
        <v>114.29</v>
      </c>
      <c r="S6480" s="2" t="s">
        <v>5067</v>
      </c>
      <c r="T6480" s="2">
        <v>1.48</v>
      </c>
      <c r="U6480" s="2">
        <v>63.8</v>
      </c>
      <c r="V6480" s="2">
        <v>59</v>
      </c>
      <c r="W6480" s="2" t="s">
        <v>7862</v>
      </c>
      <c r="X6480" s="2" t="s">
        <v>6687</v>
      </c>
      <c r="Y6480" s="2">
        <v>6969</v>
      </c>
      <c r="Z6480" s="19" t="str">
        <f>HYPERLINK("https://ssdweb.co/ssdweb/hd/Vision360.html?d=941071302&amp;zoomslide=1&amp;z=1941071302&amp;ISCONFIRM=0","VIDEO")</f>
        <v>VIDEO</v>
      </c>
      <c r="AA6480" s="19" t="str">
        <f>HYPERLINK("https://ssdweb.co/ssdweb/CERTH/674543282.pdf","CERTI")</f>
        <v>CERTI</v>
      </c>
    </row>
    <row r="6481" spans="1:27" ht="15" x14ac:dyDescent="0.25">
      <c r="A6481" s="2">
        <v>6476</v>
      </c>
      <c r="B6481" s="39">
        <v>941100560</v>
      </c>
      <c r="C6481" s="28" t="str">
        <f>HYPERLINK("https://pld.live/RapDetail.aspx?STONELIST=941100560","DNA")</f>
        <v>DNA</v>
      </c>
      <c r="D6481" s="18" t="s">
        <v>3054</v>
      </c>
      <c r="E6481" s="18" t="s">
        <v>2186</v>
      </c>
      <c r="F6481" s="2" t="s">
        <v>7987</v>
      </c>
      <c r="G6481" s="2" t="s">
        <v>6781</v>
      </c>
      <c r="H6481" s="14">
        <v>1.01</v>
      </c>
      <c r="I6481" s="2" t="s">
        <v>4761</v>
      </c>
      <c r="J6481" s="2" t="s">
        <v>13</v>
      </c>
      <c r="K6481" s="2" t="s">
        <v>1452</v>
      </c>
      <c r="L6481" s="2" t="s">
        <v>5221</v>
      </c>
      <c r="M6481" s="2" t="s">
        <v>5221</v>
      </c>
      <c r="N6481" s="2" t="s">
        <v>2317</v>
      </c>
      <c r="O6481" s="14">
        <v>6200</v>
      </c>
      <c r="P6481" s="14">
        <v>98.23</v>
      </c>
      <c r="Q6481" s="14">
        <v>109.74</v>
      </c>
      <c r="R6481" s="14">
        <v>110.84</v>
      </c>
      <c r="S6481" s="2" t="s">
        <v>346</v>
      </c>
      <c r="T6481" s="2">
        <v>1.48</v>
      </c>
      <c r="U6481" s="2">
        <v>63.5</v>
      </c>
      <c r="V6481" s="2">
        <v>65</v>
      </c>
      <c r="W6481" s="2" t="s">
        <v>7862</v>
      </c>
      <c r="X6481" s="2" t="s">
        <v>6687</v>
      </c>
      <c r="Y6481" s="2">
        <v>6262</v>
      </c>
      <c r="Z6481" s="19" t="str">
        <f>HYPERLINK("https://ssdweb.co/ssdweb/hd/Vision360.html?d=941100560&amp;zoomslide=1&amp;z=1941100560&amp;ISCONFIRM=0","VIDEO")</f>
        <v>VIDEO</v>
      </c>
      <c r="AA6481" s="19" t="str">
        <f>HYPERLINK("https://ssdweb.co/ssdweb/CERTH/674543279.pdf","CERTI")</f>
        <v>CERTI</v>
      </c>
    </row>
    <row r="6482" spans="1:27" ht="15" x14ac:dyDescent="0.25">
      <c r="A6482" s="2">
        <v>6477</v>
      </c>
      <c r="B6482" s="39">
        <v>941090384</v>
      </c>
      <c r="C6482" s="28" t="str">
        <f>HYPERLINK("https://pld.live/RapDetail.aspx?STONELIST=941090384","DNA")</f>
        <v>DNA</v>
      </c>
      <c r="D6482" s="18" t="s">
        <v>3054</v>
      </c>
      <c r="E6482" s="18" t="s">
        <v>2186</v>
      </c>
      <c r="F6482" s="2" t="s">
        <v>7987</v>
      </c>
      <c r="G6482" s="2" t="s">
        <v>6781</v>
      </c>
      <c r="H6482" s="14">
        <v>1.01</v>
      </c>
      <c r="I6482" s="2" t="s">
        <v>4761</v>
      </c>
      <c r="J6482" s="2" t="s">
        <v>5144</v>
      </c>
      <c r="K6482" s="2" t="s">
        <v>1452</v>
      </c>
      <c r="L6482" s="2" t="s">
        <v>5221</v>
      </c>
      <c r="M6482" s="2" t="s">
        <v>5221</v>
      </c>
      <c r="N6482" s="2" t="s">
        <v>2317</v>
      </c>
      <c r="O6482" s="14">
        <v>5400</v>
      </c>
      <c r="P6482" s="14">
        <v>98</v>
      </c>
      <c r="Q6482" s="14">
        <v>108</v>
      </c>
      <c r="R6482" s="14">
        <v>109.08</v>
      </c>
      <c r="S6482" s="2" t="s">
        <v>5108</v>
      </c>
      <c r="T6482" s="2">
        <v>1.62</v>
      </c>
      <c r="U6482" s="2">
        <v>59.2</v>
      </c>
      <c r="V6482" s="2">
        <v>62</v>
      </c>
      <c r="W6482" s="2" t="s">
        <v>7862</v>
      </c>
      <c r="X6482" s="2" t="s">
        <v>6687</v>
      </c>
      <c r="Y6482" s="2">
        <v>5454</v>
      </c>
      <c r="Z6482" s="19" t="str">
        <f>HYPERLINK("https://ssdweb.co/ssdweb/hd/Vision360.html?d=941090384&amp;zoomslide=1&amp;z=1941090384&amp;ISCONFIRM=0","VIDEO")</f>
        <v>VIDEO</v>
      </c>
      <c r="AA6482" s="19" t="str">
        <f>HYPERLINK("https://ssdweb.co/ssdweb/CERTH/671477231.pdf","CERTI")</f>
        <v>CERTI</v>
      </c>
    </row>
    <row r="6483" spans="1:27" ht="15" x14ac:dyDescent="0.25">
      <c r="A6483" s="2">
        <v>6478</v>
      </c>
      <c r="B6483" s="39">
        <v>927140377</v>
      </c>
      <c r="C6483" s="28" t="str">
        <f>HYPERLINK("https://pld.live/RapDetail.aspx?STONELIST=927140377","DNA")</f>
        <v>DNA</v>
      </c>
      <c r="D6483" s="18" t="s">
        <v>3054</v>
      </c>
      <c r="E6483" s="18" t="s">
        <v>2186</v>
      </c>
      <c r="F6483" s="2" t="s">
        <v>7987</v>
      </c>
      <c r="G6483" s="2" t="s">
        <v>6781</v>
      </c>
      <c r="H6483" s="14">
        <v>1.01</v>
      </c>
      <c r="I6483" s="2" t="s">
        <v>4761</v>
      </c>
      <c r="J6483" s="2" t="s">
        <v>5144</v>
      </c>
      <c r="K6483" s="2" t="s">
        <v>1452</v>
      </c>
      <c r="L6483" s="2" t="s">
        <v>5221</v>
      </c>
      <c r="M6483" s="2" t="s">
        <v>5221</v>
      </c>
      <c r="N6483" s="2" t="s">
        <v>2317</v>
      </c>
      <c r="O6483" s="14">
        <v>5400</v>
      </c>
      <c r="P6483" s="14">
        <v>98</v>
      </c>
      <c r="Q6483" s="14">
        <v>108</v>
      </c>
      <c r="R6483" s="14">
        <v>109.08</v>
      </c>
      <c r="S6483" s="2" t="s">
        <v>8003</v>
      </c>
      <c r="T6483" s="2">
        <v>1.54</v>
      </c>
      <c r="U6483" s="2">
        <v>63.1</v>
      </c>
      <c r="V6483" s="2">
        <v>63</v>
      </c>
      <c r="W6483" s="2" t="s">
        <v>7862</v>
      </c>
      <c r="X6483" s="2" t="s">
        <v>6687</v>
      </c>
      <c r="Y6483" s="2">
        <v>5454</v>
      </c>
      <c r="Z6483" s="19" t="str">
        <f>HYPERLINK("https://ssdweb.co/ssdweb/hd/Vision360.html?d=927140377&amp;zoomslide=1&amp;z=1927140377&amp;ISCONFIRM=0","VIDEO")</f>
        <v>VIDEO</v>
      </c>
      <c r="AA6483" s="19" t="str">
        <f>HYPERLINK("https://ssdweb.co/ssdweb/CERTH/670445205.pdf","CERTI")</f>
        <v>CERTI</v>
      </c>
    </row>
    <row r="6484" spans="1:27" ht="15" x14ac:dyDescent="0.25">
      <c r="A6484" s="2">
        <v>6479</v>
      </c>
      <c r="B6484" s="39">
        <v>926291387</v>
      </c>
      <c r="C6484" s="28" t="str">
        <f>HYPERLINK("https://pld.live/RapDetail.aspx?STONELIST=926291387","DNA")</f>
        <v>DNA</v>
      </c>
      <c r="D6484" s="18" t="s">
        <v>3054</v>
      </c>
      <c r="E6484" s="18" t="s">
        <v>5128</v>
      </c>
      <c r="F6484" s="2" t="s">
        <v>7987</v>
      </c>
      <c r="G6484" s="2" t="s">
        <v>6781</v>
      </c>
      <c r="H6484" s="14">
        <v>1.01</v>
      </c>
      <c r="I6484" s="2" t="s">
        <v>4699</v>
      </c>
      <c r="J6484" s="2" t="s">
        <v>6555</v>
      </c>
      <c r="K6484" s="2" t="s">
        <v>1452</v>
      </c>
      <c r="L6484" s="2" t="s">
        <v>5221</v>
      </c>
      <c r="M6484" s="2" t="s">
        <v>5221</v>
      </c>
      <c r="N6484" s="2" t="s">
        <v>2317</v>
      </c>
      <c r="O6484" s="14">
        <v>6800</v>
      </c>
      <c r="P6484" s="14">
        <v>98.04</v>
      </c>
      <c r="Q6484" s="14">
        <v>133.28</v>
      </c>
      <c r="R6484" s="14">
        <v>134.61000000000001</v>
      </c>
      <c r="S6484" s="2" t="s">
        <v>4407</v>
      </c>
      <c r="T6484" s="2">
        <v>1.51</v>
      </c>
      <c r="U6484" s="2">
        <v>59.5</v>
      </c>
      <c r="V6484" s="2">
        <v>63</v>
      </c>
      <c r="W6484" s="2" t="s">
        <v>7862</v>
      </c>
      <c r="X6484" s="2" t="s">
        <v>6687</v>
      </c>
      <c r="Y6484" s="2">
        <v>6868</v>
      </c>
      <c r="Z6484" s="19" t="str">
        <f>HYPERLINK("https://ssdweb.co/ssdweb/hd/Vision360.html?d=926291387&amp;zoomslide=1&amp;z=1926291387&amp;ISCONFIRM=0","VIDEO")</f>
        <v>VIDEO</v>
      </c>
      <c r="AA6484" s="19" t="str">
        <f>HYPERLINK("https://ssdweb.co/ssdweb/CERTH/639406121.pdf","CERTI")</f>
        <v>CERTI</v>
      </c>
    </row>
    <row r="6485" spans="1:27" ht="15" x14ac:dyDescent="0.25">
      <c r="A6485" s="2">
        <v>6480</v>
      </c>
      <c r="B6485" s="39">
        <v>926972096</v>
      </c>
      <c r="C6485" s="28" t="str">
        <f>HYPERLINK("https://pld.live/RapDetail.aspx?STONELIST=926972096","DNA")</f>
        <v>DNA</v>
      </c>
      <c r="D6485" s="18" t="s">
        <v>3054</v>
      </c>
      <c r="E6485" s="18" t="s">
        <v>5128</v>
      </c>
      <c r="F6485" s="2" t="s">
        <v>7987</v>
      </c>
      <c r="G6485" s="2" t="s">
        <v>6781</v>
      </c>
      <c r="H6485" s="14">
        <v>1.01</v>
      </c>
      <c r="I6485" s="2" t="s">
        <v>4699</v>
      </c>
      <c r="J6485" s="2" t="s">
        <v>13</v>
      </c>
      <c r="K6485" s="2" t="s">
        <v>1452</v>
      </c>
      <c r="L6485" s="2" t="s">
        <v>5221</v>
      </c>
      <c r="M6485" s="2" t="s">
        <v>5221</v>
      </c>
      <c r="N6485" s="2" t="s">
        <v>2317</v>
      </c>
      <c r="O6485" s="14">
        <v>5800</v>
      </c>
      <c r="P6485" s="14">
        <v>98.14</v>
      </c>
      <c r="Q6485" s="14">
        <v>107.88</v>
      </c>
      <c r="R6485" s="14">
        <v>108.96</v>
      </c>
      <c r="S6485" s="2" t="s">
        <v>125</v>
      </c>
      <c r="T6485" s="2">
        <v>1.51</v>
      </c>
      <c r="U6485" s="2">
        <v>64.2</v>
      </c>
      <c r="V6485" s="2">
        <v>61</v>
      </c>
      <c r="W6485" s="2" t="s">
        <v>7862</v>
      </c>
      <c r="X6485" s="2" t="s">
        <v>6687</v>
      </c>
      <c r="Y6485" s="2">
        <v>5858</v>
      </c>
      <c r="Z6485" s="19" t="str">
        <f>HYPERLINK("https://ssdweb.co/ssdweb/hd/Vision360.html?d=926972096&amp;zoomslide=1&amp;z=1926972096&amp;ISCONFIRM=0","VIDEO")</f>
        <v>VIDEO</v>
      </c>
      <c r="AA6485" s="19" t="str">
        <f>HYPERLINK("https://ssdweb.co/ssdweb/CERTH/674504086.pdf","CERTI")</f>
        <v>CERTI</v>
      </c>
    </row>
    <row r="6486" spans="1:27" ht="15" x14ac:dyDescent="0.25">
      <c r="A6486" s="2">
        <v>6481</v>
      </c>
      <c r="B6486" s="39">
        <v>831020467</v>
      </c>
      <c r="C6486" s="28" t="str">
        <f>HYPERLINK("https://pld.live/RapDetail.aspx?STONELIST=831020467","DNA")</f>
        <v>DNA</v>
      </c>
      <c r="D6486" s="18" t="s">
        <v>3054</v>
      </c>
      <c r="E6486" s="18" t="s">
        <v>2186</v>
      </c>
      <c r="F6486" s="2" t="s">
        <v>7987</v>
      </c>
      <c r="G6486" s="2" t="s">
        <v>6781</v>
      </c>
      <c r="H6486" s="14">
        <v>1.01</v>
      </c>
      <c r="I6486" s="2" t="s">
        <v>1505</v>
      </c>
      <c r="J6486" s="2" t="s">
        <v>3942</v>
      </c>
      <c r="K6486" s="2" t="s">
        <v>1452</v>
      </c>
      <c r="L6486" s="2" t="s">
        <v>5221</v>
      </c>
      <c r="M6486" s="2" t="s">
        <v>5221</v>
      </c>
      <c r="N6486" s="2" t="s">
        <v>2317</v>
      </c>
      <c r="O6486" s="14">
        <v>4900</v>
      </c>
      <c r="P6486" s="14">
        <v>97.96</v>
      </c>
      <c r="Q6486" s="14">
        <v>99.96</v>
      </c>
      <c r="R6486" s="14">
        <v>100.96</v>
      </c>
      <c r="S6486" s="2" t="s">
        <v>1803</v>
      </c>
      <c r="T6486" s="2">
        <v>1.48</v>
      </c>
      <c r="U6486" s="2">
        <v>64.3</v>
      </c>
      <c r="V6486" s="2">
        <v>58</v>
      </c>
      <c r="W6486" s="2" t="s">
        <v>7862</v>
      </c>
      <c r="X6486" s="2" t="s">
        <v>6687</v>
      </c>
      <c r="Y6486" s="2">
        <v>4949</v>
      </c>
      <c r="Z6486" s="19" t="str">
        <f>HYPERLINK("https://ssdweb.co/ssdweb/hd/Vision360.html?d=831020467&amp;zoomslide=1&amp;z=1831020467&amp;ISCONFIRM=0","VIDEO")</f>
        <v>VIDEO</v>
      </c>
      <c r="AA6486" s="19" t="str">
        <f>HYPERLINK("https://ssdweb.co/ssdweb/CERTH/569323855.pdf","CERTI")</f>
        <v>CERTI</v>
      </c>
    </row>
    <row r="6487" spans="1:27" ht="15" x14ac:dyDescent="0.25">
      <c r="A6487" s="2">
        <v>6482</v>
      </c>
      <c r="B6487" s="39">
        <v>821115927</v>
      </c>
      <c r="C6487" s="28" t="str">
        <f>HYPERLINK("https://pld.live/RapDetail.aspx?STONELIST=821115927","DNA")</f>
        <v>DNA</v>
      </c>
      <c r="D6487" s="18" t="s">
        <v>3054</v>
      </c>
      <c r="E6487" s="18" t="s">
        <v>2186</v>
      </c>
      <c r="F6487" s="2" t="s">
        <v>7987</v>
      </c>
      <c r="G6487" s="2" t="s">
        <v>6781</v>
      </c>
      <c r="H6487" s="14">
        <v>1</v>
      </c>
      <c r="I6487" s="2" t="s">
        <v>267</v>
      </c>
      <c r="J6487" s="2" t="s">
        <v>3942</v>
      </c>
      <c r="K6487" s="2" t="s">
        <v>1452</v>
      </c>
      <c r="L6487" s="2" t="s">
        <v>5221</v>
      </c>
      <c r="M6487" s="2" t="s">
        <v>5221</v>
      </c>
      <c r="N6487" s="2" t="s">
        <v>2317</v>
      </c>
      <c r="O6487" s="14">
        <v>7600</v>
      </c>
      <c r="P6487" s="14">
        <v>98.49</v>
      </c>
      <c r="Q6487" s="14">
        <v>114.76</v>
      </c>
      <c r="R6487" s="14">
        <v>114.76</v>
      </c>
      <c r="S6487" s="2" t="s">
        <v>2041</v>
      </c>
      <c r="T6487" s="2">
        <v>1.53</v>
      </c>
      <c r="U6487" s="2">
        <v>59.7</v>
      </c>
      <c r="V6487" s="2">
        <v>61</v>
      </c>
      <c r="W6487" s="2" t="s">
        <v>7862</v>
      </c>
      <c r="X6487" s="2" t="s">
        <v>6687</v>
      </c>
      <c r="Y6487" s="2">
        <v>7600</v>
      </c>
      <c r="Z6487" s="19" t="str">
        <f>HYPERLINK("https://ssdweb.co/ssdweb/hd/Vision360.html?d=821115927&amp;zoomslide=1&amp;z=1821115927&amp;ISCONFIRM=0","VIDEO")</f>
        <v>VIDEO</v>
      </c>
      <c r="AA6487" s="19" t="str">
        <f>HYPERLINK("https://ssdweb.co/ssdweb/CERTH/627453919.pdf","CERTI")</f>
        <v>CERTI</v>
      </c>
    </row>
    <row r="6488" spans="1:27" ht="15" x14ac:dyDescent="0.25">
      <c r="A6488" s="2">
        <v>6483</v>
      </c>
      <c r="B6488" s="39">
        <v>821115930</v>
      </c>
      <c r="C6488" s="28" t="str">
        <f>HYPERLINK("https://pld.live/RapDetail.aspx?STONELIST=821115930","DNA")</f>
        <v>DNA</v>
      </c>
      <c r="D6488" s="18" t="s">
        <v>3054</v>
      </c>
      <c r="E6488" s="18" t="s">
        <v>2186</v>
      </c>
      <c r="F6488" s="2" t="s">
        <v>7987</v>
      </c>
      <c r="G6488" s="2" t="s">
        <v>6781</v>
      </c>
      <c r="H6488" s="14">
        <v>1</v>
      </c>
      <c r="I6488" s="2" t="s">
        <v>267</v>
      </c>
      <c r="J6488" s="2" t="s">
        <v>3942</v>
      </c>
      <c r="K6488" s="2" t="s">
        <v>1452</v>
      </c>
      <c r="L6488" s="2" t="s">
        <v>5221</v>
      </c>
      <c r="M6488" s="2" t="s">
        <v>5221</v>
      </c>
      <c r="N6488" s="2" t="s">
        <v>2317</v>
      </c>
      <c r="O6488" s="14">
        <v>7600</v>
      </c>
      <c r="P6488" s="14">
        <v>98.42</v>
      </c>
      <c r="Q6488" s="14">
        <v>120.08</v>
      </c>
      <c r="R6488" s="14">
        <v>120.08</v>
      </c>
      <c r="S6488" s="2" t="s">
        <v>6210</v>
      </c>
      <c r="T6488" s="2">
        <v>1.55</v>
      </c>
      <c r="U6488" s="2">
        <v>62.7</v>
      </c>
      <c r="V6488" s="2">
        <v>61</v>
      </c>
      <c r="W6488" s="2" t="s">
        <v>7862</v>
      </c>
      <c r="X6488" s="2" t="s">
        <v>6687</v>
      </c>
      <c r="Y6488" s="2">
        <v>7600</v>
      </c>
      <c r="Z6488" s="19" t="str">
        <f>HYPERLINK("https://ssdweb.co/ssdweb/hd/Vision360.html?d=821115930&amp;zoomslide=1&amp;z=1821115930&amp;ISCONFIRM=0","VIDEO")</f>
        <v>VIDEO</v>
      </c>
      <c r="AA6488" s="19" t="str">
        <f>HYPERLINK("https://ssdweb.co/ssdweb/CERTH/667408278.pdf","CERTI")</f>
        <v>CERTI</v>
      </c>
    </row>
    <row r="6489" spans="1:27" ht="15" x14ac:dyDescent="0.25">
      <c r="A6489" s="2">
        <v>6484</v>
      </c>
      <c r="B6489" s="39">
        <v>821128386</v>
      </c>
      <c r="C6489" s="28" t="str">
        <f>HYPERLINK("https://pld.live/RapDetail.aspx?STONELIST=821128386","DNA")</f>
        <v>DNA</v>
      </c>
      <c r="D6489" s="18" t="s">
        <v>3054</v>
      </c>
      <c r="E6489" s="18" t="s">
        <v>5128</v>
      </c>
      <c r="F6489" s="2" t="s">
        <v>7987</v>
      </c>
      <c r="G6489" s="2" t="s">
        <v>6781</v>
      </c>
      <c r="H6489" s="14">
        <v>1</v>
      </c>
      <c r="I6489" s="2" t="s">
        <v>267</v>
      </c>
      <c r="J6489" s="2" t="s">
        <v>3942</v>
      </c>
      <c r="K6489" s="2" t="s">
        <v>1452</v>
      </c>
      <c r="L6489" s="2" t="s">
        <v>5221</v>
      </c>
      <c r="M6489" s="2" t="s">
        <v>5221</v>
      </c>
      <c r="N6489" s="2" t="s">
        <v>2317</v>
      </c>
      <c r="O6489" s="14">
        <v>7600</v>
      </c>
      <c r="P6489" s="14">
        <v>98.49</v>
      </c>
      <c r="Q6489" s="14">
        <v>114.76</v>
      </c>
      <c r="R6489" s="14">
        <v>114.76</v>
      </c>
      <c r="S6489" s="2" t="s">
        <v>7711</v>
      </c>
      <c r="T6489" s="2">
        <v>1.55</v>
      </c>
      <c r="U6489" s="2">
        <v>61.6</v>
      </c>
      <c r="V6489" s="2">
        <v>62</v>
      </c>
      <c r="W6489" s="2" t="s">
        <v>7862</v>
      </c>
      <c r="X6489" s="2" t="s">
        <v>6687</v>
      </c>
      <c r="Y6489" s="2">
        <v>7600</v>
      </c>
      <c r="Z6489" s="19" t="str">
        <f>HYPERLINK("https://ssdweb.co/ssdweb/hd/Vision360.html?d=821128386&amp;zoomslide=1&amp;z=1821128386&amp;ISCONFIRM=0","VIDEO")</f>
        <v>VIDEO</v>
      </c>
      <c r="AA6489" s="19" t="str">
        <f>HYPERLINK("https://ssdweb.co/ssdweb/CERTH/627454313.pdf","CERTI")</f>
        <v>CERTI</v>
      </c>
    </row>
    <row r="6490" spans="1:27" ht="15" x14ac:dyDescent="0.25">
      <c r="A6490" s="2">
        <v>6485</v>
      </c>
      <c r="B6490" s="39">
        <v>941100649</v>
      </c>
      <c r="C6490" s="28" t="str">
        <f>HYPERLINK("https://pld.live/RapDetail.aspx?STONELIST=941100649","DNA")</f>
        <v>DNA</v>
      </c>
      <c r="D6490" s="18" t="s">
        <v>3054</v>
      </c>
      <c r="E6490" s="18" t="s">
        <v>2186</v>
      </c>
      <c r="F6490" s="2" t="s">
        <v>7987</v>
      </c>
      <c r="G6490" s="2" t="s">
        <v>6781</v>
      </c>
      <c r="H6490" s="14">
        <v>1</v>
      </c>
      <c r="I6490" s="2" t="s">
        <v>267</v>
      </c>
      <c r="J6490" s="2" t="s">
        <v>3942</v>
      </c>
      <c r="K6490" s="2" t="s">
        <v>1452</v>
      </c>
      <c r="L6490" s="2" t="s">
        <v>5221</v>
      </c>
      <c r="M6490" s="2" t="s">
        <v>5221</v>
      </c>
      <c r="N6490" s="2" t="s">
        <v>2317</v>
      </c>
      <c r="O6490" s="14">
        <v>7600</v>
      </c>
      <c r="P6490" s="14">
        <v>98.42</v>
      </c>
      <c r="Q6490" s="14">
        <v>120.08</v>
      </c>
      <c r="R6490" s="14">
        <v>120.08</v>
      </c>
      <c r="S6490" s="2" t="s">
        <v>3433</v>
      </c>
      <c r="T6490" s="2">
        <v>1.51</v>
      </c>
      <c r="U6490" s="2">
        <v>61.1</v>
      </c>
      <c r="V6490" s="2">
        <v>64</v>
      </c>
      <c r="W6490" s="2" t="s">
        <v>7862</v>
      </c>
      <c r="X6490" s="2" t="s">
        <v>6687</v>
      </c>
      <c r="Y6490" s="2">
        <v>7600</v>
      </c>
      <c r="Z6490" s="19" t="str">
        <f>HYPERLINK("https://ssdweb.co/ssdweb/hd/Vision360.html?d=941100649&amp;zoomslide=1&amp;z=1941100649&amp;ISCONFIRM=0","VIDEO")</f>
        <v>VIDEO</v>
      </c>
      <c r="AA6490" s="19" t="str">
        <f>HYPERLINK("https://ssdweb.co/ssdweb/CERTH/674532601.pdf","CERTI")</f>
        <v>CERTI</v>
      </c>
    </row>
    <row r="6491" spans="1:27" ht="15" x14ac:dyDescent="0.25">
      <c r="A6491" s="2">
        <v>6486</v>
      </c>
      <c r="B6491" s="39">
        <v>927152892</v>
      </c>
      <c r="C6491" s="28" t="str">
        <f>HYPERLINK("https://pld.live/RapDetail.aspx?STONELIST=927152892","DNA")</f>
        <v>DNA</v>
      </c>
      <c r="D6491" s="18" t="s">
        <v>3054</v>
      </c>
      <c r="E6491" s="18" t="s">
        <v>5128</v>
      </c>
      <c r="F6491" s="2" t="s">
        <v>7987</v>
      </c>
      <c r="G6491" s="2" t="s">
        <v>6781</v>
      </c>
      <c r="H6491" s="14">
        <v>1</v>
      </c>
      <c r="I6491" s="2" t="s">
        <v>267</v>
      </c>
      <c r="J6491" s="2" t="s">
        <v>3942</v>
      </c>
      <c r="K6491" s="2" t="s">
        <v>1452</v>
      </c>
      <c r="L6491" s="2" t="s">
        <v>5221</v>
      </c>
      <c r="M6491" s="2" t="s">
        <v>5221</v>
      </c>
      <c r="N6491" s="2" t="s">
        <v>2317</v>
      </c>
      <c r="O6491" s="14">
        <v>7600</v>
      </c>
      <c r="P6491" s="14">
        <v>98.42</v>
      </c>
      <c r="Q6491" s="14">
        <v>120.08</v>
      </c>
      <c r="R6491" s="14">
        <v>120.08</v>
      </c>
      <c r="S6491" s="2" t="s">
        <v>1393</v>
      </c>
      <c r="T6491" s="2">
        <v>1.48</v>
      </c>
      <c r="U6491" s="2">
        <v>62.8</v>
      </c>
      <c r="V6491" s="2">
        <v>66</v>
      </c>
      <c r="W6491" s="2" t="s">
        <v>7862</v>
      </c>
      <c r="X6491" s="2" t="s">
        <v>6687</v>
      </c>
      <c r="Y6491" s="2">
        <v>7600</v>
      </c>
      <c r="Z6491" s="19" t="str">
        <f>HYPERLINK("https://ssdweb.co/ssdweb/hd/Vision360.html?d=927152892&amp;zoomslide=1&amp;z=1927152892&amp;ISCONFIRM=0","VIDEO")</f>
        <v>VIDEO</v>
      </c>
      <c r="AA6491" s="19" t="str">
        <f>HYPERLINK("https://ssdweb.co/ssdweb/CERTH/674504073.pdf","CERTI")</f>
        <v>CERTI</v>
      </c>
    </row>
    <row r="6492" spans="1:27" ht="15" x14ac:dyDescent="0.25">
      <c r="A6492" s="2">
        <v>6487</v>
      </c>
      <c r="B6492" s="39">
        <v>941071309</v>
      </c>
      <c r="C6492" s="28" t="str">
        <f>HYPERLINK("https://pld.live/RapDetail.aspx?STONELIST=941071309","DNA")</f>
        <v>DNA</v>
      </c>
      <c r="D6492" s="18" t="s">
        <v>3054</v>
      </c>
      <c r="E6492" s="18" t="s">
        <v>5128</v>
      </c>
      <c r="F6492" s="2" t="s">
        <v>7987</v>
      </c>
      <c r="G6492" s="2" t="s">
        <v>6781</v>
      </c>
      <c r="H6492" s="14">
        <v>1</v>
      </c>
      <c r="I6492" s="2" t="s">
        <v>267</v>
      </c>
      <c r="J6492" s="2" t="s">
        <v>3942</v>
      </c>
      <c r="K6492" s="2" t="s">
        <v>1452</v>
      </c>
      <c r="L6492" s="2" t="s">
        <v>5221</v>
      </c>
      <c r="M6492" s="2" t="s">
        <v>5221</v>
      </c>
      <c r="N6492" s="2" t="s">
        <v>2317</v>
      </c>
      <c r="O6492" s="14">
        <v>7600</v>
      </c>
      <c r="P6492" s="14">
        <v>98.42</v>
      </c>
      <c r="Q6492" s="14">
        <v>120.08</v>
      </c>
      <c r="R6492" s="14">
        <v>120.08</v>
      </c>
      <c r="S6492" s="2" t="s">
        <v>5410</v>
      </c>
      <c r="T6492" s="2">
        <v>1.49</v>
      </c>
      <c r="U6492" s="2">
        <v>64.599999999999994</v>
      </c>
      <c r="V6492" s="2">
        <v>59</v>
      </c>
      <c r="W6492" s="2" t="s">
        <v>7862</v>
      </c>
      <c r="X6492" s="2" t="s">
        <v>6687</v>
      </c>
      <c r="Y6492" s="2">
        <v>7600</v>
      </c>
      <c r="Z6492" s="19" t="str">
        <f>HYPERLINK("https://ssdweb.co/ssdweb/hd/Vision360.html?d=941071309&amp;zoomslide=1&amp;z=1941071309&amp;ISCONFIRM=0","VIDEO")</f>
        <v>VIDEO</v>
      </c>
      <c r="AA6492" s="19" t="str">
        <f>HYPERLINK("https://ssdweb.co/ssdweb/CERTH/674543287.pdf","CERTI")</f>
        <v>CERTI</v>
      </c>
    </row>
    <row r="6493" spans="1:27" ht="15" x14ac:dyDescent="0.25">
      <c r="A6493" s="2">
        <v>6488</v>
      </c>
      <c r="B6493" s="39">
        <v>941071310</v>
      </c>
      <c r="C6493" s="28" t="str">
        <f>HYPERLINK("https://pld.live/RapDetail.aspx?STONELIST=941071310","DNA")</f>
        <v>DNA</v>
      </c>
      <c r="D6493" s="18" t="s">
        <v>3054</v>
      </c>
      <c r="E6493" s="18" t="s">
        <v>5128</v>
      </c>
      <c r="F6493" s="2" t="s">
        <v>7987</v>
      </c>
      <c r="G6493" s="2" t="s">
        <v>6781</v>
      </c>
      <c r="H6493" s="14">
        <v>1</v>
      </c>
      <c r="I6493" s="2" t="s">
        <v>267</v>
      </c>
      <c r="J6493" s="2" t="s">
        <v>3942</v>
      </c>
      <c r="K6493" s="2" t="s">
        <v>1452</v>
      </c>
      <c r="L6493" s="2" t="s">
        <v>5221</v>
      </c>
      <c r="M6493" s="2" t="s">
        <v>5221</v>
      </c>
      <c r="N6493" s="2" t="s">
        <v>2317</v>
      </c>
      <c r="O6493" s="14">
        <v>7600</v>
      </c>
      <c r="P6493" s="14">
        <v>98.42</v>
      </c>
      <c r="Q6493" s="14">
        <v>120.08</v>
      </c>
      <c r="R6493" s="14">
        <v>120.08</v>
      </c>
      <c r="S6493" s="2" t="s">
        <v>5503</v>
      </c>
      <c r="T6493" s="2">
        <v>1.53</v>
      </c>
      <c r="U6493" s="2">
        <v>61.8</v>
      </c>
      <c r="V6493" s="2">
        <v>61</v>
      </c>
      <c r="W6493" s="2" t="s">
        <v>7862</v>
      </c>
      <c r="X6493" s="2" t="s">
        <v>6687</v>
      </c>
      <c r="Y6493" s="2">
        <v>7600</v>
      </c>
      <c r="Z6493" s="19" t="str">
        <f>HYPERLINK("https://ssdweb.co/ssdweb/hd/Vision360.html?d=941071310&amp;zoomslide=1&amp;z=1941071310&amp;ISCONFIRM=0","VIDEO")</f>
        <v>VIDEO</v>
      </c>
      <c r="AA6493" s="19" t="str">
        <f>HYPERLINK("https://ssdweb.co/ssdweb/CERTH/674543277.pdf","CERTI")</f>
        <v>CERTI</v>
      </c>
    </row>
    <row r="6494" spans="1:27" ht="15" x14ac:dyDescent="0.25">
      <c r="A6494" s="2">
        <v>6489</v>
      </c>
      <c r="B6494" s="39">
        <v>941071331</v>
      </c>
      <c r="C6494" s="28" t="str">
        <f>HYPERLINK("https://pld.live/RapDetail.aspx?STONELIST=941071331","DNA")</f>
        <v>DNA</v>
      </c>
      <c r="D6494" s="18" t="s">
        <v>3054</v>
      </c>
      <c r="E6494" s="18" t="s">
        <v>5128</v>
      </c>
      <c r="F6494" s="2" t="s">
        <v>7987</v>
      </c>
      <c r="G6494" s="2" t="s">
        <v>6781</v>
      </c>
      <c r="H6494" s="14">
        <v>1</v>
      </c>
      <c r="I6494" s="2" t="s">
        <v>267</v>
      </c>
      <c r="J6494" s="2" t="s">
        <v>3942</v>
      </c>
      <c r="K6494" s="2" t="s">
        <v>1452</v>
      </c>
      <c r="L6494" s="2" t="s">
        <v>5221</v>
      </c>
      <c r="M6494" s="2" t="s">
        <v>5221</v>
      </c>
      <c r="N6494" s="2" t="s">
        <v>2317</v>
      </c>
      <c r="O6494" s="14">
        <v>7600</v>
      </c>
      <c r="P6494" s="14">
        <v>98.42</v>
      </c>
      <c r="Q6494" s="14">
        <v>120.08</v>
      </c>
      <c r="R6494" s="14">
        <v>120.08</v>
      </c>
      <c r="S6494" s="2" t="s">
        <v>567</v>
      </c>
      <c r="T6494" s="2">
        <v>1.5</v>
      </c>
      <c r="U6494" s="2">
        <v>65.5</v>
      </c>
      <c r="V6494" s="2">
        <v>62</v>
      </c>
      <c r="W6494" s="2" t="s">
        <v>7862</v>
      </c>
      <c r="X6494" s="2" t="s">
        <v>6687</v>
      </c>
      <c r="Y6494" s="2">
        <v>7600</v>
      </c>
      <c r="Z6494" s="19" t="str">
        <f>HYPERLINK("https://ssdweb.co/ssdweb/hd/Vision360.html?d=941071331&amp;zoomslide=1&amp;z=1941071331&amp;ISCONFIRM=0","VIDEO")</f>
        <v>VIDEO</v>
      </c>
      <c r="AA6494" s="19" t="str">
        <f>HYPERLINK("https://ssdweb.co/ssdweb/CERTH/674532568.pdf","CERTI")</f>
        <v>CERTI</v>
      </c>
    </row>
    <row r="6495" spans="1:27" ht="15" x14ac:dyDescent="0.25">
      <c r="A6495" s="2">
        <v>6490</v>
      </c>
      <c r="B6495" s="39">
        <v>927132533</v>
      </c>
      <c r="C6495" s="28" t="str">
        <f>HYPERLINK("https://pld.live/RapDetail.aspx?STONELIST=927132533","DNA")</f>
        <v>DNA</v>
      </c>
      <c r="D6495" s="18" t="s">
        <v>3054</v>
      </c>
      <c r="E6495" s="18" t="s">
        <v>5128</v>
      </c>
      <c r="F6495" s="2" t="s">
        <v>7987</v>
      </c>
      <c r="G6495" s="2" t="s">
        <v>6781</v>
      </c>
      <c r="H6495" s="14">
        <v>1</v>
      </c>
      <c r="I6495" s="2" t="s">
        <v>267</v>
      </c>
      <c r="J6495" s="2" t="s">
        <v>3942</v>
      </c>
      <c r="K6495" s="2" t="s">
        <v>1452</v>
      </c>
      <c r="L6495" s="2" t="s">
        <v>5221</v>
      </c>
      <c r="M6495" s="2" t="s">
        <v>5221</v>
      </c>
      <c r="N6495" s="2" t="s">
        <v>2317</v>
      </c>
      <c r="O6495" s="14">
        <v>7600</v>
      </c>
      <c r="P6495" s="14">
        <v>98.42</v>
      </c>
      <c r="Q6495" s="14">
        <v>120.08</v>
      </c>
      <c r="R6495" s="14">
        <v>120.08</v>
      </c>
      <c r="S6495" s="2" t="s">
        <v>7059</v>
      </c>
      <c r="T6495" s="2">
        <v>1.48</v>
      </c>
      <c r="U6495" s="2">
        <v>63.9</v>
      </c>
      <c r="V6495" s="2">
        <v>57</v>
      </c>
      <c r="W6495" s="2" t="s">
        <v>7862</v>
      </c>
      <c r="X6495" s="2" t="s">
        <v>6687</v>
      </c>
      <c r="Y6495" s="2">
        <v>7600</v>
      </c>
      <c r="Z6495" s="19" t="str">
        <f>HYPERLINK("https://ssdweb.co/ssdweb/hd/Vision360.html?d=927132533&amp;zoomslide=1&amp;z=1927132533&amp;ISCONFIRM=0","VIDEO")</f>
        <v>VIDEO</v>
      </c>
      <c r="AA6495" s="19" t="str">
        <f>HYPERLINK("https://ssdweb.co/ssdweb/CERTH/674543276.pdf","CERTI")</f>
        <v>CERTI</v>
      </c>
    </row>
    <row r="6496" spans="1:27" ht="15" x14ac:dyDescent="0.25">
      <c r="A6496" s="2">
        <v>6491</v>
      </c>
      <c r="B6496" s="39">
        <v>941021801</v>
      </c>
      <c r="C6496" s="28" t="str">
        <f>HYPERLINK("https://pld.live/RapDetail.aspx?STONELIST=941021801","DNA")</f>
        <v>DNA</v>
      </c>
      <c r="D6496" s="18" t="s">
        <v>3054</v>
      </c>
      <c r="E6496" s="18" t="s">
        <v>5128</v>
      </c>
      <c r="F6496" s="2" t="s">
        <v>7987</v>
      </c>
      <c r="G6496" s="2" t="s">
        <v>6781</v>
      </c>
      <c r="H6496" s="14">
        <v>1</v>
      </c>
      <c r="I6496" s="2" t="s">
        <v>267</v>
      </c>
      <c r="J6496" s="2" t="s">
        <v>3942</v>
      </c>
      <c r="K6496" s="2" t="s">
        <v>1452</v>
      </c>
      <c r="L6496" s="2" t="s">
        <v>5221</v>
      </c>
      <c r="M6496" s="2" t="s">
        <v>5721</v>
      </c>
      <c r="N6496" s="2" t="s">
        <v>2317</v>
      </c>
      <c r="O6496" s="14">
        <v>7600</v>
      </c>
      <c r="P6496" s="14">
        <v>98.45</v>
      </c>
      <c r="Q6496" s="14">
        <v>117.8</v>
      </c>
      <c r="R6496" s="14">
        <v>117.8</v>
      </c>
      <c r="S6496" s="2" t="s">
        <v>6100</v>
      </c>
      <c r="T6496" s="2">
        <v>1.48</v>
      </c>
      <c r="U6496" s="2">
        <v>63.8</v>
      </c>
      <c r="V6496" s="2">
        <v>60</v>
      </c>
      <c r="W6496" s="2" t="s">
        <v>7862</v>
      </c>
      <c r="X6496" s="2" t="s">
        <v>6687</v>
      </c>
      <c r="Y6496" s="2">
        <v>7600</v>
      </c>
      <c r="Z6496" s="19" t="str">
        <f>HYPERLINK("https://ssdweb.co/ssdweb/hd/Vision360.html?d=941021801&amp;zoomslide=1&amp;z=1941021801&amp;ISCONFIRM=0","VIDEO")</f>
        <v>VIDEO</v>
      </c>
      <c r="AA6496" s="19" t="str">
        <f>HYPERLINK("https://ssdweb.co/ssdweb/CERTH/674543288.pdf","CERTI")</f>
        <v>CERTI</v>
      </c>
    </row>
    <row r="6497" spans="1:27" ht="15" x14ac:dyDescent="0.25">
      <c r="A6497" s="2">
        <v>6492</v>
      </c>
      <c r="B6497" s="39">
        <v>941100653</v>
      </c>
      <c r="C6497" s="28" t="str">
        <f>HYPERLINK("https://pld.live/RapDetail.aspx?STONELIST=941100653","DNA")</f>
        <v>DNA</v>
      </c>
      <c r="D6497" s="18" t="s">
        <v>3054</v>
      </c>
      <c r="E6497" s="18" t="s">
        <v>2186</v>
      </c>
      <c r="F6497" s="2" t="s">
        <v>7987</v>
      </c>
      <c r="G6497" s="2" t="s">
        <v>6781</v>
      </c>
      <c r="H6497" s="14">
        <v>1</v>
      </c>
      <c r="I6497" s="2" t="s">
        <v>267</v>
      </c>
      <c r="J6497" s="2" t="s">
        <v>13</v>
      </c>
      <c r="K6497" s="2" t="s">
        <v>1452</v>
      </c>
      <c r="L6497" s="2" t="s">
        <v>5221</v>
      </c>
      <c r="M6497" s="2" t="s">
        <v>5221</v>
      </c>
      <c r="N6497" s="2" t="s">
        <v>2317</v>
      </c>
      <c r="O6497" s="14">
        <v>6700</v>
      </c>
      <c r="P6497" s="14">
        <v>98.28</v>
      </c>
      <c r="Q6497" s="14">
        <v>115.24</v>
      </c>
      <c r="R6497" s="14">
        <v>115.24</v>
      </c>
      <c r="S6497" s="2" t="s">
        <v>6618</v>
      </c>
      <c r="T6497" s="2">
        <v>1.54</v>
      </c>
      <c r="U6497" s="2">
        <v>62.3</v>
      </c>
      <c r="V6497" s="2">
        <v>62</v>
      </c>
      <c r="W6497" s="2" t="s">
        <v>7862</v>
      </c>
      <c r="X6497" s="2" t="s">
        <v>6687</v>
      </c>
      <c r="Y6497" s="2">
        <v>6700</v>
      </c>
      <c r="Z6497" s="19" t="str">
        <f>HYPERLINK("https://ssdweb.co/ssdweb/hd/Vision360.html?d=941100653&amp;zoomslide=1&amp;z=1941100653&amp;ISCONFIRM=0","VIDEO")</f>
        <v>VIDEO</v>
      </c>
      <c r="AA6497" s="19" t="str">
        <f>HYPERLINK("https://ssdweb.co/ssdweb/CERTH/674532597.pdf","CERTI")</f>
        <v>CERTI</v>
      </c>
    </row>
    <row r="6498" spans="1:27" ht="15" x14ac:dyDescent="0.25">
      <c r="A6498" s="2">
        <v>6493</v>
      </c>
      <c r="B6498" s="39">
        <v>941050594</v>
      </c>
      <c r="C6498" s="28" t="str">
        <f>HYPERLINK("https://pld.live/RapDetail.aspx?STONELIST=941050594","DNA")</f>
        <v>DNA</v>
      </c>
      <c r="D6498" s="18" t="s">
        <v>3054</v>
      </c>
      <c r="E6498" s="18" t="s">
        <v>2186</v>
      </c>
      <c r="F6498" s="2" t="s">
        <v>7987</v>
      </c>
      <c r="G6498" s="2" t="s">
        <v>6781</v>
      </c>
      <c r="H6498" s="14">
        <v>1</v>
      </c>
      <c r="I6498" s="2" t="s">
        <v>267</v>
      </c>
      <c r="J6498" s="2" t="s">
        <v>13</v>
      </c>
      <c r="K6498" s="2" t="s">
        <v>1452</v>
      </c>
      <c r="L6498" s="2" t="s">
        <v>5221</v>
      </c>
      <c r="M6498" s="2" t="s">
        <v>5221</v>
      </c>
      <c r="N6498" s="2" t="s">
        <v>2317</v>
      </c>
      <c r="O6498" s="14">
        <v>6700</v>
      </c>
      <c r="P6498" s="14">
        <v>98.28</v>
      </c>
      <c r="Q6498" s="14">
        <v>115.24</v>
      </c>
      <c r="R6498" s="14">
        <v>115.24</v>
      </c>
      <c r="S6498" s="2" t="s">
        <v>2930</v>
      </c>
      <c r="T6498" s="2">
        <v>1.64</v>
      </c>
      <c r="U6498" s="2">
        <v>59.6</v>
      </c>
      <c r="V6498" s="2">
        <v>62</v>
      </c>
      <c r="W6498" s="2" t="s">
        <v>7862</v>
      </c>
      <c r="X6498" s="2" t="s">
        <v>6687</v>
      </c>
      <c r="Y6498" s="2">
        <v>6700</v>
      </c>
      <c r="Z6498" s="19" t="str">
        <f>HYPERLINK("https://ssdweb.co/ssdweb/hd/Vision360.html?d=941050594&amp;zoomslide=1&amp;z=1941050594&amp;ISCONFIRM=0","VIDEO")</f>
        <v>VIDEO</v>
      </c>
      <c r="AA6498" s="19" t="str">
        <f>HYPERLINK("https://ssdweb.co/ssdweb/CERTH/674543285.pdf","CERTI")</f>
        <v>CERTI</v>
      </c>
    </row>
    <row r="6499" spans="1:27" ht="15" x14ac:dyDescent="0.25">
      <c r="A6499" s="2">
        <v>6494</v>
      </c>
      <c r="B6499" s="39">
        <v>941071334</v>
      </c>
      <c r="C6499" s="28" t="str">
        <f>HYPERLINK("https://pld.live/RapDetail.aspx?STONELIST=941071334","DNA")</f>
        <v>DNA</v>
      </c>
      <c r="D6499" s="18" t="s">
        <v>3054</v>
      </c>
      <c r="E6499" s="18" t="s">
        <v>5128</v>
      </c>
      <c r="F6499" s="2" t="s">
        <v>7987</v>
      </c>
      <c r="G6499" s="2" t="s">
        <v>6781</v>
      </c>
      <c r="H6499" s="14">
        <v>1</v>
      </c>
      <c r="I6499" s="2" t="s">
        <v>267</v>
      </c>
      <c r="J6499" s="2" t="s">
        <v>13</v>
      </c>
      <c r="K6499" s="2" t="s">
        <v>1452</v>
      </c>
      <c r="L6499" s="2" t="s">
        <v>5221</v>
      </c>
      <c r="M6499" s="2" t="s">
        <v>5221</v>
      </c>
      <c r="N6499" s="2" t="s">
        <v>2317</v>
      </c>
      <c r="O6499" s="14">
        <v>6700</v>
      </c>
      <c r="P6499" s="14">
        <v>98.28</v>
      </c>
      <c r="Q6499" s="14">
        <v>115.24</v>
      </c>
      <c r="R6499" s="14">
        <v>115.24</v>
      </c>
      <c r="S6499" s="2" t="s">
        <v>1964</v>
      </c>
      <c r="T6499" s="2">
        <v>1.47</v>
      </c>
      <c r="U6499" s="2">
        <v>61.9</v>
      </c>
      <c r="V6499" s="2">
        <v>60</v>
      </c>
      <c r="W6499" s="2" t="s">
        <v>7862</v>
      </c>
      <c r="X6499" s="2" t="s">
        <v>6687</v>
      </c>
      <c r="Y6499" s="2">
        <v>6700</v>
      </c>
      <c r="Z6499" s="19" t="str">
        <f>HYPERLINK("https://ssdweb.co/ssdweb/hd/Vision360.html?d=941071334&amp;zoomslide=1&amp;z=1941071334&amp;ISCONFIRM=0","VIDEO")</f>
        <v>VIDEO</v>
      </c>
      <c r="AA6499" s="19" t="str">
        <f>HYPERLINK("https://ssdweb.co/ssdweb/CERTH/674532569.pdf","CERTI")</f>
        <v>CERTI</v>
      </c>
    </row>
    <row r="6500" spans="1:27" ht="15" x14ac:dyDescent="0.25">
      <c r="A6500" s="2">
        <v>6495</v>
      </c>
      <c r="B6500" s="39">
        <v>821113426</v>
      </c>
      <c r="C6500" s="28" t="str">
        <f>HYPERLINK("https://pld.live/RapDetail.aspx?STONELIST=821113426","DNA")</f>
        <v>DNA</v>
      </c>
      <c r="D6500" s="18" t="s">
        <v>3054</v>
      </c>
      <c r="E6500" s="18" t="s">
        <v>2186</v>
      </c>
      <c r="F6500" s="2" t="s">
        <v>7987</v>
      </c>
      <c r="G6500" s="2" t="s">
        <v>6781</v>
      </c>
      <c r="H6500" s="14">
        <v>1</v>
      </c>
      <c r="I6500" s="2" t="s">
        <v>267</v>
      </c>
      <c r="J6500" s="2" t="s">
        <v>5144</v>
      </c>
      <c r="K6500" s="2" t="s">
        <v>1452</v>
      </c>
      <c r="L6500" s="2" t="s">
        <v>5221</v>
      </c>
      <c r="M6500" s="2" t="s">
        <v>5221</v>
      </c>
      <c r="N6500" s="2" t="s">
        <v>2317</v>
      </c>
      <c r="O6500" s="14">
        <v>5700</v>
      </c>
      <c r="P6500" s="14">
        <v>98.16</v>
      </c>
      <c r="Q6500" s="14">
        <v>104.88</v>
      </c>
      <c r="R6500" s="14">
        <v>104.88</v>
      </c>
      <c r="S6500" s="2" t="s">
        <v>6137</v>
      </c>
      <c r="T6500" s="2">
        <v>1.56</v>
      </c>
      <c r="U6500" s="2">
        <v>59.3</v>
      </c>
      <c r="V6500" s="2">
        <v>62</v>
      </c>
      <c r="W6500" s="2" t="s">
        <v>7862</v>
      </c>
      <c r="X6500" s="2" t="s">
        <v>6687</v>
      </c>
      <c r="Y6500" s="2">
        <v>5700</v>
      </c>
      <c r="Z6500" s="19" t="str">
        <f>HYPERLINK("https://ssdweb.co/ssdweb/hd/Vision360.html?d=821113426&amp;zoomslide=1&amp;z=1821113426&amp;ISCONFIRM=0","VIDEO")</f>
        <v>VIDEO</v>
      </c>
      <c r="AA6500" s="19" t="str">
        <f>HYPERLINK("https://ssdweb.co/ssdweb/CERTH/616420482.pdf","CERTI")</f>
        <v>CERTI</v>
      </c>
    </row>
    <row r="6501" spans="1:27" ht="15" x14ac:dyDescent="0.25">
      <c r="A6501" s="2">
        <v>6496</v>
      </c>
      <c r="B6501" s="39">
        <v>941190341</v>
      </c>
      <c r="C6501" s="28" t="str">
        <f>HYPERLINK("https://pld.live/RapDetail.aspx?STONELIST=941190341","DNA")</f>
        <v>DNA</v>
      </c>
      <c r="D6501" s="18" t="s">
        <v>3054</v>
      </c>
      <c r="E6501" s="18" t="s">
        <v>5128</v>
      </c>
      <c r="F6501" s="2" t="s">
        <v>7987</v>
      </c>
      <c r="G6501" s="2" t="s">
        <v>6781</v>
      </c>
      <c r="H6501" s="14">
        <v>1</v>
      </c>
      <c r="I6501" s="2" t="s">
        <v>267</v>
      </c>
      <c r="J6501" s="2" t="s">
        <v>5144</v>
      </c>
      <c r="K6501" s="2" t="s">
        <v>1452</v>
      </c>
      <c r="L6501" s="2" t="s">
        <v>5221</v>
      </c>
      <c r="M6501" s="2" t="s">
        <v>5221</v>
      </c>
      <c r="N6501" s="2" t="s">
        <v>2317</v>
      </c>
      <c r="O6501" s="14">
        <v>5700</v>
      </c>
      <c r="P6501" s="14">
        <v>98.07</v>
      </c>
      <c r="Q6501" s="14">
        <v>110.01</v>
      </c>
      <c r="R6501" s="14">
        <v>110.01</v>
      </c>
      <c r="S6501" s="2" t="s">
        <v>6245</v>
      </c>
      <c r="T6501" s="2">
        <v>1.48</v>
      </c>
      <c r="U6501" s="2">
        <v>63.2</v>
      </c>
      <c r="V6501" s="2">
        <v>60</v>
      </c>
      <c r="W6501" s="2" t="s">
        <v>7862</v>
      </c>
      <c r="X6501" s="2" t="s">
        <v>6687</v>
      </c>
      <c r="Y6501" s="2">
        <v>5700</v>
      </c>
      <c r="Z6501" s="19" t="str">
        <f>HYPERLINK("https://ssdweb.co/ssdweb/hd/Vision360.html?d=941190341&amp;zoomslide=1&amp;z=1941190341&amp;ISCONFIRM=0","VIDEO")</f>
        <v>VIDEO</v>
      </c>
      <c r="AA6501" s="19" t="str">
        <f>HYPERLINK("https://ssdweb.co/ssdweb/CERTH/678564537.pdf","CERTI")</f>
        <v>CERTI</v>
      </c>
    </row>
    <row r="6502" spans="1:27" ht="15" x14ac:dyDescent="0.25">
      <c r="A6502" s="2">
        <v>6497</v>
      </c>
      <c r="B6502" s="39">
        <v>926681160</v>
      </c>
      <c r="C6502" s="28" t="str">
        <f>HYPERLINK("https://pld.live/RapDetail.aspx?STONELIST=926681160","DNA")</f>
        <v>DNA</v>
      </c>
      <c r="D6502" s="18" t="s">
        <v>3054</v>
      </c>
      <c r="E6502" s="18" t="s">
        <v>2186</v>
      </c>
      <c r="F6502" s="2" t="s">
        <v>7987</v>
      </c>
      <c r="G6502" s="2" t="s">
        <v>6781</v>
      </c>
      <c r="H6502" s="14">
        <v>1</v>
      </c>
      <c r="I6502" s="2" t="s">
        <v>4761</v>
      </c>
      <c r="J6502" s="2" t="s">
        <v>6555</v>
      </c>
      <c r="K6502" s="2" t="s">
        <v>1452</v>
      </c>
      <c r="L6502" s="2" t="s">
        <v>5221</v>
      </c>
      <c r="M6502" s="2" t="s">
        <v>5221</v>
      </c>
      <c r="N6502" s="2" t="s">
        <v>2317</v>
      </c>
      <c r="O6502" s="14">
        <v>7500</v>
      </c>
      <c r="P6502" s="14">
        <v>98.16</v>
      </c>
      <c r="Q6502" s="14">
        <v>138</v>
      </c>
      <c r="R6502" s="14">
        <v>138</v>
      </c>
      <c r="S6502" s="2" t="s">
        <v>1220</v>
      </c>
      <c r="T6502" s="2">
        <v>1.49</v>
      </c>
      <c r="U6502" s="2">
        <v>63.7</v>
      </c>
      <c r="V6502" s="2">
        <v>56</v>
      </c>
      <c r="W6502" s="2" t="s">
        <v>7862</v>
      </c>
      <c r="X6502" s="2" t="s">
        <v>6687</v>
      </c>
      <c r="Y6502" s="2">
        <v>7500</v>
      </c>
      <c r="Z6502" s="19" t="str">
        <f>HYPERLINK("https://ssdweb.co/ssdweb/hd/Vision360.html?d=926681160&amp;zoomslide=1&amp;z=1926681160&amp;ISCONFIRM=0","VIDEO")</f>
        <v>VIDEO</v>
      </c>
      <c r="AA6502" s="19" t="str">
        <f>HYPERLINK("https://ssdweb.co/ssdweb/CERTH/651495369.pdf","CERTI")</f>
        <v>CERTI</v>
      </c>
    </row>
    <row r="6503" spans="1:27" ht="15" x14ac:dyDescent="0.25">
      <c r="A6503" s="2">
        <v>6498</v>
      </c>
      <c r="B6503" s="39">
        <v>926130008</v>
      </c>
      <c r="C6503" s="28" t="str">
        <f>HYPERLINK("https://pld.live/RapDetail.aspx?STONELIST=926130008","DNA")</f>
        <v>DNA</v>
      </c>
      <c r="D6503" s="18" t="s">
        <v>3054</v>
      </c>
      <c r="E6503" s="18" t="s">
        <v>2186</v>
      </c>
      <c r="F6503" s="2" t="s">
        <v>7987</v>
      </c>
      <c r="G6503" s="2" t="s">
        <v>6781</v>
      </c>
      <c r="H6503" s="14">
        <v>1</v>
      </c>
      <c r="I6503" s="2" t="s">
        <v>4761</v>
      </c>
      <c r="J6503" s="2" t="s">
        <v>6555</v>
      </c>
      <c r="K6503" s="2" t="s">
        <v>1452</v>
      </c>
      <c r="L6503" s="2" t="s">
        <v>5221</v>
      </c>
      <c r="M6503" s="2" t="s">
        <v>5221</v>
      </c>
      <c r="N6503" s="2" t="s">
        <v>2317</v>
      </c>
      <c r="O6503" s="14">
        <v>7500</v>
      </c>
      <c r="P6503" s="14">
        <v>98.2</v>
      </c>
      <c r="Q6503" s="14">
        <v>135</v>
      </c>
      <c r="R6503" s="14">
        <v>135</v>
      </c>
      <c r="S6503" s="2" t="s">
        <v>2738</v>
      </c>
      <c r="T6503" s="2">
        <v>1.52</v>
      </c>
      <c r="U6503" s="2">
        <v>62.2</v>
      </c>
      <c r="V6503" s="2">
        <v>63</v>
      </c>
      <c r="W6503" s="2" t="s">
        <v>7862</v>
      </c>
      <c r="X6503" s="2" t="s">
        <v>6687</v>
      </c>
      <c r="Y6503" s="2">
        <v>7500</v>
      </c>
      <c r="Z6503" s="19" t="str">
        <f>HYPERLINK("https://ssdweb.co/ssdweb/hd/Vision360.html?d=926130008&amp;zoomslide=1&amp;z=1926130008&amp;ISCONFIRM=0","VIDEO")</f>
        <v>VIDEO</v>
      </c>
      <c r="AA6503" s="19" t="str">
        <f>HYPERLINK("https://ssdweb.co/ssdweb/CERTH/632449629.pdf","CERTI")</f>
        <v>CERTI</v>
      </c>
    </row>
    <row r="6504" spans="1:27" ht="15" x14ac:dyDescent="0.25">
      <c r="A6504" s="2">
        <v>6499</v>
      </c>
      <c r="B6504" s="39">
        <v>941100648</v>
      </c>
      <c r="C6504" s="28" t="str">
        <f>HYPERLINK("https://pld.live/RapDetail.aspx?STONELIST=941100648","DNA")</f>
        <v>DNA</v>
      </c>
      <c r="D6504" s="18" t="s">
        <v>3054</v>
      </c>
      <c r="E6504" s="18" t="s">
        <v>2186</v>
      </c>
      <c r="F6504" s="2" t="s">
        <v>7987</v>
      </c>
      <c r="G6504" s="2" t="s">
        <v>6781</v>
      </c>
      <c r="H6504" s="14">
        <v>1</v>
      </c>
      <c r="I6504" s="2" t="s">
        <v>4761</v>
      </c>
      <c r="J6504" s="2" t="s">
        <v>3942</v>
      </c>
      <c r="K6504" s="2" t="s">
        <v>1452</v>
      </c>
      <c r="L6504" s="2" t="s">
        <v>5221</v>
      </c>
      <c r="M6504" s="2" t="s">
        <v>5221</v>
      </c>
      <c r="N6504" s="2" t="s">
        <v>2317</v>
      </c>
      <c r="O6504" s="14">
        <v>6900</v>
      </c>
      <c r="P6504" s="14">
        <v>98.33</v>
      </c>
      <c r="Q6504" s="14">
        <v>115.23</v>
      </c>
      <c r="R6504" s="14">
        <v>115.23</v>
      </c>
      <c r="S6504" s="2" t="s">
        <v>6880</v>
      </c>
      <c r="T6504" s="2">
        <v>1.53</v>
      </c>
      <c r="U6504" s="2">
        <v>62.9</v>
      </c>
      <c r="V6504" s="2">
        <v>60</v>
      </c>
      <c r="W6504" s="2" t="s">
        <v>7862</v>
      </c>
      <c r="X6504" s="2" t="s">
        <v>6687</v>
      </c>
      <c r="Y6504" s="2">
        <v>6900</v>
      </c>
      <c r="Z6504" s="19" t="str">
        <f>HYPERLINK("https://ssdweb.co/ssdweb/hd/Vision360.html?d=941100648&amp;zoomslide=1&amp;z=1941100648&amp;ISCONFIRM=0","VIDEO")</f>
        <v>VIDEO</v>
      </c>
      <c r="AA6504" s="19" t="str">
        <f>HYPERLINK("https://ssdweb.co/ssdweb/CERTH/674532602.pdf","CERTI")</f>
        <v>CERTI</v>
      </c>
    </row>
    <row r="6505" spans="1:27" ht="15" x14ac:dyDescent="0.25">
      <c r="A6505" s="2">
        <v>6500</v>
      </c>
      <c r="B6505" s="39">
        <v>941180035</v>
      </c>
      <c r="C6505" s="28" t="str">
        <f>HYPERLINK("https://pld.live/RapDetail.aspx?STONELIST=941180035","DNA")</f>
        <v>DNA</v>
      </c>
      <c r="D6505" s="18" t="s">
        <v>3054</v>
      </c>
      <c r="E6505" s="18" t="s">
        <v>2186</v>
      </c>
      <c r="F6505" s="2" t="s">
        <v>7987</v>
      </c>
      <c r="G6505" s="2" t="s">
        <v>6781</v>
      </c>
      <c r="H6505" s="14">
        <v>1</v>
      </c>
      <c r="I6505" s="2" t="s">
        <v>4761</v>
      </c>
      <c r="J6505" s="2" t="s">
        <v>3942</v>
      </c>
      <c r="K6505" s="2" t="s">
        <v>1452</v>
      </c>
      <c r="L6505" s="2" t="s">
        <v>5221</v>
      </c>
      <c r="M6505" s="2" t="s">
        <v>5221</v>
      </c>
      <c r="N6505" s="2" t="s">
        <v>2317</v>
      </c>
      <c r="O6505" s="14">
        <v>6900</v>
      </c>
      <c r="P6505" s="14">
        <v>98.33</v>
      </c>
      <c r="Q6505" s="14">
        <v>115.23</v>
      </c>
      <c r="R6505" s="14">
        <v>115.23</v>
      </c>
      <c r="S6505" s="2" t="s">
        <v>1534</v>
      </c>
      <c r="T6505" s="2">
        <v>1.53</v>
      </c>
      <c r="U6505" s="2">
        <v>62</v>
      </c>
      <c r="V6505" s="2">
        <v>62</v>
      </c>
      <c r="W6505" s="2" t="s">
        <v>7862</v>
      </c>
      <c r="X6505" s="2" t="s">
        <v>6687</v>
      </c>
      <c r="Y6505" s="2">
        <v>6900</v>
      </c>
      <c r="Z6505" s="19" t="str">
        <f>HYPERLINK("https://ssdweb.co/ssdweb/hd/Vision360.html?d=941180035&amp;zoomslide=1&amp;z=1941180035&amp;ISCONFIRM=0","VIDEO")</f>
        <v>VIDEO</v>
      </c>
      <c r="AA6505" s="19" t="str">
        <f>HYPERLINK("https://ssdweb.co/ssdweb/CERTH/674532608.pdf","CERTI")</f>
        <v>CERTI</v>
      </c>
    </row>
    <row r="6506" spans="1:27" ht="15" x14ac:dyDescent="0.25">
      <c r="A6506" s="2">
        <v>6501</v>
      </c>
      <c r="B6506" s="39">
        <v>927040799</v>
      </c>
      <c r="C6506" s="28" t="str">
        <f>HYPERLINK("https://pld.live/RapDetail.aspx?STONELIST=927040799","DNA")</f>
        <v>DNA</v>
      </c>
      <c r="D6506" s="18" t="s">
        <v>3054</v>
      </c>
      <c r="E6506" s="18" t="s">
        <v>2186</v>
      </c>
      <c r="F6506" s="2" t="s">
        <v>7987</v>
      </c>
      <c r="G6506" s="2" t="s">
        <v>6781</v>
      </c>
      <c r="H6506" s="14">
        <v>1</v>
      </c>
      <c r="I6506" s="2" t="s">
        <v>4761</v>
      </c>
      <c r="J6506" s="2" t="s">
        <v>3942</v>
      </c>
      <c r="K6506" s="2" t="s">
        <v>1452</v>
      </c>
      <c r="L6506" s="2" t="s">
        <v>5221</v>
      </c>
      <c r="M6506" s="2" t="s">
        <v>5221</v>
      </c>
      <c r="N6506" s="2" t="s">
        <v>2317</v>
      </c>
      <c r="O6506" s="14">
        <v>6900</v>
      </c>
      <c r="P6506" s="14">
        <v>98.33</v>
      </c>
      <c r="Q6506" s="14">
        <v>115.23</v>
      </c>
      <c r="R6506" s="14">
        <v>115.23</v>
      </c>
      <c r="S6506" s="2" t="s">
        <v>87</v>
      </c>
      <c r="T6506" s="2">
        <v>1.52</v>
      </c>
      <c r="U6506" s="2">
        <v>60.5</v>
      </c>
      <c r="V6506" s="2">
        <v>64</v>
      </c>
      <c r="W6506" s="2" t="s">
        <v>7862</v>
      </c>
      <c r="X6506" s="2" t="s">
        <v>6687</v>
      </c>
      <c r="Y6506" s="2">
        <v>6900</v>
      </c>
      <c r="Z6506" s="19" t="str">
        <f>HYPERLINK("https://ssdweb.co/ssdweb/hd/Vision360.html?d=927040799&amp;zoomslide=1&amp;z=1927040799&amp;ISCONFIRM=0","VIDEO")</f>
        <v>VIDEO</v>
      </c>
      <c r="AA6506" s="19" t="str">
        <f>HYPERLINK("https://ssdweb.co/ssdweb/CERTH/669458212.pdf","CERTI")</f>
        <v>CERTI</v>
      </c>
    </row>
    <row r="6507" spans="1:27" ht="15" x14ac:dyDescent="0.25">
      <c r="A6507" s="2">
        <v>6502</v>
      </c>
      <c r="B6507" s="39">
        <v>927132454</v>
      </c>
      <c r="C6507" s="28" t="str">
        <f>HYPERLINK("https://pld.live/RapDetail.aspx?STONELIST=927132454","DNA")</f>
        <v>DNA</v>
      </c>
      <c r="D6507" s="18" t="s">
        <v>3054</v>
      </c>
      <c r="E6507" s="18" t="s">
        <v>5128</v>
      </c>
      <c r="F6507" s="2" t="s">
        <v>7987</v>
      </c>
      <c r="G6507" s="2" t="s">
        <v>6781</v>
      </c>
      <c r="H6507" s="14">
        <v>1</v>
      </c>
      <c r="I6507" s="2" t="s">
        <v>4761</v>
      </c>
      <c r="J6507" s="2" t="s">
        <v>3942</v>
      </c>
      <c r="K6507" s="2" t="s">
        <v>1452</v>
      </c>
      <c r="L6507" s="2" t="s">
        <v>5221</v>
      </c>
      <c r="M6507" s="2" t="s">
        <v>5221</v>
      </c>
      <c r="N6507" s="2" t="s">
        <v>2317</v>
      </c>
      <c r="O6507" s="14">
        <v>6900</v>
      </c>
      <c r="P6507" s="14">
        <v>98.33</v>
      </c>
      <c r="Q6507" s="14">
        <v>115.23</v>
      </c>
      <c r="R6507" s="14">
        <v>115.23</v>
      </c>
      <c r="S6507" s="2" t="s">
        <v>197</v>
      </c>
      <c r="T6507" s="2">
        <v>1.53</v>
      </c>
      <c r="U6507" s="2">
        <v>62.4</v>
      </c>
      <c r="V6507" s="2">
        <v>62</v>
      </c>
      <c r="W6507" s="2" t="s">
        <v>7862</v>
      </c>
      <c r="X6507" s="2" t="s">
        <v>6687</v>
      </c>
      <c r="Y6507" s="2">
        <v>6900</v>
      </c>
      <c r="Z6507" s="19" t="str">
        <f>HYPERLINK("https://ssdweb.co/ssdweb/hd/Vision360.html?d=927132454&amp;zoomslide=1&amp;z=1927132454&amp;ISCONFIRM=0","VIDEO")</f>
        <v>VIDEO</v>
      </c>
      <c r="AA6507" s="19" t="str">
        <f>HYPERLINK("https://ssdweb.co/ssdweb/CERTH/671477248.pdf","CERTI")</f>
        <v>CERTI</v>
      </c>
    </row>
    <row r="6508" spans="1:27" ht="15" x14ac:dyDescent="0.25">
      <c r="A6508" s="2">
        <v>6503</v>
      </c>
      <c r="B6508" s="39">
        <v>941040618</v>
      </c>
      <c r="C6508" s="28" t="str">
        <f>HYPERLINK("https://pld.live/RapDetail.aspx?STONELIST=941040618","DNA")</f>
        <v>DNA</v>
      </c>
      <c r="D6508" s="18" t="s">
        <v>3054</v>
      </c>
      <c r="E6508" s="18" t="s">
        <v>5128</v>
      </c>
      <c r="F6508" s="2" t="s">
        <v>7987</v>
      </c>
      <c r="G6508" s="2" t="s">
        <v>6781</v>
      </c>
      <c r="H6508" s="14">
        <v>1</v>
      </c>
      <c r="I6508" s="2" t="s">
        <v>4761</v>
      </c>
      <c r="J6508" s="2" t="s">
        <v>3942</v>
      </c>
      <c r="K6508" s="2" t="s">
        <v>1452</v>
      </c>
      <c r="L6508" s="2" t="s">
        <v>5221</v>
      </c>
      <c r="M6508" s="2" t="s">
        <v>5721</v>
      </c>
      <c r="N6508" s="2" t="s">
        <v>2317</v>
      </c>
      <c r="O6508" s="14">
        <v>6900</v>
      </c>
      <c r="P6508" s="14">
        <v>98.36</v>
      </c>
      <c r="Q6508" s="14">
        <v>113.16</v>
      </c>
      <c r="R6508" s="14">
        <v>113.16</v>
      </c>
      <c r="S6508" s="2" t="s">
        <v>2178</v>
      </c>
      <c r="T6508" s="2">
        <v>1.51</v>
      </c>
      <c r="U6508" s="2">
        <v>61.4</v>
      </c>
      <c r="V6508" s="2">
        <v>62</v>
      </c>
      <c r="W6508" s="2" t="s">
        <v>7862</v>
      </c>
      <c r="X6508" s="2" t="s">
        <v>6687</v>
      </c>
      <c r="Y6508" s="2">
        <v>6900</v>
      </c>
      <c r="Z6508" s="19" t="str">
        <f>HYPERLINK("https://ssdweb.co/ssdweb/hd/Vision360.html?d=941040618&amp;zoomslide=1&amp;z=1941040618&amp;ISCONFIRM=0","VIDEO")</f>
        <v>VIDEO</v>
      </c>
      <c r="AA6508" s="19" t="str">
        <f>HYPERLINK("https://ssdweb.co/ssdweb/CERTH/669458238.pdf","CERTI")</f>
        <v>CERTI</v>
      </c>
    </row>
    <row r="6509" spans="1:27" ht="15" x14ac:dyDescent="0.25">
      <c r="A6509" s="2">
        <v>6504</v>
      </c>
      <c r="B6509" s="39">
        <v>941080831</v>
      </c>
      <c r="C6509" s="28" t="str">
        <f>HYPERLINK("https://pld.live/RapDetail.aspx?STONELIST=941080831","DNA")</f>
        <v>DNA</v>
      </c>
      <c r="D6509" s="18" t="s">
        <v>3054</v>
      </c>
      <c r="E6509" s="18" t="s">
        <v>2186</v>
      </c>
      <c r="F6509" s="2" t="s">
        <v>7987</v>
      </c>
      <c r="G6509" s="2" t="s">
        <v>6781</v>
      </c>
      <c r="H6509" s="14">
        <v>1</v>
      </c>
      <c r="I6509" s="2" t="s">
        <v>4761</v>
      </c>
      <c r="J6509" s="2" t="s">
        <v>3942</v>
      </c>
      <c r="K6509" s="2" t="s">
        <v>1452</v>
      </c>
      <c r="L6509" s="2" t="s">
        <v>5221</v>
      </c>
      <c r="M6509" s="2" t="s">
        <v>5721</v>
      </c>
      <c r="N6509" s="2" t="s">
        <v>2317</v>
      </c>
      <c r="O6509" s="14">
        <v>6900</v>
      </c>
      <c r="P6509" s="14">
        <v>98.36</v>
      </c>
      <c r="Q6509" s="14">
        <v>113.16</v>
      </c>
      <c r="R6509" s="14">
        <v>113.16</v>
      </c>
      <c r="S6509" s="2" t="s">
        <v>8028</v>
      </c>
      <c r="T6509" s="2">
        <v>1.48</v>
      </c>
      <c r="U6509" s="2">
        <v>62.8</v>
      </c>
      <c r="V6509" s="2">
        <v>60</v>
      </c>
      <c r="W6509" s="2" t="s">
        <v>7862</v>
      </c>
      <c r="X6509" s="2" t="s">
        <v>6687</v>
      </c>
      <c r="Y6509" s="2">
        <v>6900</v>
      </c>
      <c r="Z6509" s="19" t="str">
        <f>HYPERLINK("https://ssdweb.co/ssdweb/hd/Vision360.html?d=941080831&amp;zoomslide=1&amp;z=1941080831&amp;ISCONFIRM=0","VIDEO")</f>
        <v>VIDEO</v>
      </c>
      <c r="AA6509" s="19" t="str">
        <f>HYPERLINK("https://ssdweb.co/ssdweb/CERTH/674543280.pdf","CERTI")</f>
        <v>CERTI</v>
      </c>
    </row>
    <row r="6510" spans="1:27" ht="15" x14ac:dyDescent="0.25">
      <c r="A6510" s="2">
        <v>6505</v>
      </c>
      <c r="B6510" s="39">
        <v>941071315</v>
      </c>
      <c r="C6510" s="28" t="str">
        <f>HYPERLINK("https://pld.live/RapDetail.aspx?STONELIST=941071315","DNA")</f>
        <v>DNA</v>
      </c>
      <c r="D6510" s="18" t="s">
        <v>3054</v>
      </c>
      <c r="E6510" s="18" t="s">
        <v>5128</v>
      </c>
      <c r="F6510" s="2" t="s">
        <v>7987</v>
      </c>
      <c r="G6510" s="2" t="s">
        <v>6781</v>
      </c>
      <c r="H6510" s="14">
        <v>1</v>
      </c>
      <c r="I6510" s="2" t="s">
        <v>4761</v>
      </c>
      <c r="J6510" s="2" t="s">
        <v>3942</v>
      </c>
      <c r="K6510" s="2" t="s">
        <v>1452</v>
      </c>
      <c r="L6510" s="2" t="s">
        <v>5221</v>
      </c>
      <c r="M6510" s="2" t="s">
        <v>5721</v>
      </c>
      <c r="N6510" s="2" t="s">
        <v>2317</v>
      </c>
      <c r="O6510" s="14">
        <v>6900</v>
      </c>
      <c r="P6510" s="14">
        <v>98.36</v>
      </c>
      <c r="Q6510" s="14">
        <v>113.16</v>
      </c>
      <c r="R6510" s="14">
        <v>113.16</v>
      </c>
      <c r="S6510" s="2" t="s">
        <v>2500</v>
      </c>
      <c r="T6510" s="2">
        <v>1.48</v>
      </c>
      <c r="U6510" s="2">
        <v>62.7</v>
      </c>
      <c r="V6510" s="2">
        <v>59</v>
      </c>
      <c r="W6510" s="2" t="s">
        <v>7862</v>
      </c>
      <c r="X6510" s="2" t="s">
        <v>6687</v>
      </c>
      <c r="Y6510" s="2">
        <v>6900</v>
      </c>
      <c r="Z6510" s="19" t="str">
        <f>HYPERLINK("https://ssdweb.co/ssdweb/hd/Vision360.html?d=941071315&amp;zoomslide=1&amp;z=1941071315&amp;ISCONFIRM=0","VIDEO")</f>
        <v>VIDEO</v>
      </c>
      <c r="AA6510" s="19" t="str">
        <f>HYPERLINK("https://ssdweb.co/ssdweb/CERTH/674543278.pdf","CERTI")</f>
        <v>CERTI</v>
      </c>
    </row>
    <row r="6511" spans="1:27" ht="15" x14ac:dyDescent="0.25">
      <c r="A6511" s="2">
        <v>6506</v>
      </c>
      <c r="B6511" s="39">
        <v>926972225</v>
      </c>
      <c r="C6511" s="28" t="str">
        <f>HYPERLINK("https://pld.live/RapDetail.aspx?STONELIST=926972225","DNA")</f>
        <v>DNA</v>
      </c>
      <c r="D6511" s="18" t="s">
        <v>3054</v>
      </c>
      <c r="E6511" s="18" t="s">
        <v>5128</v>
      </c>
      <c r="F6511" s="2" t="s">
        <v>7987</v>
      </c>
      <c r="G6511" s="2" t="s">
        <v>6781</v>
      </c>
      <c r="H6511" s="14">
        <v>1</v>
      </c>
      <c r="I6511" s="2" t="s">
        <v>4761</v>
      </c>
      <c r="J6511" s="2" t="s">
        <v>13</v>
      </c>
      <c r="K6511" s="2" t="s">
        <v>1452</v>
      </c>
      <c r="L6511" s="2" t="s">
        <v>5221</v>
      </c>
      <c r="M6511" s="2" t="s">
        <v>5221</v>
      </c>
      <c r="N6511" s="2" t="s">
        <v>2317</v>
      </c>
      <c r="O6511" s="14">
        <v>6200</v>
      </c>
      <c r="P6511" s="14">
        <v>98.23</v>
      </c>
      <c r="Q6511" s="14">
        <v>109.74</v>
      </c>
      <c r="R6511" s="14">
        <v>109.74</v>
      </c>
      <c r="S6511" s="2" t="s">
        <v>3157</v>
      </c>
      <c r="T6511" s="2">
        <v>1.5</v>
      </c>
      <c r="U6511" s="2">
        <v>62.5</v>
      </c>
      <c r="V6511" s="2">
        <v>61</v>
      </c>
      <c r="W6511" s="2" t="s">
        <v>7862</v>
      </c>
      <c r="X6511" s="2" t="s">
        <v>6687</v>
      </c>
      <c r="Y6511" s="2">
        <v>6200</v>
      </c>
      <c r="Z6511" s="19" t="str">
        <f>HYPERLINK("https://ssdweb.co/ssdweb/hd/Vision360.html?d=926972225&amp;zoomslide=1&amp;z=1926972225&amp;ISCONFIRM=0","VIDEO")</f>
        <v>VIDEO</v>
      </c>
      <c r="AA6511" s="19" t="str">
        <f>HYPERLINK("https://ssdweb.co/ssdweb/CERTH/668446618.pdf","CERTI")</f>
        <v>CERTI</v>
      </c>
    </row>
    <row r="6512" spans="1:27" ht="15" x14ac:dyDescent="0.25">
      <c r="A6512" s="2">
        <v>6507</v>
      </c>
      <c r="B6512" s="39">
        <v>926740757</v>
      </c>
      <c r="C6512" s="28" t="str">
        <f>HYPERLINK("https://pld.live/RapDetail.aspx?STONELIST=926740757","DNA")</f>
        <v>DNA</v>
      </c>
      <c r="D6512" s="18" t="s">
        <v>3054</v>
      </c>
      <c r="E6512" s="18" t="s">
        <v>5128</v>
      </c>
      <c r="F6512" s="2" t="s">
        <v>7987</v>
      </c>
      <c r="G6512" s="2" t="s">
        <v>6781</v>
      </c>
      <c r="H6512" s="14">
        <v>1</v>
      </c>
      <c r="I6512" s="2" t="s">
        <v>4761</v>
      </c>
      <c r="J6512" s="2" t="s">
        <v>13</v>
      </c>
      <c r="K6512" s="2" t="s">
        <v>1452</v>
      </c>
      <c r="L6512" s="2" t="s">
        <v>5221</v>
      </c>
      <c r="M6512" s="2" t="s">
        <v>5221</v>
      </c>
      <c r="N6512" s="2" t="s">
        <v>2317</v>
      </c>
      <c r="O6512" s="14">
        <v>6200</v>
      </c>
      <c r="P6512" s="14">
        <v>98.23</v>
      </c>
      <c r="Q6512" s="14">
        <v>109.74</v>
      </c>
      <c r="R6512" s="14">
        <v>109.74</v>
      </c>
      <c r="S6512" s="2" t="s">
        <v>5391</v>
      </c>
      <c r="T6512" s="2">
        <v>1.48</v>
      </c>
      <c r="U6512" s="2">
        <v>64</v>
      </c>
      <c r="V6512" s="2">
        <v>62</v>
      </c>
      <c r="W6512" s="2" t="s">
        <v>7862</v>
      </c>
      <c r="X6512" s="2" t="s">
        <v>6687</v>
      </c>
      <c r="Y6512" s="2">
        <v>6200</v>
      </c>
      <c r="Z6512" s="19" t="str">
        <f>HYPERLINK("https://ssdweb.co/ssdweb/hd/Vision360.html?d=926740757&amp;zoomslide=1&amp;z=1926740757&amp;ISCONFIRM=0","VIDEO")</f>
        <v>VIDEO</v>
      </c>
      <c r="AA6512" s="19" t="str">
        <f>HYPERLINK("https://ssdweb.co/ssdweb/CERTH/651466228.pdf","CERTI")</f>
        <v>CERTI</v>
      </c>
    </row>
    <row r="6513" spans="1:27" ht="15" x14ac:dyDescent="0.25">
      <c r="A6513" s="2">
        <v>6508</v>
      </c>
      <c r="B6513" s="39">
        <v>941100639</v>
      </c>
      <c r="C6513" s="28" t="str">
        <f>HYPERLINK("https://pld.live/RapDetail.aspx?STONELIST=941100639","DNA")</f>
        <v>DNA</v>
      </c>
      <c r="D6513" s="18" t="s">
        <v>3054</v>
      </c>
      <c r="E6513" s="18" t="s">
        <v>2186</v>
      </c>
      <c r="F6513" s="2" t="s">
        <v>7987</v>
      </c>
      <c r="G6513" s="2" t="s">
        <v>6781</v>
      </c>
      <c r="H6513" s="14">
        <v>1</v>
      </c>
      <c r="I6513" s="2" t="s">
        <v>4761</v>
      </c>
      <c r="J6513" s="2" t="s">
        <v>13</v>
      </c>
      <c r="K6513" s="2" t="s">
        <v>1452</v>
      </c>
      <c r="L6513" s="2" t="s">
        <v>5221</v>
      </c>
      <c r="M6513" s="2" t="s">
        <v>5221</v>
      </c>
      <c r="N6513" s="2" t="s">
        <v>2317</v>
      </c>
      <c r="O6513" s="14">
        <v>6200</v>
      </c>
      <c r="P6513" s="14">
        <v>98.23</v>
      </c>
      <c r="Q6513" s="14">
        <v>109.74</v>
      </c>
      <c r="R6513" s="14">
        <v>109.74</v>
      </c>
      <c r="S6513" s="2" t="s">
        <v>3099</v>
      </c>
      <c r="T6513" s="2">
        <v>1.63</v>
      </c>
      <c r="U6513" s="2">
        <v>63.1</v>
      </c>
      <c r="V6513" s="2">
        <v>58</v>
      </c>
      <c r="W6513" s="2" t="s">
        <v>7862</v>
      </c>
      <c r="X6513" s="2" t="s">
        <v>6687</v>
      </c>
      <c r="Y6513" s="2">
        <v>6200</v>
      </c>
      <c r="Z6513" s="19" t="str">
        <f>HYPERLINK("https://ssdweb.co/ssdweb/hd/Vision360.html?d=941100639&amp;zoomslide=1&amp;z=1941100639&amp;ISCONFIRM=0","VIDEO")</f>
        <v>VIDEO</v>
      </c>
      <c r="AA6513" s="19" t="str">
        <f>HYPERLINK("https://ssdweb.co/ssdweb/CERTH/674543284.pdf","CERTI")</f>
        <v>CERTI</v>
      </c>
    </row>
    <row r="6514" spans="1:27" ht="15" x14ac:dyDescent="0.25">
      <c r="A6514" s="2">
        <v>6509</v>
      </c>
      <c r="B6514" s="39">
        <v>941071322</v>
      </c>
      <c r="C6514" s="28" t="str">
        <f>HYPERLINK("https://pld.live/RapDetail.aspx?STONELIST=941071322","DNA")</f>
        <v>DNA</v>
      </c>
      <c r="D6514" s="18" t="s">
        <v>3054</v>
      </c>
      <c r="E6514" s="18" t="s">
        <v>5128</v>
      </c>
      <c r="F6514" s="2" t="s">
        <v>7987</v>
      </c>
      <c r="G6514" s="2" t="s">
        <v>6781</v>
      </c>
      <c r="H6514" s="14">
        <v>1</v>
      </c>
      <c r="I6514" s="2" t="s">
        <v>4761</v>
      </c>
      <c r="J6514" s="2" t="s">
        <v>13</v>
      </c>
      <c r="K6514" s="2" t="s">
        <v>1452</v>
      </c>
      <c r="L6514" s="2" t="s">
        <v>5221</v>
      </c>
      <c r="M6514" s="2" t="s">
        <v>5221</v>
      </c>
      <c r="N6514" s="2" t="s">
        <v>2317</v>
      </c>
      <c r="O6514" s="14">
        <v>6200</v>
      </c>
      <c r="P6514" s="14">
        <v>98.23</v>
      </c>
      <c r="Q6514" s="14">
        <v>109.74</v>
      </c>
      <c r="R6514" s="14">
        <v>109.74</v>
      </c>
      <c r="S6514" s="2" t="s">
        <v>5268</v>
      </c>
      <c r="T6514" s="2">
        <v>1.48</v>
      </c>
      <c r="U6514" s="2">
        <v>61.5</v>
      </c>
      <c r="V6514" s="2">
        <v>60</v>
      </c>
      <c r="W6514" s="2" t="s">
        <v>7862</v>
      </c>
      <c r="X6514" s="2" t="s">
        <v>6687</v>
      </c>
      <c r="Y6514" s="2">
        <v>6200</v>
      </c>
      <c r="Z6514" s="19" t="str">
        <f>HYPERLINK("https://ssdweb.co/ssdweb/hd/Vision360.html?d=941071322&amp;zoomslide=1&amp;z=1941071322&amp;ISCONFIRM=0","VIDEO")</f>
        <v>VIDEO</v>
      </c>
      <c r="AA6514" s="19" t="str">
        <f>HYPERLINK("https://ssdweb.co/ssdweb/CERTH/674532527.pdf","CERTI")</f>
        <v>CERTI</v>
      </c>
    </row>
    <row r="6515" spans="1:27" ht="15" x14ac:dyDescent="0.25">
      <c r="A6515" s="2">
        <v>6510</v>
      </c>
      <c r="B6515" s="39">
        <v>941090667</v>
      </c>
      <c r="C6515" s="28" t="str">
        <f>HYPERLINK("https://pld.live/RapDetail.aspx?STONELIST=941090667","DNA")</f>
        <v>DNA</v>
      </c>
      <c r="D6515" s="18" t="s">
        <v>3054</v>
      </c>
      <c r="E6515" s="18" t="s">
        <v>2186</v>
      </c>
      <c r="F6515" s="2" t="s">
        <v>7987</v>
      </c>
      <c r="G6515" s="2" t="s">
        <v>6781</v>
      </c>
      <c r="H6515" s="14">
        <v>1</v>
      </c>
      <c r="I6515" s="2" t="s">
        <v>4761</v>
      </c>
      <c r="J6515" s="2" t="s">
        <v>13</v>
      </c>
      <c r="K6515" s="2" t="s">
        <v>1452</v>
      </c>
      <c r="L6515" s="2" t="s">
        <v>5221</v>
      </c>
      <c r="M6515" s="2" t="s">
        <v>5221</v>
      </c>
      <c r="N6515" s="2" t="s">
        <v>2317</v>
      </c>
      <c r="O6515" s="14">
        <v>6200</v>
      </c>
      <c r="P6515" s="14">
        <v>98.23</v>
      </c>
      <c r="Q6515" s="14">
        <v>109.74</v>
      </c>
      <c r="R6515" s="14">
        <v>109.74</v>
      </c>
      <c r="S6515" s="2" t="s">
        <v>4101</v>
      </c>
      <c r="T6515" s="2">
        <v>1.5</v>
      </c>
      <c r="U6515" s="2">
        <v>63.7</v>
      </c>
      <c r="V6515" s="2">
        <v>64</v>
      </c>
      <c r="W6515" s="2" t="s">
        <v>7862</v>
      </c>
      <c r="X6515" s="2" t="s">
        <v>6687</v>
      </c>
      <c r="Y6515" s="2">
        <v>6200</v>
      </c>
      <c r="Z6515" s="19" t="str">
        <f>HYPERLINK("https://ssdweb.co/ssdweb/hd/Vision360.html?d=941090667&amp;zoomslide=1&amp;z=1941090667&amp;ISCONFIRM=0","VIDEO")</f>
        <v>VIDEO</v>
      </c>
      <c r="AA6515" s="19" t="str">
        <f>HYPERLINK("https://ssdweb.co/ssdweb/CERTH/674543289.pdf","CERTI")</f>
        <v>CERTI</v>
      </c>
    </row>
    <row r="6516" spans="1:27" ht="15" x14ac:dyDescent="0.25">
      <c r="A6516" s="2">
        <v>6511</v>
      </c>
      <c r="B6516" s="39">
        <v>941070137</v>
      </c>
      <c r="C6516" s="28" t="str">
        <f>HYPERLINK("https://pld.live/RapDetail.aspx?STONELIST=941070137","DNA")</f>
        <v>DNA</v>
      </c>
      <c r="D6516" s="18" t="s">
        <v>3054</v>
      </c>
      <c r="E6516" s="18" t="s">
        <v>5128</v>
      </c>
      <c r="F6516" s="2" t="s">
        <v>7987</v>
      </c>
      <c r="G6516" s="2" t="s">
        <v>6781</v>
      </c>
      <c r="H6516" s="14">
        <v>1</v>
      </c>
      <c r="I6516" s="2" t="s">
        <v>4761</v>
      </c>
      <c r="J6516" s="2" t="s">
        <v>13</v>
      </c>
      <c r="K6516" s="2" t="s">
        <v>1452</v>
      </c>
      <c r="L6516" s="2" t="s">
        <v>5221</v>
      </c>
      <c r="M6516" s="2" t="s">
        <v>5221</v>
      </c>
      <c r="N6516" s="2" t="s">
        <v>2317</v>
      </c>
      <c r="O6516" s="14">
        <v>6200</v>
      </c>
      <c r="P6516" s="14">
        <v>98.23</v>
      </c>
      <c r="Q6516" s="14">
        <v>109.74</v>
      </c>
      <c r="R6516" s="14">
        <v>109.74</v>
      </c>
      <c r="S6516" s="2" t="s">
        <v>163</v>
      </c>
      <c r="T6516" s="2">
        <v>1.5</v>
      </c>
      <c r="U6516" s="2">
        <v>62.4</v>
      </c>
      <c r="V6516" s="2">
        <v>58</v>
      </c>
      <c r="W6516" s="2" t="s">
        <v>7862</v>
      </c>
      <c r="X6516" s="2" t="s">
        <v>6687</v>
      </c>
      <c r="Y6516" s="2">
        <v>6200</v>
      </c>
      <c r="Z6516" s="19" t="str">
        <f>HYPERLINK("https://ssdweb.co/ssdweb/hd/Vision360.html?d=941070137&amp;zoomslide=1&amp;z=1941070137&amp;ISCONFIRM=0","VIDEO")</f>
        <v>VIDEO</v>
      </c>
      <c r="AA6516" s="19" t="str">
        <f>HYPERLINK("https://ssdweb.co/ssdweb/CERTH/669458243.pdf","CERTI")</f>
        <v>CERTI</v>
      </c>
    </row>
    <row r="6517" spans="1:27" ht="15" x14ac:dyDescent="0.25">
      <c r="A6517" s="2">
        <v>6512</v>
      </c>
      <c r="B6517" s="39">
        <v>927092662</v>
      </c>
      <c r="C6517" s="28" t="str">
        <f>HYPERLINK("https://pld.live/RapDetail.aspx?STONELIST=927092662","DNA")</f>
        <v>DNA</v>
      </c>
      <c r="D6517" s="18" t="s">
        <v>3054</v>
      </c>
      <c r="E6517" s="18" t="s">
        <v>5128</v>
      </c>
      <c r="F6517" s="2" t="s">
        <v>7987</v>
      </c>
      <c r="G6517" s="2" t="s">
        <v>6781</v>
      </c>
      <c r="H6517" s="14">
        <v>1</v>
      </c>
      <c r="I6517" s="2" t="s">
        <v>4761</v>
      </c>
      <c r="J6517" s="2" t="s">
        <v>13</v>
      </c>
      <c r="K6517" s="2" t="s">
        <v>1452</v>
      </c>
      <c r="L6517" s="2" t="s">
        <v>5221</v>
      </c>
      <c r="M6517" s="2" t="s">
        <v>5221</v>
      </c>
      <c r="N6517" s="2" t="s">
        <v>2317</v>
      </c>
      <c r="O6517" s="14">
        <v>6200</v>
      </c>
      <c r="P6517" s="14">
        <v>98.23</v>
      </c>
      <c r="Q6517" s="14">
        <v>109.74</v>
      </c>
      <c r="R6517" s="14">
        <v>109.74</v>
      </c>
      <c r="S6517" s="2" t="s">
        <v>5321</v>
      </c>
      <c r="T6517" s="2">
        <v>1.52</v>
      </c>
      <c r="U6517" s="2">
        <v>62.8</v>
      </c>
      <c r="V6517" s="2">
        <v>58</v>
      </c>
      <c r="W6517" s="2" t="s">
        <v>7862</v>
      </c>
      <c r="X6517" s="2" t="s">
        <v>6687</v>
      </c>
      <c r="Y6517" s="2">
        <v>6200</v>
      </c>
      <c r="Z6517" s="19" t="str">
        <f>HYPERLINK("https://ssdweb.co/ssdweb/hd/Vision360.html?d=927092662&amp;zoomslide=1&amp;z=1927092662&amp;ISCONFIRM=0","VIDEO")</f>
        <v>VIDEO</v>
      </c>
      <c r="AA6517" s="19" t="str">
        <f>HYPERLINK("https://ssdweb.co/ssdweb/CERTH/671477246.pdf","CERTI")</f>
        <v>CERTI</v>
      </c>
    </row>
    <row r="6518" spans="1:27" ht="15" x14ac:dyDescent="0.25">
      <c r="A6518" s="2">
        <v>6513</v>
      </c>
      <c r="B6518" s="39">
        <v>927060749</v>
      </c>
      <c r="C6518" s="28" t="str">
        <f>HYPERLINK("https://pld.live/RapDetail.aspx?STONELIST=927060749","DNA")</f>
        <v>DNA</v>
      </c>
      <c r="D6518" s="18" t="s">
        <v>3054</v>
      </c>
      <c r="E6518" s="18" t="s">
        <v>2186</v>
      </c>
      <c r="F6518" s="2" t="s">
        <v>7987</v>
      </c>
      <c r="G6518" s="2" t="s">
        <v>6781</v>
      </c>
      <c r="H6518" s="14">
        <v>1</v>
      </c>
      <c r="I6518" s="2" t="s">
        <v>4761</v>
      </c>
      <c r="J6518" s="2" t="s">
        <v>13</v>
      </c>
      <c r="K6518" s="2" t="s">
        <v>1452</v>
      </c>
      <c r="L6518" s="2" t="s">
        <v>5221</v>
      </c>
      <c r="M6518" s="2" t="s">
        <v>5221</v>
      </c>
      <c r="N6518" s="2" t="s">
        <v>2317</v>
      </c>
      <c r="O6518" s="14">
        <v>6200</v>
      </c>
      <c r="P6518" s="14">
        <v>98.23</v>
      </c>
      <c r="Q6518" s="14">
        <v>109.74</v>
      </c>
      <c r="R6518" s="14">
        <v>109.74</v>
      </c>
      <c r="S6518" s="2" t="s">
        <v>886</v>
      </c>
      <c r="T6518" s="2">
        <v>1.57</v>
      </c>
      <c r="U6518" s="2">
        <v>63.4</v>
      </c>
      <c r="V6518" s="2">
        <v>64</v>
      </c>
      <c r="W6518" s="2" t="s">
        <v>7862</v>
      </c>
      <c r="X6518" s="2" t="s">
        <v>6687</v>
      </c>
      <c r="Y6518" s="2">
        <v>6200</v>
      </c>
      <c r="Z6518" s="19" t="str">
        <f>HYPERLINK("https://ssdweb.co/ssdweb/hd/Vision360.html?d=927060749&amp;zoomslide=1&amp;z=1927060749&amp;ISCONFIRM=0","VIDEO")</f>
        <v>VIDEO</v>
      </c>
      <c r="AA6518" s="19" t="str">
        <f>HYPERLINK("https://ssdweb.co/ssdweb/CERTH/665453168.pdf","CERTI")</f>
        <v>CERTI</v>
      </c>
    </row>
    <row r="6519" spans="1:27" ht="15" x14ac:dyDescent="0.25">
      <c r="A6519" s="2">
        <v>6514</v>
      </c>
      <c r="B6519" s="39">
        <v>927140391</v>
      </c>
      <c r="C6519" s="28" t="str">
        <f>HYPERLINK("https://pld.live/RapDetail.aspx?STONELIST=927140391","DNA")</f>
        <v>DNA</v>
      </c>
      <c r="D6519" s="18" t="s">
        <v>3054</v>
      </c>
      <c r="E6519" s="18" t="s">
        <v>2186</v>
      </c>
      <c r="F6519" s="2" t="s">
        <v>7987</v>
      </c>
      <c r="G6519" s="2" t="s">
        <v>6781</v>
      </c>
      <c r="H6519" s="14">
        <v>1</v>
      </c>
      <c r="I6519" s="2" t="s">
        <v>4761</v>
      </c>
      <c r="J6519" s="2" t="s">
        <v>13</v>
      </c>
      <c r="K6519" s="2" t="s">
        <v>1452</v>
      </c>
      <c r="L6519" s="2" t="s">
        <v>5221</v>
      </c>
      <c r="M6519" s="2" t="s">
        <v>5721</v>
      </c>
      <c r="N6519" s="2" t="s">
        <v>2317</v>
      </c>
      <c r="O6519" s="14">
        <v>6200</v>
      </c>
      <c r="P6519" s="14">
        <v>98.26</v>
      </c>
      <c r="Q6519" s="14">
        <v>107.88</v>
      </c>
      <c r="R6519" s="14">
        <v>107.88</v>
      </c>
      <c r="S6519" s="2" t="s">
        <v>6036</v>
      </c>
      <c r="T6519" s="2">
        <v>1.5</v>
      </c>
      <c r="U6519" s="2">
        <v>63.1</v>
      </c>
      <c r="V6519" s="2">
        <v>66</v>
      </c>
      <c r="W6519" s="2" t="s">
        <v>7862</v>
      </c>
      <c r="X6519" s="2" t="s">
        <v>6687</v>
      </c>
      <c r="Y6519" s="2">
        <v>6200</v>
      </c>
      <c r="Z6519" s="19" t="str">
        <f>HYPERLINK("https://ssdweb.co/ssdweb/hd/Vision360.html?d=927140391&amp;zoomslide=1&amp;z=1927140391&amp;ISCONFIRM=0","VIDEO")</f>
        <v>VIDEO</v>
      </c>
      <c r="AA6519" s="19" t="str">
        <f>HYPERLINK("https://ssdweb.co/ssdweb/CERTH/671437445.pdf","CERTI")</f>
        <v>CERTI</v>
      </c>
    </row>
    <row r="6520" spans="1:27" ht="15" x14ac:dyDescent="0.25">
      <c r="A6520" s="2">
        <v>6515</v>
      </c>
      <c r="B6520" s="39">
        <v>941100650</v>
      </c>
      <c r="C6520" s="28" t="str">
        <f>HYPERLINK("https://pld.live/RapDetail.aspx?STONELIST=941100650","DNA")</f>
        <v>DNA</v>
      </c>
      <c r="D6520" s="18" t="s">
        <v>3054</v>
      </c>
      <c r="E6520" s="18" t="s">
        <v>2186</v>
      </c>
      <c r="F6520" s="2" t="s">
        <v>7987</v>
      </c>
      <c r="G6520" s="2" t="s">
        <v>6781</v>
      </c>
      <c r="H6520" s="14">
        <v>1</v>
      </c>
      <c r="I6520" s="2" t="s">
        <v>4761</v>
      </c>
      <c r="J6520" s="2" t="s">
        <v>5144</v>
      </c>
      <c r="K6520" s="2" t="s">
        <v>1452</v>
      </c>
      <c r="L6520" s="2" t="s">
        <v>5221</v>
      </c>
      <c r="M6520" s="2" t="s">
        <v>5221</v>
      </c>
      <c r="N6520" s="2" t="s">
        <v>2317</v>
      </c>
      <c r="O6520" s="14">
        <v>5400</v>
      </c>
      <c r="P6520" s="14">
        <v>98</v>
      </c>
      <c r="Q6520" s="14">
        <v>108</v>
      </c>
      <c r="R6520" s="14">
        <v>108</v>
      </c>
      <c r="S6520" s="2" t="s">
        <v>2408</v>
      </c>
      <c r="T6520" s="2">
        <v>1.48</v>
      </c>
      <c r="U6520" s="2">
        <v>63.8</v>
      </c>
      <c r="V6520" s="2">
        <v>63</v>
      </c>
      <c r="W6520" s="2" t="s">
        <v>7862</v>
      </c>
      <c r="X6520" s="2" t="s">
        <v>6687</v>
      </c>
      <c r="Y6520" s="2">
        <v>5400</v>
      </c>
      <c r="Z6520" s="19" t="str">
        <f>HYPERLINK("https://ssdweb.co/ssdweb/hd/Vision360.html?d=941100650&amp;zoomslide=1&amp;z=1941100650&amp;ISCONFIRM=0","VIDEO")</f>
        <v>VIDEO</v>
      </c>
      <c r="AA6520" s="19" t="str">
        <f>HYPERLINK("https://ssdweb.co/ssdweb/CERTH/674532600.pdf","CERTI")</f>
        <v>CERTI</v>
      </c>
    </row>
    <row r="6521" spans="1:27" ht="15" x14ac:dyDescent="0.25">
      <c r="A6521" s="2">
        <v>6516</v>
      </c>
      <c r="B6521" s="39">
        <v>924940139</v>
      </c>
      <c r="C6521" s="28" t="str">
        <f>HYPERLINK("https://pld.live/RapDetail.aspx?STONELIST=924940139","DNA")</f>
        <v>DNA</v>
      </c>
      <c r="D6521" s="18" t="s">
        <v>3054</v>
      </c>
      <c r="E6521" s="18" t="s">
        <v>2186</v>
      </c>
      <c r="F6521" s="2" t="s">
        <v>7987</v>
      </c>
      <c r="G6521" s="2" t="s">
        <v>6781</v>
      </c>
      <c r="H6521" s="14">
        <v>1</v>
      </c>
      <c r="I6521" s="2" t="s">
        <v>4761</v>
      </c>
      <c r="J6521" s="2" t="s">
        <v>444</v>
      </c>
      <c r="K6521" s="2" t="s">
        <v>1452</v>
      </c>
      <c r="L6521" s="2" t="s">
        <v>5221</v>
      </c>
      <c r="M6521" s="2" t="s">
        <v>5221</v>
      </c>
      <c r="N6521" s="2" t="s">
        <v>2317</v>
      </c>
      <c r="O6521" s="14">
        <v>4300</v>
      </c>
      <c r="P6521" s="14">
        <v>97.67</v>
      </c>
      <c r="Q6521" s="14">
        <v>100.19</v>
      </c>
      <c r="R6521" s="14">
        <v>100.19</v>
      </c>
      <c r="S6521" s="2" t="s">
        <v>5519</v>
      </c>
      <c r="T6521" s="2">
        <v>1.49</v>
      </c>
      <c r="U6521" s="2">
        <v>61.4</v>
      </c>
      <c r="V6521" s="2">
        <v>63</v>
      </c>
      <c r="W6521" s="2" t="s">
        <v>7862</v>
      </c>
      <c r="X6521" s="2" t="s">
        <v>6687</v>
      </c>
      <c r="Y6521" s="2">
        <v>4300</v>
      </c>
      <c r="Z6521" s="19" t="str">
        <f>HYPERLINK("https://ssdweb.co/ssdweb/hd/Vision360.html?d=924940139&amp;zoomslide=1&amp;z=1924940139&amp;ISCONFIRM=0","VIDEO")</f>
        <v>VIDEO</v>
      </c>
      <c r="AA6521" s="19" t="str">
        <f>HYPERLINK("https://ssdweb.co/ssdweb/CERTH/602361364.pdf","CERTI")</f>
        <v>CERTI</v>
      </c>
    </row>
    <row r="6522" spans="1:27" ht="15" x14ac:dyDescent="0.25">
      <c r="A6522" s="2">
        <v>6517</v>
      </c>
      <c r="B6522" s="39">
        <v>927092079</v>
      </c>
      <c r="C6522" s="28" t="str">
        <f>HYPERLINK("https://pld.live/RapDetail.aspx?STONELIST=927092079","DNA")</f>
        <v>DNA</v>
      </c>
      <c r="D6522" s="18" t="s">
        <v>3054</v>
      </c>
      <c r="E6522" s="18" t="s">
        <v>5128</v>
      </c>
      <c r="F6522" s="2" t="s">
        <v>7987</v>
      </c>
      <c r="G6522" s="2" t="s">
        <v>6781</v>
      </c>
      <c r="H6522" s="14">
        <v>1</v>
      </c>
      <c r="I6522" s="2" t="s">
        <v>4699</v>
      </c>
      <c r="J6522" s="2" t="s">
        <v>6555</v>
      </c>
      <c r="K6522" s="2" t="s">
        <v>1452</v>
      </c>
      <c r="L6522" s="2" t="s">
        <v>5221</v>
      </c>
      <c r="M6522" s="2" t="s">
        <v>5221</v>
      </c>
      <c r="N6522" s="2" t="s">
        <v>2317</v>
      </c>
      <c r="O6522" s="14">
        <v>6800</v>
      </c>
      <c r="P6522" s="14">
        <v>98.01</v>
      </c>
      <c r="Q6522" s="14">
        <v>135.32</v>
      </c>
      <c r="R6522" s="14">
        <v>135.32</v>
      </c>
      <c r="S6522" s="2" t="s">
        <v>1006</v>
      </c>
      <c r="T6522" s="2">
        <v>1.54</v>
      </c>
      <c r="U6522" s="2">
        <v>63.3</v>
      </c>
      <c r="V6522" s="2">
        <v>65</v>
      </c>
      <c r="W6522" s="2" t="s">
        <v>7862</v>
      </c>
      <c r="X6522" s="2" t="s">
        <v>6687</v>
      </c>
      <c r="Y6522" s="2">
        <v>6800</v>
      </c>
      <c r="Z6522" s="19" t="str">
        <f>HYPERLINK("https://ssdweb.co/ssdweb/hd/Vision360.html?d=927092079&amp;zoomslide=1&amp;z=1927092079&amp;ISCONFIRM=0","VIDEO")</f>
        <v>VIDEO</v>
      </c>
      <c r="AA6522" s="19" t="str">
        <f>HYPERLINK("https://ssdweb.co/ssdweb/CERTH/665453183.pdf","CERTI")</f>
        <v>CERTI</v>
      </c>
    </row>
    <row r="6523" spans="1:27" ht="15" x14ac:dyDescent="0.25">
      <c r="A6523" s="2">
        <v>6518</v>
      </c>
      <c r="B6523" s="39">
        <v>927000626</v>
      </c>
      <c r="C6523" s="28" t="str">
        <f>HYPERLINK("https://pld.live/RapDetail.aspx?STONELIST=927000626","DNA")</f>
        <v>DNA</v>
      </c>
      <c r="D6523" s="18" t="s">
        <v>3054</v>
      </c>
      <c r="E6523" s="18" t="s">
        <v>2186</v>
      </c>
      <c r="F6523" s="2" t="s">
        <v>7987</v>
      </c>
      <c r="G6523" s="2" t="s">
        <v>6781</v>
      </c>
      <c r="H6523" s="14">
        <v>1</v>
      </c>
      <c r="I6523" s="2" t="s">
        <v>4699</v>
      </c>
      <c r="J6523" s="2" t="s">
        <v>3942</v>
      </c>
      <c r="K6523" s="2" t="s">
        <v>1452</v>
      </c>
      <c r="L6523" s="2" t="s">
        <v>5221</v>
      </c>
      <c r="M6523" s="2" t="s">
        <v>5221</v>
      </c>
      <c r="N6523" s="2" t="s">
        <v>2317</v>
      </c>
      <c r="O6523" s="14">
        <v>6400</v>
      </c>
      <c r="P6523" s="14">
        <v>98.23</v>
      </c>
      <c r="Q6523" s="14">
        <v>113.28</v>
      </c>
      <c r="R6523" s="14">
        <v>113.28</v>
      </c>
      <c r="S6523" s="2" t="s">
        <v>5251</v>
      </c>
      <c r="T6523" s="2">
        <v>1.53</v>
      </c>
      <c r="U6523" s="2">
        <v>62</v>
      </c>
      <c r="V6523" s="2">
        <v>62</v>
      </c>
      <c r="W6523" s="2" t="s">
        <v>7862</v>
      </c>
      <c r="X6523" s="2" t="s">
        <v>6687</v>
      </c>
      <c r="Y6523" s="2">
        <v>6400</v>
      </c>
      <c r="Z6523" s="19" t="str">
        <f>HYPERLINK("https://ssdweb.co/ssdweb/hd/Vision360.html?d=927000626&amp;zoomslide=1&amp;z=1927000626&amp;ISCONFIRM=0","VIDEO")</f>
        <v>VIDEO</v>
      </c>
      <c r="AA6523" s="19" t="str">
        <f>HYPERLINK("https://ssdweb.co/ssdweb/CERTH/670484464.pdf","CERTI")</f>
        <v>CERTI</v>
      </c>
    </row>
    <row r="6524" spans="1:27" ht="15" x14ac:dyDescent="0.25">
      <c r="A6524" s="2">
        <v>6519</v>
      </c>
      <c r="B6524" s="39">
        <v>924920288</v>
      </c>
      <c r="C6524" s="28" t="str">
        <f>HYPERLINK("https://pld.live/RapDetail.aspx?STONELIST=924920288","DNA")</f>
        <v>DNA</v>
      </c>
      <c r="D6524" s="18" t="s">
        <v>3054</v>
      </c>
      <c r="E6524" s="18" t="s">
        <v>2186</v>
      </c>
      <c r="F6524" s="2" t="s">
        <v>7987</v>
      </c>
      <c r="G6524" s="2" t="s">
        <v>6781</v>
      </c>
      <c r="H6524" s="14">
        <v>1</v>
      </c>
      <c r="I6524" s="2" t="s">
        <v>1505</v>
      </c>
      <c r="J6524" s="2" t="s">
        <v>3942</v>
      </c>
      <c r="K6524" s="2" t="s">
        <v>1452</v>
      </c>
      <c r="L6524" s="2" t="s">
        <v>5221</v>
      </c>
      <c r="M6524" s="2" t="s">
        <v>5221</v>
      </c>
      <c r="N6524" s="2" t="s">
        <v>2317</v>
      </c>
      <c r="O6524" s="14">
        <v>4900</v>
      </c>
      <c r="P6524" s="14">
        <v>97.96</v>
      </c>
      <c r="Q6524" s="14">
        <v>99.96</v>
      </c>
      <c r="R6524" s="14">
        <v>99.96</v>
      </c>
      <c r="S6524" s="2" t="s">
        <v>1823</v>
      </c>
      <c r="T6524" s="2">
        <v>1.68</v>
      </c>
      <c r="U6524" s="2">
        <v>57.9</v>
      </c>
      <c r="V6524" s="2">
        <v>60</v>
      </c>
      <c r="W6524" s="2" t="s">
        <v>7862</v>
      </c>
      <c r="X6524" s="2" t="s">
        <v>6687</v>
      </c>
      <c r="Y6524" s="2">
        <v>4900</v>
      </c>
      <c r="Z6524" s="19" t="str">
        <f>HYPERLINK("https://ssdweb.co/ssdweb/hd/Vision360.html?d=924920288&amp;zoomslide=1&amp;z=1924920288&amp;ISCONFIRM=0","VIDEO")</f>
        <v>VIDEO</v>
      </c>
      <c r="AA6524" s="19" t="str">
        <f>HYPERLINK("https://ssdweb.co/ssdweb/CERTH/604303934.pdf","CERTI")</f>
        <v>CERTI</v>
      </c>
    </row>
    <row r="6525" spans="1:27" ht="15" x14ac:dyDescent="0.25">
      <c r="A6525" s="2">
        <v>6520</v>
      </c>
      <c r="B6525" s="39">
        <v>925350036</v>
      </c>
      <c r="C6525" s="28" t="str">
        <f>HYPERLINK("https://pld.live/RapDetail.aspx?STONELIST=925350036","DNA")</f>
        <v>DNA</v>
      </c>
      <c r="D6525" s="18" t="s">
        <v>3054</v>
      </c>
      <c r="E6525" s="18" t="s">
        <v>2186</v>
      </c>
      <c r="F6525" s="2" t="s">
        <v>7987</v>
      </c>
      <c r="G6525" s="2" t="s">
        <v>6781</v>
      </c>
      <c r="H6525" s="14">
        <v>1</v>
      </c>
      <c r="I6525" s="2" t="s">
        <v>1505</v>
      </c>
      <c r="J6525" s="2" t="s">
        <v>3942</v>
      </c>
      <c r="K6525" s="2" t="s">
        <v>1452</v>
      </c>
      <c r="L6525" s="2" t="s">
        <v>5221</v>
      </c>
      <c r="M6525" s="2" t="s">
        <v>5221</v>
      </c>
      <c r="N6525" s="2" t="s">
        <v>2317</v>
      </c>
      <c r="O6525" s="14">
        <v>4900</v>
      </c>
      <c r="P6525" s="14">
        <v>97.96</v>
      </c>
      <c r="Q6525" s="14">
        <v>99.96</v>
      </c>
      <c r="R6525" s="14">
        <v>99.96</v>
      </c>
      <c r="S6525" s="2" t="s">
        <v>3956</v>
      </c>
      <c r="T6525" s="2">
        <v>1.61</v>
      </c>
      <c r="U6525" s="2">
        <v>58.8</v>
      </c>
      <c r="V6525" s="2">
        <v>64</v>
      </c>
      <c r="W6525" s="2" t="s">
        <v>7862</v>
      </c>
      <c r="X6525" s="2" t="s">
        <v>6687</v>
      </c>
      <c r="Y6525" s="2">
        <v>4900</v>
      </c>
      <c r="Z6525" s="19" t="str">
        <f>HYPERLINK("https://ssdweb.co/ssdweb/hd/Vision360.html?d=925350036&amp;zoomslide=1&amp;z=1925350036&amp;ISCONFIRM=0","VIDEO")</f>
        <v>VIDEO</v>
      </c>
      <c r="AA6525" s="19" t="str">
        <f>HYPERLINK("https://ssdweb.co/ssdweb/CERTH/616403558.pdf","CERTI")</f>
        <v>CERTI</v>
      </c>
    </row>
    <row r="6526" spans="1:27" ht="15" x14ac:dyDescent="0.25">
      <c r="A6526" s="2">
        <v>6521</v>
      </c>
      <c r="B6526" s="39">
        <v>821128385</v>
      </c>
      <c r="C6526" s="28" t="str">
        <f>HYPERLINK("https://pld.live/RapDetail.aspx?STONELIST=821128385","DNA")</f>
        <v>DNA</v>
      </c>
      <c r="D6526" s="18" t="s">
        <v>4121</v>
      </c>
      <c r="E6526" s="18" t="s">
        <v>5128</v>
      </c>
      <c r="F6526" s="2" t="s">
        <v>7987</v>
      </c>
      <c r="G6526" s="2" t="s">
        <v>6781</v>
      </c>
      <c r="H6526" s="14">
        <v>0.99</v>
      </c>
      <c r="I6526" s="2" t="s">
        <v>267</v>
      </c>
      <c r="J6526" s="2" t="s">
        <v>3942</v>
      </c>
      <c r="K6526" s="2" t="s">
        <v>1452</v>
      </c>
      <c r="L6526" s="2" t="s">
        <v>5221</v>
      </c>
      <c r="M6526" s="2" t="s">
        <v>5221</v>
      </c>
      <c r="N6526" s="2" t="s">
        <v>2317</v>
      </c>
      <c r="O6526" s="14">
        <v>5600</v>
      </c>
      <c r="P6526" s="14">
        <v>97.95</v>
      </c>
      <c r="Q6526" s="14">
        <v>114.8</v>
      </c>
      <c r="R6526" s="14">
        <v>113.65</v>
      </c>
      <c r="S6526" s="2" t="s">
        <v>7252</v>
      </c>
      <c r="T6526" s="2">
        <v>1.54</v>
      </c>
      <c r="U6526" s="2">
        <v>61.4</v>
      </c>
      <c r="V6526" s="2">
        <v>59</v>
      </c>
      <c r="W6526" s="2" t="s">
        <v>7862</v>
      </c>
      <c r="X6526" s="2" t="s">
        <v>6687</v>
      </c>
      <c r="Y6526" s="2">
        <v>5544</v>
      </c>
      <c r="Z6526" s="19" t="str">
        <f>HYPERLINK("https://ssdweb.co/ssdweb/hd/Vision360.html?d=821128385&amp;zoomslide=1&amp;z=1821128385&amp;ISCONFIRM=0","VIDEO")</f>
        <v>VIDEO</v>
      </c>
      <c r="AA6526" s="19" t="str">
        <f>HYPERLINK("https://ssdweb.co/ssdweb/CERTH/626478817.pdf","CERTI")</f>
        <v>CERTI</v>
      </c>
    </row>
    <row r="6527" spans="1:27" ht="15" x14ac:dyDescent="0.25">
      <c r="A6527" s="2">
        <v>6522</v>
      </c>
      <c r="B6527" s="39">
        <v>926680948</v>
      </c>
      <c r="C6527" s="28" t="str">
        <f>HYPERLINK("https://pld.live/RapDetail.aspx?STONELIST=926680948","DNA")</f>
        <v>DNA</v>
      </c>
      <c r="D6527" s="18" t="s">
        <v>4121</v>
      </c>
      <c r="E6527" s="18" t="s">
        <v>2186</v>
      </c>
      <c r="F6527" s="2" t="s">
        <v>7987</v>
      </c>
      <c r="G6527" s="2" t="s">
        <v>6781</v>
      </c>
      <c r="H6527" s="14">
        <v>0.99</v>
      </c>
      <c r="I6527" s="2" t="s">
        <v>4761</v>
      </c>
      <c r="J6527" s="2" t="s">
        <v>13</v>
      </c>
      <c r="K6527" s="2" t="s">
        <v>1452</v>
      </c>
      <c r="L6527" s="2" t="s">
        <v>5221</v>
      </c>
      <c r="M6527" s="2" t="s">
        <v>5221</v>
      </c>
      <c r="N6527" s="2" t="s">
        <v>2317</v>
      </c>
      <c r="O6527" s="14">
        <v>4900</v>
      </c>
      <c r="P6527" s="14">
        <v>97.8</v>
      </c>
      <c r="Q6527" s="14">
        <v>107.8</v>
      </c>
      <c r="R6527" s="14">
        <v>106.72</v>
      </c>
      <c r="S6527" s="2" t="s">
        <v>8070</v>
      </c>
      <c r="T6527" s="2">
        <v>1.53</v>
      </c>
      <c r="U6527" s="2">
        <v>61.6</v>
      </c>
      <c r="V6527" s="2">
        <v>59</v>
      </c>
      <c r="W6527" s="2" t="s">
        <v>7862</v>
      </c>
      <c r="X6527" s="2" t="s">
        <v>6687</v>
      </c>
      <c r="Y6527" s="2">
        <v>4851</v>
      </c>
      <c r="Z6527" s="19" t="str">
        <f>HYPERLINK("https://ssdweb.co/ssdweb/hd/Vision360.html?d=926680948&amp;zoomslide=1&amp;z=1926680948&amp;ISCONFIRM=0","VIDEO")</f>
        <v>VIDEO</v>
      </c>
      <c r="AA6527" s="19" t="str">
        <f>HYPERLINK("https://ssdweb.co/ssdweb/CERTH/651455431.pdf","CERTI")</f>
        <v>CERTI</v>
      </c>
    </row>
    <row r="6528" spans="1:27" ht="15" x14ac:dyDescent="0.25">
      <c r="A6528" s="2">
        <v>6523</v>
      </c>
      <c r="B6528" s="39">
        <v>925851285</v>
      </c>
      <c r="C6528" s="28" t="str">
        <f>HYPERLINK("https://pld.live/RapDetail.aspx?STONELIST=925851285","DNA")</f>
        <v>DNA</v>
      </c>
      <c r="D6528" s="18" t="s">
        <v>4121</v>
      </c>
      <c r="E6528" s="18" t="s">
        <v>5128</v>
      </c>
      <c r="F6528" s="2" t="s">
        <v>7987</v>
      </c>
      <c r="G6528" s="2" t="s">
        <v>6781</v>
      </c>
      <c r="H6528" s="14">
        <v>0.98</v>
      </c>
      <c r="I6528" s="2" t="s">
        <v>267</v>
      </c>
      <c r="J6528" s="2" t="s">
        <v>3942</v>
      </c>
      <c r="K6528" s="2" t="s">
        <v>1452</v>
      </c>
      <c r="L6528" s="2" t="s">
        <v>5221</v>
      </c>
      <c r="M6528" s="2" t="s">
        <v>5221</v>
      </c>
      <c r="N6528" s="2" t="s">
        <v>2317</v>
      </c>
      <c r="O6528" s="14">
        <v>5600</v>
      </c>
      <c r="P6528" s="14">
        <v>97.95</v>
      </c>
      <c r="Q6528" s="14">
        <v>114.8</v>
      </c>
      <c r="R6528" s="14">
        <v>112.5</v>
      </c>
      <c r="S6528" s="2" t="s">
        <v>6246</v>
      </c>
      <c r="T6528" s="2">
        <v>1.58</v>
      </c>
      <c r="U6528" s="2">
        <v>61.7</v>
      </c>
      <c r="V6528" s="2">
        <v>57</v>
      </c>
      <c r="W6528" s="2" t="s">
        <v>7862</v>
      </c>
      <c r="X6528" s="2" t="s">
        <v>6687</v>
      </c>
      <c r="Y6528" s="2">
        <v>5488</v>
      </c>
      <c r="Z6528" s="19" t="str">
        <f>HYPERLINK("https://ssdweb.co/ssdweb/hd/Vision360.html?d=925851285&amp;zoomslide=1&amp;z=1925851285&amp;ISCONFIRM=0","VIDEO")</f>
        <v>VIDEO</v>
      </c>
      <c r="AA6528" s="19" t="str">
        <f>HYPERLINK("https://ssdweb.co/ssdweb/CERTH/629435541.pdf","CERTI")</f>
        <v>CERTI</v>
      </c>
    </row>
    <row r="6529" spans="1:27" ht="15" x14ac:dyDescent="0.25">
      <c r="A6529" s="2">
        <v>6524</v>
      </c>
      <c r="B6529" s="39">
        <v>821113385</v>
      </c>
      <c r="C6529" s="28" t="str">
        <f>HYPERLINK("https://pld.live/RapDetail.aspx?STONELIST=821113385","DNA")</f>
        <v>DNA</v>
      </c>
      <c r="D6529" s="18" t="s">
        <v>4121</v>
      </c>
      <c r="E6529" s="18" t="s">
        <v>2186</v>
      </c>
      <c r="F6529" s="2" t="s">
        <v>7987</v>
      </c>
      <c r="G6529" s="2" t="s">
        <v>6781</v>
      </c>
      <c r="H6529" s="14">
        <v>0.98</v>
      </c>
      <c r="I6529" s="2" t="s">
        <v>4761</v>
      </c>
      <c r="J6529" s="2" t="s">
        <v>13</v>
      </c>
      <c r="K6529" s="2" t="s">
        <v>1452</v>
      </c>
      <c r="L6529" s="2" t="s">
        <v>5221</v>
      </c>
      <c r="M6529" s="2" t="s">
        <v>5221</v>
      </c>
      <c r="N6529" s="2" t="s">
        <v>2317</v>
      </c>
      <c r="O6529" s="14">
        <v>4900</v>
      </c>
      <c r="P6529" s="14">
        <v>97.86</v>
      </c>
      <c r="Q6529" s="14">
        <v>104.86</v>
      </c>
      <c r="R6529" s="14">
        <v>102.76</v>
      </c>
      <c r="S6529" s="2" t="s">
        <v>6638</v>
      </c>
      <c r="T6529" s="2">
        <v>1.5</v>
      </c>
      <c r="U6529" s="2">
        <v>65.099999999999994</v>
      </c>
      <c r="V6529" s="2">
        <v>60</v>
      </c>
      <c r="W6529" s="2" t="s">
        <v>7862</v>
      </c>
      <c r="X6529" s="2" t="s">
        <v>6687</v>
      </c>
      <c r="Y6529" s="2">
        <v>4802</v>
      </c>
      <c r="Z6529" s="19" t="str">
        <f>HYPERLINK("https://ssdweb.co/ssdweb/hd/Vision360.html?d=821113385&amp;zoomslide=1&amp;z=1821113385&amp;ISCONFIRM=0","VIDEO")</f>
        <v>VIDEO</v>
      </c>
      <c r="AA6529" s="19" t="str">
        <f>HYPERLINK("https://ssdweb.co/ssdweb/CERTH/618418900.pdf","CERTI")</f>
        <v>CERTI</v>
      </c>
    </row>
    <row r="6530" spans="1:27" ht="15" x14ac:dyDescent="0.25">
      <c r="A6530" s="2">
        <v>6525</v>
      </c>
      <c r="B6530" s="39">
        <v>821113766</v>
      </c>
      <c r="C6530" s="28" t="str">
        <f>HYPERLINK("https://pld.live/RapDetail.aspx?STONELIST=821113766","DNA")</f>
        <v>DNA</v>
      </c>
      <c r="D6530" s="18" t="s">
        <v>4121</v>
      </c>
      <c r="E6530" s="18" t="s">
        <v>2186</v>
      </c>
      <c r="F6530" s="2" t="s">
        <v>7987</v>
      </c>
      <c r="G6530" s="2" t="s">
        <v>6781</v>
      </c>
      <c r="H6530" s="14">
        <v>0.98</v>
      </c>
      <c r="I6530" s="2" t="s">
        <v>4761</v>
      </c>
      <c r="J6530" s="2" t="s">
        <v>5144</v>
      </c>
      <c r="K6530" s="2" t="s">
        <v>1452</v>
      </c>
      <c r="L6530" s="2" t="s">
        <v>5221</v>
      </c>
      <c r="M6530" s="2" t="s">
        <v>5221</v>
      </c>
      <c r="N6530" s="2" t="s">
        <v>2317</v>
      </c>
      <c r="O6530" s="14">
        <v>4200</v>
      </c>
      <c r="P6530" s="14">
        <v>97.55</v>
      </c>
      <c r="Q6530" s="14">
        <v>102.9</v>
      </c>
      <c r="R6530" s="14">
        <v>100.84</v>
      </c>
      <c r="S6530" s="2" t="s">
        <v>7084</v>
      </c>
      <c r="T6530" s="2">
        <v>1.61</v>
      </c>
      <c r="U6530" s="2">
        <v>61.6</v>
      </c>
      <c r="V6530" s="2">
        <v>63</v>
      </c>
      <c r="W6530" s="2" t="s">
        <v>7862</v>
      </c>
      <c r="X6530" s="2" t="s">
        <v>6687</v>
      </c>
      <c r="Y6530" s="2">
        <v>4116</v>
      </c>
      <c r="Z6530" s="19" t="str">
        <f>HYPERLINK("https://ssdweb.co/ssdweb/hd/Vision360.html?d=821113766&amp;zoomslide=1&amp;z=1821113766&amp;ISCONFIRM=0","VIDEO")</f>
        <v>VIDEO</v>
      </c>
      <c r="AA6530" s="19" t="str">
        <f>HYPERLINK("https://ssdweb.co/ssdweb/CERTH/623444814.pdf","CERTI")</f>
        <v>CERTI</v>
      </c>
    </row>
    <row r="6531" spans="1:27" ht="15" x14ac:dyDescent="0.25">
      <c r="A6531" s="2">
        <v>6526</v>
      </c>
      <c r="B6531" s="39">
        <v>925370459</v>
      </c>
      <c r="C6531" s="28" t="str">
        <f>HYPERLINK("https://pld.live/RapDetail.aspx?STONELIST=925370459","DNA")</f>
        <v>DNA</v>
      </c>
      <c r="D6531" s="18" t="s">
        <v>4121</v>
      </c>
      <c r="E6531" s="18" t="s">
        <v>5128</v>
      </c>
      <c r="F6531" s="2" t="s">
        <v>7987</v>
      </c>
      <c r="G6531" s="2" t="s">
        <v>6781</v>
      </c>
      <c r="H6531" s="14">
        <v>0.98</v>
      </c>
      <c r="I6531" s="2" t="s">
        <v>4699</v>
      </c>
      <c r="J6531" s="2" t="s">
        <v>5144</v>
      </c>
      <c r="K6531" s="2" t="s">
        <v>1452</v>
      </c>
      <c r="L6531" s="2" t="s">
        <v>5221</v>
      </c>
      <c r="M6531" s="2" t="s">
        <v>5221</v>
      </c>
      <c r="N6531" s="2" t="s">
        <v>2317</v>
      </c>
      <c r="O6531" s="14">
        <v>4000</v>
      </c>
      <c r="P6531" s="14">
        <v>97.5</v>
      </c>
      <c r="Q6531" s="14">
        <v>100</v>
      </c>
      <c r="R6531" s="14">
        <v>98</v>
      </c>
      <c r="S6531" s="2" t="s">
        <v>662</v>
      </c>
      <c r="T6531" s="2">
        <v>1.53</v>
      </c>
      <c r="U6531" s="2">
        <v>62.3</v>
      </c>
      <c r="V6531" s="2">
        <v>62</v>
      </c>
      <c r="W6531" s="2" t="s">
        <v>7862</v>
      </c>
      <c r="X6531" s="2" t="s">
        <v>6687</v>
      </c>
      <c r="Y6531" s="2">
        <v>3920</v>
      </c>
      <c r="Z6531" s="19" t="str">
        <f>HYPERLINK("https://ssdweb.co/ssdweb/hd/Vision360.html?d=925370459&amp;zoomslide=1&amp;z=1925370459&amp;ISCONFIRM=0","VIDEO")</f>
        <v>VIDEO</v>
      </c>
      <c r="AA6531" s="19" t="str">
        <f>HYPERLINK("https://ssdweb.co/ssdweb/CERTH/620448877.pdf","CERTI")</f>
        <v>CERTI</v>
      </c>
    </row>
    <row r="6532" spans="1:27" ht="15" x14ac:dyDescent="0.25">
      <c r="A6532" s="2">
        <v>6527</v>
      </c>
      <c r="B6532" s="39">
        <v>927092446</v>
      </c>
      <c r="C6532" s="28" t="str">
        <f>HYPERLINK("https://pld.live/RapDetail.aspx?STONELIST=927092446","DNA")</f>
        <v>DNA</v>
      </c>
      <c r="D6532" s="18" t="s">
        <v>4121</v>
      </c>
      <c r="E6532" s="18" t="s">
        <v>5128</v>
      </c>
      <c r="F6532" s="2" t="s">
        <v>7987</v>
      </c>
      <c r="G6532" s="2" t="s">
        <v>6781</v>
      </c>
      <c r="H6532" s="14">
        <v>0.97</v>
      </c>
      <c r="I6532" s="2" t="s">
        <v>267</v>
      </c>
      <c r="J6532" s="2" t="s">
        <v>13</v>
      </c>
      <c r="K6532" s="2" t="s">
        <v>1452</v>
      </c>
      <c r="L6532" s="2" t="s">
        <v>5221</v>
      </c>
      <c r="M6532" s="2" t="s">
        <v>5221</v>
      </c>
      <c r="N6532" s="2" t="s">
        <v>2317</v>
      </c>
      <c r="O6532" s="14">
        <v>5200</v>
      </c>
      <c r="P6532" s="14">
        <v>97.79</v>
      </c>
      <c r="Q6532" s="14">
        <v>114.92</v>
      </c>
      <c r="R6532" s="14">
        <v>111.47</v>
      </c>
      <c r="S6532" s="2" t="s">
        <v>5247</v>
      </c>
      <c r="T6532" s="2">
        <v>1.49</v>
      </c>
      <c r="U6532" s="2">
        <v>62</v>
      </c>
      <c r="V6532" s="2">
        <v>62</v>
      </c>
      <c r="W6532" s="2" t="s">
        <v>7862</v>
      </c>
      <c r="X6532" s="2" t="s">
        <v>6687</v>
      </c>
      <c r="Y6532" s="2">
        <v>5044</v>
      </c>
      <c r="Z6532" s="19" t="str">
        <f>HYPERLINK("https://ssdweb.co/ssdweb/hd/Vision360.html?d=927092446&amp;zoomslide=1&amp;z=1927092446&amp;ISCONFIRM=0","VIDEO")</f>
        <v>VIDEO</v>
      </c>
      <c r="AA6532" s="19" t="str">
        <f>HYPERLINK("https://ssdweb.co/ssdweb/CERTH/668477280.pdf","CERTI")</f>
        <v>CERTI</v>
      </c>
    </row>
    <row r="6533" spans="1:27" ht="15" x14ac:dyDescent="0.25">
      <c r="A6533" s="2">
        <v>6528</v>
      </c>
      <c r="B6533" s="39">
        <v>821113383</v>
      </c>
      <c r="C6533" s="28" t="str">
        <f>HYPERLINK("https://pld.live/RapDetail.aspx?STONELIST=821113383","DNA")</f>
        <v>DNA</v>
      </c>
      <c r="D6533" s="18" t="s">
        <v>4121</v>
      </c>
      <c r="E6533" s="18" t="s">
        <v>2186</v>
      </c>
      <c r="F6533" s="2" t="s">
        <v>7987</v>
      </c>
      <c r="G6533" s="2" t="s">
        <v>6781</v>
      </c>
      <c r="H6533" s="14">
        <v>0.97</v>
      </c>
      <c r="I6533" s="2" t="s">
        <v>4761</v>
      </c>
      <c r="J6533" s="2" t="s">
        <v>13</v>
      </c>
      <c r="K6533" s="2" t="s">
        <v>1452</v>
      </c>
      <c r="L6533" s="2" t="s">
        <v>5221</v>
      </c>
      <c r="M6533" s="2" t="s">
        <v>5221</v>
      </c>
      <c r="N6533" s="2" t="s">
        <v>2317</v>
      </c>
      <c r="O6533" s="14">
        <v>4900</v>
      </c>
      <c r="P6533" s="14">
        <v>97.86</v>
      </c>
      <c r="Q6533" s="14">
        <v>104.86</v>
      </c>
      <c r="R6533" s="14">
        <v>101.71</v>
      </c>
      <c r="S6533" s="2" t="s">
        <v>4433</v>
      </c>
      <c r="T6533" s="2">
        <v>1.57</v>
      </c>
      <c r="U6533" s="2">
        <v>62.2</v>
      </c>
      <c r="V6533" s="2">
        <v>60</v>
      </c>
      <c r="W6533" s="2" t="s">
        <v>7862</v>
      </c>
      <c r="X6533" s="2" t="s">
        <v>6687</v>
      </c>
      <c r="Y6533" s="2">
        <v>4753</v>
      </c>
      <c r="Z6533" s="19" t="str">
        <f>HYPERLINK("https://ssdweb.co/ssdweb/hd/Vision360.html?d=821113383&amp;zoomslide=1&amp;z=1821113383&amp;ISCONFIRM=0","VIDEO")</f>
        <v>VIDEO</v>
      </c>
      <c r="AA6533" s="19" t="str">
        <f>HYPERLINK("https://ssdweb.co/ssdweb/CERTH/620457837.pdf","CERTI")</f>
        <v>CERTI</v>
      </c>
    </row>
    <row r="6534" spans="1:27" ht="15" x14ac:dyDescent="0.25">
      <c r="A6534" s="2">
        <v>6529</v>
      </c>
      <c r="B6534" s="39">
        <v>821113386</v>
      </c>
      <c r="C6534" s="28" t="str">
        <f>HYPERLINK("https://pld.live/RapDetail.aspx?STONELIST=821113386","DNA")</f>
        <v>DNA</v>
      </c>
      <c r="D6534" s="18" t="s">
        <v>4121</v>
      </c>
      <c r="E6534" s="18" t="s">
        <v>2186</v>
      </c>
      <c r="F6534" s="2" t="s">
        <v>7987</v>
      </c>
      <c r="G6534" s="2" t="s">
        <v>6781</v>
      </c>
      <c r="H6534" s="14">
        <v>0.97</v>
      </c>
      <c r="I6534" s="2" t="s">
        <v>4761</v>
      </c>
      <c r="J6534" s="2" t="s">
        <v>13</v>
      </c>
      <c r="K6534" s="2" t="s">
        <v>1452</v>
      </c>
      <c r="L6534" s="2" t="s">
        <v>5221</v>
      </c>
      <c r="M6534" s="2" t="s">
        <v>5221</v>
      </c>
      <c r="N6534" s="2" t="s">
        <v>2317</v>
      </c>
      <c r="O6534" s="14">
        <v>4900</v>
      </c>
      <c r="P6534" s="14">
        <v>97.86</v>
      </c>
      <c r="Q6534" s="14">
        <v>104.86</v>
      </c>
      <c r="R6534" s="14">
        <v>101.71</v>
      </c>
      <c r="S6534" s="2" t="s">
        <v>2242</v>
      </c>
      <c r="T6534" s="2">
        <v>1.57</v>
      </c>
      <c r="U6534" s="2">
        <v>61.6</v>
      </c>
      <c r="V6534" s="2">
        <v>62</v>
      </c>
      <c r="W6534" s="2" t="s">
        <v>7862</v>
      </c>
      <c r="X6534" s="2" t="s">
        <v>6687</v>
      </c>
      <c r="Y6534" s="2">
        <v>4753</v>
      </c>
      <c r="Z6534" s="19" t="str">
        <f>HYPERLINK("https://ssdweb.co/ssdweb/hd/Vision360.html?d=821113386&amp;zoomslide=1&amp;z=1821113386&amp;ISCONFIRM=0","VIDEO")</f>
        <v>VIDEO</v>
      </c>
      <c r="AA6534" s="19" t="str">
        <f>HYPERLINK("https://ssdweb.co/ssdweb/CERTH/620434520.pdf","CERTI")</f>
        <v>CERTI</v>
      </c>
    </row>
    <row r="6535" spans="1:27" ht="15" x14ac:dyDescent="0.25">
      <c r="A6535" s="2">
        <v>6530</v>
      </c>
      <c r="B6535" s="39">
        <v>821113162</v>
      </c>
      <c r="C6535" s="28" t="str">
        <f>HYPERLINK("https://pld.live/RapDetail.aspx?STONELIST=821113162","DNA")</f>
        <v>DNA</v>
      </c>
      <c r="D6535" s="18" t="s">
        <v>4121</v>
      </c>
      <c r="E6535" s="18" t="s">
        <v>2186</v>
      </c>
      <c r="F6535" s="2" t="s">
        <v>7987</v>
      </c>
      <c r="G6535" s="2" t="s">
        <v>6781</v>
      </c>
      <c r="H6535" s="14">
        <v>0.97</v>
      </c>
      <c r="I6535" s="2" t="s">
        <v>4761</v>
      </c>
      <c r="J6535" s="2" t="s">
        <v>13</v>
      </c>
      <c r="K6535" s="2" t="s">
        <v>1452</v>
      </c>
      <c r="L6535" s="2" t="s">
        <v>5221</v>
      </c>
      <c r="M6535" s="2" t="s">
        <v>5221</v>
      </c>
      <c r="N6535" s="2" t="s">
        <v>2317</v>
      </c>
      <c r="O6535" s="14">
        <v>4900</v>
      </c>
      <c r="P6535" s="14">
        <v>97.86</v>
      </c>
      <c r="Q6535" s="14">
        <v>104.86</v>
      </c>
      <c r="R6535" s="14">
        <v>101.71</v>
      </c>
      <c r="S6535" s="2" t="s">
        <v>1614</v>
      </c>
      <c r="T6535" s="2">
        <v>1.51</v>
      </c>
      <c r="U6535" s="2">
        <v>62.7</v>
      </c>
      <c r="V6535" s="2">
        <v>60</v>
      </c>
      <c r="W6535" s="2" t="s">
        <v>7862</v>
      </c>
      <c r="X6535" s="2" t="s">
        <v>6687</v>
      </c>
      <c r="Y6535" s="2">
        <v>4753</v>
      </c>
      <c r="Z6535" s="19" t="str">
        <f>HYPERLINK("https://ssdweb.co/ssdweb/hd/Vision360.html?d=821113162&amp;zoomslide=1&amp;z=1821113162&amp;ISCONFIRM=0","VIDEO")</f>
        <v>VIDEO</v>
      </c>
      <c r="AA6535" s="19" t="str">
        <f>HYPERLINK("https://ssdweb.co/ssdweb/CERTH/622472485.pdf","CERTI")</f>
        <v>CERTI</v>
      </c>
    </row>
    <row r="6536" spans="1:27" ht="15" x14ac:dyDescent="0.25">
      <c r="A6536" s="2">
        <v>6531</v>
      </c>
      <c r="B6536" s="39">
        <v>925520605</v>
      </c>
      <c r="C6536" s="28" t="str">
        <f>HYPERLINK("https://pld.live/RapDetail.aspx?STONELIST=925520605","DNA")</f>
        <v>DNA</v>
      </c>
      <c r="D6536" s="18" t="s">
        <v>4121</v>
      </c>
      <c r="E6536" s="18" t="s">
        <v>5128</v>
      </c>
      <c r="F6536" s="2" t="s">
        <v>7987</v>
      </c>
      <c r="G6536" s="2" t="s">
        <v>6781</v>
      </c>
      <c r="H6536" s="14">
        <v>0.97</v>
      </c>
      <c r="I6536" s="2" t="s">
        <v>4761</v>
      </c>
      <c r="J6536" s="2" t="s">
        <v>13</v>
      </c>
      <c r="K6536" s="2" t="s">
        <v>1452</v>
      </c>
      <c r="L6536" s="2" t="s">
        <v>5221</v>
      </c>
      <c r="M6536" s="2" t="s">
        <v>5221</v>
      </c>
      <c r="N6536" s="2" t="s">
        <v>2317</v>
      </c>
      <c r="O6536" s="14">
        <v>4900</v>
      </c>
      <c r="P6536" s="14">
        <v>97.86</v>
      </c>
      <c r="Q6536" s="14">
        <v>104.86</v>
      </c>
      <c r="R6536" s="14">
        <v>101.71</v>
      </c>
      <c r="S6536" s="2" t="s">
        <v>8045</v>
      </c>
      <c r="T6536" s="2">
        <v>1.49</v>
      </c>
      <c r="U6536" s="2">
        <v>61.9</v>
      </c>
      <c r="V6536" s="2">
        <v>62</v>
      </c>
      <c r="W6536" s="2" t="s">
        <v>7862</v>
      </c>
      <c r="X6536" s="2" t="s">
        <v>6687</v>
      </c>
      <c r="Y6536" s="2">
        <v>4753</v>
      </c>
      <c r="Z6536" s="19" t="str">
        <f>HYPERLINK("https://ssdweb.co/ssdweb/hd/Vision360.html?d=925520605&amp;zoomslide=1&amp;z=1925520605&amp;ISCONFIRM=0","VIDEO")</f>
        <v>VIDEO</v>
      </c>
      <c r="AA6536" s="19" t="str">
        <f>HYPERLINK("https://ssdweb.co/ssdweb/CERTH/617424619.pdf","CERTI")</f>
        <v>CERTI</v>
      </c>
    </row>
    <row r="6537" spans="1:27" ht="15" x14ac:dyDescent="0.25">
      <c r="A6537" s="2">
        <v>6532</v>
      </c>
      <c r="B6537" s="39">
        <v>821113437</v>
      </c>
      <c r="C6537" s="28" t="str">
        <f>HYPERLINK("https://pld.live/RapDetail.aspx?STONELIST=821113437","DNA")</f>
        <v>DNA</v>
      </c>
      <c r="D6537" s="18" t="s">
        <v>4121</v>
      </c>
      <c r="E6537" s="18" t="s">
        <v>2186</v>
      </c>
      <c r="F6537" s="2" t="s">
        <v>7987</v>
      </c>
      <c r="G6537" s="2" t="s">
        <v>6781</v>
      </c>
      <c r="H6537" s="14">
        <v>0.97</v>
      </c>
      <c r="I6537" s="2" t="s">
        <v>4761</v>
      </c>
      <c r="J6537" s="2" t="s">
        <v>5144</v>
      </c>
      <c r="K6537" s="2" t="s">
        <v>1452</v>
      </c>
      <c r="L6537" s="2" t="s">
        <v>5221</v>
      </c>
      <c r="M6537" s="2" t="s">
        <v>5221</v>
      </c>
      <c r="N6537" s="2" t="s">
        <v>2317</v>
      </c>
      <c r="O6537" s="14">
        <v>4200</v>
      </c>
      <c r="P6537" s="14">
        <v>97.55</v>
      </c>
      <c r="Q6537" s="14">
        <v>102.9</v>
      </c>
      <c r="R6537" s="14">
        <v>99.81</v>
      </c>
      <c r="S6537" s="2" t="s">
        <v>1686</v>
      </c>
      <c r="T6537" s="2">
        <v>1.49</v>
      </c>
      <c r="U6537" s="2">
        <v>64.400000000000006</v>
      </c>
      <c r="V6537" s="2">
        <v>59</v>
      </c>
      <c r="W6537" s="2" t="s">
        <v>7862</v>
      </c>
      <c r="X6537" s="2" t="s">
        <v>6687</v>
      </c>
      <c r="Y6537" s="2">
        <v>4074</v>
      </c>
      <c r="Z6537" s="19" t="str">
        <f>HYPERLINK("https://ssdweb.co/ssdweb/hd/Vision360.html?d=821113437&amp;zoomslide=1&amp;z=1821113437&amp;ISCONFIRM=0","VIDEO")</f>
        <v>VIDEO</v>
      </c>
      <c r="AA6537" s="19" t="str">
        <f>HYPERLINK("https://ssdweb.co/ssdweb/CERTH/620428852.pdf","CERTI")</f>
        <v>CERTI</v>
      </c>
    </row>
    <row r="6538" spans="1:27" ht="15" x14ac:dyDescent="0.25">
      <c r="A6538" s="2">
        <v>6533</v>
      </c>
      <c r="B6538" s="39">
        <v>821113438</v>
      </c>
      <c r="C6538" s="28" t="str">
        <f>HYPERLINK("https://pld.live/RapDetail.aspx?STONELIST=821113438","DNA")</f>
        <v>DNA</v>
      </c>
      <c r="D6538" s="18" t="s">
        <v>4121</v>
      </c>
      <c r="E6538" s="18" t="s">
        <v>2186</v>
      </c>
      <c r="F6538" s="2" t="s">
        <v>7987</v>
      </c>
      <c r="G6538" s="2" t="s">
        <v>6781</v>
      </c>
      <c r="H6538" s="14">
        <v>0.97</v>
      </c>
      <c r="I6538" s="2" t="s">
        <v>4761</v>
      </c>
      <c r="J6538" s="2" t="s">
        <v>5144</v>
      </c>
      <c r="K6538" s="2" t="s">
        <v>1452</v>
      </c>
      <c r="L6538" s="2" t="s">
        <v>5221</v>
      </c>
      <c r="M6538" s="2" t="s">
        <v>5221</v>
      </c>
      <c r="N6538" s="2" t="s">
        <v>2317</v>
      </c>
      <c r="O6538" s="14">
        <v>4200</v>
      </c>
      <c r="P6538" s="14">
        <v>97.55</v>
      </c>
      <c r="Q6538" s="14">
        <v>102.9</v>
      </c>
      <c r="R6538" s="14">
        <v>99.81</v>
      </c>
      <c r="S6538" s="2" t="s">
        <v>2141</v>
      </c>
      <c r="T6538" s="2">
        <v>1.51</v>
      </c>
      <c r="U6538" s="2">
        <v>60.9</v>
      </c>
      <c r="V6538" s="2">
        <v>62</v>
      </c>
      <c r="W6538" s="2" t="s">
        <v>7862</v>
      </c>
      <c r="X6538" s="2" t="s">
        <v>6687</v>
      </c>
      <c r="Y6538" s="2">
        <v>4074</v>
      </c>
      <c r="Z6538" s="19" t="str">
        <f>HYPERLINK("https://ssdweb.co/ssdweb/hd/Vision360.html?d=821113438&amp;zoomslide=1&amp;z=1821113438&amp;ISCONFIRM=0","VIDEO")</f>
        <v>VIDEO</v>
      </c>
      <c r="AA6538" s="19" t="str">
        <f>HYPERLINK("https://ssdweb.co/ssdweb/CERTH/613361016.pdf","CERTI")</f>
        <v>CERTI</v>
      </c>
    </row>
    <row r="6539" spans="1:27" ht="15" x14ac:dyDescent="0.25">
      <c r="A6539" s="2">
        <v>6534</v>
      </c>
      <c r="B6539" s="39">
        <v>927092418</v>
      </c>
      <c r="C6539" s="28" t="str">
        <f>HYPERLINK("https://pld.live/RapDetail.aspx?STONELIST=927092418","DNA")</f>
        <v>DNA</v>
      </c>
      <c r="D6539" s="18" t="s">
        <v>4121</v>
      </c>
      <c r="E6539" s="18" t="s">
        <v>5128</v>
      </c>
      <c r="F6539" s="2" t="s">
        <v>7987</v>
      </c>
      <c r="G6539" s="2" t="s">
        <v>6781</v>
      </c>
      <c r="H6539" s="14">
        <v>0.97</v>
      </c>
      <c r="I6539" s="2" t="s">
        <v>4761</v>
      </c>
      <c r="J6539" s="2" t="s">
        <v>5144</v>
      </c>
      <c r="K6539" s="2" t="s">
        <v>1452</v>
      </c>
      <c r="L6539" s="2" t="s">
        <v>5221</v>
      </c>
      <c r="M6539" s="2" t="s">
        <v>5221</v>
      </c>
      <c r="N6539" s="2" t="s">
        <v>2317</v>
      </c>
      <c r="O6539" s="14">
        <v>4200</v>
      </c>
      <c r="P6539" s="14">
        <v>97.43</v>
      </c>
      <c r="Q6539" s="14">
        <v>107.94</v>
      </c>
      <c r="R6539" s="14">
        <v>104.7</v>
      </c>
      <c r="S6539" s="2" t="s">
        <v>4560</v>
      </c>
      <c r="T6539" s="2">
        <v>1.49</v>
      </c>
      <c r="U6539" s="2">
        <v>62</v>
      </c>
      <c r="V6539" s="2">
        <v>62</v>
      </c>
      <c r="W6539" s="2" t="s">
        <v>7862</v>
      </c>
      <c r="X6539" s="2" t="s">
        <v>6687</v>
      </c>
      <c r="Y6539" s="2">
        <v>4074</v>
      </c>
      <c r="Z6539" s="19" t="str">
        <f>HYPERLINK("https://ssdweb.co/ssdweb/hd/Vision360.html?d=927092418&amp;zoomslide=1&amp;z=1927092418&amp;ISCONFIRM=0","VIDEO")</f>
        <v>VIDEO</v>
      </c>
      <c r="AA6539" s="19" t="str">
        <f>HYPERLINK("https://ssdweb.co/ssdweb/CERTH/668447771.pdf","CERTI")</f>
        <v>CERTI</v>
      </c>
    </row>
    <row r="6540" spans="1:27" ht="15" x14ac:dyDescent="0.25">
      <c r="A6540" s="2">
        <v>6535</v>
      </c>
      <c r="B6540" s="39">
        <v>927052627</v>
      </c>
      <c r="C6540" s="28" t="str">
        <f>HYPERLINK("https://pld.live/RapDetail.aspx?STONELIST=927052627","DNA")</f>
        <v>DNA</v>
      </c>
      <c r="D6540" s="18" t="s">
        <v>4121</v>
      </c>
      <c r="E6540" s="18" t="s">
        <v>5128</v>
      </c>
      <c r="F6540" s="2" t="s">
        <v>7987</v>
      </c>
      <c r="G6540" s="2" t="s">
        <v>6781</v>
      </c>
      <c r="H6540" s="14">
        <v>0.97</v>
      </c>
      <c r="I6540" s="2" t="s">
        <v>4699</v>
      </c>
      <c r="J6540" s="2" t="s">
        <v>3942</v>
      </c>
      <c r="K6540" s="2" t="s">
        <v>1452</v>
      </c>
      <c r="L6540" s="2" t="s">
        <v>5221</v>
      </c>
      <c r="M6540" s="2" t="s">
        <v>5221</v>
      </c>
      <c r="N6540" s="2" t="s">
        <v>2317</v>
      </c>
      <c r="O6540" s="14">
        <v>4900</v>
      </c>
      <c r="P6540" s="14">
        <v>97.69</v>
      </c>
      <c r="Q6540" s="14">
        <v>113.19</v>
      </c>
      <c r="R6540" s="14">
        <v>109.79</v>
      </c>
      <c r="S6540" s="2" t="s">
        <v>3996</v>
      </c>
      <c r="T6540" s="2">
        <v>1.47</v>
      </c>
      <c r="U6540" s="2">
        <v>61.3</v>
      </c>
      <c r="V6540" s="2">
        <v>62</v>
      </c>
      <c r="W6540" s="2" t="s">
        <v>7862</v>
      </c>
      <c r="X6540" s="2" t="s">
        <v>6687</v>
      </c>
      <c r="Y6540" s="2">
        <v>4753</v>
      </c>
      <c r="Z6540" s="19" t="str">
        <f>HYPERLINK("https://ssdweb.co/ssdweb/hd/Vision360.html?d=927052627&amp;zoomslide=1&amp;z=1927052627&amp;ISCONFIRM=0","VIDEO")</f>
        <v>VIDEO</v>
      </c>
      <c r="AA6540" s="19" t="str">
        <f>HYPERLINK("https://ssdweb.co/ssdweb/CERTH/668477314.pdf","CERTI")</f>
        <v>CERTI</v>
      </c>
    </row>
    <row r="6541" spans="1:27" ht="15" x14ac:dyDescent="0.25">
      <c r="A6541" s="2">
        <v>6536</v>
      </c>
      <c r="B6541" s="39">
        <v>821113425</v>
      </c>
      <c r="C6541" s="28" t="str">
        <f>HYPERLINK("https://pld.live/RapDetail.aspx?STONELIST=821113425","DNA")</f>
        <v>DNA</v>
      </c>
      <c r="D6541" s="18" t="s">
        <v>4121</v>
      </c>
      <c r="E6541" s="18" t="s">
        <v>2186</v>
      </c>
      <c r="F6541" s="2" t="s">
        <v>7987</v>
      </c>
      <c r="G6541" s="2" t="s">
        <v>6781</v>
      </c>
      <c r="H6541" s="14">
        <v>0.97</v>
      </c>
      <c r="I6541" s="2" t="s">
        <v>4699</v>
      </c>
      <c r="J6541" s="2" t="s">
        <v>13</v>
      </c>
      <c r="K6541" s="2" t="s">
        <v>1452</v>
      </c>
      <c r="L6541" s="2" t="s">
        <v>5221</v>
      </c>
      <c r="M6541" s="2" t="s">
        <v>5221</v>
      </c>
      <c r="N6541" s="2" t="s">
        <v>2317</v>
      </c>
      <c r="O6541" s="14">
        <v>4600</v>
      </c>
      <c r="P6541" s="14">
        <v>97.76</v>
      </c>
      <c r="Q6541" s="14">
        <v>103.04</v>
      </c>
      <c r="R6541" s="14">
        <v>99.95</v>
      </c>
      <c r="S6541" s="2" t="s">
        <v>3802</v>
      </c>
      <c r="T6541" s="2">
        <v>1.52</v>
      </c>
      <c r="U6541" s="2">
        <v>63.3</v>
      </c>
      <c r="V6541" s="2">
        <v>61</v>
      </c>
      <c r="W6541" s="2" t="s">
        <v>7862</v>
      </c>
      <c r="X6541" s="2" t="s">
        <v>6687</v>
      </c>
      <c r="Y6541" s="2">
        <v>4462</v>
      </c>
      <c r="Z6541" s="19" t="str">
        <f>HYPERLINK("https://ssdweb.co/ssdweb/hd/Vision360.html?d=821113425&amp;zoomslide=1&amp;z=1821113425&amp;ISCONFIRM=0","VIDEO")</f>
        <v>VIDEO</v>
      </c>
      <c r="AA6541" s="19" t="str">
        <f>HYPERLINK("https://ssdweb.co/ssdweb/CERTH/618480530.pdf","CERTI")</f>
        <v>CERTI</v>
      </c>
    </row>
    <row r="6542" spans="1:27" ht="15" x14ac:dyDescent="0.25">
      <c r="A6542" s="2">
        <v>6537</v>
      </c>
      <c r="B6542" s="39">
        <v>821113450</v>
      </c>
      <c r="C6542" s="28" t="str">
        <f>HYPERLINK("https://pld.live/RapDetail.aspx?STONELIST=821113450","DNA")</f>
        <v>DNA</v>
      </c>
      <c r="D6542" s="18" t="s">
        <v>4121</v>
      </c>
      <c r="E6542" s="18" t="s">
        <v>2186</v>
      </c>
      <c r="F6542" s="2" t="s">
        <v>7987</v>
      </c>
      <c r="G6542" s="2" t="s">
        <v>6781</v>
      </c>
      <c r="H6542" s="14">
        <v>0.97</v>
      </c>
      <c r="I6542" s="2" t="s">
        <v>4699</v>
      </c>
      <c r="J6542" s="2" t="s">
        <v>5144</v>
      </c>
      <c r="K6542" s="2" t="s">
        <v>1452</v>
      </c>
      <c r="L6542" s="2" t="s">
        <v>5221</v>
      </c>
      <c r="M6542" s="2" t="s">
        <v>5221</v>
      </c>
      <c r="N6542" s="2" t="s">
        <v>2317</v>
      </c>
      <c r="O6542" s="14">
        <v>4000</v>
      </c>
      <c r="P6542" s="14">
        <v>97.5</v>
      </c>
      <c r="Q6542" s="14">
        <v>100</v>
      </c>
      <c r="R6542" s="14">
        <v>97</v>
      </c>
      <c r="S6542" s="2" t="s">
        <v>4388</v>
      </c>
      <c r="T6542" s="2">
        <v>1.52</v>
      </c>
      <c r="U6542" s="2">
        <v>60.6</v>
      </c>
      <c r="V6542" s="2">
        <v>61</v>
      </c>
      <c r="W6542" s="2" t="s">
        <v>7862</v>
      </c>
      <c r="X6542" s="2" t="s">
        <v>6687</v>
      </c>
      <c r="Y6542" s="2">
        <v>3880</v>
      </c>
      <c r="Z6542" s="19" t="str">
        <f>HYPERLINK("https://ssdweb.co/ssdweb/hd/Vision360.html?d=821113450&amp;zoomslide=1&amp;z=1821113450&amp;ISCONFIRM=0","VIDEO")</f>
        <v>VIDEO</v>
      </c>
      <c r="AA6542" s="19" t="str">
        <f>HYPERLINK("https://ssdweb.co/ssdweb/CERTH/620471317.pdf","CERTI")</f>
        <v>CERTI</v>
      </c>
    </row>
    <row r="6543" spans="1:27" ht="15" x14ac:dyDescent="0.25">
      <c r="A6543" s="2">
        <v>6538</v>
      </c>
      <c r="B6543" s="39">
        <v>926972134</v>
      </c>
      <c r="C6543" s="28" t="str">
        <f>HYPERLINK("https://pld.live/RapDetail.aspx?STONELIST=926972134","DNA")</f>
        <v>DNA</v>
      </c>
      <c r="D6543" s="18" t="s">
        <v>4121</v>
      </c>
      <c r="E6543" s="18" t="s">
        <v>5128</v>
      </c>
      <c r="F6543" s="2" t="s">
        <v>7987</v>
      </c>
      <c r="G6543" s="2" t="s">
        <v>6781</v>
      </c>
      <c r="H6543" s="14">
        <v>0.97</v>
      </c>
      <c r="I6543" s="2" t="s">
        <v>6587</v>
      </c>
      <c r="J6543" s="2" t="s">
        <v>3942</v>
      </c>
      <c r="K6543" s="2" t="s">
        <v>1452</v>
      </c>
      <c r="L6543" s="2" t="s">
        <v>5221</v>
      </c>
      <c r="M6543" s="2" t="s">
        <v>5221</v>
      </c>
      <c r="N6543" s="2" t="s">
        <v>2317</v>
      </c>
      <c r="O6543" s="14">
        <v>4600</v>
      </c>
      <c r="P6543" s="14">
        <v>97.59</v>
      </c>
      <c r="Q6543" s="14">
        <v>110.86</v>
      </c>
      <c r="R6543" s="14">
        <v>107.53</v>
      </c>
      <c r="S6543" s="2" t="s">
        <v>5328</v>
      </c>
      <c r="T6543" s="2">
        <v>1.49</v>
      </c>
      <c r="U6543" s="2">
        <v>60.9</v>
      </c>
      <c r="V6543" s="2">
        <v>55</v>
      </c>
      <c r="W6543" s="2" t="s">
        <v>7862</v>
      </c>
      <c r="X6543" s="2" t="s">
        <v>6687</v>
      </c>
      <c r="Y6543" s="2">
        <v>4462</v>
      </c>
      <c r="Z6543" s="19" t="str">
        <f>HYPERLINK("https://ssdweb.co/ssdweb/hd/Vision360.html?d=926972134&amp;zoomslide=1&amp;z=1926972134&amp;ISCONFIRM=0","VIDEO")</f>
        <v>VIDEO</v>
      </c>
      <c r="AA6543" s="19" t="str">
        <f>HYPERLINK("https://ssdweb.co/ssdweb/CERTH/660440450.pdf","CERTI")</f>
        <v>CERTI</v>
      </c>
    </row>
    <row r="6544" spans="1:27" ht="15" x14ac:dyDescent="0.25">
      <c r="A6544" s="2">
        <v>6539</v>
      </c>
      <c r="B6544" s="39">
        <v>927102326</v>
      </c>
      <c r="C6544" s="28" t="str">
        <f>HYPERLINK("https://pld.live/RapDetail.aspx?STONELIST=927102326","DNA")</f>
        <v>DNA</v>
      </c>
      <c r="D6544" s="18" t="s">
        <v>4121</v>
      </c>
      <c r="E6544" s="18" t="s">
        <v>5128</v>
      </c>
      <c r="F6544" s="2" t="s">
        <v>7987</v>
      </c>
      <c r="G6544" s="2" t="s">
        <v>6781</v>
      </c>
      <c r="H6544" s="14">
        <v>0.96</v>
      </c>
      <c r="I6544" s="2" t="s">
        <v>4761</v>
      </c>
      <c r="J6544" s="2" t="s">
        <v>6555</v>
      </c>
      <c r="K6544" s="2" t="s">
        <v>1452</v>
      </c>
      <c r="L6544" s="2" t="s">
        <v>5721</v>
      </c>
      <c r="M6544" s="2" t="s">
        <v>5721</v>
      </c>
      <c r="N6544" s="2" t="s">
        <v>2317</v>
      </c>
      <c r="O6544" s="14">
        <v>5700</v>
      </c>
      <c r="P6544" s="14">
        <v>97.61</v>
      </c>
      <c r="Q6544" s="14">
        <v>136.22999999999999</v>
      </c>
      <c r="R6544" s="14">
        <v>130.78</v>
      </c>
      <c r="S6544" s="2" t="s">
        <v>5185</v>
      </c>
      <c r="T6544" s="2">
        <v>1.49</v>
      </c>
      <c r="U6544" s="2">
        <v>61.7</v>
      </c>
      <c r="V6544" s="2">
        <v>60</v>
      </c>
      <c r="W6544" s="2" t="s">
        <v>7862</v>
      </c>
      <c r="X6544" s="2" t="s">
        <v>6687</v>
      </c>
      <c r="Y6544" s="2">
        <v>5472</v>
      </c>
      <c r="Z6544" s="19" t="str">
        <f>HYPERLINK("https://ssdweb.co/ssdweb/hd/Vision360.html?d=927102326&amp;zoomslide=1&amp;z=1927102326&amp;ISCONFIRM=0","VIDEO")</f>
        <v>VIDEO</v>
      </c>
      <c r="AA6544" s="19" t="str">
        <f>HYPERLINK("https://ssdweb.co/ssdweb/CERTH/669458139.pdf","CERTI")</f>
        <v>CERTI</v>
      </c>
    </row>
    <row r="6545" spans="1:27" ht="15" x14ac:dyDescent="0.25">
      <c r="A6545" s="2">
        <v>6540</v>
      </c>
      <c r="B6545" s="39">
        <v>821115920</v>
      </c>
      <c r="C6545" s="28" t="str">
        <f>HYPERLINK("https://pld.live/RapDetail.aspx?STONELIST=821115920","DNA")</f>
        <v>DNA</v>
      </c>
      <c r="D6545" s="18" t="s">
        <v>4121</v>
      </c>
      <c r="E6545" s="18" t="s">
        <v>2186</v>
      </c>
      <c r="F6545" s="2" t="s">
        <v>7987</v>
      </c>
      <c r="G6545" s="2" t="s">
        <v>6781</v>
      </c>
      <c r="H6545" s="14">
        <v>0.96</v>
      </c>
      <c r="I6545" s="2" t="s">
        <v>4761</v>
      </c>
      <c r="J6545" s="2" t="s">
        <v>3942</v>
      </c>
      <c r="K6545" s="2" t="s">
        <v>1452</v>
      </c>
      <c r="L6545" s="2" t="s">
        <v>5221</v>
      </c>
      <c r="M6545" s="2" t="s">
        <v>5221</v>
      </c>
      <c r="N6545" s="2" t="s">
        <v>2317</v>
      </c>
      <c r="O6545" s="14">
        <v>5200</v>
      </c>
      <c r="P6545" s="14">
        <v>97.88</v>
      </c>
      <c r="Q6545" s="14">
        <v>110.24</v>
      </c>
      <c r="R6545" s="14">
        <v>105.83</v>
      </c>
      <c r="S6545" s="2" t="s">
        <v>5481</v>
      </c>
      <c r="T6545" s="2">
        <v>1.53</v>
      </c>
      <c r="U6545" s="2">
        <v>60.4</v>
      </c>
      <c r="V6545" s="2">
        <v>60</v>
      </c>
      <c r="W6545" s="2" t="s">
        <v>7862</v>
      </c>
      <c r="X6545" s="2" t="s">
        <v>6687</v>
      </c>
      <c r="Y6545" s="2">
        <v>4992</v>
      </c>
      <c r="Z6545" s="19" t="str">
        <f>HYPERLINK("https://ssdweb.co/ssdweb/hd/Vision360.html?d=821115920&amp;zoomslide=1&amp;z=1821115920&amp;ISCONFIRM=0","VIDEO")</f>
        <v>VIDEO</v>
      </c>
      <c r="AA6545" s="19" t="str">
        <f>HYPERLINK("https://ssdweb.co/ssdweb/CERTH/628415287.pdf","CERTI")</f>
        <v>CERTI</v>
      </c>
    </row>
    <row r="6546" spans="1:27" ht="15" x14ac:dyDescent="0.25">
      <c r="A6546" s="2">
        <v>6541</v>
      </c>
      <c r="B6546" s="39">
        <v>821115926</v>
      </c>
      <c r="C6546" s="28" t="str">
        <f>HYPERLINK("https://pld.live/RapDetail.aspx?STONELIST=821115926","DNA")</f>
        <v>DNA</v>
      </c>
      <c r="D6546" s="18" t="s">
        <v>4121</v>
      </c>
      <c r="E6546" s="18" t="s">
        <v>2186</v>
      </c>
      <c r="F6546" s="2" t="s">
        <v>7987</v>
      </c>
      <c r="G6546" s="2" t="s">
        <v>6781</v>
      </c>
      <c r="H6546" s="14">
        <v>0.96</v>
      </c>
      <c r="I6546" s="2" t="s">
        <v>4761</v>
      </c>
      <c r="J6546" s="2" t="s">
        <v>3942</v>
      </c>
      <c r="K6546" s="2" t="s">
        <v>1452</v>
      </c>
      <c r="L6546" s="2" t="s">
        <v>5221</v>
      </c>
      <c r="M6546" s="2" t="s">
        <v>5221</v>
      </c>
      <c r="N6546" s="2" t="s">
        <v>2317</v>
      </c>
      <c r="O6546" s="14">
        <v>5200</v>
      </c>
      <c r="P6546" s="14">
        <v>97.88</v>
      </c>
      <c r="Q6546" s="14">
        <v>110.24</v>
      </c>
      <c r="R6546" s="14">
        <v>105.83</v>
      </c>
      <c r="S6546" s="2" t="s">
        <v>5575</v>
      </c>
      <c r="T6546" s="2">
        <v>1.55</v>
      </c>
      <c r="U6546" s="2">
        <v>60.9</v>
      </c>
      <c r="V6546" s="2">
        <v>60</v>
      </c>
      <c r="W6546" s="2" t="s">
        <v>7862</v>
      </c>
      <c r="X6546" s="2" t="s">
        <v>6687</v>
      </c>
      <c r="Y6546" s="2">
        <v>4992</v>
      </c>
      <c r="Z6546" s="19" t="str">
        <f>HYPERLINK("https://ssdweb.co/ssdweb/hd/Vision360.html?d=821115926&amp;zoomslide=1&amp;z=1821115926&amp;ISCONFIRM=0","VIDEO")</f>
        <v>VIDEO</v>
      </c>
      <c r="AA6546" s="19" t="str">
        <f>HYPERLINK("https://ssdweb.co/ssdweb/CERTH/628415302.pdf","CERTI")</f>
        <v>CERTI</v>
      </c>
    </row>
    <row r="6547" spans="1:27" ht="15" x14ac:dyDescent="0.25">
      <c r="A6547" s="2">
        <v>6542</v>
      </c>
      <c r="B6547" s="39">
        <v>926050155</v>
      </c>
      <c r="C6547" s="28" t="str">
        <f>HYPERLINK("https://pld.live/RapDetail.aspx?STONELIST=926050155","DNA")</f>
        <v>DNA</v>
      </c>
      <c r="D6547" s="18" t="s">
        <v>4121</v>
      </c>
      <c r="E6547" s="18" t="s">
        <v>2186</v>
      </c>
      <c r="F6547" s="2" t="s">
        <v>7987</v>
      </c>
      <c r="G6547" s="2" t="s">
        <v>6781</v>
      </c>
      <c r="H6547" s="14">
        <v>0.96</v>
      </c>
      <c r="I6547" s="2" t="s">
        <v>4761</v>
      </c>
      <c r="J6547" s="2" t="s">
        <v>3942</v>
      </c>
      <c r="K6547" s="2" t="s">
        <v>1452</v>
      </c>
      <c r="L6547" s="2" t="s">
        <v>5221</v>
      </c>
      <c r="M6547" s="2" t="s">
        <v>5221</v>
      </c>
      <c r="N6547" s="2" t="s">
        <v>2317</v>
      </c>
      <c r="O6547" s="14">
        <v>5200</v>
      </c>
      <c r="P6547" s="14">
        <v>97.88</v>
      </c>
      <c r="Q6547" s="14">
        <v>110.24</v>
      </c>
      <c r="R6547" s="14">
        <v>105.83</v>
      </c>
      <c r="S6547" s="2" t="s">
        <v>271</v>
      </c>
      <c r="T6547" s="2">
        <v>1.53</v>
      </c>
      <c r="U6547" s="2">
        <v>61.2</v>
      </c>
      <c r="V6547" s="2">
        <v>61</v>
      </c>
      <c r="W6547" s="2" t="s">
        <v>7862</v>
      </c>
      <c r="X6547" s="2" t="s">
        <v>6687</v>
      </c>
      <c r="Y6547" s="2">
        <v>4992</v>
      </c>
      <c r="Z6547" s="19" t="str">
        <f>HYPERLINK("https://ssdweb.co/ssdweb/hd/Vision360.html?d=926050155&amp;zoomslide=1&amp;z=1926050155&amp;ISCONFIRM=0","VIDEO")</f>
        <v>VIDEO</v>
      </c>
      <c r="AA6547" s="19" t="str">
        <f>HYPERLINK("https://ssdweb.co/ssdweb/CERTH/631429864.pdf","CERTI")</f>
        <v>CERTI</v>
      </c>
    </row>
    <row r="6548" spans="1:27" ht="15" x14ac:dyDescent="0.25">
      <c r="A6548" s="2">
        <v>6543</v>
      </c>
      <c r="B6548" s="39">
        <v>926400571</v>
      </c>
      <c r="C6548" s="28" t="str">
        <f>HYPERLINK("https://pld.live/RapDetail.aspx?STONELIST=926400571","DNA")</f>
        <v>DNA</v>
      </c>
      <c r="D6548" s="18" t="s">
        <v>4121</v>
      </c>
      <c r="E6548" s="18" t="s">
        <v>5128</v>
      </c>
      <c r="F6548" s="2" t="s">
        <v>7987</v>
      </c>
      <c r="G6548" s="2" t="s">
        <v>6781</v>
      </c>
      <c r="H6548" s="14">
        <v>0.96</v>
      </c>
      <c r="I6548" s="2" t="s">
        <v>4761</v>
      </c>
      <c r="J6548" s="2" t="s">
        <v>3942</v>
      </c>
      <c r="K6548" s="2" t="s">
        <v>1452</v>
      </c>
      <c r="L6548" s="2" t="s">
        <v>5221</v>
      </c>
      <c r="M6548" s="2" t="s">
        <v>5721</v>
      </c>
      <c r="N6548" s="2" t="s">
        <v>2317</v>
      </c>
      <c r="O6548" s="14">
        <v>5200</v>
      </c>
      <c r="P6548" s="14">
        <v>97.87</v>
      </c>
      <c r="Q6548" s="14">
        <v>110.76</v>
      </c>
      <c r="R6548" s="14">
        <v>106.33</v>
      </c>
      <c r="S6548" s="2" t="s">
        <v>3318</v>
      </c>
      <c r="T6548" s="2">
        <v>1.51</v>
      </c>
      <c r="U6548" s="2">
        <v>62.9</v>
      </c>
      <c r="V6548" s="2">
        <v>61</v>
      </c>
      <c r="W6548" s="2" t="s">
        <v>7862</v>
      </c>
      <c r="X6548" s="2" t="s">
        <v>6687</v>
      </c>
      <c r="Y6548" s="2">
        <v>4992</v>
      </c>
      <c r="Z6548" s="19" t="str">
        <f>HYPERLINK("https://ssdweb.co/ssdweb/hd/Vision360.html?d=926400571&amp;zoomslide=1&amp;z=1926400571&amp;ISCONFIRM=0","VIDEO")</f>
        <v>VIDEO</v>
      </c>
      <c r="AA6548" s="19" t="str">
        <f>HYPERLINK("https://ssdweb.co/ssdweb/CERTH/642497693.pdf","CERTI")</f>
        <v>CERTI</v>
      </c>
    </row>
    <row r="6549" spans="1:27" ht="15" x14ac:dyDescent="0.25">
      <c r="A6549" s="2">
        <v>6544</v>
      </c>
      <c r="B6549" s="39">
        <v>926780023</v>
      </c>
      <c r="C6549" s="28" t="str">
        <f>HYPERLINK("https://pld.live/RapDetail.aspx?STONELIST=926780023","DNA")</f>
        <v>DNA</v>
      </c>
      <c r="D6549" s="18" t="s">
        <v>4121</v>
      </c>
      <c r="E6549" s="18" t="s">
        <v>2186</v>
      </c>
      <c r="F6549" s="2" t="s">
        <v>7987</v>
      </c>
      <c r="G6549" s="2" t="s">
        <v>6781</v>
      </c>
      <c r="H6549" s="14">
        <v>0.95</v>
      </c>
      <c r="I6549" s="2" t="s">
        <v>267</v>
      </c>
      <c r="J6549" s="2" t="s">
        <v>3942</v>
      </c>
      <c r="K6549" s="2" t="s">
        <v>1452</v>
      </c>
      <c r="L6549" s="2" t="s">
        <v>5221</v>
      </c>
      <c r="M6549" s="2" t="s">
        <v>5221</v>
      </c>
      <c r="N6549" s="2" t="s">
        <v>2317</v>
      </c>
      <c r="O6549" s="14">
        <v>5600</v>
      </c>
      <c r="P6549" s="14">
        <v>97.89</v>
      </c>
      <c r="Q6549" s="14">
        <v>118.16</v>
      </c>
      <c r="R6549" s="14">
        <v>112.25</v>
      </c>
      <c r="S6549" s="2" t="s">
        <v>2443</v>
      </c>
      <c r="T6549" s="2">
        <v>1.63</v>
      </c>
      <c r="U6549" s="2">
        <v>62</v>
      </c>
      <c r="V6549" s="2">
        <v>61</v>
      </c>
      <c r="W6549" s="2" t="s">
        <v>7862</v>
      </c>
      <c r="X6549" s="2" t="s">
        <v>6687</v>
      </c>
      <c r="Y6549" s="2">
        <v>5320</v>
      </c>
      <c r="Z6549" s="19" t="str">
        <f>HYPERLINK("https://ssdweb.co/ssdweb/hd/Vision360.html?d=926780023&amp;zoomslide=1&amp;z=1926780023&amp;ISCONFIRM=0","VIDEO")</f>
        <v>VIDEO</v>
      </c>
      <c r="AA6549" s="19" t="str">
        <f>HYPERLINK("https://ssdweb.co/ssdweb/CERTH/652442365.pdf","CERTI")</f>
        <v>CERTI</v>
      </c>
    </row>
    <row r="6550" spans="1:27" ht="15" x14ac:dyDescent="0.25">
      <c r="A6550" s="2">
        <v>6545</v>
      </c>
      <c r="B6550" s="39">
        <v>926291384</v>
      </c>
      <c r="C6550" s="28" t="str">
        <f>HYPERLINK("https://pld.live/RapDetail.aspx?STONELIST=926291384","DNA")</f>
        <v>DNA</v>
      </c>
      <c r="D6550" s="18" t="s">
        <v>4121</v>
      </c>
      <c r="E6550" s="18" t="s">
        <v>5128</v>
      </c>
      <c r="F6550" s="2" t="s">
        <v>7987</v>
      </c>
      <c r="G6550" s="2" t="s">
        <v>6781</v>
      </c>
      <c r="H6550" s="14">
        <v>0.95</v>
      </c>
      <c r="I6550" s="2" t="s">
        <v>4761</v>
      </c>
      <c r="J6550" s="2" t="s">
        <v>3942</v>
      </c>
      <c r="K6550" s="2" t="s">
        <v>1452</v>
      </c>
      <c r="L6550" s="2" t="s">
        <v>5221</v>
      </c>
      <c r="M6550" s="2" t="s">
        <v>5221</v>
      </c>
      <c r="N6550" s="2" t="s">
        <v>2317</v>
      </c>
      <c r="O6550" s="14">
        <v>5200</v>
      </c>
      <c r="P6550" s="14">
        <v>97.83</v>
      </c>
      <c r="Q6550" s="14">
        <v>112.84</v>
      </c>
      <c r="R6550" s="14">
        <v>107.2</v>
      </c>
      <c r="S6550" s="2" t="s">
        <v>6156</v>
      </c>
      <c r="T6550" s="2">
        <v>1.48</v>
      </c>
      <c r="U6550" s="2">
        <v>62.7</v>
      </c>
      <c r="V6550" s="2">
        <v>58</v>
      </c>
      <c r="W6550" s="2" t="s">
        <v>7862</v>
      </c>
      <c r="X6550" s="2" t="s">
        <v>6687</v>
      </c>
      <c r="Y6550" s="2">
        <v>4940</v>
      </c>
      <c r="Z6550" s="19" t="str">
        <f>HYPERLINK("https://ssdweb.co/ssdweb/hd/Vision360.html?d=926291384&amp;zoomslide=1&amp;z=1926291384&amp;ISCONFIRM=0","VIDEO")</f>
        <v>VIDEO</v>
      </c>
      <c r="AA6550" s="19" t="str">
        <f>HYPERLINK("https://ssdweb.co/ssdweb/CERTH/639406058.pdf","CERTI")</f>
        <v>CERTI</v>
      </c>
    </row>
    <row r="6551" spans="1:27" ht="15" x14ac:dyDescent="0.25">
      <c r="A6551" s="2">
        <v>6546</v>
      </c>
      <c r="B6551" s="39">
        <v>927080751</v>
      </c>
      <c r="C6551" s="28" t="str">
        <f>HYPERLINK("https://pld.live/RapDetail.aspx?STONELIST=927080751","DNA")</f>
        <v>DNA</v>
      </c>
      <c r="D6551" s="18" t="s">
        <v>4121</v>
      </c>
      <c r="E6551" s="18" t="s">
        <v>2186</v>
      </c>
      <c r="F6551" s="2" t="s">
        <v>7987</v>
      </c>
      <c r="G6551" s="2" t="s">
        <v>6781</v>
      </c>
      <c r="H6551" s="14">
        <v>0.95</v>
      </c>
      <c r="I6551" s="2" t="s">
        <v>4761</v>
      </c>
      <c r="J6551" s="2" t="s">
        <v>13</v>
      </c>
      <c r="K6551" s="2" t="s">
        <v>1452</v>
      </c>
      <c r="L6551" s="2" t="s">
        <v>5221</v>
      </c>
      <c r="M6551" s="2" t="s">
        <v>5721</v>
      </c>
      <c r="N6551" s="2" t="s">
        <v>2317</v>
      </c>
      <c r="O6551" s="14">
        <v>4900</v>
      </c>
      <c r="P6551" s="14">
        <v>97.8</v>
      </c>
      <c r="Q6551" s="14">
        <v>107.8</v>
      </c>
      <c r="R6551" s="14">
        <v>102.41</v>
      </c>
      <c r="S6551" s="2" t="s">
        <v>5269</v>
      </c>
      <c r="T6551" s="2">
        <v>1.53</v>
      </c>
      <c r="U6551" s="2">
        <v>62.4</v>
      </c>
      <c r="V6551" s="2">
        <v>60</v>
      </c>
      <c r="W6551" s="2" t="s">
        <v>7862</v>
      </c>
      <c r="X6551" s="2" t="s">
        <v>6687</v>
      </c>
      <c r="Y6551" s="2">
        <v>4655</v>
      </c>
      <c r="Z6551" s="19" t="str">
        <f>HYPERLINK("https://ssdweb.co/ssdweb/hd/Vision360.html?d=927080751&amp;zoomslide=1&amp;z=1927080751&amp;ISCONFIRM=0","VIDEO")</f>
        <v>VIDEO</v>
      </c>
      <c r="AA6551" s="19" t="str">
        <f>HYPERLINK("https://ssdweb.co/ssdweb/CERTH/671428007.pdf","CERTI")</f>
        <v>CERTI</v>
      </c>
    </row>
    <row r="6552" spans="1:27" ht="15" x14ac:dyDescent="0.25">
      <c r="A6552" s="2">
        <v>6547</v>
      </c>
      <c r="B6552" s="39">
        <v>941100488</v>
      </c>
      <c r="C6552" s="28" t="str">
        <f>HYPERLINK("https://pld.live/RapDetail.aspx?STONELIST=941100488","DNA")</f>
        <v>DNA</v>
      </c>
      <c r="D6552" s="18" t="s">
        <v>2990</v>
      </c>
      <c r="E6552" s="18" t="s">
        <v>2186</v>
      </c>
      <c r="F6552" s="2" t="s">
        <v>7987</v>
      </c>
      <c r="G6552" s="2" t="s">
        <v>6781</v>
      </c>
      <c r="H6552" s="14">
        <v>0.94</v>
      </c>
      <c r="I6552" s="2" t="s">
        <v>267</v>
      </c>
      <c r="J6552" s="2" t="s">
        <v>3942</v>
      </c>
      <c r="K6552" s="2" t="s">
        <v>1452</v>
      </c>
      <c r="L6552" s="2" t="s">
        <v>5221</v>
      </c>
      <c r="M6552" s="2" t="s">
        <v>5221</v>
      </c>
      <c r="N6552" s="2" t="s">
        <v>2317</v>
      </c>
      <c r="O6552" s="14">
        <v>5600</v>
      </c>
      <c r="P6552" s="14">
        <v>97.86</v>
      </c>
      <c r="Q6552" s="14">
        <v>119.84</v>
      </c>
      <c r="R6552" s="14">
        <v>112.65</v>
      </c>
      <c r="S6552" s="2" t="s">
        <v>3668</v>
      </c>
      <c r="T6552" s="2">
        <v>1.53</v>
      </c>
      <c r="U6552" s="2">
        <v>62</v>
      </c>
      <c r="V6552" s="2">
        <v>63</v>
      </c>
      <c r="W6552" s="2" t="s">
        <v>7862</v>
      </c>
      <c r="X6552" s="2" t="s">
        <v>6687</v>
      </c>
      <c r="Y6552" s="2">
        <v>5264</v>
      </c>
      <c r="Z6552" s="19" t="str">
        <f>HYPERLINK("https://ssdweb.co/ssdweb/hd/Vision360.html?d=941100488&amp;zoomslide=1&amp;z=1941100488&amp;ISCONFIRM=0","VIDEO")</f>
        <v>VIDEO</v>
      </c>
      <c r="AA6552" s="19" t="str">
        <f>HYPERLINK("https://ssdweb.co/ssdweb/CERTH/674504066.pdf","CERTI")</f>
        <v>CERTI</v>
      </c>
    </row>
    <row r="6553" spans="1:27" ht="15" x14ac:dyDescent="0.25">
      <c r="A6553" s="2">
        <v>6548</v>
      </c>
      <c r="B6553" s="39">
        <v>927052638</v>
      </c>
      <c r="C6553" s="28" t="str">
        <f>HYPERLINK("https://pld.live/RapDetail.aspx?STONELIST=927052638","DNA")</f>
        <v>DNA</v>
      </c>
      <c r="D6553" s="18" t="s">
        <v>2990</v>
      </c>
      <c r="E6553" s="18" t="s">
        <v>5128</v>
      </c>
      <c r="F6553" s="2" t="s">
        <v>7987</v>
      </c>
      <c r="G6553" s="2" t="s">
        <v>6781</v>
      </c>
      <c r="H6553" s="14">
        <v>0.94</v>
      </c>
      <c r="I6553" s="2" t="s">
        <v>267</v>
      </c>
      <c r="J6553" s="2" t="s">
        <v>3942</v>
      </c>
      <c r="K6553" s="2" t="s">
        <v>1452</v>
      </c>
      <c r="L6553" s="2" t="s">
        <v>5221</v>
      </c>
      <c r="M6553" s="2" t="s">
        <v>5221</v>
      </c>
      <c r="N6553" s="2" t="s">
        <v>2317</v>
      </c>
      <c r="O6553" s="14">
        <v>5600</v>
      </c>
      <c r="P6553" s="14">
        <v>97.86</v>
      </c>
      <c r="Q6553" s="14">
        <v>119.84</v>
      </c>
      <c r="R6553" s="14">
        <v>112.65</v>
      </c>
      <c r="S6553" s="2" t="s">
        <v>7397</v>
      </c>
      <c r="T6553" s="2">
        <v>1.52</v>
      </c>
      <c r="U6553" s="2">
        <v>62.7</v>
      </c>
      <c r="V6553" s="2">
        <v>61</v>
      </c>
      <c r="W6553" s="2" t="s">
        <v>7862</v>
      </c>
      <c r="X6553" s="2" t="s">
        <v>6687</v>
      </c>
      <c r="Y6553" s="2">
        <v>5264</v>
      </c>
      <c r="Z6553" s="19" t="str">
        <f>HYPERLINK("https://ssdweb.co/ssdweb/hd/Vision360.html?d=927052638&amp;zoomslide=1&amp;z=1927052638&amp;ISCONFIRM=0","VIDEO")</f>
        <v>VIDEO</v>
      </c>
      <c r="AA6553" s="19" t="str">
        <f>HYPERLINK("https://ssdweb.co/ssdweb/CERTH/669458144.pdf","CERTI")</f>
        <v>CERTI</v>
      </c>
    </row>
    <row r="6554" spans="1:27" ht="15" x14ac:dyDescent="0.25">
      <c r="A6554" s="2">
        <v>6549</v>
      </c>
      <c r="B6554" s="39">
        <v>925930219</v>
      </c>
      <c r="C6554" s="28" t="str">
        <f>HYPERLINK("https://pld.live/RapDetail.aspx?STONELIST=925930219","DNA")</f>
        <v>DNA</v>
      </c>
      <c r="D6554" s="18" t="s">
        <v>2990</v>
      </c>
      <c r="E6554" s="18" t="s">
        <v>2186</v>
      </c>
      <c r="F6554" s="2" t="s">
        <v>7987</v>
      </c>
      <c r="G6554" s="2" t="s">
        <v>6781</v>
      </c>
      <c r="H6554" s="14">
        <v>0.94</v>
      </c>
      <c r="I6554" s="2" t="s">
        <v>267</v>
      </c>
      <c r="J6554" s="2" t="s">
        <v>13</v>
      </c>
      <c r="K6554" s="2" t="s">
        <v>1452</v>
      </c>
      <c r="L6554" s="2" t="s">
        <v>5221</v>
      </c>
      <c r="M6554" s="2" t="s">
        <v>5221</v>
      </c>
      <c r="N6554" s="2" t="s">
        <v>2317</v>
      </c>
      <c r="O6554" s="14">
        <v>5200</v>
      </c>
      <c r="P6554" s="14">
        <v>97.88</v>
      </c>
      <c r="Q6554" s="14">
        <v>110.24</v>
      </c>
      <c r="R6554" s="14">
        <v>103.63</v>
      </c>
      <c r="S6554" s="2" t="s">
        <v>5624</v>
      </c>
      <c r="T6554" s="2">
        <v>1.54</v>
      </c>
      <c r="U6554" s="2">
        <v>60.7</v>
      </c>
      <c r="V6554" s="2">
        <v>61</v>
      </c>
      <c r="W6554" s="2" t="s">
        <v>7862</v>
      </c>
      <c r="X6554" s="2" t="s">
        <v>6687</v>
      </c>
      <c r="Y6554" s="2">
        <v>4888</v>
      </c>
      <c r="Z6554" s="19" t="str">
        <f>HYPERLINK("https://ssdweb.co/ssdweb/hd/Vision360.html?d=925930219&amp;zoomslide=1&amp;z=1925930219&amp;ISCONFIRM=0","VIDEO")</f>
        <v>VIDEO</v>
      </c>
      <c r="AA6554" s="19" t="str">
        <f>HYPERLINK("https://ssdweb.co/ssdweb/CERTH/629497327.pdf","CERTI")</f>
        <v>CERTI</v>
      </c>
    </row>
    <row r="6555" spans="1:27" ht="15" x14ac:dyDescent="0.25">
      <c r="A6555" s="2">
        <v>6550</v>
      </c>
      <c r="B6555" s="39">
        <v>926972227</v>
      </c>
      <c r="C6555" s="28" t="str">
        <f>HYPERLINK("https://pld.live/RapDetail.aspx?STONELIST=926972227","DNA")</f>
        <v>DNA</v>
      </c>
      <c r="D6555" s="18" t="s">
        <v>2990</v>
      </c>
      <c r="E6555" s="18" t="s">
        <v>5128</v>
      </c>
      <c r="F6555" s="2" t="s">
        <v>7987</v>
      </c>
      <c r="G6555" s="2" t="s">
        <v>6781</v>
      </c>
      <c r="H6555" s="14">
        <v>0.94</v>
      </c>
      <c r="I6555" s="2" t="s">
        <v>4699</v>
      </c>
      <c r="J6555" s="2" t="s">
        <v>13</v>
      </c>
      <c r="K6555" s="2" t="s">
        <v>1452</v>
      </c>
      <c r="L6555" s="2" t="s">
        <v>5221</v>
      </c>
      <c r="M6555" s="2" t="s">
        <v>5221</v>
      </c>
      <c r="N6555" s="2" t="s">
        <v>2317</v>
      </c>
      <c r="O6555" s="14">
        <v>4600</v>
      </c>
      <c r="P6555" s="14">
        <v>97.65</v>
      </c>
      <c r="Q6555" s="14">
        <v>108.1</v>
      </c>
      <c r="R6555" s="14">
        <v>101.61</v>
      </c>
      <c r="S6555" s="2" t="s">
        <v>4473</v>
      </c>
      <c r="T6555" s="2">
        <v>1.55</v>
      </c>
      <c r="U6555" s="2">
        <v>61.7</v>
      </c>
      <c r="V6555" s="2">
        <v>59</v>
      </c>
      <c r="W6555" s="2" t="s">
        <v>7862</v>
      </c>
      <c r="X6555" s="2" t="s">
        <v>6687</v>
      </c>
      <c r="Y6555" s="2">
        <v>4324</v>
      </c>
      <c r="Z6555" s="19" t="str">
        <f>HYPERLINK("https://ssdweb.co/ssdweb/hd/Vision360.html?d=926972227&amp;zoomslide=1&amp;z=1926972227&amp;ISCONFIRM=0","VIDEO")</f>
        <v>VIDEO</v>
      </c>
      <c r="AA6555" s="19" t="str">
        <f>HYPERLINK("https://ssdweb.co/ssdweb/CERTH/668477307.pdf","CERTI")</f>
        <v>CERTI</v>
      </c>
    </row>
    <row r="6556" spans="1:27" ht="15" x14ac:dyDescent="0.25">
      <c r="A6556" s="2">
        <v>6551</v>
      </c>
      <c r="B6556" s="39">
        <v>926030045</v>
      </c>
      <c r="C6556" s="28" t="str">
        <f>HYPERLINK("https://pld.live/RapDetail.aspx?STONELIST=926030045","DNA")</f>
        <v>DNA</v>
      </c>
      <c r="D6556" s="18" t="s">
        <v>2990</v>
      </c>
      <c r="E6556" s="18" t="s">
        <v>2186</v>
      </c>
      <c r="F6556" s="2" t="s">
        <v>7987</v>
      </c>
      <c r="G6556" s="2" t="s">
        <v>6781</v>
      </c>
      <c r="H6556" s="14">
        <v>0.94</v>
      </c>
      <c r="I6556" s="2" t="s">
        <v>4699</v>
      </c>
      <c r="J6556" s="2" t="s">
        <v>13</v>
      </c>
      <c r="K6556" s="2" t="s">
        <v>1452</v>
      </c>
      <c r="L6556" s="2" t="s">
        <v>5221</v>
      </c>
      <c r="M6556" s="2" t="s">
        <v>5721</v>
      </c>
      <c r="N6556" s="2" t="s">
        <v>2317</v>
      </c>
      <c r="O6556" s="14">
        <v>4600</v>
      </c>
      <c r="P6556" s="14">
        <v>97.8</v>
      </c>
      <c r="Q6556" s="14">
        <v>101.2</v>
      </c>
      <c r="R6556" s="14">
        <v>95.13</v>
      </c>
      <c r="S6556" s="2" t="s">
        <v>1900</v>
      </c>
      <c r="T6556" s="2">
        <v>1.54</v>
      </c>
      <c r="U6556" s="2">
        <v>60.1</v>
      </c>
      <c r="V6556" s="2">
        <v>61</v>
      </c>
      <c r="W6556" s="2" t="s">
        <v>7862</v>
      </c>
      <c r="X6556" s="2" t="s">
        <v>6687</v>
      </c>
      <c r="Y6556" s="2">
        <v>4324</v>
      </c>
      <c r="Z6556" s="19" t="str">
        <f>HYPERLINK("https://ssdweb.co/ssdweb/hd/Vision360.html?d=926030045&amp;zoomslide=1&amp;z=1926030045&amp;ISCONFIRM=0","VIDEO")</f>
        <v>VIDEO</v>
      </c>
      <c r="AA6556" s="19" t="str">
        <f>HYPERLINK("https://ssdweb.co/ssdweb/CERTH/630447642.pdf","CERTI")</f>
        <v>CERTI</v>
      </c>
    </row>
    <row r="6557" spans="1:27" ht="15" x14ac:dyDescent="0.25">
      <c r="A6557" s="2">
        <v>6552</v>
      </c>
      <c r="B6557" s="39">
        <v>920470437</v>
      </c>
      <c r="C6557" s="28" t="str">
        <f>HYPERLINK("https://pld.live/RapDetail.aspx?STONELIST=920470437","DNA")</f>
        <v>DNA</v>
      </c>
      <c r="D6557" s="18" t="s">
        <v>2990</v>
      </c>
      <c r="E6557" s="18" t="s">
        <v>7909</v>
      </c>
      <c r="F6557" s="2" t="s">
        <v>7987</v>
      </c>
      <c r="G6557" s="2" t="s">
        <v>6781</v>
      </c>
      <c r="H6557" s="14">
        <v>0.94</v>
      </c>
      <c r="I6557" s="2" t="s">
        <v>6845</v>
      </c>
      <c r="J6557" s="2" t="s">
        <v>5144</v>
      </c>
      <c r="K6557" s="2" t="s">
        <v>1452</v>
      </c>
      <c r="L6557" s="2" t="s">
        <v>5221</v>
      </c>
      <c r="M6557" s="2" t="s">
        <v>5221</v>
      </c>
      <c r="N6557" s="2" t="s">
        <v>2317</v>
      </c>
      <c r="O6557" s="14">
        <v>1700</v>
      </c>
      <c r="P6557" s="14">
        <v>85.88</v>
      </c>
      <c r="Q6557" s="14">
        <v>240.04</v>
      </c>
      <c r="R6557" s="14">
        <v>225.64</v>
      </c>
      <c r="S6557" s="2" t="s">
        <v>4131</v>
      </c>
      <c r="T6557" s="2">
        <v>1.56</v>
      </c>
      <c r="U6557" s="2">
        <v>60.4</v>
      </c>
      <c r="V6557" s="2">
        <v>59</v>
      </c>
      <c r="W6557" s="2" t="s">
        <v>7862</v>
      </c>
      <c r="X6557" s="2" t="s">
        <v>6687</v>
      </c>
      <c r="Y6557" s="2">
        <v>1598</v>
      </c>
      <c r="Z6557" s="19" t="str">
        <f>HYPERLINK("https://ssdweb.co/ssdweb/hd/Vision360.html?d=920470437&amp;zoomslide=1&amp;z=1920470437&amp;ISCONFIRM=0","VIDEO")</f>
        <v>VIDEO</v>
      </c>
      <c r="AA6557" s="19" t="str">
        <f>HYPERLINK("https://ssdweb.co/ssdweb/CERTH/631429901.pdf","CERTI")</f>
        <v>CERTI</v>
      </c>
    </row>
    <row r="6558" spans="1:27" ht="15" x14ac:dyDescent="0.25">
      <c r="A6558" s="2">
        <v>6553</v>
      </c>
      <c r="B6558" s="39">
        <v>927030730</v>
      </c>
      <c r="C6558" s="28" t="str">
        <f>HYPERLINK("https://pld.live/RapDetail.aspx?STONELIST=927030730","DNA")</f>
        <v>DNA</v>
      </c>
      <c r="D6558" s="18" t="s">
        <v>2990</v>
      </c>
      <c r="E6558" s="18" t="s">
        <v>2186</v>
      </c>
      <c r="F6558" s="2" t="s">
        <v>7987</v>
      </c>
      <c r="G6558" s="2" t="s">
        <v>6781</v>
      </c>
      <c r="H6558" s="14">
        <v>0.93</v>
      </c>
      <c r="I6558" s="2" t="s">
        <v>267</v>
      </c>
      <c r="J6558" s="2" t="s">
        <v>3942</v>
      </c>
      <c r="K6558" s="2" t="s">
        <v>1452</v>
      </c>
      <c r="L6558" s="2" t="s">
        <v>5221</v>
      </c>
      <c r="M6558" s="2" t="s">
        <v>5721</v>
      </c>
      <c r="N6558" s="2" t="s">
        <v>2317</v>
      </c>
      <c r="O6558" s="14">
        <v>5600</v>
      </c>
      <c r="P6558" s="14">
        <v>97.89</v>
      </c>
      <c r="Q6558" s="14">
        <v>118.16</v>
      </c>
      <c r="R6558" s="14">
        <v>109.89</v>
      </c>
      <c r="S6558" s="2" t="s">
        <v>7086</v>
      </c>
      <c r="T6558" s="2">
        <v>1.5</v>
      </c>
      <c r="U6558" s="2">
        <v>60</v>
      </c>
      <c r="V6558" s="2">
        <v>63</v>
      </c>
      <c r="W6558" s="2" t="s">
        <v>7862</v>
      </c>
      <c r="X6558" s="2" t="s">
        <v>6687</v>
      </c>
      <c r="Y6558" s="2">
        <v>5208</v>
      </c>
      <c r="Z6558" s="19" t="str">
        <f>HYPERLINK("https://ssdweb.co/ssdweb/hd/Vision360.html?d=927030730&amp;zoomslide=1&amp;z=1927030730&amp;ISCONFIRM=0","VIDEO")</f>
        <v>VIDEO</v>
      </c>
      <c r="AA6558" s="19" t="str">
        <f>HYPERLINK("https://ssdweb.co/ssdweb/CERTH/666436003.pdf","CERTI")</f>
        <v>CERTI</v>
      </c>
    </row>
    <row r="6559" spans="1:27" ht="15" x14ac:dyDescent="0.25">
      <c r="A6559" s="2">
        <v>6554</v>
      </c>
      <c r="B6559" s="39">
        <v>941220412</v>
      </c>
      <c r="C6559" s="28" t="str">
        <f>HYPERLINK("https://pld.live/RapDetail.aspx?STONELIST=941220412","DNA")</f>
        <v>DNA</v>
      </c>
      <c r="D6559" s="18" t="s">
        <v>2990</v>
      </c>
      <c r="E6559" s="18" t="s">
        <v>2186</v>
      </c>
      <c r="F6559" s="2" t="s">
        <v>7987</v>
      </c>
      <c r="G6559" s="2" t="s">
        <v>6781</v>
      </c>
      <c r="H6559" s="14">
        <v>0.93</v>
      </c>
      <c r="I6559" s="2" t="s">
        <v>267</v>
      </c>
      <c r="J6559" s="2" t="s">
        <v>13</v>
      </c>
      <c r="K6559" s="2" t="s">
        <v>1452</v>
      </c>
      <c r="L6559" s="2" t="s">
        <v>5221</v>
      </c>
      <c r="M6559" s="2" t="s">
        <v>5221</v>
      </c>
      <c r="N6559" s="2" t="s">
        <v>2317</v>
      </c>
      <c r="O6559" s="14">
        <v>5200</v>
      </c>
      <c r="P6559" s="14">
        <v>97.79</v>
      </c>
      <c r="Q6559" s="14">
        <v>114.92</v>
      </c>
      <c r="R6559" s="14">
        <v>106.88</v>
      </c>
      <c r="S6559" s="2" t="s">
        <v>58</v>
      </c>
      <c r="T6559" s="2">
        <v>1.54</v>
      </c>
      <c r="U6559" s="2">
        <v>61.5</v>
      </c>
      <c r="V6559" s="2">
        <v>63</v>
      </c>
      <c r="W6559" s="2" t="s">
        <v>7862</v>
      </c>
      <c r="X6559" s="2" t="s">
        <v>6687</v>
      </c>
      <c r="Y6559" s="2">
        <v>4836</v>
      </c>
      <c r="Z6559" s="19" t="str">
        <f>HYPERLINK("https://ssdweb.co/ssdweb/hd/Vision360.html?d=941220412&amp;zoomslide=1&amp;z=1941220412&amp;ISCONFIRM=0","VIDEO")</f>
        <v>VIDEO</v>
      </c>
      <c r="AA6559" s="19" t="str">
        <f>HYPERLINK("https://ssdweb.co/ssdweb/CERTH/680505100.pdf","CERTI")</f>
        <v>CERTI</v>
      </c>
    </row>
    <row r="6560" spans="1:27" ht="15" x14ac:dyDescent="0.25">
      <c r="A6560" s="2">
        <v>6555</v>
      </c>
      <c r="B6560" s="39">
        <v>927102453</v>
      </c>
      <c r="C6560" s="28" t="str">
        <f>HYPERLINK("https://pld.live/RapDetail.aspx?STONELIST=927102453","DNA")</f>
        <v>DNA</v>
      </c>
      <c r="D6560" s="18" t="s">
        <v>2990</v>
      </c>
      <c r="E6560" s="18" t="s">
        <v>5128</v>
      </c>
      <c r="F6560" s="2" t="s">
        <v>7987</v>
      </c>
      <c r="G6560" s="2" t="s">
        <v>6781</v>
      </c>
      <c r="H6560" s="14">
        <v>0.93</v>
      </c>
      <c r="I6560" s="2" t="s">
        <v>4761</v>
      </c>
      <c r="J6560" s="2" t="s">
        <v>3942</v>
      </c>
      <c r="K6560" s="2" t="s">
        <v>1452</v>
      </c>
      <c r="L6560" s="2" t="s">
        <v>5221</v>
      </c>
      <c r="M6560" s="2" t="s">
        <v>5221</v>
      </c>
      <c r="N6560" s="2" t="s">
        <v>2317</v>
      </c>
      <c r="O6560" s="14">
        <v>5200</v>
      </c>
      <c r="P6560" s="14">
        <v>97.79</v>
      </c>
      <c r="Q6560" s="14">
        <v>114.92</v>
      </c>
      <c r="R6560" s="14">
        <v>106.88</v>
      </c>
      <c r="S6560" s="2" t="s">
        <v>3165</v>
      </c>
      <c r="T6560" s="2">
        <v>1.53</v>
      </c>
      <c r="U6560" s="2">
        <v>61.4</v>
      </c>
      <c r="V6560" s="2">
        <v>61</v>
      </c>
      <c r="W6560" s="2" t="s">
        <v>7862</v>
      </c>
      <c r="X6560" s="2" t="s">
        <v>6687</v>
      </c>
      <c r="Y6560" s="2">
        <v>4836</v>
      </c>
      <c r="Z6560" s="19" t="str">
        <f>HYPERLINK("https://ssdweb.co/ssdweb/hd/Vision360.html?d=927102453&amp;zoomslide=1&amp;z=1927102453&amp;ISCONFIRM=0","VIDEO")</f>
        <v>VIDEO</v>
      </c>
      <c r="AA6560" s="19" t="str">
        <f>HYPERLINK("https://ssdweb.co/ssdweb/CERTH/671428041.pdf","CERTI")</f>
        <v>CERTI</v>
      </c>
    </row>
    <row r="6561" spans="1:27" ht="15" x14ac:dyDescent="0.25">
      <c r="A6561" s="2">
        <v>6556</v>
      </c>
      <c r="B6561" s="39">
        <v>926020642</v>
      </c>
      <c r="C6561" s="28" t="str">
        <f>HYPERLINK("https://pld.live/RapDetail.aspx?STONELIST=926020642","DNA")</f>
        <v>DNA</v>
      </c>
      <c r="D6561" s="18" t="s">
        <v>2990</v>
      </c>
      <c r="E6561" s="18" t="s">
        <v>5128</v>
      </c>
      <c r="F6561" s="2" t="s">
        <v>7987</v>
      </c>
      <c r="G6561" s="2" t="s">
        <v>6781</v>
      </c>
      <c r="H6561" s="14">
        <v>0.93</v>
      </c>
      <c r="I6561" s="2" t="s">
        <v>4761</v>
      </c>
      <c r="J6561" s="2" t="s">
        <v>5144</v>
      </c>
      <c r="K6561" s="2" t="s">
        <v>1452</v>
      </c>
      <c r="L6561" s="2" t="s">
        <v>5221</v>
      </c>
      <c r="M6561" s="2" t="s">
        <v>5221</v>
      </c>
      <c r="N6561" s="2" t="s">
        <v>2317</v>
      </c>
      <c r="O6561" s="14">
        <v>4200</v>
      </c>
      <c r="P6561" s="14">
        <v>97.55</v>
      </c>
      <c r="Q6561" s="14">
        <v>102.9</v>
      </c>
      <c r="R6561" s="14">
        <v>95.7</v>
      </c>
      <c r="S6561" s="2" t="s">
        <v>4506</v>
      </c>
      <c r="T6561" s="2">
        <v>1.54</v>
      </c>
      <c r="U6561" s="2">
        <v>62.6</v>
      </c>
      <c r="V6561" s="2">
        <v>58</v>
      </c>
      <c r="W6561" s="2" t="s">
        <v>7862</v>
      </c>
      <c r="X6561" s="2" t="s">
        <v>6687</v>
      </c>
      <c r="Y6561" s="2">
        <v>3906</v>
      </c>
      <c r="Z6561" s="19" t="str">
        <f>HYPERLINK("https://ssdweb.co/ssdweb/hd/Vision360.html?d=926020642&amp;zoomslide=1&amp;z=1926020642&amp;ISCONFIRM=0","VIDEO")</f>
        <v>VIDEO</v>
      </c>
      <c r="AA6561" s="19" t="str">
        <f>HYPERLINK("https://ssdweb.co/ssdweb/CERTH/629497329.pdf","CERTI")</f>
        <v>CERTI</v>
      </c>
    </row>
    <row r="6562" spans="1:27" ht="15" x14ac:dyDescent="0.25">
      <c r="A6562" s="2">
        <v>6557</v>
      </c>
      <c r="B6562" s="39">
        <v>927052693</v>
      </c>
      <c r="C6562" s="28" t="str">
        <f>HYPERLINK("https://pld.live/RapDetail.aspx?STONELIST=927052693","DNA")</f>
        <v>DNA</v>
      </c>
      <c r="D6562" s="18" t="s">
        <v>2990</v>
      </c>
      <c r="E6562" s="18" t="s">
        <v>5128</v>
      </c>
      <c r="F6562" s="2" t="s">
        <v>7987</v>
      </c>
      <c r="G6562" s="2" t="s">
        <v>6781</v>
      </c>
      <c r="H6562" s="14">
        <v>0.93</v>
      </c>
      <c r="I6562" s="2" t="s">
        <v>4699</v>
      </c>
      <c r="J6562" s="2" t="s">
        <v>3942</v>
      </c>
      <c r="K6562" s="2" t="s">
        <v>1452</v>
      </c>
      <c r="L6562" s="2" t="s">
        <v>5221</v>
      </c>
      <c r="M6562" s="2" t="s">
        <v>5221</v>
      </c>
      <c r="N6562" s="2" t="s">
        <v>2317</v>
      </c>
      <c r="O6562" s="14">
        <v>4900</v>
      </c>
      <c r="P6562" s="14">
        <v>97.69</v>
      </c>
      <c r="Q6562" s="14">
        <v>113.19</v>
      </c>
      <c r="R6562" s="14">
        <v>105.27</v>
      </c>
      <c r="S6562" s="2" t="s">
        <v>4133</v>
      </c>
      <c r="T6562" s="2">
        <v>1.54</v>
      </c>
      <c r="U6562" s="2">
        <v>62.5</v>
      </c>
      <c r="V6562" s="2">
        <v>61</v>
      </c>
      <c r="W6562" s="2" t="s">
        <v>7862</v>
      </c>
      <c r="X6562" s="2" t="s">
        <v>6687</v>
      </c>
      <c r="Y6562" s="2">
        <v>4557</v>
      </c>
      <c r="Z6562" s="19" t="str">
        <f>HYPERLINK("https://ssdweb.co/ssdweb/hd/Vision360.html?d=927052693&amp;zoomslide=1&amp;z=1927052693&amp;ISCONFIRM=0","VIDEO")</f>
        <v>VIDEO</v>
      </c>
      <c r="AA6562" s="19" t="str">
        <f>HYPERLINK("https://ssdweb.co/ssdweb/CERTH/670445153.pdf","CERTI")</f>
        <v>CERTI</v>
      </c>
    </row>
    <row r="6563" spans="1:27" ht="15" x14ac:dyDescent="0.25">
      <c r="A6563" s="2">
        <v>6558</v>
      </c>
      <c r="B6563" s="39">
        <v>926450492</v>
      </c>
      <c r="C6563" s="28" t="str">
        <f>HYPERLINK("https://pld.live/RapDetail.aspx?STONELIST=926450492","DNA")</f>
        <v>DNA</v>
      </c>
      <c r="D6563" s="18" t="s">
        <v>2990</v>
      </c>
      <c r="E6563" s="18" t="s">
        <v>2186</v>
      </c>
      <c r="F6563" s="2" t="s">
        <v>7987</v>
      </c>
      <c r="G6563" s="2" t="s">
        <v>6781</v>
      </c>
      <c r="H6563" s="14">
        <v>0.93</v>
      </c>
      <c r="I6563" s="2" t="s">
        <v>4699</v>
      </c>
      <c r="J6563" s="2" t="s">
        <v>13</v>
      </c>
      <c r="K6563" s="2" t="s">
        <v>1452</v>
      </c>
      <c r="L6563" s="2" t="s">
        <v>5221</v>
      </c>
      <c r="M6563" s="2" t="s">
        <v>5221</v>
      </c>
      <c r="N6563" s="2" t="s">
        <v>2317</v>
      </c>
      <c r="O6563" s="14">
        <v>4600</v>
      </c>
      <c r="P6563" s="14">
        <v>97.7</v>
      </c>
      <c r="Q6563" s="14">
        <v>105.8</v>
      </c>
      <c r="R6563" s="14">
        <v>98.39</v>
      </c>
      <c r="S6563" s="2" t="s">
        <v>2951</v>
      </c>
      <c r="T6563" s="2">
        <v>1.62</v>
      </c>
      <c r="U6563" s="2">
        <v>60.1</v>
      </c>
      <c r="V6563" s="2">
        <v>63</v>
      </c>
      <c r="W6563" s="2" t="s">
        <v>7862</v>
      </c>
      <c r="X6563" s="2" t="s">
        <v>6687</v>
      </c>
      <c r="Y6563" s="2">
        <v>4278</v>
      </c>
      <c r="Z6563" s="19" t="str">
        <f>HYPERLINK("https://ssdweb.co/ssdweb/hd/Vision360.html?d=926450492&amp;zoomslide=1&amp;z=1926450492&amp;ISCONFIRM=0","VIDEO")</f>
        <v>VIDEO</v>
      </c>
      <c r="AA6563" s="19" t="str">
        <f>HYPERLINK("https://ssdweb.co/ssdweb/CERTH/644431784.pdf","CERTI")</f>
        <v>CERTI</v>
      </c>
    </row>
    <row r="6564" spans="1:27" ht="15" x14ac:dyDescent="0.25">
      <c r="A6564" s="2">
        <v>6559</v>
      </c>
      <c r="B6564" s="39">
        <v>926820071</v>
      </c>
      <c r="C6564" s="28" t="str">
        <f>HYPERLINK("https://pld.live/RapDetail.aspx?STONELIST=926820071","DNA")</f>
        <v>DNA</v>
      </c>
      <c r="D6564" s="18" t="s">
        <v>2990</v>
      </c>
      <c r="E6564" s="18" t="s">
        <v>2186</v>
      </c>
      <c r="F6564" s="2" t="s">
        <v>7987</v>
      </c>
      <c r="G6564" s="2" t="s">
        <v>6781</v>
      </c>
      <c r="H6564" s="14">
        <v>0.92</v>
      </c>
      <c r="I6564" s="2" t="s">
        <v>267</v>
      </c>
      <c r="J6564" s="2" t="s">
        <v>13</v>
      </c>
      <c r="K6564" s="2" t="s">
        <v>1452</v>
      </c>
      <c r="L6564" s="2" t="s">
        <v>5221</v>
      </c>
      <c r="M6564" s="2" t="s">
        <v>5221</v>
      </c>
      <c r="N6564" s="2" t="s">
        <v>2317</v>
      </c>
      <c r="O6564" s="14">
        <v>5200</v>
      </c>
      <c r="P6564" s="14">
        <v>97.79</v>
      </c>
      <c r="Q6564" s="14">
        <v>114.92</v>
      </c>
      <c r="R6564" s="14">
        <v>105.73</v>
      </c>
      <c r="S6564" s="2" t="s">
        <v>388</v>
      </c>
      <c r="T6564" s="2">
        <v>1.61</v>
      </c>
      <c r="U6564" s="2">
        <v>61.6</v>
      </c>
      <c r="V6564" s="2">
        <v>62</v>
      </c>
      <c r="W6564" s="2" t="s">
        <v>7862</v>
      </c>
      <c r="X6564" s="2" t="s">
        <v>6687</v>
      </c>
      <c r="Y6564" s="2">
        <v>4784</v>
      </c>
      <c r="Z6564" s="19" t="str">
        <f>HYPERLINK("https://ssdweb.co/ssdweb/hd/Vision360.html?d=926820071&amp;zoomslide=1&amp;z=1926820071&amp;ISCONFIRM=0","VIDEO")</f>
        <v>VIDEO</v>
      </c>
      <c r="AA6564" s="19" t="str">
        <f>HYPERLINK("https://ssdweb.co/ssdweb/CERTH/659414254.pdf","CERTI")</f>
        <v>CERTI</v>
      </c>
    </row>
    <row r="6565" spans="1:27" ht="15" x14ac:dyDescent="0.25">
      <c r="A6565" s="2">
        <v>6560</v>
      </c>
      <c r="B6565" s="39">
        <v>927030755</v>
      </c>
      <c r="C6565" s="28" t="str">
        <f>HYPERLINK("https://pld.live/RapDetail.aspx?STONELIST=927030755","DNA")</f>
        <v>DNA</v>
      </c>
      <c r="D6565" s="18" t="s">
        <v>2990</v>
      </c>
      <c r="E6565" s="18" t="s">
        <v>2186</v>
      </c>
      <c r="F6565" s="2" t="s">
        <v>7987</v>
      </c>
      <c r="G6565" s="2" t="s">
        <v>6781</v>
      </c>
      <c r="H6565" s="14">
        <v>0.92</v>
      </c>
      <c r="I6565" s="2" t="s">
        <v>267</v>
      </c>
      <c r="J6565" s="2" t="s">
        <v>13</v>
      </c>
      <c r="K6565" s="2" t="s">
        <v>1452</v>
      </c>
      <c r="L6565" s="2" t="s">
        <v>5221</v>
      </c>
      <c r="M6565" s="2" t="s">
        <v>5221</v>
      </c>
      <c r="N6565" s="2" t="s">
        <v>2317</v>
      </c>
      <c r="O6565" s="14">
        <v>5200</v>
      </c>
      <c r="P6565" s="14">
        <v>97.79</v>
      </c>
      <c r="Q6565" s="14">
        <v>114.92</v>
      </c>
      <c r="R6565" s="14">
        <v>105.73</v>
      </c>
      <c r="S6565" s="2" t="s">
        <v>3759</v>
      </c>
      <c r="T6565" s="2">
        <v>1.58</v>
      </c>
      <c r="U6565" s="2">
        <v>60.3</v>
      </c>
      <c r="V6565" s="2">
        <v>61</v>
      </c>
      <c r="W6565" s="2" t="s">
        <v>7862</v>
      </c>
      <c r="X6565" s="2" t="s">
        <v>6687</v>
      </c>
      <c r="Y6565" s="2">
        <v>4784</v>
      </c>
      <c r="Z6565" s="19" t="str">
        <f>HYPERLINK("https://ssdweb.co/ssdweb/hd/Vision360.html?d=927030755&amp;zoomslide=1&amp;z=1927030755&amp;ISCONFIRM=0","VIDEO")</f>
        <v>VIDEO</v>
      </c>
      <c r="AA6565" s="19" t="str">
        <f>HYPERLINK("https://ssdweb.co/ssdweb/CERTH/667408223.pdf","CERTI")</f>
        <v>CERTI</v>
      </c>
    </row>
    <row r="6566" spans="1:27" ht="15" x14ac:dyDescent="0.25">
      <c r="A6566" s="2">
        <v>6561</v>
      </c>
      <c r="B6566" s="39">
        <v>927052467</v>
      </c>
      <c r="C6566" s="28" t="str">
        <f>HYPERLINK("https://pld.live/RapDetail.aspx?STONELIST=927052467","DNA")</f>
        <v>DNA</v>
      </c>
      <c r="D6566" s="18" t="s">
        <v>2990</v>
      </c>
      <c r="E6566" s="18" t="s">
        <v>5128</v>
      </c>
      <c r="F6566" s="2" t="s">
        <v>7987</v>
      </c>
      <c r="G6566" s="2" t="s">
        <v>6781</v>
      </c>
      <c r="H6566" s="14">
        <v>0.92</v>
      </c>
      <c r="I6566" s="2" t="s">
        <v>4761</v>
      </c>
      <c r="J6566" s="2" t="s">
        <v>3942</v>
      </c>
      <c r="K6566" s="2" t="s">
        <v>1452</v>
      </c>
      <c r="L6566" s="2" t="s">
        <v>5221</v>
      </c>
      <c r="M6566" s="2" t="s">
        <v>5221</v>
      </c>
      <c r="N6566" s="2" t="s">
        <v>2317</v>
      </c>
      <c r="O6566" s="14">
        <v>5200</v>
      </c>
      <c r="P6566" s="14">
        <v>97.79</v>
      </c>
      <c r="Q6566" s="14">
        <v>114.92</v>
      </c>
      <c r="R6566" s="14">
        <v>105.73</v>
      </c>
      <c r="S6566" s="2" t="s">
        <v>1967</v>
      </c>
      <c r="T6566" s="2">
        <v>1.48</v>
      </c>
      <c r="U6566" s="2">
        <v>62.2</v>
      </c>
      <c r="V6566" s="2">
        <v>58</v>
      </c>
      <c r="W6566" s="2" t="s">
        <v>7862</v>
      </c>
      <c r="X6566" s="2" t="s">
        <v>6687</v>
      </c>
      <c r="Y6566" s="2">
        <v>4784</v>
      </c>
      <c r="Z6566" s="19" t="str">
        <f>HYPERLINK("https://ssdweb.co/ssdweb/hd/Vision360.html?d=927052467&amp;zoomslide=1&amp;z=1927052467&amp;ISCONFIRM=0","VIDEO")</f>
        <v>VIDEO</v>
      </c>
      <c r="AA6566" s="19" t="str">
        <f>HYPERLINK("https://ssdweb.co/ssdweb/CERTH/666416271.pdf","CERTI")</f>
        <v>CERTI</v>
      </c>
    </row>
    <row r="6567" spans="1:27" ht="15" x14ac:dyDescent="0.25">
      <c r="A6567" s="2">
        <v>6562</v>
      </c>
      <c r="B6567" s="39">
        <v>927010814</v>
      </c>
      <c r="C6567" s="28" t="str">
        <f>HYPERLINK("https://pld.live/RapDetail.aspx?STONELIST=927010814","DNA")</f>
        <v>DNA</v>
      </c>
      <c r="D6567" s="18" t="s">
        <v>2990</v>
      </c>
      <c r="E6567" s="18" t="s">
        <v>2186</v>
      </c>
      <c r="F6567" s="2" t="s">
        <v>7987</v>
      </c>
      <c r="G6567" s="2" t="s">
        <v>6781</v>
      </c>
      <c r="H6567" s="14">
        <v>0.92</v>
      </c>
      <c r="I6567" s="2" t="s">
        <v>4699</v>
      </c>
      <c r="J6567" s="2" t="s">
        <v>6555</v>
      </c>
      <c r="K6567" s="2" t="s">
        <v>1452</v>
      </c>
      <c r="L6567" s="2" t="s">
        <v>5221</v>
      </c>
      <c r="M6567" s="2" t="s">
        <v>5221</v>
      </c>
      <c r="N6567" s="2" t="s">
        <v>2317</v>
      </c>
      <c r="O6567" s="14">
        <v>5200</v>
      </c>
      <c r="P6567" s="14">
        <v>97.4</v>
      </c>
      <c r="Q6567" s="14">
        <v>135.19999999999999</v>
      </c>
      <c r="R6567" s="14">
        <v>124.38</v>
      </c>
      <c r="S6567" s="2" t="s">
        <v>7616</v>
      </c>
      <c r="T6567" s="2">
        <v>1.53</v>
      </c>
      <c r="U6567" s="2">
        <v>62.9</v>
      </c>
      <c r="V6567" s="2">
        <v>64</v>
      </c>
      <c r="W6567" s="2" t="s">
        <v>7862</v>
      </c>
      <c r="X6567" s="2" t="s">
        <v>6687</v>
      </c>
      <c r="Y6567" s="2">
        <v>4784</v>
      </c>
      <c r="Z6567" s="19" t="str">
        <f>HYPERLINK("https://ssdweb.co/ssdweb/hd/Vision360.html?d=927010814&amp;zoomslide=1&amp;z=1927010814&amp;ISCONFIRM=0","VIDEO")</f>
        <v>VIDEO</v>
      </c>
      <c r="AA6567" s="19" t="str">
        <f>HYPERLINK("https://ssdweb.co/ssdweb/CERTH/668477309.pdf","CERTI")</f>
        <v>CERTI</v>
      </c>
    </row>
    <row r="6568" spans="1:27" ht="15" x14ac:dyDescent="0.25">
      <c r="A6568" s="2">
        <v>6563</v>
      </c>
      <c r="B6568" s="39">
        <v>926130063</v>
      </c>
      <c r="C6568" s="28" t="str">
        <f>HYPERLINK("https://pld.live/RapDetail.aspx?STONELIST=926130063","DNA")</f>
        <v>DNA</v>
      </c>
      <c r="D6568" s="18" t="s">
        <v>2990</v>
      </c>
      <c r="E6568" s="18" t="s">
        <v>2186</v>
      </c>
      <c r="F6568" s="2" t="s">
        <v>7987</v>
      </c>
      <c r="G6568" s="2" t="s">
        <v>6781</v>
      </c>
      <c r="H6568" s="14">
        <v>0.92</v>
      </c>
      <c r="I6568" s="2" t="s">
        <v>4699</v>
      </c>
      <c r="J6568" s="2" t="s">
        <v>5144</v>
      </c>
      <c r="K6568" s="2" t="s">
        <v>1452</v>
      </c>
      <c r="L6568" s="2" t="s">
        <v>5221</v>
      </c>
      <c r="M6568" s="2" t="s">
        <v>5721</v>
      </c>
      <c r="N6568" s="2" t="s">
        <v>2317</v>
      </c>
      <c r="O6568" s="14">
        <v>4000</v>
      </c>
      <c r="P6568" s="14">
        <v>97.5</v>
      </c>
      <c r="Q6568" s="14">
        <v>100</v>
      </c>
      <c r="R6568" s="14">
        <v>92</v>
      </c>
      <c r="S6568" s="2" t="s">
        <v>2624</v>
      </c>
      <c r="T6568" s="2">
        <v>1.56</v>
      </c>
      <c r="U6568" s="2">
        <v>61.1</v>
      </c>
      <c r="V6568" s="2">
        <v>62</v>
      </c>
      <c r="W6568" s="2" t="s">
        <v>7862</v>
      </c>
      <c r="X6568" s="2" t="s">
        <v>6687</v>
      </c>
      <c r="Y6568" s="2">
        <v>3680</v>
      </c>
      <c r="Z6568" s="19" t="str">
        <f>HYPERLINK("https://ssdweb.co/ssdweb/hd/Vision360.html?d=926130063&amp;zoomslide=1&amp;z=1926130063&amp;ISCONFIRM=0","VIDEO")</f>
        <v>VIDEO</v>
      </c>
      <c r="AA6568" s="19" t="str">
        <f>HYPERLINK("https://ssdweb.co/ssdweb/CERTH/633490372.pdf","CERTI")</f>
        <v>CERTI</v>
      </c>
    </row>
    <row r="6569" spans="1:27" ht="15" x14ac:dyDescent="0.25">
      <c r="A6569" s="2">
        <v>6564</v>
      </c>
      <c r="B6569" s="39">
        <v>924920126</v>
      </c>
      <c r="C6569" s="28" t="str">
        <f>HYPERLINK("https://pld.live/RapDetail.aspx?STONELIST=924920126","DNA")</f>
        <v>DNA</v>
      </c>
      <c r="D6569" s="18" t="s">
        <v>2990</v>
      </c>
      <c r="E6569" s="18" t="s">
        <v>2186</v>
      </c>
      <c r="F6569" s="2" t="s">
        <v>7987</v>
      </c>
      <c r="G6569" s="2" t="s">
        <v>6781</v>
      </c>
      <c r="H6569" s="14">
        <v>0.92</v>
      </c>
      <c r="I6569" s="2" t="s">
        <v>6587</v>
      </c>
      <c r="J6569" s="2" t="s">
        <v>13</v>
      </c>
      <c r="K6569" s="2" t="s">
        <v>1452</v>
      </c>
      <c r="L6569" s="2" t="s">
        <v>5221</v>
      </c>
      <c r="M6569" s="2" t="s">
        <v>5221</v>
      </c>
      <c r="N6569" s="2" t="s">
        <v>2317</v>
      </c>
      <c r="O6569" s="14">
        <v>4300</v>
      </c>
      <c r="P6569" s="14">
        <v>97.72</v>
      </c>
      <c r="Q6569" s="14">
        <v>98.04</v>
      </c>
      <c r="R6569" s="14">
        <v>90.2</v>
      </c>
      <c r="S6569" s="2" t="s">
        <v>5969</v>
      </c>
      <c r="T6569" s="2">
        <v>1.63</v>
      </c>
      <c r="U6569" s="2">
        <v>60.9</v>
      </c>
      <c r="V6569" s="2">
        <v>61</v>
      </c>
      <c r="W6569" s="2" t="s">
        <v>8016</v>
      </c>
      <c r="X6569" s="2" t="s">
        <v>6687</v>
      </c>
      <c r="Y6569" s="2">
        <v>3956</v>
      </c>
      <c r="Z6569" s="19" t="str">
        <f>HYPERLINK("https://ssdweb.co/ssdweb/hd/Vision360.html?d=924920126&amp;zoomslide=1&amp;z=1924920126&amp;ISCONFIRM=0","VIDEO")</f>
        <v>VIDEO</v>
      </c>
      <c r="AA6569" s="19" t="str">
        <f>HYPERLINK("https://ssdweb.co/ssdweb/CERTH/602358301.pdf","CERTI")</f>
        <v>CERTI</v>
      </c>
    </row>
    <row r="6570" spans="1:27" ht="15" x14ac:dyDescent="0.25">
      <c r="A6570" s="2">
        <v>6565</v>
      </c>
      <c r="B6570" s="39">
        <v>927030816</v>
      </c>
      <c r="C6570" s="28" t="str">
        <f>HYPERLINK("https://pld.live/RapDetail.aspx?STONELIST=927030816","DNA")</f>
        <v>DNA</v>
      </c>
      <c r="D6570" s="18" t="s">
        <v>2990</v>
      </c>
      <c r="E6570" s="18" t="s">
        <v>2186</v>
      </c>
      <c r="F6570" s="2" t="s">
        <v>7987</v>
      </c>
      <c r="G6570" s="2" t="s">
        <v>6781</v>
      </c>
      <c r="H6570" s="14">
        <v>0.91</v>
      </c>
      <c r="I6570" s="2" t="s">
        <v>267</v>
      </c>
      <c r="J6570" s="2" t="s">
        <v>3942</v>
      </c>
      <c r="K6570" s="2" t="s">
        <v>1452</v>
      </c>
      <c r="L6570" s="2" t="s">
        <v>5221</v>
      </c>
      <c r="M6570" s="2" t="s">
        <v>5221</v>
      </c>
      <c r="N6570" s="2" t="s">
        <v>2317</v>
      </c>
      <c r="O6570" s="14">
        <v>5600</v>
      </c>
      <c r="P6570" s="14">
        <v>97.86</v>
      </c>
      <c r="Q6570" s="14">
        <v>119.84</v>
      </c>
      <c r="R6570" s="14">
        <v>109.05</v>
      </c>
      <c r="S6570" s="2" t="s">
        <v>7903</v>
      </c>
      <c r="T6570" s="2">
        <v>1.53</v>
      </c>
      <c r="U6570" s="2">
        <v>61.8</v>
      </c>
      <c r="V6570" s="2">
        <v>62</v>
      </c>
      <c r="W6570" s="2" t="s">
        <v>7862</v>
      </c>
      <c r="X6570" s="2" t="s">
        <v>6687</v>
      </c>
      <c r="Y6570" s="2">
        <v>5096</v>
      </c>
      <c r="Z6570" s="19" t="str">
        <f>HYPERLINK("https://ssdweb.co/ssdweb/hd/Vision360.html?d=927030816&amp;zoomslide=1&amp;z=1927030816&amp;ISCONFIRM=0","VIDEO")</f>
        <v>VIDEO</v>
      </c>
      <c r="AA6570" s="19" t="str">
        <f>HYPERLINK("https://ssdweb.co/ssdweb/CERTH/669458178.pdf","CERTI")</f>
        <v>CERTI</v>
      </c>
    </row>
    <row r="6571" spans="1:27" ht="15" x14ac:dyDescent="0.25">
      <c r="A6571" s="2">
        <v>6566</v>
      </c>
      <c r="B6571" s="39">
        <v>941021802</v>
      </c>
      <c r="C6571" s="28" t="str">
        <f>HYPERLINK("https://pld.live/RapDetail.aspx?STONELIST=941021802","DNA")</f>
        <v>DNA</v>
      </c>
      <c r="D6571" s="18" t="s">
        <v>2990</v>
      </c>
      <c r="E6571" s="18" t="s">
        <v>5128</v>
      </c>
      <c r="F6571" s="2" t="s">
        <v>7987</v>
      </c>
      <c r="G6571" s="2" t="s">
        <v>6781</v>
      </c>
      <c r="H6571" s="14">
        <v>0.91</v>
      </c>
      <c r="I6571" s="2" t="s">
        <v>4761</v>
      </c>
      <c r="J6571" s="2" t="s">
        <v>13</v>
      </c>
      <c r="K6571" s="2" t="s">
        <v>1452</v>
      </c>
      <c r="L6571" s="2" t="s">
        <v>5221</v>
      </c>
      <c r="M6571" s="2" t="s">
        <v>5221</v>
      </c>
      <c r="N6571" s="2" t="s">
        <v>2317</v>
      </c>
      <c r="O6571" s="14">
        <v>4900</v>
      </c>
      <c r="P6571" s="14">
        <v>97.76</v>
      </c>
      <c r="Q6571" s="14">
        <v>109.76</v>
      </c>
      <c r="R6571" s="14">
        <v>99.88</v>
      </c>
      <c r="S6571" s="2" t="s">
        <v>6708</v>
      </c>
      <c r="T6571" s="2">
        <v>1.52</v>
      </c>
      <c r="U6571" s="2">
        <v>63</v>
      </c>
      <c r="V6571" s="2">
        <v>60</v>
      </c>
      <c r="W6571" s="2" t="s">
        <v>7862</v>
      </c>
      <c r="X6571" s="2" t="s">
        <v>6687</v>
      </c>
      <c r="Y6571" s="2">
        <v>4459</v>
      </c>
      <c r="Z6571" s="19" t="str">
        <f>HYPERLINK("https://ssdweb.co/ssdweb/hd/Vision360.html?d=941021802&amp;zoomslide=1&amp;z=1941021802&amp;ISCONFIRM=0","VIDEO")</f>
        <v>VIDEO</v>
      </c>
      <c r="AA6571" s="19" t="str">
        <f>HYPERLINK("https://ssdweb.co/ssdweb/CERTH/674532475.pdf","CERTI")</f>
        <v>CERTI</v>
      </c>
    </row>
    <row r="6572" spans="1:27" ht="15" x14ac:dyDescent="0.25">
      <c r="A6572" s="2">
        <v>6567</v>
      </c>
      <c r="B6572" s="39">
        <v>926450097</v>
      </c>
      <c r="C6572" s="28" t="str">
        <f>HYPERLINK("https://pld.live/RapDetail.aspx?STONELIST=926450097","DNA")</f>
        <v>DNA</v>
      </c>
      <c r="D6572" s="18" t="s">
        <v>2990</v>
      </c>
      <c r="E6572" s="18" t="s">
        <v>2186</v>
      </c>
      <c r="F6572" s="2" t="s">
        <v>7987</v>
      </c>
      <c r="G6572" s="2" t="s">
        <v>6781</v>
      </c>
      <c r="H6572" s="14">
        <v>0.91</v>
      </c>
      <c r="I6572" s="2" t="s">
        <v>4699</v>
      </c>
      <c r="J6572" s="2" t="s">
        <v>13</v>
      </c>
      <c r="K6572" s="2" t="s">
        <v>1452</v>
      </c>
      <c r="L6572" s="2" t="s">
        <v>5221</v>
      </c>
      <c r="M6572" s="2" t="s">
        <v>5221</v>
      </c>
      <c r="N6572" s="2" t="s">
        <v>2317</v>
      </c>
      <c r="O6572" s="14">
        <v>4600</v>
      </c>
      <c r="P6572" s="14">
        <v>97.65</v>
      </c>
      <c r="Q6572" s="14">
        <v>108.1</v>
      </c>
      <c r="R6572" s="14">
        <v>98.37</v>
      </c>
      <c r="S6572" s="2" t="s">
        <v>3847</v>
      </c>
      <c r="T6572" s="2">
        <v>1.54</v>
      </c>
      <c r="U6572" s="2">
        <v>62</v>
      </c>
      <c r="V6572" s="2">
        <v>60</v>
      </c>
      <c r="W6572" s="2" t="s">
        <v>7862</v>
      </c>
      <c r="X6572" s="2" t="s">
        <v>6687</v>
      </c>
      <c r="Y6572" s="2">
        <v>4186</v>
      </c>
      <c r="Z6572" s="19" t="str">
        <f>HYPERLINK("https://ssdweb.co/ssdweb/hd/Vision360.html?d=926450097&amp;zoomslide=1&amp;z=1926450097&amp;ISCONFIRM=0","VIDEO")</f>
        <v>VIDEO</v>
      </c>
      <c r="AA6572" s="19" t="str">
        <f>HYPERLINK("https://ssdweb.co/ssdweb/CERTH/670484192.pdf","CERTI")</f>
        <v>CERTI</v>
      </c>
    </row>
    <row r="6573" spans="1:27" ht="15" x14ac:dyDescent="0.25">
      <c r="A6573" s="2">
        <v>6568</v>
      </c>
      <c r="B6573" s="39">
        <v>925690216</v>
      </c>
      <c r="C6573" s="28" t="str">
        <f>HYPERLINK("https://pld.live/RapDetail.aspx?STONELIST=925690216","DNA")</f>
        <v>DNA</v>
      </c>
      <c r="D6573" s="18" t="s">
        <v>2990</v>
      </c>
      <c r="E6573" s="18" t="s">
        <v>2186</v>
      </c>
      <c r="F6573" s="2" t="s">
        <v>7987</v>
      </c>
      <c r="G6573" s="2" t="s">
        <v>6781</v>
      </c>
      <c r="H6573" s="14">
        <v>0.91</v>
      </c>
      <c r="I6573" s="2" t="s">
        <v>4699</v>
      </c>
      <c r="J6573" s="2" t="s">
        <v>5144</v>
      </c>
      <c r="K6573" s="2" t="s">
        <v>1452</v>
      </c>
      <c r="L6573" s="2" t="s">
        <v>5221</v>
      </c>
      <c r="M6573" s="2" t="s">
        <v>5721</v>
      </c>
      <c r="N6573" s="2" t="s">
        <v>2317</v>
      </c>
      <c r="O6573" s="14">
        <v>4000</v>
      </c>
      <c r="P6573" s="14">
        <v>97.5</v>
      </c>
      <c r="Q6573" s="14">
        <v>100</v>
      </c>
      <c r="R6573" s="14">
        <v>91</v>
      </c>
      <c r="S6573" s="2" t="s">
        <v>7186</v>
      </c>
      <c r="T6573" s="2">
        <v>1.52</v>
      </c>
      <c r="U6573" s="2">
        <v>62.3</v>
      </c>
      <c r="V6573" s="2">
        <v>62</v>
      </c>
      <c r="W6573" s="2" t="s">
        <v>7862</v>
      </c>
      <c r="X6573" s="2" t="s">
        <v>6687</v>
      </c>
      <c r="Y6573" s="2">
        <v>3640</v>
      </c>
      <c r="Z6573" s="19" t="str">
        <f>HYPERLINK("https://ssdweb.co/ssdweb/hd/Vision360.html?d=925690216&amp;zoomslide=1&amp;z=1925690216&amp;ISCONFIRM=0","VIDEO")</f>
        <v>VIDEO</v>
      </c>
      <c r="AA6573" s="19" t="str">
        <f>HYPERLINK("https://ssdweb.co/ssdweb/CERTH/626427326.pdf","CERTI")</f>
        <v>CERTI</v>
      </c>
    </row>
    <row r="6574" spans="1:27" ht="15" x14ac:dyDescent="0.25">
      <c r="A6574" s="2">
        <v>6569</v>
      </c>
      <c r="B6574" s="39">
        <v>926010257</v>
      </c>
      <c r="C6574" s="28" t="str">
        <f>HYPERLINK("https://pld.live/RapDetail.aspx?STONELIST=926010257","DNA")</f>
        <v>DNA</v>
      </c>
      <c r="D6574" s="18" t="s">
        <v>2990</v>
      </c>
      <c r="E6574" s="18" t="s">
        <v>2186</v>
      </c>
      <c r="F6574" s="2" t="s">
        <v>7987</v>
      </c>
      <c r="G6574" s="2" t="s">
        <v>6781</v>
      </c>
      <c r="H6574" s="14">
        <v>0.91</v>
      </c>
      <c r="I6574" s="2" t="s">
        <v>6587</v>
      </c>
      <c r="J6574" s="2" t="s">
        <v>13</v>
      </c>
      <c r="K6574" s="2" t="s">
        <v>1452</v>
      </c>
      <c r="L6574" s="2" t="s">
        <v>5221</v>
      </c>
      <c r="M6574" s="2" t="s">
        <v>5221</v>
      </c>
      <c r="N6574" s="2" t="s">
        <v>2317</v>
      </c>
      <c r="O6574" s="14">
        <v>4300</v>
      </c>
      <c r="P6574" s="14">
        <v>97.65</v>
      </c>
      <c r="Q6574" s="14">
        <v>101.05</v>
      </c>
      <c r="R6574" s="14">
        <v>91.96</v>
      </c>
      <c r="S6574" s="2" t="s">
        <v>5033</v>
      </c>
      <c r="T6574" s="2">
        <v>1.68</v>
      </c>
      <c r="U6574" s="2">
        <v>58.4</v>
      </c>
      <c r="V6574" s="2">
        <v>61</v>
      </c>
      <c r="W6574" s="2" t="s">
        <v>7862</v>
      </c>
      <c r="X6574" s="2" t="s">
        <v>6687</v>
      </c>
      <c r="Y6574" s="2">
        <v>3913</v>
      </c>
      <c r="Z6574" s="19" t="str">
        <f>HYPERLINK("https://ssdweb.co/ssdweb/hd/Vision360.html?d=926010257&amp;zoomslide=1&amp;z=1926010257&amp;ISCONFIRM=0","VIDEO")</f>
        <v>VIDEO</v>
      </c>
      <c r="AA6574" s="19" t="str">
        <f>HYPERLINK("https://ssdweb.co/ssdweb/CERTH/631429993.pdf","CERTI")</f>
        <v>CERTI</v>
      </c>
    </row>
    <row r="6575" spans="1:27" ht="15" x14ac:dyDescent="0.25">
      <c r="A6575" s="2">
        <v>6570</v>
      </c>
      <c r="B6575" s="39">
        <v>925880318</v>
      </c>
      <c r="C6575" s="28" t="str">
        <f>HYPERLINK("https://pld.live/RapDetail.aspx?STONELIST=925880318","DNA")</f>
        <v>DNA</v>
      </c>
      <c r="D6575" s="18" t="s">
        <v>2990</v>
      </c>
      <c r="E6575" s="18" t="s">
        <v>2186</v>
      </c>
      <c r="F6575" s="2" t="s">
        <v>7987</v>
      </c>
      <c r="G6575" s="2" t="s">
        <v>6781</v>
      </c>
      <c r="H6575" s="14">
        <v>0.9</v>
      </c>
      <c r="I6575" s="2" t="s">
        <v>267</v>
      </c>
      <c r="J6575" s="2" t="s">
        <v>3942</v>
      </c>
      <c r="K6575" s="2" t="s">
        <v>1452</v>
      </c>
      <c r="L6575" s="2" t="s">
        <v>5221</v>
      </c>
      <c r="M6575" s="2" t="s">
        <v>5221</v>
      </c>
      <c r="N6575" s="2" t="s">
        <v>2317</v>
      </c>
      <c r="O6575" s="14">
        <v>5600</v>
      </c>
      <c r="P6575" s="14">
        <v>97.95</v>
      </c>
      <c r="Q6575" s="14">
        <v>114.8</v>
      </c>
      <c r="R6575" s="14">
        <v>103.32</v>
      </c>
      <c r="S6575" s="2" t="s">
        <v>7476</v>
      </c>
      <c r="T6575" s="2">
        <v>1.6</v>
      </c>
      <c r="U6575" s="2">
        <v>59.3</v>
      </c>
      <c r="V6575" s="2">
        <v>65</v>
      </c>
      <c r="W6575" s="2" t="s">
        <v>7862</v>
      </c>
      <c r="X6575" s="2" t="s">
        <v>6687</v>
      </c>
      <c r="Y6575" s="2">
        <v>5040</v>
      </c>
      <c r="Z6575" s="19" t="str">
        <f>HYPERLINK("https://ssdweb.co/ssdweb/hd/Vision360.html?d=925880318&amp;zoomslide=1&amp;z=1925880318&amp;ISCONFIRM=0","VIDEO")</f>
        <v>VIDEO</v>
      </c>
      <c r="AA6575" s="19" t="str">
        <f>HYPERLINK("https://ssdweb.co/ssdweb/CERTH/631429861.pdf","CERTI")</f>
        <v>CERTI</v>
      </c>
    </row>
    <row r="6576" spans="1:27" ht="15" x14ac:dyDescent="0.25">
      <c r="A6576" s="2">
        <v>6571</v>
      </c>
      <c r="B6576" s="39">
        <v>927092185</v>
      </c>
      <c r="C6576" s="28" t="str">
        <f>HYPERLINK("https://pld.live/RapDetail.aspx?STONELIST=927092185","DNA")</f>
        <v>DNA</v>
      </c>
      <c r="D6576" s="18" t="s">
        <v>2990</v>
      </c>
      <c r="E6576" s="18" t="s">
        <v>5128</v>
      </c>
      <c r="F6576" s="2" t="s">
        <v>7987</v>
      </c>
      <c r="G6576" s="2" t="s">
        <v>6781</v>
      </c>
      <c r="H6576" s="14">
        <v>0.9</v>
      </c>
      <c r="I6576" s="2" t="s">
        <v>267</v>
      </c>
      <c r="J6576" s="2" t="s">
        <v>5144</v>
      </c>
      <c r="K6576" s="2" t="s">
        <v>1452</v>
      </c>
      <c r="L6576" s="2" t="s">
        <v>5221</v>
      </c>
      <c r="M6576" s="2" t="s">
        <v>5221</v>
      </c>
      <c r="N6576" s="2" t="s">
        <v>2317</v>
      </c>
      <c r="O6576" s="14">
        <v>4400</v>
      </c>
      <c r="P6576" s="14">
        <v>97.5</v>
      </c>
      <c r="Q6576" s="14">
        <v>110</v>
      </c>
      <c r="R6576" s="14">
        <v>99</v>
      </c>
      <c r="S6576" s="2" t="s">
        <v>2795</v>
      </c>
      <c r="T6576" s="2">
        <v>1.56</v>
      </c>
      <c r="U6576" s="2">
        <v>59.7</v>
      </c>
      <c r="V6576" s="2">
        <v>62</v>
      </c>
      <c r="W6576" s="2" t="s">
        <v>7862</v>
      </c>
      <c r="X6576" s="2" t="s">
        <v>6687</v>
      </c>
      <c r="Y6576" s="2">
        <v>3960</v>
      </c>
      <c r="Z6576" s="19" t="str">
        <f>HYPERLINK("https://ssdweb.co/ssdweb/hd/Vision360.html?d=927092185&amp;zoomslide=1&amp;z=1927092185&amp;ISCONFIRM=0","VIDEO")</f>
        <v>VIDEO</v>
      </c>
      <c r="AA6576" s="19" t="str">
        <f>HYPERLINK("https://ssdweb.co/ssdweb/CERTH/667408228.pdf","CERTI")</f>
        <v>CERTI</v>
      </c>
    </row>
    <row r="6577" spans="1:27" ht="15" x14ac:dyDescent="0.25">
      <c r="A6577" s="2">
        <v>6572</v>
      </c>
      <c r="B6577" s="39">
        <v>926291424</v>
      </c>
      <c r="C6577" s="28" t="str">
        <f>HYPERLINK("https://pld.live/RapDetail.aspx?STONELIST=926291424","DNA")</f>
        <v>DNA</v>
      </c>
      <c r="D6577" s="18" t="s">
        <v>2990</v>
      </c>
      <c r="E6577" s="18" t="s">
        <v>5128</v>
      </c>
      <c r="F6577" s="2" t="s">
        <v>7987</v>
      </c>
      <c r="G6577" s="2" t="s">
        <v>6781</v>
      </c>
      <c r="H6577" s="14">
        <v>0.9</v>
      </c>
      <c r="I6577" s="2" t="s">
        <v>4761</v>
      </c>
      <c r="J6577" s="2" t="s">
        <v>6555</v>
      </c>
      <c r="K6577" s="2" t="s">
        <v>1452</v>
      </c>
      <c r="L6577" s="2" t="s">
        <v>5221</v>
      </c>
      <c r="M6577" s="2" t="s">
        <v>5221</v>
      </c>
      <c r="N6577" s="2" t="s">
        <v>2317</v>
      </c>
      <c r="O6577" s="14">
        <v>5700</v>
      </c>
      <c r="P6577" s="14">
        <v>97.58</v>
      </c>
      <c r="Q6577" s="14">
        <v>137.94</v>
      </c>
      <c r="R6577" s="14">
        <v>124.15</v>
      </c>
      <c r="S6577" s="2" t="s">
        <v>6477</v>
      </c>
      <c r="T6577" s="2">
        <v>1.48</v>
      </c>
      <c r="U6577" s="2">
        <v>61.7</v>
      </c>
      <c r="V6577" s="2">
        <v>60</v>
      </c>
      <c r="W6577" s="2" t="s">
        <v>7862</v>
      </c>
      <c r="X6577" s="2" t="s">
        <v>6687</v>
      </c>
      <c r="Y6577" s="2">
        <v>5130</v>
      </c>
      <c r="Z6577" s="19" t="str">
        <f>HYPERLINK("https://ssdweb.co/ssdweb/hd/Vision360.html?d=926291424&amp;zoomslide=1&amp;z=1926291424&amp;ISCONFIRM=0","VIDEO")</f>
        <v>VIDEO</v>
      </c>
      <c r="AA6577" s="19" t="str">
        <f>HYPERLINK("https://ssdweb.co/ssdweb/CERTH/639413068.pdf","CERTI")</f>
        <v>CERTI</v>
      </c>
    </row>
    <row r="6578" spans="1:27" ht="15" x14ac:dyDescent="0.25">
      <c r="A6578" s="2">
        <v>6573</v>
      </c>
      <c r="B6578" s="39">
        <v>927040800</v>
      </c>
      <c r="C6578" s="28" t="str">
        <f>HYPERLINK("https://pld.live/RapDetail.aspx?STONELIST=927040800","DNA")</f>
        <v>DNA</v>
      </c>
      <c r="D6578" s="18" t="s">
        <v>2990</v>
      </c>
      <c r="E6578" s="18" t="s">
        <v>2186</v>
      </c>
      <c r="F6578" s="2" t="s">
        <v>7987</v>
      </c>
      <c r="G6578" s="2" t="s">
        <v>6781</v>
      </c>
      <c r="H6578" s="14">
        <v>0.9</v>
      </c>
      <c r="I6578" s="2" t="s">
        <v>4761</v>
      </c>
      <c r="J6578" s="2" t="s">
        <v>3942</v>
      </c>
      <c r="K6578" s="2" t="s">
        <v>1452</v>
      </c>
      <c r="L6578" s="2" t="s">
        <v>5221</v>
      </c>
      <c r="M6578" s="2" t="s">
        <v>5721</v>
      </c>
      <c r="N6578" s="2" t="s">
        <v>2317</v>
      </c>
      <c r="O6578" s="14">
        <v>5200</v>
      </c>
      <c r="P6578" s="14">
        <v>97.83</v>
      </c>
      <c r="Q6578" s="14">
        <v>112.84</v>
      </c>
      <c r="R6578" s="14">
        <v>101.56</v>
      </c>
      <c r="S6578" s="2" t="s">
        <v>3200</v>
      </c>
      <c r="T6578" s="2">
        <v>1.57</v>
      </c>
      <c r="U6578" s="2">
        <v>60.4</v>
      </c>
      <c r="V6578" s="2">
        <v>62</v>
      </c>
      <c r="W6578" s="2" t="s">
        <v>7862</v>
      </c>
      <c r="X6578" s="2" t="s">
        <v>6687</v>
      </c>
      <c r="Y6578" s="2">
        <v>4680</v>
      </c>
      <c r="Z6578" s="19" t="str">
        <f>HYPERLINK("https://ssdweb.co/ssdweb/hd/Vision360.html?d=927040800&amp;zoomslide=1&amp;z=1927040800&amp;ISCONFIRM=0","VIDEO")</f>
        <v>VIDEO</v>
      </c>
      <c r="AA6578" s="19" t="str">
        <f>HYPERLINK("https://ssdweb.co/ssdweb/CERTH/669458182.pdf","CERTI")</f>
        <v>CERTI</v>
      </c>
    </row>
    <row r="6579" spans="1:27" ht="15" x14ac:dyDescent="0.25">
      <c r="A6579" s="2">
        <v>6574</v>
      </c>
      <c r="B6579" s="39">
        <v>926420235</v>
      </c>
      <c r="C6579" s="28" t="str">
        <f>HYPERLINK("https://pld.live/RapDetail.aspx?STONELIST=926420235","DNA")</f>
        <v>DNA</v>
      </c>
      <c r="D6579" s="18" t="s">
        <v>2990</v>
      </c>
      <c r="E6579" s="18" t="s">
        <v>2186</v>
      </c>
      <c r="F6579" s="2" t="s">
        <v>7987</v>
      </c>
      <c r="G6579" s="2" t="s">
        <v>6781</v>
      </c>
      <c r="H6579" s="14">
        <v>0.9</v>
      </c>
      <c r="I6579" s="2" t="s">
        <v>4761</v>
      </c>
      <c r="J6579" s="2" t="s">
        <v>13</v>
      </c>
      <c r="K6579" s="2" t="s">
        <v>1452</v>
      </c>
      <c r="L6579" s="2" t="s">
        <v>5221</v>
      </c>
      <c r="M6579" s="2" t="s">
        <v>5221</v>
      </c>
      <c r="N6579" s="2" t="s">
        <v>2317</v>
      </c>
      <c r="O6579" s="14">
        <v>4900</v>
      </c>
      <c r="P6579" s="14">
        <v>97.76</v>
      </c>
      <c r="Q6579" s="14">
        <v>109.76</v>
      </c>
      <c r="R6579" s="14">
        <v>98.78</v>
      </c>
      <c r="S6579" s="2" t="s">
        <v>604</v>
      </c>
      <c r="T6579" s="2">
        <v>1.6</v>
      </c>
      <c r="U6579" s="2">
        <v>62.3</v>
      </c>
      <c r="V6579" s="2">
        <v>59</v>
      </c>
      <c r="W6579" s="2" t="s">
        <v>7862</v>
      </c>
      <c r="X6579" s="2" t="s">
        <v>6687</v>
      </c>
      <c r="Y6579" s="2">
        <v>4410</v>
      </c>
      <c r="Z6579" s="19" t="str">
        <f>HYPERLINK("https://ssdweb.co/ssdweb/hd/Vision360.html?d=926420235&amp;zoomslide=1&amp;z=1926420235&amp;ISCONFIRM=0","VIDEO")</f>
        <v>VIDEO</v>
      </c>
      <c r="AA6579" s="19" t="str">
        <f>HYPERLINK("https://ssdweb.co/ssdweb/CERTH/670484191.pdf","CERTI")</f>
        <v>CERTI</v>
      </c>
    </row>
    <row r="6580" spans="1:27" ht="15" x14ac:dyDescent="0.25">
      <c r="A6580" s="2">
        <v>6575</v>
      </c>
      <c r="B6580" s="39">
        <v>927052674</v>
      </c>
      <c r="C6580" s="28" t="str">
        <f>HYPERLINK("https://pld.live/RapDetail.aspx?STONELIST=927052674","DNA")</f>
        <v>DNA</v>
      </c>
      <c r="D6580" s="18" t="s">
        <v>2990</v>
      </c>
      <c r="E6580" s="18" t="s">
        <v>5128</v>
      </c>
      <c r="F6580" s="2" t="s">
        <v>7987</v>
      </c>
      <c r="G6580" s="2" t="s">
        <v>6781</v>
      </c>
      <c r="H6580" s="14">
        <v>0.9</v>
      </c>
      <c r="I6580" s="2" t="s">
        <v>4761</v>
      </c>
      <c r="J6580" s="2" t="s">
        <v>13</v>
      </c>
      <c r="K6580" s="2" t="s">
        <v>1452</v>
      </c>
      <c r="L6580" s="2" t="s">
        <v>5221</v>
      </c>
      <c r="M6580" s="2" t="s">
        <v>5221</v>
      </c>
      <c r="N6580" s="2" t="s">
        <v>2317</v>
      </c>
      <c r="O6580" s="14">
        <v>4900</v>
      </c>
      <c r="P6580" s="14">
        <v>97.76</v>
      </c>
      <c r="Q6580" s="14">
        <v>109.76</v>
      </c>
      <c r="R6580" s="14">
        <v>98.78</v>
      </c>
      <c r="S6580" s="2" t="s">
        <v>7385</v>
      </c>
      <c r="T6580" s="2">
        <v>1.61</v>
      </c>
      <c r="U6580" s="2">
        <v>62.5</v>
      </c>
      <c r="V6580" s="2">
        <v>60</v>
      </c>
      <c r="W6580" s="2" t="s">
        <v>7862</v>
      </c>
      <c r="X6580" s="2" t="s">
        <v>6687</v>
      </c>
      <c r="Y6580" s="2">
        <v>4410</v>
      </c>
      <c r="Z6580" s="19" t="str">
        <f>HYPERLINK("https://ssdweb.co/ssdweb/hd/Vision360.html?d=927052674&amp;zoomslide=1&amp;z=1927052674&amp;ISCONFIRM=0","VIDEO")</f>
        <v>VIDEO</v>
      </c>
      <c r="AA6580" s="19" t="str">
        <f>HYPERLINK("https://ssdweb.co/ssdweb/CERTH/670445185.pdf","CERTI")</f>
        <v>CERTI</v>
      </c>
    </row>
    <row r="6581" spans="1:27" ht="15" x14ac:dyDescent="0.25">
      <c r="A6581" s="2">
        <v>6576</v>
      </c>
      <c r="B6581" s="39">
        <v>925710115</v>
      </c>
      <c r="C6581" s="28" t="str">
        <f>HYPERLINK("https://pld.live/RapDetail.aspx?STONELIST=925710115","DNA")</f>
        <v>DNA</v>
      </c>
      <c r="D6581" s="18" t="s">
        <v>2990</v>
      </c>
      <c r="E6581" s="18" t="s">
        <v>2186</v>
      </c>
      <c r="F6581" s="2" t="s">
        <v>7987</v>
      </c>
      <c r="G6581" s="2" t="s">
        <v>6781</v>
      </c>
      <c r="H6581" s="14">
        <v>0.9</v>
      </c>
      <c r="I6581" s="2" t="s">
        <v>4699</v>
      </c>
      <c r="J6581" s="2" t="s">
        <v>5144</v>
      </c>
      <c r="K6581" s="2" t="s">
        <v>1452</v>
      </c>
      <c r="L6581" s="2" t="s">
        <v>5221</v>
      </c>
      <c r="M6581" s="2" t="s">
        <v>5721</v>
      </c>
      <c r="N6581" s="2" t="s">
        <v>2317</v>
      </c>
      <c r="O6581" s="14">
        <v>4000</v>
      </c>
      <c r="P6581" s="14">
        <v>97.5</v>
      </c>
      <c r="Q6581" s="14">
        <v>100</v>
      </c>
      <c r="R6581" s="14">
        <v>90</v>
      </c>
      <c r="S6581" s="2" t="s">
        <v>7828</v>
      </c>
      <c r="T6581" s="2">
        <v>1.62</v>
      </c>
      <c r="U6581" s="2">
        <v>60.1</v>
      </c>
      <c r="V6581" s="2">
        <v>63</v>
      </c>
      <c r="W6581" s="2" t="s">
        <v>7862</v>
      </c>
      <c r="X6581" s="2" t="s">
        <v>6687</v>
      </c>
      <c r="Y6581" s="2">
        <v>3600</v>
      </c>
      <c r="Z6581" s="19" t="str">
        <f>HYPERLINK("https://ssdweb.co/ssdweb/hd/Vision360.html?d=925710115&amp;zoomslide=1&amp;z=1925710115&amp;ISCONFIRM=0","VIDEO")</f>
        <v>VIDEO</v>
      </c>
      <c r="AA6581" s="19" t="str">
        <f>HYPERLINK("https://ssdweb.co/ssdweb/CERTH/626427359.pdf","CERTI")</f>
        <v>CERTI</v>
      </c>
    </row>
    <row r="6582" spans="1:27" ht="15" x14ac:dyDescent="0.25">
      <c r="A6582" s="2">
        <v>6577</v>
      </c>
      <c r="B6582" s="39">
        <v>925700223</v>
      </c>
      <c r="C6582" s="28" t="str">
        <f>HYPERLINK("https://pld.live/RapDetail.aspx?STONELIST=925700223","DNA")</f>
        <v>DNA</v>
      </c>
      <c r="D6582" s="18" t="s">
        <v>2990</v>
      </c>
      <c r="E6582" s="18" t="s">
        <v>2186</v>
      </c>
      <c r="F6582" s="2" t="s">
        <v>7987</v>
      </c>
      <c r="G6582" s="2" t="s">
        <v>6781</v>
      </c>
      <c r="H6582" s="14">
        <v>0.9</v>
      </c>
      <c r="I6582" s="2" t="s">
        <v>6587</v>
      </c>
      <c r="J6582" s="2" t="s">
        <v>5144</v>
      </c>
      <c r="K6582" s="2" t="s">
        <v>1452</v>
      </c>
      <c r="L6582" s="2" t="s">
        <v>5221</v>
      </c>
      <c r="M6582" s="2" t="s">
        <v>5721</v>
      </c>
      <c r="N6582" s="2" t="s">
        <v>2317</v>
      </c>
      <c r="O6582" s="14">
        <v>3800</v>
      </c>
      <c r="P6582" s="14">
        <v>97.42</v>
      </c>
      <c r="Q6582" s="14">
        <v>98.04</v>
      </c>
      <c r="R6582" s="14">
        <v>88.24</v>
      </c>
      <c r="S6582" s="2" t="s">
        <v>3468</v>
      </c>
      <c r="T6582" s="2">
        <v>1.63</v>
      </c>
      <c r="U6582" s="2">
        <v>59.6</v>
      </c>
      <c r="V6582" s="2">
        <v>60</v>
      </c>
      <c r="W6582" s="2" t="s">
        <v>7862</v>
      </c>
      <c r="X6582" s="2" t="s">
        <v>6687</v>
      </c>
      <c r="Y6582" s="2">
        <v>3420</v>
      </c>
      <c r="Z6582" s="19" t="str">
        <f>HYPERLINK("https://ssdweb.co/ssdweb/hd/Vision360.html?d=925700223&amp;zoomslide=1&amp;z=1925700223&amp;ISCONFIRM=0","VIDEO")</f>
        <v>VIDEO</v>
      </c>
      <c r="AA6582" s="19" t="str">
        <f>HYPERLINK("https://ssdweb.co/ssdweb/CERTH/629497321.pdf","CERTI")</f>
        <v>CERTI</v>
      </c>
    </row>
    <row r="6583" spans="1:27" ht="15" x14ac:dyDescent="0.25">
      <c r="A6583" s="2">
        <v>6578</v>
      </c>
      <c r="B6583" s="39">
        <v>926470380</v>
      </c>
      <c r="C6583" s="28" t="str">
        <f>HYPERLINK("https://pld.live/RapDetail.aspx?STONELIST=926470380","DNA")</f>
        <v>DNA</v>
      </c>
      <c r="D6583" s="18" t="s">
        <v>5715</v>
      </c>
      <c r="E6583" s="18" t="s">
        <v>2186</v>
      </c>
      <c r="F6583" s="2" t="s">
        <v>7987</v>
      </c>
      <c r="G6583" s="2" t="s">
        <v>6781</v>
      </c>
      <c r="H6583" s="14">
        <v>0.89</v>
      </c>
      <c r="I6583" s="2" t="s">
        <v>4761</v>
      </c>
      <c r="J6583" s="2" t="s">
        <v>13</v>
      </c>
      <c r="K6583" s="2" t="s">
        <v>1452</v>
      </c>
      <c r="L6583" s="2" t="s">
        <v>5221</v>
      </c>
      <c r="M6583" s="2" t="s">
        <v>5221</v>
      </c>
      <c r="N6583" s="2" t="s">
        <v>2317</v>
      </c>
      <c r="O6583" s="14">
        <v>3500</v>
      </c>
      <c r="P6583" s="14">
        <v>96.4</v>
      </c>
      <c r="Q6583" s="14">
        <v>126</v>
      </c>
      <c r="R6583" s="14">
        <v>112.14</v>
      </c>
      <c r="S6583" s="2" t="s">
        <v>3736</v>
      </c>
      <c r="T6583" s="2">
        <v>1.54</v>
      </c>
      <c r="U6583" s="2">
        <v>61.5</v>
      </c>
      <c r="V6583" s="2">
        <v>61</v>
      </c>
      <c r="W6583" s="2" t="s">
        <v>7862</v>
      </c>
      <c r="X6583" s="2" t="s">
        <v>6687</v>
      </c>
      <c r="Y6583" s="2">
        <v>3115</v>
      </c>
      <c r="Z6583" s="19" t="str">
        <f>HYPERLINK("https://ssdweb.co/ssdweb/hd/Vision360.html?d=926470380&amp;zoomslide=1&amp;z=1926470380&amp;ISCONFIRM=0","VIDEO")</f>
        <v>VIDEO</v>
      </c>
      <c r="AA6583" s="19" t="str">
        <f>HYPERLINK("https://ssdweb.co/ssdweb/CERTH/646457861.pdf","CERTI")</f>
        <v>CERTI</v>
      </c>
    </row>
    <row r="6584" spans="1:27" ht="15" x14ac:dyDescent="0.25">
      <c r="A6584" s="2">
        <v>6579</v>
      </c>
      <c r="B6584" s="39">
        <v>926740600</v>
      </c>
      <c r="C6584" s="28" t="str">
        <f>HYPERLINK("https://pld.live/RapDetail.aspx?STONELIST=926740600","DNA")</f>
        <v>DNA</v>
      </c>
      <c r="D6584" s="18" t="s">
        <v>5715</v>
      </c>
      <c r="E6584" s="18" t="s">
        <v>5128</v>
      </c>
      <c r="F6584" s="2" t="s">
        <v>7987</v>
      </c>
      <c r="G6584" s="2" t="s">
        <v>6781</v>
      </c>
      <c r="H6584" s="14">
        <v>0.89</v>
      </c>
      <c r="I6584" s="2" t="s">
        <v>4761</v>
      </c>
      <c r="J6584" s="2" t="s">
        <v>13</v>
      </c>
      <c r="K6584" s="2" t="s">
        <v>1452</v>
      </c>
      <c r="L6584" s="2" t="s">
        <v>5221</v>
      </c>
      <c r="M6584" s="2" t="s">
        <v>5221</v>
      </c>
      <c r="N6584" s="2" t="s">
        <v>2317</v>
      </c>
      <c r="O6584" s="14">
        <v>3500</v>
      </c>
      <c r="P6584" s="14">
        <v>96.34</v>
      </c>
      <c r="Q6584" s="14">
        <v>128.1</v>
      </c>
      <c r="R6584" s="14">
        <v>114.01</v>
      </c>
      <c r="S6584" s="2" t="s">
        <v>4525</v>
      </c>
      <c r="T6584" s="2">
        <v>1.53</v>
      </c>
      <c r="U6584" s="2">
        <v>62.7</v>
      </c>
      <c r="V6584" s="2">
        <v>61</v>
      </c>
      <c r="W6584" s="2" t="s">
        <v>7862</v>
      </c>
      <c r="X6584" s="2" t="s">
        <v>6687</v>
      </c>
      <c r="Y6584" s="2">
        <v>3115</v>
      </c>
      <c r="Z6584" s="19" t="str">
        <f>HYPERLINK("https://ssdweb.co/ssdweb/hd/Vision360.html?d=926740600&amp;zoomslide=1&amp;z=1926740600&amp;ISCONFIRM=0","VIDEO")</f>
        <v>VIDEO</v>
      </c>
      <c r="AA6584" s="19" t="str">
        <f>HYPERLINK("https://ssdweb.co/ssdweb/CERTH/651455430.pdf","CERTI")</f>
        <v>CERTI</v>
      </c>
    </row>
    <row r="6585" spans="1:27" ht="15" x14ac:dyDescent="0.25">
      <c r="A6585" s="2">
        <v>6580</v>
      </c>
      <c r="B6585" s="39">
        <v>926420312</v>
      </c>
      <c r="C6585" s="28" t="str">
        <f>HYPERLINK("https://pld.live/RapDetail.aspx?STONELIST=926420312","DNA")</f>
        <v>DNA</v>
      </c>
      <c r="D6585" s="18" t="s">
        <v>5715</v>
      </c>
      <c r="E6585" s="18" t="s">
        <v>2186</v>
      </c>
      <c r="F6585" s="2" t="s">
        <v>7987</v>
      </c>
      <c r="G6585" s="2" t="s">
        <v>6781</v>
      </c>
      <c r="H6585" s="14">
        <v>0.87</v>
      </c>
      <c r="I6585" s="2" t="s">
        <v>267</v>
      </c>
      <c r="J6585" s="2" t="s">
        <v>13</v>
      </c>
      <c r="K6585" s="2" t="s">
        <v>1452</v>
      </c>
      <c r="L6585" s="2" t="s">
        <v>5221</v>
      </c>
      <c r="M6585" s="2" t="s">
        <v>5221</v>
      </c>
      <c r="N6585" s="2" t="s">
        <v>2317</v>
      </c>
      <c r="O6585" s="14">
        <v>3700</v>
      </c>
      <c r="P6585" s="14">
        <v>96.41</v>
      </c>
      <c r="Q6585" s="14">
        <v>132.83000000000001</v>
      </c>
      <c r="R6585" s="14">
        <v>115.56</v>
      </c>
      <c r="S6585" s="2" t="s">
        <v>4997</v>
      </c>
      <c r="T6585" s="2">
        <v>1.63</v>
      </c>
      <c r="U6585" s="2">
        <v>61.6</v>
      </c>
      <c r="V6585" s="2">
        <v>61</v>
      </c>
      <c r="W6585" s="2" t="s">
        <v>7862</v>
      </c>
      <c r="X6585" s="2" t="s">
        <v>6687</v>
      </c>
      <c r="Y6585" s="2">
        <v>3219</v>
      </c>
      <c r="Z6585" s="19" t="str">
        <f>HYPERLINK("https://ssdweb.co/ssdweb/hd/Vision360.html?d=926420312&amp;zoomslide=1&amp;z=1926420312&amp;ISCONFIRM=0","VIDEO")</f>
        <v>VIDEO</v>
      </c>
      <c r="AA6585" s="19" t="str">
        <f>HYPERLINK("https://ssdweb.co/ssdweb/CERTH/660489636.pdf","CERTI")</f>
        <v>CERTI</v>
      </c>
    </row>
    <row r="6586" spans="1:27" ht="15" x14ac:dyDescent="0.25">
      <c r="A6586" s="2">
        <v>6581</v>
      </c>
      <c r="B6586" s="39">
        <v>926370009</v>
      </c>
      <c r="C6586" s="28" t="str">
        <f>HYPERLINK("https://pld.live/RapDetail.aspx?STONELIST=926370009","DNA")</f>
        <v>DNA</v>
      </c>
      <c r="D6586" s="18" t="s">
        <v>5715</v>
      </c>
      <c r="E6586" s="18" t="s">
        <v>2186</v>
      </c>
      <c r="F6586" s="2" t="s">
        <v>7987</v>
      </c>
      <c r="G6586" s="2" t="s">
        <v>6781</v>
      </c>
      <c r="H6586" s="14">
        <v>0.8</v>
      </c>
      <c r="I6586" s="2" t="s">
        <v>395</v>
      </c>
      <c r="J6586" s="2" t="s">
        <v>5144</v>
      </c>
      <c r="K6586" s="2" t="s">
        <v>1452</v>
      </c>
      <c r="L6586" s="2" t="s">
        <v>5221</v>
      </c>
      <c r="M6586" s="2" t="s">
        <v>5721</v>
      </c>
      <c r="N6586" s="2" t="s">
        <v>2317</v>
      </c>
      <c r="O6586" s="14">
        <v>1500</v>
      </c>
      <c r="P6586" s="14">
        <v>81.33</v>
      </c>
      <c r="Q6586" s="14">
        <v>280.05</v>
      </c>
      <c r="R6586" s="14">
        <v>224.04</v>
      </c>
      <c r="S6586" s="2" t="s">
        <v>2801</v>
      </c>
      <c r="T6586" s="2">
        <v>1.59</v>
      </c>
      <c r="U6586" s="2">
        <v>61.6</v>
      </c>
      <c r="V6586" s="2">
        <v>63</v>
      </c>
      <c r="W6586" s="2" t="s">
        <v>7862</v>
      </c>
      <c r="X6586" s="2" t="s">
        <v>6687</v>
      </c>
      <c r="Y6586" s="2">
        <v>1200</v>
      </c>
      <c r="Z6586" s="19" t="str">
        <f>HYPERLINK("https://ssdweb.co/ssdweb/hd/Vision360.html?d=926370009&amp;zoomslide=1&amp;z=1926370009&amp;ISCONFIRM=0","VIDEO")</f>
        <v>VIDEO</v>
      </c>
      <c r="AA6586" s="19" t="str">
        <f>HYPERLINK("https://ssdweb.co/ssdweb/CERTH/641474107.pdf","CERTI")</f>
        <v>CERTI</v>
      </c>
    </row>
    <row r="6587" spans="1:27" ht="15" x14ac:dyDescent="0.25">
      <c r="A6587" s="2">
        <v>6582</v>
      </c>
      <c r="B6587" s="39">
        <v>926050092</v>
      </c>
      <c r="C6587" s="28" t="str">
        <f>HYPERLINK("https://pld.live/RapDetail.aspx?STONELIST=926050092","DNA")</f>
        <v>DNA</v>
      </c>
      <c r="D6587" s="18" t="s">
        <v>5847</v>
      </c>
      <c r="E6587" s="18" t="s">
        <v>2186</v>
      </c>
      <c r="F6587" s="2" t="s">
        <v>7987</v>
      </c>
      <c r="G6587" s="2" t="s">
        <v>6781</v>
      </c>
      <c r="H6587" s="14">
        <v>0.79</v>
      </c>
      <c r="I6587" s="2" t="s">
        <v>267</v>
      </c>
      <c r="J6587" s="2" t="s">
        <v>3942</v>
      </c>
      <c r="K6587" s="2" t="s">
        <v>1452</v>
      </c>
      <c r="L6587" s="2" t="s">
        <v>5221</v>
      </c>
      <c r="M6587" s="2" t="s">
        <v>5221</v>
      </c>
      <c r="N6587" s="2" t="s">
        <v>2317</v>
      </c>
      <c r="O6587" s="14">
        <v>4000</v>
      </c>
      <c r="P6587" s="14">
        <v>96.65</v>
      </c>
      <c r="Q6587" s="14">
        <v>134</v>
      </c>
      <c r="R6587" s="14">
        <v>105.86</v>
      </c>
      <c r="S6587" s="2" t="s">
        <v>1062</v>
      </c>
      <c r="T6587" s="2">
        <v>1.62</v>
      </c>
      <c r="U6587" s="2">
        <v>60.1</v>
      </c>
      <c r="V6587" s="2">
        <v>62</v>
      </c>
      <c r="W6587" s="2" t="s">
        <v>7862</v>
      </c>
      <c r="X6587" s="2" t="s">
        <v>6687</v>
      </c>
      <c r="Y6587" s="2">
        <v>3160</v>
      </c>
      <c r="Z6587" s="19" t="str">
        <f>HYPERLINK("https://ssdweb.co/ssdweb/hd/Vision360.html?d=926050092&amp;zoomslide=1&amp;z=1926050092&amp;ISCONFIRM=0","VIDEO")</f>
        <v>VIDEO</v>
      </c>
      <c r="AA6587" s="19" t="str">
        <f>HYPERLINK("https://ssdweb.co/ssdweb/CERTH/631429863.pdf","CERTI")</f>
        <v>CERTI</v>
      </c>
    </row>
    <row r="6588" spans="1:27" ht="15" x14ac:dyDescent="0.25">
      <c r="A6588" s="2">
        <v>6583</v>
      </c>
      <c r="B6588" s="39">
        <v>926410001</v>
      </c>
      <c r="C6588" s="28" t="str">
        <f>HYPERLINK("https://pld.live/RapDetail.aspx?STONELIST=926410001","DNA")</f>
        <v>DNA</v>
      </c>
      <c r="D6588" s="18" t="s">
        <v>5847</v>
      </c>
      <c r="E6588" s="18" t="s">
        <v>2186</v>
      </c>
      <c r="F6588" s="2" t="s">
        <v>7987</v>
      </c>
      <c r="G6588" s="2" t="s">
        <v>6781</v>
      </c>
      <c r="H6588" s="14">
        <v>0.79</v>
      </c>
      <c r="I6588" s="2" t="s">
        <v>4761</v>
      </c>
      <c r="J6588" s="2" t="s">
        <v>13</v>
      </c>
      <c r="K6588" s="2" t="s">
        <v>1452</v>
      </c>
      <c r="L6588" s="2" t="s">
        <v>5221</v>
      </c>
      <c r="M6588" s="2" t="s">
        <v>5721</v>
      </c>
      <c r="N6588" s="2" t="s">
        <v>2317</v>
      </c>
      <c r="O6588" s="14">
        <v>3500</v>
      </c>
      <c r="P6588" s="14">
        <v>96.26</v>
      </c>
      <c r="Q6588" s="14">
        <v>130.9</v>
      </c>
      <c r="R6588" s="14">
        <v>103.41</v>
      </c>
      <c r="S6588" s="2" t="s">
        <v>3577</v>
      </c>
      <c r="T6588" s="2">
        <v>1.53</v>
      </c>
      <c r="U6588" s="2">
        <v>60.4</v>
      </c>
      <c r="V6588" s="2">
        <v>58</v>
      </c>
      <c r="W6588" s="2" t="s">
        <v>7862</v>
      </c>
      <c r="X6588" s="2" t="s">
        <v>6687</v>
      </c>
      <c r="Y6588" s="2">
        <v>2765</v>
      </c>
      <c r="Z6588" s="19" t="str">
        <f>HYPERLINK("https://ssdweb.co/ssdweb/hd/Vision360.html?d=926410001&amp;zoomslide=1&amp;z=1926410001&amp;ISCONFIRM=0","VIDEO")</f>
        <v>VIDEO</v>
      </c>
      <c r="AA6588" s="19" t="str">
        <f>HYPERLINK("https://ssdweb.co/ssdweb/CERTH/640454185.pdf","CERTI")</f>
        <v>CERTI</v>
      </c>
    </row>
    <row r="6589" spans="1:27" ht="15" x14ac:dyDescent="0.25">
      <c r="A6589" s="2">
        <v>6584</v>
      </c>
      <c r="B6589" s="39">
        <v>926890530</v>
      </c>
      <c r="C6589" s="28" t="str">
        <f>HYPERLINK("https://pld.live/RapDetail.aspx?STONELIST=926890530","DNA")</f>
        <v>DNA</v>
      </c>
      <c r="D6589" s="18" t="s">
        <v>5847</v>
      </c>
      <c r="E6589" s="18" t="s">
        <v>2186</v>
      </c>
      <c r="F6589" s="2" t="s">
        <v>7987</v>
      </c>
      <c r="G6589" s="2" t="s">
        <v>6781</v>
      </c>
      <c r="H6589" s="14">
        <v>0.78</v>
      </c>
      <c r="I6589" s="2" t="s">
        <v>267</v>
      </c>
      <c r="J6589" s="2" t="s">
        <v>6555</v>
      </c>
      <c r="K6589" s="2" t="s">
        <v>1452</v>
      </c>
      <c r="L6589" s="2" t="s">
        <v>5221</v>
      </c>
      <c r="M6589" s="2" t="s">
        <v>5221</v>
      </c>
      <c r="N6589" s="2" t="s">
        <v>2317</v>
      </c>
      <c r="O6589" s="14">
        <v>4300</v>
      </c>
      <c r="P6589" s="14">
        <v>96.21</v>
      </c>
      <c r="Q6589" s="14">
        <v>162.97</v>
      </c>
      <c r="R6589" s="14">
        <v>127.12</v>
      </c>
      <c r="S6589" s="2" t="s">
        <v>736</v>
      </c>
      <c r="T6589" s="2">
        <v>1.54</v>
      </c>
      <c r="U6589" s="2">
        <v>62.5</v>
      </c>
      <c r="V6589" s="2">
        <v>61</v>
      </c>
      <c r="W6589" s="2" t="s">
        <v>7862</v>
      </c>
      <c r="X6589" s="2" t="s">
        <v>6687</v>
      </c>
      <c r="Y6589" s="2">
        <v>3354</v>
      </c>
      <c r="Z6589" s="19" t="str">
        <f>HYPERLINK("https://ssdweb.co/ssdweb/hd/Vision360.html?d=926890530&amp;zoomslide=1&amp;z=1926890530&amp;ISCONFIRM=0","VIDEO")</f>
        <v>VIDEO</v>
      </c>
      <c r="AA6589" s="19" t="str">
        <f>HYPERLINK("https://ssdweb.co/ssdweb/CERTH/659414261.pdf","CERTI")</f>
        <v>CERTI</v>
      </c>
    </row>
    <row r="6590" spans="1:27" ht="15" x14ac:dyDescent="0.25">
      <c r="A6590" s="2">
        <v>6585</v>
      </c>
      <c r="B6590" s="39">
        <v>926410221</v>
      </c>
      <c r="C6590" s="28" t="str">
        <f>HYPERLINK("https://pld.live/RapDetail.aspx?STONELIST=926410221","DNA")</f>
        <v>DNA</v>
      </c>
      <c r="D6590" s="18" t="s">
        <v>5847</v>
      </c>
      <c r="E6590" s="18" t="s">
        <v>2186</v>
      </c>
      <c r="F6590" s="2" t="s">
        <v>7987</v>
      </c>
      <c r="G6590" s="2" t="s">
        <v>6781</v>
      </c>
      <c r="H6590" s="14">
        <v>0.78</v>
      </c>
      <c r="I6590" s="2" t="s">
        <v>4699</v>
      </c>
      <c r="J6590" s="2" t="s">
        <v>3942</v>
      </c>
      <c r="K6590" s="2" t="s">
        <v>1452</v>
      </c>
      <c r="L6590" s="2" t="s">
        <v>5221</v>
      </c>
      <c r="M6590" s="2" t="s">
        <v>5221</v>
      </c>
      <c r="N6590" s="2" t="s">
        <v>2317</v>
      </c>
      <c r="O6590" s="14">
        <v>3600</v>
      </c>
      <c r="P6590" s="14">
        <v>96.31</v>
      </c>
      <c r="Q6590" s="14">
        <v>132.84</v>
      </c>
      <c r="R6590" s="14">
        <v>103.62</v>
      </c>
      <c r="S6590" s="2" t="s">
        <v>762</v>
      </c>
      <c r="T6590" s="2">
        <v>1.53</v>
      </c>
      <c r="U6590" s="2">
        <v>63.2</v>
      </c>
      <c r="V6590" s="2">
        <v>61</v>
      </c>
      <c r="W6590" s="2" t="s">
        <v>7862</v>
      </c>
      <c r="X6590" s="2" t="s">
        <v>6687</v>
      </c>
      <c r="Y6590" s="2">
        <v>2808</v>
      </c>
      <c r="Z6590" s="19" t="str">
        <f>HYPERLINK("https://ssdweb.co/ssdweb/hd/Vision360.html?d=926410221&amp;zoomslide=1&amp;z=1926410221&amp;ISCONFIRM=0","VIDEO")</f>
        <v>VIDEO</v>
      </c>
      <c r="AA6590" s="19" t="str">
        <f>HYPERLINK("https://ssdweb.co/ssdweb/CERTH/642460551.pdf","CERTI")</f>
        <v>CERTI</v>
      </c>
    </row>
    <row r="6591" spans="1:27" ht="15" x14ac:dyDescent="0.25">
      <c r="A6591" s="2">
        <v>6586</v>
      </c>
      <c r="B6591" s="39">
        <v>926170586</v>
      </c>
      <c r="C6591" s="28" t="str">
        <f>HYPERLINK("https://pld.live/RapDetail.aspx?STONELIST=926170586","DNA")</f>
        <v>DNA</v>
      </c>
      <c r="D6591" s="18" t="s">
        <v>5847</v>
      </c>
      <c r="E6591" s="18" t="s">
        <v>5128</v>
      </c>
      <c r="F6591" s="2" t="s">
        <v>7987</v>
      </c>
      <c r="G6591" s="2" t="s">
        <v>6781</v>
      </c>
      <c r="H6591" s="14">
        <v>0.77</v>
      </c>
      <c r="I6591" s="2" t="s">
        <v>267</v>
      </c>
      <c r="J6591" s="2" t="s">
        <v>6555</v>
      </c>
      <c r="K6591" s="2" t="s">
        <v>1452</v>
      </c>
      <c r="L6591" s="2" t="s">
        <v>5221</v>
      </c>
      <c r="M6591" s="2" t="s">
        <v>5221</v>
      </c>
      <c r="N6591" s="2" t="s">
        <v>2317</v>
      </c>
      <c r="O6591" s="14">
        <v>4300</v>
      </c>
      <c r="P6591" s="14">
        <v>96.26</v>
      </c>
      <c r="Q6591" s="14">
        <v>160.82</v>
      </c>
      <c r="R6591" s="14">
        <v>123.83</v>
      </c>
      <c r="S6591" s="2" t="s">
        <v>4421</v>
      </c>
      <c r="T6591" s="2">
        <v>1.56</v>
      </c>
      <c r="U6591" s="2">
        <v>62.5</v>
      </c>
      <c r="V6591" s="2">
        <v>61</v>
      </c>
      <c r="W6591" s="2" t="s">
        <v>7862</v>
      </c>
      <c r="X6591" s="2" t="s">
        <v>6687</v>
      </c>
      <c r="Y6591" s="2">
        <v>3311</v>
      </c>
      <c r="Z6591" s="19" t="str">
        <f>HYPERLINK("https://ssdweb.co/ssdweb/hd/Vision360.html?d=926170586&amp;zoomslide=1&amp;z=1926170586&amp;ISCONFIRM=0","VIDEO")</f>
        <v>VIDEO</v>
      </c>
      <c r="AA6591" s="19" t="str">
        <f>HYPERLINK("https://ssdweb.co/ssdweb/CERTH/633473860.pdf","CERTI")</f>
        <v>CERTI</v>
      </c>
    </row>
    <row r="6592" spans="1:27" ht="15" x14ac:dyDescent="0.25">
      <c r="A6592" s="2">
        <v>6587</v>
      </c>
      <c r="B6592" s="39">
        <v>941140787</v>
      </c>
      <c r="C6592" s="28" t="str">
        <f>HYPERLINK("https://pld.live/RapDetail.aspx?STONELIST=941140787","DNA")</f>
        <v>DNA</v>
      </c>
      <c r="D6592" s="18" t="s">
        <v>5847</v>
      </c>
      <c r="E6592" s="18" t="s">
        <v>5128</v>
      </c>
      <c r="F6592" s="2" t="s">
        <v>7987</v>
      </c>
      <c r="G6592" s="2" t="s">
        <v>6781</v>
      </c>
      <c r="H6592" s="14">
        <v>0.77</v>
      </c>
      <c r="I6592" s="2" t="s">
        <v>267</v>
      </c>
      <c r="J6592" s="2" t="s">
        <v>3942</v>
      </c>
      <c r="K6592" s="2" t="s">
        <v>1452</v>
      </c>
      <c r="L6592" s="2" t="s">
        <v>5221</v>
      </c>
      <c r="M6592" s="2" t="s">
        <v>5221</v>
      </c>
      <c r="N6592" s="2" t="s">
        <v>2317</v>
      </c>
      <c r="O6592" s="14">
        <v>4000</v>
      </c>
      <c r="P6592" s="14">
        <v>96.38</v>
      </c>
      <c r="Q6592" s="14">
        <v>144.80000000000001</v>
      </c>
      <c r="R6592" s="14">
        <v>111.5</v>
      </c>
      <c r="S6592" s="2" t="s">
        <v>4765</v>
      </c>
      <c r="T6592" s="2">
        <v>1.53</v>
      </c>
      <c r="U6592" s="2">
        <v>60.6</v>
      </c>
      <c r="V6592" s="2">
        <v>59</v>
      </c>
      <c r="W6592" s="2" t="s">
        <v>7862</v>
      </c>
      <c r="X6592" s="2" t="s">
        <v>6687</v>
      </c>
      <c r="Y6592" s="2">
        <v>3080</v>
      </c>
      <c r="Z6592" s="19" t="str">
        <f>HYPERLINK("https://ssdweb.co/ssdweb/hd/Vision360.html?d=941140787&amp;zoomslide=1&amp;z=1941140787&amp;ISCONFIRM=0","VIDEO")</f>
        <v>VIDEO</v>
      </c>
      <c r="AA6592" s="19" t="str">
        <f>HYPERLINK("https://ssdweb.co/ssdweb/CERTH/675504587.pdf","CERTI")</f>
        <v>CERTI</v>
      </c>
    </row>
    <row r="6593" spans="1:27" ht="15" x14ac:dyDescent="0.25">
      <c r="A6593" s="2">
        <v>6588</v>
      </c>
      <c r="B6593" s="39">
        <v>926101464</v>
      </c>
      <c r="C6593" s="28" t="str">
        <f>HYPERLINK("https://pld.live/RapDetail.aspx?STONELIST=926101464","DNA")</f>
        <v>DNA</v>
      </c>
      <c r="D6593" s="18" t="s">
        <v>5847</v>
      </c>
      <c r="E6593" s="18" t="s">
        <v>5128</v>
      </c>
      <c r="F6593" s="2" t="s">
        <v>7987</v>
      </c>
      <c r="G6593" s="2" t="s">
        <v>6781</v>
      </c>
      <c r="H6593" s="14">
        <v>0.77</v>
      </c>
      <c r="I6593" s="2" t="s">
        <v>267</v>
      </c>
      <c r="J6593" s="2" t="s">
        <v>3942</v>
      </c>
      <c r="K6593" s="2" t="s">
        <v>1452</v>
      </c>
      <c r="L6593" s="2" t="s">
        <v>5221</v>
      </c>
      <c r="M6593" s="2" t="s">
        <v>5221</v>
      </c>
      <c r="N6593" s="2" t="s">
        <v>2317</v>
      </c>
      <c r="O6593" s="14">
        <v>4000</v>
      </c>
      <c r="P6593" s="14">
        <v>96.65</v>
      </c>
      <c r="Q6593" s="14">
        <v>134</v>
      </c>
      <c r="R6593" s="14">
        <v>103.18</v>
      </c>
      <c r="S6593" s="2" t="s">
        <v>559</v>
      </c>
      <c r="T6593" s="2">
        <v>1.55</v>
      </c>
      <c r="U6593" s="2">
        <v>62.7</v>
      </c>
      <c r="V6593" s="2">
        <v>59</v>
      </c>
      <c r="W6593" s="2" t="s">
        <v>7862</v>
      </c>
      <c r="X6593" s="2" t="s">
        <v>6687</v>
      </c>
      <c r="Y6593" s="2">
        <v>3080</v>
      </c>
      <c r="Z6593" s="19" t="str">
        <f>HYPERLINK("https://ssdweb.co/ssdweb/hd/Vision360.html?d=926101464&amp;zoomslide=1&amp;z=1926101464&amp;ISCONFIRM=0","VIDEO")</f>
        <v>VIDEO</v>
      </c>
      <c r="AA6593" s="19" t="str">
        <f>HYPERLINK("https://ssdweb.co/ssdweb/CERTH/632421382.pdf","CERTI")</f>
        <v>CERTI</v>
      </c>
    </row>
    <row r="6594" spans="1:27" ht="15" x14ac:dyDescent="0.25">
      <c r="A6594" s="2">
        <v>6589</v>
      </c>
      <c r="B6594" s="39">
        <v>927052643</v>
      </c>
      <c r="C6594" s="28" t="str">
        <f>HYPERLINK("https://pld.live/RapDetail.aspx?STONELIST=927052643","DNA")</f>
        <v>DNA</v>
      </c>
      <c r="D6594" s="18" t="s">
        <v>5847</v>
      </c>
      <c r="E6594" s="18" t="s">
        <v>5128</v>
      </c>
      <c r="F6594" s="2" t="s">
        <v>7987</v>
      </c>
      <c r="G6594" s="2" t="s">
        <v>6781</v>
      </c>
      <c r="H6594" s="14">
        <v>0.77</v>
      </c>
      <c r="I6594" s="2" t="s">
        <v>4761</v>
      </c>
      <c r="J6594" s="2" t="s">
        <v>3942</v>
      </c>
      <c r="K6594" s="2" t="s">
        <v>1452</v>
      </c>
      <c r="L6594" s="2" t="s">
        <v>5221</v>
      </c>
      <c r="M6594" s="2" t="s">
        <v>5221</v>
      </c>
      <c r="N6594" s="2" t="s">
        <v>2317</v>
      </c>
      <c r="O6594" s="14">
        <v>3800</v>
      </c>
      <c r="P6594" s="14">
        <v>96.32</v>
      </c>
      <c r="Q6594" s="14">
        <v>139.84</v>
      </c>
      <c r="R6594" s="14">
        <v>107.68</v>
      </c>
      <c r="S6594" s="2" t="s">
        <v>3696</v>
      </c>
      <c r="T6594" s="2">
        <v>1.61</v>
      </c>
      <c r="U6594" s="2">
        <v>60.1</v>
      </c>
      <c r="V6594" s="2">
        <v>63</v>
      </c>
      <c r="W6594" s="2" t="s">
        <v>7862</v>
      </c>
      <c r="X6594" s="2" t="s">
        <v>6687</v>
      </c>
      <c r="Y6594" s="2">
        <v>2926</v>
      </c>
      <c r="Z6594" s="19" t="str">
        <f>HYPERLINK("https://ssdweb.co/ssdweb/hd/Vision360.html?d=927052643&amp;zoomslide=1&amp;z=1927052643&amp;ISCONFIRM=0","VIDEO")</f>
        <v>VIDEO</v>
      </c>
      <c r="AA6594" s="19" t="str">
        <f>HYPERLINK("https://ssdweb.co/ssdweb/CERTH/669458145.pdf","CERTI")</f>
        <v>CERTI</v>
      </c>
    </row>
    <row r="6595" spans="1:27" ht="15" x14ac:dyDescent="0.25">
      <c r="A6595" s="2">
        <v>6590</v>
      </c>
      <c r="B6595" s="39">
        <v>926210972</v>
      </c>
      <c r="C6595" s="28" t="str">
        <f>HYPERLINK("https://pld.live/RapDetail.aspx?STONELIST=926210972","DNA")</f>
        <v>DNA</v>
      </c>
      <c r="D6595" s="18" t="s">
        <v>5847</v>
      </c>
      <c r="E6595" s="18" t="s">
        <v>5128</v>
      </c>
      <c r="F6595" s="2" t="s">
        <v>7987</v>
      </c>
      <c r="G6595" s="2" t="s">
        <v>6781</v>
      </c>
      <c r="H6595" s="14">
        <v>0.76</v>
      </c>
      <c r="I6595" s="2" t="s">
        <v>4761</v>
      </c>
      <c r="J6595" s="2" t="s">
        <v>3942</v>
      </c>
      <c r="K6595" s="2" t="s">
        <v>1452</v>
      </c>
      <c r="L6595" s="2" t="s">
        <v>5221</v>
      </c>
      <c r="M6595" s="2" t="s">
        <v>5221</v>
      </c>
      <c r="N6595" s="2" t="s">
        <v>2317</v>
      </c>
      <c r="O6595" s="14">
        <v>3800</v>
      </c>
      <c r="P6595" s="14">
        <v>96.42</v>
      </c>
      <c r="Q6595" s="14">
        <v>136.04</v>
      </c>
      <c r="R6595" s="14">
        <v>103.39</v>
      </c>
      <c r="S6595" s="2" t="s">
        <v>7166</v>
      </c>
      <c r="T6595" s="2">
        <v>1.48</v>
      </c>
      <c r="U6595" s="2">
        <v>59.7</v>
      </c>
      <c r="V6595" s="2">
        <v>58</v>
      </c>
      <c r="W6595" s="2" t="s">
        <v>7862</v>
      </c>
      <c r="X6595" s="2" t="s">
        <v>6687</v>
      </c>
      <c r="Y6595" s="2">
        <v>2888</v>
      </c>
      <c r="Z6595" s="19" t="str">
        <f>HYPERLINK("https://ssdweb.co/ssdweb/hd/Vision360.html?d=926210972&amp;zoomslide=1&amp;z=1926210972&amp;ISCONFIRM=0","VIDEO")</f>
        <v>VIDEO</v>
      </c>
      <c r="AA6595" s="19" t="str">
        <f>HYPERLINK("https://ssdweb.co/ssdweb/CERTH/635427077.pdf","CERTI")</f>
        <v>CERTI</v>
      </c>
    </row>
    <row r="6596" spans="1:27" ht="15" x14ac:dyDescent="0.25">
      <c r="A6596" s="2">
        <v>6591</v>
      </c>
      <c r="B6596" s="39">
        <v>831020351</v>
      </c>
      <c r="C6596" s="28" t="str">
        <f>HYPERLINK("https://pld.live/RapDetail.aspx?STONELIST=831020351","DNA")</f>
        <v>DNA</v>
      </c>
      <c r="D6596" s="18" t="s">
        <v>5847</v>
      </c>
      <c r="E6596" s="18" t="s">
        <v>2186</v>
      </c>
      <c r="F6596" s="2" t="s">
        <v>7987</v>
      </c>
      <c r="G6596" s="2" t="s">
        <v>6781</v>
      </c>
      <c r="H6596" s="14">
        <v>0.75</v>
      </c>
      <c r="I6596" s="2" t="s">
        <v>6587</v>
      </c>
      <c r="J6596" s="2" t="s">
        <v>13</v>
      </c>
      <c r="K6596" s="2" t="s">
        <v>1452</v>
      </c>
      <c r="L6596" s="2" t="s">
        <v>5221</v>
      </c>
      <c r="M6596" s="2" t="s">
        <v>5721</v>
      </c>
      <c r="N6596" s="2" t="s">
        <v>2317</v>
      </c>
      <c r="O6596" s="14">
        <v>3100</v>
      </c>
      <c r="P6596" s="14">
        <v>96.06</v>
      </c>
      <c r="Q6596" s="14">
        <v>122.14</v>
      </c>
      <c r="R6596" s="14">
        <v>91.61</v>
      </c>
      <c r="S6596" s="2" t="s">
        <v>6105</v>
      </c>
      <c r="T6596" s="2">
        <v>1.54</v>
      </c>
      <c r="U6596" s="2">
        <v>61.3</v>
      </c>
      <c r="V6596" s="2">
        <v>60</v>
      </c>
      <c r="W6596" s="2" t="s">
        <v>7862</v>
      </c>
      <c r="X6596" s="2" t="s">
        <v>6687</v>
      </c>
      <c r="Y6596" s="2">
        <v>2325</v>
      </c>
      <c r="Z6596" s="19" t="str">
        <f>HYPERLINK("https://ssdweb.co/ssdweb/hd/Vision360.html?d=831020351&amp;zoomslide=1&amp;z=1831020351&amp;ISCONFIRM=0","VIDEO")</f>
        <v>VIDEO</v>
      </c>
      <c r="AA6596" s="19" t="str">
        <f>HYPERLINK("https://ssdweb.co/ssdweb/CERTH/594320558.pdf","CERTI")</f>
        <v>CERTI</v>
      </c>
    </row>
    <row r="6597" spans="1:27" ht="15" x14ac:dyDescent="0.25">
      <c r="A6597" s="2">
        <v>6592</v>
      </c>
      <c r="B6597" s="39">
        <v>941021799</v>
      </c>
      <c r="C6597" s="28" t="str">
        <f>HYPERLINK("https://pld.live/RapDetail.aspx?STONELIST=941021799","DNA")</f>
        <v>DNA</v>
      </c>
      <c r="D6597" s="18" t="s">
        <v>5847</v>
      </c>
      <c r="E6597" s="18" t="s">
        <v>5128</v>
      </c>
      <c r="F6597" s="2" t="s">
        <v>7987</v>
      </c>
      <c r="G6597" s="2" t="s">
        <v>6781</v>
      </c>
      <c r="H6597" s="14">
        <v>0.73</v>
      </c>
      <c r="I6597" s="2" t="s">
        <v>267</v>
      </c>
      <c r="J6597" s="2" t="s">
        <v>6555</v>
      </c>
      <c r="K6597" s="2" t="s">
        <v>1452</v>
      </c>
      <c r="L6597" s="2" t="s">
        <v>5221</v>
      </c>
      <c r="M6597" s="2" t="s">
        <v>5721</v>
      </c>
      <c r="N6597" s="2" t="s">
        <v>2317</v>
      </c>
      <c r="O6597" s="14">
        <v>4300</v>
      </c>
      <c r="P6597" s="14">
        <v>96.21</v>
      </c>
      <c r="Q6597" s="14">
        <v>162.97</v>
      </c>
      <c r="R6597" s="14">
        <v>118.97</v>
      </c>
      <c r="S6597" s="2" t="s">
        <v>5815</v>
      </c>
      <c r="T6597" s="2">
        <v>1.53</v>
      </c>
      <c r="U6597" s="2">
        <v>62.3</v>
      </c>
      <c r="V6597" s="2">
        <v>58</v>
      </c>
      <c r="W6597" s="2" t="s">
        <v>7862</v>
      </c>
      <c r="X6597" s="2" t="s">
        <v>6687</v>
      </c>
      <c r="Y6597" s="2">
        <v>3139</v>
      </c>
      <c r="Z6597" s="19" t="str">
        <f>HYPERLINK("https://ssdweb.co/ssdweb/hd/Vision360.html?d=941021799&amp;zoomslide=1&amp;z=1941021799&amp;ISCONFIRM=0","VIDEO")</f>
        <v>VIDEO</v>
      </c>
      <c r="AA6597" s="19" t="str">
        <f>HYPERLINK("https://ssdweb.co/ssdweb/CERTH/674543093.pdf","CERTI")</f>
        <v>CERTI</v>
      </c>
    </row>
    <row r="6598" spans="1:27" ht="15" x14ac:dyDescent="0.25">
      <c r="A6598" s="2">
        <v>6593</v>
      </c>
      <c r="B6598" s="39">
        <v>927010822</v>
      </c>
      <c r="C6598" s="28" t="str">
        <f>HYPERLINK("https://pld.live/RapDetail.aspx?STONELIST=927010822","DNA")</f>
        <v>DNA</v>
      </c>
      <c r="D6598" s="18" t="s">
        <v>5847</v>
      </c>
      <c r="E6598" s="18" t="s">
        <v>2186</v>
      </c>
      <c r="F6598" s="2" t="s">
        <v>7987</v>
      </c>
      <c r="G6598" s="2" t="s">
        <v>6781</v>
      </c>
      <c r="H6598" s="14">
        <v>0.73</v>
      </c>
      <c r="I6598" s="2" t="s">
        <v>267</v>
      </c>
      <c r="J6598" s="2" t="s">
        <v>3942</v>
      </c>
      <c r="K6598" s="2" t="s">
        <v>1452</v>
      </c>
      <c r="L6598" s="2" t="s">
        <v>5221</v>
      </c>
      <c r="M6598" s="2" t="s">
        <v>5221</v>
      </c>
      <c r="N6598" s="2" t="s">
        <v>2317</v>
      </c>
      <c r="O6598" s="14">
        <v>4000</v>
      </c>
      <c r="P6598" s="14">
        <v>96.38</v>
      </c>
      <c r="Q6598" s="14">
        <v>144.80000000000001</v>
      </c>
      <c r="R6598" s="14">
        <v>105.7</v>
      </c>
      <c r="S6598" s="2" t="s">
        <v>969</v>
      </c>
      <c r="T6598" s="2">
        <v>1.53</v>
      </c>
      <c r="U6598" s="2">
        <v>61.2</v>
      </c>
      <c r="V6598" s="2">
        <v>59</v>
      </c>
      <c r="W6598" s="2" t="s">
        <v>7862</v>
      </c>
      <c r="X6598" s="2" t="s">
        <v>6687</v>
      </c>
      <c r="Y6598" s="2">
        <v>2920</v>
      </c>
      <c r="Z6598" s="19" t="str">
        <f>HYPERLINK("https://ssdweb.co/ssdweb/hd/Vision360.html?d=927010822&amp;zoomslide=1&amp;z=1927010822&amp;ISCONFIRM=0","VIDEO")</f>
        <v>VIDEO</v>
      </c>
      <c r="AA6598" s="19" t="str">
        <f>HYPERLINK("https://ssdweb.co/ssdweb/CERTH/669458192.pdf","CERTI")</f>
        <v>CERTI</v>
      </c>
    </row>
    <row r="6599" spans="1:27" ht="15" x14ac:dyDescent="0.25">
      <c r="A6599" s="2">
        <v>6594</v>
      </c>
      <c r="B6599" s="39">
        <v>941351032</v>
      </c>
      <c r="C6599" s="28" t="str">
        <f>HYPERLINK("https://pld.live/RapDetail.aspx?STONELIST=941351032","DNA")</f>
        <v>DNA</v>
      </c>
      <c r="D6599" s="18" t="s">
        <v>5847</v>
      </c>
      <c r="E6599" s="18" t="s">
        <v>5128</v>
      </c>
      <c r="F6599" s="2" t="s">
        <v>7987</v>
      </c>
      <c r="G6599" s="2" t="s">
        <v>6781</v>
      </c>
      <c r="H6599" s="14">
        <v>0.73</v>
      </c>
      <c r="I6599" s="2" t="s">
        <v>267</v>
      </c>
      <c r="J6599" s="2" t="s">
        <v>3942</v>
      </c>
      <c r="K6599" s="2" t="s">
        <v>1452</v>
      </c>
      <c r="L6599" s="2" t="s">
        <v>5221</v>
      </c>
      <c r="M6599" s="2" t="s">
        <v>5221</v>
      </c>
      <c r="N6599" s="2" t="s">
        <v>2317</v>
      </c>
      <c r="O6599" s="14">
        <v>4000</v>
      </c>
      <c r="P6599" s="14">
        <v>96.38</v>
      </c>
      <c r="Q6599" s="14">
        <v>144.80000000000001</v>
      </c>
      <c r="R6599" s="14">
        <v>105.7</v>
      </c>
      <c r="S6599" s="2" t="s">
        <v>8024</v>
      </c>
      <c r="T6599" s="2">
        <v>1.53</v>
      </c>
      <c r="U6599" s="2">
        <v>62.3</v>
      </c>
      <c r="V6599" s="2">
        <v>60</v>
      </c>
      <c r="W6599" s="2" t="s">
        <v>7862</v>
      </c>
      <c r="X6599" s="2" t="s">
        <v>6687</v>
      </c>
      <c r="Y6599" s="2">
        <v>2920</v>
      </c>
      <c r="Z6599" s="19" t="str">
        <f>HYPERLINK("https://ssdweb.co/ssdweb/hd/Vision360.html?d=941351032&amp;zoomslide=1&amp;z=1941351032&amp;ISCONFIRM=0","VIDEO")</f>
        <v>VIDEO</v>
      </c>
      <c r="AA6599" s="19" t="str">
        <f>HYPERLINK("https://ssdweb.co/ssdweb/CERTH/694508352.pdf","CERTI")</f>
        <v>CERTI</v>
      </c>
    </row>
    <row r="6600" spans="1:27" ht="15" x14ac:dyDescent="0.25">
      <c r="A6600" s="2">
        <v>6595</v>
      </c>
      <c r="B6600" s="39">
        <v>927040804</v>
      </c>
      <c r="C6600" s="28" t="str">
        <f>HYPERLINK("https://pld.live/RapDetail.aspx?STONELIST=927040804","DNA")</f>
        <v>DNA</v>
      </c>
      <c r="D6600" s="18" t="s">
        <v>5847</v>
      </c>
      <c r="E6600" s="18" t="s">
        <v>2186</v>
      </c>
      <c r="F6600" s="2" t="s">
        <v>7987</v>
      </c>
      <c r="G6600" s="2" t="s">
        <v>6781</v>
      </c>
      <c r="H6600" s="14">
        <v>0.73</v>
      </c>
      <c r="I6600" s="2" t="s">
        <v>267</v>
      </c>
      <c r="J6600" s="2" t="s">
        <v>3942</v>
      </c>
      <c r="K6600" s="2" t="s">
        <v>1452</v>
      </c>
      <c r="L6600" s="2" t="s">
        <v>5221</v>
      </c>
      <c r="M6600" s="2" t="s">
        <v>5221</v>
      </c>
      <c r="N6600" s="2" t="s">
        <v>2317</v>
      </c>
      <c r="O6600" s="14">
        <v>4000</v>
      </c>
      <c r="P6600" s="14">
        <v>96.38</v>
      </c>
      <c r="Q6600" s="14">
        <v>144.80000000000001</v>
      </c>
      <c r="R6600" s="14">
        <v>105.7</v>
      </c>
      <c r="S6600" s="2" t="s">
        <v>1763</v>
      </c>
      <c r="T6600" s="2">
        <v>1.54</v>
      </c>
      <c r="U6600" s="2">
        <v>60.1</v>
      </c>
      <c r="V6600" s="2">
        <v>64</v>
      </c>
      <c r="W6600" s="2" t="s">
        <v>7862</v>
      </c>
      <c r="X6600" s="2" t="s">
        <v>6687</v>
      </c>
      <c r="Y6600" s="2">
        <v>2920</v>
      </c>
      <c r="Z6600" s="19" t="str">
        <f>HYPERLINK("https://ssdweb.co/ssdweb/hd/Vision360.html?d=927040804&amp;zoomslide=1&amp;z=1927040804&amp;ISCONFIRM=0","VIDEO")</f>
        <v>VIDEO</v>
      </c>
      <c r="AA6600" s="19" t="str">
        <f>HYPERLINK("https://ssdweb.co/ssdweb/CERTH/671411165.pdf","CERTI")</f>
        <v>CERTI</v>
      </c>
    </row>
    <row r="6601" spans="1:27" ht="15" x14ac:dyDescent="0.25">
      <c r="A6601" s="2">
        <v>6596</v>
      </c>
      <c r="B6601" s="39">
        <v>926210630</v>
      </c>
      <c r="C6601" s="28" t="str">
        <f>HYPERLINK("https://pld.live/RapDetail.aspx?STONELIST=926210630","DNA")</f>
        <v>DNA</v>
      </c>
      <c r="D6601" s="18" t="s">
        <v>5847</v>
      </c>
      <c r="E6601" s="18" t="s">
        <v>5128</v>
      </c>
      <c r="F6601" s="2" t="s">
        <v>7987</v>
      </c>
      <c r="G6601" s="2" t="s">
        <v>6781</v>
      </c>
      <c r="H6601" s="14">
        <v>0.73</v>
      </c>
      <c r="I6601" s="2" t="s">
        <v>267</v>
      </c>
      <c r="J6601" s="2" t="s">
        <v>13</v>
      </c>
      <c r="K6601" s="2" t="s">
        <v>1452</v>
      </c>
      <c r="L6601" s="2" t="s">
        <v>5221</v>
      </c>
      <c r="M6601" s="2" t="s">
        <v>5221</v>
      </c>
      <c r="N6601" s="2" t="s">
        <v>2317</v>
      </c>
      <c r="O6601" s="14">
        <v>3700</v>
      </c>
      <c r="P6601" s="14">
        <v>96.38</v>
      </c>
      <c r="Q6601" s="14">
        <v>133.94</v>
      </c>
      <c r="R6601" s="14">
        <v>97.78</v>
      </c>
      <c r="S6601" s="2" t="s">
        <v>6669</v>
      </c>
      <c r="T6601" s="2">
        <v>1.53</v>
      </c>
      <c r="U6601" s="2">
        <v>61.1</v>
      </c>
      <c r="V6601" s="2">
        <v>63</v>
      </c>
      <c r="W6601" s="2" t="s">
        <v>7862</v>
      </c>
      <c r="X6601" s="2" t="s">
        <v>6687</v>
      </c>
      <c r="Y6601" s="2">
        <v>2701</v>
      </c>
      <c r="Z6601" s="19" t="str">
        <f>HYPERLINK("https://ssdweb.co/ssdweb/hd/Vision360.html?d=926210630&amp;zoomslide=1&amp;z=1926210630&amp;ISCONFIRM=0","VIDEO")</f>
        <v>VIDEO</v>
      </c>
      <c r="AA6601" s="19" t="str">
        <f>HYPERLINK("https://ssdweb.co/ssdweb/CERTH/635423814.pdf","CERTI")</f>
        <v>CERTI</v>
      </c>
    </row>
    <row r="6602" spans="1:27" ht="15" x14ac:dyDescent="0.25">
      <c r="A6602" s="2">
        <v>6597</v>
      </c>
      <c r="B6602" s="39">
        <v>926820131</v>
      </c>
      <c r="C6602" s="28" t="str">
        <f>HYPERLINK("https://pld.live/RapDetail.aspx?STONELIST=926820131","DNA")</f>
        <v>DNA</v>
      </c>
      <c r="D6602" s="18" t="s">
        <v>5847</v>
      </c>
      <c r="E6602" s="18" t="s">
        <v>2186</v>
      </c>
      <c r="F6602" s="2" t="s">
        <v>7987</v>
      </c>
      <c r="G6602" s="2" t="s">
        <v>6781</v>
      </c>
      <c r="H6602" s="14">
        <v>0.73</v>
      </c>
      <c r="I6602" s="2" t="s">
        <v>267</v>
      </c>
      <c r="J6602" s="2" t="s">
        <v>13</v>
      </c>
      <c r="K6602" s="2" t="s">
        <v>1452</v>
      </c>
      <c r="L6602" s="2" t="s">
        <v>5221</v>
      </c>
      <c r="M6602" s="2" t="s">
        <v>5221</v>
      </c>
      <c r="N6602" s="2" t="s">
        <v>2317</v>
      </c>
      <c r="O6602" s="14">
        <v>3700</v>
      </c>
      <c r="P6602" s="14">
        <v>96.27</v>
      </c>
      <c r="Q6602" s="14">
        <v>138.01</v>
      </c>
      <c r="R6602" s="14">
        <v>100.75</v>
      </c>
      <c r="S6602" s="2" t="s">
        <v>4715</v>
      </c>
      <c r="T6602" s="2">
        <v>1.63</v>
      </c>
      <c r="U6602" s="2">
        <v>60.5</v>
      </c>
      <c r="V6602" s="2">
        <v>60</v>
      </c>
      <c r="W6602" s="2" t="s">
        <v>7862</v>
      </c>
      <c r="X6602" s="2" t="s">
        <v>6687</v>
      </c>
      <c r="Y6602" s="2">
        <v>2701</v>
      </c>
      <c r="Z6602" s="19" t="str">
        <f>HYPERLINK("https://ssdweb.co/ssdweb/hd/Vision360.html?d=926820131&amp;zoomslide=1&amp;z=1926820131&amp;ISCONFIRM=0","VIDEO")</f>
        <v>VIDEO</v>
      </c>
      <c r="AA6602" s="19" t="str">
        <f>HYPERLINK("https://ssdweb.co/ssdweb/CERTH/667408216.pdf","CERTI")</f>
        <v>CERTI</v>
      </c>
    </row>
    <row r="6603" spans="1:27" ht="15" x14ac:dyDescent="0.25">
      <c r="A6603" s="2">
        <v>6598</v>
      </c>
      <c r="B6603" s="39">
        <v>927052616</v>
      </c>
      <c r="C6603" s="28" t="str">
        <f>HYPERLINK("https://pld.live/RapDetail.aspx?STONELIST=927052616","DNA")</f>
        <v>DNA</v>
      </c>
      <c r="D6603" s="18" t="s">
        <v>5847</v>
      </c>
      <c r="E6603" s="18" t="s">
        <v>5128</v>
      </c>
      <c r="F6603" s="2" t="s">
        <v>7987</v>
      </c>
      <c r="G6603" s="2" t="s">
        <v>6781</v>
      </c>
      <c r="H6603" s="14">
        <v>0.73</v>
      </c>
      <c r="I6603" s="2" t="s">
        <v>4761</v>
      </c>
      <c r="J6603" s="2" t="s">
        <v>6555</v>
      </c>
      <c r="K6603" s="2" t="s">
        <v>1452</v>
      </c>
      <c r="L6603" s="2" t="s">
        <v>5221</v>
      </c>
      <c r="M6603" s="2" t="s">
        <v>5221</v>
      </c>
      <c r="N6603" s="2" t="s">
        <v>2317</v>
      </c>
      <c r="O6603" s="14">
        <v>4000</v>
      </c>
      <c r="P6603" s="14">
        <v>96.18</v>
      </c>
      <c r="Q6603" s="14">
        <v>152.80000000000001</v>
      </c>
      <c r="R6603" s="14">
        <v>111.54</v>
      </c>
      <c r="S6603" s="2" t="s">
        <v>5945</v>
      </c>
      <c r="T6603" s="2">
        <v>1.54</v>
      </c>
      <c r="U6603" s="2">
        <v>62.5</v>
      </c>
      <c r="V6603" s="2">
        <v>57</v>
      </c>
      <c r="W6603" s="2" t="s">
        <v>7862</v>
      </c>
      <c r="X6603" s="2" t="s">
        <v>6687</v>
      </c>
      <c r="Y6603" s="2">
        <v>2920</v>
      </c>
      <c r="Z6603" s="19" t="str">
        <f>HYPERLINK("https://ssdweb.co/ssdweb/hd/Vision360.html?d=927052616&amp;zoomslide=1&amp;z=1927052616&amp;ISCONFIRM=0","VIDEO")</f>
        <v>VIDEO</v>
      </c>
      <c r="AA6603" s="19" t="str">
        <f>HYPERLINK("https://ssdweb.co/ssdweb/CERTH/668477313.pdf","CERTI")</f>
        <v>CERTI</v>
      </c>
    </row>
    <row r="6604" spans="1:27" ht="15" x14ac:dyDescent="0.25">
      <c r="A6604" s="2">
        <v>6599</v>
      </c>
      <c r="B6604" s="39">
        <v>925980012</v>
      </c>
      <c r="C6604" s="28" t="str">
        <f>HYPERLINK("https://pld.live/RapDetail.aspx?STONELIST=925980012","DNA")</f>
        <v>DNA</v>
      </c>
      <c r="D6604" s="18" t="s">
        <v>5847</v>
      </c>
      <c r="E6604" s="18" t="s">
        <v>5128</v>
      </c>
      <c r="F6604" s="2" t="s">
        <v>7987</v>
      </c>
      <c r="G6604" s="2" t="s">
        <v>6781</v>
      </c>
      <c r="H6604" s="14">
        <v>0.73</v>
      </c>
      <c r="I6604" s="2" t="s">
        <v>4761</v>
      </c>
      <c r="J6604" s="2" t="s">
        <v>3942</v>
      </c>
      <c r="K6604" s="2" t="s">
        <v>1452</v>
      </c>
      <c r="L6604" s="2" t="s">
        <v>5221</v>
      </c>
      <c r="M6604" s="2" t="s">
        <v>5221</v>
      </c>
      <c r="N6604" s="2" t="s">
        <v>2317</v>
      </c>
      <c r="O6604" s="14">
        <v>3800</v>
      </c>
      <c r="P6604" s="14">
        <v>96.42</v>
      </c>
      <c r="Q6604" s="14">
        <v>136.04</v>
      </c>
      <c r="R6604" s="14">
        <v>99.31</v>
      </c>
      <c r="S6604" s="2" t="s">
        <v>5646</v>
      </c>
      <c r="T6604" s="2">
        <v>1.58</v>
      </c>
      <c r="U6604" s="2">
        <v>61</v>
      </c>
      <c r="V6604" s="2">
        <v>61</v>
      </c>
      <c r="W6604" s="2" t="s">
        <v>7862</v>
      </c>
      <c r="X6604" s="2" t="s">
        <v>6687</v>
      </c>
      <c r="Y6604" s="2">
        <v>2774</v>
      </c>
      <c r="Z6604" s="19" t="str">
        <f>HYPERLINK("https://ssdweb.co/ssdweb/hd/Vision360.html?d=925980012&amp;zoomslide=1&amp;z=1925980012&amp;ISCONFIRM=0","VIDEO")</f>
        <v>VIDEO</v>
      </c>
      <c r="AA6604" s="19" t="str">
        <f>HYPERLINK("https://ssdweb.co/ssdweb/CERTH/629478885.pdf","CERTI")</f>
        <v>CERTI</v>
      </c>
    </row>
    <row r="6605" spans="1:27" ht="15" x14ac:dyDescent="0.25">
      <c r="A6605" s="2">
        <v>6600</v>
      </c>
      <c r="B6605" s="39">
        <v>927150869</v>
      </c>
      <c r="C6605" s="28" t="str">
        <f>HYPERLINK("https://pld.live/RapDetail.aspx?STONELIST=927150869","DNA")</f>
        <v>DNA</v>
      </c>
      <c r="D6605" s="18" t="s">
        <v>5847</v>
      </c>
      <c r="E6605" s="18" t="s">
        <v>5128</v>
      </c>
      <c r="F6605" s="2" t="s">
        <v>7987</v>
      </c>
      <c r="G6605" s="2" t="s">
        <v>6781</v>
      </c>
      <c r="H6605" s="14">
        <v>0.73</v>
      </c>
      <c r="I6605" s="2" t="s">
        <v>4761</v>
      </c>
      <c r="J6605" s="2" t="s">
        <v>3942</v>
      </c>
      <c r="K6605" s="2" t="s">
        <v>1452</v>
      </c>
      <c r="L6605" s="2" t="s">
        <v>5221</v>
      </c>
      <c r="M6605" s="2" t="s">
        <v>5221</v>
      </c>
      <c r="N6605" s="2" t="s">
        <v>2317</v>
      </c>
      <c r="O6605" s="14">
        <v>3800</v>
      </c>
      <c r="P6605" s="14">
        <v>96.37</v>
      </c>
      <c r="Q6605" s="14">
        <v>137.94</v>
      </c>
      <c r="R6605" s="14">
        <v>100.7</v>
      </c>
      <c r="S6605" s="2" t="s">
        <v>88</v>
      </c>
      <c r="T6605" s="2">
        <v>1.58</v>
      </c>
      <c r="U6605" s="2">
        <v>60.4</v>
      </c>
      <c r="V6605" s="2">
        <v>64</v>
      </c>
      <c r="W6605" s="2" t="s">
        <v>7862</v>
      </c>
      <c r="X6605" s="2" t="s">
        <v>6687</v>
      </c>
      <c r="Y6605" s="2">
        <v>2774</v>
      </c>
      <c r="Z6605" s="19" t="str">
        <f>HYPERLINK("https://ssdweb.co/ssdweb/hd/Vision360.html?d=927150869&amp;zoomslide=1&amp;z=1927150869&amp;ISCONFIRM=0","VIDEO")</f>
        <v>VIDEO</v>
      </c>
      <c r="AA6605" s="19" t="str">
        <f>HYPERLINK("https://ssdweb.co/ssdweb/CERTH/668446510.pdf","CERTI")</f>
        <v>CERTI</v>
      </c>
    </row>
    <row r="6606" spans="1:27" ht="15" x14ac:dyDescent="0.25">
      <c r="A6606" s="2">
        <v>6601</v>
      </c>
      <c r="B6606" s="39">
        <v>927092218</v>
      </c>
      <c r="C6606" s="28" t="str">
        <f>HYPERLINK("https://pld.live/RapDetail.aspx?STONELIST=927092218","DNA")</f>
        <v>DNA</v>
      </c>
      <c r="D6606" s="18" t="s">
        <v>5847</v>
      </c>
      <c r="E6606" s="18" t="s">
        <v>5128</v>
      </c>
      <c r="F6606" s="2" t="s">
        <v>7987</v>
      </c>
      <c r="G6606" s="2" t="s">
        <v>6781</v>
      </c>
      <c r="H6606" s="14">
        <v>0.73</v>
      </c>
      <c r="I6606" s="2" t="s">
        <v>4761</v>
      </c>
      <c r="J6606" s="2" t="s">
        <v>3942</v>
      </c>
      <c r="K6606" s="2" t="s">
        <v>1452</v>
      </c>
      <c r="L6606" s="2" t="s">
        <v>5221</v>
      </c>
      <c r="M6606" s="2" t="s">
        <v>5221</v>
      </c>
      <c r="N6606" s="2" t="s">
        <v>2317</v>
      </c>
      <c r="O6606" s="14">
        <v>3800</v>
      </c>
      <c r="P6606" s="14">
        <v>96.37</v>
      </c>
      <c r="Q6606" s="14">
        <v>137.94</v>
      </c>
      <c r="R6606" s="14">
        <v>100.7</v>
      </c>
      <c r="S6606" s="2" t="s">
        <v>4544</v>
      </c>
      <c r="T6606" s="2">
        <v>1.62</v>
      </c>
      <c r="U6606" s="2">
        <v>60</v>
      </c>
      <c r="V6606" s="2">
        <v>62</v>
      </c>
      <c r="W6606" s="2" t="s">
        <v>7862</v>
      </c>
      <c r="X6606" s="2" t="s">
        <v>6687</v>
      </c>
      <c r="Y6606" s="2">
        <v>2774</v>
      </c>
      <c r="Z6606" s="19" t="str">
        <f>HYPERLINK("https://ssdweb.co/ssdweb/hd/Vision360.html?d=927092218&amp;zoomslide=1&amp;z=1927092218&amp;ISCONFIRM=0","VIDEO")</f>
        <v>VIDEO</v>
      </c>
      <c r="AA6606" s="19" t="str">
        <f>HYPERLINK("https://ssdweb.co/ssdweb/CERTH/667408231.pdf","CERTI")</f>
        <v>CERTI</v>
      </c>
    </row>
    <row r="6607" spans="1:27" ht="15" x14ac:dyDescent="0.25">
      <c r="A6607" s="2">
        <v>6602</v>
      </c>
      <c r="B6607" s="39">
        <v>926581135</v>
      </c>
      <c r="C6607" s="28" t="str">
        <f>HYPERLINK("https://pld.live/RapDetail.aspx?STONELIST=926581135","DNA")</f>
        <v>DNA</v>
      </c>
      <c r="D6607" s="18" t="s">
        <v>5847</v>
      </c>
      <c r="E6607" s="18" t="s">
        <v>5128</v>
      </c>
      <c r="F6607" s="2" t="s">
        <v>7987</v>
      </c>
      <c r="G6607" s="2" t="s">
        <v>6781</v>
      </c>
      <c r="H6607" s="14">
        <v>0.72</v>
      </c>
      <c r="I6607" s="2" t="s">
        <v>267</v>
      </c>
      <c r="J6607" s="2" t="s">
        <v>3942</v>
      </c>
      <c r="K6607" s="2" t="s">
        <v>1452</v>
      </c>
      <c r="L6607" s="2" t="s">
        <v>5221</v>
      </c>
      <c r="M6607" s="2" t="s">
        <v>5221</v>
      </c>
      <c r="N6607" s="2" t="s">
        <v>2317</v>
      </c>
      <c r="O6607" s="14">
        <v>4000</v>
      </c>
      <c r="P6607" s="14">
        <v>96.6</v>
      </c>
      <c r="Q6607" s="14">
        <v>136</v>
      </c>
      <c r="R6607" s="14">
        <v>97.92</v>
      </c>
      <c r="S6607" s="2" t="s">
        <v>3419</v>
      </c>
      <c r="T6607" s="2">
        <v>1.56</v>
      </c>
      <c r="U6607" s="2">
        <v>61.8</v>
      </c>
      <c r="V6607" s="2">
        <v>62</v>
      </c>
      <c r="W6607" s="2" t="s">
        <v>7862</v>
      </c>
      <c r="X6607" s="2" t="s">
        <v>6687</v>
      </c>
      <c r="Y6607" s="2">
        <v>2880</v>
      </c>
      <c r="Z6607" s="19" t="str">
        <f>HYPERLINK("https://ssdweb.co/ssdweb/hd/Vision360.html?d=926581135&amp;zoomslide=1&amp;z=1926581135&amp;ISCONFIRM=0","VIDEO")</f>
        <v>VIDEO</v>
      </c>
      <c r="AA6607" s="19" t="str">
        <f>HYPERLINK("https://ssdweb.co/ssdweb/CERTH/646472931.pdf","CERTI")</f>
        <v>CERTI</v>
      </c>
    </row>
    <row r="6608" spans="1:27" ht="15" x14ac:dyDescent="0.25">
      <c r="A6608" s="2">
        <v>6603</v>
      </c>
      <c r="B6608" s="39">
        <v>927000668</v>
      </c>
      <c r="C6608" s="28" t="str">
        <f>HYPERLINK("https://pld.live/RapDetail.aspx?STONELIST=927000668","DNA")</f>
        <v>DNA</v>
      </c>
      <c r="D6608" s="18" t="s">
        <v>5847</v>
      </c>
      <c r="E6608" s="18" t="s">
        <v>2186</v>
      </c>
      <c r="F6608" s="2" t="s">
        <v>7987</v>
      </c>
      <c r="G6608" s="2" t="s">
        <v>6781</v>
      </c>
      <c r="H6608" s="14">
        <v>0.72</v>
      </c>
      <c r="I6608" s="2" t="s">
        <v>267</v>
      </c>
      <c r="J6608" s="2" t="s">
        <v>3942</v>
      </c>
      <c r="K6608" s="2" t="s">
        <v>1452</v>
      </c>
      <c r="L6608" s="2" t="s">
        <v>5221</v>
      </c>
      <c r="M6608" s="2" t="s">
        <v>5221</v>
      </c>
      <c r="N6608" s="2" t="s">
        <v>2317</v>
      </c>
      <c r="O6608" s="14">
        <v>4000</v>
      </c>
      <c r="P6608" s="14">
        <v>96.38</v>
      </c>
      <c r="Q6608" s="14">
        <v>144.80000000000001</v>
      </c>
      <c r="R6608" s="14">
        <v>104.26</v>
      </c>
      <c r="S6608" s="2" t="s">
        <v>1154</v>
      </c>
      <c r="T6608" s="2">
        <v>1.6</v>
      </c>
      <c r="U6608" s="2">
        <v>60</v>
      </c>
      <c r="V6608" s="2">
        <v>64</v>
      </c>
      <c r="W6608" s="2" t="s">
        <v>7862</v>
      </c>
      <c r="X6608" s="2" t="s">
        <v>6687</v>
      </c>
      <c r="Y6608" s="2">
        <v>2880</v>
      </c>
      <c r="Z6608" s="19" t="str">
        <f>HYPERLINK("https://ssdweb.co/ssdweb/hd/Vision360.html?d=927000668&amp;zoomslide=1&amp;z=1927000668&amp;ISCONFIRM=0","VIDEO")</f>
        <v>VIDEO</v>
      </c>
      <c r="AA6608" s="19" t="str">
        <f>HYPERLINK("https://ssdweb.co/ssdweb/CERTH/671477182.pdf","CERTI")</f>
        <v>CERTI</v>
      </c>
    </row>
    <row r="6609" spans="1:27" ht="15" x14ac:dyDescent="0.25">
      <c r="A6609" s="2">
        <v>6604</v>
      </c>
      <c r="B6609" s="39">
        <v>927092581</v>
      </c>
      <c r="C6609" s="28" t="str">
        <f>HYPERLINK("https://pld.live/RapDetail.aspx?STONELIST=927092581","DNA")</f>
        <v>DNA</v>
      </c>
      <c r="D6609" s="18" t="s">
        <v>5847</v>
      </c>
      <c r="E6609" s="18" t="s">
        <v>5128</v>
      </c>
      <c r="F6609" s="2" t="s">
        <v>7987</v>
      </c>
      <c r="G6609" s="2" t="s">
        <v>6781</v>
      </c>
      <c r="H6609" s="14">
        <v>0.72</v>
      </c>
      <c r="I6609" s="2" t="s">
        <v>267</v>
      </c>
      <c r="J6609" s="2" t="s">
        <v>3942</v>
      </c>
      <c r="K6609" s="2" t="s">
        <v>1452</v>
      </c>
      <c r="L6609" s="2" t="s">
        <v>5221</v>
      </c>
      <c r="M6609" s="2" t="s">
        <v>5221</v>
      </c>
      <c r="N6609" s="2" t="s">
        <v>2317</v>
      </c>
      <c r="O6609" s="14">
        <v>4000</v>
      </c>
      <c r="P6609" s="14">
        <v>96.38</v>
      </c>
      <c r="Q6609" s="14">
        <v>144.80000000000001</v>
      </c>
      <c r="R6609" s="14">
        <v>104.26</v>
      </c>
      <c r="S6609" s="2" t="s">
        <v>6679</v>
      </c>
      <c r="T6609" s="2">
        <v>1.54</v>
      </c>
      <c r="U6609" s="2">
        <v>60</v>
      </c>
      <c r="V6609" s="2">
        <v>59</v>
      </c>
      <c r="W6609" s="2" t="s">
        <v>7862</v>
      </c>
      <c r="X6609" s="2" t="s">
        <v>6687</v>
      </c>
      <c r="Y6609" s="2">
        <v>2880</v>
      </c>
      <c r="Z6609" s="19" t="str">
        <f>HYPERLINK("https://ssdweb.co/ssdweb/hd/Vision360.html?d=927092581&amp;zoomslide=1&amp;z=1927092581&amp;ISCONFIRM=0","VIDEO")</f>
        <v>VIDEO</v>
      </c>
      <c r="AA6609" s="19" t="str">
        <f>HYPERLINK("https://ssdweb.co/ssdweb/CERTH/671411169.pdf","CERTI")</f>
        <v>CERTI</v>
      </c>
    </row>
    <row r="6610" spans="1:27" ht="15" x14ac:dyDescent="0.25">
      <c r="A6610" s="2">
        <v>6605</v>
      </c>
      <c r="B6610" s="39">
        <v>927052702</v>
      </c>
      <c r="C6610" s="28" t="str">
        <f>HYPERLINK("https://pld.live/RapDetail.aspx?STONELIST=927052702","DNA")</f>
        <v>DNA</v>
      </c>
      <c r="D6610" s="18" t="s">
        <v>5847</v>
      </c>
      <c r="E6610" s="18" t="s">
        <v>5128</v>
      </c>
      <c r="F6610" s="2" t="s">
        <v>7987</v>
      </c>
      <c r="G6610" s="2" t="s">
        <v>6781</v>
      </c>
      <c r="H6610" s="14">
        <v>0.72</v>
      </c>
      <c r="I6610" s="2" t="s">
        <v>267</v>
      </c>
      <c r="J6610" s="2" t="s">
        <v>3942</v>
      </c>
      <c r="K6610" s="2" t="s">
        <v>1452</v>
      </c>
      <c r="L6610" s="2" t="s">
        <v>5221</v>
      </c>
      <c r="M6610" s="2" t="s">
        <v>5221</v>
      </c>
      <c r="N6610" s="2" t="s">
        <v>2317</v>
      </c>
      <c r="O6610" s="14">
        <v>4000</v>
      </c>
      <c r="P6610" s="14">
        <v>96.38</v>
      </c>
      <c r="Q6610" s="14">
        <v>144.80000000000001</v>
      </c>
      <c r="R6610" s="14">
        <v>104.26</v>
      </c>
      <c r="S6610" s="2" t="s">
        <v>654</v>
      </c>
      <c r="T6610" s="2">
        <v>1.53</v>
      </c>
      <c r="U6610" s="2">
        <v>60.8</v>
      </c>
      <c r="V6610" s="2">
        <v>60</v>
      </c>
      <c r="W6610" s="2" t="s">
        <v>7862</v>
      </c>
      <c r="X6610" s="2" t="s">
        <v>6687</v>
      </c>
      <c r="Y6610" s="2">
        <v>2880</v>
      </c>
      <c r="Z6610" s="19" t="str">
        <f>HYPERLINK("https://ssdweb.co/ssdweb/hd/Vision360.html?d=927052702&amp;zoomslide=1&amp;z=1927052702&amp;ISCONFIRM=0","VIDEO")</f>
        <v>VIDEO</v>
      </c>
      <c r="AA6610" s="19" t="str">
        <f>HYPERLINK("https://ssdweb.co/ssdweb/CERTH/670445140.pdf","CERTI")</f>
        <v>CERTI</v>
      </c>
    </row>
    <row r="6611" spans="1:27" ht="15" x14ac:dyDescent="0.25">
      <c r="A6611" s="2">
        <v>6606</v>
      </c>
      <c r="B6611" s="39">
        <v>927092637</v>
      </c>
      <c r="C6611" s="28" t="str">
        <f>HYPERLINK("https://pld.live/RapDetail.aspx?STONELIST=927092637","DNA")</f>
        <v>DNA</v>
      </c>
      <c r="D6611" s="18" t="s">
        <v>5847</v>
      </c>
      <c r="E6611" s="18" t="s">
        <v>5128</v>
      </c>
      <c r="F6611" s="2" t="s">
        <v>7987</v>
      </c>
      <c r="G6611" s="2" t="s">
        <v>6781</v>
      </c>
      <c r="H6611" s="14">
        <v>0.72</v>
      </c>
      <c r="I6611" s="2" t="s">
        <v>267</v>
      </c>
      <c r="J6611" s="2" t="s">
        <v>3942</v>
      </c>
      <c r="K6611" s="2" t="s">
        <v>1452</v>
      </c>
      <c r="L6611" s="2" t="s">
        <v>5221</v>
      </c>
      <c r="M6611" s="2" t="s">
        <v>5221</v>
      </c>
      <c r="N6611" s="2" t="s">
        <v>2317</v>
      </c>
      <c r="O6611" s="14">
        <v>4000</v>
      </c>
      <c r="P6611" s="14">
        <v>96.38</v>
      </c>
      <c r="Q6611" s="14">
        <v>144.80000000000001</v>
      </c>
      <c r="R6611" s="14">
        <v>104.26</v>
      </c>
      <c r="S6611" s="2" t="s">
        <v>3605</v>
      </c>
      <c r="T6611" s="2">
        <v>1.51</v>
      </c>
      <c r="U6611" s="2">
        <v>59.1</v>
      </c>
      <c r="V6611" s="2">
        <v>61</v>
      </c>
      <c r="W6611" s="2" t="s">
        <v>7862</v>
      </c>
      <c r="X6611" s="2" t="s">
        <v>6687</v>
      </c>
      <c r="Y6611" s="2">
        <v>2880</v>
      </c>
      <c r="Z6611" s="19" t="str">
        <f>HYPERLINK("https://ssdweb.co/ssdweb/hd/Vision360.html?d=927092637&amp;zoomslide=1&amp;z=1927092637&amp;ISCONFIRM=0","VIDEO")</f>
        <v>VIDEO</v>
      </c>
      <c r="AA6611" s="19" t="str">
        <f>HYPERLINK("https://ssdweb.co/ssdweb/CERTH/671477175.pdf","CERTI")</f>
        <v>CERTI</v>
      </c>
    </row>
    <row r="6612" spans="1:27" ht="15" x14ac:dyDescent="0.25">
      <c r="A6612" s="2">
        <v>6607</v>
      </c>
      <c r="B6612" s="39">
        <v>927092619</v>
      </c>
      <c r="C6612" s="28" t="str">
        <f>HYPERLINK("https://pld.live/RapDetail.aspx?STONELIST=927092619","DNA")</f>
        <v>DNA</v>
      </c>
      <c r="D6612" s="18" t="s">
        <v>5847</v>
      </c>
      <c r="E6612" s="18" t="s">
        <v>5128</v>
      </c>
      <c r="F6612" s="2" t="s">
        <v>7987</v>
      </c>
      <c r="G6612" s="2" t="s">
        <v>6781</v>
      </c>
      <c r="H6612" s="14">
        <v>0.72</v>
      </c>
      <c r="I6612" s="2" t="s">
        <v>267</v>
      </c>
      <c r="J6612" s="2" t="s">
        <v>3942</v>
      </c>
      <c r="K6612" s="2" t="s">
        <v>1452</v>
      </c>
      <c r="L6612" s="2" t="s">
        <v>5221</v>
      </c>
      <c r="M6612" s="2" t="s">
        <v>5221</v>
      </c>
      <c r="N6612" s="2" t="s">
        <v>2317</v>
      </c>
      <c r="O6612" s="14">
        <v>4000</v>
      </c>
      <c r="P6612" s="14">
        <v>96.38</v>
      </c>
      <c r="Q6612" s="14">
        <v>144.80000000000001</v>
      </c>
      <c r="R6612" s="14">
        <v>104.26</v>
      </c>
      <c r="S6612" s="2" t="s">
        <v>6737</v>
      </c>
      <c r="T6612" s="2">
        <v>1.56</v>
      </c>
      <c r="U6612" s="2">
        <v>61.1</v>
      </c>
      <c r="V6612" s="2">
        <v>61</v>
      </c>
      <c r="W6612" s="2" t="s">
        <v>7862</v>
      </c>
      <c r="X6612" s="2" t="s">
        <v>6687</v>
      </c>
      <c r="Y6612" s="2">
        <v>2880</v>
      </c>
      <c r="Z6612" s="19" t="str">
        <f>HYPERLINK("https://ssdweb.co/ssdweb/hd/Vision360.html?d=927092619&amp;zoomslide=1&amp;z=1927092619&amp;ISCONFIRM=0","VIDEO")</f>
        <v>VIDEO</v>
      </c>
      <c r="AA6612" s="19" t="str">
        <f>HYPERLINK("https://ssdweb.co/ssdweb/CERTH/671427821.pdf","CERTI")</f>
        <v>CERTI</v>
      </c>
    </row>
    <row r="6613" spans="1:27" ht="15" x14ac:dyDescent="0.25">
      <c r="A6613" s="2">
        <v>6608</v>
      </c>
      <c r="B6613" s="39">
        <v>941130353</v>
      </c>
      <c r="C6613" s="28" t="str">
        <f>HYPERLINK("https://pld.live/RapDetail.aspx?STONELIST=941130353","DNA")</f>
        <v>DNA</v>
      </c>
      <c r="D6613" s="18" t="s">
        <v>5847</v>
      </c>
      <c r="E6613" s="18" t="s">
        <v>2186</v>
      </c>
      <c r="F6613" s="2" t="s">
        <v>7987</v>
      </c>
      <c r="G6613" s="2" t="s">
        <v>6781</v>
      </c>
      <c r="H6613" s="14">
        <v>0.72</v>
      </c>
      <c r="I6613" s="2" t="s">
        <v>267</v>
      </c>
      <c r="J6613" s="2" t="s">
        <v>3942</v>
      </c>
      <c r="K6613" s="2" t="s">
        <v>1452</v>
      </c>
      <c r="L6613" s="2" t="s">
        <v>5221</v>
      </c>
      <c r="M6613" s="2" t="s">
        <v>5721</v>
      </c>
      <c r="N6613" s="2" t="s">
        <v>2317</v>
      </c>
      <c r="O6613" s="14">
        <v>4000</v>
      </c>
      <c r="P6613" s="14">
        <v>96.43</v>
      </c>
      <c r="Q6613" s="14">
        <v>142.80000000000001</v>
      </c>
      <c r="R6613" s="14">
        <v>102.82</v>
      </c>
      <c r="S6613" s="2" t="s">
        <v>6772</v>
      </c>
      <c r="T6613" s="2">
        <v>1.62</v>
      </c>
      <c r="U6613" s="2">
        <v>60.2</v>
      </c>
      <c r="V6613" s="2">
        <v>62</v>
      </c>
      <c r="W6613" s="2" t="s">
        <v>7862</v>
      </c>
      <c r="X6613" s="2" t="s">
        <v>6687</v>
      </c>
      <c r="Y6613" s="2">
        <v>2880</v>
      </c>
      <c r="Z6613" s="19" t="str">
        <f>HYPERLINK("https://ssdweb.co/ssdweb/hd/Vision360.html?d=941130353&amp;zoomslide=1&amp;z=1941130353&amp;ISCONFIRM=0","VIDEO")</f>
        <v>VIDEO</v>
      </c>
      <c r="AA6613" s="19" t="str">
        <f>HYPERLINK("https://ssdweb.co/ssdweb/CERTH/674543019.pdf","CERTI")</f>
        <v>CERTI</v>
      </c>
    </row>
    <row r="6614" spans="1:27" ht="15" x14ac:dyDescent="0.25">
      <c r="A6614" s="2">
        <v>6609</v>
      </c>
      <c r="B6614" s="39">
        <v>927152922</v>
      </c>
      <c r="C6614" s="28" t="str">
        <f>HYPERLINK("https://pld.live/RapDetail.aspx?STONELIST=927152922","DNA")</f>
        <v>DNA</v>
      </c>
      <c r="D6614" s="18" t="s">
        <v>5847</v>
      </c>
      <c r="E6614" s="18" t="s">
        <v>5128</v>
      </c>
      <c r="F6614" s="2" t="s">
        <v>7987</v>
      </c>
      <c r="G6614" s="2" t="s">
        <v>6781</v>
      </c>
      <c r="H6614" s="14">
        <v>0.72</v>
      </c>
      <c r="I6614" s="2" t="s">
        <v>267</v>
      </c>
      <c r="J6614" s="2" t="s">
        <v>3942</v>
      </c>
      <c r="K6614" s="2" t="s">
        <v>1452</v>
      </c>
      <c r="L6614" s="2" t="s">
        <v>5221</v>
      </c>
      <c r="M6614" s="2" t="s">
        <v>5721</v>
      </c>
      <c r="N6614" s="2" t="s">
        <v>2317</v>
      </c>
      <c r="O6614" s="14">
        <v>4000</v>
      </c>
      <c r="P6614" s="14">
        <v>96.43</v>
      </c>
      <c r="Q6614" s="14">
        <v>142.80000000000001</v>
      </c>
      <c r="R6614" s="14">
        <v>102.82</v>
      </c>
      <c r="S6614" s="2" t="s">
        <v>4931</v>
      </c>
      <c r="T6614" s="2">
        <v>1.6</v>
      </c>
      <c r="U6614" s="2">
        <v>59.2</v>
      </c>
      <c r="V6614" s="2">
        <v>63</v>
      </c>
      <c r="W6614" s="2" t="s">
        <v>7862</v>
      </c>
      <c r="X6614" s="2" t="s">
        <v>6687</v>
      </c>
      <c r="Y6614" s="2">
        <v>2880</v>
      </c>
      <c r="Z6614" s="19" t="str">
        <f>HYPERLINK("https://ssdweb.co/ssdweb/hd/Vision360.html?d=927152922&amp;zoomslide=1&amp;z=1927152922&amp;ISCONFIRM=0","VIDEO")</f>
        <v>VIDEO</v>
      </c>
      <c r="AA6614" s="19" t="str">
        <f>HYPERLINK("https://ssdweb.co/ssdweb/CERTH/674504043.pdf","CERTI")</f>
        <v>CERTI</v>
      </c>
    </row>
    <row r="6615" spans="1:27" ht="15" x14ac:dyDescent="0.25">
      <c r="A6615" s="2">
        <v>6610</v>
      </c>
      <c r="B6615" s="39">
        <v>941220208</v>
      </c>
      <c r="C6615" s="28" t="str">
        <f>HYPERLINK("https://pld.live/RapDetail.aspx?STONELIST=941220208","DNA")</f>
        <v>DNA</v>
      </c>
      <c r="D6615" s="18" t="s">
        <v>5847</v>
      </c>
      <c r="E6615" s="18" t="s">
        <v>2186</v>
      </c>
      <c r="F6615" s="2" t="s">
        <v>7987</v>
      </c>
      <c r="G6615" s="2" t="s">
        <v>6781</v>
      </c>
      <c r="H6615" s="14">
        <v>0.72</v>
      </c>
      <c r="I6615" s="2" t="s">
        <v>267</v>
      </c>
      <c r="J6615" s="2" t="s">
        <v>13</v>
      </c>
      <c r="K6615" s="2" t="s">
        <v>1452</v>
      </c>
      <c r="L6615" s="2" t="s">
        <v>5221</v>
      </c>
      <c r="M6615" s="2" t="s">
        <v>5221</v>
      </c>
      <c r="N6615" s="2" t="s">
        <v>2317</v>
      </c>
      <c r="O6615" s="14">
        <v>3700</v>
      </c>
      <c r="P6615" s="14">
        <v>96.22</v>
      </c>
      <c r="Q6615" s="14">
        <v>139.86000000000001</v>
      </c>
      <c r="R6615" s="14">
        <v>100.7</v>
      </c>
      <c r="S6615" s="2" t="s">
        <v>3590</v>
      </c>
      <c r="T6615" s="2">
        <v>1.59</v>
      </c>
      <c r="U6615" s="2">
        <v>61.6</v>
      </c>
      <c r="V6615" s="2">
        <v>59</v>
      </c>
      <c r="W6615" s="2" t="s">
        <v>7862</v>
      </c>
      <c r="X6615" s="2" t="s">
        <v>6687</v>
      </c>
      <c r="Y6615" s="2">
        <v>2664</v>
      </c>
      <c r="Z6615" s="19" t="str">
        <f>HYPERLINK("https://ssdweb.co/ssdweb/hd/Vision360.html?d=941220208&amp;zoomslide=1&amp;z=1941220208&amp;ISCONFIRM=0","VIDEO")</f>
        <v>VIDEO</v>
      </c>
      <c r="AA6615" s="19" t="str">
        <f>HYPERLINK("https://ssdweb.co/ssdweb/CERTH/678550449.pdf","CERTI")</f>
        <v>CERTI</v>
      </c>
    </row>
    <row r="6616" spans="1:27" ht="15" x14ac:dyDescent="0.25">
      <c r="A6616" s="2">
        <v>6611</v>
      </c>
      <c r="B6616" s="39">
        <v>941431294</v>
      </c>
      <c r="C6616" s="28" t="str">
        <f>HYPERLINK("https://pld.live/RapDetail.aspx?STONELIST=941431294","DNA")</f>
        <v>DNA</v>
      </c>
      <c r="D6616" s="18" t="s">
        <v>5847</v>
      </c>
      <c r="E6616" s="18" t="s">
        <v>5128</v>
      </c>
      <c r="F6616" s="2" t="s">
        <v>7987</v>
      </c>
      <c r="G6616" s="2" t="s">
        <v>6781</v>
      </c>
      <c r="H6616" s="14">
        <v>0.72</v>
      </c>
      <c r="I6616" s="2" t="s">
        <v>267</v>
      </c>
      <c r="J6616" s="2" t="s">
        <v>13</v>
      </c>
      <c r="K6616" s="2" t="s">
        <v>1452</v>
      </c>
      <c r="L6616" s="2" t="s">
        <v>5221</v>
      </c>
      <c r="M6616" s="2" t="s">
        <v>5221</v>
      </c>
      <c r="N6616" s="2" t="s">
        <v>2317</v>
      </c>
      <c r="O6616" s="14">
        <v>3700</v>
      </c>
      <c r="P6616" s="14">
        <v>96.22</v>
      </c>
      <c r="Q6616" s="14">
        <v>139.86000000000001</v>
      </c>
      <c r="R6616" s="14">
        <v>100.7</v>
      </c>
      <c r="S6616" s="2" t="s">
        <v>7878</v>
      </c>
      <c r="T6616" s="2">
        <v>1.54</v>
      </c>
      <c r="U6616" s="2">
        <v>60.1</v>
      </c>
      <c r="V6616" s="2">
        <v>61</v>
      </c>
      <c r="W6616" s="2" t="s">
        <v>7862</v>
      </c>
      <c r="X6616" s="2" t="s">
        <v>6687</v>
      </c>
      <c r="Y6616" s="2">
        <v>2664</v>
      </c>
      <c r="Z6616" s="19" t="str">
        <f>HYPERLINK("https://ssdweb.co/ssdweb/hd/Vision360.html?d=941431294&amp;zoomslide=1&amp;z=1941431294&amp;ISCONFIRM=0","VIDEO")</f>
        <v>VIDEO</v>
      </c>
      <c r="AA6616" s="19" t="str">
        <f>HYPERLINK("https://ssdweb.co/ssdweb/CERTH/693519457.pdf","CERTI")</f>
        <v>CERTI</v>
      </c>
    </row>
    <row r="6617" spans="1:27" ht="15" x14ac:dyDescent="0.25">
      <c r="A6617" s="2">
        <v>6612</v>
      </c>
      <c r="B6617" s="39">
        <v>927052712</v>
      </c>
      <c r="C6617" s="28" t="str">
        <f>HYPERLINK("https://pld.live/RapDetail.aspx?STONELIST=927052712","DNA")</f>
        <v>DNA</v>
      </c>
      <c r="D6617" s="18" t="s">
        <v>5847</v>
      </c>
      <c r="E6617" s="18" t="s">
        <v>5128</v>
      </c>
      <c r="F6617" s="2" t="s">
        <v>7987</v>
      </c>
      <c r="G6617" s="2" t="s">
        <v>6781</v>
      </c>
      <c r="H6617" s="14">
        <v>0.72</v>
      </c>
      <c r="I6617" s="2" t="s">
        <v>267</v>
      </c>
      <c r="J6617" s="2" t="s">
        <v>13</v>
      </c>
      <c r="K6617" s="2" t="s">
        <v>1452</v>
      </c>
      <c r="L6617" s="2" t="s">
        <v>5221</v>
      </c>
      <c r="M6617" s="2" t="s">
        <v>5221</v>
      </c>
      <c r="N6617" s="2" t="s">
        <v>2317</v>
      </c>
      <c r="O6617" s="14">
        <v>3700</v>
      </c>
      <c r="P6617" s="14">
        <v>96.22</v>
      </c>
      <c r="Q6617" s="14">
        <v>139.86000000000001</v>
      </c>
      <c r="R6617" s="14">
        <v>100.7</v>
      </c>
      <c r="S6617" s="2" t="s">
        <v>3281</v>
      </c>
      <c r="T6617" s="2">
        <v>1.53</v>
      </c>
      <c r="U6617" s="2">
        <v>62.7</v>
      </c>
      <c r="V6617" s="2">
        <v>60</v>
      </c>
      <c r="W6617" s="2" t="s">
        <v>7862</v>
      </c>
      <c r="X6617" s="2" t="s">
        <v>6687</v>
      </c>
      <c r="Y6617" s="2">
        <v>2664</v>
      </c>
      <c r="Z6617" s="19" t="str">
        <f>HYPERLINK("https://ssdweb.co/ssdweb/hd/Vision360.html?d=927052712&amp;zoomslide=1&amp;z=1927052712&amp;ISCONFIRM=0","VIDEO")</f>
        <v>VIDEO</v>
      </c>
      <c r="AA6617" s="19" t="str">
        <f>HYPERLINK("https://ssdweb.co/ssdweb/CERTH/670445169.pdf","CERTI")</f>
        <v>CERTI</v>
      </c>
    </row>
    <row r="6618" spans="1:27" ht="15" x14ac:dyDescent="0.25">
      <c r="A6618" s="2">
        <v>6613</v>
      </c>
      <c r="B6618" s="39">
        <v>927052721</v>
      </c>
      <c r="C6618" s="28" t="str">
        <f>HYPERLINK("https://pld.live/RapDetail.aspx?STONELIST=927052721","DNA")</f>
        <v>DNA</v>
      </c>
      <c r="D6618" s="18" t="s">
        <v>5847</v>
      </c>
      <c r="E6618" s="18" t="s">
        <v>5128</v>
      </c>
      <c r="F6618" s="2" t="s">
        <v>7987</v>
      </c>
      <c r="G6618" s="2" t="s">
        <v>6781</v>
      </c>
      <c r="H6618" s="14">
        <v>0.72</v>
      </c>
      <c r="I6618" s="2" t="s">
        <v>267</v>
      </c>
      <c r="J6618" s="2" t="s">
        <v>13</v>
      </c>
      <c r="K6618" s="2" t="s">
        <v>1452</v>
      </c>
      <c r="L6618" s="2" t="s">
        <v>5221</v>
      </c>
      <c r="M6618" s="2" t="s">
        <v>5221</v>
      </c>
      <c r="N6618" s="2" t="s">
        <v>2317</v>
      </c>
      <c r="O6618" s="14">
        <v>3700</v>
      </c>
      <c r="P6618" s="14">
        <v>96.22</v>
      </c>
      <c r="Q6618" s="14">
        <v>139.86000000000001</v>
      </c>
      <c r="R6618" s="14">
        <v>100.7</v>
      </c>
      <c r="S6618" s="2" t="s">
        <v>4408</v>
      </c>
      <c r="T6618" s="2">
        <v>1.54</v>
      </c>
      <c r="U6618" s="2">
        <v>60.5</v>
      </c>
      <c r="V6618" s="2">
        <v>62</v>
      </c>
      <c r="W6618" s="2" t="s">
        <v>7862</v>
      </c>
      <c r="X6618" s="2" t="s">
        <v>6687</v>
      </c>
      <c r="Y6618" s="2">
        <v>2664</v>
      </c>
      <c r="Z6618" s="19" t="str">
        <f>HYPERLINK("https://ssdweb.co/ssdweb/hd/Vision360.html?d=927052721&amp;zoomslide=1&amp;z=1927052721&amp;ISCONFIRM=0","VIDEO")</f>
        <v>VIDEO</v>
      </c>
      <c r="AA6618" s="19" t="str">
        <f>HYPERLINK("https://ssdweb.co/ssdweb/CERTH/671411167.pdf","CERTI")</f>
        <v>CERTI</v>
      </c>
    </row>
    <row r="6619" spans="1:27" ht="15" x14ac:dyDescent="0.25">
      <c r="A6619" s="2">
        <v>6614</v>
      </c>
      <c r="B6619" s="39">
        <v>941090664</v>
      </c>
      <c r="C6619" s="28" t="str">
        <f>HYPERLINK("https://pld.live/RapDetail.aspx?STONELIST=941090664","DNA")</f>
        <v>DNA</v>
      </c>
      <c r="D6619" s="18" t="s">
        <v>5847</v>
      </c>
      <c r="E6619" s="18" t="s">
        <v>2186</v>
      </c>
      <c r="F6619" s="2" t="s">
        <v>7987</v>
      </c>
      <c r="G6619" s="2" t="s">
        <v>6781</v>
      </c>
      <c r="H6619" s="14">
        <v>0.72</v>
      </c>
      <c r="I6619" s="2" t="s">
        <v>267</v>
      </c>
      <c r="J6619" s="2" t="s">
        <v>13</v>
      </c>
      <c r="K6619" s="2" t="s">
        <v>1452</v>
      </c>
      <c r="L6619" s="2" t="s">
        <v>5221</v>
      </c>
      <c r="M6619" s="2" t="s">
        <v>5221</v>
      </c>
      <c r="N6619" s="2" t="s">
        <v>2317</v>
      </c>
      <c r="O6619" s="14">
        <v>3700</v>
      </c>
      <c r="P6619" s="14">
        <v>96.22</v>
      </c>
      <c r="Q6619" s="14">
        <v>139.86000000000001</v>
      </c>
      <c r="R6619" s="14">
        <v>100.7</v>
      </c>
      <c r="S6619" s="2" t="s">
        <v>5124</v>
      </c>
      <c r="T6619" s="2">
        <v>1.54</v>
      </c>
      <c r="U6619" s="2">
        <v>61.1</v>
      </c>
      <c r="V6619" s="2">
        <v>61</v>
      </c>
      <c r="W6619" s="2" t="s">
        <v>7862</v>
      </c>
      <c r="X6619" s="2" t="s">
        <v>6687</v>
      </c>
      <c r="Y6619" s="2">
        <v>2664</v>
      </c>
      <c r="Z6619" s="19" t="str">
        <f>HYPERLINK("https://ssdweb.co/ssdweb/hd/Vision360.html?d=941090664&amp;zoomslide=1&amp;z=1941090664&amp;ISCONFIRM=0","VIDEO")</f>
        <v>VIDEO</v>
      </c>
      <c r="AA6619" s="19" t="str">
        <f>HYPERLINK("https://ssdweb.co/ssdweb/CERTH/674543038.pdf","CERTI")</f>
        <v>CERTI</v>
      </c>
    </row>
    <row r="6620" spans="1:27" ht="15" x14ac:dyDescent="0.25">
      <c r="A6620" s="2">
        <v>6615</v>
      </c>
      <c r="B6620" s="39">
        <v>926820103</v>
      </c>
      <c r="C6620" s="28" t="str">
        <f>HYPERLINK("https://pld.live/RapDetail.aspx?STONELIST=926820103","DNA")</f>
        <v>DNA</v>
      </c>
      <c r="D6620" s="18" t="s">
        <v>5847</v>
      </c>
      <c r="E6620" s="18" t="s">
        <v>2186</v>
      </c>
      <c r="F6620" s="2" t="s">
        <v>7987</v>
      </c>
      <c r="G6620" s="2" t="s">
        <v>6781</v>
      </c>
      <c r="H6620" s="14">
        <v>0.72</v>
      </c>
      <c r="I6620" s="2" t="s">
        <v>267</v>
      </c>
      <c r="J6620" s="2" t="s">
        <v>13</v>
      </c>
      <c r="K6620" s="2" t="s">
        <v>1452</v>
      </c>
      <c r="L6620" s="2" t="s">
        <v>5721</v>
      </c>
      <c r="M6620" s="2" t="s">
        <v>5721</v>
      </c>
      <c r="N6620" s="2" t="s">
        <v>2317</v>
      </c>
      <c r="O6620" s="14">
        <v>3700</v>
      </c>
      <c r="P6620" s="14">
        <v>96.43</v>
      </c>
      <c r="Q6620" s="14">
        <v>132.09</v>
      </c>
      <c r="R6620" s="14">
        <v>95.1</v>
      </c>
      <c r="S6620" s="2" t="s">
        <v>3418</v>
      </c>
      <c r="T6620" s="2">
        <v>1.53</v>
      </c>
      <c r="U6620" s="2">
        <v>60.2</v>
      </c>
      <c r="V6620" s="2">
        <v>64</v>
      </c>
      <c r="W6620" s="2" t="s">
        <v>7862</v>
      </c>
      <c r="X6620" s="2" t="s">
        <v>6687</v>
      </c>
      <c r="Y6620" s="2">
        <v>2664</v>
      </c>
      <c r="Z6620" s="19" t="str">
        <f>HYPERLINK("https://ssdweb.co/ssdweb/hd/Vision360.html?d=926820103&amp;zoomslide=1&amp;z=1926820103&amp;ISCONFIRM=0","VIDEO")</f>
        <v>VIDEO</v>
      </c>
      <c r="AA6620" s="19" t="str">
        <f>HYPERLINK("https://ssdweb.co/ssdweb/CERTH/659436943.pdf","CERTI")</f>
        <v>CERTI</v>
      </c>
    </row>
    <row r="6621" spans="1:27" ht="15" x14ac:dyDescent="0.25">
      <c r="A6621" s="2">
        <v>6616</v>
      </c>
      <c r="B6621" s="39">
        <v>926972257</v>
      </c>
      <c r="C6621" s="28" t="str">
        <f>HYPERLINK("https://pld.live/RapDetail.aspx?STONELIST=926972257","DNA")</f>
        <v>DNA</v>
      </c>
      <c r="D6621" s="18" t="s">
        <v>5847</v>
      </c>
      <c r="E6621" s="18" t="s">
        <v>5128</v>
      </c>
      <c r="F6621" s="2" t="s">
        <v>7987</v>
      </c>
      <c r="G6621" s="2" t="s">
        <v>6781</v>
      </c>
      <c r="H6621" s="14">
        <v>0.72</v>
      </c>
      <c r="I6621" s="2" t="s">
        <v>4761</v>
      </c>
      <c r="J6621" s="2" t="s">
        <v>3942</v>
      </c>
      <c r="K6621" s="2" t="s">
        <v>1452</v>
      </c>
      <c r="L6621" s="2" t="s">
        <v>5221</v>
      </c>
      <c r="M6621" s="2" t="s">
        <v>5221</v>
      </c>
      <c r="N6621" s="2" t="s">
        <v>2317</v>
      </c>
      <c r="O6621" s="14">
        <v>3800</v>
      </c>
      <c r="P6621" s="14">
        <v>96.32</v>
      </c>
      <c r="Q6621" s="14">
        <v>139.84</v>
      </c>
      <c r="R6621" s="14">
        <v>100.68</v>
      </c>
      <c r="S6621" s="2" t="s">
        <v>1345</v>
      </c>
      <c r="T6621" s="2">
        <v>1.63</v>
      </c>
      <c r="U6621" s="2">
        <v>60.5</v>
      </c>
      <c r="V6621" s="2">
        <v>62</v>
      </c>
      <c r="W6621" s="2" t="s">
        <v>7862</v>
      </c>
      <c r="X6621" s="2" t="s">
        <v>6687</v>
      </c>
      <c r="Y6621" s="2">
        <v>2736</v>
      </c>
      <c r="Z6621" s="19" t="str">
        <f>HYPERLINK("https://ssdweb.co/ssdweb/hd/Vision360.html?d=926972257&amp;zoomslide=1&amp;z=1926972257&amp;ISCONFIRM=0","VIDEO")</f>
        <v>VIDEO</v>
      </c>
      <c r="AA6621" s="19" t="str">
        <f>HYPERLINK("https://ssdweb.co/ssdweb/CERTH/669458162.pdf","CERTI")</f>
        <v>CERTI</v>
      </c>
    </row>
    <row r="6622" spans="1:27" ht="15" x14ac:dyDescent="0.25">
      <c r="A6622" s="2">
        <v>6617</v>
      </c>
      <c r="B6622" s="39">
        <v>941160583</v>
      </c>
      <c r="C6622" s="28" t="str">
        <f>HYPERLINK("https://pld.live/RapDetail.aspx?STONELIST=941160583","DNA")</f>
        <v>DNA</v>
      </c>
      <c r="D6622" s="18" t="s">
        <v>5847</v>
      </c>
      <c r="E6622" s="18" t="s">
        <v>5128</v>
      </c>
      <c r="F6622" s="2" t="s">
        <v>7987</v>
      </c>
      <c r="G6622" s="2" t="s">
        <v>6781</v>
      </c>
      <c r="H6622" s="14">
        <v>0.72</v>
      </c>
      <c r="I6622" s="2" t="s">
        <v>4761</v>
      </c>
      <c r="J6622" s="2" t="s">
        <v>3942</v>
      </c>
      <c r="K6622" s="2" t="s">
        <v>1452</v>
      </c>
      <c r="L6622" s="2" t="s">
        <v>5221</v>
      </c>
      <c r="M6622" s="2" t="s">
        <v>5221</v>
      </c>
      <c r="N6622" s="2" t="s">
        <v>2317</v>
      </c>
      <c r="O6622" s="14">
        <v>3800</v>
      </c>
      <c r="P6622" s="14">
        <v>96.32</v>
      </c>
      <c r="Q6622" s="14">
        <v>139.84</v>
      </c>
      <c r="R6622" s="14">
        <v>100.68</v>
      </c>
      <c r="S6622" s="2" t="s">
        <v>269</v>
      </c>
      <c r="T6622" s="2">
        <v>1.54</v>
      </c>
      <c r="U6622" s="2">
        <v>61.5</v>
      </c>
      <c r="V6622" s="2">
        <v>62</v>
      </c>
      <c r="W6622" s="2" t="s">
        <v>7862</v>
      </c>
      <c r="X6622" s="2" t="s">
        <v>6687</v>
      </c>
      <c r="Y6622" s="2">
        <v>2736</v>
      </c>
      <c r="Z6622" s="19" t="str">
        <f>HYPERLINK("https://ssdweb.co/ssdweb/hd/Vision360.html?d=941160583&amp;zoomslide=1&amp;z=1941160583&amp;ISCONFIRM=0","VIDEO")</f>
        <v>VIDEO</v>
      </c>
      <c r="AA6622" s="19" t="str">
        <f>HYPERLINK("https://ssdweb.co/ssdweb/CERTH/675504570.pdf","CERTI")</f>
        <v>CERTI</v>
      </c>
    </row>
    <row r="6623" spans="1:27" ht="15" x14ac:dyDescent="0.25">
      <c r="A6623" s="2">
        <v>6618</v>
      </c>
      <c r="B6623" s="39">
        <v>941140792</v>
      </c>
      <c r="C6623" s="28" t="str">
        <f>HYPERLINK("https://pld.live/RapDetail.aspx?STONELIST=941140792","DNA")</f>
        <v>DNA</v>
      </c>
      <c r="D6623" s="18" t="s">
        <v>5847</v>
      </c>
      <c r="E6623" s="18" t="s">
        <v>5128</v>
      </c>
      <c r="F6623" s="2" t="s">
        <v>7987</v>
      </c>
      <c r="G6623" s="2" t="s">
        <v>6781</v>
      </c>
      <c r="H6623" s="14">
        <v>0.72</v>
      </c>
      <c r="I6623" s="2" t="s">
        <v>4761</v>
      </c>
      <c r="J6623" s="2" t="s">
        <v>3942</v>
      </c>
      <c r="K6623" s="2" t="s">
        <v>1452</v>
      </c>
      <c r="L6623" s="2" t="s">
        <v>5221</v>
      </c>
      <c r="M6623" s="2" t="s">
        <v>5221</v>
      </c>
      <c r="N6623" s="2" t="s">
        <v>2317</v>
      </c>
      <c r="O6623" s="14">
        <v>3800</v>
      </c>
      <c r="P6623" s="14">
        <v>96.32</v>
      </c>
      <c r="Q6623" s="14">
        <v>139.84</v>
      </c>
      <c r="R6623" s="14">
        <v>100.68</v>
      </c>
      <c r="S6623" s="2" t="s">
        <v>3744</v>
      </c>
      <c r="T6623" s="2">
        <v>1.53</v>
      </c>
      <c r="U6623" s="2">
        <v>62.5</v>
      </c>
      <c r="V6623" s="2">
        <v>59</v>
      </c>
      <c r="W6623" s="2" t="s">
        <v>7862</v>
      </c>
      <c r="X6623" s="2" t="s">
        <v>6687</v>
      </c>
      <c r="Y6623" s="2">
        <v>2736</v>
      </c>
      <c r="Z6623" s="19" t="str">
        <f>HYPERLINK("https://ssdweb.co/ssdweb/hd/Vision360.html?d=941140792&amp;zoomslide=1&amp;z=1941140792&amp;ISCONFIRM=0","VIDEO")</f>
        <v>VIDEO</v>
      </c>
      <c r="AA6623" s="19" t="str">
        <f>HYPERLINK("https://ssdweb.co/ssdweb/CERTH/675504589.pdf","CERTI")</f>
        <v>CERTI</v>
      </c>
    </row>
    <row r="6624" spans="1:27" ht="15" x14ac:dyDescent="0.25">
      <c r="A6624" s="2">
        <v>6619</v>
      </c>
      <c r="B6624" s="39">
        <v>927052743</v>
      </c>
      <c r="C6624" s="28" t="str">
        <f>HYPERLINK("https://pld.live/RapDetail.aspx?STONELIST=927052743","DNA")</f>
        <v>DNA</v>
      </c>
      <c r="D6624" s="18" t="s">
        <v>5847</v>
      </c>
      <c r="E6624" s="18" t="s">
        <v>5128</v>
      </c>
      <c r="F6624" s="2" t="s">
        <v>7987</v>
      </c>
      <c r="G6624" s="2" t="s">
        <v>6781</v>
      </c>
      <c r="H6624" s="14">
        <v>0.72</v>
      </c>
      <c r="I6624" s="2" t="s">
        <v>4761</v>
      </c>
      <c r="J6624" s="2" t="s">
        <v>3942</v>
      </c>
      <c r="K6624" s="2" t="s">
        <v>1452</v>
      </c>
      <c r="L6624" s="2" t="s">
        <v>5221</v>
      </c>
      <c r="M6624" s="2" t="s">
        <v>5221</v>
      </c>
      <c r="N6624" s="2" t="s">
        <v>2317</v>
      </c>
      <c r="O6624" s="14">
        <v>3800</v>
      </c>
      <c r="P6624" s="14">
        <v>96.32</v>
      </c>
      <c r="Q6624" s="14">
        <v>139.84</v>
      </c>
      <c r="R6624" s="14">
        <v>100.68</v>
      </c>
      <c r="S6624" s="2" t="s">
        <v>7794</v>
      </c>
      <c r="T6624" s="2">
        <v>1.5</v>
      </c>
      <c r="U6624" s="2">
        <v>60.3</v>
      </c>
      <c r="V6624" s="2">
        <v>60</v>
      </c>
      <c r="W6624" s="2" t="s">
        <v>7862</v>
      </c>
      <c r="X6624" s="2" t="s">
        <v>6687</v>
      </c>
      <c r="Y6624" s="2">
        <v>2736</v>
      </c>
      <c r="Z6624" s="19" t="str">
        <f>HYPERLINK("https://ssdweb.co/ssdweb/hd/Vision360.html?d=927052743&amp;zoomslide=1&amp;z=1927052743&amp;ISCONFIRM=0","VIDEO")</f>
        <v>VIDEO</v>
      </c>
      <c r="AA6624" s="19" t="str">
        <f>HYPERLINK("https://ssdweb.co/ssdweb/CERTH/671427976.pdf","CERTI")</f>
        <v>CERTI</v>
      </c>
    </row>
    <row r="6625" spans="1:27" ht="15" x14ac:dyDescent="0.25">
      <c r="A6625" s="2">
        <v>6620</v>
      </c>
      <c r="B6625" s="39">
        <v>927092642</v>
      </c>
      <c r="C6625" s="28" t="str">
        <f>HYPERLINK("https://pld.live/RapDetail.aspx?STONELIST=927092642","DNA")</f>
        <v>DNA</v>
      </c>
      <c r="D6625" s="18" t="s">
        <v>5847</v>
      </c>
      <c r="E6625" s="18" t="s">
        <v>5128</v>
      </c>
      <c r="F6625" s="2" t="s">
        <v>7987</v>
      </c>
      <c r="G6625" s="2" t="s">
        <v>6781</v>
      </c>
      <c r="H6625" s="14">
        <v>0.72</v>
      </c>
      <c r="I6625" s="2" t="s">
        <v>4761</v>
      </c>
      <c r="J6625" s="2" t="s">
        <v>3942</v>
      </c>
      <c r="K6625" s="2" t="s">
        <v>1452</v>
      </c>
      <c r="L6625" s="2" t="s">
        <v>5221</v>
      </c>
      <c r="M6625" s="2" t="s">
        <v>5721</v>
      </c>
      <c r="N6625" s="2" t="s">
        <v>2317</v>
      </c>
      <c r="O6625" s="14">
        <v>3800</v>
      </c>
      <c r="P6625" s="14">
        <v>96.37</v>
      </c>
      <c r="Q6625" s="14">
        <v>137.94</v>
      </c>
      <c r="R6625" s="14">
        <v>99.32</v>
      </c>
      <c r="S6625" s="2" t="s">
        <v>1577</v>
      </c>
      <c r="T6625" s="2">
        <v>1.56</v>
      </c>
      <c r="U6625" s="2">
        <v>62.5</v>
      </c>
      <c r="V6625" s="2">
        <v>60</v>
      </c>
      <c r="W6625" s="2" t="s">
        <v>7862</v>
      </c>
      <c r="X6625" s="2" t="s">
        <v>6687</v>
      </c>
      <c r="Y6625" s="2">
        <v>2736</v>
      </c>
      <c r="Z6625" s="19" t="str">
        <f>HYPERLINK("https://ssdweb.co/ssdweb/hd/Vision360.html?d=927092642&amp;zoomslide=1&amp;z=1927092642&amp;ISCONFIRM=0","VIDEO")</f>
        <v>VIDEO</v>
      </c>
      <c r="AA6625" s="19" t="str">
        <f>HYPERLINK("https://ssdweb.co/ssdweb/CERTH/671477212.pdf","CERTI")</f>
        <v>CERTI</v>
      </c>
    </row>
    <row r="6626" spans="1:27" ht="15" x14ac:dyDescent="0.25">
      <c r="A6626" s="2">
        <v>6621</v>
      </c>
      <c r="B6626" s="39">
        <v>927052732</v>
      </c>
      <c r="C6626" s="28" t="str">
        <f>HYPERLINK("https://pld.live/RapDetail.aspx?STONELIST=927052732","DNA")</f>
        <v>DNA</v>
      </c>
      <c r="D6626" s="18" t="s">
        <v>5847</v>
      </c>
      <c r="E6626" s="18" t="s">
        <v>5128</v>
      </c>
      <c r="F6626" s="2" t="s">
        <v>7987</v>
      </c>
      <c r="G6626" s="2" t="s">
        <v>6781</v>
      </c>
      <c r="H6626" s="14">
        <v>0.72</v>
      </c>
      <c r="I6626" s="2" t="s">
        <v>4761</v>
      </c>
      <c r="J6626" s="2" t="s">
        <v>3942</v>
      </c>
      <c r="K6626" s="2" t="s">
        <v>1452</v>
      </c>
      <c r="L6626" s="2" t="s">
        <v>5221</v>
      </c>
      <c r="M6626" s="2" t="s">
        <v>5721</v>
      </c>
      <c r="N6626" s="2" t="s">
        <v>2317</v>
      </c>
      <c r="O6626" s="14">
        <v>3800</v>
      </c>
      <c r="P6626" s="14">
        <v>96.37</v>
      </c>
      <c r="Q6626" s="14">
        <v>137.94</v>
      </c>
      <c r="R6626" s="14">
        <v>99.32</v>
      </c>
      <c r="S6626" s="2" t="s">
        <v>3662</v>
      </c>
      <c r="T6626" s="2">
        <v>1.54</v>
      </c>
      <c r="U6626" s="2">
        <v>60</v>
      </c>
      <c r="V6626" s="2">
        <v>60</v>
      </c>
      <c r="W6626" s="2" t="s">
        <v>7862</v>
      </c>
      <c r="X6626" s="2" t="s">
        <v>6687</v>
      </c>
      <c r="Y6626" s="2">
        <v>2736</v>
      </c>
      <c r="Z6626" s="19" t="str">
        <f>HYPERLINK("https://ssdweb.co/ssdweb/hd/Vision360.html?d=927052732&amp;zoomslide=1&amp;z=1927052732&amp;ISCONFIRM=0","VIDEO")</f>
        <v>VIDEO</v>
      </c>
      <c r="AA6626" s="19" t="str">
        <f>HYPERLINK("https://ssdweb.co/ssdweb/CERTH/671427945.pdf","CERTI")</f>
        <v>CERTI</v>
      </c>
    </row>
    <row r="6627" spans="1:27" ht="15" x14ac:dyDescent="0.25">
      <c r="A6627" s="2">
        <v>6622</v>
      </c>
      <c r="B6627" s="39">
        <v>941140794</v>
      </c>
      <c r="C6627" s="28" t="str">
        <f>HYPERLINK("https://pld.live/RapDetail.aspx?STONELIST=941140794","DNA")</f>
        <v>DNA</v>
      </c>
      <c r="D6627" s="18" t="s">
        <v>5847</v>
      </c>
      <c r="E6627" s="18" t="s">
        <v>5128</v>
      </c>
      <c r="F6627" s="2" t="s">
        <v>7987</v>
      </c>
      <c r="G6627" s="2" t="s">
        <v>6781</v>
      </c>
      <c r="H6627" s="14">
        <v>0.72</v>
      </c>
      <c r="I6627" s="2" t="s">
        <v>4761</v>
      </c>
      <c r="J6627" s="2" t="s">
        <v>13</v>
      </c>
      <c r="K6627" s="2" t="s">
        <v>1452</v>
      </c>
      <c r="L6627" s="2" t="s">
        <v>5221</v>
      </c>
      <c r="M6627" s="2" t="s">
        <v>5221</v>
      </c>
      <c r="N6627" s="2" t="s">
        <v>2317</v>
      </c>
      <c r="O6627" s="14">
        <v>3500</v>
      </c>
      <c r="P6627" s="14">
        <v>96.14</v>
      </c>
      <c r="Q6627" s="14">
        <v>135.1</v>
      </c>
      <c r="R6627" s="14">
        <v>97.27</v>
      </c>
      <c r="S6627" s="2" t="s">
        <v>5456</v>
      </c>
      <c r="T6627" s="2">
        <v>1.53</v>
      </c>
      <c r="U6627" s="2">
        <v>60.3</v>
      </c>
      <c r="V6627" s="2">
        <v>60</v>
      </c>
      <c r="W6627" s="2" t="s">
        <v>7862</v>
      </c>
      <c r="X6627" s="2" t="s">
        <v>6687</v>
      </c>
      <c r="Y6627" s="2">
        <v>2520</v>
      </c>
      <c r="Z6627" s="19" t="str">
        <f>HYPERLINK("https://ssdweb.co/ssdweb/hd/Vision360.html?d=941140794&amp;zoomslide=1&amp;z=1941140794&amp;ISCONFIRM=0","VIDEO")</f>
        <v>VIDEO</v>
      </c>
      <c r="AA6627" s="19" t="str">
        <f>HYPERLINK("https://ssdweb.co/ssdweb/CERTH/675504591.pdf","CERTI")</f>
        <v>CERTI</v>
      </c>
    </row>
    <row r="6628" spans="1:27" ht="15" x14ac:dyDescent="0.25">
      <c r="A6628" s="2">
        <v>6623</v>
      </c>
      <c r="B6628" s="39">
        <v>927052697</v>
      </c>
      <c r="C6628" s="28" t="str">
        <f>HYPERLINK("https://pld.live/RapDetail.aspx?STONELIST=927052697","DNA")</f>
        <v>DNA</v>
      </c>
      <c r="D6628" s="18" t="s">
        <v>5847</v>
      </c>
      <c r="E6628" s="18" t="s">
        <v>5128</v>
      </c>
      <c r="F6628" s="2" t="s">
        <v>7987</v>
      </c>
      <c r="G6628" s="2" t="s">
        <v>6781</v>
      </c>
      <c r="H6628" s="14">
        <v>0.72</v>
      </c>
      <c r="I6628" s="2" t="s">
        <v>4761</v>
      </c>
      <c r="J6628" s="2" t="s">
        <v>13</v>
      </c>
      <c r="K6628" s="2" t="s">
        <v>1452</v>
      </c>
      <c r="L6628" s="2" t="s">
        <v>5221</v>
      </c>
      <c r="M6628" s="2" t="s">
        <v>5221</v>
      </c>
      <c r="N6628" s="2" t="s">
        <v>2317</v>
      </c>
      <c r="O6628" s="14">
        <v>3500</v>
      </c>
      <c r="P6628" s="14">
        <v>96.14</v>
      </c>
      <c r="Q6628" s="14">
        <v>135.1</v>
      </c>
      <c r="R6628" s="14">
        <v>97.27</v>
      </c>
      <c r="S6628" s="2" t="s">
        <v>3929</v>
      </c>
      <c r="T6628" s="2">
        <v>1.57</v>
      </c>
      <c r="U6628" s="2">
        <v>62.6</v>
      </c>
      <c r="V6628" s="2">
        <v>60</v>
      </c>
      <c r="W6628" s="2" t="s">
        <v>7862</v>
      </c>
      <c r="X6628" s="2" t="s">
        <v>6687</v>
      </c>
      <c r="Y6628" s="2">
        <v>2520</v>
      </c>
      <c r="Z6628" s="19" t="str">
        <f>HYPERLINK("https://ssdweb.co/ssdweb/hd/Vision360.html?d=927052697&amp;zoomslide=1&amp;z=1927052697&amp;ISCONFIRM=0","VIDEO")</f>
        <v>VIDEO</v>
      </c>
      <c r="AA6628" s="19" t="str">
        <f>HYPERLINK("https://ssdweb.co/ssdweb/CERTH/670445156.pdf","CERTI")</f>
        <v>CERTI</v>
      </c>
    </row>
    <row r="6629" spans="1:27" ht="15" x14ac:dyDescent="0.25">
      <c r="A6629" s="2">
        <v>6624</v>
      </c>
      <c r="B6629" s="39">
        <v>927052728</v>
      </c>
      <c r="C6629" s="28" t="str">
        <f>HYPERLINK("https://pld.live/RapDetail.aspx?STONELIST=927052728","DNA")</f>
        <v>DNA</v>
      </c>
      <c r="D6629" s="18" t="s">
        <v>5847</v>
      </c>
      <c r="E6629" s="18" t="s">
        <v>5128</v>
      </c>
      <c r="F6629" s="2" t="s">
        <v>7987</v>
      </c>
      <c r="G6629" s="2" t="s">
        <v>6781</v>
      </c>
      <c r="H6629" s="14">
        <v>0.72</v>
      </c>
      <c r="I6629" s="2" t="s">
        <v>4761</v>
      </c>
      <c r="J6629" s="2" t="s">
        <v>13</v>
      </c>
      <c r="K6629" s="2" t="s">
        <v>1452</v>
      </c>
      <c r="L6629" s="2" t="s">
        <v>5221</v>
      </c>
      <c r="M6629" s="2" t="s">
        <v>5221</v>
      </c>
      <c r="N6629" s="2" t="s">
        <v>2317</v>
      </c>
      <c r="O6629" s="14">
        <v>3500</v>
      </c>
      <c r="P6629" s="14">
        <v>96.14</v>
      </c>
      <c r="Q6629" s="14">
        <v>135.1</v>
      </c>
      <c r="R6629" s="14">
        <v>97.27</v>
      </c>
      <c r="S6629" s="2" t="s">
        <v>5579</v>
      </c>
      <c r="T6629" s="2">
        <v>1.52</v>
      </c>
      <c r="U6629" s="2">
        <v>62.4</v>
      </c>
      <c r="V6629" s="2">
        <v>61</v>
      </c>
      <c r="W6629" s="2" t="s">
        <v>7862</v>
      </c>
      <c r="X6629" s="2" t="s">
        <v>6687</v>
      </c>
      <c r="Y6629" s="2">
        <v>2520</v>
      </c>
      <c r="Z6629" s="19" t="str">
        <f>HYPERLINK("https://ssdweb.co/ssdweb/hd/Vision360.html?d=927052728&amp;zoomslide=1&amp;z=1927052728&amp;ISCONFIRM=0","VIDEO")</f>
        <v>VIDEO</v>
      </c>
      <c r="AA6629" s="19" t="str">
        <f>HYPERLINK("https://ssdweb.co/ssdweb/CERTH/671411149.pdf","CERTI")</f>
        <v>CERTI</v>
      </c>
    </row>
    <row r="6630" spans="1:27" ht="15" x14ac:dyDescent="0.25">
      <c r="A6630" s="2">
        <v>6625</v>
      </c>
      <c r="B6630" s="39">
        <v>927092563</v>
      </c>
      <c r="C6630" s="28" t="str">
        <f>HYPERLINK("https://pld.live/RapDetail.aspx?STONELIST=927092563","DNA")</f>
        <v>DNA</v>
      </c>
      <c r="D6630" s="18" t="s">
        <v>5847</v>
      </c>
      <c r="E6630" s="18" t="s">
        <v>5128</v>
      </c>
      <c r="F6630" s="2" t="s">
        <v>7987</v>
      </c>
      <c r="G6630" s="2" t="s">
        <v>6781</v>
      </c>
      <c r="H6630" s="14">
        <v>0.72</v>
      </c>
      <c r="I6630" s="2" t="s">
        <v>4761</v>
      </c>
      <c r="J6630" s="2" t="s">
        <v>5144</v>
      </c>
      <c r="K6630" s="2" t="s">
        <v>1452</v>
      </c>
      <c r="L6630" s="2" t="s">
        <v>5221</v>
      </c>
      <c r="M6630" s="2" t="s">
        <v>5721</v>
      </c>
      <c r="N6630" s="2" t="s">
        <v>2317</v>
      </c>
      <c r="O6630" s="14">
        <v>3200</v>
      </c>
      <c r="P6630" s="14">
        <v>96</v>
      </c>
      <c r="Q6630" s="14">
        <v>128</v>
      </c>
      <c r="R6630" s="14">
        <v>92.16</v>
      </c>
      <c r="S6630" s="2" t="s">
        <v>6045</v>
      </c>
      <c r="T6630" s="2">
        <v>1.62</v>
      </c>
      <c r="U6630" s="2">
        <v>60</v>
      </c>
      <c r="V6630" s="2">
        <v>60</v>
      </c>
      <c r="W6630" s="2" t="s">
        <v>7862</v>
      </c>
      <c r="X6630" s="2" t="s">
        <v>6687</v>
      </c>
      <c r="Y6630" s="2">
        <v>2304</v>
      </c>
      <c r="Z6630" s="19" t="str">
        <f>HYPERLINK("https://ssdweb.co/ssdweb/hd/Vision360.html?d=927092563&amp;zoomslide=1&amp;z=1927092563&amp;ISCONFIRM=0","VIDEO")</f>
        <v>VIDEO</v>
      </c>
      <c r="AA6630" s="19" t="str">
        <f>HYPERLINK("https://ssdweb.co/ssdweb/CERTH/670445160.pdf","CERTI")</f>
        <v>CERTI</v>
      </c>
    </row>
    <row r="6631" spans="1:27" ht="15" x14ac:dyDescent="0.25">
      <c r="A6631" s="2">
        <v>6626</v>
      </c>
      <c r="B6631" s="39">
        <v>927052694</v>
      </c>
      <c r="C6631" s="28" t="str">
        <f>HYPERLINK("https://pld.live/RapDetail.aspx?STONELIST=927052694","DNA")</f>
        <v>DNA</v>
      </c>
      <c r="D6631" s="18" t="s">
        <v>5847</v>
      </c>
      <c r="E6631" s="18" t="s">
        <v>5128</v>
      </c>
      <c r="F6631" s="2" t="s">
        <v>7987</v>
      </c>
      <c r="G6631" s="2" t="s">
        <v>6781</v>
      </c>
      <c r="H6631" s="14">
        <v>0.72</v>
      </c>
      <c r="I6631" s="2" t="s">
        <v>4699</v>
      </c>
      <c r="J6631" s="2" t="s">
        <v>3942</v>
      </c>
      <c r="K6631" s="2" t="s">
        <v>1452</v>
      </c>
      <c r="L6631" s="2" t="s">
        <v>5221</v>
      </c>
      <c r="M6631" s="2" t="s">
        <v>5221</v>
      </c>
      <c r="N6631" s="2" t="s">
        <v>2317</v>
      </c>
      <c r="O6631" s="14">
        <v>3600</v>
      </c>
      <c r="P6631" s="14">
        <v>96.19</v>
      </c>
      <c r="Q6631" s="14">
        <v>137.16</v>
      </c>
      <c r="R6631" s="14">
        <v>98.76</v>
      </c>
      <c r="S6631" s="2" t="s">
        <v>843</v>
      </c>
      <c r="T6631" s="2">
        <v>1.54</v>
      </c>
      <c r="U6631" s="2">
        <v>60.7</v>
      </c>
      <c r="V6631" s="2">
        <v>60</v>
      </c>
      <c r="W6631" s="2" t="s">
        <v>7862</v>
      </c>
      <c r="X6631" s="2" t="s">
        <v>6687</v>
      </c>
      <c r="Y6631" s="2">
        <v>2592</v>
      </c>
      <c r="Z6631" s="19" t="str">
        <f>HYPERLINK("https://ssdweb.co/ssdweb/hd/Vision360.html?d=927052694&amp;zoomslide=1&amp;z=1927052694&amp;ISCONFIRM=0","VIDEO")</f>
        <v>VIDEO</v>
      </c>
      <c r="AA6631" s="19" t="str">
        <f>HYPERLINK("https://ssdweb.co/ssdweb/CERTH/670445154.pdf","CERTI")</f>
        <v>CERTI</v>
      </c>
    </row>
    <row r="6632" spans="1:27" ht="15" x14ac:dyDescent="0.25">
      <c r="A6632" s="2">
        <v>6627</v>
      </c>
      <c r="B6632" s="39">
        <v>926960871</v>
      </c>
      <c r="C6632" s="28" t="str">
        <f>HYPERLINK("https://pld.live/RapDetail.aspx?STONELIST=926960871","DNA")</f>
        <v>DNA</v>
      </c>
      <c r="D6632" s="18" t="s">
        <v>5847</v>
      </c>
      <c r="E6632" s="18" t="s">
        <v>5128</v>
      </c>
      <c r="F6632" s="2" t="s">
        <v>7987</v>
      </c>
      <c r="G6632" s="2" t="s">
        <v>6781</v>
      </c>
      <c r="H6632" s="14">
        <v>0.71</v>
      </c>
      <c r="I6632" s="2" t="s">
        <v>267</v>
      </c>
      <c r="J6632" s="2" t="s">
        <v>3942</v>
      </c>
      <c r="K6632" s="2" t="s">
        <v>1452</v>
      </c>
      <c r="L6632" s="2" t="s">
        <v>5221</v>
      </c>
      <c r="M6632" s="2" t="s">
        <v>5221</v>
      </c>
      <c r="N6632" s="2" t="s">
        <v>2317</v>
      </c>
      <c r="O6632" s="14">
        <v>4000</v>
      </c>
      <c r="P6632" s="14">
        <v>96.55</v>
      </c>
      <c r="Q6632" s="14">
        <v>138</v>
      </c>
      <c r="R6632" s="14">
        <v>97.98</v>
      </c>
      <c r="S6632" s="2" t="s">
        <v>4255</v>
      </c>
      <c r="T6632" s="2">
        <v>1.54</v>
      </c>
      <c r="U6632" s="2">
        <v>61.4</v>
      </c>
      <c r="V6632" s="2">
        <v>60</v>
      </c>
      <c r="W6632" s="2" t="s">
        <v>7862</v>
      </c>
      <c r="X6632" s="2" t="s">
        <v>6687</v>
      </c>
      <c r="Y6632" s="2">
        <v>2840</v>
      </c>
      <c r="Z6632" s="19" t="str">
        <f>HYPERLINK("https://ssdweb.co/ssdweb/hd/Vision360.html?d=926960871&amp;zoomslide=1&amp;z=1926960871&amp;ISCONFIRM=0","VIDEO")</f>
        <v>VIDEO</v>
      </c>
      <c r="AA6632" s="19" t="str">
        <f>HYPERLINK("https://ssdweb.co/ssdweb/CERTH/668477303.pdf","CERTI")</f>
        <v>CERTI</v>
      </c>
    </row>
    <row r="6633" spans="1:27" ht="15" x14ac:dyDescent="0.25">
      <c r="A6633" s="2">
        <v>6628</v>
      </c>
      <c r="B6633" s="39">
        <v>9412800541</v>
      </c>
      <c r="C6633" s="28" t="str">
        <f>HYPERLINK("https://pld.live/RapDetail.aspx?STONELIST=9412800541","DNA")</f>
        <v>DNA</v>
      </c>
      <c r="D6633" s="18" t="s">
        <v>5847</v>
      </c>
      <c r="E6633" s="18" t="s">
        <v>2186</v>
      </c>
      <c r="F6633" s="2" t="s">
        <v>7987</v>
      </c>
      <c r="G6633" s="2" t="s">
        <v>6781</v>
      </c>
      <c r="H6633" s="14">
        <v>0.71</v>
      </c>
      <c r="I6633" s="2" t="s">
        <v>267</v>
      </c>
      <c r="J6633" s="2" t="s">
        <v>3942</v>
      </c>
      <c r="K6633" s="2" t="s">
        <v>1452</v>
      </c>
      <c r="L6633" s="2" t="s">
        <v>5221</v>
      </c>
      <c r="M6633" s="2" t="s">
        <v>5221</v>
      </c>
      <c r="N6633" s="2" t="s">
        <v>2317</v>
      </c>
      <c r="O6633" s="14">
        <v>4000</v>
      </c>
      <c r="P6633" s="14">
        <v>96.38</v>
      </c>
      <c r="Q6633" s="14">
        <v>144.80000000000001</v>
      </c>
      <c r="R6633" s="14">
        <v>102.81</v>
      </c>
      <c r="S6633" s="2" t="s">
        <v>6941</v>
      </c>
      <c r="T6633" s="2">
        <v>1.64</v>
      </c>
      <c r="U6633" s="2">
        <v>60.3</v>
      </c>
      <c r="V6633" s="2">
        <v>56</v>
      </c>
      <c r="W6633" s="2" t="s">
        <v>7862</v>
      </c>
      <c r="X6633" s="2" t="s">
        <v>6687</v>
      </c>
      <c r="Y6633" s="2">
        <v>2840</v>
      </c>
      <c r="Z6633" s="19" t="str">
        <f>HYPERLINK("https://ssdweb.co/ssdweb/hd/Vision360.html?d=9412800541&amp;zoomslide=1&amp;z=19412800541&amp;ISCONFIRM=0","VIDEO")</f>
        <v>VIDEO</v>
      </c>
      <c r="AA6633" s="19" t="str">
        <f>HYPERLINK("https://ssdweb.co/ssdweb/CERTH/693519441.pdf","CERTI")</f>
        <v>CERTI</v>
      </c>
    </row>
    <row r="6634" spans="1:27" ht="15" x14ac:dyDescent="0.25">
      <c r="A6634" s="2">
        <v>6629</v>
      </c>
      <c r="B6634" s="39">
        <v>926980732</v>
      </c>
      <c r="C6634" s="28" t="str">
        <f>HYPERLINK("https://pld.live/RapDetail.aspx?STONELIST=926980732","DNA")</f>
        <v>DNA</v>
      </c>
      <c r="D6634" s="18" t="s">
        <v>5847</v>
      </c>
      <c r="E6634" s="18" t="s">
        <v>2186</v>
      </c>
      <c r="F6634" s="2" t="s">
        <v>7987</v>
      </c>
      <c r="G6634" s="2" t="s">
        <v>6781</v>
      </c>
      <c r="H6634" s="14">
        <v>0.71</v>
      </c>
      <c r="I6634" s="2" t="s">
        <v>267</v>
      </c>
      <c r="J6634" s="2" t="s">
        <v>3942</v>
      </c>
      <c r="K6634" s="2" t="s">
        <v>1452</v>
      </c>
      <c r="L6634" s="2" t="s">
        <v>5221</v>
      </c>
      <c r="M6634" s="2" t="s">
        <v>5721</v>
      </c>
      <c r="N6634" s="2" t="s">
        <v>2317</v>
      </c>
      <c r="O6634" s="14">
        <v>4000</v>
      </c>
      <c r="P6634" s="14">
        <v>96.43</v>
      </c>
      <c r="Q6634" s="14">
        <v>142.80000000000001</v>
      </c>
      <c r="R6634" s="14">
        <v>101.39</v>
      </c>
      <c r="S6634" s="2" t="s">
        <v>6128</v>
      </c>
      <c r="T6634" s="2">
        <v>1.53</v>
      </c>
      <c r="U6634" s="2">
        <v>60.3</v>
      </c>
      <c r="V6634" s="2">
        <v>60</v>
      </c>
      <c r="W6634" s="2" t="s">
        <v>7862</v>
      </c>
      <c r="X6634" s="2" t="s">
        <v>6687</v>
      </c>
      <c r="Y6634" s="2">
        <v>2840</v>
      </c>
      <c r="Z6634" s="19" t="str">
        <f>HYPERLINK("https://ssdweb.co/ssdweb/hd/Vision360.html?d=926980732&amp;zoomslide=1&amp;z=1926980732&amp;ISCONFIRM=0","VIDEO")</f>
        <v>VIDEO</v>
      </c>
      <c r="AA6634" s="19" t="str">
        <f>HYPERLINK("https://ssdweb.co/ssdweb/CERTH/669458184.pdf","CERTI")</f>
        <v>CERTI</v>
      </c>
    </row>
    <row r="6635" spans="1:27" ht="15" x14ac:dyDescent="0.25">
      <c r="A6635" s="2">
        <v>6630</v>
      </c>
      <c r="B6635" s="39">
        <v>926930936</v>
      </c>
      <c r="C6635" s="28" t="str">
        <f>HYPERLINK("https://pld.live/RapDetail.aspx?STONELIST=926930936","DNA")</f>
        <v>DNA</v>
      </c>
      <c r="D6635" s="18" t="s">
        <v>5847</v>
      </c>
      <c r="E6635" s="18" t="s">
        <v>2186</v>
      </c>
      <c r="F6635" s="2" t="s">
        <v>7987</v>
      </c>
      <c r="G6635" s="2" t="s">
        <v>6781</v>
      </c>
      <c r="H6635" s="14">
        <v>0.71</v>
      </c>
      <c r="I6635" s="2" t="s">
        <v>267</v>
      </c>
      <c r="J6635" s="2" t="s">
        <v>3942</v>
      </c>
      <c r="K6635" s="2" t="s">
        <v>1452</v>
      </c>
      <c r="L6635" s="2" t="s">
        <v>5221</v>
      </c>
      <c r="M6635" s="2" t="s">
        <v>5721</v>
      </c>
      <c r="N6635" s="2" t="s">
        <v>2317</v>
      </c>
      <c r="O6635" s="14">
        <v>4000</v>
      </c>
      <c r="P6635" s="14">
        <v>96.6</v>
      </c>
      <c r="Q6635" s="14">
        <v>136</v>
      </c>
      <c r="R6635" s="14">
        <v>96.56</v>
      </c>
      <c r="S6635" s="2" t="s">
        <v>3246</v>
      </c>
      <c r="T6635" s="2">
        <v>1.55</v>
      </c>
      <c r="U6635" s="2">
        <v>62.2</v>
      </c>
      <c r="V6635" s="2">
        <v>60</v>
      </c>
      <c r="W6635" s="2" t="s">
        <v>7862</v>
      </c>
      <c r="X6635" s="2" t="s">
        <v>6687</v>
      </c>
      <c r="Y6635" s="2">
        <v>2840</v>
      </c>
      <c r="Z6635" s="19" t="str">
        <f>HYPERLINK("https://ssdweb.co/ssdweb/hd/Vision360.html?d=926930936&amp;zoomslide=1&amp;z=1926930936&amp;ISCONFIRM=0","VIDEO")</f>
        <v>VIDEO</v>
      </c>
      <c r="AA6635" s="19" t="str">
        <f>HYPERLINK("https://ssdweb.co/ssdweb/CERTH/666416259.pdf","CERTI")</f>
        <v>CERTI</v>
      </c>
    </row>
    <row r="6636" spans="1:27" ht="15" x14ac:dyDescent="0.25">
      <c r="A6636" s="2">
        <v>6631</v>
      </c>
      <c r="B6636" s="39">
        <v>926910628</v>
      </c>
      <c r="C6636" s="28" t="str">
        <f>HYPERLINK("https://pld.live/RapDetail.aspx?STONELIST=926910628","DNA")</f>
        <v>DNA</v>
      </c>
      <c r="D6636" s="18" t="s">
        <v>5847</v>
      </c>
      <c r="E6636" s="18" t="s">
        <v>2186</v>
      </c>
      <c r="F6636" s="2" t="s">
        <v>7987</v>
      </c>
      <c r="G6636" s="2" t="s">
        <v>6781</v>
      </c>
      <c r="H6636" s="14">
        <v>0.71</v>
      </c>
      <c r="I6636" s="2" t="s">
        <v>267</v>
      </c>
      <c r="J6636" s="2" t="s">
        <v>3942</v>
      </c>
      <c r="K6636" s="2" t="s">
        <v>1452</v>
      </c>
      <c r="L6636" s="2" t="s">
        <v>5221</v>
      </c>
      <c r="M6636" s="2" t="s">
        <v>5721</v>
      </c>
      <c r="N6636" s="2" t="s">
        <v>2317</v>
      </c>
      <c r="O6636" s="14">
        <v>4000</v>
      </c>
      <c r="P6636" s="14">
        <v>96.6</v>
      </c>
      <c r="Q6636" s="14">
        <v>136</v>
      </c>
      <c r="R6636" s="14">
        <v>96.56</v>
      </c>
      <c r="S6636" s="2" t="s">
        <v>5679</v>
      </c>
      <c r="T6636" s="2">
        <v>1.53</v>
      </c>
      <c r="U6636" s="2">
        <v>60.6</v>
      </c>
      <c r="V6636" s="2">
        <v>60</v>
      </c>
      <c r="W6636" s="2" t="s">
        <v>7862</v>
      </c>
      <c r="X6636" s="2" t="s">
        <v>6687</v>
      </c>
      <c r="Y6636" s="2">
        <v>2840</v>
      </c>
      <c r="Z6636" s="19" t="str">
        <f>HYPERLINK("https://ssdweb.co/ssdweb/hd/Vision360.html?d=926910628&amp;zoomslide=1&amp;z=1926910628&amp;ISCONFIRM=0","VIDEO")</f>
        <v>VIDEO</v>
      </c>
      <c r="AA6636" s="19" t="str">
        <f>HYPERLINK("https://ssdweb.co/ssdweb/CERTH/665453091.pdf","CERTI")</f>
        <v>CERTI</v>
      </c>
    </row>
    <row r="6637" spans="1:27" ht="15" x14ac:dyDescent="0.25">
      <c r="A6637" s="2">
        <v>6632</v>
      </c>
      <c r="B6637" s="39">
        <v>9414201282</v>
      </c>
      <c r="C6637" s="28" t="str">
        <f>HYPERLINK("https://pld.live/RapDetail.aspx?STONELIST=9414201282","DNA")</f>
        <v>DNA</v>
      </c>
      <c r="D6637" s="18" t="s">
        <v>5847</v>
      </c>
      <c r="E6637" s="18" t="s">
        <v>5128</v>
      </c>
      <c r="F6637" s="2" t="s">
        <v>7987</v>
      </c>
      <c r="G6637" s="2" t="s">
        <v>6781</v>
      </c>
      <c r="H6637" s="14">
        <v>0.71</v>
      </c>
      <c r="I6637" s="2" t="s">
        <v>267</v>
      </c>
      <c r="J6637" s="2" t="s">
        <v>13</v>
      </c>
      <c r="K6637" s="2" t="s">
        <v>1452</v>
      </c>
      <c r="L6637" s="2" t="s">
        <v>5221</v>
      </c>
      <c r="M6637" s="2" t="s">
        <v>5221</v>
      </c>
      <c r="N6637" s="2" t="s">
        <v>2317</v>
      </c>
      <c r="O6637" s="14">
        <v>3700</v>
      </c>
      <c r="P6637" s="14">
        <v>96.22</v>
      </c>
      <c r="Q6637" s="14">
        <v>139.86000000000001</v>
      </c>
      <c r="R6637" s="14">
        <v>99.3</v>
      </c>
      <c r="S6637" s="2" t="s">
        <v>7196</v>
      </c>
      <c r="T6637" s="2">
        <v>1.55</v>
      </c>
      <c r="U6637" s="2">
        <v>60.1</v>
      </c>
      <c r="V6637" s="2">
        <v>59</v>
      </c>
      <c r="W6637" s="2" t="s">
        <v>7862</v>
      </c>
      <c r="X6637" s="2" t="s">
        <v>6687</v>
      </c>
      <c r="Y6637" s="2">
        <v>2627</v>
      </c>
      <c r="Z6637" s="19" t="str">
        <f>HYPERLINK("https://ssdweb.co/ssdweb/hd/Vision360.html?d=9414201282&amp;zoomslide=1&amp;z=19414201282&amp;ISCONFIRM=0","VIDEO")</f>
        <v>VIDEO</v>
      </c>
      <c r="AA6637" s="19" t="str">
        <f>HYPERLINK("https://ssdweb.co/ssdweb/CERTH/693519456.pdf","CERTI")</f>
        <v>CERTI</v>
      </c>
    </row>
    <row r="6638" spans="1:27" ht="15" x14ac:dyDescent="0.25">
      <c r="A6638" s="2">
        <v>6633</v>
      </c>
      <c r="B6638" s="39">
        <v>941080772</v>
      </c>
      <c r="C6638" s="28" t="str">
        <f>HYPERLINK("https://pld.live/RapDetail.aspx?STONELIST=941080772","DNA")</f>
        <v>DNA</v>
      </c>
      <c r="D6638" s="18" t="s">
        <v>5847</v>
      </c>
      <c r="E6638" s="18" t="s">
        <v>2186</v>
      </c>
      <c r="F6638" s="2" t="s">
        <v>7987</v>
      </c>
      <c r="G6638" s="2" t="s">
        <v>6781</v>
      </c>
      <c r="H6638" s="14">
        <v>0.71</v>
      </c>
      <c r="I6638" s="2" t="s">
        <v>267</v>
      </c>
      <c r="J6638" s="2" t="s">
        <v>13</v>
      </c>
      <c r="K6638" s="2" t="s">
        <v>1452</v>
      </c>
      <c r="L6638" s="2" t="s">
        <v>5221</v>
      </c>
      <c r="M6638" s="2" t="s">
        <v>5221</v>
      </c>
      <c r="N6638" s="2" t="s">
        <v>2317</v>
      </c>
      <c r="O6638" s="14">
        <v>3700</v>
      </c>
      <c r="P6638" s="14">
        <v>96.22</v>
      </c>
      <c r="Q6638" s="14">
        <v>139.86000000000001</v>
      </c>
      <c r="R6638" s="14">
        <v>99.3</v>
      </c>
      <c r="S6638" s="2" t="s">
        <v>6503</v>
      </c>
      <c r="T6638" s="2">
        <v>1.52</v>
      </c>
      <c r="U6638" s="2">
        <v>62.2</v>
      </c>
      <c r="V6638" s="2">
        <v>62</v>
      </c>
      <c r="W6638" s="2" t="s">
        <v>7862</v>
      </c>
      <c r="X6638" s="2" t="s">
        <v>6687</v>
      </c>
      <c r="Y6638" s="2">
        <v>2627</v>
      </c>
      <c r="Z6638" s="19" t="str">
        <f>HYPERLINK("https://ssdweb.co/ssdweb/hd/Vision360.html?d=941080772&amp;zoomslide=1&amp;z=1941080772&amp;ISCONFIRM=0","VIDEO")</f>
        <v>VIDEO</v>
      </c>
      <c r="AA6638" s="19" t="str">
        <f>HYPERLINK("https://ssdweb.co/ssdweb/CERTH/674504036.pdf","CERTI")</f>
        <v>CERTI</v>
      </c>
    </row>
    <row r="6639" spans="1:27" ht="15" x14ac:dyDescent="0.25">
      <c r="A6639" s="2">
        <v>6634</v>
      </c>
      <c r="B6639" s="39">
        <v>941080773</v>
      </c>
      <c r="C6639" s="28" t="str">
        <f>HYPERLINK("https://pld.live/RapDetail.aspx?STONELIST=941080773","DNA")</f>
        <v>DNA</v>
      </c>
      <c r="D6639" s="18" t="s">
        <v>5847</v>
      </c>
      <c r="E6639" s="18" t="s">
        <v>2186</v>
      </c>
      <c r="F6639" s="2" t="s">
        <v>7987</v>
      </c>
      <c r="G6639" s="2" t="s">
        <v>6781</v>
      </c>
      <c r="H6639" s="14">
        <v>0.71</v>
      </c>
      <c r="I6639" s="2" t="s">
        <v>267</v>
      </c>
      <c r="J6639" s="2" t="s">
        <v>13</v>
      </c>
      <c r="K6639" s="2" t="s">
        <v>1452</v>
      </c>
      <c r="L6639" s="2" t="s">
        <v>5221</v>
      </c>
      <c r="M6639" s="2" t="s">
        <v>5221</v>
      </c>
      <c r="N6639" s="2" t="s">
        <v>2317</v>
      </c>
      <c r="O6639" s="14">
        <v>3700</v>
      </c>
      <c r="P6639" s="14">
        <v>96.22</v>
      </c>
      <c r="Q6639" s="14">
        <v>139.86000000000001</v>
      </c>
      <c r="R6639" s="14">
        <v>99.3</v>
      </c>
      <c r="S6639" s="2" t="s">
        <v>796</v>
      </c>
      <c r="T6639" s="2">
        <v>1.52</v>
      </c>
      <c r="U6639" s="2">
        <v>60.2</v>
      </c>
      <c r="V6639" s="2">
        <v>60</v>
      </c>
      <c r="W6639" s="2" t="s">
        <v>7862</v>
      </c>
      <c r="X6639" s="2" t="s">
        <v>6687</v>
      </c>
      <c r="Y6639" s="2">
        <v>2627</v>
      </c>
      <c r="Z6639" s="19" t="str">
        <f>HYPERLINK("https://ssdweb.co/ssdweb/hd/Vision360.html?d=941080773&amp;zoomslide=1&amp;z=1941080773&amp;ISCONFIRM=0","VIDEO")</f>
        <v>VIDEO</v>
      </c>
      <c r="AA6639" s="19" t="str">
        <f>HYPERLINK("https://ssdweb.co/ssdweb/CERTH/674504064.pdf","CERTI")</f>
        <v>CERTI</v>
      </c>
    </row>
    <row r="6640" spans="1:27" ht="15" x14ac:dyDescent="0.25">
      <c r="A6640" s="2">
        <v>6635</v>
      </c>
      <c r="B6640" s="39">
        <v>927052682</v>
      </c>
      <c r="C6640" s="28" t="str">
        <f>HYPERLINK("https://pld.live/RapDetail.aspx?STONELIST=927052682","DNA")</f>
        <v>DNA</v>
      </c>
      <c r="D6640" s="18" t="s">
        <v>5847</v>
      </c>
      <c r="E6640" s="18" t="s">
        <v>5128</v>
      </c>
      <c r="F6640" s="2" t="s">
        <v>7987</v>
      </c>
      <c r="G6640" s="2" t="s">
        <v>6781</v>
      </c>
      <c r="H6640" s="14">
        <v>0.71</v>
      </c>
      <c r="I6640" s="2" t="s">
        <v>267</v>
      </c>
      <c r="J6640" s="2" t="s">
        <v>13</v>
      </c>
      <c r="K6640" s="2" t="s">
        <v>1452</v>
      </c>
      <c r="L6640" s="2" t="s">
        <v>5221</v>
      </c>
      <c r="M6640" s="2" t="s">
        <v>5721</v>
      </c>
      <c r="N6640" s="2" t="s">
        <v>2317</v>
      </c>
      <c r="O6640" s="14">
        <v>3700</v>
      </c>
      <c r="P6640" s="14">
        <v>96.27</v>
      </c>
      <c r="Q6640" s="14">
        <v>138.01</v>
      </c>
      <c r="R6640" s="14">
        <v>97.99</v>
      </c>
      <c r="S6640" s="2" t="s">
        <v>7976</v>
      </c>
      <c r="T6640" s="2">
        <v>1.54</v>
      </c>
      <c r="U6640" s="2">
        <v>62.2</v>
      </c>
      <c r="V6640" s="2">
        <v>63</v>
      </c>
      <c r="W6640" s="2" t="s">
        <v>7862</v>
      </c>
      <c r="X6640" s="2" t="s">
        <v>6687</v>
      </c>
      <c r="Y6640" s="2">
        <v>2627</v>
      </c>
      <c r="Z6640" s="19" t="str">
        <f>HYPERLINK("https://ssdweb.co/ssdweb/hd/Vision360.html?d=927052682&amp;zoomslide=1&amp;z=1927052682&amp;ISCONFIRM=0","VIDEO")</f>
        <v>VIDEO</v>
      </c>
      <c r="AA6640" s="19" t="str">
        <f>HYPERLINK("https://ssdweb.co/ssdweb/CERTH/670445186.pdf","CERTI")</f>
        <v>CERTI</v>
      </c>
    </row>
    <row r="6641" spans="1:27" ht="15" x14ac:dyDescent="0.25">
      <c r="A6641" s="2">
        <v>6636</v>
      </c>
      <c r="B6641" s="39">
        <v>925930313</v>
      </c>
      <c r="C6641" s="28" t="str">
        <f>HYPERLINK("https://pld.live/RapDetail.aspx?STONELIST=925930313","DNA")</f>
        <v>DNA</v>
      </c>
      <c r="D6641" s="18" t="s">
        <v>5847</v>
      </c>
      <c r="E6641" s="18" t="s">
        <v>2186</v>
      </c>
      <c r="F6641" s="2" t="s">
        <v>7987</v>
      </c>
      <c r="G6641" s="2" t="s">
        <v>6781</v>
      </c>
      <c r="H6641" s="14">
        <v>0.71</v>
      </c>
      <c r="I6641" s="2" t="s">
        <v>267</v>
      </c>
      <c r="J6641" s="2" t="s">
        <v>5144</v>
      </c>
      <c r="K6641" s="2" t="s">
        <v>1452</v>
      </c>
      <c r="L6641" s="2" t="s">
        <v>5221</v>
      </c>
      <c r="M6641" s="2" t="s">
        <v>5221</v>
      </c>
      <c r="N6641" s="2" t="s">
        <v>2317</v>
      </c>
      <c r="O6641" s="14">
        <v>3400</v>
      </c>
      <c r="P6641" s="14">
        <v>96.21</v>
      </c>
      <c r="Q6641" s="14">
        <v>128.86000000000001</v>
      </c>
      <c r="R6641" s="14">
        <v>91.49</v>
      </c>
      <c r="S6641" s="2" t="s">
        <v>1561</v>
      </c>
      <c r="T6641" s="2">
        <v>1.64</v>
      </c>
      <c r="U6641" s="2">
        <v>60.2</v>
      </c>
      <c r="V6641" s="2">
        <v>60</v>
      </c>
      <c r="W6641" s="2" t="s">
        <v>7862</v>
      </c>
      <c r="X6641" s="2" t="s">
        <v>6687</v>
      </c>
      <c r="Y6641" s="2">
        <v>2414</v>
      </c>
      <c r="Z6641" s="19" t="str">
        <f>HYPERLINK("https://ssdweb.co/ssdweb/hd/Vision360.html?d=925930313&amp;zoomslide=1&amp;z=1925930313&amp;ISCONFIRM=0","VIDEO")</f>
        <v>VIDEO</v>
      </c>
      <c r="AA6641" s="19" t="str">
        <f>HYPERLINK("https://ssdweb.co/ssdweb/CERTH/631429862.pdf","CERTI")</f>
        <v>CERTI</v>
      </c>
    </row>
    <row r="6642" spans="1:27" ht="15" x14ac:dyDescent="0.25">
      <c r="A6642" s="2">
        <v>6637</v>
      </c>
      <c r="B6642" s="39">
        <v>941140789</v>
      </c>
      <c r="C6642" s="28" t="str">
        <f>HYPERLINK("https://pld.live/RapDetail.aspx?STONELIST=941140789","DNA")</f>
        <v>DNA</v>
      </c>
      <c r="D6642" s="18" t="s">
        <v>5847</v>
      </c>
      <c r="E6642" s="18" t="s">
        <v>5128</v>
      </c>
      <c r="F6642" s="2" t="s">
        <v>7987</v>
      </c>
      <c r="G6642" s="2" t="s">
        <v>6781</v>
      </c>
      <c r="H6642" s="14">
        <v>0.71</v>
      </c>
      <c r="I6642" s="2" t="s">
        <v>4761</v>
      </c>
      <c r="J6642" s="2" t="s">
        <v>6555</v>
      </c>
      <c r="K6642" s="2" t="s">
        <v>1452</v>
      </c>
      <c r="L6642" s="2" t="s">
        <v>5221</v>
      </c>
      <c r="M6642" s="2" t="s">
        <v>5221</v>
      </c>
      <c r="N6642" s="2" t="s">
        <v>2317</v>
      </c>
      <c r="O6642" s="14">
        <v>4000</v>
      </c>
      <c r="P6642" s="14">
        <v>96.18</v>
      </c>
      <c r="Q6642" s="14">
        <v>152.80000000000001</v>
      </c>
      <c r="R6642" s="14">
        <v>108.49</v>
      </c>
      <c r="S6642" s="2" t="s">
        <v>6850</v>
      </c>
      <c r="T6642" s="2">
        <v>1.59</v>
      </c>
      <c r="U6642" s="2">
        <v>60.2</v>
      </c>
      <c r="V6642" s="2">
        <v>63</v>
      </c>
      <c r="W6642" s="2" t="s">
        <v>7862</v>
      </c>
      <c r="X6642" s="2" t="s">
        <v>6687</v>
      </c>
      <c r="Y6642" s="2">
        <v>2840</v>
      </c>
      <c r="Z6642" s="19" t="str">
        <f>HYPERLINK("https://ssdweb.co/ssdweb/hd/Vision360.html?d=941140789&amp;zoomslide=1&amp;z=1941140789&amp;ISCONFIRM=0","VIDEO")</f>
        <v>VIDEO</v>
      </c>
      <c r="AA6642" s="19" t="str">
        <f>HYPERLINK("https://ssdweb.co/ssdweb/CERTH/675504588.pdf","CERTI")</f>
        <v>CERTI</v>
      </c>
    </row>
    <row r="6643" spans="1:27" ht="15" x14ac:dyDescent="0.25">
      <c r="A6643" s="2">
        <v>6638</v>
      </c>
      <c r="B6643" s="39">
        <v>927052708</v>
      </c>
      <c r="C6643" s="28" t="str">
        <f>HYPERLINK("https://pld.live/RapDetail.aspx?STONELIST=927052708","DNA")</f>
        <v>DNA</v>
      </c>
      <c r="D6643" s="18" t="s">
        <v>5847</v>
      </c>
      <c r="E6643" s="18" t="s">
        <v>5128</v>
      </c>
      <c r="F6643" s="2" t="s">
        <v>7987</v>
      </c>
      <c r="G6643" s="2" t="s">
        <v>6781</v>
      </c>
      <c r="H6643" s="14">
        <v>0.71</v>
      </c>
      <c r="I6643" s="2" t="s">
        <v>4761</v>
      </c>
      <c r="J6643" s="2" t="s">
        <v>3942</v>
      </c>
      <c r="K6643" s="2" t="s">
        <v>1452</v>
      </c>
      <c r="L6643" s="2" t="s">
        <v>5221</v>
      </c>
      <c r="M6643" s="2" t="s">
        <v>5221</v>
      </c>
      <c r="N6643" s="2" t="s">
        <v>2317</v>
      </c>
      <c r="O6643" s="14">
        <v>3800</v>
      </c>
      <c r="P6643" s="14">
        <v>96.32</v>
      </c>
      <c r="Q6643" s="14">
        <v>139.84</v>
      </c>
      <c r="R6643" s="14">
        <v>99.29</v>
      </c>
      <c r="S6643" s="2" t="s">
        <v>1012</v>
      </c>
      <c r="T6643" s="2">
        <v>1.52</v>
      </c>
      <c r="U6643" s="2">
        <v>62.5</v>
      </c>
      <c r="V6643" s="2">
        <v>58</v>
      </c>
      <c r="W6643" s="2" t="s">
        <v>7862</v>
      </c>
      <c r="X6643" s="2" t="s">
        <v>6687</v>
      </c>
      <c r="Y6643" s="2">
        <v>2698</v>
      </c>
      <c r="Z6643" s="19" t="str">
        <f>HYPERLINK("https://ssdweb.co/ssdweb/hd/Vision360.html?d=927052708&amp;zoomslide=1&amp;z=1927052708&amp;ISCONFIRM=0","VIDEO")</f>
        <v>VIDEO</v>
      </c>
      <c r="AA6643" s="19" t="str">
        <f>HYPERLINK("https://ssdweb.co/ssdweb/CERTH/670445145.pdf","CERTI")</f>
        <v>CERTI</v>
      </c>
    </row>
    <row r="6644" spans="1:27" ht="15" x14ac:dyDescent="0.25">
      <c r="A6644" s="2">
        <v>6639</v>
      </c>
      <c r="B6644" s="39">
        <v>927092645</v>
      </c>
      <c r="C6644" s="28" t="str">
        <f>HYPERLINK("https://pld.live/RapDetail.aspx?STONELIST=927092645","DNA")</f>
        <v>DNA</v>
      </c>
      <c r="D6644" s="18" t="s">
        <v>5847</v>
      </c>
      <c r="E6644" s="18" t="s">
        <v>5128</v>
      </c>
      <c r="F6644" s="2" t="s">
        <v>7987</v>
      </c>
      <c r="G6644" s="2" t="s">
        <v>6781</v>
      </c>
      <c r="H6644" s="14">
        <v>0.71</v>
      </c>
      <c r="I6644" s="2" t="s">
        <v>4761</v>
      </c>
      <c r="J6644" s="2" t="s">
        <v>3942</v>
      </c>
      <c r="K6644" s="2" t="s">
        <v>1452</v>
      </c>
      <c r="L6644" s="2" t="s">
        <v>5221</v>
      </c>
      <c r="M6644" s="2" t="s">
        <v>5721</v>
      </c>
      <c r="N6644" s="2" t="s">
        <v>2317</v>
      </c>
      <c r="O6644" s="14">
        <v>3800</v>
      </c>
      <c r="P6644" s="14">
        <v>96.37</v>
      </c>
      <c r="Q6644" s="14">
        <v>137.94</v>
      </c>
      <c r="R6644" s="14">
        <v>97.94</v>
      </c>
      <c r="S6644" s="2" t="s">
        <v>2503</v>
      </c>
      <c r="T6644" s="2">
        <v>1.55</v>
      </c>
      <c r="U6644" s="2">
        <v>58</v>
      </c>
      <c r="V6644" s="2">
        <v>62</v>
      </c>
      <c r="W6644" s="2" t="s">
        <v>7862</v>
      </c>
      <c r="X6644" s="2" t="s">
        <v>6687</v>
      </c>
      <c r="Y6644" s="2">
        <v>2698</v>
      </c>
      <c r="Z6644" s="19" t="str">
        <f>HYPERLINK("https://ssdweb.co/ssdweb/hd/Vision360.html?d=927092645&amp;zoomslide=1&amp;z=1927092645&amp;ISCONFIRM=0","VIDEO")</f>
        <v>VIDEO</v>
      </c>
      <c r="AA6644" s="19" t="str">
        <f>HYPERLINK("https://ssdweb.co/ssdweb/CERTH/671477214.pdf","CERTI")</f>
        <v>CERTI</v>
      </c>
    </row>
    <row r="6645" spans="1:27" ht="15" x14ac:dyDescent="0.25">
      <c r="A6645" s="2">
        <v>6640</v>
      </c>
      <c r="B6645" s="39">
        <v>927092609</v>
      </c>
      <c r="C6645" s="28" t="str">
        <f>HYPERLINK("https://pld.live/RapDetail.aspx?STONELIST=927092609","DNA")</f>
        <v>DNA</v>
      </c>
      <c r="D6645" s="18" t="s">
        <v>5847</v>
      </c>
      <c r="E6645" s="18" t="s">
        <v>5128</v>
      </c>
      <c r="F6645" s="2" t="s">
        <v>7987</v>
      </c>
      <c r="G6645" s="2" t="s">
        <v>6781</v>
      </c>
      <c r="H6645" s="14">
        <v>0.71</v>
      </c>
      <c r="I6645" s="2" t="s">
        <v>4761</v>
      </c>
      <c r="J6645" s="2" t="s">
        <v>13</v>
      </c>
      <c r="K6645" s="2" t="s">
        <v>1452</v>
      </c>
      <c r="L6645" s="2" t="s">
        <v>5221</v>
      </c>
      <c r="M6645" s="2" t="s">
        <v>5221</v>
      </c>
      <c r="N6645" s="2" t="s">
        <v>2317</v>
      </c>
      <c r="O6645" s="14">
        <v>3500</v>
      </c>
      <c r="P6645" s="14">
        <v>96.14</v>
      </c>
      <c r="Q6645" s="14">
        <v>135.1</v>
      </c>
      <c r="R6645" s="14">
        <v>95.92</v>
      </c>
      <c r="S6645" s="2" t="s">
        <v>7646</v>
      </c>
      <c r="T6645" s="2">
        <v>1.58</v>
      </c>
      <c r="U6645" s="2">
        <v>60.2</v>
      </c>
      <c r="V6645" s="2">
        <v>62</v>
      </c>
      <c r="W6645" s="2" t="s">
        <v>7862</v>
      </c>
      <c r="X6645" s="2" t="s">
        <v>6687</v>
      </c>
      <c r="Y6645" s="2">
        <v>2485</v>
      </c>
      <c r="Z6645" s="19" t="str">
        <f>HYPERLINK("https://ssdweb.co/ssdweb/hd/Vision360.html?d=927092609&amp;zoomslide=1&amp;z=1927092609&amp;ISCONFIRM=0","VIDEO")</f>
        <v>VIDEO</v>
      </c>
      <c r="AA6645" s="19" t="str">
        <f>HYPERLINK("https://ssdweb.co/ssdweb/CERTH/671427786.pdf","CERTI")</f>
        <v>CERTI</v>
      </c>
    </row>
    <row r="6646" spans="1:27" ht="15" x14ac:dyDescent="0.25">
      <c r="A6646" s="2">
        <v>6641</v>
      </c>
      <c r="B6646" s="39">
        <v>926972246</v>
      </c>
      <c r="C6646" s="28" t="str">
        <f>HYPERLINK("https://pld.live/RapDetail.aspx?STONELIST=926972246","DNA")</f>
        <v>DNA</v>
      </c>
      <c r="D6646" s="18" t="s">
        <v>5847</v>
      </c>
      <c r="E6646" s="18" t="s">
        <v>5128</v>
      </c>
      <c r="F6646" s="2" t="s">
        <v>7987</v>
      </c>
      <c r="G6646" s="2" t="s">
        <v>6781</v>
      </c>
      <c r="H6646" s="14">
        <v>0.71</v>
      </c>
      <c r="I6646" s="2" t="s">
        <v>4699</v>
      </c>
      <c r="J6646" s="2" t="s">
        <v>3942</v>
      </c>
      <c r="K6646" s="2" t="s">
        <v>1452</v>
      </c>
      <c r="L6646" s="2" t="s">
        <v>5221</v>
      </c>
      <c r="M6646" s="2" t="s">
        <v>5221</v>
      </c>
      <c r="N6646" s="2" t="s">
        <v>2317</v>
      </c>
      <c r="O6646" s="14">
        <v>3600</v>
      </c>
      <c r="P6646" s="14">
        <v>96.25</v>
      </c>
      <c r="Q6646" s="14">
        <v>135</v>
      </c>
      <c r="R6646" s="14">
        <v>95.85</v>
      </c>
      <c r="S6646" s="2" t="s">
        <v>7530</v>
      </c>
      <c r="T6646" s="2">
        <v>1.48</v>
      </c>
      <c r="U6646" s="2">
        <v>64.2</v>
      </c>
      <c r="V6646" s="2">
        <v>63</v>
      </c>
      <c r="W6646" s="2" t="s">
        <v>4336</v>
      </c>
      <c r="X6646" s="2" t="s">
        <v>6687</v>
      </c>
      <c r="Y6646" s="2">
        <v>2556</v>
      </c>
      <c r="Z6646" s="19" t="str">
        <f>HYPERLINK("https://ssdweb.co/ssdweb/hd/Vision360.html?d=926972246&amp;zoomslide=1&amp;z=1926972246&amp;ISCONFIRM=0","VIDEO")</f>
        <v>VIDEO</v>
      </c>
      <c r="AA6646" s="19" t="str">
        <f>HYPERLINK("https://ssdweb.co/ssdweb/CERTH/669458159.pdf","CERTI")</f>
        <v>CERTI</v>
      </c>
    </row>
    <row r="6647" spans="1:27" ht="15" x14ac:dyDescent="0.25">
      <c r="A6647" s="2">
        <v>6642</v>
      </c>
      <c r="B6647" s="39">
        <v>927052742</v>
      </c>
      <c r="C6647" s="28" t="str">
        <f>HYPERLINK("https://pld.live/RapDetail.aspx?STONELIST=927052742","DNA")</f>
        <v>DNA</v>
      </c>
      <c r="D6647" s="18" t="s">
        <v>5847</v>
      </c>
      <c r="E6647" s="18" t="s">
        <v>5128</v>
      </c>
      <c r="F6647" s="2" t="s">
        <v>7987</v>
      </c>
      <c r="G6647" s="2" t="s">
        <v>6781</v>
      </c>
      <c r="H6647" s="14">
        <v>0.71</v>
      </c>
      <c r="I6647" s="2" t="s">
        <v>4699</v>
      </c>
      <c r="J6647" s="2" t="s">
        <v>3942</v>
      </c>
      <c r="K6647" s="2" t="s">
        <v>1452</v>
      </c>
      <c r="L6647" s="2" t="s">
        <v>5221</v>
      </c>
      <c r="M6647" s="2" t="s">
        <v>5221</v>
      </c>
      <c r="N6647" s="2" t="s">
        <v>2317</v>
      </c>
      <c r="O6647" s="14">
        <v>3600</v>
      </c>
      <c r="P6647" s="14">
        <v>96.19</v>
      </c>
      <c r="Q6647" s="14">
        <v>137.16</v>
      </c>
      <c r="R6647" s="14">
        <v>97.38</v>
      </c>
      <c r="S6647" s="2" t="s">
        <v>5329</v>
      </c>
      <c r="T6647" s="2">
        <v>1.56</v>
      </c>
      <c r="U6647" s="2">
        <v>59</v>
      </c>
      <c r="V6647" s="2">
        <v>60</v>
      </c>
      <c r="W6647" s="2" t="s">
        <v>7862</v>
      </c>
      <c r="X6647" s="2" t="s">
        <v>6687</v>
      </c>
      <c r="Y6647" s="2">
        <v>2556</v>
      </c>
      <c r="Z6647" s="19" t="str">
        <f>HYPERLINK("https://ssdweb.co/ssdweb/hd/Vision360.html?d=927052742&amp;zoomslide=1&amp;z=1927052742&amp;ISCONFIRM=0","VIDEO")</f>
        <v>VIDEO</v>
      </c>
      <c r="AA6647" s="19" t="str">
        <f>HYPERLINK("https://ssdweb.co/ssdweb/CERTH/671427969.pdf","CERTI")</f>
        <v>CERTI</v>
      </c>
    </row>
    <row r="6648" spans="1:27" ht="15" x14ac:dyDescent="0.25">
      <c r="A6648" s="2">
        <v>6643</v>
      </c>
      <c r="B6648" s="39">
        <v>927052701</v>
      </c>
      <c r="C6648" s="28" t="str">
        <f>HYPERLINK("https://pld.live/RapDetail.aspx?STONELIST=927052701","DNA")</f>
        <v>DNA</v>
      </c>
      <c r="D6648" s="18" t="s">
        <v>5847</v>
      </c>
      <c r="E6648" s="18" t="s">
        <v>5128</v>
      </c>
      <c r="F6648" s="2" t="s">
        <v>7987</v>
      </c>
      <c r="G6648" s="2" t="s">
        <v>6781</v>
      </c>
      <c r="H6648" s="14">
        <v>0.71</v>
      </c>
      <c r="I6648" s="2" t="s">
        <v>4699</v>
      </c>
      <c r="J6648" s="2" t="s">
        <v>13</v>
      </c>
      <c r="K6648" s="2" t="s">
        <v>1452</v>
      </c>
      <c r="L6648" s="2" t="s">
        <v>5221</v>
      </c>
      <c r="M6648" s="2" t="s">
        <v>5721</v>
      </c>
      <c r="N6648" s="2" t="s">
        <v>2317</v>
      </c>
      <c r="O6648" s="14">
        <v>3300</v>
      </c>
      <c r="P6648" s="14">
        <v>96</v>
      </c>
      <c r="Q6648" s="14">
        <v>132</v>
      </c>
      <c r="R6648" s="14">
        <v>93.72</v>
      </c>
      <c r="S6648" s="2" t="s">
        <v>7569</v>
      </c>
      <c r="T6648" s="2">
        <v>1.53</v>
      </c>
      <c r="U6648" s="2">
        <v>61.8</v>
      </c>
      <c r="V6648" s="2">
        <v>57</v>
      </c>
      <c r="W6648" s="2" t="s">
        <v>7862</v>
      </c>
      <c r="X6648" s="2" t="s">
        <v>6687</v>
      </c>
      <c r="Y6648" s="2">
        <v>2343</v>
      </c>
      <c r="Z6648" s="19" t="str">
        <f>HYPERLINK("https://ssdweb.co/ssdweb/hd/Vision360.html?d=927052701&amp;zoomslide=1&amp;z=1927052701&amp;ISCONFIRM=0","VIDEO")</f>
        <v>VIDEO</v>
      </c>
      <c r="AA6648" s="19" t="str">
        <f>HYPERLINK("https://ssdweb.co/ssdweb/CERTH/670445139.pdf","CERTI")</f>
        <v>CERTI</v>
      </c>
    </row>
    <row r="6649" spans="1:27" ht="15" x14ac:dyDescent="0.25">
      <c r="A6649" s="2">
        <v>6644</v>
      </c>
      <c r="B6649" s="39">
        <v>920470457</v>
      </c>
      <c r="C6649" s="28" t="str">
        <f>HYPERLINK("https://pld.live/RapDetail.aspx?STONELIST=920470457","DNA")</f>
        <v>DNA</v>
      </c>
      <c r="D6649" s="18" t="s">
        <v>5847</v>
      </c>
      <c r="E6649" s="18" t="s">
        <v>7909</v>
      </c>
      <c r="F6649" s="2" t="s">
        <v>7987</v>
      </c>
      <c r="G6649" s="2" t="s">
        <v>6781</v>
      </c>
      <c r="H6649" s="14">
        <v>0.71</v>
      </c>
      <c r="I6649" s="2" t="s">
        <v>4699</v>
      </c>
      <c r="J6649" s="2" t="s">
        <v>5144</v>
      </c>
      <c r="K6649" s="2" t="s">
        <v>1452</v>
      </c>
      <c r="L6649" s="2" t="s">
        <v>5721</v>
      </c>
      <c r="M6649" s="2" t="s">
        <v>5221</v>
      </c>
      <c r="N6649" s="2" t="s">
        <v>2317</v>
      </c>
      <c r="O6649" s="14">
        <v>3000</v>
      </c>
      <c r="P6649" s="14">
        <v>95.93</v>
      </c>
      <c r="Q6649" s="14">
        <v>122.1</v>
      </c>
      <c r="R6649" s="14">
        <v>86.69</v>
      </c>
      <c r="S6649" s="2" t="s">
        <v>126</v>
      </c>
      <c r="T6649" s="2">
        <v>1.63</v>
      </c>
      <c r="U6649" s="2">
        <v>60.4</v>
      </c>
      <c r="V6649" s="2">
        <v>66</v>
      </c>
      <c r="W6649" s="2" t="s">
        <v>8016</v>
      </c>
      <c r="X6649" s="2" t="s">
        <v>6687</v>
      </c>
      <c r="Y6649" s="2">
        <v>2130</v>
      </c>
      <c r="Z6649" s="19" t="str">
        <f>HYPERLINK("https://ssdweb.co/ssdweb/hd/Vision360.html?d=920470457&amp;zoomslide=1&amp;z=1920470457&amp;ISCONFIRM=0","VIDEO")</f>
        <v>VIDEO</v>
      </c>
      <c r="AA6649" s="19" t="str">
        <f>HYPERLINK("https://ssdweb.co/ssdweb/CERTH/626427353.pdf","CERTI")</f>
        <v>CERTI</v>
      </c>
    </row>
    <row r="6650" spans="1:27" ht="15" x14ac:dyDescent="0.25">
      <c r="A6650" s="2">
        <v>6645</v>
      </c>
      <c r="B6650" s="39">
        <v>925920472</v>
      </c>
      <c r="C6650" s="28" t="str">
        <f>HYPERLINK("https://pld.live/RapDetail.aspx?STONELIST=925920472","DNA")</f>
        <v>DNA</v>
      </c>
      <c r="D6650" s="18" t="s">
        <v>5847</v>
      </c>
      <c r="E6650" s="18" t="s">
        <v>5128</v>
      </c>
      <c r="F6650" s="2" t="s">
        <v>7987</v>
      </c>
      <c r="G6650" s="2" t="s">
        <v>6781</v>
      </c>
      <c r="H6650" s="14">
        <v>0.7</v>
      </c>
      <c r="I6650" s="2" t="s">
        <v>267</v>
      </c>
      <c r="J6650" s="2" t="s">
        <v>3942</v>
      </c>
      <c r="K6650" s="2" t="s">
        <v>1452</v>
      </c>
      <c r="L6650" s="2" t="s">
        <v>5221</v>
      </c>
      <c r="M6650" s="2" t="s">
        <v>5221</v>
      </c>
      <c r="N6650" s="2" t="s">
        <v>2317</v>
      </c>
      <c r="O6650" s="14">
        <v>4000</v>
      </c>
      <c r="P6650" s="14">
        <v>96.65</v>
      </c>
      <c r="Q6650" s="14">
        <v>134</v>
      </c>
      <c r="R6650" s="14">
        <v>93.8</v>
      </c>
      <c r="S6650" s="2" t="s">
        <v>3218</v>
      </c>
      <c r="T6650" s="2">
        <v>1.48</v>
      </c>
      <c r="U6650" s="2">
        <v>60.3</v>
      </c>
      <c r="V6650" s="2">
        <v>61</v>
      </c>
      <c r="W6650" s="2" t="s">
        <v>7862</v>
      </c>
      <c r="X6650" s="2" t="s">
        <v>6687</v>
      </c>
      <c r="Y6650" s="2">
        <v>2800</v>
      </c>
      <c r="Z6650" s="19" t="str">
        <f>HYPERLINK("https://ssdweb.co/ssdweb/hd/Vision360.html?d=925920472&amp;zoomslide=1&amp;z=1925920472&amp;ISCONFIRM=0","VIDEO")</f>
        <v>VIDEO</v>
      </c>
      <c r="AA6650" s="19" t="str">
        <f>HYPERLINK("https://ssdweb.co/ssdweb/CERTH/627431646.pdf","CERTI")</f>
        <v>CERTI</v>
      </c>
    </row>
    <row r="6651" spans="1:27" ht="15" x14ac:dyDescent="0.25">
      <c r="A6651" s="2">
        <v>6646</v>
      </c>
      <c r="B6651" s="39">
        <v>925960700</v>
      </c>
      <c r="C6651" s="28" t="str">
        <f>HYPERLINK("https://pld.live/RapDetail.aspx?STONELIST=925960700","DNA")</f>
        <v>DNA</v>
      </c>
      <c r="D6651" s="18" t="s">
        <v>5847</v>
      </c>
      <c r="E6651" s="18" t="s">
        <v>5128</v>
      </c>
      <c r="F6651" s="2" t="s">
        <v>7987</v>
      </c>
      <c r="G6651" s="2" t="s">
        <v>6781</v>
      </c>
      <c r="H6651" s="14">
        <v>0.7</v>
      </c>
      <c r="I6651" s="2" t="s">
        <v>267</v>
      </c>
      <c r="J6651" s="2" t="s">
        <v>3942</v>
      </c>
      <c r="K6651" s="2" t="s">
        <v>1452</v>
      </c>
      <c r="L6651" s="2" t="s">
        <v>5221</v>
      </c>
      <c r="M6651" s="2" t="s">
        <v>5221</v>
      </c>
      <c r="N6651" s="2" t="s">
        <v>2317</v>
      </c>
      <c r="O6651" s="14">
        <v>4000</v>
      </c>
      <c r="P6651" s="14">
        <v>96.65</v>
      </c>
      <c r="Q6651" s="14">
        <v>134</v>
      </c>
      <c r="R6651" s="14">
        <v>93.8</v>
      </c>
      <c r="S6651" s="2" t="s">
        <v>1155</v>
      </c>
      <c r="T6651" s="2">
        <v>1.56</v>
      </c>
      <c r="U6651" s="2">
        <v>62.2</v>
      </c>
      <c r="V6651" s="2">
        <v>61</v>
      </c>
      <c r="W6651" s="2" t="s">
        <v>7862</v>
      </c>
      <c r="X6651" s="2" t="s">
        <v>6687</v>
      </c>
      <c r="Y6651" s="2">
        <v>2800</v>
      </c>
      <c r="Z6651" s="19" t="str">
        <f>HYPERLINK("https://ssdweb.co/ssdweb/hd/Vision360.html?d=925960700&amp;zoomslide=1&amp;z=1925960700&amp;ISCONFIRM=0","VIDEO")</f>
        <v>VIDEO</v>
      </c>
      <c r="AA6651" s="19" t="str">
        <f>HYPERLINK("https://ssdweb.co/ssdweb/CERTH/628400772.pdf","CERTI")</f>
        <v>CERTI</v>
      </c>
    </row>
    <row r="6652" spans="1:27" ht="15" x14ac:dyDescent="0.25">
      <c r="A6652" s="2">
        <v>6647</v>
      </c>
      <c r="B6652" s="39">
        <v>941330243</v>
      </c>
      <c r="C6652" s="28" t="str">
        <f>HYPERLINK("https://pld.live/RapDetail.aspx?STONELIST=941330243","DNA")</f>
        <v>DNA</v>
      </c>
      <c r="D6652" s="18" t="s">
        <v>5847</v>
      </c>
      <c r="E6652" s="18" t="s">
        <v>2186</v>
      </c>
      <c r="F6652" s="2" t="s">
        <v>7987</v>
      </c>
      <c r="G6652" s="2" t="s">
        <v>6781</v>
      </c>
      <c r="H6652" s="14">
        <v>0.7</v>
      </c>
      <c r="I6652" s="2" t="s">
        <v>267</v>
      </c>
      <c r="J6652" s="2" t="s">
        <v>3942</v>
      </c>
      <c r="K6652" s="2" t="s">
        <v>1452</v>
      </c>
      <c r="L6652" s="2" t="s">
        <v>5221</v>
      </c>
      <c r="M6652" s="2" t="s">
        <v>5221</v>
      </c>
      <c r="N6652" s="2" t="s">
        <v>2317</v>
      </c>
      <c r="O6652" s="14">
        <v>4000</v>
      </c>
      <c r="P6652" s="14">
        <v>96.38</v>
      </c>
      <c r="Q6652" s="14">
        <v>144.80000000000001</v>
      </c>
      <c r="R6652" s="14">
        <v>101.36</v>
      </c>
      <c r="S6652" s="2" t="s">
        <v>4870</v>
      </c>
      <c r="T6652" s="2">
        <v>1.52</v>
      </c>
      <c r="U6652" s="2">
        <v>60.3</v>
      </c>
      <c r="V6652" s="2">
        <v>61</v>
      </c>
      <c r="W6652" s="2" t="s">
        <v>7862</v>
      </c>
      <c r="X6652" s="2" t="s">
        <v>6687</v>
      </c>
      <c r="Y6652" s="2">
        <v>2800</v>
      </c>
      <c r="Z6652" s="19" t="str">
        <f>HYPERLINK("https://ssdweb.co/ssdweb/hd/Vision360.html?d=941330243&amp;zoomslide=1&amp;z=1941330243&amp;ISCONFIRM=0","VIDEO")</f>
        <v>VIDEO</v>
      </c>
      <c r="AA6652" s="19" t="str">
        <f>HYPERLINK("https://ssdweb.co/ssdweb/CERTH/689586961.pdf","CERTI")</f>
        <v>CERTI</v>
      </c>
    </row>
    <row r="6653" spans="1:27" ht="15" x14ac:dyDescent="0.25">
      <c r="A6653" s="2">
        <v>6648</v>
      </c>
      <c r="B6653" s="39">
        <v>941330569</v>
      </c>
      <c r="C6653" s="28" t="str">
        <f>HYPERLINK("https://pld.live/RapDetail.aspx?STONELIST=941330569","DNA")</f>
        <v>DNA</v>
      </c>
      <c r="D6653" s="18" t="s">
        <v>5847</v>
      </c>
      <c r="E6653" s="18" t="s">
        <v>2186</v>
      </c>
      <c r="F6653" s="2" t="s">
        <v>7987</v>
      </c>
      <c r="G6653" s="2" t="s">
        <v>6781</v>
      </c>
      <c r="H6653" s="14">
        <v>0.7</v>
      </c>
      <c r="I6653" s="2" t="s">
        <v>267</v>
      </c>
      <c r="J6653" s="2" t="s">
        <v>3942</v>
      </c>
      <c r="K6653" s="2" t="s">
        <v>1452</v>
      </c>
      <c r="L6653" s="2" t="s">
        <v>5221</v>
      </c>
      <c r="M6653" s="2" t="s">
        <v>5221</v>
      </c>
      <c r="N6653" s="2" t="s">
        <v>2317</v>
      </c>
      <c r="O6653" s="14">
        <v>4000</v>
      </c>
      <c r="P6653" s="14">
        <v>96.38</v>
      </c>
      <c r="Q6653" s="14">
        <v>144.80000000000001</v>
      </c>
      <c r="R6653" s="14">
        <v>101.36</v>
      </c>
      <c r="S6653" s="2" t="s">
        <v>7138</v>
      </c>
      <c r="T6653" s="2">
        <v>1.53</v>
      </c>
      <c r="U6653" s="2">
        <v>62.8</v>
      </c>
      <c r="V6653" s="2">
        <v>62</v>
      </c>
      <c r="W6653" s="2" t="s">
        <v>7862</v>
      </c>
      <c r="X6653" s="2" t="s">
        <v>6687</v>
      </c>
      <c r="Y6653" s="2">
        <v>2800</v>
      </c>
      <c r="Z6653" s="19" t="str">
        <f>HYPERLINK("https://ssdweb.co/ssdweb/hd/Vision360.html?d=941330569&amp;zoomslide=1&amp;z=1941330569&amp;ISCONFIRM=0","VIDEO")</f>
        <v>VIDEO</v>
      </c>
      <c r="AA6653" s="19" t="str">
        <f>HYPERLINK("https://ssdweb.co/ssdweb/CERTH/691533684.pdf","CERTI")</f>
        <v>CERTI</v>
      </c>
    </row>
    <row r="6654" spans="1:27" ht="15" x14ac:dyDescent="0.25">
      <c r="A6654" s="2">
        <v>6649</v>
      </c>
      <c r="B6654" s="39">
        <v>925851056</v>
      </c>
      <c r="C6654" s="28" t="str">
        <f>HYPERLINK("https://pld.live/RapDetail.aspx?STONELIST=925851056","DNA")</f>
        <v>DNA</v>
      </c>
      <c r="D6654" s="18" t="s">
        <v>5847</v>
      </c>
      <c r="E6654" s="18" t="s">
        <v>5128</v>
      </c>
      <c r="F6654" s="2" t="s">
        <v>7987</v>
      </c>
      <c r="G6654" s="2" t="s">
        <v>6781</v>
      </c>
      <c r="H6654" s="14">
        <v>0.7</v>
      </c>
      <c r="I6654" s="2" t="s">
        <v>267</v>
      </c>
      <c r="J6654" s="2" t="s">
        <v>3942</v>
      </c>
      <c r="K6654" s="2" t="s">
        <v>1452</v>
      </c>
      <c r="L6654" s="2" t="s">
        <v>5221</v>
      </c>
      <c r="M6654" s="2" t="s">
        <v>5721</v>
      </c>
      <c r="N6654" s="2" t="s">
        <v>2317</v>
      </c>
      <c r="O6654" s="14">
        <v>4000</v>
      </c>
      <c r="P6654" s="14">
        <v>96.7</v>
      </c>
      <c r="Q6654" s="14">
        <v>132</v>
      </c>
      <c r="R6654" s="14">
        <v>92.4</v>
      </c>
      <c r="S6654" s="2" t="s">
        <v>6025</v>
      </c>
      <c r="T6654" s="2">
        <v>1.65</v>
      </c>
      <c r="U6654" s="2">
        <v>59.7</v>
      </c>
      <c r="V6654" s="2">
        <v>59</v>
      </c>
      <c r="W6654" s="2" t="s">
        <v>7862</v>
      </c>
      <c r="X6654" s="2" t="s">
        <v>6687</v>
      </c>
      <c r="Y6654" s="2">
        <v>2800</v>
      </c>
      <c r="Z6654" s="19" t="str">
        <f>HYPERLINK("https://ssdweb.co/ssdweb/hd/Vision360.html?d=925851056&amp;zoomslide=1&amp;z=1925851056&amp;ISCONFIRM=0","VIDEO")</f>
        <v>VIDEO</v>
      </c>
      <c r="AA6654" s="19" t="str">
        <f>HYPERLINK("https://ssdweb.co/ssdweb/CERTH/628400742.pdf","CERTI")</f>
        <v>CERTI</v>
      </c>
    </row>
    <row r="6655" spans="1:27" ht="15" x14ac:dyDescent="0.25">
      <c r="A6655" s="2">
        <v>6650</v>
      </c>
      <c r="B6655" s="39">
        <v>927152948</v>
      </c>
      <c r="C6655" s="28" t="str">
        <f>HYPERLINK("https://pld.live/RapDetail.aspx?STONELIST=927152948","DNA")</f>
        <v>DNA</v>
      </c>
      <c r="D6655" s="18" t="s">
        <v>5847</v>
      </c>
      <c r="E6655" s="18" t="s">
        <v>5128</v>
      </c>
      <c r="F6655" s="2" t="s">
        <v>7987</v>
      </c>
      <c r="G6655" s="2" t="s">
        <v>6781</v>
      </c>
      <c r="H6655" s="14">
        <v>0.7</v>
      </c>
      <c r="I6655" s="2" t="s">
        <v>267</v>
      </c>
      <c r="J6655" s="2" t="s">
        <v>3942</v>
      </c>
      <c r="K6655" s="2" t="s">
        <v>1452</v>
      </c>
      <c r="L6655" s="2" t="s">
        <v>5221</v>
      </c>
      <c r="M6655" s="2" t="s">
        <v>5721</v>
      </c>
      <c r="N6655" s="2" t="s">
        <v>2317</v>
      </c>
      <c r="O6655" s="14">
        <v>4000</v>
      </c>
      <c r="P6655" s="14">
        <v>96.43</v>
      </c>
      <c r="Q6655" s="14">
        <v>142.80000000000001</v>
      </c>
      <c r="R6655" s="14">
        <v>99.96</v>
      </c>
      <c r="S6655" s="2" t="s">
        <v>3808</v>
      </c>
      <c r="T6655" s="2">
        <v>1.5</v>
      </c>
      <c r="U6655" s="2">
        <v>61.5</v>
      </c>
      <c r="V6655" s="2">
        <v>58</v>
      </c>
      <c r="W6655" s="2" t="s">
        <v>7862</v>
      </c>
      <c r="X6655" s="2" t="s">
        <v>6687</v>
      </c>
      <c r="Y6655" s="2">
        <v>2800</v>
      </c>
      <c r="Z6655" s="19" t="str">
        <f>HYPERLINK("https://ssdweb.co/ssdweb/hd/Vision360.html?d=927152948&amp;zoomslide=1&amp;z=1927152948&amp;ISCONFIRM=0","VIDEO")</f>
        <v>VIDEO</v>
      </c>
      <c r="AA6655" s="19" t="str">
        <f>HYPERLINK("https://ssdweb.co/ssdweb/CERTH/674543271.pdf","CERTI")</f>
        <v>CERTI</v>
      </c>
    </row>
    <row r="6656" spans="1:27" ht="15" x14ac:dyDescent="0.25">
      <c r="A6656" s="2">
        <v>6651</v>
      </c>
      <c r="B6656" s="39">
        <v>941320806</v>
      </c>
      <c r="C6656" s="28" t="str">
        <f>HYPERLINK("https://pld.live/RapDetail.aspx?STONELIST=941320806","DNA")</f>
        <v>DNA</v>
      </c>
      <c r="D6656" s="18" t="s">
        <v>5847</v>
      </c>
      <c r="E6656" s="18" t="s">
        <v>5128</v>
      </c>
      <c r="F6656" s="2" t="s">
        <v>7987</v>
      </c>
      <c r="G6656" s="2" t="s">
        <v>6781</v>
      </c>
      <c r="H6656" s="14">
        <v>0.7</v>
      </c>
      <c r="I6656" s="2" t="s">
        <v>267</v>
      </c>
      <c r="J6656" s="2" t="s">
        <v>13</v>
      </c>
      <c r="K6656" s="2" t="s">
        <v>1452</v>
      </c>
      <c r="L6656" s="2" t="s">
        <v>5221</v>
      </c>
      <c r="M6656" s="2" t="s">
        <v>5221</v>
      </c>
      <c r="N6656" s="2" t="s">
        <v>2317</v>
      </c>
      <c r="O6656" s="14">
        <v>3700</v>
      </c>
      <c r="P6656" s="14">
        <v>96.22</v>
      </c>
      <c r="Q6656" s="14">
        <v>139.86000000000001</v>
      </c>
      <c r="R6656" s="14">
        <v>97.9</v>
      </c>
      <c r="S6656" s="2" t="s">
        <v>6325</v>
      </c>
      <c r="T6656" s="2">
        <v>1.52</v>
      </c>
      <c r="U6656" s="2">
        <v>60.6</v>
      </c>
      <c r="V6656" s="2">
        <v>60</v>
      </c>
      <c r="W6656" s="2" t="s">
        <v>7862</v>
      </c>
      <c r="X6656" s="2" t="s">
        <v>6687</v>
      </c>
      <c r="Y6656" s="2">
        <v>2590</v>
      </c>
      <c r="Z6656" s="19" t="str">
        <f>HYPERLINK("https://ssdweb.co/ssdweb/hd/Vision360.html?d=941320806&amp;zoomslide=1&amp;z=1941320806&amp;ISCONFIRM=0","VIDEO")</f>
        <v>VIDEO</v>
      </c>
      <c r="AA6656" s="19" t="str">
        <f>HYPERLINK("https://ssdweb.co/ssdweb/CERTH/694508344.pdf","CERTI")</f>
        <v>CERTI</v>
      </c>
    </row>
    <row r="6657" spans="1:27" ht="15" x14ac:dyDescent="0.25">
      <c r="A6657" s="2">
        <v>6652</v>
      </c>
      <c r="B6657" s="39">
        <v>926780043</v>
      </c>
      <c r="C6657" s="28" t="str">
        <f>HYPERLINK("https://pld.live/RapDetail.aspx?STONELIST=926780043","DNA")</f>
        <v>DNA</v>
      </c>
      <c r="D6657" s="18" t="s">
        <v>5847</v>
      </c>
      <c r="E6657" s="18" t="s">
        <v>2186</v>
      </c>
      <c r="F6657" s="2" t="s">
        <v>7987</v>
      </c>
      <c r="G6657" s="2" t="s">
        <v>6781</v>
      </c>
      <c r="H6657" s="14">
        <v>0.7</v>
      </c>
      <c r="I6657" s="2" t="s">
        <v>267</v>
      </c>
      <c r="J6657" s="2" t="s">
        <v>13</v>
      </c>
      <c r="K6657" s="2" t="s">
        <v>1452</v>
      </c>
      <c r="L6657" s="2" t="s">
        <v>5221</v>
      </c>
      <c r="M6657" s="2" t="s">
        <v>5721</v>
      </c>
      <c r="N6657" s="2" t="s">
        <v>2317</v>
      </c>
      <c r="O6657" s="14">
        <v>3700</v>
      </c>
      <c r="P6657" s="14">
        <v>96.38</v>
      </c>
      <c r="Q6657" s="14">
        <v>133.94</v>
      </c>
      <c r="R6657" s="14">
        <v>93.76</v>
      </c>
      <c r="S6657" s="2" t="s">
        <v>2363</v>
      </c>
      <c r="T6657" s="2">
        <v>1.63</v>
      </c>
      <c r="U6657" s="2">
        <v>59.2</v>
      </c>
      <c r="V6657" s="2">
        <v>61</v>
      </c>
      <c r="W6657" s="2" t="s">
        <v>7862</v>
      </c>
      <c r="X6657" s="2" t="s">
        <v>6687</v>
      </c>
      <c r="Y6657" s="2">
        <v>2590</v>
      </c>
      <c r="Z6657" s="19" t="str">
        <f>HYPERLINK("https://ssdweb.co/ssdweb/hd/Vision360.html?d=926780043&amp;zoomslide=1&amp;z=1926780043&amp;ISCONFIRM=0","VIDEO")</f>
        <v>VIDEO</v>
      </c>
      <c r="AA6657" s="19" t="str">
        <f>HYPERLINK("https://ssdweb.co/ssdweb/CERTH/653427356.pdf","CERTI")</f>
        <v>CERTI</v>
      </c>
    </row>
    <row r="6658" spans="1:27" ht="15" x14ac:dyDescent="0.25">
      <c r="A6658" s="2">
        <v>6653</v>
      </c>
      <c r="B6658" s="39">
        <v>927052734</v>
      </c>
      <c r="C6658" s="28" t="str">
        <f>HYPERLINK("https://pld.live/RapDetail.aspx?STONELIST=927052734","DNA")</f>
        <v>DNA</v>
      </c>
      <c r="D6658" s="18" t="s">
        <v>5847</v>
      </c>
      <c r="E6658" s="18" t="s">
        <v>5128</v>
      </c>
      <c r="F6658" s="2" t="s">
        <v>7987</v>
      </c>
      <c r="G6658" s="2" t="s">
        <v>6781</v>
      </c>
      <c r="H6658" s="14">
        <v>0.7</v>
      </c>
      <c r="I6658" s="2" t="s">
        <v>267</v>
      </c>
      <c r="J6658" s="2" t="s">
        <v>13</v>
      </c>
      <c r="K6658" s="2" t="s">
        <v>1452</v>
      </c>
      <c r="L6658" s="2" t="s">
        <v>5721</v>
      </c>
      <c r="M6658" s="2" t="s">
        <v>5721</v>
      </c>
      <c r="N6658" s="2" t="s">
        <v>2317</v>
      </c>
      <c r="O6658" s="14">
        <v>3700</v>
      </c>
      <c r="P6658" s="14">
        <v>96.32</v>
      </c>
      <c r="Q6658" s="14">
        <v>136.16</v>
      </c>
      <c r="R6658" s="14">
        <v>95.31</v>
      </c>
      <c r="S6658" s="2" t="s">
        <v>3407</v>
      </c>
      <c r="T6658" s="2">
        <v>1.51</v>
      </c>
      <c r="U6658" s="2">
        <v>61.4</v>
      </c>
      <c r="V6658" s="2">
        <v>59</v>
      </c>
      <c r="W6658" s="2" t="s">
        <v>7862</v>
      </c>
      <c r="X6658" s="2" t="s">
        <v>6687</v>
      </c>
      <c r="Y6658" s="2">
        <v>2590</v>
      </c>
      <c r="Z6658" s="19" t="str">
        <f>HYPERLINK("https://ssdweb.co/ssdweb/hd/Vision360.html?d=927052734&amp;zoomslide=1&amp;z=1927052734&amp;ISCONFIRM=0","VIDEO")</f>
        <v>VIDEO</v>
      </c>
      <c r="AA6658" s="19" t="str">
        <f>HYPERLINK("https://ssdweb.co/ssdweb/CERTH/671427952.pdf","CERTI")</f>
        <v>CERTI</v>
      </c>
    </row>
    <row r="6659" spans="1:27" ht="15" x14ac:dyDescent="0.25">
      <c r="A6659" s="2">
        <v>6654</v>
      </c>
      <c r="B6659" s="39">
        <v>927052748</v>
      </c>
      <c r="C6659" s="28" t="str">
        <f>HYPERLINK("https://pld.live/RapDetail.aspx?STONELIST=927052748","DNA")</f>
        <v>DNA</v>
      </c>
      <c r="D6659" s="18" t="s">
        <v>5847</v>
      </c>
      <c r="E6659" s="18" t="s">
        <v>5128</v>
      </c>
      <c r="F6659" s="2" t="s">
        <v>7987</v>
      </c>
      <c r="G6659" s="2" t="s">
        <v>6781</v>
      </c>
      <c r="H6659" s="14">
        <v>0.7</v>
      </c>
      <c r="I6659" s="2" t="s">
        <v>267</v>
      </c>
      <c r="J6659" s="2" t="s">
        <v>5144</v>
      </c>
      <c r="K6659" s="2" t="s">
        <v>1452</v>
      </c>
      <c r="L6659" s="2" t="s">
        <v>5221</v>
      </c>
      <c r="M6659" s="2" t="s">
        <v>5221</v>
      </c>
      <c r="N6659" s="2" t="s">
        <v>2317</v>
      </c>
      <c r="O6659" s="14">
        <v>3400</v>
      </c>
      <c r="P6659" s="14">
        <v>96.03</v>
      </c>
      <c r="Q6659" s="14">
        <v>134.97999999999999</v>
      </c>
      <c r="R6659" s="14">
        <v>94.49</v>
      </c>
      <c r="S6659" s="2" t="s">
        <v>3228</v>
      </c>
      <c r="T6659" s="2">
        <v>1.52</v>
      </c>
      <c r="U6659" s="2">
        <v>62</v>
      </c>
      <c r="V6659" s="2">
        <v>61</v>
      </c>
      <c r="W6659" s="2" t="s">
        <v>7862</v>
      </c>
      <c r="X6659" s="2" t="s">
        <v>6687</v>
      </c>
      <c r="Y6659" s="2">
        <v>2380</v>
      </c>
      <c r="Z6659" s="19" t="str">
        <f>HYPERLINK("https://ssdweb.co/ssdweb/hd/Vision360.html?d=927052748&amp;zoomslide=1&amp;z=1927052748&amp;ISCONFIRM=0","VIDEO")</f>
        <v>VIDEO</v>
      </c>
      <c r="AA6659" s="19" t="str">
        <f>HYPERLINK("https://ssdweb.co/ssdweb/CERTH/671477185.pdf","CERTI")</f>
        <v>CERTI</v>
      </c>
    </row>
    <row r="6660" spans="1:27" ht="15" x14ac:dyDescent="0.25">
      <c r="A6660" s="2">
        <v>6655</v>
      </c>
      <c r="B6660" s="39">
        <v>925030283</v>
      </c>
      <c r="C6660" s="28" t="str">
        <f>HYPERLINK("https://pld.live/RapDetail.aspx?STONELIST=925030283","DNA")</f>
        <v>DNA</v>
      </c>
      <c r="D6660" s="18" t="s">
        <v>5847</v>
      </c>
      <c r="E6660" s="18" t="s">
        <v>5128</v>
      </c>
      <c r="F6660" s="2" t="s">
        <v>7987</v>
      </c>
      <c r="G6660" s="2" t="s">
        <v>6781</v>
      </c>
      <c r="H6660" s="14">
        <v>0.7</v>
      </c>
      <c r="I6660" s="2" t="s">
        <v>4761</v>
      </c>
      <c r="J6660" s="2" t="s">
        <v>7032</v>
      </c>
      <c r="K6660" s="2" t="s">
        <v>1452</v>
      </c>
      <c r="L6660" s="2" t="s">
        <v>5221</v>
      </c>
      <c r="M6660" s="2" t="s">
        <v>5721</v>
      </c>
      <c r="N6660" s="2" t="s">
        <v>2317</v>
      </c>
      <c r="O6660" s="14">
        <v>4300</v>
      </c>
      <c r="P6660" s="14">
        <v>95.35</v>
      </c>
      <c r="Q6660" s="14">
        <v>199.95</v>
      </c>
      <c r="R6660" s="14">
        <v>139.97</v>
      </c>
      <c r="S6660" s="2" t="s">
        <v>622</v>
      </c>
      <c r="T6660" s="2">
        <v>1.54</v>
      </c>
      <c r="U6660" s="2">
        <v>61.6</v>
      </c>
      <c r="V6660" s="2">
        <v>59</v>
      </c>
      <c r="W6660" s="2" t="s">
        <v>7862</v>
      </c>
      <c r="X6660" s="2" t="s">
        <v>6687</v>
      </c>
      <c r="Y6660" s="2">
        <v>3010</v>
      </c>
      <c r="Z6660" s="19" t="str">
        <f>HYPERLINK("https://ssdweb.co/ssdweb/hd/Vision360.html?d=925030283&amp;zoomslide=1&amp;z=1925030283&amp;ISCONFIRM=0","VIDEO")</f>
        <v>VIDEO</v>
      </c>
      <c r="AA6660" s="19" t="str">
        <f>HYPERLINK("https://ssdweb.co/ssdweb/CERTH/607357749.pdf","CERTI")</f>
        <v>CERTI</v>
      </c>
    </row>
    <row r="6661" spans="1:27" ht="15" x14ac:dyDescent="0.25">
      <c r="A6661" s="2">
        <v>6656</v>
      </c>
      <c r="B6661" s="39">
        <v>926972244</v>
      </c>
      <c r="C6661" s="28" t="str">
        <f>HYPERLINK("https://pld.live/RapDetail.aspx?STONELIST=926972244","DNA")</f>
        <v>DNA</v>
      </c>
      <c r="D6661" s="18" t="s">
        <v>5847</v>
      </c>
      <c r="E6661" s="18" t="s">
        <v>5128</v>
      </c>
      <c r="F6661" s="2" t="s">
        <v>7987</v>
      </c>
      <c r="G6661" s="2" t="s">
        <v>6781</v>
      </c>
      <c r="H6661" s="14">
        <v>0.7</v>
      </c>
      <c r="I6661" s="2" t="s">
        <v>4761</v>
      </c>
      <c r="J6661" s="2" t="s">
        <v>3942</v>
      </c>
      <c r="K6661" s="2" t="s">
        <v>1452</v>
      </c>
      <c r="L6661" s="2" t="s">
        <v>5221</v>
      </c>
      <c r="M6661" s="2" t="s">
        <v>5221</v>
      </c>
      <c r="N6661" s="2" t="s">
        <v>2317</v>
      </c>
      <c r="O6661" s="14">
        <v>3800</v>
      </c>
      <c r="P6661" s="14">
        <v>96.32</v>
      </c>
      <c r="Q6661" s="14">
        <v>139.84</v>
      </c>
      <c r="R6661" s="14">
        <v>97.89</v>
      </c>
      <c r="S6661" s="2" t="s">
        <v>3886</v>
      </c>
      <c r="T6661" s="2">
        <v>1.49</v>
      </c>
      <c r="U6661" s="2">
        <v>62.2</v>
      </c>
      <c r="V6661" s="2">
        <v>62</v>
      </c>
      <c r="W6661" s="2" t="s">
        <v>7862</v>
      </c>
      <c r="X6661" s="2" t="s">
        <v>6687</v>
      </c>
      <c r="Y6661" s="2">
        <v>2660</v>
      </c>
      <c r="Z6661" s="19" t="str">
        <f>HYPERLINK("https://ssdweb.co/ssdweb/hd/Vision360.html?d=926972244&amp;zoomslide=1&amp;z=1926972244&amp;ISCONFIRM=0","VIDEO")</f>
        <v>VIDEO</v>
      </c>
      <c r="AA6661" s="19" t="str">
        <f>HYPERLINK("https://ssdweb.co/ssdweb/CERTH/669458157.pdf","CERTI")</f>
        <v>CERTI</v>
      </c>
    </row>
    <row r="6662" spans="1:27" ht="15" x14ac:dyDescent="0.25">
      <c r="A6662" s="2">
        <v>6657</v>
      </c>
      <c r="B6662" s="39">
        <v>927092604</v>
      </c>
      <c r="C6662" s="28" t="str">
        <f>HYPERLINK("https://pld.live/RapDetail.aspx?STONELIST=927092604","DNA")</f>
        <v>DNA</v>
      </c>
      <c r="D6662" s="18" t="s">
        <v>5847</v>
      </c>
      <c r="E6662" s="18" t="s">
        <v>5128</v>
      </c>
      <c r="F6662" s="2" t="s">
        <v>7987</v>
      </c>
      <c r="G6662" s="2" t="s">
        <v>6781</v>
      </c>
      <c r="H6662" s="14">
        <v>0.7</v>
      </c>
      <c r="I6662" s="2" t="s">
        <v>4761</v>
      </c>
      <c r="J6662" s="2" t="s">
        <v>3942</v>
      </c>
      <c r="K6662" s="2" t="s">
        <v>1452</v>
      </c>
      <c r="L6662" s="2" t="s">
        <v>5221</v>
      </c>
      <c r="M6662" s="2" t="s">
        <v>5221</v>
      </c>
      <c r="N6662" s="2" t="s">
        <v>2317</v>
      </c>
      <c r="O6662" s="14">
        <v>3800</v>
      </c>
      <c r="P6662" s="14">
        <v>96.32</v>
      </c>
      <c r="Q6662" s="14">
        <v>139.84</v>
      </c>
      <c r="R6662" s="14">
        <v>97.89</v>
      </c>
      <c r="S6662" s="2" t="s">
        <v>5669</v>
      </c>
      <c r="T6662" s="2">
        <v>1.53</v>
      </c>
      <c r="U6662" s="2">
        <v>60.4</v>
      </c>
      <c r="V6662" s="2">
        <v>56</v>
      </c>
      <c r="W6662" s="2" t="s">
        <v>7862</v>
      </c>
      <c r="X6662" s="2" t="s">
        <v>6687</v>
      </c>
      <c r="Y6662" s="2">
        <v>2660</v>
      </c>
      <c r="Z6662" s="19" t="str">
        <f>HYPERLINK("https://ssdweb.co/ssdweb/hd/Vision360.html?d=927092604&amp;zoomslide=1&amp;z=1927092604&amp;ISCONFIRM=0","VIDEO")</f>
        <v>VIDEO</v>
      </c>
      <c r="AA6662" s="19" t="str">
        <f>HYPERLINK("https://ssdweb.co/ssdweb/CERTH/671427739.pdf","CERTI")</f>
        <v>CERTI</v>
      </c>
    </row>
    <row r="6663" spans="1:27" ht="15" x14ac:dyDescent="0.25">
      <c r="A6663" s="2">
        <v>6658</v>
      </c>
      <c r="B6663" s="39">
        <v>927092617</v>
      </c>
      <c r="C6663" s="28" t="str">
        <f>HYPERLINK("https://pld.live/RapDetail.aspx?STONELIST=927092617","DNA")</f>
        <v>DNA</v>
      </c>
      <c r="D6663" s="18" t="s">
        <v>5847</v>
      </c>
      <c r="E6663" s="18" t="s">
        <v>5128</v>
      </c>
      <c r="F6663" s="2" t="s">
        <v>7987</v>
      </c>
      <c r="G6663" s="2" t="s">
        <v>6781</v>
      </c>
      <c r="H6663" s="14">
        <v>0.7</v>
      </c>
      <c r="I6663" s="2" t="s">
        <v>4761</v>
      </c>
      <c r="J6663" s="2" t="s">
        <v>3942</v>
      </c>
      <c r="K6663" s="2" t="s">
        <v>1452</v>
      </c>
      <c r="L6663" s="2" t="s">
        <v>5221</v>
      </c>
      <c r="M6663" s="2" t="s">
        <v>5721</v>
      </c>
      <c r="N6663" s="2" t="s">
        <v>2317</v>
      </c>
      <c r="O6663" s="14">
        <v>3800</v>
      </c>
      <c r="P6663" s="14">
        <v>96.37</v>
      </c>
      <c r="Q6663" s="14">
        <v>137.94</v>
      </c>
      <c r="R6663" s="14">
        <v>96.56</v>
      </c>
      <c r="S6663" s="2" t="s">
        <v>7399</v>
      </c>
      <c r="T6663" s="2">
        <v>1.55</v>
      </c>
      <c r="U6663" s="2">
        <v>62</v>
      </c>
      <c r="V6663" s="2">
        <v>59</v>
      </c>
      <c r="W6663" s="2" t="s">
        <v>7862</v>
      </c>
      <c r="X6663" s="2" t="s">
        <v>6687</v>
      </c>
      <c r="Y6663" s="2">
        <v>2660</v>
      </c>
      <c r="Z6663" s="19" t="str">
        <f>HYPERLINK("https://ssdweb.co/ssdweb/hd/Vision360.html?d=927092617&amp;zoomslide=1&amp;z=1927092617&amp;ISCONFIRM=0","VIDEO")</f>
        <v>VIDEO</v>
      </c>
      <c r="AA6663" s="19" t="str">
        <f>HYPERLINK("https://ssdweb.co/ssdweb/CERTH/671427797.pdf","CERTI")</f>
        <v>CERTI</v>
      </c>
    </row>
    <row r="6664" spans="1:27" ht="15" x14ac:dyDescent="0.25">
      <c r="A6664" s="2">
        <v>6659</v>
      </c>
      <c r="B6664" s="39">
        <v>927092623</v>
      </c>
      <c r="C6664" s="28" t="str">
        <f>HYPERLINK("https://pld.live/RapDetail.aspx?STONELIST=927092623","DNA")</f>
        <v>DNA</v>
      </c>
      <c r="D6664" s="18" t="s">
        <v>5847</v>
      </c>
      <c r="E6664" s="18" t="s">
        <v>5128</v>
      </c>
      <c r="F6664" s="2" t="s">
        <v>7987</v>
      </c>
      <c r="G6664" s="2" t="s">
        <v>6781</v>
      </c>
      <c r="H6664" s="14">
        <v>0.7</v>
      </c>
      <c r="I6664" s="2" t="s">
        <v>4761</v>
      </c>
      <c r="J6664" s="2" t="s">
        <v>3942</v>
      </c>
      <c r="K6664" s="2" t="s">
        <v>1452</v>
      </c>
      <c r="L6664" s="2" t="s">
        <v>5221</v>
      </c>
      <c r="M6664" s="2" t="s">
        <v>5721</v>
      </c>
      <c r="N6664" s="2" t="s">
        <v>2317</v>
      </c>
      <c r="O6664" s="14">
        <v>3800</v>
      </c>
      <c r="P6664" s="14">
        <v>96.37</v>
      </c>
      <c r="Q6664" s="14">
        <v>137.94</v>
      </c>
      <c r="R6664" s="14">
        <v>96.56</v>
      </c>
      <c r="S6664" s="2" t="s">
        <v>6631</v>
      </c>
      <c r="T6664" s="2">
        <v>1.53</v>
      </c>
      <c r="U6664" s="2">
        <v>60.9</v>
      </c>
      <c r="V6664" s="2">
        <v>62</v>
      </c>
      <c r="W6664" s="2" t="s">
        <v>7862</v>
      </c>
      <c r="X6664" s="2" t="s">
        <v>6687</v>
      </c>
      <c r="Y6664" s="2">
        <v>2660</v>
      </c>
      <c r="Z6664" s="19" t="str">
        <f>HYPERLINK("https://ssdweb.co/ssdweb/hd/Vision360.html?d=927092623&amp;zoomslide=1&amp;z=1927092623&amp;ISCONFIRM=0","VIDEO")</f>
        <v>VIDEO</v>
      </c>
      <c r="AA6664" s="19" t="str">
        <f>HYPERLINK("https://ssdweb.co/ssdweb/CERTH/671428029.pdf","CERTI")</f>
        <v>CERTI</v>
      </c>
    </row>
    <row r="6665" spans="1:27" ht="15" x14ac:dyDescent="0.25">
      <c r="A6665" s="2">
        <v>6660</v>
      </c>
      <c r="B6665" s="39">
        <v>927092677</v>
      </c>
      <c r="C6665" s="28" t="str">
        <f>HYPERLINK("https://pld.live/RapDetail.aspx?STONELIST=927092677","DNA")</f>
        <v>DNA</v>
      </c>
      <c r="D6665" s="18" t="s">
        <v>5847</v>
      </c>
      <c r="E6665" s="18" t="s">
        <v>5128</v>
      </c>
      <c r="F6665" s="2" t="s">
        <v>7987</v>
      </c>
      <c r="G6665" s="2" t="s">
        <v>6781</v>
      </c>
      <c r="H6665" s="14">
        <v>0.7</v>
      </c>
      <c r="I6665" s="2" t="s">
        <v>4761</v>
      </c>
      <c r="J6665" s="2" t="s">
        <v>3942</v>
      </c>
      <c r="K6665" s="2" t="s">
        <v>1452</v>
      </c>
      <c r="L6665" s="2" t="s">
        <v>5221</v>
      </c>
      <c r="M6665" s="2" t="s">
        <v>5721</v>
      </c>
      <c r="N6665" s="2" t="s">
        <v>2317</v>
      </c>
      <c r="O6665" s="14">
        <v>3800</v>
      </c>
      <c r="P6665" s="14">
        <v>96.37</v>
      </c>
      <c r="Q6665" s="14">
        <v>137.94</v>
      </c>
      <c r="R6665" s="14">
        <v>96.56</v>
      </c>
      <c r="S6665" s="2" t="s">
        <v>5201</v>
      </c>
      <c r="T6665" s="2">
        <v>1.48</v>
      </c>
      <c r="U6665" s="2">
        <v>60.4</v>
      </c>
      <c r="V6665" s="2">
        <v>62</v>
      </c>
      <c r="W6665" s="2" t="s">
        <v>7862</v>
      </c>
      <c r="X6665" s="2" t="s">
        <v>6687</v>
      </c>
      <c r="Y6665" s="2">
        <v>2660</v>
      </c>
      <c r="Z6665" s="19" t="str">
        <f>HYPERLINK("https://ssdweb.co/ssdweb/hd/Vision360.html?d=927092677&amp;zoomslide=1&amp;z=1927092677&amp;ISCONFIRM=0","VIDEO")</f>
        <v>VIDEO</v>
      </c>
      <c r="AA6665" s="19" t="str">
        <f>HYPERLINK("https://ssdweb.co/ssdweb/CERTH/674504046.pdf","CERTI")</f>
        <v>CERTI</v>
      </c>
    </row>
    <row r="6666" spans="1:27" ht="15" x14ac:dyDescent="0.25">
      <c r="A6666" s="2">
        <v>6661</v>
      </c>
      <c r="B6666" s="39">
        <v>941170395</v>
      </c>
      <c r="C6666" s="28" t="str">
        <f>HYPERLINK("https://pld.live/RapDetail.aspx?STONELIST=941170395","DNA")</f>
        <v>DNA</v>
      </c>
      <c r="D6666" s="18" t="s">
        <v>1924</v>
      </c>
      <c r="E6666" s="18" t="s">
        <v>5128</v>
      </c>
      <c r="F6666" s="2" t="s">
        <v>7987</v>
      </c>
      <c r="G6666" s="2" t="s">
        <v>6781</v>
      </c>
      <c r="H6666" s="14">
        <v>0.68</v>
      </c>
      <c r="I6666" s="2" t="s">
        <v>267</v>
      </c>
      <c r="J6666" s="2" t="s">
        <v>13</v>
      </c>
      <c r="K6666" s="2" t="s">
        <v>1452</v>
      </c>
      <c r="L6666" s="2" t="s">
        <v>5221</v>
      </c>
      <c r="M6666" s="2" t="s">
        <v>5221</v>
      </c>
      <c r="N6666" s="2" t="s">
        <v>2317</v>
      </c>
      <c r="O6666" s="14">
        <v>2600</v>
      </c>
      <c r="P6666" s="14">
        <v>94.81</v>
      </c>
      <c r="Q6666" s="14">
        <v>134.94</v>
      </c>
      <c r="R6666" s="14">
        <v>91.76</v>
      </c>
      <c r="S6666" s="2" t="s">
        <v>2756</v>
      </c>
      <c r="T6666" s="2">
        <v>1.53</v>
      </c>
      <c r="U6666" s="2">
        <v>63</v>
      </c>
      <c r="V6666" s="2">
        <v>57</v>
      </c>
      <c r="W6666" s="2" t="s">
        <v>7862</v>
      </c>
      <c r="X6666" s="2" t="s">
        <v>6687</v>
      </c>
      <c r="Y6666" s="2">
        <v>1768</v>
      </c>
      <c r="Z6666" s="19" t="str">
        <f>HYPERLINK("https://ssdweb.co/ssdweb/hd/Vision360.html?d=941170395&amp;zoomslide=1&amp;z=1941170395&amp;ISCONFIRM=0","VIDEO")</f>
        <v>VIDEO</v>
      </c>
      <c r="AA6666" s="19" t="str">
        <f>HYPERLINK("https://ssdweb.co/ssdweb/CERTH/677510726.pdf","CERTI")</f>
        <v>CERTI</v>
      </c>
    </row>
    <row r="6667" spans="1:27" ht="15" x14ac:dyDescent="0.25">
      <c r="A6667" s="2">
        <v>6662</v>
      </c>
      <c r="B6667" s="39">
        <v>927151125</v>
      </c>
      <c r="C6667" s="28" t="str">
        <f>HYPERLINK("https://pld.live/RapDetail.aspx?STONELIST=927151125","DNA")</f>
        <v>DNA</v>
      </c>
      <c r="D6667" s="18" t="s">
        <v>1924</v>
      </c>
      <c r="E6667" s="18" t="s">
        <v>5128</v>
      </c>
      <c r="F6667" s="2" t="s">
        <v>7987</v>
      </c>
      <c r="G6667" s="2" t="s">
        <v>6781</v>
      </c>
      <c r="H6667" s="14">
        <v>0.68</v>
      </c>
      <c r="I6667" s="2" t="s">
        <v>267</v>
      </c>
      <c r="J6667" s="2" t="s">
        <v>13</v>
      </c>
      <c r="K6667" s="2" t="s">
        <v>1452</v>
      </c>
      <c r="L6667" s="2" t="s">
        <v>5721</v>
      </c>
      <c r="M6667" s="2" t="s">
        <v>5721</v>
      </c>
      <c r="N6667" s="2" t="s">
        <v>2317</v>
      </c>
      <c r="O6667" s="14">
        <v>2600</v>
      </c>
      <c r="P6667" s="14">
        <v>95.04</v>
      </c>
      <c r="Q6667" s="14">
        <v>128.96</v>
      </c>
      <c r="R6667" s="14">
        <v>87.69</v>
      </c>
      <c r="S6667" s="2" t="s">
        <v>6968</v>
      </c>
      <c r="T6667" s="2">
        <v>1.51</v>
      </c>
      <c r="U6667" s="2">
        <v>65.400000000000006</v>
      </c>
      <c r="V6667" s="2">
        <v>58</v>
      </c>
      <c r="W6667" s="2" t="s">
        <v>7862</v>
      </c>
      <c r="X6667" s="2" t="s">
        <v>6687</v>
      </c>
      <c r="Y6667" s="2">
        <v>1768</v>
      </c>
      <c r="Z6667" s="19" t="str">
        <f>HYPERLINK("https://ssdweb.co/ssdweb/hd/Vision360.html?d=927151125&amp;zoomslide=1&amp;z=1927151125&amp;ISCONFIRM=0","VIDEO")</f>
        <v>VIDEO</v>
      </c>
      <c r="AA6667" s="19" t="str">
        <f>HYPERLINK("https://ssdweb.co/ssdweb/CERTH/668446511.pdf","CERTI")</f>
        <v>CERTI</v>
      </c>
    </row>
    <row r="6668" spans="1:27" ht="15" x14ac:dyDescent="0.25">
      <c r="A6668" s="2">
        <v>6663</v>
      </c>
      <c r="B6668" s="39">
        <v>925951328</v>
      </c>
      <c r="C6668" s="28" t="str">
        <f>HYPERLINK("https://pld.live/RapDetail.aspx?STONELIST=925951328","DNA")</f>
        <v>DNA</v>
      </c>
      <c r="D6668" s="18" t="s">
        <v>1924</v>
      </c>
      <c r="E6668" s="18" t="s">
        <v>5128</v>
      </c>
      <c r="F6668" s="2" t="s">
        <v>7987</v>
      </c>
      <c r="G6668" s="2" t="s">
        <v>6781</v>
      </c>
      <c r="H6668" s="14">
        <v>0.66</v>
      </c>
      <c r="I6668" s="2" t="s">
        <v>267</v>
      </c>
      <c r="J6668" s="2" t="s">
        <v>6555</v>
      </c>
      <c r="K6668" s="2" t="s">
        <v>1452</v>
      </c>
      <c r="L6668" s="2" t="s">
        <v>5221</v>
      </c>
      <c r="M6668" s="2" t="s">
        <v>5221</v>
      </c>
      <c r="N6668" s="2" t="s">
        <v>2317</v>
      </c>
      <c r="O6668" s="14">
        <v>3000</v>
      </c>
      <c r="P6668" s="14">
        <v>94.7</v>
      </c>
      <c r="Q6668" s="14">
        <v>159</v>
      </c>
      <c r="R6668" s="14">
        <v>104.94</v>
      </c>
      <c r="S6668" s="2" t="s">
        <v>3150</v>
      </c>
      <c r="T6668" s="2">
        <v>1.62</v>
      </c>
      <c r="U6668" s="2">
        <v>61.4</v>
      </c>
      <c r="V6668" s="2">
        <v>60</v>
      </c>
      <c r="W6668" s="2" t="s">
        <v>7862</v>
      </c>
      <c r="X6668" s="2" t="s">
        <v>6687</v>
      </c>
      <c r="Y6668" s="2">
        <v>1980</v>
      </c>
      <c r="Z6668" s="19" t="str">
        <f>HYPERLINK("https://ssdweb.co/ssdweb/hd/Vision360.html?d=925951328&amp;zoomslide=1&amp;z=1925951328&amp;ISCONFIRM=0","VIDEO")</f>
        <v>VIDEO</v>
      </c>
      <c r="AA6668" s="19" t="str">
        <f>HYPERLINK("https://ssdweb.co/ssdweb/CERTH/631429989.pdf","CERTI")</f>
        <v>CERTI</v>
      </c>
    </row>
    <row r="6669" spans="1:27" ht="15" x14ac:dyDescent="0.25">
      <c r="A6669" s="2">
        <v>6664</v>
      </c>
      <c r="B6669" s="39">
        <v>941280510</v>
      </c>
      <c r="C6669" s="28" t="str">
        <f>HYPERLINK("https://pld.live/RapDetail.aspx?STONELIST=941280510","DNA")</f>
        <v>DNA</v>
      </c>
      <c r="D6669" s="18" t="s">
        <v>1924</v>
      </c>
      <c r="E6669" s="18" t="s">
        <v>2186</v>
      </c>
      <c r="F6669" s="2" t="s">
        <v>7987</v>
      </c>
      <c r="G6669" s="2" t="s">
        <v>6781</v>
      </c>
      <c r="H6669" s="14">
        <v>0.62</v>
      </c>
      <c r="I6669" s="2" t="s">
        <v>267</v>
      </c>
      <c r="J6669" s="2" t="s">
        <v>13</v>
      </c>
      <c r="K6669" s="2" t="s">
        <v>1452</v>
      </c>
      <c r="L6669" s="2" t="s">
        <v>5221</v>
      </c>
      <c r="M6669" s="2" t="s">
        <v>5221</v>
      </c>
      <c r="N6669" s="2" t="s">
        <v>2317</v>
      </c>
      <c r="O6669" s="14">
        <v>2600</v>
      </c>
      <c r="P6669" s="14">
        <v>94.81</v>
      </c>
      <c r="Q6669" s="14">
        <v>134.94</v>
      </c>
      <c r="R6669" s="14">
        <v>83.66</v>
      </c>
      <c r="S6669" s="2" t="s">
        <v>6373</v>
      </c>
      <c r="T6669" s="2">
        <v>1.63</v>
      </c>
      <c r="U6669" s="2">
        <v>60.3</v>
      </c>
      <c r="V6669" s="2">
        <v>61</v>
      </c>
      <c r="W6669" s="2" t="s">
        <v>7862</v>
      </c>
      <c r="X6669" s="2" t="s">
        <v>6687</v>
      </c>
      <c r="Y6669" s="2">
        <v>1612</v>
      </c>
      <c r="Z6669" s="19" t="str">
        <f>HYPERLINK("https://ssdweb.co/ssdweb/hd/Vision360.html?d=941280510&amp;zoomslide=1&amp;z=1941280510&amp;ISCONFIRM=0","VIDEO")</f>
        <v>VIDEO</v>
      </c>
      <c r="AA6669" s="19" t="str">
        <f>HYPERLINK("https://ssdweb.co/ssdweb/CERTH/691533694.pdf","CERTI")</f>
        <v>CERTI</v>
      </c>
    </row>
    <row r="6670" spans="1:27" ht="15" x14ac:dyDescent="0.25">
      <c r="A6670" s="2">
        <v>6665</v>
      </c>
      <c r="B6670" s="39">
        <v>921850008</v>
      </c>
      <c r="C6670" s="28" t="str">
        <f>HYPERLINK("https://pld.live/RapDetail.aspx?STONELIST=921850008","DNA")</f>
        <v>DNA</v>
      </c>
      <c r="D6670" s="18" t="s">
        <v>1924</v>
      </c>
      <c r="E6670" s="18" t="s">
        <v>2186</v>
      </c>
      <c r="F6670" s="2" t="s">
        <v>7987</v>
      </c>
      <c r="G6670" s="2" t="s">
        <v>6781</v>
      </c>
      <c r="H6670" s="14">
        <v>0.62</v>
      </c>
      <c r="I6670" s="2" t="s">
        <v>267</v>
      </c>
      <c r="J6670" s="2" t="s">
        <v>13</v>
      </c>
      <c r="K6670" s="2" t="s">
        <v>1452</v>
      </c>
      <c r="L6670" s="2" t="s">
        <v>5221</v>
      </c>
      <c r="M6670" s="2" t="s">
        <v>5721</v>
      </c>
      <c r="N6670" s="2" t="s">
        <v>2317</v>
      </c>
      <c r="O6670" s="14">
        <v>2600</v>
      </c>
      <c r="P6670" s="14">
        <v>95.19</v>
      </c>
      <c r="Q6670" s="14">
        <v>125.06</v>
      </c>
      <c r="R6670" s="14">
        <v>77.540000000000006</v>
      </c>
      <c r="S6670" s="2" t="s">
        <v>3269</v>
      </c>
      <c r="T6670" s="2">
        <v>1.57</v>
      </c>
      <c r="U6670" s="2">
        <v>60.5</v>
      </c>
      <c r="V6670" s="2">
        <v>63.5</v>
      </c>
      <c r="W6670" s="2" t="s">
        <v>7862</v>
      </c>
      <c r="X6670" s="2" t="s">
        <v>6687</v>
      </c>
      <c r="Y6670" s="2">
        <v>1612</v>
      </c>
      <c r="Z6670" s="19" t="str">
        <f>HYPERLINK("https://ssdweb.co/ssdweb/hd/Vision360.html?d=921850008&amp;zoomslide=1&amp;z=1921850008&amp;ISCONFIRM=0","VIDEO")</f>
        <v>VIDEO</v>
      </c>
      <c r="AA6670" s="19" t="str">
        <f>HYPERLINK("https://ssdweb.co/ssdweb/CERTH/497171697.pdf","CERTI")</f>
        <v>CERTI</v>
      </c>
    </row>
    <row r="6671" spans="1:27" ht="15" x14ac:dyDescent="0.25">
      <c r="A6671" s="2">
        <v>6666</v>
      </c>
      <c r="B6671" s="39">
        <v>926780049</v>
      </c>
      <c r="C6671" s="28" t="str">
        <f>HYPERLINK("https://pld.live/RapDetail.aspx?STONELIST=926780049","DNA")</f>
        <v>DNA</v>
      </c>
      <c r="D6671" s="18" t="s">
        <v>1924</v>
      </c>
      <c r="E6671" s="18" t="s">
        <v>2186</v>
      </c>
      <c r="F6671" s="2" t="s">
        <v>7987</v>
      </c>
      <c r="G6671" s="2" t="s">
        <v>6781</v>
      </c>
      <c r="H6671" s="14">
        <v>0.62</v>
      </c>
      <c r="I6671" s="2" t="s">
        <v>4761</v>
      </c>
      <c r="J6671" s="2" t="s">
        <v>13</v>
      </c>
      <c r="K6671" s="2" t="s">
        <v>1452</v>
      </c>
      <c r="L6671" s="2" t="s">
        <v>5221</v>
      </c>
      <c r="M6671" s="2" t="s">
        <v>5721</v>
      </c>
      <c r="N6671" s="2" t="s">
        <v>2317</v>
      </c>
      <c r="O6671" s="14">
        <v>2500</v>
      </c>
      <c r="P6671" s="14">
        <v>94.88</v>
      </c>
      <c r="Q6671" s="14">
        <v>128</v>
      </c>
      <c r="R6671" s="14">
        <v>79.36</v>
      </c>
      <c r="S6671" s="2" t="s">
        <v>6520</v>
      </c>
      <c r="T6671" s="2">
        <v>1.64</v>
      </c>
      <c r="U6671" s="2">
        <v>60</v>
      </c>
      <c r="V6671" s="2">
        <v>61</v>
      </c>
      <c r="W6671" s="2" t="s">
        <v>7862</v>
      </c>
      <c r="X6671" s="2" t="s">
        <v>6687</v>
      </c>
      <c r="Y6671" s="2">
        <v>1550</v>
      </c>
      <c r="Z6671" s="19" t="str">
        <f>HYPERLINK("https://ssdweb.co/ssdweb/hd/Vision360.html?d=926780049&amp;zoomslide=1&amp;z=1926780049&amp;ISCONFIRM=0","VIDEO")</f>
        <v>VIDEO</v>
      </c>
      <c r="AA6671" s="19" t="str">
        <f>HYPERLINK("https://ssdweb.co/ssdweb/CERTH/653427363.pdf","CERTI")</f>
        <v>CERTI</v>
      </c>
    </row>
    <row r="6672" spans="1:27" ht="15" x14ac:dyDescent="0.25">
      <c r="A6672" s="2">
        <v>6667</v>
      </c>
      <c r="B6672" s="39">
        <v>831020160</v>
      </c>
      <c r="C6672" s="28" t="str">
        <f>HYPERLINK("https://pld.live/RapDetail.aspx?STONELIST=831020160","DNA")</f>
        <v>DNA</v>
      </c>
      <c r="D6672" s="18" t="s">
        <v>5466</v>
      </c>
      <c r="E6672" s="18" t="s">
        <v>2186</v>
      </c>
      <c r="F6672" s="2" t="s">
        <v>7987</v>
      </c>
      <c r="G6672" s="2" t="s">
        <v>6781</v>
      </c>
      <c r="H6672" s="14">
        <v>0.56999999999999995</v>
      </c>
      <c r="I6672" s="2" t="s">
        <v>267</v>
      </c>
      <c r="J6672" s="2" t="s">
        <v>3942</v>
      </c>
      <c r="K6672" s="2" t="s">
        <v>1452</v>
      </c>
      <c r="L6672" s="2" t="s">
        <v>5221</v>
      </c>
      <c r="M6672" s="2" t="s">
        <v>5721</v>
      </c>
      <c r="N6672" s="2" t="s">
        <v>2317</v>
      </c>
      <c r="O6672" s="14">
        <v>2800</v>
      </c>
      <c r="P6672" s="14">
        <v>94.82</v>
      </c>
      <c r="Q6672" s="14">
        <v>145.04</v>
      </c>
      <c r="R6672" s="14">
        <v>82.67</v>
      </c>
      <c r="S6672" s="2" t="s">
        <v>1739</v>
      </c>
      <c r="T6672" s="2">
        <v>1.54</v>
      </c>
      <c r="U6672" s="2">
        <v>61.9</v>
      </c>
      <c r="V6672" s="2">
        <v>63.5</v>
      </c>
      <c r="W6672" s="2" t="s">
        <v>7862</v>
      </c>
      <c r="X6672" s="2" t="s">
        <v>6687</v>
      </c>
      <c r="Y6672" s="2">
        <v>1596</v>
      </c>
      <c r="Z6672" s="19" t="str">
        <f>HYPERLINK("https://ssdweb.co/ssdweb/hd/Vision360.html?d=831020160&amp;zoomslide=1&amp;z=1831020160&amp;ISCONFIRM=0","VIDEO")</f>
        <v>VIDEO</v>
      </c>
      <c r="AA6672" s="19" t="str">
        <f>HYPERLINK("https://ssdweb.co/ssdweb/CERTH/499104899.pdf","CERTI")</f>
        <v>CERTI</v>
      </c>
    </row>
    <row r="6673" spans="1:27" ht="15" x14ac:dyDescent="0.25">
      <c r="A6673" s="2">
        <v>6668</v>
      </c>
      <c r="B6673" s="39">
        <v>925980434</v>
      </c>
      <c r="C6673" s="28" t="str">
        <f>HYPERLINK("https://pld.live/RapDetail.aspx?STONELIST=925980434","DNA")</f>
        <v>DNA</v>
      </c>
      <c r="D6673" s="18" t="s">
        <v>5466</v>
      </c>
      <c r="E6673" s="18" t="s">
        <v>5128</v>
      </c>
      <c r="F6673" s="2" t="s">
        <v>7987</v>
      </c>
      <c r="G6673" s="2" t="s">
        <v>6781</v>
      </c>
      <c r="H6673" s="14">
        <v>0.55000000000000004</v>
      </c>
      <c r="I6673" s="2" t="s">
        <v>267</v>
      </c>
      <c r="J6673" s="2" t="s">
        <v>3942</v>
      </c>
      <c r="K6673" s="2" t="s">
        <v>1452</v>
      </c>
      <c r="L6673" s="2" t="s">
        <v>5721</v>
      </c>
      <c r="M6673" s="2" t="s">
        <v>5721</v>
      </c>
      <c r="N6673" s="2" t="s">
        <v>2317</v>
      </c>
      <c r="O6673" s="14">
        <v>2800</v>
      </c>
      <c r="P6673" s="14">
        <v>94.82</v>
      </c>
      <c r="Q6673" s="14">
        <v>145.04</v>
      </c>
      <c r="R6673" s="14">
        <v>79.77</v>
      </c>
      <c r="S6673" s="2" t="s">
        <v>5973</v>
      </c>
      <c r="T6673" s="2">
        <v>1.54</v>
      </c>
      <c r="U6673" s="2">
        <v>61.2</v>
      </c>
      <c r="V6673" s="2">
        <v>60</v>
      </c>
      <c r="W6673" s="2" t="s">
        <v>7862</v>
      </c>
      <c r="X6673" s="2" t="s">
        <v>6687</v>
      </c>
      <c r="Y6673" s="2">
        <v>1540</v>
      </c>
      <c r="Z6673" s="19" t="str">
        <f>HYPERLINK("https://ssdweb.co/ssdweb/hd/Vision360.html?d=925980434&amp;zoomslide=1&amp;z=1925980434&amp;ISCONFIRM=0","VIDEO")</f>
        <v>VIDEO</v>
      </c>
      <c r="AA6673" s="19" t="str">
        <f>HYPERLINK("https://ssdweb.co/ssdweb/CERTH/629478908.pdf","CERTI")</f>
        <v>CERTI</v>
      </c>
    </row>
    <row r="6674" spans="1:27" ht="15" x14ac:dyDescent="0.25">
      <c r="A6674" s="2">
        <v>6669</v>
      </c>
      <c r="B6674" s="39">
        <v>926060006</v>
      </c>
      <c r="C6674" s="28" t="str">
        <f>HYPERLINK("https://pld.live/RapDetail.aspx?STONELIST=926060006","DNA")</f>
        <v>DNA</v>
      </c>
      <c r="D6674" s="18" t="s">
        <v>5466</v>
      </c>
      <c r="E6674" s="18" t="s">
        <v>2186</v>
      </c>
      <c r="F6674" s="2" t="s">
        <v>7987</v>
      </c>
      <c r="G6674" s="2" t="s">
        <v>6781</v>
      </c>
      <c r="H6674" s="14">
        <v>0.54</v>
      </c>
      <c r="I6674" s="2" t="s">
        <v>2659</v>
      </c>
      <c r="J6674" s="2" t="s">
        <v>13</v>
      </c>
      <c r="K6674" s="2" t="s">
        <v>1452</v>
      </c>
      <c r="L6674" s="2" t="s">
        <v>5221</v>
      </c>
      <c r="M6674" s="2" t="s">
        <v>5221</v>
      </c>
      <c r="N6674" s="2" t="s">
        <v>2317</v>
      </c>
      <c r="O6674" s="14">
        <v>1100</v>
      </c>
      <c r="P6674" s="14">
        <v>71.819999999999993</v>
      </c>
      <c r="Q6674" s="14">
        <v>309.98</v>
      </c>
      <c r="R6674" s="14">
        <v>167.39</v>
      </c>
      <c r="S6674" s="2" t="s">
        <v>1670</v>
      </c>
      <c r="T6674" s="2">
        <v>1.49</v>
      </c>
      <c r="U6674" s="2">
        <v>64.5</v>
      </c>
      <c r="V6674" s="2">
        <v>63</v>
      </c>
      <c r="W6674" s="2" t="s">
        <v>7862</v>
      </c>
      <c r="X6674" s="2" t="s">
        <v>6687</v>
      </c>
      <c r="Y6674" s="2">
        <v>594</v>
      </c>
      <c r="Z6674" s="19" t="str">
        <f>HYPERLINK("https://ssdweb.co/ssdweb/hd/Vision360.html?d=926060006&amp;zoomslide=1&amp;z=1926060006&amp;ISCONFIRM=0","VIDEO")</f>
        <v>VIDEO</v>
      </c>
      <c r="AA6674" s="19" t="str">
        <f>HYPERLINK("https://ssdweb.co/ssdweb/CERTH/631429903.pdf","CERTI")</f>
        <v>CERTI</v>
      </c>
    </row>
    <row r="6675" spans="1:27" ht="15" x14ac:dyDescent="0.25">
      <c r="A6675" s="2">
        <v>6670</v>
      </c>
      <c r="B6675" s="39">
        <v>925560086</v>
      </c>
      <c r="C6675" s="28" t="str">
        <f>HYPERLINK("https://pld.live/RapDetail.aspx?STONELIST=925560086","DNA")</f>
        <v>DNA</v>
      </c>
      <c r="D6675" s="18" t="s">
        <v>5466</v>
      </c>
      <c r="E6675" s="18" t="s">
        <v>2186</v>
      </c>
      <c r="F6675" s="2" t="s">
        <v>7987</v>
      </c>
      <c r="G6675" s="2" t="s">
        <v>6781</v>
      </c>
      <c r="H6675" s="14">
        <v>0.53</v>
      </c>
      <c r="I6675" s="2" t="s">
        <v>6587</v>
      </c>
      <c r="J6675" s="2" t="s">
        <v>3942</v>
      </c>
      <c r="K6675" s="2" t="s">
        <v>1452</v>
      </c>
      <c r="L6675" s="2" t="s">
        <v>5221</v>
      </c>
      <c r="M6675" s="2" t="s">
        <v>5721</v>
      </c>
      <c r="N6675" s="2" t="s">
        <v>2317</v>
      </c>
      <c r="O6675" s="14">
        <v>2300</v>
      </c>
      <c r="P6675" s="14">
        <v>94.22</v>
      </c>
      <c r="Q6675" s="14">
        <v>132.94</v>
      </c>
      <c r="R6675" s="14">
        <v>70.459999999999994</v>
      </c>
      <c r="S6675" s="2" t="s">
        <v>6057</v>
      </c>
      <c r="T6675" s="2">
        <v>1.52</v>
      </c>
      <c r="U6675" s="2">
        <v>62.2</v>
      </c>
      <c r="V6675" s="2">
        <v>63</v>
      </c>
      <c r="W6675" s="2" t="s">
        <v>8016</v>
      </c>
      <c r="X6675" s="2" t="s">
        <v>6687</v>
      </c>
      <c r="Y6675" s="2">
        <v>1219</v>
      </c>
      <c r="Z6675" s="19" t="str">
        <f>HYPERLINK("https://ssdweb.co/ssdweb/hd/Vision360.html?d=925560086&amp;zoomslide=1&amp;z=1925560086&amp;ISCONFIRM=0","VIDEO")</f>
        <v>VIDEO</v>
      </c>
      <c r="AA6675" s="19" t="str">
        <f>HYPERLINK("https://ssdweb.co/ssdweb/CERTH/621448073.pdf","CERTI")</f>
        <v>CERTI</v>
      </c>
    </row>
    <row r="6676" spans="1:27" ht="15" x14ac:dyDescent="0.25">
      <c r="A6676" s="2">
        <v>6671</v>
      </c>
      <c r="B6676" s="39">
        <v>920470373</v>
      </c>
      <c r="C6676" s="28" t="str">
        <f>HYPERLINK("https://pld.live/RapDetail.aspx?STONELIST=920470373","DNA")</f>
        <v>DNA</v>
      </c>
      <c r="D6676" s="18" t="s">
        <v>5466</v>
      </c>
      <c r="E6676" s="18" t="s">
        <v>7909</v>
      </c>
      <c r="F6676" s="2" t="s">
        <v>7987</v>
      </c>
      <c r="G6676" s="2" t="s">
        <v>6781</v>
      </c>
      <c r="H6676" s="14">
        <v>0.53</v>
      </c>
      <c r="I6676" s="2" t="s">
        <v>6587</v>
      </c>
      <c r="J6676" s="2" t="s">
        <v>13</v>
      </c>
      <c r="K6676" s="2" t="s">
        <v>1452</v>
      </c>
      <c r="L6676" s="2" t="s">
        <v>5721</v>
      </c>
      <c r="M6676" s="2" t="s">
        <v>5721</v>
      </c>
      <c r="N6676" s="2" t="s">
        <v>2317</v>
      </c>
      <c r="O6676" s="14">
        <v>2200</v>
      </c>
      <c r="P6676" s="14">
        <v>94.32</v>
      </c>
      <c r="Q6676" s="14">
        <v>124.96</v>
      </c>
      <c r="R6676" s="14">
        <v>66.23</v>
      </c>
      <c r="S6676" s="2" t="s">
        <v>602</v>
      </c>
      <c r="T6676" s="2">
        <v>1.49</v>
      </c>
      <c r="U6676" s="2">
        <v>61.2</v>
      </c>
      <c r="V6676" s="2">
        <v>64</v>
      </c>
      <c r="W6676" s="2" t="s">
        <v>8016</v>
      </c>
      <c r="X6676" s="2" t="s">
        <v>6687</v>
      </c>
      <c r="Y6676" s="2">
        <v>1166</v>
      </c>
      <c r="Z6676" s="19" t="str">
        <f>HYPERLINK("https://ssdweb.co/ssdweb/hd/Vision360.html?d=920470373&amp;zoomslide=1&amp;z=1920470373&amp;ISCONFIRM=0","VIDEO")</f>
        <v>VIDEO</v>
      </c>
      <c r="AA6676" s="19" t="str">
        <f>HYPERLINK("https://ssdweb.co/ssdweb/CERTH/625432172.pdf","CERTI")</f>
        <v>CERTI</v>
      </c>
    </row>
    <row r="6677" spans="1:27" ht="15" x14ac:dyDescent="0.25">
      <c r="A6677" s="2">
        <v>6672</v>
      </c>
      <c r="B6677" s="39">
        <v>926960862</v>
      </c>
      <c r="C6677" s="28" t="str">
        <f>HYPERLINK("https://pld.live/RapDetail.aspx?STONELIST=926960862","DNA")</f>
        <v>DNA</v>
      </c>
      <c r="D6677" s="18" t="s">
        <v>5466</v>
      </c>
      <c r="E6677" s="18" t="s">
        <v>5128</v>
      </c>
      <c r="F6677" s="2" t="s">
        <v>7987</v>
      </c>
      <c r="G6677" s="2" t="s">
        <v>6781</v>
      </c>
      <c r="H6677" s="14">
        <v>0.52</v>
      </c>
      <c r="I6677" s="2" t="s">
        <v>267</v>
      </c>
      <c r="J6677" s="2" t="s">
        <v>6555</v>
      </c>
      <c r="K6677" s="2" t="s">
        <v>1452</v>
      </c>
      <c r="L6677" s="2" t="s">
        <v>5221</v>
      </c>
      <c r="M6677" s="2" t="s">
        <v>5221</v>
      </c>
      <c r="N6677" s="2" t="s">
        <v>2317</v>
      </c>
      <c r="O6677" s="14">
        <v>3000</v>
      </c>
      <c r="P6677" s="14">
        <v>93.9</v>
      </c>
      <c r="Q6677" s="14">
        <v>183</v>
      </c>
      <c r="R6677" s="14">
        <v>95.16</v>
      </c>
      <c r="S6677" s="2" t="s">
        <v>4584</v>
      </c>
      <c r="T6677" s="2">
        <v>1.54</v>
      </c>
      <c r="U6677" s="2">
        <v>60.8</v>
      </c>
      <c r="V6677" s="2">
        <v>62</v>
      </c>
      <c r="W6677" s="2" t="s">
        <v>7862</v>
      </c>
      <c r="X6677" s="2" t="s">
        <v>6687</v>
      </c>
      <c r="Y6677" s="2">
        <v>1560</v>
      </c>
      <c r="Z6677" s="19" t="str">
        <f>HYPERLINK("https://ssdweb.co/ssdweb/hd/Vision360.html?d=926960862&amp;zoomslide=1&amp;z=1926960862&amp;ISCONFIRM=0","VIDEO")</f>
        <v>VIDEO</v>
      </c>
      <c r="AA6677" s="19" t="str">
        <f>HYPERLINK("https://ssdweb.co/ssdweb/CERTH/689586897.pdf","CERTI")</f>
        <v>CERTI</v>
      </c>
    </row>
    <row r="6678" spans="1:27" ht="15" x14ac:dyDescent="0.25">
      <c r="A6678" s="2">
        <v>6673</v>
      </c>
      <c r="B6678" s="39">
        <v>941400565</v>
      </c>
      <c r="C6678" s="28" t="str">
        <f>HYPERLINK("https://pld.live/RapDetail.aspx?STONELIST=941400565","DNA")</f>
        <v>DNA</v>
      </c>
      <c r="D6678" s="18" t="s">
        <v>5466</v>
      </c>
      <c r="E6678" s="18" t="s">
        <v>5128</v>
      </c>
      <c r="F6678" s="2" t="s">
        <v>7987</v>
      </c>
      <c r="G6678" s="2" t="s">
        <v>6781</v>
      </c>
      <c r="H6678" s="14">
        <v>0.52</v>
      </c>
      <c r="I6678" s="2" t="s">
        <v>267</v>
      </c>
      <c r="J6678" s="2" t="s">
        <v>6555</v>
      </c>
      <c r="K6678" s="2" t="s">
        <v>1452</v>
      </c>
      <c r="L6678" s="2" t="s">
        <v>5221</v>
      </c>
      <c r="M6678" s="2" t="s">
        <v>5221</v>
      </c>
      <c r="N6678" s="2" t="s">
        <v>2317</v>
      </c>
      <c r="O6678" s="14">
        <v>3000</v>
      </c>
      <c r="P6678" s="14">
        <v>93.9</v>
      </c>
      <c r="Q6678" s="14">
        <v>183</v>
      </c>
      <c r="R6678" s="14">
        <v>95.16</v>
      </c>
      <c r="S6678" s="2" t="s">
        <v>5192</v>
      </c>
      <c r="T6678" s="2">
        <v>1.54</v>
      </c>
      <c r="U6678" s="2">
        <v>61.4</v>
      </c>
      <c r="V6678" s="2">
        <v>60</v>
      </c>
      <c r="W6678" s="2" t="s">
        <v>7862</v>
      </c>
      <c r="X6678" s="2" t="s">
        <v>6687</v>
      </c>
      <c r="Y6678" s="2">
        <v>1560</v>
      </c>
      <c r="Z6678" s="19" t="str">
        <f>HYPERLINK("https://ssdweb.co/ssdweb/hd/Vision360.html?d=941400565&amp;zoomslide=1&amp;z=1941400565&amp;ISCONFIRM=0","VIDEO")</f>
        <v>VIDEO</v>
      </c>
      <c r="AA6678" s="19" t="str">
        <f>HYPERLINK("https://ssdweb.co/ssdweb/CERTH/692505658.pdf","CERTI")</f>
        <v>CERTI</v>
      </c>
    </row>
    <row r="6679" spans="1:27" ht="15" x14ac:dyDescent="0.25">
      <c r="A6679" s="2">
        <v>6674</v>
      </c>
      <c r="B6679" s="39">
        <v>927092638</v>
      </c>
      <c r="C6679" s="28" t="str">
        <f>HYPERLINK("https://pld.live/RapDetail.aspx?STONELIST=927092638","DNA")</f>
        <v>DNA</v>
      </c>
      <c r="D6679" s="18" t="s">
        <v>5466</v>
      </c>
      <c r="E6679" s="18" t="s">
        <v>5128</v>
      </c>
      <c r="F6679" s="2" t="s">
        <v>7987</v>
      </c>
      <c r="G6679" s="2" t="s">
        <v>6781</v>
      </c>
      <c r="H6679" s="14">
        <v>0.52</v>
      </c>
      <c r="I6679" s="2" t="s">
        <v>267</v>
      </c>
      <c r="J6679" s="2" t="s">
        <v>6555</v>
      </c>
      <c r="K6679" s="2" t="s">
        <v>1452</v>
      </c>
      <c r="L6679" s="2" t="s">
        <v>5221</v>
      </c>
      <c r="M6679" s="2" t="s">
        <v>5221</v>
      </c>
      <c r="N6679" s="2" t="s">
        <v>2317</v>
      </c>
      <c r="O6679" s="14">
        <v>3000</v>
      </c>
      <c r="P6679" s="14">
        <v>93.9</v>
      </c>
      <c r="Q6679" s="14">
        <v>183</v>
      </c>
      <c r="R6679" s="14">
        <v>95.16</v>
      </c>
      <c r="S6679" s="2" t="s">
        <v>4003</v>
      </c>
      <c r="T6679" s="2">
        <v>1.55</v>
      </c>
      <c r="U6679" s="2">
        <v>61.4</v>
      </c>
      <c r="V6679" s="2">
        <v>60</v>
      </c>
      <c r="W6679" s="2" t="s">
        <v>7862</v>
      </c>
      <c r="X6679" s="2" t="s">
        <v>6687</v>
      </c>
      <c r="Y6679" s="2">
        <v>1560</v>
      </c>
      <c r="Z6679" s="19" t="str">
        <f>HYPERLINK("https://ssdweb.co/ssdweb/hd/Vision360.html?d=927092638&amp;zoomslide=1&amp;z=1927092638&amp;ISCONFIRM=0","VIDEO")</f>
        <v>VIDEO</v>
      </c>
      <c r="AA6679" s="19" t="str">
        <f>HYPERLINK("https://ssdweb.co/ssdweb/CERTH/689586874.pdf","CERTI")</f>
        <v>CERTI</v>
      </c>
    </row>
    <row r="6680" spans="1:27" ht="15" x14ac:dyDescent="0.25">
      <c r="A6680" s="2">
        <v>6675</v>
      </c>
      <c r="B6680" s="39">
        <v>926960868</v>
      </c>
      <c r="C6680" s="28" t="str">
        <f>HYPERLINK("https://pld.live/RapDetail.aspx?STONELIST=926960868","DNA")</f>
        <v>DNA</v>
      </c>
      <c r="D6680" s="18" t="s">
        <v>5466</v>
      </c>
      <c r="E6680" s="18" t="s">
        <v>5128</v>
      </c>
      <c r="F6680" s="2" t="s">
        <v>7987</v>
      </c>
      <c r="G6680" s="2" t="s">
        <v>6781</v>
      </c>
      <c r="H6680" s="14">
        <v>0.52</v>
      </c>
      <c r="I6680" s="2" t="s">
        <v>267</v>
      </c>
      <c r="J6680" s="2" t="s">
        <v>6555</v>
      </c>
      <c r="K6680" s="2" t="s">
        <v>1452</v>
      </c>
      <c r="L6680" s="2" t="s">
        <v>5221</v>
      </c>
      <c r="M6680" s="2" t="s">
        <v>5721</v>
      </c>
      <c r="N6680" s="2" t="s">
        <v>2317</v>
      </c>
      <c r="O6680" s="14">
        <v>3000</v>
      </c>
      <c r="P6680" s="14">
        <v>93.97</v>
      </c>
      <c r="Q6680" s="14">
        <v>180.9</v>
      </c>
      <c r="R6680" s="14">
        <v>94.07</v>
      </c>
      <c r="S6680" s="2" t="s">
        <v>3901</v>
      </c>
      <c r="T6680" s="2">
        <v>1.54</v>
      </c>
      <c r="U6680" s="2">
        <v>62.1</v>
      </c>
      <c r="V6680" s="2">
        <v>58</v>
      </c>
      <c r="W6680" s="2" t="s">
        <v>7862</v>
      </c>
      <c r="X6680" s="2" t="s">
        <v>6687</v>
      </c>
      <c r="Y6680" s="2">
        <v>1560</v>
      </c>
      <c r="Z6680" s="19" t="str">
        <f>HYPERLINK("https://ssdweb.co/ssdweb/hd/Vision360.html?d=926960868&amp;zoomslide=1&amp;z=1926960868&amp;ISCONFIRM=0","VIDEO")</f>
        <v>VIDEO</v>
      </c>
      <c r="AA6680" s="19" t="str">
        <f>HYPERLINK("https://ssdweb.co/ssdweb/CERTH/670484341.pdf","CERTI")</f>
        <v>CERTI</v>
      </c>
    </row>
    <row r="6681" spans="1:27" ht="15" x14ac:dyDescent="0.25">
      <c r="A6681" s="2">
        <v>6676</v>
      </c>
      <c r="B6681" s="39">
        <v>927092627</v>
      </c>
      <c r="C6681" s="28" t="str">
        <f>HYPERLINK("https://pld.live/RapDetail.aspx?STONELIST=927092627","DNA")</f>
        <v>DNA</v>
      </c>
      <c r="D6681" s="18" t="s">
        <v>5466</v>
      </c>
      <c r="E6681" s="18" t="s">
        <v>5128</v>
      </c>
      <c r="F6681" s="2" t="s">
        <v>7987</v>
      </c>
      <c r="G6681" s="2" t="s">
        <v>6781</v>
      </c>
      <c r="H6681" s="14">
        <v>0.52</v>
      </c>
      <c r="I6681" s="2" t="s">
        <v>267</v>
      </c>
      <c r="J6681" s="2" t="s">
        <v>6555</v>
      </c>
      <c r="K6681" s="2" t="s">
        <v>1452</v>
      </c>
      <c r="L6681" s="2" t="s">
        <v>5221</v>
      </c>
      <c r="M6681" s="2" t="s">
        <v>5721</v>
      </c>
      <c r="N6681" s="2" t="s">
        <v>2317</v>
      </c>
      <c r="O6681" s="14">
        <v>3000</v>
      </c>
      <c r="P6681" s="14">
        <v>93.97</v>
      </c>
      <c r="Q6681" s="14">
        <v>180.9</v>
      </c>
      <c r="R6681" s="14">
        <v>94.07</v>
      </c>
      <c r="S6681" s="2" t="s">
        <v>1122</v>
      </c>
      <c r="T6681" s="2">
        <v>1.56</v>
      </c>
      <c r="U6681" s="2">
        <v>62.3</v>
      </c>
      <c r="V6681" s="2">
        <v>63</v>
      </c>
      <c r="W6681" s="2" t="s">
        <v>7862</v>
      </c>
      <c r="X6681" s="2" t="s">
        <v>6687</v>
      </c>
      <c r="Y6681" s="2">
        <v>1560</v>
      </c>
      <c r="Z6681" s="19" t="str">
        <f>HYPERLINK("https://ssdweb.co/ssdweb/hd/Vision360.html?d=927092627&amp;zoomslide=1&amp;z=1927092627&amp;ISCONFIRM=0","VIDEO")</f>
        <v>VIDEO</v>
      </c>
      <c r="AA6681" s="19" t="str">
        <f>HYPERLINK("https://ssdweb.co/ssdweb/CERTH/689586891.pdf","CERTI")</f>
        <v>CERTI</v>
      </c>
    </row>
    <row r="6682" spans="1:27" ht="15" x14ac:dyDescent="0.25">
      <c r="A6682" s="2">
        <v>6677</v>
      </c>
      <c r="B6682" s="39">
        <v>927052695</v>
      </c>
      <c r="C6682" s="28" t="str">
        <f>HYPERLINK("https://pld.live/RapDetail.aspx?STONELIST=927052695","DNA")</f>
        <v>DNA</v>
      </c>
      <c r="D6682" s="18" t="s">
        <v>5466</v>
      </c>
      <c r="E6682" s="18" t="s">
        <v>5128</v>
      </c>
      <c r="F6682" s="2" t="s">
        <v>7987</v>
      </c>
      <c r="G6682" s="2" t="s">
        <v>6781</v>
      </c>
      <c r="H6682" s="14">
        <v>0.52</v>
      </c>
      <c r="I6682" s="2" t="s">
        <v>267</v>
      </c>
      <c r="J6682" s="2" t="s">
        <v>6555</v>
      </c>
      <c r="K6682" s="2" t="s">
        <v>1452</v>
      </c>
      <c r="L6682" s="2" t="s">
        <v>5221</v>
      </c>
      <c r="M6682" s="2" t="s">
        <v>5721</v>
      </c>
      <c r="N6682" s="2" t="s">
        <v>2317</v>
      </c>
      <c r="O6682" s="14">
        <v>3000</v>
      </c>
      <c r="P6682" s="14">
        <v>93.97</v>
      </c>
      <c r="Q6682" s="14">
        <v>180.9</v>
      </c>
      <c r="R6682" s="14">
        <v>94.07</v>
      </c>
      <c r="S6682" s="2" t="s">
        <v>427</v>
      </c>
      <c r="T6682" s="2">
        <v>1.54</v>
      </c>
      <c r="U6682" s="2">
        <v>62.4</v>
      </c>
      <c r="V6682" s="2">
        <v>61</v>
      </c>
      <c r="W6682" s="2" t="s">
        <v>7862</v>
      </c>
      <c r="X6682" s="2" t="s">
        <v>6687</v>
      </c>
      <c r="Y6682" s="2">
        <v>1560</v>
      </c>
      <c r="Z6682" s="19" t="str">
        <f>HYPERLINK("https://ssdweb.co/ssdweb/hd/Vision360.html?d=927052695&amp;zoomslide=1&amp;z=1927052695&amp;ISCONFIRM=0","VIDEO")</f>
        <v>VIDEO</v>
      </c>
      <c r="AA6682" s="19" t="str">
        <f>HYPERLINK("https://ssdweb.co/ssdweb/CERTH/670484220.pdf","CERTI")</f>
        <v>CERTI</v>
      </c>
    </row>
    <row r="6683" spans="1:27" ht="15" x14ac:dyDescent="0.25">
      <c r="A6683" s="2">
        <v>6678</v>
      </c>
      <c r="B6683" s="39">
        <v>927140435</v>
      </c>
      <c r="C6683" s="28" t="str">
        <f>HYPERLINK("https://pld.live/RapDetail.aspx?STONELIST=927140435","DNA")</f>
        <v>DNA</v>
      </c>
      <c r="D6683" s="18" t="s">
        <v>5466</v>
      </c>
      <c r="E6683" s="18" t="s">
        <v>2186</v>
      </c>
      <c r="F6683" s="2" t="s">
        <v>7987</v>
      </c>
      <c r="G6683" s="2" t="s">
        <v>6781</v>
      </c>
      <c r="H6683" s="14">
        <v>0.52</v>
      </c>
      <c r="I6683" s="2" t="s">
        <v>267</v>
      </c>
      <c r="J6683" s="2" t="s">
        <v>6555</v>
      </c>
      <c r="K6683" s="2" t="s">
        <v>1452</v>
      </c>
      <c r="L6683" s="2" t="s">
        <v>5221</v>
      </c>
      <c r="M6683" s="2" t="s">
        <v>5721</v>
      </c>
      <c r="N6683" s="2" t="s">
        <v>2317</v>
      </c>
      <c r="O6683" s="14">
        <v>3000</v>
      </c>
      <c r="P6683" s="14">
        <v>93.97</v>
      </c>
      <c r="Q6683" s="14">
        <v>180.9</v>
      </c>
      <c r="R6683" s="14">
        <v>94.07</v>
      </c>
      <c r="S6683" s="2" t="s">
        <v>5818</v>
      </c>
      <c r="T6683" s="2">
        <v>1.55</v>
      </c>
      <c r="U6683" s="2">
        <v>61.4</v>
      </c>
      <c r="V6683" s="2">
        <v>59</v>
      </c>
      <c r="W6683" s="2" t="s">
        <v>7862</v>
      </c>
      <c r="X6683" s="2" t="s">
        <v>6687</v>
      </c>
      <c r="Y6683" s="2">
        <v>1560</v>
      </c>
      <c r="Z6683" s="19" t="str">
        <f>HYPERLINK("https://ssdweb.co/ssdweb/hd/Vision360.html?d=927140435&amp;zoomslide=1&amp;z=1927140435&amp;ISCONFIRM=0","VIDEO")</f>
        <v>VIDEO</v>
      </c>
      <c r="AA6683" s="19" t="str">
        <f>HYPERLINK("https://ssdweb.co/ssdweb/CERTH/689586997.pdf","CERTI")</f>
        <v>CERTI</v>
      </c>
    </row>
    <row r="6684" spans="1:27" ht="15" x14ac:dyDescent="0.25">
      <c r="A6684" s="2">
        <v>6679</v>
      </c>
      <c r="B6684" s="39">
        <v>941280511</v>
      </c>
      <c r="C6684" s="28" t="str">
        <f>HYPERLINK("https://pld.live/RapDetail.aspx?STONELIST=941280511","DNA")</f>
        <v>DNA</v>
      </c>
      <c r="D6684" s="18" t="s">
        <v>5466</v>
      </c>
      <c r="E6684" s="18" t="s">
        <v>2186</v>
      </c>
      <c r="F6684" s="2" t="s">
        <v>7987</v>
      </c>
      <c r="G6684" s="2" t="s">
        <v>6781</v>
      </c>
      <c r="H6684" s="14">
        <v>0.52</v>
      </c>
      <c r="I6684" s="2" t="s">
        <v>267</v>
      </c>
      <c r="J6684" s="2" t="s">
        <v>3942</v>
      </c>
      <c r="K6684" s="2" t="s">
        <v>1452</v>
      </c>
      <c r="L6684" s="2" t="s">
        <v>5221</v>
      </c>
      <c r="M6684" s="2" t="s">
        <v>5221</v>
      </c>
      <c r="N6684" s="2" t="s">
        <v>2317</v>
      </c>
      <c r="O6684" s="14">
        <v>2800</v>
      </c>
      <c r="P6684" s="14">
        <v>94.46</v>
      </c>
      <c r="Q6684" s="14">
        <v>155.12</v>
      </c>
      <c r="R6684" s="14">
        <v>80.66</v>
      </c>
      <c r="S6684" s="2" t="s">
        <v>6899</v>
      </c>
      <c r="T6684" s="2">
        <v>1.62</v>
      </c>
      <c r="U6684" s="2">
        <v>62.6</v>
      </c>
      <c r="V6684" s="2">
        <v>59</v>
      </c>
      <c r="W6684" s="2" t="s">
        <v>7862</v>
      </c>
      <c r="X6684" s="2" t="s">
        <v>6687</v>
      </c>
      <c r="Y6684" s="2">
        <v>1456</v>
      </c>
      <c r="Z6684" s="19" t="str">
        <f>HYPERLINK("https://ssdweb.co/ssdweb/hd/Vision360.html?d=941280511&amp;zoomslide=1&amp;z=1941280511&amp;ISCONFIRM=0","VIDEO")</f>
        <v>VIDEO</v>
      </c>
      <c r="AA6684" s="19" t="str">
        <f>HYPERLINK("https://ssdweb.co/ssdweb/CERTH/691533695.pdf","CERTI")</f>
        <v>CERTI</v>
      </c>
    </row>
    <row r="6685" spans="1:27" ht="15" x14ac:dyDescent="0.25">
      <c r="A6685" s="2">
        <v>6680</v>
      </c>
      <c r="B6685" s="39">
        <v>927132506</v>
      </c>
      <c r="C6685" s="28" t="str">
        <f>HYPERLINK("https://pld.live/RapDetail.aspx?STONELIST=927132506","DNA")</f>
        <v>DNA</v>
      </c>
      <c r="D6685" s="18" t="s">
        <v>5466</v>
      </c>
      <c r="E6685" s="18" t="s">
        <v>5128</v>
      </c>
      <c r="F6685" s="2" t="s">
        <v>7987</v>
      </c>
      <c r="G6685" s="2" t="s">
        <v>6781</v>
      </c>
      <c r="H6685" s="14">
        <v>0.52</v>
      </c>
      <c r="I6685" s="2" t="s">
        <v>267</v>
      </c>
      <c r="J6685" s="2" t="s">
        <v>3942</v>
      </c>
      <c r="K6685" s="2" t="s">
        <v>1452</v>
      </c>
      <c r="L6685" s="2" t="s">
        <v>5221</v>
      </c>
      <c r="M6685" s="2" t="s">
        <v>5221</v>
      </c>
      <c r="N6685" s="2" t="s">
        <v>2317</v>
      </c>
      <c r="O6685" s="14">
        <v>2800</v>
      </c>
      <c r="P6685" s="14">
        <v>94.46</v>
      </c>
      <c r="Q6685" s="14">
        <v>155.12</v>
      </c>
      <c r="R6685" s="14">
        <v>80.66</v>
      </c>
      <c r="S6685" s="2" t="s">
        <v>4469</v>
      </c>
      <c r="T6685" s="2">
        <v>1.54</v>
      </c>
      <c r="U6685" s="2">
        <v>60.9</v>
      </c>
      <c r="V6685" s="2">
        <v>59</v>
      </c>
      <c r="W6685" s="2" t="s">
        <v>7862</v>
      </c>
      <c r="X6685" s="2" t="s">
        <v>6687</v>
      </c>
      <c r="Y6685" s="2">
        <v>1456</v>
      </c>
      <c r="Z6685" s="19" t="str">
        <f>HYPERLINK("https://ssdweb.co/ssdweb/hd/Vision360.html?d=927132506&amp;zoomslide=1&amp;z=1927132506&amp;ISCONFIRM=0","VIDEO")</f>
        <v>VIDEO</v>
      </c>
      <c r="AA6685" s="19" t="str">
        <f>HYPERLINK("https://ssdweb.co/ssdweb/CERTH/689587011.pdf","CERTI")</f>
        <v>CERTI</v>
      </c>
    </row>
    <row r="6686" spans="1:27" ht="15" x14ac:dyDescent="0.25">
      <c r="A6686" s="2">
        <v>6681</v>
      </c>
      <c r="B6686" s="39">
        <v>927132513</v>
      </c>
      <c r="C6686" s="28" t="str">
        <f>HYPERLINK("https://pld.live/RapDetail.aspx?STONELIST=927132513","DNA")</f>
        <v>DNA</v>
      </c>
      <c r="D6686" s="18" t="s">
        <v>5466</v>
      </c>
      <c r="E6686" s="18" t="s">
        <v>5128</v>
      </c>
      <c r="F6686" s="2" t="s">
        <v>7987</v>
      </c>
      <c r="G6686" s="2" t="s">
        <v>6781</v>
      </c>
      <c r="H6686" s="14">
        <v>0.52</v>
      </c>
      <c r="I6686" s="2" t="s">
        <v>267</v>
      </c>
      <c r="J6686" s="2" t="s">
        <v>3942</v>
      </c>
      <c r="K6686" s="2" t="s">
        <v>1452</v>
      </c>
      <c r="L6686" s="2" t="s">
        <v>5221</v>
      </c>
      <c r="M6686" s="2" t="s">
        <v>5221</v>
      </c>
      <c r="N6686" s="2" t="s">
        <v>2317</v>
      </c>
      <c r="O6686" s="14">
        <v>2800</v>
      </c>
      <c r="P6686" s="14">
        <v>94.46</v>
      </c>
      <c r="Q6686" s="14">
        <v>155.12</v>
      </c>
      <c r="R6686" s="14">
        <v>80.66</v>
      </c>
      <c r="S6686" s="2" t="s">
        <v>2836</v>
      </c>
      <c r="T6686" s="2">
        <v>1.52</v>
      </c>
      <c r="U6686" s="2">
        <v>60.1</v>
      </c>
      <c r="V6686" s="2">
        <v>57</v>
      </c>
      <c r="W6686" s="2" t="s">
        <v>7862</v>
      </c>
      <c r="X6686" s="2" t="s">
        <v>6687</v>
      </c>
      <c r="Y6686" s="2">
        <v>1456</v>
      </c>
      <c r="Z6686" s="19" t="str">
        <f>HYPERLINK("https://ssdweb.co/ssdweb/hd/Vision360.html?d=927132513&amp;zoomslide=1&amp;z=1927132513&amp;ISCONFIRM=0","VIDEO")</f>
        <v>VIDEO</v>
      </c>
      <c r="AA6686" s="19" t="str">
        <f>HYPERLINK("https://ssdweb.co/ssdweb/CERTH/689587039.pdf","CERTI")</f>
        <v>CERTI</v>
      </c>
    </row>
    <row r="6687" spans="1:27" ht="15" x14ac:dyDescent="0.25">
      <c r="A6687" s="2">
        <v>6682</v>
      </c>
      <c r="B6687" s="39">
        <v>927132550</v>
      </c>
      <c r="C6687" s="28" t="str">
        <f>HYPERLINK("https://pld.live/RapDetail.aspx?STONELIST=927132550","DNA")</f>
        <v>DNA</v>
      </c>
      <c r="D6687" s="18" t="s">
        <v>5466</v>
      </c>
      <c r="E6687" s="18" t="s">
        <v>5128</v>
      </c>
      <c r="F6687" s="2" t="s">
        <v>7987</v>
      </c>
      <c r="G6687" s="2" t="s">
        <v>6781</v>
      </c>
      <c r="H6687" s="14">
        <v>0.52</v>
      </c>
      <c r="I6687" s="2" t="s">
        <v>267</v>
      </c>
      <c r="J6687" s="2" t="s">
        <v>3942</v>
      </c>
      <c r="K6687" s="2" t="s">
        <v>1452</v>
      </c>
      <c r="L6687" s="2" t="s">
        <v>5221</v>
      </c>
      <c r="M6687" s="2" t="s">
        <v>5221</v>
      </c>
      <c r="N6687" s="2" t="s">
        <v>2317</v>
      </c>
      <c r="O6687" s="14">
        <v>2800</v>
      </c>
      <c r="P6687" s="14">
        <v>94.46</v>
      </c>
      <c r="Q6687" s="14">
        <v>155.12</v>
      </c>
      <c r="R6687" s="14">
        <v>80.66</v>
      </c>
      <c r="S6687" s="2" t="s">
        <v>1784</v>
      </c>
      <c r="T6687" s="2">
        <v>1.54</v>
      </c>
      <c r="U6687" s="2">
        <v>60.6</v>
      </c>
      <c r="V6687" s="2">
        <v>57</v>
      </c>
      <c r="W6687" s="2" t="s">
        <v>7862</v>
      </c>
      <c r="X6687" s="2" t="s">
        <v>6687</v>
      </c>
      <c r="Y6687" s="2">
        <v>1456</v>
      </c>
      <c r="Z6687" s="19" t="str">
        <f>HYPERLINK("https://ssdweb.co/ssdweb/hd/Vision360.html?d=927132550&amp;zoomslide=1&amp;z=1927132550&amp;ISCONFIRM=0","VIDEO")</f>
        <v>VIDEO</v>
      </c>
      <c r="AA6687" s="19" t="str">
        <f>HYPERLINK("https://ssdweb.co/ssdweb/CERTH/689586988.pdf","CERTI")</f>
        <v>CERTI</v>
      </c>
    </row>
    <row r="6688" spans="1:27" ht="15" x14ac:dyDescent="0.25">
      <c r="A6688" s="2">
        <v>6683</v>
      </c>
      <c r="B6688" s="39">
        <v>927152913</v>
      </c>
      <c r="C6688" s="28" t="str">
        <f>HYPERLINK("https://pld.live/RapDetail.aspx?STONELIST=927152913","DNA")</f>
        <v>DNA</v>
      </c>
      <c r="D6688" s="18" t="s">
        <v>5466</v>
      </c>
      <c r="E6688" s="18" t="s">
        <v>5128</v>
      </c>
      <c r="F6688" s="2" t="s">
        <v>7987</v>
      </c>
      <c r="G6688" s="2" t="s">
        <v>6781</v>
      </c>
      <c r="H6688" s="14">
        <v>0.52</v>
      </c>
      <c r="I6688" s="2" t="s">
        <v>267</v>
      </c>
      <c r="J6688" s="2" t="s">
        <v>3942</v>
      </c>
      <c r="K6688" s="2" t="s">
        <v>1452</v>
      </c>
      <c r="L6688" s="2" t="s">
        <v>5221</v>
      </c>
      <c r="M6688" s="2" t="s">
        <v>5221</v>
      </c>
      <c r="N6688" s="2" t="s">
        <v>2317</v>
      </c>
      <c r="O6688" s="14">
        <v>2800</v>
      </c>
      <c r="P6688" s="14">
        <v>94.46</v>
      </c>
      <c r="Q6688" s="14">
        <v>155.12</v>
      </c>
      <c r="R6688" s="14">
        <v>80.66</v>
      </c>
      <c r="S6688" s="2" t="s">
        <v>5864</v>
      </c>
      <c r="T6688" s="2">
        <v>1.52</v>
      </c>
      <c r="U6688" s="2">
        <v>60.2</v>
      </c>
      <c r="V6688" s="2">
        <v>59</v>
      </c>
      <c r="W6688" s="2" t="s">
        <v>7862</v>
      </c>
      <c r="X6688" s="2" t="s">
        <v>6687</v>
      </c>
      <c r="Y6688" s="2">
        <v>1456</v>
      </c>
      <c r="Z6688" s="19" t="str">
        <f>HYPERLINK("https://ssdweb.co/ssdweb/hd/Vision360.html?d=927152913&amp;zoomslide=1&amp;z=1927152913&amp;ISCONFIRM=0","VIDEO")</f>
        <v>VIDEO</v>
      </c>
      <c r="AA6688" s="19" t="str">
        <f>HYPERLINK("https://ssdweb.co/ssdweb/CERTH/689586853.pdf","CERTI")</f>
        <v>CERTI</v>
      </c>
    </row>
    <row r="6689" spans="1:27" ht="15" x14ac:dyDescent="0.25">
      <c r="A6689" s="2">
        <v>6684</v>
      </c>
      <c r="B6689" s="39">
        <v>927152901</v>
      </c>
      <c r="C6689" s="28" t="str">
        <f>HYPERLINK("https://pld.live/RapDetail.aspx?STONELIST=927152901","DNA")</f>
        <v>DNA</v>
      </c>
      <c r="D6689" s="18" t="s">
        <v>5466</v>
      </c>
      <c r="E6689" s="18" t="s">
        <v>5128</v>
      </c>
      <c r="F6689" s="2" t="s">
        <v>7987</v>
      </c>
      <c r="G6689" s="2" t="s">
        <v>6781</v>
      </c>
      <c r="H6689" s="14">
        <v>0.52</v>
      </c>
      <c r="I6689" s="2" t="s">
        <v>267</v>
      </c>
      <c r="J6689" s="2" t="s">
        <v>3942</v>
      </c>
      <c r="K6689" s="2" t="s">
        <v>1452</v>
      </c>
      <c r="L6689" s="2" t="s">
        <v>5221</v>
      </c>
      <c r="M6689" s="2" t="s">
        <v>5221</v>
      </c>
      <c r="N6689" s="2" t="s">
        <v>2317</v>
      </c>
      <c r="O6689" s="14">
        <v>2800</v>
      </c>
      <c r="P6689" s="14">
        <v>94.46</v>
      </c>
      <c r="Q6689" s="14">
        <v>155.12</v>
      </c>
      <c r="R6689" s="14">
        <v>80.66</v>
      </c>
      <c r="S6689" s="2" t="s">
        <v>7045</v>
      </c>
      <c r="T6689" s="2">
        <v>1.55</v>
      </c>
      <c r="U6689" s="2">
        <v>61.1</v>
      </c>
      <c r="V6689" s="2">
        <v>59</v>
      </c>
      <c r="W6689" s="2" t="s">
        <v>7862</v>
      </c>
      <c r="X6689" s="2" t="s">
        <v>6687</v>
      </c>
      <c r="Y6689" s="2">
        <v>1456</v>
      </c>
      <c r="Z6689" s="19" t="str">
        <f>HYPERLINK("https://ssdweb.co/ssdweb/hd/Vision360.html?d=927152901&amp;zoomslide=1&amp;z=1927152901&amp;ISCONFIRM=0","VIDEO")</f>
        <v>VIDEO</v>
      </c>
      <c r="AA6689" s="19" t="str">
        <f>HYPERLINK("https://ssdweb.co/ssdweb/CERTH/689587030.pdf","CERTI")</f>
        <v>CERTI</v>
      </c>
    </row>
    <row r="6690" spans="1:27" ht="15" x14ac:dyDescent="0.25">
      <c r="A6690" s="2">
        <v>6685</v>
      </c>
      <c r="B6690" s="39">
        <v>927152890</v>
      </c>
      <c r="C6690" s="28" t="str">
        <f>HYPERLINK("https://pld.live/RapDetail.aspx?STONELIST=927152890","DNA")</f>
        <v>DNA</v>
      </c>
      <c r="D6690" s="18" t="s">
        <v>5466</v>
      </c>
      <c r="E6690" s="18" t="s">
        <v>5128</v>
      </c>
      <c r="F6690" s="2" t="s">
        <v>7987</v>
      </c>
      <c r="G6690" s="2" t="s">
        <v>6781</v>
      </c>
      <c r="H6690" s="14">
        <v>0.52</v>
      </c>
      <c r="I6690" s="2" t="s">
        <v>267</v>
      </c>
      <c r="J6690" s="2" t="s">
        <v>3942</v>
      </c>
      <c r="K6690" s="2" t="s">
        <v>1452</v>
      </c>
      <c r="L6690" s="2" t="s">
        <v>5221</v>
      </c>
      <c r="M6690" s="2" t="s">
        <v>5221</v>
      </c>
      <c r="N6690" s="2" t="s">
        <v>2317</v>
      </c>
      <c r="O6690" s="14">
        <v>2800</v>
      </c>
      <c r="P6690" s="14">
        <v>94.46</v>
      </c>
      <c r="Q6690" s="14">
        <v>155.12</v>
      </c>
      <c r="R6690" s="14">
        <v>80.66</v>
      </c>
      <c r="S6690" s="2" t="s">
        <v>8000</v>
      </c>
      <c r="T6690" s="2">
        <v>1.53</v>
      </c>
      <c r="U6690" s="2">
        <v>61.1</v>
      </c>
      <c r="V6690" s="2">
        <v>59</v>
      </c>
      <c r="W6690" s="2" t="s">
        <v>7862</v>
      </c>
      <c r="X6690" s="2" t="s">
        <v>6687</v>
      </c>
      <c r="Y6690" s="2">
        <v>1456</v>
      </c>
      <c r="Z6690" s="19" t="str">
        <f>HYPERLINK("https://ssdweb.co/ssdweb/hd/Vision360.html?d=927152890&amp;zoomslide=1&amp;z=1927152890&amp;ISCONFIRM=0","VIDEO")</f>
        <v>VIDEO</v>
      </c>
      <c r="AA6690" s="19" t="str">
        <f>HYPERLINK("https://ssdweb.co/ssdweb/CERTH/689587027.pdf","CERTI")</f>
        <v>CERTI</v>
      </c>
    </row>
    <row r="6691" spans="1:27" ht="15" x14ac:dyDescent="0.25">
      <c r="A6691" s="2">
        <v>6686</v>
      </c>
      <c r="B6691" s="39">
        <v>927132448</v>
      </c>
      <c r="C6691" s="28" t="str">
        <f>HYPERLINK("https://pld.live/RapDetail.aspx?STONELIST=927132448","DNA")</f>
        <v>DNA</v>
      </c>
      <c r="D6691" s="18" t="s">
        <v>5466</v>
      </c>
      <c r="E6691" s="18" t="s">
        <v>5128</v>
      </c>
      <c r="F6691" s="2" t="s">
        <v>7987</v>
      </c>
      <c r="G6691" s="2" t="s">
        <v>6781</v>
      </c>
      <c r="H6691" s="14">
        <v>0.52</v>
      </c>
      <c r="I6691" s="2" t="s">
        <v>267</v>
      </c>
      <c r="J6691" s="2" t="s">
        <v>3942</v>
      </c>
      <c r="K6691" s="2" t="s">
        <v>1452</v>
      </c>
      <c r="L6691" s="2" t="s">
        <v>5221</v>
      </c>
      <c r="M6691" s="2" t="s">
        <v>5221</v>
      </c>
      <c r="N6691" s="2" t="s">
        <v>2317</v>
      </c>
      <c r="O6691" s="14">
        <v>2800</v>
      </c>
      <c r="P6691" s="14">
        <v>94.46</v>
      </c>
      <c r="Q6691" s="14">
        <v>155.12</v>
      </c>
      <c r="R6691" s="14">
        <v>80.66</v>
      </c>
      <c r="S6691" s="2" t="s">
        <v>874</v>
      </c>
      <c r="T6691" s="2">
        <v>1.52</v>
      </c>
      <c r="U6691" s="2">
        <v>60.1</v>
      </c>
      <c r="V6691" s="2">
        <v>61</v>
      </c>
      <c r="W6691" s="2" t="s">
        <v>7862</v>
      </c>
      <c r="X6691" s="2" t="s">
        <v>6687</v>
      </c>
      <c r="Y6691" s="2">
        <v>1456</v>
      </c>
      <c r="Z6691" s="19" t="str">
        <f>HYPERLINK("https://ssdweb.co/ssdweb/hd/Vision360.html?d=927132448&amp;zoomslide=1&amp;z=1927132448&amp;ISCONFIRM=0","VIDEO")</f>
        <v>VIDEO</v>
      </c>
      <c r="AA6691" s="19" t="str">
        <f>HYPERLINK("https://ssdweb.co/ssdweb/CERTH/689586975.pdf","CERTI")</f>
        <v>CERTI</v>
      </c>
    </row>
    <row r="6692" spans="1:27" ht="15" x14ac:dyDescent="0.25">
      <c r="A6692" s="2">
        <v>6687</v>
      </c>
      <c r="B6692" s="39">
        <v>927102455</v>
      </c>
      <c r="C6692" s="28" t="str">
        <f>HYPERLINK("https://pld.live/RapDetail.aspx?STONELIST=927102455","DNA")</f>
        <v>DNA</v>
      </c>
      <c r="D6692" s="18" t="s">
        <v>5466</v>
      </c>
      <c r="E6692" s="18" t="s">
        <v>5128</v>
      </c>
      <c r="F6692" s="2" t="s">
        <v>7987</v>
      </c>
      <c r="G6692" s="2" t="s">
        <v>6781</v>
      </c>
      <c r="H6692" s="14">
        <v>0.52</v>
      </c>
      <c r="I6692" s="2" t="s">
        <v>267</v>
      </c>
      <c r="J6692" s="2" t="s">
        <v>3942</v>
      </c>
      <c r="K6692" s="2" t="s">
        <v>1452</v>
      </c>
      <c r="L6692" s="2" t="s">
        <v>5221</v>
      </c>
      <c r="M6692" s="2" t="s">
        <v>5221</v>
      </c>
      <c r="N6692" s="2" t="s">
        <v>2317</v>
      </c>
      <c r="O6692" s="14">
        <v>2800</v>
      </c>
      <c r="P6692" s="14">
        <v>94.46</v>
      </c>
      <c r="Q6692" s="14">
        <v>155.12</v>
      </c>
      <c r="R6692" s="14">
        <v>80.66</v>
      </c>
      <c r="S6692" s="2" t="s">
        <v>3763</v>
      </c>
      <c r="T6692" s="2">
        <v>1.53</v>
      </c>
      <c r="U6692" s="2">
        <v>62</v>
      </c>
      <c r="V6692" s="2">
        <v>60</v>
      </c>
      <c r="W6692" s="2" t="s">
        <v>7862</v>
      </c>
      <c r="X6692" s="2" t="s">
        <v>6687</v>
      </c>
      <c r="Y6692" s="2">
        <v>1456</v>
      </c>
      <c r="Z6692" s="19" t="str">
        <f>HYPERLINK("https://ssdweb.co/ssdweb/hd/Vision360.html?d=927102455&amp;zoomslide=1&amp;z=1927102455&amp;ISCONFIRM=0","VIDEO")</f>
        <v>VIDEO</v>
      </c>
      <c r="AA6692" s="19" t="str">
        <f>HYPERLINK("https://ssdweb.co/ssdweb/CERTH/689586921.pdf","CERTI")</f>
        <v>CERTI</v>
      </c>
    </row>
    <row r="6693" spans="1:27" ht="15" x14ac:dyDescent="0.25">
      <c r="A6693" s="2">
        <v>6688</v>
      </c>
      <c r="B6693" s="39">
        <v>927052726</v>
      </c>
      <c r="C6693" s="28" t="str">
        <f>HYPERLINK("https://pld.live/RapDetail.aspx?STONELIST=927052726","DNA")</f>
        <v>DNA</v>
      </c>
      <c r="D6693" s="18" t="s">
        <v>5466</v>
      </c>
      <c r="E6693" s="18" t="s">
        <v>5128</v>
      </c>
      <c r="F6693" s="2" t="s">
        <v>7987</v>
      </c>
      <c r="G6693" s="2" t="s">
        <v>6781</v>
      </c>
      <c r="H6693" s="14">
        <v>0.52</v>
      </c>
      <c r="I6693" s="2" t="s">
        <v>267</v>
      </c>
      <c r="J6693" s="2" t="s">
        <v>3942</v>
      </c>
      <c r="K6693" s="2" t="s">
        <v>1452</v>
      </c>
      <c r="L6693" s="2" t="s">
        <v>5221</v>
      </c>
      <c r="M6693" s="2" t="s">
        <v>5221</v>
      </c>
      <c r="N6693" s="2" t="s">
        <v>2317</v>
      </c>
      <c r="O6693" s="14">
        <v>2800</v>
      </c>
      <c r="P6693" s="14">
        <v>94.46</v>
      </c>
      <c r="Q6693" s="14">
        <v>155.12</v>
      </c>
      <c r="R6693" s="14">
        <v>80.66</v>
      </c>
      <c r="S6693" s="2" t="s">
        <v>6331</v>
      </c>
      <c r="T6693" s="2">
        <v>1.55</v>
      </c>
      <c r="U6693" s="2">
        <v>61.7</v>
      </c>
      <c r="V6693" s="2">
        <v>58</v>
      </c>
      <c r="W6693" s="2" t="s">
        <v>7862</v>
      </c>
      <c r="X6693" s="2" t="s">
        <v>6687</v>
      </c>
      <c r="Y6693" s="2">
        <v>1456</v>
      </c>
      <c r="Z6693" s="19" t="str">
        <f>HYPERLINK("https://ssdweb.co/ssdweb/hd/Vision360.html?d=927052726&amp;zoomslide=1&amp;z=1927052726&amp;ISCONFIRM=0","VIDEO")</f>
        <v>VIDEO</v>
      </c>
      <c r="AA6693" s="19" t="str">
        <f>HYPERLINK("https://ssdweb.co/ssdweb/CERTH/689586910.pdf","CERTI")</f>
        <v>CERTI</v>
      </c>
    </row>
    <row r="6694" spans="1:27" ht="15" x14ac:dyDescent="0.25">
      <c r="A6694" s="2">
        <v>6689</v>
      </c>
      <c r="B6694" s="39">
        <v>927010829</v>
      </c>
      <c r="C6694" s="28" t="str">
        <f>HYPERLINK("https://pld.live/RapDetail.aspx?STONELIST=927010829","DNA")</f>
        <v>DNA</v>
      </c>
      <c r="D6694" s="18" t="s">
        <v>5466</v>
      </c>
      <c r="E6694" s="18" t="s">
        <v>2186</v>
      </c>
      <c r="F6694" s="2" t="s">
        <v>7987</v>
      </c>
      <c r="G6694" s="2" t="s">
        <v>6781</v>
      </c>
      <c r="H6694" s="14">
        <v>0.52</v>
      </c>
      <c r="I6694" s="2" t="s">
        <v>267</v>
      </c>
      <c r="J6694" s="2" t="s">
        <v>3942</v>
      </c>
      <c r="K6694" s="2" t="s">
        <v>1452</v>
      </c>
      <c r="L6694" s="2" t="s">
        <v>5221</v>
      </c>
      <c r="M6694" s="2" t="s">
        <v>5721</v>
      </c>
      <c r="N6694" s="2" t="s">
        <v>2317</v>
      </c>
      <c r="O6694" s="14">
        <v>2800</v>
      </c>
      <c r="P6694" s="14">
        <v>94.54</v>
      </c>
      <c r="Q6694" s="14">
        <v>152.88</v>
      </c>
      <c r="R6694" s="14">
        <v>79.5</v>
      </c>
      <c r="S6694" s="2" t="s">
        <v>461</v>
      </c>
      <c r="T6694" s="2">
        <v>1.55</v>
      </c>
      <c r="U6694" s="2">
        <v>61.1</v>
      </c>
      <c r="V6694" s="2">
        <v>59</v>
      </c>
      <c r="W6694" s="2" t="s">
        <v>7862</v>
      </c>
      <c r="X6694" s="2" t="s">
        <v>6687</v>
      </c>
      <c r="Y6694" s="2">
        <v>1456</v>
      </c>
      <c r="Z6694" s="19" t="str">
        <f>HYPERLINK("https://ssdweb.co/ssdweb/hd/Vision360.html?d=927010829&amp;zoomslide=1&amp;z=1927010829&amp;ISCONFIRM=0","VIDEO")</f>
        <v>VIDEO</v>
      </c>
      <c r="AA6694" s="19" t="str">
        <f>HYPERLINK("https://ssdweb.co/ssdweb/CERTH/670484180.pdf","CERTI")</f>
        <v>CERTI</v>
      </c>
    </row>
    <row r="6695" spans="1:27" ht="15" x14ac:dyDescent="0.25">
      <c r="A6695" s="2">
        <v>6690</v>
      </c>
      <c r="B6695" s="39">
        <v>941140781</v>
      </c>
      <c r="C6695" s="28" t="str">
        <f>HYPERLINK("https://pld.live/RapDetail.aspx?STONELIST=941140781","DNA")</f>
        <v>DNA</v>
      </c>
      <c r="D6695" s="18" t="s">
        <v>5466</v>
      </c>
      <c r="E6695" s="18" t="s">
        <v>5128</v>
      </c>
      <c r="F6695" s="2" t="s">
        <v>7987</v>
      </c>
      <c r="G6695" s="2" t="s">
        <v>6781</v>
      </c>
      <c r="H6695" s="14">
        <v>0.52</v>
      </c>
      <c r="I6695" s="2" t="s">
        <v>267</v>
      </c>
      <c r="J6695" s="2" t="s">
        <v>3942</v>
      </c>
      <c r="K6695" s="2" t="s">
        <v>1452</v>
      </c>
      <c r="L6695" s="2" t="s">
        <v>5221</v>
      </c>
      <c r="M6695" s="2" t="s">
        <v>5721</v>
      </c>
      <c r="N6695" s="2" t="s">
        <v>2317</v>
      </c>
      <c r="O6695" s="14">
        <v>2800</v>
      </c>
      <c r="P6695" s="14">
        <v>94.54</v>
      </c>
      <c r="Q6695" s="14">
        <v>152.88</v>
      </c>
      <c r="R6695" s="14">
        <v>79.5</v>
      </c>
      <c r="S6695" s="2" t="s">
        <v>262</v>
      </c>
      <c r="T6695" s="2">
        <v>1.62</v>
      </c>
      <c r="U6695" s="2">
        <v>59.5</v>
      </c>
      <c r="V6695" s="2">
        <v>59</v>
      </c>
      <c r="W6695" s="2" t="s">
        <v>7862</v>
      </c>
      <c r="X6695" s="2" t="s">
        <v>6687</v>
      </c>
      <c r="Y6695" s="2">
        <v>1456</v>
      </c>
      <c r="Z6695" s="19" t="str">
        <f>HYPERLINK("https://ssdweb.co/ssdweb/hd/Vision360.html?d=941140781&amp;zoomslide=1&amp;z=1941140781&amp;ISCONFIRM=0","VIDEO")</f>
        <v>VIDEO</v>
      </c>
      <c r="AA6695" s="19" t="str">
        <f>HYPERLINK("https://ssdweb.co/ssdweb/CERTH/675504524.pdf","CERTI")</f>
        <v>CERTI</v>
      </c>
    </row>
    <row r="6696" spans="1:27" ht="15" x14ac:dyDescent="0.25">
      <c r="A6696" s="2">
        <v>6691</v>
      </c>
      <c r="B6696" s="39">
        <v>941071319</v>
      </c>
      <c r="C6696" s="28" t="str">
        <f>HYPERLINK("https://pld.live/RapDetail.aspx?STONELIST=941071319","DNA")</f>
        <v>DNA</v>
      </c>
      <c r="D6696" s="18" t="s">
        <v>5466</v>
      </c>
      <c r="E6696" s="18" t="s">
        <v>5128</v>
      </c>
      <c r="F6696" s="2" t="s">
        <v>7987</v>
      </c>
      <c r="G6696" s="2" t="s">
        <v>6781</v>
      </c>
      <c r="H6696" s="14">
        <v>0.52</v>
      </c>
      <c r="I6696" s="2" t="s">
        <v>267</v>
      </c>
      <c r="J6696" s="2" t="s">
        <v>3942</v>
      </c>
      <c r="K6696" s="2" t="s">
        <v>1452</v>
      </c>
      <c r="L6696" s="2" t="s">
        <v>5221</v>
      </c>
      <c r="M6696" s="2" t="s">
        <v>5721</v>
      </c>
      <c r="N6696" s="2" t="s">
        <v>2317</v>
      </c>
      <c r="O6696" s="14">
        <v>2800</v>
      </c>
      <c r="P6696" s="14">
        <v>94.54</v>
      </c>
      <c r="Q6696" s="14">
        <v>152.88</v>
      </c>
      <c r="R6696" s="14">
        <v>79.5</v>
      </c>
      <c r="S6696" s="2" t="s">
        <v>2109</v>
      </c>
      <c r="T6696" s="2">
        <v>1.55</v>
      </c>
      <c r="U6696" s="2">
        <v>62.5</v>
      </c>
      <c r="V6696" s="2">
        <v>60</v>
      </c>
      <c r="W6696" s="2" t="s">
        <v>7862</v>
      </c>
      <c r="X6696" s="2" t="s">
        <v>6687</v>
      </c>
      <c r="Y6696" s="2">
        <v>1456</v>
      </c>
      <c r="Z6696" s="19" t="str">
        <f>HYPERLINK("https://ssdweb.co/ssdweb/hd/Vision360.html?d=941071319&amp;zoomslide=1&amp;z=1941071319&amp;ISCONFIRM=0","VIDEO")</f>
        <v>VIDEO</v>
      </c>
      <c r="AA6696" s="19" t="str">
        <f>HYPERLINK("https://ssdweb.co/ssdweb/CERTH/674543136.pdf","CERTI")</f>
        <v>CERTI</v>
      </c>
    </row>
    <row r="6697" spans="1:27" ht="15" x14ac:dyDescent="0.25">
      <c r="A6697" s="2">
        <v>6692</v>
      </c>
      <c r="B6697" s="39">
        <v>927152935</v>
      </c>
      <c r="C6697" s="28" t="str">
        <f>HYPERLINK("https://pld.live/RapDetail.aspx?STONELIST=927152935","DNA")</f>
        <v>DNA</v>
      </c>
      <c r="D6697" s="18" t="s">
        <v>5466</v>
      </c>
      <c r="E6697" s="18" t="s">
        <v>5128</v>
      </c>
      <c r="F6697" s="2" t="s">
        <v>7987</v>
      </c>
      <c r="G6697" s="2" t="s">
        <v>6781</v>
      </c>
      <c r="H6697" s="14">
        <v>0.52</v>
      </c>
      <c r="I6697" s="2" t="s">
        <v>267</v>
      </c>
      <c r="J6697" s="2" t="s">
        <v>3942</v>
      </c>
      <c r="K6697" s="2" t="s">
        <v>1452</v>
      </c>
      <c r="L6697" s="2" t="s">
        <v>5221</v>
      </c>
      <c r="M6697" s="2" t="s">
        <v>5721</v>
      </c>
      <c r="N6697" s="2" t="s">
        <v>2317</v>
      </c>
      <c r="O6697" s="14">
        <v>2800</v>
      </c>
      <c r="P6697" s="14">
        <v>94.54</v>
      </c>
      <c r="Q6697" s="14">
        <v>152.88</v>
      </c>
      <c r="R6697" s="14">
        <v>79.5</v>
      </c>
      <c r="S6697" s="2" t="s">
        <v>3058</v>
      </c>
      <c r="T6697" s="2">
        <v>1.52</v>
      </c>
      <c r="U6697" s="2">
        <v>61.1</v>
      </c>
      <c r="V6697" s="2">
        <v>60</v>
      </c>
      <c r="W6697" s="2" t="s">
        <v>7862</v>
      </c>
      <c r="X6697" s="2" t="s">
        <v>6687</v>
      </c>
      <c r="Y6697" s="2">
        <v>1456</v>
      </c>
      <c r="Z6697" s="19" t="str">
        <f>HYPERLINK("https://ssdweb.co/ssdweb/hd/Vision360.html?d=927152935&amp;zoomslide=1&amp;z=1927152935&amp;ISCONFIRM=0","VIDEO")</f>
        <v>VIDEO</v>
      </c>
      <c r="AA6697" s="19" t="str">
        <f>HYPERLINK("https://ssdweb.co/ssdweb/CERTH/674543121.pdf","CERTI")</f>
        <v>CERTI</v>
      </c>
    </row>
    <row r="6698" spans="1:27" ht="15" x14ac:dyDescent="0.25">
      <c r="A6698" s="2">
        <v>6693</v>
      </c>
      <c r="B6698" s="39">
        <v>941040715</v>
      </c>
      <c r="C6698" s="28" t="str">
        <f>HYPERLINK("https://pld.live/RapDetail.aspx?STONELIST=941040715","DNA")</f>
        <v>DNA</v>
      </c>
      <c r="D6698" s="18" t="s">
        <v>5466</v>
      </c>
      <c r="E6698" s="18" t="s">
        <v>5128</v>
      </c>
      <c r="F6698" s="2" t="s">
        <v>7987</v>
      </c>
      <c r="G6698" s="2" t="s">
        <v>6781</v>
      </c>
      <c r="H6698" s="14">
        <v>0.52</v>
      </c>
      <c r="I6698" s="2" t="s">
        <v>267</v>
      </c>
      <c r="J6698" s="2" t="s">
        <v>3942</v>
      </c>
      <c r="K6698" s="2" t="s">
        <v>1452</v>
      </c>
      <c r="L6698" s="2" t="s">
        <v>5221</v>
      </c>
      <c r="M6698" s="2" t="s">
        <v>5721</v>
      </c>
      <c r="N6698" s="2" t="s">
        <v>2317</v>
      </c>
      <c r="O6698" s="14">
        <v>2800</v>
      </c>
      <c r="P6698" s="14">
        <v>94.54</v>
      </c>
      <c r="Q6698" s="14">
        <v>152.88</v>
      </c>
      <c r="R6698" s="14">
        <v>79.5</v>
      </c>
      <c r="S6698" s="2" t="s">
        <v>3198</v>
      </c>
      <c r="T6698" s="2">
        <v>1.51</v>
      </c>
      <c r="U6698" s="2">
        <v>60.8</v>
      </c>
      <c r="V6698" s="2">
        <v>60</v>
      </c>
      <c r="W6698" s="2" t="s">
        <v>7862</v>
      </c>
      <c r="X6698" s="2" t="s">
        <v>6687</v>
      </c>
      <c r="Y6698" s="2">
        <v>1456</v>
      </c>
      <c r="Z6698" s="19" t="str">
        <f>HYPERLINK("https://ssdweb.co/ssdweb/hd/Vision360.html?d=941040715&amp;zoomslide=1&amp;z=1941040715&amp;ISCONFIRM=0","VIDEO")</f>
        <v>VIDEO</v>
      </c>
      <c r="AA6698" s="19" t="str">
        <f>HYPERLINK("https://ssdweb.co/ssdweb/CERTH/674543103.pdf","CERTI")</f>
        <v>CERTI</v>
      </c>
    </row>
    <row r="6699" spans="1:27" ht="15" x14ac:dyDescent="0.25">
      <c r="A6699" s="2">
        <v>6694</v>
      </c>
      <c r="B6699" s="39">
        <v>927132456</v>
      </c>
      <c r="C6699" s="28" t="str">
        <f>HYPERLINK("https://pld.live/RapDetail.aspx?STONELIST=927132456","DNA")</f>
        <v>DNA</v>
      </c>
      <c r="D6699" s="18" t="s">
        <v>5466</v>
      </c>
      <c r="E6699" s="18" t="s">
        <v>5128</v>
      </c>
      <c r="F6699" s="2" t="s">
        <v>7987</v>
      </c>
      <c r="G6699" s="2" t="s">
        <v>6781</v>
      </c>
      <c r="H6699" s="14">
        <v>0.52</v>
      </c>
      <c r="I6699" s="2" t="s">
        <v>267</v>
      </c>
      <c r="J6699" s="2" t="s">
        <v>3942</v>
      </c>
      <c r="K6699" s="2" t="s">
        <v>1452</v>
      </c>
      <c r="L6699" s="2" t="s">
        <v>5221</v>
      </c>
      <c r="M6699" s="2" t="s">
        <v>5721</v>
      </c>
      <c r="N6699" s="2" t="s">
        <v>2317</v>
      </c>
      <c r="O6699" s="14">
        <v>2800</v>
      </c>
      <c r="P6699" s="14">
        <v>94.54</v>
      </c>
      <c r="Q6699" s="14">
        <v>152.88</v>
      </c>
      <c r="R6699" s="14">
        <v>79.5</v>
      </c>
      <c r="S6699" s="2" t="s">
        <v>4106</v>
      </c>
      <c r="T6699" s="2">
        <v>1.52</v>
      </c>
      <c r="U6699" s="2">
        <v>60.7</v>
      </c>
      <c r="V6699" s="2">
        <v>59</v>
      </c>
      <c r="W6699" s="2" t="s">
        <v>7862</v>
      </c>
      <c r="X6699" s="2" t="s">
        <v>6687</v>
      </c>
      <c r="Y6699" s="2">
        <v>1456</v>
      </c>
      <c r="Z6699" s="19" t="str">
        <f>HYPERLINK("https://ssdweb.co/ssdweb/hd/Vision360.html?d=927132456&amp;zoomslide=1&amp;z=1927132456&amp;ISCONFIRM=0","VIDEO")</f>
        <v>VIDEO</v>
      </c>
      <c r="AA6699" s="19" t="str">
        <f>HYPERLINK("https://ssdweb.co/ssdweb/CERTH/689586980.pdf","CERTI")</f>
        <v>CERTI</v>
      </c>
    </row>
    <row r="6700" spans="1:27" ht="15" x14ac:dyDescent="0.25">
      <c r="A6700" s="2">
        <v>6695</v>
      </c>
      <c r="B6700" s="39">
        <v>927101000</v>
      </c>
      <c r="C6700" s="28" t="str">
        <f>HYPERLINK("https://pld.live/RapDetail.aspx?STONELIST=927101000","DNA")</f>
        <v>DNA</v>
      </c>
      <c r="D6700" s="18" t="s">
        <v>5466</v>
      </c>
      <c r="E6700" s="18" t="s">
        <v>5128</v>
      </c>
      <c r="F6700" s="2" t="s">
        <v>7987</v>
      </c>
      <c r="G6700" s="2" t="s">
        <v>6781</v>
      </c>
      <c r="H6700" s="14">
        <v>0.52</v>
      </c>
      <c r="I6700" s="2" t="s">
        <v>267</v>
      </c>
      <c r="J6700" s="2" t="s">
        <v>3942</v>
      </c>
      <c r="K6700" s="2" t="s">
        <v>1452</v>
      </c>
      <c r="L6700" s="2" t="s">
        <v>5721</v>
      </c>
      <c r="M6700" s="2" t="s">
        <v>5721</v>
      </c>
      <c r="N6700" s="2" t="s">
        <v>2317</v>
      </c>
      <c r="O6700" s="14">
        <v>2800</v>
      </c>
      <c r="P6700" s="14">
        <v>94.61</v>
      </c>
      <c r="Q6700" s="14">
        <v>150.91999999999999</v>
      </c>
      <c r="R6700" s="14">
        <v>78.48</v>
      </c>
      <c r="S6700" s="2" t="s">
        <v>985</v>
      </c>
      <c r="T6700" s="2">
        <v>1.53</v>
      </c>
      <c r="U6700" s="2">
        <v>61.3</v>
      </c>
      <c r="V6700" s="2">
        <v>61</v>
      </c>
      <c r="W6700" s="2" t="s">
        <v>7862</v>
      </c>
      <c r="X6700" s="2" t="s">
        <v>6687</v>
      </c>
      <c r="Y6700" s="2">
        <v>1456</v>
      </c>
      <c r="Z6700" s="19" t="str">
        <f>HYPERLINK("https://ssdweb.co/ssdweb/hd/Vision360.html?d=927101000&amp;zoomslide=1&amp;z=1927101000&amp;ISCONFIRM=0","VIDEO")</f>
        <v>VIDEO</v>
      </c>
      <c r="AA6700" s="19" t="str">
        <f>HYPERLINK("https://ssdweb.co/ssdweb/CERTH/665453119.pdf","CERTI")</f>
        <v>CERTI</v>
      </c>
    </row>
    <row r="6701" spans="1:27" ht="15" x14ac:dyDescent="0.25">
      <c r="A6701" s="2">
        <v>6696</v>
      </c>
      <c r="B6701" s="39">
        <v>941300152</v>
      </c>
      <c r="C6701" s="28" t="str">
        <f>HYPERLINK("https://pld.live/RapDetail.aspx?STONELIST=941300152","DNA")</f>
        <v>DNA</v>
      </c>
      <c r="D6701" s="18" t="s">
        <v>5466</v>
      </c>
      <c r="E6701" s="18" t="s">
        <v>2186</v>
      </c>
      <c r="F6701" s="2" t="s">
        <v>7987</v>
      </c>
      <c r="G6701" s="2" t="s">
        <v>6781</v>
      </c>
      <c r="H6701" s="14">
        <v>0.52</v>
      </c>
      <c r="I6701" s="2" t="s">
        <v>267</v>
      </c>
      <c r="J6701" s="2" t="s">
        <v>13</v>
      </c>
      <c r="K6701" s="2" t="s">
        <v>1452</v>
      </c>
      <c r="L6701" s="2" t="s">
        <v>5221</v>
      </c>
      <c r="M6701" s="2" t="s">
        <v>5221</v>
      </c>
      <c r="N6701" s="2" t="s">
        <v>2317</v>
      </c>
      <c r="O6701" s="14">
        <v>2600</v>
      </c>
      <c r="P6701" s="14">
        <v>94.23</v>
      </c>
      <c r="Q6701" s="14">
        <v>150.02000000000001</v>
      </c>
      <c r="R6701" s="14">
        <v>78.010000000000005</v>
      </c>
      <c r="S6701" s="2" t="s">
        <v>6861</v>
      </c>
      <c r="T6701" s="2">
        <v>1.55</v>
      </c>
      <c r="U6701" s="2">
        <v>59.7</v>
      </c>
      <c r="V6701" s="2">
        <v>60</v>
      </c>
      <c r="W6701" s="2" t="s">
        <v>7862</v>
      </c>
      <c r="X6701" s="2" t="s">
        <v>6687</v>
      </c>
      <c r="Y6701" s="2">
        <v>1352</v>
      </c>
      <c r="Z6701" s="19" t="str">
        <f>HYPERLINK("https://ssdweb.co/ssdweb/hd/Vision360.html?d=941300152&amp;zoomslide=1&amp;z=1941300152&amp;ISCONFIRM=0","VIDEO")</f>
        <v>VIDEO</v>
      </c>
      <c r="AA6701" s="19" t="str">
        <f>HYPERLINK("https://ssdweb.co/ssdweb/CERTH/692505639.pdf","CERTI")</f>
        <v>CERTI</v>
      </c>
    </row>
    <row r="6702" spans="1:27" ht="15" x14ac:dyDescent="0.25">
      <c r="A6702" s="2">
        <v>6697</v>
      </c>
      <c r="B6702" s="39">
        <v>927132522</v>
      </c>
      <c r="C6702" s="28" t="str">
        <f>HYPERLINK("https://pld.live/RapDetail.aspx?STONELIST=927132522","DNA")</f>
        <v>DNA</v>
      </c>
      <c r="D6702" s="18" t="s">
        <v>5466</v>
      </c>
      <c r="E6702" s="18" t="s">
        <v>5128</v>
      </c>
      <c r="F6702" s="2" t="s">
        <v>7987</v>
      </c>
      <c r="G6702" s="2" t="s">
        <v>6781</v>
      </c>
      <c r="H6702" s="14">
        <v>0.52</v>
      </c>
      <c r="I6702" s="2" t="s">
        <v>267</v>
      </c>
      <c r="J6702" s="2" t="s">
        <v>13</v>
      </c>
      <c r="K6702" s="2" t="s">
        <v>1452</v>
      </c>
      <c r="L6702" s="2" t="s">
        <v>5221</v>
      </c>
      <c r="M6702" s="2" t="s">
        <v>5221</v>
      </c>
      <c r="N6702" s="2" t="s">
        <v>2317</v>
      </c>
      <c r="O6702" s="14">
        <v>2600</v>
      </c>
      <c r="P6702" s="14">
        <v>94.23</v>
      </c>
      <c r="Q6702" s="14">
        <v>150.02000000000001</v>
      </c>
      <c r="R6702" s="14">
        <v>78.010000000000005</v>
      </c>
      <c r="S6702" s="2" t="s">
        <v>3482</v>
      </c>
      <c r="T6702" s="2">
        <v>1.49</v>
      </c>
      <c r="U6702" s="2">
        <v>62.1</v>
      </c>
      <c r="V6702" s="2">
        <v>61</v>
      </c>
      <c r="W6702" s="2" t="s">
        <v>7862</v>
      </c>
      <c r="X6702" s="2" t="s">
        <v>6687</v>
      </c>
      <c r="Y6702" s="2">
        <v>1352</v>
      </c>
      <c r="Z6702" s="19" t="str">
        <f>HYPERLINK("https://ssdweb.co/ssdweb/hd/Vision360.html?d=927132522&amp;zoomslide=1&amp;z=1927132522&amp;ISCONFIRM=0","VIDEO")</f>
        <v>VIDEO</v>
      </c>
      <c r="AA6702" s="19" t="str">
        <f>HYPERLINK("https://ssdweb.co/ssdweb/CERTH/689587045.pdf","CERTI")</f>
        <v>CERTI</v>
      </c>
    </row>
    <row r="6703" spans="1:27" ht="15" x14ac:dyDescent="0.25">
      <c r="A6703" s="2">
        <v>6698</v>
      </c>
      <c r="B6703" s="39">
        <v>927152897</v>
      </c>
      <c r="C6703" s="28" t="str">
        <f>HYPERLINK("https://pld.live/RapDetail.aspx?STONELIST=927152897","DNA")</f>
        <v>DNA</v>
      </c>
      <c r="D6703" s="18" t="s">
        <v>5466</v>
      </c>
      <c r="E6703" s="18" t="s">
        <v>5128</v>
      </c>
      <c r="F6703" s="2" t="s">
        <v>7987</v>
      </c>
      <c r="G6703" s="2" t="s">
        <v>6781</v>
      </c>
      <c r="H6703" s="14">
        <v>0.52</v>
      </c>
      <c r="I6703" s="2" t="s">
        <v>267</v>
      </c>
      <c r="J6703" s="2" t="s">
        <v>13</v>
      </c>
      <c r="K6703" s="2" t="s">
        <v>1452</v>
      </c>
      <c r="L6703" s="2" t="s">
        <v>5221</v>
      </c>
      <c r="M6703" s="2" t="s">
        <v>5221</v>
      </c>
      <c r="N6703" s="2" t="s">
        <v>2317</v>
      </c>
      <c r="O6703" s="14">
        <v>2600</v>
      </c>
      <c r="P6703" s="14">
        <v>94.23</v>
      </c>
      <c r="Q6703" s="14">
        <v>150.02000000000001</v>
      </c>
      <c r="R6703" s="14">
        <v>78.010000000000005</v>
      </c>
      <c r="S6703" s="2" t="s">
        <v>3472</v>
      </c>
      <c r="T6703" s="2">
        <v>1.53</v>
      </c>
      <c r="U6703" s="2">
        <v>61.3</v>
      </c>
      <c r="V6703" s="2">
        <v>59</v>
      </c>
      <c r="W6703" s="2" t="s">
        <v>7862</v>
      </c>
      <c r="X6703" s="2" t="s">
        <v>6687</v>
      </c>
      <c r="Y6703" s="2">
        <v>1352</v>
      </c>
      <c r="Z6703" s="19" t="str">
        <f>HYPERLINK("https://ssdweb.co/ssdweb/hd/Vision360.html?d=927152897&amp;zoomslide=1&amp;z=1927152897&amp;ISCONFIRM=0","VIDEO")</f>
        <v>VIDEO</v>
      </c>
      <c r="AA6703" s="19" t="str">
        <f>HYPERLINK("https://ssdweb.co/ssdweb/CERTH/689587029.pdf","CERTI")</f>
        <v>CERTI</v>
      </c>
    </row>
    <row r="6704" spans="1:27" ht="15" x14ac:dyDescent="0.25">
      <c r="A6704" s="2">
        <v>6699</v>
      </c>
      <c r="B6704" s="39">
        <v>927092612</v>
      </c>
      <c r="C6704" s="28" t="str">
        <f>HYPERLINK("https://pld.live/RapDetail.aspx?STONELIST=927092612","DNA")</f>
        <v>DNA</v>
      </c>
      <c r="D6704" s="18" t="s">
        <v>5466</v>
      </c>
      <c r="E6704" s="18" t="s">
        <v>5128</v>
      </c>
      <c r="F6704" s="2" t="s">
        <v>7987</v>
      </c>
      <c r="G6704" s="2" t="s">
        <v>6781</v>
      </c>
      <c r="H6704" s="14">
        <v>0.52</v>
      </c>
      <c r="I6704" s="2" t="s">
        <v>267</v>
      </c>
      <c r="J6704" s="2" t="s">
        <v>13</v>
      </c>
      <c r="K6704" s="2" t="s">
        <v>1452</v>
      </c>
      <c r="L6704" s="2" t="s">
        <v>5221</v>
      </c>
      <c r="M6704" s="2" t="s">
        <v>5721</v>
      </c>
      <c r="N6704" s="2" t="s">
        <v>2317</v>
      </c>
      <c r="O6704" s="14">
        <v>2600</v>
      </c>
      <c r="P6704" s="14">
        <v>94.31</v>
      </c>
      <c r="Q6704" s="14">
        <v>147.94</v>
      </c>
      <c r="R6704" s="14">
        <v>76.930000000000007</v>
      </c>
      <c r="S6704" s="2" t="s">
        <v>2960</v>
      </c>
      <c r="T6704" s="2">
        <v>1.56</v>
      </c>
      <c r="U6704" s="2">
        <v>62.1</v>
      </c>
      <c r="V6704" s="2">
        <v>59</v>
      </c>
      <c r="W6704" s="2" t="s">
        <v>7862</v>
      </c>
      <c r="X6704" s="2" t="s">
        <v>6687</v>
      </c>
      <c r="Y6704" s="2">
        <v>1352</v>
      </c>
      <c r="Z6704" s="19" t="str">
        <f>HYPERLINK("https://ssdweb.co/ssdweb/hd/Vision360.html?d=927092612&amp;zoomslide=1&amp;z=1927092612&amp;ISCONFIRM=0","VIDEO")</f>
        <v>VIDEO</v>
      </c>
      <c r="AA6704" s="19" t="str">
        <f>HYPERLINK("https://ssdweb.co/ssdweb/CERTH/689586888.pdf","CERTI")</f>
        <v>CERTI</v>
      </c>
    </row>
    <row r="6705" spans="1:27" ht="15" x14ac:dyDescent="0.25">
      <c r="A6705" s="2">
        <v>6700</v>
      </c>
      <c r="B6705" s="39">
        <v>927092683</v>
      </c>
      <c r="C6705" s="28" t="str">
        <f>HYPERLINK("https://pld.live/RapDetail.aspx?STONELIST=927092683","DNA")</f>
        <v>DNA</v>
      </c>
      <c r="D6705" s="18" t="s">
        <v>5466</v>
      </c>
      <c r="E6705" s="18" t="s">
        <v>5128</v>
      </c>
      <c r="F6705" s="2" t="s">
        <v>7987</v>
      </c>
      <c r="G6705" s="2" t="s">
        <v>6781</v>
      </c>
      <c r="H6705" s="14">
        <v>0.52</v>
      </c>
      <c r="I6705" s="2" t="s">
        <v>267</v>
      </c>
      <c r="J6705" s="2" t="s">
        <v>13</v>
      </c>
      <c r="K6705" s="2" t="s">
        <v>1452</v>
      </c>
      <c r="L6705" s="2" t="s">
        <v>5221</v>
      </c>
      <c r="M6705" s="2" t="s">
        <v>5721</v>
      </c>
      <c r="N6705" s="2" t="s">
        <v>2317</v>
      </c>
      <c r="O6705" s="14">
        <v>2600</v>
      </c>
      <c r="P6705" s="14">
        <v>94.31</v>
      </c>
      <c r="Q6705" s="14">
        <v>147.94</v>
      </c>
      <c r="R6705" s="14">
        <v>76.930000000000007</v>
      </c>
      <c r="S6705" s="2" t="s">
        <v>2910</v>
      </c>
      <c r="T6705" s="2">
        <v>1.55</v>
      </c>
      <c r="U6705" s="2">
        <v>61.3</v>
      </c>
      <c r="V6705" s="2">
        <v>60</v>
      </c>
      <c r="W6705" s="2" t="s">
        <v>7862</v>
      </c>
      <c r="X6705" s="2" t="s">
        <v>6687</v>
      </c>
      <c r="Y6705" s="2">
        <v>1352</v>
      </c>
      <c r="Z6705" s="19" t="str">
        <f>HYPERLINK("https://ssdweb.co/ssdweb/hd/Vision360.html?d=927092683&amp;zoomslide=1&amp;z=1927092683&amp;ISCONFIRM=0","VIDEO")</f>
        <v>VIDEO</v>
      </c>
      <c r="AA6705" s="19" t="str">
        <f>HYPERLINK("https://ssdweb.co/ssdweb/CERTH/689586880.pdf","CERTI")</f>
        <v>CERTI</v>
      </c>
    </row>
    <row r="6706" spans="1:27" ht="15" x14ac:dyDescent="0.25">
      <c r="A6706" s="2">
        <v>6701</v>
      </c>
      <c r="B6706" s="39">
        <v>941071343</v>
      </c>
      <c r="C6706" s="28" t="str">
        <f>HYPERLINK("https://pld.live/RapDetail.aspx?STONELIST=941071343","DNA")</f>
        <v>DNA</v>
      </c>
      <c r="D6706" s="18" t="s">
        <v>5466</v>
      </c>
      <c r="E6706" s="18" t="s">
        <v>5128</v>
      </c>
      <c r="F6706" s="2" t="s">
        <v>7987</v>
      </c>
      <c r="G6706" s="2" t="s">
        <v>6781</v>
      </c>
      <c r="H6706" s="14">
        <v>0.52</v>
      </c>
      <c r="I6706" s="2" t="s">
        <v>267</v>
      </c>
      <c r="J6706" s="2" t="s">
        <v>13</v>
      </c>
      <c r="K6706" s="2" t="s">
        <v>1452</v>
      </c>
      <c r="L6706" s="2" t="s">
        <v>5221</v>
      </c>
      <c r="M6706" s="2" t="s">
        <v>5721</v>
      </c>
      <c r="N6706" s="2" t="s">
        <v>2317</v>
      </c>
      <c r="O6706" s="14">
        <v>2600</v>
      </c>
      <c r="P6706" s="14">
        <v>94.31</v>
      </c>
      <c r="Q6706" s="14">
        <v>147.94</v>
      </c>
      <c r="R6706" s="14">
        <v>76.930000000000007</v>
      </c>
      <c r="S6706" s="2" t="s">
        <v>964</v>
      </c>
      <c r="T6706" s="2">
        <v>1.56</v>
      </c>
      <c r="U6706" s="2">
        <v>64.599999999999994</v>
      </c>
      <c r="V6706" s="2">
        <v>60</v>
      </c>
      <c r="W6706" s="2" t="s">
        <v>7862</v>
      </c>
      <c r="X6706" s="2" t="s">
        <v>6687</v>
      </c>
      <c r="Y6706" s="2">
        <v>1352</v>
      </c>
      <c r="Z6706" s="19" t="str">
        <f>HYPERLINK("https://ssdweb.co/ssdweb/hd/Vision360.html?d=941071343&amp;zoomslide=1&amp;z=1941071343&amp;ISCONFIRM=0","VIDEO")</f>
        <v>VIDEO</v>
      </c>
      <c r="AA6706" s="19" t="str">
        <f>HYPERLINK("https://ssdweb.co/ssdweb/CERTH/675504604.pdf","CERTI")</f>
        <v>CERTI</v>
      </c>
    </row>
    <row r="6707" spans="1:27" ht="15" x14ac:dyDescent="0.25">
      <c r="A6707" s="2">
        <v>6702</v>
      </c>
      <c r="B6707" s="39">
        <v>941080838</v>
      </c>
      <c r="C6707" s="28" t="str">
        <f>HYPERLINK("https://pld.live/RapDetail.aspx?STONELIST=941080838","DNA")</f>
        <v>DNA</v>
      </c>
      <c r="D6707" s="18" t="s">
        <v>5466</v>
      </c>
      <c r="E6707" s="18" t="s">
        <v>2186</v>
      </c>
      <c r="F6707" s="2" t="s">
        <v>7987</v>
      </c>
      <c r="G6707" s="2" t="s">
        <v>6781</v>
      </c>
      <c r="H6707" s="14">
        <v>0.52</v>
      </c>
      <c r="I6707" s="2" t="s">
        <v>267</v>
      </c>
      <c r="J6707" s="2" t="s">
        <v>13</v>
      </c>
      <c r="K6707" s="2" t="s">
        <v>1452</v>
      </c>
      <c r="L6707" s="2" t="s">
        <v>5221</v>
      </c>
      <c r="M6707" s="2" t="s">
        <v>5721</v>
      </c>
      <c r="N6707" s="2" t="s">
        <v>2317</v>
      </c>
      <c r="O6707" s="14">
        <v>2600</v>
      </c>
      <c r="P6707" s="14">
        <v>94.31</v>
      </c>
      <c r="Q6707" s="14">
        <v>147.94</v>
      </c>
      <c r="R6707" s="14">
        <v>76.930000000000007</v>
      </c>
      <c r="S6707" s="2" t="s">
        <v>425</v>
      </c>
      <c r="T6707" s="2">
        <v>1.62</v>
      </c>
      <c r="U6707" s="2">
        <v>61.3</v>
      </c>
      <c r="V6707" s="2">
        <v>59</v>
      </c>
      <c r="W6707" s="2" t="s">
        <v>7862</v>
      </c>
      <c r="X6707" s="2" t="s">
        <v>6687</v>
      </c>
      <c r="Y6707" s="2">
        <v>1352</v>
      </c>
      <c r="Z6707" s="19" t="str">
        <f>HYPERLINK("https://ssdweb.co/ssdweb/hd/Vision360.html?d=941080838&amp;zoomslide=1&amp;z=1941080838&amp;ISCONFIRM=0","VIDEO")</f>
        <v>VIDEO</v>
      </c>
      <c r="AA6707" s="19" t="str">
        <f>HYPERLINK("https://ssdweb.co/ssdweb/CERTH/674532495.pdf","CERTI")</f>
        <v>CERTI</v>
      </c>
    </row>
    <row r="6708" spans="1:27" ht="15" x14ac:dyDescent="0.25">
      <c r="A6708" s="2">
        <v>6703</v>
      </c>
      <c r="B6708" s="39">
        <v>927132449</v>
      </c>
      <c r="C6708" s="28" t="str">
        <f>HYPERLINK("https://pld.live/RapDetail.aspx?STONELIST=927132449","DNA")</f>
        <v>DNA</v>
      </c>
      <c r="D6708" s="18" t="s">
        <v>5466</v>
      </c>
      <c r="E6708" s="18" t="s">
        <v>5128</v>
      </c>
      <c r="F6708" s="2" t="s">
        <v>7987</v>
      </c>
      <c r="G6708" s="2" t="s">
        <v>6781</v>
      </c>
      <c r="H6708" s="14">
        <v>0.52</v>
      </c>
      <c r="I6708" s="2" t="s">
        <v>267</v>
      </c>
      <c r="J6708" s="2" t="s">
        <v>13</v>
      </c>
      <c r="K6708" s="2" t="s">
        <v>1452</v>
      </c>
      <c r="L6708" s="2" t="s">
        <v>5221</v>
      </c>
      <c r="M6708" s="2" t="s">
        <v>5721</v>
      </c>
      <c r="N6708" s="2" t="s">
        <v>2317</v>
      </c>
      <c r="O6708" s="14">
        <v>2600</v>
      </c>
      <c r="P6708" s="14">
        <v>94.31</v>
      </c>
      <c r="Q6708" s="14">
        <v>147.94</v>
      </c>
      <c r="R6708" s="14">
        <v>76.930000000000007</v>
      </c>
      <c r="S6708" s="2" t="s">
        <v>3465</v>
      </c>
      <c r="T6708" s="2">
        <v>1.52</v>
      </c>
      <c r="U6708" s="2">
        <v>61.3</v>
      </c>
      <c r="V6708" s="2">
        <v>59</v>
      </c>
      <c r="W6708" s="2" t="s">
        <v>7862</v>
      </c>
      <c r="X6708" s="2" t="s">
        <v>6687</v>
      </c>
      <c r="Y6708" s="2">
        <v>1352</v>
      </c>
      <c r="Z6708" s="19" t="str">
        <f>HYPERLINK("https://ssdweb.co/ssdweb/hd/Vision360.html?d=927132449&amp;zoomslide=1&amp;z=1927132449&amp;ISCONFIRM=0","VIDEO")</f>
        <v>VIDEO</v>
      </c>
      <c r="AA6708" s="19" t="str">
        <f>HYPERLINK("https://ssdweb.co/ssdweb/CERTH/689586976.pdf","CERTI")</f>
        <v>CERTI</v>
      </c>
    </row>
    <row r="6709" spans="1:27" ht="15" x14ac:dyDescent="0.25">
      <c r="A6709" s="2">
        <v>6704</v>
      </c>
      <c r="B6709" s="39">
        <v>941160576</v>
      </c>
      <c r="C6709" s="28" t="str">
        <f>HYPERLINK("https://pld.live/RapDetail.aspx?STONELIST=941160576","DNA")</f>
        <v>DNA</v>
      </c>
      <c r="D6709" s="18" t="s">
        <v>5466</v>
      </c>
      <c r="E6709" s="18" t="s">
        <v>5128</v>
      </c>
      <c r="F6709" s="2" t="s">
        <v>7987</v>
      </c>
      <c r="G6709" s="2" t="s">
        <v>6781</v>
      </c>
      <c r="H6709" s="14">
        <v>0.52</v>
      </c>
      <c r="I6709" s="2" t="s">
        <v>4761</v>
      </c>
      <c r="J6709" s="2" t="s">
        <v>6555</v>
      </c>
      <c r="K6709" s="2" t="s">
        <v>1452</v>
      </c>
      <c r="L6709" s="2" t="s">
        <v>5221</v>
      </c>
      <c r="M6709" s="2" t="s">
        <v>5721</v>
      </c>
      <c r="N6709" s="2" t="s">
        <v>2317</v>
      </c>
      <c r="O6709" s="14">
        <v>2800</v>
      </c>
      <c r="P6709" s="14">
        <v>94.18</v>
      </c>
      <c r="Q6709" s="14">
        <v>162.96</v>
      </c>
      <c r="R6709" s="14">
        <v>84.74</v>
      </c>
      <c r="S6709" s="2" t="s">
        <v>4443</v>
      </c>
      <c r="T6709" s="2">
        <v>1.54</v>
      </c>
      <c r="U6709" s="2">
        <v>61</v>
      </c>
      <c r="V6709" s="2">
        <v>59</v>
      </c>
      <c r="W6709" s="2" t="s">
        <v>7862</v>
      </c>
      <c r="X6709" s="2" t="s">
        <v>6687</v>
      </c>
      <c r="Y6709" s="2">
        <v>1456</v>
      </c>
      <c r="Z6709" s="19" t="str">
        <f>HYPERLINK("https://ssdweb.co/ssdweb/hd/Vision360.html?d=941160576&amp;zoomslide=1&amp;z=1941160576&amp;ISCONFIRM=0","VIDEO")</f>
        <v>VIDEO</v>
      </c>
      <c r="AA6709" s="19" t="str">
        <f>HYPERLINK("https://ssdweb.co/ssdweb/CERTH/675504568.pdf","CERTI")</f>
        <v>CERTI</v>
      </c>
    </row>
    <row r="6710" spans="1:27" ht="15" x14ac:dyDescent="0.25">
      <c r="A6710" s="2">
        <v>6705</v>
      </c>
      <c r="B6710" s="39">
        <v>927132543</v>
      </c>
      <c r="C6710" s="28" t="str">
        <f>HYPERLINK("https://pld.live/RapDetail.aspx?STONELIST=927132543","DNA")</f>
        <v>DNA</v>
      </c>
      <c r="D6710" s="18" t="s">
        <v>5466</v>
      </c>
      <c r="E6710" s="18" t="s">
        <v>5128</v>
      </c>
      <c r="F6710" s="2" t="s">
        <v>7987</v>
      </c>
      <c r="G6710" s="2" t="s">
        <v>6781</v>
      </c>
      <c r="H6710" s="14">
        <v>0.52</v>
      </c>
      <c r="I6710" s="2" t="s">
        <v>4761</v>
      </c>
      <c r="J6710" s="2" t="s">
        <v>3942</v>
      </c>
      <c r="K6710" s="2" t="s">
        <v>1452</v>
      </c>
      <c r="L6710" s="2" t="s">
        <v>5221</v>
      </c>
      <c r="M6710" s="2" t="s">
        <v>5221</v>
      </c>
      <c r="N6710" s="2" t="s">
        <v>2317</v>
      </c>
      <c r="O6710" s="14">
        <v>2600</v>
      </c>
      <c r="P6710" s="14">
        <v>94.12</v>
      </c>
      <c r="Q6710" s="14">
        <v>152.88</v>
      </c>
      <c r="R6710" s="14">
        <v>79.5</v>
      </c>
      <c r="S6710" s="2" t="s">
        <v>7515</v>
      </c>
      <c r="T6710" s="2">
        <v>1.53</v>
      </c>
      <c r="U6710" s="2">
        <v>61.4</v>
      </c>
      <c r="V6710" s="2">
        <v>58</v>
      </c>
      <c r="W6710" s="2" t="s">
        <v>7862</v>
      </c>
      <c r="X6710" s="2" t="s">
        <v>6687</v>
      </c>
      <c r="Y6710" s="2">
        <v>1352</v>
      </c>
      <c r="Z6710" s="19" t="str">
        <f>HYPERLINK("https://ssdweb.co/ssdweb/hd/Vision360.html?d=927132543&amp;zoomslide=1&amp;z=1927132543&amp;ISCONFIRM=0","VIDEO")</f>
        <v>VIDEO</v>
      </c>
      <c r="AA6710" s="19" t="str">
        <f>HYPERLINK("https://ssdweb.co/ssdweb/CERTH/689586985.pdf","CERTI")</f>
        <v>CERTI</v>
      </c>
    </row>
    <row r="6711" spans="1:27" ht="15" x14ac:dyDescent="0.25">
      <c r="A6711" s="2">
        <v>6706</v>
      </c>
      <c r="B6711" s="39">
        <v>941140836</v>
      </c>
      <c r="C6711" s="28" t="str">
        <f>HYPERLINK("https://pld.live/RapDetail.aspx?STONELIST=941140836","DNA")</f>
        <v>DNA</v>
      </c>
      <c r="D6711" s="18" t="s">
        <v>5466</v>
      </c>
      <c r="E6711" s="18" t="s">
        <v>5128</v>
      </c>
      <c r="F6711" s="2" t="s">
        <v>7987</v>
      </c>
      <c r="G6711" s="2" t="s">
        <v>6781</v>
      </c>
      <c r="H6711" s="14">
        <v>0.52</v>
      </c>
      <c r="I6711" s="2" t="s">
        <v>4761</v>
      </c>
      <c r="J6711" s="2" t="s">
        <v>3942</v>
      </c>
      <c r="K6711" s="2" t="s">
        <v>1452</v>
      </c>
      <c r="L6711" s="2" t="s">
        <v>5221</v>
      </c>
      <c r="M6711" s="2" t="s">
        <v>5721</v>
      </c>
      <c r="N6711" s="2" t="s">
        <v>2317</v>
      </c>
      <c r="O6711" s="14">
        <v>2600</v>
      </c>
      <c r="P6711" s="14">
        <v>94.19</v>
      </c>
      <c r="Q6711" s="14">
        <v>151.06</v>
      </c>
      <c r="R6711" s="14">
        <v>78.55</v>
      </c>
      <c r="S6711" s="2" t="s">
        <v>1645</v>
      </c>
      <c r="T6711" s="2">
        <v>1.53</v>
      </c>
      <c r="U6711" s="2">
        <v>62.4</v>
      </c>
      <c r="V6711" s="2">
        <v>60</v>
      </c>
      <c r="W6711" s="2" t="s">
        <v>7862</v>
      </c>
      <c r="X6711" s="2" t="s">
        <v>6687</v>
      </c>
      <c r="Y6711" s="2">
        <v>1352</v>
      </c>
      <c r="Z6711" s="19" t="str">
        <f>HYPERLINK("https://ssdweb.co/ssdweb/hd/Vision360.html?d=941140836&amp;zoomslide=1&amp;z=1941140836&amp;ISCONFIRM=0","VIDEO")</f>
        <v>VIDEO</v>
      </c>
      <c r="AA6711" s="19" t="str">
        <f>HYPERLINK("https://ssdweb.co/ssdweb/CERTH/675596857.pdf","CERTI")</f>
        <v>CERTI</v>
      </c>
    </row>
    <row r="6712" spans="1:27" ht="15" x14ac:dyDescent="0.25">
      <c r="A6712" s="2">
        <v>6707</v>
      </c>
      <c r="B6712" s="39">
        <v>941040705</v>
      </c>
      <c r="C6712" s="28" t="str">
        <f>HYPERLINK("https://pld.live/RapDetail.aspx?STONELIST=941040705","DNA")</f>
        <v>DNA</v>
      </c>
      <c r="D6712" s="18" t="s">
        <v>5466</v>
      </c>
      <c r="E6712" s="18" t="s">
        <v>5128</v>
      </c>
      <c r="F6712" s="2" t="s">
        <v>7987</v>
      </c>
      <c r="G6712" s="2" t="s">
        <v>6781</v>
      </c>
      <c r="H6712" s="14">
        <v>0.52</v>
      </c>
      <c r="I6712" s="2" t="s">
        <v>4761</v>
      </c>
      <c r="J6712" s="2" t="s">
        <v>3942</v>
      </c>
      <c r="K6712" s="2" t="s">
        <v>1452</v>
      </c>
      <c r="L6712" s="2" t="s">
        <v>5221</v>
      </c>
      <c r="M6712" s="2" t="s">
        <v>5721</v>
      </c>
      <c r="N6712" s="2" t="s">
        <v>2317</v>
      </c>
      <c r="O6712" s="14">
        <v>2600</v>
      </c>
      <c r="P6712" s="14">
        <v>94.19</v>
      </c>
      <c r="Q6712" s="14">
        <v>151.06</v>
      </c>
      <c r="R6712" s="14">
        <v>78.55</v>
      </c>
      <c r="S6712" s="2" t="s">
        <v>4845</v>
      </c>
      <c r="T6712" s="2">
        <v>1.52</v>
      </c>
      <c r="U6712" s="2">
        <v>62.2</v>
      </c>
      <c r="V6712" s="2">
        <v>63</v>
      </c>
      <c r="W6712" s="2" t="s">
        <v>7862</v>
      </c>
      <c r="X6712" s="2" t="s">
        <v>6687</v>
      </c>
      <c r="Y6712" s="2">
        <v>1352</v>
      </c>
      <c r="Z6712" s="19" t="str">
        <f>HYPERLINK("https://ssdweb.co/ssdweb/hd/Vision360.html?d=941040705&amp;zoomslide=1&amp;z=1941040705&amp;ISCONFIRM=0","VIDEO")</f>
        <v>VIDEO</v>
      </c>
      <c r="AA6712" s="19" t="str">
        <f>HYPERLINK("https://ssdweb.co/ssdweb/CERTH/674504058.pdf","CERTI")</f>
        <v>CERTI</v>
      </c>
    </row>
    <row r="6713" spans="1:27" ht="15" x14ac:dyDescent="0.25">
      <c r="A6713" s="2">
        <v>6708</v>
      </c>
      <c r="B6713" s="39">
        <v>927102459</v>
      </c>
      <c r="C6713" s="28" t="str">
        <f>HYPERLINK("https://pld.live/RapDetail.aspx?STONELIST=927102459","DNA")</f>
        <v>DNA</v>
      </c>
      <c r="D6713" s="18" t="s">
        <v>5466</v>
      </c>
      <c r="E6713" s="18" t="s">
        <v>5128</v>
      </c>
      <c r="F6713" s="2" t="s">
        <v>7987</v>
      </c>
      <c r="G6713" s="2" t="s">
        <v>6781</v>
      </c>
      <c r="H6713" s="14">
        <v>0.52</v>
      </c>
      <c r="I6713" s="2" t="s">
        <v>4761</v>
      </c>
      <c r="J6713" s="2" t="s">
        <v>3942</v>
      </c>
      <c r="K6713" s="2" t="s">
        <v>1452</v>
      </c>
      <c r="L6713" s="2" t="s">
        <v>5221</v>
      </c>
      <c r="M6713" s="2" t="s">
        <v>5721</v>
      </c>
      <c r="N6713" s="2" t="s">
        <v>2317</v>
      </c>
      <c r="O6713" s="14">
        <v>2600</v>
      </c>
      <c r="P6713" s="14">
        <v>94.19</v>
      </c>
      <c r="Q6713" s="14">
        <v>151.06</v>
      </c>
      <c r="R6713" s="14">
        <v>78.55</v>
      </c>
      <c r="S6713" s="2" t="s">
        <v>653</v>
      </c>
      <c r="T6713" s="2">
        <v>1.55</v>
      </c>
      <c r="U6713" s="2">
        <v>61.5</v>
      </c>
      <c r="V6713" s="2">
        <v>57</v>
      </c>
      <c r="W6713" s="2" t="s">
        <v>7862</v>
      </c>
      <c r="X6713" s="2" t="s">
        <v>6687</v>
      </c>
      <c r="Y6713" s="2">
        <v>1352</v>
      </c>
      <c r="Z6713" s="19" t="str">
        <f>HYPERLINK("https://ssdweb.co/ssdweb/hd/Vision360.html?d=927102459&amp;zoomslide=1&amp;z=1927102459&amp;ISCONFIRM=0","VIDEO")</f>
        <v>VIDEO</v>
      </c>
      <c r="AA6713" s="19" t="str">
        <f>HYPERLINK("https://ssdweb.co/ssdweb/CERTH/671428051.pdf","CERTI")</f>
        <v>CERTI</v>
      </c>
    </row>
    <row r="6714" spans="1:27" ht="15" x14ac:dyDescent="0.25">
      <c r="A6714" s="2">
        <v>6709</v>
      </c>
      <c r="B6714" s="39">
        <v>926941233</v>
      </c>
      <c r="C6714" s="28" t="str">
        <f>HYPERLINK("https://pld.live/RapDetail.aspx?STONELIST=926941233","DNA")</f>
        <v>DNA</v>
      </c>
      <c r="D6714" s="18" t="s">
        <v>5466</v>
      </c>
      <c r="E6714" s="18" t="s">
        <v>5128</v>
      </c>
      <c r="F6714" s="2" t="s">
        <v>7987</v>
      </c>
      <c r="G6714" s="2" t="s">
        <v>6781</v>
      </c>
      <c r="H6714" s="14">
        <v>0.52</v>
      </c>
      <c r="I6714" s="2" t="s">
        <v>4761</v>
      </c>
      <c r="J6714" s="2" t="s">
        <v>3942</v>
      </c>
      <c r="K6714" s="2" t="s">
        <v>1452</v>
      </c>
      <c r="L6714" s="2" t="s">
        <v>5721</v>
      </c>
      <c r="M6714" s="2" t="s">
        <v>5221</v>
      </c>
      <c r="N6714" s="2" t="s">
        <v>2317</v>
      </c>
      <c r="O6714" s="14">
        <v>2600</v>
      </c>
      <c r="P6714" s="14">
        <v>94.19</v>
      </c>
      <c r="Q6714" s="14">
        <v>151.06</v>
      </c>
      <c r="R6714" s="14">
        <v>78.55</v>
      </c>
      <c r="S6714" s="2" t="s">
        <v>4022</v>
      </c>
      <c r="T6714" s="2">
        <v>1.55</v>
      </c>
      <c r="U6714" s="2">
        <v>60.5</v>
      </c>
      <c r="V6714" s="2">
        <v>58</v>
      </c>
      <c r="W6714" s="2" t="s">
        <v>7862</v>
      </c>
      <c r="X6714" s="2" t="s">
        <v>6687</v>
      </c>
      <c r="Y6714" s="2">
        <v>1352</v>
      </c>
      <c r="Z6714" s="19" t="str">
        <f>HYPERLINK("https://ssdweb.co/ssdweb/hd/Vision360.html?d=926941233&amp;zoomslide=1&amp;z=1926941233&amp;ISCONFIRM=0","VIDEO")</f>
        <v>VIDEO</v>
      </c>
      <c r="AA6714" s="19" t="str">
        <f>HYPERLINK("https://ssdweb.co/ssdweb/CERTH/670484337.pdf","CERTI")</f>
        <v>CERTI</v>
      </c>
    </row>
    <row r="6715" spans="1:27" ht="15" x14ac:dyDescent="0.25">
      <c r="A6715" s="2">
        <v>6710</v>
      </c>
      <c r="B6715" s="39">
        <v>926972239</v>
      </c>
      <c r="C6715" s="28" t="str">
        <f>HYPERLINK("https://pld.live/RapDetail.aspx?STONELIST=926972239","DNA")</f>
        <v>DNA</v>
      </c>
      <c r="D6715" s="18" t="s">
        <v>5466</v>
      </c>
      <c r="E6715" s="18" t="s">
        <v>5128</v>
      </c>
      <c r="F6715" s="2" t="s">
        <v>7987</v>
      </c>
      <c r="G6715" s="2" t="s">
        <v>6781</v>
      </c>
      <c r="H6715" s="14">
        <v>0.52</v>
      </c>
      <c r="I6715" s="2" t="s">
        <v>4761</v>
      </c>
      <c r="J6715" s="2" t="s">
        <v>13</v>
      </c>
      <c r="K6715" s="2" t="s">
        <v>1452</v>
      </c>
      <c r="L6715" s="2" t="s">
        <v>5221</v>
      </c>
      <c r="M6715" s="2" t="s">
        <v>5721</v>
      </c>
      <c r="N6715" s="2" t="s">
        <v>2317</v>
      </c>
      <c r="O6715" s="14">
        <v>2500</v>
      </c>
      <c r="P6715" s="14">
        <v>94.4</v>
      </c>
      <c r="Q6715" s="14">
        <v>140</v>
      </c>
      <c r="R6715" s="14">
        <v>72.8</v>
      </c>
      <c r="S6715" s="2" t="s">
        <v>204</v>
      </c>
      <c r="T6715" s="2">
        <v>1.51</v>
      </c>
      <c r="U6715" s="2">
        <v>62.3</v>
      </c>
      <c r="V6715" s="2">
        <v>61</v>
      </c>
      <c r="W6715" s="2" t="s">
        <v>7862</v>
      </c>
      <c r="X6715" s="2" t="s">
        <v>6687</v>
      </c>
      <c r="Y6715" s="2">
        <v>1300</v>
      </c>
      <c r="Z6715" s="19" t="str">
        <f>HYPERLINK("https://ssdweb.co/ssdweb/hd/Vision360.html?d=926972239&amp;zoomslide=1&amp;z=1926972239&amp;ISCONFIRM=0","VIDEO")</f>
        <v>VIDEO</v>
      </c>
      <c r="AA6715" s="19" t="str">
        <f>HYPERLINK("https://ssdweb.co/ssdweb/CERTH/670484330.pdf","CERTI")</f>
        <v>CERTI</v>
      </c>
    </row>
    <row r="6716" spans="1:27" ht="15" x14ac:dyDescent="0.25">
      <c r="A6716" s="2">
        <v>6711</v>
      </c>
      <c r="B6716" s="39">
        <v>926972231</v>
      </c>
      <c r="C6716" s="28" t="str">
        <f>HYPERLINK("https://pld.live/RapDetail.aspx?STONELIST=926972231","DNA")</f>
        <v>DNA</v>
      </c>
      <c r="D6716" s="18" t="s">
        <v>5466</v>
      </c>
      <c r="E6716" s="18" t="s">
        <v>5128</v>
      </c>
      <c r="F6716" s="2" t="s">
        <v>7987</v>
      </c>
      <c r="G6716" s="2" t="s">
        <v>6781</v>
      </c>
      <c r="H6716" s="14">
        <v>0.52</v>
      </c>
      <c r="I6716" s="2" t="s">
        <v>4761</v>
      </c>
      <c r="J6716" s="2" t="s">
        <v>5144</v>
      </c>
      <c r="K6716" s="2" t="s">
        <v>1452</v>
      </c>
      <c r="L6716" s="2" t="s">
        <v>5221</v>
      </c>
      <c r="M6716" s="2" t="s">
        <v>5721</v>
      </c>
      <c r="N6716" s="2" t="s">
        <v>2317</v>
      </c>
      <c r="O6716" s="14">
        <v>2300</v>
      </c>
      <c r="P6716" s="14">
        <v>94.22</v>
      </c>
      <c r="Q6716" s="14">
        <v>132.94</v>
      </c>
      <c r="R6716" s="14">
        <v>69.13</v>
      </c>
      <c r="S6716" s="2" t="s">
        <v>2427</v>
      </c>
      <c r="T6716" s="2">
        <v>1.52</v>
      </c>
      <c r="U6716" s="2">
        <v>59.5</v>
      </c>
      <c r="V6716" s="2">
        <v>62</v>
      </c>
      <c r="W6716" s="2" t="s">
        <v>7862</v>
      </c>
      <c r="X6716" s="2" t="s">
        <v>6687</v>
      </c>
      <c r="Y6716" s="2">
        <v>1196</v>
      </c>
      <c r="Z6716" s="19" t="str">
        <f>HYPERLINK("https://ssdweb.co/ssdweb/hd/Vision360.html?d=926972231&amp;zoomslide=1&amp;z=1926972231&amp;ISCONFIRM=0","VIDEO")</f>
        <v>VIDEO</v>
      </c>
      <c r="AA6716" s="19" t="str">
        <f>HYPERLINK("https://ssdweb.co/ssdweb/CERTH/670484326.pdf","CERTI")</f>
        <v>CERTI</v>
      </c>
    </row>
    <row r="6717" spans="1:27" ht="15" x14ac:dyDescent="0.25">
      <c r="A6717" s="2">
        <v>6712</v>
      </c>
      <c r="B6717" s="39">
        <v>831020637</v>
      </c>
      <c r="C6717" s="28" t="str">
        <f>HYPERLINK("https://pld.live/RapDetail.aspx?STONELIST=831020637","DNA")</f>
        <v>DNA</v>
      </c>
      <c r="D6717" s="18" t="s">
        <v>5466</v>
      </c>
      <c r="E6717" s="18" t="s">
        <v>2186</v>
      </c>
      <c r="F6717" s="2" t="s">
        <v>7987</v>
      </c>
      <c r="G6717" s="2" t="s">
        <v>6781</v>
      </c>
      <c r="H6717" s="14">
        <v>0.52</v>
      </c>
      <c r="I6717" s="2" t="s">
        <v>2659</v>
      </c>
      <c r="J6717" s="2" t="s">
        <v>5144</v>
      </c>
      <c r="K6717" s="2" t="s">
        <v>1452</v>
      </c>
      <c r="L6717" s="2" t="s">
        <v>5221</v>
      </c>
      <c r="M6717" s="2" t="s">
        <v>5221</v>
      </c>
      <c r="N6717" s="2" t="s">
        <v>2317</v>
      </c>
      <c r="O6717" s="14">
        <v>1000</v>
      </c>
      <c r="P6717" s="14">
        <v>70</v>
      </c>
      <c r="Q6717" s="14">
        <v>300</v>
      </c>
      <c r="R6717" s="14">
        <v>156</v>
      </c>
      <c r="S6717" s="2" t="s">
        <v>263</v>
      </c>
      <c r="T6717" s="2">
        <v>1.55</v>
      </c>
      <c r="U6717" s="2">
        <v>62.4</v>
      </c>
      <c r="V6717" s="2">
        <v>64</v>
      </c>
      <c r="W6717" s="2" t="s">
        <v>7862</v>
      </c>
      <c r="X6717" s="2" t="s">
        <v>6687</v>
      </c>
      <c r="Y6717" s="2">
        <v>520</v>
      </c>
      <c r="Z6717" s="19" t="str">
        <f>HYPERLINK("https://ssdweb.co/ssdweb/hd/Vision360.html?d=831020637&amp;zoomslide=1&amp;z=1831020637&amp;ISCONFIRM=0","VIDEO")</f>
        <v>VIDEO</v>
      </c>
      <c r="AA6717" s="19" t="str">
        <f>HYPERLINK("https://ssdweb.co/ssdweb/CERTH/641474106.pdf","CERTI")</f>
        <v>CERTI</v>
      </c>
    </row>
    <row r="6718" spans="1:27" ht="15" x14ac:dyDescent="0.25">
      <c r="A6718" s="2">
        <v>6713</v>
      </c>
      <c r="B6718" s="39">
        <v>927102454</v>
      </c>
      <c r="C6718" s="28" t="str">
        <f>HYPERLINK("https://pld.live/RapDetail.aspx?STONELIST=927102454","DNA")</f>
        <v>DNA</v>
      </c>
      <c r="D6718" s="18" t="s">
        <v>5466</v>
      </c>
      <c r="E6718" s="18" t="s">
        <v>5128</v>
      </c>
      <c r="F6718" s="2" t="s">
        <v>7987</v>
      </c>
      <c r="G6718" s="2" t="s">
        <v>6781</v>
      </c>
      <c r="H6718" s="14">
        <v>0.51</v>
      </c>
      <c r="I6718" s="2" t="s">
        <v>267</v>
      </c>
      <c r="J6718" s="2" t="s">
        <v>6555</v>
      </c>
      <c r="K6718" s="2" t="s">
        <v>1452</v>
      </c>
      <c r="L6718" s="2" t="s">
        <v>5221</v>
      </c>
      <c r="M6718" s="2" t="s">
        <v>5721</v>
      </c>
      <c r="N6718" s="2" t="s">
        <v>2317</v>
      </c>
      <c r="O6718" s="14">
        <v>3000</v>
      </c>
      <c r="P6718" s="14">
        <v>93.97</v>
      </c>
      <c r="Q6718" s="14">
        <v>180.9</v>
      </c>
      <c r="R6718" s="14">
        <v>92.26</v>
      </c>
      <c r="S6718" s="2" t="s">
        <v>7629</v>
      </c>
      <c r="T6718" s="2">
        <v>1.56</v>
      </c>
      <c r="U6718" s="2">
        <v>60.4</v>
      </c>
      <c r="V6718" s="2">
        <v>60</v>
      </c>
      <c r="W6718" s="2" t="s">
        <v>7862</v>
      </c>
      <c r="X6718" s="2" t="s">
        <v>6687</v>
      </c>
      <c r="Y6718" s="2">
        <v>1530</v>
      </c>
      <c r="Z6718" s="19" t="str">
        <f>HYPERLINK("https://ssdweb.co/ssdweb/hd/Vision360.html?d=927102454&amp;zoomslide=1&amp;z=1927102454&amp;ISCONFIRM=0","VIDEO")</f>
        <v>VIDEO</v>
      </c>
      <c r="AA6718" s="19" t="str">
        <f>HYPERLINK("https://ssdweb.co/ssdweb/CERTH/671428046.pdf","CERTI")</f>
        <v>CERTI</v>
      </c>
    </row>
    <row r="6719" spans="1:27" ht="15" x14ac:dyDescent="0.25">
      <c r="A6719" s="2">
        <v>6714</v>
      </c>
      <c r="B6719" s="39">
        <v>927102501</v>
      </c>
      <c r="C6719" s="28" t="str">
        <f>HYPERLINK("https://pld.live/RapDetail.aspx?STONELIST=927102501","DNA")</f>
        <v>DNA</v>
      </c>
      <c r="D6719" s="18" t="s">
        <v>5466</v>
      </c>
      <c r="E6719" s="18" t="s">
        <v>5128</v>
      </c>
      <c r="F6719" s="2" t="s">
        <v>7987</v>
      </c>
      <c r="G6719" s="2" t="s">
        <v>6781</v>
      </c>
      <c r="H6719" s="14">
        <v>0.51</v>
      </c>
      <c r="I6719" s="2" t="s">
        <v>267</v>
      </c>
      <c r="J6719" s="2" t="s">
        <v>6555</v>
      </c>
      <c r="K6719" s="2" t="s">
        <v>1452</v>
      </c>
      <c r="L6719" s="2" t="s">
        <v>5221</v>
      </c>
      <c r="M6719" s="2" t="s">
        <v>5721</v>
      </c>
      <c r="N6719" s="2" t="s">
        <v>2317</v>
      </c>
      <c r="O6719" s="14">
        <v>3000</v>
      </c>
      <c r="P6719" s="14">
        <v>93.97</v>
      </c>
      <c r="Q6719" s="14">
        <v>180.9</v>
      </c>
      <c r="R6719" s="14">
        <v>92.26</v>
      </c>
      <c r="S6719" s="2" t="s">
        <v>5487</v>
      </c>
      <c r="T6719" s="2">
        <v>1.54</v>
      </c>
      <c r="U6719" s="2">
        <v>62.3</v>
      </c>
      <c r="V6719" s="2">
        <v>62</v>
      </c>
      <c r="W6719" s="2" t="s">
        <v>7862</v>
      </c>
      <c r="X6719" s="2" t="s">
        <v>6687</v>
      </c>
      <c r="Y6719" s="2">
        <v>1530</v>
      </c>
      <c r="Z6719" s="19" t="str">
        <f>HYPERLINK("https://ssdweb.co/ssdweb/hd/Vision360.html?d=927102501&amp;zoomslide=1&amp;z=1927102501&amp;ISCONFIRM=0","VIDEO")</f>
        <v>VIDEO</v>
      </c>
      <c r="AA6719" s="19" t="str">
        <f>HYPERLINK("https://ssdweb.co/ssdweb/CERTH/689586871.pdf","CERTI")</f>
        <v>CERTI</v>
      </c>
    </row>
    <row r="6720" spans="1:27" ht="15" x14ac:dyDescent="0.25">
      <c r="A6720" s="2">
        <v>6715</v>
      </c>
      <c r="B6720" s="39">
        <v>927092615</v>
      </c>
      <c r="C6720" s="28" t="str">
        <f>HYPERLINK("https://pld.live/RapDetail.aspx?STONELIST=927092615","DNA")</f>
        <v>DNA</v>
      </c>
      <c r="D6720" s="18" t="s">
        <v>5466</v>
      </c>
      <c r="E6720" s="18" t="s">
        <v>5128</v>
      </c>
      <c r="F6720" s="2" t="s">
        <v>7987</v>
      </c>
      <c r="G6720" s="2" t="s">
        <v>6781</v>
      </c>
      <c r="H6720" s="14">
        <v>0.51</v>
      </c>
      <c r="I6720" s="2" t="s">
        <v>267</v>
      </c>
      <c r="J6720" s="2" t="s">
        <v>6555</v>
      </c>
      <c r="K6720" s="2" t="s">
        <v>1452</v>
      </c>
      <c r="L6720" s="2" t="s">
        <v>5221</v>
      </c>
      <c r="M6720" s="2" t="s">
        <v>5721</v>
      </c>
      <c r="N6720" s="2" t="s">
        <v>2317</v>
      </c>
      <c r="O6720" s="14">
        <v>3000</v>
      </c>
      <c r="P6720" s="14">
        <v>93.97</v>
      </c>
      <c r="Q6720" s="14">
        <v>180.9</v>
      </c>
      <c r="R6720" s="14">
        <v>92.26</v>
      </c>
      <c r="S6720" s="2" t="s">
        <v>3255</v>
      </c>
      <c r="T6720" s="2">
        <v>1.55</v>
      </c>
      <c r="U6720" s="2">
        <v>60.6</v>
      </c>
      <c r="V6720" s="2">
        <v>63</v>
      </c>
      <c r="W6720" s="2" t="s">
        <v>7862</v>
      </c>
      <c r="X6720" s="2" t="s">
        <v>6687</v>
      </c>
      <c r="Y6720" s="2">
        <v>1530</v>
      </c>
      <c r="Z6720" s="19" t="str">
        <f>HYPERLINK("https://ssdweb.co/ssdweb/hd/Vision360.html?d=927092615&amp;zoomslide=1&amp;z=1927092615&amp;ISCONFIRM=0","VIDEO")</f>
        <v>VIDEO</v>
      </c>
      <c r="AA6720" s="19" t="str">
        <f>HYPERLINK("https://ssdweb.co/ssdweb/CERTH/689586889.pdf","CERTI")</f>
        <v>CERTI</v>
      </c>
    </row>
    <row r="6721" spans="1:27" ht="15" x14ac:dyDescent="0.25">
      <c r="A6721" s="2">
        <v>6716</v>
      </c>
      <c r="B6721" s="39">
        <v>927132517</v>
      </c>
      <c r="C6721" s="28" t="str">
        <f>HYPERLINK("https://pld.live/RapDetail.aspx?STONELIST=927132517","DNA")</f>
        <v>DNA</v>
      </c>
      <c r="D6721" s="18" t="s">
        <v>5466</v>
      </c>
      <c r="E6721" s="18" t="s">
        <v>5128</v>
      </c>
      <c r="F6721" s="2" t="s">
        <v>7987</v>
      </c>
      <c r="G6721" s="2" t="s">
        <v>6781</v>
      </c>
      <c r="H6721" s="14">
        <v>0.51</v>
      </c>
      <c r="I6721" s="2" t="s">
        <v>267</v>
      </c>
      <c r="J6721" s="2" t="s">
        <v>3942</v>
      </c>
      <c r="K6721" s="2" t="s">
        <v>1452</v>
      </c>
      <c r="L6721" s="2" t="s">
        <v>5221</v>
      </c>
      <c r="M6721" s="2" t="s">
        <v>5221</v>
      </c>
      <c r="N6721" s="2" t="s">
        <v>2317</v>
      </c>
      <c r="O6721" s="14">
        <v>2800</v>
      </c>
      <c r="P6721" s="14">
        <v>94.46</v>
      </c>
      <c r="Q6721" s="14">
        <v>155.12</v>
      </c>
      <c r="R6721" s="14">
        <v>79.11</v>
      </c>
      <c r="S6721" s="2" t="s">
        <v>6617</v>
      </c>
      <c r="T6721" s="2">
        <v>1.54</v>
      </c>
      <c r="U6721" s="2">
        <v>61.6</v>
      </c>
      <c r="V6721" s="2">
        <v>61</v>
      </c>
      <c r="W6721" s="2" t="s">
        <v>7862</v>
      </c>
      <c r="X6721" s="2" t="s">
        <v>6687</v>
      </c>
      <c r="Y6721" s="2">
        <v>1428</v>
      </c>
      <c r="Z6721" s="19" t="str">
        <f>HYPERLINK("https://ssdweb.co/ssdweb/hd/Vision360.html?d=927132517&amp;zoomslide=1&amp;z=1927132517&amp;ISCONFIRM=0","VIDEO")</f>
        <v>VIDEO</v>
      </c>
      <c r="AA6721" s="19" t="str">
        <f>HYPERLINK("https://ssdweb.co/ssdweb/CERTH/689587041.pdf","CERTI")</f>
        <v>CERTI</v>
      </c>
    </row>
    <row r="6722" spans="1:27" ht="15" x14ac:dyDescent="0.25">
      <c r="A6722" s="2">
        <v>6717</v>
      </c>
      <c r="B6722" s="39">
        <v>926960865</v>
      </c>
      <c r="C6722" s="28" t="str">
        <f>HYPERLINK("https://pld.live/RapDetail.aspx?STONELIST=926960865","DNA")</f>
        <v>DNA</v>
      </c>
      <c r="D6722" s="18" t="s">
        <v>5466</v>
      </c>
      <c r="E6722" s="18" t="s">
        <v>5128</v>
      </c>
      <c r="F6722" s="2" t="s">
        <v>7987</v>
      </c>
      <c r="G6722" s="2" t="s">
        <v>6781</v>
      </c>
      <c r="H6722" s="14">
        <v>0.51</v>
      </c>
      <c r="I6722" s="2" t="s">
        <v>267</v>
      </c>
      <c r="J6722" s="2" t="s">
        <v>3942</v>
      </c>
      <c r="K6722" s="2" t="s">
        <v>1452</v>
      </c>
      <c r="L6722" s="2" t="s">
        <v>5221</v>
      </c>
      <c r="M6722" s="2" t="s">
        <v>5721</v>
      </c>
      <c r="N6722" s="2" t="s">
        <v>2317</v>
      </c>
      <c r="O6722" s="14">
        <v>2800</v>
      </c>
      <c r="P6722" s="14">
        <v>94.54</v>
      </c>
      <c r="Q6722" s="14">
        <v>152.88</v>
      </c>
      <c r="R6722" s="14">
        <v>77.97</v>
      </c>
      <c r="S6722" s="2" t="s">
        <v>5258</v>
      </c>
      <c r="T6722" s="2">
        <v>1.56</v>
      </c>
      <c r="U6722" s="2">
        <v>63</v>
      </c>
      <c r="V6722" s="2">
        <v>59</v>
      </c>
      <c r="W6722" s="2" t="s">
        <v>7862</v>
      </c>
      <c r="X6722" s="2" t="s">
        <v>6687</v>
      </c>
      <c r="Y6722" s="2">
        <v>1428</v>
      </c>
      <c r="Z6722" s="19" t="str">
        <f>HYPERLINK("https://ssdweb.co/ssdweb/hd/Vision360.html?d=926960865&amp;zoomslide=1&amp;z=1926960865&amp;ISCONFIRM=0","VIDEO")</f>
        <v>VIDEO</v>
      </c>
      <c r="AA6722" s="19" t="str">
        <f>HYPERLINK("https://ssdweb.co/ssdweb/CERTH/670484339.pdf","CERTI")</f>
        <v>CERTI</v>
      </c>
    </row>
    <row r="6723" spans="1:27" ht="15" x14ac:dyDescent="0.25">
      <c r="A6723" s="2">
        <v>6718</v>
      </c>
      <c r="B6723" s="39">
        <v>941190388</v>
      </c>
      <c r="C6723" s="28" t="str">
        <f>HYPERLINK("https://pld.live/RapDetail.aspx?STONELIST=941190388","DNA")</f>
        <v>DNA</v>
      </c>
      <c r="D6723" s="18" t="s">
        <v>5466</v>
      </c>
      <c r="E6723" s="18" t="s">
        <v>5128</v>
      </c>
      <c r="F6723" s="2" t="s">
        <v>7987</v>
      </c>
      <c r="G6723" s="2" t="s">
        <v>6781</v>
      </c>
      <c r="H6723" s="14">
        <v>0.51</v>
      </c>
      <c r="I6723" s="2" t="s">
        <v>267</v>
      </c>
      <c r="J6723" s="2" t="s">
        <v>3942</v>
      </c>
      <c r="K6723" s="2" t="s">
        <v>1452</v>
      </c>
      <c r="L6723" s="2" t="s">
        <v>5221</v>
      </c>
      <c r="M6723" s="2" t="s">
        <v>5721</v>
      </c>
      <c r="N6723" s="2" t="s">
        <v>2317</v>
      </c>
      <c r="O6723" s="14">
        <v>2800</v>
      </c>
      <c r="P6723" s="14">
        <v>94.54</v>
      </c>
      <c r="Q6723" s="14">
        <v>152.88</v>
      </c>
      <c r="R6723" s="14">
        <v>77.97</v>
      </c>
      <c r="S6723" s="2" t="s">
        <v>6654</v>
      </c>
      <c r="T6723" s="2">
        <v>1.49</v>
      </c>
      <c r="U6723" s="2">
        <v>59.6</v>
      </c>
      <c r="V6723" s="2">
        <v>60</v>
      </c>
      <c r="W6723" s="2" t="s">
        <v>7862</v>
      </c>
      <c r="X6723" s="2" t="s">
        <v>6687</v>
      </c>
      <c r="Y6723" s="2">
        <v>1428</v>
      </c>
      <c r="Z6723" s="19" t="str">
        <f>HYPERLINK("https://ssdweb.co/ssdweb/hd/Vision360.html?d=941190388&amp;zoomslide=1&amp;z=1941190388&amp;ISCONFIRM=0","VIDEO")</f>
        <v>VIDEO</v>
      </c>
      <c r="AA6723" s="19" t="str">
        <f>HYPERLINK("https://ssdweb.co/ssdweb/CERTH/677510818.pdf","CERTI")</f>
        <v>CERTI</v>
      </c>
    </row>
    <row r="6724" spans="1:27" ht="15" x14ac:dyDescent="0.25">
      <c r="A6724" s="2">
        <v>6719</v>
      </c>
      <c r="B6724" s="39">
        <v>941040709</v>
      </c>
      <c r="C6724" s="28" t="str">
        <f>HYPERLINK("https://pld.live/RapDetail.aspx?STONELIST=941040709","DNA")</f>
        <v>DNA</v>
      </c>
      <c r="D6724" s="18" t="s">
        <v>5466</v>
      </c>
      <c r="E6724" s="18" t="s">
        <v>5128</v>
      </c>
      <c r="F6724" s="2" t="s">
        <v>7987</v>
      </c>
      <c r="G6724" s="2" t="s">
        <v>6781</v>
      </c>
      <c r="H6724" s="14">
        <v>0.51</v>
      </c>
      <c r="I6724" s="2" t="s">
        <v>267</v>
      </c>
      <c r="J6724" s="2" t="s">
        <v>3942</v>
      </c>
      <c r="K6724" s="2" t="s">
        <v>1452</v>
      </c>
      <c r="L6724" s="2" t="s">
        <v>5221</v>
      </c>
      <c r="M6724" s="2" t="s">
        <v>5721</v>
      </c>
      <c r="N6724" s="2" t="s">
        <v>2317</v>
      </c>
      <c r="O6724" s="14">
        <v>2800</v>
      </c>
      <c r="P6724" s="14">
        <v>94.54</v>
      </c>
      <c r="Q6724" s="14">
        <v>152.88</v>
      </c>
      <c r="R6724" s="14">
        <v>77.97</v>
      </c>
      <c r="S6724" s="2" t="s">
        <v>5148</v>
      </c>
      <c r="T6724" s="2">
        <v>1.54</v>
      </c>
      <c r="U6724" s="2">
        <v>61.5</v>
      </c>
      <c r="V6724" s="2">
        <v>58</v>
      </c>
      <c r="W6724" s="2" t="s">
        <v>7862</v>
      </c>
      <c r="X6724" s="2" t="s">
        <v>6687</v>
      </c>
      <c r="Y6724" s="2">
        <v>1428</v>
      </c>
      <c r="Z6724" s="19" t="str">
        <f>HYPERLINK("https://ssdweb.co/ssdweb/hd/Vision360.html?d=941040709&amp;zoomslide=1&amp;z=1941040709&amp;ISCONFIRM=0","VIDEO")</f>
        <v>VIDEO</v>
      </c>
      <c r="AA6724" s="19" t="str">
        <f>HYPERLINK("https://ssdweb.co/ssdweb/CERTH/674543095.pdf","CERTI")</f>
        <v>CERTI</v>
      </c>
    </row>
    <row r="6725" spans="1:27" ht="15" x14ac:dyDescent="0.25">
      <c r="A6725" s="2">
        <v>6720</v>
      </c>
      <c r="B6725" s="39">
        <v>927102495</v>
      </c>
      <c r="C6725" s="28" t="str">
        <f>HYPERLINK("https://pld.live/RapDetail.aspx?STONELIST=927102495","DNA")</f>
        <v>DNA</v>
      </c>
      <c r="D6725" s="18" t="s">
        <v>5466</v>
      </c>
      <c r="E6725" s="18" t="s">
        <v>5128</v>
      </c>
      <c r="F6725" s="2" t="s">
        <v>7987</v>
      </c>
      <c r="G6725" s="2" t="s">
        <v>6781</v>
      </c>
      <c r="H6725" s="14">
        <v>0.51</v>
      </c>
      <c r="I6725" s="2" t="s">
        <v>267</v>
      </c>
      <c r="J6725" s="2" t="s">
        <v>3942</v>
      </c>
      <c r="K6725" s="2" t="s">
        <v>1452</v>
      </c>
      <c r="L6725" s="2" t="s">
        <v>5221</v>
      </c>
      <c r="M6725" s="2" t="s">
        <v>5721</v>
      </c>
      <c r="N6725" s="2" t="s">
        <v>2317</v>
      </c>
      <c r="O6725" s="14">
        <v>2800</v>
      </c>
      <c r="P6725" s="14">
        <v>94.54</v>
      </c>
      <c r="Q6725" s="14">
        <v>152.88</v>
      </c>
      <c r="R6725" s="14">
        <v>77.97</v>
      </c>
      <c r="S6725" s="2" t="s">
        <v>5218</v>
      </c>
      <c r="T6725" s="2">
        <v>1.53</v>
      </c>
      <c r="U6725" s="2">
        <v>60</v>
      </c>
      <c r="V6725" s="2">
        <v>61</v>
      </c>
      <c r="W6725" s="2" t="s">
        <v>7862</v>
      </c>
      <c r="X6725" s="2" t="s">
        <v>6687</v>
      </c>
      <c r="Y6725" s="2">
        <v>1428</v>
      </c>
      <c r="Z6725" s="19" t="str">
        <f>HYPERLINK("https://ssdweb.co/ssdweb/hd/Vision360.html?d=927102495&amp;zoomslide=1&amp;z=1927102495&amp;ISCONFIRM=0","VIDEO")</f>
        <v>VIDEO</v>
      </c>
      <c r="AA6725" s="19" t="str">
        <f>HYPERLINK("https://ssdweb.co/ssdweb/CERTH/689586868.pdf","CERTI")</f>
        <v>CERTI</v>
      </c>
    </row>
    <row r="6726" spans="1:27" ht="15" x14ac:dyDescent="0.25">
      <c r="A6726" s="2">
        <v>6721</v>
      </c>
      <c r="B6726" s="39">
        <v>941021795</v>
      </c>
      <c r="C6726" s="28" t="str">
        <f>HYPERLINK("https://pld.live/RapDetail.aspx?STONELIST=941021795","DNA")</f>
        <v>DNA</v>
      </c>
      <c r="D6726" s="18" t="s">
        <v>5466</v>
      </c>
      <c r="E6726" s="18" t="s">
        <v>5128</v>
      </c>
      <c r="F6726" s="2" t="s">
        <v>7987</v>
      </c>
      <c r="G6726" s="2" t="s">
        <v>6781</v>
      </c>
      <c r="H6726" s="14">
        <v>0.51</v>
      </c>
      <c r="I6726" s="2" t="s">
        <v>267</v>
      </c>
      <c r="J6726" s="2" t="s">
        <v>3942</v>
      </c>
      <c r="K6726" s="2" t="s">
        <v>1452</v>
      </c>
      <c r="L6726" s="2" t="s">
        <v>5221</v>
      </c>
      <c r="M6726" s="2" t="s">
        <v>5721</v>
      </c>
      <c r="N6726" s="2" t="s">
        <v>2317</v>
      </c>
      <c r="O6726" s="14">
        <v>2800</v>
      </c>
      <c r="P6726" s="14">
        <v>94.54</v>
      </c>
      <c r="Q6726" s="14">
        <v>152.88</v>
      </c>
      <c r="R6726" s="14">
        <v>77.97</v>
      </c>
      <c r="S6726" s="2" t="s">
        <v>5400</v>
      </c>
      <c r="T6726" s="2">
        <v>1.54</v>
      </c>
      <c r="U6726" s="2">
        <v>60.2</v>
      </c>
      <c r="V6726" s="2">
        <v>64</v>
      </c>
      <c r="W6726" s="2" t="s">
        <v>7862</v>
      </c>
      <c r="X6726" s="2" t="s">
        <v>6687</v>
      </c>
      <c r="Y6726" s="2">
        <v>1428</v>
      </c>
      <c r="Z6726" s="19" t="str">
        <f>HYPERLINK("https://ssdweb.co/ssdweb/hd/Vision360.html?d=941021795&amp;zoomslide=1&amp;z=1941021795&amp;ISCONFIRM=0","VIDEO")</f>
        <v>VIDEO</v>
      </c>
      <c r="AA6726" s="19" t="str">
        <f>HYPERLINK("https://ssdweb.co/ssdweb/CERTH/674543043.pdf","CERTI")</f>
        <v>CERTI</v>
      </c>
    </row>
    <row r="6727" spans="1:27" ht="15" x14ac:dyDescent="0.25">
      <c r="A6727" s="2">
        <v>6722</v>
      </c>
      <c r="B6727" s="39">
        <v>927102478</v>
      </c>
      <c r="C6727" s="28" t="str">
        <f>HYPERLINK("https://pld.live/RapDetail.aspx?STONELIST=927102478","DNA")</f>
        <v>DNA</v>
      </c>
      <c r="D6727" s="18" t="s">
        <v>5466</v>
      </c>
      <c r="E6727" s="18" t="s">
        <v>5128</v>
      </c>
      <c r="F6727" s="2" t="s">
        <v>7987</v>
      </c>
      <c r="G6727" s="2" t="s">
        <v>6781</v>
      </c>
      <c r="H6727" s="14">
        <v>0.51</v>
      </c>
      <c r="I6727" s="2" t="s">
        <v>267</v>
      </c>
      <c r="J6727" s="2" t="s">
        <v>3942</v>
      </c>
      <c r="K6727" s="2" t="s">
        <v>1452</v>
      </c>
      <c r="L6727" s="2" t="s">
        <v>5221</v>
      </c>
      <c r="M6727" s="2" t="s">
        <v>5721</v>
      </c>
      <c r="N6727" s="2" t="s">
        <v>2317</v>
      </c>
      <c r="O6727" s="14">
        <v>2800</v>
      </c>
      <c r="P6727" s="14">
        <v>94.54</v>
      </c>
      <c r="Q6727" s="14">
        <v>152.88</v>
      </c>
      <c r="R6727" s="14">
        <v>77.97</v>
      </c>
      <c r="S6727" s="2" t="s">
        <v>2034</v>
      </c>
      <c r="T6727" s="2">
        <v>1.54</v>
      </c>
      <c r="U6727" s="2">
        <v>61.9</v>
      </c>
      <c r="V6727" s="2">
        <v>61</v>
      </c>
      <c r="W6727" s="2" t="s">
        <v>7862</v>
      </c>
      <c r="X6727" s="2" t="s">
        <v>6687</v>
      </c>
      <c r="Y6727" s="2">
        <v>1428</v>
      </c>
      <c r="Z6727" s="19" t="str">
        <f>HYPERLINK("https://ssdweb.co/ssdweb/hd/Vision360.html?d=927102478&amp;zoomslide=1&amp;z=1927102478&amp;ISCONFIRM=0","VIDEO")</f>
        <v>VIDEO</v>
      </c>
      <c r="AA6727" s="19" t="str">
        <f>HYPERLINK("https://ssdweb.co/ssdweb/CERTH/671477190.pdf","CERTI")</f>
        <v>CERTI</v>
      </c>
    </row>
    <row r="6728" spans="1:27" ht="15" x14ac:dyDescent="0.25">
      <c r="A6728" s="2">
        <v>6723</v>
      </c>
      <c r="B6728" s="39">
        <v>927132441</v>
      </c>
      <c r="C6728" s="28" t="str">
        <f>HYPERLINK("https://pld.live/RapDetail.aspx?STONELIST=927132441","DNA")</f>
        <v>DNA</v>
      </c>
      <c r="D6728" s="18" t="s">
        <v>5466</v>
      </c>
      <c r="E6728" s="18" t="s">
        <v>5128</v>
      </c>
      <c r="F6728" s="2" t="s">
        <v>7987</v>
      </c>
      <c r="G6728" s="2" t="s">
        <v>6781</v>
      </c>
      <c r="H6728" s="14">
        <v>0.51</v>
      </c>
      <c r="I6728" s="2" t="s">
        <v>267</v>
      </c>
      <c r="J6728" s="2" t="s">
        <v>13</v>
      </c>
      <c r="K6728" s="2" t="s">
        <v>1452</v>
      </c>
      <c r="L6728" s="2" t="s">
        <v>5221</v>
      </c>
      <c r="M6728" s="2" t="s">
        <v>5221</v>
      </c>
      <c r="N6728" s="2" t="s">
        <v>2317</v>
      </c>
      <c r="O6728" s="14">
        <v>2600</v>
      </c>
      <c r="P6728" s="14">
        <v>94.23</v>
      </c>
      <c r="Q6728" s="14">
        <v>150.02000000000001</v>
      </c>
      <c r="R6728" s="14">
        <v>76.510000000000005</v>
      </c>
      <c r="S6728" s="2" t="s">
        <v>4114</v>
      </c>
      <c r="T6728" s="2">
        <v>1.53</v>
      </c>
      <c r="U6728" s="2">
        <v>60.3</v>
      </c>
      <c r="V6728" s="2">
        <v>61</v>
      </c>
      <c r="W6728" s="2" t="s">
        <v>7862</v>
      </c>
      <c r="X6728" s="2" t="s">
        <v>6687</v>
      </c>
      <c r="Y6728" s="2">
        <v>1326</v>
      </c>
      <c r="Z6728" s="19" t="str">
        <f>HYPERLINK("https://ssdweb.co/ssdweb/hd/Vision360.html?d=927132441&amp;zoomslide=1&amp;z=1927132441&amp;ISCONFIRM=0","VIDEO")</f>
        <v>VIDEO</v>
      </c>
      <c r="AA6728" s="19" t="str">
        <f>HYPERLINK("https://ssdweb.co/ssdweb/CERTH/689586973.pdf","CERTI")</f>
        <v>CERTI</v>
      </c>
    </row>
    <row r="6729" spans="1:27" ht="15" x14ac:dyDescent="0.25">
      <c r="A6729" s="2">
        <v>6724</v>
      </c>
      <c r="B6729" s="39">
        <v>927132565</v>
      </c>
      <c r="C6729" s="28" t="str">
        <f>HYPERLINK("https://pld.live/RapDetail.aspx?STONELIST=927132565","DNA")</f>
        <v>DNA</v>
      </c>
      <c r="D6729" s="18" t="s">
        <v>5466</v>
      </c>
      <c r="E6729" s="18" t="s">
        <v>5128</v>
      </c>
      <c r="F6729" s="2" t="s">
        <v>7987</v>
      </c>
      <c r="G6729" s="2" t="s">
        <v>6781</v>
      </c>
      <c r="H6729" s="14">
        <v>0.51</v>
      </c>
      <c r="I6729" s="2" t="s">
        <v>267</v>
      </c>
      <c r="J6729" s="2" t="s">
        <v>13</v>
      </c>
      <c r="K6729" s="2" t="s">
        <v>1452</v>
      </c>
      <c r="L6729" s="2" t="s">
        <v>5221</v>
      </c>
      <c r="M6729" s="2" t="s">
        <v>5221</v>
      </c>
      <c r="N6729" s="2" t="s">
        <v>2317</v>
      </c>
      <c r="O6729" s="14">
        <v>2600</v>
      </c>
      <c r="P6729" s="14">
        <v>94.23</v>
      </c>
      <c r="Q6729" s="14">
        <v>150.02000000000001</v>
      </c>
      <c r="R6729" s="14">
        <v>76.510000000000005</v>
      </c>
      <c r="S6729" s="2" t="s">
        <v>4862</v>
      </c>
      <c r="T6729" s="2">
        <v>1.52</v>
      </c>
      <c r="U6729" s="2">
        <v>62.3</v>
      </c>
      <c r="V6729" s="2">
        <v>62</v>
      </c>
      <c r="W6729" s="2" t="s">
        <v>7862</v>
      </c>
      <c r="X6729" s="2" t="s">
        <v>6687</v>
      </c>
      <c r="Y6729" s="2">
        <v>1326</v>
      </c>
      <c r="Z6729" s="19" t="str">
        <f>HYPERLINK("https://ssdweb.co/ssdweb/hd/Vision360.html?d=927132565&amp;zoomslide=1&amp;z=1927132565&amp;ISCONFIRM=0","VIDEO")</f>
        <v>VIDEO</v>
      </c>
      <c r="AA6729" s="19" t="str">
        <f>HYPERLINK("https://ssdweb.co/ssdweb/CERTH/689586992.pdf","CERTI")</f>
        <v>CERTI</v>
      </c>
    </row>
    <row r="6730" spans="1:27" ht="15" x14ac:dyDescent="0.25">
      <c r="A6730" s="2">
        <v>6725</v>
      </c>
      <c r="B6730" s="39">
        <v>927102463</v>
      </c>
      <c r="C6730" s="28" t="str">
        <f>HYPERLINK("https://pld.live/RapDetail.aspx?STONELIST=927102463","DNA")</f>
        <v>DNA</v>
      </c>
      <c r="D6730" s="18" t="s">
        <v>5466</v>
      </c>
      <c r="E6730" s="18" t="s">
        <v>5128</v>
      </c>
      <c r="F6730" s="2" t="s">
        <v>7987</v>
      </c>
      <c r="G6730" s="2" t="s">
        <v>6781</v>
      </c>
      <c r="H6730" s="14">
        <v>0.51</v>
      </c>
      <c r="I6730" s="2" t="s">
        <v>267</v>
      </c>
      <c r="J6730" s="2" t="s">
        <v>13</v>
      </c>
      <c r="K6730" s="2" t="s">
        <v>1452</v>
      </c>
      <c r="L6730" s="2" t="s">
        <v>5221</v>
      </c>
      <c r="M6730" s="2" t="s">
        <v>5221</v>
      </c>
      <c r="N6730" s="2" t="s">
        <v>2317</v>
      </c>
      <c r="O6730" s="14">
        <v>2600</v>
      </c>
      <c r="P6730" s="14">
        <v>94.23</v>
      </c>
      <c r="Q6730" s="14">
        <v>150.02000000000001</v>
      </c>
      <c r="R6730" s="14">
        <v>76.510000000000005</v>
      </c>
      <c r="S6730" s="2" t="s">
        <v>1137</v>
      </c>
      <c r="T6730" s="2">
        <v>1.51</v>
      </c>
      <c r="U6730" s="2">
        <v>62.6</v>
      </c>
      <c r="V6730" s="2">
        <v>62</v>
      </c>
      <c r="W6730" s="2" t="s">
        <v>7862</v>
      </c>
      <c r="X6730" s="2" t="s">
        <v>6687</v>
      </c>
      <c r="Y6730" s="2">
        <v>1326</v>
      </c>
      <c r="Z6730" s="19" t="str">
        <f>HYPERLINK("https://ssdweb.co/ssdweb/hd/Vision360.html?d=927102463&amp;zoomslide=1&amp;z=1927102463&amp;ISCONFIRM=0","VIDEO")</f>
        <v>VIDEO</v>
      </c>
      <c r="AA6730" s="19" t="str">
        <f>HYPERLINK("https://ssdweb.co/ssdweb/CERTH/689586864.pdf","CERTI")</f>
        <v>CERTI</v>
      </c>
    </row>
    <row r="6731" spans="1:27" ht="15" x14ac:dyDescent="0.25">
      <c r="A6731" s="2">
        <v>6726</v>
      </c>
      <c r="B6731" s="39">
        <v>927132461</v>
      </c>
      <c r="C6731" s="28" t="str">
        <f>HYPERLINK("https://pld.live/RapDetail.aspx?STONELIST=927132461","DNA")</f>
        <v>DNA</v>
      </c>
      <c r="D6731" s="18" t="s">
        <v>5466</v>
      </c>
      <c r="E6731" s="18" t="s">
        <v>5128</v>
      </c>
      <c r="F6731" s="2" t="s">
        <v>7987</v>
      </c>
      <c r="G6731" s="2" t="s">
        <v>6781</v>
      </c>
      <c r="H6731" s="14">
        <v>0.51</v>
      </c>
      <c r="I6731" s="2" t="s">
        <v>267</v>
      </c>
      <c r="J6731" s="2" t="s">
        <v>13</v>
      </c>
      <c r="K6731" s="2" t="s">
        <v>1452</v>
      </c>
      <c r="L6731" s="2" t="s">
        <v>5221</v>
      </c>
      <c r="M6731" s="2" t="s">
        <v>5721</v>
      </c>
      <c r="N6731" s="2" t="s">
        <v>2317</v>
      </c>
      <c r="O6731" s="14">
        <v>2600</v>
      </c>
      <c r="P6731" s="14">
        <v>94.31</v>
      </c>
      <c r="Q6731" s="14">
        <v>147.94</v>
      </c>
      <c r="R6731" s="14">
        <v>75.45</v>
      </c>
      <c r="S6731" s="2" t="s">
        <v>705</v>
      </c>
      <c r="T6731" s="2">
        <v>1.54</v>
      </c>
      <c r="U6731" s="2">
        <v>62.9</v>
      </c>
      <c r="V6731" s="2">
        <v>58</v>
      </c>
      <c r="W6731" s="2" t="s">
        <v>7862</v>
      </c>
      <c r="X6731" s="2" t="s">
        <v>6687</v>
      </c>
      <c r="Y6731" s="2">
        <v>1326</v>
      </c>
      <c r="Z6731" s="19" t="str">
        <f>HYPERLINK("https://ssdweb.co/ssdweb/hd/Vision360.html?d=927132461&amp;zoomslide=1&amp;z=1927132461&amp;ISCONFIRM=0","VIDEO")</f>
        <v>VIDEO</v>
      </c>
      <c r="AA6731" s="19" t="str">
        <f>HYPERLINK("https://ssdweb.co/ssdweb/CERTH/689586981.pdf","CERTI")</f>
        <v>CERTI</v>
      </c>
    </row>
    <row r="6732" spans="1:27" ht="15" x14ac:dyDescent="0.25">
      <c r="A6732" s="2">
        <v>6727</v>
      </c>
      <c r="B6732" s="39">
        <v>926890575</v>
      </c>
      <c r="C6732" s="28" t="str">
        <f>HYPERLINK("https://pld.live/RapDetail.aspx?STONELIST=926890575","DNA")</f>
        <v>DNA</v>
      </c>
      <c r="D6732" s="18" t="s">
        <v>5466</v>
      </c>
      <c r="E6732" s="18" t="s">
        <v>2186</v>
      </c>
      <c r="F6732" s="2" t="s">
        <v>7987</v>
      </c>
      <c r="G6732" s="2" t="s">
        <v>6781</v>
      </c>
      <c r="H6732" s="14">
        <v>0.51</v>
      </c>
      <c r="I6732" s="2" t="s">
        <v>267</v>
      </c>
      <c r="J6732" s="2" t="s">
        <v>444</v>
      </c>
      <c r="K6732" s="2" t="s">
        <v>1452</v>
      </c>
      <c r="L6732" s="2" t="s">
        <v>5221</v>
      </c>
      <c r="M6732" s="2" t="s">
        <v>5221</v>
      </c>
      <c r="N6732" s="2" t="s">
        <v>2317</v>
      </c>
      <c r="O6732" s="14">
        <v>2200</v>
      </c>
      <c r="P6732" s="14">
        <v>93.95</v>
      </c>
      <c r="Q6732" s="14">
        <v>133.1</v>
      </c>
      <c r="R6732" s="14">
        <v>67.88</v>
      </c>
      <c r="S6732" s="2" t="s">
        <v>1420</v>
      </c>
      <c r="T6732" s="2">
        <v>1.55</v>
      </c>
      <c r="U6732" s="2">
        <v>60.8</v>
      </c>
      <c r="V6732" s="2">
        <v>62</v>
      </c>
      <c r="W6732" s="2" t="s">
        <v>7862</v>
      </c>
      <c r="X6732" s="2" t="s">
        <v>6687</v>
      </c>
      <c r="Y6732" s="2">
        <v>1122</v>
      </c>
      <c r="Z6732" s="19" t="str">
        <f>HYPERLINK("https://ssdweb.co/ssdweb/hd/Vision360.html?d=926890575&amp;zoomslide=1&amp;z=1926890575&amp;ISCONFIRM=0","VIDEO")</f>
        <v>VIDEO</v>
      </c>
      <c r="AA6732" s="19" t="str">
        <f>HYPERLINK("https://ssdweb.co/ssdweb/CERTH/670484193.pdf","CERTI")</f>
        <v>CERTI</v>
      </c>
    </row>
    <row r="6733" spans="1:27" ht="15" x14ac:dyDescent="0.25">
      <c r="A6733" s="2">
        <v>6728</v>
      </c>
      <c r="B6733" s="39">
        <v>927152904</v>
      </c>
      <c r="C6733" s="28" t="str">
        <f>HYPERLINK("https://pld.live/RapDetail.aspx?STONELIST=927152904","DNA")</f>
        <v>DNA</v>
      </c>
      <c r="D6733" s="18" t="s">
        <v>5466</v>
      </c>
      <c r="E6733" s="18" t="s">
        <v>5128</v>
      </c>
      <c r="F6733" s="2" t="s">
        <v>7987</v>
      </c>
      <c r="G6733" s="2" t="s">
        <v>6781</v>
      </c>
      <c r="H6733" s="14">
        <v>0.51</v>
      </c>
      <c r="I6733" s="2" t="s">
        <v>4761</v>
      </c>
      <c r="J6733" s="2" t="s">
        <v>6555</v>
      </c>
      <c r="K6733" s="2" t="s">
        <v>1452</v>
      </c>
      <c r="L6733" s="2" t="s">
        <v>5221</v>
      </c>
      <c r="M6733" s="2" t="s">
        <v>5221</v>
      </c>
      <c r="N6733" s="2" t="s">
        <v>2317</v>
      </c>
      <c r="O6733" s="14">
        <v>2800</v>
      </c>
      <c r="P6733" s="14">
        <v>94.11</v>
      </c>
      <c r="Q6733" s="14">
        <v>164.92</v>
      </c>
      <c r="R6733" s="14">
        <v>84.11</v>
      </c>
      <c r="S6733" s="2" t="s">
        <v>4485</v>
      </c>
      <c r="T6733" s="2">
        <v>1.53</v>
      </c>
      <c r="U6733" s="2">
        <v>61.3</v>
      </c>
      <c r="V6733" s="2">
        <v>59</v>
      </c>
      <c r="W6733" s="2" t="s">
        <v>7862</v>
      </c>
      <c r="X6733" s="2" t="s">
        <v>6687</v>
      </c>
      <c r="Y6733" s="2">
        <v>1428</v>
      </c>
      <c r="Z6733" s="19" t="str">
        <f>HYPERLINK("https://ssdweb.co/ssdweb/hd/Vision360.html?d=927152904&amp;zoomslide=1&amp;z=1927152904&amp;ISCONFIRM=0","VIDEO")</f>
        <v>VIDEO</v>
      </c>
      <c r="AA6733" s="19" t="str">
        <f>HYPERLINK("https://ssdweb.co/ssdweb/CERTH/689587031.pdf","CERTI")</f>
        <v>CERTI</v>
      </c>
    </row>
    <row r="6734" spans="1:27" ht="15" x14ac:dyDescent="0.25">
      <c r="A6734" s="2">
        <v>6729</v>
      </c>
      <c r="B6734" s="39">
        <v>927132535</v>
      </c>
      <c r="C6734" s="28" t="str">
        <f>HYPERLINK("https://pld.live/RapDetail.aspx?STONELIST=927132535","DNA")</f>
        <v>DNA</v>
      </c>
      <c r="D6734" s="18" t="s">
        <v>5466</v>
      </c>
      <c r="E6734" s="18" t="s">
        <v>5128</v>
      </c>
      <c r="F6734" s="2" t="s">
        <v>7987</v>
      </c>
      <c r="G6734" s="2" t="s">
        <v>6781</v>
      </c>
      <c r="H6734" s="14">
        <v>0.51</v>
      </c>
      <c r="I6734" s="2" t="s">
        <v>4761</v>
      </c>
      <c r="J6734" s="2" t="s">
        <v>6555</v>
      </c>
      <c r="K6734" s="2" t="s">
        <v>1452</v>
      </c>
      <c r="L6734" s="2" t="s">
        <v>5221</v>
      </c>
      <c r="M6734" s="2" t="s">
        <v>5221</v>
      </c>
      <c r="N6734" s="2" t="s">
        <v>2317</v>
      </c>
      <c r="O6734" s="14">
        <v>2800</v>
      </c>
      <c r="P6734" s="14">
        <v>94.11</v>
      </c>
      <c r="Q6734" s="14">
        <v>164.92</v>
      </c>
      <c r="R6734" s="14">
        <v>84.11</v>
      </c>
      <c r="S6734" s="2" t="s">
        <v>2592</v>
      </c>
      <c r="T6734" s="2">
        <v>1.55</v>
      </c>
      <c r="U6734" s="2">
        <v>61.6</v>
      </c>
      <c r="V6734" s="2">
        <v>60</v>
      </c>
      <c r="W6734" s="2" t="s">
        <v>7862</v>
      </c>
      <c r="X6734" s="2" t="s">
        <v>6687</v>
      </c>
      <c r="Y6734" s="2">
        <v>1428</v>
      </c>
      <c r="Z6734" s="19" t="str">
        <f>HYPERLINK("https://ssdweb.co/ssdweb/hd/Vision360.html?d=927132535&amp;zoomslide=1&amp;z=1927132535&amp;ISCONFIRM=0","VIDEO")</f>
        <v>VIDEO</v>
      </c>
      <c r="AA6734" s="19" t="str">
        <f>HYPERLINK("https://ssdweb.co/ssdweb/CERTH/689586984.pdf","CERTI")</f>
        <v>CERTI</v>
      </c>
    </row>
    <row r="6735" spans="1:27" ht="15" x14ac:dyDescent="0.25">
      <c r="A6735" s="2">
        <v>6730</v>
      </c>
      <c r="B6735" s="39">
        <v>941071367</v>
      </c>
      <c r="C6735" s="28" t="str">
        <f>HYPERLINK("https://pld.live/RapDetail.aspx?STONELIST=941071367","DNA")</f>
        <v>DNA</v>
      </c>
      <c r="D6735" s="18" t="s">
        <v>5466</v>
      </c>
      <c r="E6735" s="18" t="s">
        <v>5128</v>
      </c>
      <c r="F6735" s="2" t="s">
        <v>7987</v>
      </c>
      <c r="G6735" s="2" t="s">
        <v>6781</v>
      </c>
      <c r="H6735" s="14">
        <v>0.51</v>
      </c>
      <c r="I6735" s="2" t="s">
        <v>4761</v>
      </c>
      <c r="J6735" s="2" t="s">
        <v>6555</v>
      </c>
      <c r="K6735" s="2" t="s">
        <v>1452</v>
      </c>
      <c r="L6735" s="2" t="s">
        <v>5221</v>
      </c>
      <c r="M6735" s="2" t="s">
        <v>5721</v>
      </c>
      <c r="N6735" s="2" t="s">
        <v>2317</v>
      </c>
      <c r="O6735" s="14">
        <v>2800</v>
      </c>
      <c r="P6735" s="14">
        <v>94.18</v>
      </c>
      <c r="Q6735" s="14">
        <v>162.96</v>
      </c>
      <c r="R6735" s="14">
        <v>83.11</v>
      </c>
      <c r="S6735" s="2" t="s">
        <v>807</v>
      </c>
      <c r="T6735" s="2">
        <v>1.56</v>
      </c>
      <c r="U6735" s="2">
        <v>58.6</v>
      </c>
      <c r="V6735" s="2">
        <v>62</v>
      </c>
      <c r="W6735" s="2" t="s">
        <v>7862</v>
      </c>
      <c r="X6735" s="2" t="s">
        <v>6687</v>
      </c>
      <c r="Y6735" s="2">
        <v>1428</v>
      </c>
      <c r="Z6735" s="19" t="str">
        <f>HYPERLINK("https://ssdweb.co/ssdweb/hd/Vision360.html?d=941071367&amp;zoomslide=1&amp;z=1941071367&amp;ISCONFIRM=0","VIDEO")</f>
        <v>VIDEO</v>
      </c>
      <c r="AA6735" s="19" t="str">
        <f>HYPERLINK("https://ssdweb.co/ssdweb/CERTH/677510854.pdf","CERTI")</f>
        <v>CERTI</v>
      </c>
    </row>
    <row r="6736" spans="1:27" ht="15" x14ac:dyDescent="0.25">
      <c r="A6736" s="2">
        <v>6731</v>
      </c>
      <c r="B6736" s="39">
        <v>927092649</v>
      </c>
      <c r="C6736" s="28" t="str">
        <f>HYPERLINK("https://pld.live/RapDetail.aspx?STONELIST=927092649","DNA")</f>
        <v>DNA</v>
      </c>
      <c r="D6736" s="18" t="s">
        <v>5466</v>
      </c>
      <c r="E6736" s="18" t="s">
        <v>5128</v>
      </c>
      <c r="F6736" s="2" t="s">
        <v>7987</v>
      </c>
      <c r="G6736" s="2" t="s">
        <v>6781</v>
      </c>
      <c r="H6736" s="14">
        <v>0.51</v>
      </c>
      <c r="I6736" s="2" t="s">
        <v>4761</v>
      </c>
      <c r="J6736" s="2" t="s">
        <v>6555</v>
      </c>
      <c r="K6736" s="2" t="s">
        <v>1452</v>
      </c>
      <c r="L6736" s="2" t="s">
        <v>5221</v>
      </c>
      <c r="M6736" s="2" t="s">
        <v>5721</v>
      </c>
      <c r="N6736" s="2" t="s">
        <v>2317</v>
      </c>
      <c r="O6736" s="14">
        <v>2800</v>
      </c>
      <c r="P6736" s="14">
        <v>94.18</v>
      </c>
      <c r="Q6736" s="14">
        <v>162.96</v>
      </c>
      <c r="R6736" s="14">
        <v>83.11</v>
      </c>
      <c r="S6736" s="2" t="s">
        <v>1565</v>
      </c>
      <c r="T6736" s="2">
        <v>1.55</v>
      </c>
      <c r="U6736" s="2">
        <v>61.4</v>
      </c>
      <c r="V6736" s="2">
        <v>64</v>
      </c>
      <c r="W6736" s="2" t="s">
        <v>7862</v>
      </c>
      <c r="X6736" s="2" t="s">
        <v>6687</v>
      </c>
      <c r="Y6736" s="2">
        <v>1428</v>
      </c>
      <c r="Z6736" s="19" t="str">
        <f>HYPERLINK("https://ssdweb.co/ssdweb/hd/Vision360.html?d=927092649&amp;zoomslide=1&amp;z=1927092649&amp;ISCONFIRM=0","VIDEO")</f>
        <v>VIDEO</v>
      </c>
      <c r="AA6736" s="19" t="str">
        <f>HYPERLINK("https://ssdweb.co/ssdweb/CERTH/689586876.pdf","CERTI")</f>
        <v>CERTI</v>
      </c>
    </row>
    <row r="6737" spans="1:27" ht="15" x14ac:dyDescent="0.25">
      <c r="A6737" s="2">
        <v>6732</v>
      </c>
      <c r="B6737" s="39">
        <v>927152962</v>
      </c>
      <c r="C6737" s="28" t="str">
        <f>HYPERLINK("https://pld.live/RapDetail.aspx?STONELIST=927152962","DNA")</f>
        <v>DNA</v>
      </c>
      <c r="D6737" s="18" t="s">
        <v>5466</v>
      </c>
      <c r="E6737" s="18" t="s">
        <v>5128</v>
      </c>
      <c r="F6737" s="2" t="s">
        <v>7987</v>
      </c>
      <c r="G6737" s="2" t="s">
        <v>6781</v>
      </c>
      <c r="H6737" s="14">
        <v>0.51</v>
      </c>
      <c r="I6737" s="2" t="s">
        <v>4761</v>
      </c>
      <c r="J6737" s="2" t="s">
        <v>3942</v>
      </c>
      <c r="K6737" s="2" t="s">
        <v>1452</v>
      </c>
      <c r="L6737" s="2" t="s">
        <v>5221</v>
      </c>
      <c r="M6737" s="2" t="s">
        <v>5221</v>
      </c>
      <c r="N6737" s="2" t="s">
        <v>2317</v>
      </c>
      <c r="O6737" s="14">
        <v>2600</v>
      </c>
      <c r="P6737" s="14">
        <v>94.12</v>
      </c>
      <c r="Q6737" s="14">
        <v>152.88</v>
      </c>
      <c r="R6737" s="14">
        <v>77.97</v>
      </c>
      <c r="S6737" s="2" t="s">
        <v>3201</v>
      </c>
      <c r="T6737" s="2">
        <v>1.54</v>
      </c>
      <c r="U6737" s="2">
        <v>62.7</v>
      </c>
      <c r="V6737" s="2">
        <v>58</v>
      </c>
      <c r="W6737" s="2" t="s">
        <v>7862</v>
      </c>
      <c r="X6737" s="2" t="s">
        <v>6687</v>
      </c>
      <c r="Y6737" s="2">
        <v>1326</v>
      </c>
      <c r="Z6737" s="19" t="str">
        <f>HYPERLINK("https://ssdweb.co/ssdweb/hd/Vision360.html?d=927152962&amp;zoomslide=1&amp;z=1927152962&amp;ISCONFIRM=0","VIDEO")</f>
        <v>VIDEO</v>
      </c>
      <c r="AA6737" s="19" t="str">
        <f>HYPERLINK("https://ssdweb.co/ssdweb/CERTH/689586945.pdf","CERTI")</f>
        <v>CERTI</v>
      </c>
    </row>
    <row r="6738" spans="1:27" ht="15" x14ac:dyDescent="0.25">
      <c r="A6738" s="2">
        <v>6733</v>
      </c>
      <c r="B6738" s="39">
        <v>927152895</v>
      </c>
      <c r="C6738" s="28" t="str">
        <f>HYPERLINK("https://pld.live/RapDetail.aspx?STONELIST=927152895","DNA")</f>
        <v>DNA</v>
      </c>
      <c r="D6738" s="18" t="s">
        <v>5466</v>
      </c>
      <c r="E6738" s="18" t="s">
        <v>5128</v>
      </c>
      <c r="F6738" s="2" t="s">
        <v>7987</v>
      </c>
      <c r="G6738" s="2" t="s">
        <v>6781</v>
      </c>
      <c r="H6738" s="14">
        <v>0.51</v>
      </c>
      <c r="I6738" s="2" t="s">
        <v>4761</v>
      </c>
      <c r="J6738" s="2" t="s">
        <v>3942</v>
      </c>
      <c r="K6738" s="2" t="s">
        <v>1452</v>
      </c>
      <c r="L6738" s="2" t="s">
        <v>5221</v>
      </c>
      <c r="M6738" s="2" t="s">
        <v>5221</v>
      </c>
      <c r="N6738" s="2" t="s">
        <v>2317</v>
      </c>
      <c r="O6738" s="14">
        <v>2600</v>
      </c>
      <c r="P6738" s="14">
        <v>94.12</v>
      </c>
      <c r="Q6738" s="14">
        <v>152.88</v>
      </c>
      <c r="R6738" s="14">
        <v>77.97</v>
      </c>
      <c r="S6738" s="2" t="s">
        <v>1420</v>
      </c>
      <c r="T6738" s="2">
        <v>1.55</v>
      </c>
      <c r="U6738" s="2">
        <v>60.8</v>
      </c>
      <c r="V6738" s="2">
        <v>58</v>
      </c>
      <c r="W6738" s="2" t="s">
        <v>7862</v>
      </c>
      <c r="X6738" s="2" t="s">
        <v>6687</v>
      </c>
      <c r="Y6738" s="2">
        <v>1326</v>
      </c>
      <c r="Z6738" s="19" t="str">
        <f>HYPERLINK("https://ssdweb.co/ssdweb/hd/Vision360.html?d=927152895&amp;zoomslide=1&amp;z=1927152895&amp;ISCONFIRM=0","VIDEO")</f>
        <v>VIDEO</v>
      </c>
      <c r="AA6738" s="19" t="str">
        <f>HYPERLINK("https://ssdweb.co/ssdweb/CERTH/689587028.pdf","CERTI")</f>
        <v>CERTI</v>
      </c>
    </row>
    <row r="6739" spans="1:27" ht="15" x14ac:dyDescent="0.25">
      <c r="A6739" s="2">
        <v>6734</v>
      </c>
      <c r="B6739" s="39">
        <v>927132488</v>
      </c>
      <c r="C6739" s="28" t="str">
        <f>HYPERLINK("https://pld.live/RapDetail.aspx?STONELIST=927132488","DNA")</f>
        <v>DNA</v>
      </c>
      <c r="D6739" s="18" t="s">
        <v>5466</v>
      </c>
      <c r="E6739" s="18" t="s">
        <v>5128</v>
      </c>
      <c r="F6739" s="2" t="s">
        <v>7987</v>
      </c>
      <c r="G6739" s="2" t="s">
        <v>6781</v>
      </c>
      <c r="H6739" s="14">
        <v>0.51</v>
      </c>
      <c r="I6739" s="2" t="s">
        <v>4761</v>
      </c>
      <c r="J6739" s="2" t="s">
        <v>3942</v>
      </c>
      <c r="K6739" s="2" t="s">
        <v>1452</v>
      </c>
      <c r="L6739" s="2" t="s">
        <v>5221</v>
      </c>
      <c r="M6739" s="2" t="s">
        <v>5221</v>
      </c>
      <c r="N6739" s="2" t="s">
        <v>2317</v>
      </c>
      <c r="O6739" s="14">
        <v>2600</v>
      </c>
      <c r="P6739" s="14">
        <v>94.12</v>
      </c>
      <c r="Q6739" s="14">
        <v>152.88</v>
      </c>
      <c r="R6739" s="14">
        <v>77.97</v>
      </c>
      <c r="S6739" s="2" t="s">
        <v>5452</v>
      </c>
      <c r="T6739" s="2">
        <v>1.56</v>
      </c>
      <c r="U6739" s="2">
        <v>61.9</v>
      </c>
      <c r="V6739" s="2">
        <v>62</v>
      </c>
      <c r="W6739" s="2" t="s">
        <v>7862</v>
      </c>
      <c r="X6739" s="2" t="s">
        <v>6687</v>
      </c>
      <c r="Y6739" s="2">
        <v>1326</v>
      </c>
      <c r="Z6739" s="19" t="str">
        <f>HYPERLINK("https://ssdweb.co/ssdweb/hd/Vision360.html?d=927132488&amp;zoomslide=1&amp;z=1927132488&amp;ISCONFIRM=0","VIDEO")</f>
        <v>VIDEO</v>
      </c>
      <c r="AA6739" s="19" t="str">
        <f>HYPERLINK("https://ssdweb.co/ssdweb/CERTH/689587007.pdf","CERTI")</f>
        <v>CERTI</v>
      </c>
    </row>
    <row r="6740" spans="1:27" ht="15" x14ac:dyDescent="0.25">
      <c r="A6740" s="2">
        <v>6735</v>
      </c>
      <c r="B6740" s="39">
        <v>927132529</v>
      </c>
      <c r="C6740" s="28" t="str">
        <f>HYPERLINK("https://pld.live/RapDetail.aspx?STONELIST=927132529","DNA")</f>
        <v>DNA</v>
      </c>
      <c r="D6740" s="18" t="s">
        <v>5466</v>
      </c>
      <c r="E6740" s="18" t="s">
        <v>5128</v>
      </c>
      <c r="F6740" s="2" t="s">
        <v>7987</v>
      </c>
      <c r="G6740" s="2" t="s">
        <v>6781</v>
      </c>
      <c r="H6740" s="14">
        <v>0.51</v>
      </c>
      <c r="I6740" s="2" t="s">
        <v>4761</v>
      </c>
      <c r="J6740" s="2" t="s">
        <v>3942</v>
      </c>
      <c r="K6740" s="2" t="s">
        <v>1452</v>
      </c>
      <c r="L6740" s="2" t="s">
        <v>5221</v>
      </c>
      <c r="M6740" s="2" t="s">
        <v>5721</v>
      </c>
      <c r="N6740" s="2" t="s">
        <v>2317</v>
      </c>
      <c r="O6740" s="14">
        <v>2600</v>
      </c>
      <c r="P6740" s="14">
        <v>94.19</v>
      </c>
      <c r="Q6740" s="14">
        <v>151.06</v>
      </c>
      <c r="R6740" s="14">
        <v>77.040000000000006</v>
      </c>
      <c r="S6740" s="2" t="s">
        <v>575</v>
      </c>
      <c r="T6740" s="2">
        <v>1.53</v>
      </c>
      <c r="U6740" s="2">
        <v>61</v>
      </c>
      <c r="V6740" s="2">
        <v>58</v>
      </c>
      <c r="W6740" s="2" t="s">
        <v>7862</v>
      </c>
      <c r="X6740" s="2" t="s">
        <v>6687</v>
      </c>
      <c r="Y6740" s="2">
        <v>1326</v>
      </c>
      <c r="Z6740" s="19" t="str">
        <f>HYPERLINK("https://ssdweb.co/ssdweb/hd/Vision360.html?d=927132529&amp;zoomslide=1&amp;z=1927132529&amp;ISCONFIRM=0","VIDEO")</f>
        <v>VIDEO</v>
      </c>
      <c r="AA6740" s="19" t="str">
        <f>HYPERLINK("https://ssdweb.co/ssdweb/CERTH/689586983.pdf","CERTI")</f>
        <v>CERTI</v>
      </c>
    </row>
    <row r="6741" spans="1:27" ht="15" x14ac:dyDescent="0.25">
      <c r="A6741" s="2">
        <v>6736</v>
      </c>
      <c r="B6741" s="39">
        <v>927102456</v>
      </c>
      <c r="C6741" s="28" t="str">
        <f>HYPERLINK("https://pld.live/RapDetail.aspx?STONELIST=927102456","DNA")</f>
        <v>DNA</v>
      </c>
      <c r="D6741" s="18" t="s">
        <v>5466</v>
      </c>
      <c r="E6741" s="18" t="s">
        <v>5128</v>
      </c>
      <c r="F6741" s="2" t="s">
        <v>7987</v>
      </c>
      <c r="G6741" s="2" t="s">
        <v>6781</v>
      </c>
      <c r="H6741" s="14">
        <v>0.51</v>
      </c>
      <c r="I6741" s="2" t="s">
        <v>4761</v>
      </c>
      <c r="J6741" s="2" t="s">
        <v>13</v>
      </c>
      <c r="K6741" s="2" t="s">
        <v>1452</v>
      </c>
      <c r="L6741" s="2" t="s">
        <v>5221</v>
      </c>
      <c r="M6741" s="2" t="s">
        <v>5721</v>
      </c>
      <c r="N6741" s="2" t="s">
        <v>2317</v>
      </c>
      <c r="O6741" s="14">
        <v>2500</v>
      </c>
      <c r="P6741" s="14">
        <v>94.4</v>
      </c>
      <c r="Q6741" s="14">
        <v>140</v>
      </c>
      <c r="R6741" s="14">
        <v>71.400000000000006</v>
      </c>
      <c r="S6741" s="2" t="s">
        <v>3622</v>
      </c>
      <c r="T6741" s="2">
        <v>1.53</v>
      </c>
      <c r="U6741" s="2">
        <v>62.7</v>
      </c>
      <c r="V6741" s="2">
        <v>60</v>
      </c>
      <c r="W6741" s="2" t="s">
        <v>7862</v>
      </c>
      <c r="X6741" s="2" t="s">
        <v>6687</v>
      </c>
      <c r="Y6741" s="2">
        <v>1275</v>
      </c>
      <c r="Z6741" s="19" t="str">
        <f>HYPERLINK("https://ssdweb.co/ssdweb/hd/Vision360.html?d=927102456&amp;zoomslide=1&amp;z=1927102456&amp;ISCONFIRM=0","VIDEO")</f>
        <v>VIDEO</v>
      </c>
      <c r="AA6741" s="19" t="str">
        <f>HYPERLINK("https://ssdweb.co/ssdweb/CERTH/689586922.pdf","CERTI")</f>
        <v>CERTI</v>
      </c>
    </row>
    <row r="6742" spans="1:27" ht="15" x14ac:dyDescent="0.25">
      <c r="A6742" s="2">
        <v>6737</v>
      </c>
      <c r="B6742" s="39">
        <v>941280520</v>
      </c>
      <c r="C6742" s="28" t="str">
        <f>HYPERLINK("https://pld.live/RapDetail.aspx?STONELIST=941280520","DNA")</f>
        <v>DNA</v>
      </c>
      <c r="D6742" s="18" t="s">
        <v>5466</v>
      </c>
      <c r="E6742" s="18" t="s">
        <v>2186</v>
      </c>
      <c r="F6742" s="2" t="s">
        <v>7987</v>
      </c>
      <c r="G6742" s="2" t="s">
        <v>6781</v>
      </c>
      <c r="H6742" s="14">
        <v>0.5</v>
      </c>
      <c r="I6742" s="2" t="s">
        <v>267</v>
      </c>
      <c r="J6742" s="2" t="s">
        <v>3942</v>
      </c>
      <c r="K6742" s="2" t="s">
        <v>1452</v>
      </c>
      <c r="L6742" s="2" t="s">
        <v>5221</v>
      </c>
      <c r="M6742" s="2" t="s">
        <v>5221</v>
      </c>
      <c r="N6742" s="2" t="s">
        <v>2317</v>
      </c>
      <c r="O6742" s="14">
        <v>2800</v>
      </c>
      <c r="P6742" s="14">
        <v>94.46</v>
      </c>
      <c r="Q6742" s="14">
        <v>155.12</v>
      </c>
      <c r="R6742" s="14">
        <v>77.56</v>
      </c>
      <c r="S6742" s="2" t="s">
        <v>3809</v>
      </c>
      <c r="T6742" s="2">
        <v>1.65</v>
      </c>
      <c r="U6742" s="2">
        <v>62.1</v>
      </c>
      <c r="V6742" s="2">
        <v>60</v>
      </c>
      <c r="W6742" s="2" t="s">
        <v>7862</v>
      </c>
      <c r="X6742" s="2" t="s">
        <v>6687</v>
      </c>
      <c r="Y6742" s="2">
        <v>1400</v>
      </c>
      <c r="Z6742" s="19" t="str">
        <f>HYPERLINK("https://ssdweb.co/ssdweb/hd/Vision360.html?d=941280520&amp;zoomslide=1&amp;z=1941280520&amp;ISCONFIRM=0","VIDEO")</f>
        <v>VIDEO</v>
      </c>
      <c r="AA6742" s="19" t="str">
        <f>HYPERLINK("https://ssdweb.co/ssdweb/CERTH/692505636.pdf","CERTI")</f>
        <v>CERTI</v>
      </c>
    </row>
    <row r="6743" spans="1:27" ht="15" x14ac:dyDescent="0.25">
      <c r="A6743" s="2">
        <v>6738</v>
      </c>
      <c r="B6743" s="39">
        <v>927092554</v>
      </c>
      <c r="C6743" s="28" t="str">
        <f>HYPERLINK("https://pld.live/RapDetail.aspx?STONELIST=927092554","DNA")</f>
        <v>DNA</v>
      </c>
      <c r="D6743" s="18" t="s">
        <v>5466</v>
      </c>
      <c r="E6743" s="18" t="s">
        <v>5128</v>
      </c>
      <c r="F6743" s="2" t="s">
        <v>7987</v>
      </c>
      <c r="G6743" s="2" t="s">
        <v>6781</v>
      </c>
      <c r="H6743" s="14">
        <v>0.5</v>
      </c>
      <c r="I6743" s="2" t="s">
        <v>267</v>
      </c>
      <c r="J6743" s="2" t="s">
        <v>3942</v>
      </c>
      <c r="K6743" s="2" t="s">
        <v>1452</v>
      </c>
      <c r="L6743" s="2" t="s">
        <v>5221</v>
      </c>
      <c r="M6743" s="2" t="s">
        <v>5221</v>
      </c>
      <c r="N6743" s="2" t="s">
        <v>2317</v>
      </c>
      <c r="O6743" s="14">
        <v>2800</v>
      </c>
      <c r="P6743" s="14">
        <v>94.46</v>
      </c>
      <c r="Q6743" s="14">
        <v>155.12</v>
      </c>
      <c r="R6743" s="14">
        <v>77.56</v>
      </c>
      <c r="S6743" s="2" t="s">
        <v>7500</v>
      </c>
      <c r="T6743" s="2">
        <v>1.56</v>
      </c>
      <c r="U6743" s="2">
        <v>62.5</v>
      </c>
      <c r="V6743" s="2">
        <v>59</v>
      </c>
      <c r="W6743" s="2" t="s">
        <v>7862</v>
      </c>
      <c r="X6743" s="2" t="s">
        <v>6687</v>
      </c>
      <c r="Y6743" s="2">
        <v>1400</v>
      </c>
      <c r="Z6743" s="19" t="str">
        <f>HYPERLINK("https://ssdweb.co/ssdweb/hd/Vision360.html?d=927092554&amp;zoomslide=1&amp;z=1927092554&amp;ISCONFIRM=0","VIDEO")</f>
        <v>VIDEO</v>
      </c>
      <c r="AA6743" s="19" t="str">
        <f>HYPERLINK("https://ssdweb.co/ssdweb/CERTH/689586886.pdf","CERTI")</f>
        <v>CERTI</v>
      </c>
    </row>
    <row r="6744" spans="1:27" ht="15" x14ac:dyDescent="0.25">
      <c r="A6744" s="2">
        <v>6739</v>
      </c>
      <c r="B6744" s="39">
        <v>927092629</v>
      </c>
      <c r="C6744" s="28" t="str">
        <f>HYPERLINK("https://pld.live/RapDetail.aspx?STONELIST=927092629","DNA")</f>
        <v>DNA</v>
      </c>
      <c r="D6744" s="18" t="s">
        <v>5466</v>
      </c>
      <c r="E6744" s="18" t="s">
        <v>5128</v>
      </c>
      <c r="F6744" s="2" t="s">
        <v>7987</v>
      </c>
      <c r="G6744" s="2" t="s">
        <v>6781</v>
      </c>
      <c r="H6744" s="14">
        <v>0.5</v>
      </c>
      <c r="I6744" s="2" t="s">
        <v>267</v>
      </c>
      <c r="J6744" s="2" t="s">
        <v>3942</v>
      </c>
      <c r="K6744" s="2" t="s">
        <v>1452</v>
      </c>
      <c r="L6744" s="2" t="s">
        <v>5221</v>
      </c>
      <c r="M6744" s="2" t="s">
        <v>5721</v>
      </c>
      <c r="N6744" s="2" t="s">
        <v>2317</v>
      </c>
      <c r="O6744" s="14">
        <v>2800</v>
      </c>
      <c r="P6744" s="14">
        <v>94.54</v>
      </c>
      <c r="Q6744" s="14">
        <v>152.88</v>
      </c>
      <c r="R6744" s="14">
        <v>76.44</v>
      </c>
      <c r="S6744" s="2" t="s">
        <v>2931</v>
      </c>
      <c r="T6744" s="2">
        <v>1.56</v>
      </c>
      <c r="U6744" s="2">
        <v>60.9</v>
      </c>
      <c r="V6744" s="2">
        <v>62</v>
      </c>
      <c r="W6744" s="2" t="s">
        <v>7862</v>
      </c>
      <c r="X6744" s="2" t="s">
        <v>6687</v>
      </c>
      <c r="Y6744" s="2">
        <v>1400</v>
      </c>
      <c r="Z6744" s="19" t="str">
        <f>HYPERLINK("https://ssdweb.co/ssdweb/hd/Vision360.html?d=927092629&amp;zoomslide=1&amp;z=1927092629&amp;ISCONFIRM=0","VIDEO")</f>
        <v>VIDEO</v>
      </c>
      <c r="AA6744" s="19" t="str">
        <f>HYPERLINK("https://ssdweb.co/ssdweb/CERTH/689586892.pdf","CERTI")</f>
        <v>CERTI</v>
      </c>
    </row>
    <row r="6745" spans="1:27" ht="15" x14ac:dyDescent="0.25">
      <c r="A6745" s="2">
        <v>6740</v>
      </c>
      <c r="B6745" s="39">
        <v>927052746</v>
      </c>
      <c r="C6745" s="28" t="str">
        <f>HYPERLINK("https://pld.live/RapDetail.aspx?STONELIST=927052746","DNA")</f>
        <v>DNA</v>
      </c>
      <c r="D6745" s="18" t="s">
        <v>5466</v>
      </c>
      <c r="E6745" s="18" t="s">
        <v>5128</v>
      </c>
      <c r="F6745" s="2" t="s">
        <v>7987</v>
      </c>
      <c r="G6745" s="2" t="s">
        <v>6781</v>
      </c>
      <c r="H6745" s="14">
        <v>0.5</v>
      </c>
      <c r="I6745" s="2" t="s">
        <v>267</v>
      </c>
      <c r="J6745" s="2" t="s">
        <v>3942</v>
      </c>
      <c r="K6745" s="2" t="s">
        <v>1452</v>
      </c>
      <c r="L6745" s="2" t="s">
        <v>5221</v>
      </c>
      <c r="M6745" s="2" t="s">
        <v>5721</v>
      </c>
      <c r="N6745" s="2" t="s">
        <v>2317</v>
      </c>
      <c r="O6745" s="14">
        <v>2800</v>
      </c>
      <c r="P6745" s="14">
        <v>94.54</v>
      </c>
      <c r="Q6745" s="14">
        <v>152.88</v>
      </c>
      <c r="R6745" s="14">
        <v>76.44</v>
      </c>
      <c r="S6745" s="2" t="s">
        <v>6028</v>
      </c>
      <c r="T6745" s="2">
        <v>1.52</v>
      </c>
      <c r="U6745" s="2">
        <v>63.4</v>
      </c>
      <c r="V6745" s="2">
        <v>57</v>
      </c>
      <c r="W6745" s="2" t="s">
        <v>7862</v>
      </c>
      <c r="X6745" s="2" t="s">
        <v>6687</v>
      </c>
      <c r="Y6745" s="2">
        <v>1400</v>
      </c>
      <c r="Z6745" s="19" t="str">
        <f>HYPERLINK("https://ssdweb.co/ssdweb/hd/Vision360.html?d=927052746&amp;zoomslide=1&amp;z=1927052746&amp;ISCONFIRM=0","VIDEO")</f>
        <v>VIDEO</v>
      </c>
      <c r="AA6745" s="19" t="str">
        <f>HYPERLINK("https://ssdweb.co/ssdweb/CERTH/671477183.pdf","CERTI")</f>
        <v>CERTI</v>
      </c>
    </row>
    <row r="6746" spans="1:27" ht="15" x14ac:dyDescent="0.25">
      <c r="A6746" s="2">
        <v>6741</v>
      </c>
      <c r="B6746" s="39">
        <v>941040710</v>
      </c>
      <c r="C6746" s="28" t="str">
        <f>HYPERLINK("https://pld.live/RapDetail.aspx?STONELIST=941040710","DNA")</f>
        <v>DNA</v>
      </c>
      <c r="D6746" s="18" t="s">
        <v>5466</v>
      </c>
      <c r="E6746" s="18" t="s">
        <v>5128</v>
      </c>
      <c r="F6746" s="2" t="s">
        <v>7987</v>
      </c>
      <c r="G6746" s="2" t="s">
        <v>6781</v>
      </c>
      <c r="H6746" s="14">
        <v>0.5</v>
      </c>
      <c r="I6746" s="2" t="s">
        <v>267</v>
      </c>
      <c r="J6746" s="2" t="s">
        <v>3942</v>
      </c>
      <c r="K6746" s="2" t="s">
        <v>1452</v>
      </c>
      <c r="L6746" s="2" t="s">
        <v>5221</v>
      </c>
      <c r="M6746" s="2" t="s">
        <v>5721</v>
      </c>
      <c r="N6746" s="2" t="s">
        <v>2317</v>
      </c>
      <c r="O6746" s="14">
        <v>2800</v>
      </c>
      <c r="P6746" s="14">
        <v>94.54</v>
      </c>
      <c r="Q6746" s="14">
        <v>152.88</v>
      </c>
      <c r="R6746" s="14">
        <v>76.44</v>
      </c>
      <c r="S6746" s="2" t="s">
        <v>3910</v>
      </c>
      <c r="T6746" s="2">
        <v>1.54</v>
      </c>
      <c r="U6746" s="2">
        <v>61.4</v>
      </c>
      <c r="V6746" s="2">
        <v>63</v>
      </c>
      <c r="W6746" s="2" t="s">
        <v>7862</v>
      </c>
      <c r="X6746" s="2" t="s">
        <v>6687</v>
      </c>
      <c r="Y6746" s="2">
        <v>1400</v>
      </c>
      <c r="Z6746" s="19" t="str">
        <f>HYPERLINK("https://ssdweb.co/ssdweb/hd/Vision360.html?d=941040710&amp;zoomslide=1&amp;z=1941040710&amp;ISCONFIRM=0","VIDEO")</f>
        <v>VIDEO</v>
      </c>
      <c r="AA6746" s="19" t="str">
        <f>HYPERLINK("https://ssdweb.co/ssdweb/CERTH/674543102.pdf","CERTI")</f>
        <v>CERTI</v>
      </c>
    </row>
    <row r="6747" spans="1:27" ht="15" x14ac:dyDescent="0.25">
      <c r="A6747" s="2">
        <v>6742</v>
      </c>
      <c r="B6747" s="39">
        <v>927152988</v>
      </c>
      <c r="C6747" s="28" t="str">
        <f>HYPERLINK("https://pld.live/RapDetail.aspx?STONELIST=927152988","DNA")</f>
        <v>DNA</v>
      </c>
      <c r="D6747" s="18" t="s">
        <v>5466</v>
      </c>
      <c r="E6747" s="18" t="s">
        <v>5128</v>
      </c>
      <c r="F6747" s="2" t="s">
        <v>7987</v>
      </c>
      <c r="G6747" s="2" t="s">
        <v>6781</v>
      </c>
      <c r="H6747" s="14">
        <v>0.5</v>
      </c>
      <c r="I6747" s="2" t="s">
        <v>267</v>
      </c>
      <c r="J6747" s="2" t="s">
        <v>3942</v>
      </c>
      <c r="K6747" s="2" t="s">
        <v>1452</v>
      </c>
      <c r="L6747" s="2" t="s">
        <v>5721</v>
      </c>
      <c r="M6747" s="2" t="s">
        <v>5721</v>
      </c>
      <c r="N6747" s="2" t="s">
        <v>2317</v>
      </c>
      <c r="O6747" s="14">
        <v>2800</v>
      </c>
      <c r="P6747" s="14">
        <v>94.61</v>
      </c>
      <c r="Q6747" s="14">
        <v>150.91999999999999</v>
      </c>
      <c r="R6747" s="14">
        <v>75.459999999999994</v>
      </c>
      <c r="S6747" s="2" t="s">
        <v>2329</v>
      </c>
      <c r="T6747" s="2">
        <v>1.5</v>
      </c>
      <c r="U6747" s="2">
        <v>64.5</v>
      </c>
      <c r="V6747" s="2">
        <v>57</v>
      </c>
      <c r="W6747" s="2" t="s">
        <v>7862</v>
      </c>
      <c r="X6747" s="2" t="s">
        <v>6687</v>
      </c>
      <c r="Y6747" s="2">
        <v>1400</v>
      </c>
      <c r="Z6747" s="19" t="str">
        <f>HYPERLINK("https://ssdweb.co/ssdweb/hd/Vision360.html?d=927152988&amp;zoomslide=1&amp;z=1927152988&amp;ISCONFIRM=0","VIDEO")</f>
        <v>VIDEO</v>
      </c>
      <c r="AA6747" s="19" t="str">
        <f>HYPERLINK("https://ssdweb.co/ssdweb/CERTH/675596823.pdf","CERTI")</f>
        <v>CERTI</v>
      </c>
    </row>
    <row r="6748" spans="1:27" ht="15" x14ac:dyDescent="0.25">
      <c r="A6748" s="2">
        <v>6743</v>
      </c>
      <c r="B6748" s="39">
        <v>941190494</v>
      </c>
      <c r="C6748" s="28" t="str">
        <f>HYPERLINK("https://pld.live/RapDetail.aspx?STONELIST=941190494","DNA")</f>
        <v>DNA</v>
      </c>
      <c r="D6748" s="18" t="s">
        <v>5466</v>
      </c>
      <c r="E6748" s="18" t="s">
        <v>5128</v>
      </c>
      <c r="F6748" s="2" t="s">
        <v>7987</v>
      </c>
      <c r="G6748" s="2" t="s">
        <v>6781</v>
      </c>
      <c r="H6748" s="14">
        <v>0.5</v>
      </c>
      <c r="I6748" s="2" t="s">
        <v>267</v>
      </c>
      <c r="J6748" s="2" t="s">
        <v>13</v>
      </c>
      <c r="K6748" s="2" t="s">
        <v>1452</v>
      </c>
      <c r="L6748" s="2" t="s">
        <v>5221</v>
      </c>
      <c r="M6748" s="2" t="s">
        <v>5721</v>
      </c>
      <c r="N6748" s="2" t="s">
        <v>2317</v>
      </c>
      <c r="O6748" s="14">
        <v>2600</v>
      </c>
      <c r="P6748" s="14">
        <v>94.31</v>
      </c>
      <c r="Q6748" s="14">
        <v>147.94</v>
      </c>
      <c r="R6748" s="14">
        <v>73.97</v>
      </c>
      <c r="S6748" s="2" t="s">
        <v>3238</v>
      </c>
      <c r="T6748" s="2">
        <v>1.62</v>
      </c>
      <c r="U6748" s="2">
        <v>59.5</v>
      </c>
      <c r="V6748" s="2">
        <v>60</v>
      </c>
      <c r="W6748" s="2" t="s">
        <v>7862</v>
      </c>
      <c r="X6748" s="2" t="s">
        <v>6687</v>
      </c>
      <c r="Y6748" s="2">
        <v>1300</v>
      </c>
      <c r="Z6748" s="19" t="str">
        <f>HYPERLINK("https://ssdweb.co/ssdweb/hd/Vision360.html?d=941190494&amp;zoomslide=1&amp;z=1941190494&amp;ISCONFIRM=0","VIDEO")</f>
        <v>VIDEO</v>
      </c>
      <c r="AA6748" s="19" t="str">
        <f>HYPERLINK("https://ssdweb.co/ssdweb/CERTH/677510703.pdf","CERTI")</f>
        <v>CERTI</v>
      </c>
    </row>
    <row r="6749" spans="1:27" ht="15" x14ac:dyDescent="0.25">
      <c r="A6749" s="2">
        <v>6744</v>
      </c>
      <c r="B6749" s="39">
        <v>927132463</v>
      </c>
      <c r="C6749" s="28" t="str">
        <f>HYPERLINK("https://pld.live/RapDetail.aspx?STONELIST=927132463","DNA")</f>
        <v>DNA</v>
      </c>
      <c r="D6749" s="18" t="s">
        <v>5466</v>
      </c>
      <c r="E6749" s="18" t="s">
        <v>5128</v>
      </c>
      <c r="F6749" s="2" t="s">
        <v>7987</v>
      </c>
      <c r="G6749" s="2" t="s">
        <v>6781</v>
      </c>
      <c r="H6749" s="14">
        <v>0.5</v>
      </c>
      <c r="I6749" s="2" t="s">
        <v>267</v>
      </c>
      <c r="J6749" s="2" t="s">
        <v>13</v>
      </c>
      <c r="K6749" s="2" t="s">
        <v>1452</v>
      </c>
      <c r="L6749" s="2" t="s">
        <v>5221</v>
      </c>
      <c r="M6749" s="2" t="s">
        <v>5721</v>
      </c>
      <c r="N6749" s="2" t="s">
        <v>2317</v>
      </c>
      <c r="O6749" s="14">
        <v>2600</v>
      </c>
      <c r="P6749" s="14">
        <v>94.31</v>
      </c>
      <c r="Q6749" s="14">
        <v>147.94</v>
      </c>
      <c r="R6749" s="14">
        <v>73.97</v>
      </c>
      <c r="S6749" s="2" t="s">
        <v>4146</v>
      </c>
      <c r="T6749" s="2">
        <v>1.53</v>
      </c>
      <c r="U6749" s="2">
        <v>60.7</v>
      </c>
      <c r="V6749" s="2">
        <v>57</v>
      </c>
      <c r="W6749" s="2" t="s">
        <v>7862</v>
      </c>
      <c r="X6749" s="2" t="s">
        <v>6687</v>
      </c>
      <c r="Y6749" s="2">
        <v>1300</v>
      </c>
      <c r="Z6749" s="19" t="str">
        <f>HYPERLINK("https://ssdweb.co/ssdweb/hd/Vision360.html?d=927132463&amp;zoomslide=1&amp;z=1927132463&amp;ISCONFIRM=0","VIDEO")</f>
        <v>VIDEO</v>
      </c>
      <c r="AA6749" s="19" t="str">
        <f>HYPERLINK("https://ssdweb.co/ssdweb/CERTH/689586982.pdf","CERTI")</f>
        <v>CERTI</v>
      </c>
    </row>
    <row r="6750" spans="1:27" ht="15" x14ac:dyDescent="0.25">
      <c r="A6750" s="2">
        <v>6745</v>
      </c>
      <c r="B6750" s="39">
        <v>927132470</v>
      </c>
      <c r="C6750" s="28" t="str">
        <f>HYPERLINK("https://pld.live/RapDetail.aspx?STONELIST=927132470","DNA")</f>
        <v>DNA</v>
      </c>
      <c r="D6750" s="18" t="s">
        <v>5466</v>
      </c>
      <c r="E6750" s="18" t="s">
        <v>5128</v>
      </c>
      <c r="F6750" s="2" t="s">
        <v>7987</v>
      </c>
      <c r="G6750" s="2" t="s">
        <v>6781</v>
      </c>
      <c r="H6750" s="14">
        <v>0.5</v>
      </c>
      <c r="I6750" s="2" t="s">
        <v>267</v>
      </c>
      <c r="J6750" s="2" t="s">
        <v>13</v>
      </c>
      <c r="K6750" s="2" t="s">
        <v>1452</v>
      </c>
      <c r="L6750" s="2" t="s">
        <v>5221</v>
      </c>
      <c r="M6750" s="2" t="s">
        <v>5721</v>
      </c>
      <c r="N6750" s="2" t="s">
        <v>2317</v>
      </c>
      <c r="O6750" s="14">
        <v>2600</v>
      </c>
      <c r="P6750" s="14">
        <v>94.31</v>
      </c>
      <c r="Q6750" s="14">
        <v>147.94</v>
      </c>
      <c r="R6750" s="14">
        <v>73.97</v>
      </c>
      <c r="S6750" s="2" t="s">
        <v>3022</v>
      </c>
      <c r="T6750" s="2">
        <v>1.54</v>
      </c>
      <c r="U6750" s="2">
        <v>61.9</v>
      </c>
      <c r="V6750" s="2">
        <v>59</v>
      </c>
      <c r="W6750" s="2" t="s">
        <v>7862</v>
      </c>
      <c r="X6750" s="2" t="s">
        <v>6687</v>
      </c>
      <c r="Y6750" s="2">
        <v>1300</v>
      </c>
      <c r="Z6750" s="19" t="str">
        <f>HYPERLINK("https://ssdweb.co/ssdweb/hd/Vision360.html?d=927132470&amp;zoomslide=1&amp;z=1927132470&amp;ISCONFIRM=0","VIDEO")</f>
        <v>VIDEO</v>
      </c>
      <c r="AA6750" s="19" t="str">
        <f>HYPERLINK("https://ssdweb.co/ssdweb/CERTH/689587003.pdf","CERTI")</f>
        <v>CERTI</v>
      </c>
    </row>
    <row r="6751" spans="1:27" ht="15" x14ac:dyDescent="0.25">
      <c r="A6751" s="2">
        <v>6746</v>
      </c>
      <c r="B6751" s="39">
        <v>927132521</v>
      </c>
      <c r="C6751" s="28" t="str">
        <f>HYPERLINK("https://pld.live/RapDetail.aspx?STONELIST=927132521","DNA")</f>
        <v>DNA</v>
      </c>
      <c r="D6751" s="18" t="s">
        <v>5466</v>
      </c>
      <c r="E6751" s="18" t="s">
        <v>5128</v>
      </c>
      <c r="F6751" s="2" t="s">
        <v>7987</v>
      </c>
      <c r="G6751" s="2" t="s">
        <v>6781</v>
      </c>
      <c r="H6751" s="14">
        <v>0.5</v>
      </c>
      <c r="I6751" s="2" t="s">
        <v>267</v>
      </c>
      <c r="J6751" s="2" t="s">
        <v>5144</v>
      </c>
      <c r="K6751" s="2" t="s">
        <v>1452</v>
      </c>
      <c r="L6751" s="2" t="s">
        <v>5221</v>
      </c>
      <c r="M6751" s="2" t="s">
        <v>5221</v>
      </c>
      <c r="N6751" s="2" t="s">
        <v>2317</v>
      </c>
      <c r="O6751" s="14">
        <v>2400</v>
      </c>
      <c r="P6751" s="14">
        <v>94.25</v>
      </c>
      <c r="Q6751" s="14">
        <v>138</v>
      </c>
      <c r="R6751" s="14">
        <v>69</v>
      </c>
      <c r="S6751" s="2" t="s">
        <v>7413</v>
      </c>
      <c r="T6751" s="2">
        <v>1.51</v>
      </c>
      <c r="U6751" s="2">
        <v>62.7</v>
      </c>
      <c r="V6751" s="2">
        <v>61</v>
      </c>
      <c r="W6751" s="2" t="s">
        <v>7862</v>
      </c>
      <c r="X6751" s="2" t="s">
        <v>6687</v>
      </c>
      <c r="Y6751" s="2">
        <v>1200</v>
      </c>
      <c r="Z6751" s="19" t="str">
        <f>HYPERLINK("https://ssdweb.co/ssdweb/hd/Vision360.html?d=927132521&amp;zoomslide=1&amp;z=1927132521&amp;ISCONFIRM=0","VIDEO")</f>
        <v>VIDEO</v>
      </c>
      <c r="AA6751" s="19" t="str">
        <f>HYPERLINK("https://ssdweb.co/ssdweb/CERTH/689587044.pdf","CERTI")</f>
        <v>CERTI</v>
      </c>
    </row>
    <row r="6752" spans="1:27" ht="15" x14ac:dyDescent="0.25">
      <c r="A6752" s="2">
        <v>6747</v>
      </c>
      <c r="B6752" s="39">
        <v>927152927</v>
      </c>
      <c r="C6752" s="28" t="str">
        <f>HYPERLINK("https://pld.live/RapDetail.aspx?STONELIST=927152927","DNA")</f>
        <v>DNA</v>
      </c>
      <c r="D6752" s="18" t="s">
        <v>5466</v>
      </c>
      <c r="E6752" s="18" t="s">
        <v>5128</v>
      </c>
      <c r="F6752" s="2" t="s">
        <v>7987</v>
      </c>
      <c r="G6752" s="2" t="s">
        <v>6781</v>
      </c>
      <c r="H6752" s="14">
        <v>0.5</v>
      </c>
      <c r="I6752" s="2" t="s">
        <v>267</v>
      </c>
      <c r="J6752" s="2" t="s">
        <v>5144</v>
      </c>
      <c r="K6752" s="2" t="s">
        <v>1452</v>
      </c>
      <c r="L6752" s="2" t="s">
        <v>5221</v>
      </c>
      <c r="M6752" s="2" t="s">
        <v>5221</v>
      </c>
      <c r="N6752" s="2" t="s">
        <v>2317</v>
      </c>
      <c r="O6752" s="14">
        <v>2400</v>
      </c>
      <c r="P6752" s="14">
        <v>94.25</v>
      </c>
      <c r="Q6752" s="14">
        <v>138</v>
      </c>
      <c r="R6752" s="14">
        <v>69</v>
      </c>
      <c r="S6752" s="2" t="s">
        <v>5966</v>
      </c>
      <c r="T6752" s="2">
        <v>1.56</v>
      </c>
      <c r="U6752" s="2">
        <v>63.1</v>
      </c>
      <c r="V6752" s="2">
        <v>57</v>
      </c>
      <c r="W6752" s="2" t="s">
        <v>7862</v>
      </c>
      <c r="X6752" s="2" t="s">
        <v>6687</v>
      </c>
      <c r="Y6752" s="2">
        <v>1200</v>
      </c>
      <c r="Z6752" s="19" t="str">
        <f>HYPERLINK("https://ssdweb.co/ssdweb/hd/Vision360.html?d=927152927&amp;zoomslide=1&amp;z=1927152927&amp;ISCONFIRM=0","VIDEO")</f>
        <v>VIDEO</v>
      </c>
      <c r="AA6752" s="19" t="str">
        <f>HYPERLINK("https://ssdweb.co/ssdweb/CERTH/689586856.pdf","CERTI")</f>
        <v>CERTI</v>
      </c>
    </row>
    <row r="6753" spans="1:27" ht="15" x14ac:dyDescent="0.25">
      <c r="A6753" s="2">
        <v>6748</v>
      </c>
      <c r="B6753" s="39">
        <v>926820108</v>
      </c>
      <c r="C6753" s="28" t="str">
        <f>HYPERLINK("https://pld.live/RapDetail.aspx?STONELIST=926820108","DNA")</f>
        <v>DNA</v>
      </c>
      <c r="D6753" s="18" t="s">
        <v>5466</v>
      </c>
      <c r="E6753" s="18" t="s">
        <v>2186</v>
      </c>
      <c r="F6753" s="2" t="s">
        <v>7987</v>
      </c>
      <c r="G6753" s="2" t="s">
        <v>6781</v>
      </c>
      <c r="H6753" s="14">
        <v>0.5</v>
      </c>
      <c r="I6753" s="2" t="s">
        <v>267</v>
      </c>
      <c r="J6753" s="2" t="s">
        <v>5144</v>
      </c>
      <c r="K6753" s="2" t="s">
        <v>1452</v>
      </c>
      <c r="L6753" s="2" t="s">
        <v>5221</v>
      </c>
      <c r="M6753" s="2" t="s">
        <v>5721</v>
      </c>
      <c r="N6753" s="2" t="s">
        <v>2317</v>
      </c>
      <c r="O6753" s="14">
        <v>2400</v>
      </c>
      <c r="P6753" s="14">
        <v>94.42</v>
      </c>
      <c r="Q6753" s="14">
        <v>133.91999999999999</v>
      </c>
      <c r="R6753" s="14">
        <v>66.959999999999994</v>
      </c>
      <c r="S6753" s="2" t="s">
        <v>4675</v>
      </c>
      <c r="T6753" s="2">
        <v>1.65</v>
      </c>
      <c r="U6753" s="2">
        <v>60.4</v>
      </c>
      <c r="V6753" s="2">
        <v>63</v>
      </c>
      <c r="W6753" s="2" t="s">
        <v>7862</v>
      </c>
      <c r="X6753" s="2" t="s">
        <v>6687</v>
      </c>
      <c r="Y6753" s="2">
        <v>1200</v>
      </c>
      <c r="Z6753" s="19" t="str">
        <f>HYPERLINK("https://ssdweb.co/ssdweb/hd/Vision360.html?d=926820108&amp;zoomslide=1&amp;z=1926820108&amp;ISCONFIRM=0","VIDEO")</f>
        <v>VIDEO</v>
      </c>
      <c r="AA6753" s="19" t="str">
        <f>HYPERLINK("https://ssdweb.co/ssdweb/CERTH/660440456.pdf","CERTI")</f>
        <v>CERTI</v>
      </c>
    </row>
    <row r="6754" spans="1:27" ht="15" x14ac:dyDescent="0.25">
      <c r="A6754" s="2">
        <v>6749</v>
      </c>
      <c r="B6754" s="39">
        <v>927152949</v>
      </c>
      <c r="C6754" s="28" t="str">
        <f>HYPERLINK("https://pld.live/RapDetail.aspx?STONELIST=927152949","DNA")</f>
        <v>DNA</v>
      </c>
      <c r="D6754" s="18" t="s">
        <v>5466</v>
      </c>
      <c r="E6754" s="18" t="s">
        <v>5128</v>
      </c>
      <c r="F6754" s="2" t="s">
        <v>7987</v>
      </c>
      <c r="G6754" s="2" t="s">
        <v>6781</v>
      </c>
      <c r="H6754" s="14">
        <v>0.5</v>
      </c>
      <c r="I6754" s="2" t="s">
        <v>267</v>
      </c>
      <c r="J6754" s="2" t="s">
        <v>5144</v>
      </c>
      <c r="K6754" s="2" t="s">
        <v>1452</v>
      </c>
      <c r="L6754" s="2" t="s">
        <v>5221</v>
      </c>
      <c r="M6754" s="2" t="s">
        <v>5721</v>
      </c>
      <c r="N6754" s="2" t="s">
        <v>2317</v>
      </c>
      <c r="O6754" s="14">
        <v>2400</v>
      </c>
      <c r="P6754" s="14">
        <v>94.33</v>
      </c>
      <c r="Q6754" s="14">
        <v>136.08000000000001</v>
      </c>
      <c r="R6754" s="14">
        <v>68.040000000000006</v>
      </c>
      <c r="S6754" s="2" t="s">
        <v>6142</v>
      </c>
      <c r="T6754" s="2">
        <v>1.52</v>
      </c>
      <c r="U6754" s="2">
        <v>61.5</v>
      </c>
      <c r="V6754" s="2">
        <v>57</v>
      </c>
      <c r="W6754" s="2" t="s">
        <v>7862</v>
      </c>
      <c r="X6754" s="2" t="s">
        <v>6687</v>
      </c>
      <c r="Y6754" s="2">
        <v>1200</v>
      </c>
      <c r="Z6754" s="19" t="str">
        <f>HYPERLINK("https://ssdweb.co/ssdweb/hd/Vision360.html?d=927152949&amp;zoomslide=1&amp;z=1927152949&amp;ISCONFIRM=0","VIDEO")</f>
        <v>VIDEO</v>
      </c>
      <c r="AA6754" s="19" t="str">
        <f>HYPERLINK("https://ssdweb.co/ssdweb/CERTH/689586861.pdf","CERTI")</f>
        <v>CERTI</v>
      </c>
    </row>
    <row r="6755" spans="1:27" ht="15" x14ac:dyDescent="0.25">
      <c r="A6755" s="2">
        <v>6750</v>
      </c>
      <c r="B6755" s="39">
        <v>9413700664</v>
      </c>
      <c r="C6755" s="28" t="str">
        <f>HYPERLINK("https://pld.live/RapDetail.aspx?STONELIST=9413700664","DNA")</f>
        <v>DNA</v>
      </c>
      <c r="D6755" s="18" t="s">
        <v>5466</v>
      </c>
      <c r="E6755" s="18" t="s">
        <v>5128</v>
      </c>
      <c r="F6755" s="2" t="s">
        <v>7987</v>
      </c>
      <c r="G6755" s="2" t="s">
        <v>6781</v>
      </c>
      <c r="H6755" s="14">
        <v>0.5</v>
      </c>
      <c r="I6755" s="2" t="s">
        <v>4761</v>
      </c>
      <c r="J6755" s="2" t="s">
        <v>3942</v>
      </c>
      <c r="K6755" s="2" t="s">
        <v>1452</v>
      </c>
      <c r="L6755" s="2" t="s">
        <v>5221</v>
      </c>
      <c r="M6755" s="2" t="s">
        <v>5221</v>
      </c>
      <c r="N6755" s="2" t="s">
        <v>2317</v>
      </c>
      <c r="O6755" s="14">
        <v>2600</v>
      </c>
      <c r="P6755" s="14">
        <v>94.12</v>
      </c>
      <c r="Q6755" s="14">
        <v>152.88</v>
      </c>
      <c r="R6755" s="14">
        <v>76.44</v>
      </c>
      <c r="S6755" s="2" t="s">
        <v>1922</v>
      </c>
      <c r="T6755" s="2">
        <v>1.64</v>
      </c>
      <c r="U6755" s="2">
        <v>62</v>
      </c>
      <c r="V6755" s="2">
        <v>65</v>
      </c>
      <c r="W6755" s="2" t="s">
        <v>7862</v>
      </c>
      <c r="X6755" s="2" t="s">
        <v>6687</v>
      </c>
      <c r="Y6755" s="2">
        <v>1300</v>
      </c>
      <c r="Z6755" s="19" t="str">
        <f>HYPERLINK("https://ssdweb.co/ssdweb/hd/Vision360.html?d=9413700664&amp;zoomslide=1&amp;z=19413700664&amp;ISCONFIRM=0","VIDEO")</f>
        <v>VIDEO</v>
      </c>
      <c r="AA6755" s="19" t="str">
        <f>HYPERLINK("https://ssdweb.co/ssdweb/CERTH/694508357.pdf","CERTI")</f>
        <v>CERTI</v>
      </c>
    </row>
    <row r="6756" spans="1:27" ht="15" x14ac:dyDescent="0.25">
      <c r="A6756" s="2">
        <v>6751</v>
      </c>
      <c r="B6756" s="39">
        <v>927132519</v>
      </c>
      <c r="C6756" s="28" t="str">
        <f>HYPERLINK("https://pld.live/RapDetail.aspx?STONELIST=927132519","DNA")</f>
        <v>DNA</v>
      </c>
      <c r="D6756" s="18" t="s">
        <v>5466</v>
      </c>
      <c r="E6756" s="18" t="s">
        <v>5128</v>
      </c>
      <c r="F6756" s="2" t="s">
        <v>7987</v>
      </c>
      <c r="G6756" s="2" t="s">
        <v>6781</v>
      </c>
      <c r="H6756" s="14">
        <v>0.5</v>
      </c>
      <c r="I6756" s="2" t="s">
        <v>4761</v>
      </c>
      <c r="J6756" s="2" t="s">
        <v>3942</v>
      </c>
      <c r="K6756" s="2" t="s">
        <v>1452</v>
      </c>
      <c r="L6756" s="2" t="s">
        <v>5221</v>
      </c>
      <c r="M6756" s="2" t="s">
        <v>5221</v>
      </c>
      <c r="N6756" s="2" t="s">
        <v>2317</v>
      </c>
      <c r="O6756" s="14">
        <v>2600</v>
      </c>
      <c r="P6756" s="14">
        <v>94.12</v>
      </c>
      <c r="Q6756" s="14">
        <v>152.88</v>
      </c>
      <c r="R6756" s="14">
        <v>76.44</v>
      </c>
      <c r="S6756" s="2" t="s">
        <v>4676</v>
      </c>
      <c r="T6756" s="2">
        <v>1.51</v>
      </c>
      <c r="U6756" s="2">
        <v>62.4</v>
      </c>
      <c r="V6756" s="2">
        <v>59</v>
      </c>
      <c r="W6756" s="2" t="s">
        <v>7862</v>
      </c>
      <c r="X6756" s="2" t="s">
        <v>6687</v>
      </c>
      <c r="Y6756" s="2">
        <v>1300</v>
      </c>
      <c r="Z6756" s="19" t="str">
        <f>HYPERLINK("https://ssdweb.co/ssdweb/hd/Vision360.html?d=927132519&amp;zoomslide=1&amp;z=1927132519&amp;ISCONFIRM=0","VIDEO")</f>
        <v>VIDEO</v>
      </c>
      <c r="AA6756" s="19" t="str">
        <f>HYPERLINK("https://ssdweb.co/ssdweb/CERTH/689587043.pdf","CERTI")</f>
        <v>CERTI</v>
      </c>
    </row>
    <row r="6757" spans="1:27" ht="15" x14ac:dyDescent="0.25">
      <c r="A6757" s="2">
        <v>6752</v>
      </c>
      <c r="B6757" s="39">
        <v>927132544</v>
      </c>
      <c r="C6757" s="28" t="str">
        <f>HYPERLINK("https://pld.live/RapDetail.aspx?STONELIST=927132544","DNA")</f>
        <v>DNA</v>
      </c>
      <c r="D6757" s="18" t="s">
        <v>5466</v>
      </c>
      <c r="E6757" s="18" t="s">
        <v>5128</v>
      </c>
      <c r="F6757" s="2" t="s">
        <v>7987</v>
      </c>
      <c r="G6757" s="2" t="s">
        <v>6781</v>
      </c>
      <c r="H6757" s="14">
        <v>0.5</v>
      </c>
      <c r="I6757" s="2" t="s">
        <v>4761</v>
      </c>
      <c r="J6757" s="2" t="s">
        <v>3942</v>
      </c>
      <c r="K6757" s="2" t="s">
        <v>1452</v>
      </c>
      <c r="L6757" s="2" t="s">
        <v>5221</v>
      </c>
      <c r="M6757" s="2" t="s">
        <v>5221</v>
      </c>
      <c r="N6757" s="2" t="s">
        <v>2317</v>
      </c>
      <c r="O6757" s="14">
        <v>2600</v>
      </c>
      <c r="P6757" s="14">
        <v>94.12</v>
      </c>
      <c r="Q6757" s="14">
        <v>152.88</v>
      </c>
      <c r="R6757" s="14">
        <v>76.44</v>
      </c>
      <c r="S6757" s="2" t="s">
        <v>1732</v>
      </c>
      <c r="T6757" s="2">
        <v>1.54</v>
      </c>
      <c r="U6757" s="2">
        <v>62.8</v>
      </c>
      <c r="V6757" s="2">
        <v>62</v>
      </c>
      <c r="W6757" s="2" t="s">
        <v>7862</v>
      </c>
      <c r="X6757" s="2" t="s">
        <v>6687</v>
      </c>
      <c r="Y6757" s="2">
        <v>1300</v>
      </c>
      <c r="Z6757" s="19" t="str">
        <f>HYPERLINK("https://ssdweb.co/ssdweb/hd/Vision360.html?d=927132544&amp;zoomslide=1&amp;z=1927132544&amp;ISCONFIRM=0","VIDEO")</f>
        <v>VIDEO</v>
      </c>
      <c r="AA6757" s="19" t="str">
        <f>HYPERLINK("https://ssdweb.co/ssdweb/CERTH/689586986.pdf","CERTI")</f>
        <v>CERTI</v>
      </c>
    </row>
    <row r="6758" spans="1:27" ht="15" x14ac:dyDescent="0.25">
      <c r="A6758" s="2">
        <v>6753</v>
      </c>
      <c r="B6758" s="39">
        <v>927132560</v>
      </c>
      <c r="C6758" s="28" t="str">
        <f>HYPERLINK("https://pld.live/RapDetail.aspx?STONELIST=927132560","DNA")</f>
        <v>DNA</v>
      </c>
      <c r="D6758" s="18" t="s">
        <v>5466</v>
      </c>
      <c r="E6758" s="18" t="s">
        <v>5128</v>
      </c>
      <c r="F6758" s="2" t="s">
        <v>7987</v>
      </c>
      <c r="G6758" s="2" t="s">
        <v>6781</v>
      </c>
      <c r="H6758" s="14">
        <v>0.5</v>
      </c>
      <c r="I6758" s="2" t="s">
        <v>4761</v>
      </c>
      <c r="J6758" s="2" t="s">
        <v>3942</v>
      </c>
      <c r="K6758" s="2" t="s">
        <v>1452</v>
      </c>
      <c r="L6758" s="2" t="s">
        <v>5221</v>
      </c>
      <c r="M6758" s="2" t="s">
        <v>5221</v>
      </c>
      <c r="N6758" s="2" t="s">
        <v>2317</v>
      </c>
      <c r="O6758" s="14">
        <v>2600</v>
      </c>
      <c r="P6758" s="14">
        <v>94.12</v>
      </c>
      <c r="Q6758" s="14">
        <v>152.88</v>
      </c>
      <c r="R6758" s="14">
        <v>76.44</v>
      </c>
      <c r="S6758" s="2" t="s">
        <v>3112</v>
      </c>
      <c r="T6758" s="2">
        <v>1.51</v>
      </c>
      <c r="U6758" s="2">
        <v>62.9</v>
      </c>
      <c r="V6758" s="2">
        <v>62</v>
      </c>
      <c r="W6758" s="2" t="s">
        <v>7862</v>
      </c>
      <c r="X6758" s="2" t="s">
        <v>6687</v>
      </c>
      <c r="Y6758" s="2">
        <v>1300</v>
      </c>
      <c r="Z6758" s="19" t="str">
        <f>HYPERLINK("https://ssdweb.co/ssdweb/hd/Vision360.html?d=927132560&amp;zoomslide=1&amp;z=1927132560&amp;ISCONFIRM=0","VIDEO")</f>
        <v>VIDEO</v>
      </c>
      <c r="AA6758" s="19" t="str">
        <f>HYPERLINK("https://ssdweb.co/ssdweb/CERTH/689586990.pdf","CERTI")</f>
        <v>CERTI</v>
      </c>
    </row>
    <row r="6759" spans="1:27" ht="15" x14ac:dyDescent="0.25">
      <c r="A6759" s="2">
        <v>6754</v>
      </c>
      <c r="B6759" s="39">
        <v>927052749</v>
      </c>
      <c r="C6759" s="28" t="str">
        <f>HYPERLINK("https://pld.live/RapDetail.aspx?STONELIST=927052749","DNA")</f>
        <v>DNA</v>
      </c>
      <c r="D6759" s="18" t="s">
        <v>5466</v>
      </c>
      <c r="E6759" s="18" t="s">
        <v>5128</v>
      </c>
      <c r="F6759" s="2" t="s">
        <v>7987</v>
      </c>
      <c r="G6759" s="2" t="s">
        <v>6781</v>
      </c>
      <c r="H6759" s="14">
        <v>0.5</v>
      </c>
      <c r="I6759" s="2" t="s">
        <v>4761</v>
      </c>
      <c r="J6759" s="2" t="s">
        <v>3942</v>
      </c>
      <c r="K6759" s="2" t="s">
        <v>1452</v>
      </c>
      <c r="L6759" s="2" t="s">
        <v>5221</v>
      </c>
      <c r="M6759" s="2" t="s">
        <v>5221</v>
      </c>
      <c r="N6759" s="2" t="s">
        <v>2317</v>
      </c>
      <c r="O6759" s="14">
        <v>2600</v>
      </c>
      <c r="P6759" s="14">
        <v>94.12</v>
      </c>
      <c r="Q6759" s="14">
        <v>152.88</v>
      </c>
      <c r="R6759" s="14">
        <v>76.44</v>
      </c>
      <c r="S6759" s="2" t="s">
        <v>659</v>
      </c>
      <c r="T6759" s="2">
        <v>1.55</v>
      </c>
      <c r="U6759" s="2">
        <v>62.2</v>
      </c>
      <c r="V6759" s="2">
        <v>58</v>
      </c>
      <c r="W6759" s="2" t="s">
        <v>7862</v>
      </c>
      <c r="X6759" s="2" t="s">
        <v>6687</v>
      </c>
      <c r="Y6759" s="2">
        <v>1300</v>
      </c>
      <c r="Z6759" s="19" t="str">
        <f>HYPERLINK("https://ssdweb.co/ssdweb/hd/Vision360.html?d=927052749&amp;zoomslide=1&amp;z=1927052749&amp;ISCONFIRM=0","VIDEO")</f>
        <v>VIDEO</v>
      </c>
      <c r="AA6759" s="19" t="str">
        <f>HYPERLINK("https://ssdweb.co/ssdweb/CERTH/689586911.pdf","CERTI")</f>
        <v>CERTI</v>
      </c>
    </row>
    <row r="6760" spans="1:27" ht="15" x14ac:dyDescent="0.25">
      <c r="A6760" s="2">
        <v>6755</v>
      </c>
      <c r="B6760" s="39">
        <v>927152921</v>
      </c>
      <c r="C6760" s="28" t="str">
        <f>HYPERLINK("https://pld.live/RapDetail.aspx?STONELIST=927152921","DNA")</f>
        <v>DNA</v>
      </c>
      <c r="D6760" s="18" t="s">
        <v>5466</v>
      </c>
      <c r="E6760" s="18" t="s">
        <v>5128</v>
      </c>
      <c r="F6760" s="2" t="s">
        <v>7987</v>
      </c>
      <c r="G6760" s="2" t="s">
        <v>6781</v>
      </c>
      <c r="H6760" s="14">
        <v>0.5</v>
      </c>
      <c r="I6760" s="2" t="s">
        <v>4761</v>
      </c>
      <c r="J6760" s="2" t="s">
        <v>3942</v>
      </c>
      <c r="K6760" s="2" t="s">
        <v>1452</v>
      </c>
      <c r="L6760" s="2" t="s">
        <v>5221</v>
      </c>
      <c r="M6760" s="2" t="s">
        <v>5221</v>
      </c>
      <c r="N6760" s="2" t="s">
        <v>2317</v>
      </c>
      <c r="O6760" s="14">
        <v>2600</v>
      </c>
      <c r="P6760" s="14">
        <v>94.12</v>
      </c>
      <c r="Q6760" s="14">
        <v>152.88</v>
      </c>
      <c r="R6760" s="14">
        <v>76.44</v>
      </c>
      <c r="S6760" s="2" t="s">
        <v>879</v>
      </c>
      <c r="T6760" s="2">
        <v>1.55</v>
      </c>
      <c r="U6760" s="2">
        <v>61.7</v>
      </c>
      <c r="V6760" s="2">
        <v>60</v>
      </c>
      <c r="W6760" s="2" t="s">
        <v>7862</v>
      </c>
      <c r="X6760" s="2" t="s">
        <v>6687</v>
      </c>
      <c r="Y6760" s="2">
        <v>1300</v>
      </c>
      <c r="Z6760" s="19" t="str">
        <f>HYPERLINK("https://ssdweb.co/ssdweb/hd/Vision360.html?d=927152921&amp;zoomslide=1&amp;z=1927152921&amp;ISCONFIRM=0","VIDEO")</f>
        <v>VIDEO</v>
      </c>
      <c r="AA6760" s="19" t="str">
        <f>HYPERLINK("https://ssdweb.co/ssdweb/CERTH/689586855.pdf","CERTI")</f>
        <v>CERTI</v>
      </c>
    </row>
    <row r="6761" spans="1:27" ht="15" x14ac:dyDescent="0.25">
      <c r="A6761" s="2">
        <v>6756</v>
      </c>
      <c r="B6761" s="39">
        <v>941140830</v>
      </c>
      <c r="C6761" s="28" t="str">
        <f>HYPERLINK("https://pld.live/RapDetail.aspx?STONELIST=941140830","DNA")</f>
        <v>DNA</v>
      </c>
      <c r="D6761" s="18" t="s">
        <v>5466</v>
      </c>
      <c r="E6761" s="18" t="s">
        <v>5128</v>
      </c>
      <c r="F6761" s="2" t="s">
        <v>7987</v>
      </c>
      <c r="G6761" s="2" t="s">
        <v>6781</v>
      </c>
      <c r="H6761" s="14">
        <v>0.5</v>
      </c>
      <c r="I6761" s="2" t="s">
        <v>4761</v>
      </c>
      <c r="J6761" s="2" t="s">
        <v>3942</v>
      </c>
      <c r="K6761" s="2" t="s">
        <v>1452</v>
      </c>
      <c r="L6761" s="2" t="s">
        <v>5221</v>
      </c>
      <c r="M6761" s="2" t="s">
        <v>5721</v>
      </c>
      <c r="N6761" s="2" t="s">
        <v>2317</v>
      </c>
      <c r="O6761" s="14">
        <v>2600</v>
      </c>
      <c r="P6761" s="14">
        <v>94.19</v>
      </c>
      <c r="Q6761" s="14">
        <v>151.06</v>
      </c>
      <c r="R6761" s="14">
        <v>75.53</v>
      </c>
      <c r="S6761" s="2" t="s">
        <v>5020</v>
      </c>
      <c r="T6761" s="2">
        <v>1.55</v>
      </c>
      <c r="U6761" s="2">
        <v>60.4</v>
      </c>
      <c r="V6761" s="2">
        <v>61</v>
      </c>
      <c r="W6761" s="2" t="s">
        <v>7862</v>
      </c>
      <c r="X6761" s="2" t="s">
        <v>6687</v>
      </c>
      <c r="Y6761" s="2">
        <v>1300</v>
      </c>
      <c r="Z6761" s="19" t="str">
        <f>HYPERLINK("https://ssdweb.co/ssdweb/hd/Vision360.html?d=941140830&amp;zoomslide=1&amp;z=1941140830&amp;ISCONFIRM=0","VIDEO")</f>
        <v>VIDEO</v>
      </c>
      <c r="AA6761" s="19" t="str">
        <f>HYPERLINK("https://ssdweb.co/ssdweb/CERTH/675504557.pdf","CERTI")</f>
        <v>CERTI</v>
      </c>
    </row>
    <row r="6762" spans="1:27" ht="15" x14ac:dyDescent="0.25">
      <c r="A6762" s="2">
        <v>6757</v>
      </c>
      <c r="B6762" s="39">
        <v>941160595</v>
      </c>
      <c r="C6762" s="28" t="str">
        <f>HYPERLINK("https://pld.live/RapDetail.aspx?STONELIST=941160595","DNA")</f>
        <v>DNA</v>
      </c>
      <c r="D6762" s="18" t="s">
        <v>5466</v>
      </c>
      <c r="E6762" s="18" t="s">
        <v>5128</v>
      </c>
      <c r="F6762" s="2" t="s">
        <v>7987</v>
      </c>
      <c r="G6762" s="2" t="s">
        <v>6781</v>
      </c>
      <c r="H6762" s="14">
        <v>0.5</v>
      </c>
      <c r="I6762" s="2" t="s">
        <v>4761</v>
      </c>
      <c r="J6762" s="2" t="s">
        <v>3942</v>
      </c>
      <c r="K6762" s="2" t="s">
        <v>1452</v>
      </c>
      <c r="L6762" s="2" t="s">
        <v>5221</v>
      </c>
      <c r="M6762" s="2" t="s">
        <v>5721</v>
      </c>
      <c r="N6762" s="2" t="s">
        <v>2317</v>
      </c>
      <c r="O6762" s="14">
        <v>2600</v>
      </c>
      <c r="P6762" s="14">
        <v>94.19</v>
      </c>
      <c r="Q6762" s="14">
        <v>151.06</v>
      </c>
      <c r="R6762" s="14">
        <v>75.53</v>
      </c>
      <c r="S6762" s="2" t="s">
        <v>3310</v>
      </c>
      <c r="T6762" s="2">
        <v>1.54</v>
      </c>
      <c r="U6762" s="2">
        <v>63</v>
      </c>
      <c r="V6762" s="2">
        <v>62</v>
      </c>
      <c r="W6762" s="2" t="s">
        <v>7862</v>
      </c>
      <c r="X6762" s="2" t="s">
        <v>6687</v>
      </c>
      <c r="Y6762" s="2">
        <v>1300</v>
      </c>
      <c r="Z6762" s="19" t="str">
        <f>HYPERLINK("https://ssdweb.co/ssdweb/hd/Vision360.html?d=941160595&amp;zoomslide=1&amp;z=1941160595&amp;ISCONFIRM=0","VIDEO")</f>
        <v>VIDEO</v>
      </c>
      <c r="AA6762" s="19" t="str">
        <f>HYPERLINK("https://ssdweb.co/ssdweb/CERTH/675504571.pdf","CERTI")</f>
        <v>CERTI</v>
      </c>
    </row>
    <row r="6763" spans="1:27" ht="15" x14ac:dyDescent="0.25">
      <c r="A6763" s="2">
        <v>6758</v>
      </c>
      <c r="B6763" s="39">
        <v>941160534</v>
      </c>
      <c r="C6763" s="28" t="str">
        <f>HYPERLINK("https://pld.live/RapDetail.aspx?STONELIST=941160534","DNA")</f>
        <v>DNA</v>
      </c>
      <c r="D6763" s="18" t="s">
        <v>5466</v>
      </c>
      <c r="E6763" s="18" t="s">
        <v>5128</v>
      </c>
      <c r="F6763" s="2" t="s">
        <v>7987</v>
      </c>
      <c r="G6763" s="2" t="s">
        <v>6781</v>
      </c>
      <c r="H6763" s="14">
        <v>0.5</v>
      </c>
      <c r="I6763" s="2" t="s">
        <v>4761</v>
      </c>
      <c r="J6763" s="2" t="s">
        <v>3942</v>
      </c>
      <c r="K6763" s="2" t="s">
        <v>1452</v>
      </c>
      <c r="L6763" s="2" t="s">
        <v>5221</v>
      </c>
      <c r="M6763" s="2" t="s">
        <v>5721</v>
      </c>
      <c r="N6763" s="2" t="s">
        <v>2317</v>
      </c>
      <c r="O6763" s="14">
        <v>2600</v>
      </c>
      <c r="P6763" s="14">
        <v>94.19</v>
      </c>
      <c r="Q6763" s="14">
        <v>151.06</v>
      </c>
      <c r="R6763" s="14">
        <v>75.53</v>
      </c>
      <c r="S6763" s="2" t="s">
        <v>4593</v>
      </c>
      <c r="T6763" s="2">
        <v>1.52</v>
      </c>
      <c r="U6763" s="2">
        <v>61.4</v>
      </c>
      <c r="V6763" s="2">
        <v>60</v>
      </c>
      <c r="W6763" s="2" t="s">
        <v>7862</v>
      </c>
      <c r="X6763" s="2" t="s">
        <v>6687</v>
      </c>
      <c r="Y6763" s="2">
        <v>1300</v>
      </c>
      <c r="Z6763" s="19" t="str">
        <f>HYPERLINK("https://ssdweb.co/ssdweb/hd/Vision360.html?d=941160534&amp;zoomslide=1&amp;z=1941160534&amp;ISCONFIRM=0","VIDEO")</f>
        <v>VIDEO</v>
      </c>
      <c r="AA6763" s="19" t="str">
        <f>HYPERLINK("https://ssdweb.co/ssdweb/CERTH/674532496.pdf","CERTI")</f>
        <v>CERTI</v>
      </c>
    </row>
    <row r="6764" spans="1:27" ht="15" x14ac:dyDescent="0.25">
      <c r="A6764" s="2">
        <v>6759</v>
      </c>
      <c r="B6764" s="39">
        <v>927102491</v>
      </c>
      <c r="C6764" s="28" t="str">
        <f>HYPERLINK("https://pld.live/RapDetail.aspx?STONELIST=927102491","DNA")</f>
        <v>DNA</v>
      </c>
      <c r="D6764" s="18" t="s">
        <v>5466</v>
      </c>
      <c r="E6764" s="18" t="s">
        <v>5128</v>
      </c>
      <c r="F6764" s="2" t="s">
        <v>7987</v>
      </c>
      <c r="G6764" s="2" t="s">
        <v>6781</v>
      </c>
      <c r="H6764" s="14">
        <v>0.5</v>
      </c>
      <c r="I6764" s="2" t="s">
        <v>4761</v>
      </c>
      <c r="J6764" s="2" t="s">
        <v>3942</v>
      </c>
      <c r="K6764" s="2" t="s">
        <v>1452</v>
      </c>
      <c r="L6764" s="2" t="s">
        <v>5221</v>
      </c>
      <c r="M6764" s="2" t="s">
        <v>5721</v>
      </c>
      <c r="N6764" s="2" t="s">
        <v>2317</v>
      </c>
      <c r="O6764" s="14">
        <v>2600</v>
      </c>
      <c r="P6764" s="14">
        <v>94.19</v>
      </c>
      <c r="Q6764" s="14">
        <v>151.06</v>
      </c>
      <c r="R6764" s="14">
        <v>75.53</v>
      </c>
      <c r="S6764" s="2" t="s">
        <v>6119</v>
      </c>
      <c r="T6764" s="2">
        <v>1.54</v>
      </c>
      <c r="U6764" s="2">
        <v>62.1</v>
      </c>
      <c r="V6764" s="2">
        <v>59</v>
      </c>
      <c r="W6764" s="2" t="s">
        <v>7862</v>
      </c>
      <c r="X6764" s="2" t="s">
        <v>6687</v>
      </c>
      <c r="Y6764" s="2">
        <v>1300</v>
      </c>
      <c r="Z6764" s="19" t="str">
        <f>HYPERLINK("https://ssdweb.co/ssdweb/hd/Vision360.html?d=927102491&amp;zoomslide=1&amp;z=1927102491&amp;ISCONFIRM=0","VIDEO")</f>
        <v>VIDEO</v>
      </c>
      <c r="AA6764" s="19" t="str">
        <f>HYPERLINK("https://ssdweb.co/ssdweb/CERTH/689586866.pdf","CERTI")</f>
        <v>CERTI</v>
      </c>
    </row>
    <row r="6765" spans="1:27" ht="15" x14ac:dyDescent="0.25">
      <c r="A6765" s="2">
        <v>6760</v>
      </c>
      <c r="B6765" s="39">
        <v>927132586</v>
      </c>
      <c r="C6765" s="28" t="str">
        <f>HYPERLINK("https://pld.live/RapDetail.aspx?STONELIST=927132586","DNA")</f>
        <v>DNA</v>
      </c>
      <c r="D6765" s="18" t="s">
        <v>5466</v>
      </c>
      <c r="E6765" s="18" t="s">
        <v>5128</v>
      </c>
      <c r="F6765" s="2" t="s">
        <v>7987</v>
      </c>
      <c r="G6765" s="2" t="s">
        <v>6781</v>
      </c>
      <c r="H6765" s="14">
        <v>0.5</v>
      </c>
      <c r="I6765" s="2" t="s">
        <v>4761</v>
      </c>
      <c r="J6765" s="2" t="s">
        <v>3942</v>
      </c>
      <c r="K6765" s="2" t="s">
        <v>1452</v>
      </c>
      <c r="L6765" s="2" t="s">
        <v>5221</v>
      </c>
      <c r="M6765" s="2" t="s">
        <v>5721</v>
      </c>
      <c r="N6765" s="2" t="s">
        <v>2317</v>
      </c>
      <c r="O6765" s="14">
        <v>2600</v>
      </c>
      <c r="P6765" s="14">
        <v>94.19</v>
      </c>
      <c r="Q6765" s="14">
        <v>151.06</v>
      </c>
      <c r="R6765" s="14">
        <v>75.53</v>
      </c>
      <c r="S6765" s="2" t="s">
        <v>6104</v>
      </c>
      <c r="T6765" s="2">
        <v>1.56</v>
      </c>
      <c r="U6765" s="2">
        <v>61.2</v>
      </c>
      <c r="V6765" s="2">
        <v>56</v>
      </c>
      <c r="W6765" s="2" t="s">
        <v>7862</v>
      </c>
      <c r="X6765" s="2" t="s">
        <v>6687</v>
      </c>
      <c r="Y6765" s="2">
        <v>1300</v>
      </c>
      <c r="Z6765" s="19" t="str">
        <f>HYPERLINK("https://ssdweb.co/ssdweb/hd/Vision360.html?d=927132586&amp;zoomslide=1&amp;z=1927132586&amp;ISCONFIRM=0","VIDEO")</f>
        <v>VIDEO</v>
      </c>
      <c r="AA6765" s="19" t="str">
        <f>HYPERLINK("https://ssdweb.co/ssdweb/CERTH/689586993.pdf","CERTI")</f>
        <v>CERTI</v>
      </c>
    </row>
    <row r="6766" spans="1:27" ht="15" x14ac:dyDescent="0.25">
      <c r="A6766" s="2">
        <v>6761</v>
      </c>
      <c r="B6766" s="39">
        <v>927132451</v>
      </c>
      <c r="C6766" s="28" t="str">
        <f>HYPERLINK("https://pld.live/RapDetail.aspx?STONELIST=927132451","DNA")</f>
        <v>DNA</v>
      </c>
      <c r="D6766" s="18" t="s">
        <v>5466</v>
      </c>
      <c r="E6766" s="18" t="s">
        <v>5128</v>
      </c>
      <c r="F6766" s="2" t="s">
        <v>7987</v>
      </c>
      <c r="G6766" s="2" t="s">
        <v>6781</v>
      </c>
      <c r="H6766" s="14">
        <v>0.5</v>
      </c>
      <c r="I6766" s="2" t="s">
        <v>4761</v>
      </c>
      <c r="J6766" s="2" t="s">
        <v>3942</v>
      </c>
      <c r="K6766" s="2" t="s">
        <v>1452</v>
      </c>
      <c r="L6766" s="2" t="s">
        <v>5221</v>
      </c>
      <c r="M6766" s="2" t="s">
        <v>5721</v>
      </c>
      <c r="N6766" s="2" t="s">
        <v>2317</v>
      </c>
      <c r="O6766" s="14">
        <v>2600</v>
      </c>
      <c r="P6766" s="14">
        <v>94.19</v>
      </c>
      <c r="Q6766" s="14">
        <v>151.06</v>
      </c>
      <c r="R6766" s="14">
        <v>75.53</v>
      </c>
      <c r="S6766" s="2" t="s">
        <v>3905</v>
      </c>
      <c r="T6766" s="2">
        <v>1.54</v>
      </c>
      <c r="U6766" s="2">
        <v>62.8</v>
      </c>
      <c r="V6766" s="2">
        <v>59</v>
      </c>
      <c r="W6766" s="2" t="s">
        <v>7862</v>
      </c>
      <c r="X6766" s="2" t="s">
        <v>6687</v>
      </c>
      <c r="Y6766" s="2">
        <v>1300</v>
      </c>
      <c r="Z6766" s="19" t="str">
        <f>HYPERLINK("https://ssdweb.co/ssdweb/hd/Vision360.html?d=927132451&amp;zoomslide=1&amp;z=1927132451&amp;ISCONFIRM=0","VIDEO")</f>
        <v>VIDEO</v>
      </c>
      <c r="AA6766" s="19" t="str">
        <f>HYPERLINK("https://ssdweb.co/ssdweb/CERTH/689586978.pdf","CERTI")</f>
        <v>CERTI</v>
      </c>
    </row>
    <row r="6767" spans="1:27" ht="15" x14ac:dyDescent="0.25">
      <c r="A6767" s="2">
        <v>6762</v>
      </c>
      <c r="B6767" s="39">
        <v>927152983</v>
      </c>
      <c r="C6767" s="28" t="str">
        <f>HYPERLINK("https://pld.live/RapDetail.aspx?STONELIST=927152983","DNA")</f>
        <v>DNA</v>
      </c>
      <c r="D6767" s="18" t="s">
        <v>5466</v>
      </c>
      <c r="E6767" s="18" t="s">
        <v>5128</v>
      </c>
      <c r="F6767" s="2" t="s">
        <v>7987</v>
      </c>
      <c r="G6767" s="2" t="s">
        <v>6781</v>
      </c>
      <c r="H6767" s="14">
        <v>0.5</v>
      </c>
      <c r="I6767" s="2" t="s">
        <v>4761</v>
      </c>
      <c r="J6767" s="2" t="s">
        <v>3942</v>
      </c>
      <c r="K6767" s="2" t="s">
        <v>1452</v>
      </c>
      <c r="L6767" s="2" t="s">
        <v>5221</v>
      </c>
      <c r="M6767" s="2" t="s">
        <v>5721</v>
      </c>
      <c r="N6767" s="2" t="s">
        <v>2317</v>
      </c>
      <c r="O6767" s="14">
        <v>2600</v>
      </c>
      <c r="P6767" s="14">
        <v>94.19</v>
      </c>
      <c r="Q6767" s="14">
        <v>151.06</v>
      </c>
      <c r="R6767" s="14">
        <v>75.53</v>
      </c>
      <c r="S6767" s="2" t="s">
        <v>5098</v>
      </c>
      <c r="T6767" s="2">
        <v>1.55</v>
      </c>
      <c r="U6767" s="2">
        <v>60.7</v>
      </c>
      <c r="V6767" s="2">
        <v>61</v>
      </c>
      <c r="W6767" s="2" t="s">
        <v>7862</v>
      </c>
      <c r="X6767" s="2" t="s">
        <v>6687</v>
      </c>
      <c r="Y6767" s="2">
        <v>1300</v>
      </c>
      <c r="Z6767" s="19" t="str">
        <f>HYPERLINK("https://ssdweb.co/ssdweb/hd/Vision360.html?d=927152983&amp;zoomslide=1&amp;z=1927152983&amp;ISCONFIRM=0","VIDEO")</f>
        <v>VIDEO</v>
      </c>
      <c r="AA6767" s="19" t="str">
        <f>HYPERLINK("https://ssdweb.co/ssdweb/CERTH/675504601.pdf","CERTI")</f>
        <v>CERTI</v>
      </c>
    </row>
    <row r="6768" spans="1:27" ht="15" x14ac:dyDescent="0.25">
      <c r="A6768" s="2">
        <v>6763</v>
      </c>
      <c r="B6768" s="39">
        <v>926960875</v>
      </c>
      <c r="C6768" s="28" t="str">
        <f>HYPERLINK("https://pld.live/RapDetail.aspx?STONELIST=926960875","DNA")</f>
        <v>DNA</v>
      </c>
      <c r="D6768" s="18" t="s">
        <v>5466</v>
      </c>
      <c r="E6768" s="18" t="s">
        <v>5128</v>
      </c>
      <c r="F6768" s="2" t="s">
        <v>7987</v>
      </c>
      <c r="G6768" s="2" t="s">
        <v>6781</v>
      </c>
      <c r="H6768" s="14">
        <v>0.5</v>
      </c>
      <c r="I6768" s="2" t="s">
        <v>4761</v>
      </c>
      <c r="J6768" s="2" t="s">
        <v>13</v>
      </c>
      <c r="K6768" s="2" t="s">
        <v>1452</v>
      </c>
      <c r="L6768" s="2" t="s">
        <v>5221</v>
      </c>
      <c r="M6768" s="2" t="s">
        <v>5721</v>
      </c>
      <c r="N6768" s="2" t="s">
        <v>2317</v>
      </c>
      <c r="O6768" s="14">
        <v>2500</v>
      </c>
      <c r="P6768" s="14">
        <v>94.4</v>
      </c>
      <c r="Q6768" s="14">
        <v>140</v>
      </c>
      <c r="R6768" s="14">
        <v>70</v>
      </c>
      <c r="S6768" s="2" t="s">
        <v>2847</v>
      </c>
      <c r="T6768" s="2">
        <v>1.52</v>
      </c>
      <c r="U6768" s="2">
        <v>61.7</v>
      </c>
      <c r="V6768" s="2">
        <v>57</v>
      </c>
      <c r="W6768" s="2" t="s">
        <v>7862</v>
      </c>
      <c r="X6768" s="2" t="s">
        <v>6687</v>
      </c>
      <c r="Y6768" s="2">
        <v>1250</v>
      </c>
      <c r="Z6768" s="19" t="str">
        <f>HYPERLINK("https://ssdweb.co/ssdweb/hd/Vision360.html?d=926960875&amp;zoomslide=1&amp;z=1926960875&amp;ISCONFIRM=0","VIDEO")</f>
        <v>VIDEO</v>
      </c>
      <c r="AA6768" s="19" t="str">
        <f>HYPERLINK("https://ssdweb.co/ssdweb/CERTH/670484343.pdf","CERTI")</f>
        <v>CERTI</v>
      </c>
    </row>
    <row r="6769" spans="1:27" ht="15" x14ac:dyDescent="0.25">
      <c r="A6769" s="2">
        <v>6764</v>
      </c>
      <c r="B6769" s="39">
        <v>941140850</v>
      </c>
      <c r="C6769" s="28" t="str">
        <f>HYPERLINK("https://pld.live/RapDetail.aspx?STONELIST=941140850","DNA")</f>
        <v>DNA</v>
      </c>
      <c r="D6769" s="18" t="s">
        <v>5466</v>
      </c>
      <c r="E6769" s="18" t="s">
        <v>5128</v>
      </c>
      <c r="F6769" s="2" t="s">
        <v>7987</v>
      </c>
      <c r="G6769" s="2" t="s">
        <v>6781</v>
      </c>
      <c r="H6769" s="14">
        <v>0.5</v>
      </c>
      <c r="I6769" s="2" t="s">
        <v>4761</v>
      </c>
      <c r="J6769" s="2" t="s">
        <v>13</v>
      </c>
      <c r="K6769" s="2" t="s">
        <v>1452</v>
      </c>
      <c r="L6769" s="2" t="s">
        <v>5221</v>
      </c>
      <c r="M6769" s="2" t="s">
        <v>5721</v>
      </c>
      <c r="N6769" s="2" t="s">
        <v>2317</v>
      </c>
      <c r="O6769" s="14">
        <v>2500</v>
      </c>
      <c r="P6769" s="14">
        <v>94.4</v>
      </c>
      <c r="Q6769" s="14">
        <v>140</v>
      </c>
      <c r="R6769" s="14">
        <v>70</v>
      </c>
      <c r="S6769" s="2" t="s">
        <v>7721</v>
      </c>
      <c r="T6769" s="2">
        <v>1.56</v>
      </c>
      <c r="U6769" s="2">
        <v>61.7</v>
      </c>
      <c r="V6769" s="2">
        <v>54</v>
      </c>
      <c r="W6769" s="2" t="s">
        <v>7862</v>
      </c>
      <c r="X6769" s="2" t="s">
        <v>6687</v>
      </c>
      <c r="Y6769" s="2">
        <v>1250</v>
      </c>
      <c r="Z6769" s="19" t="str">
        <f>HYPERLINK("https://ssdweb.co/ssdweb/hd/Vision360.html?d=941140850&amp;zoomslide=1&amp;z=1941140850&amp;ISCONFIRM=0","VIDEO")</f>
        <v>VIDEO</v>
      </c>
      <c r="AA6769" s="19" t="str">
        <f>HYPERLINK("https://ssdweb.co/ssdweb/CERTH/677510729.pdf","CERTI")</f>
        <v>CERTI</v>
      </c>
    </row>
    <row r="6770" spans="1:27" ht="15" x14ac:dyDescent="0.25">
      <c r="A6770" s="2">
        <v>6765</v>
      </c>
      <c r="B6770" s="39">
        <v>927132511</v>
      </c>
      <c r="C6770" s="28" t="str">
        <f>HYPERLINK("https://pld.live/RapDetail.aspx?STONELIST=927132511","DNA")</f>
        <v>DNA</v>
      </c>
      <c r="D6770" s="18" t="s">
        <v>5466</v>
      </c>
      <c r="E6770" s="18" t="s">
        <v>5128</v>
      </c>
      <c r="F6770" s="2" t="s">
        <v>7987</v>
      </c>
      <c r="G6770" s="2" t="s">
        <v>6781</v>
      </c>
      <c r="H6770" s="14">
        <v>0.5</v>
      </c>
      <c r="I6770" s="2" t="s">
        <v>4761</v>
      </c>
      <c r="J6770" s="2" t="s">
        <v>13</v>
      </c>
      <c r="K6770" s="2" t="s">
        <v>1452</v>
      </c>
      <c r="L6770" s="2" t="s">
        <v>5221</v>
      </c>
      <c r="M6770" s="2" t="s">
        <v>5721</v>
      </c>
      <c r="N6770" s="2" t="s">
        <v>2317</v>
      </c>
      <c r="O6770" s="14">
        <v>2500</v>
      </c>
      <c r="P6770" s="14">
        <v>94.4</v>
      </c>
      <c r="Q6770" s="14">
        <v>140</v>
      </c>
      <c r="R6770" s="14">
        <v>70</v>
      </c>
      <c r="S6770" s="2" t="s">
        <v>7524</v>
      </c>
      <c r="T6770" s="2">
        <v>1.56</v>
      </c>
      <c r="U6770" s="2">
        <v>61</v>
      </c>
      <c r="V6770" s="2">
        <v>61</v>
      </c>
      <c r="W6770" s="2" t="s">
        <v>7862</v>
      </c>
      <c r="X6770" s="2" t="s">
        <v>6687</v>
      </c>
      <c r="Y6770" s="2">
        <v>1250</v>
      </c>
      <c r="Z6770" s="19" t="str">
        <f>HYPERLINK("https://ssdweb.co/ssdweb/hd/Vision360.html?d=927132511&amp;zoomslide=1&amp;z=1927132511&amp;ISCONFIRM=0","VIDEO")</f>
        <v>VIDEO</v>
      </c>
      <c r="AA6770" s="19" t="str">
        <f>HYPERLINK("https://ssdweb.co/ssdweb/CERTH/689587038.pdf","CERTI")</f>
        <v>CERTI</v>
      </c>
    </row>
    <row r="6771" spans="1:27" ht="15" x14ac:dyDescent="0.25">
      <c r="A6771" s="2">
        <v>6766</v>
      </c>
      <c r="B6771" s="39">
        <v>927152978</v>
      </c>
      <c r="C6771" s="28" t="str">
        <f>HYPERLINK("https://pld.live/RapDetail.aspx?STONELIST=927152978","DNA")</f>
        <v>DNA</v>
      </c>
      <c r="D6771" s="18" t="s">
        <v>5466</v>
      </c>
      <c r="E6771" s="18" t="s">
        <v>5128</v>
      </c>
      <c r="F6771" s="2" t="s">
        <v>7987</v>
      </c>
      <c r="G6771" s="2" t="s">
        <v>6781</v>
      </c>
      <c r="H6771" s="14">
        <v>0.5</v>
      </c>
      <c r="I6771" s="2" t="s">
        <v>4761</v>
      </c>
      <c r="J6771" s="2" t="s">
        <v>13</v>
      </c>
      <c r="K6771" s="2" t="s">
        <v>1452</v>
      </c>
      <c r="L6771" s="2" t="s">
        <v>5221</v>
      </c>
      <c r="M6771" s="2" t="s">
        <v>5721</v>
      </c>
      <c r="N6771" s="2" t="s">
        <v>2317</v>
      </c>
      <c r="O6771" s="14">
        <v>2500</v>
      </c>
      <c r="P6771" s="14">
        <v>94.4</v>
      </c>
      <c r="Q6771" s="14">
        <v>140</v>
      </c>
      <c r="R6771" s="14">
        <v>70</v>
      </c>
      <c r="S6771" s="2" t="s">
        <v>5326</v>
      </c>
      <c r="T6771" s="2">
        <v>1.5</v>
      </c>
      <c r="U6771" s="2">
        <v>59.3</v>
      </c>
      <c r="V6771" s="2">
        <v>60</v>
      </c>
      <c r="W6771" s="2" t="s">
        <v>7862</v>
      </c>
      <c r="X6771" s="2" t="s">
        <v>6687</v>
      </c>
      <c r="Y6771" s="2">
        <v>1250</v>
      </c>
      <c r="Z6771" s="19" t="str">
        <f>HYPERLINK("https://ssdweb.co/ssdweb/hd/Vision360.html?d=927152978&amp;zoomslide=1&amp;z=1927152978&amp;ISCONFIRM=0","VIDEO")</f>
        <v>VIDEO</v>
      </c>
      <c r="AA6771" s="19" t="str">
        <f>HYPERLINK("https://ssdweb.co/ssdweb/CERTH/675504599.pdf","CERTI")</f>
        <v>CERTI</v>
      </c>
    </row>
    <row r="6772" spans="1:27" ht="15" x14ac:dyDescent="0.25">
      <c r="A6772" s="2">
        <v>6767</v>
      </c>
      <c r="B6772" s="39">
        <v>926010272</v>
      </c>
      <c r="C6772" s="28" t="str">
        <f>HYPERLINK("https://pld.live/RapDetail.aspx?STONELIST=926010272","DNA")</f>
        <v>DNA</v>
      </c>
      <c r="D6772" s="18" t="s">
        <v>5466</v>
      </c>
      <c r="E6772" s="18" t="s">
        <v>2186</v>
      </c>
      <c r="F6772" s="2" t="s">
        <v>7987</v>
      </c>
      <c r="G6772" s="2" t="s">
        <v>6781</v>
      </c>
      <c r="H6772" s="14">
        <v>0.5</v>
      </c>
      <c r="I6772" s="2" t="s">
        <v>6587</v>
      </c>
      <c r="J6772" s="2" t="s">
        <v>13</v>
      </c>
      <c r="K6772" s="2" t="s">
        <v>1452</v>
      </c>
      <c r="L6772" s="2" t="s">
        <v>5721</v>
      </c>
      <c r="M6772" s="2" t="s">
        <v>5721</v>
      </c>
      <c r="N6772" s="2" t="s">
        <v>2317</v>
      </c>
      <c r="O6772" s="14">
        <v>2200</v>
      </c>
      <c r="P6772" s="14">
        <v>94.32</v>
      </c>
      <c r="Q6772" s="14">
        <v>124.96</v>
      </c>
      <c r="R6772" s="14">
        <v>62.48</v>
      </c>
      <c r="S6772" s="2" t="s">
        <v>4195</v>
      </c>
      <c r="T6772" s="2">
        <v>1.64</v>
      </c>
      <c r="U6772" s="2">
        <v>56.9</v>
      </c>
      <c r="V6772" s="2">
        <v>65</v>
      </c>
      <c r="W6772" s="2" t="s">
        <v>7862</v>
      </c>
      <c r="X6772" s="2" t="s">
        <v>6687</v>
      </c>
      <c r="Y6772" s="2">
        <v>1100</v>
      </c>
      <c r="Z6772" s="19" t="str">
        <f>HYPERLINK("https://ssdweb.co/ssdweb/hd/Vision360.html?d=926010272&amp;zoomslide=1&amp;z=1926010272&amp;ISCONFIRM=0","VIDEO")</f>
        <v>VIDEO</v>
      </c>
      <c r="AA6772" s="19" t="str">
        <f>HYPERLINK("https://ssdweb.co/ssdweb/CERTH/631463886.pdf","CERTI")</f>
        <v>CERTI</v>
      </c>
    </row>
    <row r="6773" spans="1:27" ht="15" x14ac:dyDescent="0.25">
      <c r="A6773" s="2">
        <v>6768</v>
      </c>
      <c r="B6773" s="39">
        <v>941190143</v>
      </c>
      <c r="C6773" s="28" t="str">
        <f>HYPERLINK("https://pld.live/RapDetail.aspx?STONELIST=941190143","DNA")</f>
        <v>DNA</v>
      </c>
      <c r="D6773" s="18" t="s">
        <v>684</v>
      </c>
      <c r="E6773" s="18" t="s">
        <v>5128</v>
      </c>
      <c r="F6773" s="2" t="s">
        <v>7987</v>
      </c>
      <c r="G6773" s="2" t="s">
        <v>6781</v>
      </c>
      <c r="H6773" s="14">
        <v>0.49</v>
      </c>
      <c r="I6773" s="2" t="s">
        <v>267</v>
      </c>
      <c r="J6773" s="2" t="s">
        <v>6555</v>
      </c>
      <c r="K6773" s="2" t="s">
        <v>1452</v>
      </c>
      <c r="L6773" s="2" t="s">
        <v>5221</v>
      </c>
      <c r="M6773" s="2" t="s">
        <v>5721</v>
      </c>
      <c r="N6773" s="2" t="s">
        <v>2317</v>
      </c>
      <c r="O6773" s="14">
        <v>2600</v>
      </c>
      <c r="P6773" s="14">
        <v>93.27</v>
      </c>
      <c r="Q6773" s="14">
        <v>174.98</v>
      </c>
      <c r="R6773" s="14">
        <v>85.74</v>
      </c>
      <c r="S6773" s="2" t="s">
        <v>1068</v>
      </c>
      <c r="T6773" s="2">
        <v>1.56</v>
      </c>
      <c r="U6773" s="2">
        <v>63.1</v>
      </c>
      <c r="V6773" s="2">
        <v>61</v>
      </c>
      <c r="W6773" s="2" t="s">
        <v>7862</v>
      </c>
      <c r="X6773" s="2" t="s">
        <v>6687</v>
      </c>
      <c r="Y6773" s="2">
        <v>1274</v>
      </c>
      <c r="Z6773" s="19" t="str">
        <f>HYPERLINK("https://ssdweb.co/ssdweb/hd/Vision360.html?d=941190143&amp;zoomslide=1&amp;z=1941190143&amp;ISCONFIRM=0","VIDEO")</f>
        <v>VIDEO</v>
      </c>
      <c r="AA6773" s="19" t="str">
        <f>HYPERLINK("https://ssdweb.co/ssdweb/CERTH/675504624.pdf","CERTI")</f>
        <v>CERTI</v>
      </c>
    </row>
    <row r="6774" spans="1:27" ht="15" x14ac:dyDescent="0.25">
      <c r="A6774" s="2">
        <v>6769</v>
      </c>
      <c r="B6774" s="39">
        <v>927132468</v>
      </c>
      <c r="C6774" s="28" t="str">
        <f>HYPERLINK("https://pld.live/RapDetail.aspx?STONELIST=927132468","DNA")</f>
        <v>DNA</v>
      </c>
      <c r="D6774" s="18" t="s">
        <v>684</v>
      </c>
      <c r="E6774" s="18" t="s">
        <v>5128</v>
      </c>
      <c r="F6774" s="2" t="s">
        <v>7987</v>
      </c>
      <c r="G6774" s="2" t="s">
        <v>6781</v>
      </c>
      <c r="H6774" s="14">
        <v>0.49</v>
      </c>
      <c r="I6774" s="2" t="s">
        <v>4761</v>
      </c>
      <c r="J6774" s="2" t="s">
        <v>5144</v>
      </c>
      <c r="K6774" s="2" t="s">
        <v>1452</v>
      </c>
      <c r="L6774" s="2" t="s">
        <v>5221</v>
      </c>
      <c r="M6774" s="2" t="s">
        <v>5221</v>
      </c>
      <c r="N6774" s="2" t="s">
        <v>2317</v>
      </c>
      <c r="O6774" s="14">
        <v>1900</v>
      </c>
      <c r="P6774" s="14">
        <v>93.05</v>
      </c>
      <c r="Q6774" s="14">
        <v>132.05000000000001</v>
      </c>
      <c r="R6774" s="14">
        <v>64.7</v>
      </c>
      <c r="S6774" s="2" t="s">
        <v>6352</v>
      </c>
      <c r="T6774" s="2">
        <v>1.55</v>
      </c>
      <c r="U6774" s="2">
        <v>61.8</v>
      </c>
      <c r="V6774" s="2">
        <v>59</v>
      </c>
      <c r="W6774" s="2" t="s">
        <v>7862</v>
      </c>
      <c r="X6774" s="2" t="s">
        <v>6687</v>
      </c>
      <c r="Y6774" s="2">
        <v>931</v>
      </c>
      <c r="Z6774" s="19" t="str">
        <f>HYPERLINK("https://ssdweb.co/ssdweb/hd/Vision360.html?d=927132468&amp;zoomslide=1&amp;z=1927132468&amp;ISCONFIRM=0","VIDEO")</f>
        <v>VIDEO</v>
      </c>
      <c r="AA6774" s="19" t="str">
        <f>HYPERLINK("https://ssdweb.co/ssdweb/CERTH/689587047.pdf","CERTI")</f>
        <v>CERTI</v>
      </c>
    </row>
    <row r="6775" spans="1:27" ht="15" x14ac:dyDescent="0.25">
      <c r="A6775" s="2">
        <v>6770</v>
      </c>
      <c r="B6775" s="39">
        <v>831020582</v>
      </c>
      <c r="C6775" s="28" t="str">
        <f>HYPERLINK("https://pld.live/RapDetail.aspx?STONELIST=831020582","DNA")</f>
        <v>DNA</v>
      </c>
      <c r="D6775" s="18" t="s">
        <v>1255</v>
      </c>
      <c r="E6775" s="18" t="s">
        <v>2186</v>
      </c>
      <c r="F6775" s="2" t="s">
        <v>7987</v>
      </c>
      <c r="G6775" s="2" t="s">
        <v>5226</v>
      </c>
      <c r="H6775" s="14">
        <v>10.06</v>
      </c>
      <c r="I6775" s="2" t="s">
        <v>4761</v>
      </c>
      <c r="J6775" s="2" t="s">
        <v>5144</v>
      </c>
      <c r="K6775" s="2" t="s">
        <v>1452</v>
      </c>
      <c r="L6775" s="2" t="s">
        <v>5221</v>
      </c>
      <c r="M6775" s="2" t="s">
        <v>5221</v>
      </c>
      <c r="N6775" s="2" t="s">
        <v>2317</v>
      </c>
      <c r="O6775" s="14">
        <v>72500</v>
      </c>
      <c r="P6775" s="14">
        <v>99.46</v>
      </c>
      <c r="Q6775" s="14">
        <v>391.5</v>
      </c>
      <c r="R6775" s="14">
        <v>3938.49</v>
      </c>
      <c r="S6775" s="2" t="s">
        <v>270</v>
      </c>
      <c r="T6775" s="2">
        <v>1.02</v>
      </c>
      <c r="U6775" s="2">
        <v>69.3</v>
      </c>
      <c r="V6775" s="2">
        <v>73</v>
      </c>
      <c r="W6775" s="2" t="s">
        <v>7862</v>
      </c>
      <c r="X6775" s="2" t="s">
        <v>2449</v>
      </c>
      <c r="Y6775" s="2">
        <v>729350</v>
      </c>
      <c r="Z6775" s="19" t="str">
        <f>HYPERLINK("https://ssdweb.co/ssdweb/hd/Vision360.html?d=831020582&amp;zoomslide=1&amp;z=1831020582&amp;ISCONFIRM=0","VIDEO")</f>
        <v>VIDEO</v>
      </c>
      <c r="AA6775" s="19" t="str">
        <f>HYPERLINK("https://ssdweb.co/ssdweb/CERTH/576352796.pdf","CERTI")</f>
        <v>CERTI</v>
      </c>
    </row>
    <row r="6776" spans="1:27" ht="15" x14ac:dyDescent="0.25">
      <c r="A6776" s="2">
        <v>6771</v>
      </c>
      <c r="B6776" s="39">
        <v>922780052</v>
      </c>
      <c r="C6776" s="28" t="str">
        <f>HYPERLINK("https://pld.live/RapDetail.aspx?STONELIST=922780052","DNA")</f>
        <v>DNA</v>
      </c>
      <c r="D6776" s="18" t="s">
        <v>1966</v>
      </c>
      <c r="E6776" s="18" t="s">
        <v>2186</v>
      </c>
      <c r="F6776" s="2" t="s">
        <v>7987</v>
      </c>
      <c r="G6776" s="2" t="s">
        <v>5226</v>
      </c>
      <c r="H6776" s="14">
        <v>7.1</v>
      </c>
      <c r="I6776" s="2" t="s">
        <v>6587</v>
      </c>
      <c r="J6776" s="2" t="s">
        <v>13</v>
      </c>
      <c r="K6776" s="2" t="s">
        <v>1452</v>
      </c>
      <c r="L6776" s="2" t="s">
        <v>5221</v>
      </c>
      <c r="M6776" s="2" t="s">
        <v>5221</v>
      </c>
      <c r="N6776" s="2" t="s">
        <v>2317</v>
      </c>
      <c r="O6776" s="14">
        <v>42500</v>
      </c>
      <c r="P6776" s="14">
        <v>99.49</v>
      </c>
      <c r="Q6776" s="14">
        <v>216.75</v>
      </c>
      <c r="R6776" s="14">
        <v>1538.93</v>
      </c>
      <c r="S6776" s="2" t="s">
        <v>6389</v>
      </c>
      <c r="T6776" s="2">
        <v>1.01</v>
      </c>
      <c r="U6776" s="2">
        <v>68</v>
      </c>
      <c r="V6776" s="2">
        <v>73.5</v>
      </c>
      <c r="W6776" s="2" t="s">
        <v>7862</v>
      </c>
      <c r="X6776" s="2" t="s">
        <v>2449</v>
      </c>
      <c r="Y6776" s="2">
        <v>301750</v>
      </c>
      <c r="Z6776" s="19" t="str">
        <f>HYPERLINK("https://ssdweb.co/ssdweb/hd/Vision360.html?d=922780052&amp;zoomslide=1&amp;z=1922780052&amp;ISCONFIRM=0","VIDEO")</f>
        <v>VIDEO</v>
      </c>
      <c r="AA6776" s="19" t="str">
        <f>HYPERLINK("https://ssdweb.co/ssdweb/CERTH/529278884.pdf","CERTI")</f>
        <v>CERTI</v>
      </c>
    </row>
    <row r="6777" spans="1:27" ht="15" x14ac:dyDescent="0.25">
      <c r="A6777" s="2">
        <v>6772</v>
      </c>
      <c r="B6777" s="39">
        <v>925410050</v>
      </c>
      <c r="C6777" s="28" t="str">
        <f>HYPERLINK("https://pld.live/RapDetail.aspx?STONELIST=925410050","DNA")</f>
        <v>DNA</v>
      </c>
      <c r="D6777" s="18" t="s">
        <v>3174</v>
      </c>
      <c r="E6777" s="18" t="s">
        <v>2186</v>
      </c>
      <c r="F6777" s="2" t="s">
        <v>7987</v>
      </c>
      <c r="G6777" s="2" t="s">
        <v>5226</v>
      </c>
      <c r="H6777" s="14">
        <v>5.34</v>
      </c>
      <c r="I6777" s="2" t="s">
        <v>6587</v>
      </c>
      <c r="J6777" s="2" t="s">
        <v>13</v>
      </c>
      <c r="K6777" s="2" t="s">
        <v>1452</v>
      </c>
      <c r="L6777" s="2" t="s">
        <v>5221</v>
      </c>
      <c r="M6777" s="2" t="s">
        <v>5221</v>
      </c>
      <c r="N6777" s="2" t="s">
        <v>2317</v>
      </c>
      <c r="O6777" s="14">
        <v>42500</v>
      </c>
      <c r="P6777" s="14">
        <v>99.64</v>
      </c>
      <c r="Q6777" s="14">
        <v>153</v>
      </c>
      <c r="R6777" s="14">
        <v>817.02</v>
      </c>
      <c r="S6777" s="2" t="s">
        <v>7536</v>
      </c>
      <c r="T6777" s="2">
        <v>1.02</v>
      </c>
      <c r="U6777" s="2">
        <v>70.3</v>
      </c>
      <c r="V6777" s="2">
        <v>73</v>
      </c>
      <c r="W6777" s="2" t="s">
        <v>7862</v>
      </c>
      <c r="X6777" s="2" t="s">
        <v>2449</v>
      </c>
      <c r="Y6777" s="2">
        <v>226950</v>
      </c>
      <c r="Z6777" s="19" t="str">
        <f>HYPERLINK("https://ssdweb.co/ssdweb/hd/Vision360.html?d=925410050&amp;zoomslide=1&amp;z=1925410050&amp;ISCONFIRM=0","VIDEO")</f>
        <v>VIDEO</v>
      </c>
      <c r="AA6777" s="19" t="str">
        <f>HYPERLINK("https://ssdweb.co/ssdweb/CERTH/620449036.pdf","CERTI")</f>
        <v>CERTI</v>
      </c>
    </row>
    <row r="6778" spans="1:27" ht="15" x14ac:dyDescent="0.25">
      <c r="A6778" s="2">
        <v>6773</v>
      </c>
      <c r="B6778" s="39">
        <v>925410051</v>
      </c>
      <c r="C6778" s="28" t="str">
        <f>HYPERLINK("https://pld.live/RapDetail.aspx?STONELIST=925410051","DNA")</f>
        <v>DNA</v>
      </c>
      <c r="D6778" s="18" t="s">
        <v>3174</v>
      </c>
      <c r="E6778" s="18" t="s">
        <v>2186</v>
      </c>
      <c r="F6778" s="2" t="s">
        <v>7987</v>
      </c>
      <c r="G6778" s="2" t="s">
        <v>5226</v>
      </c>
      <c r="H6778" s="14">
        <v>5.32</v>
      </c>
      <c r="I6778" s="2" t="s">
        <v>4699</v>
      </c>
      <c r="J6778" s="2" t="s">
        <v>3942</v>
      </c>
      <c r="K6778" s="2" t="s">
        <v>1452</v>
      </c>
      <c r="L6778" s="2" t="s">
        <v>5221</v>
      </c>
      <c r="M6778" s="2" t="s">
        <v>5221</v>
      </c>
      <c r="N6778" s="2" t="s">
        <v>2317</v>
      </c>
      <c r="O6778" s="14">
        <v>51000</v>
      </c>
      <c r="P6778" s="14">
        <v>99.62</v>
      </c>
      <c r="Q6778" s="14">
        <v>193.8</v>
      </c>
      <c r="R6778" s="14">
        <v>1031.02</v>
      </c>
      <c r="S6778" s="2" t="s">
        <v>7378</v>
      </c>
      <c r="T6778" s="2">
        <v>1.02</v>
      </c>
      <c r="U6778" s="2">
        <v>69.8</v>
      </c>
      <c r="V6778" s="2">
        <v>70</v>
      </c>
      <c r="W6778" s="2" t="s">
        <v>7862</v>
      </c>
      <c r="X6778" s="2" t="s">
        <v>2449</v>
      </c>
      <c r="Y6778" s="2">
        <v>271320</v>
      </c>
      <c r="Z6778" s="19" t="str">
        <f>HYPERLINK("https://ssdweb.co/ssdweb/hd/Vision360.html?d=925410051&amp;zoomslide=1&amp;z=1925410051&amp;ISCONFIRM=0","VIDEO")</f>
        <v>VIDEO</v>
      </c>
      <c r="AA6778" s="19" t="str">
        <f>HYPERLINK("https://ssdweb.co/ssdweb/CERTH/620449037.pdf","CERTI")</f>
        <v>CERTI</v>
      </c>
    </row>
    <row r="6779" spans="1:27" ht="15" x14ac:dyDescent="0.25">
      <c r="A6779" s="2">
        <v>6774</v>
      </c>
      <c r="B6779" s="39">
        <v>922420045</v>
      </c>
      <c r="C6779" s="28" t="str">
        <f>HYPERLINK("https://pld.live/RapDetail.aspx?STONELIST=922420045","DNA")</f>
        <v>DNA</v>
      </c>
      <c r="D6779" s="18" t="s">
        <v>3174</v>
      </c>
      <c r="E6779" s="18" t="s">
        <v>2186</v>
      </c>
      <c r="F6779" s="2" t="s">
        <v>5597</v>
      </c>
      <c r="G6779" s="2" t="s">
        <v>5226</v>
      </c>
      <c r="H6779" s="14">
        <v>5.0599999999999996</v>
      </c>
      <c r="I6779" s="2" t="s">
        <v>3722</v>
      </c>
      <c r="J6779" s="2" t="s">
        <v>13</v>
      </c>
      <c r="K6779" s="2" t="s">
        <v>1452</v>
      </c>
      <c r="L6779" s="2" t="s">
        <v>5221</v>
      </c>
      <c r="M6779" s="2" t="s">
        <v>5221</v>
      </c>
      <c r="N6779" s="2" t="s">
        <v>2317</v>
      </c>
      <c r="O6779" s="14">
        <v>25500</v>
      </c>
      <c r="P6779" s="14">
        <v>99.08</v>
      </c>
      <c r="Q6779" s="14">
        <v>234.6</v>
      </c>
      <c r="R6779" s="14">
        <v>1187.08</v>
      </c>
      <c r="S6779" s="2" t="s">
        <v>2028</v>
      </c>
      <c r="T6779" s="2">
        <v>1.05</v>
      </c>
      <c r="U6779" s="2">
        <v>68</v>
      </c>
      <c r="V6779" s="2">
        <v>74</v>
      </c>
      <c r="W6779" s="2" t="s">
        <v>8016</v>
      </c>
      <c r="X6779" s="2" t="s">
        <v>6155</v>
      </c>
      <c r="Y6779" s="2">
        <v>129030</v>
      </c>
      <c r="Z6779" s="19" t="str">
        <f>HYPERLINK("https://ssdweb.co/ssdweb/hd/Vision360.html?d=922420045&amp;zoomslide=1&amp;z=1922420045&amp;ISCONFIRM=0","VIDEO")</f>
        <v>VIDEO</v>
      </c>
      <c r="AA6779" s="19" t="str">
        <f>HYPERLINK("https://ssdweb.co/ssdweb/CERTH/3425971679.pdf","CERTI")</f>
        <v>CERTI</v>
      </c>
    </row>
    <row r="6780" spans="1:27" ht="15" x14ac:dyDescent="0.25">
      <c r="A6780" s="2">
        <v>6775</v>
      </c>
      <c r="B6780" s="39">
        <v>924500015</v>
      </c>
      <c r="C6780" s="28" t="str">
        <f>HYPERLINK("https://pld.live/RapDetail.aspx?STONELIST=924500015","DNA")</f>
        <v>DNA</v>
      </c>
      <c r="D6780" s="18" t="s">
        <v>3174</v>
      </c>
      <c r="E6780" s="18" t="s">
        <v>2186</v>
      </c>
      <c r="F6780" s="2" t="s">
        <v>7987</v>
      </c>
      <c r="G6780" s="2" t="s">
        <v>5226</v>
      </c>
      <c r="H6780" s="14">
        <v>5.0599999999999996</v>
      </c>
      <c r="I6780" s="2" t="s">
        <v>1066</v>
      </c>
      <c r="J6780" s="2" t="s">
        <v>5144</v>
      </c>
      <c r="K6780" s="2" t="s">
        <v>1452</v>
      </c>
      <c r="L6780" s="2" t="s">
        <v>5221</v>
      </c>
      <c r="M6780" s="2" t="s">
        <v>5221</v>
      </c>
      <c r="N6780" s="2" t="s">
        <v>924</v>
      </c>
      <c r="O6780" s="14">
        <v>9000</v>
      </c>
      <c r="P6780" s="14">
        <v>96</v>
      </c>
      <c r="Q6780" s="14">
        <v>360</v>
      </c>
      <c r="R6780" s="14">
        <v>1821.6</v>
      </c>
      <c r="S6780" s="2" t="s">
        <v>1013</v>
      </c>
      <c r="T6780" s="2">
        <v>1.01</v>
      </c>
      <c r="U6780" s="2">
        <v>68.599999999999994</v>
      </c>
      <c r="V6780" s="2">
        <v>72</v>
      </c>
      <c r="W6780" s="2" t="s">
        <v>7862</v>
      </c>
      <c r="X6780" s="2" t="s">
        <v>2449</v>
      </c>
      <c r="Y6780" s="2">
        <v>45540</v>
      </c>
      <c r="Z6780" s="19" t="str">
        <f>HYPERLINK("https://ssdweb.co/ssdweb/hd/Vision360.html?d=924500015&amp;zoomslide=1&amp;z=1924500015&amp;ISCONFIRM=0","VIDEO")</f>
        <v>VIDEO</v>
      </c>
      <c r="AA6780" s="19" t="str">
        <f>HYPERLINK("https://ssdweb.co/ssdweb/CERTH/651454588.pdf","CERTI")</f>
        <v>CERTI</v>
      </c>
    </row>
    <row r="6781" spans="1:27" ht="15" x14ac:dyDescent="0.25">
      <c r="A6781" s="2">
        <v>6776</v>
      </c>
      <c r="B6781" s="39">
        <v>925880033</v>
      </c>
      <c r="C6781" s="28" t="str">
        <f>HYPERLINK("https://pld.live/RapDetail.aspx?STONELIST=925880033","DNA")</f>
        <v>DNA</v>
      </c>
      <c r="D6781" s="18" t="s">
        <v>3174</v>
      </c>
      <c r="E6781" s="18" t="s">
        <v>2186</v>
      </c>
      <c r="F6781" s="2" t="s">
        <v>5597</v>
      </c>
      <c r="G6781" s="2" t="s">
        <v>5226</v>
      </c>
      <c r="H6781" s="14">
        <v>5.04</v>
      </c>
      <c r="I6781" s="2" t="s">
        <v>4761</v>
      </c>
      <c r="J6781" s="2" t="s">
        <v>3942</v>
      </c>
      <c r="K6781" s="2" t="s">
        <v>1452</v>
      </c>
      <c r="L6781" s="2" t="s">
        <v>5221</v>
      </c>
      <c r="M6781" s="2" t="s">
        <v>5221</v>
      </c>
      <c r="N6781" s="2" t="s">
        <v>2317</v>
      </c>
      <c r="O6781" s="14">
        <v>55000</v>
      </c>
      <c r="P6781" s="14">
        <v>99.34</v>
      </c>
      <c r="Q6781" s="14">
        <v>363</v>
      </c>
      <c r="R6781" s="14">
        <v>1829.52</v>
      </c>
      <c r="S6781" s="2" t="s">
        <v>5414</v>
      </c>
      <c r="T6781" s="2">
        <v>1.02</v>
      </c>
      <c r="U6781" s="2">
        <v>72.5</v>
      </c>
      <c r="V6781" s="2">
        <v>71</v>
      </c>
      <c r="W6781" s="2" t="s">
        <v>7862</v>
      </c>
      <c r="X6781" s="2" t="s">
        <v>6155</v>
      </c>
      <c r="Y6781" s="2">
        <v>277200</v>
      </c>
      <c r="Z6781" s="19" t="str">
        <f>HYPERLINK("https://ssdweb.co/ssdweb/hd/Vision360.html?d=925880033&amp;zoomslide=1&amp;z=1925880033&amp;ISCONFIRM=0","VIDEO")</f>
        <v>VIDEO</v>
      </c>
      <c r="AA6781" s="19" t="str">
        <f>HYPERLINK("https://ssdweb.co/ssdweb/CERTH/1489994125.pdf","CERTI")</f>
        <v>CERTI</v>
      </c>
    </row>
    <row r="6782" spans="1:27" ht="15" x14ac:dyDescent="0.25">
      <c r="A6782" s="2">
        <v>6777</v>
      </c>
      <c r="B6782" s="39">
        <v>831020216</v>
      </c>
      <c r="C6782" s="28" t="str">
        <f>HYPERLINK("https://pld.live/RapDetail.aspx?STONELIST=831020216","DNA")</f>
        <v>DNA</v>
      </c>
      <c r="D6782" s="18" t="s">
        <v>3174</v>
      </c>
      <c r="E6782" s="18" t="s">
        <v>2186</v>
      </c>
      <c r="F6782" s="2" t="s">
        <v>7987</v>
      </c>
      <c r="G6782" s="2" t="s">
        <v>5226</v>
      </c>
      <c r="H6782" s="14">
        <v>5.03</v>
      </c>
      <c r="I6782" s="2" t="s">
        <v>1505</v>
      </c>
      <c r="J6782" s="2" t="s">
        <v>5144</v>
      </c>
      <c r="K6782" s="2" t="s">
        <v>1452</v>
      </c>
      <c r="L6782" s="2" t="s">
        <v>5221</v>
      </c>
      <c r="M6782" s="2" t="s">
        <v>5221</v>
      </c>
      <c r="N6782" s="2" t="s">
        <v>2317</v>
      </c>
      <c r="O6782" s="14">
        <v>30000</v>
      </c>
      <c r="P6782" s="14">
        <v>99.53</v>
      </c>
      <c r="Q6782" s="14">
        <v>141</v>
      </c>
      <c r="R6782" s="14">
        <v>709.23</v>
      </c>
      <c r="S6782" s="2" t="s">
        <v>6812</v>
      </c>
      <c r="T6782" s="2">
        <v>1.01</v>
      </c>
      <c r="U6782" s="2">
        <v>72.099999999999994</v>
      </c>
      <c r="V6782" s="2">
        <v>71</v>
      </c>
      <c r="W6782" s="2" t="s">
        <v>7862</v>
      </c>
      <c r="X6782" s="2" t="s">
        <v>2449</v>
      </c>
      <c r="Y6782" s="2">
        <v>150900</v>
      </c>
      <c r="Z6782" s="19" t="str">
        <f>HYPERLINK("https://ssdweb.co/ssdweb/hd/Vision360.html?d=831020216&amp;zoomslide=1&amp;z=1831020216&amp;ISCONFIRM=0","VIDEO")</f>
        <v>VIDEO</v>
      </c>
      <c r="AA6782" s="19" t="str">
        <f>HYPERLINK("https://ssdweb.co/ssdweb/CERTH/533216913.pdf","CERTI")</f>
        <v>CERTI</v>
      </c>
    </row>
    <row r="6783" spans="1:27" ht="15" x14ac:dyDescent="0.25">
      <c r="A6783" s="2">
        <v>6778</v>
      </c>
      <c r="B6783" s="39">
        <v>926050264</v>
      </c>
      <c r="C6783" s="28" t="str">
        <f>HYPERLINK("https://pld.live/RapDetail.aspx?STONELIST=926050264","DNA")</f>
        <v>DNA</v>
      </c>
      <c r="D6783" s="18" t="s">
        <v>3174</v>
      </c>
      <c r="E6783" s="18" t="s">
        <v>2186</v>
      </c>
      <c r="F6783" s="2" t="s">
        <v>7987</v>
      </c>
      <c r="G6783" s="2" t="s">
        <v>5226</v>
      </c>
      <c r="H6783" s="14">
        <v>5.0199999999999996</v>
      </c>
      <c r="I6783" s="2" t="s">
        <v>6587</v>
      </c>
      <c r="J6783" s="2" t="s">
        <v>13</v>
      </c>
      <c r="K6783" s="2" t="s">
        <v>1452</v>
      </c>
      <c r="L6783" s="2" t="s">
        <v>5221</v>
      </c>
      <c r="M6783" s="2" t="s">
        <v>5221</v>
      </c>
      <c r="N6783" s="2" t="s">
        <v>2317</v>
      </c>
      <c r="O6783" s="14">
        <v>42500</v>
      </c>
      <c r="P6783" s="14">
        <v>99.64</v>
      </c>
      <c r="Q6783" s="14">
        <v>153</v>
      </c>
      <c r="R6783" s="14">
        <v>768.06</v>
      </c>
      <c r="S6783" s="2" t="s">
        <v>3004</v>
      </c>
      <c r="T6783" s="2">
        <v>1.03</v>
      </c>
      <c r="U6783" s="2">
        <v>67.3</v>
      </c>
      <c r="V6783" s="2">
        <v>72</v>
      </c>
      <c r="W6783" s="2" t="s">
        <v>7862</v>
      </c>
      <c r="X6783" s="2" t="s">
        <v>2449</v>
      </c>
      <c r="Y6783" s="2">
        <v>213350</v>
      </c>
      <c r="Z6783" s="19" t="str">
        <f>HYPERLINK("https://ssdweb.co/ssdweb/hd/Vision360.html?d=926050264&amp;zoomslide=1&amp;z=1926050264&amp;ISCONFIRM=0","VIDEO")</f>
        <v>VIDEO</v>
      </c>
      <c r="AA6783" s="19" t="str">
        <f>HYPERLINK("https://ssdweb.co/ssdweb/CERTH/631464392.pdf","CERTI")</f>
        <v>CERTI</v>
      </c>
    </row>
    <row r="6784" spans="1:27" ht="15" x14ac:dyDescent="0.25">
      <c r="A6784" s="2">
        <v>6779</v>
      </c>
      <c r="B6784" s="39">
        <v>925410048</v>
      </c>
      <c r="C6784" s="28" t="str">
        <f>HYPERLINK("https://pld.live/RapDetail.aspx?STONELIST=925410048","DNA")</f>
        <v>DNA</v>
      </c>
      <c r="D6784" s="18" t="s">
        <v>3174</v>
      </c>
      <c r="E6784" s="18" t="s">
        <v>2186</v>
      </c>
      <c r="F6784" s="2" t="s">
        <v>7987</v>
      </c>
      <c r="G6784" s="2" t="s">
        <v>5226</v>
      </c>
      <c r="H6784" s="14">
        <v>5.01</v>
      </c>
      <c r="I6784" s="2" t="s">
        <v>1066</v>
      </c>
      <c r="J6784" s="2" t="s">
        <v>13</v>
      </c>
      <c r="K6784" s="2" t="s">
        <v>1452</v>
      </c>
      <c r="L6784" s="2" t="s">
        <v>5221</v>
      </c>
      <c r="M6784" s="2" t="s">
        <v>5221</v>
      </c>
      <c r="N6784" s="2" t="s">
        <v>924</v>
      </c>
      <c r="O6784" s="14">
        <v>9500</v>
      </c>
      <c r="P6784" s="14">
        <v>96.11</v>
      </c>
      <c r="Q6784" s="14">
        <v>369.55</v>
      </c>
      <c r="R6784" s="14">
        <v>1851.45</v>
      </c>
      <c r="S6784" s="2" t="s">
        <v>2046</v>
      </c>
      <c r="T6784" s="2">
        <v>1</v>
      </c>
      <c r="U6784" s="2">
        <v>70.5</v>
      </c>
      <c r="V6784" s="2">
        <v>72</v>
      </c>
      <c r="W6784" s="2" t="s">
        <v>7862</v>
      </c>
      <c r="X6784" s="2" t="s">
        <v>2449</v>
      </c>
      <c r="Y6784" s="2">
        <v>47595</v>
      </c>
      <c r="Z6784" s="19" t="str">
        <f>HYPERLINK("https://ssdweb.co/ssdweb/hd/Vision360.html?d=925410048&amp;zoomslide=1&amp;z=1925410048&amp;ISCONFIRM=0","VIDEO")</f>
        <v>VIDEO</v>
      </c>
      <c r="AA6784" s="19" t="str">
        <f>HYPERLINK("https://ssdweb.co/ssdweb/CERTH/651454589.pdf","CERTI")</f>
        <v>CERTI</v>
      </c>
    </row>
    <row r="6785" spans="1:27" ht="15" x14ac:dyDescent="0.25">
      <c r="A6785" s="2">
        <v>6780</v>
      </c>
      <c r="B6785" s="39">
        <v>926010268</v>
      </c>
      <c r="C6785" s="28" t="str">
        <f>HYPERLINK("https://pld.live/RapDetail.aspx?STONELIST=926010268","DNA")</f>
        <v>DNA</v>
      </c>
      <c r="D6785" s="18" t="s">
        <v>437</v>
      </c>
      <c r="E6785" s="18" t="s">
        <v>2186</v>
      </c>
      <c r="F6785" s="2" t="s">
        <v>7987</v>
      </c>
      <c r="G6785" s="2" t="s">
        <v>5226</v>
      </c>
      <c r="H6785" s="14">
        <v>4.3</v>
      </c>
      <c r="I6785" s="2" t="s">
        <v>1066</v>
      </c>
      <c r="J6785" s="2" t="s">
        <v>13</v>
      </c>
      <c r="K6785" s="2" t="s">
        <v>1452</v>
      </c>
      <c r="L6785" s="2" t="s">
        <v>5221</v>
      </c>
      <c r="M6785" s="2" t="s">
        <v>5221</v>
      </c>
      <c r="N6785" s="2" t="s">
        <v>924</v>
      </c>
      <c r="O6785" s="14">
        <v>7100</v>
      </c>
      <c r="P6785" s="14">
        <v>94.65</v>
      </c>
      <c r="Q6785" s="14">
        <v>379.85</v>
      </c>
      <c r="R6785" s="14">
        <v>1633.36</v>
      </c>
      <c r="S6785" s="2" t="s">
        <v>922</v>
      </c>
      <c r="T6785" s="2">
        <v>1.02</v>
      </c>
      <c r="U6785" s="2">
        <v>72</v>
      </c>
      <c r="V6785" s="2">
        <v>71</v>
      </c>
      <c r="W6785" s="2" t="s">
        <v>7862</v>
      </c>
      <c r="X6785" s="2" t="s">
        <v>2449</v>
      </c>
      <c r="Y6785" s="2">
        <v>30530</v>
      </c>
      <c r="Z6785" s="19" t="str">
        <f>HYPERLINK("https://ssdweb.co/ssdweb/hd/Vision360.html?d=926010268&amp;zoomslide=1&amp;z=1926010268&amp;ISCONFIRM=0","VIDEO")</f>
        <v>VIDEO</v>
      </c>
      <c r="AA6785" s="19" t="str">
        <f>HYPERLINK("https://ssdweb.co/ssdweb/CERTH/639406137.pdf","CERTI")</f>
        <v>CERTI</v>
      </c>
    </row>
    <row r="6786" spans="1:27" ht="15" x14ac:dyDescent="0.25">
      <c r="A6786" s="2">
        <v>6781</v>
      </c>
      <c r="B6786" s="39">
        <v>926050335</v>
      </c>
      <c r="C6786" s="28" t="str">
        <f>HYPERLINK("https://pld.live/RapDetail.aspx?STONELIST=926050335","DNA")</f>
        <v>DNA</v>
      </c>
      <c r="D6786" s="18" t="s">
        <v>3134</v>
      </c>
      <c r="E6786" s="18" t="s">
        <v>2186</v>
      </c>
      <c r="F6786" s="2" t="s">
        <v>7987</v>
      </c>
      <c r="G6786" s="2" t="s">
        <v>5226</v>
      </c>
      <c r="H6786" s="14">
        <v>4.1100000000000003</v>
      </c>
      <c r="I6786" s="2" t="s">
        <v>4699</v>
      </c>
      <c r="J6786" s="2" t="s">
        <v>3942</v>
      </c>
      <c r="K6786" s="2" t="s">
        <v>1452</v>
      </c>
      <c r="L6786" s="2" t="s">
        <v>5221</v>
      </c>
      <c r="M6786" s="2" t="s">
        <v>5221</v>
      </c>
      <c r="N6786" s="2" t="s">
        <v>2317</v>
      </c>
      <c r="O6786" s="14">
        <v>37000</v>
      </c>
      <c r="P6786" s="14">
        <v>99.55</v>
      </c>
      <c r="Q6786" s="14">
        <v>166.5</v>
      </c>
      <c r="R6786" s="14">
        <v>684.32</v>
      </c>
      <c r="S6786" s="2" t="s">
        <v>8062</v>
      </c>
      <c r="T6786" s="2">
        <v>1.02</v>
      </c>
      <c r="U6786" s="2">
        <v>72.099999999999994</v>
      </c>
      <c r="V6786" s="2">
        <v>70</v>
      </c>
      <c r="W6786" s="2" t="s">
        <v>7862</v>
      </c>
      <c r="X6786" s="2" t="s">
        <v>2449</v>
      </c>
      <c r="Y6786" s="2">
        <v>152070</v>
      </c>
      <c r="Z6786" s="19" t="str">
        <f>HYPERLINK("https://ssdweb.co/ssdweb/hd/Vision360.html?d=926050335&amp;zoomslide=1&amp;z=1926050335&amp;ISCONFIRM=0","VIDEO")</f>
        <v>VIDEO</v>
      </c>
      <c r="AA6786" s="19" t="str">
        <f>HYPERLINK("https://ssdweb.co/ssdweb/CERTH/632488517.pdf","CERTI")</f>
        <v>CERTI</v>
      </c>
    </row>
    <row r="6787" spans="1:27" ht="15" x14ac:dyDescent="0.25">
      <c r="A6787" s="2">
        <v>6782</v>
      </c>
      <c r="B6787" s="39">
        <v>925930129</v>
      </c>
      <c r="C6787" s="28" t="str">
        <f>HYPERLINK("https://pld.live/RapDetail.aspx?STONELIST=925930129","DNA")</f>
        <v>DNA</v>
      </c>
      <c r="D6787" s="18" t="s">
        <v>3134</v>
      </c>
      <c r="E6787" s="18" t="s">
        <v>2186</v>
      </c>
      <c r="F6787" s="2" t="s">
        <v>7987</v>
      </c>
      <c r="G6787" s="2" t="s">
        <v>5226</v>
      </c>
      <c r="H6787" s="14">
        <v>4.09</v>
      </c>
      <c r="I6787" s="2" t="s">
        <v>4699</v>
      </c>
      <c r="J6787" s="2" t="s">
        <v>13</v>
      </c>
      <c r="K6787" s="2" t="s">
        <v>1452</v>
      </c>
      <c r="L6787" s="2" t="s">
        <v>5221</v>
      </c>
      <c r="M6787" s="2" t="s">
        <v>5221</v>
      </c>
      <c r="N6787" s="2" t="s">
        <v>2317</v>
      </c>
      <c r="O6787" s="14">
        <v>34500</v>
      </c>
      <c r="P6787" s="14">
        <v>99.58</v>
      </c>
      <c r="Q6787" s="14">
        <v>144.9</v>
      </c>
      <c r="R6787" s="14">
        <v>592.64</v>
      </c>
      <c r="S6787" s="2" t="s">
        <v>5596</v>
      </c>
      <c r="T6787" s="2">
        <v>1.01</v>
      </c>
      <c r="U6787" s="2">
        <v>67.5</v>
      </c>
      <c r="V6787" s="2">
        <v>75</v>
      </c>
      <c r="W6787" s="2" t="s">
        <v>7862</v>
      </c>
      <c r="X6787" s="2" t="s">
        <v>2449</v>
      </c>
      <c r="Y6787" s="2">
        <v>141105</v>
      </c>
      <c r="Z6787" s="19" t="str">
        <f>HYPERLINK("https://ssdweb.co/ssdweb/hd/Vision360.html?d=925930129&amp;zoomslide=1&amp;z=1925930129&amp;ISCONFIRM=0","VIDEO")</f>
        <v>VIDEO</v>
      </c>
      <c r="AA6787" s="19" t="str">
        <f>HYPERLINK("https://ssdweb.co/ssdweb/CERTH/629479240.pdf","CERTI")</f>
        <v>CERTI</v>
      </c>
    </row>
    <row r="6788" spans="1:27" ht="15" x14ac:dyDescent="0.25">
      <c r="A6788" s="2">
        <v>6783</v>
      </c>
      <c r="B6788" s="39">
        <v>924300714</v>
      </c>
      <c r="C6788" s="28" t="str">
        <f>HYPERLINK("https://pld.live/RapDetail.aspx?STONELIST=924300714","DNA")</f>
        <v>DNA</v>
      </c>
      <c r="D6788" s="18" t="s">
        <v>3134</v>
      </c>
      <c r="E6788" s="18" t="s">
        <v>2186</v>
      </c>
      <c r="F6788" s="2" t="s">
        <v>7987</v>
      </c>
      <c r="G6788" s="2" t="s">
        <v>5226</v>
      </c>
      <c r="H6788" s="14">
        <v>4.0599999999999996</v>
      </c>
      <c r="I6788" s="2" t="s">
        <v>6587</v>
      </c>
      <c r="J6788" s="2" t="s">
        <v>5144</v>
      </c>
      <c r="K6788" s="2" t="s">
        <v>1452</v>
      </c>
      <c r="L6788" s="2" t="s">
        <v>5221</v>
      </c>
      <c r="M6788" s="2" t="s">
        <v>5221</v>
      </c>
      <c r="N6788" s="2" t="s">
        <v>2317</v>
      </c>
      <c r="O6788" s="14">
        <v>27500</v>
      </c>
      <c r="P6788" s="14">
        <v>99.53</v>
      </c>
      <c r="Q6788" s="14">
        <v>129.25</v>
      </c>
      <c r="R6788" s="14">
        <v>524.76</v>
      </c>
      <c r="S6788" s="2" t="s">
        <v>6610</v>
      </c>
      <c r="T6788" s="2">
        <v>1.03</v>
      </c>
      <c r="U6788" s="2">
        <v>68.7</v>
      </c>
      <c r="V6788" s="2">
        <v>72</v>
      </c>
      <c r="W6788" s="2" t="s">
        <v>7862</v>
      </c>
      <c r="X6788" s="2" t="s">
        <v>2449</v>
      </c>
      <c r="Y6788" s="2">
        <v>111650</v>
      </c>
      <c r="Z6788" s="19" t="str">
        <f>HYPERLINK("https://ssdweb.co/ssdweb/hd/Vision360.html?d=924300714&amp;zoomslide=1&amp;z=1924300714&amp;ISCONFIRM=0","VIDEO")</f>
        <v>VIDEO</v>
      </c>
      <c r="AA6788" s="19" t="str">
        <f>HYPERLINK("https://ssdweb.co/ssdweb/CERTH/589305668.pdf","CERTI")</f>
        <v>CERTI</v>
      </c>
    </row>
    <row r="6789" spans="1:27" ht="15" x14ac:dyDescent="0.25">
      <c r="A6789" s="2">
        <v>6784</v>
      </c>
      <c r="B6789" s="39">
        <v>924250637</v>
      </c>
      <c r="C6789" s="28" t="str">
        <f>HYPERLINK("https://pld.live/RapDetail.aspx?STONELIST=924250637","DNA")</f>
        <v>DNA</v>
      </c>
      <c r="D6789" s="18" t="s">
        <v>3134</v>
      </c>
      <c r="E6789" s="18" t="s">
        <v>2186</v>
      </c>
      <c r="F6789" s="2" t="s">
        <v>7987</v>
      </c>
      <c r="G6789" s="2" t="s">
        <v>5226</v>
      </c>
      <c r="H6789" s="14">
        <v>4.05</v>
      </c>
      <c r="I6789" s="2" t="s">
        <v>1505</v>
      </c>
      <c r="J6789" s="2" t="s">
        <v>13</v>
      </c>
      <c r="K6789" s="2" t="s">
        <v>1452</v>
      </c>
      <c r="L6789" s="2" t="s">
        <v>5221</v>
      </c>
      <c r="M6789" s="2" t="s">
        <v>5221</v>
      </c>
      <c r="N6789" s="2" t="s">
        <v>2317</v>
      </c>
      <c r="O6789" s="14">
        <v>25500</v>
      </c>
      <c r="P6789" s="14">
        <v>99.49</v>
      </c>
      <c r="Q6789" s="14">
        <v>130.05000000000001</v>
      </c>
      <c r="R6789" s="14">
        <v>526.70000000000005</v>
      </c>
      <c r="S6789" s="2" t="s">
        <v>1454</v>
      </c>
      <c r="T6789" s="2">
        <v>1.02</v>
      </c>
      <c r="U6789" s="2">
        <v>69.3</v>
      </c>
      <c r="V6789" s="2">
        <v>71</v>
      </c>
      <c r="W6789" s="2" t="s">
        <v>7862</v>
      </c>
      <c r="X6789" s="2" t="s">
        <v>2449</v>
      </c>
      <c r="Y6789" s="2">
        <v>103275</v>
      </c>
      <c r="Z6789" s="19" t="str">
        <f>HYPERLINK("https://ssdweb.co/ssdweb/hd/Vision360.html?d=924250637&amp;zoomslide=1&amp;z=1924250637&amp;ISCONFIRM=0","VIDEO")</f>
        <v>VIDEO</v>
      </c>
      <c r="AA6789" s="19" t="str">
        <f>HYPERLINK("https://ssdweb.co/ssdweb/CERTH/582351792.pdf","CERTI")</f>
        <v>CERTI</v>
      </c>
    </row>
    <row r="6790" spans="1:27" ht="15" x14ac:dyDescent="0.25">
      <c r="A6790" s="2">
        <v>6785</v>
      </c>
      <c r="B6790" s="39">
        <v>925880138</v>
      </c>
      <c r="C6790" s="28" t="str">
        <f>HYPERLINK("https://pld.live/RapDetail.aspx?STONELIST=925880138","DNA")</f>
        <v>DNA</v>
      </c>
      <c r="D6790" s="18" t="s">
        <v>3134</v>
      </c>
      <c r="E6790" s="18" t="s">
        <v>2186</v>
      </c>
      <c r="F6790" s="2" t="s">
        <v>7987</v>
      </c>
      <c r="G6790" s="2" t="s">
        <v>5226</v>
      </c>
      <c r="H6790" s="14">
        <v>4.04</v>
      </c>
      <c r="I6790" s="2" t="s">
        <v>4761</v>
      </c>
      <c r="J6790" s="2" t="s">
        <v>3942</v>
      </c>
      <c r="K6790" s="2" t="s">
        <v>1452</v>
      </c>
      <c r="L6790" s="2" t="s">
        <v>5221</v>
      </c>
      <c r="M6790" s="2" t="s">
        <v>5221</v>
      </c>
      <c r="N6790" s="2" t="s">
        <v>2317</v>
      </c>
      <c r="O6790" s="14">
        <v>40000</v>
      </c>
      <c r="P6790" s="14">
        <v>99.55</v>
      </c>
      <c r="Q6790" s="14">
        <v>180</v>
      </c>
      <c r="R6790" s="14">
        <v>727.2</v>
      </c>
      <c r="S6790" s="2" t="s">
        <v>5065</v>
      </c>
      <c r="T6790" s="2">
        <v>1</v>
      </c>
      <c r="U6790" s="2">
        <v>72.3</v>
      </c>
      <c r="V6790" s="2">
        <v>70</v>
      </c>
      <c r="W6790" s="2" t="s">
        <v>7862</v>
      </c>
      <c r="X6790" s="2" t="s">
        <v>2449</v>
      </c>
      <c r="Y6790" s="2">
        <v>161600</v>
      </c>
      <c r="Z6790" s="19" t="str">
        <f>HYPERLINK("https://ssdweb.co/ssdweb/hd/Vision360.html?d=925880138&amp;zoomslide=1&amp;z=1925880138&amp;ISCONFIRM=0","VIDEO")</f>
        <v>VIDEO</v>
      </c>
      <c r="AA6790" s="19" t="str">
        <f>HYPERLINK("https://ssdweb.co/ssdweb/CERTH/629453482.pdf","CERTI")</f>
        <v>CERTI</v>
      </c>
    </row>
    <row r="6791" spans="1:27" ht="15" x14ac:dyDescent="0.25">
      <c r="A6791" s="2">
        <v>6786</v>
      </c>
      <c r="B6791" s="39">
        <v>926910553</v>
      </c>
      <c r="C6791" s="28" t="str">
        <f>HYPERLINK("https://pld.live/RapDetail.aspx?STONELIST=926910553","DNA")</f>
        <v>DNA</v>
      </c>
      <c r="D6791" s="18" t="s">
        <v>3134</v>
      </c>
      <c r="E6791" s="18" t="s">
        <v>2186</v>
      </c>
      <c r="F6791" s="2" t="s">
        <v>7987</v>
      </c>
      <c r="G6791" s="2" t="s">
        <v>5226</v>
      </c>
      <c r="H6791" s="14">
        <v>4.04</v>
      </c>
      <c r="I6791" s="2" t="s">
        <v>4761</v>
      </c>
      <c r="J6791" s="2" t="s">
        <v>3942</v>
      </c>
      <c r="K6791" s="2" t="s">
        <v>1452</v>
      </c>
      <c r="L6791" s="2" t="s">
        <v>5221</v>
      </c>
      <c r="M6791" s="2" t="s">
        <v>5221</v>
      </c>
      <c r="N6791" s="2" t="s">
        <v>2317</v>
      </c>
      <c r="O6791" s="14">
        <v>40000</v>
      </c>
      <c r="P6791" s="14">
        <v>99.54</v>
      </c>
      <c r="Q6791" s="14">
        <v>184</v>
      </c>
      <c r="R6791" s="14">
        <v>743.36</v>
      </c>
      <c r="S6791" s="2" t="s">
        <v>6976</v>
      </c>
      <c r="T6791" s="2">
        <v>1.02</v>
      </c>
      <c r="U6791" s="2">
        <v>72</v>
      </c>
      <c r="V6791" s="2">
        <v>71</v>
      </c>
      <c r="W6791" s="2" t="s">
        <v>7862</v>
      </c>
      <c r="X6791" s="2" t="s">
        <v>2449</v>
      </c>
      <c r="Y6791" s="2">
        <v>161600</v>
      </c>
      <c r="Z6791" s="19" t="str">
        <f>HYPERLINK("https://ssdweb.co/ssdweb/hd/Vision360.html?d=926910553&amp;zoomslide=1&amp;z=1926910553&amp;ISCONFIRM=0","VIDEO")</f>
        <v>VIDEO</v>
      </c>
      <c r="AA6791" s="19" t="str">
        <f>HYPERLINK("https://ssdweb.co/ssdweb/CERTH/659414621.pdf","CERTI")</f>
        <v>CERTI</v>
      </c>
    </row>
    <row r="6792" spans="1:27" ht="15" x14ac:dyDescent="0.25">
      <c r="A6792" s="2">
        <v>6787</v>
      </c>
      <c r="B6792" s="39">
        <v>821115814</v>
      </c>
      <c r="C6792" s="28" t="str">
        <f>HYPERLINK("https://pld.live/RapDetail.aspx?STONELIST=821115814","DNA")</f>
        <v>DNA</v>
      </c>
      <c r="D6792" s="18" t="s">
        <v>3134</v>
      </c>
      <c r="E6792" s="18" t="s">
        <v>2186</v>
      </c>
      <c r="F6792" s="2" t="s">
        <v>7987</v>
      </c>
      <c r="G6792" s="2" t="s">
        <v>5226</v>
      </c>
      <c r="H6792" s="14">
        <v>4.04</v>
      </c>
      <c r="I6792" s="2" t="s">
        <v>4761</v>
      </c>
      <c r="J6792" s="2" t="s">
        <v>13</v>
      </c>
      <c r="K6792" s="2" t="s">
        <v>1452</v>
      </c>
      <c r="L6792" s="2" t="s">
        <v>5221</v>
      </c>
      <c r="M6792" s="2" t="s">
        <v>5221</v>
      </c>
      <c r="N6792" s="2" t="s">
        <v>2317</v>
      </c>
      <c r="O6792" s="14">
        <v>37500</v>
      </c>
      <c r="P6792" s="14">
        <v>99.57</v>
      </c>
      <c r="Q6792" s="14">
        <v>161.25</v>
      </c>
      <c r="R6792" s="14">
        <v>651.45000000000005</v>
      </c>
      <c r="S6792" s="2" t="s">
        <v>5830</v>
      </c>
      <c r="T6792" s="2">
        <v>1.01</v>
      </c>
      <c r="U6792" s="2">
        <v>70.900000000000006</v>
      </c>
      <c r="V6792" s="2">
        <v>69</v>
      </c>
      <c r="W6792" s="2" t="s">
        <v>7862</v>
      </c>
      <c r="X6792" s="2" t="s">
        <v>2449</v>
      </c>
      <c r="Y6792" s="2">
        <v>151500</v>
      </c>
      <c r="Z6792" s="19" t="str">
        <f>HYPERLINK("https://ssdweb.co/ssdweb/hd/Vision360.html?d=821115814&amp;zoomslide=1&amp;z=1821115814&amp;ISCONFIRM=0","VIDEO")</f>
        <v>VIDEO</v>
      </c>
      <c r="AA6792" s="19" t="str">
        <f>HYPERLINK("https://ssdweb.co/ssdweb/CERTH/630449253.pdf","CERTI")</f>
        <v>CERTI</v>
      </c>
    </row>
    <row r="6793" spans="1:27" ht="15" x14ac:dyDescent="0.25">
      <c r="A6793" s="2">
        <v>6788</v>
      </c>
      <c r="B6793" s="39">
        <v>926050266</v>
      </c>
      <c r="C6793" s="28" t="str">
        <f>HYPERLINK("https://pld.live/RapDetail.aspx?STONELIST=926050266","DNA")</f>
        <v>DNA</v>
      </c>
      <c r="D6793" s="18" t="s">
        <v>3134</v>
      </c>
      <c r="E6793" s="18" t="s">
        <v>2186</v>
      </c>
      <c r="F6793" s="2" t="s">
        <v>7987</v>
      </c>
      <c r="G6793" s="2" t="s">
        <v>5226</v>
      </c>
      <c r="H6793" s="14">
        <v>4.03</v>
      </c>
      <c r="I6793" s="2" t="s">
        <v>4699</v>
      </c>
      <c r="J6793" s="2" t="s">
        <v>13</v>
      </c>
      <c r="K6793" s="2" t="s">
        <v>1452</v>
      </c>
      <c r="L6793" s="2" t="s">
        <v>5221</v>
      </c>
      <c r="M6793" s="2" t="s">
        <v>5221</v>
      </c>
      <c r="N6793" s="2" t="s">
        <v>2317</v>
      </c>
      <c r="O6793" s="14">
        <v>34500</v>
      </c>
      <c r="P6793" s="14">
        <v>99.58</v>
      </c>
      <c r="Q6793" s="14">
        <v>144.9</v>
      </c>
      <c r="R6793" s="14">
        <v>583.95000000000005</v>
      </c>
      <c r="S6793" s="2" t="s">
        <v>1425</v>
      </c>
      <c r="T6793" s="2">
        <v>1.03</v>
      </c>
      <c r="U6793" s="2">
        <v>71.7</v>
      </c>
      <c r="V6793" s="2">
        <v>73</v>
      </c>
      <c r="W6793" s="2" t="s">
        <v>7862</v>
      </c>
      <c r="X6793" s="2" t="s">
        <v>2449</v>
      </c>
      <c r="Y6793" s="2">
        <v>139035</v>
      </c>
      <c r="Z6793" s="19" t="str">
        <f>HYPERLINK("https://ssdweb.co/ssdweb/hd/Vision360.html?d=926050266&amp;zoomslide=1&amp;z=1926050266&amp;ISCONFIRM=0","VIDEO")</f>
        <v>VIDEO</v>
      </c>
      <c r="AA6793" s="19" t="str">
        <f>HYPERLINK("https://ssdweb.co/ssdweb/CERTH/631464410.pdf","CERTI")</f>
        <v>CERTI</v>
      </c>
    </row>
    <row r="6794" spans="1:27" ht="15" x14ac:dyDescent="0.25">
      <c r="A6794" s="2">
        <v>6789</v>
      </c>
      <c r="B6794" s="39">
        <v>821115810</v>
      </c>
      <c r="C6794" s="28" t="str">
        <f>HYPERLINK("https://pld.live/RapDetail.aspx?STONELIST=821115810","DNA")</f>
        <v>DNA</v>
      </c>
      <c r="D6794" s="18" t="s">
        <v>3134</v>
      </c>
      <c r="E6794" s="18" t="s">
        <v>2186</v>
      </c>
      <c r="F6794" s="2" t="s">
        <v>7987</v>
      </c>
      <c r="G6794" s="2" t="s">
        <v>5226</v>
      </c>
      <c r="H6794" s="14">
        <v>4.0199999999999996</v>
      </c>
      <c r="I6794" s="2" t="s">
        <v>267</v>
      </c>
      <c r="J6794" s="2" t="s">
        <v>13</v>
      </c>
      <c r="K6794" s="2" t="s">
        <v>1452</v>
      </c>
      <c r="L6794" s="2" t="s">
        <v>5221</v>
      </c>
      <c r="M6794" s="2" t="s">
        <v>5221</v>
      </c>
      <c r="N6794" s="2" t="s">
        <v>2317</v>
      </c>
      <c r="O6794" s="14">
        <v>40500</v>
      </c>
      <c r="P6794" s="14">
        <v>99.54</v>
      </c>
      <c r="Q6794" s="14">
        <v>186.3</v>
      </c>
      <c r="R6794" s="14">
        <v>748.93</v>
      </c>
      <c r="S6794" s="2" t="s">
        <v>540</v>
      </c>
      <c r="T6794" s="2">
        <v>1</v>
      </c>
      <c r="U6794" s="2">
        <v>67.2</v>
      </c>
      <c r="V6794" s="2">
        <v>70</v>
      </c>
      <c r="W6794" s="2" t="s">
        <v>7862</v>
      </c>
      <c r="X6794" s="2" t="s">
        <v>2449</v>
      </c>
      <c r="Y6794" s="2">
        <v>162810</v>
      </c>
      <c r="Z6794" s="19" t="str">
        <f>HYPERLINK("https://ssdweb.co/ssdweb/hd/Vision360.html?d=821115810&amp;zoomslide=1&amp;z=1821115810&amp;ISCONFIRM=0","VIDEO")</f>
        <v>VIDEO</v>
      </c>
      <c r="AA6794" s="19" t="str">
        <f>HYPERLINK("https://ssdweb.co/ssdweb/CERTH/629436195.pdf","CERTI")</f>
        <v>CERTI</v>
      </c>
    </row>
    <row r="6795" spans="1:27" ht="15" x14ac:dyDescent="0.25">
      <c r="A6795" s="2">
        <v>6790</v>
      </c>
      <c r="B6795" s="39">
        <v>925880253</v>
      </c>
      <c r="C6795" s="28" t="str">
        <f>HYPERLINK("https://pld.live/RapDetail.aspx?STONELIST=925880253","DNA")</f>
        <v>DNA</v>
      </c>
      <c r="D6795" s="18" t="s">
        <v>3134</v>
      </c>
      <c r="E6795" s="18" t="s">
        <v>2186</v>
      </c>
      <c r="F6795" s="2" t="s">
        <v>5597</v>
      </c>
      <c r="G6795" s="2" t="s">
        <v>5226</v>
      </c>
      <c r="H6795" s="14">
        <v>4.0199999999999996</v>
      </c>
      <c r="I6795" s="2" t="s">
        <v>4761</v>
      </c>
      <c r="J6795" s="2" t="s">
        <v>3942</v>
      </c>
      <c r="K6795" s="2" t="s">
        <v>1452</v>
      </c>
      <c r="L6795" s="2" t="s">
        <v>5221</v>
      </c>
      <c r="M6795" s="2" t="s">
        <v>5221</v>
      </c>
      <c r="N6795" s="2" t="s">
        <v>2317</v>
      </c>
      <c r="O6795" s="14">
        <v>40000</v>
      </c>
      <c r="P6795" s="14">
        <v>99.11</v>
      </c>
      <c r="Q6795" s="14">
        <v>356</v>
      </c>
      <c r="R6795" s="14">
        <v>1431.12</v>
      </c>
      <c r="S6795" s="2" t="s">
        <v>2920</v>
      </c>
      <c r="T6795" s="2">
        <v>1.01</v>
      </c>
      <c r="U6795" s="2">
        <v>72.099999999999994</v>
      </c>
      <c r="V6795" s="2">
        <v>70</v>
      </c>
      <c r="W6795" s="2" t="s">
        <v>7862</v>
      </c>
      <c r="X6795" s="2" t="s">
        <v>6155</v>
      </c>
      <c r="Y6795" s="2">
        <v>160800</v>
      </c>
      <c r="Z6795" s="19" t="str">
        <f>HYPERLINK("https://ssdweb.co/ssdweb/hd/Vision360.html?d=925880253&amp;zoomslide=1&amp;z=1925880253&amp;ISCONFIRM=0","VIDEO")</f>
        <v>VIDEO</v>
      </c>
      <c r="AA6795" s="19" t="str">
        <f>HYPERLINK("https://ssdweb.co/ssdweb/CERTH/6491087788.pdf","CERTI")</f>
        <v>CERTI</v>
      </c>
    </row>
    <row r="6796" spans="1:27" ht="15" x14ac:dyDescent="0.25">
      <c r="A6796" s="2">
        <v>6791</v>
      </c>
      <c r="B6796" s="39">
        <v>821115808</v>
      </c>
      <c r="C6796" s="28" t="str">
        <f>HYPERLINK("https://pld.live/RapDetail.aspx?STONELIST=821115808","DNA")</f>
        <v>DNA</v>
      </c>
      <c r="D6796" s="18" t="s">
        <v>3134</v>
      </c>
      <c r="E6796" s="18" t="s">
        <v>2186</v>
      </c>
      <c r="F6796" s="2" t="s">
        <v>7987</v>
      </c>
      <c r="G6796" s="2" t="s">
        <v>5226</v>
      </c>
      <c r="H6796" s="14">
        <v>4.01</v>
      </c>
      <c r="I6796" s="2" t="s">
        <v>267</v>
      </c>
      <c r="J6796" s="2" t="s">
        <v>3942</v>
      </c>
      <c r="K6796" s="2" t="s">
        <v>1452</v>
      </c>
      <c r="L6796" s="2" t="s">
        <v>5221</v>
      </c>
      <c r="M6796" s="2" t="s">
        <v>5221</v>
      </c>
      <c r="N6796" s="2" t="s">
        <v>2317</v>
      </c>
      <c r="O6796" s="14">
        <v>43500</v>
      </c>
      <c r="P6796" s="14">
        <v>99.51</v>
      </c>
      <c r="Q6796" s="14">
        <v>213.15</v>
      </c>
      <c r="R6796" s="14">
        <v>854.73</v>
      </c>
      <c r="S6796" s="2" t="s">
        <v>2474</v>
      </c>
      <c r="T6796" s="2">
        <v>1</v>
      </c>
      <c r="U6796" s="2">
        <v>69.900000000000006</v>
      </c>
      <c r="V6796" s="2">
        <v>69</v>
      </c>
      <c r="W6796" s="2" t="s">
        <v>7862</v>
      </c>
      <c r="X6796" s="2" t="s">
        <v>2449</v>
      </c>
      <c r="Y6796" s="2">
        <v>174435</v>
      </c>
      <c r="Z6796" s="19" t="str">
        <f>HYPERLINK("https://ssdweb.co/ssdweb/hd/Vision360.html?d=821115808&amp;zoomslide=1&amp;z=1821115808&amp;ISCONFIRM=0","VIDEO")</f>
        <v>VIDEO</v>
      </c>
      <c r="AA6796" s="19" t="str">
        <f>HYPERLINK("https://ssdweb.co/ssdweb/CERTH/647458703.pdf","CERTI")</f>
        <v>CERTI</v>
      </c>
    </row>
    <row r="6797" spans="1:27" ht="15" x14ac:dyDescent="0.25">
      <c r="A6797" s="2">
        <v>6792</v>
      </c>
      <c r="B6797" s="39">
        <v>821115812</v>
      </c>
      <c r="C6797" s="28" t="str">
        <f>HYPERLINK("https://pld.live/RapDetail.aspx?STONELIST=821115812","DNA")</f>
        <v>DNA</v>
      </c>
      <c r="D6797" s="18" t="s">
        <v>3134</v>
      </c>
      <c r="E6797" s="18" t="s">
        <v>2186</v>
      </c>
      <c r="F6797" s="2" t="s">
        <v>7987</v>
      </c>
      <c r="G6797" s="2" t="s">
        <v>5226</v>
      </c>
      <c r="H6797" s="14">
        <v>4.01</v>
      </c>
      <c r="I6797" s="2" t="s">
        <v>4761</v>
      </c>
      <c r="J6797" s="2" t="s">
        <v>13</v>
      </c>
      <c r="K6797" s="2" t="s">
        <v>1452</v>
      </c>
      <c r="L6797" s="2" t="s">
        <v>5221</v>
      </c>
      <c r="M6797" s="2" t="s">
        <v>5221</v>
      </c>
      <c r="N6797" s="2" t="s">
        <v>2317</v>
      </c>
      <c r="O6797" s="14">
        <v>37500</v>
      </c>
      <c r="P6797" s="14">
        <v>99.57</v>
      </c>
      <c r="Q6797" s="14">
        <v>161.25</v>
      </c>
      <c r="R6797" s="14">
        <v>646.61</v>
      </c>
      <c r="S6797" s="2" t="s">
        <v>6847</v>
      </c>
      <c r="T6797" s="2">
        <v>1</v>
      </c>
      <c r="U6797" s="2">
        <v>68.900000000000006</v>
      </c>
      <c r="V6797" s="2">
        <v>67</v>
      </c>
      <c r="W6797" s="2" t="s">
        <v>7862</v>
      </c>
      <c r="X6797" s="2" t="s">
        <v>2449</v>
      </c>
      <c r="Y6797" s="2">
        <v>150375</v>
      </c>
      <c r="Z6797" s="19" t="str">
        <f>HYPERLINK("https://ssdweb.co/ssdweb/hd/Vision360.html?d=821115812&amp;zoomslide=1&amp;z=1821115812&amp;ISCONFIRM=0","VIDEO")</f>
        <v>VIDEO</v>
      </c>
      <c r="AA6797" s="19" t="str">
        <f>HYPERLINK("https://ssdweb.co/ssdweb/CERTH/650475060.pdf","CERTI")</f>
        <v>CERTI</v>
      </c>
    </row>
    <row r="6798" spans="1:27" ht="15" x14ac:dyDescent="0.25">
      <c r="A6798" s="2">
        <v>6793</v>
      </c>
      <c r="B6798" s="39">
        <v>821115811</v>
      </c>
      <c r="C6798" s="28" t="str">
        <f>HYPERLINK("https://pld.live/RapDetail.aspx?STONELIST=821115811","DNA")</f>
        <v>DNA</v>
      </c>
      <c r="D6798" s="18" t="s">
        <v>3134</v>
      </c>
      <c r="E6798" s="18" t="s">
        <v>2186</v>
      </c>
      <c r="F6798" s="2" t="s">
        <v>7987</v>
      </c>
      <c r="G6798" s="2" t="s">
        <v>5226</v>
      </c>
      <c r="H6798" s="14">
        <v>4.01</v>
      </c>
      <c r="I6798" s="2" t="s">
        <v>4699</v>
      </c>
      <c r="J6798" s="2" t="s">
        <v>13</v>
      </c>
      <c r="K6798" s="2" t="s">
        <v>1452</v>
      </c>
      <c r="L6798" s="2" t="s">
        <v>5221</v>
      </c>
      <c r="M6798" s="2" t="s">
        <v>5221</v>
      </c>
      <c r="N6798" s="2" t="s">
        <v>2317</v>
      </c>
      <c r="O6798" s="14">
        <v>34500</v>
      </c>
      <c r="P6798" s="14">
        <v>99.58</v>
      </c>
      <c r="Q6798" s="14">
        <v>144.9</v>
      </c>
      <c r="R6798" s="14">
        <v>581.04999999999995</v>
      </c>
      <c r="S6798" s="2" t="s">
        <v>6784</v>
      </c>
      <c r="T6798" s="2">
        <v>1.01</v>
      </c>
      <c r="U6798" s="2">
        <v>72.7</v>
      </c>
      <c r="V6798" s="2">
        <v>68</v>
      </c>
      <c r="W6798" s="2" t="s">
        <v>7862</v>
      </c>
      <c r="X6798" s="2" t="s">
        <v>2449</v>
      </c>
      <c r="Y6798" s="2">
        <v>138345</v>
      </c>
      <c r="Z6798" s="19" t="str">
        <f>HYPERLINK("https://ssdweb.co/ssdweb/hd/Vision360.html?d=821115811&amp;zoomslide=1&amp;z=1821115811&amp;ISCONFIRM=0","VIDEO")</f>
        <v>VIDEO</v>
      </c>
      <c r="AA6798" s="19" t="str">
        <f>HYPERLINK("https://ssdweb.co/ssdweb/CERTH/633446455.pdf","CERTI")</f>
        <v>CERTI</v>
      </c>
    </row>
    <row r="6799" spans="1:27" ht="15" x14ac:dyDescent="0.25">
      <c r="A6799" s="2">
        <v>6794</v>
      </c>
      <c r="B6799" s="39">
        <v>821115809</v>
      </c>
      <c r="C6799" s="28" t="str">
        <f>HYPERLINK("https://pld.live/RapDetail.aspx?STONELIST=821115809","DNA")</f>
        <v>DNA</v>
      </c>
      <c r="D6799" s="18" t="s">
        <v>3134</v>
      </c>
      <c r="E6799" s="18" t="s">
        <v>2186</v>
      </c>
      <c r="F6799" s="2" t="s">
        <v>7987</v>
      </c>
      <c r="G6799" s="2" t="s">
        <v>5226</v>
      </c>
      <c r="H6799" s="14">
        <v>4.01</v>
      </c>
      <c r="I6799" s="2" t="s">
        <v>4699</v>
      </c>
      <c r="J6799" s="2" t="s">
        <v>13</v>
      </c>
      <c r="K6799" s="2" t="s">
        <v>1452</v>
      </c>
      <c r="L6799" s="2" t="s">
        <v>5221</v>
      </c>
      <c r="M6799" s="2" t="s">
        <v>5221</v>
      </c>
      <c r="N6799" s="2" t="s">
        <v>2317</v>
      </c>
      <c r="O6799" s="14">
        <v>34500</v>
      </c>
      <c r="P6799" s="14">
        <v>99.57</v>
      </c>
      <c r="Q6799" s="14">
        <v>148.35</v>
      </c>
      <c r="R6799" s="14">
        <v>594.88</v>
      </c>
      <c r="S6799" s="2" t="s">
        <v>6161</v>
      </c>
      <c r="T6799" s="2">
        <v>1.01</v>
      </c>
      <c r="U6799" s="2">
        <v>68.7</v>
      </c>
      <c r="V6799" s="2">
        <v>69</v>
      </c>
      <c r="W6799" s="2" t="s">
        <v>7862</v>
      </c>
      <c r="X6799" s="2" t="s">
        <v>2449</v>
      </c>
      <c r="Y6799" s="2">
        <v>138345</v>
      </c>
      <c r="Z6799" s="19" t="str">
        <f>HYPERLINK("https://ssdweb.co/ssdweb/hd/Vision360.html?d=821115809&amp;zoomslide=1&amp;z=1821115809&amp;ISCONFIRM=0","VIDEO")</f>
        <v>VIDEO</v>
      </c>
      <c r="AA6799" s="19" t="str">
        <f>HYPERLINK("https://ssdweb.co/ssdweb/CERTH/645465118.pdf","CERTI")</f>
        <v>CERTI</v>
      </c>
    </row>
    <row r="6800" spans="1:27" ht="15" x14ac:dyDescent="0.25">
      <c r="A6800" s="2">
        <v>6795</v>
      </c>
      <c r="B6800" s="39">
        <v>924190748</v>
      </c>
      <c r="C6800" s="28" t="str">
        <f>HYPERLINK("https://pld.live/RapDetail.aspx?STONELIST=924190748","DNA")</f>
        <v>DNA</v>
      </c>
      <c r="D6800" s="18" t="s">
        <v>3134</v>
      </c>
      <c r="E6800" s="18" t="s">
        <v>2186</v>
      </c>
      <c r="F6800" s="2" t="s">
        <v>7987</v>
      </c>
      <c r="G6800" s="2" t="s">
        <v>5226</v>
      </c>
      <c r="H6800" s="14">
        <v>4.01</v>
      </c>
      <c r="I6800" s="2" t="s">
        <v>1505</v>
      </c>
      <c r="J6800" s="2" t="s">
        <v>5144</v>
      </c>
      <c r="K6800" s="2" t="s">
        <v>1452</v>
      </c>
      <c r="L6800" s="2" t="s">
        <v>5221</v>
      </c>
      <c r="M6800" s="2" t="s">
        <v>5221</v>
      </c>
      <c r="N6800" s="2" t="s">
        <v>2317</v>
      </c>
      <c r="O6800" s="14">
        <v>23500</v>
      </c>
      <c r="P6800" s="14">
        <v>99.48</v>
      </c>
      <c r="Q6800" s="14">
        <v>122.2</v>
      </c>
      <c r="R6800" s="14">
        <v>490.02</v>
      </c>
      <c r="S6800" s="2" t="s">
        <v>5719</v>
      </c>
      <c r="T6800" s="2">
        <v>1.01</v>
      </c>
      <c r="U6800" s="2">
        <v>70</v>
      </c>
      <c r="V6800" s="2">
        <v>73</v>
      </c>
      <c r="W6800" s="2" t="s">
        <v>8016</v>
      </c>
      <c r="X6800" s="2" t="s">
        <v>2449</v>
      </c>
      <c r="Y6800" s="2">
        <v>94235</v>
      </c>
      <c r="Z6800" s="19" t="str">
        <f>HYPERLINK("https://ssdweb.co/ssdweb/hd/Vision360.html?d=924190748&amp;zoomslide=1&amp;z=1924190748&amp;ISCONFIRM=0","VIDEO")</f>
        <v>VIDEO</v>
      </c>
      <c r="AA6800" s="19" t="str">
        <f>HYPERLINK("https://ssdweb.co/ssdweb/CERTH/583307870.pdf","CERTI")</f>
        <v>CERTI</v>
      </c>
    </row>
    <row r="6801" spans="1:27" ht="15" x14ac:dyDescent="0.25">
      <c r="A6801" s="2">
        <v>6796</v>
      </c>
      <c r="B6801" s="39">
        <v>924250791</v>
      </c>
      <c r="C6801" s="28" t="str">
        <f>HYPERLINK("https://pld.live/RapDetail.aspx?STONELIST=924250791","DNA")</f>
        <v>DNA</v>
      </c>
      <c r="D6801" s="18" t="s">
        <v>3134</v>
      </c>
      <c r="E6801" s="18" t="s">
        <v>2186</v>
      </c>
      <c r="F6801" s="2" t="s">
        <v>7987</v>
      </c>
      <c r="G6801" s="2" t="s">
        <v>5226</v>
      </c>
      <c r="H6801" s="14">
        <v>4.01</v>
      </c>
      <c r="I6801" s="2" t="s">
        <v>3722</v>
      </c>
      <c r="J6801" s="2" t="s">
        <v>13</v>
      </c>
      <c r="K6801" s="2" t="s">
        <v>1452</v>
      </c>
      <c r="L6801" s="2" t="s">
        <v>5221</v>
      </c>
      <c r="M6801" s="2" t="s">
        <v>5221</v>
      </c>
      <c r="N6801" s="2" t="s">
        <v>2317</v>
      </c>
      <c r="O6801" s="14">
        <v>20500</v>
      </c>
      <c r="P6801" s="14">
        <v>99.41</v>
      </c>
      <c r="Q6801" s="14">
        <v>120.95</v>
      </c>
      <c r="R6801" s="14">
        <v>485.01</v>
      </c>
      <c r="S6801" s="2" t="s">
        <v>1251</v>
      </c>
      <c r="T6801" s="2">
        <v>1.01</v>
      </c>
      <c r="U6801" s="2">
        <v>66.3</v>
      </c>
      <c r="V6801" s="2">
        <v>73</v>
      </c>
      <c r="W6801" s="2" t="s">
        <v>7862</v>
      </c>
      <c r="X6801" s="2" t="s">
        <v>2449</v>
      </c>
      <c r="Y6801" s="2">
        <v>82205</v>
      </c>
      <c r="Z6801" s="19" t="str">
        <f>HYPERLINK("https://ssdweb.co/ssdweb/hd/Vision360.html?d=924250791&amp;zoomslide=1&amp;z=1924250791&amp;ISCONFIRM=0","VIDEO")</f>
        <v>VIDEO</v>
      </c>
      <c r="AA6801" s="19" t="str">
        <f>HYPERLINK("https://ssdweb.co/ssdweb/CERTH/587398309.pdf","CERTI")</f>
        <v>CERTI</v>
      </c>
    </row>
    <row r="6802" spans="1:27" ht="15" x14ac:dyDescent="0.25">
      <c r="A6802" s="2">
        <v>6797</v>
      </c>
      <c r="B6802" s="39">
        <v>821115807</v>
      </c>
      <c r="C6802" s="28" t="str">
        <f>HYPERLINK("https://pld.live/RapDetail.aspx?STONELIST=821115807","DNA")</f>
        <v>DNA</v>
      </c>
      <c r="D6802" s="18" t="s">
        <v>3134</v>
      </c>
      <c r="E6802" s="18" t="s">
        <v>2186</v>
      </c>
      <c r="F6802" s="2" t="s">
        <v>7987</v>
      </c>
      <c r="G6802" s="2" t="s">
        <v>5226</v>
      </c>
      <c r="H6802" s="14">
        <v>4</v>
      </c>
      <c r="I6802" s="2" t="s">
        <v>4699</v>
      </c>
      <c r="J6802" s="2" t="s">
        <v>13</v>
      </c>
      <c r="K6802" s="2" t="s">
        <v>1452</v>
      </c>
      <c r="L6802" s="2" t="s">
        <v>5221</v>
      </c>
      <c r="M6802" s="2" t="s">
        <v>5221</v>
      </c>
      <c r="N6802" s="2" t="s">
        <v>2317</v>
      </c>
      <c r="O6802" s="14">
        <v>34500</v>
      </c>
      <c r="P6802" s="14">
        <v>99.57</v>
      </c>
      <c r="Q6802" s="14">
        <v>148.35</v>
      </c>
      <c r="R6802" s="14">
        <v>593.4</v>
      </c>
      <c r="S6802" s="2" t="s">
        <v>2478</v>
      </c>
      <c r="T6802" s="2">
        <v>1.01</v>
      </c>
      <c r="U6802" s="2">
        <v>69.7</v>
      </c>
      <c r="V6802" s="2">
        <v>70</v>
      </c>
      <c r="W6802" s="2" t="s">
        <v>7862</v>
      </c>
      <c r="X6802" s="2" t="s">
        <v>2449</v>
      </c>
      <c r="Y6802" s="2">
        <v>138000</v>
      </c>
      <c r="Z6802" s="19" t="str">
        <f>HYPERLINK("https://ssdweb.co/ssdweb/hd/Vision360.html?d=821115807&amp;zoomslide=1&amp;z=1821115807&amp;ISCONFIRM=0","VIDEO")</f>
        <v>VIDEO</v>
      </c>
      <c r="AA6802" s="19" t="str">
        <f>HYPERLINK("https://ssdweb.co/ssdweb/CERTH/649422807.pdf","CERTI")</f>
        <v>CERTI</v>
      </c>
    </row>
    <row r="6803" spans="1:27" ht="15" x14ac:dyDescent="0.25">
      <c r="A6803" s="2">
        <v>6798</v>
      </c>
      <c r="B6803" s="39">
        <v>925930274</v>
      </c>
      <c r="C6803" s="28" t="str">
        <f>HYPERLINK("https://pld.live/RapDetail.aspx?STONELIST=925930274","DNA")</f>
        <v>DNA</v>
      </c>
      <c r="D6803" s="18" t="s">
        <v>7401</v>
      </c>
      <c r="E6803" s="18" t="s">
        <v>2186</v>
      </c>
      <c r="F6803" s="2" t="s">
        <v>7987</v>
      </c>
      <c r="G6803" s="2" t="s">
        <v>5226</v>
      </c>
      <c r="H6803" s="14">
        <v>3.88</v>
      </c>
      <c r="I6803" s="2" t="s">
        <v>267</v>
      </c>
      <c r="J6803" s="2" t="s">
        <v>13</v>
      </c>
      <c r="K6803" s="2" t="s">
        <v>1452</v>
      </c>
      <c r="L6803" s="2" t="s">
        <v>5221</v>
      </c>
      <c r="M6803" s="2" t="s">
        <v>5221</v>
      </c>
      <c r="N6803" s="2" t="s">
        <v>2317</v>
      </c>
      <c r="O6803" s="14">
        <v>30000</v>
      </c>
      <c r="P6803" s="14">
        <v>99.48</v>
      </c>
      <c r="Q6803" s="14">
        <v>156</v>
      </c>
      <c r="R6803" s="14">
        <v>605.28</v>
      </c>
      <c r="S6803" s="2" t="s">
        <v>5734</v>
      </c>
      <c r="T6803" s="2">
        <v>1.02</v>
      </c>
      <c r="U6803" s="2">
        <v>69.599999999999994</v>
      </c>
      <c r="V6803" s="2">
        <v>71</v>
      </c>
      <c r="W6803" s="2" t="s">
        <v>7862</v>
      </c>
      <c r="X6803" s="2" t="s">
        <v>2449</v>
      </c>
      <c r="Y6803" s="2">
        <v>116400</v>
      </c>
      <c r="Z6803" s="19" t="str">
        <f>HYPERLINK("https://ssdweb.co/ssdweb/hd/Vision360.html?d=925930274&amp;zoomslide=1&amp;z=1925930274&amp;ISCONFIRM=0","VIDEO")</f>
        <v>VIDEO</v>
      </c>
      <c r="AA6803" s="19" t="str">
        <f>HYPERLINK("https://ssdweb.co/ssdweb/CERTH/630447748.pdf","CERTI")</f>
        <v>CERTI</v>
      </c>
    </row>
    <row r="6804" spans="1:27" ht="15" x14ac:dyDescent="0.25">
      <c r="A6804" s="2">
        <v>6799</v>
      </c>
      <c r="B6804" s="39">
        <v>925630202</v>
      </c>
      <c r="C6804" s="28" t="str">
        <f>HYPERLINK("https://pld.live/RapDetail.aspx?STONELIST=925630202","DNA")</f>
        <v>DNA</v>
      </c>
      <c r="D6804" s="18" t="s">
        <v>7401</v>
      </c>
      <c r="E6804" s="18" t="s">
        <v>2186</v>
      </c>
      <c r="F6804" s="2" t="s">
        <v>7987</v>
      </c>
      <c r="G6804" s="2" t="s">
        <v>5226</v>
      </c>
      <c r="H6804" s="14">
        <v>3.75</v>
      </c>
      <c r="I6804" s="2" t="s">
        <v>1505</v>
      </c>
      <c r="J6804" s="2" t="s">
        <v>13</v>
      </c>
      <c r="K6804" s="2" t="s">
        <v>1452</v>
      </c>
      <c r="L6804" s="2" t="s">
        <v>5221</v>
      </c>
      <c r="M6804" s="2" t="s">
        <v>5221</v>
      </c>
      <c r="N6804" s="2" t="s">
        <v>2317</v>
      </c>
      <c r="O6804" s="14">
        <v>19500</v>
      </c>
      <c r="P6804" s="14">
        <v>99.33</v>
      </c>
      <c r="Q6804" s="14">
        <v>130.65</v>
      </c>
      <c r="R6804" s="14">
        <v>489.94</v>
      </c>
      <c r="S6804" s="2" t="s">
        <v>1817</v>
      </c>
      <c r="T6804" s="2">
        <v>1</v>
      </c>
      <c r="U6804" s="2">
        <v>72.5</v>
      </c>
      <c r="V6804" s="2">
        <v>71</v>
      </c>
      <c r="W6804" s="2" t="s">
        <v>7862</v>
      </c>
      <c r="X6804" s="2" t="s">
        <v>2449</v>
      </c>
      <c r="Y6804" s="2">
        <v>73125</v>
      </c>
      <c r="Z6804" s="19" t="str">
        <f>HYPERLINK("https://ssdweb.co/ssdweb/hd/Vision360.html?d=925630202&amp;zoomslide=1&amp;z=1925630202&amp;ISCONFIRM=0","VIDEO")</f>
        <v>VIDEO</v>
      </c>
      <c r="AA6804" s="19" t="str">
        <f>HYPERLINK("https://ssdweb.co/ssdweb/CERTH/621448215.pdf","CERTI")</f>
        <v>CERTI</v>
      </c>
    </row>
    <row r="6805" spans="1:27" ht="15" x14ac:dyDescent="0.25">
      <c r="A6805" s="2">
        <v>6800</v>
      </c>
      <c r="B6805" s="39">
        <v>925880153</v>
      </c>
      <c r="C6805" s="28" t="str">
        <f>HYPERLINK("https://pld.live/RapDetail.aspx?STONELIST=925880153","DNA")</f>
        <v>DNA</v>
      </c>
      <c r="D6805" s="18" t="s">
        <v>7401</v>
      </c>
      <c r="E6805" s="18" t="s">
        <v>2186</v>
      </c>
      <c r="F6805" s="2" t="s">
        <v>7987</v>
      </c>
      <c r="G6805" s="2" t="s">
        <v>5226</v>
      </c>
      <c r="H6805" s="14">
        <v>3.73</v>
      </c>
      <c r="I6805" s="2" t="s">
        <v>4761</v>
      </c>
      <c r="J6805" s="2" t="s">
        <v>3942</v>
      </c>
      <c r="K6805" s="2" t="s">
        <v>1452</v>
      </c>
      <c r="L6805" s="2" t="s">
        <v>5221</v>
      </c>
      <c r="M6805" s="2" t="s">
        <v>5221</v>
      </c>
      <c r="N6805" s="2" t="s">
        <v>2317</v>
      </c>
      <c r="O6805" s="14">
        <v>29500</v>
      </c>
      <c r="P6805" s="14">
        <v>99.47</v>
      </c>
      <c r="Q6805" s="14">
        <v>156.35</v>
      </c>
      <c r="R6805" s="14">
        <v>583.19000000000005</v>
      </c>
      <c r="S6805" s="2" t="s">
        <v>7126</v>
      </c>
      <c r="T6805" s="2">
        <v>1.02</v>
      </c>
      <c r="U6805" s="2">
        <v>72.099999999999994</v>
      </c>
      <c r="V6805" s="2">
        <v>70</v>
      </c>
      <c r="W6805" s="2" t="s">
        <v>7862</v>
      </c>
      <c r="X6805" s="2" t="s">
        <v>2449</v>
      </c>
      <c r="Y6805" s="2">
        <v>110035</v>
      </c>
      <c r="Z6805" s="19" t="str">
        <f>HYPERLINK("https://ssdweb.co/ssdweb/hd/Vision360.html?d=925880153&amp;zoomslide=1&amp;z=1925880153&amp;ISCONFIRM=0","VIDEO")</f>
        <v>VIDEO</v>
      </c>
      <c r="AA6805" s="19" t="str">
        <f>HYPERLINK("https://ssdweb.co/ssdweb/CERTH/628401914.pdf","CERTI")</f>
        <v>CERTI</v>
      </c>
    </row>
    <row r="6806" spans="1:27" ht="15" x14ac:dyDescent="0.25">
      <c r="A6806" s="2">
        <v>6801</v>
      </c>
      <c r="B6806" s="39">
        <v>924940248</v>
      </c>
      <c r="C6806" s="28" t="str">
        <f>HYPERLINK("https://pld.live/RapDetail.aspx?STONELIST=924940248","DNA")</f>
        <v>DNA</v>
      </c>
      <c r="D6806" s="18" t="s">
        <v>3628</v>
      </c>
      <c r="E6806" s="18" t="s">
        <v>2186</v>
      </c>
      <c r="F6806" s="2" t="s">
        <v>7987</v>
      </c>
      <c r="G6806" s="2" t="s">
        <v>5226</v>
      </c>
      <c r="H6806" s="14">
        <v>3.67</v>
      </c>
      <c r="I6806" s="2" t="s">
        <v>1505</v>
      </c>
      <c r="J6806" s="2" t="s">
        <v>5144</v>
      </c>
      <c r="K6806" s="2" t="s">
        <v>1452</v>
      </c>
      <c r="L6806" s="2" t="s">
        <v>5221</v>
      </c>
      <c r="M6806" s="2" t="s">
        <v>5221</v>
      </c>
      <c r="N6806" s="2" t="s">
        <v>2317</v>
      </c>
      <c r="O6806" s="14">
        <v>18000</v>
      </c>
      <c r="P6806" s="14">
        <v>99.31</v>
      </c>
      <c r="Q6806" s="14">
        <v>124.2</v>
      </c>
      <c r="R6806" s="14">
        <v>455.81</v>
      </c>
      <c r="S6806" s="2" t="s">
        <v>1035</v>
      </c>
      <c r="T6806" s="2">
        <v>1.02</v>
      </c>
      <c r="U6806" s="2">
        <v>70.3</v>
      </c>
      <c r="V6806" s="2">
        <v>72</v>
      </c>
      <c r="W6806" s="2" t="s">
        <v>7862</v>
      </c>
      <c r="X6806" s="2" t="s">
        <v>2449</v>
      </c>
      <c r="Y6806" s="2">
        <v>66060</v>
      </c>
      <c r="Z6806" s="19" t="str">
        <f>HYPERLINK("https://ssdweb.co/ssdweb/hd/Vision360.html?d=924940248&amp;zoomslide=1&amp;z=1924940248&amp;ISCONFIRM=0","VIDEO")</f>
        <v>VIDEO</v>
      </c>
      <c r="AA6806" s="19" t="str">
        <f>HYPERLINK("https://ssdweb.co/ssdweb/CERTH/605330724.pdf","CERTI")</f>
        <v>CERTI</v>
      </c>
    </row>
    <row r="6807" spans="1:27" ht="15" x14ac:dyDescent="0.25">
      <c r="A6807" s="2">
        <v>6802</v>
      </c>
      <c r="B6807" s="39">
        <v>923750305</v>
      </c>
      <c r="C6807" s="28" t="str">
        <f>HYPERLINK("https://pld.live/RapDetail.aspx?STONELIST=923750305","DNA")</f>
        <v>DNA</v>
      </c>
      <c r="D6807" s="18" t="s">
        <v>3628</v>
      </c>
      <c r="E6807" s="18" t="s">
        <v>2186</v>
      </c>
      <c r="F6807" s="2" t="s">
        <v>5597</v>
      </c>
      <c r="G6807" s="2" t="s">
        <v>5226</v>
      </c>
      <c r="H6807" s="14">
        <v>3.66</v>
      </c>
      <c r="I6807" s="2" t="s">
        <v>1505</v>
      </c>
      <c r="J6807" s="2" t="s">
        <v>13</v>
      </c>
      <c r="K6807" s="2" t="s">
        <v>1452</v>
      </c>
      <c r="L6807" s="2" t="s">
        <v>5221</v>
      </c>
      <c r="M6807" s="2" t="s">
        <v>5221</v>
      </c>
      <c r="N6807" s="2" t="s">
        <v>2317</v>
      </c>
      <c r="O6807" s="14">
        <v>19500</v>
      </c>
      <c r="P6807" s="14">
        <v>98.85</v>
      </c>
      <c r="Q6807" s="14">
        <v>224.25</v>
      </c>
      <c r="R6807" s="14">
        <v>820.76</v>
      </c>
      <c r="S6807" s="2" t="s">
        <v>2314</v>
      </c>
      <c r="T6807" s="2">
        <v>1.02</v>
      </c>
      <c r="U6807" s="2">
        <v>70.099999999999994</v>
      </c>
      <c r="V6807" s="2">
        <v>71</v>
      </c>
      <c r="W6807" s="2" t="s">
        <v>7862</v>
      </c>
      <c r="X6807" s="2" t="s">
        <v>6155</v>
      </c>
      <c r="Y6807" s="2">
        <v>71370</v>
      </c>
      <c r="Z6807" s="19" t="str">
        <f>HYPERLINK("https://ssdweb.co/ssdweb/hd/Vision360.html?d=923750305&amp;zoomslide=1&amp;z=1923750305&amp;ISCONFIRM=0","VIDEO")</f>
        <v>VIDEO</v>
      </c>
      <c r="AA6807" s="19" t="str">
        <f>HYPERLINK("https://ssdweb.co/ssdweb/CERTH/6451623356.pdf","CERTI")</f>
        <v>CERTI</v>
      </c>
    </row>
    <row r="6808" spans="1:27" ht="15" x14ac:dyDescent="0.25">
      <c r="A6808" s="2">
        <v>6803</v>
      </c>
      <c r="B6808" s="39">
        <v>925880213</v>
      </c>
      <c r="C6808" s="28" t="str">
        <f>HYPERLINK("https://pld.live/RapDetail.aspx?STONELIST=925880213","DNA")</f>
        <v>DNA</v>
      </c>
      <c r="D6808" s="18" t="s">
        <v>3628</v>
      </c>
      <c r="E6808" s="18" t="s">
        <v>2186</v>
      </c>
      <c r="F6808" s="2" t="s">
        <v>7987</v>
      </c>
      <c r="G6808" s="2" t="s">
        <v>5226</v>
      </c>
      <c r="H6808" s="14">
        <v>3.63</v>
      </c>
      <c r="I6808" s="2" t="s">
        <v>4761</v>
      </c>
      <c r="J6808" s="2" t="s">
        <v>3942</v>
      </c>
      <c r="K6808" s="2" t="s">
        <v>1452</v>
      </c>
      <c r="L6808" s="2" t="s">
        <v>5221</v>
      </c>
      <c r="M6808" s="2" t="s">
        <v>5221</v>
      </c>
      <c r="N6808" s="2" t="s">
        <v>2317</v>
      </c>
      <c r="O6808" s="14">
        <v>29500</v>
      </c>
      <c r="P6808" s="14">
        <v>99.47</v>
      </c>
      <c r="Q6808" s="14">
        <v>156.35</v>
      </c>
      <c r="R6808" s="14">
        <v>567.54999999999995</v>
      </c>
      <c r="S6808" s="2" t="s">
        <v>6545</v>
      </c>
      <c r="T6808" s="2">
        <v>1</v>
      </c>
      <c r="U6808" s="2">
        <v>71.7</v>
      </c>
      <c r="V6808" s="2">
        <v>71</v>
      </c>
      <c r="W6808" s="2" t="s">
        <v>7862</v>
      </c>
      <c r="X6808" s="2" t="s">
        <v>2449</v>
      </c>
      <c r="Y6808" s="2">
        <v>107085</v>
      </c>
      <c r="Z6808" s="19" t="str">
        <f>HYPERLINK("https://ssdweb.co/ssdweb/hd/Vision360.html?d=925880213&amp;zoomslide=1&amp;z=1925880213&amp;ISCONFIRM=0","VIDEO")</f>
        <v>VIDEO</v>
      </c>
      <c r="AA6808" s="19" t="str">
        <f>HYPERLINK("https://ssdweb.co/ssdweb/CERTH/628401917.pdf","CERTI")</f>
        <v>CERTI</v>
      </c>
    </row>
    <row r="6809" spans="1:27" ht="15" x14ac:dyDescent="0.25">
      <c r="A6809" s="2">
        <v>6804</v>
      </c>
      <c r="B6809" s="39">
        <v>925930301</v>
      </c>
      <c r="C6809" s="28" t="str">
        <f>HYPERLINK("https://pld.live/RapDetail.aspx?STONELIST=925930301","DNA")</f>
        <v>DNA</v>
      </c>
      <c r="D6809" s="18" t="s">
        <v>3628</v>
      </c>
      <c r="E6809" s="18" t="s">
        <v>2186</v>
      </c>
      <c r="F6809" s="2" t="s">
        <v>7987</v>
      </c>
      <c r="G6809" s="2" t="s">
        <v>5226</v>
      </c>
      <c r="H6809" s="14">
        <v>3.62</v>
      </c>
      <c r="I6809" s="2" t="s">
        <v>267</v>
      </c>
      <c r="J6809" s="2" t="s">
        <v>13</v>
      </c>
      <c r="K6809" s="2" t="s">
        <v>1452</v>
      </c>
      <c r="L6809" s="2" t="s">
        <v>5221</v>
      </c>
      <c r="M6809" s="2" t="s">
        <v>5221</v>
      </c>
      <c r="N6809" s="2" t="s">
        <v>2317</v>
      </c>
      <c r="O6809" s="14">
        <v>30000</v>
      </c>
      <c r="P6809" s="14">
        <v>99.48</v>
      </c>
      <c r="Q6809" s="14">
        <v>156</v>
      </c>
      <c r="R6809" s="14">
        <v>564.72</v>
      </c>
      <c r="S6809" s="2" t="s">
        <v>3251</v>
      </c>
      <c r="T6809" s="2">
        <v>1</v>
      </c>
      <c r="U6809" s="2">
        <v>69.599999999999994</v>
      </c>
      <c r="V6809" s="2">
        <v>70</v>
      </c>
      <c r="W6809" s="2" t="s">
        <v>7862</v>
      </c>
      <c r="X6809" s="2" t="s">
        <v>2449</v>
      </c>
      <c r="Y6809" s="2">
        <v>108600</v>
      </c>
      <c r="Z6809" s="19" t="str">
        <f>HYPERLINK("https://ssdweb.co/ssdweb/hd/Vision360.html?d=925930301&amp;zoomslide=1&amp;z=1925930301&amp;ISCONFIRM=0","VIDEO")</f>
        <v>VIDEO</v>
      </c>
      <c r="AA6809" s="19" t="str">
        <f>HYPERLINK("https://ssdweb.co/ssdweb/CERTH/631404409.pdf","CERTI")</f>
        <v>CERTI</v>
      </c>
    </row>
    <row r="6810" spans="1:27" ht="15" x14ac:dyDescent="0.25">
      <c r="A6810" s="2">
        <v>6805</v>
      </c>
      <c r="B6810" s="39">
        <v>925930233</v>
      </c>
      <c r="C6810" s="28" t="str">
        <f>HYPERLINK("https://pld.live/RapDetail.aspx?STONELIST=925930233","DNA")</f>
        <v>DNA</v>
      </c>
      <c r="D6810" s="18" t="s">
        <v>3628</v>
      </c>
      <c r="E6810" s="18" t="s">
        <v>2186</v>
      </c>
      <c r="F6810" s="2" t="s">
        <v>7987</v>
      </c>
      <c r="G6810" s="2" t="s">
        <v>5226</v>
      </c>
      <c r="H6810" s="14">
        <v>3.59</v>
      </c>
      <c r="I6810" s="2" t="s">
        <v>267</v>
      </c>
      <c r="J6810" s="2" t="s">
        <v>3942</v>
      </c>
      <c r="K6810" s="2" t="s">
        <v>1452</v>
      </c>
      <c r="L6810" s="2" t="s">
        <v>5221</v>
      </c>
      <c r="M6810" s="2" t="s">
        <v>5221</v>
      </c>
      <c r="N6810" s="2" t="s">
        <v>2317</v>
      </c>
      <c r="O6810" s="14">
        <v>32500</v>
      </c>
      <c r="P6810" s="14">
        <v>99.43</v>
      </c>
      <c r="Q6810" s="14">
        <v>185.25</v>
      </c>
      <c r="R6810" s="14">
        <v>665.05</v>
      </c>
      <c r="S6810" s="2" t="s">
        <v>6472</v>
      </c>
      <c r="T6810" s="2">
        <v>1.01</v>
      </c>
      <c r="U6810" s="2">
        <v>70.3</v>
      </c>
      <c r="V6810" s="2">
        <v>72</v>
      </c>
      <c r="W6810" s="2" t="s">
        <v>7862</v>
      </c>
      <c r="X6810" s="2" t="s">
        <v>2449</v>
      </c>
      <c r="Y6810" s="2">
        <v>116675</v>
      </c>
      <c r="Z6810" s="19" t="str">
        <f>HYPERLINK("https://ssdweb.co/ssdweb/hd/Vision360.html?d=925930233&amp;zoomslide=1&amp;z=1925930233&amp;ISCONFIRM=0","VIDEO")</f>
        <v>VIDEO</v>
      </c>
      <c r="AA6810" s="19" t="str">
        <f>HYPERLINK("https://ssdweb.co/ssdweb/CERTH/629497566.pdf","CERTI")</f>
        <v>CERTI</v>
      </c>
    </row>
    <row r="6811" spans="1:27" ht="15" x14ac:dyDescent="0.25">
      <c r="A6811" s="2">
        <v>6806</v>
      </c>
      <c r="B6811" s="39">
        <v>925930203</v>
      </c>
      <c r="C6811" s="28" t="str">
        <f>HYPERLINK("https://pld.live/RapDetail.aspx?STONELIST=925930203","DNA")</f>
        <v>DNA</v>
      </c>
      <c r="D6811" s="18" t="s">
        <v>3628</v>
      </c>
      <c r="E6811" s="18" t="s">
        <v>2186</v>
      </c>
      <c r="F6811" s="2" t="s">
        <v>7987</v>
      </c>
      <c r="G6811" s="2" t="s">
        <v>5226</v>
      </c>
      <c r="H6811" s="14">
        <v>3.59</v>
      </c>
      <c r="I6811" s="2" t="s">
        <v>4761</v>
      </c>
      <c r="J6811" s="2" t="s">
        <v>3942</v>
      </c>
      <c r="K6811" s="2" t="s">
        <v>1452</v>
      </c>
      <c r="L6811" s="2" t="s">
        <v>5221</v>
      </c>
      <c r="M6811" s="2" t="s">
        <v>5221</v>
      </c>
      <c r="N6811" s="2" t="s">
        <v>2317</v>
      </c>
      <c r="O6811" s="14">
        <v>29500</v>
      </c>
      <c r="P6811" s="14">
        <v>99.47</v>
      </c>
      <c r="Q6811" s="14">
        <v>156.35</v>
      </c>
      <c r="R6811" s="14">
        <v>561.29999999999995</v>
      </c>
      <c r="S6811" s="2" t="s">
        <v>1182</v>
      </c>
      <c r="T6811" s="2">
        <v>1.02</v>
      </c>
      <c r="U6811" s="2">
        <v>70.8</v>
      </c>
      <c r="V6811" s="2">
        <v>70</v>
      </c>
      <c r="W6811" s="2" t="s">
        <v>7862</v>
      </c>
      <c r="X6811" s="2" t="s">
        <v>2449</v>
      </c>
      <c r="Y6811" s="2">
        <v>105905</v>
      </c>
      <c r="Z6811" s="19" t="str">
        <f>HYPERLINK("https://ssdweb.co/ssdweb/hd/Vision360.html?d=925930203&amp;zoomslide=1&amp;z=1925930203&amp;ISCONFIRM=0","VIDEO")</f>
        <v>VIDEO</v>
      </c>
      <c r="AA6811" s="19" t="str">
        <f>HYPERLINK("https://ssdweb.co/ssdweb/CERTH/629479241.pdf","CERTI")</f>
        <v>CERTI</v>
      </c>
    </row>
    <row r="6812" spans="1:27" ht="15" x14ac:dyDescent="0.25">
      <c r="A6812" s="2">
        <v>6807</v>
      </c>
      <c r="B6812" s="39">
        <v>925930261</v>
      </c>
      <c r="C6812" s="28" t="str">
        <f>HYPERLINK("https://pld.live/RapDetail.aspx?STONELIST=925930261","DNA")</f>
        <v>DNA</v>
      </c>
      <c r="D6812" s="18" t="s">
        <v>6469</v>
      </c>
      <c r="E6812" s="18" t="s">
        <v>2186</v>
      </c>
      <c r="F6812" s="2" t="s">
        <v>7987</v>
      </c>
      <c r="G6812" s="2" t="s">
        <v>5226</v>
      </c>
      <c r="H6812" s="14">
        <v>3.49</v>
      </c>
      <c r="I6812" s="2" t="s">
        <v>267</v>
      </c>
      <c r="J6812" s="2" t="s">
        <v>3942</v>
      </c>
      <c r="K6812" s="2" t="s">
        <v>1452</v>
      </c>
      <c r="L6812" s="2" t="s">
        <v>5221</v>
      </c>
      <c r="M6812" s="2" t="s">
        <v>5221</v>
      </c>
      <c r="N6812" s="2" t="s">
        <v>2317</v>
      </c>
      <c r="O6812" s="14">
        <v>32500</v>
      </c>
      <c r="P6812" s="14">
        <v>99.43</v>
      </c>
      <c r="Q6812" s="14">
        <v>185.25</v>
      </c>
      <c r="R6812" s="14">
        <v>646.52</v>
      </c>
      <c r="S6812" s="2" t="s">
        <v>2195</v>
      </c>
      <c r="T6812" s="2">
        <v>1.01</v>
      </c>
      <c r="U6812" s="2">
        <v>70.599999999999994</v>
      </c>
      <c r="V6812" s="2">
        <v>69</v>
      </c>
      <c r="W6812" s="2" t="s">
        <v>7862</v>
      </c>
      <c r="X6812" s="2" t="s">
        <v>2449</v>
      </c>
      <c r="Y6812" s="2">
        <v>113425</v>
      </c>
      <c r="Z6812" s="19" t="str">
        <f>HYPERLINK("https://ssdweb.co/ssdweb/hd/Vision360.html?d=925930261&amp;zoomslide=1&amp;z=1925930261&amp;ISCONFIRM=0","VIDEO")</f>
        <v>VIDEO</v>
      </c>
      <c r="AA6812" s="19" t="str">
        <f>HYPERLINK("https://ssdweb.co/ssdweb/CERTH/630447756.pdf","CERTI")</f>
        <v>CERTI</v>
      </c>
    </row>
    <row r="6813" spans="1:27" ht="15" x14ac:dyDescent="0.25">
      <c r="A6813" s="2">
        <v>6808</v>
      </c>
      <c r="B6813" s="39">
        <v>922170050</v>
      </c>
      <c r="C6813" s="28" t="str">
        <f>HYPERLINK("https://pld.live/RapDetail.aspx?STONELIST=922170050","DNA")</f>
        <v>DNA</v>
      </c>
      <c r="D6813" s="18" t="s">
        <v>6469</v>
      </c>
      <c r="E6813" s="18" t="s">
        <v>2186</v>
      </c>
      <c r="F6813" s="2" t="s">
        <v>7987</v>
      </c>
      <c r="G6813" s="2" t="s">
        <v>5226</v>
      </c>
      <c r="H6813" s="14">
        <v>3.34</v>
      </c>
      <c r="I6813" s="2" t="s">
        <v>6587</v>
      </c>
      <c r="J6813" s="2" t="s">
        <v>13</v>
      </c>
      <c r="K6813" s="2" t="s">
        <v>1452</v>
      </c>
      <c r="L6813" s="2" t="s">
        <v>5221</v>
      </c>
      <c r="M6813" s="2" t="s">
        <v>5221</v>
      </c>
      <c r="N6813" s="2" t="s">
        <v>2317</v>
      </c>
      <c r="O6813" s="14">
        <v>22500</v>
      </c>
      <c r="P6813" s="14">
        <v>99.4</v>
      </c>
      <c r="Q6813" s="14">
        <v>135</v>
      </c>
      <c r="R6813" s="14">
        <v>450.9</v>
      </c>
      <c r="S6813" s="2" t="s">
        <v>2544</v>
      </c>
      <c r="T6813" s="2">
        <v>1.02</v>
      </c>
      <c r="U6813" s="2">
        <v>70.2</v>
      </c>
      <c r="V6813" s="2">
        <v>72.5</v>
      </c>
      <c r="W6813" s="2" t="s">
        <v>7862</v>
      </c>
      <c r="X6813" s="2" t="s">
        <v>2449</v>
      </c>
      <c r="Y6813" s="2">
        <v>75150</v>
      </c>
      <c r="Z6813" s="19" t="str">
        <f>HYPERLINK("https://ssdweb.co/ssdweb/hd/Vision360.html?d=922170050&amp;zoomslide=1&amp;z=1922170050&amp;ISCONFIRM=0","VIDEO")</f>
        <v>VIDEO</v>
      </c>
      <c r="AA6813" s="19" t="str">
        <f>HYPERLINK("https://ssdweb.co/ssdweb/CERTH/515218612.pdf","CERTI")</f>
        <v>CERTI</v>
      </c>
    </row>
    <row r="6814" spans="1:27" ht="15" x14ac:dyDescent="0.25">
      <c r="A6814" s="2">
        <v>6809</v>
      </c>
      <c r="B6814" s="39">
        <v>926050366</v>
      </c>
      <c r="C6814" s="28" t="str">
        <f>HYPERLINK("https://pld.live/RapDetail.aspx?STONELIST=926050366","DNA")</f>
        <v>DNA</v>
      </c>
      <c r="D6814" s="18" t="s">
        <v>4563</v>
      </c>
      <c r="E6814" s="18" t="s">
        <v>2186</v>
      </c>
      <c r="F6814" s="2" t="s">
        <v>7987</v>
      </c>
      <c r="G6814" s="2" t="s">
        <v>5226</v>
      </c>
      <c r="H6814" s="14">
        <v>3.27</v>
      </c>
      <c r="I6814" s="2" t="s">
        <v>4699</v>
      </c>
      <c r="J6814" s="2" t="s">
        <v>3942</v>
      </c>
      <c r="K6814" s="2" t="s">
        <v>1452</v>
      </c>
      <c r="L6814" s="2" t="s">
        <v>5221</v>
      </c>
      <c r="M6814" s="2" t="s">
        <v>5221</v>
      </c>
      <c r="N6814" s="2" t="s">
        <v>2317</v>
      </c>
      <c r="O6814" s="14">
        <v>27000</v>
      </c>
      <c r="P6814" s="14">
        <v>99.44</v>
      </c>
      <c r="Q6814" s="14">
        <v>151.19999999999999</v>
      </c>
      <c r="R6814" s="14">
        <v>494.42</v>
      </c>
      <c r="S6814" s="2" t="s">
        <v>827</v>
      </c>
      <c r="T6814" s="2">
        <v>1.02</v>
      </c>
      <c r="U6814" s="2">
        <v>72.3</v>
      </c>
      <c r="V6814" s="2">
        <v>69</v>
      </c>
      <c r="W6814" s="2" t="s">
        <v>7862</v>
      </c>
      <c r="X6814" s="2" t="s">
        <v>2449</v>
      </c>
      <c r="Y6814" s="2">
        <v>88290</v>
      </c>
      <c r="Z6814" s="19" t="str">
        <f>HYPERLINK("https://ssdweb.co/ssdweb/hd/Vision360.html?d=926050366&amp;zoomslide=1&amp;z=1926050366&amp;ISCONFIRM=0","VIDEO")</f>
        <v>VIDEO</v>
      </c>
      <c r="AA6814" s="19" t="str">
        <f>HYPERLINK("https://ssdweb.co/ssdweb/CERTH/632421568.pdf","CERTI")</f>
        <v>CERTI</v>
      </c>
    </row>
    <row r="6815" spans="1:27" ht="15" x14ac:dyDescent="0.25">
      <c r="A6815" s="2">
        <v>6810</v>
      </c>
      <c r="B6815" s="39">
        <v>921660044</v>
      </c>
      <c r="C6815" s="28" t="str">
        <f>HYPERLINK("https://pld.live/RapDetail.aspx?STONELIST=921660044","DNA")</f>
        <v>DNA</v>
      </c>
      <c r="D6815" s="18" t="s">
        <v>4563</v>
      </c>
      <c r="E6815" s="18" t="s">
        <v>2186</v>
      </c>
      <c r="F6815" s="2" t="s">
        <v>7987</v>
      </c>
      <c r="G6815" s="2" t="s">
        <v>5226</v>
      </c>
      <c r="H6815" s="14">
        <v>3.27</v>
      </c>
      <c r="I6815" s="2" t="s">
        <v>1505</v>
      </c>
      <c r="J6815" s="2" t="s">
        <v>3942</v>
      </c>
      <c r="K6815" s="2" t="s">
        <v>1452</v>
      </c>
      <c r="L6815" s="2" t="s">
        <v>5221</v>
      </c>
      <c r="M6815" s="2" t="s">
        <v>5221</v>
      </c>
      <c r="N6815" s="2" t="s">
        <v>2317</v>
      </c>
      <c r="O6815" s="14">
        <v>21000</v>
      </c>
      <c r="P6815" s="14">
        <v>99.36</v>
      </c>
      <c r="Q6815" s="14">
        <v>134.4</v>
      </c>
      <c r="R6815" s="14">
        <v>439.49</v>
      </c>
      <c r="S6815" s="2" t="s">
        <v>2433</v>
      </c>
      <c r="T6815" s="2">
        <v>1.02</v>
      </c>
      <c r="U6815" s="2">
        <v>69.8</v>
      </c>
      <c r="V6815" s="2">
        <v>72</v>
      </c>
      <c r="W6815" s="2" t="s">
        <v>7862</v>
      </c>
      <c r="X6815" s="2" t="s">
        <v>2449</v>
      </c>
      <c r="Y6815" s="2">
        <v>68670</v>
      </c>
      <c r="Z6815" s="19" t="str">
        <f>HYPERLINK("https://ssdweb.co/ssdweb/hd/Vision360.html?d=921660044&amp;zoomslide=1&amp;z=1921660044&amp;ISCONFIRM=0","VIDEO")</f>
        <v>VIDEO</v>
      </c>
      <c r="AA6815" s="19" t="str">
        <f>HYPERLINK("https://ssdweb.co/ssdweb/CERTH/485149462.pdf","CERTI")</f>
        <v>CERTI</v>
      </c>
    </row>
    <row r="6816" spans="1:27" ht="15" x14ac:dyDescent="0.25">
      <c r="A6816" s="2">
        <v>6811</v>
      </c>
      <c r="B6816" s="39">
        <v>925930132</v>
      </c>
      <c r="C6816" s="28" t="str">
        <f>HYPERLINK("https://pld.live/RapDetail.aspx?STONELIST=925930132","DNA")</f>
        <v>DNA</v>
      </c>
      <c r="D6816" s="18" t="s">
        <v>4563</v>
      </c>
      <c r="E6816" s="18" t="s">
        <v>2186</v>
      </c>
      <c r="F6816" s="2" t="s">
        <v>7987</v>
      </c>
      <c r="G6816" s="2" t="s">
        <v>5226</v>
      </c>
      <c r="H6816" s="14">
        <v>3.25</v>
      </c>
      <c r="I6816" s="2" t="s">
        <v>4761</v>
      </c>
      <c r="J6816" s="2" t="s">
        <v>3942</v>
      </c>
      <c r="K6816" s="2" t="s">
        <v>1452</v>
      </c>
      <c r="L6816" s="2" t="s">
        <v>5221</v>
      </c>
      <c r="M6816" s="2" t="s">
        <v>5221</v>
      </c>
      <c r="N6816" s="2" t="s">
        <v>2317</v>
      </c>
      <c r="O6816" s="14">
        <v>29500</v>
      </c>
      <c r="P6816" s="14">
        <v>99.47</v>
      </c>
      <c r="Q6816" s="14">
        <v>156.35</v>
      </c>
      <c r="R6816" s="14">
        <v>508.14</v>
      </c>
      <c r="S6816" s="2" t="s">
        <v>3090</v>
      </c>
      <c r="T6816" s="2">
        <v>1.02</v>
      </c>
      <c r="U6816" s="2">
        <v>70.599999999999994</v>
      </c>
      <c r="V6816" s="2">
        <v>70</v>
      </c>
      <c r="W6816" s="2" t="s">
        <v>7862</v>
      </c>
      <c r="X6816" s="2" t="s">
        <v>2449</v>
      </c>
      <c r="Y6816" s="2">
        <v>95875</v>
      </c>
      <c r="Z6816" s="19" t="str">
        <f>HYPERLINK("https://ssdweb.co/ssdweb/hd/Vision360.html?d=925930132&amp;zoomslide=1&amp;z=1925930132&amp;ISCONFIRM=0","VIDEO")</f>
        <v>VIDEO</v>
      </c>
      <c r="AA6816" s="19" t="str">
        <f>HYPERLINK("https://ssdweb.co/ssdweb/CERTH/629479249.pdf","CERTI")</f>
        <v>CERTI</v>
      </c>
    </row>
    <row r="6817" spans="1:27" ht="15" x14ac:dyDescent="0.25">
      <c r="A6817" s="2">
        <v>6812</v>
      </c>
      <c r="B6817" s="39">
        <v>924250768</v>
      </c>
      <c r="C6817" s="28" t="str">
        <f>HYPERLINK("https://pld.live/RapDetail.aspx?STONELIST=924250768","DNA")</f>
        <v>DNA</v>
      </c>
      <c r="D6817" s="18" t="s">
        <v>4563</v>
      </c>
      <c r="E6817" s="18" t="s">
        <v>2186</v>
      </c>
      <c r="F6817" s="2" t="s">
        <v>7987</v>
      </c>
      <c r="G6817" s="2" t="s">
        <v>5226</v>
      </c>
      <c r="H6817" s="14">
        <v>3.22</v>
      </c>
      <c r="I6817" s="2" t="s">
        <v>1505</v>
      </c>
      <c r="J6817" s="2" t="s">
        <v>13</v>
      </c>
      <c r="K6817" s="2" t="s">
        <v>1452</v>
      </c>
      <c r="L6817" s="2" t="s">
        <v>5221</v>
      </c>
      <c r="M6817" s="2" t="s">
        <v>5221</v>
      </c>
      <c r="N6817" s="2" t="s">
        <v>2317</v>
      </c>
      <c r="O6817" s="14">
        <v>19500</v>
      </c>
      <c r="P6817" s="14">
        <v>99.33</v>
      </c>
      <c r="Q6817" s="14">
        <v>130.65</v>
      </c>
      <c r="R6817" s="14">
        <v>420.69</v>
      </c>
      <c r="S6817" s="2" t="s">
        <v>1116</v>
      </c>
      <c r="T6817" s="2">
        <v>1.02</v>
      </c>
      <c r="U6817" s="2">
        <v>70.3</v>
      </c>
      <c r="V6817" s="2">
        <v>70</v>
      </c>
      <c r="W6817" s="2" t="s">
        <v>7862</v>
      </c>
      <c r="X6817" s="2" t="s">
        <v>2449</v>
      </c>
      <c r="Y6817" s="2">
        <v>62790</v>
      </c>
      <c r="Z6817" s="19" t="str">
        <f>HYPERLINK("https://ssdweb.co/ssdweb/hd/Vision360.html?d=924250768&amp;zoomslide=1&amp;z=1924250768&amp;ISCONFIRM=0","VIDEO")</f>
        <v>VIDEO</v>
      </c>
      <c r="AA6817" s="19" t="str">
        <f>HYPERLINK("https://ssdweb.co/ssdweb/CERTH/583307869.pdf","CERTI")</f>
        <v>CERTI</v>
      </c>
    </row>
    <row r="6818" spans="1:27" ht="15" x14ac:dyDescent="0.25">
      <c r="A6818" s="2">
        <v>6813</v>
      </c>
      <c r="B6818" s="39">
        <v>922420033</v>
      </c>
      <c r="C6818" s="28" t="str">
        <f>HYPERLINK("https://pld.live/RapDetail.aspx?STONELIST=922420033","DNA")</f>
        <v>DNA</v>
      </c>
      <c r="D6818" s="18" t="s">
        <v>4563</v>
      </c>
      <c r="E6818" s="18" t="s">
        <v>2186</v>
      </c>
      <c r="F6818" s="2" t="s">
        <v>5597</v>
      </c>
      <c r="G6818" s="2" t="s">
        <v>5226</v>
      </c>
      <c r="H6818" s="14">
        <v>3.21</v>
      </c>
      <c r="I6818" s="2" t="s">
        <v>6587</v>
      </c>
      <c r="J6818" s="2" t="s">
        <v>444</v>
      </c>
      <c r="K6818" s="2" t="s">
        <v>1452</v>
      </c>
      <c r="L6818" s="2" t="s">
        <v>5221</v>
      </c>
      <c r="M6818" s="2" t="s">
        <v>5221</v>
      </c>
      <c r="N6818" s="2" t="s">
        <v>2317</v>
      </c>
      <c r="O6818" s="14">
        <v>18000</v>
      </c>
      <c r="P6818" s="14">
        <v>98.92</v>
      </c>
      <c r="Q6818" s="14">
        <v>194.4</v>
      </c>
      <c r="R6818" s="14">
        <v>624.02</v>
      </c>
      <c r="S6818" s="2" t="s">
        <v>3943</v>
      </c>
      <c r="T6818" s="2">
        <v>1.02</v>
      </c>
      <c r="U6818" s="2">
        <v>71.8</v>
      </c>
      <c r="V6818" s="2">
        <v>72</v>
      </c>
      <c r="W6818" s="2" t="s">
        <v>7862</v>
      </c>
      <c r="X6818" s="2" t="s">
        <v>6155</v>
      </c>
      <c r="Y6818" s="2">
        <v>57780</v>
      </c>
      <c r="Z6818" s="19" t="str">
        <f>HYPERLINK("https://ssdweb.co/ssdweb/hd/Vision360.html?d=922420033&amp;zoomslide=1&amp;z=1922420033&amp;ISCONFIRM=0","VIDEO")</f>
        <v>VIDEO</v>
      </c>
      <c r="AA6818" s="19" t="str">
        <f>HYPERLINK("https://ssdweb.co/ssdweb/CERTH/1429796653.pdf","CERTI")</f>
        <v>CERTI</v>
      </c>
    </row>
    <row r="6819" spans="1:27" ht="15" x14ac:dyDescent="0.25">
      <c r="A6819" s="2">
        <v>6814</v>
      </c>
      <c r="B6819" s="39">
        <v>924190221</v>
      </c>
      <c r="C6819" s="28" t="str">
        <f>HYPERLINK("https://pld.live/RapDetail.aspx?STONELIST=924190221","DNA")</f>
        <v>DNA</v>
      </c>
      <c r="D6819" s="18" t="s">
        <v>4563</v>
      </c>
      <c r="E6819" s="18" t="s">
        <v>2186</v>
      </c>
      <c r="F6819" s="2" t="s">
        <v>7987</v>
      </c>
      <c r="G6819" s="2" t="s">
        <v>5226</v>
      </c>
      <c r="H6819" s="14">
        <v>3.16</v>
      </c>
      <c r="I6819" s="2" t="s">
        <v>1505</v>
      </c>
      <c r="J6819" s="2" t="s">
        <v>13</v>
      </c>
      <c r="K6819" s="2" t="s">
        <v>1452</v>
      </c>
      <c r="L6819" s="2" t="s">
        <v>5221</v>
      </c>
      <c r="M6819" s="2" t="s">
        <v>5221</v>
      </c>
      <c r="N6819" s="2" t="s">
        <v>2317</v>
      </c>
      <c r="O6819" s="14">
        <v>19500</v>
      </c>
      <c r="P6819" s="14">
        <v>99.34</v>
      </c>
      <c r="Q6819" s="14">
        <v>128.69999999999999</v>
      </c>
      <c r="R6819" s="14">
        <v>406.69</v>
      </c>
      <c r="S6819" s="2" t="s">
        <v>4680</v>
      </c>
      <c r="T6819" s="2">
        <v>1.01</v>
      </c>
      <c r="U6819" s="2">
        <v>69.3</v>
      </c>
      <c r="V6819" s="2">
        <v>67</v>
      </c>
      <c r="W6819" s="2" t="s">
        <v>8016</v>
      </c>
      <c r="X6819" s="2" t="s">
        <v>2449</v>
      </c>
      <c r="Y6819" s="2">
        <v>61620</v>
      </c>
      <c r="Z6819" s="19" t="str">
        <f>HYPERLINK("https://ssdweb.co/ssdweb/hd/Vision360.html?d=924190221&amp;zoomslide=1&amp;z=1924190221&amp;ISCONFIRM=0","VIDEO")</f>
        <v>VIDEO</v>
      </c>
      <c r="AA6819" s="19" t="str">
        <f>HYPERLINK("https://ssdweb.co/ssdweb/CERTH/577305177.pdf","CERTI")</f>
        <v>CERTI</v>
      </c>
    </row>
    <row r="6820" spans="1:27" ht="15" x14ac:dyDescent="0.25">
      <c r="A6820" s="2">
        <v>6815</v>
      </c>
      <c r="B6820" s="39">
        <v>926050401</v>
      </c>
      <c r="C6820" s="28" t="str">
        <f>HYPERLINK("https://pld.live/RapDetail.aspx?STONELIST=926050401","DNA")</f>
        <v>DNA</v>
      </c>
      <c r="D6820" s="18" t="s">
        <v>4563</v>
      </c>
      <c r="E6820" s="18" t="s">
        <v>2186</v>
      </c>
      <c r="F6820" s="2" t="s">
        <v>7987</v>
      </c>
      <c r="G6820" s="2" t="s">
        <v>5226</v>
      </c>
      <c r="H6820" s="14">
        <v>3.14</v>
      </c>
      <c r="I6820" s="2" t="s">
        <v>4761</v>
      </c>
      <c r="J6820" s="2" t="s">
        <v>3942</v>
      </c>
      <c r="K6820" s="2" t="s">
        <v>1452</v>
      </c>
      <c r="L6820" s="2" t="s">
        <v>5221</v>
      </c>
      <c r="M6820" s="2" t="s">
        <v>5221</v>
      </c>
      <c r="N6820" s="2" t="s">
        <v>2317</v>
      </c>
      <c r="O6820" s="14">
        <v>29500</v>
      </c>
      <c r="P6820" s="14">
        <v>99.47</v>
      </c>
      <c r="Q6820" s="14">
        <v>156.35</v>
      </c>
      <c r="R6820" s="14">
        <v>490.94</v>
      </c>
      <c r="S6820" s="2" t="s">
        <v>3570</v>
      </c>
      <c r="T6820" s="2">
        <v>1.01</v>
      </c>
      <c r="U6820" s="2">
        <v>69.900000000000006</v>
      </c>
      <c r="V6820" s="2">
        <v>66</v>
      </c>
      <c r="W6820" s="2" t="s">
        <v>7862</v>
      </c>
      <c r="X6820" s="2" t="s">
        <v>2449</v>
      </c>
      <c r="Y6820" s="2">
        <v>92630</v>
      </c>
      <c r="Z6820" s="19" t="str">
        <f>HYPERLINK("https://ssdweb.co/ssdweb/hd/Vision360.html?d=926050401&amp;zoomslide=1&amp;z=1926050401&amp;ISCONFIRM=0","VIDEO")</f>
        <v>VIDEO</v>
      </c>
      <c r="AA6820" s="19" t="str">
        <f>HYPERLINK("https://ssdweb.co/ssdweb/CERTH/632449700.pdf","CERTI")</f>
        <v>CERTI</v>
      </c>
    </row>
    <row r="6821" spans="1:27" ht="15" x14ac:dyDescent="0.25">
      <c r="A6821" s="2">
        <v>6816</v>
      </c>
      <c r="B6821" s="39">
        <v>926050242</v>
      </c>
      <c r="C6821" s="28" t="str">
        <f>HYPERLINK("https://pld.live/RapDetail.aspx?STONELIST=926050242","DNA")</f>
        <v>DNA</v>
      </c>
      <c r="D6821" s="18" t="s">
        <v>4563</v>
      </c>
      <c r="E6821" s="18" t="s">
        <v>2186</v>
      </c>
      <c r="F6821" s="2" t="s">
        <v>5597</v>
      </c>
      <c r="G6821" s="2" t="s">
        <v>5226</v>
      </c>
      <c r="H6821" s="14">
        <v>3.1</v>
      </c>
      <c r="I6821" s="2" t="s">
        <v>4761</v>
      </c>
      <c r="J6821" s="2" t="s">
        <v>13</v>
      </c>
      <c r="K6821" s="2" t="s">
        <v>1452</v>
      </c>
      <c r="L6821" s="2" t="s">
        <v>5221</v>
      </c>
      <c r="M6821" s="2" t="s">
        <v>5221</v>
      </c>
      <c r="N6821" s="2" t="s">
        <v>2317</v>
      </c>
      <c r="O6821" s="14">
        <v>27500</v>
      </c>
      <c r="P6821" s="14">
        <v>99</v>
      </c>
      <c r="Q6821" s="14">
        <v>275</v>
      </c>
      <c r="R6821" s="14">
        <v>852.5</v>
      </c>
      <c r="S6821" s="2" t="s">
        <v>6436</v>
      </c>
      <c r="T6821" s="2">
        <v>1.01</v>
      </c>
      <c r="U6821" s="2">
        <v>70.400000000000006</v>
      </c>
      <c r="V6821" s="2">
        <v>68</v>
      </c>
      <c r="W6821" s="2" t="s">
        <v>7862</v>
      </c>
      <c r="X6821" s="2" t="s">
        <v>6155</v>
      </c>
      <c r="Y6821" s="2">
        <v>85250</v>
      </c>
      <c r="Z6821" s="19" t="str">
        <f>HYPERLINK("https://ssdweb.co/ssdweb/hd/Vision360.html?d=926050242&amp;zoomslide=1&amp;z=1926050242&amp;ISCONFIRM=0","VIDEO")</f>
        <v>VIDEO</v>
      </c>
      <c r="AA6821" s="19" t="str">
        <f>HYPERLINK("https://ssdweb.co/ssdweb/CERTH/7492262203.pdf","CERTI")</f>
        <v>CERTI</v>
      </c>
    </row>
    <row r="6822" spans="1:27" ht="15" x14ac:dyDescent="0.25">
      <c r="A6822" s="2">
        <v>6817</v>
      </c>
      <c r="B6822" s="39">
        <v>925930312</v>
      </c>
      <c r="C6822" s="28" t="str">
        <f>HYPERLINK("https://pld.live/RapDetail.aspx?STONELIST=925930312","DNA")</f>
        <v>DNA</v>
      </c>
      <c r="D6822" s="18" t="s">
        <v>4563</v>
      </c>
      <c r="E6822" s="18" t="s">
        <v>2186</v>
      </c>
      <c r="F6822" s="2" t="s">
        <v>7987</v>
      </c>
      <c r="G6822" s="2" t="s">
        <v>5226</v>
      </c>
      <c r="H6822" s="14">
        <v>3.1</v>
      </c>
      <c r="I6822" s="2" t="s">
        <v>4699</v>
      </c>
      <c r="J6822" s="2" t="s">
        <v>3942</v>
      </c>
      <c r="K6822" s="2" t="s">
        <v>1452</v>
      </c>
      <c r="L6822" s="2" t="s">
        <v>5221</v>
      </c>
      <c r="M6822" s="2" t="s">
        <v>5221</v>
      </c>
      <c r="N6822" s="2" t="s">
        <v>2317</v>
      </c>
      <c r="O6822" s="14">
        <v>27000</v>
      </c>
      <c r="P6822" s="14">
        <v>99.44</v>
      </c>
      <c r="Q6822" s="14">
        <v>151.19999999999999</v>
      </c>
      <c r="R6822" s="14">
        <v>468.72</v>
      </c>
      <c r="S6822" s="2" t="s">
        <v>4499</v>
      </c>
      <c r="T6822" s="2">
        <v>1.01</v>
      </c>
      <c r="U6822" s="2">
        <v>71.7</v>
      </c>
      <c r="V6822" s="2">
        <v>69</v>
      </c>
      <c r="W6822" s="2" t="s">
        <v>7862</v>
      </c>
      <c r="X6822" s="2" t="s">
        <v>2449</v>
      </c>
      <c r="Y6822" s="2">
        <v>83700</v>
      </c>
      <c r="Z6822" s="19" t="str">
        <f>HYPERLINK("https://ssdweb.co/ssdweb/hd/Vision360.html?d=925930312&amp;zoomslide=1&amp;z=1925930312&amp;ISCONFIRM=0","VIDEO")</f>
        <v>VIDEO</v>
      </c>
      <c r="AA6822" s="19" t="str">
        <f>HYPERLINK("https://ssdweb.co/ssdweb/CERTH/631430443.pdf","CERTI")</f>
        <v>CERTI</v>
      </c>
    </row>
    <row r="6823" spans="1:27" ht="15" x14ac:dyDescent="0.25">
      <c r="A6823" s="2">
        <v>6818</v>
      </c>
      <c r="B6823" s="39">
        <v>831020172</v>
      </c>
      <c r="C6823" s="28" t="str">
        <f>HYPERLINK("https://pld.live/RapDetail.aspx?STONELIST=831020172","DNA")</f>
        <v>DNA</v>
      </c>
      <c r="D6823" s="18" t="s">
        <v>4563</v>
      </c>
      <c r="E6823" s="18" t="s">
        <v>2186</v>
      </c>
      <c r="F6823" s="2" t="s">
        <v>5597</v>
      </c>
      <c r="G6823" s="2" t="s">
        <v>5226</v>
      </c>
      <c r="H6823" s="14">
        <v>3.08</v>
      </c>
      <c r="I6823" s="2" t="s">
        <v>1505</v>
      </c>
      <c r="J6823" s="2" t="s">
        <v>3942</v>
      </c>
      <c r="K6823" s="2" t="s">
        <v>1452</v>
      </c>
      <c r="L6823" s="2" t="s">
        <v>5221</v>
      </c>
      <c r="M6823" s="2" t="s">
        <v>5721</v>
      </c>
      <c r="N6823" s="2" t="s">
        <v>2317</v>
      </c>
      <c r="O6823" s="14">
        <v>21000</v>
      </c>
      <c r="P6823" s="14">
        <v>98.94</v>
      </c>
      <c r="Q6823" s="14">
        <v>222.6</v>
      </c>
      <c r="R6823" s="14">
        <v>685.61</v>
      </c>
      <c r="S6823" s="2" t="s">
        <v>253</v>
      </c>
      <c r="T6823" s="2">
        <v>1.02</v>
      </c>
      <c r="U6823" s="2">
        <v>69.7</v>
      </c>
      <c r="V6823" s="2">
        <v>71</v>
      </c>
      <c r="W6823" s="2" t="s">
        <v>7862</v>
      </c>
      <c r="X6823" s="2" t="s">
        <v>6155</v>
      </c>
      <c r="Y6823" s="2">
        <v>64680</v>
      </c>
      <c r="Z6823" s="19" t="str">
        <f>HYPERLINK("https://ssdweb.co/ssdweb/hd/Vision360.html?d=831020172&amp;zoomslide=1&amp;z=1831020172&amp;ISCONFIRM=0","VIDEO")</f>
        <v>VIDEO</v>
      </c>
      <c r="AA6823" s="19" t="str">
        <f>HYPERLINK("https://ssdweb.co/ssdweb/CERTH/2407605406.pdf","CERTI")</f>
        <v>CERTI</v>
      </c>
    </row>
    <row r="6824" spans="1:27" ht="15" x14ac:dyDescent="0.25">
      <c r="A6824" s="2">
        <v>6819</v>
      </c>
      <c r="B6824" s="39">
        <v>821115910</v>
      </c>
      <c r="C6824" s="28" t="str">
        <f>HYPERLINK("https://pld.live/RapDetail.aspx?STONELIST=821115910","DNA")</f>
        <v>DNA</v>
      </c>
      <c r="D6824" s="18" t="s">
        <v>4563</v>
      </c>
      <c r="E6824" s="18" t="s">
        <v>2186</v>
      </c>
      <c r="F6824" s="2" t="s">
        <v>7987</v>
      </c>
      <c r="G6824" s="2" t="s">
        <v>5226</v>
      </c>
      <c r="H6824" s="14">
        <v>3.04</v>
      </c>
      <c r="I6824" s="2" t="s">
        <v>4761</v>
      </c>
      <c r="J6824" s="2" t="s">
        <v>3942</v>
      </c>
      <c r="K6824" s="2" t="s">
        <v>1452</v>
      </c>
      <c r="L6824" s="2" t="s">
        <v>5221</v>
      </c>
      <c r="M6824" s="2" t="s">
        <v>5221</v>
      </c>
      <c r="N6824" s="2" t="s">
        <v>2317</v>
      </c>
      <c r="O6824" s="14">
        <v>29500</v>
      </c>
      <c r="P6824" s="14">
        <v>99.46</v>
      </c>
      <c r="Q6824" s="14">
        <v>159.30000000000001</v>
      </c>
      <c r="R6824" s="14">
        <v>484.27</v>
      </c>
      <c r="S6824" s="2" t="s">
        <v>4915</v>
      </c>
      <c r="T6824" s="2">
        <v>1</v>
      </c>
      <c r="U6824" s="2">
        <v>69.599999999999994</v>
      </c>
      <c r="V6824" s="2">
        <v>71</v>
      </c>
      <c r="W6824" s="2" t="s">
        <v>7862</v>
      </c>
      <c r="X6824" s="2" t="s">
        <v>2449</v>
      </c>
      <c r="Y6824" s="2">
        <v>89680</v>
      </c>
      <c r="Z6824" s="19" t="str">
        <f>HYPERLINK("https://ssdweb.co/ssdweb/hd/Vision360.html?d=821115910&amp;zoomslide=1&amp;z=1821115910&amp;ISCONFIRM=0","VIDEO")</f>
        <v>VIDEO</v>
      </c>
      <c r="AA6824" s="19" t="str">
        <f>HYPERLINK("https://ssdweb.co/ssdweb/CERTH/648464929.pdf","CERTI")</f>
        <v>CERTI</v>
      </c>
    </row>
    <row r="6825" spans="1:27" ht="15" x14ac:dyDescent="0.25">
      <c r="A6825" s="2">
        <v>6820</v>
      </c>
      <c r="B6825" s="39">
        <v>926420219</v>
      </c>
      <c r="C6825" s="28" t="str">
        <f>HYPERLINK("https://pld.live/RapDetail.aspx?STONELIST=926420219","DNA")</f>
        <v>DNA</v>
      </c>
      <c r="D6825" s="18" t="s">
        <v>4563</v>
      </c>
      <c r="E6825" s="18" t="s">
        <v>2186</v>
      </c>
      <c r="F6825" s="2" t="s">
        <v>7987</v>
      </c>
      <c r="G6825" s="2" t="s">
        <v>5226</v>
      </c>
      <c r="H6825" s="14">
        <v>3.03</v>
      </c>
      <c r="I6825" s="2" t="s">
        <v>4699</v>
      </c>
      <c r="J6825" s="2" t="s">
        <v>13</v>
      </c>
      <c r="K6825" s="2" t="s">
        <v>1452</v>
      </c>
      <c r="L6825" s="2" t="s">
        <v>5221</v>
      </c>
      <c r="M6825" s="2" t="s">
        <v>5221</v>
      </c>
      <c r="N6825" s="2" t="s">
        <v>2317</v>
      </c>
      <c r="O6825" s="14">
        <v>25000</v>
      </c>
      <c r="P6825" s="14">
        <v>99.43</v>
      </c>
      <c r="Q6825" s="14">
        <v>142.5</v>
      </c>
      <c r="R6825" s="14">
        <v>431.78</v>
      </c>
      <c r="S6825" s="2" t="s">
        <v>3153</v>
      </c>
      <c r="T6825" s="2">
        <v>1.02</v>
      </c>
      <c r="U6825" s="2">
        <v>69.7</v>
      </c>
      <c r="V6825" s="2">
        <v>71</v>
      </c>
      <c r="W6825" s="2" t="s">
        <v>7862</v>
      </c>
      <c r="X6825" s="2" t="s">
        <v>2449</v>
      </c>
      <c r="Y6825" s="2">
        <v>75750</v>
      </c>
      <c r="Z6825" s="19" t="str">
        <f>HYPERLINK("https://ssdweb.co/ssdweb/hd/Vision360.html?d=926420219&amp;zoomslide=1&amp;z=1926420219&amp;ISCONFIRM=0","VIDEO")</f>
        <v>VIDEO</v>
      </c>
      <c r="AA6825" s="19" t="str">
        <f>HYPERLINK("https://ssdweb.co/ssdweb/CERTH/643428143.pdf","CERTI")</f>
        <v>CERTI</v>
      </c>
    </row>
    <row r="6826" spans="1:27" ht="15" x14ac:dyDescent="0.25">
      <c r="A6826" s="2">
        <v>6821</v>
      </c>
      <c r="B6826" s="39">
        <v>927070609</v>
      </c>
      <c r="C6826" s="28" t="str">
        <f>HYPERLINK("https://pld.live/RapDetail.aspx?STONELIST=927070609","DNA")</f>
        <v>DNA</v>
      </c>
      <c r="D6826" s="18" t="s">
        <v>4563</v>
      </c>
      <c r="E6826" s="18" t="s">
        <v>2186</v>
      </c>
      <c r="F6826" s="2" t="s">
        <v>7987</v>
      </c>
      <c r="G6826" s="2" t="s">
        <v>5226</v>
      </c>
      <c r="H6826" s="14">
        <v>3.02</v>
      </c>
      <c r="I6826" s="2" t="s">
        <v>4761</v>
      </c>
      <c r="J6826" s="2" t="s">
        <v>3942</v>
      </c>
      <c r="K6826" s="2" t="s">
        <v>1452</v>
      </c>
      <c r="L6826" s="2" t="s">
        <v>5221</v>
      </c>
      <c r="M6826" s="2" t="s">
        <v>5221</v>
      </c>
      <c r="N6826" s="2" t="s">
        <v>2317</v>
      </c>
      <c r="O6826" s="14">
        <v>29500</v>
      </c>
      <c r="P6826" s="14">
        <v>99.46</v>
      </c>
      <c r="Q6826" s="14">
        <v>159.30000000000001</v>
      </c>
      <c r="R6826" s="14">
        <v>481.09</v>
      </c>
      <c r="S6826" s="2" t="s">
        <v>6063</v>
      </c>
      <c r="T6826" s="2">
        <v>1.01</v>
      </c>
      <c r="U6826" s="2">
        <v>73.599999999999994</v>
      </c>
      <c r="V6826" s="2">
        <v>70</v>
      </c>
      <c r="W6826" s="2" t="s">
        <v>7862</v>
      </c>
      <c r="X6826" s="2" t="s">
        <v>2449</v>
      </c>
      <c r="Y6826" s="2">
        <v>89090</v>
      </c>
      <c r="Z6826" s="19" t="str">
        <f>HYPERLINK("https://ssdweb.co/ssdweb/hd/Vision360.html?d=927070609&amp;zoomslide=1&amp;z=1927070609&amp;ISCONFIRM=0","VIDEO")</f>
        <v>VIDEO</v>
      </c>
      <c r="AA6826" s="19" t="str">
        <f>HYPERLINK("https://ssdweb.co/ssdweb/CERTH/662473895.pdf","CERTI")</f>
        <v>CERTI</v>
      </c>
    </row>
    <row r="6827" spans="1:27" ht="15" x14ac:dyDescent="0.25">
      <c r="A6827" s="2">
        <v>6822</v>
      </c>
      <c r="B6827" s="39">
        <v>924300676</v>
      </c>
      <c r="C6827" s="28" t="str">
        <f>HYPERLINK("https://pld.live/RapDetail.aspx?STONELIST=924300676","DNA")</f>
        <v>DNA</v>
      </c>
      <c r="D6827" s="18" t="s">
        <v>4563</v>
      </c>
      <c r="E6827" s="18" t="s">
        <v>2186</v>
      </c>
      <c r="F6827" s="2" t="s">
        <v>5597</v>
      </c>
      <c r="G6827" s="2" t="s">
        <v>5226</v>
      </c>
      <c r="H6827" s="14">
        <v>3.02</v>
      </c>
      <c r="I6827" s="2" t="s">
        <v>4761</v>
      </c>
      <c r="J6827" s="2" t="s">
        <v>13</v>
      </c>
      <c r="K6827" s="2" t="s">
        <v>1452</v>
      </c>
      <c r="L6827" s="2" t="s">
        <v>5221</v>
      </c>
      <c r="M6827" s="2" t="s">
        <v>5221</v>
      </c>
      <c r="N6827" s="2" t="s">
        <v>2317</v>
      </c>
      <c r="O6827" s="14">
        <v>27500</v>
      </c>
      <c r="P6827" s="14">
        <v>99</v>
      </c>
      <c r="Q6827" s="14">
        <v>275</v>
      </c>
      <c r="R6827" s="14">
        <v>830.5</v>
      </c>
      <c r="S6827" s="2" t="s">
        <v>5432</v>
      </c>
      <c r="T6827" s="2">
        <v>1.03</v>
      </c>
      <c r="U6827" s="2">
        <v>73</v>
      </c>
      <c r="V6827" s="2">
        <v>70</v>
      </c>
      <c r="W6827" s="2" t="s">
        <v>7862</v>
      </c>
      <c r="X6827" s="2" t="s">
        <v>6155</v>
      </c>
      <c r="Y6827" s="2">
        <v>83050</v>
      </c>
      <c r="Z6827" s="19" t="str">
        <f>HYPERLINK("https://ssdweb.co/ssdweb/hd/Vision360.html?d=924300676&amp;zoomslide=1&amp;z=1924300676&amp;ISCONFIRM=0","VIDEO")</f>
        <v>VIDEO</v>
      </c>
      <c r="AA6827" s="19" t="str">
        <f>HYPERLINK("https://ssdweb.co/ssdweb/CERTH/6462978510.pdf","CERTI")</f>
        <v>CERTI</v>
      </c>
    </row>
    <row r="6828" spans="1:27" ht="15" x14ac:dyDescent="0.25">
      <c r="A6828" s="2">
        <v>6823</v>
      </c>
      <c r="B6828" s="39">
        <v>925050105</v>
      </c>
      <c r="C6828" s="28" t="str">
        <f>HYPERLINK("https://pld.live/RapDetail.aspx?STONELIST=925050105","DNA")</f>
        <v>DNA</v>
      </c>
      <c r="D6828" s="18" t="s">
        <v>4563</v>
      </c>
      <c r="E6828" s="18" t="s">
        <v>2186</v>
      </c>
      <c r="F6828" s="2" t="s">
        <v>7987</v>
      </c>
      <c r="G6828" s="2" t="s">
        <v>5226</v>
      </c>
      <c r="H6828" s="14">
        <v>3.02</v>
      </c>
      <c r="I6828" s="2" t="s">
        <v>4761</v>
      </c>
      <c r="J6828" s="2" t="s">
        <v>13</v>
      </c>
      <c r="K6828" s="2" t="s">
        <v>1452</v>
      </c>
      <c r="L6828" s="2" t="s">
        <v>5221</v>
      </c>
      <c r="M6828" s="2" t="s">
        <v>5221</v>
      </c>
      <c r="N6828" s="2" t="s">
        <v>2317</v>
      </c>
      <c r="O6828" s="14">
        <v>27500</v>
      </c>
      <c r="P6828" s="14">
        <v>99.45</v>
      </c>
      <c r="Q6828" s="14">
        <v>151.25</v>
      </c>
      <c r="R6828" s="14">
        <v>456.78</v>
      </c>
      <c r="S6828" s="2" t="s">
        <v>7600</v>
      </c>
      <c r="T6828" s="2">
        <v>1.02</v>
      </c>
      <c r="U6828" s="2">
        <v>69.2</v>
      </c>
      <c r="V6828" s="2">
        <v>72</v>
      </c>
      <c r="W6828" s="2" t="s">
        <v>7862</v>
      </c>
      <c r="X6828" s="2" t="s">
        <v>2449</v>
      </c>
      <c r="Y6828" s="2">
        <v>83050</v>
      </c>
      <c r="Z6828" s="19" t="str">
        <f>HYPERLINK("https://ssdweb.co/ssdweb/hd/Vision360.html?d=925050105&amp;zoomslide=1&amp;z=1925050105&amp;ISCONFIRM=0","VIDEO")</f>
        <v>VIDEO</v>
      </c>
      <c r="AA6828" s="19" t="str">
        <f>HYPERLINK("https://ssdweb.co/ssdweb/CERTH/607345529.pdf","CERTI")</f>
        <v>CERTI</v>
      </c>
    </row>
    <row r="6829" spans="1:27" ht="15" x14ac:dyDescent="0.25">
      <c r="A6829" s="2">
        <v>6824</v>
      </c>
      <c r="B6829" s="39">
        <v>941310044</v>
      </c>
      <c r="C6829" s="28" t="str">
        <f>HYPERLINK("https://pld.live/RapDetail.aspx?STONELIST=941310044","DNA")</f>
        <v>DNA</v>
      </c>
      <c r="D6829" s="18" t="s">
        <v>4563</v>
      </c>
      <c r="E6829" s="18" t="s">
        <v>2186</v>
      </c>
      <c r="F6829" s="2" t="s">
        <v>7987</v>
      </c>
      <c r="G6829" s="2" t="s">
        <v>5226</v>
      </c>
      <c r="H6829" s="14">
        <v>3.02</v>
      </c>
      <c r="I6829" s="2" t="s">
        <v>4761</v>
      </c>
      <c r="J6829" s="2" t="s">
        <v>13</v>
      </c>
      <c r="K6829" s="2" t="s">
        <v>1452</v>
      </c>
      <c r="L6829" s="2" t="s">
        <v>5221</v>
      </c>
      <c r="M6829" s="2" t="s">
        <v>5221</v>
      </c>
      <c r="N6829" s="2" t="s">
        <v>2317</v>
      </c>
      <c r="O6829" s="14">
        <v>27500</v>
      </c>
      <c r="P6829" s="14">
        <v>99.44</v>
      </c>
      <c r="Q6829" s="14">
        <v>154</v>
      </c>
      <c r="R6829" s="14">
        <v>465.08</v>
      </c>
      <c r="S6829" s="2" t="s">
        <v>5976</v>
      </c>
      <c r="T6829" s="2">
        <v>1.01</v>
      </c>
      <c r="U6829" s="2">
        <v>70.5</v>
      </c>
      <c r="V6829" s="2">
        <v>66</v>
      </c>
      <c r="W6829" s="2" t="s">
        <v>7862</v>
      </c>
      <c r="X6829" s="2" t="s">
        <v>2449</v>
      </c>
      <c r="Y6829" s="2">
        <v>83050</v>
      </c>
      <c r="Z6829" s="19" t="str">
        <f>HYPERLINK("https://ssdweb.co/ssdweb/hd/Vision360.html?d=941310044&amp;zoomslide=1&amp;z=1941310044&amp;ISCONFIRM=0","VIDEO")</f>
        <v>VIDEO</v>
      </c>
      <c r="AA6829" s="19" t="str">
        <f>HYPERLINK("https://ssdweb.co/ssdweb/CERTH/685590688.pdf","CERTI")</f>
        <v>CERTI</v>
      </c>
    </row>
    <row r="6830" spans="1:27" ht="15" x14ac:dyDescent="0.25">
      <c r="A6830" s="2">
        <v>6825</v>
      </c>
      <c r="B6830" s="39">
        <v>926910471</v>
      </c>
      <c r="C6830" s="28" t="str">
        <f>HYPERLINK("https://pld.live/RapDetail.aspx?STONELIST=926910471","DNA")</f>
        <v>DNA</v>
      </c>
      <c r="D6830" s="18" t="s">
        <v>4563</v>
      </c>
      <c r="E6830" s="18" t="s">
        <v>2186</v>
      </c>
      <c r="F6830" s="2" t="s">
        <v>7987</v>
      </c>
      <c r="G6830" s="2" t="s">
        <v>5226</v>
      </c>
      <c r="H6830" s="14">
        <v>3.02</v>
      </c>
      <c r="I6830" s="2" t="s">
        <v>4699</v>
      </c>
      <c r="J6830" s="2" t="s">
        <v>3942</v>
      </c>
      <c r="K6830" s="2" t="s">
        <v>1452</v>
      </c>
      <c r="L6830" s="2" t="s">
        <v>5221</v>
      </c>
      <c r="M6830" s="2" t="s">
        <v>5221</v>
      </c>
      <c r="N6830" s="2" t="s">
        <v>2317</v>
      </c>
      <c r="O6830" s="14">
        <v>27000</v>
      </c>
      <c r="P6830" s="14">
        <v>99.43</v>
      </c>
      <c r="Q6830" s="14">
        <v>153.9</v>
      </c>
      <c r="R6830" s="14">
        <v>464.78</v>
      </c>
      <c r="S6830" s="2" t="s">
        <v>1319</v>
      </c>
      <c r="T6830" s="2">
        <v>1.03</v>
      </c>
      <c r="U6830" s="2">
        <v>73.099999999999994</v>
      </c>
      <c r="V6830" s="2">
        <v>67</v>
      </c>
      <c r="W6830" s="2" t="s">
        <v>7862</v>
      </c>
      <c r="X6830" s="2" t="s">
        <v>2449</v>
      </c>
      <c r="Y6830" s="2">
        <v>81540</v>
      </c>
      <c r="Z6830" s="19" t="str">
        <f>HYPERLINK("https://ssdweb.co/ssdweb/hd/Vision360.html?d=926910471&amp;zoomslide=1&amp;z=1926910471&amp;ISCONFIRM=0","VIDEO")</f>
        <v>VIDEO</v>
      </c>
      <c r="AA6830" s="19" t="str">
        <f>HYPERLINK("https://ssdweb.co/ssdweb/CERTH/659414615.pdf","CERTI")</f>
        <v>CERTI</v>
      </c>
    </row>
    <row r="6831" spans="1:27" ht="15" x14ac:dyDescent="0.25">
      <c r="A6831" s="2">
        <v>6826</v>
      </c>
      <c r="B6831" s="39">
        <v>926450559</v>
      </c>
      <c r="C6831" s="28" t="str">
        <f>HYPERLINK("https://pld.live/RapDetail.aspx?STONELIST=926450559","DNA")</f>
        <v>DNA</v>
      </c>
      <c r="D6831" s="18" t="s">
        <v>4563</v>
      </c>
      <c r="E6831" s="18" t="s">
        <v>2186</v>
      </c>
      <c r="F6831" s="2" t="s">
        <v>7987</v>
      </c>
      <c r="G6831" s="2" t="s">
        <v>5226</v>
      </c>
      <c r="H6831" s="14">
        <v>3.02</v>
      </c>
      <c r="I6831" s="2" t="s">
        <v>1505</v>
      </c>
      <c r="J6831" s="2" t="s">
        <v>5144</v>
      </c>
      <c r="K6831" s="2" t="s">
        <v>1452</v>
      </c>
      <c r="L6831" s="2" t="s">
        <v>5221</v>
      </c>
      <c r="M6831" s="2" t="s">
        <v>5221</v>
      </c>
      <c r="N6831" s="2" t="s">
        <v>2317</v>
      </c>
      <c r="O6831" s="14">
        <v>18000</v>
      </c>
      <c r="P6831" s="14">
        <v>99.3</v>
      </c>
      <c r="Q6831" s="14">
        <v>126</v>
      </c>
      <c r="R6831" s="14">
        <v>380.52</v>
      </c>
      <c r="S6831" s="2" t="s">
        <v>3284</v>
      </c>
      <c r="T6831" s="2">
        <v>1.01</v>
      </c>
      <c r="U6831" s="2">
        <v>73</v>
      </c>
      <c r="V6831" s="2">
        <v>72</v>
      </c>
      <c r="W6831" s="2" t="s">
        <v>8016</v>
      </c>
      <c r="X6831" s="2" t="s">
        <v>2449</v>
      </c>
      <c r="Y6831" s="2">
        <v>54360</v>
      </c>
      <c r="Z6831" s="19" t="str">
        <f>HYPERLINK("https://ssdweb.co/ssdweb/hd/Vision360.html?d=926450559&amp;zoomslide=1&amp;z=1926450559&amp;ISCONFIRM=0","VIDEO")</f>
        <v>VIDEO</v>
      </c>
      <c r="AA6831" s="19" t="str">
        <f>HYPERLINK("https://ssdweb.co/ssdweb/CERTH/645461936.pdf","CERTI")</f>
        <v>CERTI</v>
      </c>
    </row>
    <row r="6832" spans="1:27" ht="15" x14ac:dyDescent="0.25">
      <c r="A6832" s="2">
        <v>6827</v>
      </c>
      <c r="B6832" s="39">
        <v>921800065</v>
      </c>
      <c r="C6832" s="28" t="str">
        <f>HYPERLINK("https://pld.live/RapDetail.aspx?STONELIST=921800065","DNA")</f>
        <v>DNA</v>
      </c>
      <c r="D6832" s="18" t="s">
        <v>4563</v>
      </c>
      <c r="E6832" s="18" t="s">
        <v>2186</v>
      </c>
      <c r="F6832" s="2" t="s">
        <v>5597</v>
      </c>
      <c r="G6832" s="2" t="s">
        <v>5226</v>
      </c>
      <c r="H6832" s="14">
        <v>3.02</v>
      </c>
      <c r="I6832" s="2" t="s">
        <v>3722</v>
      </c>
      <c r="J6832" s="2" t="s">
        <v>3942</v>
      </c>
      <c r="K6832" s="2" t="s">
        <v>1452</v>
      </c>
      <c r="L6832" s="2" t="s">
        <v>5221</v>
      </c>
      <c r="M6832" s="2" t="s">
        <v>5221</v>
      </c>
      <c r="N6832" s="2" t="s">
        <v>2317</v>
      </c>
      <c r="O6832" s="14">
        <v>17500</v>
      </c>
      <c r="P6832" s="14">
        <v>98.8</v>
      </c>
      <c r="Q6832" s="14">
        <v>210</v>
      </c>
      <c r="R6832" s="14">
        <v>634.20000000000005</v>
      </c>
      <c r="S6832" s="2" t="s">
        <v>5874</v>
      </c>
      <c r="T6832" s="2">
        <v>1.02</v>
      </c>
      <c r="U6832" s="2">
        <v>70.8</v>
      </c>
      <c r="V6832" s="2">
        <v>71</v>
      </c>
      <c r="W6832" s="2" t="s">
        <v>7862</v>
      </c>
      <c r="X6832" s="2" t="s">
        <v>6155</v>
      </c>
      <c r="Y6832" s="2">
        <v>52850</v>
      </c>
      <c r="Z6832" s="19" t="str">
        <f>HYPERLINK("https://ssdweb.co/ssdweb/hd/Vision360.html?d=921800065&amp;zoomslide=1&amp;z=1921800065&amp;ISCONFIRM=0","VIDEO")</f>
        <v>VIDEO</v>
      </c>
      <c r="AA6832" s="19" t="str">
        <f>HYPERLINK("https://ssdweb.co/ssdweb/CERTH/6402606145.pdf","CERTI")</f>
        <v>CERTI</v>
      </c>
    </row>
    <row r="6833" spans="1:27" ht="15" x14ac:dyDescent="0.25">
      <c r="A6833" s="2">
        <v>6828</v>
      </c>
      <c r="B6833" s="39">
        <v>924190637</v>
      </c>
      <c r="C6833" s="28" t="str">
        <f>HYPERLINK("https://pld.live/RapDetail.aspx?STONELIST=924190637","DNA")</f>
        <v>DNA</v>
      </c>
      <c r="D6833" s="18" t="s">
        <v>4563</v>
      </c>
      <c r="E6833" s="18" t="s">
        <v>2186</v>
      </c>
      <c r="F6833" s="2" t="s">
        <v>5597</v>
      </c>
      <c r="G6833" s="2" t="s">
        <v>5226</v>
      </c>
      <c r="H6833" s="14">
        <v>3.01</v>
      </c>
      <c r="I6833" s="2" t="s">
        <v>4761</v>
      </c>
      <c r="J6833" s="2" t="s">
        <v>13</v>
      </c>
      <c r="K6833" s="2" t="s">
        <v>1452</v>
      </c>
      <c r="L6833" s="2" t="s">
        <v>5221</v>
      </c>
      <c r="M6833" s="2" t="s">
        <v>5221</v>
      </c>
      <c r="N6833" s="2" t="s">
        <v>2317</v>
      </c>
      <c r="O6833" s="14">
        <v>27500</v>
      </c>
      <c r="P6833" s="14">
        <v>99</v>
      </c>
      <c r="Q6833" s="14">
        <v>275</v>
      </c>
      <c r="R6833" s="14">
        <v>827.75</v>
      </c>
      <c r="S6833" s="2" t="s">
        <v>7563</v>
      </c>
      <c r="T6833" s="2">
        <v>1.01</v>
      </c>
      <c r="U6833" s="2">
        <v>72.3</v>
      </c>
      <c r="V6833" s="2">
        <v>71</v>
      </c>
      <c r="W6833" s="2" t="s">
        <v>7862</v>
      </c>
      <c r="X6833" s="2" t="s">
        <v>6155</v>
      </c>
      <c r="Y6833" s="2">
        <v>82775</v>
      </c>
      <c r="Z6833" s="19" t="str">
        <f>HYPERLINK("https://ssdweb.co/ssdweb/hd/Vision360.html?d=924190637&amp;zoomslide=1&amp;z=1924190637&amp;ISCONFIRM=0","VIDEO")</f>
        <v>VIDEO</v>
      </c>
      <c r="AA6833" s="19" t="str">
        <f>HYPERLINK("https://ssdweb.co/ssdweb/CERTH/7466529695.pdf","CERTI")</f>
        <v>CERTI</v>
      </c>
    </row>
    <row r="6834" spans="1:27" ht="15" x14ac:dyDescent="0.25">
      <c r="A6834" s="2">
        <v>6829</v>
      </c>
      <c r="B6834" s="39">
        <v>926890556</v>
      </c>
      <c r="C6834" s="28" t="str">
        <f>HYPERLINK("https://pld.live/RapDetail.aspx?STONELIST=926890556","DNA")</f>
        <v>DNA</v>
      </c>
      <c r="D6834" s="18" t="s">
        <v>4563</v>
      </c>
      <c r="E6834" s="18" t="s">
        <v>2186</v>
      </c>
      <c r="F6834" s="2" t="s">
        <v>7987</v>
      </c>
      <c r="G6834" s="2" t="s">
        <v>5226</v>
      </c>
      <c r="H6834" s="14">
        <v>3.01</v>
      </c>
      <c r="I6834" s="2" t="s">
        <v>4699</v>
      </c>
      <c r="J6834" s="2" t="s">
        <v>3942</v>
      </c>
      <c r="K6834" s="2" t="s">
        <v>1452</v>
      </c>
      <c r="L6834" s="2" t="s">
        <v>5221</v>
      </c>
      <c r="M6834" s="2" t="s">
        <v>5221</v>
      </c>
      <c r="N6834" s="2" t="s">
        <v>2317</v>
      </c>
      <c r="O6834" s="14">
        <v>27000</v>
      </c>
      <c r="P6834" s="14">
        <v>99.43</v>
      </c>
      <c r="Q6834" s="14">
        <v>153.9</v>
      </c>
      <c r="R6834" s="14">
        <v>463.24</v>
      </c>
      <c r="S6834" s="2" t="s">
        <v>7501</v>
      </c>
      <c r="T6834" s="2">
        <v>1.03</v>
      </c>
      <c r="U6834" s="2">
        <v>73.900000000000006</v>
      </c>
      <c r="V6834" s="2">
        <v>68</v>
      </c>
      <c r="W6834" s="2" t="s">
        <v>7862</v>
      </c>
      <c r="X6834" s="2" t="s">
        <v>2449</v>
      </c>
      <c r="Y6834" s="2">
        <v>81270</v>
      </c>
      <c r="Z6834" s="19" t="str">
        <f>HYPERLINK("https://ssdweb.co/ssdweb/hd/Vision360.html?d=926890556&amp;zoomslide=1&amp;z=1926890556&amp;ISCONFIRM=0","VIDEO")</f>
        <v>VIDEO</v>
      </c>
      <c r="AA6834" s="19" t="str">
        <f>HYPERLINK("https://ssdweb.co/ssdweb/CERTH/659437032.pdf","CERTI")</f>
        <v>CERTI</v>
      </c>
    </row>
    <row r="6835" spans="1:27" ht="15" x14ac:dyDescent="0.25">
      <c r="A6835" s="2">
        <v>6830</v>
      </c>
      <c r="B6835" s="39">
        <v>926890565</v>
      </c>
      <c r="C6835" s="28" t="str">
        <f>HYPERLINK("https://pld.live/RapDetail.aspx?STONELIST=926890565","DNA")</f>
        <v>DNA</v>
      </c>
      <c r="D6835" s="18" t="s">
        <v>4563</v>
      </c>
      <c r="E6835" s="18" t="s">
        <v>2186</v>
      </c>
      <c r="F6835" s="2" t="s">
        <v>7987</v>
      </c>
      <c r="G6835" s="2" t="s">
        <v>5226</v>
      </c>
      <c r="H6835" s="14">
        <v>3.01</v>
      </c>
      <c r="I6835" s="2" t="s">
        <v>4699</v>
      </c>
      <c r="J6835" s="2" t="s">
        <v>13</v>
      </c>
      <c r="K6835" s="2" t="s">
        <v>1452</v>
      </c>
      <c r="L6835" s="2" t="s">
        <v>5221</v>
      </c>
      <c r="M6835" s="2" t="s">
        <v>5221</v>
      </c>
      <c r="N6835" s="2" t="s">
        <v>2317</v>
      </c>
      <c r="O6835" s="14">
        <v>25000</v>
      </c>
      <c r="P6835" s="14">
        <v>99.43</v>
      </c>
      <c r="Q6835" s="14">
        <v>142.5</v>
      </c>
      <c r="R6835" s="14">
        <v>428.93</v>
      </c>
      <c r="S6835" s="2" t="s">
        <v>4062</v>
      </c>
      <c r="T6835" s="2">
        <v>1.02</v>
      </c>
      <c r="U6835" s="2">
        <v>69.599999999999994</v>
      </c>
      <c r="V6835" s="2">
        <v>73</v>
      </c>
      <c r="W6835" s="2" t="s">
        <v>7862</v>
      </c>
      <c r="X6835" s="2" t="s">
        <v>2449</v>
      </c>
      <c r="Y6835" s="2">
        <v>75250</v>
      </c>
      <c r="Z6835" s="19" t="str">
        <f>HYPERLINK("https://ssdweb.co/ssdweb/hd/Vision360.html?d=926890565&amp;zoomslide=1&amp;z=1926890565&amp;ISCONFIRM=0","VIDEO")</f>
        <v>VIDEO</v>
      </c>
      <c r="AA6835" s="19" t="str">
        <f>HYPERLINK("https://ssdweb.co/ssdweb/CERTH/660487676.pdf","CERTI")</f>
        <v>CERTI</v>
      </c>
    </row>
    <row r="6836" spans="1:27" ht="15" x14ac:dyDescent="0.25">
      <c r="A6836" s="2">
        <v>6831</v>
      </c>
      <c r="B6836" s="39">
        <v>926930926</v>
      </c>
      <c r="C6836" s="28" t="str">
        <f>HYPERLINK("https://pld.live/RapDetail.aspx?STONELIST=926930926","DNA")</f>
        <v>DNA</v>
      </c>
      <c r="D6836" s="18" t="s">
        <v>4563</v>
      </c>
      <c r="E6836" s="18" t="s">
        <v>2186</v>
      </c>
      <c r="F6836" s="2" t="s">
        <v>7987</v>
      </c>
      <c r="G6836" s="2" t="s">
        <v>5226</v>
      </c>
      <c r="H6836" s="14">
        <v>3.01</v>
      </c>
      <c r="I6836" s="2" t="s">
        <v>6587</v>
      </c>
      <c r="J6836" s="2" t="s">
        <v>3942</v>
      </c>
      <c r="K6836" s="2" t="s">
        <v>1452</v>
      </c>
      <c r="L6836" s="2" t="s">
        <v>5221</v>
      </c>
      <c r="M6836" s="2" t="s">
        <v>5221</v>
      </c>
      <c r="N6836" s="2" t="s">
        <v>2317</v>
      </c>
      <c r="O6836" s="14">
        <v>24500</v>
      </c>
      <c r="P6836" s="14">
        <v>99.42</v>
      </c>
      <c r="Q6836" s="14">
        <v>142.1</v>
      </c>
      <c r="R6836" s="14">
        <v>427.72</v>
      </c>
      <c r="S6836" s="2" t="s">
        <v>6272</v>
      </c>
      <c r="T6836" s="2">
        <v>1.02</v>
      </c>
      <c r="U6836" s="2">
        <v>72.5</v>
      </c>
      <c r="V6836" s="2">
        <v>69</v>
      </c>
      <c r="W6836" s="2" t="s">
        <v>7862</v>
      </c>
      <c r="X6836" s="2" t="s">
        <v>2449</v>
      </c>
      <c r="Y6836" s="2">
        <v>73745</v>
      </c>
      <c r="Z6836" s="19" t="str">
        <f>HYPERLINK("https://ssdweb.co/ssdweb/hd/Vision360.html?d=926930926&amp;zoomslide=1&amp;z=1926930926&amp;ISCONFIRM=0","VIDEO")</f>
        <v>VIDEO</v>
      </c>
      <c r="AA6836" s="19" t="str">
        <f>HYPERLINK("https://ssdweb.co/ssdweb/CERTH/660487682.pdf","CERTI")</f>
        <v>CERTI</v>
      </c>
    </row>
    <row r="6837" spans="1:27" ht="15" x14ac:dyDescent="0.25">
      <c r="A6837" s="2">
        <v>6832</v>
      </c>
      <c r="B6837" s="39">
        <v>924250272</v>
      </c>
      <c r="C6837" s="28" t="str">
        <f>HYPERLINK("https://pld.live/RapDetail.aspx?STONELIST=924250272","DNA")</f>
        <v>DNA</v>
      </c>
      <c r="D6837" s="18" t="s">
        <v>4563</v>
      </c>
      <c r="E6837" s="18" t="s">
        <v>2186</v>
      </c>
      <c r="F6837" s="2" t="s">
        <v>5597</v>
      </c>
      <c r="G6837" s="2" t="s">
        <v>5226</v>
      </c>
      <c r="H6837" s="14">
        <v>3.01</v>
      </c>
      <c r="I6837" s="2" t="s">
        <v>3722</v>
      </c>
      <c r="J6837" s="2" t="s">
        <v>13</v>
      </c>
      <c r="K6837" s="2" t="s">
        <v>1452</v>
      </c>
      <c r="L6837" s="2" t="s">
        <v>5221</v>
      </c>
      <c r="M6837" s="2" t="s">
        <v>5221</v>
      </c>
      <c r="N6837" s="2" t="s">
        <v>2317</v>
      </c>
      <c r="O6837" s="14">
        <v>16500</v>
      </c>
      <c r="P6837" s="14">
        <v>98.79</v>
      </c>
      <c r="Q6837" s="14">
        <v>199.65</v>
      </c>
      <c r="R6837" s="14">
        <v>600.95000000000005</v>
      </c>
      <c r="S6837" s="2" t="s">
        <v>7477</v>
      </c>
      <c r="T6837" s="2">
        <v>1.01</v>
      </c>
      <c r="U6837" s="2">
        <v>69</v>
      </c>
      <c r="V6837" s="2">
        <v>71</v>
      </c>
      <c r="W6837" s="2" t="s">
        <v>7862</v>
      </c>
      <c r="X6837" s="2" t="s">
        <v>6155</v>
      </c>
      <c r="Y6837" s="2">
        <v>49665</v>
      </c>
      <c r="Z6837" s="19" t="str">
        <f>HYPERLINK("https://ssdweb.co/ssdweb/hd/Vision360.html?d=924250272&amp;zoomslide=1&amp;z=1924250272&amp;ISCONFIRM=0","VIDEO")</f>
        <v>VIDEO</v>
      </c>
      <c r="AA6837" s="19" t="str">
        <f>HYPERLINK("https://ssdweb.co/ssdweb/CERTH/6465584527.pdf","CERTI")</f>
        <v>CERTI</v>
      </c>
    </row>
    <row r="6838" spans="1:27" ht="15" x14ac:dyDescent="0.25">
      <c r="A6838" s="2">
        <v>6833</v>
      </c>
      <c r="B6838" s="39">
        <v>926410348</v>
      </c>
      <c r="C6838" s="28" t="str">
        <f>HYPERLINK("https://pld.live/RapDetail.aspx?STONELIST=926410348","DNA")</f>
        <v>DNA</v>
      </c>
      <c r="D6838" s="18" t="s">
        <v>2694</v>
      </c>
      <c r="E6838" s="18" t="s">
        <v>2186</v>
      </c>
      <c r="F6838" s="2" t="s">
        <v>7987</v>
      </c>
      <c r="G6838" s="2" t="s">
        <v>5226</v>
      </c>
      <c r="H6838" s="14">
        <v>2.97</v>
      </c>
      <c r="I6838" s="2" t="s">
        <v>4761</v>
      </c>
      <c r="J6838" s="2" t="s">
        <v>13</v>
      </c>
      <c r="K6838" s="2" t="s">
        <v>1452</v>
      </c>
      <c r="L6838" s="2" t="s">
        <v>5221</v>
      </c>
      <c r="M6838" s="2" t="s">
        <v>5221</v>
      </c>
      <c r="N6838" s="2" t="s">
        <v>2317</v>
      </c>
      <c r="O6838" s="14">
        <v>16000</v>
      </c>
      <c r="P6838" s="14">
        <v>99.11</v>
      </c>
      <c r="Q6838" s="14">
        <v>142.4</v>
      </c>
      <c r="R6838" s="14">
        <v>422.93</v>
      </c>
      <c r="S6838" s="2" t="s">
        <v>2788</v>
      </c>
      <c r="T6838" s="2">
        <v>1.01</v>
      </c>
      <c r="U6838" s="2">
        <v>70.8</v>
      </c>
      <c r="V6838" s="2">
        <v>71</v>
      </c>
      <c r="W6838" s="2" t="s">
        <v>7862</v>
      </c>
      <c r="X6838" s="2" t="s">
        <v>2449</v>
      </c>
      <c r="Y6838" s="2">
        <v>47520</v>
      </c>
      <c r="Z6838" s="19" t="str">
        <f>HYPERLINK("https://ssdweb.co/ssdweb/hd/Vision360.html?d=926410348&amp;zoomslide=1&amp;z=1926410348&amp;ISCONFIRM=0","VIDEO")</f>
        <v>VIDEO</v>
      </c>
      <c r="AA6838" s="19" t="str">
        <f>HYPERLINK("https://ssdweb.co/ssdweb/CERTH/643427942.pdf","CERTI")</f>
        <v>CERTI</v>
      </c>
    </row>
    <row r="6839" spans="1:27" ht="15" x14ac:dyDescent="0.25">
      <c r="A6839" s="2">
        <v>6834</v>
      </c>
      <c r="B6839" s="39">
        <v>924020238</v>
      </c>
      <c r="C6839" s="28" t="str">
        <f>HYPERLINK("https://pld.live/RapDetail.aspx?STONELIST=924020238","DNA")</f>
        <v>DNA</v>
      </c>
      <c r="D6839" s="18" t="s">
        <v>2694</v>
      </c>
      <c r="E6839" s="18" t="s">
        <v>2186</v>
      </c>
      <c r="F6839" s="2" t="s">
        <v>7987</v>
      </c>
      <c r="G6839" s="2" t="s">
        <v>5226</v>
      </c>
      <c r="H6839" s="14">
        <v>2.9</v>
      </c>
      <c r="I6839" s="2" t="s">
        <v>1505</v>
      </c>
      <c r="J6839" s="2" t="s">
        <v>13</v>
      </c>
      <c r="K6839" s="2" t="s">
        <v>1452</v>
      </c>
      <c r="L6839" s="2" t="s">
        <v>5221</v>
      </c>
      <c r="M6839" s="2" t="s">
        <v>5221</v>
      </c>
      <c r="N6839" s="2" t="s">
        <v>2317</v>
      </c>
      <c r="O6839" s="14">
        <v>11500</v>
      </c>
      <c r="P6839" s="14">
        <v>99.04</v>
      </c>
      <c r="Q6839" s="14">
        <v>110.4</v>
      </c>
      <c r="R6839" s="14">
        <v>320.16000000000003</v>
      </c>
      <c r="S6839" s="2" t="s">
        <v>7619</v>
      </c>
      <c r="T6839" s="2">
        <v>1.01</v>
      </c>
      <c r="U6839" s="2">
        <v>71.400000000000006</v>
      </c>
      <c r="V6839" s="2">
        <v>68</v>
      </c>
      <c r="W6839" s="2" t="s">
        <v>7862</v>
      </c>
      <c r="X6839" s="2" t="s">
        <v>2449</v>
      </c>
      <c r="Y6839" s="2">
        <v>33350</v>
      </c>
      <c r="Z6839" s="19" t="str">
        <f>HYPERLINK("https://ssdweb.co/ssdweb/hd/Vision360.html?d=924020238&amp;zoomslide=1&amp;z=1924020238&amp;ISCONFIRM=0","VIDEO")</f>
        <v>VIDEO</v>
      </c>
      <c r="AA6839" s="19" t="str">
        <f>HYPERLINK("https://ssdweb.co/ssdweb/CERTH/574343323.pdf","CERTI")</f>
        <v>CERTI</v>
      </c>
    </row>
    <row r="6840" spans="1:27" ht="15" x14ac:dyDescent="0.25">
      <c r="A6840" s="2">
        <v>6835</v>
      </c>
      <c r="B6840" s="39">
        <v>941290191</v>
      </c>
      <c r="C6840" s="28" t="str">
        <f>HYPERLINK("https://pld.live/RapDetail.aspx?STONELIST=941290191","DNA")</f>
        <v>DNA</v>
      </c>
      <c r="D6840" s="18" t="s">
        <v>2694</v>
      </c>
      <c r="E6840" s="18" t="s">
        <v>2186</v>
      </c>
      <c r="F6840" s="2" t="s">
        <v>7987</v>
      </c>
      <c r="G6840" s="2" t="s">
        <v>5226</v>
      </c>
      <c r="H6840" s="14">
        <v>2.89</v>
      </c>
      <c r="I6840" s="2" t="s">
        <v>4761</v>
      </c>
      <c r="J6840" s="2" t="s">
        <v>13</v>
      </c>
      <c r="K6840" s="2" t="s">
        <v>1452</v>
      </c>
      <c r="L6840" s="2" t="s">
        <v>5221</v>
      </c>
      <c r="M6840" s="2" t="s">
        <v>5221</v>
      </c>
      <c r="N6840" s="2" t="s">
        <v>2317</v>
      </c>
      <c r="O6840" s="14">
        <v>16000</v>
      </c>
      <c r="P6840" s="14">
        <v>99.09</v>
      </c>
      <c r="Q6840" s="14">
        <v>145.6</v>
      </c>
      <c r="R6840" s="14">
        <v>420.78</v>
      </c>
      <c r="S6840" s="2" t="s">
        <v>4041</v>
      </c>
      <c r="T6840" s="2">
        <v>1.02</v>
      </c>
      <c r="U6840" s="2">
        <v>71.099999999999994</v>
      </c>
      <c r="V6840" s="2">
        <v>71</v>
      </c>
      <c r="W6840" s="2" t="s">
        <v>7862</v>
      </c>
      <c r="X6840" s="2" t="s">
        <v>2449</v>
      </c>
      <c r="Y6840" s="2">
        <v>46240</v>
      </c>
      <c r="Z6840" s="19" t="str">
        <f>HYPERLINK("https://ssdweb.co/ssdweb/hd/Vision360.html?d=941290191&amp;zoomslide=1&amp;z=1941290191&amp;ISCONFIRM=0","VIDEO")</f>
        <v>VIDEO</v>
      </c>
      <c r="AA6840" s="19" t="str">
        <f>HYPERLINK("https://ssdweb.co/ssdweb/CERTH/687560949.pdf","CERTI")</f>
        <v>CERTI</v>
      </c>
    </row>
    <row r="6841" spans="1:27" ht="15" x14ac:dyDescent="0.25">
      <c r="A6841" s="2">
        <v>6836</v>
      </c>
      <c r="B6841" s="39">
        <v>926910563</v>
      </c>
      <c r="C6841" s="28" t="str">
        <f>HYPERLINK("https://pld.live/RapDetail.aspx?STONELIST=926910563","DNA")</f>
        <v>DNA</v>
      </c>
      <c r="D6841" s="18" t="s">
        <v>2694</v>
      </c>
      <c r="E6841" s="18" t="s">
        <v>2186</v>
      </c>
      <c r="F6841" s="2" t="s">
        <v>7987</v>
      </c>
      <c r="G6841" s="2" t="s">
        <v>5226</v>
      </c>
      <c r="H6841" s="14">
        <v>2.89</v>
      </c>
      <c r="I6841" s="2" t="s">
        <v>4699</v>
      </c>
      <c r="J6841" s="2" t="s">
        <v>3942</v>
      </c>
      <c r="K6841" s="2" t="s">
        <v>1452</v>
      </c>
      <c r="L6841" s="2" t="s">
        <v>5221</v>
      </c>
      <c r="M6841" s="2" t="s">
        <v>5221</v>
      </c>
      <c r="N6841" s="2" t="s">
        <v>2317</v>
      </c>
      <c r="O6841" s="14">
        <v>16000</v>
      </c>
      <c r="P6841" s="14">
        <v>99.11</v>
      </c>
      <c r="Q6841" s="14">
        <v>142.4</v>
      </c>
      <c r="R6841" s="14">
        <v>411.54</v>
      </c>
      <c r="S6841" s="2" t="s">
        <v>2440</v>
      </c>
      <c r="T6841" s="2">
        <v>1</v>
      </c>
      <c r="U6841" s="2">
        <v>71.2</v>
      </c>
      <c r="V6841" s="2">
        <v>71</v>
      </c>
      <c r="W6841" s="2" t="s">
        <v>7862</v>
      </c>
      <c r="X6841" s="2" t="s">
        <v>2449</v>
      </c>
      <c r="Y6841" s="2">
        <v>46240</v>
      </c>
      <c r="Z6841" s="19" t="str">
        <f>HYPERLINK("https://ssdweb.co/ssdweb/hd/Vision360.html?d=926910563&amp;zoomslide=1&amp;z=1926910563&amp;ISCONFIRM=0","VIDEO")</f>
        <v>VIDEO</v>
      </c>
      <c r="AA6841" s="19" t="str">
        <f>HYPERLINK("https://ssdweb.co/ssdweb/CERTH/659414274.pdf","CERTI")</f>
        <v>CERTI</v>
      </c>
    </row>
    <row r="6842" spans="1:27" ht="15" x14ac:dyDescent="0.25">
      <c r="A6842" s="2">
        <v>6837</v>
      </c>
      <c r="B6842" s="39">
        <v>926150062</v>
      </c>
      <c r="C6842" s="28" t="str">
        <f>HYPERLINK("https://pld.live/RapDetail.aspx?STONELIST=926150062","DNA")</f>
        <v>DNA</v>
      </c>
      <c r="D6842" s="18" t="s">
        <v>2694</v>
      </c>
      <c r="E6842" s="18" t="s">
        <v>2186</v>
      </c>
      <c r="F6842" s="2" t="s">
        <v>7987</v>
      </c>
      <c r="G6842" s="2" t="s">
        <v>5226</v>
      </c>
      <c r="H6842" s="14">
        <v>2.89</v>
      </c>
      <c r="I6842" s="2" t="s">
        <v>4699</v>
      </c>
      <c r="J6842" s="2" t="s">
        <v>3942</v>
      </c>
      <c r="K6842" s="2" t="s">
        <v>1452</v>
      </c>
      <c r="L6842" s="2" t="s">
        <v>5221</v>
      </c>
      <c r="M6842" s="2" t="s">
        <v>5221</v>
      </c>
      <c r="N6842" s="2" t="s">
        <v>2317</v>
      </c>
      <c r="O6842" s="14">
        <v>16000</v>
      </c>
      <c r="P6842" s="14">
        <v>99.13</v>
      </c>
      <c r="Q6842" s="14">
        <v>139.19999999999999</v>
      </c>
      <c r="R6842" s="14">
        <v>402.29</v>
      </c>
      <c r="S6842" s="2" t="s">
        <v>6792</v>
      </c>
      <c r="T6842" s="2">
        <v>1.01</v>
      </c>
      <c r="U6842" s="2">
        <v>72.400000000000006</v>
      </c>
      <c r="V6842" s="2">
        <v>70</v>
      </c>
      <c r="W6842" s="2" t="s">
        <v>7862</v>
      </c>
      <c r="X6842" s="2" t="s">
        <v>2449</v>
      </c>
      <c r="Y6842" s="2">
        <v>46240</v>
      </c>
      <c r="Z6842" s="19" t="str">
        <f>HYPERLINK("https://ssdweb.co/ssdweb/hd/Vision360.html?d=926150062&amp;zoomslide=1&amp;z=1926150062&amp;ISCONFIRM=0","VIDEO")</f>
        <v>VIDEO</v>
      </c>
      <c r="AA6842" s="19" t="str">
        <f>HYPERLINK("https://ssdweb.co/ssdweb/CERTH/634472298.pdf","CERTI")</f>
        <v>CERTI</v>
      </c>
    </row>
    <row r="6843" spans="1:27" ht="15" x14ac:dyDescent="0.25">
      <c r="A6843" s="2">
        <v>6838</v>
      </c>
      <c r="B6843" s="39">
        <v>926160046</v>
      </c>
      <c r="C6843" s="28" t="str">
        <f>HYPERLINK("https://pld.live/RapDetail.aspx?STONELIST=926160046","DNA")</f>
        <v>DNA</v>
      </c>
      <c r="D6843" s="18" t="s">
        <v>2694</v>
      </c>
      <c r="E6843" s="18" t="s">
        <v>2186</v>
      </c>
      <c r="F6843" s="2" t="s">
        <v>7987</v>
      </c>
      <c r="G6843" s="2" t="s">
        <v>5226</v>
      </c>
      <c r="H6843" s="14">
        <v>2.87</v>
      </c>
      <c r="I6843" s="2" t="s">
        <v>6587</v>
      </c>
      <c r="J6843" s="2" t="s">
        <v>13</v>
      </c>
      <c r="K6843" s="2" t="s">
        <v>1452</v>
      </c>
      <c r="L6843" s="2" t="s">
        <v>5221</v>
      </c>
      <c r="M6843" s="2" t="s">
        <v>5221</v>
      </c>
      <c r="N6843" s="2" t="s">
        <v>2317</v>
      </c>
      <c r="O6843" s="14">
        <v>14000</v>
      </c>
      <c r="P6843" s="14">
        <v>99.14</v>
      </c>
      <c r="Q6843" s="14">
        <v>120.4</v>
      </c>
      <c r="R6843" s="14">
        <v>345.55</v>
      </c>
      <c r="S6843" s="2" t="s">
        <v>4308</v>
      </c>
      <c r="T6843" s="2">
        <v>1.01</v>
      </c>
      <c r="U6843" s="2">
        <v>72.5</v>
      </c>
      <c r="V6843" s="2">
        <v>69</v>
      </c>
      <c r="W6843" s="2" t="s">
        <v>7862</v>
      </c>
      <c r="X6843" s="2" t="s">
        <v>2449</v>
      </c>
      <c r="Y6843" s="2">
        <v>40180</v>
      </c>
      <c r="Z6843" s="19" t="str">
        <f>HYPERLINK("https://ssdweb.co/ssdweb/hd/Vision360.html?d=926160046&amp;zoomslide=1&amp;z=1926160046&amp;ISCONFIRM=0","VIDEO")</f>
        <v>VIDEO</v>
      </c>
      <c r="AA6843" s="19" t="str">
        <f>HYPERLINK("https://ssdweb.co/ssdweb/CERTH/634431426.pdf","CERTI")</f>
        <v>CERTI</v>
      </c>
    </row>
    <row r="6844" spans="1:27" ht="15" x14ac:dyDescent="0.25">
      <c r="A6844" s="2">
        <v>6839</v>
      </c>
      <c r="B6844" s="39">
        <v>926150073</v>
      </c>
      <c r="C6844" s="28" t="str">
        <f>HYPERLINK("https://pld.live/RapDetail.aspx?STONELIST=926150073","DNA")</f>
        <v>DNA</v>
      </c>
      <c r="D6844" s="18" t="s">
        <v>2694</v>
      </c>
      <c r="E6844" s="18" t="s">
        <v>2186</v>
      </c>
      <c r="F6844" s="2" t="s">
        <v>7987</v>
      </c>
      <c r="G6844" s="2" t="s">
        <v>5226</v>
      </c>
      <c r="H6844" s="14">
        <v>2.85</v>
      </c>
      <c r="I6844" s="2" t="s">
        <v>6587</v>
      </c>
      <c r="J6844" s="2" t="s">
        <v>13</v>
      </c>
      <c r="K6844" s="2" t="s">
        <v>1452</v>
      </c>
      <c r="L6844" s="2" t="s">
        <v>5221</v>
      </c>
      <c r="M6844" s="2" t="s">
        <v>5221</v>
      </c>
      <c r="N6844" s="2" t="s">
        <v>2317</v>
      </c>
      <c r="O6844" s="14">
        <v>14000</v>
      </c>
      <c r="P6844" s="14">
        <v>99.14</v>
      </c>
      <c r="Q6844" s="14">
        <v>120.4</v>
      </c>
      <c r="R6844" s="14">
        <v>343.14</v>
      </c>
      <c r="S6844" s="2" t="s">
        <v>4916</v>
      </c>
      <c r="T6844" s="2">
        <v>1.01</v>
      </c>
      <c r="U6844" s="2">
        <v>71</v>
      </c>
      <c r="V6844" s="2">
        <v>69</v>
      </c>
      <c r="W6844" s="2" t="s">
        <v>7862</v>
      </c>
      <c r="X6844" s="2" t="s">
        <v>2449</v>
      </c>
      <c r="Y6844" s="2">
        <v>39900</v>
      </c>
      <c r="Z6844" s="19" t="str">
        <f>HYPERLINK("https://ssdweb.co/ssdweb/hd/Vision360.html?d=926150073&amp;zoomslide=1&amp;z=1926150073&amp;ISCONFIRM=0","VIDEO")</f>
        <v>VIDEO</v>
      </c>
      <c r="AA6844" s="19" t="str">
        <f>HYPERLINK("https://ssdweb.co/ssdweb/CERTH/634431385.pdf","CERTI")</f>
        <v>CERTI</v>
      </c>
    </row>
    <row r="6845" spans="1:27" ht="15" x14ac:dyDescent="0.25">
      <c r="A6845" s="2">
        <v>6840</v>
      </c>
      <c r="B6845" s="39">
        <v>926150010</v>
      </c>
      <c r="C6845" s="28" t="str">
        <f>HYPERLINK("https://pld.live/RapDetail.aspx?STONELIST=926150010","DNA")</f>
        <v>DNA</v>
      </c>
      <c r="D6845" s="18" t="s">
        <v>2694</v>
      </c>
      <c r="E6845" s="18" t="s">
        <v>2186</v>
      </c>
      <c r="F6845" s="2" t="s">
        <v>7987</v>
      </c>
      <c r="G6845" s="2" t="s">
        <v>5226</v>
      </c>
      <c r="H6845" s="14">
        <v>2.82</v>
      </c>
      <c r="I6845" s="2" t="s">
        <v>6587</v>
      </c>
      <c r="J6845" s="2" t="s">
        <v>13</v>
      </c>
      <c r="K6845" s="2" t="s">
        <v>1452</v>
      </c>
      <c r="L6845" s="2" t="s">
        <v>5221</v>
      </c>
      <c r="M6845" s="2" t="s">
        <v>5221</v>
      </c>
      <c r="N6845" s="2" t="s">
        <v>2317</v>
      </c>
      <c r="O6845" s="14">
        <v>14000</v>
      </c>
      <c r="P6845" s="14">
        <v>99.14</v>
      </c>
      <c r="Q6845" s="14">
        <v>120.4</v>
      </c>
      <c r="R6845" s="14">
        <v>339.53</v>
      </c>
      <c r="S6845" s="2" t="s">
        <v>6106</v>
      </c>
      <c r="T6845" s="2">
        <v>1.02</v>
      </c>
      <c r="U6845" s="2">
        <v>72.5</v>
      </c>
      <c r="V6845" s="2">
        <v>70</v>
      </c>
      <c r="W6845" s="2" t="s">
        <v>7862</v>
      </c>
      <c r="X6845" s="2" t="s">
        <v>2449</v>
      </c>
      <c r="Y6845" s="2">
        <v>39480</v>
      </c>
      <c r="Z6845" s="19" t="str">
        <f>HYPERLINK("https://ssdweb.co/ssdweb/hd/Vision360.html?d=926150010&amp;zoomslide=1&amp;z=1926150010&amp;ISCONFIRM=0","VIDEO")</f>
        <v>VIDEO</v>
      </c>
      <c r="AA6845" s="19" t="str">
        <f>HYPERLINK("https://ssdweb.co/ssdweb/CERTH/633490565.pdf","CERTI")</f>
        <v>CERTI</v>
      </c>
    </row>
    <row r="6846" spans="1:27" ht="15" x14ac:dyDescent="0.25">
      <c r="A6846" s="2">
        <v>6841</v>
      </c>
      <c r="B6846" s="39">
        <v>926560320</v>
      </c>
      <c r="C6846" s="28" t="str">
        <f>HYPERLINK("https://pld.live/RapDetail.aspx?STONELIST=926560320","DNA")</f>
        <v>DNA</v>
      </c>
      <c r="D6846" s="18" t="s">
        <v>2694</v>
      </c>
      <c r="E6846" s="18" t="s">
        <v>2186</v>
      </c>
      <c r="F6846" s="2" t="s">
        <v>7987</v>
      </c>
      <c r="G6846" s="2" t="s">
        <v>5226</v>
      </c>
      <c r="H6846" s="14">
        <v>2.81</v>
      </c>
      <c r="I6846" s="2" t="s">
        <v>4699</v>
      </c>
      <c r="J6846" s="2" t="s">
        <v>13</v>
      </c>
      <c r="K6846" s="2" t="s">
        <v>1452</v>
      </c>
      <c r="L6846" s="2" t="s">
        <v>5221</v>
      </c>
      <c r="M6846" s="2" t="s">
        <v>5221</v>
      </c>
      <c r="N6846" s="2" t="s">
        <v>2317</v>
      </c>
      <c r="O6846" s="14">
        <v>15000</v>
      </c>
      <c r="P6846" s="14">
        <v>99.11</v>
      </c>
      <c r="Q6846" s="14">
        <v>133.5</v>
      </c>
      <c r="R6846" s="14">
        <v>375.14</v>
      </c>
      <c r="S6846" s="2" t="s">
        <v>6814</v>
      </c>
      <c r="T6846" s="2">
        <v>1.01</v>
      </c>
      <c r="U6846" s="2">
        <v>70.2</v>
      </c>
      <c r="V6846" s="2">
        <v>70</v>
      </c>
      <c r="W6846" s="2" t="s">
        <v>7862</v>
      </c>
      <c r="X6846" s="2" t="s">
        <v>2449</v>
      </c>
      <c r="Y6846" s="2">
        <v>42150</v>
      </c>
      <c r="Z6846" s="19" t="str">
        <f>HYPERLINK("https://ssdweb.co/ssdweb/hd/Vision360.html?d=926560320&amp;zoomslide=1&amp;z=1926560320&amp;ISCONFIRM=0","VIDEO")</f>
        <v>VIDEO</v>
      </c>
      <c r="AA6846" s="19" t="str">
        <f>HYPERLINK("https://ssdweb.co/ssdweb/CERTH/647475478.pdf","CERTI")</f>
        <v>CERTI</v>
      </c>
    </row>
    <row r="6847" spans="1:27" ht="15" x14ac:dyDescent="0.25">
      <c r="A6847" s="2">
        <v>6842</v>
      </c>
      <c r="B6847" s="39">
        <v>821112594</v>
      </c>
      <c r="C6847" s="28" t="str">
        <f>HYPERLINK("https://pld.live/RapDetail.aspx?STONELIST=821112594","DNA")</f>
        <v>DNA</v>
      </c>
      <c r="D6847" s="18" t="s">
        <v>2694</v>
      </c>
      <c r="E6847" s="18" t="s">
        <v>2186</v>
      </c>
      <c r="F6847" s="2" t="s">
        <v>7987</v>
      </c>
      <c r="G6847" s="2" t="s">
        <v>5226</v>
      </c>
      <c r="H6847" s="14">
        <v>2.8</v>
      </c>
      <c r="I6847" s="2" t="s">
        <v>6587</v>
      </c>
      <c r="J6847" s="2" t="s">
        <v>13</v>
      </c>
      <c r="K6847" s="2" t="s">
        <v>1452</v>
      </c>
      <c r="L6847" s="2" t="s">
        <v>5221</v>
      </c>
      <c r="M6847" s="2" t="s">
        <v>5221</v>
      </c>
      <c r="N6847" s="2" t="s">
        <v>2317</v>
      </c>
      <c r="O6847" s="14">
        <v>14000</v>
      </c>
      <c r="P6847" s="14">
        <v>99.14</v>
      </c>
      <c r="Q6847" s="14">
        <v>120.4</v>
      </c>
      <c r="R6847" s="14">
        <v>337.12</v>
      </c>
      <c r="S6847" s="2" t="s">
        <v>2537</v>
      </c>
      <c r="T6847" s="2">
        <v>1</v>
      </c>
      <c r="U6847" s="2">
        <v>71.3</v>
      </c>
      <c r="V6847" s="2">
        <v>65</v>
      </c>
      <c r="W6847" s="2" t="s">
        <v>7862</v>
      </c>
      <c r="X6847" s="2" t="s">
        <v>2449</v>
      </c>
      <c r="Y6847" s="2">
        <v>39200</v>
      </c>
      <c r="Z6847" s="19" t="str">
        <f>HYPERLINK("https://ssdweb.co/ssdweb/hd/Vision360.html?d=821112594&amp;zoomslide=1&amp;z=1821112594&amp;ISCONFIRM=0","VIDEO")</f>
        <v>VIDEO</v>
      </c>
      <c r="AA6847" s="19" t="str">
        <f>HYPERLINK("https://ssdweb.co/ssdweb/CERTH/618403239.pdf","CERTI")</f>
        <v>CERTI</v>
      </c>
    </row>
    <row r="6848" spans="1:27" ht="15" x14ac:dyDescent="0.25">
      <c r="A6848" s="2">
        <v>6843</v>
      </c>
      <c r="B6848" s="39">
        <v>926160040</v>
      </c>
      <c r="C6848" s="28" t="str">
        <f>HYPERLINK("https://pld.live/RapDetail.aspx?STONELIST=926160040","DNA")</f>
        <v>DNA</v>
      </c>
      <c r="D6848" s="18" t="s">
        <v>2694</v>
      </c>
      <c r="E6848" s="18" t="s">
        <v>2186</v>
      </c>
      <c r="F6848" s="2" t="s">
        <v>7987</v>
      </c>
      <c r="G6848" s="2" t="s">
        <v>5226</v>
      </c>
      <c r="H6848" s="14">
        <v>2.77</v>
      </c>
      <c r="I6848" s="2" t="s">
        <v>6587</v>
      </c>
      <c r="J6848" s="2" t="s">
        <v>13</v>
      </c>
      <c r="K6848" s="2" t="s">
        <v>1452</v>
      </c>
      <c r="L6848" s="2" t="s">
        <v>5221</v>
      </c>
      <c r="M6848" s="2" t="s">
        <v>5221</v>
      </c>
      <c r="N6848" s="2" t="s">
        <v>2317</v>
      </c>
      <c r="O6848" s="14">
        <v>14000</v>
      </c>
      <c r="P6848" s="14">
        <v>99.14</v>
      </c>
      <c r="Q6848" s="14">
        <v>120.4</v>
      </c>
      <c r="R6848" s="14">
        <v>333.51</v>
      </c>
      <c r="S6848" s="2" t="s">
        <v>3987</v>
      </c>
      <c r="T6848" s="2">
        <v>1.01</v>
      </c>
      <c r="U6848" s="2">
        <v>72.2</v>
      </c>
      <c r="V6848" s="2">
        <v>71</v>
      </c>
      <c r="W6848" s="2" t="s">
        <v>7862</v>
      </c>
      <c r="X6848" s="2" t="s">
        <v>2449</v>
      </c>
      <c r="Y6848" s="2">
        <v>38780</v>
      </c>
      <c r="Z6848" s="19" t="str">
        <f>HYPERLINK("https://ssdweb.co/ssdweb/hd/Vision360.html?d=926160040&amp;zoomslide=1&amp;z=1926160040&amp;ISCONFIRM=0","VIDEO")</f>
        <v>VIDEO</v>
      </c>
      <c r="AA6848" s="19" t="str">
        <f>HYPERLINK("https://ssdweb.co/ssdweb/CERTH/634472364.pdf","CERTI")</f>
        <v>CERTI</v>
      </c>
    </row>
    <row r="6849" spans="1:27" ht="15" x14ac:dyDescent="0.25">
      <c r="A6849" s="2">
        <v>6844</v>
      </c>
      <c r="B6849" s="39">
        <v>926160065</v>
      </c>
      <c r="C6849" s="28" t="str">
        <f>HYPERLINK("https://pld.live/RapDetail.aspx?STONELIST=926160065","DNA")</f>
        <v>DNA</v>
      </c>
      <c r="D6849" s="18" t="s">
        <v>2694</v>
      </c>
      <c r="E6849" s="18" t="s">
        <v>2186</v>
      </c>
      <c r="F6849" s="2" t="s">
        <v>7987</v>
      </c>
      <c r="G6849" s="2" t="s">
        <v>5226</v>
      </c>
      <c r="H6849" s="14">
        <v>2.77</v>
      </c>
      <c r="I6849" s="2" t="s">
        <v>6587</v>
      </c>
      <c r="J6849" s="2" t="s">
        <v>13</v>
      </c>
      <c r="K6849" s="2" t="s">
        <v>1452</v>
      </c>
      <c r="L6849" s="2" t="s">
        <v>5221</v>
      </c>
      <c r="M6849" s="2" t="s">
        <v>5221</v>
      </c>
      <c r="N6849" s="2" t="s">
        <v>2317</v>
      </c>
      <c r="O6849" s="14">
        <v>14000</v>
      </c>
      <c r="P6849" s="14">
        <v>99.14</v>
      </c>
      <c r="Q6849" s="14">
        <v>120.4</v>
      </c>
      <c r="R6849" s="14">
        <v>333.51</v>
      </c>
      <c r="S6849" s="2" t="s">
        <v>6470</v>
      </c>
      <c r="T6849" s="2">
        <v>1.02</v>
      </c>
      <c r="U6849" s="2">
        <v>72.599999999999994</v>
      </c>
      <c r="V6849" s="2">
        <v>69</v>
      </c>
      <c r="W6849" s="2" t="s">
        <v>7862</v>
      </c>
      <c r="X6849" s="2" t="s">
        <v>2449</v>
      </c>
      <c r="Y6849" s="2">
        <v>38780</v>
      </c>
      <c r="Z6849" s="19" t="str">
        <f>HYPERLINK("https://ssdweb.co/ssdweb/hd/Vision360.html?d=926160065&amp;zoomslide=1&amp;z=1926160065&amp;ISCONFIRM=0","VIDEO")</f>
        <v>VIDEO</v>
      </c>
      <c r="AA6849" s="19" t="str">
        <f>HYPERLINK("https://ssdweb.co/ssdweb/CERTH/634431433.pdf","CERTI")</f>
        <v>CERTI</v>
      </c>
    </row>
    <row r="6850" spans="1:27" ht="15" x14ac:dyDescent="0.25">
      <c r="A6850" s="2">
        <v>6845</v>
      </c>
      <c r="B6850" s="39">
        <v>925930310</v>
      </c>
      <c r="C6850" s="28" t="str">
        <f>HYPERLINK("https://pld.live/RapDetail.aspx?STONELIST=925930310","DNA")</f>
        <v>DNA</v>
      </c>
      <c r="D6850" s="18" t="s">
        <v>2694</v>
      </c>
      <c r="E6850" s="18" t="s">
        <v>2186</v>
      </c>
      <c r="F6850" s="2" t="s">
        <v>7987</v>
      </c>
      <c r="G6850" s="2" t="s">
        <v>5226</v>
      </c>
      <c r="H6850" s="14">
        <v>2.75</v>
      </c>
      <c r="I6850" s="2" t="s">
        <v>267</v>
      </c>
      <c r="J6850" s="2" t="s">
        <v>3942</v>
      </c>
      <c r="K6850" s="2" t="s">
        <v>1452</v>
      </c>
      <c r="L6850" s="2" t="s">
        <v>5221</v>
      </c>
      <c r="M6850" s="2" t="s">
        <v>5221</v>
      </c>
      <c r="N6850" s="2" t="s">
        <v>2317</v>
      </c>
      <c r="O6850" s="14">
        <v>18500</v>
      </c>
      <c r="P6850" s="14">
        <v>99.11</v>
      </c>
      <c r="Q6850" s="14">
        <v>164.65</v>
      </c>
      <c r="R6850" s="14">
        <v>452.79</v>
      </c>
      <c r="S6850" s="2" t="s">
        <v>5420</v>
      </c>
      <c r="T6850" s="2">
        <v>1.02</v>
      </c>
      <c r="U6850" s="2">
        <v>72.400000000000006</v>
      </c>
      <c r="V6850" s="2">
        <v>73</v>
      </c>
      <c r="W6850" s="2" t="s">
        <v>7862</v>
      </c>
      <c r="X6850" s="2" t="s">
        <v>2449</v>
      </c>
      <c r="Y6850" s="2">
        <v>50875</v>
      </c>
      <c r="Z6850" s="19" t="str">
        <f>HYPERLINK("https://ssdweb.co/ssdweb/hd/Vision360.html?d=925930310&amp;zoomslide=1&amp;z=1925930310&amp;ISCONFIRM=0","VIDEO")</f>
        <v>VIDEO</v>
      </c>
      <c r="AA6850" s="19" t="str">
        <f>HYPERLINK("https://ssdweb.co/ssdweb/CERTH/631429868.pdf","CERTI")</f>
        <v>CERTI</v>
      </c>
    </row>
    <row r="6851" spans="1:27" ht="15" x14ac:dyDescent="0.25">
      <c r="A6851" s="2">
        <v>6846</v>
      </c>
      <c r="B6851" s="39">
        <v>926410356</v>
      </c>
      <c r="C6851" s="28" t="str">
        <f>HYPERLINK("https://pld.live/RapDetail.aspx?STONELIST=926410356","DNA")</f>
        <v>DNA</v>
      </c>
      <c r="D6851" s="18" t="s">
        <v>2694</v>
      </c>
      <c r="E6851" s="18" t="s">
        <v>2186</v>
      </c>
      <c r="F6851" s="2" t="s">
        <v>7987</v>
      </c>
      <c r="G6851" s="2" t="s">
        <v>5226</v>
      </c>
      <c r="H6851" s="14">
        <v>2.74</v>
      </c>
      <c r="I6851" s="2" t="s">
        <v>4699</v>
      </c>
      <c r="J6851" s="2" t="s">
        <v>13</v>
      </c>
      <c r="K6851" s="2" t="s">
        <v>1452</v>
      </c>
      <c r="L6851" s="2" t="s">
        <v>5221</v>
      </c>
      <c r="M6851" s="2" t="s">
        <v>5221</v>
      </c>
      <c r="N6851" s="2" t="s">
        <v>2317</v>
      </c>
      <c r="O6851" s="14">
        <v>15000</v>
      </c>
      <c r="P6851" s="14">
        <v>99.11</v>
      </c>
      <c r="Q6851" s="14">
        <v>133.5</v>
      </c>
      <c r="R6851" s="14">
        <v>365.79</v>
      </c>
      <c r="S6851" s="2" t="s">
        <v>189</v>
      </c>
      <c r="T6851" s="2">
        <v>1.02</v>
      </c>
      <c r="U6851" s="2">
        <v>72</v>
      </c>
      <c r="V6851" s="2">
        <v>66</v>
      </c>
      <c r="W6851" s="2" t="s">
        <v>7862</v>
      </c>
      <c r="X6851" s="2" t="s">
        <v>2449</v>
      </c>
      <c r="Y6851" s="2">
        <v>41100</v>
      </c>
      <c r="Z6851" s="19" t="str">
        <f>HYPERLINK("https://ssdweb.co/ssdweb/hd/Vision360.html?d=926410356&amp;zoomslide=1&amp;z=1926410356&amp;ISCONFIRM=0","VIDEO")</f>
        <v>VIDEO</v>
      </c>
      <c r="AA6851" s="19" t="str">
        <f>HYPERLINK("https://ssdweb.co/ssdweb/CERTH/643443168.pdf","CERTI")</f>
        <v>CERTI</v>
      </c>
    </row>
    <row r="6852" spans="1:27" ht="15" x14ac:dyDescent="0.25">
      <c r="A6852" s="2">
        <v>6847</v>
      </c>
      <c r="B6852" s="39">
        <v>926910597</v>
      </c>
      <c r="C6852" s="28" t="str">
        <f>HYPERLINK("https://pld.live/RapDetail.aspx?STONELIST=926910597","DNA")</f>
        <v>DNA</v>
      </c>
      <c r="D6852" s="18" t="s">
        <v>2694</v>
      </c>
      <c r="E6852" s="18" t="s">
        <v>2186</v>
      </c>
      <c r="F6852" s="2" t="s">
        <v>7987</v>
      </c>
      <c r="G6852" s="2" t="s">
        <v>5226</v>
      </c>
      <c r="H6852" s="14">
        <v>2.73</v>
      </c>
      <c r="I6852" s="2" t="s">
        <v>4699</v>
      </c>
      <c r="J6852" s="2" t="s">
        <v>13</v>
      </c>
      <c r="K6852" s="2" t="s">
        <v>1452</v>
      </c>
      <c r="L6852" s="2" t="s">
        <v>5221</v>
      </c>
      <c r="M6852" s="2" t="s">
        <v>5221</v>
      </c>
      <c r="N6852" s="2" t="s">
        <v>2317</v>
      </c>
      <c r="O6852" s="14">
        <v>15000</v>
      </c>
      <c r="P6852" s="14">
        <v>99.11</v>
      </c>
      <c r="Q6852" s="14">
        <v>133.5</v>
      </c>
      <c r="R6852" s="14">
        <v>364.46</v>
      </c>
      <c r="S6852" s="2" t="s">
        <v>3781</v>
      </c>
      <c r="T6852" s="2">
        <v>1.01</v>
      </c>
      <c r="U6852" s="2">
        <v>72.599999999999994</v>
      </c>
      <c r="V6852" s="2">
        <v>70</v>
      </c>
      <c r="W6852" s="2" t="s">
        <v>7862</v>
      </c>
      <c r="X6852" s="2" t="s">
        <v>2449</v>
      </c>
      <c r="Y6852" s="2">
        <v>40950</v>
      </c>
      <c r="Z6852" s="19" t="str">
        <f>HYPERLINK("https://ssdweb.co/ssdweb/hd/Vision360.html?d=926910597&amp;zoomslide=1&amp;z=1926910597&amp;ISCONFIRM=0","VIDEO")</f>
        <v>VIDEO</v>
      </c>
      <c r="AA6852" s="19" t="str">
        <f>HYPERLINK("https://ssdweb.co/ssdweb/CERTH/659436984.pdf","CERTI")</f>
        <v>CERTI</v>
      </c>
    </row>
    <row r="6853" spans="1:27" ht="15" x14ac:dyDescent="0.25">
      <c r="A6853" s="2">
        <v>6848</v>
      </c>
      <c r="B6853" s="39">
        <v>821112597</v>
      </c>
      <c r="C6853" s="28" t="str">
        <f>HYPERLINK("https://pld.live/RapDetail.aspx?STONELIST=821112597","DNA")</f>
        <v>DNA</v>
      </c>
      <c r="D6853" s="18" t="s">
        <v>2694</v>
      </c>
      <c r="E6853" s="18" t="s">
        <v>2186</v>
      </c>
      <c r="F6853" s="2" t="s">
        <v>7987</v>
      </c>
      <c r="G6853" s="2" t="s">
        <v>5226</v>
      </c>
      <c r="H6853" s="14">
        <v>2.73</v>
      </c>
      <c r="I6853" s="2" t="s">
        <v>6587</v>
      </c>
      <c r="J6853" s="2" t="s">
        <v>5144</v>
      </c>
      <c r="K6853" s="2" t="s">
        <v>1452</v>
      </c>
      <c r="L6853" s="2" t="s">
        <v>5221</v>
      </c>
      <c r="M6853" s="2" t="s">
        <v>5221</v>
      </c>
      <c r="N6853" s="2" t="s">
        <v>2317</v>
      </c>
      <c r="O6853" s="14">
        <v>13000</v>
      </c>
      <c r="P6853" s="14">
        <v>99.15</v>
      </c>
      <c r="Q6853" s="14">
        <v>110.5</v>
      </c>
      <c r="R6853" s="14">
        <v>301.67</v>
      </c>
      <c r="S6853" s="2" t="s">
        <v>3817</v>
      </c>
      <c r="T6853" s="2">
        <v>1.01</v>
      </c>
      <c r="U6853" s="2">
        <v>70.5</v>
      </c>
      <c r="V6853" s="2">
        <v>67</v>
      </c>
      <c r="W6853" s="2" t="s">
        <v>7862</v>
      </c>
      <c r="X6853" s="2" t="s">
        <v>2449</v>
      </c>
      <c r="Y6853" s="2">
        <v>35490</v>
      </c>
      <c r="Z6853" s="19" t="str">
        <f>HYPERLINK("https://ssdweb.co/ssdweb/hd/Vision360.html?d=821112597&amp;zoomslide=1&amp;z=1821112597&amp;ISCONFIRM=0","VIDEO")</f>
        <v>VIDEO</v>
      </c>
      <c r="AA6853" s="19" t="str">
        <f>HYPERLINK("https://ssdweb.co/ssdweb/CERTH/618403243.pdf","CERTI")</f>
        <v>CERTI</v>
      </c>
    </row>
    <row r="6854" spans="1:27" ht="15" x14ac:dyDescent="0.25">
      <c r="A6854" s="2">
        <v>6849</v>
      </c>
      <c r="B6854" s="39">
        <v>926890562</v>
      </c>
      <c r="C6854" s="28" t="str">
        <f>HYPERLINK("https://pld.live/RapDetail.aspx?STONELIST=926890562","DNA")</f>
        <v>DNA</v>
      </c>
      <c r="D6854" s="18" t="s">
        <v>2694</v>
      </c>
      <c r="E6854" s="18" t="s">
        <v>2186</v>
      </c>
      <c r="F6854" s="2" t="s">
        <v>7987</v>
      </c>
      <c r="G6854" s="2" t="s">
        <v>5226</v>
      </c>
      <c r="H6854" s="14">
        <v>2.72</v>
      </c>
      <c r="I6854" s="2" t="s">
        <v>4699</v>
      </c>
      <c r="J6854" s="2" t="s">
        <v>13</v>
      </c>
      <c r="K6854" s="2" t="s">
        <v>1452</v>
      </c>
      <c r="L6854" s="2" t="s">
        <v>5221</v>
      </c>
      <c r="M6854" s="2" t="s">
        <v>5221</v>
      </c>
      <c r="N6854" s="2" t="s">
        <v>2317</v>
      </c>
      <c r="O6854" s="14">
        <v>15000</v>
      </c>
      <c r="P6854" s="14">
        <v>99.11</v>
      </c>
      <c r="Q6854" s="14">
        <v>133.5</v>
      </c>
      <c r="R6854" s="14">
        <v>363.12</v>
      </c>
      <c r="S6854" s="2" t="s">
        <v>3136</v>
      </c>
      <c r="T6854" s="2">
        <v>1.02</v>
      </c>
      <c r="U6854" s="2">
        <v>73.7</v>
      </c>
      <c r="V6854" s="2">
        <v>70</v>
      </c>
      <c r="W6854" s="2" t="s">
        <v>7862</v>
      </c>
      <c r="X6854" s="2" t="s">
        <v>2449</v>
      </c>
      <c r="Y6854" s="2">
        <v>40800</v>
      </c>
      <c r="Z6854" s="19" t="str">
        <f>HYPERLINK("https://ssdweb.co/ssdweb/hd/Vision360.html?d=926890562&amp;zoomslide=1&amp;z=1926890562&amp;ISCONFIRM=0","VIDEO")</f>
        <v>VIDEO</v>
      </c>
      <c r="AA6854" s="19" t="str">
        <f>HYPERLINK("https://ssdweb.co/ssdweb/CERTH/660440524.pdf","CERTI")</f>
        <v>CERTI</v>
      </c>
    </row>
    <row r="6855" spans="1:27" ht="15" x14ac:dyDescent="0.25">
      <c r="A6855" s="2">
        <v>6850</v>
      </c>
      <c r="B6855" s="39">
        <v>926910584</v>
      </c>
      <c r="C6855" s="28" t="str">
        <f>HYPERLINK("https://pld.live/RapDetail.aspx?STONELIST=926910584","DNA")</f>
        <v>DNA</v>
      </c>
      <c r="D6855" s="18" t="s">
        <v>2694</v>
      </c>
      <c r="E6855" s="18" t="s">
        <v>2186</v>
      </c>
      <c r="F6855" s="2" t="s">
        <v>7987</v>
      </c>
      <c r="G6855" s="2" t="s">
        <v>5226</v>
      </c>
      <c r="H6855" s="14">
        <v>2.71</v>
      </c>
      <c r="I6855" s="2" t="s">
        <v>4761</v>
      </c>
      <c r="J6855" s="2" t="s">
        <v>3942</v>
      </c>
      <c r="K6855" s="2" t="s">
        <v>1452</v>
      </c>
      <c r="L6855" s="2" t="s">
        <v>5221</v>
      </c>
      <c r="M6855" s="2" t="s">
        <v>5221</v>
      </c>
      <c r="N6855" s="2" t="s">
        <v>2317</v>
      </c>
      <c r="O6855" s="14">
        <v>17000</v>
      </c>
      <c r="P6855" s="14">
        <v>99.13</v>
      </c>
      <c r="Q6855" s="14">
        <v>147.9</v>
      </c>
      <c r="R6855" s="14">
        <v>400.81</v>
      </c>
      <c r="S6855" s="2" t="s">
        <v>5305</v>
      </c>
      <c r="T6855" s="2">
        <v>1.01</v>
      </c>
      <c r="U6855" s="2">
        <v>71.900000000000006</v>
      </c>
      <c r="V6855" s="2">
        <v>71</v>
      </c>
      <c r="W6855" s="2" t="s">
        <v>7862</v>
      </c>
      <c r="X6855" s="2" t="s">
        <v>2449</v>
      </c>
      <c r="Y6855" s="2">
        <v>46070</v>
      </c>
      <c r="Z6855" s="19" t="str">
        <f>HYPERLINK("https://ssdweb.co/ssdweb/hd/Vision360.html?d=926910584&amp;zoomslide=1&amp;z=1926910584&amp;ISCONFIRM=0","VIDEO")</f>
        <v>VIDEO</v>
      </c>
      <c r="AA6855" s="19" t="str">
        <f>HYPERLINK("https://ssdweb.co/ssdweb/CERTH/659436961.pdf","CERTI")</f>
        <v>CERTI</v>
      </c>
    </row>
    <row r="6856" spans="1:27" ht="15" x14ac:dyDescent="0.25">
      <c r="A6856" s="2">
        <v>6851</v>
      </c>
      <c r="B6856" s="39">
        <v>821112598</v>
      </c>
      <c r="C6856" s="28" t="str">
        <f>HYPERLINK("https://pld.live/RapDetail.aspx?STONELIST=821112598","DNA")</f>
        <v>DNA</v>
      </c>
      <c r="D6856" s="18" t="s">
        <v>2694</v>
      </c>
      <c r="E6856" s="18" t="s">
        <v>2186</v>
      </c>
      <c r="F6856" s="2" t="s">
        <v>7987</v>
      </c>
      <c r="G6856" s="2" t="s">
        <v>5226</v>
      </c>
      <c r="H6856" s="14">
        <v>2.71</v>
      </c>
      <c r="I6856" s="2" t="s">
        <v>6587</v>
      </c>
      <c r="J6856" s="2" t="s">
        <v>13</v>
      </c>
      <c r="K6856" s="2" t="s">
        <v>1452</v>
      </c>
      <c r="L6856" s="2" t="s">
        <v>5221</v>
      </c>
      <c r="M6856" s="2" t="s">
        <v>5221</v>
      </c>
      <c r="N6856" s="2" t="s">
        <v>2317</v>
      </c>
      <c r="O6856" s="14">
        <v>14000</v>
      </c>
      <c r="P6856" s="14">
        <v>99.14</v>
      </c>
      <c r="Q6856" s="14">
        <v>120.4</v>
      </c>
      <c r="R6856" s="14">
        <v>326.27999999999997</v>
      </c>
      <c r="S6856" s="2" t="s">
        <v>6597</v>
      </c>
      <c r="T6856" s="2">
        <v>1.01</v>
      </c>
      <c r="U6856" s="2">
        <v>68.5</v>
      </c>
      <c r="V6856" s="2">
        <v>70</v>
      </c>
      <c r="W6856" s="2" t="s">
        <v>7862</v>
      </c>
      <c r="X6856" s="2" t="s">
        <v>2449</v>
      </c>
      <c r="Y6856" s="2">
        <v>37940</v>
      </c>
      <c r="Z6856" s="19" t="str">
        <f>HYPERLINK("https://ssdweb.co/ssdweb/hd/Vision360.html?d=821112598&amp;zoomslide=1&amp;z=1821112598&amp;ISCONFIRM=0","VIDEO")</f>
        <v>VIDEO</v>
      </c>
      <c r="AA6856" s="19" t="str">
        <f>HYPERLINK("https://ssdweb.co/ssdweb/CERTH/618403242.pdf","CERTI")</f>
        <v>CERTI</v>
      </c>
    </row>
    <row r="6857" spans="1:27" ht="15" x14ac:dyDescent="0.25">
      <c r="A6857" s="2">
        <v>6852</v>
      </c>
      <c r="B6857" s="39">
        <v>926410458</v>
      </c>
      <c r="C6857" s="28" t="str">
        <f>HYPERLINK("https://pld.live/RapDetail.aspx?STONELIST=926410458","DNA")</f>
        <v>DNA</v>
      </c>
      <c r="D6857" s="18" t="s">
        <v>4032</v>
      </c>
      <c r="E6857" s="18" t="s">
        <v>2186</v>
      </c>
      <c r="F6857" s="2" t="s">
        <v>7987</v>
      </c>
      <c r="G6857" s="2" t="s">
        <v>5226</v>
      </c>
      <c r="H6857" s="14">
        <v>2.62</v>
      </c>
      <c r="I6857" s="2" t="s">
        <v>4761</v>
      </c>
      <c r="J6857" s="2" t="s">
        <v>13</v>
      </c>
      <c r="K6857" s="2" t="s">
        <v>1452</v>
      </c>
      <c r="L6857" s="2" t="s">
        <v>5221</v>
      </c>
      <c r="M6857" s="2" t="s">
        <v>5221</v>
      </c>
      <c r="N6857" s="2" t="s">
        <v>2317</v>
      </c>
      <c r="O6857" s="14">
        <v>16000</v>
      </c>
      <c r="P6857" s="14">
        <v>99.11</v>
      </c>
      <c r="Q6857" s="14">
        <v>142.4</v>
      </c>
      <c r="R6857" s="14">
        <v>373.09</v>
      </c>
      <c r="S6857" s="2" t="s">
        <v>7580</v>
      </c>
      <c r="T6857" s="2">
        <v>1.01</v>
      </c>
      <c r="U6857" s="2">
        <v>71.099999999999994</v>
      </c>
      <c r="V6857" s="2">
        <v>67</v>
      </c>
      <c r="W6857" s="2" t="s">
        <v>7862</v>
      </c>
      <c r="X6857" s="2" t="s">
        <v>2449</v>
      </c>
      <c r="Y6857" s="2">
        <v>41920</v>
      </c>
      <c r="Z6857" s="19" t="str">
        <f>HYPERLINK("https://ssdweb.co/ssdweb/hd/Vision360.html?d=926410458&amp;zoomslide=1&amp;z=1926410458&amp;ISCONFIRM=0","VIDEO")</f>
        <v>VIDEO</v>
      </c>
      <c r="AA6857" s="19" t="str">
        <f>HYPERLINK("https://ssdweb.co/ssdweb/CERTH/647475468.pdf","CERTI")</f>
        <v>CERTI</v>
      </c>
    </row>
    <row r="6858" spans="1:27" ht="15" x14ac:dyDescent="0.25">
      <c r="A6858" s="2">
        <v>6853</v>
      </c>
      <c r="B6858" s="39">
        <v>926930090</v>
      </c>
      <c r="C6858" s="28" t="str">
        <f>HYPERLINK("https://pld.live/RapDetail.aspx?STONELIST=926930090","DNA")</f>
        <v>DNA</v>
      </c>
      <c r="D6858" s="18" t="s">
        <v>4032</v>
      </c>
      <c r="E6858" s="18" t="s">
        <v>2186</v>
      </c>
      <c r="F6858" s="2" t="s">
        <v>7987</v>
      </c>
      <c r="G6858" s="2" t="s">
        <v>5226</v>
      </c>
      <c r="H6858" s="14">
        <v>2.54</v>
      </c>
      <c r="I6858" s="2" t="s">
        <v>4699</v>
      </c>
      <c r="J6858" s="2" t="s">
        <v>3942</v>
      </c>
      <c r="K6858" s="2" t="s">
        <v>1452</v>
      </c>
      <c r="L6858" s="2" t="s">
        <v>5221</v>
      </c>
      <c r="M6858" s="2" t="s">
        <v>5221</v>
      </c>
      <c r="N6858" s="2" t="s">
        <v>2317</v>
      </c>
      <c r="O6858" s="14">
        <v>16000</v>
      </c>
      <c r="P6858" s="14">
        <v>99.11</v>
      </c>
      <c r="Q6858" s="14">
        <v>142.4</v>
      </c>
      <c r="R6858" s="14">
        <v>361.7</v>
      </c>
      <c r="S6858" s="2" t="s">
        <v>2882</v>
      </c>
      <c r="T6858" s="2">
        <v>1.03</v>
      </c>
      <c r="U6858" s="2">
        <v>73.099999999999994</v>
      </c>
      <c r="V6858" s="2">
        <v>71</v>
      </c>
      <c r="W6858" s="2" t="s">
        <v>7862</v>
      </c>
      <c r="X6858" s="2" t="s">
        <v>2449</v>
      </c>
      <c r="Y6858" s="2">
        <v>40640</v>
      </c>
      <c r="Z6858" s="19" t="str">
        <f>HYPERLINK("https://ssdweb.co/ssdweb/hd/Vision360.html?d=926930090&amp;zoomslide=1&amp;z=1926930090&amp;ISCONFIRM=0","VIDEO")</f>
        <v>VIDEO</v>
      </c>
      <c r="AA6858" s="19" t="str">
        <f>HYPERLINK("https://ssdweb.co/ssdweb/CERTH/659414279.pdf","CERTI")</f>
        <v>CERTI</v>
      </c>
    </row>
    <row r="6859" spans="1:27" ht="15" x14ac:dyDescent="0.25">
      <c r="A6859" s="2">
        <v>6854</v>
      </c>
      <c r="B6859" s="39">
        <v>941330560</v>
      </c>
      <c r="C6859" s="28" t="str">
        <f>HYPERLINK("https://pld.live/RapDetail.aspx?STONELIST=941330560","DNA")</f>
        <v>DNA</v>
      </c>
      <c r="D6859" s="18" t="s">
        <v>4032</v>
      </c>
      <c r="E6859" s="18" t="s">
        <v>2186</v>
      </c>
      <c r="F6859" s="2" t="s">
        <v>7987</v>
      </c>
      <c r="G6859" s="2" t="s">
        <v>5226</v>
      </c>
      <c r="H6859" s="14">
        <v>2.5299999999999998</v>
      </c>
      <c r="I6859" s="2" t="s">
        <v>4761</v>
      </c>
      <c r="J6859" s="2" t="s">
        <v>3942</v>
      </c>
      <c r="K6859" s="2" t="s">
        <v>1452</v>
      </c>
      <c r="L6859" s="2" t="s">
        <v>5221</v>
      </c>
      <c r="M6859" s="2" t="s">
        <v>5221</v>
      </c>
      <c r="N6859" s="2" t="s">
        <v>2317</v>
      </c>
      <c r="O6859" s="14">
        <v>17000</v>
      </c>
      <c r="P6859" s="14">
        <v>99.12</v>
      </c>
      <c r="Q6859" s="14">
        <v>149.6</v>
      </c>
      <c r="R6859" s="14">
        <v>378.49</v>
      </c>
      <c r="S6859" s="2" t="s">
        <v>2129</v>
      </c>
      <c r="T6859" s="2">
        <v>1.02</v>
      </c>
      <c r="U6859" s="2">
        <v>71.599999999999994</v>
      </c>
      <c r="V6859" s="2">
        <v>70</v>
      </c>
      <c r="W6859" s="2" t="s">
        <v>7862</v>
      </c>
      <c r="X6859" s="2" t="s">
        <v>2449</v>
      </c>
      <c r="Y6859" s="2">
        <v>43010</v>
      </c>
      <c r="Z6859" s="19" t="str">
        <f>HYPERLINK("https://ssdweb.co/ssdweb/hd/Vision360.html?d=941330560&amp;zoomslide=1&amp;z=1941330560&amp;ISCONFIRM=0","VIDEO")</f>
        <v>VIDEO</v>
      </c>
      <c r="AA6859" s="19" t="str">
        <f>HYPERLINK("https://ssdweb.co/ssdweb/CERTH/691509970.pdf","CERTI")</f>
        <v>CERTI</v>
      </c>
    </row>
    <row r="6860" spans="1:27" ht="15" x14ac:dyDescent="0.25">
      <c r="A6860" s="2">
        <v>6855</v>
      </c>
      <c r="B6860" s="39">
        <v>927000518</v>
      </c>
      <c r="C6860" s="28" t="str">
        <f>HYPERLINK("https://pld.live/RapDetail.aspx?STONELIST=927000518","DNA")</f>
        <v>DNA</v>
      </c>
      <c r="D6860" s="18" t="s">
        <v>4032</v>
      </c>
      <c r="E6860" s="18" t="s">
        <v>2186</v>
      </c>
      <c r="F6860" s="2" t="s">
        <v>7987</v>
      </c>
      <c r="G6860" s="2" t="s">
        <v>5226</v>
      </c>
      <c r="H6860" s="14">
        <v>2.5299999999999998</v>
      </c>
      <c r="I6860" s="2" t="s">
        <v>4699</v>
      </c>
      <c r="J6860" s="2" t="s">
        <v>3942</v>
      </c>
      <c r="K6860" s="2" t="s">
        <v>1452</v>
      </c>
      <c r="L6860" s="2" t="s">
        <v>5221</v>
      </c>
      <c r="M6860" s="2" t="s">
        <v>5221</v>
      </c>
      <c r="N6860" s="2" t="s">
        <v>2317</v>
      </c>
      <c r="O6860" s="14">
        <v>16000</v>
      </c>
      <c r="P6860" s="14">
        <v>99.11</v>
      </c>
      <c r="Q6860" s="14">
        <v>142.4</v>
      </c>
      <c r="R6860" s="14">
        <v>360.27</v>
      </c>
      <c r="S6860" s="2" t="s">
        <v>1663</v>
      </c>
      <c r="T6860" s="2">
        <v>1.03</v>
      </c>
      <c r="U6860" s="2">
        <v>73.3</v>
      </c>
      <c r="V6860" s="2">
        <v>71</v>
      </c>
      <c r="W6860" s="2" t="s">
        <v>7862</v>
      </c>
      <c r="X6860" s="2" t="s">
        <v>2449</v>
      </c>
      <c r="Y6860" s="2">
        <v>40480</v>
      </c>
      <c r="Z6860" s="19" t="str">
        <f>HYPERLINK("https://ssdweb.co/ssdweb/hd/Vision360.html?d=927000518&amp;zoomslide=1&amp;z=1927000518&amp;ISCONFIRM=0","VIDEO")</f>
        <v>VIDEO</v>
      </c>
      <c r="AA6860" s="19" t="str">
        <f>HYPERLINK("https://ssdweb.co/ssdweb/CERTH/660490616.pdf","CERTI")</f>
        <v>CERTI</v>
      </c>
    </row>
    <row r="6861" spans="1:27" ht="15" x14ac:dyDescent="0.25">
      <c r="A6861" s="2">
        <v>6856</v>
      </c>
      <c r="B6861" s="39">
        <v>926910023</v>
      </c>
      <c r="C6861" s="28" t="str">
        <f>HYPERLINK("https://pld.live/RapDetail.aspx?STONELIST=926910023","DNA")</f>
        <v>DNA</v>
      </c>
      <c r="D6861" s="18" t="s">
        <v>4032</v>
      </c>
      <c r="E6861" s="18" t="s">
        <v>2186</v>
      </c>
      <c r="F6861" s="2" t="s">
        <v>7987</v>
      </c>
      <c r="G6861" s="2" t="s">
        <v>5226</v>
      </c>
      <c r="H6861" s="14">
        <v>2.52</v>
      </c>
      <c r="I6861" s="2" t="s">
        <v>6587</v>
      </c>
      <c r="J6861" s="2" t="s">
        <v>3942</v>
      </c>
      <c r="K6861" s="2" t="s">
        <v>1452</v>
      </c>
      <c r="L6861" s="2" t="s">
        <v>5221</v>
      </c>
      <c r="M6861" s="2" t="s">
        <v>5221</v>
      </c>
      <c r="N6861" s="2" t="s">
        <v>2317</v>
      </c>
      <c r="O6861" s="14">
        <v>15000</v>
      </c>
      <c r="P6861" s="14">
        <v>99.08</v>
      </c>
      <c r="Q6861" s="14">
        <v>138</v>
      </c>
      <c r="R6861" s="14">
        <v>347.76</v>
      </c>
      <c r="S6861" s="2" t="s">
        <v>2923</v>
      </c>
      <c r="T6861" s="2">
        <v>1.01</v>
      </c>
      <c r="U6861" s="2">
        <v>72.3</v>
      </c>
      <c r="V6861" s="2">
        <v>69</v>
      </c>
      <c r="W6861" s="2" t="s">
        <v>7862</v>
      </c>
      <c r="X6861" s="2" t="s">
        <v>2449</v>
      </c>
      <c r="Y6861" s="2">
        <v>37800</v>
      </c>
      <c r="Z6861" s="19" t="str">
        <f>HYPERLINK("https://ssdweb.co/ssdweb/hd/Vision360.html?d=926910023&amp;zoomslide=1&amp;z=1926910023&amp;ISCONFIRM=0","VIDEO")</f>
        <v>VIDEO</v>
      </c>
      <c r="AA6861" s="19" t="str">
        <f>HYPERLINK("https://ssdweb.co/ssdweb/CERTH/655451755.pdf","CERTI")</f>
        <v>CERTI</v>
      </c>
    </row>
    <row r="6862" spans="1:27" ht="15" x14ac:dyDescent="0.25">
      <c r="A6862" s="2">
        <v>6857</v>
      </c>
      <c r="B6862" s="39">
        <v>926470416</v>
      </c>
      <c r="C6862" s="28" t="str">
        <f>HYPERLINK("https://pld.live/RapDetail.aspx?STONELIST=926470416","DNA")</f>
        <v>DNA</v>
      </c>
      <c r="D6862" s="18" t="s">
        <v>4032</v>
      </c>
      <c r="E6862" s="18" t="s">
        <v>2186</v>
      </c>
      <c r="F6862" s="2" t="s">
        <v>7987</v>
      </c>
      <c r="G6862" s="2" t="s">
        <v>5226</v>
      </c>
      <c r="H6862" s="14">
        <v>2.52</v>
      </c>
      <c r="I6862" s="2" t="s">
        <v>1066</v>
      </c>
      <c r="J6862" s="2" t="s">
        <v>13</v>
      </c>
      <c r="K6862" s="2" t="s">
        <v>1452</v>
      </c>
      <c r="L6862" s="2" t="s">
        <v>5221</v>
      </c>
      <c r="M6862" s="2" t="s">
        <v>5221</v>
      </c>
      <c r="N6862" s="2" t="s">
        <v>924</v>
      </c>
      <c r="O6862" s="14">
        <v>4200</v>
      </c>
      <c r="P6862" s="14">
        <v>91.43</v>
      </c>
      <c r="Q6862" s="14">
        <v>359.94</v>
      </c>
      <c r="R6862" s="14">
        <v>907.05</v>
      </c>
      <c r="S6862" s="2" t="s">
        <v>6967</v>
      </c>
      <c r="T6862" s="2">
        <v>1.02</v>
      </c>
      <c r="U6862" s="2">
        <v>71.7</v>
      </c>
      <c r="V6862" s="2">
        <v>66</v>
      </c>
      <c r="W6862" s="2" t="s">
        <v>7862</v>
      </c>
      <c r="X6862" s="2" t="s">
        <v>2449</v>
      </c>
      <c r="Y6862" s="2">
        <v>10584</v>
      </c>
      <c r="Z6862" s="19" t="str">
        <f>HYPERLINK("https://ssdweb.co/ssdweb/hd/Vision360.html?d=926470416&amp;zoomslide=1&amp;z=1926470416&amp;ISCONFIRM=0","VIDEO")</f>
        <v>VIDEO</v>
      </c>
      <c r="AA6862" s="19" t="str">
        <f>HYPERLINK("https://ssdweb.co/ssdweb/CERTH/647475678.pdf","CERTI")</f>
        <v>CERTI</v>
      </c>
    </row>
    <row r="6863" spans="1:27" ht="15" x14ac:dyDescent="0.25">
      <c r="A6863" s="2">
        <v>6858</v>
      </c>
      <c r="B6863" s="39">
        <v>926910167</v>
      </c>
      <c r="C6863" s="28" t="str">
        <f>HYPERLINK("https://pld.live/RapDetail.aspx?STONELIST=926910167","DNA")</f>
        <v>DNA</v>
      </c>
      <c r="D6863" s="18" t="s">
        <v>4032</v>
      </c>
      <c r="E6863" s="18" t="s">
        <v>2186</v>
      </c>
      <c r="F6863" s="2" t="s">
        <v>7987</v>
      </c>
      <c r="G6863" s="2" t="s">
        <v>5226</v>
      </c>
      <c r="H6863" s="14">
        <v>2.5099999999999998</v>
      </c>
      <c r="I6863" s="2" t="s">
        <v>4761</v>
      </c>
      <c r="J6863" s="2" t="s">
        <v>3942</v>
      </c>
      <c r="K6863" s="2" t="s">
        <v>1452</v>
      </c>
      <c r="L6863" s="2" t="s">
        <v>5221</v>
      </c>
      <c r="M6863" s="2" t="s">
        <v>5221</v>
      </c>
      <c r="N6863" s="2" t="s">
        <v>2317</v>
      </c>
      <c r="O6863" s="14">
        <v>17000</v>
      </c>
      <c r="P6863" s="14">
        <v>99.13</v>
      </c>
      <c r="Q6863" s="14">
        <v>147.9</v>
      </c>
      <c r="R6863" s="14">
        <v>371.23</v>
      </c>
      <c r="S6863" s="2" t="s">
        <v>5937</v>
      </c>
      <c r="T6863" s="2">
        <v>1.02</v>
      </c>
      <c r="U6863" s="2">
        <v>73.400000000000006</v>
      </c>
      <c r="V6863" s="2">
        <v>69</v>
      </c>
      <c r="W6863" s="2" t="s">
        <v>7862</v>
      </c>
      <c r="X6863" s="2" t="s">
        <v>2449</v>
      </c>
      <c r="Y6863" s="2">
        <v>42670</v>
      </c>
      <c r="Z6863" s="19" t="str">
        <f>HYPERLINK("https://ssdweb.co/ssdweb/hd/Vision360.html?d=926910167&amp;zoomslide=1&amp;z=1926910167&amp;ISCONFIRM=0","VIDEO")</f>
        <v>VIDEO</v>
      </c>
      <c r="AA6863" s="19" t="str">
        <f>HYPERLINK("https://ssdweb.co/ssdweb/CERTH/655451798.pdf","CERTI")</f>
        <v>CERTI</v>
      </c>
    </row>
    <row r="6864" spans="1:27" ht="15" x14ac:dyDescent="0.25">
      <c r="A6864" s="2">
        <v>6859</v>
      </c>
      <c r="B6864" s="39">
        <v>926910197</v>
      </c>
      <c r="C6864" s="28" t="str">
        <f>HYPERLINK("https://pld.live/RapDetail.aspx?STONELIST=926910197","DNA")</f>
        <v>DNA</v>
      </c>
      <c r="D6864" s="18" t="s">
        <v>4032</v>
      </c>
      <c r="E6864" s="18" t="s">
        <v>2186</v>
      </c>
      <c r="F6864" s="2" t="s">
        <v>7987</v>
      </c>
      <c r="G6864" s="2" t="s">
        <v>5226</v>
      </c>
      <c r="H6864" s="14">
        <v>2.5099999999999998</v>
      </c>
      <c r="I6864" s="2" t="s">
        <v>4761</v>
      </c>
      <c r="J6864" s="2" t="s">
        <v>3942</v>
      </c>
      <c r="K6864" s="2" t="s">
        <v>1452</v>
      </c>
      <c r="L6864" s="2" t="s">
        <v>5221</v>
      </c>
      <c r="M6864" s="2" t="s">
        <v>5221</v>
      </c>
      <c r="N6864" s="2" t="s">
        <v>2317</v>
      </c>
      <c r="O6864" s="14">
        <v>17000</v>
      </c>
      <c r="P6864" s="14">
        <v>99.13</v>
      </c>
      <c r="Q6864" s="14">
        <v>147.9</v>
      </c>
      <c r="R6864" s="14">
        <v>371.23</v>
      </c>
      <c r="S6864" s="2" t="s">
        <v>6157</v>
      </c>
      <c r="T6864" s="2">
        <v>1.02</v>
      </c>
      <c r="U6864" s="2">
        <v>73.7</v>
      </c>
      <c r="V6864" s="2">
        <v>73</v>
      </c>
      <c r="W6864" s="2" t="s">
        <v>7862</v>
      </c>
      <c r="X6864" s="2" t="s">
        <v>2449</v>
      </c>
      <c r="Y6864" s="2">
        <v>42670</v>
      </c>
      <c r="Z6864" s="19" t="str">
        <f>HYPERLINK("https://ssdweb.co/ssdweb/hd/Vision360.html?d=926910197&amp;zoomslide=1&amp;z=1926910197&amp;ISCONFIRM=0","VIDEO")</f>
        <v>VIDEO</v>
      </c>
      <c r="AA6864" s="19" t="str">
        <f>HYPERLINK("https://ssdweb.co/ssdweb/CERTH/655451803.pdf","CERTI")</f>
        <v>CERTI</v>
      </c>
    </row>
    <row r="6865" spans="1:27" ht="15" x14ac:dyDescent="0.25">
      <c r="A6865" s="2">
        <v>6860</v>
      </c>
      <c r="B6865" s="39">
        <v>941330558</v>
      </c>
      <c r="C6865" s="28" t="str">
        <f>HYPERLINK("https://pld.live/RapDetail.aspx?STONELIST=941330558","DNA")</f>
        <v>DNA</v>
      </c>
      <c r="D6865" s="18" t="s">
        <v>4032</v>
      </c>
      <c r="E6865" s="18" t="s">
        <v>2186</v>
      </c>
      <c r="F6865" s="2" t="s">
        <v>7987</v>
      </c>
      <c r="G6865" s="2" t="s">
        <v>5226</v>
      </c>
      <c r="H6865" s="14">
        <v>2.5099999999999998</v>
      </c>
      <c r="I6865" s="2" t="s">
        <v>4761</v>
      </c>
      <c r="J6865" s="2" t="s">
        <v>3942</v>
      </c>
      <c r="K6865" s="2" t="s">
        <v>1452</v>
      </c>
      <c r="L6865" s="2" t="s">
        <v>5221</v>
      </c>
      <c r="M6865" s="2" t="s">
        <v>5221</v>
      </c>
      <c r="N6865" s="2" t="s">
        <v>2317</v>
      </c>
      <c r="O6865" s="14">
        <v>17000</v>
      </c>
      <c r="P6865" s="14">
        <v>99.12</v>
      </c>
      <c r="Q6865" s="14">
        <v>149.6</v>
      </c>
      <c r="R6865" s="14">
        <v>375.5</v>
      </c>
      <c r="S6865" s="2" t="s">
        <v>5722</v>
      </c>
      <c r="T6865" s="2">
        <v>1</v>
      </c>
      <c r="U6865" s="2">
        <v>71.5</v>
      </c>
      <c r="V6865" s="2">
        <v>72</v>
      </c>
      <c r="W6865" s="2" t="s">
        <v>7862</v>
      </c>
      <c r="X6865" s="2" t="s">
        <v>2449</v>
      </c>
      <c r="Y6865" s="2">
        <v>42670</v>
      </c>
      <c r="Z6865" s="19" t="str">
        <f>HYPERLINK("https://ssdweb.co/ssdweb/hd/Vision360.html?d=941330558&amp;zoomslide=1&amp;z=1941330558&amp;ISCONFIRM=0","VIDEO")</f>
        <v>VIDEO</v>
      </c>
      <c r="AA6865" s="19" t="str">
        <f>HYPERLINK("https://ssdweb.co/ssdweb/CERTH/691509969.pdf","CERTI")</f>
        <v>CERTI</v>
      </c>
    </row>
    <row r="6866" spans="1:27" ht="15" x14ac:dyDescent="0.25">
      <c r="A6866" s="2">
        <v>6861</v>
      </c>
      <c r="B6866" s="39">
        <v>926910588</v>
      </c>
      <c r="C6866" s="28" t="str">
        <f>HYPERLINK("https://pld.live/RapDetail.aspx?STONELIST=926910588","DNA")</f>
        <v>DNA</v>
      </c>
      <c r="D6866" s="18" t="s">
        <v>4032</v>
      </c>
      <c r="E6866" s="18" t="s">
        <v>2186</v>
      </c>
      <c r="F6866" s="2" t="s">
        <v>7987</v>
      </c>
      <c r="G6866" s="2" t="s">
        <v>5226</v>
      </c>
      <c r="H6866" s="14">
        <v>2.5</v>
      </c>
      <c r="I6866" s="2" t="s">
        <v>4761</v>
      </c>
      <c r="J6866" s="2" t="s">
        <v>3942</v>
      </c>
      <c r="K6866" s="2" t="s">
        <v>1452</v>
      </c>
      <c r="L6866" s="2" t="s">
        <v>5221</v>
      </c>
      <c r="M6866" s="2" t="s">
        <v>5221</v>
      </c>
      <c r="N6866" s="2" t="s">
        <v>2317</v>
      </c>
      <c r="O6866" s="14">
        <v>17000</v>
      </c>
      <c r="P6866" s="14">
        <v>99.13</v>
      </c>
      <c r="Q6866" s="14">
        <v>147.9</v>
      </c>
      <c r="R6866" s="14">
        <v>369.75</v>
      </c>
      <c r="S6866" s="2" t="s">
        <v>412</v>
      </c>
      <c r="T6866" s="2">
        <v>1.01</v>
      </c>
      <c r="U6866" s="2">
        <v>72.400000000000006</v>
      </c>
      <c r="V6866" s="2">
        <v>73</v>
      </c>
      <c r="W6866" s="2" t="s">
        <v>7862</v>
      </c>
      <c r="X6866" s="2" t="s">
        <v>2449</v>
      </c>
      <c r="Y6866" s="2">
        <v>42500</v>
      </c>
      <c r="Z6866" s="19" t="str">
        <f>HYPERLINK("https://ssdweb.co/ssdweb/hd/Vision360.html?d=926910588&amp;zoomslide=1&amp;z=1926910588&amp;ISCONFIRM=0","VIDEO")</f>
        <v>VIDEO</v>
      </c>
      <c r="AA6866" s="19" t="str">
        <f>HYPERLINK("https://ssdweb.co/ssdweb/CERTH/659436982.pdf","CERTI")</f>
        <v>CERTI</v>
      </c>
    </row>
    <row r="6867" spans="1:27" ht="15" x14ac:dyDescent="0.25">
      <c r="A6867" s="2">
        <v>6862</v>
      </c>
      <c r="B6867" s="39">
        <v>926910494</v>
      </c>
      <c r="C6867" s="28" t="str">
        <f>HYPERLINK("https://pld.live/RapDetail.aspx?STONELIST=926910494","DNA")</f>
        <v>DNA</v>
      </c>
      <c r="D6867" s="18" t="s">
        <v>4032</v>
      </c>
      <c r="E6867" s="18" t="s">
        <v>2186</v>
      </c>
      <c r="F6867" s="2" t="s">
        <v>7987</v>
      </c>
      <c r="G6867" s="2" t="s">
        <v>5226</v>
      </c>
      <c r="H6867" s="14">
        <v>2.5</v>
      </c>
      <c r="I6867" s="2" t="s">
        <v>4699</v>
      </c>
      <c r="J6867" s="2" t="s">
        <v>3942</v>
      </c>
      <c r="K6867" s="2" t="s">
        <v>1452</v>
      </c>
      <c r="L6867" s="2" t="s">
        <v>5221</v>
      </c>
      <c r="M6867" s="2" t="s">
        <v>5221</v>
      </c>
      <c r="N6867" s="2" t="s">
        <v>2317</v>
      </c>
      <c r="O6867" s="14">
        <v>16000</v>
      </c>
      <c r="P6867" s="14">
        <v>99.11</v>
      </c>
      <c r="Q6867" s="14">
        <v>142.4</v>
      </c>
      <c r="R6867" s="14">
        <v>356</v>
      </c>
      <c r="S6867" s="2" t="s">
        <v>242</v>
      </c>
      <c r="T6867" s="2">
        <v>1</v>
      </c>
      <c r="U6867" s="2">
        <v>70.400000000000006</v>
      </c>
      <c r="V6867" s="2">
        <v>71</v>
      </c>
      <c r="W6867" s="2" t="s">
        <v>7862</v>
      </c>
      <c r="X6867" s="2" t="s">
        <v>2449</v>
      </c>
      <c r="Y6867" s="2">
        <v>40000</v>
      </c>
      <c r="Z6867" s="19" t="str">
        <f>HYPERLINK("https://ssdweb.co/ssdweb/hd/Vision360.html?d=926910494&amp;zoomslide=1&amp;z=1926910494&amp;ISCONFIRM=0","VIDEO")</f>
        <v>VIDEO</v>
      </c>
      <c r="AA6867" s="19" t="str">
        <f>HYPERLINK("https://ssdweb.co/ssdweb/CERTH/659414270.pdf","CERTI")</f>
        <v>CERTI</v>
      </c>
    </row>
    <row r="6868" spans="1:27" ht="15" x14ac:dyDescent="0.25">
      <c r="A6868" s="2">
        <v>6863</v>
      </c>
      <c r="B6868" s="39">
        <v>926930820</v>
      </c>
      <c r="C6868" s="28" t="str">
        <f>HYPERLINK("https://pld.live/RapDetail.aspx?STONELIST=926930820","DNA")</f>
        <v>DNA</v>
      </c>
      <c r="D6868" s="18" t="s">
        <v>4032</v>
      </c>
      <c r="E6868" s="18" t="s">
        <v>2186</v>
      </c>
      <c r="F6868" s="2" t="s">
        <v>7987</v>
      </c>
      <c r="G6868" s="2" t="s">
        <v>5226</v>
      </c>
      <c r="H6868" s="14">
        <v>2.5</v>
      </c>
      <c r="I6868" s="2" t="s">
        <v>6587</v>
      </c>
      <c r="J6868" s="2" t="s">
        <v>13</v>
      </c>
      <c r="K6868" s="2" t="s">
        <v>1452</v>
      </c>
      <c r="L6868" s="2" t="s">
        <v>5221</v>
      </c>
      <c r="M6868" s="2" t="s">
        <v>5221</v>
      </c>
      <c r="N6868" s="2" t="s">
        <v>2317</v>
      </c>
      <c r="O6868" s="14">
        <v>14000</v>
      </c>
      <c r="P6868" s="14">
        <v>99.14</v>
      </c>
      <c r="Q6868" s="14">
        <v>120.4</v>
      </c>
      <c r="R6868" s="14">
        <v>301</v>
      </c>
      <c r="S6868" s="2" t="s">
        <v>783</v>
      </c>
      <c r="T6868" s="2">
        <v>1</v>
      </c>
      <c r="U6868" s="2">
        <v>73.7</v>
      </c>
      <c r="V6868" s="2">
        <v>69</v>
      </c>
      <c r="W6868" s="2" t="s">
        <v>8016</v>
      </c>
      <c r="X6868" s="2" t="s">
        <v>2449</v>
      </c>
      <c r="Y6868" s="2">
        <v>35000</v>
      </c>
      <c r="Z6868" s="19" t="str">
        <f>HYPERLINK("https://ssdweb.co/ssdweb/hd/Vision360.html?d=926930820&amp;zoomslide=1&amp;z=1926930820&amp;ISCONFIRM=0","VIDEO")</f>
        <v>VIDEO</v>
      </c>
      <c r="AA6868" s="19" t="str">
        <f>HYPERLINK("https://ssdweb.co/ssdweb/CERTH/659437013.pdf","CERTI")</f>
        <v>CERTI</v>
      </c>
    </row>
    <row r="6869" spans="1:27" ht="15" x14ac:dyDescent="0.25">
      <c r="A6869" s="2">
        <v>6864</v>
      </c>
      <c r="B6869" s="39">
        <v>924930173</v>
      </c>
      <c r="C6869" s="28" t="str">
        <f>HYPERLINK("https://pld.live/RapDetail.aspx?STONELIST=924930173","DNA")</f>
        <v>DNA</v>
      </c>
      <c r="D6869" s="18" t="s">
        <v>5154</v>
      </c>
      <c r="E6869" s="18" t="s">
        <v>2186</v>
      </c>
      <c r="F6869" s="2" t="s">
        <v>7987</v>
      </c>
      <c r="G6869" s="2" t="s">
        <v>5226</v>
      </c>
      <c r="H6869" s="14">
        <v>2.4900000000000002</v>
      </c>
      <c r="I6869" s="2" t="s">
        <v>1505</v>
      </c>
      <c r="J6869" s="2" t="s">
        <v>3942</v>
      </c>
      <c r="K6869" s="2" t="s">
        <v>1452</v>
      </c>
      <c r="L6869" s="2" t="s">
        <v>5221</v>
      </c>
      <c r="M6869" s="2" t="s">
        <v>5221</v>
      </c>
      <c r="N6869" s="2" t="s">
        <v>2317</v>
      </c>
      <c r="O6869" s="14">
        <v>12000</v>
      </c>
      <c r="P6869" s="14">
        <v>98.92</v>
      </c>
      <c r="Q6869" s="14">
        <v>129.6</v>
      </c>
      <c r="R6869" s="14">
        <v>322.7</v>
      </c>
      <c r="S6869" s="2" t="s">
        <v>5665</v>
      </c>
      <c r="T6869" s="2">
        <v>1.02</v>
      </c>
      <c r="U6869" s="2">
        <v>69.2</v>
      </c>
      <c r="V6869" s="2">
        <v>69</v>
      </c>
      <c r="W6869" s="2" t="s">
        <v>7862</v>
      </c>
      <c r="X6869" s="2" t="s">
        <v>2449</v>
      </c>
      <c r="Y6869" s="2">
        <v>29880</v>
      </c>
      <c r="Z6869" s="19" t="str">
        <f>HYPERLINK("https://ssdweb.co/ssdweb/hd/Vision360.html?d=924930173&amp;zoomslide=1&amp;z=1924930173&amp;ISCONFIRM=0","VIDEO")</f>
        <v>VIDEO</v>
      </c>
      <c r="AA6869" s="19" t="str">
        <f>HYPERLINK("https://ssdweb.co/ssdweb/CERTH/602361355.pdf","CERTI")</f>
        <v>CERTI</v>
      </c>
    </row>
    <row r="6870" spans="1:27" ht="15" x14ac:dyDescent="0.25">
      <c r="A6870" s="2">
        <v>6865</v>
      </c>
      <c r="B6870" s="39">
        <v>926910286</v>
      </c>
      <c r="C6870" s="28" t="str">
        <f>HYPERLINK("https://pld.live/RapDetail.aspx?STONELIST=926910286","DNA")</f>
        <v>DNA</v>
      </c>
      <c r="D6870" s="18" t="s">
        <v>5154</v>
      </c>
      <c r="E6870" s="18" t="s">
        <v>2186</v>
      </c>
      <c r="F6870" s="2" t="s">
        <v>7987</v>
      </c>
      <c r="G6870" s="2" t="s">
        <v>5226</v>
      </c>
      <c r="H6870" s="14">
        <v>2.46</v>
      </c>
      <c r="I6870" s="2" t="s">
        <v>4761</v>
      </c>
      <c r="J6870" s="2" t="s">
        <v>13</v>
      </c>
      <c r="K6870" s="2" t="s">
        <v>1452</v>
      </c>
      <c r="L6870" s="2" t="s">
        <v>5221</v>
      </c>
      <c r="M6870" s="2" t="s">
        <v>5221</v>
      </c>
      <c r="N6870" s="2" t="s">
        <v>2317</v>
      </c>
      <c r="O6870" s="14">
        <v>16000</v>
      </c>
      <c r="P6870" s="14">
        <v>99.11</v>
      </c>
      <c r="Q6870" s="14">
        <v>142.4</v>
      </c>
      <c r="R6870" s="14">
        <v>350.3</v>
      </c>
      <c r="S6870" s="2" t="s">
        <v>6066</v>
      </c>
      <c r="T6870" s="2">
        <v>1.01</v>
      </c>
      <c r="U6870" s="2">
        <v>71.900000000000006</v>
      </c>
      <c r="V6870" s="2">
        <v>69</v>
      </c>
      <c r="W6870" s="2" t="s">
        <v>7862</v>
      </c>
      <c r="X6870" s="2" t="s">
        <v>2449</v>
      </c>
      <c r="Y6870" s="2">
        <v>39360</v>
      </c>
      <c r="Z6870" s="19" t="str">
        <f>HYPERLINK("https://ssdweb.co/ssdweb/hd/Vision360.html?d=926910286&amp;zoomslide=1&amp;z=1926910286&amp;ISCONFIRM=0","VIDEO")</f>
        <v>VIDEO</v>
      </c>
      <c r="AA6870" s="19" t="str">
        <f>HYPERLINK("https://ssdweb.co/ssdweb/CERTH/656479460.pdf","CERTI")</f>
        <v>CERTI</v>
      </c>
    </row>
    <row r="6871" spans="1:27" ht="15" x14ac:dyDescent="0.25">
      <c r="A6871" s="2">
        <v>6866</v>
      </c>
      <c r="B6871" s="39">
        <v>924950269</v>
      </c>
      <c r="C6871" s="28" t="str">
        <f>HYPERLINK("https://pld.live/RapDetail.aspx?STONELIST=924950269","DNA")</f>
        <v>DNA</v>
      </c>
      <c r="D6871" s="18" t="s">
        <v>5154</v>
      </c>
      <c r="E6871" s="18" t="s">
        <v>2186</v>
      </c>
      <c r="F6871" s="2" t="s">
        <v>7987</v>
      </c>
      <c r="G6871" s="2" t="s">
        <v>5226</v>
      </c>
      <c r="H6871" s="14">
        <v>2.37</v>
      </c>
      <c r="I6871" s="2" t="s">
        <v>6587</v>
      </c>
      <c r="J6871" s="2" t="s">
        <v>5144</v>
      </c>
      <c r="K6871" s="2" t="s">
        <v>1452</v>
      </c>
      <c r="L6871" s="2" t="s">
        <v>5221</v>
      </c>
      <c r="M6871" s="2" t="s">
        <v>5221</v>
      </c>
      <c r="N6871" s="2" t="s">
        <v>2317</v>
      </c>
      <c r="O6871" s="14">
        <v>13000</v>
      </c>
      <c r="P6871" s="14">
        <v>99.12</v>
      </c>
      <c r="Q6871" s="14">
        <v>114.4</v>
      </c>
      <c r="R6871" s="14">
        <v>271.13</v>
      </c>
      <c r="S6871" s="2" t="s">
        <v>6124</v>
      </c>
      <c r="T6871" s="2">
        <v>1.02</v>
      </c>
      <c r="U6871" s="2">
        <v>71.900000000000006</v>
      </c>
      <c r="V6871" s="2">
        <v>67</v>
      </c>
      <c r="W6871" s="2" t="s">
        <v>7862</v>
      </c>
      <c r="X6871" s="2" t="s">
        <v>2449</v>
      </c>
      <c r="Y6871" s="2">
        <v>30810</v>
      </c>
      <c r="Z6871" s="19" t="str">
        <f>HYPERLINK("https://ssdweb.co/ssdweb/hd/Vision360.html?d=924950269&amp;zoomslide=1&amp;z=1924950269&amp;ISCONFIRM=0","VIDEO")</f>
        <v>VIDEO</v>
      </c>
      <c r="AA6871" s="19" t="str">
        <f>HYPERLINK("https://ssdweb.co/ssdweb/CERTH/604303950.pdf","CERTI")</f>
        <v>CERTI</v>
      </c>
    </row>
    <row r="6872" spans="1:27" ht="15" x14ac:dyDescent="0.25">
      <c r="A6872" s="2">
        <v>6867</v>
      </c>
      <c r="B6872" s="39">
        <v>926910015</v>
      </c>
      <c r="C6872" s="28" t="str">
        <f>HYPERLINK("https://pld.live/RapDetail.aspx?STONELIST=926910015","DNA")</f>
        <v>DNA</v>
      </c>
      <c r="D6872" s="18" t="s">
        <v>5154</v>
      </c>
      <c r="E6872" s="18" t="s">
        <v>2186</v>
      </c>
      <c r="F6872" s="2" t="s">
        <v>7987</v>
      </c>
      <c r="G6872" s="2" t="s">
        <v>5226</v>
      </c>
      <c r="H6872" s="14">
        <v>2.36</v>
      </c>
      <c r="I6872" s="2" t="s">
        <v>6587</v>
      </c>
      <c r="J6872" s="2" t="s">
        <v>13</v>
      </c>
      <c r="K6872" s="2" t="s">
        <v>1452</v>
      </c>
      <c r="L6872" s="2" t="s">
        <v>5221</v>
      </c>
      <c r="M6872" s="2" t="s">
        <v>5221</v>
      </c>
      <c r="N6872" s="2" t="s">
        <v>2317</v>
      </c>
      <c r="O6872" s="14">
        <v>14000</v>
      </c>
      <c r="P6872" s="14">
        <v>99.12</v>
      </c>
      <c r="Q6872" s="14">
        <v>123.2</v>
      </c>
      <c r="R6872" s="14">
        <v>290.75</v>
      </c>
      <c r="S6872" s="2" t="s">
        <v>3227</v>
      </c>
      <c r="T6872" s="2">
        <v>1</v>
      </c>
      <c r="U6872" s="2">
        <v>71.900000000000006</v>
      </c>
      <c r="V6872" s="2">
        <v>73</v>
      </c>
      <c r="W6872" s="2" t="s">
        <v>7862</v>
      </c>
      <c r="X6872" s="2" t="s">
        <v>2449</v>
      </c>
      <c r="Y6872" s="2">
        <v>33040</v>
      </c>
      <c r="Z6872" s="19" t="str">
        <f>HYPERLINK("https://ssdweb.co/ssdweb/hd/Vision360.html?d=926910015&amp;zoomslide=1&amp;z=1926910015&amp;ISCONFIRM=0","VIDEO")</f>
        <v>VIDEO</v>
      </c>
      <c r="AA6872" s="19" t="str">
        <f>HYPERLINK("https://ssdweb.co/ssdweb/CERTH/654432324.pdf","CERTI")</f>
        <v>CERTI</v>
      </c>
    </row>
    <row r="6873" spans="1:27" ht="15" x14ac:dyDescent="0.25">
      <c r="A6873" s="2">
        <v>6868</v>
      </c>
      <c r="B6873" s="39">
        <v>821115539</v>
      </c>
      <c r="C6873" s="28" t="str">
        <f>HYPERLINK("https://pld.live/RapDetail.aspx?STONELIST=821115539","DNA")</f>
        <v>DNA</v>
      </c>
      <c r="D6873" s="18" t="s">
        <v>5154</v>
      </c>
      <c r="E6873" s="18" t="s">
        <v>2186</v>
      </c>
      <c r="F6873" s="2" t="s">
        <v>7987</v>
      </c>
      <c r="G6873" s="2" t="s">
        <v>5226</v>
      </c>
      <c r="H6873" s="14">
        <v>2.2999999999999998</v>
      </c>
      <c r="I6873" s="2" t="s">
        <v>4761</v>
      </c>
      <c r="J6873" s="2" t="s">
        <v>13</v>
      </c>
      <c r="K6873" s="2" t="s">
        <v>1452</v>
      </c>
      <c r="L6873" s="2" t="s">
        <v>5221</v>
      </c>
      <c r="M6873" s="2" t="s">
        <v>5221</v>
      </c>
      <c r="N6873" s="2" t="s">
        <v>2317</v>
      </c>
      <c r="O6873" s="14">
        <v>16000</v>
      </c>
      <c r="P6873" s="14">
        <v>99.13</v>
      </c>
      <c r="Q6873" s="14">
        <v>139.19999999999999</v>
      </c>
      <c r="R6873" s="14">
        <v>320.16000000000003</v>
      </c>
      <c r="S6873" s="2" t="s">
        <v>3420</v>
      </c>
      <c r="T6873" s="2">
        <v>1</v>
      </c>
      <c r="U6873" s="2">
        <v>70.8</v>
      </c>
      <c r="V6873" s="2">
        <v>74</v>
      </c>
      <c r="W6873" s="2" t="s">
        <v>7862</v>
      </c>
      <c r="X6873" s="2" t="s">
        <v>2449</v>
      </c>
      <c r="Y6873" s="2">
        <v>36800</v>
      </c>
      <c r="Z6873" s="19" t="str">
        <f>HYPERLINK("https://ssdweb.co/ssdweb/hd/Vision360.html?d=821115539&amp;zoomslide=1&amp;z=1821115539&amp;ISCONFIRM=0","VIDEO")</f>
        <v>VIDEO</v>
      </c>
      <c r="AA6873" s="19" t="str">
        <f>HYPERLINK("https://ssdweb.co/ssdweb/CERTH/634404083.pdf","CERTI")</f>
        <v>CERTI</v>
      </c>
    </row>
    <row r="6874" spans="1:27" ht="15" x14ac:dyDescent="0.25">
      <c r="A6874" s="2">
        <v>6869</v>
      </c>
      <c r="B6874" s="39">
        <v>831020722</v>
      </c>
      <c r="C6874" s="28" t="str">
        <f>HYPERLINK("https://pld.live/RapDetail.aspx?STONELIST=831020722","DNA")</f>
        <v>DNA</v>
      </c>
      <c r="D6874" s="18" t="s">
        <v>3658</v>
      </c>
      <c r="E6874" s="18" t="s">
        <v>2186</v>
      </c>
      <c r="F6874" s="2" t="s">
        <v>7987</v>
      </c>
      <c r="G6874" s="2" t="s">
        <v>5226</v>
      </c>
      <c r="H6874" s="14">
        <v>2.09</v>
      </c>
      <c r="I6874" s="2" t="s">
        <v>1505</v>
      </c>
      <c r="J6874" s="2" t="s">
        <v>5144</v>
      </c>
      <c r="K6874" s="2" t="s">
        <v>1452</v>
      </c>
      <c r="L6874" s="2" t="s">
        <v>5221</v>
      </c>
      <c r="M6874" s="2" t="s">
        <v>5221</v>
      </c>
      <c r="N6874" s="2" t="s">
        <v>2317</v>
      </c>
      <c r="O6874" s="14">
        <v>11000</v>
      </c>
      <c r="P6874" s="14">
        <v>99</v>
      </c>
      <c r="Q6874" s="14">
        <v>110</v>
      </c>
      <c r="R6874" s="14">
        <v>229.9</v>
      </c>
      <c r="S6874" s="2" t="s">
        <v>5017</v>
      </c>
      <c r="T6874" s="2">
        <v>1.02</v>
      </c>
      <c r="U6874" s="2">
        <v>69.900000000000006</v>
      </c>
      <c r="V6874" s="2">
        <v>71</v>
      </c>
      <c r="W6874" s="2" t="s">
        <v>7862</v>
      </c>
      <c r="X6874" s="2" t="s">
        <v>2449</v>
      </c>
      <c r="Y6874" s="2">
        <v>22990</v>
      </c>
      <c r="Z6874" s="19" t="str">
        <f>HYPERLINK("https://ssdweb.co/ssdweb/hd/Vision360.html?d=831020722&amp;zoomslide=1&amp;z=1831020722&amp;ISCONFIRM=0","VIDEO")</f>
        <v>VIDEO</v>
      </c>
      <c r="AA6874" s="19" t="str">
        <f>HYPERLINK("https://ssdweb.co/ssdweb/CERTH/605330688.pdf","CERTI")</f>
        <v>CERTI</v>
      </c>
    </row>
    <row r="6875" spans="1:27" ht="15" x14ac:dyDescent="0.25">
      <c r="A6875" s="2">
        <v>6870</v>
      </c>
      <c r="B6875" s="39">
        <v>831020739</v>
      </c>
      <c r="C6875" s="28" t="str">
        <f>HYPERLINK("https://pld.live/RapDetail.aspx?STONELIST=831020739","DNA")</f>
        <v>DNA</v>
      </c>
      <c r="D6875" s="18" t="s">
        <v>3658</v>
      </c>
      <c r="E6875" s="18" t="s">
        <v>2186</v>
      </c>
      <c r="F6875" s="2" t="s">
        <v>7987</v>
      </c>
      <c r="G6875" s="2" t="s">
        <v>5226</v>
      </c>
      <c r="H6875" s="14">
        <v>2.0499999999999998</v>
      </c>
      <c r="I6875" s="2" t="s">
        <v>4761</v>
      </c>
      <c r="J6875" s="2" t="s">
        <v>13</v>
      </c>
      <c r="K6875" s="2" t="s">
        <v>1452</v>
      </c>
      <c r="L6875" s="2" t="s">
        <v>5221</v>
      </c>
      <c r="M6875" s="2" t="s">
        <v>5221</v>
      </c>
      <c r="N6875" s="2" t="s">
        <v>2317</v>
      </c>
      <c r="O6875" s="14">
        <v>16000</v>
      </c>
      <c r="P6875" s="14">
        <v>99.13</v>
      </c>
      <c r="Q6875" s="14">
        <v>139.19999999999999</v>
      </c>
      <c r="R6875" s="14">
        <v>285.36</v>
      </c>
      <c r="S6875" s="2" t="s">
        <v>8032</v>
      </c>
      <c r="T6875" s="2">
        <v>1.03</v>
      </c>
      <c r="U6875" s="2">
        <v>70.8</v>
      </c>
      <c r="V6875" s="2">
        <v>68</v>
      </c>
      <c r="W6875" s="2" t="s">
        <v>7862</v>
      </c>
      <c r="X6875" s="2" t="s">
        <v>2449</v>
      </c>
      <c r="Y6875" s="2">
        <v>32800</v>
      </c>
      <c r="Z6875" s="19" t="str">
        <f>HYPERLINK("https://ssdweb.co/ssdweb/hd/Vision360.html?d=831020739&amp;zoomslide=1&amp;z=1831020739&amp;ISCONFIRM=0","VIDEO")</f>
        <v>VIDEO</v>
      </c>
      <c r="AA6875" s="19" t="str">
        <f>HYPERLINK("https://ssdweb.co/ssdweb/CERTH/622476125.pdf","CERTI")</f>
        <v>CERTI</v>
      </c>
    </row>
    <row r="6876" spans="1:27" ht="15" x14ac:dyDescent="0.25">
      <c r="A6876" s="2">
        <v>6871</v>
      </c>
      <c r="B6876" s="39">
        <v>831020738</v>
      </c>
      <c r="C6876" s="28" t="str">
        <f>HYPERLINK("https://pld.live/RapDetail.aspx?STONELIST=831020738","DNA")</f>
        <v>DNA</v>
      </c>
      <c r="D6876" s="18" t="s">
        <v>3658</v>
      </c>
      <c r="E6876" s="18" t="s">
        <v>2186</v>
      </c>
      <c r="F6876" s="2" t="s">
        <v>7987</v>
      </c>
      <c r="G6876" s="2" t="s">
        <v>5226</v>
      </c>
      <c r="H6876" s="14">
        <v>2.04</v>
      </c>
      <c r="I6876" s="2" t="s">
        <v>4761</v>
      </c>
      <c r="J6876" s="2" t="s">
        <v>13</v>
      </c>
      <c r="K6876" s="2" t="s">
        <v>1452</v>
      </c>
      <c r="L6876" s="2" t="s">
        <v>5221</v>
      </c>
      <c r="M6876" s="2" t="s">
        <v>5221</v>
      </c>
      <c r="N6876" s="2" t="s">
        <v>2317</v>
      </c>
      <c r="O6876" s="14">
        <v>16000</v>
      </c>
      <c r="P6876" s="14">
        <v>99.13</v>
      </c>
      <c r="Q6876" s="14">
        <v>139.19999999999999</v>
      </c>
      <c r="R6876" s="14">
        <v>283.97000000000003</v>
      </c>
      <c r="S6876" s="2" t="s">
        <v>692</v>
      </c>
      <c r="T6876" s="2">
        <v>1.02</v>
      </c>
      <c r="U6876" s="2">
        <v>68.900000000000006</v>
      </c>
      <c r="V6876" s="2">
        <v>71</v>
      </c>
      <c r="W6876" s="2" t="s">
        <v>7862</v>
      </c>
      <c r="X6876" s="2" t="s">
        <v>2449</v>
      </c>
      <c r="Y6876" s="2">
        <v>32640</v>
      </c>
      <c r="Z6876" s="19" t="str">
        <f>HYPERLINK("https://ssdweb.co/ssdweb/hd/Vision360.html?d=831020738&amp;zoomslide=1&amp;z=1831020738&amp;ISCONFIRM=0","VIDEO")</f>
        <v>VIDEO</v>
      </c>
      <c r="AA6876" s="19" t="str">
        <f>HYPERLINK("https://ssdweb.co/ssdweb/CERTH/622487494.pdf","CERTI")</f>
        <v>CERTI</v>
      </c>
    </row>
    <row r="6877" spans="1:27" ht="15" x14ac:dyDescent="0.25">
      <c r="A6877" s="2">
        <v>6872</v>
      </c>
      <c r="B6877" s="39">
        <v>926470429</v>
      </c>
      <c r="C6877" s="28" t="str">
        <f>HYPERLINK("https://pld.live/RapDetail.aspx?STONELIST=926470429","DNA")</f>
        <v>DNA</v>
      </c>
      <c r="D6877" s="18" t="s">
        <v>3658</v>
      </c>
      <c r="E6877" s="18" t="s">
        <v>2186</v>
      </c>
      <c r="F6877" s="2" t="s">
        <v>7987</v>
      </c>
      <c r="G6877" s="2" t="s">
        <v>5226</v>
      </c>
      <c r="H6877" s="14">
        <v>2.04</v>
      </c>
      <c r="I6877" s="2" t="s">
        <v>1112</v>
      </c>
      <c r="J6877" s="2" t="s">
        <v>13</v>
      </c>
      <c r="K6877" s="2" t="s">
        <v>1452</v>
      </c>
      <c r="L6877" s="2" t="s">
        <v>5221</v>
      </c>
      <c r="M6877" s="2" t="s">
        <v>5221</v>
      </c>
      <c r="N6877" s="2" t="s">
        <v>924</v>
      </c>
      <c r="O6877" s="14">
        <v>4200</v>
      </c>
      <c r="P6877" s="14">
        <v>92.86</v>
      </c>
      <c r="Q6877" s="14">
        <v>299.88</v>
      </c>
      <c r="R6877" s="14">
        <v>611.76</v>
      </c>
      <c r="S6877" s="2" t="s">
        <v>4494</v>
      </c>
      <c r="T6877" s="2">
        <v>1.02</v>
      </c>
      <c r="U6877" s="2">
        <v>71.7</v>
      </c>
      <c r="V6877" s="2">
        <v>70</v>
      </c>
      <c r="W6877" s="2" t="s">
        <v>7862</v>
      </c>
      <c r="X6877" s="2" t="s">
        <v>2449</v>
      </c>
      <c r="Y6877" s="2">
        <v>8568</v>
      </c>
      <c r="Z6877" s="19" t="str">
        <f>HYPERLINK("https://ssdweb.co/ssdweb/hd/Vision360.html?d=926470429&amp;zoomslide=1&amp;z=1926470429&amp;ISCONFIRM=0","VIDEO")</f>
        <v>VIDEO</v>
      </c>
      <c r="AA6877" s="19" t="str">
        <f>HYPERLINK("https://ssdweb.co/ssdweb/CERTH/648419913.pdf","CERTI")</f>
        <v>CERTI</v>
      </c>
    </row>
    <row r="6878" spans="1:27" ht="15" x14ac:dyDescent="0.25">
      <c r="A6878" s="2">
        <v>6873</v>
      </c>
      <c r="B6878" s="39">
        <v>926930781</v>
      </c>
      <c r="C6878" s="28" t="str">
        <f>HYPERLINK("https://pld.live/RapDetail.aspx?STONELIST=926930781","DNA")</f>
        <v>DNA</v>
      </c>
      <c r="D6878" s="18" t="s">
        <v>3658</v>
      </c>
      <c r="E6878" s="18" t="s">
        <v>2186</v>
      </c>
      <c r="F6878" s="2" t="s">
        <v>7987</v>
      </c>
      <c r="G6878" s="2" t="s">
        <v>5226</v>
      </c>
      <c r="H6878" s="14">
        <v>2.02</v>
      </c>
      <c r="I6878" s="2" t="s">
        <v>6587</v>
      </c>
      <c r="J6878" s="2" t="s">
        <v>3942</v>
      </c>
      <c r="K6878" s="2" t="s">
        <v>1452</v>
      </c>
      <c r="L6878" s="2" t="s">
        <v>5221</v>
      </c>
      <c r="M6878" s="2" t="s">
        <v>5221</v>
      </c>
      <c r="N6878" s="2" t="s">
        <v>2317</v>
      </c>
      <c r="O6878" s="14">
        <v>15000</v>
      </c>
      <c r="P6878" s="14">
        <v>99.07</v>
      </c>
      <c r="Q6878" s="14">
        <v>139.5</v>
      </c>
      <c r="R6878" s="14">
        <v>281.79000000000002</v>
      </c>
      <c r="S6878" s="2" t="s">
        <v>6893</v>
      </c>
      <c r="T6878" s="2">
        <v>1</v>
      </c>
      <c r="U6878" s="2">
        <v>71.400000000000006</v>
      </c>
      <c r="V6878" s="2">
        <v>71</v>
      </c>
      <c r="W6878" s="2" t="s">
        <v>7862</v>
      </c>
      <c r="X6878" s="2" t="s">
        <v>2449</v>
      </c>
      <c r="Y6878" s="2">
        <v>30300</v>
      </c>
      <c r="Z6878" s="19" t="str">
        <f>HYPERLINK("https://ssdweb.co/ssdweb/hd/Vision360.html?d=926930781&amp;zoomslide=1&amp;z=1926930781&amp;ISCONFIRM=0","VIDEO")</f>
        <v>VIDEO</v>
      </c>
      <c r="AA6878" s="19" t="str">
        <f>HYPERLINK("https://ssdweb.co/ssdweb/CERTH/666408390.pdf","CERTI")</f>
        <v>CERTI</v>
      </c>
    </row>
    <row r="6879" spans="1:27" ht="15" x14ac:dyDescent="0.25">
      <c r="A6879" s="2">
        <v>6874</v>
      </c>
      <c r="B6879" s="39">
        <v>831020743</v>
      </c>
      <c r="C6879" s="28" t="str">
        <f>HYPERLINK("https://pld.live/RapDetail.aspx?STONELIST=831020743","DNA")</f>
        <v>DNA</v>
      </c>
      <c r="D6879" s="18" t="s">
        <v>3658</v>
      </c>
      <c r="E6879" s="18" t="s">
        <v>2186</v>
      </c>
      <c r="F6879" s="2" t="s">
        <v>7987</v>
      </c>
      <c r="G6879" s="2" t="s">
        <v>5226</v>
      </c>
      <c r="H6879" s="14">
        <v>2.0099999999999998</v>
      </c>
      <c r="I6879" s="2" t="s">
        <v>4761</v>
      </c>
      <c r="J6879" s="2" t="s">
        <v>5144</v>
      </c>
      <c r="K6879" s="2" t="s">
        <v>1452</v>
      </c>
      <c r="L6879" s="2" t="s">
        <v>5221</v>
      </c>
      <c r="M6879" s="2" t="s">
        <v>5221</v>
      </c>
      <c r="N6879" s="2" t="s">
        <v>2317</v>
      </c>
      <c r="O6879" s="14">
        <v>15000</v>
      </c>
      <c r="P6879" s="14">
        <v>99.1</v>
      </c>
      <c r="Q6879" s="14">
        <v>135</v>
      </c>
      <c r="R6879" s="14">
        <v>271.35000000000002</v>
      </c>
      <c r="S6879" s="2" t="s">
        <v>2789</v>
      </c>
      <c r="T6879" s="2">
        <v>1</v>
      </c>
      <c r="U6879" s="2">
        <v>73</v>
      </c>
      <c r="V6879" s="2">
        <v>70</v>
      </c>
      <c r="W6879" s="2" t="s">
        <v>7862</v>
      </c>
      <c r="X6879" s="2" t="s">
        <v>2449</v>
      </c>
      <c r="Y6879" s="2">
        <v>30150</v>
      </c>
      <c r="Z6879" s="19" t="str">
        <f>HYPERLINK("https://ssdweb.co/ssdweb/hd/Vision360.html?d=831020743&amp;zoomslide=1&amp;z=1831020743&amp;ISCONFIRM=0","VIDEO")</f>
        <v>VIDEO</v>
      </c>
      <c r="AA6879" s="19" t="str">
        <f>HYPERLINK("https://ssdweb.co/ssdweb/CERTH/623444843.pdf","CERTI")</f>
        <v>CERTI</v>
      </c>
    </row>
    <row r="6880" spans="1:27" ht="15" x14ac:dyDescent="0.25">
      <c r="A6880" s="2">
        <v>6875</v>
      </c>
      <c r="B6880" s="39">
        <v>927010707</v>
      </c>
      <c r="C6880" s="28" t="str">
        <f>HYPERLINK("https://pld.live/RapDetail.aspx?STONELIST=927010707","DNA")</f>
        <v>DNA</v>
      </c>
      <c r="D6880" s="18" t="s">
        <v>3658</v>
      </c>
      <c r="E6880" s="18" t="s">
        <v>2186</v>
      </c>
      <c r="F6880" s="2" t="s">
        <v>7987</v>
      </c>
      <c r="G6880" s="2" t="s">
        <v>5226</v>
      </c>
      <c r="H6880" s="14">
        <v>2</v>
      </c>
      <c r="I6880" s="2" t="s">
        <v>4761</v>
      </c>
      <c r="J6880" s="2" t="s">
        <v>13</v>
      </c>
      <c r="K6880" s="2" t="s">
        <v>1452</v>
      </c>
      <c r="L6880" s="2" t="s">
        <v>5221</v>
      </c>
      <c r="M6880" s="2" t="s">
        <v>5721</v>
      </c>
      <c r="N6880" s="2" t="s">
        <v>2317</v>
      </c>
      <c r="O6880" s="14">
        <v>16000</v>
      </c>
      <c r="P6880" s="14">
        <v>99.12</v>
      </c>
      <c r="Q6880" s="14">
        <v>140.80000000000001</v>
      </c>
      <c r="R6880" s="14">
        <v>281.60000000000002</v>
      </c>
      <c r="S6880" s="2" t="s">
        <v>5472</v>
      </c>
      <c r="T6880" s="2">
        <v>1.02</v>
      </c>
      <c r="U6880" s="2">
        <v>70.5</v>
      </c>
      <c r="V6880" s="2">
        <v>73</v>
      </c>
      <c r="W6880" s="2" t="s">
        <v>7862</v>
      </c>
      <c r="X6880" s="2" t="s">
        <v>2449</v>
      </c>
      <c r="Y6880" s="2">
        <v>32000</v>
      </c>
      <c r="Z6880" s="19" t="str">
        <f>HYPERLINK("https://ssdweb.co/ssdweb/hd/Vision360.html?d=927010707&amp;zoomslide=1&amp;z=1927010707&amp;ISCONFIRM=0","VIDEO")</f>
        <v>VIDEO</v>
      </c>
      <c r="AA6880" s="19" t="str">
        <f>HYPERLINK("https://ssdweb.co/ssdweb/CERTH/662417161.pdf","CERTI")</f>
        <v>CERTI</v>
      </c>
    </row>
    <row r="6881" spans="1:27" ht="15" x14ac:dyDescent="0.25">
      <c r="A6881" s="2">
        <v>6876</v>
      </c>
      <c r="B6881" s="39">
        <v>821113869</v>
      </c>
      <c r="C6881" s="28" t="str">
        <f>HYPERLINK("https://pld.live/RapDetail.aspx?STONELIST=821113869","DNA")</f>
        <v>DNA</v>
      </c>
      <c r="D6881" s="18" t="s">
        <v>3658</v>
      </c>
      <c r="E6881" s="18" t="s">
        <v>2186</v>
      </c>
      <c r="F6881" s="2" t="s">
        <v>7987</v>
      </c>
      <c r="G6881" s="2" t="s">
        <v>5226</v>
      </c>
      <c r="H6881" s="14">
        <v>2</v>
      </c>
      <c r="I6881" s="2" t="s">
        <v>4761</v>
      </c>
      <c r="J6881" s="2" t="s">
        <v>5144</v>
      </c>
      <c r="K6881" s="2" t="s">
        <v>1452</v>
      </c>
      <c r="L6881" s="2" t="s">
        <v>5221</v>
      </c>
      <c r="M6881" s="2" t="s">
        <v>5221</v>
      </c>
      <c r="N6881" s="2" t="s">
        <v>2317</v>
      </c>
      <c r="O6881" s="14">
        <v>15000</v>
      </c>
      <c r="P6881" s="14">
        <v>99.1</v>
      </c>
      <c r="Q6881" s="14">
        <v>135</v>
      </c>
      <c r="R6881" s="14">
        <v>270</v>
      </c>
      <c r="S6881" s="2" t="s">
        <v>4672</v>
      </c>
      <c r="T6881" s="2">
        <v>1</v>
      </c>
      <c r="U6881" s="2">
        <v>72.5</v>
      </c>
      <c r="V6881" s="2">
        <v>70</v>
      </c>
      <c r="W6881" s="2" t="s">
        <v>7862</v>
      </c>
      <c r="X6881" s="2" t="s">
        <v>2449</v>
      </c>
      <c r="Y6881" s="2">
        <v>30000</v>
      </c>
      <c r="Z6881" s="19" t="str">
        <f>HYPERLINK("https://ssdweb.co/ssdweb/hd/Vision360.html?d=821113869&amp;zoomslide=1&amp;z=1821113869&amp;ISCONFIRM=0","VIDEO")</f>
        <v>VIDEO</v>
      </c>
      <c r="AA6881" s="19" t="str">
        <f>HYPERLINK("https://ssdweb.co/ssdweb/CERTH/623479689.pdf","CERTI")</f>
        <v>CERTI</v>
      </c>
    </row>
    <row r="6882" spans="1:27" ht="15" x14ac:dyDescent="0.25">
      <c r="A6882" s="2">
        <v>6877</v>
      </c>
      <c r="B6882" s="39">
        <v>821113332</v>
      </c>
      <c r="C6882" s="28" t="str">
        <f>HYPERLINK("https://pld.live/RapDetail.aspx?STONELIST=821113332","DNA")</f>
        <v>DNA</v>
      </c>
      <c r="D6882" s="18" t="s">
        <v>6675</v>
      </c>
      <c r="E6882" s="18" t="s">
        <v>2186</v>
      </c>
      <c r="F6882" s="2" t="s">
        <v>7987</v>
      </c>
      <c r="G6882" s="2" t="s">
        <v>5226</v>
      </c>
      <c r="H6882" s="14">
        <v>1.96</v>
      </c>
      <c r="I6882" s="2" t="s">
        <v>4699</v>
      </c>
      <c r="J6882" s="2" t="s">
        <v>5144</v>
      </c>
      <c r="K6882" s="2" t="s">
        <v>1452</v>
      </c>
      <c r="L6882" s="2" t="s">
        <v>5221</v>
      </c>
      <c r="M6882" s="2" t="s">
        <v>5721</v>
      </c>
      <c r="N6882" s="2" t="s">
        <v>2317</v>
      </c>
      <c r="O6882" s="14">
        <v>8800</v>
      </c>
      <c r="P6882" s="14">
        <v>98.65</v>
      </c>
      <c r="Q6882" s="14">
        <v>118.8</v>
      </c>
      <c r="R6882" s="14">
        <v>232.85</v>
      </c>
      <c r="S6882" s="2" t="s">
        <v>638</v>
      </c>
      <c r="T6882" s="2">
        <v>1.02</v>
      </c>
      <c r="U6882" s="2">
        <v>70.599999999999994</v>
      </c>
      <c r="V6882" s="2">
        <v>68</v>
      </c>
      <c r="W6882" s="2" t="s">
        <v>7862</v>
      </c>
      <c r="X6882" s="2" t="s">
        <v>2449</v>
      </c>
      <c r="Y6882" s="2">
        <v>17248</v>
      </c>
      <c r="Z6882" s="19" t="str">
        <f>HYPERLINK("https://ssdweb.co/ssdweb/hd/Vision360.html?d=821113332&amp;zoomslide=1&amp;z=1821113332&amp;ISCONFIRM=0","VIDEO")</f>
        <v>VIDEO</v>
      </c>
      <c r="AA6882" s="19" t="str">
        <f>HYPERLINK("https://ssdweb.co/ssdweb/CERTH/620415366.pdf","CERTI")</f>
        <v>CERTI</v>
      </c>
    </row>
    <row r="6883" spans="1:27" ht="15" x14ac:dyDescent="0.25">
      <c r="A6883" s="2">
        <v>6878</v>
      </c>
      <c r="B6883" s="39">
        <v>821113613</v>
      </c>
      <c r="C6883" s="28" t="str">
        <f>HYPERLINK("https://pld.live/RapDetail.aspx?STONELIST=821113613","DNA")</f>
        <v>DNA</v>
      </c>
      <c r="D6883" s="18" t="s">
        <v>6675</v>
      </c>
      <c r="E6883" s="18" t="s">
        <v>2186</v>
      </c>
      <c r="F6883" s="2" t="s">
        <v>7987</v>
      </c>
      <c r="G6883" s="2" t="s">
        <v>5226</v>
      </c>
      <c r="H6883" s="14">
        <v>1.95</v>
      </c>
      <c r="I6883" s="2" t="s">
        <v>4761</v>
      </c>
      <c r="J6883" s="2" t="s">
        <v>13</v>
      </c>
      <c r="K6883" s="2" t="s">
        <v>1452</v>
      </c>
      <c r="L6883" s="2" t="s">
        <v>5221</v>
      </c>
      <c r="M6883" s="2" t="s">
        <v>5221</v>
      </c>
      <c r="N6883" s="2" t="s">
        <v>2317</v>
      </c>
      <c r="O6883" s="14">
        <v>10800</v>
      </c>
      <c r="P6883" s="14">
        <v>98.81</v>
      </c>
      <c r="Q6883" s="14">
        <v>128.52000000000001</v>
      </c>
      <c r="R6883" s="14">
        <v>250.61</v>
      </c>
      <c r="S6883" s="2" t="s">
        <v>4735</v>
      </c>
      <c r="T6883" s="2">
        <v>1.03</v>
      </c>
      <c r="U6883" s="2">
        <v>73</v>
      </c>
      <c r="V6883" s="2">
        <v>71</v>
      </c>
      <c r="W6883" s="2" t="s">
        <v>7862</v>
      </c>
      <c r="X6883" s="2" t="s">
        <v>2449</v>
      </c>
      <c r="Y6883" s="2">
        <v>21060</v>
      </c>
      <c r="Z6883" s="19" t="str">
        <f>HYPERLINK("https://ssdweb.co/ssdweb/hd/Vision360.html?d=821113613&amp;zoomslide=1&amp;z=1821113613&amp;ISCONFIRM=0","VIDEO")</f>
        <v>VIDEO</v>
      </c>
      <c r="AA6883" s="19" t="str">
        <f>HYPERLINK("https://ssdweb.co/ssdweb/CERTH/614310772.pdf","CERTI")</f>
        <v>CERTI</v>
      </c>
    </row>
    <row r="6884" spans="1:27" ht="15" x14ac:dyDescent="0.25">
      <c r="A6884" s="2">
        <v>6879</v>
      </c>
      <c r="B6884" s="39">
        <v>821113324</v>
      </c>
      <c r="C6884" s="28" t="str">
        <f>HYPERLINK("https://pld.live/RapDetail.aspx?STONELIST=821113324","DNA")</f>
        <v>DNA</v>
      </c>
      <c r="D6884" s="18" t="s">
        <v>6675</v>
      </c>
      <c r="E6884" s="18" t="s">
        <v>2186</v>
      </c>
      <c r="F6884" s="2" t="s">
        <v>7987</v>
      </c>
      <c r="G6884" s="2" t="s">
        <v>5226</v>
      </c>
      <c r="H6884" s="14">
        <v>1.95</v>
      </c>
      <c r="I6884" s="2" t="s">
        <v>4761</v>
      </c>
      <c r="J6884" s="2" t="s">
        <v>5144</v>
      </c>
      <c r="K6884" s="2" t="s">
        <v>1452</v>
      </c>
      <c r="L6884" s="2" t="s">
        <v>5221</v>
      </c>
      <c r="M6884" s="2" t="s">
        <v>5221</v>
      </c>
      <c r="N6884" s="2" t="s">
        <v>2317</v>
      </c>
      <c r="O6884" s="14">
        <v>9300</v>
      </c>
      <c r="P6884" s="14">
        <v>98.65</v>
      </c>
      <c r="Q6884" s="14">
        <v>125.55</v>
      </c>
      <c r="R6884" s="14">
        <v>244.82</v>
      </c>
      <c r="S6884" s="2" t="s">
        <v>2384</v>
      </c>
      <c r="T6884" s="2">
        <v>1.04</v>
      </c>
      <c r="U6884" s="2">
        <v>73.400000000000006</v>
      </c>
      <c r="V6884" s="2">
        <v>69</v>
      </c>
      <c r="W6884" s="2" t="s">
        <v>7862</v>
      </c>
      <c r="X6884" s="2" t="s">
        <v>2449</v>
      </c>
      <c r="Y6884" s="2">
        <v>18135</v>
      </c>
      <c r="Z6884" s="19" t="str">
        <f>HYPERLINK("https://ssdweb.co/ssdweb/hd/Vision360.html?d=821113324&amp;zoomslide=1&amp;z=1821113324&amp;ISCONFIRM=0","VIDEO")</f>
        <v>VIDEO</v>
      </c>
      <c r="AA6884" s="19" t="str">
        <f>HYPERLINK("https://ssdweb.co/ssdweb/CERTH/618438530.pdf","CERTI")</f>
        <v>CERTI</v>
      </c>
    </row>
    <row r="6885" spans="1:27" ht="15" x14ac:dyDescent="0.25">
      <c r="A6885" s="2">
        <v>6880</v>
      </c>
      <c r="B6885" s="39">
        <v>926540215</v>
      </c>
      <c r="C6885" s="28" t="str">
        <f>HYPERLINK("https://pld.live/RapDetail.aspx?STONELIST=926540215","DNA")</f>
        <v>DNA</v>
      </c>
      <c r="D6885" s="18" t="s">
        <v>6675</v>
      </c>
      <c r="E6885" s="18" t="s">
        <v>2186</v>
      </c>
      <c r="F6885" s="2" t="s">
        <v>7987</v>
      </c>
      <c r="G6885" s="2" t="s">
        <v>5226</v>
      </c>
      <c r="H6885" s="14">
        <v>1.95</v>
      </c>
      <c r="I6885" s="2" t="s">
        <v>1066</v>
      </c>
      <c r="J6885" s="2" t="s">
        <v>13</v>
      </c>
      <c r="K6885" s="2" t="s">
        <v>1452</v>
      </c>
      <c r="L6885" s="2" t="s">
        <v>5221</v>
      </c>
      <c r="M6885" s="2" t="s">
        <v>5221</v>
      </c>
      <c r="N6885" s="2" t="s">
        <v>924</v>
      </c>
      <c r="O6885" s="14">
        <v>3200</v>
      </c>
      <c r="P6885" s="14">
        <v>89.38</v>
      </c>
      <c r="Q6885" s="14">
        <v>339.84</v>
      </c>
      <c r="R6885" s="14">
        <v>662.69</v>
      </c>
      <c r="S6885" s="2" t="s">
        <v>1617</v>
      </c>
      <c r="T6885" s="2">
        <v>1.02</v>
      </c>
      <c r="U6885" s="2">
        <v>68.599999999999994</v>
      </c>
      <c r="V6885" s="2">
        <v>73</v>
      </c>
      <c r="W6885" s="2" t="s">
        <v>7862</v>
      </c>
      <c r="X6885" s="2" t="s">
        <v>2449</v>
      </c>
      <c r="Y6885" s="2">
        <v>6240</v>
      </c>
      <c r="Z6885" s="19" t="str">
        <f>HYPERLINK("https://ssdweb.co/ssdweb/hd/Vision360.html?d=926540215&amp;zoomslide=1&amp;z=1926540215&amp;ISCONFIRM=0","VIDEO")</f>
        <v>VIDEO</v>
      </c>
      <c r="AA6885" s="19" t="str">
        <f>HYPERLINK("https://ssdweb.co/ssdweb/CERTH/651455406.pdf","CERTI")</f>
        <v>CERTI</v>
      </c>
    </row>
    <row r="6886" spans="1:27" ht="15" x14ac:dyDescent="0.25">
      <c r="A6886" s="2">
        <v>6881</v>
      </c>
      <c r="B6886" s="39">
        <v>926030184</v>
      </c>
      <c r="C6886" s="28" t="str">
        <f>HYPERLINK("https://pld.live/RapDetail.aspx?STONELIST=926030184","DNA")</f>
        <v>DNA</v>
      </c>
      <c r="D6886" s="18" t="s">
        <v>5313</v>
      </c>
      <c r="E6886" s="18" t="s">
        <v>2186</v>
      </c>
      <c r="F6886" s="2" t="s">
        <v>7987</v>
      </c>
      <c r="G6886" s="2" t="s">
        <v>5226</v>
      </c>
      <c r="H6886" s="14">
        <v>1.71</v>
      </c>
      <c r="I6886" s="2" t="s">
        <v>1066</v>
      </c>
      <c r="J6886" s="2" t="s">
        <v>13</v>
      </c>
      <c r="K6886" s="2" t="s">
        <v>1452</v>
      </c>
      <c r="L6886" s="2" t="s">
        <v>5221</v>
      </c>
      <c r="M6886" s="2" t="s">
        <v>5221</v>
      </c>
      <c r="N6886" s="2" t="s">
        <v>924</v>
      </c>
      <c r="O6886" s="14">
        <v>3300</v>
      </c>
      <c r="P6886" s="14">
        <v>90</v>
      </c>
      <c r="Q6886" s="14">
        <v>330</v>
      </c>
      <c r="R6886" s="14">
        <v>564.29999999999995</v>
      </c>
      <c r="S6886" s="2" t="s">
        <v>177</v>
      </c>
      <c r="T6886" s="2">
        <v>1.02</v>
      </c>
      <c r="U6886" s="2">
        <v>72.8</v>
      </c>
      <c r="V6886" s="2">
        <v>68</v>
      </c>
      <c r="W6886" s="2" t="s">
        <v>7862</v>
      </c>
      <c r="X6886" s="2" t="s">
        <v>2449</v>
      </c>
      <c r="Y6886" s="2">
        <v>5643</v>
      </c>
      <c r="Z6886" s="19" t="str">
        <f>HYPERLINK("https://ssdweb.co/ssdweb/hd/Vision360.html?d=926030184&amp;zoomslide=1&amp;z=1926030184&amp;ISCONFIRM=0","VIDEO")</f>
        <v>VIDEO</v>
      </c>
      <c r="AA6886" s="19" t="str">
        <f>HYPERLINK("https://ssdweb.co/ssdweb/CERTH/639438836.pdf","CERTI")</f>
        <v>CERTI</v>
      </c>
    </row>
    <row r="6887" spans="1:27" ht="15" x14ac:dyDescent="0.25">
      <c r="A6887" s="2">
        <v>6882</v>
      </c>
      <c r="B6887" s="39">
        <v>831020609</v>
      </c>
      <c r="C6887" s="28" t="str">
        <f>HYPERLINK("https://pld.live/RapDetail.aspx?STONELIST=831020609","DNA")</f>
        <v>DNA</v>
      </c>
      <c r="D6887" s="18" t="s">
        <v>711</v>
      </c>
      <c r="E6887" s="18" t="s">
        <v>2186</v>
      </c>
      <c r="F6887" s="2" t="s">
        <v>7987</v>
      </c>
      <c r="G6887" s="2" t="s">
        <v>5226</v>
      </c>
      <c r="H6887" s="14">
        <v>1.68</v>
      </c>
      <c r="I6887" s="2" t="s">
        <v>267</v>
      </c>
      <c r="J6887" s="2" t="s">
        <v>444</v>
      </c>
      <c r="K6887" s="2" t="s">
        <v>1452</v>
      </c>
      <c r="L6887" s="2" t="s">
        <v>5221</v>
      </c>
      <c r="M6887" s="2" t="s">
        <v>5221</v>
      </c>
      <c r="N6887" s="2" t="s">
        <v>2317</v>
      </c>
      <c r="O6887" s="14">
        <v>8100</v>
      </c>
      <c r="P6887" s="14">
        <v>98.51</v>
      </c>
      <c r="Q6887" s="14">
        <v>120.69</v>
      </c>
      <c r="R6887" s="14">
        <v>202.76</v>
      </c>
      <c r="S6887" s="2" t="s">
        <v>3512</v>
      </c>
      <c r="T6887" s="2">
        <v>1.02</v>
      </c>
      <c r="U6887" s="2">
        <v>69.400000000000006</v>
      </c>
      <c r="V6887" s="2">
        <v>71</v>
      </c>
      <c r="W6887" s="2" t="s">
        <v>7862</v>
      </c>
      <c r="X6887" s="2" t="s">
        <v>2449</v>
      </c>
      <c r="Y6887" s="2">
        <v>13608</v>
      </c>
      <c r="Z6887" s="19" t="str">
        <f>HYPERLINK("https://ssdweb.co/ssdweb/hd/Vision360.html?d=831020609&amp;zoomslide=1&amp;z=1831020609&amp;ISCONFIRM=0","VIDEO")</f>
        <v>VIDEO</v>
      </c>
      <c r="AA6887" s="19" t="str">
        <f>HYPERLINK("https://ssdweb.co/ssdweb/CERTH/547247565.pdf","CERTI")</f>
        <v>CERTI</v>
      </c>
    </row>
    <row r="6888" spans="1:27" ht="15" x14ac:dyDescent="0.25">
      <c r="A6888" s="2">
        <v>6883</v>
      </c>
      <c r="B6888" s="39">
        <v>926680725</v>
      </c>
      <c r="C6888" s="28" t="str">
        <f>HYPERLINK("https://pld.live/RapDetail.aspx?STONELIST=926680725","DNA")</f>
        <v>DNA</v>
      </c>
      <c r="D6888" s="18" t="s">
        <v>711</v>
      </c>
      <c r="E6888" s="18" t="s">
        <v>2186</v>
      </c>
      <c r="F6888" s="2" t="s">
        <v>7987</v>
      </c>
      <c r="G6888" s="2" t="s">
        <v>5226</v>
      </c>
      <c r="H6888" s="14">
        <v>1.62</v>
      </c>
      <c r="I6888" s="2" t="s">
        <v>267</v>
      </c>
      <c r="J6888" s="2" t="s">
        <v>3942</v>
      </c>
      <c r="K6888" s="2" t="s">
        <v>1452</v>
      </c>
      <c r="L6888" s="2" t="s">
        <v>5221</v>
      </c>
      <c r="M6888" s="2" t="s">
        <v>5221</v>
      </c>
      <c r="N6888" s="2" t="s">
        <v>2317</v>
      </c>
      <c r="O6888" s="14">
        <v>12500</v>
      </c>
      <c r="P6888" s="14">
        <v>98.9</v>
      </c>
      <c r="Q6888" s="14">
        <v>137.5</v>
      </c>
      <c r="R6888" s="14">
        <v>222.75</v>
      </c>
      <c r="S6888" s="2" t="s">
        <v>6239</v>
      </c>
      <c r="T6888" s="2">
        <v>1.01</v>
      </c>
      <c r="U6888" s="2">
        <v>70.400000000000006</v>
      </c>
      <c r="V6888" s="2">
        <v>68</v>
      </c>
      <c r="W6888" s="2" t="s">
        <v>7862</v>
      </c>
      <c r="X6888" s="2" t="s">
        <v>2449</v>
      </c>
      <c r="Y6888" s="2">
        <v>20250</v>
      </c>
      <c r="Z6888" s="19" t="str">
        <f>HYPERLINK("https://ssdweb.co/ssdweb/hd/Vision360.html?d=926680725&amp;zoomslide=1&amp;z=1926680725&amp;ISCONFIRM=0","VIDEO")</f>
        <v>VIDEO</v>
      </c>
      <c r="AA6888" s="19" t="str">
        <f>HYPERLINK("https://ssdweb.co/ssdweb/CERTH/649490884.pdf","CERTI")</f>
        <v>CERTI</v>
      </c>
    </row>
    <row r="6889" spans="1:27" ht="15" x14ac:dyDescent="0.25">
      <c r="A6889" s="2">
        <v>6884</v>
      </c>
      <c r="B6889" s="39">
        <v>831020685</v>
      </c>
      <c r="C6889" s="28" t="str">
        <f>HYPERLINK("https://pld.live/RapDetail.aspx?STONELIST=831020685","DNA")</f>
        <v>DNA</v>
      </c>
      <c r="D6889" s="18" t="s">
        <v>711</v>
      </c>
      <c r="E6889" s="18" t="s">
        <v>2186</v>
      </c>
      <c r="F6889" s="2" t="s">
        <v>7987</v>
      </c>
      <c r="G6889" s="2" t="s">
        <v>5226</v>
      </c>
      <c r="H6889" s="14">
        <v>1.59</v>
      </c>
      <c r="I6889" s="2" t="s">
        <v>1505</v>
      </c>
      <c r="J6889" s="2" t="s">
        <v>3942</v>
      </c>
      <c r="K6889" s="2" t="s">
        <v>1452</v>
      </c>
      <c r="L6889" s="2" t="s">
        <v>5221</v>
      </c>
      <c r="M6889" s="2" t="s">
        <v>5221</v>
      </c>
      <c r="N6889" s="2" t="s">
        <v>2317</v>
      </c>
      <c r="O6889" s="14">
        <v>8400</v>
      </c>
      <c r="P6889" s="14">
        <v>98.58</v>
      </c>
      <c r="Q6889" s="14">
        <v>119.28</v>
      </c>
      <c r="R6889" s="14">
        <v>189.66</v>
      </c>
      <c r="S6889" s="2" t="s">
        <v>4209</v>
      </c>
      <c r="T6889" s="2">
        <v>1.02</v>
      </c>
      <c r="U6889" s="2">
        <v>69</v>
      </c>
      <c r="V6889" s="2">
        <v>70.5</v>
      </c>
      <c r="W6889" s="2" t="s">
        <v>8016</v>
      </c>
      <c r="X6889" s="2" t="s">
        <v>2449</v>
      </c>
      <c r="Y6889" s="2">
        <v>13356</v>
      </c>
      <c r="Z6889" s="19" t="str">
        <f>HYPERLINK("https://ssdweb.co/ssdweb/hd/Vision360.html?d=831020685&amp;zoomslide=1&amp;z=1831020685&amp;ISCONFIRM=0","VIDEO")</f>
        <v>VIDEO</v>
      </c>
      <c r="AA6889" s="19" t="str">
        <f>HYPERLINK("https://ssdweb.co/ssdweb/CERTH/573389854.pdf","CERTI")</f>
        <v>CERTI</v>
      </c>
    </row>
    <row r="6890" spans="1:27" ht="15" x14ac:dyDescent="0.25">
      <c r="A6890" s="2">
        <v>6885</v>
      </c>
      <c r="B6890" s="39">
        <v>926101211</v>
      </c>
      <c r="C6890" s="28" t="str">
        <f>HYPERLINK("https://pld.live/RapDetail.aspx?STONELIST=926101211","DNA")</f>
        <v>DNA</v>
      </c>
      <c r="D6890" s="18" t="s">
        <v>711</v>
      </c>
      <c r="E6890" s="18" t="s">
        <v>5128</v>
      </c>
      <c r="F6890" s="2" t="s">
        <v>7987</v>
      </c>
      <c r="G6890" s="2" t="s">
        <v>5226</v>
      </c>
      <c r="H6890" s="14">
        <v>1.56</v>
      </c>
      <c r="I6890" s="2" t="s">
        <v>267</v>
      </c>
      <c r="J6890" s="2" t="s">
        <v>13</v>
      </c>
      <c r="K6890" s="2" t="s">
        <v>1452</v>
      </c>
      <c r="L6890" s="2" t="s">
        <v>5221</v>
      </c>
      <c r="M6890" s="2" t="s">
        <v>5221</v>
      </c>
      <c r="N6890" s="2" t="s">
        <v>2317</v>
      </c>
      <c r="O6890" s="14">
        <v>11600</v>
      </c>
      <c r="P6890" s="14">
        <v>98.84</v>
      </c>
      <c r="Q6890" s="14">
        <v>134.56</v>
      </c>
      <c r="R6890" s="14">
        <v>209.91</v>
      </c>
      <c r="S6890" s="2" t="s">
        <v>4404</v>
      </c>
      <c r="T6890" s="2">
        <v>1.04</v>
      </c>
      <c r="U6890" s="2">
        <v>72.099999999999994</v>
      </c>
      <c r="V6890" s="2">
        <v>69</v>
      </c>
      <c r="W6890" s="2" t="s">
        <v>7862</v>
      </c>
      <c r="X6890" s="2" t="s">
        <v>2449</v>
      </c>
      <c r="Y6890" s="2">
        <v>18096</v>
      </c>
      <c r="Z6890" s="19" t="str">
        <f>HYPERLINK("https://ssdweb.co/ssdweb/hd/Vision360.html?d=926101211&amp;zoomslide=1&amp;z=1926101211&amp;ISCONFIRM=0","VIDEO")</f>
        <v>VIDEO</v>
      </c>
      <c r="AA6890" s="19" t="str">
        <f>HYPERLINK("https://ssdweb.co/ssdweb/CERTH/632488466.pdf","CERTI")</f>
        <v>CERTI</v>
      </c>
    </row>
    <row r="6891" spans="1:27" ht="15" x14ac:dyDescent="0.25">
      <c r="A6891" s="2">
        <v>6886</v>
      </c>
      <c r="B6891" s="39">
        <v>926200992</v>
      </c>
      <c r="C6891" s="28" t="str">
        <f>HYPERLINK("https://pld.live/RapDetail.aspx?STONELIST=926200992","DNA")</f>
        <v>DNA</v>
      </c>
      <c r="D6891" s="18" t="s">
        <v>711</v>
      </c>
      <c r="E6891" s="18" t="s">
        <v>5128</v>
      </c>
      <c r="F6891" s="2" t="s">
        <v>7987</v>
      </c>
      <c r="G6891" s="2" t="s">
        <v>5226</v>
      </c>
      <c r="H6891" s="14">
        <v>1.56</v>
      </c>
      <c r="I6891" s="2" t="s">
        <v>267</v>
      </c>
      <c r="J6891" s="2" t="s">
        <v>5144</v>
      </c>
      <c r="K6891" s="2" t="s">
        <v>1452</v>
      </c>
      <c r="L6891" s="2" t="s">
        <v>5221</v>
      </c>
      <c r="M6891" s="2" t="s">
        <v>5221</v>
      </c>
      <c r="N6891" s="2" t="s">
        <v>2317</v>
      </c>
      <c r="O6891" s="14">
        <v>9900</v>
      </c>
      <c r="P6891" s="14">
        <v>98.68</v>
      </c>
      <c r="Q6891" s="14">
        <v>130.68</v>
      </c>
      <c r="R6891" s="14">
        <v>203.86</v>
      </c>
      <c r="S6891" s="2" t="s">
        <v>872</v>
      </c>
      <c r="T6891" s="2">
        <v>1</v>
      </c>
      <c r="U6891" s="2">
        <v>73.2</v>
      </c>
      <c r="V6891" s="2">
        <v>68</v>
      </c>
      <c r="W6891" s="2" t="s">
        <v>7862</v>
      </c>
      <c r="X6891" s="2" t="s">
        <v>2449</v>
      </c>
      <c r="Y6891" s="2">
        <v>15444</v>
      </c>
      <c r="Z6891" s="19" t="str">
        <f>HYPERLINK("https://ssdweb.co/ssdweb/hd/Vision360.html?d=926200992&amp;zoomslide=1&amp;z=1926200992&amp;ISCONFIRM=0","VIDEO")</f>
        <v>VIDEO</v>
      </c>
      <c r="AA6891" s="19" t="str">
        <f>HYPERLINK("https://ssdweb.co/ssdweb/CERTH/635423945.pdf","CERTI")</f>
        <v>CERTI</v>
      </c>
    </row>
    <row r="6892" spans="1:27" ht="15" x14ac:dyDescent="0.25">
      <c r="A6892" s="2">
        <v>6887</v>
      </c>
      <c r="B6892" s="39">
        <v>831020737</v>
      </c>
      <c r="C6892" s="28" t="str">
        <f>HYPERLINK("https://pld.live/RapDetail.aspx?STONELIST=831020737","DNA")</f>
        <v>DNA</v>
      </c>
      <c r="D6892" s="18" t="s">
        <v>711</v>
      </c>
      <c r="E6892" s="18" t="s">
        <v>2186</v>
      </c>
      <c r="F6892" s="2" t="s">
        <v>7987</v>
      </c>
      <c r="G6892" s="2" t="s">
        <v>5226</v>
      </c>
      <c r="H6892" s="14">
        <v>1.56</v>
      </c>
      <c r="I6892" s="2" t="s">
        <v>4761</v>
      </c>
      <c r="J6892" s="2" t="s">
        <v>3942</v>
      </c>
      <c r="K6892" s="2" t="s">
        <v>1452</v>
      </c>
      <c r="L6892" s="2" t="s">
        <v>5221</v>
      </c>
      <c r="M6892" s="2" t="s">
        <v>5221</v>
      </c>
      <c r="N6892" s="2" t="s">
        <v>2317</v>
      </c>
      <c r="O6892" s="14">
        <v>11600</v>
      </c>
      <c r="P6892" s="14">
        <v>98.85</v>
      </c>
      <c r="Q6892" s="14">
        <v>133.4</v>
      </c>
      <c r="R6892" s="14">
        <v>208.1</v>
      </c>
      <c r="S6892" s="2" t="s">
        <v>1158</v>
      </c>
      <c r="T6892" s="2">
        <v>1.02</v>
      </c>
      <c r="U6892" s="2">
        <v>71.7</v>
      </c>
      <c r="V6892" s="2">
        <v>71</v>
      </c>
      <c r="W6892" s="2" t="s">
        <v>7862</v>
      </c>
      <c r="X6892" s="2" t="s">
        <v>2449</v>
      </c>
      <c r="Y6892" s="2">
        <v>18096</v>
      </c>
      <c r="Z6892" s="19" t="str">
        <f>HYPERLINK("https://ssdweb.co/ssdweb/hd/Vision360.html?d=831020737&amp;zoomslide=1&amp;z=1831020737&amp;ISCONFIRM=0","VIDEO")</f>
        <v>VIDEO</v>
      </c>
      <c r="AA6892" s="19" t="str">
        <f>HYPERLINK("https://ssdweb.co/ssdweb/CERTH/618439810.pdf","CERTI")</f>
        <v>CERTI</v>
      </c>
    </row>
    <row r="6893" spans="1:27" ht="15" x14ac:dyDescent="0.25">
      <c r="A6893" s="2">
        <v>6888</v>
      </c>
      <c r="B6893" s="39">
        <v>925722021</v>
      </c>
      <c r="C6893" s="28" t="str">
        <f>HYPERLINK("https://pld.live/RapDetail.aspx?STONELIST=925722021","DNA")</f>
        <v>DNA</v>
      </c>
      <c r="D6893" s="18" t="s">
        <v>711</v>
      </c>
      <c r="E6893" s="18" t="s">
        <v>5128</v>
      </c>
      <c r="F6893" s="2" t="s">
        <v>7987</v>
      </c>
      <c r="G6893" s="2" t="s">
        <v>5226</v>
      </c>
      <c r="H6893" s="14">
        <v>1.56</v>
      </c>
      <c r="I6893" s="2" t="s">
        <v>4761</v>
      </c>
      <c r="J6893" s="2" t="s">
        <v>13</v>
      </c>
      <c r="K6893" s="2" t="s">
        <v>1452</v>
      </c>
      <c r="L6893" s="2" t="s">
        <v>5221</v>
      </c>
      <c r="M6893" s="2" t="s">
        <v>5221</v>
      </c>
      <c r="N6893" s="2" t="s">
        <v>2317</v>
      </c>
      <c r="O6893" s="14">
        <v>10800</v>
      </c>
      <c r="P6893" s="14">
        <v>98.79</v>
      </c>
      <c r="Q6893" s="14">
        <v>130.68</v>
      </c>
      <c r="R6893" s="14">
        <v>203.86</v>
      </c>
      <c r="S6893" s="2" t="s">
        <v>2579</v>
      </c>
      <c r="T6893" s="2">
        <v>1.01</v>
      </c>
      <c r="U6893" s="2">
        <v>72.400000000000006</v>
      </c>
      <c r="V6893" s="2">
        <v>70</v>
      </c>
      <c r="W6893" s="2" t="s">
        <v>7862</v>
      </c>
      <c r="X6893" s="2" t="s">
        <v>2449</v>
      </c>
      <c r="Y6893" s="2">
        <v>16848</v>
      </c>
      <c r="Z6893" s="19" t="str">
        <f>HYPERLINK("https://ssdweb.co/ssdweb/hd/Vision360.html?d=925722021&amp;zoomslide=1&amp;z=1925722021&amp;ISCONFIRM=0","VIDEO")</f>
        <v>VIDEO</v>
      </c>
      <c r="AA6893" s="19" t="str">
        <f>HYPERLINK("https://ssdweb.co/ssdweb/CERTH/625457951.pdf","CERTI")</f>
        <v>CERTI</v>
      </c>
    </row>
    <row r="6894" spans="1:27" ht="15" x14ac:dyDescent="0.25">
      <c r="A6894" s="2">
        <v>6889</v>
      </c>
      <c r="B6894" s="39">
        <v>925541271</v>
      </c>
      <c r="C6894" s="28" t="str">
        <f>HYPERLINK("https://pld.live/RapDetail.aspx?STONELIST=925541271","DNA")</f>
        <v>DNA</v>
      </c>
      <c r="D6894" s="18" t="s">
        <v>711</v>
      </c>
      <c r="E6894" s="18" t="s">
        <v>5128</v>
      </c>
      <c r="F6894" s="2" t="s">
        <v>7987</v>
      </c>
      <c r="G6894" s="2" t="s">
        <v>5226</v>
      </c>
      <c r="H6894" s="14">
        <v>1.56</v>
      </c>
      <c r="I6894" s="2" t="s">
        <v>4699</v>
      </c>
      <c r="J6894" s="2" t="s">
        <v>3942</v>
      </c>
      <c r="K6894" s="2" t="s">
        <v>1452</v>
      </c>
      <c r="L6894" s="2" t="s">
        <v>5221</v>
      </c>
      <c r="M6894" s="2" t="s">
        <v>5221</v>
      </c>
      <c r="N6894" s="2" t="s">
        <v>2317</v>
      </c>
      <c r="O6894" s="14">
        <v>10800</v>
      </c>
      <c r="P6894" s="14">
        <v>98.78</v>
      </c>
      <c r="Q6894" s="14">
        <v>131.76</v>
      </c>
      <c r="R6894" s="14">
        <v>205.55</v>
      </c>
      <c r="S6894" s="2" t="s">
        <v>2699</v>
      </c>
      <c r="T6894" s="2">
        <v>1.01</v>
      </c>
      <c r="U6894" s="2">
        <v>72.2</v>
      </c>
      <c r="V6894" s="2">
        <v>68</v>
      </c>
      <c r="W6894" s="2" t="s">
        <v>7862</v>
      </c>
      <c r="X6894" s="2" t="s">
        <v>2449</v>
      </c>
      <c r="Y6894" s="2">
        <v>16848</v>
      </c>
      <c r="Z6894" s="19" t="str">
        <f>HYPERLINK("https://ssdweb.co/ssdweb/hd/Vision360.html?d=925541271&amp;zoomslide=1&amp;z=1925541271&amp;ISCONFIRM=0","VIDEO")</f>
        <v>VIDEO</v>
      </c>
      <c r="AA6894" s="19" t="str">
        <f>HYPERLINK("https://ssdweb.co/ssdweb/CERTH/618453021.pdf","CERTI")</f>
        <v>CERTI</v>
      </c>
    </row>
    <row r="6895" spans="1:27" ht="15" x14ac:dyDescent="0.25">
      <c r="A6895" s="2">
        <v>6890</v>
      </c>
      <c r="B6895" s="39">
        <v>821123333</v>
      </c>
      <c r="C6895" s="28" t="str">
        <f>HYPERLINK("https://pld.live/RapDetail.aspx?STONELIST=821123333","DNA")</f>
        <v>DNA</v>
      </c>
      <c r="D6895" s="18" t="s">
        <v>711</v>
      </c>
      <c r="E6895" s="18" t="s">
        <v>5128</v>
      </c>
      <c r="F6895" s="2" t="s">
        <v>7987</v>
      </c>
      <c r="G6895" s="2" t="s">
        <v>5226</v>
      </c>
      <c r="H6895" s="14">
        <v>1.55</v>
      </c>
      <c r="I6895" s="2" t="s">
        <v>267</v>
      </c>
      <c r="J6895" s="2" t="s">
        <v>6555</v>
      </c>
      <c r="K6895" s="2" t="s">
        <v>1452</v>
      </c>
      <c r="L6895" s="2" t="s">
        <v>5221</v>
      </c>
      <c r="M6895" s="2" t="s">
        <v>5221</v>
      </c>
      <c r="N6895" s="2" t="s">
        <v>2317</v>
      </c>
      <c r="O6895" s="14">
        <v>13200</v>
      </c>
      <c r="P6895" s="14">
        <v>98.25</v>
      </c>
      <c r="Q6895" s="14">
        <v>231</v>
      </c>
      <c r="R6895" s="14">
        <v>358.05</v>
      </c>
      <c r="S6895" s="2" t="s">
        <v>4963</v>
      </c>
      <c r="T6895" s="2">
        <v>1</v>
      </c>
      <c r="U6895" s="2">
        <v>69.8</v>
      </c>
      <c r="V6895" s="2">
        <v>71</v>
      </c>
      <c r="W6895" s="2" t="s">
        <v>7862</v>
      </c>
      <c r="X6895" s="2" t="s">
        <v>2449</v>
      </c>
      <c r="Y6895" s="2">
        <v>20460</v>
      </c>
      <c r="Z6895" s="19" t="str">
        <f>HYPERLINK("https://ssdweb.co/ssdweb/hd/Vision360.html?d=821123333&amp;zoomslide=1&amp;z=1821123333&amp;ISCONFIRM=0","VIDEO")</f>
        <v>VIDEO</v>
      </c>
      <c r="AA6895" s="19" t="str">
        <f>HYPERLINK("https://ssdweb.co/ssdweb/CERTH/602301360.pdf","CERTI")</f>
        <v>CERTI</v>
      </c>
    </row>
    <row r="6896" spans="1:27" ht="15" x14ac:dyDescent="0.25">
      <c r="A6896" s="2">
        <v>6891</v>
      </c>
      <c r="B6896" s="39">
        <v>925501429</v>
      </c>
      <c r="C6896" s="28" t="str">
        <f>HYPERLINK("https://pld.live/RapDetail.aspx?STONELIST=925501429","DNA")</f>
        <v>DNA</v>
      </c>
      <c r="D6896" s="18" t="s">
        <v>711</v>
      </c>
      <c r="E6896" s="18" t="s">
        <v>5128</v>
      </c>
      <c r="F6896" s="2" t="s">
        <v>7987</v>
      </c>
      <c r="G6896" s="2" t="s">
        <v>5226</v>
      </c>
      <c r="H6896" s="14">
        <v>1.55</v>
      </c>
      <c r="I6896" s="2" t="s">
        <v>267</v>
      </c>
      <c r="J6896" s="2" t="s">
        <v>3942</v>
      </c>
      <c r="K6896" s="2" t="s">
        <v>1452</v>
      </c>
      <c r="L6896" s="2" t="s">
        <v>5221</v>
      </c>
      <c r="M6896" s="2" t="s">
        <v>5221</v>
      </c>
      <c r="N6896" s="2" t="s">
        <v>2317</v>
      </c>
      <c r="O6896" s="14">
        <v>12500</v>
      </c>
      <c r="P6896" s="14">
        <v>98.9</v>
      </c>
      <c r="Q6896" s="14">
        <v>137.5</v>
      </c>
      <c r="R6896" s="14">
        <v>213.13</v>
      </c>
      <c r="S6896" s="2" t="s">
        <v>6721</v>
      </c>
      <c r="T6896" s="2">
        <v>1.02</v>
      </c>
      <c r="U6896" s="2">
        <v>69.2</v>
      </c>
      <c r="V6896" s="2">
        <v>70</v>
      </c>
      <c r="W6896" s="2" t="s">
        <v>7862</v>
      </c>
      <c r="X6896" s="2" t="s">
        <v>2449</v>
      </c>
      <c r="Y6896" s="2">
        <v>19375</v>
      </c>
      <c r="Z6896" s="19" t="str">
        <f>HYPERLINK("https://ssdweb.co/ssdweb/hd/Vision360.html?d=925501429&amp;zoomslide=1&amp;z=1925501429&amp;ISCONFIRM=0","VIDEO")</f>
        <v>VIDEO</v>
      </c>
      <c r="AA6896" s="19" t="str">
        <f>HYPERLINK("https://ssdweb.co/ssdweb/CERTH/617476026.pdf","CERTI")</f>
        <v>CERTI</v>
      </c>
    </row>
    <row r="6897" spans="1:27" ht="15" x14ac:dyDescent="0.25">
      <c r="A6897" s="2">
        <v>6892</v>
      </c>
      <c r="B6897" s="39">
        <v>925502271</v>
      </c>
      <c r="C6897" s="28" t="str">
        <f>HYPERLINK("https://pld.live/RapDetail.aspx?STONELIST=925502271","DNA")</f>
        <v>DNA</v>
      </c>
      <c r="D6897" s="18" t="s">
        <v>711</v>
      </c>
      <c r="E6897" s="18" t="s">
        <v>5128</v>
      </c>
      <c r="F6897" s="2" t="s">
        <v>7987</v>
      </c>
      <c r="G6897" s="2" t="s">
        <v>5226</v>
      </c>
      <c r="H6897" s="14">
        <v>1.55</v>
      </c>
      <c r="I6897" s="2" t="s">
        <v>267</v>
      </c>
      <c r="J6897" s="2" t="s">
        <v>13</v>
      </c>
      <c r="K6897" s="2" t="s">
        <v>1452</v>
      </c>
      <c r="L6897" s="2" t="s">
        <v>5221</v>
      </c>
      <c r="M6897" s="2" t="s">
        <v>5221</v>
      </c>
      <c r="N6897" s="2" t="s">
        <v>2317</v>
      </c>
      <c r="O6897" s="14">
        <v>11600</v>
      </c>
      <c r="P6897" s="14">
        <v>98.84</v>
      </c>
      <c r="Q6897" s="14">
        <v>134.56</v>
      </c>
      <c r="R6897" s="14">
        <v>208.57</v>
      </c>
      <c r="S6897" s="2" t="s">
        <v>2296</v>
      </c>
      <c r="T6897" s="2">
        <v>1</v>
      </c>
      <c r="U6897" s="2">
        <v>72.8</v>
      </c>
      <c r="V6897" s="2">
        <v>68</v>
      </c>
      <c r="W6897" s="2" t="s">
        <v>7862</v>
      </c>
      <c r="X6897" s="2" t="s">
        <v>2449</v>
      </c>
      <c r="Y6897" s="2">
        <v>17980</v>
      </c>
      <c r="Z6897" s="19" t="str">
        <f>HYPERLINK("https://ssdweb.co/ssdweb/hd/Vision360.html?d=925502271&amp;zoomslide=1&amp;z=1925502271&amp;ISCONFIRM=0","VIDEO")</f>
        <v>VIDEO</v>
      </c>
      <c r="AA6897" s="19" t="str">
        <f>HYPERLINK("https://ssdweb.co/ssdweb/CERTH/618439781.pdf","CERTI")</f>
        <v>CERTI</v>
      </c>
    </row>
    <row r="6898" spans="1:27" ht="15" x14ac:dyDescent="0.25">
      <c r="A6898" s="2">
        <v>6893</v>
      </c>
      <c r="B6898" s="39">
        <v>925530202</v>
      </c>
      <c r="C6898" s="28" t="str">
        <f>HYPERLINK("https://pld.live/RapDetail.aspx?STONELIST=925530202","DNA")</f>
        <v>DNA</v>
      </c>
      <c r="D6898" s="18" t="s">
        <v>711</v>
      </c>
      <c r="E6898" s="18" t="s">
        <v>2186</v>
      </c>
      <c r="F6898" s="2" t="s">
        <v>7987</v>
      </c>
      <c r="G6898" s="2" t="s">
        <v>5226</v>
      </c>
      <c r="H6898" s="14">
        <v>1.55</v>
      </c>
      <c r="I6898" s="2" t="s">
        <v>267</v>
      </c>
      <c r="J6898" s="2" t="s">
        <v>13</v>
      </c>
      <c r="K6898" s="2" t="s">
        <v>1452</v>
      </c>
      <c r="L6898" s="2" t="s">
        <v>5221</v>
      </c>
      <c r="M6898" s="2" t="s">
        <v>5221</v>
      </c>
      <c r="N6898" s="2" t="s">
        <v>2317</v>
      </c>
      <c r="O6898" s="14">
        <v>11600</v>
      </c>
      <c r="P6898" s="14">
        <v>98.84</v>
      </c>
      <c r="Q6898" s="14">
        <v>134.56</v>
      </c>
      <c r="R6898" s="14">
        <v>208.57</v>
      </c>
      <c r="S6898" s="2" t="s">
        <v>6608</v>
      </c>
      <c r="T6898" s="2">
        <v>1.02</v>
      </c>
      <c r="U6898" s="2">
        <v>69.8</v>
      </c>
      <c r="V6898" s="2">
        <v>68</v>
      </c>
      <c r="W6898" s="2" t="s">
        <v>7862</v>
      </c>
      <c r="X6898" s="2" t="s">
        <v>2449</v>
      </c>
      <c r="Y6898" s="2">
        <v>17980</v>
      </c>
      <c r="Z6898" s="19" t="str">
        <f>HYPERLINK("https://ssdweb.co/ssdweb/hd/Vision360.html?d=925530202&amp;zoomslide=1&amp;z=1925530202&amp;ISCONFIRM=0","VIDEO")</f>
        <v>VIDEO</v>
      </c>
      <c r="AA6898" s="19" t="str">
        <f>HYPERLINK("https://ssdweb.co/ssdweb/CERTH/618453066.pdf","CERTI")</f>
        <v>CERTI</v>
      </c>
    </row>
    <row r="6899" spans="1:27" ht="15" x14ac:dyDescent="0.25">
      <c r="A6899" s="2">
        <v>6894</v>
      </c>
      <c r="B6899" s="39">
        <v>925530148</v>
      </c>
      <c r="C6899" s="28" t="str">
        <f>HYPERLINK("https://pld.live/RapDetail.aspx?STONELIST=925530148","DNA")</f>
        <v>DNA</v>
      </c>
      <c r="D6899" s="18" t="s">
        <v>711</v>
      </c>
      <c r="E6899" s="18" t="s">
        <v>2186</v>
      </c>
      <c r="F6899" s="2" t="s">
        <v>7987</v>
      </c>
      <c r="G6899" s="2" t="s">
        <v>5226</v>
      </c>
      <c r="H6899" s="14">
        <v>1.55</v>
      </c>
      <c r="I6899" s="2" t="s">
        <v>267</v>
      </c>
      <c r="J6899" s="2" t="s">
        <v>13</v>
      </c>
      <c r="K6899" s="2" t="s">
        <v>1452</v>
      </c>
      <c r="L6899" s="2" t="s">
        <v>5221</v>
      </c>
      <c r="M6899" s="2" t="s">
        <v>5221</v>
      </c>
      <c r="N6899" s="2" t="s">
        <v>2317</v>
      </c>
      <c r="O6899" s="14">
        <v>11600</v>
      </c>
      <c r="P6899" s="14">
        <v>98.84</v>
      </c>
      <c r="Q6899" s="14">
        <v>134.56</v>
      </c>
      <c r="R6899" s="14">
        <v>208.57</v>
      </c>
      <c r="S6899" s="2" t="s">
        <v>535</v>
      </c>
      <c r="T6899" s="2">
        <v>1.01</v>
      </c>
      <c r="U6899" s="2">
        <v>72.7</v>
      </c>
      <c r="V6899" s="2">
        <v>70</v>
      </c>
      <c r="W6899" s="2" t="s">
        <v>7862</v>
      </c>
      <c r="X6899" s="2" t="s">
        <v>2449</v>
      </c>
      <c r="Y6899" s="2">
        <v>17980</v>
      </c>
      <c r="Z6899" s="19" t="str">
        <f>HYPERLINK("https://ssdweb.co/ssdweb/hd/Vision360.html?d=925530148&amp;zoomslide=1&amp;z=1925530148&amp;ISCONFIRM=0","VIDEO")</f>
        <v>VIDEO</v>
      </c>
      <c r="AA6899" s="19" t="str">
        <f>HYPERLINK("https://ssdweb.co/ssdweb/CERTH/618439837.pdf","CERTI")</f>
        <v>CERTI</v>
      </c>
    </row>
    <row r="6900" spans="1:27" ht="15" x14ac:dyDescent="0.25">
      <c r="A6900" s="2">
        <v>6895</v>
      </c>
      <c r="B6900" s="39">
        <v>926101675</v>
      </c>
      <c r="C6900" s="28" t="str">
        <f>HYPERLINK("https://pld.live/RapDetail.aspx?STONELIST=926101675","DNA")</f>
        <v>DNA</v>
      </c>
      <c r="D6900" s="18" t="s">
        <v>711</v>
      </c>
      <c r="E6900" s="18" t="s">
        <v>5128</v>
      </c>
      <c r="F6900" s="2" t="s">
        <v>7987</v>
      </c>
      <c r="G6900" s="2" t="s">
        <v>5226</v>
      </c>
      <c r="H6900" s="14">
        <v>1.55</v>
      </c>
      <c r="I6900" s="2" t="s">
        <v>267</v>
      </c>
      <c r="J6900" s="2" t="s">
        <v>13</v>
      </c>
      <c r="K6900" s="2" t="s">
        <v>1452</v>
      </c>
      <c r="L6900" s="2" t="s">
        <v>5221</v>
      </c>
      <c r="M6900" s="2" t="s">
        <v>5221</v>
      </c>
      <c r="N6900" s="2" t="s">
        <v>2317</v>
      </c>
      <c r="O6900" s="14">
        <v>11600</v>
      </c>
      <c r="P6900" s="14">
        <v>98.84</v>
      </c>
      <c r="Q6900" s="14">
        <v>134.56</v>
      </c>
      <c r="R6900" s="14">
        <v>208.57</v>
      </c>
      <c r="S6900" s="2" t="s">
        <v>6642</v>
      </c>
      <c r="T6900" s="2">
        <v>1.01</v>
      </c>
      <c r="U6900" s="2">
        <v>73.099999999999994</v>
      </c>
      <c r="V6900" s="2">
        <v>66</v>
      </c>
      <c r="W6900" s="2" t="s">
        <v>7862</v>
      </c>
      <c r="X6900" s="2" t="s">
        <v>2449</v>
      </c>
      <c r="Y6900" s="2">
        <v>17980</v>
      </c>
      <c r="Z6900" s="19" t="str">
        <f>HYPERLINK("https://ssdweb.co/ssdweb/hd/Vision360.html?d=926101675&amp;zoomslide=1&amp;z=1926101675&amp;ISCONFIRM=0","VIDEO")</f>
        <v>VIDEO</v>
      </c>
      <c r="AA6900" s="19" t="str">
        <f>HYPERLINK("https://ssdweb.co/ssdweb/CERTH/632449603.pdf","CERTI")</f>
        <v>CERTI</v>
      </c>
    </row>
    <row r="6901" spans="1:27" ht="15" x14ac:dyDescent="0.25">
      <c r="A6901" s="2">
        <v>6896</v>
      </c>
      <c r="B6901" s="39">
        <v>926101146</v>
      </c>
      <c r="C6901" s="28" t="str">
        <f>HYPERLINK("https://pld.live/RapDetail.aspx?STONELIST=926101146","DNA")</f>
        <v>DNA</v>
      </c>
      <c r="D6901" s="18" t="s">
        <v>711</v>
      </c>
      <c r="E6901" s="18" t="s">
        <v>5128</v>
      </c>
      <c r="F6901" s="2" t="s">
        <v>7987</v>
      </c>
      <c r="G6901" s="2" t="s">
        <v>5226</v>
      </c>
      <c r="H6901" s="14">
        <v>1.55</v>
      </c>
      <c r="I6901" s="2" t="s">
        <v>267</v>
      </c>
      <c r="J6901" s="2" t="s">
        <v>13</v>
      </c>
      <c r="K6901" s="2" t="s">
        <v>1452</v>
      </c>
      <c r="L6901" s="2" t="s">
        <v>5221</v>
      </c>
      <c r="M6901" s="2" t="s">
        <v>5221</v>
      </c>
      <c r="N6901" s="2" t="s">
        <v>2317</v>
      </c>
      <c r="O6901" s="14">
        <v>11600</v>
      </c>
      <c r="P6901" s="14">
        <v>98.84</v>
      </c>
      <c r="Q6901" s="14">
        <v>134.56</v>
      </c>
      <c r="R6901" s="14">
        <v>208.57</v>
      </c>
      <c r="S6901" s="2" t="s">
        <v>7354</v>
      </c>
      <c r="T6901" s="2">
        <v>1</v>
      </c>
      <c r="U6901" s="2">
        <v>73.400000000000006</v>
      </c>
      <c r="V6901" s="2">
        <v>71</v>
      </c>
      <c r="W6901" s="2" t="s">
        <v>7862</v>
      </c>
      <c r="X6901" s="2" t="s">
        <v>2449</v>
      </c>
      <c r="Y6901" s="2">
        <v>17980</v>
      </c>
      <c r="Z6901" s="19" t="str">
        <f>HYPERLINK("https://ssdweb.co/ssdweb/hd/Vision360.html?d=926101146&amp;zoomslide=1&amp;z=1926101146&amp;ISCONFIRM=0","VIDEO")</f>
        <v>VIDEO</v>
      </c>
      <c r="AA6901" s="19" t="str">
        <f>HYPERLINK("https://ssdweb.co/ssdweb/CERTH/632488313.pdf","CERTI")</f>
        <v>CERTI</v>
      </c>
    </row>
    <row r="6902" spans="1:27" ht="15" x14ac:dyDescent="0.25">
      <c r="A6902" s="2">
        <v>6897</v>
      </c>
      <c r="B6902" s="39">
        <v>925520897</v>
      </c>
      <c r="C6902" s="28" t="str">
        <f>HYPERLINK("https://pld.live/RapDetail.aspx?STONELIST=925520897","DNA")</f>
        <v>DNA</v>
      </c>
      <c r="D6902" s="18" t="s">
        <v>711</v>
      </c>
      <c r="E6902" s="18" t="s">
        <v>5128</v>
      </c>
      <c r="F6902" s="2" t="s">
        <v>7987</v>
      </c>
      <c r="G6902" s="2" t="s">
        <v>5226</v>
      </c>
      <c r="H6902" s="14">
        <v>1.55</v>
      </c>
      <c r="I6902" s="2" t="s">
        <v>267</v>
      </c>
      <c r="J6902" s="2" t="s">
        <v>5144</v>
      </c>
      <c r="K6902" s="2" t="s">
        <v>1452</v>
      </c>
      <c r="L6902" s="2" t="s">
        <v>5221</v>
      </c>
      <c r="M6902" s="2" t="s">
        <v>5221</v>
      </c>
      <c r="N6902" s="2" t="s">
        <v>2317</v>
      </c>
      <c r="O6902" s="14">
        <v>9900</v>
      </c>
      <c r="P6902" s="14">
        <v>98.68</v>
      </c>
      <c r="Q6902" s="14">
        <v>130.68</v>
      </c>
      <c r="R6902" s="14">
        <v>202.55</v>
      </c>
      <c r="S6902" s="2" t="s">
        <v>5601</v>
      </c>
      <c r="T6902" s="2">
        <v>1.02</v>
      </c>
      <c r="U6902" s="2">
        <v>71.900000000000006</v>
      </c>
      <c r="V6902" s="2">
        <v>70</v>
      </c>
      <c r="W6902" s="2" t="s">
        <v>7862</v>
      </c>
      <c r="X6902" s="2" t="s">
        <v>2449</v>
      </c>
      <c r="Y6902" s="2">
        <v>15345</v>
      </c>
      <c r="Z6902" s="19" t="str">
        <f>HYPERLINK("https://ssdweb.co/ssdweb/hd/Vision360.html?d=925520897&amp;zoomslide=1&amp;z=1925520897&amp;ISCONFIRM=0","VIDEO")</f>
        <v>VIDEO</v>
      </c>
      <c r="AA6902" s="19" t="str">
        <f>HYPERLINK("https://ssdweb.co/ssdweb/CERTH/618439711.pdf","CERTI")</f>
        <v>CERTI</v>
      </c>
    </row>
    <row r="6903" spans="1:27" ht="15" x14ac:dyDescent="0.25">
      <c r="A6903" s="2">
        <v>6898</v>
      </c>
      <c r="B6903" s="39">
        <v>925502476</v>
      </c>
      <c r="C6903" s="28" t="str">
        <f>HYPERLINK("https://pld.live/RapDetail.aspx?STONELIST=925502476","DNA")</f>
        <v>DNA</v>
      </c>
      <c r="D6903" s="18" t="s">
        <v>711</v>
      </c>
      <c r="E6903" s="18" t="s">
        <v>5128</v>
      </c>
      <c r="F6903" s="2" t="s">
        <v>7987</v>
      </c>
      <c r="G6903" s="2" t="s">
        <v>5226</v>
      </c>
      <c r="H6903" s="14">
        <v>1.55</v>
      </c>
      <c r="I6903" s="2" t="s">
        <v>4699</v>
      </c>
      <c r="J6903" s="2" t="s">
        <v>3942</v>
      </c>
      <c r="K6903" s="2" t="s">
        <v>1452</v>
      </c>
      <c r="L6903" s="2" t="s">
        <v>5221</v>
      </c>
      <c r="M6903" s="2" t="s">
        <v>5221</v>
      </c>
      <c r="N6903" s="2" t="s">
        <v>2317</v>
      </c>
      <c r="O6903" s="14">
        <v>10800</v>
      </c>
      <c r="P6903" s="14">
        <v>98.78</v>
      </c>
      <c r="Q6903" s="14">
        <v>131.76</v>
      </c>
      <c r="R6903" s="14">
        <v>204.23</v>
      </c>
      <c r="S6903" s="2" t="s">
        <v>2400</v>
      </c>
      <c r="T6903" s="2">
        <v>1</v>
      </c>
      <c r="U6903" s="2">
        <v>71.599999999999994</v>
      </c>
      <c r="V6903" s="2">
        <v>68</v>
      </c>
      <c r="W6903" s="2" t="s">
        <v>7862</v>
      </c>
      <c r="X6903" s="2" t="s">
        <v>2449</v>
      </c>
      <c r="Y6903" s="2">
        <v>16740</v>
      </c>
      <c r="Z6903" s="19" t="str">
        <f>HYPERLINK("https://ssdweb.co/ssdweb/hd/Vision360.html?d=925502476&amp;zoomslide=1&amp;z=1925502476&amp;ISCONFIRM=0","VIDEO")</f>
        <v>VIDEO</v>
      </c>
      <c r="AA6903" s="19" t="str">
        <f>HYPERLINK("https://ssdweb.co/ssdweb/CERTH/618453031.pdf","CERTI")</f>
        <v>CERTI</v>
      </c>
    </row>
    <row r="6904" spans="1:27" ht="15" x14ac:dyDescent="0.25">
      <c r="A6904" s="2">
        <v>6899</v>
      </c>
      <c r="B6904" s="39">
        <v>821113835</v>
      </c>
      <c r="C6904" s="28" t="str">
        <f>HYPERLINK("https://pld.live/RapDetail.aspx?STONELIST=821113835","DNA")</f>
        <v>DNA</v>
      </c>
      <c r="D6904" s="18" t="s">
        <v>711</v>
      </c>
      <c r="E6904" s="18" t="s">
        <v>2186</v>
      </c>
      <c r="F6904" s="2" t="s">
        <v>7987</v>
      </c>
      <c r="G6904" s="2" t="s">
        <v>5226</v>
      </c>
      <c r="H6904" s="14">
        <v>1.55</v>
      </c>
      <c r="I6904" s="2" t="s">
        <v>4699</v>
      </c>
      <c r="J6904" s="2" t="s">
        <v>13</v>
      </c>
      <c r="K6904" s="2" t="s">
        <v>1452</v>
      </c>
      <c r="L6904" s="2" t="s">
        <v>5221</v>
      </c>
      <c r="M6904" s="2" t="s">
        <v>5221</v>
      </c>
      <c r="N6904" s="2" t="s">
        <v>2317</v>
      </c>
      <c r="O6904" s="14">
        <v>10200</v>
      </c>
      <c r="P6904" s="14">
        <v>98.78</v>
      </c>
      <c r="Q6904" s="14">
        <v>124.44</v>
      </c>
      <c r="R6904" s="14">
        <v>192.88</v>
      </c>
      <c r="S6904" s="2" t="s">
        <v>2957</v>
      </c>
      <c r="T6904" s="2">
        <v>1.02</v>
      </c>
      <c r="U6904" s="2">
        <v>71.2</v>
      </c>
      <c r="V6904" s="2">
        <v>70</v>
      </c>
      <c r="W6904" s="2" t="s">
        <v>7862</v>
      </c>
      <c r="X6904" s="2" t="s">
        <v>2449</v>
      </c>
      <c r="Y6904" s="2">
        <v>15810</v>
      </c>
      <c r="Z6904" s="19" t="str">
        <f>HYPERLINK("https://ssdweb.co/ssdweb/hd/Vision360.html?d=821113835&amp;zoomslide=1&amp;z=1821113835&amp;ISCONFIRM=0","VIDEO")</f>
        <v>VIDEO</v>
      </c>
      <c r="AA6904" s="19" t="str">
        <f>HYPERLINK("https://ssdweb.co/ssdweb/CERTH/623492171.pdf","CERTI")</f>
        <v>CERTI</v>
      </c>
    </row>
    <row r="6905" spans="1:27" ht="15" x14ac:dyDescent="0.25">
      <c r="A6905" s="2">
        <v>6900</v>
      </c>
      <c r="B6905" s="39">
        <v>821113843</v>
      </c>
      <c r="C6905" s="28" t="str">
        <f>HYPERLINK("https://pld.live/RapDetail.aspx?STONELIST=821113843","DNA")</f>
        <v>DNA</v>
      </c>
      <c r="D6905" s="18" t="s">
        <v>711</v>
      </c>
      <c r="E6905" s="18" t="s">
        <v>2186</v>
      </c>
      <c r="F6905" s="2" t="s">
        <v>7987</v>
      </c>
      <c r="G6905" s="2" t="s">
        <v>5226</v>
      </c>
      <c r="H6905" s="14">
        <v>1.55</v>
      </c>
      <c r="I6905" s="2" t="s">
        <v>4699</v>
      </c>
      <c r="J6905" s="2" t="s">
        <v>13</v>
      </c>
      <c r="K6905" s="2" t="s">
        <v>1452</v>
      </c>
      <c r="L6905" s="2" t="s">
        <v>5221</v>
      </c>
      <c r="M6905" s="2" t="s">
        <v>5221</v>
      </c>
      <c r="N6905" s="2" t="s">
        <v>2317</v>
      </c>
      <c r="O6905" s="14">
        <v>10200</v>
      </c>
      <c r="P6905" s="14">
        <v>98.78</v>
      </c>
      <c r="Q6905" s="14">
        <v>124.44</v>
      </c>
      <c r="R6905" s="14">
        <v>192.88</v>
      </c>
      <c r="S6905" s="2" t="s">
        <v>6187</v>
      </c>
      <c r="T6905" s="2">
        <v>1</v>
      </c>
      <c r="U6905" s="2">
        <v>72.8</v>
      </c>
      <c r="V6905" s="2">
        <v>69</v>
      </c>
      <c r="W6905" s="2" t="s">
        <v>7862</v>
      </c>
      <c r="X6905" s="2" t="s">
        <v>2449</v>
      </c>
      <c r="Y6905" s="2">
        <v>15810</v>
      </c>
      <c r="Z6905" s="19" t="str">
        <f>HYPERLINK("https://ssdweb.co/ssdweb/hd/Vision360.html?d=821113843&amp;zoomslide=1&amp;z=1821113843&amp;ISCONFIRM=0","VIDEO")</f>
        <v>VIDEO</v>
      </c>
      <c r="AA6905" s="19" t="str">
        <f>HYPERLINK("https://ssdweb.co/ssdweb/CERTH/623464719.pdf","CERTI")</f>
        <v>CERTI</v>
      </c>
    </row>
    <row r="6906" spans="1:27" ht="15" x14ac:dyDescent="0.25">
      <c r="A6906" s="2">
        <v>6901</v>
      </c>
      <c r="B6906" s="39">
        <v>831010336</v>
      </c>
      <c r="C6906" s="28" t="str">
        <f>HYPERLINK("https://pld.live/RapDetail.aspx?STONELIST=831010336","DNA")</f>
        <v>DNA</v>
      </c>
      <c r="D6906" s="18" t="s">
        <v>711</v>
      </c>
      <c r="E6906" s="18" t="s">
        <v>5128</v>
      </c>
      <c r="F6906" s="2" t="s">
        <v>7987</v>
      </c>
      <c r="G6906" s="2" t="s">
        <v>5226</v>
      </c>
      <c r="H6906" s="14">
        <v>1.54</v>
      </c>
      <c r="I6906" s="2" t="s">
        <v>267</v>
      </c>
      <c r="J6906" s="2" t="s">
        <v>6555</v>
      </c>
      <c r="K6906" s="2" t="s">
        <v>1452</v>
      </c>
      <c r="L6906" s="2" t="s">
        <v>5221</v>
      </c>
      <c r="M6906" s="2" t="s">
        <v>5221</v>
      </c>
      <c r="N6906" s="2" t="s">
        <v>2317</v>
      </c>
      <c r="O6906" s="14">
        <v>13200</v>
      </c>
      <c r="P6906" s="14">
        <v>98.25</v>
      </c>
      <c r="Q6906" s="14">
        <v>231</v>
      </c>
      <c r="R6906" s="14">
        <v>355.74</v>
      </c>
      <c r="S6906" s="2" t="s">
        <v>2765</v>
      </c>
      <c r="T6906" s="2">
        <v>1.01</v>
      </c>
      <c r="U6906" s="2">
        <v>72.099999999999994</v>
      </c>
      <c r="V6906" s="2">
        <v>72</v>
      </c>
      <c r="W6906" s="2" t="s">
        <v>7862</v>
      </c>
      <c r="X6906" s="2" t="s">
        <v>2449</v>
      </c>
      <c r="Y6906" s="2">
        <v>20328</v>
      </c>
      <c r="Z6906" s="19" t="str">
        <f>HYPERLINK("https://ssdweb.co/ssdweb/hd/Vision360.html?d=831010336&amp;zoomslide=1&amp;z=1831010336&amp;ISCONFIRM=0","VIDEO")</f>
        <v>VIDEO</v>
      </c>
      <c r="AA6906" s="19" t="str">
        <f>HYPERLINK("https://ssdweb.co/ssdweb/CERTH/606318389.pdf","CERTI")</f>
        <v>CERTI</v>
      </c>
    </row>
    <row r="6907" spans="1:27" ht="15" x14ac:dyDescent="0.25">
      <c r="A6907" s="2">
        <v>6902</v>
      </c>
      <c r="B6907" s="39">
        <v>925502457</v>
      </c>
      <c r="C6907" s="28" t="str">
        <f>HYPERLINK("https://pld.live/RapDetail.aspx?STONELIST=925502457","DNA")</f>
        <v>DNA</v>
      </c>
      <c r="D6907" s="18" t="s">
        <v>711</v>
      </c>
      <c r="E6907" s="18" t="s">
        <v>5128</v>
      </c>
      <c r="F6907" s="2" t="s">
        <v>7987</v>
      </c>
      <c r="G6907" s="2" t="s">
        <v>5226</v>
      </c>
      <c r="H6907" s="14">
        <v>1.54</v>
      </c>
      <c r="I6907" s="2" t="s">
        <v>267</v>
      </c>
      <c r="J6907" s="2" t="s">
        <v>13</v>
      </c>
      <c r="K6907" s="2" t="s">
        <v>1452</v>
      </c>
      <c r="L6907" s="2" t="s">
        <v>5221</v>
      </c>
      <c r="M6907" s="2" t="s">
        <v>5221</v>
      </c>
      <c r="N6907" s="2" t="s">
        <v>2317</v>
      </c>
      <c r="O6907" s="14">
        <v>11600</v>
      </c>
      <c r="P6907" s="14">
        <v>98.84</v>
      </c>
      <c r="Q6907" s="14">
        <v>134.56</v>
      </c>
      <c r="R6907" s="14">
        <v>207.22</v>
      </c>
      <c r="S6907" s="2" t="s">
        <v>8097</v>
      </c>
      <c r="T6907" s="2">
        <v>1.03</v>
      </c>
      <c r="U6907" s="2">
        <v>72.7</v>
      </c>
      <c r="V6907" s="2">
        <v>69</v>
      </c>
      <c r="W6907" s="2" t="s">
        <v>7862</v>
      </c>
      <c r="X6907" s="2" t="s">
        <v>2449</v>
      </c>
      <c r="Y6907" s="2">
        <v>17864</v>
      </c>
      <c r="Z6907" s="19" t="str">
        <f>HYPERLINK("https://ssdweb.co/ssdweb/hd/Vision360.html?d=925502457&amp;zoomslide=1&amp;z=1925502457&amp;ISCONFIRM=0","VIDEO")</f>
        <v>VIDEO</v>
      </c>
      <c r="AA6907" s="19" t="str">
        <f>HYPERLINK("https://ssdweb.co/ssdweb/CERTH/618439720.pdf","CERTI")</f>
        <v>CERTI</v>
      </c>
    </row>
    <row r="6908" spans="1:27" ht="15" x14ac:dyDescent="0.25">
      <c r="A6908" s="2">
        <v>6903</v>
      </c>
      <c r="B6908" s="39">
        <v>926171206</v>
      </c>
      <c r="C6908" s="28" t="str">
        <f>HYPERLINK("https://pld.live/RapDetail.aspx?STONELIST=926171206","DNA")</f>
        <v>DNA</v>
      </c>
      <c r="D6908" s="18" t="s">
        <v>711</v>
      </c>
      <c r="E6908" s="18" t="s">
        <v>5128</v>
      </c>
      <c r="F6908" s="2" t="s">
        <v>7987</v>
      </c>
      <c r="G6908" s="2" t="s">
        <v>5226</v>
      </c>
      <c r="H6908" s="14">
        <v>1.54</v>
      </c>
      <c r="I6908" s="2" t="s">
        <v>267</v>
      </c>
      <c r="J6908" s="2" t="s">
        <v>13</v>
      </c>
      <c r="K6908" s="2" t="s">
        <v>1452</v>
      </c>
      <c r="L6908" s="2" t="s">
        <v>5221</v>
      </c>
      <c r="M6908" s="2" t="s">
        <v>5221</v>
      </c>
      <c r="N6908" s="2" t="s">
        <v>2317</v>
      </c>
      <c r="O6908" s="14">
        <v>11600</v>
      </c>
      <c r="P6908" s="14">
        <v>98.84</v>
      </c>
      <c r="Q6908" s="14">
        <v>134.56</v>
      </c>
      <c r="R6908" s="14">
        <v>207.22</v>
      </c>
      <c r="S6908" s="2" t="s">
        <v>7288</v>
      </c>
      <c r="T6908" s="2">
        <v>1.01</v>
      </c>
      <c r="U6908" s="2">
        <v>72.3</v>
      </c>
      <c r="V6908" s="2">
        <v>70</v>
      </c>
      <c r="W6908" s="2" t="s">
        <v>7862</v>
      </c>
      <c r="X6908" s="2" t="s">
        <v>2449</v>
      </c>
      <c r="Y6908" s="2">
        <v>17864</v>
      </c>
      <c r="Z6908" s="19" t="str">
        <f>HYPERLINK("https://ssdweb.co/ssdweb/hd/Vision360.html?d=926171206&amp;zoomslide=1&amp;z=1926171206&amp;ISCONFIRM=0","VIDEO")</f>
        <v>VIDEO</v>
      </c>
      <c r="AA6908" s="19" t="str">
        <f>HYPERLINK("https://ssdweb.co/ssdweb/CERTH/634472381.pdf","CERTI")</f>
        <v>CERTI</v>
      </c>
    </row>
    <row r="6909" spans="1:27" ht="15" x14ac:dyDescent="0.25">
      <c r="A6909" s="2">
        <v>6904</v>
      </c>
      <c r="B6909" s="39">
        <v>925960067</v>
      </c>
      <c r="C6909" s="28" t="str">
        <f>HYPERLINK("https://pld.live/RapDetail.aspx?STONELIST=925960067","DNA")</f>
        <v>DNA</v>
      </c>
      <c r="D6909" s="18" t="s">
        <v>711</v>
      </c>
      <c r="E6909" s="18" t="s">
        <v>5128</v>
      </c>
      <c r="F6909" s="2" t="s">
        <v>7987</v>
      </c>
      <c r="G6909" s="2" t="s">
        <v>5226</v>
      </c>
      <c r="H6909" s="14">
        <v>1.54</v>
      </c>
      <c r="I6909" s="2" t="s">
        <v>4761</v>
      </c>
      <c r="J6909" s="2" t="s">
        <v>13</v>
      </c>
      <c r="K6909" s="2" t="s">
        <v>1452</v>
      </c>
      <c r="L6909" s="2" t="s">
        <v>5221</v>
      </c>
      <c r="M6909" s="2" t="s">
        <v>5221</v>
      </c>
      <c r="N6909" s="2" t="s">
        <v>2317</v>
      </c>
      <c r="O6909" s="14">
        <v>10800</v>
      </c>
      <c r="P6909" s="14">
        <v>98.79</v>
      </c>
      <c r="Q6909" s="14">
        <v>130.68</v>
      </c>
      <c r="R6909" s="14">
        <v>201.25</v>
      </c>
      <c r="S6909" s="2" t="s">
        <v>3337</v>
      </c>
      <c r="T6909" s="2">
        <v>1</v>
      </c>
      <c r="U6909" s="2">
        <v>71.8</v>
      </c>
      <c r="V6909" s="2">
        <v>67</v>
      </c>
      <c r="W6909" s="2" t="s">
        <v>7862</v>
      </c>
      <c r="X6909" s="2" t="s">
        <v>2449</v>
      </c>
      <c r="Y6909" s="2">
        <v>16632</v>
      </c>
      <c r="Z6909" s="19" t="str">
        <f>HYPERLINK("https://ssdweb.co/ssdweb/hd/Vision360.html?d=925960067&amp;zoomslide=1&amp;z=1925960067&amp;ISCONFIRM=0","VIDEO")</f>
        <v>VIDEO</v>
      </c>
      <c r="AA6909" s="19" t="str">
        <f>HYPERLINK("https://ssdweb.co/ssdweb/CERTH/636470121.pdf","CERTI")</f>
        <v>CERTI</v>
      </c>
    </row>
    <row r="6910" spans="1:27" ht="15" x14ac:dyDescent="0.25">
      <c r="A6910" s="2">
        <v>6905</v>
      </c>
      <c r="B6910" s="39">
        <v>821113827</v>
      </c>
      <c r="C6910" s="28" t="str">
        <f>HYPERLINK("https://pld.live/RapDetail.aspx?STONELIST=821113827","DNA")</f>
        <v>DNA</v>
      </c>
      <c r="D6910" s="18" t="s">
        <v>711</v>
      </c>
      <c r="E6910" s="18" t="s">
        <v>2186</v>
      </c>
      <c r="F6910" s="2" t="s">
        <v>7987</v>
      </c>
      <c r="G6910" s="2" t="s">
        <v>5226</v>
      </c>
      <c r="H6910" s="14">
        <v>1.54</v>
      </c>
      <c r="I6910" s="2" t="s">
        <v>4761</v>
      </c>
      <c r="J6910" s="2" t="s">
        <v>13</v>
      </c>
      <c r="K6910" s="2" t="s">
        <v>1452</v>
      </c>
      <c r="L6910" s="2" t="s">
        <v>5221</v>
      </c>
      <c r="M6910" s="2" t="s">
        <v>5221</v>
      </c>
      <c r="N6910" s="2" t="s">
        <v>2317</v>
      </c>
      <c r="O6910" s="14">
        <v>10800</v>
      </c>
      <c r="P6910" s="14">
        <v>98.79</v>
      </c>
      <c r="Q6910" s="14">
        <v>130.68</v>
      </c>
      <c r="R6910" s="14">
        <v>201.25</v>
      </c>
      <c r="S6910" s="2" t="s">
        <v>5001</v>
      </c>
      <c r="T6910" s="2">
        <v>1.03</v>
      </c>
      <c r="U6910" s="2">
        <v>71.7</v>
      </c>
      <c r="V6910" s="2">
        <v>70</v>
      </c>
      <c r="W6910" s="2" t="s">
        <v>7862</v>
      </c>
      <c r="X6910" s="2" t="s">
        <v>2449</v>
      </c>
      <c r="Y6910" s="2">
        <v>16632</v>
      </c>
      <c r="Z6910" s="19" t="str">
        <f>HYPERLINK("https://ssdweb.co/ssdweb/hd/Vision360.html?d=821113827&amp;zoomslide=1&amp;z=1821113827&amp;ISCONFIRM=0","VIDEO")</f>
        <v>VIDEO</v>
      </c>
      <c r="AA6910" s="19" t="str">
        <f>HYPERLINK("https://ssdweb.co/ssdweb/CERTH/623477376.pdf","CERTI")</f>
        <v>CERTI</v>
      </c>
    </row>
    <row r="6911" spans="1:27" ht="15" x14ac:dyDescent="0.25">
      <c r="A6911" s="2">
        <v>6906</v>
      </c>
      <c r="B6911" s="39">
        <v>831010511</v>
      </c>
      <c r="C6911" s="28" t="str">
        <f>HYPERLINK("https://pld.live/RapDetail.aspx?STONELIST=831010511","DNA")</f>
        <v>DNA</v>
      </c>
      <c r="D6911" s="18" t="s">
        <v>711</v>
      </c>
      <c r="E6911" s="18" t="s">
        <v>5128</v>
      </c>
      <c r="F6911" s="2" t="s">
        <v>7987</v>
      </c>
      <c r="G6911" s="2" t="s">
        <v>5226</v>
      </c>
      <c r="H6911" s="14">
        <v>1.54</v>
      </c>
      <c r="I6911" s="2" t="s">
        <v>4699</v>
      </c>
      <c r="J6911" s="2" t="s">
        <v>3942</v>
      </c>
      <c r="K6911" s="2" t="s">
        <v>1452</v>
      </c>
      <c r="L6911" s="2" t="s">
        <v>5221</v>
      </c>
      <c r="M6911" s="2" t="s">
        <v>5221</v>
      </c>
      <c r="N6911" s="2" t="s">
        <v>2317</v>
      </c>
      <c r="O6911" s="14">
        <v>10800</v>
      </c>
      <c r="P6911" s="14">
        <v>98.78</v>
      </c>
      <c r="Q6911" s="14">
        <v>131.76</v>
      </c>
      <c r="R6911" s="14">
        <v>202.91</v>
      </c>
      <c r="S6911" s="2" t="s">
        <v>6230</v>
      </c>
      <c r="T6911" s="2">
        <v>1.03</v>
      </c>
      <c r="U6911" s="2">
        <v>71.400000000000006</v>
      </c>
      <c r="V6911" s="2">
        <v>69</v>
      </c>
      <c r="W6911" s="2" t="s">
        <v>7862</v>
      </c>
      <c r="X6911" s="2" t="s">
        <v>2449</v>
      </c>
      <c r="Y6911" s="2">
        <v>16632</v>
      </c>
      <c r="Z6911" s="19" t="str">
        <f>HYPERLINK("https://ssdweb.co/ssdweb/hd/Vision360.html?d=831010511&amp;zoomslide=1&amp;z=1831010511&amp;ISCONFIRM=0","VIDEO")</f>
        <v>VIDEO</v>
      </c>
      <c r="AA6911" s="19" t="str">
        <f>HYPERLINK("https://ssdweb.co/ssdweb/CERTH/618453022.pdf","CERTI")</f>
        <v>CERTI</v>
      </c>
    </row>
    <row r="6912" spans="1:27" ht="15" x14ac:dyDescent="0.25">
      <c r="A6912" s="2">
        <v>6907</v>
      </c>
      <c r="B6912" s="39">
        <v>926171153</v>
      </c>
      <c r="C6912" s="28" t="str">
        <f>HYPERLINK("https://pld.live/RapDetail.aspx?STONELIST=926171153","DNA")</f>
        <v>DNA</v>
      </c>
      <c r="D6912" s="18" t="s">
        <v>711</v>
      </c>
      <c r="E6912" s="18" t="s">
        <v>5128</v>
      </c>
      <c r="F6912" s="2" t="s">
        <v>7987</v>
      </c>
      <c r="G6912" s="2" t="s">
        <v>5226</v>
      </c>
      <c r="H6912" s="14">
        <v>1.54</v>
      </c>
      <c r="I6912" s="2" t="s">
        <v>4699</v>
      </c>
      <c r="J6912" s="2" t="s">
        <v>3942</v>
      </c>
      <c r="K6912" s="2" t="s">
        <v>1452</v>
      </c>
      <c r="L6912" s="2" t="s">
        <v>5221</v>
      </c>
      <c r="M6912" s="2" t="s">
        <v>5221</v>
      </c>
      <c r="N6912" s="2" t="s">
        <v>2317</v>
      </c>
      <c r="O6912" s="14">
        <v>10800</v>
      </c>
      <c r="P6912" s="14">
        <v>98.8</v>
      </c>
      <c r="Q6912" s="14">
        <v>129.6</v>
      </c>
      <c r="R6912" s="14">
        <v>199.58</v>
      </c>
      <c r="S6912" s="2" t="s">
        <v>5831</v>
      </c>
      <c r="T6912" s="2">
        <v>1.01</v>
      </c>
      <c r="U6912" s="2">
        <v>69</v>
      </c>
      <c r="V6912" s="2">
        <v>72</v>
      </c>
      <c r="W6912" s="2" t="s">
        <v>4336</v>
      </c>
      <c r="X6912" s="2" t="s">
        <v>2449</v>
      </c>
      <c r="Y6912" s="2">
        <v>16632</v>
      </c>
      <c r="Z6912" s="19" t="str">
        <f>HYPERLINK("https://ssdweb.co/ssdweb/hd/Vision360.html?d=926171153&amp;zoomslide=1&amp;z=1926171153&amp;ISCONFIRM=0","VIDEO")</f>
        <v>VIDEO</v>
      </c>
      <c r="AA6912" s="19" t="str">
        <f>HYPERLINK("https://ssdweb.co/ssdweb/CERTH/634472332.pdf","CERTI")</f>
        <v>CERTI</v>
      </c>
    </row>
    <row r="6913" spans="1:27" ht="15" x14ac:dyDescent="0.25">
      <c r="A6913" s="2">
        <v>6908</v>
      </c>
      <c r="B6913" s="39">
        <v>831020736</v>
      </c>
      <c r="C6913" s="28" t="str">
        <f>HYPERLINK("https://pld.live/RapDetail.aspx?STONELIST=831020736","DNA")</f>
        <v>DNA</v>
      </c>
      <c r="D6913" s="18" t="s">
        <v>711</v>
      </c>
      <c r="E6913" s="18" t="s">
        <v>2186</v>
      </c>
      <c r="F6913" s="2" t="s">
        <v>7987</v>
      </c>
      <c r="G6913" s="2" t="s">
        <v>5226</v>
      </c>
      <c r="H6913" s="14">
        <v>1.54</v>
      </c>
      <c r="I6913" s="2" t="s">
        <v>4699</v>
      </c>
      <c r="J6913" s="2" t="s">
        <v>13</v>
      </c>
      <c r="K6913" s="2" t="s">
        <v>1452</v>
      </c>
      <c r="L6913" s="2" t="s">
        <v>5221</v>
      </c>
      <c r="M6913" s="2" t="s">
        <v>5221</v>
      </c>
      <c r="N6913" s="2" t="s">
        <v>2317</v>
      </c>
      <c r="O6913" s="14">
        <v>10200</v>
      </c>
      <c r="P6913" s="14">
        <v>98.78</v>
      </c>
      <c r="Q6913" s="14">
        <v>124.44</v>
      </c>
      <c r="R6913" s="14">
        <v>191.64</v>
      </c>
      <c r="S6913" s="2" t="s">
        <v>4405</v>
      </c>
      <c r="T6913" s="2">
        <v>1.02</v>
      </c>
      <c r="U6913" s="2">
        <v>71.900000000000006</v>
      </c>
      <c r="V6913" s="2">
        <v>67</v>
      </c>
      <c r="W6913" s="2" t="s">
        <v>7862</v>
      </c>
      <c r="X6913" s="2" t="s">
        <v>2449</v>
      </c>
      <c r="Y6913" s="2">
        <v>15708</v>
      </c>
      <c r="Z6913" s="19" t="str">
        <f>HYPERLINK("https://ssdweb.co/ssdweb/hd/Vision360.html?d=831020736&amp;zoomslide=1&amp;z=1831020736&amp;ISCONFIRM=0","VIDEO")</f>
        <v>VIDEO</v>
      </c>
      <c r="AA6913" s="19" t="str">
        <f>HYPERLINK("https://ssdweb.co/ssdweb/CERTH/622472523.pdf","CERTI")</f>
        <v>CERTI</v>
      </c>
    </row>
    <row r="6914" spans="1:27" ht="15" x14ac:dyDescent="0.25">
      <c r="A6914" s="2">
        <v>6909</v>
      </c>
      <c r="B6914" s="39">
        <v>925520595</v>
      </c>
      <c r="C6914" s="28" t="str">
        <f>HYPERLINK("https://pld.live/RapDetail.aspx?STONELIST=925520595","DNA")</f>
        <v>DNA</v>
      </c>
      <c r="D6914" s="18" t="s">
        <v>711</v>
      </c>
      <c r="E6914" s="18" t="s">
        <v>5128</v>
      </c>
      <c r="F6914" s="2" t="s">
        <v>7987</v>
      </c>
      <c r="G6914" s="2" t="s">
        <v>5226</v>
      </c>
      <c r="H6914" s="14">
        <v>1.53</v>
      </c>
      <c r="I6914" s="2" t="s">
        <v>267</v>
      </c>
      <c r="J6914" s="2" t="s">
        <v>6555</v>
      </c>
      <c r="K6914" s="2" t="s">
        <v>1452</v>
      </c>
      <c r="L6914" s="2" t="s">
        <v>5221</v>
      </c>
      <c r="M6914" s="2" t="s">
        <v>5221</v>
      </c>
      <c r="N6914" s="2" t="s">
        <v>2317</v>
      </c>
      <c r="O6914" s="14">
        <v>13200</v>
      </c>
      <c r="P6914" s="14">
        <v>98.25</v>
      </c>
      <c r="Q6914" s="14">
        <v>231</v>
      </c>
      <c r="R6914" s="14">
        <v>353.43</v>
      </c>
      <c r="S6914" s="2" t="s">
        <v>1555</v>
      </c>
      <c r="T6914" s="2">
        <v>1</v>
      </c>
      <c r="U6914" s="2">
        <v>72.7</v>
      </c>
      <c r="V6914" s="2">
        <v>71</v>
      </c>
      <c r="W6914" s="2" t="s">
        <v>7862</v>
      </c>
      <c r="X6914" s="2" t="s">
        <v>2449</v>
      </c>
      <c r="Y6914" s="2">
        <v>20196</v>
      </c>
      <c r="Z6914" s="19" t="str">
        <f>HYPERLINK("https://ssdweb.co/ssdweb/hd/Vision360.html?d=925520595&amp;zoomslide=1&amp;z=1925520595&amp;ISCONFIRM=0","VIDEO")</f>
        <v>VIDEO</v>
      </c>
      <c r="AA6914" s="19" t="str">
        <f>HYPERLINK("https://ssdweb.co/ssdweb/CERTH/617413065.pdf","CERTI")</f>
        <v>CERTI</v>
      </c>
    </row>
    <row r="6915" spans="1:27" ht="15" x14ac:dyDescent="0.25">
      <c r="A6915" s="2">
        <v>6910</v>
      </c>
      <c r="B6915" s="39">
        <v>926171161</v>
      </c>
      <c r="C6915" s="28" t="str">
        <f>HYPERLINK("https://pld.live/RapDetail.aspx?STONELIST=926171161","DNA")</f>
        <v>DNA</v>
      </c>
      <c r="D6915" s="18" t="s">
        <v>711</v>
      </c>
      <c r="E6915" s="18" t="s">
        <v>5128</v>
      </c>
      <c r="F6915" s="2" t="s">
        <v>7987</v>
      </c>
      <c r="G6915" s="2" t="s">
        <v>5226</v>
      </c>
      <c r="H6915" s="14">
        <v>1.53</v>
      </c>
      <c r="I6915" s="2" t="s">
        <v>267</v>
      </c>
      <c r="J6915" s="2" t="s">
        <v>6555</v>
      </c>
      <c r="K6915" s="2" t="s">
        <v>1452</v>
      </c>
      <c r="L6915" s="2" t="s">
        <v>5221</v>
      </c>
      <c r="M6915" s="2" t="s">
        <v>5221</v>
      </c>
      <c r="N6915" s="2" t="s">
        <v>2317</v>
      </c>
      <c r="O6915" s="14">
        <v>13200</v>
      </c>
      <c r="P6915" s="14">
        <v>98.25</v>
      </c>
      <c r="Q6915" s="14">
        <v>231</v>
      </c>
      <c r="R6915" s="14">
        <v>353.43</v>
      </c>
      <c r="S6915" s="2" t="s">
        <v>5511</v>
      </c>
      <c r="T6915" s="2">
        <v>1</v>
      </c>
      <c r="U6915" s="2">
        <v>73.099999999999994</v>
      </c>
      <c r="V6915" s="2">
        <v>72</v>
      </c>
      <c r="W6915" s="2" t="s">
        <v>7862</v>
      </c>
      <c r="X6915" s="2" t="s">
        <v>2449</v>
      </c>
      <c r="Y6915" s="2">
        <v>20196</v>
      </c>
      <c r="Z6915" s="19" t="str">
        <f>HYPERLINK("https://ssdweb.co/ssdweb/hd/Vision360.html?d=926171161&amp;zoomslide=1&amp;z=1926171161&amp;ISCONFIRM=0","VIDEO")</f>
        <v>VIDEO</v>
      </c>
      <c r="AA6915" s="19" t="str">
        <f>HYPERLINK("https://ssdweb.co/ssdweb/CERTH/634472336.pdf","CERTI")</f>
        <v>CERTI</v>
      </c>
    </row>
    <row r="6916" spans="1:27" ht="15" x14ac:dyDescent="0.25">
      <c r="A6916" s="2">
        <v>6911</v>
      </c>
      <c r="B6916" s="39">
        <v>831010827</v>
      </c>
      <c r="C6916" s="28" t="str">
        <f>HYPERLINK("https://pld.live/RapDetail.aspx?STONELIST=831010827","DNA")</f>
        <v>DNA</v>
      </c>
      <c r="D6916" s="18" t="s">
        <v>711</v>
      </c>
      <c r="E6916" s="18" t="s">
        <v>5128</v>
      </c>
      <c r="F6916" s="2" t="s">
        <v>7987</v>
      </c>
      <c r="G6916" s="2" t="s">
        <v>5226</v>
      </c>
      <c r="H6916" s="14">
        <v>1.53</v>
      </c>
      <c r="I6916" s="2" t="s">
        <v>267</v>
      </c>
      <c r="J6916" s="2" t="s">
        <v>3942</v>
      </c>
      <c r="K6916" s="2" t="s">
        <v>1452</v>
      </c>
      <c r="L6916" s="2" t="s">
        <v>5221</v>
      </c>
      <c r="M6916" s="2" t="s">
        <v>5221</v>
      </c>
      <c r="N6916" s="2" t="s">
        <v>2317</v>
      </c>
      <c r="O6916" s="14">
        <v>12500</v>
      </c>
      <c r="P6916" s="14">
        <v>98.9</v>
      </c>
      <c r="Q6916" s="14">
        <v>137.5</v>
      </c>
      <c r="R6916" s="14">
        <v>210.38</v>
      </c>
      <c r="S6916" s="2" t="s">
        <v>6190</v>
      </c>
      <c r="T6916" s="2">
        <v>1.01</v>
      </c>
      <c r="U6916" s="2">
        <v>73.5</v>
      </c>
      <c r="V6916" s="2">
        <v>69</v>
      </c>
      <c r="W6916" s="2" t="s">
        <v>7862</v>
      </c>
      <c r="X6916" s="2" t="s">
        <v>2449</v>
      </c>
      <c r="Y6916" s="2">
        <v>19125</v>
      </c>
      <c r="Z6916" s="19" t="str">
        <f>HYPERLINK("https://ssdweb.co/ssdweb/hd/Vision360.html?d=831010827&amp;zoomslide=1&amp;z=1831010827&amp;ISCONFIRM=0","VIDEO")</f>
        <v>VIDEO</v>
      </c>
      <c r="AA6916" s="19" t="str">
        <f>HYPERLINK("https://ssdweb.co/ssdweb/CERTH/602303080.pdf","CERTI")</f>
        <v>CERTI</v>
      </c>
    </row>
    <row r="6917" spans="1:27" ht="15" x14ac:dyDescent="0.25">
      <c r="A6917" s="2">
        <v>6912</v>
      </c>
      <c r="B6917" s="39">
        <v>925732134</v>
      </c>
      <c r="C6917" s="28" t="str">
        <f>HYPERLINK("https://pld.live/RapDetail.aspx?STONELIST=925732134","DNA")</f>
        <v>DNA</v>
      </c>
      <c r="D6917" s="18" t="s">
        <v>711</v>
      </c>
      <c r="E6917" s="18" t="s">
        <v>5128</v>
      </c>
      <c r="F6917" s="2" t="s">
        <v>7987</v>
      </c>
      <c r="G6917" s="2" t="s">
        <v>5226</v>
      </c>
      <c r="H6917" s="14">
        <v>1.53</v>
      </c>
      <c r="I6917" s="2" t="s">
        <v>267</v>
      </c>
      <c r="J6917" s="2" t="s">
        <v>5144</v>
      </c>
      <c r="K6917" s="2" t="s">
        <v>1452</v>
      </c>
      <c r="L6917" s="2" t="s">
        <v>5221</v>
      </c>
      <c r="M6917" s="2" t="s">
        <v>5221</v>
      </c>
      <c r="N6917" s="2" t="s">
        <v>2317</v>
      </c>
      <c r="O6917" s="14">
        <v>9900</v>
      </c>
      <c r="P6917" s="14">
        <v>98.68</v>
      </c>
      <c r="Q6917" s="14">
        <v>130.68</v>
      </c>
      <c r="R6917" s="14">
        <v>199.94</v>
      </c>
      <c r="S6917" s="2" t="s">
        <v>1212</v>
      </c>
      <c r="T6917" s="2">
        <v>1.01</v>
      </c>
      <c r="U6917" s="2">
        <v>72.5</v>
      </c>
      <c r="V6917" s="2">
        <v>71</v>
      </c>
      <c r="W6917" s="2" t="s">
        <v>7862</v>
      </c>
      <c r="X6917" s="2" t="s">
        <v>2449</v>
      </c>
      <c r="Y6917" s="2">
        <v>15147</v>
      </c>
      <c r="Z6917" s="19" t="str">
        <f>HYPERLINK("https://ssdweb.co/ssdweb/hd/Vision360.html?d=925732134&amp;zoomslide=1&amp;z=1925732134&amp;ISCONFIRM=0","VIDEO")</f>
        <v>VIDEO</v>
      </c>
      <c r="AA6917" s="19" t="str">
        <f>HYPERLINK("https://ssdweb.co/ssdweb/CERTH/629479221.pdf","CERTI")</f>
        <v>CERTI</v>
      </c>
    </row>
    <row r="6918" spans="1:27" ht="15" x14ac:dyDescent="0.25">
      <c r="A6918" s="2">
        <v>6913</v>
      </c>
      <c r="B6918" s="39">
        <v>831010795</v>
      </c>
      <c r="C6918" s="28" t="str">
        <f>HYPERLINK("https://pld.live/RapDetail.aspx?STONELIST=831010795","DNA")</f>
        <v>DNA</v>
      </c>
      <c r="D6918" s="18" t="s">
        <v>711</v>
      </c>
      <c r="E6918" s="18" t="s">
        <v>5128</v>
      </c>
      <c r="F6918" s="2" t="s">
        <v>7987</v>
      </c>
      <c r="G6918" s="2" t="s">
        <v>5226</v>
      </c>
      <c r="H6918" s="14">
        <v>1.53</v>
      </c>
      <c r="I6918" s="2" t="s">
        <v>267</v>
      </c>
      <c r="J6918" s="2" t="s">
        <v>5144</v>
      </c>
      <c r="K6918" s="2" t="s">
        <v>1452</v>
      </c>
      <c r="L6918" s="2" t="s">
        <v>5221</v>
      </c>
      <c r="M6918" s="2" t="s">
        <v>5221</v>
      </c>
      <c r="N6918" s="2" t="s">
        <v>2317</v>
      </c>
      <c r="O6918" s="14">
        <v>9900</v>
      </c>
      <c r="P6918" s="14">
        <v>98.68</v>
      </c>
      <c r="Q6918" s="14">
        <v>130.68</v>
      </c>
      <c r="R6918" s="14">
        <v>199.94</v>
      </c>
      <c r="S6918" s="2" t="s">
        <v>4791</v>
      </c>
      <c r="T6918" s="2">
        <v>1</v>
      </c>
      <c r="U6918" s="2">
        <v>71.900000000000006</v>
      </c>
      <c r="V6918" s="2">
        <v>70.5</v>
      </c>
      <c r="W6918" s="2" t="s">
        <v>7862</v>
      </c>
      <c r="X6918" s="2" t="s">
        <v>4535</v>
      </c>
      <c r="Y6918" s="2">
        <v>15147</v>
      </c>
      <c r="Z6918" s="19" t="str">
        <f>HYPERLINK("https://ssdweb.co/ssdweb/hd/Vision360.html?d=831010795&amp;zoomslide=1&amp;z=1831010795&amp;ISCONFIRM=0","VIDEO")</f>
        <v>VIDEO</v>
      </c>
      <c r="AA6918" s="19" t="str">
        <f>HYPERLINK("https://ssdweb.co/ssdweb/CERTH/541275937.pdf","CERTI")</f>
        <v>CERTI</v>
      </c>
    </row>
    <row r="6919" spans="1:27" ht="15" x14ac:dyDescent="0.25">
      <c r="A6919" s="2">
        <v>6914</v>
      </c>
      <c r="B6919" s="39">
        <v>821113885</v>
      </c>
      <c r="C6919" s="28" t="str">
        <f>HYPERLINK("https://pld.live/RapDetail.aspx?STONELIST=821113885","DNA")</f>
        <v>DNA</v>
      </c>
      <c r="D6919" s="18" t="s">
        <v>711</v>
      </c>
      <c r="E6919" s="18" t="s">
        <v>2186</v>
      </c>
      <c r="F6919" s="2" t="s">
        <v>7987</v>
      </c>
      <c r="G6919" s="2" t="s">
        <v>5226</v>
      </c>
      <c r="H6919" s="14">
        <v>1.53</v>
      </c>
      <c r="I6919" s="2" t="s">
        <v>4761</v>
      </c>
      <c r="J6919" s="2" t="s">
        <v>13</v>
      </c>
      <c r="K6919" s="2" t="s">
        <v>1452</v>
      </c>
      <c r="L6919" s="2" t="s">
        <v>5221</v>
      </c>
      <c r="M6919" s="2" t="s">
        <v>5221</v>
      </c>
      <c r="N6919" s="2" t="s">
        <v>2317</v>
      </c>
      <c r="O6919" s="14">
        <v>10800</v>
      </c>
      <c r="P6919" s="14">
        <v>98.79</v>
      </c>
      <c r="Q6919" s="14">
        <v>130.68</v>
      </c>
      <c r="R6919" s="14">
        <v>199.94</v>
      </c>
      <c r="S6919" s="2" t="s">
        <v>2124</v>
      </c>
      <c r="T6919" s="2">
        <v>1.03</v>
      </c>
      <c r="U6919" s="2">
        <v>72.7</v>
      </c>
      <c r="V6919" s="2">
        <v>67</v>
      </c>
      <c r="W6919" s="2" t="s">
        <v>7862</v>
      </c>
      <c r="X6919" s="2" t="s">
        <v>2449</v>
      </c>
      <c r="Y6919" s="2">
        <v>16524</v>
      </c>
      <c r="Z6919" s="19" t="str">
        <f>HYPERLINK("https://ssdweb.co/ssdweb/hd/Vision360.html?d=821113885&amp;zoomslide=1&amp;z=1821113885&amp;ISCONFIRM=0","VIDEO")</f>
        <v>VIDEO</v>
      </c>
      <c r="AA6919" s="19" t="str">
        <f>HYPERLINK("https://ssdweb.co/ssdweb/CERTH/623479758.pdf","CERTI")</f>
        <v>CERTI</v>
      </c>
    </row>
    <row r="6920" spans="1:27" ht="15" x14ac:dyDescent="0.25">
      <c r="A6920" s="2">
        <v>6915</v>
      </c>
      <c r="B6920" s="39">
        <v>821113176</v>
      </c>
      <c r="C6920" s="28" t="str">
        <f>HYPERLINK("https://pld.live/RapDetail.aspx?STONELIST=821113176","DNA")</f>
        <v>DNA</v>
      </c>
      <c r="D6920" s="18" t="s">
        <v>711</v>
      </c>
      <c r="E6920" s="18" t="s">
        <v>2186</v>
      </c>
      <c r="F6920" s="2" t="s">
        <v>7987</v>
      </c>
      <c r="G6920" s="2" t="s">
        <v>5226</v>
      </c>
      <c r="H6920" s="14">
        <v>1.53</v>
      </c>
      <c r="I6920" s="2" t="s">
        <v>4761</v>
      </c>
      <c r="J6920" s="2" t="s">
        <v>13</v>
      </c>
      <c r="K6920" s="2" t="s">
        <v>1452</v>
      </c>
      <c r="L6920" s="2" t="s">
        <v>5221</v>
      </c>
      <c r="M6920" s="2" t="s">
        <v>5221</v>
      </c>
      <c r="N6920" s="2" t="s">
        <v>2317</v>
      </c>
      <c r="O6920" s="14">
        <v>10800</v>
      </c>
      <c r="P6920" s="14">
        <v>98.79</v>
      </c>
      <c r="Q6920" s="14">
        <v>130.68</v>
      </c>
      <c r="R6920" s="14">
        <v>199.94</v>
      </c>
      <c r="S6920" s="2" t="s">
        <v>5354</v>
      </c>
      <c r="T6920" s="2">
        <v>1.01</v>
      </c>
      <c r="U6920" s="2">
        <v>70.900000000000006</v>
      </c>
      <c r="V6920" s="2">
        <v>71</v>
      </c>
      <c r="W6920" s="2" t="s">
        <v>7862</v>
      </c>
      <c r="X6920" s="2" t="s">
        <v>2449</v>
      </c>
      <c r="Y6920" s="2">
        <v>16524</v>
      </c>
      <c r="Z6920" s="19" t="str">
        <f>HYPERLINK("https://ssdweb.co/ssdweb/hd/Vision360.html?d=821113176&amp;zoomslide=1&amp;z=1821113176&amp;ISCONFIRM=0","VIDEO")</f>
        <v>VIDEO</v>
      </c>
      <c r="AA6920" s="19" t="str">
        <f>HYPERLINK("https://ssdweb.co/ssdweb/CERTH/622460570.pdf","CERTI")</f>
        <v>CERTI</v>
      </c>
    </row>
    <row r="6921" spans="1:27" ht="15" x14ac:dyDescent="0.25">
      <c r="A6921" s="2">
        <v>6916</v>
      </c>
      <c r="B6921" s="39">
        <v>821113842</v>
      </c>
      <c r="C6921" s="28" t="str">
        <f>HYPERLINK("https://pld.live/RapDetail.aspx?STONELIST=821113842","DNA")</f>
        <v>DNA</v>
      </c>
      <c r="D6921" s="18" t="s">
        <v>711</v>
      </c>
      <c r="E6921" s="18" t="s">
        <v>2186</v>
      </c>
      <c r="F6921" s="2" t="s">
        <v>7987</v>
      </c>
      <c r="G6921" s="2" t="s">
        <v>5226</v>
      </c>
      <c r="H6921" s="14">
        <v>1.53</v>
      </c>
      <c r="I6921" s="2" t="s">
        <v>4761</v>
      </c>
      <c r="J6921" s="2" t="s">
        <v>13</v>
      </c>
      <c r="K6921" s="2" t="s">
        <v>1452</v>
      </c>
      <c r="L6921" s="2" t="s">
        <v>5221</v>
      </c>
      <c r="M6921" s="2" t="s">
        <v>5221</v>
      </c>
      <c r="N6921" s="2" t="s">
        <v>2317</v>
      </c>
      <c r="O6921" s="14">
        <v>10800</v>
      </c>
      <c r="P6921" s="14">
        <v>98.79</v>
      </c>
      <c r="Q6921" s="14">
        <v>130.68</v>
      </c>
      <c r="R6921" s="14">
        <v>199.94</v>
      </c>
      <c r="S6921" s="2" t="s">
        <v>4749</v>
      </c>
      <c r="T6921" s="2">
        <v>1.01</v>
      </c>
      <c r="U6921" s="2">
        <v>71.599999999999994</v>
      </c>
      <c r="V6921" s="2">
        <v>70</v>
      </c>
      <c r="W6921" s="2" t="s">
        <v>7862</v>
      </c>
      <c r="X6921" s="2" t="s">
        <v>2449</v>
      </c>
      <c r="Y6921" s="2">
        <v>16524</v>
      </c>
      <c r="Z6921" s="19" t="str">
        <f>HYPERLINK("https://ssdweb.co/ssdweb/hd/Vision360.html?d=821113842&amp;zoomslide=1&amp;z=1821113842&amp;ISCONFIRM=0","VIDEO")</f>
        <v>VIDEO</v>
      </c>
      <c r="AA6921" s="19" t="str">
        <f>HYPERLINK("https://ssdweb.co/ssdweb/CERTH/623444846.pdf","CERTI")</f>
        <v>CERTI</v>
      </c>
    </row>
    <row r="6922" spans="1:27" ht="15" x14ac:dyDescent="0.25">
      <c r="A6922" s="2">
        <v>6917</v>
      </c>
      <c r="B6922" s="39">
        <v>821113227</v>
      </c>
      <c r="C6922" s="28" t="str">
        <f>HYPERLINK("https://pld.live/RapDetail.aspx?STONELIST=821113227","DNA")</f>
        <v>DNA</v>
      </c>
      <c r="D6922" s="18" t="s">
        <v>711</v>
      </c>
      <c r="E6922" s="18" t="s">
        <v>2186</v>
      </c>
      <c r="F6922" s="2" t="s">
        <v>7987</v>
      </c>
      <c r="G6922" s="2" t="s">
        <v>5226</v>
      </c>
      <c r="H6922" s="14">
        <v>1.53</v>
      </c>
      <c r="I6922" s="2" t="s">
        <v>4761</v>
      </c>
      <c r="J6922" s="2" t="s">
        <v>13</v>
      </c>
      <c r="K6922" s="2" t="s">
        <v>1452</v>
      </c>
      <c r="L6922" s="2" t="s">
        <v>5221</v>
      </c>
      <c r="M6922" s="2" t="s">
        <v>5221</v>
      </c>
      <c r="N6922" s="2" t="s">
        <v>2317</v>
      </c>
      <c r="O6922" s="14">
        <v>10800</v>
      </c>
      <c r="P6922" s="14">
        <v>98.79</v>
      </c>
      <c r="Q6922" s="14">
        <v>130.68</v>
      </c>
      <c r="R6922" s="14">
        <v>199.94</v>
      </c>
      <c r="S6922" s="2" t="s">
        <v>2747</v>
      </c>
      <c r="T6922" s="2">
        <v>1.02</v>
      </c>
      <c r="U6922" s="2">
        <v>72.400000000000006</v>
      </c>
      <c r="V6922" s="2">
        <v>70</v>
      </c>
      <c r="W6922" s="2" t="s">
        <v>7862</v>
      </c>
      <c r="X6922" s="2" t="s">
        <v>2449</v>
      </c>
      <c r="Y6922" s="2">
        <v>16524</v>
      </c>
      <c r="Z6922" s="19" t="str">
        <f>HYPERLINK("https://ssdweb.co/ssdweb/hd/Vision360.html?d=821113227&amp;zoomslide=1&amp;z=1821113227&amp;ISCONFIRM=0","VIDEO")</f>
        <v>VIDEO</v>
      </c>
      <c r="AA6922" s="19" t="str">
        <f>HYPERLINK("https://ssdweb.co/ssdweb/CERTH/622494021.pdf","CERTI")</f>
        <v>CERTI</v>
      </c>
    </row>
    <row r="6923" spans="1:27" ht="15" x14ac:dyDescent="0.25">
      <c r="A6923" s="2">
        <v>6918</v>
      </c>
      <c r="B6923" s="39">
        <v>925540945</v>
      </c>
      <c r="C6923" s="28" t="str">
        <f>HYPERLINK("https://pld.live/RapDetail.aspx?STONELIST=925540945","DNA")</f>
        <v>DNA</v>
      </c>
      <c r="D6923" s="18" t="s">
        <v>711</v>
      </c>
      <c r="E6923" s="18" t="s">
        <v>5128</v>
      </c>
      <c r="F6923" s="2" t="s">
        <v>7987</v>
      </c>
      <c r="G6923" s="2" t="s">
        <v>5226</v>
      </c>
      <c r="H6923" s="14">
        <v>1.53</v>
      </c>
      <c r="I6923" s="2" t="s">
        <v>4761</v>
      </c>
      <c r="J6923" s="2" t="s">
        <v>5144</v>
      </c>
      <c r="K6923" s="2" t="s">
        <v>1452</v>
      </c>
      <c r="L6923" s="2" t="s">
        <v>5221</v>
      </c>
      <c r="M6923" s="2" t="s">
        <v>5221</v>
      </c>
      <c r="N6923" s="2" t="s">
        <v>2317</v>
      </c>
      <c r="O6923" s="14">
        <v>9300</v>
      </c>
      <c r="P6923" s="14">
        <v>98.67</v>
      </c>
      <c r="Q6923" s="14">
        <v>123.69</v>
      </c>
      <c r="R6923" s="14">
        <v>189.25</v>
      </c>
      <c r="S6923" s="2" t="s">
        <v>2760</v>
      </c>
      <c r="T6923" s="2">
        <v>1.03</v>
      </c>
      <c r="U6923" s="2">
        <v>73.900000000000006</v>
      </c>
      <c r="V6923" s="2">
        <v>72</v>
      </c>
      <c r="W6923" s="2" t="s">
        <v>7862</v>
      </c>
      <c r="X6923" s="2" t="s">
        <v>2449</v>
      </c>
      <c r="Y6923" s="2">
        <v>14229</v>
      </c>
      <c r="Z6923" s="19" t="str">
        <f>HYPERLINK("https://ssdweb.co/ssdweb/hd/Vision360.html?d=925540945&amp;zoomslide=1&amp;z=1925540945&amp;ISCONFIRM=0","VIDEO")</f>
        <v>VIDEO</v>
      </c>
      <c r="AA6923" s="19" t="str">
        <f>HYPERLINK("https://ssdweb.co/ssdweb/CERTH/618439765.pdf","CERTI")</f>
        <v>CERTI</v>
      </c>
    </row>
    <row r="6924" spans="1:27" ht="15" x14ac:dyDescent="0.25">
      <c r="A6924" s="2">
        <v>6919</v>
      </c>
      <c r="B6924" s="39">
        <v>821124386</v>
      </c>
      <c r="C6924" s="28" t="str">
        <f>HYPERLINK("https://pld.live/RapDetail.aspx?STONELIST=821124386","DNA")</f>
        <v>DNA</v>
      </c>
      <c r="D6924" s="18" t="s">
        <v>711</v>
      </c>
      <c r="E6924" s="18" t="s">
        <v>5128</v>
      </c>
      <c r="F6924" s="2" t="s">
        <v>7987</v>
      </c>
      <c r="G6924" s="2" t="s">
        <v>5226</v>
      </c>
      <c r="H6924" s="14">
        <v>1.52</v>
      </c>
      <c r="I6924" s="2" t="s">
        <v>267</v>
      </c>
      <c r="J6924" s="2" t="s">
        <v>6555</v>
      </c>
      <c r="K6924" s="2" t="s">
        <v>1452</v>
      </c>
      <c r="L6924" s="2" t="s">
        <v>5221</v>
      </c>
      <c r="M6924" s="2" t="s">
        <v>5221</v>
      </c>
      <c r="N6924" s="2" t="s">
        <v>2317</v>
      </c>
      <c r="O6924" s="14">
        <v>13200</v>
      </c>
      <c r="P6924" s="14">
        <v>98.25</v>
      </c>
      <c r="Q6924" s="14">
        <v>231</v>
      </c>
      <c r="R6924" s="14">
        <v>351.12</v>
      </c>
      <c r="S6924" s="2" t="s">
        <v>2819</v>
      </c>
      <c r="T6924" s="2">
        <v>0.98</v>
      </c>
      <c r="U6924" s="2">
        <v>69.3</v>
      </c>
      <c r="V6924" s="2">
        <v>71</v>
      </c>
      <c r="W6924" s="2" t="s">
        <v>7862</v>
      </c>
      <c r="X6924" s="2" t="s">
        <v>2449</v>
      </c>
      <c r="Y6924" s="2">
        <v>20064</v>
      </c>
      <c r="Z6924" s="19" t="str">
        <f>HYPERLINK("https://ssdweb.co/ssdweb/hd/Vision360.html?d=821124386&amp;zoomslide=1&amp;z=1821124386&amp;ISCONFIRM=0","VIDEO")</f>
        <v>VIDEO</v>
      </c>
      <c r="AA6924" s="19" t="str">
        <f>HYPERLINK("https://ssdweb.co/ssdweb/CERTH/602303066.pdf","CERTI")</f>
        <v>CERTI</v>
      </c>
    </row>
    <row r="6925" spans="1:27" ht="15" x14ac:dyDescent="0.25">
      <c r="A6925" s="2">
        <v>6920</v>
      </c>
      <c r="B6925" s="39">
        <v>926841357</v>
      </c>
      <c r="C6925" s="28" t="str">
        <f>HYPERLINK("https://pld.live/RapDetail.aspx?STONELIST=926841357","DNA")</f>
        <v>DNA</v>
      </c>
      <c r="D6925" s="18" t="s">
        <v>711</v>
      </c>
      <c r="E6925" s="18" t="s">
        <v>2186</v>
      </c>
      <c r="F6925" s="2" t="s">
        <v>7987</v>
      </c>
      <c r="G6925" s="2" t="s">
        <v>5226</v>
      </c>
      <c r="H6925" s="14">
        <v>1.52</v>
      </c>
      <c r="I6925" s="2" t="s">
        <v>267</v>
      </c>
      <c r="J6925" s="2" t="s">
        <v>6555</v>
      </c>
      <c r="K6925" s="2" t="s">
        <v>1452</v>
      </c>
      <c r="L6925" s="2" t="s">
        <v>5221</v>
      </c>
      <c r="M6925" s="2" t="s">
        <v>5221</v>
      </c>
      <c r="N6925" s="2" t="s">
        <v>2317</v>
      </c>
      <c r="O6925" s="14">
        <v>13200</v>
      </c>
      <c r="P6925" s="14">
        <v>98.25</v>
      </c>
      <c r="Q6925" s="14">
        <v>231</v>
      </c>
      <c r="R6925" s="14">
        <v>351.12</v>
      </c>
      <c r="S6925" s="2" t="s">
        <v>5876</v>
      </c>
      <c r="T6925" s="2">
        <v>1.02</v>
      </c>
      <c r="U6925" s="2">
        <v>71.099999999999994</v>
      </c>
      <c r="V6925" s="2">
        <v>69</v>
      </c>
      <c r="W6925" s="2" t="s">
        <v>7862</v>
      </c>
      <c r="X6925" s="2" t="s">
        <v>2449</v>
      </c>
      <c r="Y6925" s="2">
        <v>20064</v>
      </c>
      <c r="Z6925" s="19" t="str">
        <f>HYPERLINK("https://ssdweb.co/ssdweb/hd/Vision360.html?d=926841357&amp;zoomslide=1&amp;z=1926841357&amp;ISCONFIRM=0","VIDEO")</f>
        <v>VIDEO</v>
      </c>
      <c r="AA6925" s="19" t="str">
        <f>HYPERLINK("https://ssdweb.co/ssdweb/CERTH/659436997.pdf","CERTI")</f>
        <v>CERTI</v>
      </c>
    </row>
    <row r="6926" spans="1:27" ht="15" x14ac:dyDescent="0.25">
      <c r="A6926" s="2">
        <v>6921</v>
      </c>
      <c r="B6926" s="39">
        <v>821124320</v>
      </c>
      <c r="C6926" s="28" t="str">
        <f>HYPERLINK("https://pld.live/RapDetail.aspx?STONELIST=821124320","DNA")</f>
        <v>DNA</v>
      </c>
      <c r="D6926" s="18" t="s">
        <v>711</v>
      </c>
      <c r="E6926" s="18" t="s">
        <v>5128</v>
      </c>
      <c r="F6926" s="2" t="s">
        <v>7987</v>
      </c>
      <c r="G6926" s="2" t="s">
        <v>5226</v>
      </c>
      <c r="H6926" s="14">
        <v>1.52</v>
      </c>
      <c r="I6926" s="2" t="s">
        <v>267</v>
      </c>
      <c r="J6926" s="2" t="s">
        <v>6555</v>
      </c>
      <c r="K6926" s="2" t="s">
        <v>1452</v>
      </c>
      <c r="L6926" s="2" t="s">
        <v>5221</v>
      </c>
      <c r="M6926" s="2" t="s">
        <v>5221</v>
      </c>
      <c r="N6926" s="2" t="s">
        <v>2317</v>
      </c>
      <c r="O6926" s="14">
        <v>13200</v>
      </c>
      <c r="P6926" s="14">
        <v>98.25</v>
      </c>
      <c r="Q6926" s="14">
        <v>231</v>
      </c>
      <c r="R6926" s="14">
        <v>351.12</v>
      </c>
      <c r="S6926" s="2" t="s">
        <v>810</v>
      </c>
      <c r="T6926" s="2">
        <v>1.01</v>
      </c>
      <c r="U6926" s="2">
        <v>71.3</v>
      </c>
      <c r="V6926" s="2">
        <v>69</v>
      </c>
      <c r="W6926" s="2" t="s">
        <v>7862</v>
      </c>
      <c r="X6926" s="2" t="s">
        <v>2449</v>
      </c>
      <c r="Y6926" s="2">
        <v>20064</v>
      </c>
      <c r="Z6926" s="19" t="str">
        <f>HYPERLINK("https://ssdweb.co/ssdweb/hd/Vision360.html?d=821124320&amp;zoomslide=1&amp;z=1821124320&amp;ISCONFIRM=0","VIDEO")</f>
        <v>VIDEO</v>
      </c>
      <c r="AA6926" s="19" t="str">
        <f>HYPERLINK("https://ssdweb.co/ssdweb/CERTH/602302702.pdf","CERTI")</f>
        <v>CERTI</v>
      </c>
    </row>
    <row r="6927" spans="1:27" ht="15" x14ac:dyDescent="0.25">
      <c r="A6927" s="2">
        <v>6922</v>
      </c>
      <c r="B6927" s="39">
        <v>926921371</v>
      </c>
      <c r="C6927" s="28" t="str">
        <f>HYPERLINK("https://pld.live/RapDetail.aspx?STONELIST=926921371","DNA")</f>
        <v>DNA</v>
      </c>
      <c r="D6927" s="18" t="s">
        <v>711</v>
      </c>
      <c r="E6927" s="18" t="s">
        <v>2186</v>
      </c>
      <c r="F6927" s="2" t="s">
        <v>7987</v>
      </c>
      <c r="G6927" s="2" t="s">
        <v>5226</v>
      </c>
      <c r="H6927" s="14">
        <v>1.52</v>
      </c>
      <c r="I6927" s="2" t="s">
        <v>267</v>
      </c>
      <c r="J6927" s="2" t="s">
        <v>6555</v>
      </c>
      <c r="K6927" s="2" t="s">
        <v>1452</v>
      </c>
      <c r="L6927" s="2" t="s">
        <v>5221</v>
      </c>
      <c r="M6927" s="2" t="s">
        <v>5221</v>
      </c>
      <c r="N6927" s="2" t="s">
        <v>2317</v>
      </c>
      <c r="O6927" s="14">
        <v>13200</v>
      </c>
      <c r="P6927" s="14">
        <v>98.25</v>
      </c>
      <c r="Q6927" s="14">
        <v>231</v>
      </c>
      <c r="R6927" s="14">
        <v>351.12</v>
      </c>
      <c r="S6927" s="2" t="s">
        <v>6867</v>
      </c>
      <c r="T6927" s="2">
        <v>1.02</v>
      </c>
      <c r="U6927" s="2">
        <v>71.599999999999994</v>
      </c>
      <c r="V6927" s="2">
        <v>73</v>
      </c>
      <c r="W6927" s="2" t="s">
        <v>7862</v>
      </c>
      <c r="X6927" s="2" t="s">
        <v>2449</v>
      </c>
      <c r="Y6927" s="2">
        <v>20064</v>
      </c>
      <c r="Z6927" s="19" t="str">
        <f>HYPERLINK("https://ssdweb.co/ssdweb/hd/Vision360.html?d=926921371&amp;zoomslide=1&amp;z=1926921371&amp;ISCONFIRM=0","VIDEO")</f>
        <v>VIDEO</v>
      </c>
      <c r="AA6927" s="19" t="str">
        <f>HYPERLINK("https://ssdweb.co/ssdweb/CERTH/659437004.pdf","CERTI")</f>
        <v>CERTI</v>
      </c>
    </row>
    <row r="6928" spans="1:27" ht="15" x14ac:dyDescent="0.25">
      <c r="A6928" s="2">
        <v>6923</v>
      </c>
      <c r="B6928" s="39">
        <v>925981250</v>
      </c>
      <c r="C6928" s="28" t="str">
        <f>HYPERLINK("https://pld.live/RapDetail.aspx?STONELIST=925981250","DNA")</f>
        <v>DNA</v>
      </c>
      <c r="D6928" s="18" t="s">
        <v>711</v>
      </c>
      <c r="E6928" s="18" t="s">
        <v>5128</v>
      </c>
      <c r="F6928" s="2" t="s">
        <v>7987</v>
      </c>
      <c r="G6928" s="2" t="s">
        <v>5226</v>
      </c>
      <c r="H6928" s="14">
        <v>1.52</v>
      </c>
      <c r="I6928" s="2" t="s">
        <v>267</v>
      </c>
      <c r="J6928" s="2" t="s">
        <v>3942</v>
      </c>
      <c r="K6928" s="2" t="s">
        <v>1452</v>
      </c>
      <c r="L6928" s="2" t="s">
        <v>5221</v>
      </c>
      <c r="M6928" s="2" t="s">
        <v>5221</v>
      </c>
      <c r="N6928" s="2" t="s">
        <v>2317</v>
      </c>
      <c r="O6928" s="14">
        <v>12500</v>
      </c>
      <c r="P6928" s="14">
        <v>98.9</v>
      </c>
      <c r="Q6928" s="14">
        <v>137.5</v>
      </c>
      <c r="R6928" s="14">
        <v>209</v>
      </c>
      <c r="S6928" s="2" t="s">
        <v>573</v>
      </c>
      <c r="T6928" s="2">
        <v>1</v>
      </c>
      <c r="U6928" s="2">
        <v>72.599999999999994</v>
      </c>
      <c r="V6928" s="2">
        <v>70</v>
      </c>
      <c r="W6928" s="2" t="s">
        <v>7862</v>
      </c>
      <c r="X6928" s="2" t="s">
        <v>2449</v>
      </c>
      <c r="Y6928" s="2">
        <v>19000</v>
      </c>
      <c r="Z6928" s="19" t="str">
        <f>HYPERLINK("https://ssdweb.co/ssdweb/hd/Vision360.html?d=925981250&amp;zoomslide=1&amp;z=1925981250&amp;ISCONFIRM=0","VIDEO")</f>
        <v>VIDEO</v>
      </c>
      <c r="AA6928" s="19" t="str">
        <f>HYPERLINK("https://ssdweb.co/ssdweb/CERTH/631430228.pdf","CERTI")</f>
        <v>CERTI</v>
      </c>
    </row>
    <row r="6929" spans="1:27" ht="15" x14ac:dyDescent="0.25">
      <c r="A6929" s="2">
        <v>6924</v>
      </c>
      <c r="B6929" s="39">
        <v>925502018</v>
      </c>
      <c r="C6929" s="28" t="str">
        <f>HYPERLINK("https://pld.live/RapDetail.aspx?STONELIST=925502018","DNA")</f>
        <v>DNA</v>
      </c>
      <c r="D6929" s="18" t="s">
        <v>711</v>
      </c>
      <c r="E6929" s="18" t="s">
        <v>5128</v>
      </c>
      <c r="F6929" s="2" t="s">
        <v>7987</v>
      </c>
      <c r="G6929" s="2" t="s">
        <v>5226</v>
      </c>
      <c r="H6929" s="14">
        <v>1.52</v>
      </c>
      <c r="I6929" s="2" t="s">
        <v>267</v>
      </c>
      <c r="J6929" s="2" t="s">
        <v>13</v>
      </c>
      <c r="K6929" s="2" t="s">
        <v>1452</v>
      </c>
      <c r="L6929" s="2" t="s">
        <v>5221</v>
      </c>
      <c r="M6929" s="2" t="s">
        <v>5221</v>
      </c>
      <c r="N6929" s="2" t="s">
        <v>2317</v>
      </c>
      <c r="O6929" s="14">
        <v>11600</v>
      </c>
      <c r="P6929" s="14">
        <v>98.84</v>
      </c>
      <c r="Q6929" s="14">
        <v>134.56</v>
      </c>
      <c r="R6929" s="14">
        <v>204.53</v>
      </c>
      <c r="S6929" s="2" t="s">
        <v>4110</v>
      </c>
      <c r="T6929" s="2">
        <v>1.01</v>
      </c>
      <c r="U6929" s="2">
        <v>73.2</v>
      </c>
      <c r="V6929" s="2">
        <v>67</v>
      </c>
      <c r="W6929" s="2" t="s">
        <v>7862</v>
      </c>
      <c r="X6929" s="2" t="s">
        <v>2449</v>
      </c>
      <c r="Y6929" s="2">
        <v>17632</v>
      </c>
      <c r="Z6929" s="19" t="str">
        <f>HYPERLINK("https://ssdweb.co/ssdweb/hd/Vision360.html?d=925502018&amp;zoomslide=1&amp;z=1925502018&amp;ISCONFIRM=0","VIDEO")</f>
        <v>VIDEO</v>
      </c>
      <c r="AA6929" s="19" t="str">
        <f>HYPERLINK("https://ssdweb.co/ssdweb/CERTH/617413116.pdf","CERTI")</f>
        <v>CERTI</v>
      </c>
    </row>
    <row r="6930" spans="1:27" ht="15" x14ac:dyDescent="0.25">
      <c r="A6930" s="2">
        <v>6925</v>
      </c>
      <c r="B6930" s="39">
        <v>925501274</v>
      </c>
      <c r="C6930" s="28" t="str">
        <f>HYPERLINK("https://pld.live/RapDetail.aspx?STONELIST=925501274","DNA")</f>
        <v>DNA</v>
      </c>
      <c r="D6930" s="18" t="s">
        <v>711</v>
      </c>
      <c r="E6930" s="18" t="s">
        <v>5128</v>
      </c>
      <c r="F6930" s="2" t="s">
        <v>7987</v>
      </c>
      <c r="G6930" s="2" t="s">
        <v>5226</v>
      </c>
      <c r="H6930" s="14">
        <v>1.52</v>
      </c>
      <c r="I6930" s="2" t="s">
        <v>267</v>
      </c>
      <c r="J6930" s="2" t="s">
        <v>13</v>
      </c>
      <c r="K6930" s="2" t="s">
        <v>1452</v>
      </c>
      <c r="L6930" s="2" t="s">
        <v>5221</v>
      </c>
      <c r="M6930" s="2" t="s">
        <v>5221</v>
      </c>
      <c r="N6930" s="2" t="s">
        <v>2317</v>
      </c>
      <c r="O6930" s="14">
        <v>11600</v>
      </c>
      <c r="P6930" s="14">
        <v>98.84</v>
      </c>
      <c r="Q6930" s="14">
        <v>134.56</v>
      </c>
      <c r="R6930" s="14">
        <v>204.53</v>
      </c>
      <c r="S6930" s="2" t="s">
        <v>1585</v>
      </c>
      <c r="T6930" s="2">
        <v>1.01</v>
      </c>
      <c r="U6930" s="2">
        <v>72.099999999999994</v>
      </c>
      <c r="V6930" s="2">
        <v>70</v>
      </c>
      <c r="W6930" s="2" t="s">
        <v>7862</v>
      </c>
      <c r="X6930" s="2" t="s">
        <v>2449</v>
      </c>
      <c r="Y6930" s="2">
        <v>17632</v>
      </c>
      <c r="Z6930" s="19" t="str">
        <f>HYPERLINK("https://ssdweb.co/ssdweb/hd/Vision360.html?d=925501274&amp;zoomslide=1&amp;z=1925501274&amp;ISCONFIRM=0","VIDEO")</f>
        <v>VIDEO</v>
      </c>
      <c r="AA6930" s="19" t="str">
        <f>HYPERLINK("https://ssdweb.co/ssdweb/CERTH/617476087.pdf","CERTI")</f>
        <v>CERTI</v>
      </c>
    </row>
    <row r="6931" spans="1:27" ht="15" x14ac:dyDescent="0.25">
      <c r="A6931" s="2">
        <v>6926</v>
      </c>
      <c r="B6931" s="39">
        <v>925722018</v>
      </c>
      <c r="C6931" s="28" t="str">
        <f>HYPERLINK("https://pld.live/RapDetail.aspx?STONELIST=925722018","DNA")</f>
        <v>DNA</v>
      </c>
      <c r="D6931" s="18" t="s">
        <v>711</v>
      </c>
      <c r="E6931" s="18" t="s">
        <v>5128</v>
      </c>
      <c r="F6931" s="2" t="s">
        <v>7987</v>
      </c>
      <c r="G6931" s="2" t="s">
        <v>5226</v>
      </c>
      <c r="H6931" s="14">
        <v>1.52</v>
      </c>
      <c r="I6931" s="2" t="s">
        <v>267</v>
      </c>
      <c r="J6931" s="2" t="s">
        <v>13</v>
      </c>
      <c r="K6931" s="2" t="s">
        <v>1452</v>
      </c>
      <c r="L6931" s="2" t="s">
        <v>5221</v>
      </c>
      <c r="M6931" s="2" t="s">
        <v>5221</v>
      </c>
      <c r="N6931" s="2" t="s">
        <v>2317</v>
      </c>
      <c r="O6931" s="14">
        <v>11600</v>
      </c>
      <c r="P6931" s="14">
        <v>98.84</v>
      </c>
      <c r="Q6931" s="14">
        <v>134.56</v>
      </c>
      <c r="R6931" s="14">
        <v>204.53</v>
      </c>
      <c r="S6931" s="2" t="s">
        <v>2851</v>
      </c>
      <c r="T6931" s="2">
        <v>1.02</v>
      </c>
      <c r="U6931" s="2">
        <v>72</v>
      </c>
      <c r="V6931" s="2">
        <v>71</v>
      </c>
      <c r="W6931" s="2" t="s">
        <v>7862</v>
      </c>
      <c r="X6931" s="2" t="s">
        <v>2449</v>
      </c>
      <c r="Y6931" s="2">
        <v>17632</v>
      </c>
      <c r="Z6931" s="19" t="str">
        <f>HYPERLINK("https://ssdweb.co/ssdweb/hd/Vision360.html?d=925722018&amp;zoomslide=1&amp;z=1925722018&amp;ISCONFIRM=0","VIDEO")</f>
        <v>VIDEO</v>
      </c>
      <c r="AA6931" s="19" t="str">
        <f>HYPERLINK("https://ssdweb.co/ssdweb/CERTH/625457948.pdf","CERTI")</f>
        <v>CERTI</v>
      </c>
    </row>
    <row r="6932" spans="1:27" ht="15" x14ac:dyDescent="0.25">
      <c r="A6932" s="2">
        <v>6927</v>
      </c>
      <c r="B6932" s="39">
        <v>925520975</v>
      </c>
      <c r="C6932" s="28" t="str">
        <f>HYPERLINK("https://pld.live/RapDetail.aspx?STONELIST=925520975","DNA")</f>
        <v>DNA</v>
      </c>
      <c r="D6932" s="18" t="s">
        <v>711</v>
      </c>
      <c r="E6932" s="18" t="s">
        <v>5128</v>
      </c>
      <c r="F6932" s="2" t="s">
        <v>7987</v>
      </c>
      <c r="G6932" s="2" t="s">
        <v>5226</v>
      </c>
      <c r="H6932" s="14">
        <v>1.52</v>
      </c>
      <c r="I6932" s="2" t="s">
        <v>267</v>
      </c>
      <c r="J6932" s="2" t="s">
        <v>13</v>
      </c>
      <c r="K6932" s="2" t="s">
        <v>1452</v>
      </c>
      <c r="L6932" s="2" t="s">
        <v>5221</v>
      </c>
      <c r="M6932" s="2" t="s">
        <v>5721</v>
      </c>
      <c r="N6932" s="2" t="s">
        <v>2317</v>
      </c>
      <c r="O6932" s="14">
        <v>11600</v>
      </c>
      <c r="P6932" s="14">
        <v>98.84</v>
      </c>
      <c r="Q6932" s="14">
        <v>134.56</v>
      </c>
      <c r="R6932" s="14">
        <v>204.53</v>
      </c>
      <c r="S6932" s="2" t="s">
        <v>6916</v>
      </c>
      <c r="T6932" s="2">
        <v>1</v>
      </c>
      <c r="U6932" s="2">
        <v>73</v>
      </c>
      <c r="V6932" s="2">
        <v>70</v>
      </c>
      <c r="W6932" s="2" t="s">
        <v>7862</v>
      </c>
      <c r="X6932" s="2" t="s">
        <v>2449</v>
      </c>
      <c r="Y6932" s="2">
        <v>17632</v>
      </c>
      <c r="Z6932" s="19" t="str">
        <f>HYPERLINK("https://ssdweb.co/ssdweb/hd/Vision360.html?d=925520975&amp;zoomslide=1&amp;z=1925520975&amp;ISCONFIRM=0","VIDEO")</f>
        <v>VIDEO</v>
      </c>
      <c r="AA6932" s="19" t="str">
        <f>HYPERLINK("https://ssdweb.co/ssdweb/CERTH/618439788.pdf","CERTI")</f>
        <v>CERTI</v>
      </c>
    </row>
    <row r="6933" spans="1:27" ht="15" x14ac:dyDescent="0.25">
      <c r="A6933" s="2">
        <v>6928</v>
      </c>
      <c r="B6933" s="39">
        <v>821113874</v>
      </c>
      <c r="C6933" s="28" t="str">
        <f>HYPERLINK("https://pld.live/RapDetail.aspx?STONELIST=821113874","DNA")</f>
        <v>DNA</v>
      </c>
      <c r="D6933" s="18" t="s">
        <v>711</v>
      </c>
      <c r="E6933" s="18" t="s">
        <v>2186</v>
      </c>
      <c r="F6933" s="2" t="s">
        <v>7987</v>
      </c>
      <c r="G6933" s="2" t="s">
        <v>5226</v>
      </c>
      <c r="H6933" s="14">
        <v>1.52</v>
      </c>
      <c r="I6933" s="2" t="s">
        <v>267</v>
      </c>
      <c r="J6933" s="2" t="s">
        <v>5144</v>
      </c>
      <c r="K6933" s="2" t="s">
        <v>1452</v>
      </c>
      <c r="L6933" s="2" t="s">
        <v>5221</v>
      </c>
      <c r="M6933" s="2" t="s">
        <v>5221</v>
      </c>
      <c r="N6933" s="2" t="s">
        <v>2317</v>
      </c>
      <c r="O6933" s="14">
        <v>9900</v>
      </c>
      <c r="P6933" s="14">
        <v>98.68</v>
      </c>
      <c r="Q6933" s="14">
        <v>130.68</v>
      </c>
      <c r="R6933" s="14">
        <v>198.63</v>
      </c>
      <c r="S6933" s="2" t="s">
        <v>4892</v>
      </c>
      <c r="T6933" s="2">
        <v>1.02</v>
      </c>
      <c r="U6933" s="2">
        <v>72.400000000000006</v>
      </c>
      <c r="V6933" s="2">
        <v>70</v>
      </c>
      <c r="W6933" s="2" t="s">
        <v>7862</v>
      </c>
      <c r="X6933" s="2" t="s">
        <v>2449</v>
      </c>
      <c r="Y6933" s="2">
        <v>15048</v>
      </c>
      <c r="Z6933" s="19" t="str">
        <f>HYPERLINK("https://ssdweb.co/ssdweb/hd/Vision360.html?d=821113874&amp;zoomslide=1&amp;z=1821113874&amp;ISCONFIRM=0","VIDEO")</f>
        <v>VIDEO</v>
      </c>
      <c r="AA6933" s="19" t="str">
        <f>HYPERLINK("https://ssdweb.co/ssdweb/CERTH/623476642.pdf","CERTI")</f>
        <v>CERTI</v>
      </c>
    </row>
    <row r="6934" spans="1:27" ht="15" x14ac:dyDescent="0.25">
      <c r="A6934" s="2">
        <v>6929</v>
      </c>
      <c r="B6934" s="39">
        <v>926020802</v>
      </c>
      <c r="C6934" s="28" t="str">
        <f>HYPERLINK("https://pld.live/RapDetail.aspx?STONELIST=926020802","DNA")</f>
        <v>DNA</v>
      </c>
      <c r="D6934" s="18" t="s">
        <v>711</v>
      </c>
      <c r="E6934" s="18" t="s">
        <v>5128</v>
      </c>
      <c r="F6934" s="2" t="s">
        <v>7987</v>
      </c>
      <c r="G6934" s="2" t="s">
        <v>5226</v>
      </c>
      <c r="H6934" s="14">
        <v>1.52</v>
      </c>
      <c r="I6934" s="2" t="s">
        <v>4761</v>
      </c>
      <c r="J6934" s="2" t="s">
        <v>6555</v>
      </c>
      <c r="K6934" s="2" t="s">
        <v>1452</v>
      </c>
      <c r="L6934" s="2" t="s">
        <v>5221</v>
      </c>
      <c r="M6934" s="2" t="s">
        <v>5221</v>
      </c>
      <c r="N6934" s="2" t="s">
        <v>2317</v>
      </c>
      <c r="O6934" s="14">
        <v>12400</v>
      </c>
      <c r="P6934" s="14">
        <v>98.42</v>
      </c>
      <c r="Q6934" s="14">
        <v>195.92</v>
      </c>
      <c r="R6934" s="14">
        <v>297.8</v>
      </c>
      <c r="S6934" s="2" t="s">
        <v>6281</v>
      </c>
      <c r="T6934" s="2">
        <v>1.04</v>
      </c>
      <c r="U6934" s="2">
        <v>73.099999999999994</v>
      </c>
      <c r="V6934" s="2">
        <v>68</v>
      </c>
      <c r="W6934" s="2" t="s">
        <v>7862</v>
      </c>
      <c r="X6934" s="2" t="s">
        <v>2449</v>
      </c>
      <c r="Y6934" s="2">
        <v>18848</v>
      </c>
      <c r="Z6934" s="19" t="str">
        <f>HYPERLINK("https://ssdweb.co/ssdweb/hd/Vision360.html?d=926020802&amp;zoomslide=1&amp;z=1926020802&amp;ISCONFIRM=0","VIDEO")</f>
        <v>VIDEO</v>
      </c>
      <c r="AA6934" s="19" t="str">
        <f>HYPERLINK("https://ssdweb.co/ssdweb/CERTH/631464185.pdf","CERTI")</f>
        <v>CERTI</v>
      </c>
    </row>
    <row r="6935" spans="1:27" ht="15" x14ac:dyDescent="0.25">
      <c r="A6935" s="2">
        <v>6930</v>
      </c>
      <c r="B6935" s="39">
        <v>925551761</v>
      </c>
      <c r="C6935" s="28" t="str">
        <f>HYPERLINK("https://pld.live/RapDetail.aspx?STONELIST=925551761","DNA")</f>
        <v>DNA</v>
      </c>
      <c r="D6935" s="18" t="s">
        <v>711</v>
      </c>
      <c r="E6935" s="18" t="s">
        <v>5128</v>
      </c>
      <c r="F6935" s="2" t="s">
        <v>7987</v>
      </c>
      <c r="G6935" s="2" t="s">
        <v>5226</v>
      </c>
      <c r="H6935" s="14">
        <v>1.52</v>
      </c>
      <c r="I6935" s="2" t="s">
        <v>4761</v>
      </c>
      <c r="J6935" s="2" t="s">
        <v>3942</v>
      </c>
      <c r="K6935" s="2" t="s">
        <v>1452</v>
      </c>
      <c r="L6935" s="2" t="s">
        <v>5221</v>
      </c>
      <c r="M6935" s="2" t="s">
        <v>5221</v>
      </c>
      <c r="N6935" s="2" t="s">
        <v>2317</v>
      </c>
      <c r="O6935" s="14">
        <v>11600</v>
      </c>
      <c r="P6935" s="14">
        <v>98.85</v>
      </c>
      <c r="Q6935" s="14">
        <v>133.4</v>
      </c>
      <c r="R6935" s="14">
        <v>202.77</v>
      </c>
      <c r="S6935" s="2" t="s">
        <v>5907</v>
      </c>
      <c r="T6935" s="2">
        <v>1</v>
      </c>
      <c r="U6935" s="2">
        <v>72.3</v>
      </c>
      <c r="V6935" s="2">
        <v>73</v>
      </c>
      <c r="W6935" s="2" t="s">
        <v>7862</v>
      </c>
      <c r="X6935" s="2" t="s">
        <v>2449</v>
      </c>
      <c r="Y6935" s="2">
        <v>17632</v>
      </c>
      <c r="Z6935" s="19" t="str">
        <f>HYPERLINK("https://ssdweb.co/ssdweb/hd/Vision360.html?d=925551761&amp;zoomslide=1&amp;z=1925551761&amp;ISCONFIRM=0","VIDEO")</f>
        <v>VIDEO</v>
      </c>
      <c r="AA6935" s="19" t="str">
        <f>HYPERLINK("https://ssdweb.co/ssdweb/CERTH/619469629.pdf","CERTI")</f>
        <v>CERTI</v>
      </c>
    </row>
    <row r="6936" spans="1:27" ht="15" x14ac:dyDescent="0.25">
      <c r="A6936" s="2">
        <v>6931</v>
      </c>
      <c r="B6936" s="39">
        <v>821113861</v>
      </c>
      <c r="C6936" s="28" t="str">
        <f>HYPERLINK("https://pld.live/RapDetail.aspx?STONELIST=821113861","DNA")</f>
        <v>DNA</v>
      </c>
      <c r="D6936" s="18" t="s">
        <v>711</v>
      </c>
      <c r="E6936" s="18" t="s">
        <v>2186</v>
      </c>
      <c r="F6936" s="2" t="s">
        <v>7987</v>
      </c>
      <c r="G6936" s="2" t="s">
        <v>5226</v>
      </c>
      <c r="H6936" s="14">
        <v>1.52</v>
      </c>
      <c r="I6936" s="2" t="s">
        <v>4761</v>
      </c>
      <c r="J6936" s="2" t="s">
        <v>13</v>
      </c>
      <c r="K6936" s="2" t="s">
        <v>1452</v>
      </c>
      <c r="L6936" s="2" t="s">
        <v>5221</v>
      </c>
      <c r="M6936" s="2" t="s">
        <v>5221</v>
      </c>
      <c r="N6936" s="2" t="s">
        <v>2317</v>
      </c>
      <c r="O6936" s="14">
        <v>10800</v>
      </c>
      <c r="P6936" s="14">
        <v>98.79</v>
      </c>
      <c r="Q6936" s="14">
        <v>130.68</v>
      </c>
      <c r="R6936" s="14">
        <v>198.63</v>
      </c>
      <c r="S6936" s="2" t="s">
        <v>970</v>
      </c>
      <c r="T6936" s="2">
        <v>1.02</v>
      </c>
      <c r="U6936" s="2">
        <v>72.5</v>
      </c>
      <c r="V6936" s="2">
        <v>67</v>
      </c>
      <c r="W6936" s="2" t="s">
        <v>7862</v>
      </c>
      <c r="X6936" s="2" t="s">
        <v>2449</v>
      </c>
      <c r="Y6936" s="2">
        <v>16416</v>
      </c>
      <c r="Z6936" s="19" t="str">
        <f>HYPERLINK("https://ssdweb.co/ssdweb/hd/Vision360.html?d=821113861&amp;zoomslide=1&amp;z=1821113861&amp;ISCONFIRM=0","VIDEO")</f>
        <v>VIDEO</v>
      </c>
      <c r="AA6936" s="19" t="str">
        <f>HYPERLINK("https://ssdweb.co/ssdweb/CERTH/623477356.pdf","CERTI")</f>
        <v>CERTI</v>
      </c>
    </row>
    <row r="6937" spans="1:27" ht="15" x14ac:dyDescent="0.25">
      <c r="A6937" s="2">
        <v>6932</v>
      </c>
      <c r="B6937" s="39">
        <v>926101549</v>
      </c>
      <c r="C6937" s="28" t="str">
        <f>HYPERLINK("https://pld.live/RapDetail.aspx?STONELIST=926101549","DNA")</f>
        <v>DNA</v>
      </c>
      <c r="D6937" s="18" t="s">
        <v>711</v>
      </c>
      <c r="E6937" s="18" t="s">
        <v>5128</v>
      </c>
      <c r="F6937" s="2" t="s">
        <v>7987</v>
      </c>
      <c r="G6937" s="2" t="s">
        <v>5226</v>
      </c>
      <c r="H6937" s="14">
        <v>1.52</v>
      </c>
      <c r="I6937" s="2" t="s">
        <v>4761</v>
      </c>
      <c r="J6937" s="2" t="s">
        <v>5144</v>
      </c>
      <c r="K6937" s="2" t="s">
        <v>1452</v>
      </c>
      <c r="L6937" s="2" t="s">
        <v>5221</v>
      </c>
      <c r="M6937" s="2" t="s">
        <v>5221</v>
      </c>
      <c r="N6937" s="2" t="s">
        <v>2317</v>
      </c>
      <c r="O6937" s="14">
        <v>9300</v>
      </c>
      <c r="P6937" s="14">
        <v>98.67</v>
      </c>
      <c r="Q6937" s="14">
        <v>123.69</v>
      </c>
      <c r="R6937" s="14">
        <v>188.01</v>
      </c>
      <c r="S6937" s="2" t="s">
        <v>7645</v>
      </c>
      <c r="T6937" s="2">
        <v>1.01</v>
      </c>
      <c r="U6937" s="2">
        <v>73.8</v>
      </c>
      <c r="V6937" s="2">
        <v>69</v>
      </c>
      <c r="W6937" s="2" t="s">
        <v>7862</v>
      </c>
      <c r="X6937" s="2" t="s">
        <v>2449</v>
      </c>
      <c r="Y6937" s="2">
        <v>14136</v>
      </c>
      <c r="Z6937" s="19" t="str">
        <f>HYPERLINK("https://ssdweb.co/ssdweb/hd/Vision360.html?d=926101549&amp;zoomslide=1&amp;z=1926101549&amp;ISCONFIRM=0","VIDEO")</f>
        <v>VIDEO</v>
      </c>
      <c r="AA6937" s="19" t="str">
        <f>HYPERLINK("https://ssdweb.co/ssdweb/CERTH/632421458.pdf","CERTI")</f>
        <v>CERTI</v>
      </c>
    </row>
    <row r="6938" spans="1:27" ht="15" x14ac:dyDescent="0.25">
      <c r="A6938" s="2">
        <v>6933</v>
      </c>
      <c r="B6938" s="39">
        <v>821113825</v>
      </c>
      <c r="C6938" s="28" t="str">
        <f>HYPERLINK("https://pld.live/RapDetail.aspx?STONELIST=821113825","DNA")</f>
        <v>DNA</v>
      </c>
      <c r="D6938" s="18" t="s">
        <v>711</v>
      </c>
      <c r="E6938" s="18" t="s">
        <v>2186</v>
      </c>
      <c r="F6938" s="2" t="s">
        <v>7987</v>
      </c>
      <c r="G6938" s="2" t="s">
        <v>5226</v>
      </c>
      <c r="H6938" s="14">
        <v>1.52</v>
      </c>
      <c r="I6938" s="2" t="s">
        <v>4699</v>
      </c>
      <c r="J6938" s="2" t="s">
        <v>13</v>
      </c>
      <c r="K6938" s="2" t="s">
        <v>1452</v>
      </c>
      <c r="L6938" s="2" t="s">
        <v>5221</v>
      </c>
      <c r="M6938" s="2" t="s">
        <v>5221</v>
      </c>
      <c r="N6938" s="2" t="s">
        <v>2317</v>
      </c>
      <c r="O6938" s="14">
        <v>10200</v>
      </c>
      <c r="P6938" s="14">
        <v>98.78</v>
      </c>
      <c r="Q6938" s="14">
        <v>124.44</v>
      </c>
      <c r="R6938" s="14">
        <v>189.15</v>
      </c>
      <c r="S6938" s="2" t="s">
        <v>499</v>
      </c>
      <c r="T6938" s="2">
        <v>1.03</v>
      </c>
      <c r="U6938" s="2">
        <v>72.099999999999994</v>
      </c>
      <c r="V6938" s="2">
        <v>67</v>
      </c>
      <c r="W6938" s="2" t="s">
        <v>7862</v>
      </c>
      <c r="X6938" s="2" t="s">
        <v>2449</v>
      </c>
      <c r="Y6938" s="2">
        <v>15504</v>
      </c>
      <c r="Z6938" s="19" t="str">
        <f>HYPERLINK("https://ssdweb.co/ssdweb/hd/Vision360.html?d=821113825&amp;zoomslide=1&amp;z=1821113825&amp;ISCONFIRM=0","VIDEO")</f>
        <v>VIDEO</v>
      </c>
      <c r="AA6938" s="19" t="str">
        <f>HYPERLINK("https://ssdweb.co/ssdweb/CERTH/623479695.pdf","CERTI")</f>
        <v>CERTI</v>
      </c>
    </row>
    <row r="6939" spans="1:27" ht="15" x14ac:dyDescent="0.25">
      <c r="A6939" s="2">
        <v>6934</v>
      </c>
      <c r="B6939" s="39">
        <v>926921417</v>
      </c>
      <c r="C6939" s="28" t="str">
        <f>HYPERLINK("https://pld.live/RapDetail.aspx?STONELIST=926921417","DNA")</f>
        <v>DNA</v>
      </c>
      <c r="D6939" s="18" t="s">
        <v>711</v>
      </c>
      <c r="E6939" s="18" t="s">
        <v>2186</v>
      </c>
      <c r="F6939" s="2" t="s">
        <v>7987</v>
      </c>
      <c r="G6939" s="2" t="s">
        <v>5226</v>
      </c>
      <c r="H6939" s="14">
        <v>1.51</v>
      </c>
      <c r="I6939" s="2" t="s">
        <v>267</v>
      </c>
      <c r="J6939" s="2" t="s">
        <v>3942</v>
      </c>
      <c r="K6939" s="2" t="s">
        <v>1452</v>
      </c>
      <c r="L6939" s="2" t="s">
        <v>5221</v>
      </c>
      <c r="M6939" s="2" t="s">
        <v>5221</v>
      </c>
      <c r="N6939" s="2" t="s">
        <v>2317</v>
      </c>
      <c r="O6939" s="14">
        <v>12500</v>
      </c>
      <c r="P6939" s="14">
        <v>98.9</v>
      </c>
      <c r="Q6939" s="14">
        <v>137.5</v>
      </c>
      <c r="R6939" s="14">
        <v>207.63</v>
      </c>
      <c r="S6939" s="2" t="s">
        <v>3216</v>
      </c>
      <c r="T6939" s="2">
        <v>1.03</v>
      </c>
      <c r="U6939" s="2">
        <v>66.900000000000006</v>
      </c>
      <c r="V6939" s="2">
        <v>72</v>
      </c>
      <c r="W6939" s="2" t="s">
        <v>7862</v>
      </c>
      <c r="X6939" s="2" t="s">
        <v>2449</v>
      </c>
      <c r="Y6939" s="2">
        <v>18875</v>
      </c>
      <c r="Z6939" s="19" t="str">
        <f>HYPERLINK("https://ssdweb.co/ssdweb/hd/Vision360.html?d=926921417&amp;zoomslide=1&amp;z=1926921417&amp;ISCONFIRM=0","VIDEO")</f>
        <v>VIDEO</v>
      </c>
      <c r="AA6939" s="19" t="str">
        <f>HYPERLINK("https://ssdweb.co/ssdweb/CERTH/660440543.pdf","CERTI")</f>
        <v>CERTI</v>
      </c>
    </row>
    <row r="6940" spans="1:27" ht="15" x14ac:dyDescent="0.25">
      <c r="A6940" s="2">
        <v>6935</v>
      </c>
      <c r="B6940" s="39">
        <v>821126940</v>
      </c>
      <c r="C6940" s="28" t="str">
        <f>HYPERLINK("https://pld.live/RapDetail.aspx?STONELIST=821126940","DNA")</f>
        <v>DNA</v>
      </c>
      <c r="D6940" s="18" t="s">
        <v>711</v>
      </c>
      <c r="E6940" s="18" t="s">
        <v>5128</v>
      </c>
      <c r="F6940" s="2" t="s">
        <v>7987</v>
      </c>
      <c r="G6940" s="2" t="s">
        <v>5226</v>
      </c>
      <c r="H6940" s="14">
        <v>1.51</v>
      </c>
      <c r="I6940" s="2" t="s">
        <v>267</v>
      </c>
      <c r="J6940" s="2" t="s">
        <v>3942</v>
      </c>
      <c r="K6940" s="2" t="s">
        <v>1452</v>
      </c>
      <c r="L6940" s="2" t="s">
        <v>5221</v>
      </c>
      <c r="M6940" s="2" t="s">
        <v>5221</v>
      </c>
      <c r="N6940" s="2" t="s">
        <v>2317</v>
      </c>
      <c r="O6940" s="14">
        <v>12500</v>
      </c>
      <c r="P6940" s="14">
        <v>98.9</v>
      </c>
      <c r="Q6940" s="14">
        <v>137.5</v>
      </c>
      <c r="R6940" s="14">
        <v>207.63</v>
      </c>
      <c r="S6940" s="2" t="s">
        <v>2745</v>
      </c>
      <c r="T6940" s="2">
        <v>1.02</v>
      </c>
      <c r="U6940" s="2">
        <v>74.2</v>
      </c>
      <c r="V6940" s="2">
        <v>70</v>
      </c>
      <c r="W6940" s="2" t="s">
        <v>7862</v>
      </c>
      <c r="X6940" s="2" t="s">
        <v>2449</v>
      </c>
      <c r="Y6940" s="2">
        <v>18875</v>
      </c>
      <c r="Z6940" s="19" t="str">
        <f>HYPERLINK("https://ssdweb.co/ssdweb/hd/Vision360.html?d=821126940&amp;zoomslide=1&amp;z=1821126940&amp;ISCONFIRM=0","VIDEO")</f>
        <v>VIDEO</v>
      </c>
      <c r="AA6940" s="19" t="str">
        <f>HYPERLINK("https://ssdweb.co/ssdweb/CERTH/621410822.pdf","CERTI")</f>
        <v>CERTI</v>
      </c>
    </row>
    <row r="6941" spans="1:27" ht="15" x14ac:dyDescent="0.25">
      <c r="A6941" s="2">
        <v>6936</v>
      </c>
      <c r="B6941" s="39">
        <v>926200716</v>
      </c>
      <c r="C6941" s="28" t="str">
        <f>HYPERLINK("https://pld.live/RapDetail.aspx?STONELIST=926200716","DNA")</f>
        <v>DNA</v>
      </c>
      <c r="D6941" s="18" t="s">
        <v>711</v>
      </c>
      <c r="E6941" s="18" t="s">
        <v>5128</v>
      </c>
      <c r="F6941" s="2" t="s">
        <v>7987</v>
      </c>
      <c r="G6941" s="2" t="s">
        <v>5226</v>
      </c>
      <c r="H6941" s="14">
        <v>1.51</v>
      </c>
      <c r="I6941" s="2" t="s">
        <v>267</v>
      </c>
      <c r="J6941" s="2" t="s">
        <v>3942</v>
      </c>
      <c r="K6941" s="2" t="s">
        <v>1452</v>
      </c>
      <c r="L6941" s="2" t="s">
        <v>5221</v>
      </c>
      <c r="M6941" s="2" t="s">
        <v>5221</v>
      </c>
      <c r="N6941" s="2" t="s">
        <v>2317</v>
      </c>
      <c r="O6941" s="14">
        <v>12500</v>
      </c>
      <c r="P6941" s="14">
        <v>98.9</v>
      </c>
      <c r="Q6941" s="14">
        <v>137.5</v>
      </c>
      <c r="R6941" s="14">
        <v>207.63</v>
      </c>
      <c r="S6941" s="2" t="s">
        <v>4526</v>
      </c>
      <c r="T6941" s="2">
        <v>1.03</v>
      </c>
      <c r="U6941" s="2">
        <v>73.7</v>
      </c>
      <c r="V6941" s="2">
        <v>71</v>
      </c>
      <c r="W6941" s="2" t="s">
        <v>7862</v>
      </c>
      <c r="X6941" s="2" t="s">
        <v>2449</v>
      </c>
      <c r="Y6941" s="2">
        <v>18875</v>
      </c>
      <c r="Z6941" s="19" t="str">
        <f>HYPERLINK("https://ssdweb.co/ssdweb/hd/Vision360.html?d=926200716&amp;zoomslide=1&amp;z=1926200716&amp;ISCONFIRM=0","VIDEO")</f>
        <v>VIDEO</v>
      </c>
      <c r="AA6941" s="19" t="str">
        <f>HYPERLINK("https://ssdweb.co/ssdweb/CERTH/634431483.pdf","CERTI")</f>
        <v>CERTI</v>
      </c>
    </row>
    <row r="6942" spans="1:27" ht="15" x14ac:dyDescent="0.25">
      <c r="A6942" s="2">
        <v>6937</v>
      </c>
      <c r="B6942" s="39">
        <v>926921350</v>
      </c>
      <c r="C6942" s="28" t="str">
        <f>HYPERLINK("https://pld.live/RapDetail.aspx?STONELIST=926921350","DNA")</f>
        <v>DNA</v>
      </c>
      <c r="D6942" s="18" t="s">
        <v>711</v>
      </c>
      <c r="E6942" s="18" t="s">
        <v>2186</v>
      </c>
      <c r="F6942" s="2" t="s">
        <v>7987</v>
      </c>
      <c r="G6942" s="2" t="s">
        <v>5226</v>
      </c>
      <c r="H6942" s="14">
        <v>1.51</v>
      </c>
      <c r="I6942" s="2" t="s">
        <v>267</v>
      </c>
      <c r="J6942" s="2" t="s">
        <v>3942</v>
      </c>
      <c r="K6942" s="2" t="s">
        <v>1452</v>
      </c>
      <c r="L6942" s="2" t="s">
        <v>5221</v>
      </c>
      <c r="M6942" s="2" t="s">
        <v>5221</v>
      </c>
      <c r="N6942" s="2" t="s">
        <v>2317</v>
      </c>
      <c r="O6942" s="14">
        <v>12500</v>
      </c>
      <c r="P6942" s="14">
        <v>98.9</v>
      </c>
      <c r="Q6942" s="14">
        <v>137.5</v>
      </c>
      <c r="R6942" s="14">
        <v>207.63</v>
      </c>
      <c r="S6942" s="2" t="s">
        <v>6932</v>
      </c>
      <c r="T6942" s="2">
        <v>1.03</v>
      </c>
      <c r="U6942" s="2">
        <v>70</v>
      </c>
      <c r="V6942" s="2">
        <v>71</v>
      </c>
      <c r="W6942" s="2" t="s">
        <v>7862</v>
      </c>
      <c r="X6942" s="2" t="s">
        <v>2449</v>
      </c>
      <c r="Y6942" s="2">
        <v>18875</v>
      </c>
      <c r="Z6942" s="19" t="str">
        <f>HYPERLINK("https://ssdweb.co/ssdweb/hd/Vision360.html?d=926921350&amp;zoomslide=1&amp;z=1926921350&amp;ISCONFIRM=0","VIDEO")</f>
        <v>VIDEO</v>
      </c>
      <c r="AA6942" s="19" t="str">
        <f>HYPERLINK("https://ssdweb.co/ssdweb/CERTH/659437005.pdf","CERTI")</f>
        <v>CERTI</v>
      </c>
    </row>
    <row r="6943" spans="1:27" ht="15" x14ac:dyDescent="0.25">
      <c r="A6943" s="2">
        <v>6938</v>
      </c>
      <c r="B6943" s="39">
        <v>926101276</v>
      </c>
      <c r="C6943" s="28" t="str">
        <f>HYPERLINK("https://pld.live/RapDetail.aspx?STONELIST=926101276","DNA")</f>
        <v>DNA</v>
      </c>
      <c r="D6943" s="18" t="s">
        <v>711</v>
      </c>
      <c r="E6943" s="18" t="s">
        <v>5128</v>
      </c>
      <c r="F6943" s="2" t="s">
        <v>7987</v>
      </c>
      <c r="G6943" s="2" t="s">
        <v>5226</v>
      </c>
      <c r="H6943" s="14">
        <v>1.51</v>
      </c>
      <c r="I6943" s="2" t="s">
        <v>267</v>
      </c>
      <c r="J6943" s="2" t="s">
        <v>3942</v>
      </c>
      <c r="K6943" s="2" t="s">
        <v>1452</v>
      </c>
      <c r="L6943" s="2" t="s">
        <v>5221</v>
      </c>
      <c r="M6943" s="2" t="s">
        <v>5221</v>
      </c>
      <c r="N6943" s="2" t="s">
        <v>2317</v>
      </c>
      <c r="O6943" s="14">
        <v>12500</v>
      </c>
      <c r="P6943" s="14">
        <v>98.9</v>
      </c>
      <c r="Q6943" s="14">
        <v>137.5</v>
      </c>
      <c r="R6943" s="14">
        <v>207.63</v>
      </c>
      <c r="S6943" s="2" t="s">
        <v>6211</v>
      </c>
      <c r="T6943" s="2">
        <v>1.01</v>
      </c>
      <c r="U6943" s="2">
        <v>73.2</v>
      </c>
      <c r="V6943" s="2">
        <v>69</v>
      </c>
      <c r="W6943" s="2" t="s">
        <v>7862</v>
      </c>
      <c r="X6943" s="2" t="s">
        <v>2449</v>
      </c>
      <c r="Y6943" s="2">
        <v>18875</v>
      </c>
      <c r="Z6943" s="19" t="str">
        <f>HYPERLINK("https://ssdweb.co/ssdweb/hd/Vision360.html?d=926101276&amp;zoomslide=1&amp;z=1926101276&amp;ISCONFIRM=0","VIDEO")</f>
        <v>VIDEO</v>
      </c>
      <c r="AA6943" s="19" t="str">
        <f>HYPERLINK("https://ssdweb.co/ssdweb/CERTH/632403822.pdf","CERTI")</f>
        <v>CERTI</v>
      </c>
    </row>
    <row r="6944" spans="1:27" ht="15" x14ac:dyDescent="0.25">
      <c r="A6944" s="2">
        <v>6939</v>
      </c>
      <c r="B6944" s="39">
        <v>925731925</v>
      </c>
      <c r="C6944" s="28" t="str">
        <f>HYPERLINK("https://pld.live/RapDetail.aspx?STONELIST=925731925","DNA")</f>
        <v>DNA</v>
      </c>
      <c r="D6944" s="18" t="s">
        <v>711</v>
      </c>
      <c r="E6944" s="18" t="s">
        <v>5128</v>
      </c>
      <c r="F6944" s="2" t="s">
        <v>7987</v>
      </c>
      <c r="G6944" s="2" t="s">
        <v>5226</v>
      </c>
      <c r="H6944" s="14">
        <v>1.51</v>
      </c>
      <c r="I6944" s="2" t="s">
        <v>267</v>
      </c>
      <c r="J6944" s="2" t="s">
        <v>13</v>
      </c>
      <c r="K6944" s="2" t="s">
        <v>1452</v>
      </c>
      <c r="L6944" s="2" t="s">
        <v>5221</v>
      </c>
      <c r="M6944" s="2" t="s">
        <v>5221</v>
      </c>
      <c r="N6944" s="2" t="s">
        <v>2317</v>
      </c>
      <c r="O6944" s="14">
        <v>11600</v>
      </c>
      <c r="P6944" s="14">
        <v>98.84</v>
      </c>
      <c r="Q6944" s="14">
        <v>134.56</v>
      </c>
      <c r="R6944" s="14">
        <v>203.19</v>
      </c>
      <c r="S6944" s="2" t="s">
        <v>4605</v>
      </c>
      <c r="T6944" s="2">
        <v>1.02</v>
      </c>
      <c r="U6944" s="2">
        <v>71.599999999999994</v>
      </c>
      <c r="V6944" s="2">
        <v>73</v>
      </c>
      <c r="W6944" s="2" t="s">
        <v>7862</v>
      </c>
      <c r="X6944" s="2" t="s">
        <v>2449</v>
      </c>
      <c r="Y6944" s="2">
        <v>17516</v>
      </c>
      <c r="Z6944" s="19" t="str">
        <f>HYPERLINK("https://ssdweb.co/ssdweb/hd/Vision360.html?d=925731925&amp;zoomslide=1&amp;z=1925731925&amp;ISCONFIRM=0","VIDEO")</f>
        <v>VIDEO</v>
      </c>
      <c r="AA6944" s="19" t="str">
        <f>HYPERLINK("https://ssdweb.co/ssdweb/CERTH/625432264.pdf","CERTI")</f>
        <v>CERTI</v>
      </c>
    </row>
    <row r="6945" spans="1:27" ht="15" x14ac:dyDescent="0.25">
      <c r="A6945" s="2">
        <v>6940</v>
      </c>
      <c r="B6945" s="39">
        <v>831010794</v>
      </c>
      <c r="C6945" s="28" t="str">
        <f>HYPERLINK("https://pld.live/RapDetail.aspx?STONELIST=831010794","DNA")</f>
        <v>DNA</v>
      </c>
      <c r="D6945" s="18" t="s">
        <v>711</v>
      </c>
      <c r="E6945" s="18" t="s">
        <v>5128</v>
      </c>
      <c r="F6945" s="2" t="s">
        <v>7987</v>
      </c>
      <c r="G6945" s="2" t="s">
        <v>5226</v>
      </c>
      <c r="H6945" s="14">
        <v>1.51</v>
      </c>
      <c r="I6945" s="2" t="s">
        <v>267</v>
      </c>
      <c r="J6945" s="2" t="s">
        <v>13</v>
      </c>
      <c r="K6945" s="2" t="s">
        <v>1452</v>
      </c>
      <c r="L6945" s="2" t="s">
        <v>5221</v>
      </c>
      <c r="M6945" s="2" t="s">
        <v>5221</v>
      </c>
      <c r="N6945" s="2" t="s">
        <v>1452</v>
      </c>
      <c r="O6945" s="14">
        <v>11600</v>
      </c>
      <c r="P6945" s="14">
        <v>98.84</v>
      </c>
      <c r="Q6945" s="14">
        <v>134.56</v>
      </c>
      <c r="R6945" s="14">
        <v>203.19</v>
      </c>
      <c r="S6945" s="2" t="s">
        <v>6101</v>
      </c>
      <c r="T6945" s="2">
        <v>1.01</v>
      </c>
      <c r="U6945" s="2">
        <v>75.7</v>
      </c>
      <c r="V6945" s="2">
        <v>69</v>
      </c>
      <c r="W6945" s="2" t="s">
        <v>7862</v>
      </c>
      <c r="X6945" s="2" t="s">
        <v>4535</v>
      </c>
      <c r="Y6945" s="2">
        <v>17516</v>
      </c>
      <c r="Z6945" s="19" t="str">
        <f>HYPERLINK("https://ssdweb.co/ssdweb/hd/Vision360.html?d=831010794&amp;zoomslide=1&amp;z=1831010794&amp;ISCONFIRM=0","VIDEO")</f>
        <v>VIDEO</v>
      </c>
      <c r="AA6945" s="19" t="str">
        <f>HYPERLINK("https://ssdweb.co/ssdweb/CERTH/544250905.pdf","CERTI")</f>
        <v>CERTI</v>
      </c>
    </row>
    <row r="6946" spans="1:27" ht="15" x14ac:dyDescent="0.25">
      <c r="A6946" s="2">
        <v>6941</v>
      </c>
      <c r="B6946" s="39">
        <v>926841362</v>
      </c>
      <c r="C6946" s="28" t="str">
        <f>HYPERLINK("https://pld.live/RapDetail.aspx?STONELIST=926841362","DNA")</f>
        <v>DNA</v>
      </c>
      <c r="D6946" s="18" t="s">
        <v>711</v>
      </c>
      <c r="E6946" s="18" t="s">
        <v>2186</v>
      </c>
      <c r="F6946" s="2" t="s">
        <v>7987</v>
      </c>
      <c r="G6946" s="2" t="s">
        <v>5226</v>
      </c>
      <c r="H6946" s="14">
        <v>1.51</v>
      </c>
      <c r="I6946" s="2" t="s">
        <v>267</v>
      </c>
      <c r="J6946" s="2" t="s">
        <v>13</v>
      </c>
      <c r="K6946" s="2" t="s">
        <v>1452</v>
      </c>
      <c r="L6946" s="2" t="s">
        <v>5221</v>
      </c>
      <c r="M6946" s="2" t="s">
        <v>5221</v>
      </c>
      <c r="N6946" s="2" t="s">
        <v>2317</v>
      </c>
      <c r="O6946" s="14">
        <v>11600</v>
      </c>
      <c r="P6946" s="14">
        <v>98.84</v>
      </c>
      <c r="Q6946" s="14">
        <v>134.56</v>
      </c>
      <c r="R6946" s="14">
        <v>203.19</v>
      </c>
      <c r="S6946" s="2" t="s">
        <v>2868</v>
      </c>
      <c r="T6946" s="2">
        <v>1.03</v>
      </c>
      <c r="U6946" s="2">
        <v>66.8</v>
      </c>
      <c r="V6946" s="2">
        <v>68</v>
      </c>
      <c r="W6946" s="2" t="s">
        <v>7862</v>
      </c>
      <c r="X6946" s="2" t="s">
        <v>2449</v>
      </c>
      <c r="Y6946" s="2">
        <v>17516</v>
      </c>
      <c r="Z6946" s="19" t="str">
        <f>HYPERLINK("https://ssdweb.co/ssdweb/hd/Vision360.html?d=926841362&amp;zoomslide=1&amp;z=1926841362&amp;ISCONFIRM=0","VIDEO")</f>
        <v>VIDEO</v>
      </c>
      <c r="AA6946" s="19" t="str">
        <f>HYPERLINK("https://ssdweb.co/ssdweb/CERTH/659436998.pdf","CERTI")</f>
        <v>CERTI</v>
      </c>
    </row>
    <row r="6947" spans="1:27" ht="15" x14ac:dyDescent="0.25">
      <c r="A6947" s="2">
        <v>6942</v>
      </c>
      <c r="B6947" s="39">
        <v>925541272</v>
      </c>
      <c r="C6947" s="28" t="str">
        <f>HYPERLINK("https://pld.live/RapDetail.aspx?STONELIST=925541272","DNA")</f>
        <v>DNA</v>
      </c>
      <c r="D6947" s="18" t="s">
        <v>711</v>
      </c>
      <c r="E6947" s="18" t="s">
        <v>5128</v>
      </c>
      <c r="F6947" s="2" t="s">
        <v>7987</v>
      </c>
      <c r="G6947" s="2" t="s">
        <v>5226</v>
      </c>
      <c r="H6947" s="14">
        <v>1.51</v>
      </c>
      <c r="I6947" s="2" t="s">
        <v>267</v>
      </c>
      <c r="J6947" s="2" t="s">
        <v>13</v>
      </c>
      <c r="K6947" s="2" t="s">
        <v>1452</v>
      </c>
      <c r="L6947" s="2" t="s">
        <v>5221</v>
      </c>
      <c r="M6947" s="2" t="s">
        <v>5221</v>
      </c>
      <c r="N6947" s="2" t="s">
        <v>2317</v>
      </c>
      <c r="O6947" s="14">
        <v>11600</v>
      </c>
      <c r="P6947" s="14">
        <v>98.84</v>
      </c>
      <c r="Q6947" s="14">
        <v>134.56</v>
      </c>
      <c r="R6947" s="14">
        <v>203.19</v>
      </c>
      <c r="S6947" s="2" t="s">
        <v>3541</v>
      </c>
      <c r="T6947" s="2">
        <v>1</v>
      </c>
      <c r="U6947" s="2">
        <v>72.7</v>
      </c>
      <c r="V6947" s="2">
        <v>66</v>
      </c>
      <c r="W6947" s="2" t="s">
        <v>7862</v>
      </c>
      <c r="X6947" s="2" t="s">
        <v>2449</v>
      </c>
      <c r="Y6947" s="2">
        <v>17516</v>
      </c>
      <c r="Z6947" s="19" t="str">
        <f>HYPERLINK("https://ssdweb.co/ssdweb/hd/Vision360.html?d=925541272&amp;zoomslide=1&amp;z=1925541272&amp;ISCONFIRM=0","VIDEO")</f>
        <v>VIDEO</v>
      </c>
      <c r="AA6947" s="19" t="str">
        <f>HYPERLINK("https://ssdweb.co/ssdweb/CERTH/618453060.pdf","CERTI")</f>
        <v>CERTI</v>
      </c>
    </row>
    <row r="6948" spans="1:27" ht="15" x14ac:dyDescent="0.25">
      <c r="A6948" s="2">
        <v>6943</v>
      </c>
      <c r="B6948" s="39">
        <v>925521070</v>
      </c>
      <c r="C6948" s="28" t="str">
        <f>HYPERLINK("https://pld.live/RapDetail.aspx?STONELIST=925521070","DNA")</f>
        <v>DNA</v>
      </c>
      <c r="D6948" s="18" t="s">
        <v>711</v>
      </c>
      <c r="E6948" s="18" t="s">
        <v>5128</v>
      </c>
      <c r="F6948" s="2" t="s">
        <v>7987</v>
      </c>
      <c r="G6948" s="2" t="s">
        <v>5226</v>
      </c>
      <c r="H6948" s="14">
        <v>1.51</v>
      </c>
      <c r="I6948" s="2" t="s">
        <v>267</v>
      </c>
      <c r="J6948" s="2" t="s">
        <v>13</v>
      </c>
      <c r="K6948" s="2" t="s">
        <v>1452</v>
      </c>
      <c r="L6948" s="2" t="s">
        <v>5221</v>
      </c>
      <c r="M6948" s="2" t="s">
        <v>5221</v>
      </c>
      <c r="N6948" s="2" t="s">
        <v>2317</v>
      </c>
      <c r="O6948" s="14">
        <v>11600</v>
      </c>
      <c r="P6948" s="14">
        <v>98.84</v>
      </c>
      <c r="Q6948" s="14">
        <v>134.56</v>
      </c>
      <c r="R6948" s="14">
        <v>203.19</v>
      </c>
      <c r="S6948" s="2" t="s">
        <v>4689</v>
      </c>
      <c r="T6948" s="2">
        <v>1.02</v>
      </c>
      <c r="U6948" s="2">
        <v>67.8</v>
      </c>
      <c r="V6948" s="2">
        <v>74</v>
      </c>
      <c r="W6948" s="2" t="s">
        <v>7862</v>
      </c>
      <c r="X6948" s="2" t="s">
        <v>2449</v>
      </c>
      <c r="Y6948" s="2">
        <v>17516</v>
      </c>
      <c r="Z6948" s="19" t="str">
        <f>HYPERLINK("https://ssdweb.co/ssdweb/hd/Vision360.html?d=925521070&amp;zoomslide=1&amp;z=1925521070&amp;ISCONFIRM=0","VIDEO")</f>
        <v>VIDEO</v>
      </c>
      <c r="AA6948" s="19" t="str">
        <f>HYPERLINK("https://ssdweb.co/ssdweb/CERTH/618453062.pdf","CERTI")</f>
        <v>CERTI</v>
      </c>
    </row>
    <row r="6949" spans="1:27" ht="15" x14ac:dyDescent="0.25">
      <c r="A6949" s="2">
        <v>6944</v>
      </c>
      <c r="B6949" s="39">
        <v>926171299</v>
      </c>
      <c r="C6949" s="28" t="str">
        <f>HYPERLINK("https://pld.live/RapDetail.aspx?STONELIST=926171299","DNA")</f>
        <v>DNA</v>
      </c>
      <c r="D6949" s="18" t="s">
        <v>711</v>
      </c>
      <c r="E6949" s="18" t="s">
        <v>5128</v>
      </c>
      <c r="F6949" s="2" t="s">
        <v>7987</v>
      </c>
      <c r="G6949" s="2" t="s">
        <v>5226</v>
      </c>
      <c r="H6949" s="14">
        <v>1.51</v>
      </c>
      <c r="I6949" s="2" t="s">
        <v>267</v>
      </c>
      <c r="J6949" s="2" t="s">
        <v>13</v>
      </c>
      <c r="K6949" s="2" t="s">
        <v>1452</v>
      </c>
      <c r="L6949" s="2" t="s">
        <v>5221</v>
      </c>
      <c r="M6949" s="2" t="s">
        <v>5221</v>
      </c>
      <c r="N6949" s="2" t="s">
        <v>2317</v>
      </c>
      <c r="O6949" s="14">
        <v>11600</v>
      </c>
      <c r="P6949" s="14">
        <v>98.84</v>
      </c>
      <c r="Q6949" s="14">
        <v>134.56</v>
      </c>
      <c r="R6949" s="14">
        <v>203.19</v>
      </c>
      <c r="S6949" s="2" t="s">
        <v>6864</v>
      </c>
      <c r="T6949" s="2">
        <v>1</v>
      </c>
      <c r="U6949" s="2">
        <v>74</v>
      </c>
      <c r="V6949" s="2">
        <v>68</v>
      </c>
      <c r="W6949" s="2" t="s">
        <v>7862</v>
      </c>
      <c r="X6949" s="2" t="s">
        <v>2449</v>
      </c>
      <c r="Y6949" s="2">
        <v>17516</v>
      </c>
      <c r="Z6949" s="19" t="str">
        <f>HYPERLINK("https://ssdweb.co/ssdweb/hd/Vision360.html?d=926171299&amp;zoomslide=1&amp;z=1926171299&amp;ISCONFIRM=0","VIDEO")</f>
        <v>VIDEO</v>
      </c>
      <c r="AA6949" s="19" t="str">
        <f>HYPERLINK("https://ssdweb.co/ssdweb/CERTH/634431438.pdf","CERTI")</f>
        <v>CERTI</v>
      </c>
    </row>
    <row r="6950" spans="1:27" ht="15" x14ac:dyDescent="0.25">
      <c r="A6950" s="2">
        <v>6945</v>
      </c>
      <c r="B6950" s="39">
        <v>926101691</v>
      </c>
      <c r="C6950" s="28" t="str">
        <f>HYPERLINK("https://pld.live/RapDetail.aspx?STONELIST=926101691","DNA")</f>
        <v>DNA</v>
      </c>
      <c r="D6950" s="18" t="s">
        <v>711</v>
      </c>
      <c r="E6950" s="18" t="s">
        <v>5128</v>
      </c>
      <c r="F6950" s="2" t="s">
        <v>7987</v>
      </c>
      <c r="G6950" s="2" t="s">
        <v>5226</v>
      </c>
      <c r="H6950" s="14">
        <v>1.51</v>
      </c>
      <c r="I6950" s="2" t="s">
        <v>267</v>
      </c>
      <c r="J6950" s="2" t="s">
        <v>13</v>
      </c>
      <c r="K6950" s="2" t="s">
        <v>1452</v>
      </c>
      <c r="L6950" s="2" t="s">
        <v>5221</v>
      </c>
      <c r="M6950" s="2" t="s">
        <v>5221</v>
      </c>
      <c r="N6950" s="2" t="s">
        <v>2317</v>
      </c>
      <c r="O6950" s="14">
        <v>11600</v>
      </c>
      <c r="P6950" s="14">
        <v>98.84</v>
      </c>
      <c r="Q6950" s="14">
        <v>134.56</v>
      </c>
      <c r="R6950" s="14">
        <v>203.19</v>
      </c>
      <c r="S6950" s="2" t="s">
        <v>7230</v>
      </c>
      <c r="T6950" s="2">
        <v>1.02</v>
      </c>
      <c r="U6950" s="2">
        <v>72.599999999999994</v>
      </c>
      <c r="V6950" s="2">
        <v>68</v>
      </c>
      <c r="W6950" s="2" t="s">
        <v>7862</v>
      </c>
      <c r="X6950" s="2" t="s">
        <v>2449</v>
      </c>
      <c r="Y6950" s="2">
        <v>17516</v>
      </c>
      <c r="Z6950" s="19" t="str">
        <f>HYPERLINK("https://ssdweb.co/ssdweb/hd/Vision360.html?d=926101691&amp;zoomslide=1&amp;z=1926101691&amp;ISCONFIRM=0","VIDEO")</f>
        <v>VIDEO</v>
      </c>
      <c r="AA6950" s="19" t="str">
        <f>HYPERLINK("https://ssdweb.co/ssdweb/CERTH/632449607.pdf","CERTI")</f>
        <v>CERTI</v>
      </c>
    </row>
    <row r="6951" spans="1:27" ht="15" x14ac:dyDescent="0.25">
      <c r="A6951" s="2">
        <v>6946</v>
      </c>
      <c r="B6951" s="39">
        <v>926071902</v>
      </c>
      <c r="C6951" s="28" t="str">
        <f>HYPERLINK("https://pld.live/RapDetail.aspx?STONELIST=926071902","DNA")</f>
        <v>DNA</v>
      </c>
      <c r="D6951" s="18" t="s">
        <v>711</v>
      </c>
      <c r="E6951" s="18" t="s">
        <v>5128</v>
      </c>
      <c r="F6951" s="2" t="s">
        <v>7987</v>
      </c>
      <c r="G6951" s="2" t="s">
        <v>5226</v>
      </c>
      <c r="H6951" s="14">
        <v>1.51</v>
      </c>
      <c r="I6951" s="2" t="s">
        <v>267</v>
      </c>
      <c r="J6951" s="2" t="s">
        <v>13</v>
      </c>
      <c r="K6951" s="2" t="s">
        <v>1452</v>
      </c>
      <c r="L6951" s="2" t="s">
        <v>5221</v>
      </c>
      <c r="M6951" s="2" t="s">
        <v>5221</v>
      </c>
      <c r="N6951" s="2" t="s">
        <v>2317</v>
      </c>
      <c r="O6951" s="14">
        <v>11600</v>
      </c>
      <c r="P6951" s="14">
        <v>98.84</v>
      </c>
      <c r="Q6951" s="14">
        <v>134.56</v>
      </c>
      <c r="R6951" s="14">
        <v>203.19</v>
      </c>
      <c r="S6951" s="2" t="s">
        <v>3692</v>
      </c>
      <c r="T6951" s="2">
        <v>1.03</v>
      </c>
      <c r="U6951" s="2">
        <v>74</v>
      </c>
      <c r="V6951" s="2">
        <v>66</v>
      </c>
      <c r="W6951" s="2" t="s">
        <v>7862</v>
      </c>
      <c r="X6951" s="2" t="s">
        <v>2449</v>
      </c>
      <c r="Y6951" s="2">
        <v>17516</v>
      </c>
      <c r="Z6951" s="19" t="str">
        <f>HYPERLINK("https://ssdweb.co/ssdweb/hd/Vision360.html?d=926071902&amp;zoomslide=1&amp;z=1926071902&amp;ISCONFIRM=0","VIDEO")</f>
        <v>VIDEO</v>
      </c>
      <c r="AA6951" s="19" t="str">
        <f>HYPERLINK("https://ssdweb.co/ssdweb/CERTH/632488297.pdf","CERTI")</f>
        <v>CERTI</v>
      </c>
    </row>
    <row r="6952" spans="1:27" ht="15" x14ac:dyDescent="0.25">
      <c r="A6952" s="2">
        <v>6947</v>
      </c>
      <c r="B6952" s="39">
        <v>831010793</v>
      </c>
      <c r="C6952" s="28" t="str">
        <f>HYPERLINK("https://pld.live/RapDetail.aspx?STONELIST=831010793","DNA")</f>
        <v>DNA</v>
      </c>
      <c r="D6952" s="18" t="s">
        <v>711</v>
      </c>
      <c r="E6952" s="18" t="s">
        <v>5128</v>
      </c>
      <c r="F6952" s="2" t="s">
        <v>7987</v>
      </c>
      <c r="G6952" s="2" t="s">
        <v>5226</v>
      </c>
      <c r="H6952" s="14">
        <v>1.51</v>
      </c>
      <c r="I6952" s="2" t="s">
        <v>267</v>
      </c>
      <c r="J6952" s="2" t="s">
        <v>5144</v>
      </c>
      <c r="K6952" s="2" t="s">
        <v>1452</v>
      </c>
      <c r="L6952" s="2" t="s">
        <v>5221</v>
      </c>
      <c r="M6952" s="2" t="s">
        <v>5221</v>
      </c>
      <c r="N6952" s="2" t="s">
        <v>1452</v>
      </c>
      <c r="O6952" s="14">
        <v>9900</v>
      </c>
      <c r="P6952" s="14">
        <v>98.68</v>
      </c>
      <c r="Q6952" s="14">
        <v>130.68</v>
      </c>
      <c r="R6952" s="14">
        <v>197.33</v>
      </c>
      <c r="S6952" s="2" t="s">
        <v>4154</v>
      </c>
      <c r="T6952" s="2">
        <v>1</v>
      </c>
      <c r="U6952" s="2">
        <v>72.099999999999994</v>
      </c>
      <c r="V6952" s="2">
        <v>70</v>
      </c>
      <c r="W6952" s="2" t="s">
        <v>7862</v>
      </c>
      <c r="X6952" s="2" t="s">
        <v>4535</v>
      </c>
      <c r="Y6952" s="2">
        <v>14949</v>
      </c>
      <c r="Z6952" s="19" t="str">
        <f>HYPERLINK("https://ssdweb.co/ssdweb/hd/Vision360.html?d=831010793&amp;zoomslide=1&amp;z=1831010793&amp;ISCONFIRM=0","VIDEO")</f>
        <v>VIDEO</v>
      </c>
      <c r="AA6952" s="19" t="str">
        <f>HYPERLINK("https://ssdweb.co/ssdweb/CERTH/544262075.pdf","CERTI")</f>
        <v>CERTI</v>
      </c>
    </row>
    <row r="6953" spans="1:27" ht="15" x14ac:dyDescent="0.25">
      <c r="A6953" s="2">
        <v>6948</v>
      </c>
      <c r="B6953" s="39">
        <v>925502304</v>
      </c>
      <c r="C6953" s="28" t="str">
        <f>HYPERLINK("https://pld.live/RapDetail.aspx?STONELIST=925502304","DNA")</f>
        <v>DNA</v>
      </c>
      <c r="D6953" s="18" t="s">
        <v>711</v>
      </c>
      <c r="E6953" s="18" t="s">
        <v>5128</v>
      </c>
      <c r="F6953" s="2" t="s">
        <v>7987</v>
      </c>
      <c r="G6953" s="2" t="s">
        <v>5226</v>
      </c>
      <c r="H6953" s="14">
        <v>1.51</v>
      </c>
      <c r="I6953" s="2" t="s">
        <v>267</v>
      </c>
      <c r="J6953" s="2" t="s">
        <v>5144</v>
      </c>
      <c r="K6953" s="2" t="s">
        <v>1452</v>
      </c>
      <c r="L6953" s="2" t="s">
        <v>5221</v>
      </c>
      <c r="M6953" s="2" t="s">
        <v>5221</v>
      </c>
      <c r="N6953" s="2" t="s">
        <v>2317</v>
      </c>
      <c r="O6953" s="14">
        <v>9900</v>
      </c>
      <c r="P6953" s="14">
        <v>98.68</v>
      </c>
      <c r="Q6953" s="14">
        <v>130.68</v>
      </c>
      <c r="R6953" s="14">
        <v>197.33</v>
      </c>
      <c r="S6953" s="2" t="s">
        <v>770</v>
      </c>
      <c r="T6953" s="2">
        <v>1.04</v>
      </c>
      <c r="U6953" s="2">
        <v>69.599999999999994</v>
      </c>
      <c r="V6953" s="2">
        <v>73</v>
      </c>
      <c r="W6953" s="2" t="s">
        <v>7862</v>
      </c>
      <c r="X6953" s="2" t="s">
        <v>2449</v>
      </c>
      <c r="Y6953" s="2">
        <v>14949</v>
      </c>
      <c r="Z6953" s="19" t="str">
        <f>HYPERLINK("https://ssdweb.co/ssdweb/hd/Vision360.html?d=925502304&amp;zoomslide=1&amp;z=1925502304&amp;ISCONFIRM=0","VIDEO")</f>
        <v>VIDEO</v>
      </c>
      <c r="AA6953" s="19" t="str">
        <f>HYPERLINK("https://ssdweb.co/ssdweb/CERTH/618439785.pdf","CERTI")</f>
        <v>CERTI</v>
      </c>
    </row>
    <row r="6954" spans="1:27" ht="15" x14ac:dyDescent="0.25">
      <c r="A6954" s="2">
        <v>6949</v>
      </c>
      <c r="B6954" s="39">
        <v>926170738</v>
      </c>
      <c r="C6954" s="28" t="str">
        <f>HYPERLINK("https://pld.live/RapDetail.aspx?STONELIST=926170738","DNA")</f>
        <v>DNA</v>
      </c>
      <c r="D6954" s="18" t="s">
        <v>711</v>
      </c>
      <c r="E6954" s="18" t="s">
        <v>5128</v>
      </c>
      <c r="F6954" s="2" t="s">
        <v>7987</v>
      </c>
      <c r="G6954" s="2" t="s">
        <v>5226</v>
      </c>
      <c r="H6954" s="14">
        <v>1.51</v>
      </c>
      <c r="I6954" s="2" t="s">
        <v>267</v>
      </c>
      <c r="J6954" s="2" t="s">
        <v>5144</v>
      </c>
      <c r="K6954" s="2" t="s">
        <v>1452</v>
      </c>
      <c r="L6954" s="2" t="s">
        <v>5221</v>
      </c>
      <c r="M6954" s="2" t="s">
        <v>5221</v>
      </c>
      <c r="N6954" s="2" t="s">
        <v>2317</v>
      </c>
      <c r="O6954" s="14">
        <v>9900</v>
      </c>
      <c r="P6954" s="14">
        <v>98.68</v>
      </c>
      <c r="Q6954" s="14">
        <v>130.68</v>
      </c>
      <c r="R6954" s="14">
        <v>197.33</v>
      </c>
      <c r="S6954" s="2" t="s">
        <v>583</v>
      </c>
      <c r="T6954" s="2">
        <v>1.02</v>
      </c>
      <c r="U6954" s="2">
        <v>71.7</v>
      </c>
      <c r="V6954" s="2">
        <v>68</v>
      </c>
      <c r="W6954" s="2" t="s">
        <v>7862</v>
      </c>
      <c r="X6954" s="2" t="s">
        <v>2449</v>
      </c>
      <c r="Y6954" s="2">
        <v>14949</v>
      </c>
      <c r="Z6954" s="19" t="str">
        <f>HYPERLINK("https://ssdweb.co/ssdweb/hd/Vision360.html?d=926170738&amp;zoomslide=1&amp;z=1926170738&amp;ISCONFIRM=0","VIDEO")</f>
        <v>VIDEO</v>
      </c>
      <c r="AA6954" s="19" t="str">
        <f>HYPERLINK("https://ssdweb.co/ssdweb/CERTH/633490554.pdf","CERTI")</f>
        <v>CERTI</v>
      </c>
    </row>
    <row r="6955" spans="1:27" ht="15" x14ac:dyDescent="0.25">
      <c r="A6955" s="2">
        <v>6950</v>
      </c>
      <c r="B6955" s="39">
        <v>925621965</v>
      </c>
      <c r="C6955" s="28" t="str">
        <f>HYPERLINK("https://pld.live/RapDetail.aspx?STONELIST=925621965","DNA")</f>
        <v>DNA</v>
      </c>
      <c r="D6955" s="18" t="s">
        <v>711</v>
      </c>
      <c r="E6955" s="18" t="s">
        <v>5128</v>
      </c>
      <c r="F6955" s="2" t="s">
        <v>7987</v>
      </c>
      <c r="G6955" s="2" t="s">
        <v>5226</v>
      </c>
      <c r="H6955" s="14">
        <v>1.51</v>
      </c>
      <c r="I6955" s="2" t="s">
        <v>267</v>
      </c>
      <c r="J6955" s="2" t="s">
        <v>5144</v>
      </c>
      <c r="K6955" s="2" t="s">
        <v>1452</v>
      </c>
      <c r="L6955" s="2" t="s">
        <v>5221</v>
      </c>
      <c r="M6955" s="2" t="s">
        <v>5221</v>
      </c>
      <c r="N6955" s="2" t="s">
        <v>2317</v>
      </c>
      <c r="O6955" s="14">
        <v>9900</v>
      </c>
      <c r="P6955" s="14">
        <v>98.68</v>
      </c>
      <c r="Q6955" s="14">
        <v>130.68</v>
      </c>
      <c r="R6955" s="14">
        <v>197.33</v>
      </c>
      <c r="S6955" s="2" t="s">
        <v>6266</v>
      </c>
      <c r="T6955" s="2">
        <v>1</v>
      </c>
      <c r="U6955" s="2">
        <v>73.400000000000006</v>
      </c>
      <c r="V6955" s="2">
        <v>72</v>
      </c>
      <c r="W6955" s="2" t="s">
        <v>7862</v>
      </c>
      <c r="X6955" s="2" t="s">
        <v>2449</v>
      </c>
      <c r="Y6955" s="2">
        <v>14949</v>
      </c>
      <c r="Z6955" s="19" t="str">
        <f>HYPERLINK("https://ssdweb.co/ssdweb/hd/Vision360.html?d=925621965&amp;zoomslide=1&amp;z=1925621965&amp;ISCONFIRM=0","VIDEO")</f>
        <v>VIDEO</v>
      </c>
      <c r="AA6955" s="19" t="str">
        <f>HYPERLINK("https://ssdweb.co/ssdweb/CERTH/623493267.pdf","CERTI")</f>
        <v>CERTI</v>
      </c>
    </row>
    <row r="6956" spans="1:27" ht="15" x14ac:dyDescent="0.25">
      <c r="A6956" s="2">
        <v>6951</v>
      </c>
      <c r="B6956" s="39">
        <v>926921405</v>
      </c>
      <c r="C6956" s="28" t="str">
        <f>HYPERLINK("https://pld.live/RapDetail.aspx?STONELIST=926921405","DNA")</f>
        <v>DNA</v>
      </c>
      <c r="D6956" s="18" t="s">
        <v>711</v>
      </c>
      <c r="E6956" s="18" t="s">
        <v>2186</v>
      </c>
      <c r="F6956" s="2" t="s">
        <v>7987</v>
      </c>
      <c r="G6956" s="2" t="s">
        <v>5226</v>
      </c>
      <c r="H6956" s="14">
        <v>1.51</v>
      </c>
      <c r="I6956" s="2" t="s">
        <v>4761</v>
      </c>
      <c r="J6956" s="2" t="s">
        <v>3942</v>
      </c>
      <c r="K6956" s="2" t="s">
        <v>1452</v>
      </c>
      <c r="L6956" s="2" t="s">
        <v>5221</v>
      </c>
      <c r="M6956" s="2" t="s">
        <v>5221</v>
      </c>
      <c r="N6956" s="2" t="s">
        <v>2317</v>
      </c>
      <c r="O6956" s="14">
        <v>11600</v>
      </c>
      <c r="P6956" s="14">
        <v>98.85</v>
      </c>
      <c r="Q6956" s="14">
        <v>133.4</v>
      </c>
      <c r="R6956" s="14">
        <v>201.43</v>
      </c>
      <c r="S6956" s="2" t="s">
        <v>3504</v>
      </c>
      <c r="T6956" s="2">
        <v>1.03</v>
      </c>
      <c r="U6956" s="2">
        <v>66.599999999999994</v>
      </c>
      <c r="V6956" s="2">
        <v>73</v>
      </c>
      <c r="W6956" s="2" t="s">
        <v>7862</v>
      </c>
      <c r="X6956" s="2" t="s">
        <v>2449</v>
      </c>
      <c r="Y6956" s="2">
        <v>17516</v>
      </c>
      <c r="Z6956" s="19" t="str">
        <f>HYPERLINK("https://ssdweb.co/ssdweb/hd/Vision360.html?d=926921405&amp;zoomslide=1&amp;z=1926921405&amp;ISCONFIRM=0","VIDEO")</f>
        <v>VIDEO</v>
      </c>
      <c r="AA6956" s="19" t="str">
        <f>HYPERLINK("https://ssdweb.co/ssdweb/CERTH/660440530.pdf","CERTI")</f>
        <v>CERTI</v>
      </c>
    </row>
    <row r="6957" spans="1:27" ht="15" x14ac:dyDescent="0.25">
      <c r="A6957" s="2">
        <v>6952</v>
      </c>
      <c r="B6957" s="39">
        <v>925521050</v>
      </c>
      <c r="C6957" s="28" t="str">
        <f>HYPERLINK("https://pld.live/RapDetail.aspx?STONELIST=925521050","DNA")</f>
        <v>DNA</v>
      </c>
      <c r="D6957" s="18" t="s">
        <v>711</v>
      </c>
      <c r="E6957" s="18" t="s">
        <v>5128</v>
      </c>
      <c r="F6957" s="2" t="s">
        <v>7987</v>
      </c>
      <c r="G6957" s="2" t="s">
        <v>5226</v>
      </c>
      <c r="H6957" s="14">
        <v>1.51</v>
      </c>
      <c r="I6957" s="2" t="s">
        <v>4761</v>
      </c>
      <c r="J6957" s="2" t="s">
        <v>3942</v>
      </c>
      <c r="K6957" s="2" t="s">
        <v>1452</v>
      </c>
      <c r="L6957" s="2" t="s">
        <v>5221</v>
      </c>
      <c r="M6957" s="2" t="s">
        <v>5221</v>
      </c>
      <c r="N6957" s="2" t="s">
        <v>2317</v>
      </c>
      <c r="O6957" s="14">
        <v>11600</v>
      </c>
      <c r="P6957" s="14">
        <v>98.85</v>
      </c>
      <c r="Q6957" s="14">
        <v>133.4</v>
      </c>
      <c r="R6957" s="14">
        <v>201.43</v>
      </c>
      <c r="S6957" s="2" t="s">
        <v>1449</v>
      </c>
      <c r="T6957" s="2">
        <v>1</v>
      </c>
      <c r="U6957" s="2">
        <v>72.099999999999994</v>
      </c>
      <c r="V6957" s="2">
        <v>70</v>
      </c>
      <c r="W6957" s="2" t="s">
        <v>7862</v>
      </c>
      <c r="X6957" s="2" t="s">
        <v>2449</v>
      </c>
      <c r="Y6957" s="2">
        <v>17516</v>
      </c>
      <c r="Z6957" s="19" t="str">
        <f>HYPERLINK("https://ssdweb.co/ssdweb/hd/Vision360.html?d=925521050&amp;zoomslide=1&amp;z=1925521050&amp;ISCONFIRM=0","VIDEO")</f>
        <v>VIDEO</v>
      </c>
      <c r="AA6957" s="19" t="str">
        <f>HYPERLINK("https://ssdweb.co/ssdweb/CERTH/618453024.pdf","CERTI")</f>
        <v>CERTI</v>
      </c>
    </row>
    <row r="6958" spans="1:27" ht="15" x14ac:dyDescent="0.25">
      <c r="A6958" s="2">
        <v>6953</v>
      </c>
      <c r="B6958" s="39">
        <v>925981272</v>
      </c>
      <c r="C6958" s="28" t="str">
        <f>HYPERLINK("https://pld.live/RapDetail.aspx?STONELIST=925981272","DNA")</f>
        <v>DNA</v>
      </c>
      <c r="D6958" s="18" t="s">
        <v>711</v>
      </c>
      <c r="E6958" s="18" t="s">
        <v>5128</v>
      </c>
      <c r="F6958" s="2" t="s">
        <v>7987</v>
      </c>
      <c r="G6958" s="2" t="s">
        <v>5226</v>
      </c>
      <c r="H6958" s="14">
        <v>1.51</v>
      </c>
      <c r="I6958" s="2" t="s">
        <v>4761</v>
      </c>
      <c r="J6958" s="2" t="s">
        <v>3942</v>
      </c>
      <c r="K6958" s="2" t="s">
        <v>1452</v>
      </c>
      <c r="L6958" s="2" t="s">
        <v>5221</v>
      </c>
      <c r="M6958" s="2" t="s">
        <v>5221</v>
      </c>
      <c r="N6958" s="2" t="s">
        <v>2317</v>
      </c>
      <c r="O6958" s="14">
        <v>11600</v>
      </c>
      <c r="P6958" s="14">
        <v>98.87</v>
      </c>
      <c r="Q6958" s="14">
        <v>131.08000000000001</v>
      </c>
      <c r="R6958" s="14">
        <v>197.93</v>
      </c>
      <c r="S6958" s="2" t="s">
        <v>6071</v>
      </c>
      <c r="T6958" s="2">
        <v>1</v>
      </c>
      <c r="U6958" s="2">
        <v>73.7</v>
      </c>
      <c r="V6958" s="2">
        <v>71</v>
      </c>
      <c r="W6958" s="2" t="s">
        <v>4336</v>
      </c>
      <c r="X6958" s="2" t="s">
        <v>2449</v>
      </c>
      <c r="Y6958" s="2">
        <v>17516</v>
      </c>
      <c r="Z6958" s="19" t="str">
        <f>HYPERLINK("https://ssdweb.co/ssdweb/hd/Vision360.html?d=925981272&amp;zoomslide=1&amp;z=1925981272&amp;ISCONFIRM=0","VIDEO")</f>
        <v>VIDEO</v>
      </c>
      <c r="AA6958" s="19" t="str">
        <f>HYPERLINK("https://ssdweb.co/ssdweb/CERTH/631430166.pdf","CERTI")</f>
        <v>CERTI</v>
      </c>
    </row>
    <row r="6959" spans="1:27" ht="15" x14ac:dyDescent="0.25">
      <c r="A6959" s="2">
        <v>6954</v>
      </c>
      <c r="B6959" s="39">
        <v>831020735</v>
      </c>
      <c r="C6959" s="28" t="str">
        <f>HYPERLINK("https://pld.live/RapDetail.aspx?STONELIST=831020735","DNA")</f>
        <v>DNA</v>
      </c>
      <c r="D6959" s="18" t="s">
        <v>711</v>
      </c>
      <c r="E6959" s="18" t="s">
        <v>2186</v>
      </c>
      <c r="F6959" s="2" t="s">
        <v>7987</v>
      </c>
      <c r="G6959" s="2" t="s">
        <v>5226</v>
      </c>
      <c r="H6959" s="14">
        <v>1.51</v>
      </c>
      <c r="I6959" s="2" t="s">
        <v>4761</v>
      </c>
      <c r="J6959" s="2" t="s">
        <v>13</v>
      </c>
      <c r="K6959" s="2" t="s">
        <v>1452</v>
      </c>
      <c r="L6959" s="2" t="s">
        <v>5221</v>
      </c>
      <c r="M6959" s="2" t="s">
        <v>5221</v>
      </c>
      <c r="N6959" s="2" t="s">
        <v>2317</v>
      </c>
      <c r="O6959" s="14">
        <v>10800</v>
      </c>
      <c r="P6959" s="14">
        <v>98.79</v>
      </c>
      <c r="Q6959" s="14">
        <v>130.68</v>
      </c>
      <c r="R6959" s="14">
        <v>197.33</v>
      </c>
      <c r="S6959" s="2" t="s">
        <v>6652</v>
      </c>
      <c r="T6959" s="2">
        <v>1.01</v>
      </c>
      <c r="U6959" s="2">
        <v>69.900000000000006</v>
      </c>
      <c r="V6959" s="2">
        <v>71</v>
      </c>
      <c r="W6959" s="2" t="s">
        <v>7862</v>
      </c>
      <c r="X6959" s="2" t="s">
        <v>2449</v>
      </c>
      <c r="Y6959" s="2">
        <v>16308</v>
      </c>
      <c r="Z6959" s="19" t="str">
        <f>HYPERLINK("https://ssdweb.co/ssdweb/hd/Vision360.html?d=831020735&amp;zoomslide=1&amp;z=1831020735&amp;ISCONFIRM=0","VIDEO")</f>
        <v>VIDEO</v>
      </c>
      <c r="AA6959" s="19" t="str">
        <f>HYPERLINK("https://ssdweb.co/ssdweb/CERTH/621452578.pdf","CERTI")</f>
        <v>CERTI</v>
      </c>
    </row>
    <row r="6960" spans="1:27" ht="15" x14ac:dyDescent="0.25">
      <c r="A6960" s="2">
        <v>6955</v>
      </c>
      <c r="B6960" s="39">
        <v>925521184</v>
      </c>
      <c r="C6960" s="28" t="str">
        <f>HYPERLINK("https://pld.live/RapDetail.aspx?STONELIST=925521184","DNA")</f>
        <v>DNA</v>
      </c>
      <c r="D6960" s="18" t="s">
        <v>711</v>
      </c>
      <c r="E6960" s="18" t="s">
        <v>5128</v>
      </c>
      <c r="F6960" s="2" t="s">
        <v>7987</v>
      </c>
      <c r="G6960" s="2" t="s">
        <v>5226</v>
      </c>
      <c r="H6960" s="14">
        <v>1.51</v>
      </c>
      <c r="I6960" s="2" t="s">
        <v>4761</v>
      </c>
      <c r="J6960" s="2" t="s">
        <v>13</v>
      </c>
      <c r="K6960" s="2" t="s">
        <v>1452</v>
      </c>
      <c r="L6960" s="2" t="s">
        <v>5221</v>
      </c>
      <c r="M6960" s="2" t="s">
        <v>5221</v>
      </c>
      <c r="N6960" s="2" t="s">
        <v>2317</v>
      </c>
      <c r="O6960" s="14">
        <v>10800</v>
      </c>
      <c r="P6960" s="14">
        <v>98.79</v>
      </c>
      <c r="Q6960" s="14">
        <v>130.68</v>
      </c>
      <c r="R6960" s="14">
        <v>197.33</v>
      </c>
      <c r="S6960" s="2" t="s">
        <v>4284</v>
      </c>
      <c r="T6960" s="2">
        <v>1</v>
      </c>
      <c r="U6960" s="2">
        <v>73.2</v>
      </c>
      <c r="V6960" s="2">
        <v>70</v>
      </c>
      <c r="W6960" s="2" t="s">
        <v>7862</v>
      </c>
      <c r="X6960" s="2" t="s">
        <v>2449</v>
      </c>
      <c r="Y6960" s="2">
        <v>16308</v>
      </c>
      <c r="Z6960" s="19" t="str">
        <f>HYPERLINK("https://ssdweb.co/ssdweb/hd/Vision360.html?d=925521184&amp;zoomslide=1&amp;z=1925521184&amp;ISCONFIRM=0","VIDEO")</f>
        <v>VIDEO</v>
      </c>
      <c r="AA6960" s="19" t="str">
        <f>HYPERLINK("https://ssdweb.co/ssdweb/CERTH/618480884.pdf","CERTI")</f>
        <v>CERTI</v>
      </c>
    </row>
    <row r="6961" spans="1:27" ht="15" x14ac:dyDescent="0.25">
      <c r="A6961" s="2">
        <v>6956</v>
      </c>
      <c r="B6961" s="39">
        <v>926101054</v>
      </c>
      <c r="C6961" s="28" t="str">
        <f>HYPERLINK("https://pld.live/RapDetail.aspx?STONELIST=926101054","DNA")</f>
        <v>DNA</v>
      </c>
      <c r="D6961" s="18" t="s">
        <v>711</v>
      </c>
      <c r="E6961" s="18" t="s">
        <v>5128</v>
      </c>
      <c r="F6961" s="2" t="s">
        <v>7987</v>
      </c>
      <c r="G6961" s="2" t="s">
        <v>5226</v>
      </c>
      <c r="H6961" s="14">
        <v>1.51</v>
      </c>
      <c r="I6961" s="2" t="s">
        <v>4761</v>
      </c>
      <c r="J6961" s="2" t="s">
        <v>13</v>
      </c>
      <c r="K6961" s="2" t="s">
        <v>1452</v>
      </c>
      <c r="L6961" s="2" t="s">
        <v>5221</v>
      </c>
      <c r="M6961" s="2" t="s">
        <v>5221</v>
      </c>
      <c r="N6961" s="2" t="s">
        <v>2317</v>
      </c>
      <c r="O6961" s="14">
        <v>10800</v>
      </c>
      <c r="P6961" s="14">
        <v>98.79</v>
      </c>
      <c r="Q6961" s="14">
        <v>130.68</v>
      </c>
      <c r="R6961" s="14">
        <v>197.33</v>
      </c>
      <c r="S6961" s="2" t="s">
        <v>2086</v>
      </c>
      <c r="T6961" s="2">
        <v>1.04</v>
      </c>
      <c r="U6961" s="2">
        <v>73.3</v>
      </c>
      <c r="V6961" s="2">
        <v>69</v>
      </c>
      <c r="W6961" s="2" t="s">
        <v>7862</v>
      </c>
      <c r="X6961" s="2" t="s">
        <v>2449</v>
      </c>
      <c r="Y6961" s="2">
        <v>16308</v>
      </c>
      <c r="Z6961" s="19" t="str">
        <f>HYPERLINK("https://ssdweb.co/ssdweb/hd/Vision360.html?d=926101054&amp;zoomslide=1&amp;z=1926101054&amp;ISCONFIRM=0","VIDEO")</f>
        <v>VIDEO</v>
      </c>
      <c r="AA6961" s="19" t="str">
        <f>HYPERLINK("https://ssdweb.co/ssdweb/CERTH/632488290.pdf","CERTI")</f>
        <v>CERTI</v>
      </c>
    </row>
    <row r="6962" spans="1:27" ht="15" x14ac:dyDescent="0.25">
      <c r="A6962" s="2">
        <v>6957</v>
      </c>
      <c r="B6962" s="39">
        <v>925721877</v>
      </c>
      <c r="C6962" s="28" t="str">
        <f>HYPERLINK("https://pld.live/RapDetail.aspx?STONELIST=925721877","DNA")</f>
        <v>DNA</v>
      </c>
      <c r="D6962" s="18" t="s">
        <v>711</v>
      </c>
      <c r="E6962" s="18" t="s">
        <v>5128</v>
      </c>
      <c r="F6962" s="2" t="s">
        <v>7987</v>
      </c>
      <c r="G6962" s="2" t="s">
        <v>5226</v>
      </c>
      <c r="H6962" s="14">
        <v>1.51</v>
      </c>
      <c r="I6962" s="2" t="s">
        <v>4699</v>
      </c>
      <c r="J6962" s="2" t="s">
        <v>7032</v>
      </c>
      <c r="K6962" s="2" t="s">
        <v>1452</v>
      </c>
      <c r="L6962" s="2" t="s">
        <v>5221</v>
      </c>
      <c r="M6962" s="2" t="s">
        <v>5221</v>
      </c>
      <c r="N6962" s="2" t="s">
        <v>2317</v>
      </c>
      <c r="O6962" s="14">
        <v>12300</v>
      </c>
      <c r="P6962" s="14">
        <v>96.63</v>
      </c>
      <c r="Q6962" s="14">
        <v>414.51</v>
      </c>
      <c r="R6962" s="14">
        <v>625.91</v>
      </c>
      <c r="S6962" s="2" t="s">
        <v>2170</v>
      </c>
      <c r="T6962" s="2">
        <v>1.01</v>
      </c>
      <c r="U6962" s="2">
        <v>73.7</v>
      </c>
      <c r="V6962" s="2">
        <v>66</v>
      </c>
      <c r="W6962" s="2" t="s">
        <v>7862</v>
      </c>
      <c r="X6962" s="2" t="s">
        <v>2449</v>
      </c>
      <c r="Y6962" s="2">
        <v>18573</v>
      </c>
      <c r="Z6962" s="19" t="str">
        <f>HYPERLINK("https://ssdweb.co/ssdweb/hd/Vision360.html?d=925721877&amp;zoomslide=1&amp;z=1925721877&amp;ISCONFIRM=0","VIDEO")</f>
        <v>VIDEO</v>
      </c>
      <c r="AA6962" s="19" t="str">
        <f>HYPERLINK("https://ssdweb.co/ssdweb/CERTH/624440106.pdf","CERTI")</f>
        <v>CERTI</v>
      </c>
    </row>
    <row r="6963" spans="1:27" ht="15" x14ac:dyDescent="0.25">
      <c r="A6963" s="2">
        <v>6958</v>
      </c>
      <c r="B6963" s="39">
        <v>821113849</v>
      </c>
      <c r="C6963" s="28" t="str">
        <f>HYPERLINK("https://pld.live/RapDetail.aspx?STONELIST=821113849","DNA")</f>
        <v>DNA</v>
      </c>
      <c r="D6963" s="18" t="s">
        <v>711</v>
      </c>
      <c r="E6963" s="18" t="s">
        <v>2186</v>
      </c>
      <c r="F6963" s="2" t="s">
        <v>7987</v>
      </c>
      <c r="G6963" s="2" t="s">
        <v>5226</v>
      </c>
      <c r="H6963" s="14">
        <v>1.51</v>
      </c>
      <c r="I6963" s="2" t="s">
        <v>4699</v>
      </c>
      <c r="J6963" s="2" t="s">
        <v>13</v>
      </c>
      <c r="K6963" s="2" t="s">
        <v>1452</v>
      </c>
      <c r="L6963" s="2" t="s">
        <v>5221</v>
      </c>
      <c r="M6963" s="2" t="s">
        <v>5221</v>
      </c>
      <c r="N6963" s="2" t="s">
        <v>2317</v>
      </c>
      <c r="O6963" s="14">
        <v>10200</v>
      </c>
      <c r="P6963" s="14">
        <v>98.78</v>
      </c>
      <c r="Q6963" s="14">
        <v>124.44</v>
      </c>
      <c r="R6963" s="14">
        <v>187.9</v>
      </c>
      <c r="S6963" s="2" t="s">
        <v>1872</v>
      </c>
      <c r="T6963" s="2">
        <v>1.03</v>
      </c>
      <c r="U6963" s="2">
        <v>71.2</v>
      </c>
      <c r="V6963" s="2">
        <v>71</v>
      </c>
      <c r="W6963" s="2" t="s">
        <v>7862</v>
      </c>
      <c r="X6963" s="2" t="s">
        <v>2449</v>
      </c>
      <c r="Y6963" s="2">
        <v>15402</v>
      </c>
      <c r="Z6963" s="19" t="str">
        <f>HYPERLINK("https://ssdweb.co/ssdweb/hd/Vision360.html?d=821113849&amp;zoomslide=1&amp;z=1821113849&amp;ISCONFIRM=0","VIDEO")</f>
        <v>VIDEO</v>
      </c>
      <c r="AA6963" s="19" t="str">
        <f>HYPERLINK("https://ssdweb.co/ssdweb/CERTH/623492167.pdf","CERTI")</f>
        <v>CERTI</v>
      </c>
    </row>
    <row r="6964" spans="1:27" ht="15" x14ac:dyDescent="0.25">
      <c r="A6964" s="2">
        <v>6959</v>
      </c>
      <c r="B6964" s="39">
        <v>926200897</v>
      </c>
      <c r="C6964" s="28" t="str">
        <f>HYPERLINK("https://pld.live/RapDetail.aspx?STONELIST=926200897","DNA")</f>
        <v>DNA</v>
      </c>
      <c r="D6964" s="18" t="s">
        <v>711</v>
      </c>
      <c r="E6964" s="18" t="s">
        <v>5128</v>
      </c>
      <c r="F6964" s="2" t="s">
        <v>7987</v>
      </c>
      <c r="G6964" s="2" t="s">
        <v>5226</v>
      </c>
      <c r="H6964" s="14">
        <v>1.51</v>
      </c>
      <c r="I6964" s="2" t="s">
        <v>4699</v>
      </c>
      <c r="J6964" s="2" t="s">
        <v>13</v>
      </c>
      <c r="K6964" s="2" t="s">
        <v>1452</v>
      </c>
      <c r="L6964" s="2" t="s">
        <v>5221</v>
      </c>
      <c r="M6964" s="2" t="s">
        <v>5221</v>
      </c>
      <c r="N6964" s="2" t="s">
        <v>2317</v>
      </c>
      <c r="O6964" s="14">
        <v>10200</v>
      </c>
      <c r="P6964" s="14">
        <v>98.78</v>
      </c>
      <c r="Q6964" s="14">
        <v>124.44</v>
      </c>
      <c r="R6964" s="14">
        <v>187.9</v>
      </c>
      <c r="S6964" s="2" t="s">
        <v>6292</v>
      </c>
      <c r="T6964" s="2">
        <v>1.03</v>
      </c>
      <c r="U6964" s="2">
        <v>70.099999999999994</v>
      </c>
      <c r="V6964" s="2">
        <v>69</v>
      </c>
      <c r="W6964" s="2" t="s">
        <v>7862</v>
      </c>
      <c r="X6964" s="2" t="s">
        <v>2449</v>
      </c>
      <c r="Y6964" s="2">
        <v>15402</v>
      </c>
      <c r="Z6964" s="19" t="str">
        <f>HYPERLINK("https://ssdweb.co/ssdweb/hd/Vision360.html?d=926200897&amp;zoomslide=1&amp;z=1926200897&amp;ISCONFIRM=0","VIDEO")</f>
        <v>VIDEO</v>
      </c>
      <c r="AA6964" s="19" t="str">
        <f>HYPERLINK("https://ssdweb.co/ssdweb/CERTH/635426979.pdf","CERTI")</f>
        <v>CERTI</v>
      </c>
    </row>
    <row r="6965" spans="1:27" ht="15" x14ac:dyDescent="0.25">
      <c r="A6965" s="2">
        <v>6960</v>
      </c>
      <c r="B6965" s="39">
        <v>925771124</v>
      </c>
      <c r="C6965" s="28" t="str">
        <f>HYPERLINK("https://pld.live/RapDetail.aspx?STONELIST=925771124","DNA")</f>
        <v>DNA</v>
      </c>
      <c r="D6965" s="18" t="s">
        <v>711</v>
      </c>
      <c r="E6965" s="18" t="s">
        <v>5128</v>
      </c>
      <c r="F6965" s="2" t="s">
        <v>7987</v>
      </c>
      <c r="G6965" s="2" t="s">
        <v>5226</v>
      </c>
      <c r="H6965" s="14">
        <v>1.5</v>
      </c>
      <c r="I6965" s="2" t="s">
        <v>267</v>
      </c>
      <c r="J6965" s="2" t="s">
        <v>3942</v>
      </c>
      <c r="K6965" s="2" t="s">
        <v>1452</v>
      </c>
      <c r="L6965" s="2" t="s">
        <v>5221</v>
      </c>
      <c r="M6965" s="2" t="s">
        <v>5221</v>
      </c>
      <c r="N6965" s="2" t="s">
        <v>2317</v>
      </c>
      <c r="O6965" s="14">
        <v>12500</v>
      </c>
      <c r="P6965" s="14">
        <v>98.9</v>
      </c>
      <c r="Q6965" s="14">
        <v>137.5</v>
      </c>
      <c r="R6965" s="14">
        <v>206.25</v>
      </c>
      <c r="S6965" s="2" t="s">
        <v>5745</v>
      </c>
      <c r="T6965" s="2">
        <v>1.01</v>
      </c>
      <c r="U6965" s="2">
        <v>72.099999999999994</v>
      </c>
      <c r="V6965" s="2">
        <v>66</v>
      </c>
      <c r="W6965" s="2" t="s">
        <v>7862</v>
      </c>
      <c r="X6965" s="2" t="s">
        <v>2449</v>
      </c>
      <c r="Y6965" s="2">
        <v>18750</v>
      </c>
      <c r="Z6965" s="19" t="str">
        <f>HYPERLINK("https://ssdweb.co/ssdweb/hd/Vision360.html?d=925771124&amp;zoomslide=1&amp;z=1925771124&amp;ISCONFIRM=0","VIDEO")</f>
        <v>VIDEO</v>
      </c>
      <c r="AA6965" s="19" t="str">
        <f>HYPERLINK("https://ssdweb.co/ssdweb/CERTH/626457386.pdf","CERTI")</f>
        <v>CERTI</v>
      </c>
    </row>
    <row r="6966" spans="1:27" ht="15" x14ac:dyDescent="0.25">
      <c r="A6966" s="2">
        <v>6961</v>
      </c>
      <c r="B6966" s="39">
        <v>926921471</v>
      </c>
      <c r="C6966" s="28" t="str">
        <f>HYPERLINK("https://pld.live/RapDetail.aspx?STONELIST=926921471","DNA")</f>
        <v>DNA</v>
      </c>
      <c r="D6966" s="18" t="s">
        <v>711</v>
      </c>
      <c r="E6966" s="18" t="s">
        <v>2186</v>
      </c>
      <c r="F6966" s="2" t="s">
        <v>7987</v>
      </c>
      <c r="G6966" s="2" t="s">
        <v>5226</v>
      </c>
      <c r="H6966" s="14">
        <v>1.5</v>
      </c>
      <c r="I6966" s="2" t="s">
        <v>267</v>
      </c>
      <c r="J6966" s="2" t="s">
        <v>3942</v>
      </c>
      <c r="K6966" s="2" t="s">
        <v>1452</v>
      </c>
      <c r="L6966" s="2" t="s">
        <v>5221</v>
      </c>
      <c r="M6966" s="2" t="s">
        <v>5221</v>
      </c>
      <c r="N6966" s="2" t="s">
        <v>2317</v>
      </c>
      <c r="O6966" s="14">
        <v>12500</v>
      </c>
      <c r="P6966" s="14">
        <v>98.88</v>
      </c>
      <c r="Q6966" s="14">
        <v>140</v>
      </c>
      <c r="R6966" s="14">
        <v>210</v>
      </c>
      <c r="S6966" s="2" t="s">
        <v>4690</v>
      </c>
      <c r="T6966" s="2">
        <v>1.03</v>
      </c>
      <c r="U6966" s="2">
        <v>66.599999999999994</v>
      </c>
      <c r="V6966" s="2">
        <v>74</v>
      </c>
      <c r="W6966" s="2" t="s">
        <v>7862</v>
      </c>
      <c r="X6966" s="2" t="s">
        <v>2449</v>
      </c>
      <c r="Y6966" s="2">
        <v>18750</v>
      </c>
      <c r="Z6966" s="19" t="str">
        <f>HYPERLINK("https://ssdweb.co/ssdweb/hd/Vision360.html?d=926921471&amp;zoomslide=1&amp;z=1926921471&amp;ISCONFIRM=0","VIDEO")</f>
        <v>VIDEO</v>
      </c>
      <c r="AA6966" s="19" t="str">
        <f>HYPERLINK("https://ssdweb.co/ssdweb/CERTH/660490609.pdf","CERTI")</f>
        <v>CERTI</v>
      </c>
    </row>
    <row r="6967" spans="1:27" ht="15" x14ac:dyDescent="0.25">
      <c r="A6967" s="2">
        <v>6962</v>
      </c>
      <c r="B6967" s="39">
        <v>926171468</v>
      </c>
      <c r="C6967" s="28" t="str">
        <f>HYPERLINK("https://pld.live/RapDetail.aspx?STONELIST=926171468","DNA")</f>
        <v>DNA</v>
      </c>
      <c r="D6967" s="18" t="s">
        <v>711</v>
      </c>
      <c r="E6967" s="18" t="s">
        <v>5128</v>
      </c>
      <c r="F6967" s="2" t="s">
        <v>7987</v>
      </c>
      <c r="G6967" s="2" t="s">
        <v>5226</v>
      </c>
      <c r="H6967" s="14">
        <v>1.5</v>
      </c>
      <c r="I6967" s="2" t="s">
        <v>267</v>
      </c>
      <c r="J6967" s="2" t="s">
        <v>13</v>
      </c>
      <c r="K6967" s="2" t="s">
        <v>1452</v>
      </c>
      <c r="L6967" s="2" t="s">
        <v>5221</v>
      </c>
      <c r="M6967" s="2" t="s">
        <v>5221</v>
      </c>
      <c r="N6967" s="2" t="s">
        <v>2317</v>
      </c>
      <c r="O6967" s="14">
        <v>11600</v>
      </c>
      <c r="P6967" s="14">
        <v>98.84</v>
      </c>
      <c r="Q6967" s="14">
        <v>134.56</v>
      </c>
      <c r="R6967" s="14">
        <v>201.84</v>
      </c>
      <c r="S6967" s="2" t="s">
        <v>167</v>
      </c>
      <c r="T6967" s="2">
        <v>1</v>
      </c>
      <c r="U6967" s="2">
        <v>72.900000000000006</v>
      </c>
      <c r="V6967" s="2">
        <v>70</v>
      </c>
      <c r="W6967" s="2" t="s">
        <v>7862</v>
      </c>
      <c r="X6967" s="2" t="s">
        <v>2449</v>
      </c>
      <c r="Y6967" s="2">
        <v>17400</v>
      </c>
      <c r="Z6967" s="19" t="str">
        <f>HYPERLINK("https://ssdweb.co/ssdweb/hd/Vision360.html?d=926171468&amp;zoomslide=1&amp;z=1926171468&amp;ISCONFIRM=0","VIDEO")</f>
        <v>VIDEO</v>
      </c>
      <c r="AA6967" s="19" t="str">
        <f>HYPERLINK("https://ssdweb.co/ssdweb/CERTH/635423898.pdf","CERTI")</f>
        <v>CERTI</v>
      </c>
    </row>
    <row r="6968" spans="1:27" ht="15" x14ac:dyDescent="0.25">
      <c r="A6968" s="2">
        <v>6963</v>
      </c>
      <c r="B6968" s="39">
        <v>926071936</v>
      </c>
      <c r="C6968" s="28" t="str">
        <f>HYPERLINK("https://pld.live/RapDetail.aspx?STONELIST=926071936","DNA")</f>
        <v>DNA</v>
      </c>
      <c r="D6968" s="18" t="s">
        <v>711</v>
      </c>
      <c r="E6968" s="18" t="s">
        <v>5128</v>
      </c>
      <c r="F6968" s="2" t="s">
        <v>7987</v>
      </c>
      <c r="G6968" s="2" t="s">
        <v>5226</v>
      </c>
      <c r="H6968" s="14">
        <v>1.5</v>
      </c>
      <c r="I6968" s="2" t="s">
        <v>267</v>
      </c>
      <c r="J6968" s="2" t="s">
        <v>13</v>
      </c>
      <c r="K6968" s="2" t="s">
        <v>1452</v>
      </c>
      <c r="L6968" s="2" t="s">
        <v>5221</v>
      </c>
      <c r="M6968" s="2" t="s">
        <v>5221</v>
      </c>
      <c r="N6968" s="2" t="s">
        <v>2317</v>
      </c>
      <c r="O6968" s="14">
        <v>11600</v>
      </c>
      <c r="P6968" s="14">
        <v>98.84</v>
      </c>
      <c r="Q6968" s="14">
        <v>134.56</v>
      </c>
      <c r="R6968" s="14">
        <v>201.84</v>
      </c>
      <c r="S6968" s="2" t="s">
        <v>5473</v>
      </c>
      <c r="T6968" s="2">
        <v>1</v>
      </c>
      <c r="U6968" s="2">
        <v>72.3</v>
      </c>
      <c r="V6968" s="2">
        <v>69</v>
      </c>
      <c r="W6968" s="2" t="s">
        <v>7862</v>
      </c>
      <c r="X6968" s="2" t="s">
        <v>2449</v>
      </c>
      <c r="Y6968" s="2">
        <v>17400</v>
      </c>
      <c r="Z6968" s="19" t="str">
        <f>HYPERLINK("https://ssdweb.co/ssdweb/hd/Vision360.html?d=926071936&amp;zoomslide=1&amp;z=1926071936&amp;ISCONFIRM=0","VIDEO")</f>
        <v>VIDEO</v>
      </c>
      <c r="AA6968" s="19" t="str">
        <f>HYPERLINK("https://ssdweb.co/ssdweb/CERTH/632403877.pdf","CERTI")</f>
        <v>CERTI</v>
      </c>
    </row>
    <row r="6969" spans="1:27" ht="15" x14ac:dyDescent="0.25">
      <c r="A6969" s="2">
        <v>6964</v>
      </c>
      <c r="B6969" s="39">
        <v>925970655</v>
      </c>
      <c r="C6969" s="28" t="str">
        <f>HYPERLINK("https://pld.live/RapDetail.aspx?STONELIST=925970655","DNA")</f>
        <v>DNA</v>
      </c>
      <c r="D6969" s="18" t="s">
        <v>711</v>
      </c>
      <c r="E6969" s="18" t="s">
        <v>5128</v>
      </c>
      <c r="F6969" s="2" t="s">
        <v>7987</v>
      </c>
      <c r="G6969" s="2" t="s">
        <v>5226</v>
      </c>
      <c r="H6969" s="14">
        <v>1.5</v>
      </c>
      <c r="I6969" s="2" t="s">
        <v>267</v>
      </c>
      <c r="J6969" s="2" t="s">
        <v>13</v>
      </c>
      <c r="K6969" s="2" t="s">
        <v>1452</v>
      </c>
      <c r="L6969" s="2" t="s">
        <v>5221</v>
      </c>
      <c r="M6969" s="2" t="s">
        <v>5221</v>
      </c>
      <c r="N6969" s="2" t="s">
        <v>2317</v>
      </c>
      <c r="O6969" s="14">
        <v>11600</v>
      </c>
      <c r="P6969" s="14">
        <v>98.84</v>
      </c>
      <c r="Q6969" s="14">
        <v>134.56</v>
      </c>
      <c r="R6969" s="14">
        <v>201.84</v>
      </c>
      <c r="S6969" s="2" t="s">
        <v>6043</v>
      </c>
      <c r="T6969" s="2">
        <v>1.01</v>
      </c>
      <c r="U6969" s="2">
        <v>72.7</v>
      </c>
      <c r="V6969" s="2">
        <v>70</v>
      </c>
      <c r="W6969" s="2" t="s">
        <v>7862</v>
      </c>
      <c r="X6969" s="2" t="s">
        <v>2449</v>
      </c>
      <c r="Y6969" s="2">
        <v>17400</v>
      </c>
      <c r="Z6969" s="19" t="str">
        <f>HYPERLINK("https://ssdweb.co/ssdweb/hd/Vision360.html?d=925970655&amp;zoomslide=1&amp;z=1925970655&amp;ISCONFIRM=0","VIDEO")</f>
        <v>VIDEO</v>
      </c>
      <c r="AA6969" s="19" t="str">
        <f>HYPERLINK("https://ssdweb.co/ssdweb/CERTH/628402020.pdf","CERTI")</f>
        <v>CERTI</v>
      </c>
    </row>
    <row r="6970" spans="1:27" ht="15" x14ac:dyDescent="0.25">
      <c r="A6970" s="2">
        <v>6965</v>
      </c>
      <c r="B6970" s="39">
        <v>925981271</v>
      </c>
      <c r="C6970" s="28" t="str">
        <f>HYPERLINK("https://pld.live/RapDetail.aspx?STONELIST=925981271","DNA")</f>
        <v>DNA</v>
      </c>
      <c r="D6970" s="18" t="s">
        <v>711</v>
      </c>
      <c r="E6970" s="18" t="s">
        <v>5128</v>
      </c>
      <c r="F6970" s="2" t="s">
        <v>7987</v>
      </c>
      <c r="G6970" s="2" t="s">
        <v>5226</v>
      </c>
      <c r="H6970" s="14">
        <v>1.5</v>
      </c>
      <c r="I6970" s="2" t="s">
        <v>4761</v>
      </c>
      <c r="J6970" s="2" t="s">
        <v>3942</v>
      </c>
      <c r="K6970" s="2" t="s">
        <v>1452</v>
      </c>
      <c r="L6970" s="2" t="s">
        <v>5221</v>
      </c>
      <c r="M6970" s="2" t="s">
        <v>5221</v>
      </c>
      <c r="N6970" s="2" t="s">
        <v>2317</v>
      </c>
      <c r="O6970" s="14">
        <v>11600</v>
      </c>
      <c r="P6970" s="14">
        <v>98.85</v>
      </c>
      <c r="Q6970" s="14">
        <v>133.4</v>
      </c>
      <c r="R6970" s="14">
        <v>200.1</v>
      </c>
      <c r="S6970" s="2" t="s">
        <v>7560</v>
      </c>
      <c r="T6970" s="2">
        <v>1.02</v>
      </c>
      <c r="U6970" s="2">
        <v>73.3</v>
      </c>
      <c r="V6970" s="2">
        <v>67</v>
      </c>
      <c r="W6970" s="2" t="s">
        <v>7862</v>
      </c>
      <c r="X6970" s="2" t="s">
        <v>2449</v>
      </c>
      <c r="Y6970" s="2">
        <v>17400</v>
      </c>
      <c r="Z6970" s="19" t="str">
        <f>HYPERLINK("https://ssdweb.co/ssdweb/hd/Vision360.html?d=925981271&amp;zoomslide=1&amp;z=1925981271&amp;ISCONFIRM=0","VIDEO")</f>
        <v>VIDEO</v>
      </c>
      <c r="AA6970" s="19" t="str">
        <f>HYPERLINK("https://ssdweb.co/ssdweb/CERTH/631430165.pdf","CERTI")</f>
        <v>CERTI</v>
      </c>
    </row>
    <row r="6971" spans="1:27" ht="15" x14ac:dyDescent="0.25">
      <c r="A6971" s="2">
        <v>6966</v>
      </c>
      <c r="B6971" s="39">
        <v>926071952</v>
      </c>
      <c r="C6971" s="28" t="str">
        <f>HYPERLINK("https://pld.live/RapDetail.aspx?STONELIST=926071952","DNA")</f>
        <v>DNA</v>
      </c>
      <c r="D6971" s="18" t="s">
        <v>711</v>
      </c>
      <c r="E6971" s="18" t="s">
        <v>5128</v>
      </c>
      <c r="F6971" s="2" t="s">
        <v>7987</v>
      </c>
      <c r="G6971" s="2" t="s">
        <v>5226</v>
      </c>
      <c r="H6971" s="14">
        <v>1.5</v>
      </c>
      <c r="I6971" s="2" t="s">
        <v>4761</v>
      </c>
      <c r="J6971" s="2" t="s">
        <v>3942</v>
      </c>
      <c r="K6971" s="2" t="s">
        <v>1452</v>
      </c>
      <c r="L6971" s="2" t="s">
        <v>5221</v>
      </c>
      <c r="M6971" s="2" t="s">
        <v>5221</v>
      </c>
      <c r="N6971" s="2" t="s">
        <v>2317</v>
      </c>
      <c r="O6971" s="14">
        <v>11600</v>
      </c>
      <c r="P6971" s="14">
        <v>98.85</v>
      </c>
      <c r="Q6971" s="14">
        <v>133.4</v>
      </c>
      <c r="R6971" s="14">
        <v>200.1</v>
      </c>
      <c r="S6971" s="2" t="s">
        <v>3453</v>
      </c>
      <c r="T6971" s="2">
        <v>1</v>
      </c>
      <c r="U6971" s="2">
        <v>73.5</v>
      </c>
      <c r="V6971" s="2">
        <v>68</v>
      </c>
      <c r="W6971" s="2" t="s">
        <v>7862</v>
      </c>
      <c r="X6971" s="2" t="s">
        <v>2449</v>
      </c>
      <c r="Y6971" s="2">
        <v>17400</v>
      </c>
      <c r="Z6971" s="19" t="str">
        <f>HYPERLINK("https://ssdweb.co/ssdweb/hd/Vision360.html?d=926071952&amp;zoomslide=1&amp;z=1926071952&amp;ISCONFIRM=0","VIDEO")</f>
        <v>VIDEO</v>
      </c>
      <c r="AA6971" s="19" t="str">
        <f>HYPERLINK("https://ssdweb.co/ssdweb/CERTH/633431983.pdf","CERTI")</f>
        <v>CERTI</v>
      </c>
    </row>
    <row r="6972" spans="1:27" ht="15" x14ac:dyDescent="0.25">
      <c r="A6972" s="2">
        <v>6967</v>
      </c>
      <c r="B6972" s="39">
        <v>925730800</v>
      </c>
      <c r="C6972" s="28" t="str">
        <f>HYPERLINK("https://pld.live/RapDetail.aspx?STONELIST=925730800","DNA")</f>
        <v>DNA</v>
      </c>
      <c r="D6972" s="18" t="s">
        <v>711</v>
      </c>
      <c r="E6972" s="18" t="s">
        <v>5128</v>
      </c>
      <c r="F6972" s="2" t="s">
        <v>7987</v>
      </c>
      <c r="G6972" s="2" t="s">
        <v>5226</v>
      </c>
      <c r="H6972" s="14">
        <v>1.5</v>
      </c>
      <c r="I6972" s="2" t="s">
        <v>4761</v>
      </c>
      <c r="J6972" s="2" t="s">
        <v>3942</v>
      </c>
      <c r="K6972" s="2" t="s">
        <v>1452</v>
      </c>
      <c r="L6972" s="2" t="s">
        <v>5221</v>
      </c>
      <c r="M6972" s="2" t="s">
        <v>5221</v>
      </c>
      <c r="N6972" s="2" t="s">
        <v>2317</v>
      </c>
      <c r="O6972" s="14">
        <v>11600</v>
      </c>
      <c r="P6972" s="14">
        <v>98.85</v>
      </c>
      <c r="Q6972" s="14">
        <v>133.4</v>
      </c>
      <c r="R6972" s="14">
        <v>200.1</v>
      </c>
      <c r="S6972" s="2" t="s">
        <v>2381</v>
      </c>
      <c r="T6972" s="2">
        <v>1.02</v>
      </c>
      <c r="U6972" s="2">
        <v>72.7</v>
      </c>
      <c r="V6972" s="2">
        <v>72</v>
      </c>
      <c r="W6972" s="2" t="s">
        <v>7862</v>
      </c>
      <c r="X6972" s="2" t="s">
        <v>2449</v>
      </c>
      <c r="Y6972" s="2">
        <v>17400</v>
      </c>
      <c r="Z6972" s="19" t="str">
        <f>HYPERLINK("https://ssdweb.co/ssdweb/hd/Vision360.html?d=925730800&amp;zoomslide=1&amp;z=1925730800&amp;ISCONFIRM=0","VIDEO")</f>
        <v>VIDEO</v>
      </c>
      <c r="AA6972" s="19" t="str">
        <f>HYPERLINK("https://ssdweb.co/ssdweb/CERTH/624499736.pdf","CERTI")</f>
        <v>CERTI</v>
      </c>
    </row>
    <row r="6973" spans="1:27" ht="15" x14ac:dyDescent="0.25">
      <c r="A6973" s="2">
        <v>6968</v>
      </c>
      <c r="B6973" s="39">
        <v>831010792</v>
      </c>
      <c r="C6973" s="28" t="str">
        <f>HYPERLINK("https://pld.live/RapDetail.aspx?STONELIST=831010792","DNA")</f>
        <v>DNA</v>
      </c>
      <c r="D6973" s="18" t="s">
        <v>711</v>
      </c>
      <c r="E6973" s="18" t="s">
        <v>5128</v>
      </c>
      <c r="F6973" s="2" t="s">
        <v>7987</v>
      </c>
      <c r="G6973" s="2" t="s">
        <v>5226</v>
      </c>
      <c r="H6973" s="14">
        <v>1.5</v>
      </c>
      <c r="I6973" s="2" t="s">
        <v>4761</v>
      </c>
      <c r="J6973" s="2" t="s">
        <v>13</v>
      </c>
      <c r="K6973" s="2" t="s">
        <v>1452</v>
      </c>
      <c r="L6973" s="2" t="s">
        <v>5221</v>
      </c>
      <c r="M6973" s="2" t="s">
        <v>5721</v>
      </c>
      <c r="N6973" s="2" t="s">
        <v>2317</v>
      </c>
      <c r="O6973" s="14">
        <v>10800</v>
      </c>
      <c r="P6973" s="14">
        <v>98.81</v>
      </c>
      <c r="Q6973" s="14">
        <v>128.52000000000001</v>
      </c>
      <c r="R6973" s="14">
        <v>192.78</v>
      </c>
      <c r="S6973" s="2" t="s">
        <v>4073</v>
      </c>
      <c r="T6973" s="2">
        <v>1.03</v>
      </c>
      <c r="U6973" s="2">
        <v>70.099999999999994</v>
      </c>
      <c r="V6973" s="2">
        <v>65</v>
      </c>
      <c r="W6973" s="2" t="s">
        <v>7862</v>
      </c>
      <c r="X6973" s="2" t="s">
        <v>4535</v>
      </c>
      <c r="Y6973" s="2">
        <v>16200</v>
      </c>
      <c r="Z6973" s="19" t="str">
        <f>HYPERLINK("https://ssdweb.co/ssdweb/hd/Vision360.html?d=831010792&amp;zoomslide=1&amp;z=1831010792&amp;ISCONFIRM=0","VIDEO")</f>
        <v>VIDEO</v>
      </c>
      <c r="AA6973" s="19" t="str">
        <f>HYPERLINK("https://ssdweb.co/ssdweb/CERTH/572353913.pdf","CERTI")</f>
        <v>CERTI</v>
      </c>
    </row>
    <row r="6974" spans="1:27" ht="15" x14ac:dyDescent="0.25">
      <c r="A6974" s="2">
        <v>6969</v>
      </c>
      <c r="B6974" s="39">
        <v>821113836</v>
      </c>
      <c r="C6974" s="28" t="str">
        <f>HYPERLINK("https://pld.live/RapDetail.aspx?STONELIST=821113836","DNA")</f>
        <v>DNA</v>
      </c>
      <c r="D6974" s="18" t="s">
        <v>711</v>
      </c>
      <c r="E6974" s="18" t="s">
        <v>2186</v>
      </c>
      <c r="F6974" s="2" t="s">
        <v>7987</v>
      </c>
      <c r="G6974" s="2" t="s">
        <v>5226</v>
      </c>
      <c r="H6974" s="14">
        <v>1.5</v>
      </c>
      <c r="I6974" s="2" t="s">
        <v>4699</v>
      </c>
      <c r="J6974" s="2" t="s">
        <v>13</v>
      </c>
      <c r="K6974" s="2" t="s">
        <v>1452</v>
      </c>
      <c r="L6974" s="2" t="s">
        <v>5221</v>
      </c>
      <c r="M6974" s="2" t="s">
        <v>5221</v>
      </c>
      <c r="N6974" s="2" t="s">
        <v>2317</v>
      </c>
      <c r="O6974" s="14">
        <v>10200</v>
      </c>
      <c r="P6974" s="14">
        <v>98.78</v>
      </c>
      <c r="Q6974" s="14">
        <v>124.44</v>
      </c>
      <c r="R6974" s="14">
        <v>186.66</v>
      </c>
      <c r="S6974" s="2" t="s">
        <v>7876</v>
      </c>
      <c r="T6974" s="2">
        <v>1</v>
      </c>
      <c r="U6974" s="2">
        <v>73.2</v>
      </c>
      <c r="V6974" s="2">
        <v>70</v>
      </c>
      <c r="W6974" s="2" t="s">
        <v>7862</v>
      </c>
      <c r="X6974" s="2" t="s">
        <v>2449</v>
      </c>
      <c r="Y6974" s="2">
        <v>15300</v>
      </c>
      <c r="Z6974" s="19" t="str">
        <f>HYPERLINK("https://ssdweb.co/ssdweb/hd/Vision360.html?d=821113836&amp;zoomslide=1&amp;z=1821113836&amp;ISCONFIRM=0","VIDEO")</f>
        <v>VIDEO</v>
      </c>
      <c r="AA6974" s="19" t="str">
        <f>HYPERLINK("https://ssdweb.co/ssdweb/CERTH/622486586.pdf","CERTI")</f>
        <v>CERTI</v>
      </c>
    </row>
    <row r="6975" spans="1:27" ht="15" x14ac:dyDescent="0.25">
      <c r="A6975" s="2">
        <v>6970</v>
      </c>
      <c r="B6975" s="39">
        <v>926101528</v>
      </c>
      <c r="C6975" s="28" t="str">
        <f>HYPERLINK("https://pld.live/RapDetail.aspx?STONELIST=926101528","DNA")</f>
        <v>DNA</v>
      </c>
      <c r="D6975" s="18" t="s">
        <v>711</v>
      </c>
      <c r="E6975" s="18" t="s">
        <v>5128</v>
      </c>
      <c r="F6975" s="2" t="s">
        <v>7987</v>
      </c>
      <c r="G6975" s="2" t="s">
        <v>5226</v>
      </c>
      <c r="H6975" s="14">
        <v>1.5</v>
      </c>
      <c r="I6975" s="2" t="s">
        <v>4699</v>
      </c>
      <c r="J6975" s="2" t="s">
        <v>13</v>
      </c>
      <c r="K6975" s="2" t="s">
        <v>1452</v>
      </c>
      <c r="L6975" s="2" t="s">
        <v>5221</v>
      </c>
      <c r="M6975" s="2" t="s">
        <v>5221</v>
      </c>
      <c r="N6975" s="2" t="s">
        <v>2317</v>
      </c>
      <c r="O6975" s="14">
        <v>10200</v>
      </c>
      <c r="P6975" s="14">
        <v>98.78</v>
      </c>
      <c r="Q6975" s="14">
        <v>124.44</v>
      </c>
      <c r="R6975" s="14">
        <v>186.66</v>
      </c>
      <c r="S6975" s="2" t="s">
        <v>6864</v>
      </c>
      <c r="T6975" s="2">
        <v>1</v>
      </c>
      <c r="U6975" s="2">
        <v>74</v>
      </c>
      <c r="V6975" s="2">
        <v>68</v>
      </c>
      <c r="W6975" s="2" t="s">
        <v>7862</v>
      </c>
      <c r="X6975" s="2" t="s">
        <v>2449</v>
      </c>
      <c r="Y6975" s="2">
        <v>15300</v>
      </c>
      <c r="Z6975" s="19" t="str">
        <f>HYPERLINK("https://ssdweb.co/ssdweb/hd/Vision360.html?d=926101528&amp;zoomslide=1&amp;z=1926101528&amp;ISCONFIRM=0","VIDEO")</f>
        <v>VIDEO</v>
      </c>
      <c r="AA6975" s="19" t="str">
        <f>HYPERLINK("https://ssdweb.co/ssdweb/CERTH/632421457.pdf","CERTI")</f>
        <v>CERTI</v>
      </c>
    </row>
    <row r="6976" spans="1:27" ht="15" x14ac:dyDescent="0.25">
      <c r="A6976" s="2">
        <v>6971</v>
      </c>
      <c r="B6976" s="39">
        <v>821126939</v>
      </c>
      <c r="C6976" s="28" t="str">
        <f>HYPERLINK("https://pld.live/RapDetail.aspx?STONELIST=821126939","DNA")</f>
        <v>DNA</v>
      </c>
      <c r="D6976" s="18" t="s">
        <v>5281</v>
      </c>
      <c r="E6976" s="18" t="s">
        <v>5128</v>
      </c>
      <c r="F6976" s="2" t="s">
        <v>7987</v>
      </c>
      <c r="G6976" s="2" t="s">
        <v>5226</v>
      </c>
      <c r="H6976" s="14">
        <v>1.48</v>
      </c>
      <c r="I6976" s="2" t="s">
        <v>4761</v>
      </c>
      <c r="J6976" s="2" t="s">
        <v>3942</v>
      </c>
      <c r="K6976" s="2" t="s">
        <v>1452</v>
      </c>
      <c r="L6976" s="2" t="s">
        <v>5221</v>
      </c>
      <c r="M6976" s="2" t="s">
        <v>5221</v>
      </c>
      <c r="N6976" s="2" t="s">
        <v>2317</v>
      </c>
      <c r="O6976" s="14">
        <v>6900</v>
      </c>
      <c r="P6976" s="14">
        <v>98.14</v>
      </c>
      <c r="Q6976" s="14">
        <v>128.34</v>
      </c>
      <c r="R6976" s="14">
        <v>189.94</v>
      </c>
      <c r="S6976" s="2" t="s">
        <v>6357</v>
      </c>
      <c r="T6976" s="2">
        <v>1.04</v>
      </c>
      <c r="U6976" s="2">
        <v>72.900000000000006</v>
      </c>
      <c r="V6976" s="2">
        <v>74</v>
      </c>
      <c r="W6976" s="2" t="s">
        <v>7862</v>
      </c>
      <c r="X6976" s="2" t="s">
        <v>2449</v>
      </c>
      <c r="Y6976" s="2">
        <v>10212</v>
      </c>
      <c r="Z6976" s="19" t="str">
        <f>HYPERLINK("https://ssdweb.co/ssdweb/hd/Vision360.html?d=821126939&amp;zoomslide=1&amp;z=1821126939&amp;ISCONFIRM=0","VIDEO")</f>
        <v>VIDEO</v>
      </c>
      <c r="AA6976" s="19" t="str">
        <f>HYPERLINK("https://ssdweb.co/ssdweb/CERTH/622473870.pdf","CERTI")</f>
        <v>CERTI</v>
      </c>
    </row>
    <row r="6977" spans="1:27" ht="15" x14ac:dyDescent="0.25">
      <c r="A6977" s="2">
        <v>6972</v>
      </c>
      <c r="B6977" s="39">
        <v>821126922</v>
      </c>
      <c r="C6977" s="28" t="str">
        <f>HYPERLINK("https://pld.live/RapDetail.aspx?STONELIST=821126922","DNA")</f>
        <v>DNA</v>
      </c>
      <c r="D6977" s="18" t="s">
        <v>5281</v>
      </c>
      <c r="E6977" s="18" t="s">
        <v>5128</v>
      </c>
      <c r="F6977" s="2" t="s">
        <v>7987</v>
      </c>
      <c r="G6977" s="2" t="s">
        <v>5226</v>
      </c>
      <c r="H6977" s="14">
        <v>1.48</v>
      </c>
      <c r="I6977" s="2" t="s">
        <v>4761</v>
      </c>
      <c r="J6977" s="2" t="s">
        <v>13</v>
      </c>
      <c r="K6977" s="2" t="s">
        <v>1452</v>
      </c>
      <c r="L6977" s="2" t="s">
        <v>5221</v>
      </c>
      <c r="M6977" s="2" t="s">
        <v>5221</v>
      </c>
      <c r="N6977" s="2" t="s">
        <v>2317</v>
      </c>
      <c r="O6977" s="14">
        <v>6200</v>
      </c>
      <c r="P6977" s="14">
        <v>98</v>
      </c>
      <c r="Q6977" s="14">
        <v>124</v>
      </c>
      <c r="R6977" s="14">
        <v>183.52</v>
      </c>
      <c r="S6977" s="2" t="s">
        <v>6299</v>
      </c>
      <c r="T6977" s="2">
        <v>1.03</v>
      </c>
      <c r="U6977" s="2">
        <v>74</v>
      </c>
      <c r="V6977" s="2">
        <v>68</v>
      </c>
      <c r="W6977" s="2" t="s">
        <v>7862</v>
      </c>
      <c r="X6977" s="2" t="s">
        <v>2449</v>
      </c>
      <c r="Y6977" s="2">
        <v>9176</v>
      </c>
      <c r="Z6977" s="19" t="str">
        <f>HYPERLINK("https://ssdweb.co/ssdweb/hd/Vision360.html?d=821126922&amp;zoomslide=1&amp;z=1821126922&amp;ISCONFIRM=0","VIDEO")</f>
        <v>VIDEO</v>
      </c>
      <c r="AA6977" s="19" t="str">
        <f>HYPERLINK("https://ssdweb.co/ssdweb/CERTH/622473998.pdf","CERTI")</f>
        <v>CERTI</v>
      </c>
    </row>
    <row r="6978" spans="1:27" ht="15" x14ac:dyDescent="0.25">
      <c r="A6978" s="2">
        <v>6973</v>
      </c>
      <c r="B6978" s="39">
        <v>821113845</v>
      </c>
      <c r="C6978" s="28" t="str">
        <f>HYPERLINK("https://pld.live/RapDetail.aspx?STONELIST=821113845","DNA")</f>
        <v>DNA</v>
      </c>
      <c r="D6978" s="18" t="s">
        <v>5281</v>
      </c>
      <c r="E6978" s="18" t="s">
        <v>2186</v>
      </c>
      <c r="F6978" s="2" t="s">
        <v>7987</v>
      </c>
      <c r="G6978" s="2" t="s">
        <v>5226</v>
      </c>
      <c r="H6978" s="14">
        <v>1.48</v>
      </c>
      <c r="I6978" s="2" t="s">
        <v>4761</v>
      </c>
      <c r="J6978" s="2" t="s">
        <v>13</v>
      </c>
      <c r="K6978" s="2" t="s">
        <v>1452</v>
      </c>
      <c r="L6978" s="2" t="s">
        <v>5221</v>
      </c>
      <c r="M6978" s="2" t="s">
        <v>5221</v>
      </c>
      <c r="N6978" s="2" t="s">
        <v>2317</v>
      </c>
      <c r="O6978" s="14">
        <v>6200</v>
      </c>
      <c r="P6978" s="14">
        <v>98</v>
      </c>
      <c r="Q6978" s="14">
        <v>124</v>
      </c>
      <c r="R6978" s="14">
        <v>183.52</v>
      </c>
      <c r="S6978" s="2" t="s">
        <v>5364</v>
      </c>
      <c r="T6978" s="2">
        <v>1</v>
      </c>
      <c r="U6978" s="2">
        <v>72.3</v>
      </c>
      <c r="V6978" s="2">
        <v>72</v>
      </c>
      <c r="W6978" s="2" t="s">
        <v>7862</v>
      </c>
      <c r="X6978" s="2" t="s">
        <v>2449</v>
      </c>
      <c r="Y6978" s="2">
        <v>9176</v>
      </c>
      <c r="Z6978" s="19" t="str">
        <f>HYPERLINK("https://ssdweb.co/ssdweb/hd/Vision360.html?d=821113845&amp;zoomslide=1&amp;z=1821113845&amp;ISCONFIRM=0","VIDEO")</f>
        <v>VIDEO</v>
      </c>
      <c r="AA6978" s="19" t="str">
        <f>HYPERLINK("https://ssdweb.co/ssdweb/CERTH/623444908.pdf","CERTI")</f>
        <v>CERTI</v>
      </c>
    </row>
    <row r="6979" spans="1:27" ht="15" x14ac:dyDescent="0.25">
      <c r="A6979" s="2">
        <v>6974</v>
      </c>
      <c r="B6979" s="39">
        <v>821113858</v>
      </c>
      <c r="C6979" s="28" t="str">
        <f>HYPERLINK("https://pld.live/RapDetail.aspx?STONELIST=821113858","DNA")</f>
        <v>DNA</v>
      </c>
      <c r="D6979" s="18" t="s">
        <v>5281</v>
      </c>
      <c r="E6979" s="18" t="s">
        <v>2186</v>
      </c>
      <c r="F6979" s="2" t="s">
        <v>7987</v>
      </c>
      <c r="G6979" s="2" t="s">
        <v>5226</v>
      </c>
      <c r="H6979" s="14">
        <v>1.48</v>
      </c>
      <c r="I6979" s="2" t="s">
        <v>4761</v>
      </c>
      <c r="J6979" s="2" t="s">
        <v>13</v>
      </c>
      <c r="K6979" s="2" t="s">
        <v>1452</v>
      </c>
      <c r="L6979" s="2" t="s">
        <v>5221</v>
      </c>
      <c r="M6979" s="2" t="s">
        <v>5221</v>
      </c>
      <c r="N6979" s="2" t="s">
        <v>2317</v>
      </c>
      <c r="O6979" s="14">
        <v>6200</v>
      </c>
      <c r="P6979" s="14">
        <v>98</v>
      </c>
      <c r="Q6979" s="14">
        <v>124</v>
      </c>
      <c r="R6979" s="14">
        <v>183.52</v>
      </c>
      <c r="S6979" s="2" t="s">
        <v>1361</v>
      </c>
      <c r="T6979" s="2">
        <v>1.01</v>
      </c>
      <c r="U6979" s="2">
        <v>71.5</v>
      </c>
      <c r="V6979" s="2">
        <v>71</v>
      </c>
      <c r="W6979" s="2" t="s">
        <v>7862</v>
      </c>
      <c r="X6979" s="2" t="s">
        <v>2449</v>
      </c>
      <c r="Y6979" s="2">
        <v>9176</v>
      </c>
      <c r="Z6979" s="19" t="str">
        <f>HYPERLINK("https://ssdweb.co/ssdweb/hd/Vision360.html?d=821113858&amp;zoomslide=1&amp;z=1821113858&amp;ISCONFIRM=0","VIDEO")</f>
        <v>VIDEO</v>
      </c>
      <c r="AA6979" s="19" t="str">
        <f>HYPERLINK("https://ssdweb.co/ssdweb/CERTH/622486227.pdf","CERTI")</f>
        <v>CERTI</v>
      </c>
    </row>
    <row r="6980" spans="1:27" ht="15" x14ac:dyDescent="0.25">
      <c r="A6980" s="2">
        <v>6975</v>
      </c>
      <c r="B6980" s="39">
        <v>821113865</v>
      </c>
      <c r="C6980" s="28" t="str">
        <f>HYPERLINK("https://pld.live/RapDetail.aspx?STONELIST=821113865","DNA")</f>
        <v>DNA</v>
      </c>
      <c r="D6980" s="18" t="s">
        <v>5281</v>
      </c>
      <c r="E6980" s="18" t="s">
        <v>2186</v>
      </c>
      <c r="F6980" s="2" t="s">
        <v>7987</v>
      </c>
      <c r="G6980" s="2" t="s">
        <v>5226</v>
      </c>
      <c r="H6980" s="14">
        <v>1.48</v>
      </c>
      <c r="I6980" s="2" t="s">
        <v>4761</v>
      </c>
      <c r="J6980" s="2" t="s">
        <v>13</v>
      </c>
      <c r="K6980" s="2" t="s">
        <v>1452</v>
      </c>
      <c r="L6980" s="2" t="s">
        <v>5221</v>
      </c>
      <c r="M6980" s="2" t="s">
        <v>5221</v>
      </c>
      <c r="N6980" s="2" t="s">
        <v>2317</v>
      </c>
      <c r="O6980" s="14">
        <v>6200</v>
      </c>
      <c r="P6980" s="14">
        <v>98</v>
      </c>
      <c r="Q6980" s="14">
        <v>124</v>
      </c>
      <c r="R6980" s="14">
        <v>183.52</v>
      </c>
      <c r="S6980" s="2" t="s">
        <v>7226</v>
      </c>
      <c r="T6980" s="2">
        <v>1</v>
      </c>
      <c r="U6980" s="2">
        <v>71.8</v>
      </c>
      <c r="V6980" s="2">
        <v>68</v>
      </c>
      <c r="W6980" s="2" t="s">
        <v>7862</v>
      </c>
      <c r="X6980" s="2" t="s">
        <v>2449</v>
      </c>
      <c r="Y6980" s="2">
        <v>9176</v>
      </c>
      <c r="Z6980" s="19" t="str">
        <f>HYPERLINK("https://ssdweb.co/ssdweb/hd/Vision360.html?d=821113865&amp;zoomslide=1&amp;z=1821113865&amp;ISCONFIRM=0","VIDEO")</f>
        <v>VIDEO</v>
      </c>
      <c r="AA6980" s="19" t="str">
        <f>HYPERLINK("https://ssdweb.co/ssdweb/CERTH/623477355.pdf","CERTI")</f>
        <v>CERTI</v>
      </c>
    </row>
    <row r="6981" spans="1:27" ht="15" x14ac:dyDescent="0.25">
      <c r="A6981" s="2">
        <v>6976</v>
      </c>
      <c r="B6981" s="39">
        <v>821113854</v>
      </c>
      <c r="C6981" s="28" t="str">
        <f>HYPERLINK("https://pld.live/RapDetail.aspx?STONELIST=821113854","DNA")</f>
        <v>DNA</v>
      </c>
      <c r="D6981" s="18" t="s">
        <v>5281</v>
      </c>
      <c r="E6981" s="18" t="s">
        <v>2186</v>
      </c>
      <c r="F6981" s="2" t="s">
        <v>7987</v>
      </c>
      <c r="G6981" s="2" t="s">
        <v>5226</v>
      </c>
      <c r="H6981" s="14">
        <v>1.48</v>
      </c>
      <c r="I6981" s="2" t="s">
        <v>4761</v>
      </c>
      <c r="J6981" s="2" t="s">
        <v>5144</v>
      </c>
      <c r="K6981" s="2" t="s">
        <v>1452</v>
      </c>
      <c r="L6981" s="2" t="s">
        <v>5221</v>
      </c>
      <c r="M6981" s="2" t="s">
        <v>5221</v>
      </c>
      <c r="N6981" s="2" t="s">
        <v>2317</v>
      </c>
      <c r="O6981" s="14">
        <v>5400</v>
      </c>
      <c r="P6981" s="14">
        <v>97.81</v>
      </c>
      <c r="Q6981" s="14">
        <v>118.26</v>
      </c>
      <c r="R6981" s="14">
        <v>175.02</v>
      </c>
      <c r="S6981" s="2" t="s">
        <v>3595</v>
      </c>
      <c r="T6981" s="2">
        <v>1.01</v>
      </c>
      <c r="U6981" s="2">
        <v>72.099999999999994</v>
      </c>
      <c r="V6981" s="2">
        <v>67</v>
      </c>
      <c r="W6981" s="2" t="s">
        <v>7862</v>
      </c>
      <c r="X6981" s="2" t="s">
        <v>2449</v>
      </c>
      <c r="Y6981" s="2">
        <v>7992</v>
      </c>
      <c r="Z6981" s="19" t="str">
        <f>HYPERLINK("https://ssdweb.co/ssdweb/hd/Vision360.html?d=821113854&amp;zoomslide=1&amp;z=1821113854&amp;ISCONFIRM=0","VIDEO")</f>
        <v>VIDEO</v>
      </c>
      <c r="AA6981" s="19" t="str">
        <f>HYPERLINK("https://ssdweb.co/ssdweb/CERTH/623479686.pdf","CERTI")</f>
        <v>CERTI</v>
      </c>
    </row>
    <row r="6982" spans="1:27" ht="15" x14ac:dyDescent="0.25">
      <c r="A6982" s="2">
        <v>6977</v>
      </c>
      <c r="B6982" s="39">
        <v>821126934</v>
      </c>
      <c r="C6982" s="28" t="str">
        <f>HYPERLINK("https://pld.live/RapDetail.aspx?STONELIST=821126934","DNA")</f>
        <v>DNA</v>
      </c>
      <c r="D6982" s="18" t="s">
        <v>5281</v>
      </c>
      <c r="E6982" s="18" t="s">
        <v>5128</v>
      </c>
      <c r="F6982" s="2" t="s">
        <v>7987</v>
      </c>
      <c r="G6982" s="2" t="s">
        <v>5226</v>
      </c>
      <c r="H6982" s="14">
        <v>1.48</v>
      </c>
      <c r="I6982" s="2" t="s">
        <v>6587</v>
      </c>
      <c r="J6982" s="2" t="s">
        <v>13</v>
      </c>
      <c r="K6982" s="2" t="s">
        <v>1452</v>
      </c>
      <c r="L6982" s="2" t="s">
        <v>5221</v>
      </c>
      <c r="M6982" s="2" t="s">
        <v>5221</v>
      </c>
      <c r="N6982" s="2" t="s">
        <v>2317</v>
      </c>
      <c r="O6982" s="14">
        <v>5400</v>
      </c>
      <c r="P6982" s="14">
        <v>97.98</v>
      </c>
      <c r="Q6982" s="14">
        <v>109.08</v>
      </c>
      <c r="R6982" s="14">
        <v>161.44</v>
      </c>
      <c r="S6982" s="2" t="s">
        <v>7768</v>
      </c>
      <c r="T6982" s="2">
        <v>1.01</v>
      </c>
      <c r="U6982" s="2">
        <v>73.599999999999994</v>
      </c>
      <c r="V6982" s="2">
        <v>70</v>
      </c>
      <c r="W6982" s="2" t="s">
        <v>7862</v>
      </c>
      <c r="X6982" s="2" t="s">
        <v>2449</v>
      </c>
      <c r="Y6982" s="2">
        <v>7992</v>
      </c>
      <c r="Z6982" s="19" t="str">
        <f>HYPERLINK("https://ssdweb.co/ssdweb/hd/Vision360.html?d=821126934&amp;zoomslide=1&amp;z=1821126934&amp;ISCONFIRM=0","VIDEO")</f>
        <v>VIDEO</v>
      </c>
      <c r="AA6982" s="19" t="str">
        <f>HYPERLINK("https://ssdweb.co/ssdweb/CERTH/622474016.pdf","CERTI")</f>
        <v>CERTI</v>
      </c>
    </row>
    <row r="6983" spans="1:27" ht="15" x14ac:dyDescent="0.25">
      <c r="A6983" s="2">
        <v>6978</v>
      </c>
      <c r="B6983" s="39">
        <v>926680678</v>
      </c>
      <c r="C6983" s="28" t="str">
        <f>HYPERLINK("https://pld.live/RapDetail.aspx?STONELIST=926680678","DNA")</f>
        <v>DNA</v>
      </c>
      <c r="D6983" s="18" t="s">
        <v>5281</v>
      </c>
      <c r="E6983" s="18" t="s">
        <v>2186</v>
      </c>
      <c r="F6983" s="2" t="s">
        <v>7987</v>
      </c>
      <c r="G6983" s="2" t="s">
        <v>5226</v>
      </c>
      <c r="H6983" s="14">
        <v>1.45</v>
      </c>
      <c r="I6983" s="2" t="s">
        <v>267</v>
      </c>
      <c r="J6983" s="2" t="s">
        <v>6555</v>
      </c>
      <c r="K6983" s="2" t="s">
        <v>1452</v>
      </c>
      <c r="L6983" s="2" t="s">
        <v>5221</v>
      </c>
      <c r="M6983" s="2" t="s">
        <v>5221</v>
      </c>
      <c r="N6983" s="2" t="s">
        <v>2317</v>
      </c>
      <c r="O6983" s="14">
        <v>8200</v>
      </c>
      <c r="P6983" s="14">
        <v>97.61</v>
      </c>
      <c r="Q6983" s="14">
        <v>195.98</v>
      </c>
      <c r="R6983" s="14">
        <v>284.17</v>
      </c>
      <c r="S6983" s="2" t="s">
        <v>3730</v>
      </c>
      <c r="T6983" s="2">
        <v>1.03</v>
      </c>
      <c r="U6983" s="2">
        <v>68.599999999999994</v>
      </c>
      <c r="V6983" s="2">
        <v>71</v>
      </c>
      <c r="W6983" s="2" t="s">
        <v>7862</v>
      </c>
      <c r="X6983" s="2" t="s">
        <v>2449</v>
      </c>
      <c r="Y6983" s="2">
        <v>11890</v>
      </c>
      <c r="Z6983" s="19" t="str">
        <f>HYPERLINK("https://ssdweb.co/ssdweb/hd/Vision360.html?d=926680678&amp;zoomslide=1&amp;z=1926680678&amp;ISCONFIRM=0","VIDEO")</f>
        <v>VIDEO</v>
      </c>
      <c r="AA6983" s="19" t="str">
        <f>HYPERLINK("https://ssdweb.co/ssdweb/CERTH/649490883.pdf","CERTI")</f>
        <v>CERTI</v>
      </c>
    </row>
    <row r="6984" spans="1:27" ht="15" x14ac:dyDescent="0.25">
      <c r="A6984" s="2">
        <v>6979</v>
      </c>
      <c r="B6984" s="39">
        <v>926020814</v>
      </c>
      <c r="C6984" s="28" t="str">
        <f>HYPERLINK("https://pld.live/RapDetail.aspx?STONELIST=926020814","DNA")</f>
        <v>DNA</v>
      </c>
      <c r="D6984" s="18" t="s">
        <v>5281</v>
      </c>
      <c r="E6984" s="18" t="s">
        <v>5128</v>
      </c>
      <c r="F6984" s="2" t="s">
        <v>7987</v>
      </c>
      <c r="G6984" s="2" t="s">
        <v>5226</v>
      </c>
      <c r="H6984" s="14">
        <v>1.44</v>
      </c>
      <c r="I6984" s="2" t="s">
        <v>267</v>
      </c>
      <c r="J6984" s="2" t="s">
        <v>13</v>
      </c>
      <c r="K6984" s="2" t="s">
        <v>1452</v>
      </c>
      <c r="L6984" s="2" t="s">
        <v>5221</v>
      </c>
      <c r="M6984" s="2" t="s">
        <v>5221</v>
      </c>
      <c r="N6984" s="2" t="s">
        <v>2317</v>
      </c>
      <c r="O6984" s="14">
        <v>6700</v>
      </c>
      <c r="P6984" s="14">
        <v>98.07</v>
      </c>
      <c r="Q6984" s="14">
        <v>129.31</v>
      </c>
      <c r="R6984" s="14">
        <v>186.21</v>
      </c>
      <c r="S6984" s="2" t="s">
        <v>1075</v>
      </c>
      <c r="T6984" s="2">
        <v>1.02</v>
      </c>
      <c r="U6984" s="2">
        <v>71.400000000000006</v>
      </c>
      <c r="V6984" s="2">
        <v>73</v>
      </c>
      <c r="W6984" s="2" t="s">
        <v>7862</v>
      </c>
      <c r="X6984" s="2" t="s">
        <v>2449</v>
      </c>
      <c r="Y6984" s="2">
        <v>9648</v>
      </c>
      <c r="Z6984" s="19" t="str">
        <f>HYPERLINK("https://ssdweb.co/ssdweb/hd/Vision360.html?d=926020814&amp;zoomslide=1&amp;z=1926020814&amp;ISCONFIRM=0","VIDEO")</f>
        <v>VIDEO</v>
      </c>
      <c r="AA6984" s="19" t="str">
        <f>HYPERLINK("https://ssdweb.co/ssdweb/CERTH/632480669.pdf","CERTI")</f>
        <v>CERTI</v>
      </c>
    </row>
    <row r="6985" spans="1:27" ht="15" x14ac:dyDescent="0.25">
      <c r="A6985" s="2">
        <v>6980</v>
      </c>
      <c r="B6985" s="39">
        <v>926610099</v>
      </c>
      <c r="C6985" s="28" t="str">
        <f>HYPERLINK("https://pld.live/RapDetail.aspx?STONELIST=926610099","DNA")</f>
        <v>DNA</v>
      </c>
      <c r="D6985" s="18" t="s">
        <v>5281</v>
      </c>
      <c r="E6985" s="18" t="s">
        <v>2186</v>
      </c>
      <c r="F6985" s="2" t="s">
        <v>7987</v>
      </c>
      <c r="G6985" s="2" t="s">
        <v>5226</v>
      </c>
      <c r="H6985" s="14">
        <v>1.41</v>
      </c>
      <c r="I6985" s="2" t="s">
        <v>267</v>
      </c>
      <c r="J6985" s="2" t="s">
        <v>13</v>
      </c>
      <c r="K6985" s="2" t="s">
        <v>1452</v>
      </c>
      <c r="L6985" s="2" t="s">
        <v>5221</v>
      </c>
      <c r="M6985" s="2" t="s">
        <v>5221</v>
      </c>
      <c r="N6985" s="2" t="s">
        <v>2317</v>
      </c>
      <c r="O6985" s="14">
        <v>6700</v>
      </c>
      <c r="P6985" s="14">
        <v>98.07</v>
      </c>
      <c r="Q6985" s="14">
        <v>129.31</v>
      </c>
      <c r="R6985" s="14">
        <v>182.33</v>
      </c>
      <c r="S6985" s="2" t="s">
        <v>5655</v>
      </c>
      <c r="T6985" s="2">
        <v>1.02</v>
      </c>
      <c r="U6985" s="2">
        <v>72.7</v>
      </c>
      <c r="V6985" s="2">
        <v>66</v>
      </c>
      <c r="W6985" s="2" t="s">
        <v>7862</v>
      </c>
      <c r="X6985" s="2" t="s">
        <v>2449</v>
      </c>
      <c r="Y6985" s="2">
        <v>9447</v>
      </c>
      <c r="Z6985" s="19" t="str">
        <f>HYPERLINK("https://ssdweb.co/ssdweb/hd/Vision360.html?d=926610099&amp;zoomslide=1&amp;z=1926610099&amp;ISCONFIRM=0","VIDEO")</f>
        <v>VIDEO</v>
      </c>
      <c r="AA6985" s="19" t="str">
        <f>HYPERLINK("https://ssdweb.co/ssdweb/CERTH/646458025.pdf","CERTI")</f>
        <v>CERTI</v>
      </c>
    </row>
    <row r="6986" spans="1:27" ht="15" x14ac:dyDescent="0.25">
      <c r="A6986" s="2">
        <v>6981</v>
      </c>
      <c r="B6986" s="39">
        <v>927010772</v>
      </c>
      <c r="C6986" s="28" t="str">
        <f>HYPERLINK("https://pld.live/RapDetail.aspx?STONELIST=927010772","DNA")</f>
        <v>DNA</v>
      </c>
      <c r="D6986" s="18" t="s">
        <v>5235</v>
      </c>
      <c r="E6986" s="18" t="s">
        <v>2186</v>
      </c>
      <c r="F6986" s="2" t="s">
        <v>7987</v>
      </c>
      <c r="G6986" s="2" t="s">
        <v>5226</v>
      </c>
      <c r="H6986" s="14">
        <v>1.37</v>
      </c>
      <c r="I6986" s="2" t="s">
        <v>4761</v>
      </c>
      <c r="J6986" s="2" t="s">
        <v>3942</v>
      </c>
      <c r="K6986" s="2" t="s">
        <v>1452</v>
      </c>
      <c r="L6986" s="2" t="s">
        <v>5221</v>
      </c>
      <c r="M6986" s="2" t="s">
        <v>5221</v>
      </c>
      <c r="N6986" s="2" t="s">
        <v>2317</v>
      </c>
      <c r="O6986" s="14">
        <v>6900</v>
      </c>
      <c r="P6986" s="14">
        <v>98.12</v>
      </c>
      <c r="Q6986" s="14">
        <v>129.72</v>
      </c>
      <c r="R6986" s="14">
        <v>177.72</v>
      </c>
      <c r="S6986" s="2" t="s">
        <v>3426</v>
      </c>
      <c r="T6986" s="2">
        <v>1.02</v>
      </c>
      <c r="U6986" s="2">
        <v>72.7</v>
      </c>
      <c r="V6986" s="2">
        <v>70</v>
      </c>
      <c r="W6986" s="2" t="s">
        <v>7862</v>
      </c>
      <c r="X6986" s="2" t="s">
        <v>2449</v>
      </c>
      <c r="Y6986" s="2">
        <v>9453</v>
      </c>
      <c r="Z6986" s="19" t="str">
        <f>HYPERLINK("https://ssdweb.co/ssdweb/hd/Vision360.html?d=927010772&amp;zoomslide=1&amp;z=1927010772&amp;ISCONFIRM=0","VIDEO")</f>
        <v>VIDEO</v>
      </c>
      <c r="AA6986" s="19" t="str">
        <f>HYPERLINK("https://ssdweb.co/ssdweb/CERTH/675504645.pdf","CERTI")</f>
        <v>CERTI</v>
      </c>
    </row>
    <row r="6987" spans="1:27" ht="15" x14ac:dyDescent="0.25">
      <c r="A6987" s="2">
        <v>6982</v>
      </c>
      <c r="B6987" s="39">
        <v>925520084</v>
      </c>
      <c r="C6987" s="28" t="str">
        <f>HYPERLINK("https://pld.live/RapDetail.aspx?STONELIST=925520084","DNA")</f>
        <v>DNA</v>
      </c>
      <c r="D6987" s="18" t="s">
        <v>5235</v>
      </c>
      <c r="E6987" s="18" t="s">
        <v>5128</v>
      </c>
      <c r="F6987" s="2" t="s">
        <v>7987</v>
      </c>
      <c r="G6987" s="2" t="s">
        <v>5226</v>
      </c>
      <c r="H6987" s="14">
        <v>1.33</v>
      </c>
      <c r="I6987" s="2" t="s">
        <v>4761</v>
      </c>
      <c r="J6987" s="2" t="s">
        <v>3942</v>
      </c>
      <c r="K6987" s="2" t="s">
        <v>1452</v>
      </c>
      <c r="L6987" s="2" t="s">
        <v>5221</v>
      </c>
      <c r="M6987" s="2" t="s">
        <v>5221</v>
      </c>
      <c r="N6987" s="2" t="s">
        <v>2317</v>
      </c>
      <c r="O6987" s="14">
        <v>6900</v>
      </c>
      <c r="P6987" s="14">
        <v>98.2</v>
      </c>
      <c r="Q6987" s="14">
        <v>124.2</v>
      </c>
      <c r="R6987" s="14">
        <v>165.19</v>
      </c>
      <c r="S6987" s="2" t="s">
        <v>639</v>
      </c>
      <c r="T6987" s="2">
        <v>1</v>
      </c>
      <c r="U6987" s="2">
        <v>72.3</v>
      </c>
      <c r="V6987" s="2">
        <v>72</v>
      </c>
      <c r="W6987" s="2" t="s">
        <v>4336</v>
      </c>
      <c r="X6987" s="2" t="s">
        <v>2449</v>
      </c>
      <c r="Y6987" s="2">
        <v>9177</v>
      </c>
      <c r="Z6987" s="19" t="str">
        <f>HYPERLINK("https://ssdweb.co/ssdweb/hd/Vision360.html?d=925520084&amp;zoomslide=1&amp;z=1925520084&amp;ISCONFIRM=0","VIDEO")</f>
        <v>VIDEO</v>
      </c>
      <c r="AA6987" s="19" t="str">
        <f>HYPERLINK("https://ssdweb.co/ssdweb/CERTH/616434522.pdf","CERTI")</f>
        <v>CERTI</v>
      </c>
    </row>
    <row r="6988" spans="1:27" ht="15" x14ac:dyDescent="0.25">
      <c r="A6988" s="2">
        <v>6983</v>
      </c>
      <c r="B6988" s="39">
        <v>925981238</v>
      </c>
      <c r="C6988" s="28" t="str">
        <f>HYPERLINK("https://pld.live/RapDetail.aspx?STONELIST=925981238","DNA")</f>
        <v>DNA</v>
      </c>
      <c r="D6988" s="18" t="s">
        <v>5235</v>
      </c>
      <c r="E6988" s="18" t="s">
        <v>5128</v>
      </c>
      <c r="F6988" s="2" t="s">
        <v>7987</v>
      </c>
      <c r="G6988" s="2" t="s">
        <v>5226</v>
      </c>
      <c r="H6988" s="14">
        <v>1.32</v>
      </c>
      <c r="I6988" s="2" t="s">
        <v>4699</v>
      </c>
      <c r="J6988" s="2" t="s">
        <v>5144</v>
      </c>
      <c r="K6988" s="2" t="s">
        <v>1452</v>
      </c>
      <c r="L6988" s="2" t="s">
        <v>5221</v>
      </c>
      <c r="M6988" s="2" t="s">
        <v>5221</v>
      </c>
      <c r="N6988" s="2" t="s">
        <v>2317</v>
      </c>
      <c r="O6988" s="14">
        <v>5100</v>
      </c>
      <c r="P6988" s="14">
        <v>97.71</v>
      </c>
      <c r="Q6988" s="14">
        <v>116.79</v>
      </c>
      <c r="R6988" s="14">
        <v>154.16</v>
      </c>
      <c r="S6988" s="2" t="s">
        <v>3833</v>
      </c>
      <c r="T6988" s="2">
        <v>1.02</v>
      </c>
      <c r="U6988" s="2">
        <v>72.5</v>
      </c>
      <c r="V6988" s="2">
        <v>70</v>
      </c>
      <c r="W6988" s="2" t="s">
        <v>7862</v>
      </c>
      <c r="X6988" s="2" t="s">
        <v>2449</v>
      </c>
      <c r="Y6988" s="2">
        <v>6732</v>
      </c>
      <c r="Z6988" s="19" t="str">
        <f>HYPERLINK("https://ssdweb.co/ssdweb/hd/Vision360.html?d=925981238&amp;zoomslide=1&amp;z=1925981238&amp;ISCONFIRM=0","VIDEO")</f>
        <v>VIDEO</v>
      </c>
      <c r="AA6988" s="19" t="str">
        <f>HYPERLINK("https://ssdweb.co/ssdweb/CERTH/631404600.pdf","CERTI")</f>
        <v>CERTI</v>
      </c>
    </row>
    <row r="6989" spans="1:27" ht="15" x14ac:dyDescent="0.25">
      <c r="A6989" s="2">
        <v>6984</v>
      </c>
      <c r="B6989" s="39">
        <v>925621963</v>
      </c>
      <c r="C6989" s="28" t="str">
        <f>HYPERLINK("https://pld.live/RapDetail.aspx?STONELIST=925621963","DNA")</f>
        <v>DNA</v>
      </c>
      <c r="D6989" s="18" t="s">
        <v>5235</v>
      </c>
      <c r="E6989" s="18" t="s">
        <v>5128</v>
      </c>
      <c r="F6989" s="2" t="s">
        <v>7987</v>
      </c>
      <c r="G6989" s="2" t="s">
        <v>5226</v>
      </c>
      <c r="H6989" s="14">
        <v>1.28</v>
      </c>
      <c r="I6989" s="2" t="s">
        <v>4761</v>
      </c>
      <c r="J6989" s="2" t="s">
        <v>5144</v>
      </c>
      <c r="K6989" s="2" t="s">
        <v>1452</v>
      </c>
      <c r="L6989" s="2" t="s">
        <v>5221</v>
      </c>
      <c r="M6989" s="2" t="s">
        <v>5221</v>
      </c>
      <c r="N6989" s="2" t="s">
        <v>2317</v>
      </c>
      <c r="O6989" s="14">
        <v>5400</v>
      </c>
      <c r="P6989" s="14">
        <v>97.81</v>
      </c>
      <c r="Q6989" s="14">
        <v>118.26</v>
      </c>
      <c r="R6989" s="14">
        <v>151.37</v>
      </c>
      <c r="S6989" s="2" t="s">
        <v>747</v>
      </c>
      <c r="T6989" s="2">
        <v>1</v>
      </c>
      <c r="U6989" s="2">
        <v>73</v>
      </c>
      <c r="V6989" s="2">
        <v>68</v>
      </c>
      <c r="W6989" s="2" t="s">
        <v>7862</v>
      </c>
      <c r="X6989" s="2" t="s">
        <v>2449</v>
      </c>
      <c r="Y6989" s="2">
        <v>6912</v>
      </c>
      <c r="Z6989" s="19" t="str">
        <f>HYPERLINK("https://ssdweb.co/ssdweb/hd/Vision360.html?d=925621963&amp;zoomslide=1&amp;z=1925621963&amp;ISCONFIRM=0","VIDEO")</f>
        <v>VIDEO</v>
      </c>
      <c r="AA6989" s="19" t="str">
        <f>HYPERLINK("https://ssdweb.co/ssdweb/CERTH/623493266.pdf","CERTI")</f>
        <v>CERTI</v>
      </c>
    </row>
    <row r="6990" spans="1:27" ht="15" x14ac:dyDescent="0.25">
      <c r="A6990" s="2">
        <v>6985</v>
      </c>
      <c r="B6990" s="39">
        <v>927130508</v>
      </c>
      <c r="C6990" s="28" t="str">
        <f>HYPERLINK("https://pld.live/RapDetail.aspx?STONELIST=927130508","DNA")</f>
        <v>DNA</v>
      </c>
      <c r="D6990" s="18" t="s">
        <v>5235</v>
      </c>
      <c r="E6990" s="18" t="s">
        <v>5128</v>
      </c>
      <c r="F6990" s="2" t="s">
        <v>7987</v>
      </c>
      <c r="G6990" s="2" t="s">
        <v>5226</v>
      </c>
      <c r="H6990" s="14">
        <v>1.23</v>
      </c>
      <c r="I6990" s="2" t="s">
        <v>4761</v>
      </c>
      <c r="J6990" s="2" t="s">
        <v>6555</v>
      </c>
      <c r="K6990" s="2" t="s">
        <v>1452</v>
      </c>
      <c r="L6990" s="2" t="s">
        <v>5221</v>
      </c>
      <c r="M6990" s="2" t="s">
        <v>5221</v>
      </c>
      <c r="N6990" s="2" t="s">
        <v>2317</v>
      </c>
      <c r="O6990" s="14">
        <v>7500</v>
      </c>
      <c r="P6990" s="14">
        <v>97.96</v>
      </c>
      <c r="Q6990" s="14">
        <v>153</v>
      </c>
      <c r="R6990" s="14">
        <v>188.19</v>
      </c>
      <c r="S6990" s="2" t="s">
        <v>4805</v>
      </c>
      <c r="T6990" s="2">
        <v>1.02</v>
      </c>
      <c r="U6990" s="2">
        <v>71.7</v>
      </c>
      <c r="V6990" s="2">
        <v>68</v>
      </c>
      <c r="W6990" s="2" t="s">
        <v>7862</v>
      </c>
      <c r="X6990" s="2" t="s">
        <v>2449</v>
      </c>
      <c r="Y6990" s="2">
        <v>9225</v>
      </c>
      <c r="Z6990" s="19" t="str">
        <f>HYPERLINK("https://ssdweb.co/ssdweb/hd/Vision360.html?d=927130508&amp;zoomslide=1&amp;z=1927130508&amp;ISCONFIRM=0","VIDEO")</f>
        <v>VIDEO</v>
      </c>
      <c r="AA6990" s="19" t="str">
        <f>HYPERLINK("https://ssdweb.co/ssdweb/CERTH/667433073.pdf","CERTI")</f>
        <v>CERTI</v>
      </c>
    </row>
    <row r="6991" spans="1:27" ht="15" x14ac:dyDescent="0.25">
      <c r="A6991" s="2">
        <v>6986</v>
      </c>
      <c r="B6991" s="39">
        <v>925621432</v>
      </c>
      <c r="C6991" s="28" t="str">
        <f>HYPERLINK("https://pld.live/RapDetail.aspx?STONELIST=925621432","DNA")</f>
        <v>DNA</v>
      </c>
      <c r="D6991" s="18" t="s">
        <v>5235</v>
      </c>
      <c r="E6991" s="18" t="s">
        <v>5128</v>
      </c>
      <c r="F6991" s="2" t="s">
        <v>7987</v>
      </c>
      <c r="G6991" s="2" t="s">
        <v>5226</v>
      </c>
      <c r="H6991" s="14">
        <v>1.21</v>
      </c>
      <c r="I6991" s="2" t="s">
        <v>267</v>
      </c>
      <c r="J6991" s="2" t="s">
        <v>3942</v>
      </c>
      <c r="K6991" s="2" t="s">
        <v>1452</v>
      </c>
      <c r="L6991" s="2" t="s">
        <v>5221</v>
      </c>
      <c r="M6991" s="2" t="s">
        <v>5221</v>
      </c>
      <c r="N6991" s="2" t="s">
        <v>2317</v>
      </c>
      <c r="O6991" s="14">
        <v>7600</v>
      </c>
      <c r="P6991" s="14">
        <v>98.24</v>
      </c>
      <c r="Q6991" s="14">
        <v>133.76</v>
      </c>
      <c r="R6991" s="14">
        <v>161.85</v>
      </c>
      <c r="S6991" s="2" t="s">
        <v>4377</v>
      </c>
      <c r="T6991" s="2">
        <v>1.01</v>
      </c>
      <c r="U6991" s="2">
        <v>70.5</v>
      </c>
      <c r="V6991" s="2">
        <v>70</v>
      </c>
      <c r="W6991" s="2" t="s">
        <v>7862</v>
      </c>
      <c r="X6991" s="2" t="s">
        <v>2449</v>
      </c>
      <c r="Y6991" s="2">
        <v>9196</v>
      </c>
      <c r="Z6991" s="19" t="str">
        <f>HYPERLINK("https://ssdweb.co/ssdweb/hd/Vision360.html?d=925621432&amp;zoomslide=1&amp;z=1925621432&amp;ISCONFIRM=0","VIDEO")</f>
        <v>VIDEO</v>
      </c>
      <c r="AA6991" s="19" t="str">
        <f>HYPERLINK("https://ssdweb.co/ssdweb/CERTH/620449082.pdf","CERTI")</f>
        <v>CERTI</v>
      </c>
    </row>
    <row r="6992" spans="1:27" ht="15" x14ac:dyDescent="0.25">
      <c r="A6992" s="2">
        <v>6987</v>
      </c>
      <c r="B6992" s="39">
        <v>925551885</v>
      </c>
      <c r="C6992" s="28" t="str">
        <f>HYPERLINK("https://pld.live/RapDetail.aspx?STONELIST=925551885","DNA")</f>
        <v>DNA</v>
      </c>
      <c r="D6992" s="18" t="s">
        <v>5235</v>
      </c>
      <c r="E6992" s="18" t="s">
        <v>5128</v>
      </c>
      <c r="F6992" s="2" t="s">
        <v>7987</v>
      </c>
      <c r="G6992" s="2" t="s">
        <v>5226</v>
      </c>
      <c r="H6992" s="14">
        <v>1.21</v>
      </c>
      <c r="I6992" s="2" t="s">
        <v>4699</v>
      </c>
      <c r="J6992" s="2" t="s">
        <v>6555</v>
      </c>
      <c r="K6992" s="2" t="s">
        <v>1452</v>
      </c>
      <c r="L6992" s="2" t="s">
        <v>5221</v>
      </c>
      <c r="M6992" s="2" t="s">
        <v>5221</v>
      </c>
      <c r="N6992" s="2" t="s">
        <v>2317</v>
      </c>
      <c r="O6992" s="14">
        <v>6800</v>
      </c>
      <c r="P6992" s="14">
        <v>97.87</v>
      </c>
      <c r="Q6992" s="14">
        <v>144.84</v>
      </c>
      <c r="R6992" s="14">
        <v>175.26</v>
      </c>
      <c r="S6992" s="2" t="s">
        <v>1060</v>
      </c>
      <c r="T6992" s="2">
        <v>1</v>
      </c>
      <c r="U6992" s="2">
        <v>71.599999999999994</v>
      </c>
      <c r="V6992" s="2">
        <v>67</v>
      </c>
      <c r="W6992" s="2" t="s">
        <v>4336</v>
      </c>
      <c r="X6992" s="2" t="s">
        <v>2449</v>
      </c>
      <c r="Y6992" s="2">
        <v>8228</v>
      </c>
      <c r="Z6992" s="19" t="str">
        <f>HYPERLINK("https://ssdweb.co/ssdweb/hd/Vision360.html?d=925551885&amp;zoomslide=1&amp;z=1925551885&amp;ISCONFIRM=0","VIDEO")</f>
        <v>VIDEO</v>
      </c>
      <c r="AA6992" s="19" t="str">
        <f>HYPERLINK("https://ssdweb.co/ssdweb/CERTH/620448922.pdf","CERTI")</f>
        <v>CERTI</v>
      </c>
    </row>
    <row r="6993" spans="1:27" ht="15" x14ac:dyDescent="0.25">
      <c r="A6993" s="2">
        <v>6988</v>
      </c>
      <c r="B6993" s="39">
        <v>925731375</v>
      </c>
      <c r="C6993" s="28" t="str">
        <f>HYPERLINK("https://pld.live/RapDetail.aspx?STONELIST=925731375","DNA")</f>
        <v>DNA</v>
      </c>
      <c r="D6993" s="18" t="s">
        <v>3054</v>
      </c>
      <c r="E6993" s="18" t="s">
        <v>5128</v>
      </c>
      <c r="F6993" s="2" t="s">
        <v>7987</v>
      </c>
      <c r="G6993" s="2" t="s">
        <v>5226</v>
      </c>
      <c r="H6993" s="14">
        <v>1.1200000000000001</v>
      </c>
      <c r="I6993" s="2" t="s">
        <v>4761</v>
      </c>
      <c r="J6993" s="2" t="s">
        <v>5144</v>
      </c>
      <c r="K6993" s="2" t="s">
        <v>1452</v>
      </c>
      <c r="L6993" s="2" t="s">
        <v>5221</v>
      </c>
      <c r="M6993" s="2" t="s">
        <v>5221</v>
      </c>
      <c r="N6993" s="2" t="s">
        <v>2317</v>
      </c>
      <c r="O6993" s="14">
        <v>5400</v>
      </c>
      <c r="P6993" s="14">
        <v>97.76</v>
      </c>
      <c r="Q6993" s="14">
        <v>120.96</v>
      </c>
      <c r="R6993" s="14">
        <v>135.47999999999999</v>
      </c>
      <c r="S6993" s="2" t="s">
        <v>6826</v>
      </c>
      <c r="T6993" s="2">
        <v>1.01</v>
      </c>
      <c r="U6993" s="2">
        <v>72.2</v>
      </c>
      <c r="V6993" s="2">
        <v>69</v>
      </c>
      <c r="W6993" s="2" t="s">
        <v>7862</v>
      </c>
      <c r="X6993" s="2" t="s">
        <v>2449</v>
      </c>
      <c r="Y6993" s="2">
        <v>6048</v>
      </c>
      <c r="Z6993" s="19" t="str">
        <f>HYPERLINK("https://ssdweb.co/ssdweb/hd/Vision360.html?d=925731375&amp;zoomslide=1&amp;z=1925731375&amp;ISCONFIRM=0","VIDEO")</f>
        <v>VIDEO</v>
      </c>
      <c r="AA6993" s="19" t="str">
        <f>HYPERLINK("https://ssdweb.co/ssdweb/CERTH/624440118.pdf","CERTI")</f>
        <v>CERTI</v>
      </c>
    </row>
    <row r="6994" spans="1:27" ht="15" x14ac:dyDescent="0.25">
      <c r="A6994" s="2">
        <v>6989</v>
      </c>
      <c r="B6994" s="39">
        <v>925621733</v>
      </c>
      <c r="C6994" s="28" t="str">
        <f>HYPERLINK("https://pld.live/RapDetail.aspx?STONELIST=925621733","DNA")</f>
        <v>DNA</v>
      </c>
      <c r="D6994" s="18" t="s">
        <v>3054</v>
      </c>
      <c r="E6994" s="18" t="s">
        <v>5128</v>
      </c>
      <c r="F6994" s="2" t="s">
        <v>7987</v>
      </c>
      <c r="G6994" s="2" t="s">
        <v>5226</v>
      </c>
      <c r="H6994" s="14">
        <v>1.1200000000000001</v>
      </c>
      <c r="I6994" s="2" t="s">
        <v>4761</v>
      </c>
      <c r="J6994" s="2" t="s">
        <v>5144</v>
      </c>
      <c r="K6994" s="2" t="s">
        <v>1452</v>
      </c>
      <c r="L6994" s="2" t="s">
        <v>5221</v>
      </c>
      <c r="M6994" s="2" t="s">
        <v>5221</v>
      </c>
      <c r="N6994" s="2" t="s">
        <v>2317</v>
      </c>
      <c r="O6994" s="14">
        <v>5400</v>
      </c>
      <c r="P6994" s="14">
        <v>97.76</v>
      </c>
      <c r="Q6994" s="14">
        <v>120.96</v>
      </c>
      <c r="R6994" s="14">
        <v>135.47999999999999</v>
      </c>
      <c r="S6994" s="2" t="s">
        <v>1743</v>
      </c>
      <c r="T6994" s="2">
        <v>1</v>
      </c>
      <c r="U6994" s="2">
        <v>72</v>
      </c>
      <c r="V6994" s="2">
        <v>69</v>
      </c>
      <c r="W6994" s="2" t="s">
        <v>7862</v>
      </c>
      <c r="X6994" s="2" t="s">
        <v>2449</v>
      </c>
      <c r="Y6994" s="2">
        <v>6048</v>
      </c>
      <c r="Z6994" s="19" t="str">
        <f>HYPERLINK("https://ssdweb.co/ssdweb/hd/Vision360.html?d=925621733&amp;zoomslide=1&amp;z=1925621733&amp;ISCONFIRM=0","VIDEO")</f>
        <v>VIDEO</v>
      </c>
      <c r="AA6994" s="19" t="str">
        <f>HYPERLINK("https://ssdweb.co/ssdweb/CERTH/621496757.pdf","CERTI")</f>
        <v>CERTI</v>
      </c>
    </row>
    <row r="6995" spans="1:27" ht="15" x14ac:dyDescent="0.25">
      <c r="A6995" s="2">
        <v>6990</v>
      </c>
      <c r="B6995" s="39">
        <v>926170789</v>
      </c>
      <c r="C6995" s="28" t="str">
        <f>HYPERLINK("https://pld.live/RapDetail.aspx?STONELIST=926170789","DNA")</f>
        <v>DNA</v>
      </c>
      <c r="D6995" s="18" t="s">
        <v>3054</v>
      </c>
      <c r="E6995" s="18" t="s">
        <v>5128</v>
      </c>
      <c r="F6995" s="2" t="s">
        <v>7987</v>
      </c>
      <c r="G6995" s="2" t="s">
        <v>5226</v>
      </c>
      <c r="H6995" s="14">
        <v>1.1100000000000001</v>
      </c>
      <c r="I6995" s="2" t="s">
        <v>267</v>
      </c>
      <c r="J6995" s="2" t="s">
        <v>6555</v>
      </c>
      <c r="K6995" s="2" t="s">
        <v>1452</v>
      </c>
      <c r="L6995" s="2" t="s">
        <v>5221</v>
      </c>
      <c r="M6995" s="2" t="s">
        <v>5221</v>
      </c>
      <c r="N6995" s="2" t="s">
        <v>2317</v>
      </c>
      <c r="O6995" s="14">
        <v>8200</v>
      </c>
      <c r="P6995" s="14">
        <v>98.16</v>
      </c>
      <c r="Q6995" s="14">
        <v>150.88</v>
      </c>
      <c r="R6995" s="14">
        <v>167.48</v>
      </c>
      <c r="S6995" s="2" t="s">
        <v>3405</v>
      </c>
      <c r="T6995" s="2">
        <v>1.04</v>
      </c>
      <c r="U6995" s="2">
        <v>71.599999999999994</v>
      </c>
      <c r="V6995" s="2">
        <v>71</v>
      </c>
      <c r="W6995" s="2" t="s">
        <v>7862</v>
      </c>
      <c r="X6995" s="2" t="s">
        <v>2449</v>
      </c>
      <c r="Y6995" s="2">
        <v>9102</v>
      </c>
      <c r="Z6995" s="19" t="str">
        <f>HYPERLINK("https://ssdweb.co/ssdweb/hd/Vision360.html?d=926170789&amp;zoomslide=1&amp;z=1926170789&amp;ISCONFIRM=0","VIDEO")</f>
        <v>VIDEO</v>
      </c>
      <c r="AA6995" s="19" t="str">
        <f>HYPERLINK("https://ssdweb.co/ssdweb/CERTH/633490502.pdf","CERTI")</f>
        <v>CERTI</v>
      </c>
    </row>
    <row r="6996" spans="1:27" ht="15" x14ac:dyDescent="0.25">
      <c r="A6996" s="2">
        <v>6991</v>
      </c>
      <c r="B6996" s="39">
        <v>925670057</v>
      </c>
      <c r="C6996" s="28" t="str">
        <f>HYPERLINK("https://pld.live/RapDetail.aspx?STONELIST=925670057","DNA")</f>
        <v>DNA</v>
      </c>
      <c r="D6996" s="18" t="s">
        <v>3054</v>
      </c>
      <c r="E6996" s="18" t="s">
        <v>2186</v>
      </c>
      <c r="F6996" s="2" t="s">
        <v>7987</v>
      </c>
      <c r="G6996" s="2" t="s">
        <v>5226</v>
      </c>
      <c r="H6996" s="14">
        <v>1.1100000000000001</v>
      </c>
      <c r="I6996" s="2" t="s">
        <v>4699</v>
      </c>
      <c r="J6996" s="2" t="s">
        <v>3942</v>
      </c>
      <c r="K6996" s="2" t="s">
        <v>1452</v>
      </c>
      <c r="L6996" s="2" t="s">
        <v>5221</v>
      </c>
      <c r="M6996" s="2" t="s">
        <v>5221</v>
      </c>
      <c r="N6996" s="2" t="s">
        <v>2317</v>
      </c>
      <c r="O6996" s="14">
        <v>6400</v>
      </c>
      <c r="P6996" s="14">
        <v>98.09</v>
      </c>
      <c r="Q6996" s="14">
        <v>122.24</v>
      </c>
      <c r="R6996" s="14">
        <v>135.69</v>
      </c>
      <c r="S6996" s="2" t="s">
        <v>1596</v>
      </c>
      <c r="T6996" s="2">
        <v>1</v>
      </c>
      <c r="U6996" s="2">
        <v>72.2</v>
      </c>
      <c r="V6996" s="2">
        <v>71</v>
      </c>
      <c r="W6996" s="2" t="s">
        <v>8016</v>
      </c>
      <c r="X6996" s="2" t="s">
        <v>2449</v>
      </c>
      <c r="Y6996" s="2">
        <v>7104</v>
      </c>
      <c r="Z6996" s="19" t="str">
        <f>HYPERLINK("https://ssdweb.co/ssdweb/hd/Vision360.html?d=925670057&amp;zoomslide=1&amp;z=1925670057&amp;ISCONFIRM=0","VIDEO")</f>
        <v>VIDEO</v>
      </c>
      <c r="AA6996" s="19" t="str">
        <f>HYPERLINK("https://ssdweb.co/ssdweb/CERTH/623412579.pdf","CERTI")</f>
        <v>CERTI</v>
      </c>
    </row>
    <row r="6997" spans="1:27" ht="15" x14ac:dyDescent="0.25">
      <c r="A6997" s="2">
        <v>6992</v>
      </c>
      <c r="B6997" s="39">
        <v>925621903</v>
      </c>
      <c r="C6997" s="28" t="str">
        <f>HYPERLINK("https://pld.live/RapDetail.aspx?STONELIST=925621903","DNA")</f>
        <v>DNA</v>
      </c>
      <c r="D6997" s="18" t="s">
        <v>3054</v>
      </c>
      <c r="E6997" s="18" t="s">
        <v>5128</v>
      </c>
      <c r="F6997" s="2" t="s">
        <v>7987</v>
      </c>
      <c r="G6997" s="2" t="s">
        <v>5226</v>
      </c>
      <c r="H6997" s="14">
        <v>1.1000000000000001</v>
      </c>
      <c r="I6997" s="2" t="s">
        <v>267</v>
      </c>
      <c r="J6997" s="2" t="s">
        <v>6555</v>
      </c>
      <c r="K6997" s="2" t="s">
        <v>1452</v>
      </c>
      <c r="L6997" s="2" t="s">
        <v>5221</v>
      </c>
      <c r="M6997" s="2" t="s">
        <v>5221</v>
      </c>
      <c r="N6997" s="2" t="s">
        <v>2317</v>
      </c>
      <c r="O6997" s="14">
        <v>8200</v>
      </c>
      <c r="P6997" s="14">
        <v>98.16</v>
      </c>
      <c r="Q6997" s="14">
        <v>150.88</v>
      </c>
      <c r="R6997" s="14">
        <v>165.97</v>
      </c>
      <c r="S6997" s="2" t="s">
        <v>5151</v>
      </c>
      <c r="T6997" s="2">
        <v>1.01</v>
      </c>
      <c r="U6997" s="2">
        <v>71.900000000000006</v>
      </c>
      <c r="V6997" s="2">
        <v>72</v>
      </c>
      <c r="W6997" s="2" t="s">
        <v>7862</v>
      </c>
      <c r="X6997" s="2" t="s">
        <v>2449</v>
      </c>
      <c r="Y6997" s="2">
        <v>9020</v>
      </c>
      <c r="Z6997" s="19" t="str">
        <f>HYPERLINK("https://ssdweb.co/ssdweb/hd/Vision360.html?d=925621903&amp;zoomslide=1&amp;z=1925621903&amp;ISCONFIRM=0","VIDEO")</f>
        <v>VIDEO</v>
      </c>
      <c r="AA6997" s="19" t="str">
        <f>HYPERLINK("https://ssdweb.co/ssdweb/CERTH/623412608.pdf","CERTI")</f>
        <v>CERTI</v>
      </c>
    </row>
    <row r="6998" spans="1:27" ht="15" x14ac:dyDescent="0.25">
      <c r="A6998" s="2">
        <v>6993</v>
      </c>
      <c r="B6998" s="39">
        <v>925621904</v>
      </c>
      <c r="C6998" s="28" t="str">
        <f>HYPERLINK("https://pld.live/RapDetail.aspx?STONELIST=925621904","DNA")</f>
        <v>DNA</v>
      </c>
      <c r="D6998" s="18" t="s">
        <v>3054</v>
      </c>
      <c r="E6998" s="18" t="s">
        <v>5128</v>
      </c>
      <c r="F6998" s="2" t="s">
        <v>7987</v>
      </c>
      <c r="G6998" s="2" t="s">
        <v>5226</v>
      </c>
      <c r="H6998" s="14">
        <v>1.1000000000000001</v>
      </c>
      <c r="I6998" s="2" t="s">
        <v>267</v>
      </c>
      <c r="J6998" s="2" t="s">
        <v>6555</v>
      </c>
      <c r="K6998" s="2" t="s">
        <v>1452</v>
      </c>
      <c r="L6998" s="2" t="s">
        <v>5221</v>
      </c>
      <c r="M6998" s="2" t="s">
        <v>5221</v>
      </c>
      <c r="N6998" s="2" t="s">
        <v>2317</v>
      </c>
      <c r="O6998" s="14">
        <v>8200</v>
      </c>
      <c r="P6998" s="14">
        <v>98.16</v>
      </c>
      <c r="Q6998" s="14">
        <v>150.88</v>
      </c>
      <c r="R6998" s="14">
        <v>165.97</v>
      </c>
      <c r="S6998" s="2" t="s">
        <v>3587</v>
      </c>
      <c r="T6998" s="2">
        <v>1.01</v>
      </c>
      <c r="U6998" s="2">
        <v>70.5</v>
      </c>
      <c r="V6998" s="2">
        <v>71</v>
      </c>
      <c r="W6998" s="2" t="s">
        <v>7862</v>
      </c>
      <c r="X6998" s="2" t="s">
        <v>2449</v>
      </c>
      <c r="Y6998" s="2">
        <v>9020</v>
      </c>
      <c r="Z6998" s="19" t="str">
        <f>HYPERLINK("https://ssdweb.co/ssdweb/hd/Vision360.html?d=925621904&amp;zoomslide=1&amp;z=1925621904&amp;ISCONFIRM=0","VIDEO")</f>
        <v>VIDEO</v>
      </c>
      <c r="AA6998" s="19" t="str">
        <f>HYPERLINK("https://ssdweb.co/ssdweb/CERTH/623412609.pdf","CERTI")</f>
        <v>CERTI</v>
      </c>
    </row>
    <row r="6999" spans="1:27" ht="15" x14ac:dyDescent="0.25">
      <c r="A6999" s="2">
        <v>6994</v>
      </c>
      <c r="B6999" s="39">
        <v>925621826</v>
      </c>
      <c r="C6999" s="28" t="str">
        <f>HYPERLINK("https://pld.live/RapDetail.aspx?STONELIST=925621826","DNA")</f>
        <v>DNA</v>
      </c>
      <c r="D6999" s="18" t="s">
        <v>3054</v>
      </c>
      <c r="E6999" s="18" t="s">
        <v>5128</v>
      </c>
      <c r="F6999" s="2" t="s">
        <v>7987</v>
      </c>
      <c r="G6999" s="2" t="s">
        <v>5226</v>
      </c>
      <c r="H6999" s="14">
        <v>1.1000000000000001</v>
      </c>
      <c r="I6999" s="2" t="s">
        <v>4761</v>
      </c>
      <c r="J6999" s="2" t="s">
        <v>3942</v>
      </c>
      <c r="K6999" s="2" t="s">
        <v>1452</v>
      </c>
      <c r="L6999" s="2" t="s">
        <v>5221</v>
      </c>
      <c r="M6999" s="2" t="s">
        <v>5221</v>
      </c>
      <c r="N6999" s="2" t="s">
        <v>2317</v>
      </c>
      <c r="O6999" s="14">
        <v>6900</v>
      </c>
      <c r="P6999" s="14">
        <v>98.2</v>
      </c>
      <c r="Q6999" s="14">
        <v>124.2</v>
      </c>
      <c r="R6999" s="14">
        <v>136.62</v>
      </c>
      <c r="S6999" s="2" t="s">
        <v>7981</v>
      </c>
      <c r="T6999" s="2">
        <v>1.02</v>
      </c>
      <c r="U6999" s="2">
        <v>72.599999999999994</v>
      </c>
      <c r="V6999" s="2">
        <v>69</v>
      </c>
      <c r="W6999" s="2" t="s">
        <v>4336</v>
      </c>
      <c r="X6999" s="2" t="s">
        <v>2449</v>
      </c>
      <c r="Y6999" s="2">
        <v>7590</v>
      </c>
      <c r="Z6999" s="19" t="str">
        <f>HYPERLINK("https://ssdweb.co/ssdweb/hd/Vision360.html?d=925621826&amp;zoomslide=1&amp;z=1925621826&amp;ISCONFIRM=0","VIDEO")</f>
        <v>VIDEO</v>
      </c>
      <c r="AA6999" s="19" t="str">
        <f>HYPERLINK("https://ssdweb.co/ssdweb/CERTH/621448123.pdf","CERTI")</f>
        <v>CERTI</v>
      </c>
    </row>
    <row r="7000" spans="1:27" ht="15" x14ac:dyDescent="0.25">
      <c r="A7000" s="2">
        <v>6995</v>
      </c>
      <c r="B7000" s="39">
        <v>925300299</v>
      </c>
      <c r="C7000" s="28" t="str">
        <f>HYPERLINK("https://pld.live/RapDetail.aspx?STONELIST=925300299","DNA")</f>
        <v>DNA</v>
      </c>
      <c r="D7000" s="18" t="s">
        <v>3054</v>
      </c>
      <c r="E7000" s="18" t="s">
        <v>5128</v>
      </c>
      <c r="F7000" s="2" t="s">
        <v>7987</v>
      </c>
      <c r="G7000" s="2" t="s">
        <v>5226</v>
      </c>
      <c r="H7000" s="14">
        <v>1.1000000000000001</v>
      </c>
      <c r="I7000" s="2" t="s">
        <v>4699</v>
      </c>
      <c r="J7000" s="2" t="s">
        <v>5144</v>
      </c>
      <c r="K7000" s="2" t="s">
        <v>1452</v>
      </c>
      <c r="L7000" s="2" t="s">
        <v>5221</v>
      </c>
      <c r="M7000" s="2" t="s">
        <v>5221</v>
      </c>
      <c r="N7000" s="2" t="s">
        <v>2317</v>
      </c>
      <c r="O7000" s="14">
        <v>5100</v>
      </c>
      <c r="P7000" s="14">
        <v>97.69</v>
      </c>
      <c r="Q7000" s="14">
        <v>117.81</v>
      </c>
      <c r="R7000" s="14">
        <v>129.59</v>
      </c>
      <c r="S7000" s="2" t="s">
        <v>3421</v>
      </c>
      <c r="T7000" s="2">
        <v>1</v>
      </c>
      <c r="U7000" s="2">
        <v>72.5</v>
      </c>
      <c r="V7000" s="2">
        <v>71</v>
      </c>
      <c r="W7000" s="2" t="s">
        <v>7862</v>
      </c>
      <c r="X7000" s="2" t="s">
        <v>2449</v>
      </c>
      <c r="Y7000" s="2">
        <v>5610</v>
      </c>
      <c r="Z7000" s="19" t="str">
        <f>HYPERLINK("https://ssdweb.co/ssdweb/hd/Vision360.html?d=925300299&amp;zoomslide=1&amp;z=1925300299&amp;ISCONFIRM=0","VIDEO")</f>
        <v>VIDEO</v>
      </c>
      <c r="AA7000" s="19" t="str">
        <f>HYPERLINK("https://ssdweb.co/ssdweb/CERTH/616403541.pdf","CERTI")</f>
        <v>CERTI</v>
      </c>
    </row>
    <row r="7001" spans="1:27" ht="15" x14ac:dyDescent="0.25">
      <c r="A7001" s="2">
        <v>6996</v>
      </c>
      <c r="B7001" s="39">
        <v>925551883</v>
      </c>
      <c r="C7001" s="28" t="str">
        <f>HYPERLINK("https://pld.live/RapDetail.aspx?STONELIST=925551883","DNA")</f>
        <v>DNA</v>
      </c>
      <c r="D7001" s="18" t="s">
        <v>3054</v>
      </c>
      <c r="E7001" s="18" t="s">
        <v>5128</v>
      </c>
      <c r="F7001" s="2" t="s">
        <v>7987</v>
      </c>
      <c r="G7001" s="2" t="s">
        <v>5226</v>
      </c>
      <c r="H7001" s="14">
        <v>1.0900000000000001</v>
      </c>
      <c r="I7001" s="2" t="s">
        <v>267</v>
      </c>
      <c r="J7001" s="2" t="s">
        <v>6555</v>
      </c>
      <c r="K7001" s="2" t="s">
        <v>1452</v>
      </c>
      <c r="L7001" s="2" t="s">
        <v>5221</v>
      </c>
      <c r="M7001" s="2" t="s">
        <v>5221</v>
      </c>
      <c r="N7001" s="2" t="s">
        <v>2317</v>
      </c>
      <c r="O7001" s="14">
        <v>8200</v>
      </c>
      <c r="P7001" s="14">
        <v>98.16</v>
      </c>
      <c r="Q7001" s="14">
        <v>150.88</v>
      </c>
      <c r="R7001" s="14">
        <v>164.46</v>
      </c>
      <c r="S7001" s="2" t="s">
        <v>6528</v>
      </c>
      <c r="T7001" s="2">
        <v>1</v>
      </c>
      <c r="U7001" s="2">
        <v>72.3</v>
      </c>
      <c r="V7001" s="2">
        <v>70</v>
      </c>
      <c r="W7001" s="2" t="s">
        <v>7862</v>
      </c>
      <c r="X7001" s="2" t="s">
        <v>2449</v>
      </c>
      <c r="Y7001" s="2">
        <v>8938</v>
      </c>
      <c r="Z7001" s="19" t="str">
        <f>HYPERLINK("https://ssdweb.co/ssdweb/hd/Vision360.html?d=925551883&amp;zoomslide=1&amp;z=1925551883&amp;ISCONFIRM=0","VIDEO")</f>
        <v>VIDEO</v>
      </c>
      <c r="AA7001" s="19" t="str">
        <f>HYPERLINK("https://ssdweb.co/ssdweb/CERTH/620449063.pdf","CERTI")</f>
        <v>CERTI</v>
      </c>
    </row>
    <row r="7002" spans="1:27" ht="15" x14ac:dyDescent="0.25">
      <c r="A7002" s="2">
        <v>6997</v>
      </c>
      <c r="B7002" s="39">
        <v>925721732</v>
      </c>
      <c r="C7002" s="28" t="str">
        <f>HYPERLINK("https://pld.live/RapDetail.aspx?STONELIST=925721732","DNA")</f>
        <v>DNA</v>
      </c>
      <c r="D7002" s="18" t="s">
        <v>3054</v>
      </c>
      <c r="E7002" s="18" t="s">
        <v>5128</v>
      </c>
      <c r="F7002" s="2" t="s">
        <v>7987</v>
      </c>
      <c r="G7002" s="2" t="s">
        <v>5226</v>
      </c>
      <c r="H7002" s="14">
        <v>1.0900000000000001</v>
      </c>
      <c r="I7002" s="2" t="s">
        <v>267</v>
      </c>
      <c r="J7002" s="2" t="s">
        <v>6555</v>
      </c>
      <c r="K7002" s="2" t="s">
        <v>1452</v>
      </c>
      <c r="L7002" s="2" t="s">
        <v>5221</v>
      </c>
      <c r="M7002" s="2" t="s">
        <v>5221</v>
      </c>
      <c r="N7002" s="2" t="s">
        <v>2317</v>
      </c>
      <c r="O7002" s="14">
        <v>8200</v>
      </c>
      <c r="P7002" s="14">
        <v>98.16</v>
      </c>
      <c r="Q7002" s="14">
        <v>150.88</v>
      </c>
      <c r="R7002" s="14">
        <v>164.46</v>
      </c>
      <c r="S7002" s="2" t="s">
        <v>715</v>
      </c>
      <c r="T7002" s="2">
        <v>1.03</v>
      </c>
      <c r="U7002" s="2">
        <v>70.8</v>
      </c>
      <c r="V7002" s="2">
        <v>71</v>
      </c>
      <c r="W7002" s="2" t="s">
        <v>7862</v>
      </c>
      <c r="X7002" s="2" t="s">
        <v>2449</v>
      </c>
      <c r="Y7002" s="2">
        <v>8938</v>
      </c>
      <c r="Z7002" s="19" t="str">
        <f>HYPERLINK("https://ssdweb.co/ssdweb/hd/Vision360.html?d=925721732&amp;zoomslide=1&amp;z=1925721732&amp;ISCONFIRM=0","VIDEO")</f>
        <v>VIDEO</v>
      </c>
      <c r="AA7002" s="19" t="str">
        <f>HYPERLINK("https://ssdweb.co/ssdweb/CERTH/623493233.pdf","CERTI")</f>
        <v>CERTI</v>
      </c>
    </row>
    <row r="7003" spans="1:27" ht="15" x14ac:dyDescent="0.25">
      <c r="A7003" s="2">
        <v>6998</v>
      </c>
      <c r="B7003" s="39">
        <v>925731083</v>
      </c>
      <c r="C7003" s="28" t="str">
        <f>HYPERLINK("https://pld.live/RapDetail.aspx?STONELIST=925731083","DNA")</f>
        <v>DNA</v>
      </c>
      <c r="D7003" s="18" t="s">
        <v>3054</v>
      </c>
      <c r="E7003" s="18" t="s">
        <v>5128</v>
      </c>
      <c r="F7003" s="2" t="s">
        <v>7987</v>
      </c>
      <c r="G7003" s="2" t="s">
        <v>5226</v>
      </c>
      <c r="H7003" s="14">
        <v>1.08</v>
      </c>
      <c r="I7003" s="2" t="s">
        <v>267</v>
      </c>
      <c r="J7003" s="2" t="s">
        <v>6555</v>
      </c>
      <c r="K7003" s="2" t="s">
        <v>1452</v>
      </c>
      <c r="L7003" s="2" t="s">
        <v>5221</v>
      </c>
      <c r="M7003" s="2" t="s">
        <v>5221</v>
      </c>
      <c r="N7003" s="2" t="s">
        <v>2317</v>
      </c>
      <c r="O7003" s="14">
        <v>8200</v>
      </c>
      <c r="P7003" s="14">
        <v>98.16</v>
      </c>
      <c r="Q7003" s="14">
        <v>150.88</v>
      </c>
      <c r="R7003" s="14">
        <v>162.94999999999999</v>
      </c>
      <c r="S7003" s="2" t="s">
        <v>5061</v>
      </c>
      <c r="T7003" s="2">
        <v>1.02</v>
      </c>
      <c r="U7003" s="2">
        <v>71.599999999999994</v>
      </c>
      <c r="V7003" s="2">
        <v>70</v>
      </c>
      <c r="W7003" s="2" t="s">
        <v>7862</v>
      </c>
      <c r="X7003" s="2" t="s">
        <v>2449</v>
      </c>
      <c r="Y7003" s="2">
        <v>8856</v>
      </c>
      <c r="Z7003" s="19" t="str">
        <f>HYPERLINK("https://ssdweb.co/ssdweb/hd/Vision360.html?d=925731083&amp;zoomslide=1&amp;z=1925731083&amp;ISCONFIRM=0","VIDEO")</f>
        <v>VIDEO</v>
      </c>
      <c r="AA7003" s="19" t="str">
        <f>HYPERLINK("https://ssdweb.co/ssdweb/CERTH/624499654.pdf","CERTI")</f>
        <v>CERTI</v>
      </c>
    </row>
    <row r="7004" spans="1:27" ht="15" x14ac:dyDescent="0.25">
      <c r="A7004" s="2">
        <v>6999</v>
      </c>
      <c r="B7004" s="39">
        <v>925722024</v>
      </c>
      <c r="C7004" s="28" t="str">
        <f>HYPERLINK("https://pld.live/RapDetail.aspx?STONELIST=925722024","DNA")</f>
        <v>DNA</v>
      </c>
      <c r="D7004" s="18" t="s">
        <v>3054</v>
      </c>
      <c r="E7004" s="18" t="s">
        <v>5128</v>
      </c>
      <c r="F7004" s="2" t="s">
        <v>7987</v>
      </c>
      <c r="G7004" s="2" t="s">
        <v>5226</v>
      </c>
      <c r="H7004" s="14">
        <v>1.08</v>
      </c>
      <c r="I7004" s="2" t="s">
        <v>267</v>
      </c>
      <c r="J7004" s="2" t="s">
        <v>13</v>
      </c>
      <c r="K7004" s="2" t="s">
        <v>1452</v>
      </c>
      <c r="L7004" s="2" t="s">
        <v>5221</v>
      </c>
      <c r="M7004" s="2" t="s">
        <v>5221</v>
      </c>
      <c r="N7004" s="2" t="s">
        <v>2317</v>
      </c>
      <c r="O7004" s="14">
        <v>6700</v>
      </c>
      <c r="P7004" s="14">
        <v>98.13</v>
      </c>
      <c r="Q7004" s="14">
        <v>125.29</v>
      </c>
      <c r="R7004" s="14">
        <v>135.31</v>
      </c>
      <c r="S7004" s="2" t="s">
        <v>128</v>
      </c>
      <c r="T7004" s="2">
        <v>1</v>
      </c>
      <c r="U7004" s="2">
        <v>71.599999999999994</v>
      </c>
      <c r="V7004" s="2">
        <v>73</v>
      </c>
      <c r="W7004" s="2" t="s">
        <v>7862</v>
      </c>
      <c r="X7004" s="2" t="s">
        <v>2449</v>
      </c>
      <c r="Y7004" s="2">
        <v>7236</v>
      </c>
      <c r="Z7004" s="19" t="str">
        <f>HYPERLINK("https://ssdweb.co/ssdweb/hd/Vision360.html?d=925722024&amp;zoomslide=1&amp;z=1925722024&amp;ISCONFIRM=0","VIDEO")</f>
        <v>VIDEO</v>
      </c>
      <c r="AA7004" s="19" t="str">
        <f>HYPERLINK("https://ssdweb.co/ssdweb/CERTH/625457914.pdf","CERTI")</f>
        <v>CERTI</v>
      </c>
    </row>
    <row r="7005" spans="1:27" ht="15" x14ac:dyDescent="0.25">
      <c r="A7005" s="2">
        <v>7000</v>
      </c>
      <c r="B7005" s="39">
        <v>926101052</v>
      </c>
      <c r="C7005" s="28" t="str">
        <f>HYPERLINK("https://pld.live/RapDetail.aspx?STONELIST=926101052","DNA")</f>
        <v>DNA</v>
      </c>
      <c r="D7005" s="18" t="s">
        <v>3054</v>
      </c>
      <c r="E7005" s="18" t="s">
        <v>5128</v>
      </c>
      <c r="F7005" s="2" t="s">
        <v>7987</v>
      </c>
      <c r="G7005" s="2" t="s">
        <v>5226</v>
      </c>
      <c r="H7005" s="14">
        <v>1.08</v>
      </c>
      <c r="I7005" s="2" t="s">
        <v>267</v>
      </c>
      <c r="J7005" s="2" t="s">
        <v>13</v>
      </c>
      <c r="K7005" s="2" t="s">
        <v>1452</v>
      </c>
      <c r="L7005" s="2" t="s">
        <v>5221</v>
      </c>
      <c r="M7005" s="2" t="s">
        <v>5221</v>
      </c>
      <c r="N7005" s="2" t="s">
        <v>2317</v>
      </c>
      <c r="O7005" s="14">
        <v>6700</v>
      </c>
      <c r="P7005" s="14">
        <v>98.13</v>
      </c>
      <c r="Q7005" s="14">
        <v>125.29</v>
      </c>
      <c r="R7005" s="14">
        <v>135.31</v>
      </c>
      <c r="S7005" s="2" t="s">
        <v>3103</v>
      </c>
      <c r="T7005" s="2">
        <v>1.01</v>
      </c>
      <c r="U7005" s="2">
        <v>71.900000000000006</v>
      </c>
      <c r="V7005" s="2">
        <v>69</v>
      </c>
      <c r="W7005" s="2" t="s">
        <v>7862</v>
      </c>
      <c r="X7005" s="2" t="s">
        <v>2449</v>
      </c>
      <c r="Y7005" s="2">
        <v>7236</v>
      </c>
      <c r="Z7005" s="19" t="str">
        <f>HYPERLINK("https://ssdweb.co/ssdweb/hd/Vision360.html?d=926101052&amp;zoomslide=1&amp;z=1926101052&amp;ISCONFIRM=0","VIDEO")</f>
        <v>VIDEO</v>
      </c>
      <c r="AA7005" s="19" t="str">
        <f>HYPERLINK("https://ssdweb.co/ssdweb/CERTH/632480668.pdf","CERTI")</f>
        <v>CERTI</v>
      </c>
    </row>
    <row r="7006" spans="1:27" ht="15" x14ac:dyDescent="0.25">
      <c r="A7006" s="2">
        <v>7001</v>
      </c>
      <c r="B7006" s="39">
        <v>926200743</v>
      </c>
      <c r="C7006" s="28" t="str">
        <f>HYPERLINK("https://pld.live/RapDetail.aspx?STONELIST=926200743","DNA")</f>
        <v>DNA</v>
      </c>
      <c r="D7006" s="18" t="s">
        <v>3054</v>
      </c>
      <c r="E7006" s="18" t="s">
        <v>5128</v>
      </c>
      <c r="F7006" s="2" t="s">
        <v>7987</v>
      </c>
      <c r="G7006" s="2" t="s">
        <v>5226</v>
      </c>
      <c r="H7006" s="14">
        <v>1.06</v>
      </c>
      <c r="I7006" s="2" t="s">
        <v>267</v>
      </c>
      <c r="J7006" s="2" t="s">
        <v>6555</v>
      </c>
      <c r="K7006" s="2" t="s">
        <v>1452</v>
      </c>
      <c r="L7006" s="2" t="s">
        <v>5221</v>
      </c>
      <c r="M7006" s="2" t="s">
        <v>5221</v>
      </c>
      <c r="N7006" s="2" t="s">
        <v>2317</v>
      </c>
      <c r="O7006" s="14">
        <v>8200</v>
      </c>
      <c r="P7006" s="14">
        <v>98.16</v>
      </c>
      <c r="Q7006" s="14">
        <v>150.88</v>
      </c>
      <c r="R7006" s="14">
        <v>159.93</v>
      </c>
      <c r="S7006" s="2" t="s">
        <v>5209</v>
      </c>
      <c r="T7006" s="2">
        <v>1.02</v>
      </c>
      <c r="U7006" s="2">
        <v>70.599999999999994</v>
      </c>
      <c r="V7006" s="2">
        <v>71</v>
      </c>
      <c r="W7006" s="2" t="s">
        <v>7862</v>
      </c>
      <c r="X7006" s="2" t="s">
        <v>2449</v>
      </c>
      <c r="Y7006" s="2">
        <v>8692</v>
      </c>
      <c r="Z7006" s="19" t="str">
        <f>HYPERLINK("https://ssdweb.co/ssdweb/hd/Vision360.html?d=926200743&amp;zoomslide=1&amp;z=1926200743&amp;ISCONFIRM=0","VIDEO")</f>
        <v>VIDEO</v>
      </c>
      <c r="AA7006" s="19" t="str">
        <f>HYPERLINK("https://ssdweb.co/ssdweb/CERTH/634431409.pdf","CERTI")</f>
        <v>CERTI</v>
      </c>
    </row>
    <row r="7007" spans="1:27" ht="15" x14ac:dyDescent="0.25">
      <c r="A7007" s="2">
        <v>7002</v>
      </c>
      <c r="B7007" s="39">
        <v>926171122</v>
      </c>
      <c r="C7007" s="28" t="str">
        <f>HYPERLINK("https://pld.live/RapDetail.aspx?STONELIST=926171122","DNA")</f>
        <v>DNA</v>
      </c>
      <c r="D7007" s="18" t="s">
        <v>3054</v>
      </c>
      <c r="E7007" s="18" t="s">
        <v>5128</v>
      </c>
      <c r="F7007" s="2" t="s">
        <v>7987</v>
      </c>
      <c r="G7007" s="2" t="s">
        <v>5226</v>
      </c>
      <c r="H7007" s="14">
        <v>1.06</v>
      </c>
      <c r="I7007" s="2" t="s">
        <v>267</v>
      </c>
      <c r="J7007" s="2" t="s">
        <v>5144</v>
      </c>
      <c r="K7007" s="2" t="s">
        <v>1452</v>
      </c>
      <c r="L7007" s="2" t="s">
        <v>5221</v>
      </c>
      <c r="M7007" s="2" t="s">
        <v>5221</v>
      </c>
      <c r="N7007" s="2" t="s">
        <v>2317</v>
      </c>
      <c r="O7007" s="14">
        <v>5700</v>
      </c>
      <c r="P7007" s="14">
        <v>97.84</v>
      </c>
      <c r="Q7007" s="14">
        <v>123.12</v>
      </c>
      <c r="R7007" s="14">
        <v>130.51</v>
      </c>
      <c r="S7007" s="2" t="s">
        <v>3602</v>
      </c>
      <c r="T7007" s="2">
        <v>1.01</v>
      </c>
      <c r="U7007" s="2">
        <v>71.400000000000006</v>
      </c>
      <c r="V7007" s="2">
        <v>69</v>
      </c>
      <c r="W7007" s="2" t="s">
        <v>7862</v>
      </c>
      <c r="X7007" s="2" t="s">
        <v>2449</v>
      </c>
      <c r="Y7007" s="2">
        <v>6042</v>
      </c>
      <c r="Z7007" s="19" t="str">
        <f>HYPERLINK("https://ssdweb.co/ssdweb/hd/Vision360.html?d=926171122&amp;zoomslide=1&amp;z=1926171122&amp;ISCONFIRM=0","VIDEO")</f>
        <v>VIDEO</v>
      </c>
      <c r="AA7007" s="19" t="str">
        <f>HYPERLINK("https://ssdweb.co/ssdweb/CERTH/634472346.pdf","CERTI")</f>
        <v>CERTI</v>
      </c>
    </row>
    <row r="7008" spans="1:27" ht="15" x14ac:dyDescent="0.25">
      <c r="A7008" s="2">
        <v>7003</v>
      </c>
      <c r="B7008" s="39">
        <v>926101485</v>
      </c>
      <c r="C7008" s="28" t="str">
        <f>HYPERLINK("https://pld.live/RapDetail.aspx?STONELIST=926101485","DNA")</f>
        <v>DNA</v>
      </c>
      <c r="D7008" s="18" t="s">
        <v>3054</v>
      </c>
      <c r="E7008" s="18" t="s">
        <v>5128</v>
      </c>
      <c r="F7008" s="2" t="s">
        <v>7987</v>
      </c>
      <c r="G7008" s="2" t="s">
        <v>5226</v>
      </c>
      <c r="H7008" s="14">
        <v>1.06</v>
      </c>
      <c r="I7008" s="2" t="s">
        <v>4761</v>
      </c>
      <c r="J7008" s="2" t="s">
        <v>6555</v>
      </c>
      <c r="K7008" s="2" t="s">
        <v>1452</v>
      </c>
      <c r="L7008" s="2" t="s">
        <v>5221</v>
      </c>
      <c r="M7008" s="2" t="s">
        <v>5221</v>
      </c>
      <c r="N7008" s="2" t="s">
        <v>2317</v>
      </c>
      <c r="O7008" s="14">
        <v>7500</v>
      </c>
      <c r="P7008" s="14">
        <v>98.05</v>
      </c>
      <c r="Q7008" s="14">
        <v>146.25</v>
      </c>
      <c r="R7008" s="14">
        <v>155.03</v>
      </c>
      <c r="S7008" s="2" t="s">
        <v>5611</v>
      </c>
      <c r="T7008" s="2">
        <v>1</v>
      </c>
      <c r="U7008" s="2">
        <v>71.2</v>
      </c>
      <c r="V7008" s="2">
        <v>67</v>
      </c>
      <c r="W7008" s="2" t="s">
        <v>7862</v>
      </c>
      <c r="X7008" s="2" t="s">
        <v>2449</v>
      </c>
      <c r="Y7008" s="2">
        <v>7950</v>
      </c>
      <c r="Z7008" s="19" t="str">
        <f>HYPERLINK("https://ssdweb.co/ssdweb/hd/Vision360.html?d=926101485&amp;zoomslide=1&amp;z=1926101485&amp;ISCONFIRM=0","VIDEO")</f>
        <v>VIDEO</v>
      </c>
      <c r="AA7008" s="19" t="str">
        <f>HYPERLINK("https://ssdweb.co/ssdweb/CERTH/632421452.pdf","CERTI")</f>
        <v>CERTI</v>
      </c>
    </row>
    <row r="7009" spans="1:27" ht="15" x14ac:dyDescent="0.25">
      <c r="A7009" s="2">
        <v>7004</v>
      </c>
      <c r="B7009" s="39">
        <v>926200776</v>
      </c>
      <c r="C7009" s="28" t="str">
        <f>HYPERLINK("https://pld.live/RapDetail.aspx?STONELIST=926200776","DNA")</f>
        <v>DNA</v>
      </c>
      <c r="D7009" s="18" t="s">
        <v>3054</v>
      </c>
      <c r="E7009" s="18" t="s">
        <v>5128</v>
      </c>
      <c r="F7009" s="2" t="s">
        <v>7987</v>
      </c>
      <c r="G7009" s="2" t="s">
        <v>5226</v>
      </c>
      <c r="H7009" s="14">
        <v>1.05</v>
      </c>
      <c r="I7009" s="2" t="s">
        <v>267</v>
      </c>
      <c r="J7009" s="2" t="s">
        <v>3942</v>
      </c>
      <c r="K7009" s="2" t="s">
        <v>1452</v>
      </c>
      <c r="L7009" s="2" t="s">
        <v>5221</v>
      </c>
      <c r="M7009" s="2" t="s">
        <v>5221</v>
      </c>
      <c r="N7009" s="2" t="s">
        <v>2317</v>
      </c>
      <c r="O7009" s="14">
        <v>7600</v>
      </c>
      <c r="P7009" s="14">
        <v>98.28</v>
      </c>
      <c r="Q7009" s="14">
        <v>130.72</v>
      </c>
      <c r="R7009" s="14">
        <v>137.26</v>
      </c>
      <c r="S7009" s="2" t="s">
        <v>1432</v>
      </c>
      <c r="T7009" s="2">
        <v>1.02</v>
      </c>
      <c r="U7009" s="2">
        <v>72.5</v>
      </c>
      <c r="V7009" s="2">
        <v>70</v>
      </c>
      <c r="W7009" s="2" t="s">
        <v>7862</v>
      </c>
      <c r="X7009" s="2" t="s">
        <v>2449</v>
      </c>
      <c r="Y7009" s="2">
        <v>7980</v>
      </c>
      <c r="Z7009" s="19" t="str">
        <f>HYPERLINK("https://ssdweb.co/ssdweb/hd/Vision360.html?d=926200776&amp;zoomslide=1&amp;z=1926200776&amp;ISCONFIRM=0","VIDEO")</f>
        <v>VIDEO</v>
      </c>
      <c r="AA7009" s="19" t="str">
        <f>HYPERLINK("https://ssdweb.co/ssdweb/CERTH/635426959.pdf","CERTI")</f>
        <v>CERTI</v>
      </c>
    </row>
    <row r="7010" spans="1:27" ht="15" x14ac:dyDescent="0.25">
      <c r="A7010" s="2">
        <v>7005</v>
      </c>
      <c r="B7010" s="39">
        <v>926200742</v>
      </c>
      <c r="C7010" s="28" t="str">
        <f>HYPERLINK("https://pld.live/RapDetail.aspx?STONELIST=926200742","DNA")</f>
        <v>DNA</v>
      </c>
      <c r="D7010" s="18" t="s">
        <v>3054</v>
      </c>
      <c r="E7010" s="18" t="s">
        <v>5128</v>
      </c>
      <c r="F7010" s="2" t="s">
        <v>7987</v>
      </c>
      <c r="G7010" s="2" t="s">
        <v>5226</v>
      </c>
      <c r="H7010" s="14">
        <v>1.05</v>
      </c>
      <c r="I7010" s="2" t="s">
        <v>267</v>
      </c>
      <c r="J7010" s="2" t="s">
        <v>13</v>
      </c>
      <c r="K7010" s="2" t="s">
        <v>1452</v>
      </c>
      <c r="L7010" s="2" t="s">
        <v>5221</v>
      </c>
      <c r="M7010" s="2" t="s">
        <v>5221</v>
      </c>
      <c r="N7010" s="2" t="s">
        <v>2317</v>
      </c>
      <c r="O7010" s="14">
        <v>6700</v>
      </c>
      <c r="P7010" s="14">
        <v>98.13</v>
      </c>
      <c r="Q7010" s="14">
        <v>125.29</v>
      </c>
      <c r="R7010" s="14">
        <v>131.55000000000001</v>
      </c>
      <c r="S7010" s="2" t="s">
        <v>2215</v>
      </c>
      <c r="T7010" s="2">
        <v>1.03</v>
      </c>
      <c r="U7010" s="2">
        <v>71.400000000000006</v>
      </c>
      <c r="V7010" s="2">
        <v>71</v>
      </c>
      <c r="W7010" s="2" t="s">
        <v>7862</v>
      </c>
      <c r="X7010" s="2" t="s">
        <v>2449</v>
      </c>
      <c r="Y7010" s="2">
        <v>7035</v>
      </c>
      <c r="Z7010" s="19" t="str">
        <f>HYPERLINK("https://ssdweb.co/ssdweb/hd/Vision360.html?d=926200742&amp;zoomslide=1&amp;z=1926200742&amp;ISCONFIRM=0","VIDEO")</f>
        <v>VIDEO</v>
      </c>
      <c r="AA7010" s="19" t="str">
        <f>HYPERLINK("https://ssdweb.co/ssdweb/CERTH/634431408.pdf","CERTI")</f>
        <v>CERTI</v>
      </c>
    </row>
    <row r="7011" spans="1:27" ht="15" x14ac:dyDescent="0.25">
      <c r="A7011" s="2">
        <v>7006</v>
      </c>
      <c r="B7011" s="39">
        <v>821113867</v>
      </c>
      <c r="C7011" s="28" t="str">
        <f>HYPERLINK("https://pld.live/RapDetail.aspx?STONELIST=821113867","DNA")</f>
        <v>DNA</v>
      </c>
      <c r="D7011" s="18" t="s">
        <v>3054</v>
      </c>
      <c r="E7011" s="18" t="s">
        <v>2186</v>
      </c>
      <c r="F7011" s="2" t="s">
        <v>7987</v>
      </c>
      <c r="G7011" s="2" t="s">
        <v>5226</v>
      </c>
      <c r="H7011" s="14">
        <v>1.05</v>
      </c>
      <c r="I7011" s="2" t="s">
        <v>4761</v>
      </c>
      <c r="J7011" s="2" t="s">
        <v>13</v>
      </c>
      <c r="K7011" s="2" t="s">
        <v>1452</v>
      </c>
      <c r="L7011" s="2" t="s">
        <v>5221</v>
      </c>
      <c r="M7011" s="2" t="s">
        <v>5221</v>
      </c>
      <c r="N7011" s="2" t="s">
        <v>2317</v>
      </c>
      <c r="O7011" s="14">
        <v>6200</v>
      </c>
      <c r="P7011" s="14">
        <v>98.02</v>
      </c>
      <c r="Q7011" s="14">
        <v>122.76</v>
      </c>
      <c r="R7011" s="14">
        <v>128.9</v>
      </c>
      <c r="S7011" s="2" t="s">
        <v>6683</v>
      </c>
      <c r="T7011" s="2">
        <v>1.03</v>
      </c>
      <c r="U7011" s="2">
        <v>72.599999999999994</v>
      </c>
      <c r="V7011" s="2">
        <v>69</v>
      </c>
      <c r="W7011" s="2" t="s">
        <v>7862</v>
      </c>
      <c r="X7011" s="2" t="s">
        <v>2449</v>
      </c>
      <c r="Y7011" s="2">
        <v>6510</v>
      </c>
      <c r="Z7011" s="19" t="str">
        <f>HYPERLINK("https://ssdweb.co/ssdweb/hd/Vision360.html?d=821113867&amp;zoomslide=1&amp;z=1821113867&amp;ISCONFIRM=0","VIDEO")</f>
        <v>VIDEO</v>
      </c>
      <c r="AA7011" s="19" t="str">
        <f>HYPERLINK("https://ssdweb.co/ssdweb/CERTH/623444847.pdf","CERTI")</f>
        <v>CERTI</v>
      </c>
    </row>
    <row r="7012" spans="1:27" ht="15" x14ac:dyDescent="0.25">
      <c r="A7012" s="2">
        <v>7007</v>
      </c>
      <c r="B7012" s="39">
        <v>821113325</v>
      </c>
      <c r="C7012" s="28" t="str">
        <f>HYPERLINK("https://pld.live/RapDetail.aspx?STONELIST=821113325","DNA")</f>
        <v>DNA</v>
      </c>
      <c r="D7012" s="18" t="s">
        <v>3054</v>
      </c>
      <c r="E7012" s="18" t="s">
        <v>2186</v>
      </c>
      <c r="F7012" s="2" t="s">
        <v>7987</v>
      </c>
      <c r="G7012" s="2" t="s">
        <v>5226</v>
      </c>
      <c r="H7012" s="14">
        <v>1.05</v>
      </c>
      <c r="I7012" s="2" t="s">
        <v>4761</v>
      </c>
      <c r="J7012" s="2" t="s">
        <v>5144</v>
      </c>
      <c r="K7012" s="2" t="s">
        <v>1452</v>
      </c>
      <c r="L7012" s="2" t="s">
        <v>5221</v>
      </c>
      <c r="M7012" s="2" t="s">
        <v>5221</v>
      </c>
      <c r="N7012" s="2" t="s">
        <v>2317</v>
      </c>
      <c r="O7012" s="14">
        <v>5400</v>
      </c>
      <c r="P7012" s="14">
        <v>97.76</v>
      </c>
      <c r="Q7012" s="14">
        <v>120.96</v>
      </c>
      <c r="R7012" s="14">
        <v>127.01</v>
      </c>
      <c r="S7012" s="2" t="s">
        <v>7129</v>
      </c>
      <c r="T7012" s="2">
        <v>1.02</v>
      </c>
      <c r="U7012" s="2">
        <v>72.599999999999994</v>
      </c>
      <c r="V7012" s="2">
        <v>68</v>
      </c>
      <c r="W7012" s="2" t="s">
        <v>7862</v>
      </c>
      <c r="X7012" s="2" t="s">
        <v>2449</v>
      </c>
      <c r="Y7012" s="2">
        <v>5670</v>
      </c>
      <c r="Z7012" s="19" t="str">
        <f>HYPERLINK("https://ssdweb.co/ssdweb/hd/Vision360.html?d=821113325&amp;zoomslide=1&amp;z=1821113325&amp;ISCONFIRM=0","VIDEO")</f>
        <v>VIDEO</v>
      </c>
      <c r="AA7012" s="19" t="str">
        <f>HYPERLINK("https://ssdweb.co/ssdweb/CERTH/620414888.pdf","CERTI")</f>
        <v>CERTI</v>
      </c>
    </row>
    <row r="7013" spans="1:27" ht="15" x14ac:dyDescent="0.25">
      <c r="A7013" s="2">
        <v>7008</v>
      </c>
      <c r="B7013" s="39">
        <v>926680879</v>
      </c>
      <c r="C7013" s="28" t="str">
        <f>HYPERLINK("https://pld.live/RapDetail.aspx?STONELIST=926680879","DNA")</f>
        <v>DNA</v>
      </c>
      <c r="D7013" s="18" t="s">
        <v>3054</v>
      </c>
      <c r="E7013" s="18" t="s">
        <v>2186</v>
      </c>
      <c r="F7013" s="2" t="s">
        <v>7987</v>
      </c>
      <c r="G7013" s="2" t="s">
        <v>5226</v>
      </c>
      <c r="H7013" s="14">
        <v>1.04</v>
      </c>
      <c r="I7013" s="2" t="s">
        <v>267</v>
      </c>
      <c r="J7013" s="2" t="s">
        <v>3942</v>
      </c>
      <c r="K7013" s="2" t="s">
        <v>1452</v>
      </c>
      <c r="L7013" s="2" t="s">
        <v>5221</v>
      </c>
      <c r="M7013" s="2" t="s">
        <v>5221</v>
      </c>
      <c r="N7013" s="2" t="s">
        <v>2317</v>
      </c>
      <c r="O7013" s="14">
        <v>7600</v>
      </c>
      <c r="P7013" s="14">
        <v>98.28</v>
      </c>
      <c r="Q7013" s="14">
        <v>130.72</v>
      </c>
      <c r="R7013" s="14">
        <v>135.94999999999999</v>
      </c>
      <c r="S7013" s="2" t="s">
        <v>6363</v>
      </c>
      <c r="T7013" s="2">
        <v>1.01</v>
      </c>
      <c r="U7013" s="2">
        <v>69</v>
      </c>
      <c r="V7013" s="2">
        <v>69</v>
      </c>
      <c r="W7013" s="2" t="s">
        <v>7862</v>
      </c>
      <c r="X7013" s="2" t="s">
        <v>2449</v>
      </c>
      <c r="Y7013" s="2">
        <v>7904</v>
      </c>
      <c r="Z7013" s="19" t="str">
        <f>HYPERLINK("https://ssdweb.co/ssdweb/hd/Vision360.html?d=926680879&amp;zoomslide=1&amp;z=1926680879&amp;ISCONFIRM=0","VIDEO")</f>
        <v>VIDEO</v>
      </c>
      <c r="AA7013" s="19" t="str">
        <f>HYPERLINK("https://ssdweb.co/ssdweb/CERTH/649434571.pdf","CERTI")</f>
        <v>CERTI</v>
      </c>
    </row>
    <row r="7014" spans="1:27" ht="15" x14ac:dyDescent="0.25">
      <c r="A7014" s="2">
        <v>7009</v>
      </c>
      <c r="B7014" s="39">
        <v>926101486</v>
      </c>
      <c r="C7014" s="28" t="str">
        <f>HYPERLINK("https://pld.live/RapDetail.aspx?STONELIST=926101486","DNA")</f>
        <v>DNA</v>
      </c>
      <c r="D7014" s="18" t="s">
        <v>3054</v>
      </c>
      <c r="E7014" s="18" t="s">
        <v>5128</v>
      </c>
      <c r="F7014" s="2" t="s">
        <v>7987</v>
      </c>
      <c r="G7014" s="2" t="s">
        <v>5226</v>
      </c>
      <c r="H7014" s="14">
        <v>1.04</v>
      </c>
      <c r="I7014" s="2" t="s">
        <v>4761</v>
      </c>
      <c r="J7014" s="2" t="s">
        <v>3942</v>
      </c>
      <c r="K7014" s="2" t="s">
        <v>1452</v>
      </c>
      <c r="L7014" s="2" t="s">
        <v>5221</v>
      </c>
      <c r="M7014" s="2" t="s">
        <v>5221</v>
      </c>
      <c r="N7014" s="2" t="s">
        <v>2317</v>
      </c>
      <c r="O7014" s="14">
        <v>6900</v>
      </c>
      <c r="P7014" s="14">
        <v>98.17</v>
      </c>
      <c r="Q7014" s="14">
        <v>126.27</v>
      </c>
      <c r="R7014" s="14">
        <v>131.32</v>
      </c>
      <c r="S7014" s="2" t="s">
        <v>7558</v>
      </c>
      <c r="T7014" s="2">
        <v>1</v>
      </c>
      <c r="U7014" s="2">
        <v>69.2</v>
      </c>
      <c r="V7014" s="2">
        <v>68</v>
      </c>
      <c r="W7014" s="2" t="s">
        <v>7862</v>
      </c>
      <c r="X7014" s="2" t="s">
        <v>2449</v>
      </c>
      <c r="Y7014" s="2">
        <v>7176</v>
      </c>
      <c r="Z7014" s="19" t="str">
        <f>HYPERLINK("https://ssdweb.co/ssdweb/hd/Vision360.html?d=926101486&amp;zoomslide=1&amp;z=1926101486&amp;ISCONFIRM=0","VIDEO")</f>
        <v>VIDEO</v>
      </c>
      <c r="AA7014" s="19" t="str">
        <f>HYPERLINK("https://ssdweb.co/ssdweb/CERTH/632421453.pdf","CERTI")</f>
        <v>CERTI</v>
      </c>
    </row>
    <row r="7015" spans="1:27" ht="15" x14ac:dyDescent="0.25">
      <c r="A7015" s="2">
        <v>7010</v>
      </c>
      <c r="B7015" s="39">
        <v>926790392</v>
      </c>
      <c r="C7015" s="28" t="str">
        <f>HYPERLINK("https://pld.live/RapDetail.aspx?STONELIST=926790392","DNA")</f>
        <v>DNA</v>
      </c>
      <c r="D7015" s="18" t="s">
        <v>3054</v>
      </c>
      <c r="E7015" s="18" t="s">
        <v>2186</v>
      </c>
      <c r="F7015" s="2" t="s">
        <v>5597</v>
      </c>
      <c r="G7015" s="2" t="s">
        <v>5226</v>
      </c>
      <c r="H7015" s="14">
        <v>1.04</v>
      </c>
      <c r="I7015" s="2" t="s">
        <v>4761</v>
      </c>
      <c r="J7015" s="2" t="s">
        <v>13</v>
      </c>
      <c r="K7015" s="2" t="s">
        <v>1452</v>
      </c>
      <c r="L7015" s="2" t="s">
        <v>5221</v>
      </c>
      <c r="M7015" s="2" t="s">
        <v>5721</v>
      </c>
      <c r="N7015" s="2" t="s">
        <v>2317</v>
      </c>
      <c r="O7015" s="14">
        <v>6200</v>
      </c>
      <c r="P7015" s="14">
        <v>96.77</v>
      </c>
      <c r="Q7015" s="14">
        <v>200.26</v>
      </c>
      <c r="R7015" s="14">
        <v>208.27</v>
      </c>
      <c r="S7015" s="2" t="s">
        <v>2077</v>
      </c>
      <c r="T7015" s="2">
        <v>1</v>
      </c>
      <c r="U7015" s="2">
        <v>71.2</v>
      </c>
      <c r="V7015" s="2">
        <v>69</v>
      </c>
      <c r="W7015" s="2" t="s">
        <v>7862</v>
      </c>
      <c r="X7015" s="2" t="s">
        <v>6155</v>
      </c>
      <c r="Y7015" s="2">
        <v>6448</v>
      </c>
      <c r="Z7015" s="19" t="str">
        <f>HYPERLINK("https://ssdweb.co/ssdweb/hd/Vision360.html?d=926790392&amp;zoomslide=1&amp;z=1926790392&amp;ISCONFIRM=0","VIDEO")</f>
        <v>VIDEO</v>
      </c>
      <c r="AA7015" s="19" t="str">
        <f>HYPERLINK("https://ssdweb.co/ssdweb/CERTH/2506464141.pdf","CERTI")</f>
        <v>CERTI</v>
      </c>
    </row>
    <row r="7016" spans="1:27" ht="15" x14ac:dyDescent="0.25">
      <c r="A7016" s="2">
        <v>7011</v>
      </c>
      <c r="B7016" s="39">
        <v>821113826</v>
      </c>
      <c r="C7016" s="28" t="str">
        <f>HYPERLINK("https://pld.live/RapDetail.aspx?STONELIST=821113826","DNA")</f>
        <v>DNA</v>
      </c>
      <c r="D7016" s="18" t="s">
        <v>3054</v>
      </c>
      <c r="E7016" s="18" t="s">
        <v>2186</v>
      </c>
      <c r="F7016" s="2" t="s">
        <v>7987</v>
      </c>
      <c r="G7016" s="2" t="s">
        <v>5226</v>
      </c>
      <c r="H7016" s="14">
        <v>1.04</v>
      </c>
      <c r="I7016" s="2" t="s">
        <v>4761</v>
      </c>
      <c r="J7016" s="2" t="s">
        <v>5144</v>
      </c>
      <c r="K7016" s="2" t="s">
        <v>1452</v>
      </c>
      <c r="L7016" s="2" t="s">
        <v>5221</v>
      </c>
      <c r="M7016" s="2" t="s">
        <v>5221</v>
      </c>
      <c r="N7016" s="2" t="s">
        <v>2317</v>
      </c>
      <c r="O7016" s="14">
        <v>5400</v>
      </c>
      <c r="P7016" s="14">
        <v>97.76</v>
      </c>
      <c r="Q7016" s="14">
        <v>120.96</v>
      </c>
      <c r="R7016" s="14">
        <v>125.8</v>
      </c>
      <c r="S7016" s="2" t="s">
        <v>1096</v>
      </c>
      <c r="T7016" s="2">
        <v>1.02</v>
      </c>
      <c r="U7016" s="2">
        <v>69.099999999999994</v>
      </c>
      <c r="V7016" s="2">
        <v>69</v>
      </c>
      <c r="W7016" s="2" t="s">
        <v>7862</v>
      </c>
      <c r="X7016" s="2" t="s">
        <v>2449</v>
      </c>
      <c r="Y7016" s="2">
        <v>5616</v>
      </c>
      <c r="Z7016" s="19" t="str">
        <f>HYPERLINK("https://ssdweb.co/ssdweb/hd/Vision360.html?d=821113826&amp;zoomslide=1&amp;z=1821113826&amp;ISCONFIRM=0","VIDEO")</f>
        <v>VIDEO</v>
      </c>
      <c r="AA7016" s="19" t="str">
        <f>HYPERLINK("https://ssdweb.co/ssdweb/CERTH/623479736.pdf","CERTI")</f>
        <v>CERTI</v>
      </c>
    </row>
    <row r="7017" spans="1:27" ht="15" x14ac:dyDescent="0.25">
      <c r="A7017" s="2">
        <v>7012</v>
      </c>
      <c r="B7017" s="39">
        <v>926700687</v>
      </c>
      <c r="C7017" s="28" t="str">
        <f>HYPERLINK("https://pld.live/RapDetail.aspx?STONELIST=926700687","DNA")</f>
        <v>DNA</v>
      </c>
      <c r="D7017" s="18" t="s">
        <v>3054</v>
      </c>
      <c r="E7017" s="18" t="s">
        <v>5128</v>
      </c>
      <c r="F7017" s="2" t="s">
        <v>7987</v>
      </c>
      <c r="G7017" s="2" t="s">
        <v>5226</v>
      </c>
      <c r="H7017" s="14">
        <v>1.04</v>
      </c>
      <c r="I7017" s="2" t="s">
        <v>4699</v>
      </c>
      <c r="J7017" s="2" t="s">
        <v>6555</v>
      </c>
      <c r="K7017" s="2" t="s">
        <v>1452</v>
      </c>
      <c r="L7017" s="2" t="s">
        <v>5221</v>
      </c>
      <c r="M7017" s="2" t="s">
        <v>5221</v>
      </c>
      <c r="N7017" s="2" t="s">
        <v>2317</v>
      </c>
      <c r="O7017" s="14">
        <v>6800</v>
      </c>
      <c r="P7017" s="14">
        <v>97.93</v>
      </c>
      <c r="Q7017" s="14">
        <v>140.76</v>
      </c>
      <c r="R7017" s="14">
        <v>146.38999999999999</v>
      </c>
      <c r="S7017" s="2" t="s">
        <v>4717</v>
      </c>
      <c r="T7017" s="2">
        <v>1.03</v>
      </c>
      <c r="U7017" s="2">
        <v>71.8</v>
      </c>
      <c r="V7017" s="2">
        <v>67</v>
      </c>
      <c r="W7017" s="2" t="s">
        <v>7862</v>
      </c>
      <c r="X7017" s="2" t="s">
        <v>2449</v>
      </c>
      <c r="Y7017" s="2">
        <v>7072</v>
      </c>
      <c r="Z7017" s="19" t="str">
        <f>HYPERLINK("https://ssdweb.co/ssdweb/hd/Vision360.html?d=926700687&amp;zoomslide=1&amp;z=1926700687&amp;ISCONFIRM=0","VIDEO")</f>
        <v>VIDEO</v>
      </c>
      <c r="AA7017" s="19" t="str">
        <f>HYPERLINK("https://ssdweb.co/ssdweb/CERTH/649434566.pdf","CERTI")</f>
        <v>CERTI</v>
      </c>
    </row>
    <row r="7018" spans="1:27" ht="15" x14ac:dyDescent="0.25">
      <c r="A7018" s="2">
        <v>7013</v>
      </c>
      <c r="B7018" s="39">
        <v>925950003</v>
      </c>
      <c r="C7018" s="28" t="str">
        <f>HYPERLINK("https://pld.live/RapDetail.aspx?STONELIST=925950003","DNA")</f>
        <v>DNA</v>
      </c>
      <c r="D7018" s="18" t="s">
        <v>3054</v>
      </c>
      <c r="E7018" s="18" t="s">
        <v>5128</v>
      </c>
      <c r="F7018" s="2" t="s">
        <v>7987</v>
      </c>
      <c r="G7018" s="2" t="s">
        <v>5226</v>
      </c>
      <c r="H7018" s="14">
        <v>1.03</v>
      </c>
      <c r="I7018" s="2" t="s">
        <v>4761</v>
      </c>
      <c r="J7018" s="2" t="s">
        <v>7032</v>
      </c>
      <c r="K7018" s="2" t="s">
        <v>1452</v>
      </c>
      <c r="L7018" s="2" t="s">
        <v>5221</v>
      </c>
      <c r="M7018" s="2" t="s">
        <v>5221</v>
      </c>
      <c r="N7018" s="2" t="s">
        <v>2317</v>
      </c>
      <c r="O7018" s="14">
        <v>8200</v>
      </c>
      <c r="P7018" s="14">
        <v>97.26</v>
      </c>
      <c r="Q7018" s="14">
        <v>224.68</v>
      </c>
      <c r="R7018" s="14">
        <v>231.42</v>
      </c>
      <c r="S7018" s="2" t="s">
        <v>3400</v>
      </c>
      <c r="T7018" s="2">
        <v>1.01</v>
      </c>
      <c r="U7018" s="2">
        <v>70.7</v>
      </c>
      <c r="V7018" s="2">
        <v>71</v>
      </c>
      <c r="W7018" s="2" t="s">
        <v>7862</v>
      </c>
      <c r="X7018" s="2" t="s">
        <v>2449</v>
      </c>
      <c r="Y7018" s="2">
        <v>8446</v>
      </c>
      <c r="Z7018" s="19" t="str">
        <f>HYPERLINK("https://ssdweb.co/ssdweb/hd/Vision360.html?d=925950003&amp;zoomslide=1&amp;z=1925950003&amp;ISCONFIRM=0","VIDEO")</f>
        <v>VIDEO</v>
      </c>
      <c r="AA7018" s="19" t="str">
        <f>HYPERLINK("https://ssdweb.co/ssdweb/CERTH/626414922.pdf","CERTI")</f>
        <v>CERTI</v>
      </c>
    </row>
    <row r="7019" spans="1:27" ht="15" x14ac:dyDescent="0.25">
      <c r="A7019" s="2">
        <v>7014</v>
      </c>
      <c r="B7019" s="39">
        <v>926841326</v>
      </c>
      <c r="C7019" s="28" t="str">
        <f>HYPERLINK("https://pld.live/RapDetail.aspx?STONELIST=926841326","DNA")</f>
        <v>DNA</v>
      </c>
      <c r="D7019" s="18" t="s">
        <v>3054</v>
      </c>
      <c r="E7019" s="18" t="s">
        <v>2186</v>
      </c>
      <c r="F7019" s="2" t="s">
        <v>7987</v>
      </c>
      <c r="G7019" s="2" t="s">
        <v>5226</v>
      </c>
      <c r="H7019" s="14">
        <v>1.02</v>
      </c>
      <c r="I7019" s="2" t="s">
        <v>267</v>
      </c>
      <c r="J7019" s="2" t="s">
        <v>6555</v>
      </c>
      <c r="K7019" s="2" t="s">
        <v>1452</v>
      </c>
      <c r="L7019" s="2" t="s">
        <v>5221</v>
      </c>
      <c r="M7019" s="2" t="s">
        <v>5221</v>
      </c>
      <c r="N7019" s="2" t="s">
        <v>2317</v>
      </c>
      <c r="O7019" s="14">
        <v>8200</v>
      </c>
      <c r="P7019" s="14">
        <v>98.16</v>
      </c>
      <c r="Q7019" s="14">
        <v>150.88</v>
      </c>
      <c r="R7019" s="14">
        <v>153.9</v>
      </c>
      <c r="S7019" s="2" t="s">
        <v>5504</v>
      </c>
      <c r="T7019" s="2">
        <v>1.02</v>
      </c>
      <c r="U7019" s="2">
        <v>69.900000000000006</v>
      </c>
      <c r="V7019" s="2">
        <v>70</v>
      </c>
      <c r="W7019" s="2" t="s">
        <v>7862</v>
      </c>
      <c r="X7019" s="2" t="s">
        <v>2449</v>
      </c>
      <c r="Y7019" s="2">
        <v>8364</v>
      </c>
      <c r="Z7019" s="19" t="str">
        <f>HYPERLINK("https://ssdweb.co/ssdweb/hd/Vision360.html?d=926841326&amp;zoomslide=1&amp;z=1926841326&amp;ISCONFIRM=0","VIDEO")</f>
        <v>VIDEO</v>
      </c>
      <c r="AA7019" s="19" t="str">
        <f>HYPERLINK("https://ssdweb.co/ssdweb/CERTH/659414312.pdf","CERTI")</f>
        <v>CERTI</v>
      </c>
    </row>
    <row r="7020" spans="1:27" ht="15" x14ac:dyDescent="0.25">
      <c r="A7020" s="2">
        <v>7015</v>
      </c>
      <c r="B7020" s="39">
        <v>927140516</v>
      </c>
      <c r="C7020" s="28" t="str">
        <f>HYPERLINK("https://pld.live/RapDetail.aspx?STONELIST=927140516","DNA")</f>
        <v>DNA</v>
      </c>
      <c r="D7020" s="18" t="s">
        <v>3054</v>
      </c>
      <c r="E7020" s="18" t="s">
        <v>2186</v>
      </c>
      <c r="F7020" s="2" t="s">
        <v>7987</v>
      </c>
      <c r="G7020" s="2" t="s">
        <v>5226</v>
      </c>
      <c r="H7020" s="14">
        <v>1.02</v>
      </c>
      <c r="I7020" s="2" t="s">
        <v>267</v>
      </c>
      <c r="J7020" s="2" t="s">
        <v>3942</v>
      </c>
      <c r="K7020" s="2" t="s">
        <v>1452</v>
      </c>
      <c r="L7020" s="2" t="s">
        <v>5221</v>
      </c>
      <c r="M7020" s="2" t="s">
        <v>5721</v>
      </c>
      <c r="N7020" s="2" t="s">
        <v>2317</v>
      </c>
      <c r="O7020" s="14">
        <v>7600</v>
      </c>
      <c r="P7020" s="14">
        <v>98.25</v>
      </c>
      <c r="Q7020" s="14">
        <v>133</v>
      </c>
      <c r="R7020" s="14">
        <v>135.66</v>
      </c>
      <c r="S7020" s="2" t="s">
        <v>882</v>
      </c>
      <c r="T7020" s="2">
        <v>1</v>
      </c>
      <c r="U7020" s="2">
        <v>68.099999999999994</v>
      </c>
      <c r="V7020" s="2">
        <v>69</v>
      </c>
      <c r="W7020" s="2" t="s">
        <v>7862</v>
      </c>
      <c r="X7020" s="2" t="s">
        <v>2449</v>
      </c>
      <c r="Y7020" s="2">
        <v>7752</v>
      </c>
      <c r="Z7020" s="19" t="str">
        <f>HYPERLINK("https://ssdweb.co/ssdweb/hd/Vision360.html?d=927140516&amp;zoomslide=1&amp;z=1927140516&amp;ISCONFIRM=0","VIDEO")</f>
        <v>VIDEO</v>
      </c>
      <c r="AA7020" s="19" t="str">
        <f>HYPERLINK("https://ssdweb.co/ssdweb/CERTH/678564526.pdf","CERTI")</f>
        <v>CERTI</v>
      </c>
    </row>
    <row r="7021" spans="1:27" ht="15" x14ac:dyDescent="0.25">
      <c r="A7021" s="2">
        <v>7016</v>
      </c>
      <c r="B7021" s="39">
        <v>926111141</v>
      </c>
      <c r="C7021" s="28" t="str">
        <f>HYPERLINK("https://pld.live/RapDetail.aspx?STONELIST=926111141","DNA")</f>
        <v>DNA</v>
      </c>
      <c r="D7021" s="18" t="s">
        <v>3054</v>
      </c>
      <c r="E7021" s="18" t="s">
        <v>5128</v>
      </c>
      <c r="F7021" s="2" t="s">
        <v>7987</v>
      </c>
      <c r="G7021" s="2" t="s">
        <v>5226</v>
      </c>
      <c r="H7021" s="14">
        <v>1.02</v>
      </c>
      <c r="I7021" s="2" t="s">
        <v>267</v>
      </c>
      <c r="J7021" s="2" t="s">
        <v>3942</v>
      </c>
      <c r="K7021" s="2" t="s">
        <v>1452</v>
      </c>
      <c r="L7021" s="2" t="s">
        <v>5221</v>
      </c>
      <c r="M7021" s="2" t="s">
        <v>5721</v>
      </c>
      <c r="N7021" s="2" t="s">
        <v>2317</v>
      </c>
      <c r="O7021" s="14">
        <v>7600</v>
      </c>
      <c r="P7021" s="14">
        <v>98.3</v>
      </c>
      <c r="Q7021" s="14">
        <v>129.19999999999999</v>
      </c>
      <c r="R7021" s="14">
        <v>131.78</v>
      </c>
      <c r="S7021" s="2" t="s">
        <v>5931</v>
      </c>
      <c r="T7021" s="2">
        <v>1.02</v>
      </c>
      <c r="U7021" s="2">
        <v>71.7</v>
      </c>
      <c r="V7021" s="2">
        <v>71</v>
      </c>
      <c r="W7021" s="2" t="s">
        <v>7862</v>
      </c>
      <c r="X7021" s="2" t="s">
        <v>2449</v>
      </c>
      <c r="Y7021" s="2">
        <v>7752</v>
      </c>
      <c r="Z7021" s="19" t="str">
        <f>HYPERLINK("https://ssdweb.co/ssdweb/hd/Vision360.html?d=926111141&amp;zoomslide=1&amp;z=1926111141&amp;ISCONFIRM=0","VIDEO")</f>
        <v>VIDEO</v>
      </c>
      <c r="AA7021" s="19" t="str">
        <f>HYPERLINK("https://ssdweb.co/ssdweb/CERTH/633490544.pdf","CERTI")</f>
        <v>CERTI</v>
      </c>
    </row>
    <row r="7022" spans="1:27" ht="15" x14ac:dyDescent="0.25">
      <c r="A7022" s="2">
        <v>7017</v>
      </c>
      <c r="B7022" s="39">
        <v>926921370</v>
      </c>
      <c r="C7022" s="28" t="str">
        <f>HYPERLINK("https://pld.live/RapDetail.aspx?STONELIST=926921370","DNA")</f>
        <v>DNA</v>
      </c>
      <c r="D7022" s="18" t="s">
        <v>3054</v>
      </c>
      <c r="E7022" s="18" t="s">
        <v>2186</v>
      </c>
      <c r="F7022" s="2" t="s">
        <v>7987</v>
      </c>
      <c r="G7022" s="2" t="s">
        <v>5226</v>
      </c>
      <c r="H7022" s="14">
        <v>1.02</v>
      </c>
      <c r="I7022" s="2" t="s">
        <v>267</v>
      </c>
      <c r="J7022" s="2" t="s">
        <v>13</v>
      </c>
      <c r="K7022" s="2" t="s">
        <v>1452</v>
      </c>
      <c r="L7022" s="2" t="s">
        <v>5221</v>
      </c>
      <c r="M7022" s="2" t="s">
        <v>5221</v>
      </c>
      <c r="N7022" s="2" t="s">
        <v>2317</v>
      </c>
      <c r="O7022" s="14">
        <v>6700</v>
      </c>
      <c r="P7022" s="14">
        <v>98.13</v>
      </c>
      <c r="Q7022" s="14">
        <v>125.29</v>
      </c>
      <c r="R7022" s="14">
        <v>127.8</v>
      </c>
      <c r="S7022" s="2" t="s">
        <v>1014</v>
      </c>
      <c r="T7022" s="2">
        <v>1.02</v>
      </c>
      <c r="U7022" s="2">
        <v>71.5</v>
      </c>
      <c r="V7022" s="2">
        <v>70</v>
      </c>
      <c r="W7022" s="2" t="s">
        <v>7862</v>
      </c>
      <c r="X7022" s="2" t="s">
        <v>2449</v>
      </c>
      <c r="Y7022" s="2">
        <v>6834</v>
      </c>
      <c r="Z7022" s="19" t="str">
        <f>HYPERLINK("https://ssdweb.co/ssdweb/hd/Vision360.html?d=926921370&amp;zoomslide=1&amp;z=1926921370&amp;ISCONFIRM=0","VIDEO")</f>
        <v>VIDEO</v>
      </c>
      <c r="AA7022" s="19" t="str">
        <f>HYPERLINK("https://ssdweb.co/ssdweb/CERTH/659437009.pdf","CERTI")</f>
        <v>CERTI</v>
      </c>
    </row>
    <row r="7023" spans="1:27" ht="15" x14ac:dyDescent="0.25">
      <c r="A7023" s="2">
        <v>7018</v>
      </c>
      <c r="B7023" s="39">
        <v>926621125</v>
      </c>
      <c r="C7023" s="28" t="str">
        <f>HYPERLINK("https://pld.live/RapDetail.aspx?STONELIST=926621125","DNA")</f>
        <v>DNA</v>
      </c>
      <c r="D7023" s="18" t="s">
        <v>3054</v>
      </c>
      <c r="E7023" s="18" t="s">
        <v>5128</v>
      </c>
      <c r="F7023" s="2" t="s">
        <v>7987</v>
      </c>
      <c r="G7023" s="2" t="s">
        <v>5226</v>
      </c>
      <c r="H7023" s="14">
        <v>1.02</v>
      </c>
      <c r="I7023" s="2" t="s">
        <v>4761</v>
      </c>
      <c r="J7023" s="2" t="s">
        <v>6555</v>
      </c>
      <c r="K7023" s="2" t="s">
        <v>1452</v>
      </c>
      <c r="L7023" s="2" t="s">
        <v>5221</v>
      </c>
      <c r="M7023" s="2" t="s">
        <v>5221</v>
      </c>
      <c r="N7023" s="2" t="s">
        <v>2317</v>
      </c>
      <c r="O7023" s="14">
        <v>7500</v>
      </c>
      <c r="P7023" s="14">
        <v>98.05</v>
      </c>
      <c r="Q7023" s="14">
        <v>146.25</v>
      </c>
      <c r="R7023" s="14">
        <v>149.18</v>
      </c>
      <c r="S7023" s="2" t="s">
        <v>5832</v>
      </c>
      <c r="T7023" s="2">
        <v>1.02</v>
      </c>
      <c r="U7023" s="2">
        <v>72.099999999999994</v>
      </c>
      <c r="V7023" s="2">
        <v>71</v>
      </c>
      <c r="W7023" s="2" t="s">
        <v>7862</v>
      </c>
      <c r="X7023" s="2" t="s">
        <v>2449</v>
      </c>
      <c r="Y7023" s="2">
        <v>7650</v>
      </c>
      <c r="Z7023" s="19" t="str">
        <f>HYPERLINK("https://ssdweb.co/ssdweb/hd/Vision360.html?d=926621125&amp;zoomslide=1&amp;z=1926621125&amp;ISCONFIRM=0","VIDEO")</f>
        <v>VIDEO</v>
      </c>
      <c r="AA7023" s="19" t="str">
        <f>HYPERLINK("https://ssdweb.co/ssdweb/CERTH/651466272.pdf","CERTI")</f>
        <v>CERTI</v>
      </c>
    </row>
    <row r="7024" spans="1:27" ht="15" x14ac:dyDescent="0.25">
      <c r="A7024" s="2">
        <v>7019</v>
      </c>
      <c r="B7024" s="39">
        <v>926700734</v>
      </c>
      <c r="C7024" s="28" t="str">
        <f>HYPERLINK("https://pld.live/RapDetail.aspx?STONELIST=926700734","DNA")</f>
        <v>DNA</v>
      </c>
      <c r="D7024" s="18" t="s">
        <v>3054</v>
      </c>
      <c r="E7024" s="18" t="s">
        <v>5128</v>
      </c>
      <c r="F7024" s="2" t="s">
        <v>7987</v>
      </c>
      <c r="G7024" s="2" t="s">
        <v>5226</v>
      </c>
      <c r="H7024" s="14">
        <v>1.02</v>
      </c>
      <c r="I7024" s="2" t="s">
        <v>4761</v>
      </c>
      <c r="J7024" s="2" t="s">
        <v>6555</v>
      </c>
      <c r="K7024" s="2" t="s">
        <v>1452</v>
      </c>
      <c r="L7024" s="2" t="s">
        <v>5221</v>
      </c>
      <c r="M7024" s="2" t="s">
        <v>5221</v>
      </c>
      <c r="N7024" s="2" t="s">
        <v>2317</v>
      </c>
      <c r="O7024" s="14">
        <v>7500</v>
      </c>
      <c r="P7024" s="14">
        <v>98.05</v>
      </c>
      <c r="Q7024" s="14">
        <v>146.25</v>
      </c>
      <c r="R7024" s="14">
        <v>149.18</v>
      </c>
      <c r="S7024" s="2" t="s">
        <v>3782</v>
      </c>
      <c r="T7024" s="2">
        <v>1</v>
      </c>
      <c r="U7024" s="2">
        <v>72</v>
      </c>
      <c r="V7024" s="2">
        <v>68</v>
      </c>
      <c r="W7024" s="2" t="s">
        <v>7862</v>
      </c>
      <c r="X7024" s="2" t="s">
        <v>2449</v>
      </c>
      <c r="Y7024" s="2">
        <v>7650</v>
      </c>
      <c r="Z7024" s="19" t="str">
        <f>HYPERLINK("https://ssdweb.co/ssdweb/hd/Vision360.html?d=926700734&amp;zoomslide=1&amp;z=1926700734&amp;ISCONFIRM=0","VIDEO")</f>
        <v>VIDEO</v>
      </c>
      <c r="AA7024" s="19" t="str">
        <f>HYPERLINK("https://ssdweb.co/ssdweb/CERTH/649434570.pdf","CERTI")</f>
        <v>CERTI</v>
      </c>
    </row>
    <row r="7025" spans="1:27" ht="15" x14ac:dyDescent="0.25">
      <c r="A7025" s="2">
        <v>7020</v>
      </c>
      <c r="B7025" s="39">
        <v>926700729</v>
      </c>
      <c r="C7025" s="28" t="str">
        <f>HYPERLINK("https://pld.live/RapDetail.aspx?STONELIST=926700729","DNA")</f>
        <v>DNA</v>
      </c>
      <c r="D7025" s="18" t="s">
        <v>3054</v>
      </c>
      <c r="E7025" s="18" t="s">
        <v>5128</v>
      </c>
      <c r="F7025" s="2" t="s">
        <v>7987</v>
      </c>
      <c r="G7025" s="2" t="s">
        <v>5226</v>
      </c>
      <c r="H7025" s="14">
        <v>1.02</v>
      </c>
      <c r="I7025" s="2" t="s">
        <v>4761</v>
      </c>
      <c r="J7025" s="2" t="s">
        <v>6555</v>
      </c>
      <c r="K7025" s="2" t="s">
        <v>1452</v>
      </c>
      <c r="L7025" s="2" t="s">
        <v>5221</v>
      </c>
      <c r="M7025" s="2" t="s">
        <v>5221</v>
      </c>
      <c r="N7025" s="2" t="s">
        <v>2317</v>
      </c>
      <c r="O7025" s="14">
        <v>7500</v>
      </c>
      <c r="P7025" s="14">
        <v>98.05</v>
      </c>
      <c r="Q7025" s="14">
        <v>146.25</v>
      </c>
      <c r="R7025" s="14">
        <v>149.18</v>
      </c>
      <c r="S7025" s="2" t="s">
        <v>258</v>
      </c>
      <c r="T7025" s="2">
        <v>1.02</v>
      </c>
      <c r="U7025" s="2">
        <v>72</v>
      </c>
      <c r="V7025" s="2">
        <v>67</v>
      </c>
      <c r="W7025" s="2" t="s">
        <v>7862</v>
      </c>
      <c r="X7025" s="2" t="s">
        <v>2449</v>
      </c>
      <c r="Y7025" s="2">
        <v>7650</v>
      </c>
      <c r="Z7025" s="19" t="str">
        <f>HYPERLINK("https://ssdweb.co/ssdweb/hd/Vision360.html?d=926700729&amp;zoomslide=1&amp;z=1926700729&amp;ISCONFIRM=0","VIDEO")</f>
        <v>VIDEO</v>
      </c>
      <c r="AA7025" s="19" t="str">
        <f>HYPERLINK("https://ssdweb.co/ssdweb/CERTH/649434569.pdf","CERTI")</f>
        <v>CERTI</v>
      </c>
    </row>
    <row r="7026" spans="1:27" ht="15" x14ac:dyDescent="0.25">
      <c r="A7026" s="2">
        <v>7021</v>
      </c>
      <c r="B7026" s="39">
        <v>926700835</v>
      </c>
      <c r="C7026" s="28" t="str">
        <f>HYPERLINK("https://pld.live/RapDetail.aspx?STONELIST=926700835","DNA")</f>
        <v>DNA</v>
      </c>
      <c r="D7026" s="18" t="s">
        <v>3054</v>
      </c>
      <c r="E7026" s="18" t="s">
        <v>5128</v>
      </c>
      <c r="F7026" s="2" t="s">
        <v>7987</v>
      </c>
      <c r="G7026" s="2" t="s">
        <v>5226</v>
      </c>
      <c r="H7026" s="14">
        <v>1.02</v>
      </c>
      <c r="I7026" s="2" t="s">
        <v>4761</v>
      </c>
      <c r="J7026" s="2" t="s">
        <v>3942</v>
      </c>
      <c r="K7026" s="2" t="s">
        <v>1452</v>
      </c>
      <c r="L7026" s="2" t="s">
        <v>5221</v>
      </c>
      <c r="M7026" s="2" t="s">
        <v>5221</v>
      </c>
      <c r="N7026" s="2" t="s">
        <v>2317</v>
      </c>
      <c r="O7026" s="14">
        <v>6900</v>
      </c>
      <c r="P7026" s="14">
        <v>98.17</v>
      </c>
      <c r="Q7026" s="14">
        <v>126.27</v>
      </c>
      <c r="R7026" s="14">
        <v>128.80000000000001</v>
      </c>
      <c r="S7026" s="2" t="s">
        <v>3366</v>
      </c>
      <c r="T7026" s="2">
        <v>1.02</v>
      </c>
      <c r="U7026" s="2">
        <v>70.3</v>
      </c>
      <c r="V7026" s="2">
        <v>69</v>
      </c>
      <c r="W7026" s="2" t="s">
        <v>7862</v>
      </c>
      <c r="X7026" s="2" t="s">
        <v>2449</v>
      </c>
      <c r="Y7026" s="2">
        <v>7038</v>
      </c>
      <c r="Z7026" s="19" t="str">
        <f>HYPERLINK("https://ssdweb.co/ssdweb/hd/Vision360.html?d=926700835&amp;zoomslide=1&amp;z=1926700835&amp;ISCONFIRM=0","VIDEO")</f>
        <v>VIDEO</v>
      </c>
      <c r="AA7026" s="19" t="str">
        <f>HYPERLINK("https://ssdweb.co/ssdweb/CERTH/651466289.pdf","CERTI")</f>
        <v>CERTI</v>
      </c>
    </row>
    <row r="7027" spans="1:27" ht="15" x14ac:dyDescent="0.25">
      <c r="A7027" s="2">
        <v>7022</v>
      </c>
      <c r="B7027" s="39">
        <v>927132585</v>
      </c>
      <c r="C7027" s="28" t="str">
        <f>HYPERLINK("https://pld.live/RapDetail.aspx?STONELIST=927132585","DNA")</f>
        <v>DNA</v>
      </c>
      <c r="D7027" s="18" t="s">
        <v>3054</v>
      </c>
      <c r="E7027" s="18" t="s">
        <v>5128</v>
      </c>
      <c r="F7027" s="2" t="s">
        <v>7987</v>
      </c>
      <c r="G7027" s="2" t="s">
        <v>5226</v>
      </c>
      <c r="H7027" s="14">
        <v>1.02</v>
      </c>
      <c r="I7027" s="2" t="s">
        <v>4761</v>
      </c>
      <c r="J7027" s="2" t="s">
        <v>3942</v>
      </c>
      <c r="K7027" s="2" t="s">
        <v>1452</v>
      </c>
      <c r="L7027" s="2" t="s">
        <v>5221</v>
      </c>
      <c r="M7027" s="2" t="s">
        <v>5221</v>
      </c>
      <c r="N7027" s="2" t="s">
        <v>2317</v>
      </c>
      <c r="O7027" s="14">
        <v>6900</v>
      </c>
      <c r="P7027" s="14">
        <v>98.12</v>
      </c>
      <c r="Q7027" s="14">
        <v>129.72</v>
      </c>
      <c r="R7027" s="14">
        <v>132.31</v>
      </c>
      <c r="S7027" s="2" t="s">
        <v>2705</v>
      </c>
      <c r="T7027" s="2">
        <v>1</v>
      </c>
      <c r="U7027" s="2">
        <v>71.900000000000006</v>
      </c>
      <c r="V7027" s="2">
        <v>70</v>
      </c>
      <c r="W7027" s="2" t="s">
        <v>7862</v>
      </c>
      <c r="X7027" s="2" t="s">
        <v>2449</v>
      </c>
      <c r="Y7027" s="2">
        <v>7038</v>
      </c>
      <c r="Z7027" s="19" t="str">
        <f>HYPERLINK("https://ssdweb.co/ssdweb/hd/Vision360.html?d=927132585&amp;zoomslide=1&amp;z=1927132585&amp;ISCONFIRM=0","VIDEO")</f>
        <v>VIDEO</v>
      </c>
      <c r="AA7027" s="19" t="str">
        <f>HYPERLINK("https://ssdweb.co/ssdweb/CERTH/675504710.pdf","CERTI")</f>
        <v>CERTI</v>
      </c>
    </row>
    <row r="7028" spans="1:27" ht="15" x14ac:dyDescent="0.25">
      <c r="A7028" s="2">
        <v>7023</v>
      </c>
      <c r="B7028" s="39">
        <v>926171229</v>
      </c>
      <c r="C7028" s="28" t="str">
        <f>HYPERLINK("https://pld.live/RapDetail.aspx?STONELIST=926171229","DNA")</f>
        <v>DNA</v>
      </c>
      <c r="D7028" s="18" t="s">
        <v>3054</v>
      </c>
      <c r="E7028" s="18" t="s">
        <v>5128</v>
      </c>
      <c r="F7028" s="2" t="s">
        <v>7987</v>
      </c>
      <c r="G7028" s="2" t="s">
        <v>5226</v>
      </c>
      <c r="H7028" s="14">
        <v>1.02</v>
      </c>
      <c r="I7028" s="2" t="s">
        <v>4761</v>
      </c>
      <c r="J7028" s="2" t="s">
        <v>3942</v>
      </c>
      <c r="K7028" s="2" t="s">
        <v>1452</v>
      </c>
      <c r="L7028" s="2" t="s">
        <v>5221</v>
      </c>
      <c r="M7028" s="2" t="s">
        <v>5221</v>
      </c>
      <c r="N7028" s="2" t="s">
        <v>2317</v>
      </c>
      <c r="O7028" s="14">
        <v>6900</v>
      </c>
      <c r="P7028" s="14">
        <v>98.17</v>
      </c>
      <c r="Q7028" s="14">
        <v>126.27</v>
      </c>
      <c r="R7028" s="14">
        <v>128.80000000000001</v>
      </c>
      <c r="S7028" s="2" t="s">
        <v>774</v>
      </c>
      <c r="T7028" s="2">
        <v>1.02</v>
      </c>
      <c r="U7028" s="2">
        <v>73.8</v>
      </c>
      <c r="V7028" s="2">
        <v>68</v>
      </c>
      <c r="W7028" s="2" t="s">
        <v>7862</v>
      </c>
      <c r="X7028" s="2" t="s">
        <v>2449</v>
      </c>
      <c r="Y7028" s="2">
        <v>7038</v>
      </c>
      <c r="Z7028" s="19" t="str">
        <f>HYPERLINK("https://ssdweb.co/ssdweb/hd/Vision360.html?d=926171229&amp;zoomslide=1&amp;z=1926171229&amp;ISCONFIRM=0","VIDEO")</f>
        <v>VIDEO</v>
      </c>
      <c r="AA7028" s="19" t="str">
        <f>HYPERLINK("https://ssdweb.co/ssdweb/CERTH/640454291.pdf","CERTI")</f>
        <v>CERTI</v>
      </c>
    </row>
    <row r="7029" spans="1:27" ht="15" x14ac:dyDescent="0.25">
      <c r="A7029" s="2">
        <v>7024</v>
      </c>
      <c r="B7029" s="39">
        <v>941110607</v>
      </c>
      <c r="C7029" s="28" t="str">
        <f>HYPERLINK("https://pld.live/RapDetail.aspx?STONELIST=941110607","DNA")</f>
        <v>DNA</v>
      </c>
      <c r="D7029" s="18" t="s">
        <v>3054</v>
      </c>
      <c r="E7029" s="18" t="s">
        <v>2186</v>
      </c>
      <c r="F7029" s="2" t="s">
        <v>7987</v>
      </c>
      <c r="G7029" s="2" t="s">
        <v>5226</v>
      </c>
      <c r="H7029" s="14">
        <v>1.02</v>
      </c>
      <c r="I7029" s="2" t="s">
        <v>4761</v>
      </c>
      <c r="J7029" s="2" t="s">
        <v>5144</v>
      </c>
      <c r="K7029" s="2" t="s">
        <v>1452</v>
      </c>
      <c r="L7029" s="2" t="s">
        <v>5221</v>
      </c>
      <c r="M7029" s="2" t="s">
        <v>5221</v>
      </c>
      <c r="N7029" s="2" t="s">
        <v>2317</v>
      </c>
      <c r="O7029" s="14">
        <v>5400</v>
      </c>
      <c r="P7029" s="14">
        <v>97.69</v>
      </c>
      <c r="Q7029" s="14">
        <v>124.74</v>
      </c>
      <c r="R7029" s="14">
        <v>127.23</v>
      </c>
      <c r="S7029" s="2" t="s">
        <v>2725</v>
      </c>
      <c r="T7029" s="2">
        <v>1.02</v>
      </c>
      <c r="U7029" s="2">
        <v>71.400000000000006</v>
      </c>
      <c r="V7029" s="2">
        <v>71</v>
      </c>
      <c r="W7029" s="2" t="s">
        <v>7862</v>
      </c>
      <c r="X7029" s="2" t="s">
        <v>2449</v>
      </c>
      <c r="Y7029" s="2">
        <v>5508</v>
      </c>
      <c r="Z7029" s="19" t="str">
        <f>HYPERLINK("https://ssdweb.co/ssdweb/hd/Vision360.html?d=941110607&amp;zoomslide=1&amp;z=1941110607&amp;ISCONFIRM=0","VIDEO")</f>
        <v>VIDEO</v>
      </c>
      <c r="AA7029" s="19" t="str">
        <f>HYPERLINK("https://ssdweb.co/ssdweb/CERTH/681569639.pdf","CERTI")</f>
        <v>CERTI</v>
      </c>
    </row>
    <row r="7030" spans="1:27" ht="15" x14ac:dyDescent="0.25">
      <c r="A7030" s="2">
        <v>7025</v>
      </c>
      <c r="B7030" s="39">
        <v>926841340</v>
      </c>
      <c r="C7030" s="28" t="str">
        <f>HYPERLINK("https://pld.live/RapDetail.aspx?STONELIST=926841340","DNA")</f>
        <v>DNA</v>
      </c>
      <c r="D7030" s="18" t="s">
        <v>3054</v>
      </c>
      <c r="E7030" s="18" t="s">
        <v>2186</v>
      </c>
      <c r="F7030" s="2" t="s">
        <v>7987</v>
      </c>
      <c r="G7030" s="2" t="s">
        <v>5226</v>
      </c>
      <c r="H7030" s="14">
        <v>1.02</v>
      </c>
      <c r="I7030" s="2" t="s">
        <v>4699</v>
      </c>
      <c r="J7030" s="2" t="s">
        <v>6555</v>
      </c>
      <c r="K7030" s="2" t="s">
        <v>1452</v>
      </c>
      <c r="L7030" s="2" t="s">
        <v>5221</v>
      </c>
      <c r="M7030" s="2" t="s">
        <v>5221</v>
      </c>
      <c r="N7030" s="2" t="s">
        <v>2317</v>
      </c>
      <c r="O7030" s="14">
        <v>6800</v>
      </c>
      <c r="P7030" s="14">
        <v>97.93</v>
      </c>
      <c r="Q7030" s="14">
        <v>140.76</v>
      </c>
      <c r="R7030" s="14">
        <v>143.58000000000001</v>
      </c>
      <c r="S7030" s="2" t="s">
        <v>199</v>
      </c>
      <c r="T7030" s="2">
        <v>1.01</v>
      </c>
      <c r="U7030" s="2">
        <v>69.900000000000006</v>
      </c>
      <c r="V7030" s="2">
        <v>72</v>
      </c>
      <c r="W7030" s="2" t="s">
        <v>7862</v>
      </c>
      <c r="X7030" s="2" t="s">
        <v>2449</v>
      </c>
      <c r="Y7030" s="2">
        <v>6936</v>
      </c>
      <c r="Z7030" s="19" t="str">
        <f>HYPERLINK("https://ssdweb.co/ssdweb/hd/Vision360.html?d=926841340&amp;zoomslide=1&amp;z=1926841340&amp;ISCONFIRM=0","VIDEO")</f>
        <v>VIDEO</v>
      </c>
      <c r="AA7030" s="19" t="str">
        <f>HYPERLINK("https://ssdweb.co/ssdweb/CERTH/659414314.pdf","CERTI")</f>
        <v>CERTI</v>
      </c>
    </row>
    <row r="7031" spans="1:27" ht="15" x14ac:dyDescent="0.25">
      <c r="A7031" s="2">
        <v>7026</v>
      </c>
      <c r="B7031" s="39">
        <v>926921425</v>
      </c>
      <c r="C7031" s="28" t="str">
        <f>HYPERLINK("https://pld.live/RapDetail.aspx?STONELIST=926921425","DNA")</f>
        <v>DNA</v>
      </c>
      <c r="D7031" s="18" t="s">
        <v>3054</v>
      </c>
      <c r="E7031" s="18" t="s">
        <v>2186</v>
      </c>
      <c r="F7031" s="2" t="s">
        <v>7987</v>
      </c>
      <c r="G7031" s="2" t="s">
        <v>5226</v>
      </c>
      <c r="H7031" s="14">
        <v>1.01</v>
      </c>
      <c r="I7031" s="2" t="s">
        <v>4761</v>
      </c>
      <c r="J7031" s="2" t="s">
        <v>3942</v>
      </c>
      <c r="K7031" s="2" t="s">
        <v>1452</v>
      </c>
      <c r="L7031" s="2" t="s">
        <v>5221</v>
      </c>
      <c r="M7031" s="2" t="s">
        <v>5221</v>
      </c>
      <c r="N7031" s="2" t="s">
        <v>2317</v>
      </c>
      <c r="O7031" s="14">
        <v>6900</v>
      </c>
      <c r="P7031" s="14">
        <v>98.14</v>
      </c>
      <c r="Q7031" s="14">
        <v>128.34</v>
      </c>
      <c r="R7031" s="14">
        <v>129.62</v>
      </c>
      <c r="S7031" s="2" t="s">
        <v>1786</v>
      </c>
      <c r="T7031" s="2">
        <v>1.03</v>
      </c>
      <c r="U7031" s="2">
        <v>73.8</v>
      </c>
      <c r="V7031" s="2">
        <v>68</v>
      </c>
      <c r="W7031" s="2" t="s">
        <v>7862</v>
      </c>
      <c r="X7031" s="2" t="s">
        <v>2449</v>
      </c>
      <c r="Y7031" s="2">
        <v>6969</v>
      </c>
      <c r="Z7031" s="19" t="str">
        <f>HYPERLINK("https://ssdweb.co/ssdweb/hd/Vision360.html?d=926921425&amp;zoomslide=1&amp;z=1926921425&amp;ISCONFIRM=0","VIDEO")</f>
        <v>VIDEO</v>
      </c>
      <c r="AA7031" s="19" t="str">
        <f>HYPERLINK("https://ssdweb.co/ssdweb/CERTH/660489656.pdf","CERTI")</f>
        <v>CERTI</v>
      </c>
    </row>
    <row r="7032" spans="1:27" ht="15" x14ac:dyDescent="0.25">
      <c r="A7032" s="2">
        <v>7027</v>
      </c>
      <c r="B7032" s="39">
        <v>927101252</v>
      </c>
      <c r="C7032" s="28" t="str">
        <f>HYPERLINK("https://pld.live/RapDetail.aspx?STONELIST=927101252","DNA")</f>
        <v>DNA</v>
      </c>
      <c r="D7032" s="18" t="s">
        <v>3054</v>
      </c>
      <c r="E7032" s="18" t="s">
        <v>5128</v>
      </c>
      <c r="F7032" s="2" t="s">
        <v>7987</v>
      </c>
      <c r="G7032" s="2" t="s">
        <v>5226</v>
      </c>
      <c r="H7032" s="14">
        <v>1.01</v>
      </c>
      <c r="I7032" s="2" t="s">
        <v>4761</v>
      </c>
      <c r="J7032" s="2" t="s">
        <v>3942</v>
      </c>
      <c r="K7032" s="2" t="s">
        <v>1452</v>
      </c>
      <c r="L7032" s="2" t="s">
        <v>5221</v>
      </c>
      <c r="M7032" s="2" t="s">
        <v>5221</v>
      </c>
      <c r="N7032" s="2" t="s">
        <v>2317</v>
      </c>
      <c r="O7032" s="14">
        <v>6900</v>
      </c>
      <c r="P7032" s="14">
        <v>98.14</v>
      </c>
      <c r="Q7032" s="14">
        <v>128.34</v>
      </c>
      <c r="R7032" s="14">
        <v>129.62</v>
      </c>
      <c r="S7032" s="2" t="s">
        <v>7986</v>
      </c>
      <c r="T7032" s="2">
        <v>1.02</v>
      </c>
      <c r="U7032" s="2">
        <v>72.7</v>
      </c>
      <c r="V7032" s="2">
        <v>69</v>
      </c>
      <c r="W7032" s="2" t="s">
        <v>7862</v>
      </c>
      <c r="X7032" s="2" t="s">
        <v>2449</v>
      </c>
      <c r="Y7032" s="2">
        <v>6969</v>
      </c>
      <c r="Z7032" s="19" t="str">
        <f>HYPERLINK("https://ssdweb.co/ssdweb/hd/Vision360.html?d=927101252&amp;zoomslide=1&amp;z=1927101252&amp;ISCONFIRM=0","VIDEO")</f>
        <v>VIDEO</v>
      </c>
      <c r="AA7032" s="19" t="str">
        <f>HYPERLINK("https://ssdweb.co/ssdweb/CERTH/662473880.pdf","CERTI")</f>
        <v>CERTI</v>
      </c>
    </row>
    <row r="7033" spans="1:27" ht="15" x14ac:dyDescent="0.25">
      <c r="A7033" s="2">
        <v>7028</v>
      </c>
      <c r="B7033" s="39">
        <v>927140482</v>
      </c>
      <c r="C7033" s="28" t="str">
        <f>HYPERLINK("https://pld.live/RapDetail.aspx?STONELIST=927140482","DNA")</f>
        <v>DNA</v>
      </c>
      <c r="D7033" s="18" t="s">
        <v>3054</v>
      </c>
      <c r="E7033" s="18" t="s">
        <v>2186</v>
      </c>
      <c r="F7033" s="2" t="s">
        <v>7987</v>
      </c>
      <c r="G7033" s="2" t="s">
        <v>5226</v>
      </c>
      <c r="H7033" s="14">
        <v>1.01</v>
      </c>
      <c r="I7033" s="2" t="s">
        <v>4761</v>
      </c>
      <c r="J7033" s="2" t="s">
        <v>3942</v>
      </c>
      <c r="K7033" s="2" t="s">
        <v>1452</v>
      </c>
      <c r="L7033" s="2" t="s">
        <v>5221</v>
      </c>
      <c r="M7033" s="2" t="s">
        <v>5221</v>
      </c>
      <c r="N7033" s="2" t="s">
        <v>2317</v>
      </c>
      <c r="O7033" s="14">
        <v>6900</v>
      </c>
      <c r="P7033" s="14">
        <v>98.12</v>
      </c>
      <c r="Q7033" s="14">
        <v>129.72</v>
      </c>
      <c r="R7033" s="14">
        <v>131.02000000000001</v>
      </c>
      <c r="S7033" s="2" t="s">
        <v>102</v>
      </c>
      <c r="T7033" s="2">
        <v>1</v>
      </c>
      <c r="U7033" s="2">
        <v>72.3</v>
      </c>
      <c r="V7033" s="2">
        <v>70</v>
      </c>
      <c r="W7033" s="2" t="s">
        <v>7862</v>
      </c>
      <c r="X7033" s="2" t="s">
        <v>2449</v>
      </c>
      <c r="Y7033" s="2">
        <v>6969</v>
      </c>
      <c r="Z7033" s="19" t="str">
        <f>HYPERLINK("https://ssdweb.co/ssdweb/hd/Vision360.html?d=927140482&amp;zoomslide=1&amp;z=1927140482&amp;ISCONFIRM=0","VIDEO")</f>
        <v>VIDEO</v>
      </c>
      <c r="AA7033" s="19" t="str">
        <f>HYPERLINK("https://ssdweb.co/ssdweb/CERTH/675596603.pdf","CERTI")</f>
        <v>CERTI</v>
      </c>
    </row>
    <row r="7034" spans="1:27" ht="15" x14ac:dyDescent="0.25">
      <c r="A7034" s="2">
        <v>7029</v>
      </c>
      <c r="B7034" s="39">
        <v>941021816</v>
      </c>
      <c r="C7034" s="28" t="str">
        <f>HYPERLINK("https://pld.live/RapDetail.aspx?STONELIST=941021816","DNA")</f>
        <v>DNA</v>
      </c>
      <c r="D7034" s="18" t="s">
        <v>3054</v>
      </c>
      <c r="E7034" s="18" t="s">
        <v>5128</v>
      </c>
      <c r="F7034" s="2" t="s">
        <v>7987</v>
      </c>
      <c r="G7034" s="2" t="s">
        <v>5226</v>
      </c>
      <c r="H7034" s="14">
        <v>1.01</v>
      </c>
      <c r="I7034" s="2" t="s">
        <v>4761</v>
      </c>
      <c r="J7034" s="2" t="s">
        <v>13</v>
      </c>
      <c r="K7034" s="2" t="s">
        <v>1452</v>
      </c>
      <c r="L7034" s="2" t="s">
        <v>5221</v>
      </c>
      <c r="M7034" s="2" t="s">
        <v>5221</v>
      </c>
      <c r="N7034" s="2" t="s">
        <v>2317</v>
      </c>
      <c r="O7034" s="14">
        <v>6200</v>
      </c>
      <c r="P7034" s="14">
        <v>97.95</v>
      </c>
      <c r="Q7034" s="14">
        <v>127.1</v>
      </c>
      <c r="R7034" s="14">
        <v>128.37</v>
      </c>
      <c r="S7034" s="2" t="s">
        <v>4942</v>
      </c>
      <c r="T7034" s="2">
        <v>1.01</v>
      </c>
      <c r="U7034" s="2">
        <v>71.400000000000006</v>
      </c>
      <c r="V7034" s="2">
        <v>66</v>
      </c>
      <c r="W7034" s="2" t="s">
        <v>7862</v>
      </c>
      <c r="X7034" s="2" t="s">
        <v>2449</v>
      </c>
      <c r="Y7034" s="2">
        <v>6262</v>
      </c>
      <c r="Z7034" s="19" t="str">
        <f>HYPERLINK("https://ssdweb.co/ssdweb/hd/Vision360.html?d=941021816&amp;zoomslide=1&amp;z=1941021816&amp;ISCONFIRM=0","VIDEO")</f>
        <v>VIDEO</v>
      </c>
      <c r="AA7034" s="19" t="str">
        <f>HYPERLINK("https://ssdweb.co/ssdweb/CERTH/678564569.pdf","CERTI")</f>
        <v>CERTI</v>
      </c>
    </row>
    <row r="7035" spans="1:27" ht="15" x14ac:dyDescent="0.25">
      <c r="A7035" s="2">
        <v>7030</v>
      </c>
      <c r="B7035" s="39">
        <v>926101633</v>
      </c>
      <c r="C7035" s="28" t="str">
        <f>HYPERLINK("https://pld.live/RapDetail.aspx?STONELIST=926101633","DNA")</f>
        <v>DNA</v>
      </c>
      <c r="D7035" s="18" t="s">
        <v>3054</v>
      </c>
      <c r="E7035" s="18" t="s">
        <v>5128</v>
      </c>
      <c r="F7035" s="2" t="s">
        <v>7987</v>
      </c>
      <c r="G7035" s="2" t="s">
        <v>5226</v>
      </c>
      <c r="H7035" s="14">
        <v>1.01</v>
      </c>
      <c r="I7035" s="2" t="s">
        <v>4699</v>
      </c>
      <c r="J7035" s="2" t="s">
        <v>6555</v>
      </c>
      <c r="K7035" s="2" t="s">
        <v>1452</v>
      </c>
      <c r="L7035" s="2" t="s">
        <v>5221</v>
      </c>
      <c r="M7035" s="2" t="s">
        <v>5221</v>
      </c>
      <c r="N7035" s="2" t="s">
        <v>2317</v>
      </c>
      <c r="O7035" s="14">
        <v>6800</v>
      </c>
      <c r="P7035" s="14">
        <v>97.93</v>
      </c>
      <c r="Q7035" s="14">
        <v>140.76</v>
      </c>
      <c r="R7035" s="14">
        <v>142.16999999999999</v>
      </c>
      <c r="S7035" s="2" t="s">
        <v>2508</v>
      </c>
      <c r="T7035" s="2">
        <v>1.01</v>
      </c>
      <c r="U7035" s="2">
        <v>71.900000000000006</v>
      </c>
      <c r="V7035" s="2">
        <v>68</v>
      </c>
      <c r="W7035" s="2" t="s">
        <v>4336</v>
      </c>
      <c r="X7035" s="2" t="s">
        <v>2449</v>
      </c>
      <c r="Y7035" s="2">
        <v>6868</v>
      </c>
      <c r="Z7035" s="19" t="str">
        <f>HYPERLINK("https://ssdweb.co/ssdweb/hd/Vision360.html?d=926101633&amp;zoomslide=1&amp;z=1926101633&amp;ISCONFIRM=0","VIDEO")</f>
        <v>VIDEO</v>
      </c>
      <c r="AA7035" s="19" t="str">
        <f>HYPERLINK("https://ssdweb.co/ssdweb/CERTH/633490523.pdf","CERTI")</f>
        <v>CERTI</v>
      </c>
    </row>
    <row r="7036" spans="1:27" ht="15" x14ac:dyDescent="0.25">
      <c r="A7036" s="2">
        <v>7031</v>
      </c>
      <c r="B7036" s="39">
        <v>926830940</v>
      </c>
      <c r="C7036" s="28" t="str">
        <f>HYPERLINK("https://pld.live/RapDetail.aspx?STONELIST=926830940","DNA")</f>
        <v>DNA</v>
      </c>
      <c r="D7036" s="18" t="s">
        <v>3054</v>
      </c>
      <c r="E7036" s="18" t="s">
        <v>5128</v>
      </c>
      <c r="F7036" s="2" t="s">
        <v>7987</v>
      </c>
      <c r="G7036" s="2" t="s">
        <v>5226</v>
      </c>
      <c r="H7036" s="14">
        <v>1</v>
      </c>
      <c r="I7036" s="2" t="s">
        <v>267</v>
      </c>
      <c r="J7036" s="2" t="s">
        <v>7032</v>
      </c>
      <c r="K7036" s="2" t="s">
        <v>1452</v>
      </c>
      <c r="L7036" s="2" t="s">
        <v>5221</v>
      </c>
      <c r="M7036" s="2" t="s">
        <v>5221</v>
      </c>
      <c r="N7036" s="2" t="s">
        <v>2317</v>
      </c>
      <c r="O7036" s="14">
        <v>9300</v>
      </c>
      <c r="P7036" s="14">
        <v>97.2</v>
      </c>
      <c r="Q7036" s="14">
        <v>260.39999999999998</v>
      </c>
      <c r="R7036" s="14">
        <v>260.39999999999998</v>
      </c>
      <c r="S7036" s="2" t="s">
        <v>7120</v>
      </c>
      <c r="T7036" s="2">
        <v>1</v>
      </c>
      <c r="U7036" s="2">
        <v>71.5</v>
      </c>
      <c r="V7036" s="2">
        <v>72</v>
      </c>
      <c r="W7036" s="2" t="s">
        <v>7862</v>
      </c>
      <c r="X7036" s="2" t="s">
        <v>2449</v>
      </c>
      <c r="Y7036" s="2">
        <v>9300</v>
      </c>
      <c r="Z7036" s="19" t="str">
        <f>HYPERLINK("https://ssdweb.co/ssdweb/hd/Vision360.html?d=926830940&amp;zoomslide=1&amp;z=1926830940&amp;ISCONFIRM=0","VIDEO")</f>
        <v>VIDEO</v>
      </c>
      <c r="AA7036" s="19" t="str">
        <f>HYPERLINK("https://ssdweb.co/ssdweb/CERTH/653442497.pdf","CERTI")</f>
        <v>CERTI</v>
      </c>
    </row>
    <row r="7037" spans="1:27" ht="15" x14ac:dyDescent="0.25">
      <c r="A7037" s="2">
        <v>7032</v>
      </c>
      <c r="B7037" s="39">
        <v>926681114</v>
      </c>
      <c r="C7037" s="28" t="str">
        <f>HYPERLINK("https://pld.live/RapDetail.aspx?STONELIST=926681114","DNA")</f>
        <v>DNA</v>
      </c>
      <c r="D7037" s="18" t="s">
        <v>3054</v>
      </c>
      <c r="E7037" s="18" t="s">
        <v>2186</v>
      </c>
      <c r="F7037" s="2" t="s">
        <v>7987</v>
      </c>
      <c r="G7037" s="2" t="s">
        <v>5226</v>
      </c>
      <c r="H7037" s="14">
        <v>1</v>
      </c>
      <c r="I7037" s="2" t="s">
        <v>267</v>
      </c>
      <c r="J7037" s="2" t="s">
        <v>3942</v>
      </c>
      <c r="K7037" s="2" t="s">
        <v>1452</v>
      </c>
      <c r="L7037" s="2" t="s">
        <v>5221</v>
      </c>
      <c r="M7037" s="2" t="s">
        <v>5221</v>
      </c>
      <c r="N7037" s="2" t="s">
        <v>2317</v>
      </c>
      <c r="O7037" s="14">
        <v>7600</v>
      </c>
      <c r="P7037" s="14">
        <v>98.25</v>
      </c>
      <c r="Q7037" s="14">
        <v>133</v>
      </c>
      <c r="R7037" s="14">
        <v>133</v>
      </c>
      <c r="S7037" s="2" t="s">
        <v>1958</v>
      </c>
      <c r="T7037" s="2">
        <v>1.01</v>
      </c>
      <c r="U7037" s="2">
        <v>72.7</v>
      </c>
      <c r="V7037" s="2">
        <v>71</v>
      </c>
      <c r="W7037" s="2" t="s">
        <v>7862</v>
      </c>
      <c r="X7037" s="2" t="s">
        <v>2449</v>
      </c>
      <c r="Y7037" s="2">
        <v>7600</v>
      </c>
      <c r="Z7037" s="19" t="str">
        <f>HYPERLINK("https://ssdweb.co/ssdweb/hd/Vision360.html?d=926681114&amp;zoomslide=1&amp;z=1926681114&amp;ISCONFIRM=0","VIDEO")</f>
        <v>VIDEO</v>
      </c>
      <c r="AA7037" s="19" t="str">
        <f>HYPERLINK("https://ssdweb.co/ssdweb/CERTH/668446614.pdf","CERTI")</f>
        <v>CERTI</v>
      </c>
    </row>
    <row r="7038" spans="1:27" ht="15" x14ac:dyDescent="0.25">
      <c r="A7038" s="2">
        <v>7033</v>
      </c>
      <c r="B7038" s="39">
        <v>926621044</v>
      </c>
      <c r="C7038" s="28" t="str">
        <f>HYPERLINK("https://pld.live/RapDetail.aspx?STONELIST=926621044","DNA")</f>
        <v>DNA</v>
      </c>
      <c r="D7038" s="18" t="s">
        <v>4121</v>
      </c>
      <c r="E7038" s="18" t="s">
        <v>5128</v>
      </c>
      <c r="F7038" s="2" t="s">
        <v>7987</v>
      </c>
      <c r="G7038" s="2" t="s">
        <v>5226</v>
      </c>
      <c r="H7038" s="14">
        <v>0.99</v>
      </c>
      <c r="I7038" s="2" t="s">
        <v>4761</v>
      </c>
      <c r="J7038" s="2" t="s">
        <v>13</v>
      </c>
      <c r="K7038" s="2" t="s">
        <v>1452</v>
      </c>
      <c r="L7038" s="2" t="s">
        <v>5221</v>
      </c>
      <c r="M7038" s="2" t="s">
        <v>5221</v>
      </c>
      <c r="N7038" s="2" t="s">
        <v>2317</v>
      </c>
      <c r="O7038" s="14">
        <v>4900</v>
      </c>
      <c r="P7038" s="14">
        <v>97.57</v>
      </c>
      <c r="Q7038" s="14">
        <v>119.07</v>
      </c>
      <c r="R7038" s="14">
        <v>117.88</v>
      </c>
      <c r="S7038" s="2" t="s">
        <v>2614</v>
      </c>
      <c r="T7038" s="2">
        <v>1.01</v>
      </c>
      <c r="U7038" s="2">
        <v>73</v>
      </c>
      <c r="V7038" s="2">
        <v>71</v>
      </c>
      <c r="W7038" s="2" t="s">
        <v>7862</v>
      </c>
      <c r="X7038" s="2" t="s">
        <v>2449</v>
      </c>
      <c r="Y7038" s="2">
        <v>4851</v>
      </c>
      <c r="Z7038" s="19" t="str">
        <f>HYPERLINK("https://ssdweb.co/ssdweb/hd/Vision360.html?d=926621044&amp;zoomslide=1&amp;z=1926621044&amp;ISCONFIRM=0","VIDEO")</f>
        <v>VIDEO</v>
      </c>
      <c r="AA7038" s="19" t="str">
        <f>HYPERLINK("https://ssdweb.co/ssdweb/CERTH/647424207.pdf","CERTI")</f>
        <v>CERTI</v>
      </c>
    </row>
    <row r="7039" spans="1:27" ht="15" x14ac:dyDescent="0.25">
      <c r="A7039" s="2">
        <v>7034</v>
      </c>
      <c r="B7039" s="39">
        <v>821113828</v>
      </c>
      <c r="C7039" s="28" t="str">
        <f>HYPERLINK("https://pld.live/RapDetail.aspx?STONELIST=821113828","DNA")</f>
        <v>DNA</v>
      </c>
      <c r="D7039" s="18" t="s">
        <v>4121</v>
      </c>
      <c r="E7039" s="18" t="s">
        <v>2186</v>
      </c>
      <c r="F7039" s="2" t="s">
        <v>7987</v>
      </c>
      <c r="G7039" s="2" t="s">
        <v>5226</v>
      </c>
      <c r="H7039" s="14">
        <v>0.99</v>
      </c>
      <c r="I7039" s="2" t="s">
        <v>4761</v>
      </c>
      <c r="J7039" s="2" t="s">
        <v>13</v>
      </c>
      <c r="K7039" s="2" t="s">
        <v>1452</v>
      </c>
      <c r="L7039" s="2" t="s">
        <v>5221</v>
      </c>
      <c r="M7039" s="2" t="s">
        <v>5221</v>
      </c>
      <c r="N7039" s="2" t="s">
        <v>2317</v>
      </c>
      <c r="O7039" s="14">
        <v>4900</v>
      </c>
      <c r="P7039" s="14">
        <v>97.57</v>
      </c>
      <c r="Q7039" s="14">
        <v>119.07</v>
      </c>
      <c r="R7039" s="14">
        <v>117.88</v>
      </c>
      <c r="S7039" s="2" t="s">
        <v>4480</v>
      </c>
      <c r="T7039" s="2">
        <v>1.03</v>
      </c>
      <c r="U7039" s="2">
        <v>70.400000000000006</v>
      </c>
      <c r="V7039" s="2">
        <v>69</v>
      </c>
      <c r="W7039" s="2" t="s">
        <v>7862</v>
      </c>
      <c r="X7039" s="2" t="s">
        <v>2449</v>
      </c>
      <c r="Y7039" s="2">
        <v>4851</v>
      </c>
      <c r="Z7039" s="19" t="str">
        <f>HYPERLINK("https://ssdweb.co/ssdweb/hd/Vision360.html?d=821113828&amp;zoomslide=1&amp;z=1821113828&amp;ISCONFIRM=0","VIDEO")</f>
        <v>VIDEO</v>
      </c>
      <c r="AA7039" s="19" t="str">
        <f>HYPERLINK("https://ssdweb.co/ssdweb/CERTH/623492245.pdf","CERTI")</f>
        <v>CERTI</v>
      </c>
    </row>
    <row r="7040" spans="1:27" ht="15" x14ac:dyDescent="0.25">
      <c r="A7040" s="2">
        <v>7035</v>
      </c>
      <c r="B7040" s="39">
        <v>926640734</v>
      </c>
      <c r="C7040" s="28" t="str">
        <f>HYPERLINK("https://pld.live/RapDetail.aspx?STONELIST=926640734","DNA")</f>
        <v>DNA</v>
      </c>
      <c r="D7040" s="18" t="s">
        <v>4121</v>
      </c>
      <c r="E7040" s="18" t="s">
        <v>2186</v>
      </c>
      <c r="F7040" s="2" t="s">
        <v>7987</v>
      </c>
      <c r="G7040" s="2" t="s">
        <v>5226</v>
      </c>
      <c r="H7040" s="14">
        <v>0.98</v>
      </c>
      <c r="I7040" s="2" t="s">
        <v>4761</v>
      </c>
      <c r="J7040" s="2" t="s">
        <v>3942</v>
      </c>
      <c r="K7040" s="2" t="s">
        <v>1452</v>
      </c>
      <c r="L7040" s="2" t="s">
        <v>5221</v>
      </c>
      <c r="M7040" s="2" t="s">
        <v>5221</v>
      </c>
      <c r="N7040" s="2" t="s">
        <v>2317</v>
      </c>
      <c r="O7040" s="14">
        <v>5200</v>
      </c>
      <c r="P7040" s="14">
        <v>97.62</v>
      </c>
      <c r="Q7040" s="14">
        <v>123.76</v>
      </c>
      <c r="R7040" s="14">
        <v>121.28</v>
      </c>
      <c r="S7040" s="2" t="s">
        <v>2504</v>
      </c>
      <c r="T7040" s="2">
        <v>1.02</v>
      </c>
      <c r="U7040" s="2">
        <v>71.2</v>
      </c>
      <c r="V7040" s="2">
        <v>68</v>
      </c>
      <c r="W7040" s="2" t="s">
        <v>7862</v>
      </c>
      <c r="X7040" s="2" t="s">
        <v>2449</v>
      </c>
      <c r="Y7040" s="2">
        <v>5096</v>
      </c>
      <c r="Z7040" s="19" t="str">
        <f>HYPERLINK("https://ssdweb.co/ssdweb/hd/Vision360.html?d=926640734&amp;zoomslide=1&amp;z=1926640734&amp;ISCONFIRM=0","VIDEO")</f>
        <v>VIDEO</v>
      </c>
      <c r="AA7040" s="19" t="str">
        <f>HYPERLINK("https://ssdweb.co/ssdweb/CERTH/651455428.pdf","CERTI")</f>
        <v>CERTI</v>
      </c>
    </row>
    <row r="7041" spans="1:27" ht="15" x14ac:dyDescent="0.25">
      <c r="A7041" s="2">
        <v>7036</v>
      </c>
      <c r="B7041" s="39">
        <v>925280424</v>
      </c>
      <c r="C7041" s="28" t="str">
        <f>HYPERLINK("https://pld.live/RapDetail.aspx?STONELIST=925280424","DNA")</f>
        <v>DNA</v>
      </c>
      <c r="D7041" s="18" t="s">
        <v>4121</v>
      </c>
      <c r="E7041" s="18" t="s">
        <v>5128</v>
      </c>
      <c r="F7041" s="2" t="s">
        <v>7987</v>
      </c>
      <c r="G7041" s="2" t="s">
        <v>5226</v>
      </c>
      <c r="H7041" s="14">
        <v>0.98</v>
      </c>
      <c r="I7041" s="2" t="s">
        <v>4761</v>
      </c>
      <c r="J7041" s="2" t="s">
        <v>3942</v>
      </c>
      <c r="K7041" s="2" t="s">
        <v>1452</v>
      </c>
      <c r="L7041" s="2" t="s">
        <v>5221</v>
      </c>
      <c r="M7041" s="2" t="s">
        <v>5221</v>
      </c>
      <c r="N7041" s="2" t="s">
        <v>2317</v>
      </c>
      <c r="O7041" s="14">
        <v>5200</v>
      </c>
      <c r="P7041" s="14">
        <v>97.62</v>
      </c>
      <c r="Q7041" s="14">
        <v>123.76</v>
      </c>
      <c r="R7041" s="14">
        <v>121.28</v>
      </c>
      <c r="S7041" s="2" t="s">
        <v>1470</v>
      </c>
      <c r="T7041" s="2">
        <v>1.01</v>
      </c>
      <c r="U7041" s="2">
        <v>72.3</v>
      </c>
      <c r="V7041" s="2">
        <v>71</v>
      </c>
      <c r="W7041" s="2" t="s">
        <v>7862</v>
      </c>
      <c r="X7041" s="2" t="s">
        <v>2449</v>
      </c>
      <c r="Y7041" s="2">
        <v>5096</v>
      </c>
      <c r="Z7041" s="19" t="str">
        <f>HYPERLINK("https://ssdweb.co/ssdweb/hd/Vision360.html?d=925280424&amp;zoomslide=1&amp;z=1925280424&amp;ISCONFIRM=0","VIDEO")</f>
        <v>VIDEO</v>
      </c>
      <c r="AA7041" s="19" t="str">
        <f>HYPERLINK("https://ssdweb.co/ssdweb/CERTH/616407684.pdf","CERTI")</f>
        <v>CERTI</v>
      </c>
    </row>
    <row r="7042" spans="1:27" ht="15" x14ac:dyDescent="0.25">
      <c r="A7042" s="2">
        <v>7037</v>
      </c>
      <c r="B7042" s="39">
        <v>821113178</v>
      </c>
      <c r="C7042" s="28" t="str">
        <f>HYPERLINK("https://pld.live/RapDetail.aspx?STONELIST=821113178","DNA")</f>
        <v>DNA</v>
      </c>
      <c r="D7042" s="18" t="s">
        <v>4121</v>
      </c>
      <c r="E7042" s="18" t="s">
        <v>2186</v>
      </c>
      <c r="F7042" s="2" t="s">
        <v>7987</v>
      </c>
      <c r="G7042" s="2" t="s">
        <v>5226</v>
      </c>
      <c r="H7042" s="14">
        <v>0.98</v>
      </c>
      <c r="I7042" s="2" t="s">
        <v>4761</v>
      </c>
      <c r="J7042" s="2" t="s">
        <v>5144</v>
      </c>
      <c r="K7042" s="2" t="s">
        <v>1452</v>
      </c>
      <c r="L7042" s="2" t="s">
        <v>5221</v>
      </c>
      <c r="M7042" s="2" t="s">
        <v>5221</v>
      </c>
      <c r="N7042" s="2" t="s">
        <v>2317</v>
      </c>
      <c r="O7042" s="14">
        <v>4200</v>
      </c>
      <c r="P7042" s="14">
        <v>97.29</v>
      </c>
      <c r="Q7042" s="14">
        <v>113.82</v>
      </c>
      <c r="R7042" s="14">
        <v>111.54</v>
      </c>
      <c r="S7042" s="2" t="s">
        <v>2559</v>
      </c>
      <c r="T7042" s="2">
        <v>1.03</v>
      </c>
      <c r="U7042" s="2">
        <v>73.400000000000006</v>
      </c>
      <c r="V7042" s="2">
        <v>72</v>
      </c>
      <c r="W7042" s="2" t="s">
        <v>7862</v>
      </c>
      <c r="X7042" s="2" t="s">
        <v>2449</v>
      </c>
      <c r="Y7042" s="2">
        <v>4116</v>
      </c>
      <c r="Z7042" s="19" t="str">
        <f>HYPERLINK("https://ssdweb.co/ssdweb/hd/Vision360.html?d=821113178&amp;zoomslide=1&amp;z=1821113178&amp;ISCONFIRM=0","VIDEO")</f>
        <v>VIDEO</v>
      </c>
      <c r="AA7042" s="19" t="str">
        <f>HYPERLINK("https://ssdweb.co/ssdweb/CERTH/622472486.pdf","CERTI")</f>
        <v>CERTI</v>
      </c>
    </row>
    <row r="7043" spans="1:27" ht="15" x14ac:dyDescent="0.25">
      <c r="A7043" s="2">
        <v>7038</v>
      </c>
      <c r="B7043" s="39">
        <v>821113329</v>
      </c>
      <c r="C7043" s="28" t="str">
        <f>HYPERLINK("https://pld.live/RapDetail.aspx?STONELIST=821113329","DNA")</f>
        <v>DNA</v>
      </c>
      <c r="D7043" s="18" t="s">
        <v>4121</v>
      </c>
      <c r="E7043" s="18" t="s">
        <v>2186</v>
      </c>
      <c r="F7043" s="2" t="s">
        <v>7987</v>
      </c>
      <c r="G7043" s="2" t="s">
        <v>5226</v>
      </c>
      <c r="H7043" s="14">
        <v>0.98</v>
      </c>
      <c r="I7043" s="2" t="s">
        <v>4761</v>
      </c>
      <c r="J7043" s="2" t="s">
        <v>5144</v>
      </c>
      <c r="K7043" s="2" t="s">
        <v>1452</v>
      </c>
      <c r="L7043" s="2" t="s">
        <v>5221</v>
      </c>
      <c r="M7043" s="2" t="s">
        <v>5221</v>
      </c>
      <c r="N7043" s="2" t="s">
        <v>2317</v>
      </c>
      <c r="O7043" s="14">
        <v>4200</v>
      </c>
      <c r="P7043" s="14">
        <v>97.29</v>
      </c>
      <c r="Q7043" s="14">
        <v>113.82</v>
      </c>
      <c r="R7043" s="14">
        <v>111.54</v>
      </c>
      <c r="S7043" s="2" t="s">
        <v>7345</v>
      </c>
      <c r="T7043" s="2">
        <v>1.03</v>
      </c>
      <c r="U7043" s="2">
        <v>73</v>
      </c>
      <c r="V7043" s="2">
        <v>68</v>
      </c>
      <c r="W7043" s="2" t="s">
        <v>7862</v>
      </c>
      <c r="X7043" s="2" t="s">
        <v>2449</v>
      </c>
      <c r="Y7043" s="2">
        <v>4116</v>
      </c>
      <c r="Z7043" s="19" t="str">
        <f>HYPERLINK("https://ssdweb.co/ssdweb/hd/Vision360.html?d=821113329&amp;zoomslide=1&amp;z=1821113329&amp;ISCONFIRM=0","VIDEO")</f>
        <v>VIDEO</v>
      </c>
      <c r="AA7043" s="19" t="str">
        <f>HYPERLINK("https://ssdweb.co/ssdweb/CERTH/620471320.pdf","CERTI")</f>
        <v>CERTI</v>
      </c>
    </row>
    <row r="7044" spans="1:27" ht="15" x14ac:dyDescent="0.25">
      <c r="A7044" s="2">
        <v>7039</v>
      </c>
      <c r="B7044" s="39">
        <v>821113169</v>
      </c>
      <c r="C7044" s="28" t="str">
        <f>HYPERLINK("https://pld.live/RapDetail.aspx?STONELIST=821113169","DNA")</f>
        <v>DNA</v>
      </c>
      <c r="D7044" s="18" t="s">
        <v>4121</v>
      </c>
      <c r="E7044" s="18" t="s">
        <v>2186</v>
      </c>
      <c r="F7044" s="2" t="s">
        <v>7987</v>
      </c>
      <c r="G7044" s="2" t="s">
        <v>5226</v>
      </c>
      <c r="H7044" s="14">
        <v>0.98</v>
      </c>
      <c r="I7044" s="2" t="s">
        <v>4699</v>
      </c>
      <c r="J7044" s="2" t="s">
        <v>13</v>
      </c>
      <c r="K7044" s="2" t="s">
        <v>1452</v>
      </c>
      <c r="L7044" s="2" t="s">
        <v>5221</v>
      </c>
      <c r="M7044" s="2" t="s">
        <v>5221</v>
      </c>
      <c r="N7044" s="2" t="s">
        <v>2317</v>
      </c>
      <c r="O7044" s="14">
        <v>4600</v>
      </c>
      <c r="P7044" s="14">
        <v>97.48</v>
      </c>
      <c r="Q7044" s="14">
        <v>115.92</v>
      </c>
      <c r="R7044" s="14">
        <v>113.6</v>
      </c>
      <c r="S7044" s="2" t="s">
        <v>4263</v>
      </c>
      <c r="T7044" s="2">
        <v>1.02</v>
      </c>
      <c r="U7044" s="2">
        <v>70.5</v>
      </c>
      <c r="V7044" s="2">
        <v>71</v>
      </c>
      <c r="W7044" s="2" t="s">
        <v>7862</v>
      </c>
      <c r="X7044" s="2" t="s">
        <v>2449</v>
      </c>
      <c r="Y7044" s="2">
        <v>4508</v>
      </c>
      <c r="Z7044" s="19" t="str">
        <f>HYPERLINK("https://ssdweb.co/ssdweb/hd/Vision360.html?d=821113169&amp;zoomslide=1&amp;z=1821113169&amp;ISCONFIRM=0","VIDEO")</f>
        <v>VIDEO</v>
      </c>
      <c r="AA7044" s="19" t="str">
        <f>HYPERLINK("https://ssdweb.co/ssdweb/CERTH/621438605.pdf","CERTI")</f>
        <v>CERTI</v>
      </c>
    </row>
    <row r="7045" spans="1:27" ht="15" x14ac:dyDescent="0.25">
      <c r="A7045" s="2">
        <v>7040</v>
      </c>
      <c r="B7045" s="39">
        <v>821113271</v>
      </c>
      <c r="C7045" s="28" t="str">
        <f>HYPERLINK("https://pld.live/RapDetail.aspx?STONELIST=821113271","DNA")</f>
        <v>DNA</v>
      </c>
      <c r="D7045" s="18" t="s">
        <v>4121</v>
      </c>
      <c r="E7045" s="18" t="s">
        <v>2186</v>
      </c>
      <c r="F7045" s="2" t="s">
        <v>7987</v>
      </c>
      <c r="G7045" s="2" t="s">
        <v>5226</v>
      </c>
      <c r="H7045" s="14">
        <v>0.98</v>
      </c>
      <c r="I7045" s="2" t="s">
        <v>4699</v>
      </c>
      <c r="J7045" s="2" t="s">
        <v>13</v>
      </c>
      <c r="K7045" s="2" t="s">
        <v>1452</v>
      </c>
      <c r="L7045" s="2" t="s">
        <v>5221</v>
      </c>
      <c r="M7045" s="2" t="s">
        <v>5221</v>
      </c>
      <c r="N7045" s="2" t="s">
        <v>2317</v>
      </c>
      <c r="O7045" s="14">
        <v>4600</v>
      </c>
      <c r="P7045" s="14">
        <v>97.48</v>
      </c>
      <c r="Q7045" s="14">
        <v>115.92</v>
      </c>
      <c r="R7045" s="14">
        <v>113.6</v>
      </c>
      <c r="S7045" s="2" t="s">
        <v>6501</v>
      </c>
      <c r="T7045" s="2">
        <v>1.03</v>
      </c>
      <c r="U7045" s="2">
        <v>72.599999999999994</v>
      </c>
      <c r="V7045" s="2">
        <v>72</v>
      </c>
      <c r="W7045" s="2" t="s">
        <v>7862</v>
      </c>
      <c r="X7045" s="2" t="s">
        <v>2449</v>
      </c>
      <c r="Y7045" s="2">
        <v>4508</v>
      </c>
      <c r="Z7045" s="19" t="str">
        <f>HYPERLINK("https://ssdweb.co/ssdweb/hd/Vision360.html?d=821113271&amp;zoomslide=1&amp;z=1821113271&amp;ISCONFIRM=0","VIDEO")</f>
        <v>VIDEO</v>
      </c>
      <c r="AA7045" s="19" t="str">
        <f>HYPERLINK("https://ssdweb.co/ssdweb/CERTH/622486161.pdf","CERTI")</f>
        <v>CERTI</v>
      </c>
    </row>
    <row r="7046" spans="1:27" ht="15" x14ac:dyDescent="0.25">
      <c r="A7046" s="2">
        <v>7041</v>
      </c>
      <c r="B7046" s="39">
        <v>821113322</v>
      </c>
      <c r="C7046" s="28" t="str">
        <f>HYPERLINK("https://pld.live/RapDetail.aspx?STONELIST=821113322","DNA")</f>
        <v>DNA</v>
      </c>
      <c r="D7046" s="18" t="s">
        <v>4121</v>
      </c>
      <c r="E7046" s="18" t="s">
        <v>2186</v>
      </c>
      <c r="F7046" s="2" t="s">
        <v>7987</v>
      </c>
      <c r="G7046" s="2" t="s">
        <v>5226</v>
      </c>
      <c r="H7046" s="14">
        <v>0.98</v>
      </c>
      <c r="I7046" s="2" t="s">
        <v>4699</v>
      </c>
      <c r="J7046" s="2" t="s">
        <v>13</v>
      </c>
      <c r="K7046" s="2" t="s">
        <v>1452</v>
      </c>
      <c r="L7046" s="2" t="s">
        <v>5221</v>
      </c>
      <c r="M7046" s="2" t="s">
        <v>5221</v>
      </c>
      <c r="N7046" s="2" t="s">
        <v>2317</v>
      </c>
      <c r="O7046" s="14">
        <v>4600</v>
      </c>
      <c r="P7046" s="14">
        <v>97.48</v>
      </c>
      <c r="Q7046" s="14">
        <v>115.92</v>
      </c>
      <c r="R7046" s="14">
        <v>113.6</v>
      </c>
      <c r="S7046" s="2" t="s">
        <v>542</v>
      </c>
      <c r="T7046" s="2">
        <v>1.01</v>
      </c>
      <c r="U7046" s="2">
        <v>72.900000000000006</v>
      </c>
      <c r="V7046" s="2">
        <v>68</v>
      </c>
      <c r="W7046" s="2" t="s">
        <v>7862</v>
      </c>
      <c r="X7046" s="2" t="s">
        <v>2449</v>
      </c>
      <c r="Y7046" s="2">
        <v>4508</v>
      </c>
      <c r="Z7046" s="19" t="str">
        <f>HYPERLINK("https://ssdweb.co/ssdweb/hd/Vision360.html?d=821113322&amp;zoomslide=1&amp;z=1821113322&amp;ISCONFIRM=0","VIDEO")</f>
        <v>VIDEO</v>
      </c>
      <c r="AA7046" s="19" t="str">
        <f>HYPERLINK("https://ssdweb.co/ssdweb/CERTH/620428875.pdf","CERTI")</f>
        <v>CERTI</v>
      </c>
    </row>
    <row r="7047" spans="1:27" ht="15" x14ac:dyDescent="0.25">
      <c r="A7047" s="2">
        <v>7042</v>
      </c>
      <c r="B7047" s="39">
        <v>821113206</v>
      </c>
      <c r="C7047" s="28" t="str">
        <f>HYPERLINK("https://pld.live/RapDetail.aspx?STONELIST=821113206","DNA")</f>
        <v>DNA</v>
      </c>
      <c r="D7047" s="18" t="s">
        <v>4121</v>
      </c>
      <c r="E7047" s="18" t="s">
        <v>2186</v>
      </c>
      <c r="F7047" s="2" t="s">
        <v>7987</v>
      </c>
      <c r="G7047" s="2" t="s">
        <v>5226</v>
      </c>
      <c r="H7047" s="14">
        <v>0.97</v>
      </c>
      <c r="I7047" s="2" t="s">
        <v>4761</v>
      </c>
      <c r="J7047" s="2" t="s">
        <v>13</v>
      </c>
      <c r="K7047" s="2" t="s">
        <v>1452</v>
      </c>
      <c r="L7047" s="2" t="s">
        <v>5221</v>
      </c>
      <c r="M7047" s="2" t="s">
        <v>5221</v>
      </c>
      <c r="N7047" s="2" t="s">
        <v>2317</v>
      </c>
      <c r="O7047" s="14">
        <v>4900</v>
      </c>
      <c r="P7047" s="14">
        <v>97.57</v>
      </c>
      <c r="Q7047" s="14">
        <v>119.07</v>
      </c>
      <c r="R7047" s="14">
        <v>115.5</v>
      </c>
      <c r="S7047" s="2" t="s">
        <v>4951</v>
      </c>
      <c r="T7047" s="2">
        <v>1.03</v>
      </c>
      <c r="U7047" s="2">
        <v>69.7</v>
      </c>
      <c r="V7047" s="2">
        <v>69</v>
      </c>
      <c r="W7047" s="2" t="s">
        <v>7862</v>
      </c>
      <c r="X7047" s="2" t="s">
        <v>2449</v>
      </c>
      <c r="Y7047" s="2">
        <v>4753</v>
      </c>
      <c r="Z7047" s="19" t="str">
        <f>HYPERLINK("https://ssdweb.co/ssdweb/hd/Vision360.html?d=821113206&amp;zoomslide=1&amp;z=1821113206&amp;ISCONFIRM=0","VIDEO")</f>
        <v>VIDEO</v>
      </c>
      <c r="AA7047" s="19" t="str">
        <f>HYPERLINK("https://ssdweb.co/ssdweb/CERTH/622459583.pdf","CERTI")</f>
        <v>CERTI</v>
      </c>
    </row>
    <row r="7048" spans="1:27" ht="15" x14ac:dyDescent="0.25">
      <c r="A7048" s="2">
        <v>7043</v>
      </c>
      <c r="B7048" s="39">
        <v>821113172</v>
      </c>
      <c r="C7048" s="28" t="str">
        <f>HYPERLINK("https://pld.live/RapDetail.aspx?STONELIST=821113172","DNA")</f>
        <v>DNA</v>
      </c>
      <c r="D7048" s="18" t="s">
        <v>4121</v>
      </c>
      <c r="E7048" s="18" t="s">
        <v>2186</v>
      </c>
      <c r="F7048" s="2" t="s">
        <v>7987</v>
      </c>
      <c r="G7048" s="2" t="s">
        <v>5226</v>
      </c>
      <c r="H7048" s="14">
        <v>0.97</v>
      </c>
      <c r="I7048" s="2" t="s">
        <v>4761</v>
      </c>
      <c r="J7048" s="2" t="s">
        <v>5144</v>
      </c>
      <c r="K7048" s="2" t="s">
        <v>1452</v>
      </c>
      <c r="L7048" s="2" t="s">
        <v>5221</v>
      </c>
      <c r="M7048" s="2" t="s">
        <v>5221</v>
      </c>
      <c r="N7048" s="2" t="s">
        <v>2317</v>
      </c>
      <c r="O7048" s="14">
        <v>4200</v>
      </c>
      <c r="P7048" s="14">
        <v>97.29</v>
      </c>
      <c r="Q7048" s="14">
        <v>113.82</v>
      </c>
      <c r="R7048" s="14">
        <v>110.41</v>
      </c>
      <c r="S7048" s="2" t="s">
        <v>229</v>
      </c>
      <c r="T7048" s="2">
        <v>1.03</v>
      </c>
      <c r="U7048" s="2">
        <v>72.8</v>
      </c>
      <c r="V7048" s="2">
        <v>71</v>
      </c>
      <c r="W7048" s="2" t="s">
        <v>7862</v>
      </c>
      <c r="X7048" s="2" t="s">
        <v>2449</v>
      </c>
      <c r="Y7048" s="2">
        <v>4074</v>
      </c>
      <c r="Z7048" s="19" t="str">
        <f>HYPERLINK("https://ssdweb.co/ssdweb/hd/Vision360.html?d=821113172&amp;zoomslide=1&amp;z=1821113172&amp;ISCONFIRM=0","VIDEO")</f>
        <v>VIDEO</v>
      </c>
      <c r="AA7048" s="19" t="str">
        <f>HYPERLINK("https://ssdweb.co/ssdweb/CERTH/622460541.pdf","CERTI")</f>
        <v>CERTI</v>
      </c>
    </row>
    <row r="7049" spans="1:27" ht="15" x14ac:dyDescent="0.25">
      <c r="A7049" s="2">
        <v>7044</v>
      </c>
      <c r="B7049" s="39">
        <v>831020639</v>
      </c>
      <c r="C7049" s="28" t="str">
        <f>HYPERLINK("https://pld.live/RapDetail.aspx?STONELIST=831020639","DNA")</f>
        <v>DNA</v>
      </c>
      <c r="D7049" s="18" t="s">
        <v>4121</v>
      </c>
      <c r="E7049" s="18" t="s">
        <v>2186</v>
      </c>
      <c r="F7049" s="2" t="s">
        <v>7987</v>
      </c>
      <c r="G7049" s="2" t="s">
        <v>5226</v>
      </c>
      <c r="H7049" s="14">
        <v>0.97</v>
      </c>
      <c r="I7049" s="2" t="s">
        <v>4699</v>
      </c>
      <c r="J7049" s="2" t="s">
        <v>5144</v>
      </c>
      <c r="K7049" s="2" t="s">
        <v>1452</v>
      </c>
      <c r="L7049" s="2" t="s">
        <v>5221</v>
      </c>
      <c r="M7049" s="2" t="s">
        <v>5221</v>
      </c>
      <c r="N7049" s="2" t="s">
        <v>2317</v>
      </c>
      <c r="O7049" s="14">
        <v>4000</v>
      </c>
      <c r="P7049" s="14">
        <v>97.2</v>
      </c>
      <c r="Q7049" s="14">
        <v>112</v>
      </c>
      <c r="R7049" s="14">
        <v>108.64</v>
      </c>
      <c r="S7049" s="2" t="s">
        <v>3170</v>
      </c>
      <c r="T7049" s="2">
        <v>1.02</v>
      </c>
      <c r="U7049" s="2">
        <v>72.599999999999994</v>
      </c>
      <c r="V7049" s="2">
        <v>71</v>
      </c>
      <c r="W7049" s="2" t="s">
        <v>7862</v>
      </c>
      <c r="X7049" s="2" t="s">
        <v>2449</v>
      </c>
      <c r="Y7049" s="2">
        <v>3880</v>
      </c>
      <c r="Z7049" s="19" t="str">
        <f>HYPERLINK("https://ssdweb.co/ssdweb/hd/Vision360.html?d=831020639&amp;zoomslide=1&amp;z=1831020639&amp;ISCONFIRM=0","VIDEO")</f>
        <v>VIDEO</v>
      </c>
      <c r="AA7049" s="19" t="str">
        <f>HYPERLINK("https://ssdweb.co/ssdweb/CERTH/623492144.pdf","CERTI")</f>
        <v>CERTI</v>
      </c>
    </row>
    <row r="7050" spans="1:27" ht="15" x14ac:dyDescent="0.25">
      <c r="A7050" s="2">
        <v>7045</v>
      </c>
      <c r="B7050" s="39">
        <v>926921411</v>
      </c>
      <c r="C7050" s="28" t="str">
        <f>HYPERLINK("https://pld.live/RapDetail.aspx?STONELIST=926921411","DNA")</f>
        <v>DNA</v>
      </c>
      <c r="D7050" s="18" t="s">
        <v>2990</v>
      </c>
      <c r="E7050" s="18" t="s">
        <v>2186</v>
      </c>
      <c r="F7050" s="2" t="s">
        <v>7987</v>
      </c>
      <c r="G7050" s="2" t="s">
        <v>5226</v>
      </c>
      <c r="H7050" s="14">
        <v>0.93</v>
      </c>
      <c r="I7050" s="2" t="s">
        <v>267</v>
      </c>
      <c r="J7050" s="2" t="s">
        <v>3942</v>
      </c>
      <c r="K7050" s="2" t="s">
        <v>1452</v>
      </c>
      <c r="L7050" s="2" t="s">
        <v>5221</v>
      </c>
      <c r="M7050" s="2" t="s">
        <v>5221</v>
      </c>
      <c r="N7050" s="2" t="s">
        <v>2317</v>
      </c>
      <c r="O7050" s="14">
        <v>5600</v>
      </c>
      <c r="P7050" s="14">
        <v>97.73</v>
      </c>
      <c r="Q7050" s="14">
        <v>127.12</v>
      </c>
      <c r="R7050" s="14">
        <v>118.22</v>
      </c>
      <c r="S7050" s="2" t="s">
        <v>4055</v>
      </c>
      <c r="T7050" s="2">
        <v>1.01</v>
      </c>
      <c r="U7050" s="2">
        <v>71.5</v>
      </c>
      <c r="V7050" s="2">
        <v>68</v>
      </c>
      <c r="W7050" s="2" t="s">
        <v>7862</v>
      </c>
      <c r="X7050" s="2" t="s">
        <v>2449</v>
      </c>
      <c r="Y7050" s="2">
        <v>5208</v>
      </c>
      <c r="Z7050" s="19" t="str">
        <f>HYPERLINK("https://ssdweb.co/ssdweb/hd/Vision360.html?d=926921411&amp;zoomslide=1&amp;z=1926921411&amp;ISCONFIRM=0","VIDEO")</f>
        <v>VIDEO</v>
      </c>
      <c r="AA7050" s="19" t="str">
        <f>HYPERLINK("https://ssdweb.co/ssdweb/CERTH/660440463.pdf","CERTI")</f>
        <v>CERTI</v>
      </c>
    </row>
    <row r="7051" spans="1:27" ht="15" x14ac:dyDescent="0.25">
      <c r="A7051" s="2">
        <v>7046</v>
      </c>
      <c r="B7051" s="39">
        <v>927140485</v>
      </c>
      <c r="C7051" s="28" t="str">
        <f>HYPERLINK("https://pld.live/RapDetail.aspx?STONELIST=927140485","DNA")</f>
        <v>DNA</v>
      </c>
      <c r="D7051" s="18" t="s">
        <v>2990</v>
      </c>
      <c r="E7051" s="18" t="s">
        <v>2186</v>
      </c>
      <c r="F7051" s="2" t="s">
        <v>7987</v>
      </c>
      <c r="G7051" s="2" t="s">
        <v>5226</v>
      </c>
      <c r="H7051" s="14">
        <v>0.92</v>
      </c>
      <c r="I7051" s="2" t="s">
        <v>267</v>
      </c>
      <c r="J7051" s="2" t="s">
        <v>5144</v>
      </c>
      <c r="K7051" s="2" t="s">
        <v>1452</v>
      </c>
      <c r="L7051" s="2" t="s">
        <v>5221</v>
      </c>
      <c r="M7051" s="2" t="s">
        <v>5221</v>
      </c>
      <c r="N7051" s="2" t="s">
        <v>2317</v>
      </c>
      <c r="O7051" s="14">
        <v>4400</v>
      </c>
      <c r="P7051" s="14">
        <v>97.27</v>
      </c>
      <c r="Q7051" s="14">
        <v>120.12</v>
      </c>
      <c r="R7051" s="14">
        <v>110.51</v>
      </c>
      <c r="S7051" s="2" t="s">
        <v>2582</v>
      </c>
      <c r="T7051" s="2">
        <v>1.02</v>
      </c>
      <c r="U7051" s="2">
        <v>70.2</v>
      </c>
      <c r="V7051" s="2">
        <v>68</v>
      </c>
      <c r="W7051" s="2" t="s">
        <v>7862</v>
      </c>
      <c r="X7051" s="2" t="s">
        <v>2449</v>
      </c>
      <c r="Y7051" s="2">
        <v>4048</v>
      </c>
      <c r="Z7051" s="19" t="str">
        <f>HYPERLINK("https://ssdweb.co/ssdweb/hd/Vision360.html?d=927140485&amp;zoomslide=1&amp;z=1927140485&amp;ISCONFIRM=0","VIDEO")</f>
        <v>VIDEO</v>
      </c>
      <c r="AA7051" s="19" t="str">
        <f>HYPERLINK("https://ssdweb.co/ssdweb/CERTH/675596861.pdf","CERTI")</f>
        <v>CERTI</v>
      </c>
    </row>
    <row r="7052" spans="1:27" ht="15" x14ac:dyDescent="0.25">
      <c r="A7052" s="2">
        <v>7047</v>
      </c>
      <c r="B7052" s="39">
        <v>925801685</v>
      </c>
      <c r="C7052" s="28" t="str">
        <f>HYPERLINK("https://pld.live/RapDetail.aspx?STONELIST=925801685","DNA")</f>
        <v>DNA</v>
      </c>
      <c r="D7052" s="18" t="s">
        <v>2990</v>
      </c>
      <c r="E7052" s="18" t="s">
        <v>5128</v>
      </c>
      <c r="F7052" s="2" t="s">
        <v>7987</v>
      </c>
      <c r="G7052" s="2" t="s">
        <v>5226</v>
      </c>
      <c r="H7052" s="14">
        <v>0.91</v>
      </c>
      <c r="I7052" s="2" t="s">
        <v>267</v>
      </c>
      <c r="J7052" s="2" t="s">
        <v>3942</v>
      </c>
      <c r="K7052" s="2" t="s">
        <v>1452</v>
      </c>
      <c r="L7052" s="2" t="s">
        <v>5221</v>
      </c>
      <c r="M7052" s="2" t="s">
        <v>5221</v>
      </c>
      <c r="N7052" s="2" t="s">
        <v>2317</v>
      </c>
      <c r="O7052" s="14">
        <v>5600</v>
      </c>
      <c r="P7052" s="14">
        <v>97.73</v>
      </c>
      <c r="Q7052" s="14">
        <v>127.12</v>
      </c>
      <c r="R7052" s="14">
        <v>115.68</v>
      </c>
      <c r="S7052" s="2" t="s">
        <v>5302</v>
      </c>
      <c r="T7052" s="2">
        <v>1.02</v>
      </c>
      <c r="U7052" s="2">
        <v>68.8</v>
      </c>
      <c r="V7052" s="2">
        <v>70</v>
      </c>
      <c r="W7052" s="2" t="s">
        <v>7862</v>
      </c>
      <c r="X7052" s="2" t="s">
        <v>2449</v>
      </c>
      <c r="Y7052" s="2">
        <v>5096</v>
      </c>
      <c r="Z7052" s="19" t="str">
        <f>HYPERLINK("https://ssdweb.co/ssdweb/hd/Vision360.html?d=925801685&amp;zoomslide=1&amp;z=1925801685&amp;ISCONFIRM=0","VIDEO")</f>
        <v>VIDEO</v>
      </c>
      <c r="AA7052" s="19" t="str">
        <f>HYPERLINK("https://ssdweb.co/ssdweb/CERTH/626427347.pdf","CERTI")</f>
        <v>CERTI</v>
      </c>
    </row>
    <row r="7053" spans="1:27" ht="15" x14ac:dyDescent="0.25">
      <c r="A7053" s="2">
        <v>7048</v>
      </c>
      <c r="B7053" s="39">
        <v>926420288</v>
      </c>
      <c r="C7053" s="28" t="str">
        <f>HYPERLINK("https://pld.live/RapDetail.aspx?STONELIST=926420288","DNA")</f>
        <v>DNA</v>
      </c>
      <c r="D7053" s="18" t="s">
        <v>2990</v>
      </c>
      <c r="E7053" s="18" t="s">
        <v>2186</v>
      </c>
      <c r="F7053" s="2" t="s">
        <v>7987</v>
      </c>
      <c r="G7053" s="2" t="s">
        <v>5226</v>
      </c>
      <c r="H7053" s="14">
        <v>0.91</v>
      </c>
      <c r="I7053" s="2" t="s">
        <v>267</v>
      </c>
      <c r="J7053" s="2" t="s">
        <v>13</v>
      </c>
      <c r="K7053" s="2" t="s">
        <v>1452</v>
      </c>
      <c r="L7053" s="2" t="s">
        <v>5221</v>
      </c>
      <c r="M7053" s="2" t="s">
        <v>5721</v>
      </c>
      <c r="N7053" s="2" t="s">
        <v>2317</v>
      </c>
      <c r="O7053" s="14">
        <v>5200</v>
      </c>
      <c r="P7053" s="14">
        <v>97.71</v>
      </c>
      <c r="Q7053" s="14">
        <v>119.08</v>
      </c>
      <c r="R7053" s="14">
        <v>108.36</v>
      </c>
      <c r="S7053" s="2" t="s">
        <v>7037</v>
      </c>
      <c r="T7053" s="2">
        <v>1.04</v>
      </c>
      <c r="U7053" s="2">
        <v>72.3</v>
      </c>
      <c r="V7053" s="2">
        <v>70</v>
      </c>
      <c r="W7053" s="2" t="s">
        <v>7862</v>
      </c>
      <c r="X7053" s="2" t="s">
        <v>2449</v>
      </c>
      <c r="Y7053" s="2">
        <v>4732</v>
      </c>
      <c r="Z7053" s="19" t="str">
        <f>HYPERLINK("https://ssdweb.co/ssdweb/hd/Vision360.html?d=926420288&amp;zoomslide=1&amp;z=1926420288&amp;ISCONFIRM=0","VIDEO")</f>
        <v>VIDEO</v>
      </c>
      <c r="AA7053" s="19" t="str">
        <f>HYPERLINK("https://ssdweb.co/ssdweb/CERTH/643443146.pdf","CERTI")</f>
        <v>CERTI</v>
      </c>
    </row>
    <row r="7054" spans="1:27" ht="15" x14ac:dyDescent="0.25">
      <c r="A7054" s="2">
        <v>7049</v>
      </c>
      <c r="B7054" s="39">
        <v>926420307</v>
      </c>
      <c r="C7054" s="28" t="str">
        <f>HYPERLINK("https://pld.live/RapDetail.aspx?STONELIST=926420307","DNA")</f>
        <v>DNA</v>
      </c>
      <c r="D7054" s="18" t="s">
        <v>2990</v>
      </c>
      <c r="E7054" s="18" t="s">
        <v>2186</v>
      </c>
      <c r="F7054" s="2" t="s">
        <v>7987</v>
      </c>
      <c r="G7054" s="2" t="s">
        <v>5226</v>
      </c>
      <c r="H7054" s="14">
        <v>0.9</v>
      </c>
      <c r="I7054" s="2" t="s">
        <v>4761</v>
      </c>
      <c r="J7054" s="2" t="s">
        <v>5144</v>
      </c>
      <c r="K7054" s="2" t="s">
        <v>1452</v>
      </c>
      <c r="L7054" s="2" t="s">
        <v>5221</v>
      </c>
      <c r="M7054" s="2" t="s">
        <v>5221</v>
      </c>
      <c r="N7054" s="2" t="s">
        <v>2317</v>
      </c>
      <c r="O7054" s="14">
        <v>4200</v>
      </c>
      <c r="P7054" s="14">
        <v>97.29</v>
      </c>
      <c r="Q7054" s="14">
        <v>113.82</v>
      </c>
      <c r="R7054" s="14">
        <v>102.44</v>
      </c>
      <c r="S7054" s="2" t="s">
        <v>3615</v>
      </c>
      <c r="T7054" s="2">
        <v>1.03</v>
      </c>
      <c r="U7054" s="2">
        <v>69.7</v>
      </c>
      <c r="V7054" s="2">
        <v>72</v>
      </c>
      <c r="W7054" s="2" t="s">
        <v>7862</v>
      </c>
      <c r="X7054" s="2" t="s">
        <v>2449</v>
      </c>
      <c r="Y7054" s="2">
        <v>3780</v>
      </c>
      <c r="Z7054" s="19" t="str">
        <f>HYPERLINK("https://ssdweb.co/ssdweb/hd/Vision360.html?d=926420307&amp;zoomslide=1&amp;z=1926420307&amp;ISCONFIRM=0","VIDEO")</f>
        <v>VIDEO</v>
      </c>
      <c r="AA7054" s="19" t="str">
        <f>HYPERLINK("https://ssdweb.co/ssdweb/CERTH/643443144.pdf","CERTI")</f>
        <v>CERTI</v>
      </c>
    </row>
    <row r="7055" spans="1:27" ht="15" x14ac:dyDescent="0.25">
      <c r="A7055" s="2">
        <v>7050</v>
      </c>
      <c r="B7055" s="39">
        <v>925420330</v>
      </c>
      <c r="C7055" s="28" t="str">
        <f>HYPERLINK("https://pld.live/RapDetail.aspx?STONELIST=925420330","DNA")</f>
        <v>DNA</v>
      </c>
      <c r="D7055" s="18" t="s">
        <v>2990</v>
      </c>
      <c r="E7055" s="18" t="s">
        <v>5128</v>
      </c>
      <c r="F7055" s="2" t="s">
        <v>7987</v>
      </c>
      <c r="G7055" s="2" t="s">
        <v>5226</v>
      </c>
      <c r="H7055" s="14">
        <v>0.9</v>
      </c>
      <c r="I7055" s="2" t="s">
        <v>4761</v>
      </c>
      <c r="J7055" s="2" t="s">
        <v>5144</v>
      </c>
      <c r="K7055" s="2" t="s">
        <v>1452</v>
      </c>
      <c r="L7055" s="2" t="s">
        <v>5221</v>
      </c>
      <c r="M7055" s="2" t="s">
        <v>5221</v>
      </c>
      <c r="N7055" s="2" t="s">
        <v>2317</v>
      </c>
      <c r="O7055" s="14">
        <v>4200</v>
      </c>
      <c r="P7055" s="14">
        <v>97.29</v>
      </c>
      <c r="Q7055" s="14">
        <v>113.82</v>
      </c>
      <c r="R7055" s="14">
        <v>102.44</v>
      </c>
      <c r="S7055" s="2" t="s">
        <v>6041</v>
      </c>
      <c r="T7055" s="2">
        <v>1.01</v>
      </c>
      <c r="U7055" s="2">
        <v>73.900000000000006</v>
      </c>
      <c r="V7055" s="2">
        <v>64</v>
      </c>
      <c r="W7055" s="2" t="s">
        <v>7862</v>
      </c>
      <c r="X7055" s="2" t="s">
        <v>2449</v>
      </c>
      <c r="Y7055" s="2">
        <v>3780</v>
      </c>
      <c r="Z7055" s="19" t="str">
        <f>HYPERLINK("https://ssdweb.co/ssdweb/hd/Vision360.html?d=925420330&amp;zoomslide=1&amp;z=1925420330&amp;ISCONFIRM=0","VIDEO")</f>
        <v>VIDEO</v>
      </c>
      <c r="AA7055" s="19" t="str">
        <f>HYPERLINK("https://ssdweb.co/ssdweb/CERTH/617437371.pdf","CERTI")</f>
        <v>CERTI</v>
      </c>
    </row>
    <row r="7056" spans="1:27" ht="15" x14ac:dyDescent="0.25">
      <c r="A7056" s="2">
        <v>7051</v>
      </c>
      <c r="B7056" s="39">
        <v>831020645</v>
      </c>
      <c r="C7056" s="28" t="str">
        <f>HYPERLINK("https://pld.live/RapDetail.aspx?STONELIST=831020645","DNA")</f>
        <v>DNA</v>
      </c>
      <c r="D7056" s="18" t="s">
        <v>5715</v>
      </c>
      <c r="E7056" s="18" t="s">
        <v>2186</v>
      </c>
      <c r="F7056" s="2" t="s">
        <v>7987</v>
      </c>
      <c r="G7056" s="2" t="s">
        <v>5226</v>
      </c>
      <c r="H7056" s="14">
        <v>0.89</v>
      </c>
      <c r="I7056" s="2" t="s">
        <v>6587</v>
      </c>
      <c r="J7056" s="2" t="s">
        <v>13</v>
      </c>
      <c r="K7056" s="2" t="s">
        <v>1452</v>
      </c>
      <c r="L7056" s="2" t="s">
        <v>5221</v>
      </c>
      <c r="M7056" s="2" t="s">
        <v>5221</v>
      </c>
      <c r="N7056" s="2" t="s">
        <v>2317</v>
      </c>
      <c r="O7056" s="14">
        <v>3100</v>
      </c>
      <c r="P7056" s="14">
        <v>95.94</v>
      </c>
      <c r="Q7056" s="14">
        <v>125.86</v>
      </c>
      <c r="R7056" s="14">
        <v>112.02</v>
      </c>
      <c r="S7056" s="2" t="s">
        <v>7121</v>
      </c>
      <c r="T7056" s="2">
        <v>1.01</v>
      </c>
      <c r="U7056" s="2">
        <v>71.900000000000006</v>
      </c>
      <c r="V7056" s="2">
        <v>71</v>
      </c>
      <c r="W7056" s="2" t="s">
        <v>7862</v>
      </c>
      <c r="X7056" s="2" t="s">
        <v>2449</v>
      </c>
      <c r="Y7056" s="2">
        <v>2759</v>
      </c>
      <c r="Z7056" s="19" t="str">
        <f>HYPERLINK("https://ssdweb.co/ssdweb/hd/Vision360.html?d=831020645&amp;zoomslide=1&amp;z=1831020645&amp;ISCONFIRM=0","VIDEO")</f>
        <v>VIDEO</v>
      </c>
      <c r="AA7056" s="19" t="str">
        <f>HYPERLINK("https://ssdweb.co/ssdweb/CERTH/646457866.pdf","CERTI")</f>
        <v>CERTI</v>
      </c>
    </row>
    <row r="7057" spans="1:27" ht="15" x14ac:dyDescent="0.25">
      <c r="A7057" s="2">
        <v>7052</v>
      </c>
      <c r="B7057" s="39">
        <v>941351009</v>
      </c>
      <c r="C7057" s="28" t="str">
        <f>HYPERLINK("https://pld.live/RapDetail.aspx?STONELIST=941351009","DNA")</f>
        <v>DNA</v>
      </c>
      <c r="D7057" s="18" t="s">
        <v>5847</v>
      </c>
      <c r="E7057" s="18" t="s">
        <v>5128</v>
      </c>
      <c r="F7057" s="2" t="s">
        <v>7987</v>
      </c>
      <c r="G7057" s="2" t="s">
        <v>5226</v>
      </c>
      <c r="H7057" s="14">
        <v>0.79</v>
      </c>
      <c r="I7057" s="2" t="s">
        <v>4761</v>
      </c>
      <c r="J7057" s="2" t="s">
        <v>3942</v>
      </c>
      <c r="K7057" s="2" t="s">
        <v>1452</v>
      </c>
      <c r="L7057" s="2" t="s">
        <v>5221</v>
      </c>
      <c r="M7057" s="2" t="s">
        <v>5221</v>
      </c>
      <c r="N7057" s="2" t="s">
        <v>2317</v>
      </c>
      <c r="O7057" s="14">
        <v>3800</v>
      </c>
      <c r="P7057" s="14">
        <v>96.18</v>
      </c>
      <c r="Q7057" s="14">
        <v>145.16</v>
      </c>
      <c r="R7057" s="14">
        <v>114.68</v>
      </c>
      <c r="S7057" s="2" t="s">
        <v>5666</v>
      </c>
      <c r="T7057" s="2">
        <v>1.01</v>
      </c>
      <c r="U7057" s="2">
        <v>72.5</v>
      </c>
      <c r="V7057" s="2">
        <v>70</v>
      </c>
      <c r="W7057" s="2" t="s">
        <v>7862</v>
      </c>
      <c r="X7057" s="2" t="s">
        <v>2449</v>
      </c>
      <c r="Y7057" s="2">
        <v>3002</v>
      </c>
      <c r="Z7057" s="19" t="str">
        <f>HYPERLINK("https://ssdweb.co/ssdweb/hd/Vision360.html?d=941351009&amp;zoomslide=1&amp;z=1941351009&amp;ISCONFIRM=0","VIDEO")</f>
        <v>VIDEO</v>
      </c>
      <c r="AA7057" s="19" t="str">
        <f>HYPERLINK("https://ssdweb.co/ssdweb/CERTH/687591627.pdf","CERTI")</f>
        <v>CERTI</v>
      </c>
    </row>
    <row r="7058" spans="1:27" ht="15" x14ac:dyDescent="0.25">
      <c r="A7058" s="2">
        <v>7053</v>
      </c>
      <c r="B7058" s="39">
        <v>927132256</v>
      </c>
      <c r="C7058" s="28" t="str">
        <f>HYPERLINK("https://pld.live/RapDetail.aspx?STONELIST=927132256","DNA")</f>
        <v>DNA</v>
      </c>
      <c r="D7058" s="18" t="s">
        <v>5847</v>
      </c>
      <c r="E7058" s="18" t="s">
        <v>5128</v>
      </c>
      <c r="F7058" s="2" t="s">
        <v>7987</v>
      </c>
      <c r="G7058" s="2" t="s">
        <v>5226</v>
      </c>
      <c r="H7058" s="14">
        <v>0.76</v>
      </c>
      <c r="I7058" s="2" t="s">
        <v>267</v>
      </c>
      <c r="J7058" s="2" t="s">
        <v>13</v>
      </c>
      <c r="K7058" s="2" t="s">
        <v>1452</v>
      </c>
      <c r="L7058" s="2" t="s">
        <v>5221</v>
      </c>
      <c r="M7058" s="2" t="s">
        <v>5221</v>
      </c>
      <c r="N7058" s="2" t="s">
        <v>2317</v>
      </c>
      <c r="O7058" s="14">
        <v>3700</v>
      </c>
      <c r="P7058" s="14">
        <v>96.22</v>
      </c>
      <c r="Q7058" s="14">
        <v>139.86000000000001</v>
      </c>
      <c r="R7058" s="14">
        <v>106.29</v>
      </c>
      <c r="S7058" s="2" t="s">
        <v>2554</v>
      </c>
      <c r="T7058" s="2">
        <v>1</v>
      </c>
      <c r="U7058" s="2">
        <v>73</v>
      </c>
      <c r="V7058" s="2">
        <v>69</v>
      </c>
      <c r="W7058" s="2" t="s">
        <v>7862</v>
      </c>
      <c r="X7058" s="2" t="s">
        <v>2449</v>
      </c>
      <c r="Y7058" s="2">
        <v>2812</v>
      </c>
      <c r="Z7058" s="19" t="str">
        <f>HYPERLINK("https://ssdweb.co/ssdweb/hd/Vision360.html?d=927132256&amp;zoomslide=1&amp;z=1927132256&amp;ISCONFIRM=0","VIDEO")</f>
        <v>VIDEO</v>
      </c>
      <c r="AA7058" s="19" t="str">
        <f>HYPERLINK("https://ssdweb.co/ssdweb/CERTH/669458140.pdf","CERTI")</f>
        <v>CERTI</v>
      </c>
    </row>
    <row r="7059" spans="1:27" ht="15" x14ac:dyDescent="0.25">
      <c r="A7059" s="2">
        <v>7054</v>
      </c>
      <c r="B7059" s="39">
        <v>927092564</v>
      </c>
      <c r="C7059" s="28" t="str">
        <f>HYPERLINK("https://pld.live/RapDetail.aspx?STONELIST=927092564","DNA")</f>
        <v>DNA</v>
      </c>
      <c r="D7059" s="18" t="s">
        <v>5847</v>
      </c>
      <c r="E7059" s="18" t="s">
        <v>5128</v>
      </c>
      <c r="F7059" s="2" t="s">
        <v>7987</v>
      </c>
      <c r="G7059" s="2" t="s">
        <v>5226</v>
      </c>
      <c r="H7059" s="14">
        <v>0.76</v>
      </c>
      <c r="I7059" s="2" t="s">
        <v>4761</v>
      </c>
      <c r="J7059" s="2" t="s">
        <v>13</v>
      </c>
      <c r="K7059" s="2" t="s">
        <v>1452</v>
      </c>
      <c r="L7059" s="2" t="s">
        <v>5721</v>
      </c>
      <c r="M7059" s="2" t="s">
        <v>5721</v>
      </c>
      <c r="N7059" s="2" t="s">
        <v>2317</v>
      </c>
      <c r="O7059" s="14">
        <v>3500</v>
      </c>
      <c r="P7059" s="14">
        <v>96.11</v>
      </c>
      <c r="Q7059" s="14">
        <v>136.15</v>
      </c>
      <c r="R7059" s="14">
        <v>103.47</v>
      </c>
      <c r="S7059" s="2" t="s">
        <v>1507</v>
      </c>
      <c r="T7059" s="2">
        <v>1.02</v>
      </c>
      <c r="U7059" s="2">
        <v>72.7</v>
      </c>
      <c r="V7059" s="2">
        <v>69</v>
      </c>
      <c r="W7059" s="2" t="s">
        <v>7862</v>
      </c>
      <c r="X7059" s="2" t="s">
        <v>2449</v>
      </c>
      <c r="Y7059" s="2">
        <v>2660</v>
      </c>
      <c r="Z7059" s="19" t="str">
        <f>HYPERLINK("https://ssdweb.co/ssdweb/hd/Vision360.html?d=927092564&amp;zoomslide=1&amp;z=1927092564&amp;ISCONFIRM=0","VIDEO")</f>
        <v>VIDEO</v>
      </c>
      <c r="AA7059" s="19" t="str">
        <f>HYPERLINK("https://ssdweb.co/ssdweb/CERTH/670445161.pdf","CERTI")</f>
        <v>CERTI</v>
      </c>
    </row>
    <row r="7060" spans="1:27" ht="15" x14ac:dyDescent="0.25">
      <c r="A7060" s="2">
        <v>7055</v>
      </c>
      <c r="B7060" s="39">
        <v>927130899</v>
      </c>
      <c r="C7060" s="28" t="str">
        <f>HYPERLINK("https://pld.live/RapDetail.aspx?STONELIST=927130899","DNA")</f>
        <v>DNA</v>
      </c>
      <c r="D7060" s="18" t="s">
        <v>5847</v>
      </c>
      <c r="E7060" s="18" t="s">
        <v>5128</v>
      </c>
      <c r="F7060" s="2" t="s">
        <v>7987</v>
      </c>
      <c r="G7060" s="2" t="s">
        <v>5226</v>
      </c>
      <c r="H7060" s="14">
        <v>0.75</v>
      </c>
      <c r="I7060" s="2" t="s">
        <v>267</v>
      </c>
      <c r="J7060" s="2" t="s">
        <v>13</v>
      </c>
      <c r="K7060" s="2" t="s">
        <v>1452</v>
      </c>
      <c r="L7060" s="2" t="s">
        <v>5221</v>
      </c>
      <c r="M7060" s="2" t="s">
        <v>5221</v>
      </c>
      <c r="N7060" s="2" t="s">
        <v>2317</v>
      </c>
      <c r="O7060" s="14">
        <v>3700</v>
      </c>
      <c r="P7060" s="14">
        <v>96.16</v>
      </c>
      <c r="Q7060" s="14">
        <v>142.08000000000001</v>
      </c>
      <c r="R7060" s="14">
        <v>106.56</v>
      </c>
      <c r="S7060" s="2" t="s">
        <v>3810</v>
      </c>
      <c r="T7060" s="2">
        <v>1</v>
      </c>
      <c r="U7060" s="2">
        <v>72.7</v>
      </c>
      <c r="V7060" s="2">
        <v>68</v>
      </c>
      <c r="W7060" s="2" t="s">
        <v>7862</v>
      </c>
      <c r="X7060" s="2" t="s">
        <v>2449</v>
      </c>
      <c r="Y7060" s="2">
        <v>2775</v>
      </c>
      <c r="Z7060" s="19" t="str">
        <f>HYPERLINK("https://ssdweb.co/ssdweb/hd/Vision360.html?d=927130899&amp;zoomslide=1&amp;z=1927130899&amp;ISCONFIRM=0","VIDEO")</f>
        <v>VIDEO</v>
      </c>
      <c r="AA7060" s="19" t="str">
        <f>HYPERLINK("https://ssdweb.co/ssdweb/CERTH/670484154.pdf","CERTI")</f>
        <v>CERTI</v>
      </c>
    </row>
    <row r="7061" spans="1:27" ht="15" x14ac:dyDescent="0.25">
      <c r="A7061" s="2">
        <v>7056</v>
      </c>
      <c r="B7061" s="39">
        <v>927092560</v>
      </c>
      <c r="C7061" s="28" t="str">
        <f>HYPERLINK("https://pld.live/RapDetail.aspx?STONELIST=927092560","DNA")</f>
        <v>DNA</v>
      </c>
      <c r="D7061" s="18" t="s">
        <v>5847</v>
      </c>
      <c r="E7061" s="18" t="s">
        <v>5128</v>
      </c>
      <c r="F7061" s="2" t="s">
        <v>7987</v>
      </c>
      <c r="G7061" s="2" t="s">
        <v>5226</v>
      </c>
      <c r="H7061" s="14">
        <v>0.74</v>
      </c>
      <c r="I7061" s="2" t="s">
        <v>267</v>
      </c>
      <c r="J7061" s="2" t="s">
        <v>3942</v>
      </c>
      <c r="K7061" s="2" t="s">
        <v>1452</v>
      </c>
      <c r="L7061" s="2" t="s">
        <v>5221</v>
      </c>
      <c r="M7061" s="2" t="s">
        <v>5221</v>
      </c>
      <c r="N7061" s="2" t="s">
        <v>2317</v>
      </c>
      <c r="O7061" s="14">
        <v>4000</v>
      </c>
      <c r="P7061" s="14">
        <v>96.25</v>
      </c>
      <c r="Q7061" s="14">
        <v>150</v>
      </c>
      <c r="R7061" s="14">
        <v>111</v>
      </c>
      <c r="S7061" s="2" t="s">
        <v>7738</v>
      </c>
      <c r="T7061" s="2">
        <v>1.01</v>
      </c>
      <c r="U7061" s="2">
        <v>74.5</v>
      </c>
      <c r="V7061" s="2">
        <v>68</v>
      </c>
      <c r="W7061" s="2" t="s">
        <v>7862</v>
      </c>
      <c r="X7061" s="2" t="s">
        <v>2449</v>
      </c>
      <c r="Y7061" s="2">
        <v>2960</v>
      </c>
      <c r="Z7061" s="19" t="str">
        <f>HYPERLINK("https://ssdweb.co/ssdweb/hd/Vision360.html?d=927092560&amp;zoomslide=1&amp;z=1927092560&amp;ISCONFIRM=0","VIDEO")</f>
        <v>VIDEO</v>
      </c>
      <c r="AA7061" s="19" t="str">
        <f>HYPERLINK("https://ssdweb.co/ssdweb/CERTH/670445177.pdf","CERTI")</f>
        <v>CERTI</v>
      </c>
    </row>
    <row r="7062" spans="1:27" ht="15" x14ac:dyDescent="0.25">
      <c r="A7062" s="2">
        <v>7057</v>
      </c>
      <c r="B7062" s="39">
        <v>927092565</v>
      </c>
      <c r="C7062" s="28" t="str">
        <f>HYPERLINK("https://pld.live/RapDetail.aspx?STONELIST=927092565","DNA")</f>
        <v>DNA</v>
      </c>
      <c r="D7062" s="18" t="s">
        <v>5847</v>
      </c>
      <c r="E7062" s="18" t="s">
        <v>5128</v>
      </c>
      <c r="F7062" s="2" t="s">
        <v>7987</v>
      </c>
      <c r="G7062" s="2" t="s">
        <v>5226</v>
      </c>
      <c r="H7062" s="14">
        <v>0.74</v>
      </c>
      <c r="I7062" s="2" t="s">
        <v>267</v>
      </c>
      <c r="J7062" s="2" t="s">
        <v>3942</v>
      </c>
      <c r="K7062" s="2" t="s">
        <v>1452</v>
      </c>
      <c r="L7062" s="2" t="s">
        <v>5221</v>
      </c>
      <c r="M7062" s="2" t="s">
        <v>5721</v>
      </c>
      <c r="N7062" s="2" t="s">
        <v>2317</v>
      </c>
      <c r="O7062" s="14">
        <v>4000</v>
      </c>
      <c r="P7062" s="14">
        <v>96.3</v>
      </c>
      <c r="Q7062" s="14">
        <v>148</v>
      </c>
      <c r="R7062" s="14">
        <v>109.52</v>
      </c>
      <c r="S7062" s="2" t="s">
        <v>7379</v>
      </c>
      <c r="T7062" s="2">
        <v>1.03</v>
      </c>
      <c r="U7062" s="2">
        <v>71.900000000000006</v>
      </c>
      <c r="V7062" s="2">
        <v>70</v>
      </c>
      <c r="W7062" s="2" t="s">
        <v>7862</v>
      </c>
      <c r="X7062" s="2" t="s">
        <v>2449</v>
      </c>
      <c r="Y7062" s="2">
        <v>2960</v>
      </c>
      <c r="Z7062" s="19" t="str">
        <f>HYPERLINK("https://ssdweb.co/ssdweb/hd/Vision360.html?d=927092565&amp;zoomslide=1&amp;z=1927092565&amp;ISCONFIRM=0","VIDEO")</f>
        <v>VIDEO</v>
      </c>
      <c r="AA7062" s="19" t="str">
        <f>HYPERLINK("https://ssdweb.co/ssdweb/CERTH/670445162.pdf","CERTI")</f>
        <v>CERTI</v>
      </c>
    </row>
    <row r="7063" spans="1:27" ht="15" x14ac:dyDescent="0.25">
      <c r="A7063" s="2">
        <v>7058</v>
      </c>
      <c r="B7063" s="39">
        <v>926921402</v>
      </c>
      <c r="C7063" s="28" t="str">
        <f>HYPERLINK("https://pld.live/RapDetail.aspx?STONELIST=926921402","DNA")</f>
        <v>DNA</v>
      </c>
      <c r="D7063" s="18" t="s">
        <v>5847</v>
      </c>
      <c r="E7063" s="18" t="s">
        <v>2186</v>
      </c>
      <c r="F7063" s="2" t="s">
        <v>7987</v>
      </c>
      <c r="G7063" s="2" t="s">
        <v>5226</v>
      </c>
      <c r="H7063" s="14">
        <v>0.74</v>
      </c>
      <c r="I7063" s="2" t="s">
        <v>267</v>
      </c>
      <c r="J7063" s="2" t="s">
        <v>13</v>
      </c>
      <c r="K7063" s="2" t="s">
        <v>1452</v>
      </c>
      <c r="L7063" s="2" t="s">
        <v>5221</v>
      </c>
      <c r="M7063" s="2" t="s">
        <v>5221</v>
      </c>
      <c r="N7063" s="2" t="s">
        <v>2317</v>
      </c>
      <c r="O7063" s="14">
        <v>3700</v>
      </c>
      <c r="P7063" s="14">
        <v>96.22</v>
      </c>
      <c r="Q7063" s="14">
        <v>139.86000000000001</v>
      </c>
      <c r="R7063" s="14">
        <v>103.5</v>
      </c>
      <c r="S7063" s="2" t="s">
        <v>4641</v>
      </c>
      <c r="T7063" s="2">
        <v>1.01</v>
      </c>
      <c r="U7063" s="2">
        <v>72.599999999999994</v>
      </c>
      <c r="V7063" s="2">
        <v>68</v>
      </c>
      <c r="W7063" s="2" t="s">
        <v>7862</v>
      </c>
      <c r="X7063" s="2" t="s">
        <v>2449</v>
      </c>
      <c r="Y7063" s="2">
        <v>2738</v>
      </c>
      <c r="Z7063" s="19" t="str">
        <f>HYPERLINK("https://ssdweb.co/ssdweb/hd/Vision360.html?d=926921402&amp;zoomslide=1&amp;z=1926921402&amp;ISCONFIRM=0","VIDEO")</f>
        <v>VIDEO</v>
      </c>
      <c r="AA7063" s="19" t="str">
        <f>HYPERLINK("https://ssdweb.co/ssdweb/CERTH/660440462.pdf","CERTI")</f>
        <v>CERTI</v>
      </c>
    </row>
    <row r="7064" spans="1:27" ht="15" x14ac:dyDescent="0.25">
      <c r="A7064" s="2">
        <v>7059</v>
      </c>
      <c r="B7064" s="39">
        <v>831010779</v>
      </c>
      <c r="C7064" s="28" t="str">
        <f>HYPERLINK("https://pld.live/RapDetail.aspx?STONELIST=831010779","DNA")</f>
        <v>DNA</v>
      </c>
      <c r="D7064" s="18" t="s">
        <v>5847</v>
      </c>
      <c r="E7064" s="18" t="s">
        <v>5128</v>
      </c>
      <c r="F7064" s="2" t="s">
        <v>7987</v>
      </c>
      <c r="G7064" s="2" t="s">
        <v>5226</v>
      </c>
      <c r="H7064" s="14">
        <v>0.72</v>
      </c>
      <c r="I7064" s="2" t="s">
        <v>267</v>
      </c>
      <c r="J7064" s="2" t="s">
        <v>3942</v>
      </c>
      <c r="K7064" s="2" t="s">
        <v>1452</v>
      </c>
      <c r="L7064" s="2" t="s">
        <v>5221</v>
      </c>
      <c r="M7064" s="2" t="s">
        <v>5221</v>
      </c>
      <c r="N7064" s="2" t="s">
        <v>2317</v>
      </c>
      <c r="O7064" s="14">
        <v>4000</v>
      </c>
      <c r="P7064" s="14">
        <v>96.3</v>
      </c>
      <c r="Q7064" s="14">
        <v>148</v>
      </c>
      <c r="R7064" s="14">
        <v>106.56</v>
      </c>
      <c r="S7064" s="2" t="s">
        <v>6568</v>
      </c>
      <c r="T7064" s="2">
        <v>1</v>
      </c>
      <c r="U7064" s="2">
        <v>71.7</v>
      </c>
      <c r="V7064" s="2">
        <v>68</v>
      </c>
      <c r="W7064" s="2" t="s">
        <v>7862</v>
      </c>
      <c r="X7064" s="2" t="s">
        <v>2449</v>
      </c>
      <c r="Y7064" s="2">
        <v>2880</v>
      </c>
      <c r="Z7064" s="19" t="str">
        <f>HYPERLINK("https://ssdweb.co/ssdweb/hd/Vision360.html?d=831010779&amp;zoomslide=1&amp;z=1831010779&amp;ISCONFIRM=0","VIDEO")</f>
        <v>VIDEO</v>
      </c>
      <c r="AA7064" s="19" t="str">
        <f>HYPERLINK("https://ssdweb.co/ssdweb/CERTH/668447746.pdf","CERTI")</f>
        <v>CERTI</v>
      </c>
    </row>
    <row r="7065" spans="1:27" ht="15" x14ac:dyDescent="0.25">
      <c r="A7065" s="2">
        <v>7060</v>
      </c>
      <c r="B7065" s="39">
        <v>941040760</v>
      </c>
      <c r="C7065" s="28" t="str">
        <f>HYPERLINK("https://pld.live/RapDetail.aspx?STONELIST=941040760","DNA")</f>
        <v>DNA</v>
      </c>
      <c r="D7065" s="18" t="s">
        <v>5847</v>
      </c>
      <c r="E7065" s="18" t="s">
        <v>5128</v>
      </c>
      <c r="F7065" s="2" t="s">
        <v>7987</v>
      </c>
      <c r="G7065" s="2" t="s">
        <v>5226</v>
      </c>
      <c r="H7065" s="14">
        <v>0.72</v>
      </c>
      <c r="I7065" s="2" t="s">
        <v>267</v>
      </c>
      <c r="J7065" s="2" t="s">
        <v>3942</v>
      </c>
      <c r="K7065" s="2" t="s">
        <v>1452</v>
      </c>
      <c r="L7065" s="2" t="s">
        <v>5221</v>
      </c>
      <c r="M7065" s="2" t="s">
        <v>5221</v>
      </c>
      <c r="N7065" s="2" t="s">
        <v>2317</v>
      </c>
      <c r="O7065" s="14">
        <v>4000</v>
      </c>
      <c r="P7065" s="14">
        <v>96.25</v>
      </c>
      <c r="Q7065" s="14">
        <v>150</v>
      </c>
      <c r="R7065" s="14">
        <v>108</v>
      </c>
      <c r="S7065" s="2" t="s">
        <v>4353</v>
      </c>
      <c r="T7065" s="2">
        <v>1.03</v>
      </c>
      <c r="U7065" s="2">
        <v>74.5</v>
      </c>
      <c r="V7065" s="2">
        <v>64</v>
      </c>
      <c r="W7065" s="2" t="s">
        <v>7862</v>
      </c>
      <c r="X7065" s="2" t="s">
        <v>2449</v>
      </c>
      <c r="Y7065" s="2">
        <v>2880</v>
      </c>
      <c r="Z7065" s="19" t="str">
        <f>HYPERLINK("https://ssdweb.co/ssdweb/hd/Vision360.html?d=941040760&amp;zoomslide=1&amp;z=1941040760&amp;ISCONFIRM=0","VIDEO")</f>
        <v>VIDEO</v>
      </c>
      <c r="AA7065" s="19" t="str">
        <f>HYPERLINK("https://ssdweb.co/ssdweb/CERTH/692505628.pdf","CERTI")</f>
        <v>CERTI</v>
      </c>
    </row>
    <row r="7066" spans="1:27" ht="15" x14ac:dyDescent="0.25">
      <c r="A7066" s="2">
        <v>7061</v>
      </c>
      <c r="B7066" s="39">
        <v>927092556</v>
      </c>
      <c r="C7066" s="28" t="str">
        <f>HYPERLINK("https://pld.live/RapDetail.aspx?STONELIST=927092556","DNA")</f>
        <v>DNA</v>
      </c>
      <c r="D7066" s="18" t="s">
        <v>5847</v>
      </c>
      <c r="E7066" s="18" t="s">
        <v>5128</v>
      </c>
      <c r="F7066" s="2" t="s">
        <v>7987</v>
      </c>
      <c r="G7066" s="2" t="s">
        <v>5226</v>
      </c>
      <c r="H7066" s="14">
        <v>0.72</v>
      </c>
      <c r="I7066" s="2" t="s">
        <v>267</v>
      </c>
      <c r="J7066" s="2" t="s">
        <v>3942</v>
      </c>
      <c r="K7066" s="2" t="s">
        <v>1452</v>
      </c>
      <c r="L7066" s="2" t="s">
        <v>5221</v>
      </c>
      <c r="M7066" s="2" t="s">
        <v>5221</v>
      </c>
      <c r="N7066" s="2" t="s">
        <v>2317</v>
      </c>
      <c r="O7066" s="14">
        <v>4000</v>
      </c>
      <c r="P7066" s="14">
        <v>96.25</v>
      </c>
      <c r="Q7066" s="14">
        <v>150</v>
      </c>
      <c r="R7066" s="14">
        <v>108</v>
      </c>
      <c r="S7066" s="2" t="s">
        <v>5674</v>
      </c>
      <c r="T7066" s="2">
        <v>1.02</v>
      </c>
      <c r="U7066" s="2">
        <v>71.2</v>
      </c>
      <c r="V7066" s="2">
        <v>70</v>
      </c>
      <c r="W7066" s="2" t="s">
        <v>7862</v>
      </c>
      <c r="X7066" s="2" t="s">
        <v>2449</v>
      </c>
      <c r="Y7066" s="2">
        <v>2880</v>
      </c>
      <c r="Z7066" s="19" t="str">
        <f>HYPERLINK("https://ssdweb.co/ssdweb/hd/Vision360.html?d=927092556&amp;zoomslide=1&amp;z=1927092556&amp;ISCONFIRM=0","VIDEO")</f>
        <v>VIDEO</v>
      </c>
      <c r="AA7066" s="19" t="str">
        <f>HYPERLINK("https://ssdweb.co/ssdweb/CERTH/670445176.pdf","CERTI")</f>
        <v>CERTI</v>
      </c>
    </row>
    <row r="7067" spans="1:27" ht="15" x14ac:dyDescent="0.25">
      <c r="A7067" s="2">
        <v>7062</v>
      </c>
      <c r="B7067" s="39">
        <v>927052433</v>
      </c>
      <c r="C7067" s="28" t="str">
        <f>HYPERLINK("https://pld.live/RapDetail.aspx?STONELIST=927052433","DNA")</f>
        <v>DNA</v>
      </c>
      <c r="D7067" s="18" t="s">
        <v>5847</v>
      </c>
      <c r="E7067" s="18" t="s">
        <v>5128</v>
      </c>
      <c r="F7067" s="2" t="s">
        <v>7987</v>
      </c>
      <c r="G7067" s="2" t="s">
        <v>5226</v>
      </c>
      <c r="H7067" s="14">
        <v>0.72</v>
      </c>
      <c r="I7067" s="2" t="s">
        <v>267</v>
      </c>
      <c r="J7067" s="2" t="s">
        <v>3942</v>
      </c>
      <c r="K7067" s="2" t="s">
        <v>1452</v>
      </c>
      <c r="L7067" s="2" t="s">
        <v>5221</v>
      </c>
      <c r="M7067" s="2" t="s">
        <v>5221</v>
      </c>
      <c r="N7067" s="2" t="s">
        <v>2317</v>
      </c>
      <c r="O7067" s="14">
        <v>4000</v>
      </c>
      <c r="P7067" s="14">
        <v>96.3</v>
      </c>
      <c r="Q7067" s="14">
        <v>148</v>
      </c>
      <c r="R7067" s="14">
        <v>106.56</v>
      </c>
      <c r="S7067" s="2" t="s">
        <v>6797</v>
      </c>
      <c r="T7067" s="2">
        <v>1.02</v>
      </c>
      <c r="U7067" s="2">
        <v>71.3</v>
      </c>
      <c r="V7067" s="2">
        <v>70</v>
      </c>
      <c r="W7067" s="2" t="s">
        <v>7862</v>
      </c>
      <c r="X7067" s="2" t="s">
        <v>2449</v>
      </c>
      <c r="Y7067" s="2">
        <v>2880</v>
      </c>
      <c r="Z7067" s="19" t="str">
        <f>HYPERLINK("https://ssdweb.co/ssdweb/hd/Vision360.html?d=927052433&amp;zoomslide=1&amp;z=1927052433&amp;ISCONFIRM=0","VIDEO")</f>
        <v>VIDEO</v>
      </c>
      <c r="AA7067" s="19" t="str">
        <f>HYPERLINK("https://ssdweb.co/ssdweb/CERTH/668477311.pdf","CERTI")</f>
        <v>CERTI</v>
      </c>
    </row>
    <row r="7068" spans="1:27" ht="15" x14ac:dyDescent="0.25">
      <c r="A7068" s="2">
        <v>7063</v>
      </c>
      <c r="B7068" s="39">
        <v>927132630</v>
      </c>
      <c r="C7068" s="28" t="str">
        <f>HYPERLINK("https://pld.live/RapDetail.aspx?STONELIST=927132630","DNA")</f>
        <v>DNA</v>
      </c>
      <c r="D7068" s="18" t="s">
        <v>5847</v>
      </c>
      <c r="E7068" s="18" t="s">
        <v>5128</v>
      </c>
      <c r="F7068" s="2" t="s">
        <v>7987</v>
      </c>
      <c r="G7068" s="2" t="s">
        <v>5226</v>
      </c>
      <c r="H7068" s="14">
        <v>0.72</v>
      </c>
      <c r="I7068" s="2" t="s">
        <v>267</v>
      </c>
      <c r="J7068" s="2" t="s">
        <v>3942</v>
      </c>
      <c r="K7068" s="2" t="s">
        <v>1452</v>
      </c>
      <c r="L7068" s="2" t="s">
        <v>5221</v>
      </c>
      <c r="M7068" s="2" t="s">
        <v>5221</v>
      </c>
      <c r="N7068" s="2" t="s">
        <v>2317</v>
      </c>
      <c r="O7068" s="14">
        <v>4000</v>
      </c>
      <c r="P7068" s="14">
        <v>96.25</v>
      </c>
      <c r="Q7068" s="14">
        <v>150</v>
      </c>
      <c r="R7068" s="14">
        <v>108</v>
      </c>
      <c r="S7068" s="2" t="s">
        <v>4985</v>
      </c>
      <c r="T7068" s="2">
        <v>1.01</v>
      </c>
      <c r="U7068" s="2">
        <v>71.599999999999994</v>
      </c>
      <c r="V7068" s="2">
        <v>69</v>
      </c>
      <c r="W7068" s="2" t="s">
        <v>7862</v>
      </c>
      <c r="X7068" s="2" t="s">
        <v>2449</v>
      </c>
      <c r="Y7068" s="2">
        <v>2880</v>
      </c>
      <c r="Z7068" s="19" t="str">
        <f>HYPERLINK("https://ssdweb.co/ssdweb/hd/Vision360.html?d=927132630&amp;zoomslide=1&amp;z=1927132630&amp;ISCONFIRM=0","VIDEO")</f>
        <v>VIDEO</v>
      </c>
      <c r="AA7068" s="19" t="str">
        <f>HYPERLINK("https://ssdweb.co/ssdweb/CERTH/692505626.pdf","CERTI")</f>
        <v>CERTI</v>
      </c>
    </row>
    <row r="7069" spans="1:27" ht="15" x14ac:dyDescent="0.25">
      <c r="A7069" s="2">
        <v>7064</v>
      </c>
      <c r="B7069" s="39">
        <v>941040780</v>
      </c>
      <c r="C7069" s="28" t="str">
        <f>HYPERLINK("https://pld.live/RapDetail.aspx?STONELIST=941040780","DNA")</f>
        <v>DNA</v>
      </c>
      <c r="D7069" s="18" t="s">
        <v>5847</v>
      </c>
      <c r="E7069" s="18" t="s">
        <v>5128</v>
      </c>
      <c r="F7069" s="2" t="s">
        <v>7987</v>
      </c>
      <c r="G7069" s="2" t="s">
        <v>5226</v>
      </c>
      <c r="H7069" s="14">
        <v>0.72</v>
      </c>
      <c r="I7069" s="2" t="s">
        <v>267</v>
      </c>
      <c r="J7069" s="2" t="s">
        <v>13</v>
      </c>
      <c r="K7069" s="2" t="s">
        <v>1452</v>
      </c>
      <c r="L7069" s="2" t="s">
        <v>5221</v>
      </c>
      <c r="M7069" s="2" t="s">
        <v>5221</v>
      </c>
      <c r="N7069" s="2" t="s">
        <v>2317</v>
      </c>
      <c r="O7069" s="14">
        <v>3700</v>
      </c>
      <c r="P7069" s="14">
        <v>96.16</v>
      </c>
      <c r="Q7069" s="14">
        <v>142.08000000000001</v>
      </c>
      <c r="R7069" s="14">
        <v>102.3</v>
      </c>
      <c r="S7069" s="2" t="s">
        <v>7695</v>
      </c>
      <c r="T7069" s="2">
        <v>1</v>
      </c>
      <c r="U7069" s="2">
        <v>72.599999999999994</v>
      </c>
      <c r="V7069" s="2">
        <v>69</v>
      </c>
      <c r="W7069" s="2" t="s">
        <v>7862</v>
      </c>
      <c r="X7069" s="2" t="s">
        <v>2449</v>
      </c>
      <c r="Y7069" s="2">
        <v>2664</v>
      </c>
      <c r="Z7069" s="19" t="str">
        <f>HYPERLINK("https://ssdweb.co/ssdweb/hd/Vision360.html?d=941040780&amp;zoomslide=1&amp;z=1941040780&amp;ISCONFIRM=0","VIDEO")</f>
        <v>VIDEO</v>
      </c>
      <c r="AA7069" s="19" t="str">
        <f>HYPERLINK("https://ssdweb.co/ssdweb/CERTH/692505629.pdf","CERTI")</f>
        <v>CERTI</v>
      </c>
    </row>
    <row r="7070" spans="1:27" ht="15" x14ac:dyDescent="0.25">
      <c r="A7070" s="2">
        <v>7065</v>
      </c>
      <c r="B7070" s="39">
        <v>927092241</v>
      </c>
      <c r="C7070" s="28" t="str">
        <f>HYPERLINK("https://pld.live/RapDetail.aspx?STONELIST=927092241","DNA")</f>
        <v>DNA</v>
      </c>
      <c r="D7070" s="18" t="s">
        <v>5847</v>
      </c>
      <c r="E7070" s="18" t="s">
        <v>5128</v>
      </c>
      <c r="F7070" s="2" t="s">
        <v>7987</v>
      </c>
      <c r="G7070" s="2" t="s">
        <v>5226</v>
      </c>
      <c r="H7070" s="14">
        <v>0.72</v>
      </c>
      <c r="I7070" s="2" t="s">
        <v>267</v>
      </c>
      <c r="J7070" s="2" t="s">
        <v>13</v>
      </c>
      <c r="K7070" s="2" t="s">
        <v>1452</v>
      </c>
      <c r="L7070" s="2" t="s">
        <v>5221</v>
      </c>
      <c r="M7070" s="2" t="s">
        <v>5221</v>
      </c>
      <c r="N7070" s="2" t="s">
        <v>2317</v>
      </c>
      <c r="O7070" s="14">
        <v>3700</v>
      </c>
      <c r="P7070" s="14">
        <v>96.22</v>
      </c>
      <c r="Q7070" s="14">
        <v>139.86000000000001</v>
      </c>
      <c r="R7070" s="14">
        <v>100.7</v>
      </c>
      <c r="S7070" s="2" t="s">
        <v>620</v>
      </c>
      <c r="T7070" s="2">
        <v>1.01</v>
      </c>
      <c r="U7070" s="2">
        <v>71.8</v>
      </c>
      <c r="V7070" s="2">
        <v>74</v>
      </c>
      <c r="W7070" s="2" t="s">
        <v>7862</v>
      </c>
      <c r="X7070" s="2" t="s">
        <v>2449</v>
      </c>
      <c r="Y7070" s="2">
        <v>2664</v>
      </c>
      <c r="Z7070" s="19" t="str">
        <f>HYPERLINK("https://ssdweb.co/ssdweb/hd/Vision360.html?d=927092241&amp;zoomslide=1&amp;z=1927092241&amp;ISCONFIRM=0","VIDEO")</f>
        <v>VIDEO</v>
      </c>
      <c r="AA7070" s="19" t="str">
        <f>HYPERLINK("https://ssdweb.co/ssdweb/CERTH/668477278.pdf","CERTI")</f>
        <v>CERTI</v>
      </c>
    </row>
    <row r="7071" spans="1:27" ht="15" x14ac:dyDescent="0.25">
      <c r="A7071" s="2">
        <v>7066</v>
      </c>
      <c r="B7071" s="39">
        <v>927092566</v>
      </c>
      <c r="C7071" s="28" t="str">
        <f>HYPERLINK("https://pld.live/RapDetail.aspx?STONELIST=927092566","DNA")</f>
        <v>DNA</v>
      </c>
      <c r="D7071" s="18" t="s">
        <v>5847</v>
      </c>
      <c r="E7071" s="18" t="s">
        <v>5128</v>
      </c>
      <c r="F7071" s="2" t="s">
        <v>7987</v>
      </c>
      <c r="G7071" s="2" t="s">
        <v>5226</v>
      </c>
      <c r="H7071" s="14">
        <v>0.72</v>
      </c>
      <c r="I7071" s="2" t="s">
        <v>4761</v>
      </c>
      <c r="J7071" s="2" t="s">
        <v>3942</v>
      </c>
      <c r="K7071" s="2" t="s">
        <v>1452</v>
      </c>
      <c r="L7071" s="2" t="s">
        <v>5221</v>
      </c>
      <c r="M7071" s="2" t="s">
        <v>5221</v>
      </c>
      <c r="N7071" s="2" t="s">
        <v>2317</v>
      </c>
      <c r="O7071" s="14">
        <v>3800</v>
      </c>
      <c r="P7071" s="14">
        <v>96.18</v>
      </c>
      <c r="Q7071" s="14">
        <v>145.16</v>
      </c>
      <c r="R7071" s="14">
        <v>104.52</v>
      </c>
      <c r="S7071" s="2" t="s">
        <v>4036</v>
      </c>
      <c r="T7071" s="2">
        <v>1.01</v>
      </c>
      <c r="U7071" s="2">
        <v>73.5</v>
      </c>
      <c r="V7071" s="2">
        <v>72</v>
      </c>
      <c r="W7071" s="2" t="s">
        <v>7862</v>
      </c>
      <c r="X7071" s="2" t="s">
        <v>2449</v>
      </c>
      <c r="Y7071" s="2">
        <v>2736</v>
      </c>
      <c r="Z7071" s="19" t="str">
        <f>HYPERLINK("https://ssdweb.co/ssdweb/hd/Vision360.html?d=927092566&amp;zoomslide=1&amp;z=1927092566&amp;ISCONFIRM=0","VIDEO")</f>
        <v>VIDEO</v>
      </c>
      <c r="AA7071" s="19" t="str">
        <f>HYPERLINK("https://ssdweb.co/ssdweb/CERTH/670445163.pdf","CERTI")</f>
        <v>CERTI</v>
      </c>
    </row>
    <row r="7072" spans="1:27" ht="15" x14ac:dyDescent="0.25">
      <c r="A7072" s="2">
        <v>7067</v>
      </c>
      <c r="B7072" s="39">
        <v>927101172</v>
      </c>
      <c r="C7072" s="28" t="str">
        <f>HYPERLINK("https://pld.live/RapDetail.aspx?STONELIST=927101172","DNA")</f>
        <v>DNA</v>
      </c>
      <c r="D7072" s="18" t="s">
        <v>5847</v>
      </c>
      <c r="E7072" s="18" t="s">
        <v>5128</v>
      </c>
      <c r="F7072" s="2" t="s">
        <v>7987</v>
      </c>
      <c r="G7072" s="2" t="s">
        <v>5226</v>
      </c>
      <c r="H7072" s="14">
        <v>0.72</v>
      </c>
      <c r="I7072" s="2" t="s">
        <v>4761</v>
      </c>
      <c r="J7072" s="2" t="s">
        <v>3942</v>
      </c>
      <c r="K7072" s="2" t="s">
        <v>1452</v>
      </c>
      <c r="L7072" s="2" t="s">
        <v>5221</v>
      </c>
      <c r="M7072" s="2" t="s">
        <v>5721</v>
      </c>
      <c r="N7072" s="2" t="s">
        <v>2317</v>
      </c>
      <c r="O7072" s="14">
        <v>3800</v>
      </c>
      <c r="P7072" s="14">
        <v>96.29</v>
      </c>
      <c r="Q7072" s="14">
        <v>140.97999999999999</v>
      </c>
      <c r="R7072" s="14">
        <v>101.51</v>
      </c>
      <c r="S7072" s="2" t="s">
        <v>2528</v>
      </c>
      <c r="T7072" s="2">
        <v>1.01</v>
      </c>
      <c r="U7072" s="2">
        <v>72.7</v>
      </c>
      <c r="V7072" s="2">
        <v>69</v>
      </c>
      <c r="W7072" s="2" t="s">
        <v>7862</v>
      </c>
      <c r="X7072" s="2" t="s">
        <v>2449</v>
      </c>
      <c r="Y7072" s="2">
        <v>2736</v>
      </c>
      <c r="Z7072" s="19" t="str">
        <f>HYPERLINK("https://ssdweb.co/ssdweb/hd/Vision360.html?d=927101172&amp;zoomslide=1&amp;z=1927101172&amp;ISCONFIRM=0","VIDEO")</f>
        <v>VIDEO</v>
      </c>
      <c r="AA7072" s="19" t="str">
        <f>HYPERLINK("https://ssdweb.co/ssdweb/CERTH/667408244.pdf","CERTI")</f>
        <v>CERTI</v>
      </c>
    </row>
    <row r="7073" spans="1:27" ht="15" x14ac:dyDescent="0.25">
      <c r="A7073" s="2">
        <v>7068</v>
      </c>
      <c r="B7073" s="39">
        <v>926921465</v>
      </c>
      <c r="C7073" s="28" t="str">
        <f>HYPERLINK("https://pld.live/RapDetail.aspx?STONELIST=926921465","DNA")</f>
        <v>DNA</v>
      </c>
      <c r="D7073" s="18" t="s">
        <v>5847</v>
      </c>
      <c r="E7073" s="18" t="s">
        <v>2186</v>
      </c>
      <c r="F7073" s="2" t="s">
        <v>7987</v>
      </c>
      <c r="G7073" s="2" t="s">
        <v>5226</v>
      </c>
      <c r="H7073" s="14">
        <v>0.72</v>
      </c>
      <c r="I7073" s="2" t="s">
        <v>4761</v>
      </c>
      <c r="J7073" s="2" t="s">
        <v>13</v>
      </c>
      <c r="K7073" s="2" t="s">
        <v>1452</v>
      </c>
      <c r="L7073" s="2" t="s">
        <v>5221</v>
      </c>
      <c r="M7073" s="2" t="s">
        <v>5221</v>
      </c>
      <c r="N7073" s="2" t="s">
        <v>2317</v>
      </c>
      <c r="O7073" s="14">
        <v>3500</v>
      </c>
      <c r="P7073" s="14">
        <v>96.11</v>
      </c>
      <c r="Q7073" s="14">
        <v>136.15</v>
      </c>
      <c r="R7073" s="14">
        <v>98.03</v>
      </c>
      <c r="S7073" s="2" t="s">
        <v>2401</v>
      </c>
      <c r="T7073" s="2">
        <v>1</v>
      </c>
      <c r="U7073" s="2">
        <v>72.400000000000006</v>
      </c>
      <c r="V7073" s="2">
        <v>71</v>
      </c>
      <c r="W7073" s="2" t="s">
        <v>7862</v>
      </c>
      <c r="X7073" s="2" t="s">
        <v>2449</v>
      </c>
      <c r="Y7073" s="2">
        <v>2520</v>
      </c>
      <c r="Z7073" s="19" t="str">
        <f>HYPERLINK("https://ssdweb.co/ssdweb/hd/Vision360.html?d=926921465&amp;zoomslide=1&amp;z=1926921465&amp;ISCONFIRM=0","VIDEO")</f>
        <v>VIDEO</v>
      </c>
      <c r="AA7073" s="19" t="str">
        <f>HYPERLINK("https://ssdweb.co/ssdweb/CERTH/666407947.pdf","CERTI")</f>
        <v>CERTI</v>
      </c>
    </row>
    <row r="7074" spans="1:27" ht="15" x14ac:dyDescent="0.25">
      <c r="A7074" s="2">
        <v>7069</v>
      </c>
      <c r="B7074" s="39">
        <v>927101140</v>
      </c>
      <c r="C7074" s="28" t="str">
        <f>HYPERLINK("https://pld.live/RapDetail.aspx?STONELIST=927101140","DNA")</f>
        <v>DNA</v>
      </c>
      <c r="D7074" s="18" t="s">
        <v>5847</v>
      </c>
      <c r="E7074" s="18" t="s">
        <v>5128</v>
      </c>
      <c r="F7074" s="2" t="s">
        <v>7987</v>
      </c>
      <c r="G7074" s="2" t="s">
        <v>5226</v>
      </c>
      <c r="H7074" s="14">
        <v>0.72</v>
      </c>
      <c r="I7074" s="2" t="s">
        <v>4761</v>
      </c>
      <c r="J7074" s="2" t="s">
        <v>13</v>
      </c>
      <c r="K7074" s="2" t="s">
        <v>1452</v>
      </c>
      <c r="L7074" s="2" t="s">
        <v>5221</v>
      </c>
      <c r="M7074" s="2" t="s">
        <v>5221</v>
      </c>
      <c r="N7074" s="2" t="s">
        <v>2317</v>
      </c>
      <c r="O7074" s="14">
        <v>3500</v>
      </c>
      <c r="P7074" s="14">
        <v>96.11</v>
      </c>
      <c r="Q7074" s="14">
        <v>136.15</v>
      </c>
      <c r="R7074" s="14">
        <v>98.03</v>
      </c>
      <c r="S7074" s="2" t="s">
        <v>5392</v>
      </c>
      <c r="T7074" s="2">
        <v>1.02</v>
      </c>
      <c r="U7074" s="2">
        <v>66.8</v>
      </c>
      <c r="V7074" s="2">
        <v>71</v>
      </c>
      <c r="W7074" s="2" t="s">
        <v>7862</v>
      </c>
      <c r="X7074" s="2" t="s">
        <v>2449</v>
      </c>
      <c r="Y7074" s="2">
        <v>2520</v>
      </c>
      <c r="Z7074" s="19" t="str">
        <f>HYPERLINK("https://ssdweb.co/ssdweb/hd/Vision360.html?d=927101140&amp;zoomslide=1&amp;z=1927101140&amp;ISCONFIRM=0","VIDEO")</f>
        <v>VIDEO</v>
      </c>
      <c r="AA7074" s="19" t="str">
        <f>HYPERLINK("https://ssdweb.co/ssdweb/CERTH/666416246.pdf","CERTI")</f>
        <v>CERTI</v>
      </c>
    </row>
    <row r="7075" spans="1:27" ht="15" x14ac:dyDescent="0.25">
      <c r="A7075" s="2">
        <v>7070</v>
      </c>
      <c r="B7075" s="39">
        <v>927092164</v>
      </c>
      <c r="C7075" s="28" t="str">
        <f>HYPERLINK("https://pld.live/RapDetail.aspx?STONELIST=927092164","DNA")</f>
        <v>DNA</v>
      </c>
      <c r="D7075" s="18" t="s">
        <v>5847</v>
      </c>
      <c r="E7075" s="18" t="s">
        <v>5128</v>
      </c>
      <c r="F7075" s="2" t="s">
        <v>7987</v>
      </c>
      <c r="G7075" s="2" t="s">
        <v>5226</v>
      </c>
      <c r="H7075" s="14">
        <v>0.72</v>
      </c>
      <c r="I7075" s="2" t="s">
        <v>4761</v>
      </c>
      <c r="J7075" s="2" t="s">
        <v>13</v>
      </c>
      <c r="K7075" s="2" t="s">
        <v>1452</v>
      </c>
      <c r="L7075" s="2" t="s">
        <v>5221</v>
      </c>
      <c r="M7075" s="2" t="s">
        <v>5721</v>
      </c>
      <c r="N7075" s="2" t="s">
        <v>2317</v>
      </c>
      <c r="O7075" s="14">
        <v>3500</v>
      </c>
      <c r="P7075" s="14">
        <v>96.17</v>
      </c>
      <c r="Q7075" s="14">
        <v>134.05000000000001</v>
      </c>
      <c r="R7075" s="14">
        <v>96.52</v>
      </c>
      <c r="S7075" s="2" t="s">
        <v>3175</v>
      </c>
      <c r="T7075" s="2">
        <v>1.01</v>
      </c>
      <c r="U7075" s="2">
        <v>72.599999999999994</v>
      </c>
      <c r="V7075" s="2">
        <v>72</v>
      </c>
      <c r="W7075" s="2" t="s">
        <v>7862</v>
      </c>
      <c r="X7075" s="2" t="s">
        <v>2449</v>
      </c>
      <c r="Y7075" s="2">
        <v>2520</v>
      </c>
      <c r="Z7075" s="19" t="str">
        <f>HYPERLINK("https://ssdweb.co/ssdweb/hd/Vision360.html?d=927092164&amp;zoomslide=1&amp;z=1927092164&amp;ISCONFIRM=0","VIDEO")</f>
        <v>VIDEO</v>
      </c>
      <c r="AA7075" s="19" t="str">
        <f>HYPERLINK("https://ssdweb.co/ssdweb/CERTH/666416248.pdf","CERTI")</f>
        <v>CERTI</v>
      </c>
    </row>
    <row r="7076" spans="1:27" ht="15" x14ac:dyDescent="0.25">
      <c r="A7076" s="2">
        <v>7071</v>
      </c>
      <c r="B7076" s="39">
        <v>927092571</v>
      </c>
      <c r="C7076" s="28" t="str">
        <f>HYPERLINK("https://pld.live/RapDetail.aspx?STONELIST=927092571","DNA")</f>
        <v>DNA</v>
      </c>
      <c r="D7076" s="18" t="s">
        <v>5847</v>
      </c>
      <c r="E7076" s="18" t="s">
        <v>5128</v>
      </c>
      <c r="F7076" s="2" t="s">
        <v>7987</v>
      </c>
      <c r="G7076" s="2" t="s">
        <v>5226</v>
      </c>
      <c r="H7076" s="14">
        <v>0.71</v>
      </c>
      <c r="I7076" s="2" t="s">
        <v>267</v>
      </c>
      <c r="J7076" s="2" t="s">
        <v>6555</v>
      </c>
      <c r="K7076" s="2" t="s">
        <v>1452</v>
      </c>
      <c r="L7076" s="2" t="s">
        <v>5221</v>
      </c>
      <c r="M7076" s="2" t="s">
        <v>5221</v>
      </c>
      <c r="N7076" s="2" t="s">
        <v>2317</v>
      </c>
      <c r="O7076" s="14">
        <v>4300</v>
      </c>
      <c r="P7076" s="14">
        <v>95.35</v>
      </c>
      <c r="Q7076" s="14">
        <v>199.95</v>
      </c>
      <c r="R7076" s="14">
        <v>141.96</v>
      </c>
      <c r="S7076" s="2" t="s">
        <v>2065</v>
      </c>
      <c r="T7076" s="2">
        <v>1.02</v>
      </c>
      <c r="U7076" s="2">
        <v>67</v>
      </c>
      <c r="V7076" s="2">
        <v>71</v>
      </c>
      <c r="W7076" s="2" t="s">
        <v>7862</v>
      </c>
      <c r="X7076" s="2" t="s">
        <v>2449</v>
      </c>
      <c r="Y7076" s="2">
        <v>3053</v>
      </c>
      <c r="Z7076" s="19" t="str">
        <f>HYPERLINK("https://ssdweb.co/ssdweb/hd/Vision360.html?d=927092571&amp;zoomslide=1&amp;z=1927092571&amp;ISCONFIRM=0","VIDEO")</f>
        <v>VIDEO</v>
      </c>
      <c r="AA7076" s="19" t="str">
        <f>HYPERLINK("https://ssdweb.co/ssdweb/CERTH/670445165.pdf","CERTI")</f>
        <v>CERTI</v>
      </c>
    </row>
    <row r="7077" spans="1:27" ht="15" x14ac:dyDescent="0.25">
      <c r="A7077" s="2">
        <v>7072</v>
      </c>
      <c r="B7077" s="39">
        <v>941040781</v>
      </c>
      <c r="C7077" s="28" t="str">
        <f>HYPERLINK("https://pld.live/RapDetail.aspx?STONELIST=941040781","DNA")</f>
        <v>DNA</v>
      </c>
      <c r="D7077" s="18" t="s">
        <v>5847</v>
      </c>
      <c r="E7077" s="18" t="s">
        <v>5128</v>
      </c>
      <c r="F7077" s="2" t="s">
        <v>7987</v>
      </c>
      <c r="G7077" s="2" t="s">
        <v>5226</v>
      </c>
      <c r="H7077" s="14">
        <v>0.71</v>
      </c>
      <c r="I7077" s="2" t="s">
        <v>267</v>
      </c>
      <c r="J7077" s="2" t="s">
        <v>6555</v>
      </c>
      <c r="K7077" s="2" t="s">
        <v>1452</v>
      </c>
      <c r="L7077" s="2" t="s">
        <v>5221</v>
      </c>
      <c r="M7077" s="2" t="s">
        <v>5221</v>
      </c>
      <c r="N7077" s="2" t="s">
        <v>2317</v>
      </c>
      <c r="O7077" s="14">
        <v>4300</v>
      </c>
      <c r="P7077" s="14">
        <v>95.35</v>
      </c>
      <c r="Q7077" s="14">
        <v>199.95</v>
      </c>
      <c r="R7077" s="14">
        <v>141.96</v>
      </c>
      <c r="S7077" s="2" t="s">
        <v>5324</v>
      </c>
      <c r="T7077" s="2">
        <v>1.02</v>
      </c>
      <c r="U7077" s="2">
        <v>72.2</v>
      </c>
      <c r="V7077" s="2">
        <v>69</v>
      </c>
      <c r="W7077" s="2" t="s">
        <v>7862</v>
      </c>
      <c r="X7077" s="2" t="s">
        <v>2449</v>
      </c>
      <c r="Y7077" s="2">
        <v>3053</v>
      </c>
      <c r="Z7077" s="19" t="str">
        <f>HYPERLINK("https://ssdweb.co/ssdweb/hd/Vision360.html?d=941040781&amp;zoomslide=1&amp;z=1941040781&amp;ISCONFIRM=0","VIDEO")</f>
        <v>VIDEO</v>
      </c>
      <c r="AA7077" s="19" t="str">
        <f>HYPERLINK("https://ssdweb.co/ssdweb/CERTH/692505630.pdf","CERTI")</f>
        <v>CERTI</v>
      </c>
    </row>
    <row r="7078" spans="1:27" ht="15" x14ac:dyDescent="0.25">
      <c r="A7078" s="2">
        <v>7073</v>
      </c>
      <c r="B7078" s="39">
        <v>831010778</v>
      </c>
      <c r="C7078" s="28" t="str">
        <f>HYPERLINK("https://pld.live/RapDetail.aspx?STONELIST=831010778","DNA")</f>
        <v>DNA</v>
      </c>
      <c r="D7078" s="18" t="s">
        <v>5847</v>
      </c>
      <c r="E7078" s="18" t="s">
        <v>5128</v>
      </c>
      <c r="F7078" s="2" t="s">
        <v>7987</v>
      </c>
      <c r="G7078" s="2" t="s">
        <v>5226</v>
      </c>
      <c r="H7078" s="14">
        <v>0.71</v>
      </c>
      <c r="I7078" s="2" t="s">
        <v>267</v>
      </c>
      <c r="J7078" s="2" t="s">
        <v>3942</v>
      </c>
      <c r="K7078" s="2" t="s">
        <v>1452</v>
      </c>
      <c r="L7078" s="2" t="s">
        <v>5221</v>
      </c>
      <c r="M7078" s="2" t="s">
        <v>5221</v>
      </c>
      <c r="N7078" s="2" t="s">
        <v>2317</v>
      </c>
      <c r="O7078" s="14">
        <v>4000</v>
      </c>
      <c r="P7078" s="14">
        <v>96.3</v>
      </c>
      <c r="Q7078" s="14">
        <v>148</v>
      </c>
      <c r="R7078" s="14">
        <v>105.08</v>
      </c>
      <c r="S7078" s="2" t="s">
        <v>1328</v>
      </c>
      <c r="T7078" s="2">
        <v>1.01</v>
      </c>
      <c r="U7078" s="2">
        <v>72.2</v>
      </c>
      <c r="V7078" s="2">
        <v>69</v>
      </c>
      <c r="W7078" s="2" t="s">
        <v>7862</v>
      </c>
      <c r="X7078" s="2" t="s">
        <v>2449</v>
      </c>
      <c r="Y7078" s="2">
        <v>2840</v>
      </c>
      <c r="Z7078" s="19" t="str">
        <f>HYPERLINK("https://ssdweb.co/ssdweb/hd/Vision360.html?d=831010778&amp;zoomslide=1&amp;z=1831010778&amp;ISCONFIRM=0","VIDEO")</f>
        <v>VIDEO</v>
      </c>
      <c r="AA7078" s="19" t="str">
        <f>HYPERLINK("https://ssdweb.co/ssdweb/CERTH/667408229.pdf","CERTI")</f>
        <v>CERTI</v>
      </c>
    </row>
    <row r="7079" spans="1:27" ht="15" x14ac:dyDescent="0.25">
      <c r="A7079" s="2">
        <v>7074</v>
      </c>
      <c r="B7079" s="39">
        <v>941040785</v>
      </c>
      <c r="C7079" s="28" t="str">
        <f>HYPERLINK("https://pld.live/RapDetail.aspx?STONELIST=941040785","DNA")</f>
        <v>DNA</v>
      </c>
      <c r="D7079" s="18" t="s">
        <v>5847</v>
      </c>
      <c r="E7079" s="18" t="s">
        <v>5128</v>
      </c>
      <c r="F7079" s="2" t="s">
        <v>7987</v>
      </c>
      <c r="G7079" s="2" t="s">
        <v>5226</v>
      </c>
      <c r="H7079" s="14">
        <v>0.71</v>
      </c>
      <c r="I7079" s="2" t="s">
        <v>267</v>
      </c>
      <c r="J7079" s="2" t="s">
        <v>3942</v>
      </c>
      <c r="K7079" s="2" t="s">
        <v>1452</v>
      </c>
      <c r="L7079" s="2" t="s">
        <v>5221</v>
      </c>
      <c r="M7079" s="2" t="s">
        <v>5221</v>
      </c>
      <c r="N7079" s="2" t="s">
        <v>2317</v>
      </c>
      <c r="O7079" s="14">
        <v>4000</v>
      </c>
      <c r="P7079" s="14">
        <v>96.25</v>
      </c>
      <c r="Q7079" s="14">
        <v>150</v>
      </c>
      <c r="R7079" s="14">
        <v>106.5</v>
      </c>
      <c r="S7079" s="2" t="s">
        <v>4014</v>
      </c>
      <c r="T7079" s="2">
        <v>1.03</v>
      </c>
      <c r="U7079" s="2">
        <v>74.8</v>
      </c>
      <c r="V7079" s="2">
        <v>67</v>
      </c>
      <c r="W7079" s="2" t="s">
        <v>7862</v>
      </c>
      <c r="X7079" s="2" t="s">
        <v>2449</v>
      </c>
      <c r="Y7079" s="2">
        <v>2840</v>
      </c>
      <c r="Z7079" s="19" t="str">
        <f>HYPERLINK("https://ssdweb.co/ssdweb/hd/Vision360.html?d=941040785&amp;zoomslide=1&amp;z=1941040785&amp;ISCONFIRM=0","VIDEO")</f>
        <v>VIDEO</v>
      </c>
      <c r="AA7079" s="19" t="str">
        <f>HYPERLINK("https://ssdweb.co/ssdweb/CERTH/689586950.pdf","CERTI")</f>
        <v>CERTI</v>
      </c>
    </row>
    <row r="7080" spans="1:27" ht="15" x14ac:dyDescent="0.25">
      <c r="A7080" s="2">
        <v>7075</v>
      </c>
      <c r="B7080" s="39">
        <v>927092144</v>
      </c>
      <c r="C7080" s="28" t="str">
        <f>HYPERLINK("https://pld.live/RapDetail.aspx?STONELIST=927092144","DNA")</f>
        <v>DNA</v>
      </c>
      <c r="D7080" s="18" t="s">
        <v>5847</v>
      </c>
      <c r="E7080" s="18" t="s">
        <v>5128</v>
      </c>
      <c r="F7080" s="2" t="s">
        <v>7987</v>
      </c>
      <c r="G7080" s="2" t="s">
        <v>5226</v>
      </c>
      <c r="H7080" s="14">
        <v>0.71</v>
      </c>
      <c r="I7080" s="2" t="s">
        <v>267</v>
      </c>
      <c r="J7080" s="2" t="s">
        <v>13</v>
      </c>
      <c r="K7080" s="2" t="s">
        <v>1452</v>
      </c>
      <c r="L7080" s="2" t="s">
        <v>5221</v>
      </c>
      <c r="M7080" s="2" t="s">
        <v>5221</v>
      </c>
      <c r="N7080" s="2" t="s">
        <v>2317</v>
      </c>
      <c r="O7080" s="14">
        <v>3700</v>
      </c>
      <c r="P7080" s="14">
        <v>96.22</v>
      </c>
      <c r="Q7080" s="14">
        <v>139.86000000000001</v>
      </c>
      <c r="R7080" s="14">
        <v>99.3</v>
      </c>
      <c r="S7080" s="2" t="s">
        <v>4626</v>
      </c>
      <c r="T7080" s="2">
        <v>1.04</v>
      </c>
      <c r="U7080" s="2">
        <v>74.7</v>
      </c>
      <c r="V7080" s="2">
        <v>69</v>
      </c>
      <c r="W7080" s="2" t="s">
        <v>7862</v>
      </c>
      <c r="X7080" s="2" t="s">
        <v>2449</v>
      </c>
      <c r="Y7080" s="2">
        <v>2627</v>
      </c>
      <c r="Z7080" s="19" t="str">
        <f>HYPERLINK("https://ssdweb.co/ssdweb/hd/Vision360.html?d=927092144&amp;zoomslide=1&amp;z=1927092144&amp;ISCONFIRM=0","VIDEO")</f>
        <v>VIDEO</v>
      </c>
      <c r="AA7080" s="19" t="str">
        <f>HYPERLINK("https://ssdweb.co/ssdweb/CERTH/665453101.pdf","CERTI")</f>
        <v>CERTI</v>
      </c>
    </row>
    <row r="7081" spans="1:27" ht="15" x14ac:dyDescent="0.25">
      <c r="A7081" s="2">
        <v>7076</v>
      </c>
      <c r="B7081" s="39">
        <v>927092580</v>
      </c>
      <c r="C7081" s="28" t="str">
        <f>HYPERLINK("https://pld.live/RapDetail.aspx?STONELIST=927092580","DNA")</f>
        <v>DNA</v>
      </c>
      <c r="D7081" s="18" t="s">
        <v>5847</v>
      </c>
      <c r="E7081" s="18" t="s">
        <v>5128</v>
      </c>
      <c r="F7081" s="2" t="s">
        <v>7987</v>
      </c>
      <c r="G7081" s="2" t="s">
        <v>5226</v>
      </c>
      <c r="H7081" s="14">
        <v>0.71</v>
      </c>
      <c r="I7081" s="2" t="s">
        <v>267</v>
      </c>
      <c r="J7081" s="2" t="s">
        <v>13</v>
      </c>
      <c r="K7081" s="2" t="s">
        <v>1452</v>
      </c>
      <c r="L7081" s="2" t="s">
        <v>5221</v>
      </c>
      <c r="M7081" s="2" t="s">
        <v>5221</v>
      </c>
      <c r="N7081" s="2" t="s">
        <v>2317</v>
      </c>
      <c r="O7081" s="14">
        <v>3700</v>
      </c>
      <c r="P7081" s="14">
        <v>96.16</v>
      </c>
      <c r="Q7081" s="14">
        <v>142.08000000000001</v>
      </c>
      <c r="R7081" s="14">
        <v>100.88</v>
      </c>
      <c r="S7081" s="2" t="s">
        <v>4037</v>
      </c>
      <c r="T7081" s="2">
        <v>1.02</v>
      </c>
      <c r="U7081" s="2">
        <v>69</v>
      </c>
      <c r="V7081" s="2">
        <v>68</v>
      </c>
      <c r="W7081" s="2" t="s">
        <v>7862</v>
      </c>
      <c r="X7081" s="2" t="s">
        <v>2449</v>
      </c>
      <c r="Y7081" s="2">
        <v>2627</v>
      </c>
      <c r="Z7081" s="19" t="str">
        <f>HYPERLINK("https://ssdweb.co/ssdweb/hd/Vision360.html?d=927092580&amp;zoomslide=1&amp;z=1927092580&amp;ISCONFIRM=0","VIDEO")</f>
        <v>VIDEO</v>
      </c>
      <c r="AA7081" s="19" t="str">
        <f>HYPERLINK("https://ssdweb.co/ssdweb/CERTH/671411168.pdf","CERTI")</f>
        <v>CERTI</v>
      </c>
    </row>
    <row r="7082" spans="1:27" ht="15" x14ac:dyDescent="0.25">
      <c r="A7082" s="2">
        <v>7077</v>
      </c>
      <c r="B7082" s="39">
        <v>941040794</v>
      </c>
      <c r="C7082" s="28" t="str">
        <f>HYPERLINK("https://pld.live/RapDetail.aspx?STONELIST=941040794","DNA")</f>
        <v>DNA</v>
      </c>
      <c r="D7082" s="18" t="s">
        <v>5847</v>
      </c>
      <c r="E7082" s="18" t="s">
        <v>5128</v>
      </c>
      <c r="F7082" s="2" t="s">
        <v>7987</v>
      </c>
      <c r="G7082" s="2" t="s">
        <v>5226</v>
      </c>
      <c r="H7082" s="14">
        <v>0.71</v>
      </c>
      <c r="I7082" s="2" t="s">
        <v>267</v>
      </c>
      <c r="J7082" s="2" t="s">
        <v>13</v>
      </c>
      <c r="K7082" s="2" t="s">
        <v>1452</v>
      </c>
      <c r="L7082" s="2" t="s">
        <v>5221</v>
      </c>
      <c r="M7082" s="2" t="s">
        <v>5221</v>
      </c>
      <c r="N7082" s="2" t="s">
        <v>2317</v>
      </c>
      <c r="O7082" s="14">
        <v>3700</v>
      </c>
      <c r="P7082" s="14">
        <v>96.16</v>
      </c>
      <c r="Q7082" s="14">
        <v>142.08000000000001</v>
      </c>
      <c r="R7082" s="14">
        <v>100.88</v>
      </c>
      <c r="S7082" s="2" t="s">
        <v>1540</v>
      </c>
      <c r="T7082" s="2">
        <v>1.02</v>
      </c>
      <c r="U7082" s="2">
        <v>72.599999999999994</v>
      </c>
      <c r="V7082" s="2">
        <v>70</v>
      </c>
      <c r="W7082" s="2" t="s">
        <v>7862</v>
      </c>
      <c r="X7082" s="2" t="s">
        <v>2449</v>
      </c>
      <c r="Y7082" s="2">
        <v>2627</v>
      </c>
      <c r="Z7082" s="19" t="str">
        <f>HYPERLINK("https://ssdweb.co/ssdweb/hd/Vision360.html?d=941040794&amp;zoomslide=1&amp;z=1941040794&amp;ISCONFIRM=0","VIDEO")</f>
        <v>VIDEO</v>
      </c>
      <c r="AA7082" s="19" t="str">
        <f>HYPERLINK("https://ssdweb.co/ssdweb/CERTH/678550435.pdf","CERTI")</f>
        <v>CERTI</v>
      </c>
    </row>
    <row r="7083" spans="1:27" ht="15" x14ac:dyDescent="0.25">
      <c r="A7083" s="2">
        <v>7078</v>
      </c>
      <c r="B7083" s="39">
        <v>927101162</v>
      </c>
      <c r="C7083" s="28" t="str">
        <f>HYPERLINK("https://pld.live/RapDetail.aspx?STONELIST=927101162","DNA")</f>
        <v>DNA</v>
      </c>
      <c r="D7083" s="18" t="s">
        <v>5847</v>
      </c>
      <c r="E7083" s="18" t="s">
        <v>5128</v>
      </c>
      <c r="F7083" s="2" t="s">
        <v>7987</v>
      </c>
      <c r="G7083" s="2" t="s">
        <v>5226</v>
      </c>
      <c r="H7083" s="14">
        <v>0.71</v>
      </c>
      <c r="I7083" s="2" t="s">
        <v>267</v>
      </c>
      <c r="J7083" s="2" t="s">
        <v>13</v>
      </c>
      <c r="K7083" s="2" t="s">
        <v>1452</v>
      </c>
      <c r="L7083" s="2" t="s">
        <v>5221</v>
      </c>
      <c r="M7083" s="2" t="s">
        <v>5721</v>
      </c>
      <c r="N7083" s="2" t="s">
        <v>2317</v>
      </c>
      <c r="O7083" s="14">
        <v>3700</v>
      </c>
      <c r="P7083" s="14">
        <v>96.27</v>
      </c>
      <c r="Q7083" s="14">
        <v>138.01</v>
      </c>
      <c r="R7083" s="14">
        <v>97.99</v>
      </c>
      <c r="S7083" s="2" t="s">
        <v>7075</v>
      </c>
      <c r="T7083" s="2">
        <v>1.03</v>
      </c>
      <c r="U7083" s="2">
        <v>72.2</v>
      </c>
      <c r="V7083" s="2">
        <v>72</v>
      </c>
      <c r="W7083" s="2" t="s">
        <v>7862</v>
      </c>
      <c r="X7083" s="2" t="s">
        <v>2449</v>
      </c>
      <c r="Y7083" s="2">
        <v>2627</v>
      </c>
      <c r="Z7083" s="19" t="str">
        <f>HYPERLINK("https://ssdweb.co/ssdweb/hd/Vision360.html?d=927101162&amp;zoomslide=1&amp;z=1927101162&amp;ISCONFIRM=0","VIDEO")</f>
        <v>VIDEO</v>
      </c>
      <c r="AA7083" s="19" t="str">
        <f>HYPERLINK("https://ssdweb.co/ssdweb/CERTH/666416254.pdf","CERTI")</f>
        <v>CERTI</v>
      </c>
    </row>
    <row r="7084" spans="1:27" ht="15" x14ac:dyDescent="0.25">
      <c r="A7084" s="2">
        <v>7079</v>
      </c>
      <c r="B7084" s="39">
        <v>927052605</v>
      </c>
      <c r="C7084" s="28" t="str">
        <f>HYPERLINK("https://pld.live/RapDetail.aspx?STONELIST=927052605","DNA")</f>
        <v>DNA</v>
      </c>
      <c r="D7084" s="18" t="s">
        <v>5847</v>
      </c>
      <c r="E7084" s="18" t="s">
        <v>5128</v>
      </c>
      <c r="F7084" s="2" t="s">
        <v>7987</v>
      </c>
      <c r="G7084" s="2" t="s">
        <v>5226</v>
      </c>
      <c r="H7084" s="14">
        <v>0.71</v>
      </c>
      <c r="I7084" s="2" t="s">
        <v>4761</v>
      </c>
      <c r="J7084" s="2" t="s">
        <v>6555</v>
      </c>
      <c r="K7084" s="2" t="s">
        <v>1452</v>
      </c>
      <c r="L7084" s="2" t="s">
        <v>5221</v>
      </c>
      <c r="M7084" s="2" t="s">
        <v>5221</v>
      </c>
      <c r="N7084" s="2" t="s">
        <v>2317</v>
      </c>
      <c r="O7084" s="14">
        <v>4000</v>
      </c>
      <c r="P7084" s="14">
        <v>95.8</v>
      </c>
      <c r="Q7084" s="14">
        <v>168</v>
      </c>
      <c r="R7084" s="14">
        <v>119.28</v>
      </c>
      <c r="S7084" s="2" t="s">
        <v>6827</v>
      </c>
      <c r="T7084" s="2">
        <v>1.02</v>
      </c>
      <c r="U7084" s="2">
        <v>72.8</v>
      </c>
      <c r="V7084" s="2">
        <v>73</v>
      </c>
      <c r="W7084" s="2" t="s">
        <v>7862</v>
      </c>
      <c r="X7084" s="2" t="s">
        <v>2449</v>
      </c>
      <c r="Y7084" s="2">
        <v>2840</v>
      </c>
      <c r="Z7084" s="19" t="str">
        <f>HYPERLINK("https://ssdweb.co/ssdweb/hd/Vision360.html?d=927052605&amp;zoomslide=1&amp;z=1927052605&amp;ISCONFIRM=0","VIDEO")</f>
        <v>VIDEO</v>
      </c>
      <c r="AA7084" s="19" t="str">
        <f>HYPERLINK("https://ssdweb.co/ssdweb/CERTH/668447768.pdf","CERTI")</f>
        <v>CERTI</v>
      </c>
    </row>
    <row r="7085" spans="1:27" ht="15" x14ac:dyDescent="0.25">
      <c r="A7085" s="2">
        <v>7080</v>
      </c>
      <c r="B7085" s="39">
        <v>927092578</v>
      </c>
      <c r="C7085" s="28" t="str">
        <f>HYPERLINK("https://pld.live/RapDetail.aspx?STONELIST=927092578","DNA")</f>
        <v>DNA</v>
      </c>
      <c r="D7085" s="18" t="s">
        <v>5847</v>
      </c>
      <c r="E7085" s="18" t="s">
        <v>5128</v>
      </c>
      <c r="F7085" s="2" t="s">
        <v>7987</v>
      </c>
      <c r="G7085" s="2" t="s">
        <v>5226</v>
      </c>
      <c r="H7085" s="14">
        <v>0.71</v>
      </c>
      <c r="I7085" s="2" t="s">
        <v>4761</v>
      </c>
      <c r="J7085" s="2" t="s">
        <v>3942</v>
      </c>
      <c r="K7085" s="2" t="s">
        <v>1452</v>
      </c>
      <c r="L7085" s="2" t="s">
        <v>5221</v>
      </c>
      <c r="M7085" s="2" t="s">
        <v>5221</v>
      </c>
      <c r="N7085" s="2" t="s">
        <v>2317</v>
      </c>
      <c r="O7085" s="14">
        <v>3800</v>
      </c>
      <c r="P7085" s="14">
        <v>96.18</v>
      </c>
      <c r="Q7085" s="14">
        <v>145.16</v>
      </c>
      <c r="R7085" s="14">
        <v>103.06</v>
      </c>
      <c r="S7085" s="2" t="s">
        <v>2042</v>
      </c>
      <c r="T7085" s="2">
        <v>1.02</v>
      </c>
      <c r="U7085" s="2">
        <v>71</v>
      </c>
      <c r="V7085" s="2">
        <v>68</v>
      </c>
      <c r="W7085" s="2" t="s">
        <v>7862</v>
      </c>
      <c r="X7085" s="2" t="s">
        <v>2449</v>
      </c>
      <c r="Y7085" s="2">
        <v>2698</v>
      </c>
      <c r="Z7085" s="19" t="str">
        <f>HYPERLINK("https://ssdweb.co/ssdweb/hd/Vision360.html?d=927092578&amp;zoomslide=1&amp;z=1927092578&amp;ISCONFIRM=0","VIDEO")</f>
        <v>VIDEO</v>
      </c>
      <c r="AA7085" s="19" t="str">
        <f>HYPERLINK("https://ssdweb.co/ssdweb/CERTH/671411172.pdf","CERTI")</f>
        <v>CERTI</v>
      </c>
    </row>
    <row r="7086" spans="1:27" ht="15" x14ac:dyDescent="0.25">
      <c r="A7086" s="2">
        <v>7081</v>
      </c>
      <c r="B7086" s="39">
        <v>927101190</v>
      </c>
      <c r="C7086" s="28" t="str">
        <f>HYPERLINK("https://pld.live/RapDetail.aspx?STONELIST=927101190","DNA")</f>
        <v>DNA</v>
      </c>
      <c r="D7086" s="18" t="s">
        <v>5847</v>
      </c>
      <c r="E7086" s="18" t="s">
        <v>5128</v>
      </c>
      <c r="F7086" s="2" t="s">
        <v>7987</v>
      </c>
      <c r="G7086" s="2" t="s">
        <v>5226</v>
      </c>
      <c r="H7086" s="14">
        <v>0.71</v>
      </c>
      <c r="I7086" s="2" t="s">
        <v>4761</v>
      </c>
      <c r="J7086" s="2" t="s">
        <v>3942</v>
      </c>
      <c r="K7086" s="2" t="s">
        <v>1452</v>
      </c>
      <c r="L7086" s="2" t="s">
        <v>5221</v>
      </c>
      <c r="M7086" s="2" t="s">
        <v>5221</v>
      </c>
      <c r="N7086" s="2" t="s">
        <v>2317</v>
      </c>
      <c r="O7086" s="14">
        <v>3800</v>
      </c>
      <c r="P7086" s="14">
        <v>96.24</v>
      </c>
      <c r="Q7086" s="14">
        <v>142.88</v>
      </c>
      <c r="R7086" s="14">
        <v>101.44</v>
      </c>
      <c r="S7086" s="2" t="s">
        <v>5397</v>
      </c>
      <c r="T7086" s="2">
        <v>1.01</v>
      </c>
      <c r="U7086" s="2">
        <v>72.599999999999994</v>
      </c>
      <c r="V7086" s="2">
        <v>69</v>
      </c>
      <c r="W7086" s="2" t="s">
        <v>7862</v>
      </c>
      <c r="X7086" s="2" t="s">
        <v>2449</v>
      </c>
      <c r="Y7086" s="2">
        <v>2698</v>
      </c>
      <c r="Z7086" s="19" t="str">
        <f>HYPERLINK("https://ssdweb.co/ssdweb/hd/Vision360.html?d=927101190&amp;zoomslide=1&amp;z=1927101190&amp;ISCONFIRM=0","VIDEO")</f>
        <v>VIDEO</v>
      </c>
      <c r="AA7086" s="19" t="str">
        <f>HYPERLINK("https://ssdweb.co/ssdweb/CERTH/667408246.pdf","CERTI")</f>
        <v>CERTI</v>
      </c>
    </row>
    <row r="7087" spans="1:27" ht="15" x14ac:dyDescent="0.25">
      <c r="A7087" s="2">
        <v>7082</v>
      </c>
      <c r="B7087" s="39">
        <v>927052698</v>
      </c>
      <c r="C7087" s="28" t="str">
        <f>HYPERLINK("https://pld.live/RapDetail.aspx?STONELIST=927052698","DNA")</f>
        <v>DNA</v>
      </c>
      <c r="D7087" s="18" t="s">
        <v>5847</v>
      </c>
      <c r="E7087" s="18" t="s">
        <v>5128</v>
      </c>
      <c r="F7087" s="2" t="s">
        <v>7987</v>
      </c>
      <c r="G7087" s="2" t="s">
        <v>5226</v>
      </c>
      <c r="H7087" s="14">
        <v>0.71</v>
      </c>
      <c r="I7087" s="2" t="s">
        <v>4761</v>
      </c>
      <c r="J7087" s="2" t="s">
        <v>3942</v>
      </c>
      <c r="K7087" s="2" t="s">
        <v>1452</v>
      </c>
      <c r="L7087" s="2" t="s">
        <v>5221</v>
      </c>
      <c r="M7087" s="2" t="s">
        <v>5221</v>
      </c>
      <c r="N7087" s="2" t="s">
        <v>2317</v>
      </c>
      <c r="O7087" s="14">
        <v>3800</v>
      </c>
      <c r="P7087" s="14">
        <v>96.18</v>
      </c>
      <c r="Q7087" s="14">
        <v>145.16</v>
      </c>
      <c r="R7087" s="14">
        <v>103.06</v>
      </c>
      <c r="S7087" s="2" t="s">
        <v>2777</v>
      </c>
      <c r="T7087" s="2">
        <v>1.02</v>
      </c>
      <c r="U7087" s="2">
        <v>68.400000000000006</v>
      </c>
      <c r="V7087" s="2">
        <v>70</v>
      </c>
      <c r="W7087" s="2" t="s">
        <v>7862</v>
      </c>
      <c r="X7087" s="2" t="s">
        <v>2449</v>
      </c>
      <c r="Y7087" s="2">
        <v>2698</v>
      </c>
      <c r="Z7087" s="19" t="str">
        <f>HYPERLINK("https://ssdweb.co/ssdweb/hd/Vision360.html?d=927052698&amp;zoomslide=1&amp;z=1927052698&amp;ISCONFIRM=0","VIDEO")</f>
        <v>VIDEO</v>
      </c>
      <c r="AA7087" s="19" t="str">
        <f>HYPERLINK("https://ssdweb.co/ssdweb/CERTH/670445157.pdf","CERTI")</f>
        <v>CERTI</v>
      </c>
    </row>
    <row r="7088" spans="1:27" ht="15" x14ac:dyDescent="0.25">
      <c r="A7088" s="2">
        <v>7083</v>
      </c>
      <c r="B7088" s="39">
        <v>927092420</v>
      </c>
      <c r="C7088" s="28" t="str">
        <f>HYPERLINK("https://pld.live/RapDetail.aspx?STONELIST=927092420","DNA")</f>
        <v>DNA</v>
      </c>
      <c r="D7088" s="18" t="s">
        <v>5847</v>
      </c>
      <c r="E7088" s="18" t="s">
        <v>5128</v>
      </c>
      <c r="F7088" s="2" t="s">
        <v>7987</v>
      </c>
      <c r="G7088" s="2" t="s">
        <v>5226</v>
      </c>
      <c r="H7088" s="14">
        <v>0.71</v>
      </c>
      <c r="I7088" s="2" t="s">
        <v>4761</v>
      </c>
      <c r="J7088" s="2" t="s">
        <v>13</v>
      </c>
      <c r="K7088" s="2" t="s">
        <v>1452</v>
      </c>
      <c r="L7088" s="2" t="s">
        <v>5221</v>
      </c>
      <c r="M7088" s="2" t="s">
        <v>5221</v>
      </c>
      <c r="N7088" s="2" t="s">
        <v>2317</v>
      </c>
      <c r="O7088" s="14">
        <v>3500</v>
      </c>
      <c r="P7088" s="14">
        <v>96.11</v>
      </c>
      <c r="Q7088" s="14">
        <v>136.15</v>
      </c>
      <c r="R7088" s="14">
        <v>96.67</v>
      </c>
      <c r="S7088" s="2" t="s">
        <v>4045</v>
      </c>
      <c r="T7088" s="2">
        <v>1.01</v>
      </c>
      <c r="U7088" s="2">
        <v>72.400000000000006</v>
      </c>
      <c r="V7088" s="2">
        <v>69</v>
      </c>
      <c r="W7088" s="2" t="s">
        <v>7862</v>
      </c>
      <c r="X7088" s="2" t="s">
        <v>2449</v>
      </c>
      <c r="Y7088" s="2">
        <v>2485</v>
      </c>
      <c r="Z7088" s="19" t="str">
        <f>HYPERLINK("https://ssdweb.co/ssdweb/hd/Vision360.html?d=927092420&amp;zoomslide=1&amp;z=1927092420&amp;ISCONFIRM=0","VIDEO")</f>
        <v>VIDEO</v>
      </c>
      <c r="AA7088" s="19" t="str">
        <f>HYPERLINK("https://ssdweb.co/ssdweb/CERTH/668447772.pdf","CERTI")</f>
        <v>CERTI</v>
      </c>
    </row>
    <row r="7089" spans="1:27" ht="15" x14ac:dyDescent="0.25">
      <c r="A7089" s="2">
        <v>7084</v>
      </c>
      <c r="B7089" s="39">
        <v>927052341</v>
      </c>
      <c r="C7089" s="28" t="str">
        <f>HYPERLINK("https://pld.live/RapDetail.aspx?STONELIST=927052341","DNA")</f>
        <v>DNA</v>
      </c>
      <c r="D7089" s="18" t="s">
        <v>5847</v>
      </c>
      <c r="E7089" s="18" t="s">
        <v>5128</v>
      </c>
      <c r="F7089" s="2" t="s">
        <v>7987</v>
      </c>
      <c r="G7089" s="2" t="s">
        <v>5226</v>
      </c>
      <c r="H7089" s="14">
        <v>0.7</v>
      </c>
      <c r="I7089" s="2" t="s">
        <v>267</v>
      </c>
      <c r="J7089" s="2" t="s">
        <v>3942</v>
      </c>
      <c r="K7089" s="2" t="s">
        <v>1452</v>
      </c>
      <c r="L7089" s="2" t="s">
        <v>5221</v>
      </c>
      <c r="M7089" s="2" t="s">
        <v>5221</v>
      </c>
      <c r="N7089" s="2" t="s">
        <v>2317</v>
      </c>
      <c r="O7089" s="14">
        <v>4000</v>
      </c>
      <c r="P7089" s="14">
        <v>96.3</v>
      </c>
      <c r="Q7089" s="14">
        <v>148</v>
      </c>
      <c r="R7089" s="14">
        <v>103.6</v>
      </c>
      <c r="S7089" s="2" t="s">
        <v>7480</v>
      </c>
      <c r="T7089" s="2">
        <v>1.02</v>
      </c>
      <c r="U7089" s="2">
        <v>73.8</v>
      </c>
      <c r="V7089" s="2">
        <v>71</v>
      </c>
      <c r="W7089" s="2" t="s">
        <v>7862</v>
      </c>
      <c r="X7089" s="2" t="s">
        <v>2449</v>
      </c>
      <c r="Y7089" s="2">
        <v>2800</v>
      </c>
      <c r="Z7089" s="19" t="str">
        <f>HYPERLINK("https://ssdweb.co/ssdweb/hd/Vision360.html?d=927052341&amp;zoomslide=1&amp;z=1927052341&amp;ISCONFIRM=0","VIDEO")</f>
        <v>VIDEO</v>
      </c>
      <c r="AA7089" s="19" t="str">
        <f>HYPERLINK("https://ssdweb.co/ssdweb/CERTH/665453096.pdf","CERTI")</f>
        <v>CERTI</v>
      </c>
    </row>
    <row r="7090" spans="1:27" ht="15" x14ac:dyDescent="0.25">
      <c r="A7090" s="2">
        <v>7085</v>
      </c>
      <c r="B7090" s="39">
        <v>927052519</v>
      </c>
      <c r="C7090" s="28" t="str">
        <f>HYPERLINK("https://pld.live/RapDetail.aspx?STONELIST=927052519","DNA")</f>
        <v>DNA</v>
      </c>
      <c r="D7090" s="18" t="s">
        <v>5847</v>
      </c>
      <c r="E7090" s="18" t="s">
        <v>5128</v>
      </c>
      <c r="F7090" s="2" t="s">
        <v>7987</v>
      </c>
      <c r="G7090" s="2" t="s">
        <v>5226</v>
      </c>
      <c r="H7090" s="14">
        <v>0.7</v>
      </c>
      <c r="I7090" s="2" t="s">
        <v>267</v>
      </c>
      <c r="J7090" s="2" t="s">
        <v>13</v>
      </c>
      <c r="K7090" s="2" t="s">
        <v>1452</v>
      </c>
      <c r="L7090" s="2" t="s">
        <v>5221</v>
      </c>
      <c r="M7090" s="2" t="s">
        <v>5221</v>
      </c>
      <c r="N7090" s="2" t="s">
        <v>2317</v>
      </c>
      <c r="O7090" s="14">
        <v>3700</v>
      </c>
      <c r="P7090" s="14">
        <v>96.22</v>
      </c>
      <c r="Q7090" s="14">
        <v>139.86000000000001</v>
      </c>
      <c r="R7090" s="14">
        <v>97.9</v>
      </c>
      <c r="S7090" s="2" t="s">
        <v>2283</v>
      </c>
      <c r="T7090" s="2">
        <v>1.02</v>
      </c>
      <c r="U7090" s="2">
        <v>72.2</v>
      </c>
      <c r="V7090" s="2">
        <v>71</v>
      </c>
      <c r="W7090" s="2" t="s">
        <v>7862</v>
      </c>
      <c r="X7090" s="2" t="s">
        <v>2449</v>
      </c>
      <c r="Y7090" s="2">
        <v>2590</v>
      </c>
      <c r="Z7090" s="19" t="str">
        <f>HYPERLINK("https://ssdweb.co/ssdweb/hd/Vision360.html?d=927052519&amp;zoomslide=1&amp;z=1927052519&amp;ISCONFIRM=0","VIDEO")</f>
        <v>VIDEO</v>
      </c>
      <c r="AA7090" s="19" t="str">
        <f>HYPERLINK("https://ssdweb.co/ssdweb/CERTH/666436054.pdf","CERTI")</f>
        <v>CERTI</v>
      </c>
    </row>
    <row r="7091" spans="1:27" ht="15" x14ac:dyDescent="0.25">
      <c r="A7091" s="2">
        <v>7086</v>
      </c>
      <c r="B7091" s="39">
        <v>927052501</v>
      </c>
      <c r="C7091" s="28" t="str">
        <f>HYPERLINK("https://pld.live/RapDetail.aspx?STONELIST=927052501","DNA")</f>
        <v>DNA</v>
      </c>
      <c r="D7091" s="18" t="s">
        <v>5847</v>
      </c>
      <c r="E7091" s="18" t="s">
        <v>5128</v>
      </c>
      <c r="F7091" s="2" t="s">
        <v>7987</v>
      </c>
      <c r="G7091" s="2" t="s">
        <v>5226</v>
      </c>
      <c r="H7091" s="14">
        <v>0.7</v>
      </c>
      <c r="I7091" s="2" t="s">
        <v>267</v>
      </c>
      <c r="J7091" s="2" t="s">
        <v>13</v>
      </c>
      <c r="K7091" s="2" t="s">
        <v>1452</v>
      </c>
      <c r="L7091" s="2" t="s">
        <v>5221</v>
      </c>
      <c r="M7091" s="2" t="s">
        <v>5221</v>
      </c>
      <c r="N7091" s="2" t="s">
        <v>2317</v>
      </c>
      <c r="O7091" s="14">
        <v>3700</v>
      </c>
      <c r="P7091" s="14">
        <v>96.22</v>
      </c>
      <c r="Q7091" s="14">
        <v>139.86000000000001</v>
      </c>
      <c r="R7091" s="14">
        <v>97.9</v>
      </c>
      <c r="S7091" s="2" t="s">
        <v>5296</v>
      </c>
      <c r="T7091" s="2">
        <v>1.02</v>
      </c>
      <c r="U7091" s="2">
        <v>71.599999999999994</v>
      </c>
      <c r="V7091" s="2">
        <v>65</v>
      </c>
      <c r="W7091" s="2" t="s">
        <v>7862</v>
      </c>
      <c r="X7091" s="2" t="s">
        <v>2449</v>
      </c>
      <c r="Y7091" s="2">
        <v>2590</v>
      </c>
      <c r="Z7091" s="19" t="str">
        <f>HYPERLINK("https://ssdweb.co/ssdweb/hd/Vision360.html?d=927052501&amp;zoomslide=1&amp;z=1927052501&amp;ISCONFIRM=0","VIDEO")</f>
        <v>VIDEO</v>
      </c>
      <c r="AA7091" s="19" t="str">
        <f>HYPERLINK("https://ssdweb.co/ssdweb/CERTH/667408225.pdf","CERTI")</f>
        <v>CERTI</v>
      </c>
    </row>
    <row r="7092" spans="1:27" ht="15" x14ac:dyDescent="0.25">
      <c r="A7092" s="2">
        <v>7087</v>
      </c>
      <c r="B7092" s="39">
        <v>927092590</v>
      </c>
      <c r="C7092" s="28" t="str">
        <f>HYPERLINK("https://pld.live/RapDetail.aspx?STONELIST=927092590","DNA")</f>
        <v>DNA</v>
      </c>
      <c r="D7092" s="18" t="s">
        <v>5847</v>
      </c>
      <c r="E7092" s="18" t="s">
        <v>5128</v>
      </c>
      <c r="F7092" s="2" t="s">
        <v>7987</v>
      </c>
      <c r="G7092" s="2" t="s">
        <v>5226</v>
      </c>
      <c r="H7092" s="14">
        <v>0.7</v>
      </c>
      <c r="I7092" s="2" t="s">
        <v>267</v>
      </c>
      <c r="J7092" s="2" t="s">
        <v>13</v>
      </c>
      <c r="K7092" s="2" t="s">
        <v>1452</v>
      </c>
      <c r="L7092" s="2" t="s">
        <v>5221</v>
      </c>
      <c r="M7092" s="2" t="s">
        <v>5221</v>
      </c>
      <c r="N7092" s="2" t="s">
        <v>2317</v>
      </c>
      <c r="O7092" s="14">
        <v>3700</v>
      </c>
      <c r="P7092" s="14">
        <v>96.16</v>
      </c>
      <c r="Q7092" s="14">
        <v>142.08000000000001</v>
      </c>
      <c r="R7092" s="14">
        <v>99.46</v>
      </c>
      <c r="S7092" s="2" t="s">
        <v>442</v>
      </c>
      <c r="T7092" s="2">
        <v>1.04</v>
      </c>
      <c r="U7092" s="2">
        <v>74</v>
      </c>
      <c r="V7092" s="2">
        <v>70</v>
      </c>
      <c r="W7092" s="2" t="s">
        <v>7862</v>
      </c>
      <c r="X7092" s="2" t="s">
        <v>2449</v>
      </c>
      <c r="Y7092" s="2">
        <v>2590</v>
      </c>
      <c r="Z7092" s="19" t="str">
        <f>HYPERLINK("https://ssdweb.co/ssdweb/hd/Vision360.html?d=927092590&amp;zoomslide=1&amp;z=1927092590&amp;ISCONFIRM=0","VIDEO")</f>
        <v>VIDEO</v>
      </c>
      <c r="AA7092" s="19" t="str">
        <f>HYPERLINK("https://ssdweb.co/ssdweb/CERTH/671411159.pdf","CERTI")</f>
        <v>CERTI</v>
      </c>
    </row>
    <row r="7093" spans="1:27" ht="15" x14ac:dyDescent="0.25">
      <c r="A7093" s="2">
        <v>7088</v>
      </c>
      <c r="B7093" s="39">
        <v>927052683</v>
      </c>
      <c r="C7093" s="28" t="str">
        <f>HYPERLINK("https://pld.live/RapDetail.aspx?STONELIST=927052683","DNA")</f>
        <v>DNA</v>
      </c>
      <c r="D7093" s="18" t="s">
        <v>5847</v>
      </c>
      <c r="E7093" s="18" t="s">
        <v>5128</v>
      </c>
      <c r="F7093" s="2" t="s">
        <v>7987</v>
      </c>
      <c r="G7093" s="2" t="s">
        <v>5226</v>
      </c>
      <c r="H7093" s="14">
        <v>0.7</v>
      </c>
      <c r="I7093" s="2" t="s">
        <v>267</v>
      </c>
      <c r="J7093" s="2" t="s">
        <v>13</v>
      </c>
      <c r="K7093" s="2" t="s">
        <v>1452</v>
      </c>
      <c r="L7093" s="2" t="s">
        <v>5221</v>
      </c>
      <c r="M7093" s="2" t="s">
        <v>5221</v>
      </c>
      <c r="N7093" s="2" t="s">
        <v>2317</v>
      </c>
      <c r="O7093" s="14">
        <v>3700</v>
      </c>
      <c r="P7093" s="14">
        <v>96.16</v>
      </c>
      <c r="Q7093" s="14">
        <v>142.08000000000001</v>
      </c>
      <c r="R7093" s="14">
        <v>99.46</v>
      </c>
      <c r="S7093" s="2" t="s">
        <v>5099</v>
      </c>
      <c r="T7093" s="2">
        <v>1.01</v>
      </c>
      <c r="U7093" s="2">
        <v>73.5</v>
      </c>
      <c r="V7093" s="2">
        <v>67</v>
      </c>
      <c r="W7093" s="2" t="s">
        <v>7862</v>
      </c>
      <c r="X7093" s="2" t="s">
        <v>2449</v>
      </c>
      <c r="Y7093" s="2">
        <v>2590</v>
      </c>
      <c r="Z7093" s="19" t="str">
        <f>HYPERLINK("https://ssdweb.co/ssdweb/hd/Vision360.html?d=927052683&amp;zoomslide=1&amp;z=1927052683&amp;ISCONFIRM=0","VIDEO")</f>
        <v>VIDEO</v>
      </c>
      <c r="AA7093" s="19" t="str">
        <f>HYPERLINK("https://ssdweb.co/ssdweb/CERTH/670445187.pdf","CERTI")</f>
        <v>CERTI</v>
      </c>
    </row>
    <row r="7094" spans="1:27" ht="15" x14ac:dyDescent="0.25">
      <c r="A7094" s="2">
        <v>7089</v>
      </c>
      <c r="B7094" s="39">
        <v>924520207</v>
      </c>
      <c r="C7094" s="28" t="str">
        <f>HYPERLINK("https://pld.live/RapDetail.aspx?STONELIST=924520207","DNA")</f>
        <v>DNA</v>
      </c>
      <c r="D7094" s="18" t="s">
        <v>5847</v>
      </c>
      <c r="E7094" s="18" t="s">
        <v>5128</v>
      </c>
      <c r="F7094" s="2" t="s">
        <v>5597</v>
      </c>
      <c r="G7094" s="2" t="s">
        <v>5226</v>
      </c>
      <c r="H7094" s="14">
        <v>0.7</v>
      </c>
      <c r="I7094" s="2" t="s">
        <v>267</v>
      </c>
      <c r="J7094" s="2" t="s">
        <v>5144</v>
      </c>
      <c r="K7094" s="2" t="s">
        <v>1452</v>
      </c>
      <c r="L7094" s="2" t="s">
        <v>5221</v>
      </c>
      <c r="M7094" s="2" t="s">
        <v>5721</v>
      </c>
      <c r="N7094" s="2" t="s">
        <v>2317</v>
      </c>
      <c r="O7094" s="14">
        <v>3400</v>
      </c>
      <c r="P7094" s="14">
        <v>93.38</v>
      </c>
      <c r="Q7094" s="14">
        <v>225.08</v>
      </c>
      <c r="R7094" s="14">
        <v>157.56</v>
      </c>
      <c r="S7094" s="2" t="s">
        <v>7113</v>
      </c>
      <c r="T7094" s="2">
        <v>1.01</v>
      </c>
      <c r="U7094" s="2">
        <v>72.2</v>
      </c>
      <c r="V7094" s="2">
        <v>71</v>
      </c>
      <c r="W7094" s="2" t="s">
        <v>7862</v>
      </c>
      <c r="X7094" s="2" t="s">
        <v>6155</v>
      </c>
      <c r="Y7094" s="2">
        <v>2380</v>
      </c>
      <c r="Z7094" s="19" t="str">
        <f>HYPERLINK("https://ssdweb.co/ssdweb/hd/Vision360.html?d=924520207&amp;zoomslide=1&amp;z=1924520207&amp;ISCONFIRM=0","VIDEO")</f>
        <v>VIDEO</v>
      </c>
      <c r="AA7094" s="19" t="str">
        <f>HYPERLINK("https://ssdweb.co/ssdweb/CERTH/3475766573.pdf","CERTI")</f>
        <v>CERTI</v>
      </c>
    </row>
    <row r="7095" spans="1:27" ht="15" x14ac:dyDescent="0.25">
      <c r="A7095" s="2">
        <v>7090</v>
      </c>
      <c r="B7095" s="39">
        <v>831010249</v>
      </c>
      <c r="C7095" s="28" t="str">
        <f>HYPERLINK("https://pld.live/RapDetail.aspx?STONELIST=831010249","DNA")</f>
        <v>DNA</v>
      </c>
      <c r="D7095" s="18" t="s">
        <v>5847</v>
      </c>
      <c r="E7095" s="18" t="s">
        <v>5128</v>
      </c>
      <c r="F7095" s="2" t="s">
        <v>5597</v>
      </c>
      <c r="G7095" s="2" t="s">
        <v>5226</v>
      </c>
      <c r="H7095" s="14">
        <v>0.7</v>
      </c>
      <c r="I7095" s="2" t="s">
        <v>267</v>
      </c>
      <c r="J7095" s="2" t="s">
        <v>5144</v>
      </c>
      <c r="K7095" s="2" t="s">
        <v>1452</v>
      </c>
      <c r="L7095" s="2" t="s">
        <v>5221</v>
      </c>
      <c r="M7095" s="2" t="s">
        <v>5721</v>
      </c>
      <c r="N7095" s="2" t="s">
        <v>2317</v>
      </c>
      <c r="O7095" s="14">
        <v>3400</v>
      </c>
      <c r="P7095" s="14">
        <v>93.38</v>
      </c>
      <c r="Q7095" s="14">
        <v>225.08</v>
      </c>
      <c r="R7095" s="14">
        <v>157.56</v>
      </c>
      <c r="S7095" s="2" t="s">
        <v>3829</v>
      </c>
      <c r="T7095" s="2">
        <v>1</v>
      </c>
      <c r="U7095" s="2">
        <v>73.2</v>
      </c>
      <c r="V7095" s="2">
        <v>71</v>
      </c>
      <c r="W7095" s="2" t="s">
        <v>7862</v>
      </c>
      <c r="X7095" s="2" t="s">
        <v>6155</v>
      </c>
      <c r="Y7095" s="2">
        <v>2380</v>
      </c>
      <c r="Z7095" s="19" t="str">
        <f>HYPERLINK("https://ssdweb.co/ssdweb/hd/Vision360.html?d=831010249&amp;zoomslide=1&amp;z=1831010249&amp;ISCONFIRM=0","VIDEO")</f>
        <v>VIDEO</v>
      </c>
      <c r="AA7095" s="19" t="str">
        <f>HYPERLINK("https://ssdweb.co/ssdweb/CERTH/2477766508.pdf","CERTI")</f>
        <v>CERTI</v>
      </c>
    </row>
    <row r="7096" spans="1:27" ht="15" x14ac:dyDescent="0.25">
      <c r="A7096" s="2">
        <v>7091</v>
      </c>
      <c r="B7096" s="39">
        <v>927052483</v>
      </c>
      <c r="C7096" s="28" t="str">
        <f>HYPERLINK("https://pld.live/RapDetail.aspx?STONELIST=927052483","DNA")</f>
        <v>DNA</v>
      </c>
      <c r="D7096" s="18" t="s">
        <v>5847</v>
      </c>
      <c r="E7096" s="18" t="s">
        <v>5128</v>
      </c>
      <c r="F7096" s="2" t="s">
        <v>7987</v>
      </c>
      <c r="G7096" s="2" t="s">
        <v>5226</v>
      </c>
      <c r="H7096" s="14">
        <v>0.7</v>
      </c>
      <c r="I7096" s="2" t="s">
        <v>4761</v>
      </c>
      <c r="J7096" s="2" t="s">
        <v>3942</v>
      </c>
      <c r="K7096" s="2" t="s">
        <v>1452</v>
      </c>
      <c r="L7096" s="2" t="s">
        <v>5221</v>
      </c>
      <c r="M7096" s="2" t="s">
        <v>5221</v>
      </c>
      <c r="N7096" s="2" t="s">
        <v>2317</v>
      </c>
      <c r="O7096" s="14">
        <v>3800</v>
      </c>
      <c r="P7096" s="14">
        <v>96.24</v>
      </c>
      <c r="Q7096" s="14">
        <v>142.88</v>
      </c>
      <c r="R7096" s="14">
        <v>100.02</v>
      </c>
      <c r="S7096" s="2" t="s">
        <v>2219</v>
      </c>
      <c r="T7096" s="2">
        <v>1.01</v>
      </c>
      <c r="U7096" s="2">
        <v>73.7</v>
      </c>
      <c r="V7096" s="2">
        <v>66</v>
      </c>
      <c r="W7096" s="2" t="s">
        <v>7862</v>
      </c>
      <c r="X7096" s="2" t="s">
        <v>2449</v>
      </c>
      <c r="Y7096" s="2">
        <v>2660</v>
      </c>
      <c r="Z7096" s="19" t="str">
        <f>HYPERLINK("https://ssdweb.co/ssdweb/hd/Vision360.html?d=927052483&amp;zoomslide=1&amp;z=1927052483&amp;ISCONFIRM=0","VIDEO")</f>
        <v>VIDEO</v>
      </c>
      <c r="AA7096" s="19" t="str">
        <f>HYPERLINK("https://ssdweb.co/ssdweb/CERTH/667408222.pdf","CERTI")</f>
        <v>CERTI</v>
      </c>
    </row>
    <row r="7097" spans="1:27" ht="15" x14ac:dyDescent="0.25">
      <c r="A7097" s="2">
        <v>7092</v>
      </c>
      <c r="B7097" s="39">
        <v>927140497</v>
      </c>
      <c r="C7097" s="28" t="str">
        <f>HYPERLINK("https://pld.live/RapDetail.aspx?STONELIST=927140497","DNA")</f>
        <v>DNA</v>
      </c>
      <c r="D7097" s="18" t="s">
        <v>5847</v>
      </c>
      <c r="E7097" s="18" t="s">
        <v>2186</v>
      </c>
      <c r="F7097" s="2" t="s">
        <v>7987</v>
      </c>
      <c r="G7097" s="2" t="s">
        <v>5226</v>
      </c>
      <c r="H7097" s="14">
        <v>0.7</v>
      </c>
      <c r="I7097" s="2" t="s">
        <v>4761</v>
      </c>
      <c r="J7097" s="2" t="s">
        <v>3942</v>
      </c>
      <c r="K7097" s="2" t="s">
        <v>1452</v>
      </c>
      <c r="L7097" s="2" t="s">
        <v>5221</v>
      </c>
      <c r="M7097" s="2" t="s">
        <v>5221</v>
      </c>
      <c r="N7097" s="2" t="s">
        <v>2317</v>
      </c>
      <c r="O7097" s="14">
        <v>3800</v>
      </c>
      <c r="P7097" s="14">
        <v>96.18</v>
      </c>
      <c r="Q7097" s="14">
        <v>145.16</v>
      </c>
      <c r="R7097" s="14">
        <v>101.61</v>
      </c>
      <c r="S7097" s="2" t="s">
        <v>4198</v>
      </c>
      <c r="T7097" s="2">
        <v>1.02</v>
      </c>
      <c r="U7097" s="2">
        <v>71</v>
      </c>
      <c r="V7097" s="2">
        <v>69</v>
      </c>
      <c r="W7097" s="2" t="s">
        <v>7862</v>
      </c>
      <c r="X7097" s="2" t="s">
        <v>2449</v>
      </c>
      <c r="Y7097" s="2">
        <v>2660</v>
      </c>
      <c r="Z7097" s="19" t="str">
        <f>HYPERLINK("https://ssdweb.co/ssdweb/hd/Vision360.html?d=927140497&amp;zoomslide=1&amp;z=1927140497&amp;ISCONFIRM=0","VIDEO")</f>
        <v>VIDEO</v>
      </c>
      <c r="AA7097" s="19" t="str">
        <f>HYPERLINK("https://ssdweb.co/ssdweb/CERTH/692505627.pdf","CERTI")</f>
        <v>CERTI</v>
      </c>
    </row>
    <row r="7098" spans="1:27" ht="15" x14ac:dyDescent="0.25">
      <c r="A7098" s="2">
        <v>7093</v>
      </c>
      <c r="B7098" s="39">
        <v>926841303</v>
      </c>
      <c r="C7098" s="28" t="str">
        <f>HYPERLINK("https://pld.live/RapDetail.aspx?STONELIST=926841303","DNA")</f>
        <v>DNA</v>
      </c>
      <c r="D7098" s="18" t="s">
        <v>5847</v>
      </c>
      <c r="E7098" s="18" t="s">
        <v>2186</v>
      </c>
      <c r="F7098" s="2" t="s">
        <v>7987</v>
      </c>
      <c r="G7098" s="2" t="s">
        <v>5226</v>
      </c>
      <c r="H7098" s="14">
        <v>0.7</v>
      </c>
      <c r="I7098" s="2" t="s">
        <v>4761</v>
      </c>
      <c r="J7098" s="2" t="s">
        <v>3942</v>
      </c>
      <c r="K7098" s="2" t="s">
        <v>1452</v>
      </c>
      <c r="L7098" s="2" t="s">
        <v>5721</v>
      </c>
      <c r="M7098" s="2" t="s">
        <v>5721</v>
      </c>
      <c r="N7098" s="2" t="s">
        <v>2317</v>
      </c>
      <c r="O7098" s="14">
        <v>3800</v>
      </c>
      <c r="P7098" s="14">
        <v>96.29</v>
      </c>
      <c r="Q7098" s="14">
        <v>140.97999999999999</v>
      </c>
      <c r="R7098" s="14">
        <v>98.69</v>
      </c>
      <c r="S7098" s="2" t="s">
        <v>6905</v>
      </c>
      <c r="T7098" s="2">
        <v>1.04</v>
      </c>
      <c r="U7098" s="2">
        <v>72.8</v>
      </c>
      <c r="V7098" s="2">
        <v>69</v>
      </c>
      <c r="W7098" s="2" t="s">
        <v>7862</v>
      </c>
      <c r="X7098" s="2" t="s">
        <v>2449</v>
      </c>
      <c r="Y7098" s="2">
        <v>2660</v>
      </c>
      <c r="Z7098" s="19" t="str">
        <f>HYPERLINK("https://ssdweb.co/ssdweb/hd/Vision360.html?d=926841303&amp;zoomslide=1&amp;z=1926841303&amp;ISCONFIRM=0","VIDEO")</f>
        <v>VIDEO</v>
      </c>
      <c r="AA7098" s="19" t="str">
        <f>HYPERLINK("https://ssdweb.co/ssdweb/CERTH/659414258.pdf","CERTI")</f>
        <v>CERTI</v>
      </c>
    </row>
    <row r="7099" spans="1:27" ht="15" x14ac:dyDescent="0.25">
      <c r="A7099" s="2">
        <v>7094</v>
      </c>
      <c r="B7099" s="39">
        <v>926761025</v>
      </c>
      <c r="C7099" s="28" t="str">
        <f>HYPERLINK("https://pld.live/RapDetail.aspx?STONELIST=926761025","DNA")</f>
        <v>DNA</v>
      </c>
      <c r="D7099" s="18" t="s">
        <v>5847</v>
      </c>
      <c r="E7099" s="18" t="s">
        <v>5128</v>
      </c>
      <c r="F7099" s="2" t="s">
        <v>7987</v>
      </c>
      <c r="G7099" s="2" t="s">
        <v>5226</v>
      </c>
      <c r="H7099" s="14">
        <v>0.7</v>
      </c>
      <c r="I7099" s="2" t="s">
        <v>4761</v>
      </c>
      <c r="J7099" s="2" t="s">
        <v>5144</v>
      </c>
      <c r="K7099" s="2" t="s">
        <v>1452</v>
      </c>
      <c r="L7099" s="2" t="s">
        <v>5221</v>
      </c>
      <c r="M7099" s="2" t="s">
        <v>5221</v>
      </c>
      <c r="N7099" s="2" t="s">
        <v>2317</v>
      </c>
      <c r="O7099" s="14">
        <v>3200</v>
      </c>
      <c r="P7099" s="14">
        <v>95.94</v>
      </c>
      <c r="Q7099" s="14">
        <v>129.91999999999999</v>
      </c>
      <c r="R7099" s="14">
        <v>90.94</v>
      </c>
      <c r="S7099" s="2" t="s">
        <v>4310</v>
      </c>
      <c r="T7099" s="2">
        <v>1.01</v>
      </c>
      <c r="U7099" s="2">
        <v>73.099999999999994</v>
      </c>
      <c r="V7099" s="2">
        <v>70</v>
      </c>
      <c r="W7099" s="2" t="s">
        <v>7862</v>
      </c>
      <c r="X7099" s="2" t="s">
        <v>2449</v>
      </c>
      <c r="Y7099" s="2">
        <v>2240</v>
      </c>
      <c r="Z7099" s="19" t="str">
        <f>HYPERLINK("https://ssdweb.co/ssdweb/hd/Vision360.html?d=926761025&amp;zoomslide=1&amp;z=1926761025&amp;ISCONFIRM=0","VIDEO")</f>
        <v>VIDEO</v>
      </c>
      <c r="AA7099" s="19" t="str">
        <f>HYPERLINK("https://ssdweb.co/ssdweb/CERTH/653451045.pdf","CERTI")</f>
        <v>CERTI</v>
      </c>
    </row>
    <row r="7100" spans="1:27" ht="15" x14ac:dyDescent="0.25">
      <c r="A7100" s="2">
        <v>7095</v>
      </c>
      <c r="B7100" s="39">
        <v>926790828</v>
      </c>
      <c r="C7100" s="28" t="str">
        <f>HYPERLINK("https://pld.live/RapDetail.aspx?STONELIST=926790828","DNA")</f>
        <v>DNA</v>
      </c>
      <c r="D7100" s="18" t="s">
        <v>5847</v>
      </c>
      <c r="E7100" s="18" t="s">
        <v>2186</v>
      </c>
      <c r="F7100" s="2" t="s">
        <v>7987</v>
      </c>
      <c r="G7100" s="2" t="s">
        <v>5226</v>
      </c>
      <c r="H7100" s="14">
        <v>0.7</v>
      </c>
      <c r="I7100" s="2" t="s">
        <v>4761</v>
      </c>
      <c r="J7100" s="2" t="s">
        <v>5144</v>
      </c>
      <c r="K7100" s="2" t="s">
        <v>1452</v>
      </c>
      <c r="L7100" s="2" t="s">
        <v>5221</v>
      </c>
      <c r="M7100" s="2" t="s">
        <v>5721</v>
      </c>
      <c r="N7100" s="2" t="s">
        <v>2317</v>
      </c>
      <c r="O7100" s="14">
        <v>3200</v>
      </c>
      <c r="P7100" s="14">
        <v>96</v>
      </c>
      <c r="Q7100" s="14">
        <v>128</v>
      </c>
      <c r="R7100" s="14">
        <v>89.6</v>
      </c>
      <c r="S7100" s="2" t="s">
        <v>7158</v>
      </c>
      <c r="T7100" s="2">
        <v>1.02</v>
      </c>
      <c r="U7100" s="2">
        <v>67.099999999999994</v>
      </c>
      <c r="V7100" s="2">
        <v>73</v>
      </c>
      <c r="W7100" s="2" t="s">
        <v>7862</v>
      </c>
      <c r="X7100" s="2" t="s">
        <v>2449</v>
      </c>
      <c r="Y7100" s="2">
        <v>2240</v>
      </c>
      <c r="Z7100" s="19" t="str">
        <f>HYPERLINK("https://ssdweb.co/ssdweb/hd/Vision360.html?d=926790828&amp;zoomslide=1&amp;z=1926790828&amp;ISCONFIRM=0","VIDEO")</f>
        <v>VIDEO</v>
      </c>
      <c r="AA7100" s="19" t="str">
        <f>HYPERLINK("https://ssdweb.co/ssdweb/CERTH/653427368.pdf","CERTI")</f>
        <v>CERTI</v>
      </c>
    </row>
    <row r="7101" spans="1:27" ht="15" x14ac:dyDescent="0.25">
      <c r="A7101" s="2">
        <v>7096</v>
      </c>
      <c r="B7101" s="39">
        <v>927092595</v>
      </c>
      <c r="C7101" s="28" t="str">
        <f>HYPERLINK("https://pld.live/RapDetail.aspx?STONELIST=927092595","DNA")</f>
        <v>DNA</v>
      </c>
      <c r="D7101" s="18" t="s">
        <v>1924</v>
      </c>
      <c r="E7101" s="18" t="s">
        <v>5128</v>
      </c>
      <c r="F7101" s="2" t="s">
        <v>7987</v>
      </c>
      <c r="G7101" s="2" t="s">
        <v>5226</v>
      </c>
      <c r="H7101" s="14">
        <v>0.69</v>
      </c>
      <c r="I7101" s="2" t="s">
        <v>267</v>
      </c>
      <c r="J7101" s="2" t="s">
        <v>13</v>
      </c>
      <c r="K7101" s="2" t="s">
        <v>1452</v>
      </c>
      <c r="L7101" s="2" t="s">
        <v>5221</v>
      </c>
      <c r="M7101" s="2" t="s">
        <v>5221</v>
      </c>
      <c r="N7101" s="2" t="s">
        <v>2317</v>
      </c>
      <c r="O7101" s="14">
        <v>2600</v>
      </c>
      <c r="P7101" s="14">
        <v>94.42</v>
      </c>
      <c r="Q7101" s="14">
        <v>145.08000000000001</v>
      </c>
      <c r="R7101" s="14">
        <v>100.11</v>
      </c>
      <c r="S7101" s="2" t="s">
        <v>1269</v>
      </c>
      <c r="T7101" s="2">
        <v>1.02</v>
      </c>
      <c r="U7101" s="2">
        <v>66.3</v>
      </c>
      <c r="V7101" s="2">
        <v>71</v>
      </c>
      <c r="W7101" s="2" t="s">
        <v>7862</v>
      </c>
      <c r="X7101" s="2" t="s">
        <v>2449</v>
      </c>
      <c r="Y7101" s="2">
        <v>1794</v>
      </c>
      <c r="Z7101" s="19" t="str">
        <f>HYPERLINK("https://ssdweb.co/ssdweb/hd/Vision360.html?d=927092595&amp;zoomslide=1&amp;z=1927092595&amp;ISCONFIRM=0","VIDEO")</f>
        <v>VIDEO</v>
      </c>
      <c r="AA7101" s="19" t="str">
        <f>HYPERLINK("https://ssdweb.co/ssdweb/CERTH/671428019.pdf","CERTI")</f>
        <v>CERTI</v>
      </c>
    </row>
    <row r="7102" spans="1:27" ht="15" x14ac:dyDescent="0.25">
      <c r="A7102" s="2">
        <v>7097</v>
      </c>
      <c r="B7102" s="39">
        <v>926972193</v>
      </c>
      <c r="C7102" s="28" t="str">
        <f>HYPERLINK("https://pld.live/RapDetail.aspx?STONELIST=926972193","DNA")</f>
        <v>DNA</v>
      </c>
      <c r="D7102" s="18" t="s">
        <v>1924</v>
      </c>
      <c r="E7102" s="18" t="s">
        <v>5128</v>
      </c>
      <c r="F7102" s="2" t="s">
        <v>7987</v>
      </c>
      <c r="G7102" s="2" t="s">
        <v>5226</v>
      </c>
      <c r="H7102" s="14">
        <v>0.66</v>
      </c>
      <c r="I7102" s="2" t="s">
        <v>267</v>
      </c>
      <c r="J7102" s="2" t="s">
        <v>5144</v>
      </c>
      <c r="K7102" s="2" t="s">
        <v>1452</v>
      </c>
      <c r="L7102" s="2" t="s">
        <v>5221</v>
      </c>
      <c r="M7102" s="2" t="s">
        <v>5221</v>
      </c>
      <c r="N7102" s="2" t="s">
        <v>2317</v>
      </c>
      <c r="O7102" s="14">
        <v>2400</v>
      </c>
      <c r="P7102" s="14">
        <v>94.46</v>
      </c>
      <c r="Q7102" s="14">
        <v>132.96</v>
      </c>
      <c r="R7102" s="14">
        <v>87.75</v>
      </c>
      <c r="S7102" s="2" t="s">
        <v>1718</v>
      </c>
      <c r="T7102" s="2">
        <v>1.01</v>
      </c>
      <c r="U7102" s="2">
        <v>70</v>
      </c>
      <c r="V7102" s="2">
        <v>72</v>
      </c>
      <c r="W7102" s="2" t="s">
        <v>7862</v>
      </c>
      <c r="X7102" s="2" t="s">
        <v>2449</v>
      </c>
      <c r="Y7102" s="2">
        <v>1584</v>
      </c>
      <c r="Z7102" s="19" t="str">
        <f>HYPERLINK("https://ssdweb.co/ssdweb/hd/Vision360.html?d=926972193&amp;zoomslide=1&amp;z=1926972193&amp;ISCONFIRM=0","VIDEO")</f>
        <v>VIDEO</v>
      </c>
      <c r="AA7102" s="19" t="str">
        <f>HYPERLINK("https://ssdweb.co/ssdweb/CERTH/662417116.pdf","CERTI")</f>
        <v>CERTI</v>
      </c>
    </row>
    <row r="7103" spans="1:27" ht="15" x14ac:dyDescent="0.25">
      <c r="A7103" s="2">
        <v>7098</v>
      </c>
      <c r="B7103" s="39">
        <v>927132638</v>
      </c>
      <c r="C7103" s="28" t="str">
        <f>HYPERLINK("https://pld.live/RapDetail.aspx?STONELIST=927132638","DNA")</f>
        <v>DNA</v>
      </c>
      <c r="D7103" s="18" t="s">
        <v>1924</v>
      </c>
      <c r="E7103" s="18" t="s">
        <v>5128</v>
      </c>
      <c r="F7103" s="2" t="s">
        <v>7987</v>
      </c>
      <c r="G7103" s="2" t="s">
        <v>5226</v>
      </c>
      <c r="H7103" s="14">
        <v>0.62</v>
      </c>
      <c r="I7103" s="2" t="s">
        <v>4761</v>
      </c>
      <c r="J7103" s="2" t="s">
        <v>6555</v>
      </c>
      <c r="K7103" s="2" t="s">
        <v>1452</v>
      </c>
      <c r="L7103" s="2" t="s">
        <v>5221</v>
      </c>
      <c r="M7103" s="2" t="s">
        <v>5721</v>
      </c>
      <c r="N7103" s="2" t="s">
        <v>2317</v>
      </c>
      <c r="O7103" s="14">
        <v>2800</v>
      </c>
      <c r="P7103" s="14">
        <v>93.82</v>
      </c>
      <c r="Q7103" s="14">
        <v>173.04</v>
      </c>
      <c r="R7103" s="14">
        <v>107.28</v>
      </c>
      <c r="S7103" s="2" t="s">
        <v>4758</v>
      </c>
      <c r="T7103" s="2">
        <v>1.02</v>
      </c>
      <c r="U7103" s="2">
        <v>70</v>
      </c>
      <c r="V7103" s="2">
        <v>70</v>
      </c>
      <c r="W7103" s="2" t="s">
        <v>7862</v>
      </c>
      <c r="X7103" s="2" t="s">
        <v>2449</v>
      </c>
      <c r="Y7103" s="2">
        <v>1736</v>
      </c>
      <c r="Z7103" s="19" t="str">
        <f>HYPERLINK("https://ssdweb.co/ssdweb/hd/Vision360.html?d=927132638&amp;zoomslide=1&amp;z=1927132638&amp;ISCONFIRM=0","VIDEO")</f>
        <v>VIDEO</v>
      </c>
      <c r="AA7103" s="19" t="str">
        <f>HYPERLINK("https://ssdweb.co/ssdweb/CERTH/675596550.pdf","CERTI")</f>
        <v>CERTI</v>
      </c>
    </row>
    <row r="7104" spans="1:27" ht="15" x14ac:dyDescent="0.25">
      <c r="A7104" s="2">
        <v>7099</v>
      </c>
      <c r="B7104" s="39">
        <v>924190750</v>
      </c>
      <c r="C7104" s="28" t="str">
        <f>HYPERLINK("https://pld.live/RapDetail.aspx?STONELIST=924190750","DNA")</f>
        <v>DNA</v>
      </c>
      <c r="D7104" s="18" t="s">
        <v>1924</v>
      </c>
      <c r="E7104" s="18" t="s">
        <v>2186</v>
      </c>
      <c r="F7104" s="2" t="s">
        <v>7987</v>
      </c>
      <c r="G7104" s="2" t="s">
        <v>5226</v>
      </c>
      <c r="H7104" s="14">
        <v>0.62</v>
      </c>
      <c r="I7104" s="2" t="s">
        <v>1505</v>
      </c>
      <c r="J7104" s="2" t="s">
        <v>5144</v>
      </c>
      <c r="K7104" s="2" t="s">
        <v>1452</v>
      </c>
      <c r="L7104" s="2" t="s">
        <v>5221</v>
      </c>
      <c r="M7104" s="2" t="s">
        <v>5221</v>
      </c>
      <c r="N7104" s="2" t="s">
        <v>2317</v>
      </c>
      <c r="O7104" s="14">
        <v>1900</v>
      </c>
      <c r="P7104" s="14">
        <v>94.32</v>
      </c>
      <c r="Q7104" s="14">
        <v>107.92</v>
      </c>
      <c r="R7104" s="14">
        <v>66.91</v>
      </c>
      <c r="S7104" s="2" t="s">
        <v>6870</v>
      </c>
      <c r="T7104" s="2">
        <v>1.02</v>
      </c>
      <c r="U7104" s="2">
        <v>69.599999999999994</v>
      </c>
      <c r="V7104" s="2">
        <v>70</v>
      </c>
      <c r="W7104" s="2" t="s">
        <v>8016</v>
      </c>
      <c r="X7104" s="2" t="s">
        <v>2449</v>
      </c>
      <c r="Y7104" s="2">
        <v>1178</v>
      </c>
      <c r="Z7104" s="19" t="str">
        <f>HYPERLINK("https://ssdweb.co/ssdweb/hd/Vision360.html?d=924190750&amp;zoomslide=1&amp;z=1924190750&amp;ISCONFIRM=0","VIDEO")</f>
        <v>VIDEO</v>
      </c>
      <c r="AA7104" s="19" t="str">
        <f>HYPERLINK("https://ssdweb.co/ssdweb/CERTH/585303986.pdf","CERTI")</f>
        <v>CERTI</v>
      </c>
    </row>
    <row r="7105" spans="1:27" ht="15" x14ac:dyDescent="0.25">
      <c r="A7105" s="2">
        <v>7100</v>
      </c>
      <c r="B7105" s="39">
        <v>941120584</v>
      </c>
      <c r="C7105" s="28" t="str">
        <f>HYPERLINK("https://pld.live/RapDetail.aspx?STONELIST=941120584","DNA")</f>
        <v>DNA</v>
      </c>
      <c r="D7105" s="18" t="s">
        <v>1924</v>
      </c>
      <c r="E7105" s="18" t="s">
        <v>2186</v>
      </c>
      <c r="F7105" s="2" t="s">
        <v>7987</v>
      </c>
      <c r="G7105" s="2" t="s">
        <v>5226</v>
      </c>
      <c r="H7105" s="14">
        <v>0.61</v>
      </c>
      <c r="I7105" s="2" t="s">
        <v>4761</v>
      </c>
      <c r="J7105" s="2" t="s">
        <v>13</v>
      </c>
      <c r="K7105" s="2" t="s">
        <v>1452</v>
      </c>
      <c r="L7105" s="2" t="s">
        <v>5221</v>
      </c>
      <c r="M7105" s="2" t="s">
        <v>5721</v>
      </c>
      <c r="N7105" s="2" t="s">
        <v>2317</v>
      </c>
      <c r="O7105" s="14">
        <v>2500</v>
      </c>
      <c r="P7105" s="14">
        <v>94.48</v>
      </c>
      <c r="Q7105" s="14">
        <v>138</v>
      </c>
      <c r="R7105" s="14">
        <v>84.18</v>
      </c>
      <c r="S7105" s="2" t="s">
        <v>613</v>
      </c>
      <c r="T7105" s="2">
        <v>1.02</v>
      </c>
      <c r="U7105" s="2">
        <v>71</v>
      </c>
      <c r="V7105" s="2">
        <v>67</v>
      </c>
      <c r="W7105" s="2" t="s">
        <v>7862</v>
      </c>
      <c r="X7105" s="2" t="s">
        <v>2449</v>
      </c>
      <c r="Y7105" s="2">
        <v>1525</v>
      </c>
      <c r="Z7105" s="19" t="str">
        <f>HYPERLINK("https://ssdweb.co/ssdweb/hd/Vision360.html?d=941120584&amp;zoomslide=1&amp;z=1941120584&amp;ISCONFIRM=0","VIDEO")</f>
        <v>VIDEO</v>
      </c>
      <c r="AA7105" s="19" t="str">
        <f>HYPERLINK("https://ssdweb.co/ssdweb/CERTH/678550431.pdf","CERTI")</f>
        <v>CERTI</v>
      </c>
    </row>
    <row r="7106" spans="1:27" ht="15" x14ac:dyDescent="0.25">
      <c r="A7106" s="2">
        <v>7101</v>
      </c>
      <c r="B7106" s="39">
        <v>941100692</v>
      </c>
      <c r="C7106" s="28" t="str">
        <f>HYPERLINK("https://pld.live/RapDetail.aspx?STONELIST=941100692","DNA")</f>
        <v>DNA</v>
      </c>
      <c r="D7106" s="18" t="s">
        <v>5466</v>
      </c>
      <c r="E7106" s="18" t="s">
        <v>2186</v>
      </c>
      <c r="F7106" s="2" t="s">
        <v>7987</v>
      </c>
      <c r="G7106" s="2" t="s">
        <v>5226</v>
      </c>
      <c r="H7106" s="14">
        <v>0.53</v>
      </c>
      <c r="I7106" s="2" t="s">
        <v>267</v>
      </c>
      <c r="J7106" s="2" t="s">
        <v>3942</v>
      </c>
      <c r="K7106" s="2" t="s">
        <v>1452</v>
      </c>
      <c r="L7106" s="2" t="s">
        <v>5221</v>
      </c>
      <c r="M7106" s="2" t="s">
        <v>5721</v>
      </c>
      <c r="N7106" s="2" t="s">
        <v>2317</v>
      </c>
      <c r="O7106" s="14">
        <v>2800</v>
      </c>
      <c r="P7106" s="14">
        <v>94</v>
      </c>
      <c r="Q7106" s="14">
        <v>168</v>
      </c>
      <c r="R7106" s="14">
        <v>89.04</v>
      </c>
      <c r="S7106" s="2" t="s">
        <v>5712</v>
      </c>
      <c r="T7106" s="2">
        <v>1.02</v>
      </c>
      <c r="U7106" s="2">
        <v>71.900000000000006</v>
      </c>
      <c r="V7106" s="2">
        <v>71</v>
      </c>
      <c r="W7106" s="2" t="s">
        <v>7862</v>
      </c>
      <c r="X7106" s="2" t="s">
        <v>2449</v>
      </c>
      <c r="Y7106" s="2">
        <v>1484</v>
      </c>
      <c r="Z7106" s="19" t="str">
        <f>HYPERLINK("https://ssdweb.co/ssdweb/hd/Vision360.html?d=941100692&amp;zoomslide=1&amp;z=1941100692&amp;ISCONFIRM=0","VIDEO")</f>
        <v>VIDEO</v>
      </c>
      <c r="AA7106" s="19" t="str">
        <f>HYPERLINK("https://ssdweb.co/ssdweb/CERTH/680505074.pdf","CERTI")</f>
        <v>CERTI</v>
      </c>
    </row>
    <row r="7107" spans="1:27" ht="15" x14ac:dyDescent="0.25">
      <c r="A7107" s="2">
        <v>7102</v>
      </c>
      <c r="B7107" s="39">
        <v>927132548</v>
      </c>
      <c r="C7107" s="28" t="str">
        <f>HYPERLINK("https://pld.live/RapDetail.aspx?STONELIST=927132548","DNA")</f>
        <v>DNA</v>
      </c>
      <c r="D7107" s="18" t="s">
        <v>5466</v>
      </c>
      <c r="E7107" s="18" t="s">
        <v>5128</v>
      </c>
      <c r="F7107" s="2" t="s">
        <v>7987</v>
      </c>
      <c r="G7107" s="2" t="s">
        <v>5226</v>
      </c>
      <c r="H7107" s="14">
        <v>0.52</v>
      </c>
      <c r="I7107" s="2" t="s">
        <v>267</v>
      </c>
      <c r="J7107" s="2" t="s">
        <v>6555</v>
      </c>
      <c r="K7107" s="2" t="s">
        <v>1452</v>
      </c>
      <c r="L7107" s="2" t="s">
        <v>5221</v>
      </c>
      <c r="M7107" s="2" t="s">
        <v>5221</v>
      </c>
      <c r="N7107" s="2" t="s">
        <v>2317</v>
      </c>
      <c r="O7107" s="14">
        <v>3000</v>
      </c>
      <c r="P7107" s="14">
        <v>93</v>
      </c>
      <c r="Q7107" s="14">
        <v>210</v>
      </c>
      <c r="R7107" s="14">
        <v>109.2</v>
      </c>
      <c r="S7107" s="2" t="s">
        <v>631</v>
      </c>
      <c r="T7107" s="2">
        <v>1.03</v>
      </c>
      <c r="U7107" s="2">
        <v>71.900000000000006</v>
      </c>
      <c r="V7107" s="2">
        <v>67</v>
      </c>
      <c r="W7107" s="2" t="s">
        <v>7862</v>
      </c>
      <c r="X7107" s="2" t="s">
        <v>2449</v>
      </c>
      <c r="Y7107" s="2">
        <v>1560</v>
      </c>
      <c r="Z7107" s="19" t="str">
        <f>HYPERLINK("https://ssdweb.co/ssdweb/hd/Vision360.html?d=927132548&amp;zoomslide=1&amp;z=1927132548&amp;ISCONFIRM=0","VIDEO")</f>
        <v>VIDEO</v>
      </c>
      <c r="AA7107" s="19" t="str">
        <f>HYPERLINK("https://ssdweb.co/ssdweb/CERTH/674543037.pdf","CERTI")</f>
        <v>CERTI</v>
      </c>
    </row>
    <row r="7108" spans="1:27" ht="15" x14ac:dyDescent="0.25">
      <c r="A7108" s="2">
        <v>7103</v>
      </c>
      <c r="B7108" s="39">
        <v>927132487</v>
      </c>
      <c r="C7108" s="28" t="str">
        <f>HYPERLINK("https://pld.live/RapDetail.aspx?STONELIST=927132487","DNA")</f>
        <v>DNA</v>
      </c>
      <c r="D7108" s="18" t="s">
        <v>5466</v>
      </c>
      <c r="E7108" s="18" t="s">
        <v>5128</v>
      </c>
      <c r="F7108" s="2" t="s">
        <v>7987</v>
      </c>
      <c r="G7108" s="2" t="s">
        <v>5226</v>
      </c>
      <c r="H7108" s="14">
        <v>0.52</v>
      </c>
      <c r="I7108" s="2" t="s">
        <v>267</v>
      </c>
      <c r="J7108" s="2" t="s">
        <v>6555</v>
      </c>
      <c r="K7108" s="2" t="s">
        <v>1452</v>
      </c>
      <c r="L7108" s="2" t="s">
        <v>5221</v>
      </c>
      <c r="M7108" s="2" t="s">
        <v>5221</v>
      </c>
      <c r="N7108" s="2" t="s">
        <v>2317</v>
      </c>
      <c r="O7108" s="14">
        <v>3000</v>
      </c>
      <c r="P7108" s="14">
        <v>93</v>
      </c>
      <c r="Q7108" s="14">
        <v>210</v>
      </c>
      <c r="R7108" s="14">
        <v>109.2</v>
      </c>
      <c r="S7108" s="2" t="s">
        <v>2787</v>
      </c>
      <c r="T7108" s="2">
        <v>1.01</v>
      </c>
      <c r="U7108" s="2">
        <v>70.900000000000006</v>
      </c>
      <c r="V7108" s="2">
        <v>69</v>
      </c>
      <c r="W7108" s="2" t="s">
        <v>7862</v>
      </c>
      <c r="X7108" s="2" t="s">
        <v>2449</v>
      </c>
      <c r="Y7108" s="2">
        <v>1560</v>
      </c>
      <c r="Z7108" s="19" t="str">
        <f>HYPERLINK("https://ssdweb.co/ssdweb/hd/Vision360.html?d=927132487&amp;zoomslide=1&amp;z=1927132487&amp;ISCONFIRM=0","VIDEO")</f>
        <v>VIDEO</v>
      </c>
      <c r="AA7108" s="19" t="str">
        <f>HYPERLINK("https://ssdweb.co/ssdweb/CERTH/674543059.pdf","CERTI")</f>
        <v>CERTI</v>
      </c>
    </row>
    <row r="7109" spans="1:27" ht="15" x14ac:dyDescent="0.25">
      <c r="A7109" s="2">
        <v>7104</v>
      </c>
      <c r="B7109" s="39">
        <v>941161047</v>
      </c>
      <c r="C7109" s="28" t="str">
        <f>HYPERLINK("https://pld.live/RapDetail.aspx?STONELIST=941161047","DNA")</f>
        <v>DNA</v>
      </c>
      <c r="D7109" s="18" t="s">
        <v>5466</v>
      </c>
      <c r="E7109" s="18" t="s">
        <v>5128</v>
      </c>
      <c r="F7109" s="2" t="s">
        <v>7987</v>
      </c>
      <c r="G7109" s="2" t="s">
        <v>5226</v>
      </c>
      <c r="H7109" s="14">
        <v>0.52</v>
      </c>
      <c r="I7109" s="2" t="s">
        <v>267</v>
      </c>
      <c r="J7109" s="2" t="s">
        <v>6555</v>
      </c>
      <c r="K7109" s="2" t="s">
        <v>1452</v>
      </c>
      <c r="L7109" s="2" t="s">
        <v>5221</v>
      </c>
      <c r="M7109" s="2" t="s">
        <v>5721</v>
      </c>
      <c r="N7109" s="2" t="s">
        <v>2317</v>
      </c>
      <c r="O7109" s="14">
        <v>3000</v>
      </c>
      <c r="P7109" s="14">
        <v>93.07</v>
      </c>
      <c r="Q7109" s="14">
        <v>207.9</v>
      </c>
      <c r="R7109" s="14">
        <v>108.11</v>
      </c>
      <c r="S7109" s="2" t="s">
        <v>4436</v>
      </c>
      <c r="T7109" s="2">
        <v>1</v>
      </c>
      <c r="U7109" s="2">
        <v>70.5</v>
      </c>
      <c r="V7109" s="2">
        <v>70</v>
      </c>
      <c r="W7109" s="2" t="s">
        <v>7862</v>
      </c>
      <c r="X7109" s="2" t="s">
        <v>2449</v>
      </c>
      <c r="Y7109" s="2">
        <v>1560</v>
      </c>
      <c r="Z7109" s="19" t="str">
        <f>HYPERLINK("https://ssdweb.co/ssdweb/hd/Vision360.html?d=941161047&amp;zoomslide=1&amp;z=1941161047&amp;ISCONFIRM=0","VIDEO")</f>
        <v>VIDEO</v>
      </c>
      <c r="AA7109" s="19" t="str">
        <f>HYPERLINK("https://ssdweb.co/ssdweb/CERTH/694508371.pdf","CERTI")</f>
        <v>CERTI</v>
      </c>
    </row>
    <row r="7110" spans="1:27" ht="15" x14ac:dyDescent="0.25">
      <c r="A7110" s="2">
        <v>7105</v>
      </c>
      <c r="B7110" s="39">
        <v>831010772</v>
      </c>
      <c r="C7110" s="28" t="str">
        <f>HYPERLINK("https://pld.live/RapDetail.aspx?STONELIST=831010772","DNA")</f>
        <v>DNA</v>
      </c>
      <c r="D7110" s="18" t="s">
        <v>5466</v>
      </c>
      <c r="E7110" s="18" t="s">
        <v>5128</v>
      </c>
      <c r="F7110" s="2" t="s">
        <v>7987</v>
      </c>
      <c r="G7110" s="2" t="s">
        <v>5226</v>
      </c>
      <c r="H7110" s="14">
        <v>0.52</v>
      </c>
      <c r="I7110" s="2" t="s">
        <v>267</v>
      </c>
      <c r="J7110" s="2" t="s">
        <v>3942</v>
      </c>
      <c r="K7110" s="2" t="s">
        <v>1452</v>
      </c>
      <c r="L7110" s="2" t="s">
        <v>5221</v>
      </c>
      <c r="M7110" s="2" t="s">
        <v>5221</v>
      </c>
      <c r="N7110" s="2" t="s">
        <v>2317</v>
      </c>
      <c r="O7110" s="14">
        <v>2800</v>
      </c>
      <c r="P7110" s="14">
        <v>93.93</v>
      </c>
      <c r="Q7110" s="14">
        <v>169.96</v>
      </c>
      <c r="R7110" s="14">
        <v>88.38</v>
      </c>
      <c r="S7110" s="2" t="s">
        <v>5178</v>
      </c>
      <c r="T7110" s="2">
        <v>1.02</v>
      </c>
      <c r="U7110" s="2">
        <v>70.900000000000006</v>
      </c>
      <c r="V7110" s="2">
        <v>70</v>
      </c>
      <c r="W7110" s="2" t="s">
        <v>7862</v>
      </c>
      <c r="X7110" s="2" t="s">
        <v>2449</v>
      </c>
      <c r="Y7110" s="2">
        <v>1456</v>
      </c>
      <c r="Z7110" s="19" t="str">
        <f>HYPERLINK("https://ssdweb.co/ssdweb/hd/Vision360.html?d=831010772&amp;zoomslide=1&amp;z=1831010772&amp;ISCONFIRM=0","VIDEO")</f>
        <v>VIDEO</v>
      </c>
      <c r="AA7110" s="19" t="str">
        <f>HYPERLINK("https://ssdweb.co/ssdweb/CERTH/670484215.pdf","CERTI")</f>
        <v>CERTI</v>
      </c>
    </row>
    <row r="7111" spans="1:27" ht="15" x14ac:dyDescent="0.25">
      <c r="A7111" s="2">
        <v>7106</v>
      </c>
      <c r="B7111" s="39">
        <v>831010773</v>
      </c>
      <c r="C7111" s="28" t="str">
        <f>HYPERLINK("https://pld.live/RapDetail.aspx?STONELIST=831010773","DNA")</f>
        <v>DNA</v>
      </c>
      <c r="D7111" s="18" t="s">
        <v>5466</v>
      </c>
      <c r="E7111" s="18" t="s">
        <v>5128</v>
      </c>
      <c r="F7111" s="2" t="s">
        <v>7987</v>
      </c>
      <c r="G7111" s="2" t="s">
        <v>5226</v>
      </c>
      <c r="H7111" s="14">
        <v>0.52</v>
      </c>
      <c r="I7111" s="2" t="s">
        <v>267</v>
      </c>
      <c r="J7111" s="2" t="s">
        <v>3942</v>
      </c>
      <c r="K7111" s="2" t="s">
        <v>1452</v>
      </c>
      <c r="L7111" s="2" t="s">
        <v>5221</v>
      </c>
      <c r="M7111" s="2" t="s">
        <v>5721</v>
      </c>
      <c r="N7111" s="2" t="s">
        <v>2317</v>
      </c>
      <c r="O7111" s="14">
        <v>2800</v>
      </c>
      <c r="P7111" s="14">
        <v>94</v>
      </c>
      <c r="Q7111" s="14">
        <v>168</v>
      </c>
      <c r="R7111" s="14">
        <v>87.36</v>
      </c>
      <c r="S7111" s="2" t="s">
        <v>4457</v>
      </c>
      <c r="T7111" s="2">
        <v>1.01</v>
      </c>
      <c r="U7111" s="2">
        <v>69.900000000000006</v>
      </c>
      <c r="V7111" s="2">
        <v>69</v>
      </c>
      <c r="W7111" s="2" t="s">
        <v>7862</v>
      </c>
      <c r="X7111" s="2" t="s">
        <v>2449</v>
      </c>
      <c r="Y7111" s="2">
        <v>1456</v>
      </c>
      <c r="Z7111" s="19" t="str">
        <f>HYPERLINK("https://ssdweb.co/ssdweb/hd/Vision360.html?d=831010773&amp;zoomslide=1&amp;z=1831010773&amp;ISCONFIRM=0","VIDEO")</f>
        <v>VIDEO</v>
      </c>
      <c r="AA7111" s="19" t="str">
        <f>HYPERLINK("https://ssdweb.co/ssdweb/CERTH/669458141.pdf","CERTI")</f>
        <v>CERTI</v>
      </c>
    </row>
    <row r="7112" spans="1:27" ht="15" x14ac:dyDescent="0.25">
      <c r="A7112" s="2">
        <v>7107</v>
      </c>
      <c r="B7112" s="39">
        <v>941161036</v>
      </c>
      <c r="C7112" s="28" t="str">
        <f>HYPERLINK("https://pld.live/RapDetail.aspx?STONELIST=941161036","DNA")</f>
        <v>DNA</v>
      </c>
      <c r="D7112" s="18" t="s">
        <v>5466</v>
      </c>
      <c r="E7112" s="18" t="s">
        <v>5128</v>
      </c>
      <c r="F7112" s="2" t="s">
        <v>7987</v>
      </c>
      <c r="G7112" s="2" t="s">
        <v>5226</v>
      </c>
      <c r="H7112" s="14">
        <v>0.52</v>
      </c>
      <c r="I7112" s="2" t="s">
        <v>267</v>
      </c>
      <c r="J7112" s="2" t="s">
        <v>3942</v>
      </c>
      <c r="K7112" s="2" t="s">
        <v>1452</v>
      </c>
      <c r="L7112" s="2" t="s">
        <v>5221</v>
      </c>
      <c r="M7112" s="2" t="s">
        <v>5721</v>
      </c>
      <c r="N7112" s="2" t="s">
        <v>2317</v>
      </c>
      <c r="O7112" s="14">
        <v>2800</v>
      </c>
      <c r="P7112" s="14">
        <v>94</v>
      </c>
      <c r="Q7112" s="14">
        <v>168</v>
      </c>
      <c r="R7112" s="14">
        <v>87.36</v>
      </c>
      <c r="S7112" s="2" t="s">
        <v>605</v>
      </c>
      <c r="T7112" s="2">
        <v>1.02</v>
      </c>
      <c r="U7112" s="2">
        <v>72.8</v>
      </c>
      <c r="V7112" s="2">
        <v>69</v>
      </c>
      <c r="W7112" s="2" t="s">
        <v>7862</v>
      </c>
      <c r="X7112" s="2" t="s">
        <v>2449</v>
      </c>
      <c r="Y7112" s="2">
        <v>1456</v>
      </c>
      <c r="Z7112" s="19" t="str">
        <f>HYPERLINK("https://ssdweb.co/ssdweb/hd/Vision360.html?d=941161036&amp;zoomslide=1&amp;z=1941161036&amp;ISCONFIRM=0","VIDEO")</f>
        <v>VIDEO</v>
      </c>
      <c r="AA7112" s="19" t="str">
        <f>HYPERLINK("https://ssdweb.co/ssdweb/CERTH/694508369.pdf","CERTI")</f>
        <v>CERTI</v>
      </c>
    </row>
    <row r="7113" spans="1:27" ht="15" x14ac:dyDescent="0.25">
      <c r="A7113" s="2">
        <v>7108</v>
      </c>
      <c r="B7113" s="39">
        <v>941161019</v>
      </c>
      <c r="C7113" s="28" t="str">
        <f>HYPERLINK("https://pld.live/RapDetail.aspx?STONELIST=941161019","DNA")</f>
        <v>DNA</v>
      </c>
      <c r="D7113" s="18" t="s">
        <v>5466</v>
      </c>
      <c r="E7113" s="18" t="s">
        <v>5128</v>
      </c>
      <c r="F7113" s="2" t="s">
        <v>7987</v>
      </c>
      <c r="G7113" s="2" t="s">
        <v>5226</v>
      </c>
      <c r="H7113" s="14">
        <v>0.52</v>
      </c>
      <c r="I7113" s="2" t="s">
        <v>267</v>
      </c>
      <c r="J7113" s="2" t="s">
        <v>3942</v>
      </c>
      <c r="K7113" s="2" t="s">
        <v>1452</v>
      </c>
      <c r="L7113" s="2" t="s">
        <v>5221</v>
      </c>
      <c r="M7113" s="2" t="s">
        <v>5721</v>
      </c>
      <c r="N7113" s="2" t="s">
        <v>2317</v>
      </c>
      <c r="O7113" s="14">
        <v>2800</v>
      </c>
      <c r="P7113" s="14">
        <v>94</v>
      </c>
      <c r="Q7113" s="14">
        <v>168</v>
      </c>
      <c r="R7113" s="14">
        <v>87.36</v>
      </c>
      <c r="S7113" s="2" t="s">
        <v>2787</v>
      </c>
      <c r="T7113" s="2">
        <v>1.01</v>
      </c>
      <c r="U7113" s="2">
        <v>70.900000000000006</v>
      </c>
      <c r="V7113" s="2">
        <v>74</v>
      </c>
      <c r="W7113" s="2" t="s">
        <v>7862</v>
      </c>
      <c r="X7113" s="2" t="s">
        <v>2449</v>
      </c>
      <c r="Y7113" s="2">
        <v>1456</v>
      </c>
      <c r="Z7113" s="19" t="str">
        <f>HYPERLINK("https://ssdweb.co/ssdweb/hd/Vision360.html?d=941161019&amp;zoomslide=1&amp;z=1941161019&amp;ISCONFIRM=0","VIDEO")</f>
        <v>VIDEO</v>
      </c>
      <c r="AA7113" s="19" t="str">
        <f>HYPERLINK("https://ssdweb.co/ssdweb/CERTH/694508313.pdf","CERTI")</f>
        <v>CERTI</v>
      </c>
    </row>
    <row r="7114" spans="1:27" ht="15" x14ac:dyDescent="0.25">
      <c r="A7114" s="2">
        <v>7109</v>
      </c>
      <c r="B7114" s="39">
        <v>941161006</v>
      </c>
      <c r="C7114" s="28" t="str">
        <f>HYPERLINK("https://pld.live/RapDetail.aspx?STONELIST=941161006","DNA")</f>
        <v>DNA</v>
      </c>
      <c r="D7114" s="18" t="s">
        <v>5466</v>
      </c>
      <c r="E7114" s="18" t="s">
        <v>5128</v>
      </c>
      <c r="F7114" s="2" t="s">
        <v>7987</v>
      </c>
      <c r="G7114" s="2" t="s">
        <v>5226</v>
      </c>
      <c r="H7114" s="14">
        <v>0.52</v>
      </c>
      <c r="I7114" s="2" t="s">
        <v>267</v>
      </c>
      <c r="J7114" s="2" t="s">
        <v>3942</v>
      </c>
      <c r="K7114" s="2" t="s">
        <v>1452</v>
      </c>
      <c r="L7114" s="2" t="s">
        <v>5221</v>
      </c>
      <c r="M7114" s="2" t="s">
        <v>5721</v>
      </c>
      <c r="N7114" s="2" t="s">
        <v>2317</v>
      </c>
      <c r="O7114" s="14">
        <v>2800</v>
      </c>
      <c r="P7114" s="14">
        <v>94</v>
      </c>
      <c r="Q7114" s="14">
        <v>168</v>
      </c>
      <c r="R7114" s="14">
        <v>87.36</v>
      </c>
      <c r="S7114" s="2" t="s">
        <v>4929</v>
      </c>
      <c r="T7114" s="2">
        <v>1</v>
      </c>
      <c r="U7114" s="2">
        <v>69.8</v>
      </c>
      <c r="V7114" s="2">
        <v>70</v>
      </c>
      <c r="W7114" s="2" t="s">
        <v>7862</v>
      </c>
      <c r="X7114" s="2" t="s">
        <v>2449</v>
      </c>
      <c r="Y7114" s="2">
        <v>1456</v>
      </c>
      <c r="Z7114" s="19" t="str">
        <f>HYPERLINK("https://ssdweb.co/ssdweb/hd/Vision360.html?d=941161006&amp;zoomslide=1&amp;z=1941161006&amp;ISCONFIRM=0","VIDEO")</f>
        <v>VIDEO</v>
      </c>
      <c r="AA7114" s="19" t="str">
        <f>HYPERLINK("https://ssdweb.co/ssdweb/CERTH/694508305.pdf","CERTI")</f>
        <v>CERTI</v>
      </c>
    </row>
    <row r="7115" spans="1:27" ht="15" x14ac:dyDescent="0.25">
      <c r="A7115" s="2">
        <v>7110</v>
      </c>
      <c r="B7115" s="39">
        <v>941161023</v>
      </c>
      <c r="C7115" s="28" t="str">
        <f>HYPERLINK("https://pld.live/RapDetail.aspx?STONELIST=941161023","DNA")</f>
        <v>DNA</v>
      </c>
      <c r="D7115" s="18" t="s">
        <v>5466</v>
      </c>
      <c r="E7115" s="18" t="s">
        <v>5128</v>
      </c>
      <c r="F7115" s="2" t="s">
        <v>7987</v>
      </c>
      <c r="G7115" s="2" t="s">
        <v>5226</v>
      </c>
      <c r="H7115" s="14">
        <v>0.52</v>
      </c>
      <c r="I7115" s="2" t="s">
        <v>267</v>
      </c>
      <c r="J7115" s="2" t="s">
        <v>13</v>
      </c>
      <c r="K7115" s="2" t="s">
        <v>1452</v>
      </c>
      <c r="L7115" s="2" t="s">
        <v>5221</v>
      </c>
      <c r="M7115" s="2" t="s">
        <v>5221</v>
      </c>
      <c r="N7115" s="2" t="s">
        <v>2317</v>
      </c>
      <c r="O7115" s="14">
        <v>2600</v>
      </c>
      <c r="P7115" s="14">
        <v>93.85</v>
      </c>
      <c r="Q7115" s="14">
        <v>159.9</v>
      </c>
      <c r="R7115" s="14">
        <v>83.15</v>
      </c>
      <c r="S7115" s="2" t="s">
        <v>5726</v>
      </c>
      <c r="T7115" s="2">
        <v>1</v>
      </c>
      <c r="U7115" s="2">
        <v>72.8</v>
      </c>
      <c r="V7115" s="2">
        <v>69</v>
      </c>
      <c r="W7115" s="2" t="s">
        <v>7862</v>
      </c>
      <c r="X7115" s="2" t="s">
        <v>2449</v>
      </c>
      <c r="Y7115" s="2">
        <v>1352</v>
      </c>
      <c r="Z7115" s="19" t="str">
        <f>HYPERLINK("https://ssdweb.co/ssdweb/hd/Vision360.html?d=941161023&amp;zoomslide=1&amp;z=1941161023&amp;ISCONFIRM=0","VIDEO")</f>
        <v>VIDEO</v>
      </c>
      <c r="AA7115" s="19" t="str">
        <f>HYPERLINK("https://ssdweb.co/ssdweb/CERTH/694508366.pdf","CERTI")</f>
        <v>CERTI</v>
      </c>
    </row>
    <row r="7116" spans="1:27" ht="15" x14ac:dyDescent="0.25">
      <c r="A7116" s="2">
        <v>7111</v>
      </c>
      <c r="B7116" s="39">
        <v>941140972</v>
      </c>
      <c r="C7116" s="28" t="str">
        <f>HYPERLINK("https://pld.live/RapDetail.aspx?STONELIST=941140972","DNA")</f>
        <v>DNA</v>
      </c>
      <c r="D7116" s="18" t="s">
        <v>5466</v>
      </c>
      <c r="E7116" s="18" t="s">
        <v>5128</v>
      </c>
      <c r="F7116" s="2" t="s">
        <v>7987</v>
      </c>
      <c r="G7116" s="2" t="s">
        <v>5226</v>
      </c>
      <c r="H7116" s="14">
        <v>0.52</v>
      </c>
      <c r="I7116" s="2" t="s">
        <v>4761</v>
      </c>
      <c r="J7116" s="2" t="s">
        <v>6555</v>
      </c>
      <c r="K7116" s="2" t="s">
        <v>1452</v>
      </c>
      <c r="L7116" s="2" t="s">
        <v>5221</v>
      </c>
      <c r="M7116" s="2" t="s">
        <v>5221</v>
      </c>
      <c r="N7116" s="2" t="s">
        <v>2317</v>
      </c>
      <c r="O7116" s="14">
        <v>2800</v>
      </c>
      <c r="P7116" s="14">
        <v>93.21</v>
      </c>
      <c r="Q7116" s="14">
        <v>190.12</v>
      </c>
      <c r="R7116" s="14">
        <v>98.86</v>
      </c>
      <c r="S7116" s="2" t="s">
        <v>6136</v>
      </c>
      <c r="T7116" s="2">
        <v>1</v>
      </c>
      <c r="U7116" s="2">
        <v>71.7</v>
      </c>
      <c r="V7116" s="2">
        <v>68</v>
      </c>
      <c r="W7116" s="2" t="s">
        <v>7862</v>
      </c>
      <c r="X7116" s="2" t="s">
        <v>2449</v>
      </c>
      <c r="Y7116" s="2">
        <v>1456</v>
      </c>
      <c r="Z7116" s="19" t="str">
        <f>HYPERLINK("https://ssdweb.co/ssdweb/hd/Vision360.html?d=941140972&amp;zoomslide=1&amp;z=1941140972&amp;ISCONFIRM=0","VIDEO")</f>
        <v>VIDEO</v>
      </c>
      <c r="AA7116" s="19" t="str">
        <f>HYPERLINK("https://ssdweb.co/ssdweb/CERTH/681569579.pdf","CERTI")</f>
        <v>CERTI</v>
      </c>
    </row>
    <row r="7117" spans="1:27" ht="15" x14ac:dyDescent="0.25">
      <c r="A7117" s="2">
        <v>7112</v>
      </c>
      <c r="B7117" s="39">
        <v>941150212</v>
      </c>
      <c r="C7117" s="28" t="str">
        <f>HYPERLINK("https://pld.live/RapDetail.aspx?STONELIST=941150212","DNA")</f>
        <v>DNA</v>
      </c>
      <c r="D7117" s="18" t="s">
        <v>5466</v>
      </c>
      <c r="E7117" s="18" t="s">
        <v>2186</v>
      </c>
      <c r="F7117" s="2" t="s">
        <v>7987</v>
      </c>
      <c r="G7117" s="2" t="s">
        <v>5226</v>
      </c>
      <c r="H7117" s="14">
        <v>0.52</v>
      </c>
      <c r="I7117" s="2" t="s">
        <v>4761</v>
      </c>
      <c r="J7117" s="2" t="s">
        <v>6555</v>
      </c>
      <c r="K7117" s="2" t="s">
        <v>1452</v>
      </c>
      <c r="L7117" s="2" t="s">
        <v>5221</v>
      </c>
      <c r="M7117" s="2" t="s">
        <v>5221</v>
      </c>
      <c r="N7117" s="2" t="s">
        <v>2317</v>
      </c>
      <c r="O7117" s="14">
        <v>2800</v>
      </c>
      <c r="P7117" s="14">
        <v>93.21</v>
      </c>
      <c r="Q7117" s="14">
        <v>190.12</v>
      </c>
      <c r="R7117" s="14">
        <v>98.86</v>
      </c>
      <c r="S7117" s="2" t="s">
        <v>4510</v>
      </c>
      <c r="T7117" s="2">
        <v>1.01</v>
      </c>
      <c r="U7117" s="2">
        <v>69.5</v>
      </c>
      <c r="V7117" s="2">
        <v>70</v>
      </c>
      <c r="W7117" s="2" t="s">
        <v>7862</v>
      </c>
      <c r="X7117" s="2" t="s">
        <v>2449</v>
      </c>
      <c r="Y7117" s="2">
        <v>1456</v>
      </c>
      <c r="Z7117" s="19" t="str">
        <f>HYPERLINK("https://ssdweb.co/ssdweb/hd/Vision360.html?d=941150212&amp;zoomslide=1&amp;z=1941150212&amp;ISCONFIRM=0","VIDEO")</f>
        <v>VIDEO</v>
      </c>
      <c r="AA7117" s="19" t="str">
        <f>HYPERLINK("https://ssdweb.co/ssdweb/CERTH/681569617.pdf","CERTI")</f>
        <v>CERTI</v>
      </c>
    </row>
    <row r="7118" spans="1:27" ht="15" x14ac:dyDescent="0.25">
      <c r="A7118" s="2">
        <v>7113</v>
      </c>
      <c r="B7118" s="39">
        <v>941140976</v>
      </c>
      <c r="C7118" s="28" t="str">
        <f>HYPERLINK("https://pld.live/RapDetail.aspx?STONELIST=941140976","DNA")</f>
        <v>DNA</v>
      </c>
      <c r="D7118" s="18" t="s">
        <v>5466</v>
      </c>
      <c r="E7118" s="18" t="s">
        <v>5128</v>
      </c>
      <c r="F7118" s="2" t="s">
        <v>7987</v>
      </c>
      <c r="G7118" s="2" t="s">
        <v>5226</v>
      </c>
      <c r="H7118" s="14">
        <v>0.52</v>
      </c>
      <c r="I7118" s="2" t="s">
        <v>4761</v>
      </c>
      <c r="J7118" s="2" t="s">
        <v>6555</v>
      </c>
      <c r="K7118" s="2" t="s">
        <v>1452</v>
      </c>
      <c r="L7118" s="2" t="s">
        <v>5221</v>
      </c>
      <c r="M7118" s="2" t="s">
        <v>5721</v>
      </c>
      <c r="N7118" s="2" t="s">
        <v>2317</v>
      </c>
      <c r="O7118" s="14">
        <v>2800</v>
      </c>
      <c r="P7118" s="14">
        <v>93.29</v>
      </c>
      <c r="Q7118" s="14">
        <v>187.88</v>
      </c>
      <c r="R7118" s="14">
        <v>97.7</v>
      </c>
      <c r="S7118" s="2" t="s">
        <v>1700</v>
      </c>
      <c r="T7118" s="2">
        <v>1</v>
      </c>
      <c r="U7118" s="2">
        <v>71.5</v>
      </c>
      <c r="V7118" s="2">
        <v>66</v>
      </c>
      <c r="W7118" s="2" t="s">
        <v>7862</v>
      </c>
      <c r="X7118" s="2" t="s">
        <v>2449</v>
      </c>
      <c r="Y7118" s="2">
        <v>1456</v>
      </c>
      <c r="Z7118" s="19" t="str">
        <f>HYPERLINK("https://ssdweb.co/ssdweb/hd/Vision360.html?d=941140976&amp;zoomslide=1&amp;z=1941140976&amp;ISCONFIRM=0","VIDEO")</f>
        <v>VIDEO</v>
      </c>
      <c r="AA7118" s="19" t="str">
        <f>HYPERLINK("https://ssdweb.co/ssdweb/CERTH/681569580.pdf","CERTI")</f>
        <v>CERTI</v>
      </c>
    </row>
    <row r="7119" spans="1:27" ht="15" x14ac:dyDescent="0.25">
      <c r="A7119" s="2">
        <v>7114</v>
      </c>
      <c r="B7119" s="39">
        <v>941161031</v>
      </c>
      <c r="C7119" s="28" t="str">
        <f>HYPERLINK("https://pld.live/RapDetail.aspx?STONELIST=941161031","DNA")</f>
        <v>DNA</v>
      </c>
      <c r="D7119" s="18" t="s">
        <v>5466</v>
      </c>
      <c r="E7119" s="18" t="s">
        <v>5128</v>
      </c>
      <c r="F7119" s="2" t="s">
        <v>7987</v>
      </c>
      <c r="G7119" s="2" t="s">
        <v>5226</v>
      </c>
      <c r="H7119" s="14">
        <v>0.52</v>
      </c>
      <c r="I7119" s="2" t="s">
        <v>4761</v>
      </c>
      <c r="J7119" s="2" t="s">
        <v>3942</v>
      </c>
      <c r="K7119" s="2" t="s">
        <v>1452</v>
      </c>
      <c r="L7119" s="2" t="s">
        <v>5221</v>
      </c>
      <c r="M7119" s="2" t="s">
        <v>5221</v>
      </c>
      <c r="N7119" s="2" t="s">
        <v>2317</v>
      </c>
      <c r="O7119" s="14">
        <v>2600</v>
      </c>
      <c r="P7119" s="14">
        <v>93.58</v>
      </c>
      <c r="Q7119" s="14">
        <v>166.92</v>
      </c>
      <c r="R7119" s="14">
        <v>86.8</v>
      </c>
      <c r="S7119" s="2" t="s">
        <v>1203</v>
      </c>
      <c r="T7119" s="2">
        <v>1.02</v>
      </c>
      <c r="U7119" s="2">
        <v>72</v>
      </c>
      <c r="V7119" s="2">
        <v>66</v>
      </c>
      <c r="W7119" s="2" t="s">
        <v>7862</v>
      </c>
      <c r="X7119" s="2" t="s">
        <v>2449</v>
      </c>
      <c r="Y7119" s="2">
        <v>1352</v>
      </c>
      <c r="Z7119" s="19" t="str">
        <f>HYPERLINK("https://ssdweb.co/ssdweb/hd/Vision360.html?d=941161031&amp;zoomslide=1&amp;z=1941161031&amp;ISCONFIRM=0","VIDEO")</f>
        <v>VIDEO</v>
      </c>
      <c r="AA7119" s="19" t="str">
        <f>HYPERLINK("https://ssdweb.co/ssdweb/CERTH/694508367.pdf","CERTI")</f>
        <v>CERTI</v>
      </c>
    </row>
    <row r="7120" spans="1:27" ht="15" x14ac:dyDescent="0.25">
      <c r="A7120" s="2">
        <v>7115</v>
      </c>
      <c r="B7120" s="39">
        <v>941161016</v>
      </c>
      <c r="C7120" s="28" t="str">
        <f>HYPERLINK("https://pld.live/RapDetail.aspx?STONELIST=941161016","DNA")</f>
        <v>DNA</v>
      </c>
      <c r="D7120" s="18" t="s">
        <v>5466</v>
      </c>
      <c r="E7120" s="18" t="s">
        <v>5128</v>
      </c>
      <c r="F7120" s="2" t="s">
        <v>7987</v>
      </c>
      <c r="G7120" s="2" t="s">
        <v>5226</v>
      </c>
      <c r="H7120" s="14">
        <v>0.52</v>
      </c>
      <c r="I7120" s="2" t="s">
        <v>4761</v>
      </c>
      <c r="J7120" s="2" t="s">
        <v>3942</v>
      </c>
      <c r="K7120" s="2" t="s">
        <v>1452</v>
      </c>
      <c r="L7120" s="2" t="s">
        <v>5221</v>
      </c>
      <c r="M7120" s="2" t="s">
        <v>5221</v>
      </c>
      <c r="N7120" s="2" t="s">
        <v>2317</v>
      </c>
      <c r="O7120" s="14">
        <v>2600</v>
      </c>
      <c r="P7120" s="14">
        <v>93.58</v>
      </c>
      <c r="Q7120" s="14">
        <v>166.92</v>
      </c>
      <c r="R7120" s="14">
        <v>86.8</v>
      </c>
      <c r="S7120" s="2" t="s">
        <v>1521</v>
      </c>
      <c r="T7120" s="2">
        <v>1</v>
      </c>
      <c r="U7120" s="2">
        <v>70.400000000000006</v>
      </c>
      <c r="V7120" s="2">
        <v>71</v>
      </c>
      <c r="W7120" s="2" t="s">
        <v>7862</v>
      </c>
      <c r="X7120" s="2" t="s">
        <v>2449</v>
      </c>
      <c r="Y7120" s="2">
        <v>1352</v>
      </c>
      <c r="Z7120" s="19" t="str">
        <f>HYPERLINK("https://ssdweb.co/ssdweb/hd/Vision360.html?d=941161016&amp;zoomslide=1&amp;z=1941161016&amp;ISCONFIRM=0","VIDEO")</f>
        <v>VIDEO</v>
      </c>
      <c r="AA7120" s="19" t="str">
        <f>HYPERLINK("https://ssdweb.co/ssdweb/CERTH/694508311.pdf","CERTI")</f>
        <v>CERTI</v>
      </c>
    </row>
    <row r="7121" spans="1:27" ht="15" x14ac:dyDescent="0.25">
      <c r="A7121" s="2">
        <v>7116</v>
      </c>
      <c r="B7121" s="39">
        <v>941110588</v>
      </c>
      <c r="C7121" s="28" t="str">
        <f>HYPERLINK("https://pld.live/RapDetail.aspx?STONELIST=941110588","DNA")</f>
        <v>DNA</v>
      </c>
      <c r="D7121" s="18" t="s">
        <v>5466</v>
      </c>
      <c r="E7121" s="18" t="s">
        <v>2186</v>
      </c>
      <c r="F7121" s="2" t="s">
        <v>7987</v>
      </c>
      <c r="G7121" s="2" t="s">
        <v>5226</v>
      </c>
      <c r="H7121" s="14">
        <v>0.52</v>
      </c>
      <c r="I7121" s="2" t="s">
        <v>4761</v>
      </c>
      <c r="J7121" s="2" t="s">
        <v>3942</v>
      </c>
      <c r="K7121" s="2" t="s">
        <v>1452</v>
      </c>
      <c r="L7121" s="2" t="s">
        <v>5221</v>
      </c>
      <c r="M7121" s="2" t="s">
        <v>5721</v>
      </c>
      <c r="N7121" s="2" t="s">
        <v>2317</v>
      </c>
      <c r="O7121" s="14">
        <v>2600</v>
      </c>
      <c r="P7121" s="14">
        <v>93.65</v>
      </c>
      <c r="Q7121" s="14">
        <v>165.1</v>
      </c>
      <c r="R7121" s="14">
        <v>85.85</v>
      </c>
      <c r="S7121" s="2" t="s">
        <v>296</v>
      </c>
      <c r="T7121" s="2">
        <v>1</v>
      </c>
      <c r="U7121" s="2">
        <v>71.5</v>
      </c>
      <c r="V7121" s="2">
        <v>71</v>
      </c>
      <c r="W7121" s="2" t="s">
        <v>7862</v>
      </c>
      <c r="X7121" s="2" t="s">
        <v>2449</v>
      </c>
      <c r="Y7121" s="2">
        <v>1352</v>
      </c>
      <c r="Z7121" s="19" t="str">
        <f>HYPERLINK("https://ssdweb.co/ssdweb/hd/Vision360.html?d=941110588&amp;zoomslide=1&amp;z=1941110588&amp;ISCONFIRM=0","VIDEO")</f>
        <v>VIDEO</v>
      </c>
      <c r="AA7121" s="19" t="str">
        <f>HYPERLINK("https://ssdweb.co/ssdweb/CERTH/680505077.pdf","CERTI")</f>
        <v>CERTI</v>
      </c>
    </row>
    <row r="7122" spans="1:27" ht="15" x14ac:dyDescent="0.25">
      <c r="A7122" s="2">
        <v>7117</v>
      </c>
      <c r="B7122" s="39">
        <v>927132653</v>
      </c>
      <c r="C7122" s="28" t="str">
        <f>HYPERLINK("https://pld.live/RapDetail.aspx?STONELIST=927132653","DNA")</f>
        <v>DNA</v>
      </c>
      <c r="D7122" s="18" t="s">
        <v>5466</v>
      </c>
      <c r="E7122" s="18" t="s">
        <v>5128</v>
      </c>
      <c r="F7122" s="2" t="s">
        <v>7987</v>
      </c>
      <c r="G7122" s="2" t="s">
        <v>5226</v>
      </c>
      <c r="H7122" s="14">
        <v>0.52</v>
      </c>
      <c r="I7122" s="2" t="s">
        <v>4761</v>
      </c>
      <c r="J7122" s="2" t="s">
        <v>3942</v>
      </c>
      <c r="K7122" s="2" t="s">
        <v>1452</v>
      </c>
      <c r="L7122" s="2" t="s">
        <v>5221</v>
      </c>
      <c r="M7122" s="2" t="s">
        <v>5721</v>
      </c>
      <c r="N7122" s="2" t="s">
        <v>2317</v>
      </c>
      <c r="O7122" s="14">
        <v>2600</v>
      </c>
      <c r="P7122" s="14">
        <v>93.65</v>
      </c>
      <c r="Q7122" s="14">
        <v>165.1</v>
      </c>
      <c r="R7122" s="14">
        <v>85.85</v>
      </c>
      <c r="S7122" s="2" t="s">
        <v>5554</v>
      </c>
      <c r="T7122" s="2">
        <v>1.01</v>
      </c>
      <c r="U7122" s="2">
        <v>71.2</v>
      </c>
      <c r="V7122" s="2">
        <v>72</v>
      </c>
      <c r="W7122" s="2" t="s">
        <v>7862</v>
      </c>
      <c r="X7122" s="2" t="s">
        <v>2449</v>
      </c>
      <c r="Y7122" s="2">
        <v>1352</v>
      </c>
      <c r="Z7122" s="19" t="str">
        <f>HYPERLINK("https://ssdweb.co/ssdweb/hd/Vision360.html?d=927132653&amp;zoomslide=1&amp;z=1927132653&amp;ISCONFIRM=0","VIDEO")</f>
        <v>VIDEO</v>
      </c>
      <c r="AA7122" s="19" t="str">
        <f>HYPERLINK("https://ssdweb.co/ssdweb/CERTH/680505073.pdf","CERTI")</f>
        <v>CERTI</v>
      </c>
    </row>
    <row r="7123" spans="1:27" ht="15" x14ac:dyDescent="0.25">
      <c r="A7123" s="2">
        <v>7118</v>
      </c>
      <c r="B7123" s="39">
        <v>941170655</v>
      </c>
      <c r="C7123" s="28" t="str">
        <f>HYPERLINK("https://pld.live/RapDetail.aspx?STONELIST=941170655","DNA")</f>
        <v>DNA</v>
      </c>
      <c r="D7123" s="18" t="s">
        <v>5466</v>
      </c>
      <c r="E7123" s="18" t="s">
        <v>5128</v>
      </c>
      <c r="F7123" s="2" t="s">
        <v>7987</v>
      </c>
      <c r="G7123" s="2" t="s">
        <v>5226</v>
      </c>
      <c r="H7123" s="14">
        <v>0.51</v>
      </c>
      <c r="I7123" s="2" t="s">
        <v>267</v>
      </c>
      <c r="J7123" s="2" t="s">
        <v>6555</v>
      </c>
      <c r="K7123" s="2" t="s">
        <v>1452</v>
      </c>
      <c r="L7123" s="2" t="s">
        <v>5221</v>
      </c>
      <c r="M7123" s="2" t="s">
        <v>5721</v>
      </c>
      <c r="N7123" s="2" t="s">
        <v>2317</v>
      </c>
      <c r="O7123" s="14">
        <v>3000</v>
      </c>
      <c r="P7123" s="14">
        <v>93.07</v>
      </c>
      <c r="Q7123" s="14">
        <v>207.9</v>
      </c>
      <c r="R7123" s="14">
        <v>106.03</v>
      </c>
      <c r="S7123" s="2" t="s">
        <v>1517</v>
      </c>
      <c r="T7123" s="2">
        <v>1</v>
      </c>
      <c r="U7123" s="2">
        <v>72.2</v>
      </c>
      <c r="V7123" s="2">
        <v>69</v>
      </c>
      <c r="W7123" s="2" t="s">
        <v>7862</v>
      </c>
      <c r="X7123" s="2" t="s">
        <v>2449</v>
      </c>
      <c r="Y7123" s="2">
        <v>1530</v>
      </c>
      <c r="Z7123" s="19" t="str">
        <f>HYPERLINK("https://ssdweb.co/ssdweb/hd/Vision360.html?d=941170655&amp;zoomslide=1&amp;z=1941170655&amp;ISCONFIRM=0","VIDEO")</f>
        <v>VIDEO</v>
      </c>
      <c r="AA7123" s="19" t="str">
        <f>HYPERLINK("https://ssdweb.co/ssdweb/CERTH/694508373.pdf","CERTI")</f>
        <v>CERTI</v>
      </c>
    </row>
    <row r="7124" spans="1:27" ht="15" x14ac:dyDescent="0.25">
      <c r="A7124" s="2">
        <v>7119</v>
      </c>
      <c r="B7124" s="39">
        <v>941161012</v>
      </c>
      <c r="C7124" s="28" t="str">
        <f>HYPERLINK("https://pld.live/RapDetail.aspx?STONELIST=941161012","DNA")</f>
        <v>DNA</v>
      </c>
      <c r="D7124" s="18" t="s">
        <v>5466</v>
      </c>
      <c r="E7124" s="18" t="s">
        <v>5128</v>
      </c>
      <c r="F7124" s="2" t="s">
        <v>7987</v>
      </c>
      <c r="G7124" s="2" t="s">
        <v>5226</v>
      </c>
      <c r="H7124" s="14">
        <v>0.51</v>
      </c>
      <c r="I7124" s="2" t="s">
        <v>267</v>
      </c>
      <c r="J7124" s="2" t="s">
        <v>6555</v>
      </c>
      <c r="K7124" s="2" t="s">
        <v>1452</v>
      </c>
      <c r="L7124" s="2" t="s">
        <v>5221</v>
      </c>
      <c r="M7124" s="2" t="s">
        <v>5721</v>
      </c>
      <c r="N7124" s="2" t="s">
        <v>2317</v>
      </c>
      <c r="O7124" s="14">
        <v>3000</v>
      </c>
      <c r="P7124" s="14">
        <v>93.07</v>
      </c>
      <c r="Q7124" s="14">
        <v>207.9</v>
      </c>
      <c r="R7124" s="14">
        <v>106.03</v>
      </c>
      <c r="S7124" s="2" t="s">
        <v>3356</v>
      </c>
      <c r="T7124" s="2">
        <v>1.02</v>
      </c>
      <c r="U7124" s="2">
        <v>70</v>
      </c>
      <c r="V7124" s="2">
        <v>72</v>
      </c>
      <c r="W7124" s="2" t="s">
        <v>7862</v>
      </c>
      <c r="X7124" s="2" t="s">
        <v>2449</v>
      </c>
      <c r="Y7124" s="2">
        <v>1530</v>
      </c>
      <c r="Z7124" s="19" t="str">
        <f>HYPERLINK("https://ssdweb.co/ssdweb/hd/Vision360.html?d=941161012&amp;zoomslide=1&amp;z=1941161012&amp;ISCONFIRM=0","VIDEO")</f>
        <v>VIDEO</v>
      </c>
      <c r="AA7124" s="19" t="str">
        <f>HYPERLINK("https://ssdweb.co/ssdweb/CERTH/694508309.pdf","CERTI")</f>
        <v>CERTI</v>
      </c>
    </row>
    <row r="7125" spans="1:27" ht="15" x14ac:dyDescent="0.25">
      <c r="A7125" s="2">
        <v>7120</v>
      </c>
      <c r="B7125" s="39">
        <v>941161020</v>
      </c>
      <c r="C7125" s="28" t="str">
        <f>HYPERLINK("https://pld.live/RapDetail.aspx?STONELIST=941161020","DNA")</f>
        <v>DNA</v>
      </c>
      <c r="D7125" s="18" t="s">
        <v>5466</v>
      </c>
      <c r="E7125" s="18" t="s">
        <v>5128</v>
      </c>
      <c r="F7125" s="2" t="s">
        <v>7987</v>
      </c>
      <c r="G7125" s="2" t="s">
        <v>5226</v>
      </c>
      <c r="H7125" s="14">
        <v>0.51</v>
      </c>
      <c r="I7125" s="2" t="s">
        <v>267</v>
      </c>
      <c r="J7125" s="2" t="s">
        <v>3942</v>
      </c>
      <c r="K7125" s="2" t="s">
        <v>1452</v>
      </c>
      <c r="L7125" s="2" t="s">
        <v>5221</v>
      </c>
      <c r="M7125" s="2" t="s">
        <v>5221</v>
      </c>
      <c r="N7125" s="2" t="s">
        <v>2317</v>
      </c>
      <c r="O7125" s="14">
        <v>2800</v>
      </c>
      <c r="P7125" s="14">
        <v>93.93</v>
      </c>
      <c r="Q7125" s="14">
        <v>169.96</v>
      </c>
      <c r="R7125" s="14">
        <v>86.68</v>
      </c>
      <c r="S7125" s="2" t="s">
        <v>1536</v>
      </c>
      <c r="T7125" s="2">
        <v>1.03</v>
      </c>
      <c r="U7125" s="2">
        <v>72.599999999999994</v>
      </c>
      <c r="V7125" s="2">
        <v>71</v>
      </c>
      <c r="W7125" s="2" t="s">
        <v>7862</v>
      </c>
      <c r="X7125" s="2" t="s">
        <v>2449</v>
      </c>
      <c r="Y7125" s="2">
        <v>1428</v>
      </c>
      <c r="Z7125" s="19" t="str">
        <f>HYPERLINK("https://ssdweb.co/ssdweb/hd/Vision360.html?d=941161020&amp;zoomslide=1&amp;z=1941161020&amp;ISCONFIRM=0","VIDEO")</f>
        <v>VIDEO</v>
      </c>
      <c r="AA7125" s="19" t="str">
        <f>HYPERLINK("https://ssdweb.co/ssdweb/CERTH/694508364.pdf","CERTI")</f>
        <v>CERTI</v>
      </c>
    </row>
    <row r="7126" spans="1:27" ht="15" x14ac:dyDescent="0.25">
      <c r="A7126" s="2">
        <v>7121</v>
      </c>
      <c r="B7126" s="39">
        <v>941170660</v>
      </c>
      <c r="C7126" s="28" t="str">
        <f>HYPERLINK("https://pld.live/RapDetail.aspx?STONELIST=941170660","DNA")</f>
        <v>DNA</v>
      </c>
      <c r="D7126" s="18" t="s">
        <v>5466</v>
      </c>
      <c r="E7126" s="18" t="s">
        <v>5128</v>
      </c>
      <c r="F7126" s="2" t="s">
        <v>7987</v>
      </c>
      <c r="G7126" s="2" t="s">
        <v>5226</v>
      </c>
      <c r="H7126" s="14">
        <v>0.51</v>
      </c>
      <c r="I7126" s="2" t="s">
        <v>267</v>
      </c>
      <c r="J7126" s="2" t="s">
        <v>3942</v>
      </c>
      <c r="K7126" s="2" t="s">
        <v>1452</v>
      </c>
      <c r="L7126" s="2" t="s">
        <v>5221</v>
      </c>
      <c r="M7126" s="2" t="s">
        <v>5221</v>
      </c>
      <c r="N7126" s="2" t="s">
        <v>2317</v>
      </c>
      <c r="O7126" s="14">
        <v>2800</v>
      </c>
      <c r="P7126" s="14">
        <v>93.93</v>
      </c>
      <c r="Q7126" s="14">
        <v>169.96</v>
      </c>
      <c r="R7126" s="14">
        <v>86.68</v>
      </c>
      <c r="S7126" s="2" t="s">
        <v>680</v>
      </c>
      <c r="T7126" s="2">
        <v>1.02</v>
      </c>
      <c r="U7126" s="2">
        <v>72.2</v>
      </c>
      <c r="V7126" s="2">
        <v>67</v>
      </c>
      <c r="W7126" s="2" t="s">
        <v>7862</v>
      </c>
      <c r="X7126" s="2" t="s">
        <v>2449</v>
      </c>
      <c r="Y7126" s="2">
        <v>1428</v>
      </c>
      <c r="Z7126" s="19" t="str">
        <f>HYPERLINK("https://ssdweb.co/ssdweb/hd/Vision360.html?d=941170660&amp;zoomslide=1&amp;z=1941170660&amp;ISCONFIRM=0","VIDEO")</f>
        <v>VIDEO</v>
      </c>
      <c r="AA7126" s="19" t="str">
        <f>HYPERLINK("https://ssdweb.co/ssdweb/CERTH/694508384.pdf","CERTI")</f>
        <v>CERTI</v>
      </c>
    </row>
    <row r="7127" spans="1:27" ht="15" x14ac:dyDescent="0.25">
      <c r="A7127" s="2">
        <v>7122</v>
      </c>
      <c r="B7127" s="39">
        <v>941170662</v>
      </c>
      <c r="C7127" s="28" t="str">
        <f>HYPERLINK("https://pld.live/RapDetail.aspx?STONELIST=941170662","DNA")</f>
        <v>DNA</v>
      </c>
      <c r="D7127" s="18" t="s">
        <v>5466</v>
      </c>
      <c r="E7127" s="18" t="s">
        <v>5128</v>
      </c>
      <c r="F7127" s="2" t="s">
        <v>7987</v>
      </c>
      <c r="G7127" s="2" t="s">
        <v>5226</v>
      </c>
      <c r="H7127" s="14">
        <v>0.51</v>
      </c>
      <c r="I7127" s="2" t="s">
        <v>267</v>
      </c>
      <c r="J7127" s="2" t="s">
        <v>3942</v>
      </c>
      <c r="K7127" s="2" t="s">
        <v>1452</v>
      </c>
      <c r="L7127" s="2" t="s">
        <v>5221</v>
      </c>
      <c r="M7127" s="2" t="s">
        <v>5221</v>
      </c>
      <c r="N7127" s="2" t="s">
        <v>2317</v>
      </c>
      <c r="O7127" s="14">
        <v>2800</v>
      </c>
      <c r="P7127" s="14">
        <v>93.93</v>
      </c>
      <c r="Q7127" s="14">
        <v>169.96</v>
      </c>
      <c r="R7127" s="14">
        <v>86.68</v>
      </c>
      <c r="S7127" s="2" t="s">
        <v>7814</v>
      </c>
      <c r="T7127" s="2">
        <v>1.02</v>
      </c>
      <c r="U7127" s="2">
        <v>71.2</v>
      </c>
      <c r="V7127" s="2">
        <v>69</v>
      </c>
      <c r="W7127" s="2" t="s">
        <v>7862</v>
      </c>
      <c r="X7127" s="2" t="s">
        <v>2449</v>
      </c>
      <c r="Y7127" s="2">
        <v>1428</v>
      </c>
      <c r="Z7127" s="19" t="str">
        <f>HYPERLINK("https://ssdweb.co/ssdweb/hd/Vision360.html?d=941170662&amp;zoomslide=1&amp;z=1941170662&amp;ISCONFIRM=0","VIDEO")</f>
        <v>VIDEO</v>
      </c>
      <c r="AA7127" s="19" t="str">
        <f>HYPERLINK("https://ssdweb.co/ssdweb/CERTH/694508385.pdf","CERTI")</f>
        <v>CERTI</v>
      </c>
    </row>
    <row r="7128" spans="1:27" ht="15" x14ac:dyDescent="0.25">
      <c r="A7128" s="2">
        <v>7123</v>
      </c>
      <c r="B7128" s="39">
        <v>941170652</v>
      </c>
      <c r="C7128" s="28" t="str">
        <f>HYPERLINK("https://pld.live/RapDetail.aspx?STONELIST=941170652","DNA")</f>
        <v>DNA</v>
      </c>
      <c r="D7128" s="18" t="s">
        <v>5466</v>
      </c>
      <c r="E7128" s="18" t="s">
        <v>5128</v>
      </c>
      <c r="F7128" s="2" t="s">
        <v>7987</v>
      </c>
      <c r="G7128" s="2" t="s">
        <v>5226</v>
      </c>
      <c r="H7128" s="14">
        <v>0.51</v>
      </c>
      <c r="I7128" s="2" t="s">
        <v>267</v>
      </c>
      <c r="J7128" s="2" t="s">
        <v>3942</v>
      </c>
      <c r="K7128" s="2" t="s">
        <v>1452</v>
      </c>
      <c r="L7128" s="2" t="s">
        <v>5221</v>
      </c>
      <c r="M7128" s="2" t="s">
        <v>5721</v>
      </c>
      <c r="N7128" s="2" t="s">
        <v>2317</v>
      </c>
      <c r="O7128" s="14">
        <v>2800</v>
      </c>
      <c r="P7128" s="14">
        <v>94</v>
      </c>
      <c r="Q7128" s="14">
        <v>168</v>
      </c>
      <c r="R7128" s="14">
        <v>85.68</v>
      </c>
      <c r="S7128" s="2" t="s">
        <v>4158</v>
      </c>
      <c r="T7128" s="2">
        <v>1.01</v>
      </c>
      <c r="U7128" s="2">
        <v>71.3</v>
      </c>
      <c r="V7128" s="2">
        <v>71</v>
      </c>
      <c r="W7128" s="2" t="s">
        <v>7862</v>
      </c>
      <c r="X7128" s="2" t="s">
        <v>2449</v>
      </c>
      <c r="Y7128" s="2">
        <v>1428</v>
      </c>
      <c r="Z7128" s="19" t="str">
        <f>HYPERLINK("https://ssdweb.co/ssdweb/hd/Vision360.html?d=941170652&amp;zoomslide=1&amp;z=1941170652&amp;ISCONFIRM=0","VIDEO")</f>
        <v>VIDEO</v>
      </c>
      <c r="AA7128" s="19" t="str">
        <f>HYPERLINK("https://ssdweb.co/ssdweb/CERTH/694508372.pdf","CERTI")</f>
        <v>CERTI</v>
      </c>
    </row>
    <row r="7129" spans="1:27" ht="15" x14ac:dyDescent="0.25">
      <c r="A7129" s="2">
        <v>7124</v>
      </c>
      <c r="B7129" s="39">
        <v>941161004</v>
      </c>
      <c r="C7129" s="28" t="str">
        <f>HYPERLINK("https://pld.live/RapDetail.aspx?STONELIST=941161004","DNA")</f>
        <v>DNA</v>
      </c>
      <c r="D7129" s="18" t="s">
        <v>5466</v>
      </c>
      <c r="E7129" s="18" t="s">
        <v>5128</v>
      </c>
      <c r="F7129" s="2" t="s">
        <v>7987</v>
      </c>
      <c r="G7129" s="2" t="s">
        <v>5226</v>
      </c>
      <c r="H7129" s="14">
        <v>0.51</v>
      </c>
      <c r="I7129" s="2" t="s">
        <v>267</v>
      </c>
      <c r="J7129" s="2" t="s">
        <v>13</v>
      </c>
      <c r="K7129" s="2" t="s">
        <v>1452</v>
      </c>
      <c r="L7129" s="2" t="s">
        <v>5221</v>
      </c>
      <c r="M7129" s="2" t="s">
        <v>5721</v>
      </c>
      <c r="N7129" s="2" t="s">
        <v>2317</v>
      </c>
      <c r="O7129" s="14">
        <v>2600</v>
      </c>
      <c r="P7129" s="14">
        <v>93.92</v>
      </c>
      <c r="Q7129" s="14">
        <v>158.08000000000001</v>
      </c>
      <c r="R7129" s="14">
        <v>80.62</v>
      </c>
      <c r="S7129" s="2" t="s">
        <v>4742</v>
      </c>
      <c r="T7129" s="2">
        <v>1.02</v>
      </c>
      <c r="U7129" s="2">
        <v>69.8</v>
      </c>
      <c r="V7129" s="2">
        <v>70</v>
      </c>
      <c r="W7129" s="2" t="s">
        <v>7862</v>
      </c>
      <c r="X7129" s="2" t="s">
        <v>2449</v>
      </c>
      <c r="Y7129" s="2">
        <v>1326</v>
      </c>
      <c r="Z7129" s="19" t="str">
        <f>HYPERLINK("https://ssdweb.co/ssdweb/hd/Vision360.html?d=941161004&amp;zoomslide=1&amp;z=1941161004&amp;ISCONFIRM=0","VIDEO")</f>
        <v>VIDEO</v>
      </c>
      <c r="AA7129" s="19" t="str">
        <f>HYPERLINK("https://ssdweb.co/ssdweb/CERTH/694508304.pdf","CERTI")</f>
        <v>CERTI</v>
      </c>
    </row>
    <row r="7130" spans="1:27" ht="15" x14ac:dyDescent="0.25">
      <c r="A7130" s="2">
        <v>7125</v>
      </c>
      <c r="B7130" s="39">
        <v>941161034</v>
      </c>
      <c r="C7130" s="28" t="str">
        <f>HYPERLINK("https://pld.live/RapDetail.aspx?STONELIST=941161034","DNA")</f>
        <v>DNA</v>
      </c>
      <c r="D7130" s="18" t="s">
        <v>5466</v>
      </c>
      <c r="E7130" s="18" t="s">
        <v>5128</v>
      </c>
      <c r="F7130" s="2" t="s">
        <v>7987</v>
      </c>
      <c r="G7130" s="2" t="s">
        <v>5226</v>
      </c>
      <c r="H7130" s="14">
        <v>0.51</v>
      </c>
      <c r="I7130" s="2" t="s">
        <v>4761</v>
      </c>
      <c r="J7130" s="2" t="s">
        <v>3942</v>
      </c>
      <c r="K7130" s="2" t="s">
        <v>1452</v>
      </c>
      <c r="L7130" s="2" t="s">
        <v>5221</v>
      </c>
      <c r="M7130" s="2" t="s">
        <v>5221</v>
      </c>
      <c r="N7130" s="2" t="s">
        <v>2317</v>
      </c>
      <c r="O7130" s="14">
        <v>2600</v>
      </c>
      <c r="P7130" s="14">
        <v>93.58</v>
      </c>
      <c r="Q7130" s="14">
        <v>166.92</v>
      </c>
      <c r="R7130" s="14">
        <v>85.13</v>
      </c>
      <c r="S7130" s="2" t="s">
        <v>3391</v>
      </c>
      <c r="T7130" s="2">
        <v>1.01</v>
      </c>
      <c r="U7130" s="2">
        <v>71.3</v>
      </c>
      <c r="V7130" s="2">
        <v>69</v>
      </c>
      <c r="W7130" s="2" t="s">
        <v>7862</v>
      </c>
      <c r="X7130" s="2" t="s">
        <v>2449</v>
      </c>
      <c r="Y7130" s="2">
        <v>1326</v>
      </c>
      <c r="Z7130" s="19" t="str">
        <f>HYPERLINK("https://ssdweb.co/ssdweb/hd/Vision360.html?d=941161034&amp;zoomslide=1&amp;z=1941161034&amp;ISCONFIRM=0","VIDEO")</f>
        <v>VIDEO</v>
      </c>
      <c r="AA7130" s="19" t="str">
        <f>HYPERLINK("https://ssdweb.co/ssdweb/CERTH/694508368.pdf","CERTI")</f>
        <v>CERTI</v>
      </c>
    </row>
    <row r="7131" spans="1:27" ht="15" x14ac:dyDescent="0.25">
      <c r="A7131" s="2">
        <v>7126</v>
      </c>
      <c r="B7131" s="39">
        <v>941161037</v>
      </c>
      <c r="C7131" s="28" t="str">
        <f>HYPERLINK("https://pld.live/RapDetail.aspx?STONELIST=941161037","DNA")</f>
        <v>DNA</v>
      </c>
      <c r="D7131" s="18" t="s">
        <v>5466</v>
      </c>
      <c r="E7131" s="18" t="s">
        <v>5128</v>
      </c>
      <c r="F7131" s="2" t="s">
        <v>7987</v>
      </c>
      <c r="G7131" s="2" t="s">
        <v>5226</v>
      </c>
      <c r="H7131" s="14">
        <v>0.51</v>
      </c>
      <c r="I7131" s="2" t="s">
        <v>4761</v>
      </c>
      <c r="J7131" s="2" t="s">
        <v>3942</v>
      </c>
      <c r="K7131" s="2" t="s">
        <v>1452</v>
      </c>
      <c r="L7131" s="2" t="s">
        <v>5221</v>
      </c>
      <c r="M7131" s="2" t="s">
        <v>5721</v>
      </c>
      <c r="N7131" s="2" t="s">
        <v>2317</v>
      </c>
      <c r="O7131" s="14">
        <v>2600</v>
      </c>
      <c r="P7131" s="14">
        <v>93.65</v>
      </c>
      <c r="Q7131" s="14">
        <v>165.1</v>
      </c>
      <c r="R7131" s="14">
        <v>84.2</v>
      </c>
      <c r="S7131" s="2" t="s">
        <v>4348</v>
      </c>
      <c r="T7131" s="2">
        <v>1</v>
      </c>
      <c r="U7131" s="2">
        <v>72.8</v>
      </c>
      <c r="V7131" s="2">
        <v>67</v>
      </c>
      <c r="W7131" s="2" t="s">
        <v>7862</v>
      </c>
      <c r="X7131" s="2" t="s">
        <v>2449</v>
      </c>
      <c r="Y7131" s="2">
        <v>1326</v>
      </c>
      <c r="Z7131" s="19" t="str">
        <f>HYPERLINK("https://ssdweb.co/ssdweb/hd/Vision360.html?d=941161037&amp;zoomslide=1&amp;z=1941161037&amp;ISCONFIRM=0","VIDEO")</f>
        <v>VIDEO</v>
      </c>
      <c r="AA7131" s="19" t="str">
        <f>HYPERLINK("https://ssdweb.co/ssdweb/CERTH/694508370.pdf","CERTI")</f>
        <v>CERTI</v>
      </c>
    </row>
    <row r="7132" spans="1:27" ht="15" x14ac:dyDescent="0.25">
      <c r="A7132" s="2">
        <v>7127</v>
      </c>
      <c r="B7132" s="39">
        <v>941161018</v>
      </c>
      <c r="C7132" s="28" t="str">
        <f>HYPERLINK("https://pld.live/RapDetail.aspx?STONELIST=941161018","DNA")</f>
        <v>DNA</v>
      </c>
      <c r="D7132" s="18" t="s">
        <v>5466</v>
      </c>
      <c r="E7132" s="18" t="s">
        <v>5128</v>
      </c>
      <c r="F7132" s="2" t="s">
        <v>7987</v>
      </c>
      <c r="G7132" s="2" t="s">
        <v>5226</v>
      </c>
      <c r="H7132" s="14">
        <v>0.51</v>
      </c>
      <c r="I7132" s="2" t="s">
        <v>4761</v>
      </c>
      <c r="J7132" s="2" t="s">
        <v>3942</v>
      </c>
      <c r="K7132" s="2" t="s">
        <v>1452</v>
      </c>
      <c r="L7132" s="2" t="s">
        <v>5221</v>
      </c>
      <c r="M7132" s="2" t="s">
        <v>5721</v>
      </c>
      <c r="N7132" s="2" t="s">
        <v>2317</v>
      </c>
      <c r="O7132" s="14">
        <v>2600</v>
      </c>
      <c r="P7132" s="14">
        <v>93.65</v>
      </c>
      <c r="Q7132" s="14">
        <v>165.1</v>
      </c>
      <c r="R7132" s="14">
        <v>84.2</v>
      </c>
      <c r="S7132" s="2" t="s">
        <v>2947</v>
      </c>
      <c r="T7132" s="2">
        <v>1.02</v>
      </c>
      <c r="U7132" s="2">
        <v>70.599999999999994</v>
      </c>
      <c r="V7132" s="2">
        <v>70</v>
      </c>
      <c r="W7132" s="2" t="s">
        <v>7862</v>
      </c>
      <c r="X7132" s="2" t="s">
        <v>2449</v>
      </c>
      <c r="Y7132" s="2">
        <v>1326</v>
      </c>
      <c r="Z7132" s="19" t="str">
        <f>HYPERLINK("https://ssdweb.co/ssdweb/hd/Vision360.html?d=941161018&amp;zoomslide=1&amp;z=1941161018&amp;ISCONFIRM=0","VIDEO")</f>
        <v>VIDEO</v>
      </c>
      <c r="AA7132" s="19" t="str">
        <f>HYPERLINK("https://ssdweb.co/ssdweb/CERTH/694508312.pdf","CERTI")</f>
        <v>CERTI</v>
      </c>
    </row>
    <row r="7133" spans="1:27" ht="15" x14ac:dyDescent="0.25">
      <c r="A7133" s="2">
        <v>7128</v>
      </c>
      <c r="B7133" s="39">
        <v>941150207</v>
      </c>
      <c r="C7133" s="28" t="str">
        <f>HYPERLINK("https://pld.live/RapDetail.aspx?STONELIST=941150207","DNA")</f>
        <v>DNA</v>
      </c>
      <c r="D7133" s="18" t="s">
        <v>5466</v>
      </c>
      <c r="E7133" s="18" t="s">
        <v>2186</v>
      </c>
      <c r="F7133" s="2" t="s">
        <v>7987</v>
      </c>
      <c r="G7133" s="2" t="s">
        <v>5226</v>
      </c>
      <c r="H7133" s="14">
        <v>0.51</v>
      </c>
      <c r="I7133" s="2" t="s">
        <v>4761</v>
      </c>
      <c r="J7133" s="2" t="s">
        <v>13</v>
      </c>
      <c r="K7133" s="2" t="s">
        <v>1452</v>
      </c>
      <c r="L7133" s="2" t="s">
        <v>5221</v>
      </c>
      <c r="M7133" s="2" t="s">
        <v>5721</v>
      </c>
      <c r="N7133" s="2" t="s">
        <v>2317</v>
      </c>
      <c r="O7133" s="14">
        <v>2500</v>
      </c>
      <c r="P7133" s="14">
        <v>93.88</v>
      </c>
      <c r="Q7133" s="14">
        <v>153</v>
      </c>
      <c r="R7133" s="14">
        <v>78.03</v>
      </c>
      <c r="S7133" s="2" t="s">
        <v>5604</v>
      </c>
      <c r="T7133" s="2">
        <v>1.03</v>
      </c>
      <c r="U7133" s="2">
        <v>70.7</v>
      </c>
      <c r="V7133" s="2">
        <v>67</v>
      </c>
      <c r="W7133" s="2" t="s">
        <v>7862</v>
      </c>
      <c r="X7133" s="2" t="s">
        <v>2449</v>
      </c>
      <c r="Y7133" s="2">
        <v>1275</v>
      </c>
      <c r="Z7133" s="19" t="str">
        <f>HYPERLINK("https://ssdweb.co/ssdweb/hd/Vision360.html?d=941150207&amp;zoomslide=1&amp;z=1941150207&amp;ISCONFIRM=0","VIDEO")</f>
        <v>VIDEO</v>
      </c>
      <c r="AA7133" s="19" t="str">
        <f>HYPERLINK("https://ssdweb.co/ssdweb/CERTH/681569586.pdf","CERTI")</f>
        <v>CERTI</v>
      </c>
    </row>
    <row r="7134" spans="1:27" ht="15" x14ac:dyDescent="0.25">
      <c r="A7134" s="2">
        <v>7129</v>
      </c>
      <c r="B7134" s="39">
        <v>941161009</v>
      </c>
      <c r="C7134" s="28" t="str">
        <f>HYPERLINK("https://pld.live/RapDetail.aspx?STONELIST=941161009","DNA")</f>
        <v>DNA</v>
      </c>
      <c r="D7134" s="18" t="s">
        <v>5466</v>
      </c>
      <c r="E7134" s="18" t="s">
        <v>5128</v>
      </c>
      <c r="F7134" s="2" t="s">
        <v>7987</v>
      </c>
      <c r="G7134" s="2" t="s">
        <v>5226</v>
      </c>
      <c r="H7134" s="14">
        <v>0.51</v>
      </c>
      <c r="I7134" s="2" t="s">
        <v>4761</v>
      </c>
      <c r="J7134" s="2" t="s">
        <v>13</v>
      </c>
      <c r="K7134" s="2" t="s">
        <v>1452</v>
      </c>
      <c r="L7134" s="2" t="s">
        <v>5221</v>
      </c>
      <c r="M7134" s="2" t="s">
        <v>5721</v>
      </c>
      <c r="N7134" s="2" t="s">
        <v>2317</v>
      </c>
      <c r="O7134" s="14">
        <v>2500</v>
      </c>
      <c r="P7134" s="14">
        <v>93.88</v>
      </c>
      <c r="Q7134" s="14">
        <v>153</v>
      </c>
      <c r="R7134" s="14">
        <v>78.03</v>
      </c>
      <c r="S7134" s="2" t="s">
        <v>5671</v>
      </c>
      <c r="T7134" s="2">
        <v>1</v>
      </c>
      <c r="U7134" s="2">
        <v>70.8</v>
      </c>
      <c r="V7134" s="2">
        <v>70</v>
      </c>
      <c r="W7134" s="2" t="s">
        <v>7862</v>
      </c>
      <c r="X7134" s="2" t="s">
        <v>2449</v>
      </c>
      <c r="Y7134" s="2">
        <v>1275</v>
      </c>
      <c r="Z7134" s="19" t="str">
        <f>HYPERLINK("https://ssdweb.co/ssdweb/hd/Vision360.html?d=941161009&amp;zoomslide=1&amp;z=1941161009&amp;ISCONFIRM=0","VIDEO")</f>
        <v>VIDEO</v>
      </c>
      <c r="AA7134" s="19" t="str">
        <f>HYPERLINK("https://ssdweb.co/ssdweb/CERTH/694508307.pdf","CERTI")</f>
        <v>CERTI</v>
      </c>
    </row>
    <row r="7135" spans="1:27" ht="15" x14ac:dyDescent="0.25">
      <c r="A7135" s="2">
        <v>7130</v>
      </c>
      <c r="B7135" s="39">
        <v>941170469</v>
      </c>
      <c r="C7135" s="28" t="str">
        <f>HYPERLINK("https://pld.live/RapDetail.aspx?STONELIST=941170469","DNA")</f>
        <v>DNA</v>
      </c>
      <c r="D7135" s="18" t="s">
        <v>5466</v>
      </c>
      <c r="E7135" s="18" t="s">
        <v>5128</v>
      </c>
      <c r="F7135" s="2" t="s">
        <v>7987</v>
      </c>
      <c r="G7135" s="2" t="s">
        <v>5226</v>
      </c>
      <c r="H7135" s="14">
        <v>0.5</v>
      </c>
      <c r="I7135" s="2" t="s">
        <v>267</v>
      </c>
      <c r="J7135" s="2" t="s">
        <v>6555</v>
      </c>
      <c r="K7135" s="2" t="s">
        <v>1452</v>
      </c>
      <c r="L7135" s="2" t="s">
        <v>5221</v>
      </c>
      <c r="M7135" s="2" t="s">
        <v>5221</v>
      </c>
      <c r="N7135" s="2" t="s">
        <v>2317</v>
      </c>
      <c r="O7135" s="14">
        <v>3000</v>
      </c>
      <c r="P7135" s="14">
        <v>93</v>
      </c>
      <c r="Q7135" s="14">
        <v>210</v>
      </c>
      <c r="R7135" s="14">
        <v>105</v>
      </c>
      <c r="S7135" s="2" t="s">
        <v>1472</v>
      </c>
      <c r="T7135" s="2">
        <v>1.02</v>
      </c>
      <c r="U7135" s="2">
        <v>70.7</v>
      </c>
      <c r="V7135" s="2">
        <v>67</v>
      </c>
      <c r="W7135" s="2" t="s">
        <v>7862</v>
      </c>
      <c r="X7135" s="2" t="s">
        <v>2449</v>
      </c>
      <c r="Y7135" s="2">
        <v>1500</v>
      </c>
      <c r="Z7135" s="19" t="str">
        <f>HYPERLINK("https://ssdweb.co/ssdweb/hd/Vision360.html?d=941170469&amp;zoomslide=1&amp;z=1941170469&amp;ISCONFIRM=0","VIDEO")</f>
        <v>VIDEO</v>
      </c>
      <c r="AA7135" s="19" t="str">
        <f>HYPERLINK("https://ssdweb.co/ssdweb/CERTH/680505054.pdf","CERTI")</f>
        <v>CERTI</v>
      </c>
    </row>
    <row r="7136" spans="1:27" ht="15" x14ac:dyDescent="0.25">
      <c r="A7136" s="2">
        <v>7131</v>
      </c>
      <c r="B7136" s="39">
        <v>941161008</v>
      </c>
      <c r="C7136" s="28" t="str">
        <f>HYPERLINK("https://pld.live/RapDetail.aspx?STONELIST=941161008","DNA")</f>
        <v>DNA</v>
      </c>
      <c r="D7136" s="18" t="s">
        <v>5466</v>
      </c>
      <c r="E7136" s="18" t="s">
        <v>5128</v>
      </c>
      <c r="F7136" s="2" t="s">
        <v>7987</v>
      </c>
      <c r="G7136" s="2" t="s">
        <v>5226</v>
      </c>
      <c r="H7136" s="14">
        <v>0.5</v>
      </c>
      <c r="I7136" s="2" t="s">
        <v>267</v>
      </c>
      <c r="J7136" s="2" t="s">
        <v>6555</v>
      </c>
      <c r="K7136" s="2" t="s">
        <v>1452</v>
      </c>
      <c r="L7136" s="2" t="s">
        <v>5221</v>
      </c>
      <c r="M7136" s="2" t="s">
        <v>5221</v>
      </c>
      <c r="N7136" s="2" t="s">
        <v>2317</v>
      </c>
      <c r="O7136" s="14">
        <v>3000</v>
      </c>
      <c r="P7136" s="14">
        <v>93</v>
      </c>
      <c r="Q7136" s="14">
        <v>210</v>
      </c>
      <c r="R7136" s="14">
        <v>105</v>
      </c>
      <c r="S7136" s="2" t="s">
        <v>2102</v>
      </c>
      <c r="T7136" s="2">
        <v>1</v>
      </c>
      <c r="U7136" s="2">
        <v>72.3</v>
      </c>
      <c r="V7136" s="2">
        <v>71</v>
      </c>
      <c r="W7136" s="2" t="s">
        <v>7862</v>
      </c>
      <c r="X7136" s="2" t="s">
        <v>2449</v>
      </c>
      <c r="Y7136" s="2">
        <v>1500</v>
      </c>
      <c r="Z7136" s="19" t="str">
        <f>HYPERLINK("https://ssdweb.co/ssdweb/hd/Vision360.html?d=941161008&amp;zoomslide=1&amp;z=1941161008&amp;ISCONFIRM=0","VIDEO")</f>
        <v>VIDEO</v>
      </c>
      <c r="AA7136" s="19" t="str">
        <f>HYPERLINK("https://ssdweb.co/ssdweb/CERTH/694508306.pdf","CERTI")</f>
        <v>CERTI</v>
      </c>
    </row>
    <row r="7137" spans="1:27" ht="15" x14ac:dyDescent="0.25">
      <c r="A7137" s="2">
        <v>7132</v>
      </c>
      <c r="B7137" s="39">
        <v>927132490</v>
      </c>
      <c r="C7137" s="28" t="str">
        <f>HYPERLINK("https://pld.live/RapDetail.aspx?STONELIST=927132490","DNA")</f>
        <v>DNA</v>
      </c>
      <c r="D7137" s="18" t="s">
        <v>5466</v>
      </c>
      <c r="E7137" s="18" t="s">
        <v>5128</v>
      </c>
      <c r="F7137" s="2" t="s">
        <v>7987</v>
      </c>
      <c r="G7137" s="2" t="s">
        <v>5226</v>
      </c>
      <c r="H7137" s="14">
        <v>0.5</v>
      </c>
      <c r="I7137" s="2" t="s">
        <v>267</v>
      </c>
      <c r="J7137" s="2" t="s">
        <v>6555</v>
      </c>
      <c r="K7137" s="2" t="s">
        <v>1452</v>
      </c>
      <c r="L7137" s="2" t="s">
        <v>5221</v>
      </c>
      <c r="M7137" s="2" t="s">
        <v>5221</v>
      </c>
      <c r="N7137" s="2" t="s">
        <v>2317</v>
      </c>
      <c r="O7137" s="14">
        <v>3000</v>
      </c>
      <c r="P7137" s="14">
        <v>93</v>
      </c>
      <c r="Q7137" s="14">
        <v>210</v>
      </c>
      <c r="R7137" s="14">
        <v>105</v>
      </c>
      <c r="S7137" s="2" t="s">
        <v>975</v>
      </c>
      <c r="T7137" s="2">
        <v>1.01</v>
      </c>
      <c r="U7137" s="2">
        <v>73</v>
      </c>
      <c r="V7137" s="2">
        <v>67</v>
      </c>
      <c r="W7137" s="2" t="s">
        <v>7862</v>
      </c>
      <c r="X7137" s="2" t="s">
        <v>2449</v>
      </c>
      <c r="Y7137" s="2">
        <v>1500</v>
      </c>
      <c r="Z7137" s="19" t="str">
        <f>HYPERLINK("https://ssdweb.co/ssdweb/hd/Vision360.html?d=927132490&amp;zoomslide=1&amp;z=1927132490&amp;ISCONFIRM=0","VIDEO")</f>
        <v>VIDEO</v>
      </c>
      <c r="AA7137" s="19" t="str">
        <f>HYPERLINK("https://ssdweb.co/ssdweb/CERTH/674543035.pdf","CERTI")</f>
        <v>CERTI</v>
      </c>
    </row>
    <row r="7138" spans="1:27" ht="15" x14ac:dyDescent="0.25">
      <c r="A7138" s="2">
        <v>7133</v>
      </c>
      <c r="B7138" s="39">
        <v>941161021</v>
      </c>
      <c r="C7138" s="28" t="str">
        <f>HYPERLINK("https://pld.live/RapDetail.aspx?STONELIST=941161021","DNA")</f>
        <v>DNA</v>
      </c>
      <c r="D7138" s="18" t="s">
        <v>5466</v>
      </c>
      <c r="E7138" s="18" t="s">
        <v>5128</v>
      </c>
      <c r="F7138" s="2" t="s">
        <v>7987</v>
      </c>
      <c r="G7138" s="2" t="s">
        <v>5226</v>
      </c>
      <c r="H7138" s="14">
        <v>0.5</v>
      </c>
      <c r="I7138" s="2" t="s">
        <v>267</v>
      </c>
      <c r="J7138" s="2" t="s">
        <v>3942</v>
      </c>
      <c r="K7138" s="2" t="s">
        <v>1452</v>
      </c>
      <c r="L7138" s="2" t="s">
        <v>5221</v>
      </c>
      <c r="M7138" s="2" t="s">
        <v>5721</v>
      </c>
      <c r="N7138" s="2" t="s">
        <v>2317</v>
      </c>
      <c r="O7138" s="14">
        <v>2800</v>
      </c>
      <c r="P7138" s="14">
        <v>94</v>
      </c>
      <c r="Q7138" s="14">
        <v>168</v>
      </c>
      <c r="R7138" s="14">
        <v>84</v>
      </c>
      <c r="S7138" s="2" t="s">
        <v>6720</v>
      </c>
      <c r="T7138" s="2">
        <v>1.01</v>
      </c>
      <c r="U7138" s="2">
        <v>70.5</v>
      </c>
      <c r="V7138" s="2">
        <v>71</v>
      </c>
      <c r="W7138" s="2" t="s">
        <v>7862</v>
      </c>
      <c r="X7138" s="2" t="s">
        <v>2449</v>
      </c>
      <c r="Y7138" s="2">
        <v>1400</v>
      </c>
      <c r="Z7138" s="19" t="str">
        <f>HYPERLINK("https://ssdweb.co/ssdweb/hd/Vision360.html?d=941161021&amp;zoomslide=1&amp;z=1941161021&amp;ISCONFIRM=0","VIDEO")</f>
        <v>VIDEO</v>
      </c>
      <c r="AA7138" s="19" t="str">
        <f>HYPERLINK("https://ssdweb.co/ssdweb/CERTH/694508365.pdf","CERTI")</f>
        <v>CERTI</v>
      </c>
    </row>
    <row r="7139" spans="1:27" ht="15" x14ac:dyDescent="0.25">
      <c r="A7139" s="2">
        <v>7134</v>
      </c>
      <c r="B7139" s="39">
        <v>941161014</v>
      </c>
      <c r="C7139" s="28" t="str">
        <f>HYPERLINK("https://pld.live/RapDetail.aspx?STONELIST=941161014","DNA")</f>
        <v>DNA</v>
      </c>
      <c r="D7139" s="18" t="s">
        <v>5466</v>
      </c>
      <c r="E7139" s="18" t="s">
        <v>5128</v>
      </c>
      <c r="F7139" s="2" t="s">
        <v>7987</v>
      </c>
      <c r="G7139" s="2" t="s">
        <v>5226</v>
      </c>
      <c r="H7139" s="14">
        <v>0.5</v>
      </c>
      <c r="I7139" s="2" t="s">
        <v>267</v>
      </c>
      <c r="J7139" s="2" t="s">
        <v>3942</v>
      </c>
      <c r="K7139" s="2" t="s">
        <v>1452</v>
      </c>
      <c r="L7139" s="2" t="s">
        <v>5221</v>
      </c>
      <c r="M7139" s="2" t="s">
        <v>5721</v>
      </c>
      <c r="N7139" s="2" t="s">
        <v>2317</v>
      </c>
      <c r="O7139" s="14">
        <v>2800</v>
      </c>
      <c r="P7139" s="14">
        <v>94</v>
      </c>
      <c r="Q7139" s="14">
        <v>168</v>
      </c>
      <c r="R7139" s="14">
        <v>84</v>
      </c>
      <c r="S7139" s="2" t="s">
        <v>4111</v>
      </c>
      <c r="T7139" s="2">
        <v>1.01</v>
      </c>
      <c r="U7139" s="2">
        <v>70.5</v>
      </c>
      <c r="V7139" s="2">
        <v>70</v>
      </c>
      <c r="W7139" s="2" t="s">
        <v>7862</v>
      </c>
      <c r="X7139" s="2" t="s">
        <v>2449</v>
      </c>
      <c r="Y7139" s="2">
        <v>1400</v>
      </c>
      <c r="Z7139" s="19" t="str">
        <f>HYPERLINK("https://ssdweb.co/ssdweb/hd/Vision360.html?d=941161014&amp;zoomslide=1&amp;z=1941161014&amp;ISCONFIRM=0","VIDEO")</f>
        <v>VIDEO</v>
      </c>
      <c r="AA7139" s="19" t="str">
        <f>HYPERLINK("https://ssdweb.co/ssdweb/CERTH/694508310.pdf","CERTI")</f>
        <v>CERTI</v>
      </c>
    </row>
    <row r="7140" spans="1:27" ht="15" x14ac:dyDescent="0.25">
      <c r="A7140" s="2">
        <v>7135</v>
      </c>
      <c r="B7140" s="39">
        <v>941161010</v>
      </c>
      <c r="C7140" s="28" t="str">
        <f>HYPERLINK("https://pld.live/RapDetail.aspx?STONELIST=941161010","DNA")</f>
        <v>DNA</v>
      </c>
      <c r="D7140" s="18" t="s">
        <v>5466</v>
      </c>
      <c r="E7140" s="18" t="s">
        <v>5128</v>
      </c>
      <c r="F7140" s="2" t="s">
        <v>7987</v>
      </c>
      <c r="G7140" s="2" t="s">
        <v>5226</v>
      </c>
      <c r="H7140" s="14">
        <v>0.5</v>
      </c>
      <c r="I7140" s="2" t="s">
        <v>267</v>
      </c>
      <c r="J7140" s="2" t="s">
        <v>13</v>
      </c>
      <c r="K7140" s="2" t="s">
        <v>1452</v>
      </c>
      <c r="L7140" s="2" t="s">
        <v>5221</v>
      </c>
      <c r="M7140" s="2" t="s">
        <v>5221</v>
      </c>
      <c r="N7140" s="2" t="s">
        <v>2317</v>
      </c>
      <c r="O7140" s="14">
        <v>2600</v>
      </c>
      <c r="P7140" s="14">
        <v>93.85</v>
      </c>
      <c r="Q7140" s="14">
        <v>159.9</v>
      </c>
      <c r="R7140" s="14">
        <v>79.95</v>
      </c>
      <c r="S7140" s="2" t="s">
        <v>4769</v>
      </c>
      <c r="T7140" s="2">
        <v>1.03</v>
      </c>
      <c r="U7140" s="2">
        <v>72.2</v>
      </c>
      <c r="V7140" s="2">
        <v>68</v>
      </c>
      <c r="W7140" s="2" t="s">
        <v>7862</v>
      </c>
      <c r="X7140" s="2" t="s">
        <v>2449</v>
      </c>
      <c r="Y7140" s="2">
        <v>1300</v>
      </c>
      <c r="Z7140" s="19" t="str">
        <f>HYPERLINK("https://ssdweb.co/ssdweb/hd/Vision360.html?d=941161010&amp;zoomslide=1&amp;z=1941161010&amp;ISCONFIRM=0","VIDEO")</f>
        <v>VIDEO</v>
      </c>
      <c r="AA7140" s="19" t="str">
        <f>HYPERLINK("https://ssdweb.co/ssdweb/CERTH/694508308.pdf","CERTI")</f>
        <v>CERTI</v>
      </c>
    </row>
    <row r="7141" spans="1:27" ht="15" x14ac:dyDescent="0.25">
      <c r="A7141" s="2">
        <v>7136</v>
      </c>
      <c r="B7141" s="39">
        <v>941140979</v>
      </c>
      <c r="C7141" s="28" t="str">
        <f>HYPERLINK("https://pld.live/RapDetail.aspx?STONELIST=941140979","DNA")</f>
        <v>DNA</v>
      </c>
      <c r="D7141" s="18" t="s">
        <v>5466</v>
      </c>
      <c r="E7141" s="18" t="s">
        <v>5128</v>
      </c>
      <c r="F7141" s="2" t="s">
        <v>7987</v>
      </c>
      <c r="G7141" s="2" t="s">
        <v>5226</v>
      </c>
      <c r="H7141" s="14">
        <v>0.5</v>
      </c>
      <c r="I7141" s="2" t="s">
        <v>4761</v>
      </c>
      <c r="J7141" s="2" t="s">
        <v>3942</v>
      </c>
      <c r="K7141" s="2" t="s">
        <v>1452</v>
      </c>
      <c r="L7141" s="2" t="s">
        <v>5221</v>
      </c>
      <c r="M7141" s="2" t="s">
        <v>5721</v>
      </c>
      <c r="N7141" s="2" t="s">
        <v>2317</v>
      </c>
      <c r="O7141" s="14">
        <v>2600</v>
      </c>
      <c r="P7141" s="14">
        <v>93.65</v>
      </c>
      <c r="Q7141" s="14">
        <v>165.1</v>
      </c>
      <c r="R7141" s="14">
        <v>82.55</v>
      </c>
      <c r="S7141" s="2" t="s">
        <v>1514</v>
      </c>
      <c r="T7141" s="2">
        <v>1</v>
      </c>
      <c r="U7141" s="2">
        <v>72.5</v>
      </c>
      <c r="V7141" s="2">
        <v>68</v>
      </c>
      <c r="W7141" s="2" t="s">
        <v>7862</v>
      </c>
      <c r="X7141" s="2" t="s">
        <v>2449</v>
      </c>
      <c r="Y7141" s="2">
        <v>1300</v>
      </c>
      <c r="Z7141" s="19" t="str">
        <f>HYPERLINK("https://ssdweb.co/ssdweb/hd/Vision360.html?d=941140979&amp;zoomslide=1&amp;z=1941140979&amp;ISCONFIRM=0","VIDEO")</f>
        <v>VIDEO</v>
      </c>
      <c r="AA7141" s="19" t="str">
        <f>HYPERLINK("https://ssdweb.co/ssdweb/CERTH/681569582.pdf","CERTI")</f>
        <v>CERTI</v>
      </c>
    </row>
    <row r="7142" spans="1:27" ht="15" x14ac:dyDescent="0.25">
      <c r="A7142" s="2">
        <v>7137</v>
      </c>
      <c r="B7142" s="39">
        <v>941140981</v>
      </c>
      <c r="C7142" s="28" t="str">
        <f>HYPERLINK("https://pld.live/RapDetail.aspx?STONELIST=941140981","DNA")</f>
        <v>DNA</v>
      </c>
      <c r="D7142" s="18" t="s">
        <v>5466</v>
      </c>
      <c r="E7142" s="18" t="s">
        <v>5128</v>
      </c>
      <c r="F7142" s="2" t="s">
        <v>7987</v>
      </c>
      <c r="G7142" s="2" t="s">
        <v>5226</v>
      </c>
      <c r="H7142" s="14">
        <v>0.5</v>
      </c>
      <c r="I7142" s="2" t="s">
        <v>4761</v>
      </c>
      <c r="J7142" s="2" t="s">
        <v>13</v>
      </c>
      <c r="K7142" s="2" t="s">
        <v>1452</v>
      </c>
      <c r="L7142" s="2" t="s">
        <v>5221</v>
      </c>
      <c r="M7142" s="2" t="s">
        <v>5721</v>
      </c>
      <c r="N7142" s="2" t="s">
        <v>2317</v>
      </c>
      <c r="O7142" s="14">
        <v>2500</v>
      </c>
      <c r="P7142" s="14">
        <v>93.88</v>
      </c>
      <c r="Q7142" s="14">
        <v>153</v>
      </c>
      <c r="R7142" s="14">
        <v>76.5</v>
      </c>
      <c r="S7142" s="2" t="s">
        <v>5573</v>
      </c>
      <c r="T7142" s="2">
        <v>1</v>
      </c>
      <c r="U7142" s="2">
        <v>70</v>
      </c>
      <c r="V7142" s="2">
        <v>70</v>
      </c>
      <c r="W7142" s="2" t="s">
        <v>7862</v>
      </c>
      <c r="X7142" s="2" t="s">
        <v>2449</v>
      </c>
      <c r="Y7142" s="2">
        <v>1250</v>
      </c>
      <c r="Z7142" s="19" t="str">
        <f>HYPERLINK("https://ssdweb.co/ssdweb/hd/Vision360.html?d=941140981&amp;zoomslide=1&amp;z=1941140981&amp;ISCONFIRM=0","VIDEO")</f>
        <v>VIDEO</v>
      </c>
      <c r="AA7142" s="19" t="str">
        <f>HYPERLINK("https://ssdweb.co/ssdweb/CERTH/681569583.pdf","CERTI")</f>
        <v>CERTI</v>
      </c>
    </row>
    <row r="7143" spans="1:27" ht="15" x14ac:dyDescent="0.25">
      <c r="A7143" s="2">
        <v>7138</v>
      </c>
      <c r="B7143" s="39">
        <v>941220692</v>
      </c>
      <c r="C7143" s="28" t="str">
        <f>HYPERLINK("https://pld.live/RapDetail.aspx?STONELIST=941220692","DNA")</f>
        <v>DNA</v>
      </c>
      <c r="D7143" s="18" t="s">
        <v>1255</v>
      </c>
      <c r="E7143" s="18" t="s">
        <v>2186</v>
      </c>
      <c r="F7143" s="2" t="s">
        <v>7987</v>
      </c>
      <c r="G7143" s="2" t="s">
        <v>2054</v>
      </c>
      <c r="H7143" s="14">
        <v>10.01</v>
      </c>
      <c r="I7143" s="2" t="s">
        <v>4699</v>
      </c>
      <c r="J7143" s="2" t="s">
        <v>3942</v>
      </c>
      <c r="K7143" s="2" t="s">
        <v>1452</v>
      </c>
      <c r="L7143" s="2" t="s">
        <v>5221</v>
      </c>
      <c r="M7143" s="2" t="s">
        <v>5221</v>
      </c>
      <c r="N7143" s="2" t="s">
        <v>2317</v>
      </c>
      <c r="O7143" s="14">
        <v>83500</v>
      </c>
      <c r="P7143" s="14">
        <v>99.46</v>
      </c>
      <c r="Q7143" s="14">
        <v>450.9</v>
      </c>
      <c r="R7143" s="14">
        <v>4513.51</v>
      </c>
      <c r="S7143" s="2" t="s">
        <v>7281</v>
      </c>
      <c r="T7143" s="2">
        <v>2.2200000000000002</v>
      </c>
      <c r="U7143" s="2">
        <v>57.6</v>
      </c>
      <c r="V7143" s="2">
        <v>70</v>
      </c>
      <c r="W7143" s="2" t="s">
        <v>7862</v>
      </c>
      <c r="X7143" s="2" t="s">
        <v>5028</v>
      </c>
      <c r="Y7143" s="2">
        <v>835835</v>
      </c>
      <c r="Z7143" s="19" t="str">
        <f>HYPERLINK("https://ssdweb.co/ssdweb/hd/Vision360.html?d=941220692&amp;zoomslide=1&amp;z=1941220692&amp;ISCONFIRM=0","VIDEO")</f>
        <v>VIDEO</v>
      </c>
      <c r="AA7143" s="19" t="str">
        <f>HYPERLINK("https://ssdweb.co/ssdweb/CERTH/684511807.pdf","CERTI")</f>
        <v>CERTI</v>
      </c>
    </row>
    <row r="7144" spans="1:27" ht="15" x14ac:dyDescent="0.25">
      <c r="A7144" s="2">
        <v>7139</v>
      </c>
      <c r="B7144" s="39">
        <v>926360304</v>
      </c>
      <c r="C7144" s="28" t="str">
        <f>HYPERLINK("https://pld.live/RapDetail.aspx?STONELIST=926360304","DNA")</f>
        <v>DNA</v>
      </c>
      <c r="D7144" s="18" t="s">
        <v>1255</v>
      </c>
      <c r="E7144" s="18" t="s">
        <v>2186</v>
      </c>
      <c r="F7144" s="2" t="s">
        <v>7987</v>
      </c>
      <c r="G7144" s="2" t="s">
        <v>2054</v>
      </c>
      <c r="H7144" s="14">
        <v>10.01</v>
      </c>
      <c r="I7144" s="2" t="s">
        <v>6587</v>
      </c>
      <c r="J7144" s="2" t="s">
        <v>3942</v>
      </c>
      <c r="K7144" s="2" t="s">
        <v>1452</v>
      </c>
      <c r="L7144" s="2" t="s">
        <v>5221</v>
      </c>
      <c r="M7144" s="2" t="s">
        <v>5221</v>
      </c>
      <c r="N7144" s="2" t="s">
        <v>2317</v>
      </c>
      <c r="O7144" s="14">
        <v>69500</v>
      </c>
      <c r="P7144" s="14">
        <v>99.5</v>
      </c>
      <c r="Q7144" s="14">
        <v>347.5</v>
      </c>
      <c r="R7144" s="14">
        <v>3478.48</v>
      </c>
      <c r="S7144" s="2" t="s">
        <v>2739</v>
      </c>
      <c r="T7144" s="2">
        <v>2.11</v>
      </c>
      <c r="U7144" s="2">
        <v>56.3</v>
      </c>
      <c r="V7144" s="2">
        <v>68</v>
      </c>
      <c r="W7144" s="2" t="s">
        <v>7862</v>
      </c>
      <c r="X7144" s="2" t="s">
        <v>5028</v>
      </c>
      <c r="Y7144" s="2">
        <v>695695</v>
      </c>
      <c r="Z7144" s="19" t="str">
        <f>HYPERLINK("https://ssdweb.co/ssdweb/hd/Vision360.html?d=926360304&amp;zoomslide=1&amp;z=1926360304&amp;ISCONFIRM=0","VIDEO")</f>
        <v>VIDEO</v>
      </c>
      <c r="AA7144" s="19" t="str">
        <f>HYPERLINK("https://ssdweb.co/ssdweb/CERTH/642443987.pdf","CERTI")</f>
        <v>CERTI</v>
      </c>
    </row>
    <row r="7145" spans="1:27" ht="15" x14ac:dyDescent="0.25">
      <c r="A7145" s="2">
        <v>7140</v>
      </c>
      <c r="B7145" s="39">
        <v>926410459</v>
      </c>
      <c r="C7145" s="28" t="str">
        <f>HYPERLINK("https://pld.live/RapDetail.aspx?STONELIST=926410459","DNA")</f>
        <v>DNA</v>
      </c>
      <c r="D7145" s="18" t="s">
        <v>1255</v>
      </c>
      <c r="E7145" s="18" t="s">
        <v>2186</v>
      </c>
      <c r="F7145" s="2" t="s">
        <v>7987</v>
      </c>
      <c r="G7145" s="2" t="s">
        <v>2054</v>
      </c>
      <c r="H7145" s="14">
        <v>10</v>
      </c>
      <c r="I7145" s="2" t="s">
        <v>6587</v>
      </c>
      <c r="J7145" s="2" t="s">
        <v>13</v>
      </c>
      <c r="K7145" s="2" t="s">
        <v>1452</v>
      </c>
      <c r="L7145" s="2" t="s">
        <v>5221</v>
      </c>
      <c r="M7145" s="2" t="s">
        <v>5221</v>
      </c>
      <c r="N7145" s="2" t="s">
        <v>2317</v>
      </c>
      <c r="O7145" s="14">
        <v>65000</v>
      </c>
      <c r="P7145" s="14">
        <v>99.48</v>
      </c>
      <c r="Q7145" s="14">
        <v>338</v>
      </c>
      <c r="R7145" s="14">
        <v>3380</v>
      </c>
      <c r="S7145" s="2" t="s">
        <v>4155</v>
      </c>
      <c r="T7145" s="2">
        <v>2.2000000000000002</v>
      </c>
      <c r="U7145" s="2">
        <v>57.1</v>
      </c>
      <c r="V7145" s="2">
        <v>71</v>
      </c>
      <c r="W7145" s="2" t="s">
        <v>7862</v>
      </c>
      <c r="X7145" s="2" t="s">
        <v>5028</v>
      </c>
      <c r="Y7145" s="2">
        <v>650000</v>
      </c>
      <c r="Z7145" s="19" t="str">
        <f>HYPERLINK("https://ssdweb.co/ssdweb/hd/Vision360.html?d=926410459&amp;zoomslide=1&amp;z=1926410459&amp;ISCONFIRM=0","VIDEO")</f>
        <v>VIDEO</v>
      </c>
      <c r="AA7145" s="19" t="str">
        <f>HYPERLINK("https://ssdweb.co/ssdweb/CERTH/648410086.pdf","CERTI")</f>
        <v>CERTI</v>
      </c>
    </row>
    <row r="7146" spans="1:27" ht="15" x14ac:dyDescent="0.25">
      <c r="A7146" s="2">
        <v>7141</v>
      </c>
      <c r="B7146" s="39">
        <v>926420444</v>
      </c>
      <c r="C7146" s="28" t="str">
        <f>HYPERLINK("https://pld.live/RapDetail.aspx?STONELIST=926420444","DNA")</f>
        <v>DNA</v>
      </c>
      <c r="D7146" s="18" t="s">
        <v>2896</v>
      </c>
      <c r="E7146" s="18" t="s">
        <v>2186</v>
      </c>
      <c r="F7146" s="2" t="s">
        <v>7987</v>
      </c>
      <c r="G7146" s="2" t="s">
        <v>2054</v>
      </c>
      <c r="H7146" s="14">
        <v>9.99</v>
      </c>
      <c r="I7146" s="2" t="s">
        <v>6845</v>
      </c>
      <c r="J7146" s="2" t="s">
        <v>13</v>
      </c>
      <c r="K7146" s="2" t="s">
        <v>1452</v>
      </c>
      <c r="L7146" s="2" t="s">
        <v>5221</v>
      </c>
      <c r="M7146" s="2" t="s">
        <v>5221</v>
      </c>
      <c r="N7146" s="2" t="s">
        <v>2317</v>
      </c>
      <c r="O7146" s="14">
        <v>9500</v>
      </c>
      <c r="P7146" s="14">
        <v>92.53</v>
      </c>
      <c r="Q7146" s="14">
        <v>709.65</v>
      </c>
      <c r="R7146" s="14">
        <v>7089.4</v>
      </c>
      <c r="S7146" s="2" t="s">
        <v>3235</v>
      </c>
      <c r="T7146" s="2">
        <v>2.14</v>
      </c>
      <c r="U7146" s="2">
        <v>58.4</v>
      </c>
      <c r="V7146" s="2">
        <v>66</v>
      </c>
      <c r="W7146" s="2" t="s">
        <v>7862</v>
      </c>
      <c r="X7146" s="2" t="s">
        <v>5028</v>
      </c>
      <c r="Y7146" s="2">
        <v>94905</v>
      </c>
      <c r="Z7146" s="19" t="str">
        <f>HYPERLINK("https://ssdweb.co/ssdweb/hd/Vision360.html?d=926420444&amp;zoomslide=1&amp;z=1926420444&amp;ISCONFIRM=0","VIDEO")</f>
        <v>VIDEO</v>
      </c>
      <c r="AA7146" s="19" t="str">
        <f>HYPERLINK("https://ssdweb.co/ssdweb/CERTH/653438188.pdf","CERTI")</f>
        <v>CERTI</v>
      </c>
    </row>
    <row r="7147" spans="1:27" ht="15" x14ac:dyDescent="0.25">
      <c r="A7147" s="2">
        <v>7142</v>
      </c>
      <c r="B7147" s="39">
        <v>926360380</v>
      </c>
      <c r="C7147" s="28" t="str">
        <f>HYPERLINK("https://pld.live/RapDetail.aspx?STONELIST=926360380","DNA")</f>
        <v>DNA</v>
      </c>
      <c r="D7147" s="18" t="s">
        <v>2896</v>
      </c>
      <c r="E7147" s="18" t="s">
        <v>2186</v>
      </c>
      <c r="F7147" s="2" t="s">
        <v>7987</v>
      </c>
      <c r="G7147" s="2" t="s">
        <v>2054</v>
      </c>
      <c r="H7147" s="14">
        <v>9.02</v>
      </c>
      <c r="I7147" s="2" t="s">
        <v>6587</v>
      </c>
      <c r="J7147" s="2" t="s">
        <v>13</v>
      </c>
      <c r="K7147" s="2" t="s">
        <v>1452</v>
      </c>
      <c r="L7147" s="2" t="s">
        <v>5221</v>
      </c>
      <c r="M7147" s="2" t="s">
        <v>5221</v>
      </c>
      <c r="N7147" s="2" t="s">
        <v>2317</v>
      </c>
      <c r="O7147" s="14">
        <v>42500</v>
      </c>
      <c r="P7147" s="14">
        <v>99.28</v>
      </c>
      <c r="Q7147" s="14">
        <v>306</v>
      </c>
      <c r="R7147" s="14">
        <v>2760.12</v>
      </c>
      <c r="S7147" s="2" t="s">
        <v>205</v>
      </c>
      <c r="T7147" s="2">
        <v>1.95</v>
      </c>
      <c r="U7147" s="2">
        <v>58.5</v>
      </c>
      <c r="V7147" s="2">
        <v>61</v>
      </c>
      <c r="W7147" s="2" t="s">
        <v>7862</v>
      </c>
      <c r="X7147" s="2" t="s">
        <v>5028</v>
      </c>
      <c r="Y7147" s="2">
        <v>383350</v>
      </c>
      <c r="Z7147" s="19" t="str">
        <f>HYPERLINK("https://ssdweb.co/ssdweb/hd/Vision360.html?d=926360380&amp;zoomslide=1&amp;z=1926360380&amp;ISCONFIRM=0","VIDEO")</f>
        <v>VIDEO</v>
      </c>
      <c r="AA7147" s="19" t="str">
        <f>HYPERLINK("https://ssdweb.co/ssdweb/CERTH/643421531.pdf","CERTI")</f>
        <v>CERTI</v>
      </c>
    </row>
    <row r="7148" spans="1:27" ht="15" x14ac:dyDescent="0.25">
      <c r="A7148" s="2">
        <v>7143</v>
      </c>
      <c r="B7148" s="39">
        <v>926420454</v>
      </c>
      <c r="C7148" s="28" t="str">
        <f>HYPERLINK("https://pld.live/RapDetail.aspx?STONELIST=926420454","DNA")</f>
        <v>DNA</v>
      </c>
      <c r="D7148" s="18" t="s">
        <v>2896</v>
      </c>
      <c r="E7148" s="18" t="s">
        <v>2186</v>
      </c>
      <c r="F7148" s="2" t="s">
        <v>7987</v>
      </c>
      <c r="G7148" s="2" t="s">
        <v>2054</v>
      </c>
      <c r="H7148" s="14">
        <v>9.02</v>
      </c>
      <c r="I7148" s="2" t="s">
        <v>6845</v>
      </c>
      <c r="J7148" s="2" t="s">
        <v>13</v>
      </c>
      <c r="K7148" s="2" t="s">
        <v>1452</v>
      </c>
      <c r="L7148" s="2" t="s">
        <v>5221</v>
      </c>
      <c r="M7148" s="2" t="s">
        <v>5221</v>
      </c>
      <c r="N7148" s="2" t="s">
        <v>2317</v>
      </c>
      <c r="O7148" s="14">
        <v>9500</v>
      </c>
      <c r="P7148" s="14">
        <v>92.53</v>
      </c>
      <c r="Q7148" s="14">
        <v>709.65</v>
      </c>
      <c r="R7148" s="14">
        <v>6401.04</v>
      </c>
      <c r="S7148" s="2" t="s">
        <v>6842</v>
      </c>
      <c r="T7148" s="2">
        <v>2.11</v>
      </c>
      <c r="U7148" s="2">
        <v>60.3</v>
      </c>
      <c r="V7148" s="2">
        <v>65</v>
      </c>
      <c r="W7148" s="2" t="s">
        <v>7862</v>
      </c>
      <c r="X7148" s="2" t="s">
        <v>5028</v>
      </c>
      <c r="Y7148" s="2">
        <v>85690</v>
      </c>
      <c r="Z7148" s="19" t="str">
        <f>HYPERLINK("https://ssdweb.co/ssdweb/hd/Vision360.html?d=926420454&amp;zoomslide=1&amp;z=1926420454&amp;ISCONFIRM=0","VIDEO")</f>
        <v>VIDEO</v>
      </c>
      <c r="AA7148" s="19" t="str">
        <f>HYPERLINK("https://ssdweb.co/ssdweb/CERTH/649417209.pdf","CERTI")</f>
        <v>CERTI</v>
      </c>
    </row>
    <row r="7149" spans="1:27" ht="15" x14ac:dyDescent="0.25">
      <c r="A7149" s="2">
        <v>7144</v>
      </c>
      <c r="B7149" s="39">
        <v>926600051</v>
      </c>
      <c r="C7149" s="28" t="str">
        <f>HYPERLINK("https://pld.live/RapDetail.aspx?STONELIST=926600051","DNA")</f>
        <v>DNA</v>
      </c>
      <c r="D7149" s="18" t="s">
        <v>2731</v>
      </c>
      <c r="E7149" s="18" t="s">
        <v>2186</v>
      </c>
      <c r="F7149" s="2" t="s">
        <v>7987</v>
      </c>
      <c r="G7149" s="2" t="s">
        <v>2054</v>
      </c>
      <c r="H7149" s="14">
        <v>8.0399999999999991</v>
      </c>
      <c r="I7149" s="2" t="s">
        <v>1066</v>
      </c>
      <c r="J7149" s="2" t="s">
        <v>6555</v>
      </c>
      <c r="K7149" s="2" t="s">
        <v>1452</v>
      </c>
      <c r="L7149" s="2" t="s">
        <v>5221</v>
      </c>
      <c r="M7149" s="2" t="s">
        <v>5221</v>
      </c>
      <c r="N7149" s="2" t="s">
        <v>924</v>
      </c>
      <c r="O7149" s="14">
        <v>11000</v>
      </c>
      <c r="P7149" s="14">
        <v>93.64</v>
      </c>
      <c r="Q7149" s="14">
        <v>699.6</v>
      </c>
      <c r="R7149" s="14">
        <v>5624.78</v>
      </c>
      <c r="S7149" s="2" t="s">
        <v>413</v>
      </c>
      <c r="T7149" s="2">
        <v>2.1</v>
      </c>
      <c r="U7149" s="2">
        <v>60.3</v>
      </c>
      <c r="V7149" s="2">
        <v>62</v>
      </c>
      <c r="W7149" s="2" t="s">
        <v>7862</v>
      </c>
      <c r="X7149" s="2" t="s">
        <v>5028</v>
      </c>
      <c r="Y7149" s="2">
        <v>88440</v>
      </c>
      <c r="Z7149" s="19" t="str">
        <f>HYPERLINK("https://ssdweb.co/ssdweb/hd/Vision360.html?d=926600051&amp;zoomslide=1&amp;z=1926600051&amp;ISCONFIRM=0","VIDEO")</f>
        <v>VIDEO</v>
      </c>
      <c r="AA7149" s="19" t="str">
        <f>HYPERLINK("https://ssdweb.co/ssdweb/CERTH/652471019.pdf","CERTI")</f>
        <v>CERTI</v>
      </c>
    </row>
    <row r="7150" spans="1:27" ht="15" x14ac:dyDescent="0.25">
      <c r="A7150" s="2">
        <v>7145</v>
      </c>
      <c r="B7150" s="39">
        <v>926360359</v>
      </c>
      <c r="C7150" s="28" t="str">
        <f>HYPERLINK("https://pld.live/RapDetail.aspx?STONELIST=926360359","DNA")</f>
        <v>DNA</v>
      </c>
      <c r="D7150" s="18" t="s">
        <v>2731</v>
      </c>
      <c r="E7150" s="18" t="s">
        <v>2186</v>
      </c>
      <c r="F7150" s="2" t="s">
        <v>7987</v>
      </c>
      <c r="G7150" s="2" t="s">
        <v>2054</v>
      </c>
      <c r="H7150" s="14">
        <v>8.01</v>
      </c>
      <c r="I7150" s="2" t="s">
        <v>6587</v>
      </c>
      <c r="J7150" s="2" t="s">
        <v>13</v>
      </c>
      <c r="K7150" s="2" t="s">
        <v>1452</v>
      </c>
      <c r="L7150" s="2" t="s">
        <v>5221</v>
      </c>
      <c r="M7150" s="2" t="s">
        <v>5221</v>
      </c>
      <c r="N7150" s="2" t="s">
        <v>2317</v>
      </c>
      <c r="O7150" s="14">
        <v>42500</v>
      </c>
      <c r="P7150" s="14">
        <v>99.46</v>
      </c>
      <c r="Q7150" s="14">
        <v>229.5</v>
      </c>
      <c r="R7150" s="14">
        <v>1838.3</v>
      </c>
      <c r="S7150" s="2" t="s">
        <v>4646</v>
      </c>
      <c r="T7150" s="2">
        <v>2.12</v>
      </c>
      <c r="U7150" s="2">
        <v>59.7</v>
      </c>
      <c r="V7150" s="2">
        <v>66</v>
      </c>
      <c r="W7150" s="2" t="s">
        <v>7862</v>
      </c>
      <c r="X7150" s="2" t="s">
        <v>5028</v>
      </c>
      <c r="Y7150" s="2">
        <v>340425</v>
      </c>
      <c r="Z7150" s="19" t="str">
        <f>HYPERLINK("https://ssdweb.co/ssdweb/hd/Vision360.html?d=926360359&amp;zoomslide=1&amp;z=1926360359&amp;ISCONFIRM=0","VIDEO")</f>
        <v>VIDEO</v>
      </c>
      <c r="AA7150" s="19" t="str">
        <f>HYPERLINK("https://ssdweb.co/ssdweb/CERTH/643409451.pdf","CERTI")</f>
        <v>CERTI</v>
      </c>
    </row>
    <row r="7151" spans="1:27" ht="15" x14ac:dyDescent="0.25">
      <c r="A7151" s="2">
        <v>7146</v>
      </c>
      <c r="B7151" s="39">
        <v>926360348</v>
      </c>
      <c r="C7151" s="28" t="str">
        <f>HYPERLINK("https://pld.live/RapDetail.aspx?STONELIST=926360348","DNA")</f>
        <v>DNA</v>
      </c>
      <c r="D7151" s="18" t="s">
        <v>1966</v>
      </c>
      <c r="E7151" s="18" t="s">
        <v>2186</v>
      </c>
      <c r="F7151" s="2" t="s">
        <v>7987</v>
      </c>
      <c r="G7151" s="2" t="s">
        <v>2054</v>
      </c>
      <c r="H7151" s="14">
        <v>7.25</v>
      </c>
      <c r="I7151" s="2" t="s">
        <v>6587</v>
      </c>
      <c r="J7151" s="2" t="s">
        <v>3942</v>
      </c>
      <c r="K7151" s="2" t="s">
        <v>1452</v>
      </c>
      <c r="L7151" s="2" t="s">
        <v>5221</v>
      </c>
      <c r="M7151" s="2" t="s">
        <v>5221</v>
      </c>
      <c r="N7151" s="2" t="s">
        <v>2317</v>
      </c>
      <c r="O7151" s="14">
        <v>44500</v>
      </c>
      <c r="P7151" s="14">
        <v>99.4</v>
      </c>
      <c r="Q7151" s="14">
        <v>267</v>
      </c>
      <c r="R7151" s="14">
        <v>1935.75</v>
      </c>
      <c r="S7151" s="2" t="s">
        <v>6487</v>
      </c>
      <c r="T7151" s="2">
        <v>2.0699999999999998</v>
      </c>
      <c r="U7151" s="2">
        <v>60</v>
      </c>
      <c r="V7151" s="2">
        <v>63</v>
      </c>
      <c r="W7151" s="2" t="s">
        <v>7862</v>
      </c>
      <c r="X7151" s="2" t="s">
        <v>5028</v>
      </c>
      <c r="Y7151" s="2">
        <v>322625</v>
      </c>
      <c r="Z7151" s="19" t="str">
        <f>HYPERLINK("https://ssdweb.co/ssdweb/hd/Vision360.html?d=926360348&amp;zoomslide=1&amp;z=1926360348&amp;ISCONFIRM=0","VIDEO")</f>
        <v>VIDEO</v>
      </c>
      <c r="AA7151" s="19" t="str">
        <f>HYPERLINK("https://ssdweb.co/ssdweb/CERTH/642460658.pdf","CERTI")</f>
        <v>CERTI</v>
      </c>
    </row>
    <row r="7152" spans="1:27" ht="15" x14ac:dyDescent="0.25">
      <c r="A7152" s="2">
        <v>7147</v>
      </c>
      <c r="B7152" s="39">
        <v>941220659</v>
      </c>
      <c r="C7152" s="28" t="str">
        <f>HYPERLINK("https://pld.live/RapDetail.aspx?STONELIST=941220659","DNA")</f>
        <v>DNA</v>
      </c>
      <c r="D7152" s="18" t="s">
        <v>1966</v>
      </c>
      <c r="E7152" s="18" t="s">
        <v>2186</v>
      </c>
      <c r="F7152" s="2" t="s">
        <v>7987</v>
      </c>
      <c r="G7152" s="2" t="s">
        <v>2054</v>
      </c>
      <c r="H7152" s="14">
        <v>7.23</v>
      </c>
      <c r="I7152" s="2" t="s">
        <v>4761</v>
      </c>
      <c r="J7152" s="2" t="s">
        <v>3942</v>
      </c>
      <c r="K7152" s="2" t="s">
        <v>1452</v>
      </c>
      <c r="L7152" s="2" t="s">
        <v>5221</v>
      </c>
      <c r="M7152" s="2" t="s">
        <v>5221</v>
      </c>
      <c r="N7152" s="2" t="s">
        <v>2317</v>
      </c>
      <c r="O7152" s="14">
        <v>55000</v>
      </c>
      <c r="P7152" s="14">
        <v>99.09</v>
      </c>
      <c r="Q7152" s="14">
        <v>500.5</v>
      </c>
      <c r="R7152" s="14">
        <v>3618.62</v>
      </c>
      <c r="S7152" s="2" t="s">
        <v>4728</v>
      </c>
      <c r="T7152" s="2">
        <v>1.92</v>
      </c>
      <c r="U7152" s="2">
        <v>62.2</v>
      </c>
      <c r="V7152" s="2">
        <v>60</v>
      </c>
      <c r="W7152" s="2" t="s">
        <v>7862</v>
      </c>
      <c r="X7152" s="2" t="s">
        <v>5028</v>
      </c>
      <c r="Y7152" s="2">
        <v>397650</v>
      </c>
      <c r="Z7152" s="19" t="str">
        <f>HYPERLINK("https://ssdweb.co/ssdweb/hd/Vision360.html?d=941220659&amp;zoomslide=1&amp;z=1941220659&amp;ISCONFIRM=0","VIDEO")</f>
        <v>VIDEO</v>
      </c>
      <c r="AA7152" s="19" t="str">
        <f>HYPERLINK("https://ssdweb.co/ssdweb/CERTH/681594761.pdf","CERTI")</f>
        <v>CERTI</v>
      </c>
    </row>
    <row r="7153" spans="1:27" ht="15" x14ac:dyDescent="0.25">
      <c r="A7153" s="2">
        <v>7148</v>
      </c>
      <c r="B7153" s="39">
        <v>926360312</v>
      </c>
      <c r="C7153" s="28" t="str">
        <f>HYPERLINK("https://pld.live/RapDetail.aspx?STONELIST=926360312","DNA")</f>
        <v>DNA</v>
      </c>
      <c r="D7153" s="18" t="s">
        <v>1966</v>
      </c>
      <c r="E7153" s="18" t="s">
        <v>2186</v>
      </c>
      <c r="F7153" s="2" t="s">
        <v>7987</v>
      </c>
      <c r="G7153" s="2" t="s">
        <v>2054</v>
      </c>
      <c r="H7153" s="14">
        <v>7.22</v>
      </c>
      <c r="I7153" s="2" t="s">
        <v>6587</v>
      </c>
      <c r="J7153" s="2" t="s">
        <v>13</v>
      </c>
      <c r="K7153" s="2" t="s">
        <v>1452</v>
      </c>
      <c r="L7153" s="2" t="s">
        <v>5221</v>
      </c>
      <c r="M7153" s="2" t="s">
        <v>5221</v>
      </c>
      <c r="N7153" s="2" t="s">
        <v>2317</v>
      </c>
      <c r="O7153" s="14">
        <v>42500</v>
      </c>
      <c r="P7153" s="14">
        <v>99.54</v>
      </c>
      <c r="Q7153" s="14">
        <v>195.5</v>
      </c>
      <c r="R7153" s="14">
        <v>1411.51</v>
      </c>
      <c r="S7153" s="2" t="s">
        <v>7031</v>
      </c>
      <c r="T7153" s="2">
        <v>2.09</v>
      </c>
      <c r="U7153" s="2">
        <v>60.4</v>
      </c>
      <c r="V7153" s="2">
        <v>58</v>
      </c>
      <c r="W7153" s="2" t="s">
        <v>8016</v>
      </c>
      <c r="X7153" s="2" t="s">
        <v>5028</v>
      </c>
      <c r="Y7153" s="2">
        <v>306850</v>
      </c>
      <c r="Z7153" s="19" t="str">
        <f>HYPERLINK("https://ssdweb.co/ssdweb/hd/Vision360.html?d=926360312&amp;zoomslide=1&amp;z=1926360312&amp;ISCONFIRM=0","VIDEO")</f>
        <v>VIDEO</v>
      </c>
      <c r="AA7153" s="19" t="str">
        <f>HYPERLINK("https://ssdweb.co/ssdweb/CERTH/642443984.pdf","CERTI")</f>
        <v>CERTI</v>
      </c>
    </row>
    <row r="7154" spans="1:27" ht="15" x14ac:dyDescent="0.25">
      <c r="A7154" s="2">
        <v>7149</v>
      </c>
      <c r="B7154" s="39">
        <v>926410391</v>
      </c>
      <c r="C7154" s="28" t="str">
        <f>HYPERLINK("https://pld.live/RapDetail.aspx?STONELIST=926410391","DNA")</f>
        <v>DNA</v>
      </c>
      <c r="D7154" s="18" t="s">
        <v>1966</v>
      </c>
      <c r="E7154" s="18" t="s">
        <v>2186</v>
      </c>
      <c r="F7154" s="2" t="s">
        <v>7987</v>
      </c>
      <c r="G7154" s="2" t="s">
        <v>2054</v>
      </c>
      <c r="H7154" s="14">
        <v>7.03</v>
      </c>
      <c r="I7154" s="2" t="s">
        <v>6587</v>
      </c>
      <c r="J7154" s="2" t="s">
        <v>13</v>
      </c>
      <c r="K7154" s="2" t="s">
        <v>1452</v>
      </c>
      <c r="L7154" s="2" t="s">
        <v>5221</v>
      </c>
      <c r="M7154" s="2" t="s">
        <v>5221</v>
      </c>
      <c r="N7154" s="2" t="s">
        <v>2317</v>
      </c>
      <c r="O7154" s="14">
        <v>42500</v>
      </c>
      <c r="P7154" s="14">
        <v>99.53</v>
      </c>
      <c r="Q7154" s="14">
        <v>199.75</v>
      </c>
      <c r="R7154" s="14">
        <v>1404.24</v>
      </c>
      <c r="S7154" s="2" t="s">
        <v>5457</v>
      </c>
      <c r="T7154" s="2">
        <v>1.92</v>
      </c>
      <c r="U7154" s="2">
        <v>61.9</v>
      </c>
      <c r="V7154" s="2">
        <v>59</v>
      </c>
      <c r="W7154" s="2" t="s">
        <v>7862</v>
      </c>
      <c r="X7154" s="2" t="s">
        <v>5028</v>
      </c>
      <c r="Y7154" s="2">
        <v>298775</v>
      </c>
      <c r="Z7154" s="19" t="str">
        <f>HYPERLINK("https://ssdweb.co/ssdweb/hd/Vision360.html?d=926410391&amp;zoomslide=1&amp;z=1926410391&amp;ISCONFIRM=0","VIDEO")</f>
        <v>VIDEO</v>
      </c>
      <c r="AA7154" s="19" t="str">
        <f>HYPERLINK("https://ssdweb.co/ssdweb/CERTH/644490510.pdf","CERTI")</f>
        <v>CERTI</v>
      </c>
    </row>
    <row r="7155" spans="1:27" ht="15" x14ac:dyDescent="0.25">
      <c r="A7155" s="2">
        <v>7150</v>
      </c>
      <c r="B7155" s="39">
        <v>926360394</v>
      </c>
      <c r="C7155" s="28" t="str">
        <f>HYPERLINK("https://pld.live/RapDetail.aspx?STONELIST=926360394","DNA")</f>
        <v>DNA</v>
      </c>
      <c r="D7155" s="18" t="s">
        <v>1966</v>
      </c>
      <c r="E7155" s="18" t="s">
        <v>2186</v>
      </c>
      <c r="F7155" s="2" t="s">
        <v>7987</v>
      </c>
      <c r="G7155" s="2" t="s">
        <v>2054</v>
      </c>
      <c r="H7155" s="14">
        <v>7.02</v>
      </c>
      <c r="I7155" s="2" t="s">
        <v>6845</v>
      </c>
      <c r="J7155" s="2" t="s">
        <v>13</v>
      </c>
      <c r="K7155" s="2" t="s">
        <v>1452</v>
      </c>
      <c r="L7155" s="2" t="s">
        <v>5221</v>
      </c>
      <c r="M7155" s="2" t="s">
        <v>5221</v>
      </c>
      <c r="N7155" s="2" t="s">
        <v>2317</v>
      </c>
      <c r="O7155" s="14">
        <v>9500</v>
      </c>
      <c r="P7155" s="14">
        <v>94.74</v>
      </c>
      <c r="Q7155" s="14">
        <v>499.7</v>
      </c>
      <c r="R7155" s="14">
        <v>3507.89</v>
      </c>
      <c r="S7155" s="2" t="s">
        <v>3673</v>
      </c>
      <c r="T7155" s="2">
        <v>2.09</v>
      </c>
      <c r="U7155" s="2">
        <v>60.8</v>
      </c>
      <c r="V7155" s="2">
        <v>64</v>
      </c>
      <c r="W7155" s="2" t="s">
        <v>7862</v>
      </c>
      <c r="X7155" s="2" t="s">
        <v>5028</v>
      </c>
      <c r="Y7155" s="2">
        <v>66690</v>
      </c>
      <c r="Z7155" s="19" t="str">
        <f>HYPERLINK("https://ssdweb.co/ssdweb/hd/Vision360.html?d=926360394&amp;zoomslide=1&amp;z=1926360394&amp;ISCONFIRM=0","VIDEO")</f>
        <v>VIDEO</v>
      </c>
      <c r="AA7155" s="19" t="str">
        <f>HYPERLINK("https://ssdweb.co/ssdweb/CERTH/648496677.pdf","CERTI")</f>
        <v>CERTI</v>
      </c>
    </row>
    <row r="7156" spans="1:27" ht="15" x14ac:dyDescent="0.25">
      <c r="A7156" s="2">
        <v>7151</v>
      </c>
      <c r="B7156" s="39">
        <v>926410443</v>
      </c>
      <c r="C7156" s="28" t="str">
        <f>HYPERLINK("https://pld.live/RapDetail.aspx?STONELIST=926410443","DNA")</f>
        <v>DNA</v>
      </c>
      <c r="D7156" s="18" t="s">
        <v>4061</v>
      </c>
      <c r="E7156" s="18" t="s">
        <v>2186</v>
      </c>
      <c r="F7156" s="2" t="s">
        <v>7987</v>
      </c>
      <c r="G7156" s="2" t="s">
        <v>2054</v>
      </c>
      <c r="H7156" s="14">
        <v>6.41</v>
      </c>
      <c r="I7156" s="2" t="s">
        <v>4699</v>
      </c>
      <c r="J7156" s="2" t="s">
        <v>5144</v>
      </c>
      <c r="K7156" s="2" t="s">
        <v>1452</v>
      </c>
      <c r="L7156" s="2" t="s">
        <v>5221</v>
      </c>
      <c r="M7156" s="2" t="s">
        <v>5221</v>
      </c>
      <c r="N7156" s="2" t="s">
        <v>2317</v>
      </c>
      <c r="O7156" s="14">
        <v>43000</v>
      </c>
      <c r="P7156" s="14">
        <v>99.61</v>
      </c>
      <c r="Q7156" s="14">
        <v>167.7</v>
      </c>
      <c r="R7156" s="14">
        <v>1074.96</v>
      </c>
      <c r="S7156" s="2" t="s">
        <v>2097</v>
      </c>
      <c r="T7156" s="2">
        <v>1.91</v>
      </c>
      <c r="U7156" s="2">
        <v>61.4</v>
      </c>
      <c r="V7156" s="2">
        <v>61</v>
      </c>
      <c r="W7156" s="2" t="s">
        <v>7862</v>
      </c>
      <c r="X7156" s="2" t="s">
        <v>5028</v>
      </c>
      <c r="Y7156" s="2">
        <v>275630</v>
      </c>
      <c r="Z7156" s="19" t="str">
        <f>HYPERLINK("https://ssdweb.co/ssdweb/hd/Vision360.html?d=926410443&amp;zoomslide=1&amp;z=1926410443&amp;ISCONFIRM=0","VIDEO")</f>
        <v>VIDEO</v>
      </c>
      <c r="AA7156" s="19" t="str">
        <f>HYPERLINK("https://ssdweb.co/ssdweb/CERTH/645459006.pdf","CERTI")</f>
        <v>CERTI</v>
      </c>
    </row>
    <row r="7157" spans="1:27" ht="15" x14ac:dyDescent="0.25">
      <c r="A7157" s="2">
        <v>7152</v>
      </c>
      <c r="B7157" s="39">
        <v>926410436</v>
      </c>
      <c r="C7157" s="28" t="str">
        <f>HYPERLINK("https://pld.live/RapDetail.aspx?STONELIST=926410436","DNA")</f>
        <v>DNA</v>
      </c>
      <c r="D7157" s="18" t="s">
        <v>4061</v>
      </c>
      <c r="E7157" s="18" t="s">
        <v>2186</v>
      </c>
      <c r="F7157" s="2" t="s">
        <v>7987</v>
      </c>
      <c r="G7157" s="2" t="s">
        <v>2054</v>
      </c>
      <c r="H7157" s="14">
        <v>6.26</v>
      </c>
      <c r="I7157" s="2" t="s">
        <v>4699</v>
      </c>
      <c r="J7157" s="2" t="s">
        <v>13</v>
      </c>
      <c r="K7157" s="2" t="s">
        <v>1452</v>
      </c>
      <c r="L7157" s="2" t="s">
        <v>5221</v>
      </c>
      <c r="M7157" s="2" t="s">
        <v>5221</v>
      </c>
      <c r="N7157" s="2" t="s">
        <v>2317</v>
      </c>
      <c r="O7157" s="14">
        <v>48500</v>
      </c>
      <c r="P7157" s="14">
        <v>99.61</v>
      </c>
      <c r="Q7157" s="14">
        <v>189.15</v>
      </c>
      <c r="R7157" s="14">
        <v>1184.08</v>
      </c>
      <c r="S7157" s="2" t="s">
        <v>7358</v>
      </c>
      <c r="T7157" s="2">
        <v>2.1</v>
      </c>
      <c r="U7157" s="2">
        <v>61.5</v>
      </c>
      <c r="V7157" s="2">
        <v>61</v>
      </c>
      <c r="W7157" s="2" t="s">
        <v>7862</v>
      </c>
      <c r="X7157" s="2" t="s">
        <v>5028</v>
      </c>
      <c r="Y7157" s="2">
        <v>303610</v>
      </c>
      <c r="Z7157" s="19" t="str">
        <f>HYPERLINK("https://ssdweb.co/ssdweb/hd/Vision360.html?d=926410436&amp;zoomslide=1&amp;z=1926410436&amp;ISCONFIRM=0","VIDEO")</f>
        <v>VIDEO</v>
      </c>
      <c r="AA7157" s="19" t="str">
        <f>HYPERLINK("https://ssdweb.co/ssdweb/CERTH/645411903.pdf","CERTI")</f>
        <v>CERTI</v>
      </c>
    </row>
    <row r="7158" spans="1:27" ht="15" x14ac:dyDescent="0.25">
      <c r="A7158" s="2">
        <v>7153</v>
      </c>
      <c r="B7158" s="39">
        <v>926420442</v>
      </c>
      <c r="C7158" s="28" t="str">
        <f>HYPERLINK("https://pld.live/RapDetail.aspx?STONELIST=926420442","DNA")</f>
        <v>DNA</v>
      </c>
      <c r="D7158" s="18" t="s">
        <v>3174</v>
      </c>
      <c r="E7158" s="18" t="s">
        <v>2186</v>
      </c>
      <c r="F7158" s="2" t="s">
        <v>7987</v>
      </c>
      <c r="G7158" s="2" t="s">
        <v>2054</v>
      </c>
      <c r="H7158" s="14">
        <v>5.5</v>
      </c>
      <c r="I7158" s="2" t="s">
        <v>6587</v>
      </c>
      <c r="J7158" s="2" t="s">
        <v>13</v>
      </c>
      <c r="K7158" s="2" t="s">
        <v>1452</v>
      </c>
      <c r="L7158" s="2" t="s">
        <v>5221</v>
      </c>
      <c r="M7158" s="2" t="s">
        <v>5221</v>
      </c>
      <c r="N7158" s="2" t="s">
        <v>2317</v>
      </c>
      <c r="O7158" s="14">
        <v>42500</v>
      </c>
      <c r="P7158" s="14">
        <v>99.63</v>
      </c>
      <c r="Q7158" s="14">
        <v>157.25</v>
      </c>
      <c r="R7158" s="14">
        <v>864.88</v>
      </c>
      <c r="S7158" s="2" t="s">
        <v>5842</v>
      </c>
      <c r="T7158" s="2">
        <v>2.06</v>
      </c>
      <c r="U7158" s="2">
        <v>60.9</v>
      </c>
      <c r="V7158" s="2">
        <v>65</v>
      </c>
      <c r="W7158" s="2" t="s">
        <v>7862</v>
      </c>
      <c r="X7158" s="2" t="s">
        <v>5028</v>
      </c>
      <c r="Y7158" s="2">
        <v>233750</v>
      </c>
      <c r="Z7158" s="19" t="str">
        <f>HYPERLINK("https://ssdweb.co/ssdweb/hd/Vision360.html?d=926420442&amp;zoomslide=1&amp;z=1926420442&amp;ISCONFIRM=0","VIDEO")</f>
        <v>VIDEO</v>
      </c>
      <c r="AA7158" s="19" t="str">
        <f>HYPERLINK("https://ssdweb.co/ssdweb/CERTH/648492659.pdf","CERTI")</f>
        <v>CERTI</v>
      </c>
    </row>
    <row r="7159" spans="1:27" ht="15" x14ac:dyDescent="0.25">
      <c r="A7159" s="2">
        <v>7154</v>
      </c>
      <c r="B7159" s="39">
        <v>926420455</v>
      </c>
      <c r="C7159" s="28" t="str">
        <f>HYPERLINK("https://pld.live/RapDetail.aspx?STONELIST=926420455","DNA")</f>
        <v>DNA</v>
      </c>
      <c r="D7159" s="18" t="s">
        <v>3174</v>
      </c>
      <c r="E7159" s="18" t="s">
        <v>2186</v>
      </c>
      <c r="F7159" s="2" t="s">
        <v>7987</v>
      </c>
      <c r="G7159" s="2" t="s">
        <v>2054</v>
      </c>
      <c r="H7159" s="14">
        <v>5.5</v>
      </c>
      <c r="I7159" s="2" t="s">
        <v>6845</v>
      </c>
      <c r="J7159" s="2" t="s">
        <v>13</v>
      </c>
      <c r="K7159" s="2" t="s">
        <v>1452</v>
      </c>
      <c r="L7159" s="2" t="s">
        <v>5221</v>
      </c>
      <c r="M7159" s="2" t="s">
        <v>5221</v>
      </c>
      <c r="N7159" s="2" t="s">
        <v>2317</v>
      </c>
      <c r="O7159" s="14">
        <v>9500</v>
      </c>
      <c r="P7159" s="14">
        <v>96.11</v>
      </c>
      <c r="Q7159" s="14">
        <v>369.55</v>
      </c>
      <c r="R7159" s="14">
        <v>2032.53</v>
      </c>
      <c r="S7159" s="2" t="s">
        <v>1308</v>
      </c>
      <c r="T7159" s="2">
        <v>1.92</v>
      </c>
      <c r="U7159" s="2">
        <v>62.5</v>
      </c>
      <c r="V7159" s="2">
        <v>62</v>
      </c>
      <c r="W7159" s="2" t="s">
        <v>7862</v>
      </c>
      <c r="X7159" s="2" t="s">
        <v>5028</v>
      </c>
      <c r="Y7159" s="2">
        <v>52250</v>
      </c>
      <c r="Z7159" s="19" t="str">
        <f>HYPERLINK("https://ssdweb.co/ssdweb/hd/Vision360.html?d=926420455&amp;zoomslide=1&amp;z=1926420455&amp;ISCONFIRM=0","VIDEO")</f>
        <v>VIDEO</v>
      </c>
      <c r="AA7159" s="19" t="str">
        <f>HYPERLINK("https://ssdweb.co/ssdweb/CERTH/648463549.pdf","CERTI")</f>
        <v>CERTI</v>
      </c>
    </row>
    <row r="7160" spans="1:27" ht="15" x14ac:dyDescent="0.25">
      <c r="A7160" s="2">
        <v>7155</v>
      </c>
      <c r="B7160" s="39">
        <v>926420452</v>
      </c>
      <c r="C7160" s="28" t="str">
        <f>HYPERLINK("https://pld.live/RapDetail.aspx?STONELIST=926420452","DNA")</f>
        <v>DNA</v>
      </c>
      <c r="D7160" s="18" t="s">
        <v>3174</v>
      </c>
      <c r="E7160" s="18" t="s">
        <v>2186</v>
      </c>
      <c r="F7160" s="2" t="s">
        <v>7987</v>
      </c>
      <c r="G7160" s="2" t="s">
        <v>2054</v>
      </c>
      <c r="H7160" s="14">
        <v>5.25</v>
      </c>
      <c r="I7160" s="2" t="s">
        <v>6845</v>
      </c>
      <c r="J7160" s="2" t="s">
        <v>13</v>
      </c>
      <c r="K7160" s="2" t="s">
        <v>1452</v>
      </c>
      <c r="L7160" s="2" t="s">
        <v>5221</v>
      </c>
      <c r="M7160" s="2" t="s">
        <v>5221</v>
      </c>
      <c r="N7160" s="2" t="s">
        <v>2317</v>
      </c>
      <c r="O7160" s="14">
        <v>9500</v>
      </c>
      <c r="P7160" s="14">
        <v>96.11</v>
      </c>
      <c r="Q7160" s="14">
        <v>369.55</v>
      </c>
      <c r="R7160" s="14">
        <v>1940.14</v>
      </c>
      <c r="S7160" s="2" t="s">
        <v>4631</v>
      </c>
      <c r="T7160" s="2">
        <v>2.0299999999999998</v>
      </c>
      <c r="U7160" s="2">
        <v>60.6</v>
      </c>
      <c r="V7160" s="2">
        <v>60</v>
      </c>
      <c r="W7160" s="2" t="s">
        <v>7862</v>
      </c>
      <c r="X7160" s="2" t="s">
        <v>5028</v>
      </c>
      <c r="Y7160" s="2">
        <v>49875</v>
      </c>
      <c r="Z7160" s="19" t="str">
        <f>HYPERLINK("https://ssdweb.co/ssdweb/hd/Vision360.html?d=926420452&amp;zoomslide=1&amp;z=1926420452&amp;ISCONFIRM=0","VIDEO")</f>
        <v>VIDEO</v>
      </c>
      <c r="AA7160" s="19" t="str">
        <f>HYPERLINK("https://ssdweb.co/ssdweb/CERTH/649412685.pdf","CERTI")</f>
        <v>CERTI</v>
      </c>
    </row>
    <row r="7161" spans="1:27" ht="15" x14ac:dyDescent="0.25">
      <c r="A7161" s="2">
        <v>7156</v>
      </c>
      <c r="B7161" s="39">
        <v>926410388</v>
      </c>
      <c r="C7161" s="28" t="str">
        <f>HYPERLINK("https://pld.live/RapDetail.aspx?STONELIST=926410388","DNA")</f>
        <v>DNA</v>
      </c>
      <c r="D7161" s="18" t="s">
        <v>3174</v>
      </c>
      <c r="E7161" s="18" t="s">
        <v>2186</v>
      </c>
      <c r="F7161" s="2" t="s">
        <v>7987</v>
      </c>
      <c r="G7161" s="2" t="s">
        <v>2054</v>
      </c>
      <c r="H7161" s="14">
        <v>5.23</v>
      </c>
      <c r="I7161" s="2" t="s">
        <v>6587</v>
      </c>
      <c r="J7161" s="2" t="s">
        <v>13</v>
      </c>
      <c r="K7161" s="2" t="s">
        <v>1452</v>
      </c>
      <c r="L7161" s="2" t="s">
        <v>5221</v>
      </c>
      <c r="M7161" s="2" t="s">
        <v>5221</v>
      </c>
      <c r="N7161" s="2" t="s">
        <v>2317</v>
      </c>
      <c r="O7161" s="14">
        <v>42500</v>
      </c>
      <c r="P7161" s="14">
        <v>99.63</v>
      </c>
      <c r="Q7161" s="14">
        <v>157.25</v>
      </c>
      <c r="R7161" s="14">
        <v>822.42</v>
      </c>
      <c r="S7161" s="2" t="s">
        <v>206</v>
      </c>
      <c r="T7161" s="2">
        <v>1.9</v>
      </c>
      <c r="U7161" s="2">
        <v>63.5</v>
      </c>
      <c r="V7161" s="2">
        <v>62</v>
      </c>
      <c r="W7161" s="2" t="s">
        <v>7862</v>
      </c>
      <c r="X7161" s="2" t="s">
        <v>5028</v>
      </c>
      <c r="Y7161" s="2">
        <v>222275</v>
      </c>
      <c r="Z7161" s="19" t="str">
        <f>HYPERLINK("https://ssdweb.co/ssdweb/hd/Vision360.html?d=926410388&amp;zoomslide=1&amp;z=1926410388&amp;ISCONFIRM=0","VIDEO")</f>
        <v>VIDEO</v>
      </c>
      <c r="AA7161" s="19" t="str">
        <f>HYPERLINK("https://ssdweb.co/ssdweb/CERTH/644490509.pdf","CERTI")</f>
        <v>CERTI</v>
      </c>
    </row>
    <row r="7162" spans="1:27" ht="15" x14ac:dyDescent="0.25">
      <c r="A7162" s="2">
        <v>7157</v>
      </c>
      <c r="B7162" s="39">
        <v>926420451</v>
      </c>
      <c r="C7162" s="28" t="str">
        <f>HYPERLINK("https://pld.live/RapDetail.aspx?STONELIST=926420451","DNA")</f>
        <v>DNA</v>
      </c>
      <c r="D7162" s="18" t="s">
        <v>3174</v>
      </c>
      <c r="E7162" s="18" t="s">
        <v>2186</v>
      </c>
      <c r="F7162" s="2" t="s">
        <v>7987</v>
      </c>
      <c r="G7162" s="2" t="s">
        <v>2054</v>
      </c>
      <c r="H7162" s="14">
        <v>5.23</v>
      </c>
      <c r="I7162" s="2" t="s">
        <v>6845</v>
      </c>
      <c r="J7162" s="2" t="s">
        <v>13</v>
      </c>
      <c r="K7162" s="2" t="s">
        <v>1452</v>
      </c>
      <c r="L7162" s="2" t="s">
        <v>5221</v>
      </c>
      <c r="M7162" s="2" t="s">
        <v>5221</v>
      </c>
      <c r="N7162" s="2" t="s">
        <v>2317</v>
      </c>
      <c r="O7162" s="14">
        <v>9500</v>
      </c>
      <c r="P7162" s="14">
        <v>96.11</v>
      </c>
      <c r="Q7162" s="14">
        <v>369.55</v>
      </c>
      <c r="R7162" s="14">
        <v>1932.75</v>
      </c>
      <c r="S7162" s="2" t="s">
        <v>541</v>
      </c>
      <c r="T7162" s="2">
        <v>2.09</v>
      </c>
      <c r="U7162" s="2">
        <v>61.7</v>
      </c>
      <c r="V7162" s="2">
        <v>61</v>
      </c>
      <c r="W7162" s="2" t="s">
        <v>7862</v>
      </c>
      <c r="X7162" s="2" t="s">
        <v>5028</v>
      </c>
      <c r="Y7162" s="2">
        <v>49685</v>
      </c>
      <c r="Z7162" s="19" t="str">
        <f>HYPERLINK("https://ssdweb.co/ssdweb/hd/Vision360.html?d=926420451&amp;zoomslide=1&amp;z=1926420451&amp;ISCONFIRM=0","VIDEO")</f>
        <v>VIDEO</v>
      </c>
      <c r="AA7162" s="19" t="str">
        <f>HYPERLINK("https://ssdweb.co/ssdweb/CERTH/649412684.pdf","CERTI")</f>
        <v>CERTI</v>
      </c>
    </row>
    <row r="7163" spans="1:27" ht="15" x14ac:dyDescent="0.25">
      <c r="A7163" s="2">
        <v>7158</v>
      </c>
      <c r="B7163" s="39">
        <v>926420440</v>
      </c>
      <c r="C7163" s="28" t="str">
        <f>HYPERLINK("https://pld.live/RapDetail.aspx?STONELIST=926420440","DNA")</f>
        <v>DNA</v>
      </c>
      <c r="D7163" s="18" t="s">
        <v>3174</v>
      </c>
      <c r="E7163" s="18" t="s">
        <v>2186</v>
      </c>
      <c r="F7163" s="2" t="s">
        <v>7987</v>
      </c>
      <c r="G7163" s="2" t="s">
        <v>2054</v>
      </c>
      <c r="H7163" s="14">
        <v>5.21</v>
      </c>
      <c r="I7163" s="2" t="s">
        <v>4761</v>
      </c>
      <c r="J7163" s="2" t="s">
        <v>13</v>
      </c>
      <c r="K7163" s="2" t="s">
        <v>1452</v>
      </c>
      <c r="L7163" s="2" t="s">
        <v>5221</v>
      </c>
      <c r="M7163" s="2" t="s">
        <v>5221</v>
      </c>
      <c r="N7163" s="2" t="s">
        <v>2317</v>
      </c>
      <c r="O7163" s="14">
        <v>52500</v>
      </c>
      <c r="P7163" s="14">
        <v>99.64</v>
      </c>
      <c r="Q7163" s="14">
        <v>189</v>
      </c>
      <c r="R7163" s="14">
        <v>984.69</v>
      </c>
      <c r="S7163" s="2" t="s">
        <v>4913</v>
      </c>
      <c r="T7163" s="2">
        <v>1.97</v>
      </c>
      <c r="U7163" s="2">
        <v>61.2</v>
      </c>
      <c r="V7163" s="2">
        <v>59</v>
      </c>
      <c r="W7163" s="2" t="s">
        <v>7862</v>
      </c>
      <c r="X7163" s="2" t="s">
        <v>5028</v>
      </c>
      <c r="Y7163" s="2">
        <v>273525</v>
      </c>
      <c r="Z7163" s="19" t="str">
        <f>HYPERLINK("https://ssdweb.co/ssdweb/hd/Vision360.html?d=926420440&amp;zoomslide=1&amp;z=1926420440&amp;ISCONFIRM=0","VIDEO")</f>
        <v>VIDEO</v>
      </c>
      <c r="AA7163" s="19" t="str">
        <f>HYPERLINK("https://ssdweb.co/ssdweb/CERTH/647449463.pdf","CERTI")</f>
        <v>CERTI</v>
      </c>
    </row>
    <row r="7164" spans="1:27" ht="15" x14ac:dyDescent="0.25">
      <c r="A7164" s="2">
        <v>7159</v>
      </c>
      <c r="B7164" s="39">
        <v>926410392</v>
      </c>
      <c r="C7164" s="28" t="str">
        <f>HYPERLINK("https://pld.live/RapDetail.aspx?STONELIST=926410392","DNA")</f>
        <v>DNA</v>
      </c>
      <c r="D7164" s="18" t="s">
        <v>3174</v>
      </c>
      <c r="E7164" s="18" t="s">
        <v>2186</v>
      </c>
      <c r="F7164" s="2" t="s">
        <v>7987</v>
      </c>
      <c r="G7164" s="2" t="s">
        <v>2054</v>
      </c>
      <c r="H7164" s="14">
        <v>5.21</v>
      </c>
      <c r="I7164" s="2" t="s">
        <v>4699</v>
      </c>
      <c r="J7164" s="2" t="s">
        <v>13</v>
      </c>
      <c r="K7164" s="2" t="s">
        <v>1452</v>
      </c>
      <c r="L7164" s="2" t="s">
        <v>5221</v>
      </c>
      <c r="M7164" s="2" t="s">
        <v>5221</v>
      </c>
      <c r="N7164" s="2" t="s">
        <v>2317</v>
      </c>
      <c r="O7164" s="14">
        <v>48500</v>
      </c>
      <c r="P7164" s="14">
        <v>99.65</v>
      </c>
      <c r="Q7164" s="14">
        <v>169.75</v>
      </c>
      <c r="R7164" s="14">
        <v>884.4</v>
      </c>
      <c r="S7164" s="2" t="s">
        <v>1419</v>
      </c>
      <c r="T7164" s="2">
        <v>1.99</v>
      </c>
      <c r="U7164" s="2">
        <v>62.1</v>
      </c>
      <c r="V7164" s="2">
        <v>63</v>
      </c>
      <c r="W7164" s="2" t="s">
        <v>7862</v>
      </c>
      <c r="X7164" s="2" t="s">
        <v>5028</v>
      </c>
      <c r="Y7164" s="2">
        <v>252685</v>
      </c>
      <c r="Z7164" s="19" t="str">
        <f>HYPERLINK("https://ssdweb.co/ssdweb/hd/Vision360.html?d=926410392&amp;zoomslide=1&amp;z=1926410392&amp;ISCONFIRM=0","VIDEO")</f>
        <v>VIDEO</v>
      </c>
      <c r="AA7164" s="19" t="str">
        <f>HYPERLINK("https://ssdweb.co/ssdweb/CERTH/644490496.pdf","CERTI")</f>
        <v>CERTI</v>
      </c>
    </row>
    <row r="7165" spans="1:27" ht="15" x14ac:dyDescent="0.25">
      <c r="A7165" s="2">
        <v>7160</v>
      </c>
      <c r="B7165" s="39">
        <v>941180085</v>
      </c>
      <c r="C7165" s="28" t="str">
        <f>HYPERLINK("https://pld.live/RapDetail.aspx?STONELIST=941180085","DNA")</f>
        <v>DNA</v>
      </c>
      <c r="D7165" s="18" t="s">
        <v>3174</v>
      </c>
      <c r="E7165" s="18" t="s">
        <v>2186</v>
      </c>
      <c r="F7165" s="2" t="s">
        <v>7987</v>
      </c>
      <c r="G7165" s="2" t="s">
        <v>2054</v>
      </c>
      <c r="H7165" s="14">
        <v>5.2</v>
      </c>
      <c r="I7165" s="2" t="s">
        <v>6587</v>
      </c>
      <c r="J7165" s="2" t="s">
        <v>13</v>
      </c>
      <c r="K7165" s="2" t="s">
        <v>1452</v>
      </c>
      <c r="L7165" s="2" t="s">
        <v>5221</v>
      </c>
      <c r="M7165" s="2" t="s">
        <v>5221</v>
      </c>
      <c r="N7165" s="2" t="s">
        <v>2317</v>
      </c>
      <c r="O7165" s="14">
        <v>42500</v>
      </c>
      <c r="P7165" s="14">
        <v>99.62</v>
      </c>
      <c r="Q7165" s="14">
        <v>161.5</v>
      </c>
      <c r="R7165" s="14">
        <v>839.8</v>
      </c>
      <c r="S7165" s="2" t="s">
        <v>2287</v>
      </c>
      <c r="T7165" s="2">
        <v>2.0099999999999998</v>
      </c>
      <c r="U7165" s="2">
        <v>61.1</v>
      </c>
      <c r="V7165" s="2">
        <v>64</v>
      </c>
      <c r="W7165" s="2" t="s">
        <v>7862</v>
      </c>
      <c r="X7165" s="2" t="s">
        <v>5028</v>
      </c>
      <c r="Y7165" s="2">
        <v>221000</v>
      </c>
      <c r="Z7165" s="19" t="str">
        <f>HYPERLINK("https://ssdweb.co/ssdweb/hd/Vision360.html?d=941180085&amp;zoomslide=1&amp;z=1941180085&amp;ISCONFIRM=0","VIDEO")</f>
        <v>VIDEO</v>
      </c>
      <c r="AA7165" s="19" t="str">
        <f>HYPERLINK("https://ssdweb.co/ssdweb/CERTH/675574499.pdf","CERTI")</f>
        <v>CERTI</v>
      </c>
    </row>
    <row r="7166" spans="1:27" ht="15" x14ac:dyDescent="0.25">
      <c r="A7166" s="2">
        <v>7161</v>
      </c>
      <c r="B7166" s="39">
        <v>926470423</v>
      </c>
      <c r="C7166" s="28" t="str">
        <f>HYPERLINK("https://pld.live/RapDetail.aspx?STONELIST=926470423","DNA")</f>
        <v>DNA</v>
      </c>
      <c r="D7166" s="18" t="s">
        <v>3174</v>
      </c>
      <c r="E7166" s="18" t="s">
        <v>2186</v>
      </c>
      <c r="F7166" s="2" t="s">
        <v>7987</v>
      </c>
      <c r="G7166" s="2" t="s">
        <v>2054</v>
      </c>
      <c r="H7166" s="14">
        <v>5.05</v>
      </c>
      <c r="I7166" s="2" t="s">
        <v>6587</v>
      </c>
      <c r="J7166" s="2" t="s">
        <v>13</v>
      </c>
      <c r="K7166" s="2" t="s">
        <v>1452</v>
      </c>
      <c r="L7166" s="2" t="s">
        <v>5221</v>
      </c>
      <c r="M7166" s="2" t="s">
        <v>5221</v>
      </c>
      <c r="N7166" s="2" t="s">
        <v>2317</v>
      </c>
      <c r="O7166" s="14">
        <v>42500</v>
      </c>
      <c r="P7166" s="14">
        <v>99.63</v>
      </c>
      <c r="Q7166" s="14">
        <v>157.25</v>
      </c>
      <c r="R7166" s="14">
        <v>794.11</v>
      </c>
      <c r="S7166" s="2" t="s">
        <v>3497</v>
      </c>
      <c r="T7166" s="2">
        <v>1.9</v>
      </c>
      <c r="U7166" s="2">
        <v>61.5</v>
      </c>
      <c r="V7166" s="2">
        <v>61</v>
      </c>
      <c r="W7166" s="2" t="s">
        <v>7862</v>
      </c>
      <c r="X7166" s="2" t="s">
        <v>5028</v>
      </c>
      <c r="Y7166" s="2">
        <v>214625</v>
      </c>
      <c r="Z7166" s="19" t="str">
        <f>HYPERLINK("https://ssdweb.co/ssdweb/hd/Vision360.html?d=926470423&amp;zoomslide=1&amp;z=1926470423&amp;ISCONFIRM=0","VIDEO")</f>
        <v>VIDEO</v>
      </c>
      <c r="AA7166" s="19" t="str">
        <f>HYPERLINK("https://ssdweb.co/ssdweb/CERTH/648492658.pdf","CERTI")</f>
        <v>CERTI</v>
      </c>
    </row>
    <row r="7167" spans="1:27" ht="15" x14ac:dyDescent="0.25">
      <c r="A7167" s="2">
        <v>7162</v>
      </c>
      <c r="B7167" s="39">
        <v>926590059</v>
      </c>
      <c r="C7167" s="28" t="str">
        <f>HYPERLINK("https://pld.live/RapDetail.aspx?STONELIST=926590059","DNA")</f>
        <v>DNA</v>
      </c>
      <c r="D7167" s="18" t="s">
        <v>3174</v>
      </c>
      <c r="E7167" s="18" t="s">
        <v>2186</v>
      </c>
      <c r="F7167" s="2" t="s">
        <v>7987</v>
      </c>
      <c r="G7167" s="2" t="s">
        <v>2054</v>
      </c>
      <c r="H7167" s="14">
        <v>5.03</v>
      </c>
      <c r="I7167" s="2" t="s">
        <v>6587</v>
      </c>
      <c r="J7167" s="2" t="s">
        <v>6555</v>
      </c>
      <c r="K7167" s="2" t="s">
        <v>1452</v>
      </c>
      <c r="L7167" s="2" t="s">
        <v>5221</v>
      </c>
      <c r="M7167" s="2" t="s">
        <v>5221</v>
      </c>
      <c r="N7167" s="2" t="s">
        <v>2317</v>
      </c>
      <c r="O7167" s="14">
        <v>47000</v>
      </c>
      <c r="P7167" s="14">
        <v>99.26</v>
      </c>
      <c r="Q7167" s="14">
        <v>347.8</v>
      </c>
      <c r="R7167" s="14">
        <v>1749.43</v>
      </c>
      <c r="S7167" s="2" t="s">
        <v>1140</v>
      </c>
      <c r="T7167" s="2">
        <v>2.12</v>
      </c>
      <c r="U7167" s="2">
        <v>62.1</v>
      </c>
      <c r="V7167" s="2">
        <v>62</v>
      </c>
      <c r="W7167" s="2" t="s">
        <v>7862</v>
      </c>
      <c r="X7167" s="2" t="s">
        <v>5028</v>
      </c>
      <c r="Y7167" s="2">
        <v>236410</v>
      </c>
      <c r="Z7167" s="19" t="str">
        <f>HYPERLINK("https://ssdweb.co/ssdweb/hd/Vision360.html?d=926590059&amp;zoomslide=1&amp;z=1926590059&amp;ISCONFIRM=0","VIDEO")</f>
        <v>VIDEO</v>
      </c>
      <c r="AA7167" s="19" t="str">
        <f>HYPERLINK("https://ssdweb.co/ssdweb/CERTH/651454574.pdf","CERTI")</f>
        <v>CERTI</v>
      </c>
    </row>
    <row r="7168" spans="1:27" ht="15" x14ac:dyDescent="0.25">
      <c r="A7168" s="2">
        <v>7163</v>
      </c>
      <c r="B7168" s="39">
        <v>821133310</v>
      </c>
      <c r="C7168" s="28" t="str">
        <f>HYPERLINK("https://pld.live/RapDetail.aspx?STONELIST=821133310","DNA")</f>
        <v>DNA</v>
      </c>
      <c r="D7168" s="18" t="s">
        <v>3134</v>
      </c>
      <c r="E7168" s="18" t="s">
        <v>1253</v>
      </c>
      <c r="F7168" s="2" t="s">
        <v>7987</v>
      </c>
      <c r="G7168" s="2" t="s">
        <v>2054</v>
      </c>
      <c r="H7168" s="14">
        <v>4</v>
      </c>
      <c r="I7168" s="2" t="s">
        <v>4699</v>
      </c>
      <c r="J7168" s="2" t="s">
        <v>3942</v>
      </c>
      <c r="K7168" s="2" t="s">
        <v>1452</v>
      </c>
      <c r="L7168" s="2" t="s">
        <v>5221</v>
      </c>
      <c r="M7168" s="2" t="s">
        <v>5221</v>
      </c>
      <c r="N7168" s="2" t="s">
        <v>2317</v>
      </c>
      <c r="O7168" s="14">
        <v>37000</v>
      </c>
      <c r="P7168" s="14">
        <v>99.46</v>
      </c>
      <c r="Q7168" s="14">
        <v>199.8</v>
      </c>
      <c r="R7168" s="14">
        <v>799.2</v>
      </c>
      <c r="S7168" s="2" t="s">
        <v>7942</v>
      </c>
      <c r="T7168" s="2">
        <v>1.91</v>
      </c>
      <c r="U7168" s="2">
        <v>64.2</v>
      </c>
      <c r="V7168" s="2">
        <v>61</v>
      </c>
      <c r="W7168" s="2" t="s">
        <v>7862</v>
      </c>
      <c r="X7168" s="2" t="s">
        <v>5028</v>
      </c>
      <c r="Y7168" s="2">
        <v>148000</v>
      </c>
      <c r="Z7168" s="19" t="str">
        <f>HYPERLINK("https://ssdweb.co/ssdweb/hd/Vision360.html?d=821133310&amp;zoomslide=1&amp;z=1821133310&amp;ISCONFIRM=0","VIDEO")</f>
        <v>VIDEO</v>
      </c>
      <c r="AA7168" s="19" t="str">
        <f>HYPERLINK("https://ssdweb.co/ssdweb/CERTH/670484536.pdf","CERTI")</f>
        <v>CERTI</v>
      </c>
    </row>
    <row r="7169" spans="1:27" ht="15" x14ac:dyDescent="0.25">
      <c r="A7169" s="2">
        <v>7164</v>
      </c>
      <c r="B7169" s="39">
        <v>926470392</v>
      </c>
      <c r="C7169" s="28" t="str">
        <f>HYPERLINK("https://pld.live/RapDetail.aspx?STONELIST=926470392","DNA")</f>
        <v>DNA</v>
      </c>
      <c r="D7169" s="18" t="s">
        <v>3628</v>
      </c>
      <c r="E7169" s="18" t="s">
        <v>2186</v>
      </c>
      <c r="F7169" s="2" t="s">
        <v>7987</v>
      </c>
      <c r="G7169" s="2" t="s">
        <v>2054</v>
      </c>
      <c r="H7169" s="14">
        <v>3.63</v>
      </c>
      <c r="I7169" s="2" t="s">
        <v>6587</v>
      </c>
      <c r="J7169" s="2" t="s">
        <v>13</v>
      </c>
      <c r="K7169" s="2" t="s">
        <v>1452</v>
      </c>
      <c r="L7169" s="2" t="s">
        <v>5221</v>
      </c>
      <c r="M7169" s="2" t="s">
        <v>5221</v>
      </c>
      <c r="N7169" s="2" t="s">
        <v>2317</v>
      </c>
      <c r="O7169" s="14">
        <v>22500</v>
      </c>
      <c r="P7169" s="14">
        <v>99.36</v>
      </c>
      <c r="Q7169" s="14">
        <v>144</v>
      </c>
      <c r="R7169" s="14">
        <v>522.72</v>
      </c>
      <c r="S7169" s="2" t="s">
        <v>3611</v>
      </c>
      <c r="T7169" s="2">
        <v>2.04</v>
      </c>
      <c r="U7169" s="2">
        <v>61.2</v>
      </c>
      <c r="V7169" s="2">
        <v>59</v>
      </c>
      <c r="W7169" s="2" t="s">
        <v>7862</v>
      </c>
      <c r="X7169" s="2" t="s">
        <v>5028</v>
      </c>
      <c r="Y7169" s="2">
        <v>81675</v>
      </c>
      <c r="Z7169" s="19" t="str">
        <f>HYPERLINK("https://ssdweb.co/ssdweb/hd/Vision360.html?d=926470392&amp;zoomslide=1&amp;z=1926470392&amp;ISCONFIRM=0","VIDEO")</f>
        <v>VIDEO</v>
      </c>
      <c r="AA7169" s="19" t="str">
        <f>HYPERLINK("https://ssdweb.co/ssdweb/CERTH/646473017.pdf","CERTI")</f>
        <v>CERTI</v>
      </c>
    </row>
    <row r="7170" spans="1:27" ht="15" x14ac:dyDescent="0.25">
      <c r="A7170" s="2">
        <v>7165</v>
      </c>
      <c r="B7170" s="39">
        <v>941360599</v>
      </c>
      <c r="C7170" s="28" t="str">
        <f>HYPERLINK("https://pld.live/RapDetail.aspx?STONELIST=941360599","DNA")</f>
        <v>DNA</v>
      </c>
      <c r="D7170" s="18" t="s">
        <v>3628</v>
      </c>
      <c r="E7170" s="18" t="s">
        <v>2186</v>
      </c>
      <c r="F7170" s="2" t="s">
        <v>7987</v>
      </c>
      <c r="G7170" s="2" t="s">
        <v>2054</v>
      </c>
      <c r="H7170" s="14">
        <v>3.54</v>
      </c>
      <c r="I7170" s="2" t="s">
        <v>4761</v>
      </c>
      <c r="J7170" s="2" t="s">
        <v>13</v>
      </c>
      <c r="K7170" s="2" t="s">
        <v>1452</v>
      </c>
      <c r="L7170" s="2" t="s">
        <v>5221</v>
      </c>
      <c r="M7170" s="2" t="s">
        <v>5221</v>
      </c>
      <c r="N7170" s="2" t="s">
        <v>2317</v>
      </c>
      <c r="O7170" s="14">
        <v>27500</v>
      </c>
      <c r="P7170" s="14">
        <v>99.42</v>
      </c>
      <c r="Q7170" s="14">
        <v>159.5</v>
      </c>
      <c r="R7170" s="14">
        <v>564.63</v>
      </c>
      <c r="S7170" s="2" t="s">
        <v>6225</v>
      </c>
      <c r="T7170" s="2">
        <v>1.91</v>
      </c>
      <c r="U7170" s="2">
        <v>62.1</v>
      </c>
      <c r="V7170" s="2">
        <v>61</v>
      </c>
      <c r="W7170" s="2" t="s">
        <v>7862</v>
      </c>
      <c r="X7170" s="2" t="s">
        <v>5028</v>
      </c>
      <c r="Y7170" s="2">
        <v>97350</v>
      </c>
      <c r="Z7170" s="19" t="str">
        <f>HYPERLINK("https://ssdweb.co/ssdweb/hd/Vision360.html?d=941360599&amp;zoomslide=1&amp;z=1941360599&amp;ISCONFIRM=0","VIDEO")</f>
        <v>VIDEO</v>
      </c>
      <c r="AA7170" s="19" t="str">
        <f>HYPERLINK("https://ssdweb.co/ssdweb/CERTH/691577983.pdf","CERTI")</f>
        <v>CERTI</v>
      </c>
    </row>
    <row r="7171" spans="1:27" ht="15" x14ac:dyDescent="0.25">
      <c r="A7171" s="2">
        <v>7166</v>
      </c>
      <c r="B7171" s="39">
        <v>926360386</v>
      </c>
      <c r="C7171" s="28" t="str">
        <f>HYPERLINK("https://pld.live/RapDetail.aspx?STONELIST=926360386","DNA")</f>
        <v>DNA</v>
      </c>
      <c r="D7171" s="18" t="s">
        <v>4563</v>
      </c>
      <c r="E7171" s="18" t="s">
        <v>2186</v>
      </c>
      <c r="F7171" s="2" t="s">
        <v>7987</v>
      </c>
      <c r="G7171" s="2" t="s">
        <v>2054</v>
      </c>
      <c r="H7171" s="14">
        <v>3.25</v>
      </c>
      <c r="I7171" s="2" t="s">
        <v>1505</v>
      </c>
      <c r="J7171" s="2" t="s">
        <v>13</v>
      </c>
      <c r="K7171" s="2" t="s">
        <v>1452</v>
      </c>
      <c r="L7171" s="2" t="s">
        <v>5221</v>
      </c>
      <c r="M7171" s="2" t="s">
        <v>5221</v>
      </c>
      <c r="N7171" s="2" t="s">
        <v>2317</v>
      </c>
      <c r="O7171" s="14">
        <v>19500</v>
      </c>
      <c r="P7171" s="14">
        <v>99.32</v>
      </c>
      <c r="Q7171" s="14">
        <v>132.6</v>
      </c>
      <c r="R7171" s="14">
        <v>430.95</v>
      </c>
      <c r="S7171" s="2" t="s">
        <v>1090</v>
      </c>
      <c r="T7171" s="2">
        <v>2.1</v>
      </c>
      <c r="U7171" s="2">
        <v>61</v>
      </c>
      <c r="V7171" s="2">
        <v>62</v>
      </c>
      <c r="W7171" s="2" t="s">
        <v>7862</v>
      </c>
      <c r="X7171" s="2" t="s">
        <v>5028</v>
      </c>
      <c r="Y7171" s="2">
        <v>63375</v>
      </c>
      <c r="Z7171" s="19" t="str">
        <f>HYPERLINK("https://ssdweb.co/ssdweb/hd/Vision360.html?d=926360386&amp;zoomslide=1&amp;z=1926360386&amp;ISCONFIRM=0","VIDEO")</f>
        <v>VIDEO</v>
      </c>
      <c r="AA7171" s="19" t="str">
        <f>HYPERLINK("https://ssdweb.co/ssdweb/CERTH/643428142.pdf","CERTI")</f>
        <v>CERTI</v>
      </c>
    </row>
    <row r="7172" spans="1:27" ht="15" x14ac:dyDescent="0.25">
      <c r="A7172" s="2">
        <v>7167</v>
      </c>
      <c r="B7172" s="39">
        <v>925670111</v>
      </c>
      <c r="C7172" s="28" t="str">
        <f>HYPERLINK("https://pld.live/RapDetail.aspx?STONELIST=925670111","DNA")</f>
        <v>DNA</v>
      </c>
      <c r="D7172" s="18" t="s">
        <v>4563</v>
      </c>
      <c r="E7172" s="18" t="s">
        <v>2186</v>
      </c>
      <c r="F7172" s="2" t="s">
        <v>7987</v>
      </c>
      <c r="G7172" s="2" t="s">
        <v>2054</v>
      </c>
      <c r="H7172" s="14">
        <v>3.07</v>
      </c>
      <c r="I7172" s="2" t="s">
        <v>6587</v>
      </c>
      <c r="J7172" s="2" t="s">
        <v>13</v>
      </c>
      <c r="K7172" s="2" t="s">
        <v>1452</v>
      </c>
      <c r="L7172" s="2" t="s">
        <v>5221</v>
      </c>
      <c r="M7172" s="2" t="s">
        <v>5221</v>
      </c>
      <c r="N7172" s="2" t="s">
        <v>2317</v>
      </c>
      <c r="O7172" s="14">
        <v>22500</v>
      </c>
      <c r="P7172" s="14">
        <v>99.38</v>
      </c>
      <c r="Q7172" s="14">
        <v>139.5</v>
      </c>
      <c r="R7172" s="14">
        <v>428.27</v>
      </c>
      <c r="S7172" s="2" t="s">
        <v>2402</v>
      </c>
      <c r="T7172" s="2">
        <v>1.89</v>
      </c>
      <c r="U7172" s="2">
        <v>62.8</v>
      </c>
      <c r="V7172" s="2">
        <v>60</v>
      </c>
      <c r="W7172" s="2" t="s">
        <v>7862</v>
      </c>
      <c r="X7172" s="2" t="s">
        <v>5028</v>
      </c>
      <c r="Y7172" s="2">
        <v>69075</v>
      </c>
      <c r="Z7172" s="19" t="str">
        <f>HYPERLINK("https://ssdweb.co/ssdweb/hd/Vision360.html?d=925670111&amp;zoomslide=1&amp;z=1925670111&amp;ISCONFIRM=0","VIDEO")</f>
        <v>VIDEO</v>
      </c>
      <c r="AA7172" s="19" t="str">
        <f>HYPERLINK("https://ssdweb.co/ssdweb/CERTH/623446252.pdf","CERTI")</f>
        <v>CERTI</v>
      </c>
    </row>
    <row r="7173" spans="1:27" ht="15" x14ac:dyDescent="0.25">
      <c r="A7173" s="2">
        <v>7168</v>
      </c>
      <c r="B7173" s="39">
        <v>926560342</v>
      </c>
      <c r="C7173" s="28" t="str">
        <f>HYPERLINK("https://pld.live/RapDetail.aspx?STONELIST=926560342","DNA")</f>
        <v>DNA</v>
      </c>
      <c r="D7173" s="18" t="s">
        <v>4563</v>
      </c>
      <c r="E7173" s="18" t="s">
        <v>2186</v>
      </c>
      <c r="F7173" s="2" t="s">
        <v>7987</v>
      </c>
      <c r="G7173" s="2" t="s">
        <v>2054</v>
      </c>
      <c r="H7173" s="14">
        <v>3.03</v>
      </c>
      <c r="I7173" s="2" t="s">
        <v>6587</v>
      </c>
      <c r="J7173" s="2" t="s">
        <v>13</v>
      </c>
      <c r="K7173" s="2" t="s">
        <v>1452</v>
      </c>
      <c r="L7173" s="2" t="s">
        <v>5221</v>
      </c>
      <c r="M7173" s="2" t="s">
        <v>5221</v>
      </c>
      <c r="N7173" s="2" t="s">
        <v>2317</v>
      </c>
      <c r="O7173" s="14">
        <v>22500</v>
      </c>
      <c r="P7173" s="14">
        <v>99.36</v>
      </c>
      <c r="Q7173" s="14">
        <v>144</v>
      </c>
      <c r="R7173" s="14">
        <v>436.32</v>
      </c>
      <c r="S7173" s="2" t="s">
        <v>6823</v>
      </c>
      <c r="T7173" s="2">
        <v>1.87</v>
      </c>
      <c r="U7173" s="2">
        <v>62.2</v>
      </c>
      <c r="V7173" s="2">
        <v>61</v>
      </c>
      <c r="W7173" s="2" t="s">
        <v>7862</v>
      </c>
      <c r="X7173" s="2" t="s">
        <v>5028</v>
      </c>
      <c r="Y7173" s="2">
        <v>68175</v>
      </c>
      <c r="Z7173" s="19" t="str">
        <f>HYPERLINK("https://ssdweb.co/ssdweb/hd/Vision360.html?d=926560342&amp;zoomslide=1&amp;z=1926560342&amp;ISCONFIRM=0","VIDEO")</f>
        <v>VIDEO</v>
      </c>
      <c r="AA7173" s="19" t="str">
        <f>HYPERLINK("https://ssdweb.co/ssdweb/CERTH/647475651.pdf","CERTI")</f>
        <v>CERTI</v>
      </c>
    </row>
    <row r="7174" spans="1:27" ht="15" x14ac:dyDescent="0.25">
      <c r="A7174" s="2">
        <v>7169</v>
      </c>
      <c r="B7174" s="39">
        <v>941180097</v>
      </c>
      <c r="C7174" s="28" t="str">
        <f>HYPERLINK("https://pld.live/RapDetail.aspx?STONELIST=941180097","DNA")</f>
        <v>DNA</v>
      </c>
      <c r="D7174" s="18" t="s">
        <v>4563</v>
      </c>
      <c r="E7174" s="18" t="s">
        <v>2186</v>
      </c>
      <c r="F7174" s="2" t="s">
        <v>7987</v>
      </c>
      <c r="G7174" s="2" t="s">
        <v>2054</v>
      </c>
      <c r="H7174" s="14">
        <v>3.02</v>
      </c>
      <c r="I7174" s="2" t="s">
        <v>4699</v>
      </c>
      <c r="J7174" s="2" t="s">
        <v>13</v>
      </c>
      <c r="K7174" s="2" t="s">
        <v>1452</v>
      </c>
      <c r="L7174" s="2" t="s">
        <v>5221</v>
      </c>
      <c r="M7174" s="2" t="s">
        <v>5221</v>
      </c>
      <c r="N7174" s="2" t="s">
        <v>2317</v>
      </c>
      <c r="O7174" s="14">
        <v>25000</v>
      </c>
      <c r="P7174" s="14">
        <v>99.4</v>
      </c>
      <c r="Q7174" s="14">
        <v>150</v>
      </c>
      <c r="R7174" s="14">
        <v>453</v>
      </c>
      <c r="S7174" s="2" t="s">
        <v>6295</v>
      </c>
      <c r="T7174" s="2">
        <v>1.95</v>
      </c>
      <c r="U7174" s="2">
        <v>60.8</v>
      </c>
      <c r="V7174" s="2">
        <v>61</v>
      </c>
      <c r="W7174" s="2" t="s">
        <v>7862</v>
      </c>
      <c r="X7174" s="2" t="s">
        <v>5028</v>
      </c>
      <c r="Y7174" s="2">
        <v>75500</v>
      </c>
      <c r="Z7174" s="19" t="str">
        <f>HYPERLINK("https://ssdweb.co/ssdweb/hd/Vision360.html?d=941180097&amp;zoomslide=1&amp;z=1941180097&amp;ISCONFIRM=0","VIDEO")</f>
        <v>VIDEO</v>
      </c>
      <c r="AA7174" s="19" t="str">
        <f>HYPERLINK("https://ssdweb.co/ssdweb/CERTH/677510548.pdf","CERTI")</f>
        <v>CERTI</v>
      </c>
    </row>
    <row r="7175" spans="1:27" ht="15" x14ac:dyDescent="0.25">
      <c r="A7175" s="2">
        <v>7170</v>
      </c>
      <c r="B7175" s="39">
        <v>941360610</v>
      </c>
      <c r="C7175" s="28" t="str">
        <f>HYPERLINK("https://pld.live/RapDetail.aspx?STONELIST=941360610","DNA")</f>
        <v>DNA</v>
      </c>
      <c r="D7175" s="18" t="s">
        <v>4563</v>
      </c>
      <c r="E7175" s="18" t="s">
        <v>2186</v>
      </c>
      <c r="F7175" s="2" t="s">
        <v>7987</v>
      </c>
      <c r="G7175" s="2" t="s">
        <v>2054</v>
      </c>
      <c r="H7175" s="14">
        <v>3.01</v>
      </c>
      <c r="I7175" s="2" t="s">
        <v>267</v>
      </c>
      <c r="J7175" s="2" t="s">
        <v>13</v>
      </c>
      <c r="K7175" s="2" t="s">
        <v>1452</v>
      </c>
      <c r="L7175" s="2" t="s">
        <v>5221</v>
      </c>
      <c r="M7175" s="2" t="s">
        <v>5221</v>
      </c>
      <c r="N7175" s="2" t="s">
        <v>2317</v>
      </c>
      <c r="O7175" s="14">
        <v>30000</v>
      </c>
      <c r="P7175" s="14">
        <v>99.4</v>
      </c>
      <c r="Q7175" s="14">
        <v>180</v>
      </c>
      <c r="R7175" s="14">
        <v>541.79999999999995</v>
      </c>
      <c r="S7175" s="2" t="s">
        <v>2376</v>
      </c>
      <c r="T7175" s="2">
        <v>2.1</v>
      </c>
      <c r="U7175" s="2">
        <v>61.5</v>
      </c>
      <c r="V7175" s="2">
        <v>61</v>
      </c>
      <c r="W7175" s="2" t="s">
        <v>7862</v>
      </c>
      <c r="X7175" s="2" t="s">
        <v>5028</v>
      </c>
      <c r="Y7175" s="2">
        <v>90300</v>
      </c>
      <c r="Z7175" s="19" t="str">
        <f>HYPERLINK("https://ssdweb.co/ssdweb/hd/Vision360.html?d=941360610&amp;zoomslide=1&amp;z=1941360610&amp;ISCONFIRM=0","VIDEO")</f>
        <v>VIDEO</v>
      </c>
      <c r="AA7175" s="19" t="str">
        <f>HYPERLINK("https://ssdweb.co/ssdweb/CERTH/692534200.pdf","CERTI")</f>
        <v>CERTI</v>
      </c>
    </row>
    <row r="7176" spans="1:27" ht="15" x14ac:dyDescent="0.25">
      <c r="A7176" s="2">
        <v>7171</v>
      </c>
      <c r="B7176" s="39">
        <v>924380415</v>
      </c>
      <c r="C7176" s="28" t="str">
        <f>HYPERLINK("https://pld.live/RapDetail.aspx?STONELIST=924380415","DNA")</f>
        <v>DNA</v>
      </c>
      <c r="D7176" s="18" t="s">
        <v>4563</v>
      </c>
      <c r="E7176" s="18" t="s">
        <v>2186</v>
      </c>
      <c r="F7176" s="2" t="s">
        <v>7987</v>
      </c>
      <c r="G7176" s="2" t="s">
        <v>2054</v>
      </c>
      <c r="H7176" s="14">
        <v>3.01</v>
      </c>
      <c r="I7176" s="2" t="s">
        <v>1505</v>
      </c>
      <c r="J7176" s="2" t="s">
        <v>13</v>
      </c>
      <c r="K7176" s="2" t="s">
        <v>1452</v>
      </c>
      <c r="L7176" s="2" t="s">
        <v>5221</v>
      </c>
      <c r="M7176" s="2" t="s">
        <v>5221</v>
      </c>
      <c r="N7176" s="2" t="s">
        <v>2317</v>
      </c>
      <c r="O7176" s="14">
        <v>19500</v>
      </c>
      <c r="P7176" s="14">
        <v>99.33</v>
      </c>
      <c r="Q7176" s="14">
        <v>130.65</v>
      </c>
      <c r="R7176" s="14">
        <v>393.26</v>
      </c>
      <c r="S7176" s="2" t="s">
        <v>347</v>
      </c>
      <c r="T7176" s="2">
        <v>1.86</v>
      </c>
      <c r="U7176" s="2">
        <v>64.2</v>
      </c>
      <c r="V7176" s="2">
        <v>64</v>
      </c>
      <c r="W7176" s="2" t="s">
        <v>7862</v>
      </c>
      <c r="X7176" s="2" t="s">
        <v>5028</v>
      </c>
      <c r="Y7176" s="2">
        <v>58695</v>
      </c>
      <c r="Z7176" s="19" t="str">
        <f>HYPERLINK("https://ssdweb.co/ssdweb/hd/Vision360.html?d=924380415&amp;zoomslide=1&amp;z=1924380415&amp;ISCONFIRM=0","VIDEO")</f>
        <v>VIDEO</v>
      </c>
      <c r="AA7176" s="19" t="str">
        <f>HYPERLINK("https://ssdweb.co/ssdweb/CERTH/592323168.pdf","CERTI")</f>
        <v>CERTI</v>
      </c>
    </row>
    <row r="7177" spans="1:27" ht="15" x14ac:dyDescent="0.25">
      <c r="A7177" s="2">
        <v>7172</v>
      </c>
      <c r="B7177" s="39">
        <v>941390588</v>
      </c>
      <c r="C7177" s="28" t="str">
        <f>HYPERLINK("https://pld.live/RapDetail.aspx?STONELIST=941390588","DNA")</f>
        <v>DNA</v>
      </c>
      <c r="D7177" s="18" t="s">
        <v>4563</v>
      </c>
      <c r="E7177" s="18" t="s">
        <v>2186</v>
      </c>
      <c r="F7177" s="2" t="s">
        <v>7987</v>
      </c>
      <c r="G7177" s="2" t="s">
        <v>2054</v>
      </c>
      <c r="H7177" s="14">
        <v>3</v>
      </c>
      <c r="I7177" s="2" t="s">
        <v>4761</v>
      </c>
      <c r="J7177" s="2" t="s">
        <v>3942</v>
      </c>
      <c r="K7177" s="2" t="s">
        <v>1452</v>
      </c>
      <c r="L7177" s="2" t="s">
        <v>5221</v>
      </c>
      <c r="M7177" s="2" t="s">
        <v>5221</v>
      </c>
      <c r="N7177" s="2" t="s">
        <v>2317</v>
      </c>
      <c r="O7177" s="14">
        <v>29500</v>
      </c>
      <c r="P7177" s="14">
        <v>99.39</v>
      </c>
      <c r="Q7177" s="14">
        <v>179.95</v>
      </c>
      <c r="R7177" s="14">
        <v>539.85</v>
      </c>
      <c r="S7177" s="2" t="s">
        <v>1982</v>
      </c>
      <c r="T7177" s="2">
        <v>1.91</v>
      </c>
      <c r="U7177" s="2">
        <v>62.5</v>
      </c>
      <c r="V7177" s="2">
        <v>61</v>
      </c>
      <c r="W7177" s="2" t="s">
        <v>7862</v>
      </c>
      <c r="X7177" s="2" t="s">
        <v>5028</v>
      </c>
      <c r="Y7177" s="2">
        <v>88500</v>
      </c>
      <c r="Z7177" s="19" t="str">
        <f>HYPERLINK("https://ssdweb.co/ssdweb/hd/Vision360.html?d=941390588&amp;zoomslide=1&amp;z=1941390588&amp;ISCONFIRM=0","VIDEO")</f>
        <v>VIDEO</v>
      </c>
      <c r="AA7177" s="19" t="str">
        <f>HYPERLINK("https://ssdweb.co/ssdweb/CERTH/692534199.pdf","CERTI")</f>
        <v>CERTI</v>
      </c>
    </row>
    <row r="7178" spans="1:27" ht="15" x14ac:dyDescent="0.25">
      <c r="A7178" s="2">
        <v>7173</v>
      </c>
      <c r="B7178" s="39">
        <v>927020677</v>
      </c>
      <c r="C7178" s="28" t="str">
        <f>HYPERLINK("https://pld.live/RapDetail.aspx?STONELIST=927020677","DNA")</f>
        <v>DNA</v>
      </c>
      <c r="D7178" s="18" t="s">
        <v>2694</v>
      </c>
      <c r="E7178" s="18" t="s">
        <v>2186</v>
      </c>
      <c r="F7178" s="2" t="s">
        <v>7987</v>
      </c>
      <c r="G7178" s="2" t="s">
        <v>2054</v>
      </c>
      <c r="H7178" s="14">
        <v>2.87</v>
      </c>
      <c r="I7178" s="2" t="s">
        <v>4699</v>
      </c>
      <c r="J7178" s="2" t="s">
        <v>13</v>
      </c>
      <c r="K7178" s="2" t="s">
        <v>1452</v>
      </c>
      <c r="L7178" s="2" t="s">
        <v>5221</v>
      </c>
      <c r="M7178" s="2" t="s">
        <v>5221</v>
      </c>
      <c r="N7178" s="2" t="s">
        <v>2317</v>
      </c>
      <c r="O7178" s="14">
        <v>15000</v>
      </c>
      <c r="P7178" s="14">
        <v>99.07</v>
      </c>
      <c r="Q7178" s="14">
        <v>139.5</v>
      </c>
      <c r="R7178" s="14">
        <v>400.37</v>
      </c>
      <c r="S7178" s="2" t="s">
        <v>3914</v>
      </c>
      <c r="T7178" s="2">
        <v>1.89</v>
      </c>
      <c r="U7178" s="2">
        <v>62.6</v>
      </c>
      <c r="V7178" s="2">
        <v>60</v>
      </c>
      <c r="W7178" s="2" t="s">
        <v>7862</v>
      </c>
      <c r="X7178" s="2" t="s">
        <v>5028</v>
      </c>
      <c r="Y7178" s="2">
        <v>43050</v>
      </c>
      <c r="Z7178" s="19" t="str">
        <f>HYPERLINK("https://ssdweb.co/ssdweb/hd/Vision360.html?d=927020677&amp;zoomslide=1&amp;z=1927020677&amp;ISCONFIRM=0","VIDEO")</f>
        <v>VIDEO</v>
      </c>
      <c r="AA7178" s="19" t="str">
        <f>HYPERLINK("https://ssdweb.co/ssdweb/CERTH/670484460.pdf","CERTI")</f>
        <v>CERTI</v>
      </c>
    </row>
    <row r="7179" spans="1:27" ht="15" x14ac:dyDescent="0.25">
      <c r="A7179" s="2">
        <v>7174</v>
      </c>
      <c r="B7179" s="39">
        <v>926410444</v>
      </c>
      <c r="C7179" s="28" t="str">
        <f>HYPERLINK("https://pld.live/RapDetail.aspx?STONELIST=926410444","DNA")</f>
        <v>DNA</v>
      </c>
      <c r="D7179" s="18" t="s">
        <v>2694</v>
      </c>
      <c r="E7179" s="18" t="s">
        <v>2186</v>
      </c>
      <c r="F7179" s="2" t="s">
        <v>7987</v>
      </c>
      <c r="G7179" s="2" t="s">
        <v>2054</v>
      </c>
      <c r="H7179" s="14">
        <v>2.84</v>
      </c>
      <c r="I7179" s="2" t="s">
        <v>4699</v>
      </c>
      <c r="J7179" s="2" t="s">
        <v>13</v>
      </c>
      <c r="K7179" s="2" t="s">
        <v>1452</v>
      </c>
      <c r="L7179" s="2" t="s">
        <v>5221</v>
      </c>
      <c r="M7179" s="2" t="s">
        <v>5221</v>
      </c>
      <c r="N7179" s="2" t="s">
        <v>2317</v>
      </c>
      <c r="O7179" s="14">
        <v>15000</v>
      </c>
      <c r="P7179" s="14">
        <v>99.08</v>
      </c>
      <c r="Q7179" s="14">
        <v>138</v>
      </c>
      <c r="R7179" s="14">
        <v>391.92</v>
      </c>
      <c r="S7179" s="2" t="s">
        <v>3760</v>
      </c>
      <c r="T7179" s="2">
        <v>2.09</v>
      </c>
      <c r="U7179" s="2">
        <v>62.6</v>
      </c>
      <c r="V7179" s="2">
        <v>60</v>
      </c>
      <c r="W7179" s="2" t="s">
        <v>7862</v>
      </c>
      <c r="X7179" s="2" t="s">
        <v>5028</v>
      </c>
      <c r="Y7179" s="2">
        <v>42600</v>
      </c>
      <c r="Z7179" s="19" t="str">
        <f>HYPERLINK("https://ssdweb.co/ssdweb/hd/Vision360.html?d=926410444&amp;zoomslide=1&amp;z=1926410444&amp;ISCONFIRM=0","VIDEO")</f>
        <v>VIDEO</v>
      </c>
      <c r="AA7179" s="19" t="str">
        <f>HYPERLINK("https://ssdweb.co/ssdweb/CERTH/660489686.pdf","CERTI")</f>
        <v>CERTI</v>
      </c>
    </row>
    <row r="7180" spans="1:27" ht="15" x14ac:dyDescent="0.25">
      <c r="A7180" s="2">
        <v>7175</v>
      </c>
      <c r="B7180" s="39">
        <v>941060546</v>
      </c>
      <c r="C7180" s="28" t="str">
        <f>HYPERLINK("https://pld.live/RapDetail.aspx?STONELIST=941060546","DNA")</f>
        <v>DNA</v>
      </c>
      <c r="D7180" s="18" t="s">
        <v>2694</v>
      </c>
      <c r="E7180" s="18" t="s">
        <v>2186</v>
      </c>
      <c r="F7180" s="2" t="s">
        <v>7987</v>
      </c>
      <c r="G7180" s="2" t="s">
        <v>2054</v>
      </c>
      <c r="H7180" s="14">
        <v>2.71</v>
      </c>
      <c r="I7180" s="2" t="s">
        <v>4761</v>
      </c>
      <c r="J7180" s="2" t="s">
        <v>13</v>
      </c>
      <c r="K7180" s="2" t="s">
        <v>1452</v>
      </c>
      <c r="L7180" s="2" t="s">
        <v>5221</v>
      </c>
      <c r="M7180" s="2" t="s">
        <v>5221</v>
      </c>
      <c r="N7180" s="2" t="s">
        <v>2317</v>
      </c>
      <c r="O7180" s="14">
        <v>16000</v>
      </c>
      <c r="P7180" s="14">
        <v>99.09</v>
      </c>
      <c r="Q7180" s="14">
        <v>145.6</v>
      </c>
      <c r="R7180" s="14">
        <v>394.58</v>
      </c>
      <c r="S7180" s="2" t="s">
        <v>2252</v>
      </c>
      <c r="T7180" s="2">
        <v>1.93</v>
      </c>
      <c r="U7180" s="2">
        <v>61.5</v>
      </c>
      <c r="V7180" s="2">
        <v>61</v>
      </c>
      <c r="W7180" s="2" t="s">
        <v>7862</v>
      </c>
      <c r="X7180" s="2" t="s">
        <v>5028</v>
      </c>
      <c r="Y7180" s="2">
        <v>43360</v>
      </c>
      <c r="Z7180" s="19" t="str">
        <f>HYPERLINK("https://ssdweb.co/ssdweb/hd/Vision360.html?d=941060546&amp;zoomslide=1&amp;z=1941060546&amp;ISCONFIRM=0","VIDEO")</f>
        <v>VIDEO</v>
      </c>
      <c r="AA7180" s="19" t="str">
        <f>HYPERLINK("https://ssdweb.co/ssdweb/CERTH/674532536.pdf","CERTI")</f>
        <v>CERTI</v>
      </c>
    </row>
    <row r="7181" spans="1:27" ht="15" x14ac:dyDescent="0.25">
      <c r="A7181" s="2">
        <v>7176</v>
      </c>
      <c r="B7181" s="39">
        <v>927070901</v>
      </c>
      <c r="C7181" s="28" t="str">
        <f>HYPERLINK("https://pld.live/RapDetail.aspx?STONELIST=927070901","DNA")</f>
        <v>DNA</v>
      </c>
      <c r="D7181" s="18" t="s">
        <v>5154</v>
      </c>
      <c r="E7181" s="18" t="s">
        <v>2186</v>
      </c>
      <c r="F7181" s="2" t="s">
        <v>7987</v>
      </c>
      <c r="G7181" s="2" t="s">
        <v>2054</v>
      </c>
      <c r="H7181" s="14">
        <v>2.48</v>
      </c>
      <c r="I7181" s="2" t="s">
        <v>4761</v>
      </c>
      <c r="J7181" s="2" t="s">
        <v>13</v>
      </c>
      <c r="K7181" s="2" t="s">
        <v>1452</v>
      </c>
      <c r="L7181" s="2" t="s">
        <v>5221</v>
      </c>
      <c r="M7181" s="2" t="s">
        <v>5221</v>
      </c>
      <c r="N7181" s="2" t="s">
        <v>2317</v>
      </c>
      <c r="O7181" s="14">
        <v>16000</v>
      </c>
      <c r="P7181" s="14">
        <v>99.09</v>
      </c>
      <c r="Q7181" s="14">
        <v>145.6</v>
      </c>
      <c r="R7181" s="14">
        <v>361.09</v>
      </c>
      <c r="S7181" s="2" t="s">
        <v>3093</v>
      </c>
      <c r="T7181" s="2">
        <v>1.89</v>
      </c>
      <c r="U7181" s="2">
        <v>61.4</v>
      </c>
      <c r="V7181" s="2">
        <v>61</v>
      </c>
      <c r="W7181" s="2" t="s">
        <v>7862</v>
      </c>
      <c r="X7181" s="2" t="s">
        <v>5028</v>
      </c>
      <c r="Y7181" s="2">
        <v>39680</v>
      </c>
      <c r="Z7181" s="19" t="str">
        <f>HYPERLINK("https://ssdweb.co/ssdweb/hd/Vision360.html?d=927070901&amp;zoomslide=1&amp;z=1927070901&amp;ISCONFIRM=0","VIDEO")</f>
        <v>VIDEO</v>
      </c>
      <c r="AA7181" s="19" t="str">
        <f>HYPERLINK("https://ssdweb.co/ssdweb/CERTH/671477234.pdf","CERTI")</f>
        <v>CERTI</v>
      </c>
    </row>
    <row r="7182" spans="1:27" ht="15" x14ac:dyDescent="0.25">
      <c r="A7182" s="2">
        <v>7177</v>
      </c>
      <c r="B7182" s="39">
        <v>831020401</v>
      </c>
      <c r="C7182" s="28" t="str">
        <f>HYPERLINK("https://pld.live/RapDetail.aspx?STONELIST=831020401","DNA")</f>
        <v>DNA</v>
      </c>
      <c r="D7182" s="18" t="s">
        <v>5154</v>
      </c>
      <c r="E7182" s="18" t="s">
        <v>2186</v>
      </c>
      <c r="F7182" s="2" t="s">
        <v>5597</v>
      </c>
      <c r="G7182" s="2" t="s">
        <v>2054</v>
      </c>
      <c r="H7182" s="14">
        <v>2.4700000000000002</v>
      </c>
      <c r="I7182" s="2" t="s">
        <v>6587</v>
      </c>
      <c r="J7182" s="2" t="s">
        <v>13</v>
      </c>
      <c r="K7182" s="2" t="s">
        <v>1452</v>
      </c>
      <c r="L7182" s="2" t="s">
        <v>5221</v>
      </c>
      <c r="M7182" s="2" t="s">
        <v>5221</v>
      </c>
      <c r="N7182" s="2" t="s">
        <v>2317</v>
      </c>
      <c r="O7182" s="14">
        <v>14000</v>
      </c>
      <c r="P7182" s="14">
        <v>98.36</v>
      </c>
      <c r="Q7182" s="14">
        <v>229.6</v>
      </c>
      <c r="R7182" s="14">
        <v>567.11</v>
      </c>
      <c r="S7182" s="2" t="s">
        <v>4650</v>
      </c>
      <c r="T7182" s="2">
        <v>1.91</v>
      </c>
      <c r="U7182" s="2">
        <v>62.8</v>
      </c>
      <c r="V7182" s="2">
        <v>61</v>
      </c>
      <c r="W7182" s="2" t="s">
        <v>7862</v>
      </c>
      <c r="X7182" s="2" t="s">
        <v>5028</v>
      </c>
      <c r="Y7182" s="2">
        <v>34580</v>
      </c>
      <c r="Z7182" s="19" t="str">
        <f>HYPERLINK("https://ssdweb.co/ssdweb/hd/Vision360.html?d=831020401&amp;zoomslide=1&amp;z=1831020401&amp;ISCONFIRM=0","VIDEO")</f>
        <v>VIDEO</v>
      </c>
      <c r="AA7182" s="19" t="str">
        <f>HYPERLINK("https://ssdweb.co/ssdweb/CERTH/2477311543.pdf","CERTI")</f>
        <v>CERTI</v>
      </c>
    </row>
    <row r="7183" spans="1:27" ht="15" x14ac:dyDescent="0.25">
      <c r="A7183" s="2">
        <v>7178</v>
      </c>
      <c r="B7183" s="39">
        <v>924950028</v>
      </c>
      <c r="C7183" s="28" t="str">
        <f>HYPERLINK("https://pld.live/RapDetail.aspx?STONELIST=924950028","DNA")</f>
        <v>DNA</v>
      </c>
      <c r="D7183" s="18" t="s">
        <v>5154</v>
      </c>
      <c r="E7183" s="18" t="s">
        <v>2186</v>
      </c>
      <c r="F7183" s="2" t="s">
        <v>7987</v>
      </c>
      <c r="G7183" s="2" t="s">
        <v>2054</v>
      </c>
      <c r="H7183" s="14">
        <v>2.41</v>
      </c>
      <c r="I7183" s="2" t="s">
        <v>6587</v>
      </c>
      <c r="J7183" s="2" t="s">
        <v>5144</v>
      </c>
      <c r="K7183" s="2" t="s">
        <v>1452</v>
      </c>
      <c r="L7183" s="2" t="s">
        <v>5221</v>
      </c>
      <c r="M7183" s="2" t="s">
        <v>5221</v>
      </c>
      <c r="N7183" s="2" t="s">
        <v>2317</v>
      </c>
      <c r="O7183" s="14">
        <v>13000</v>
      </c>
      <c r="P7183" s="14">
        <v>99.05</v>
      </c>
      <c r="Q7183" s="14">
        <v>123.5</v>
      </c>
      <c r="R7183" s="14">
        <v>297.64</v>
      </c>
      <c r="S7183" s="2" t="s">
        <v>7964</v>
      </c>
      <c r="T7183" s="2">
        <v>1.9</v>
      </c>
      <c r="U7183" s="2">
        <v>61.3</v>
      </c>
      <c r="V7183" s="2">
        <v>62</v>
      </c>
      <c r="W7183" s="2" t="s">
        <v>8016</v>
      </c>
      <c r="X7183" s="2" t="s">
        <v>5028</v>
      </c>
      <c r="Y7183" s="2">
        <v>31330</v>
      </c>
      <c r="Z7183" s="19" t="str">
        <f>HYPERLINK("https://ssdweb.co/ssdweb/hd/Vision360.html?d=924950028&amp;zoomslide=1&amp;z=1924950028&amp;ISCONFIRM=0","VIDEO")</f>
        <v>VIDEO</v>
      </c>
      <c r="AA7183" s="19" t="str">
        <f>HYPERLINK("https://ssdweb.co/ssdweb/CERTH/602358405.pdf","CERTI")</f>
        <v>CERTI</v>
      </c>
    </row>
    <row r="7184" spans="1:27" ht="15" x14ac:dyDescent="0.25">
      <c r="A7184" s="2">
        <v>7179</v>
      </c>
      <c r="B7184" s="39">
        <v>927020704</v>
      </c>
      <c r="C7184" s="28" t="str">
        <f>HYPERLINK("https://pld.live/RapDetail.aspx?STONELIST=927020704","DNA")</f>
        <v>DNA</v>
      </c>
      <c r="D7184" s="18" t="s">
        <v>5154</v>
      </c>
      <c r="E7184" s="18" t="s">
        <v>2186</v>
      </c>
      <c r="F7184" s="2" t="s">
        <v>7987</v>
      </c>
      <c r="G7184" s="2" t="s">
        <v>2054</v>
      </c>
      <c r="H7184" s="14">
        <v>2.4</v>
      </c>
      <c r="I7184" s="2" t="s">
        <v>4761</v>
      </c>
      <c r="J7184" s="2" t="s">
        <v>13</v>
      </c>
      <c r="K7184" s="2" t="s">
        <v>1452</v>
      </c>
      <c r="L7184" s="2" t="s">
        <v>5221</v>
      </c>
      <c r="M7184" s="2" t="s">
        <v>5221</v>
      </c>
      <c r="N7184" s="2" t="s">
        <v>2317</v>
      </c>
      <c r="O7184" s="14">
        <v>16000</v>
      </c>
      <c r="P7184" s="14">
        <v>99.09</v>
      </c>
      <c r="Q7184" s="14">
        <v>145.6</v>
      </c>
      <c r="R7184" s="14">
        <v>349.44</v>
      </c>
      <c r="S7184" s="2" t="s">
        <v>3618</v>
      </c>
      <c r="T7184" s="2">
        <v>1.91</v>
      </c>
      <c r="U7184" s="2">
        <v>64.3</v>
      </c>
      <c r="V7184" s="2">
        <v>62</v>
      </c>
      <c r="W7184" s="2" t="s">
        <v>7862</v>
      </c>
      <c r="X7184" s="2" t="s">
        <v>5028</v>
      </c>
      <c r="Y7184" s="2">
        <v>38400</v>
      </c>
      <c r="Z7184" s="19" t="str">
        <f>HYPERLINK("https://ssdweb.co/ssdweb/hd/Vision360.html?d=927020704&amp;zoomslide=1&amp;z=1927020704&amp;ISCONFIRM=0","VIDEO")</f>
        <v>VIDEO</v>
      </c>
      <c r="AA7184" s="19" t="str">
        <f>HYPERLINK("https://ssdweb.co/ssdweb/CERTH/670484504.pdf","CERTI")</f>
        <v>CERTI</v>
      </c>
    </row>
    <row r="7185" spans="1:27" ht="15" x14ac:dyDescent="0.25">
      <c r="A7185" s="2">
        <v>7180</v>
      </c>
      <c r="B7185" s="39">
        <v>831020618</v>
      </c>
      <c r="C7185" s="28" t="str">
        <f>HYPERLINK("https://pld.live/RapDetail.aspx?STONELIST=831020618","DNA")</f>
        <v>DNA</v>
      </c>
      <c r="D7185" s="18" t="s">
        <v>5154</v>
      </c>
      <c r="E7185" s="18" t="s">
        <v>2186</v>
      </c>
      <c r="F7185" s="2" t="s">
        <v>7987</v>
      </c>
      <c r="G7185" s="2" t="s">
        <v>2054</v>
      </c>
      <c r="H7185" s="14">
        <v>2.4</v>
      </c>
      <c r="I7185" s="2" t="s">
        <v>1505</v>
      </c>
      <c r="J7185" s="2" t="s">
        <v>13</v>
      </c>
      <c r="K7185" s="2" t="s">
        <v>1452</v>
      </c>
      <c r="L7185" s="2" t="s">
        <v>5221</v>
      </c>
      <c r="M7185" s="2" t="s">
        <v>5221</v>
      </c>
      <c r="N7185" s="2" t="s">
        <v>2317</v>
      </c>
      <c r="O7185" s="14">
        <v>11500</v>
      </c>
      <c r="P7185" s="14">
        <v>98.91</v>
      </c>
      <c r="Q7185" s="14">
        <v>125.35</v>
      </c>
      <c r="R7185" s="14">
        <v>300.83999999999997</v>
      </c>
      <c r="S7185" s="2" t="s">
        <v>6188</v>
      </c>
      <c r="T7185" s="2">
        <v>1.86</v>
      </c>
      <c r="U7185" s="2">
        <v>64.2</v>
      </c>
      <c r="V7185" s="2">
        <v>58</v>
      </c>
      <c r="W7185" s="2" t="s">
        <v>7862</v>
      </c>
      <c r="X7185" s="2" t="s">
        <v>5028</v>
      </c>
      <c r="Y7185" s="2">
        <v>27600</v>
      </c>
      <c r="Z7185" s="19" t="str">
        <f>HYPERLINK("https://ssdweb.co/ssdweb/hd/Vision360.html?d=831020618&amp;zoomslide=1&amp;z=1831020618&amp;ISCONFIRM=0","VIDEO")</f>
        <v>VIDEO</v>
      </c>
      <c r="AA7185" s="19" t="str">
        <f>HYPERLINK("https://ssdweb.co/ssdweb/CERTH/551274450.pdf","CERTI")</f>
        <v>CERTI</v>
      </c>
    </row>
    <row r="7186" spans="1:27" ht="15" x14ac:dyDescent="0.25">
      <c r="A7186" s="2">
        <v>7181</v>
      </c>
      <c r="B7186" s="39">
        <v>925700187</v>
      </c>
      <c r="C7186" s="28" t="str">
        <f>HYPERLINK("https://pld.live/RapDetail.aspx?STONELIST=925700187","DNA")</f>
        <v>DNA</v>
      </c>
      <c r="D7186" s="18" t="s">
        <v>5154</v>
      </c>
      <c r="E7186" s="18" t="s">
        <v>2186</v>
      </c>
      <c r="F7186" s="2" t="s">
        <v>7987</v>
      </c>
      <c r="G7186" s="2" t="s">
        <v>2054</v>
      </c>
      <c r="H7186" s="14">
        <v>2.4</v>
      </c>
      <c r="I7186" s="2" t="s">
        <v>6874</v>
      </c>
      <c r="J7186" s="2" t="s">
        <v>13</v>
      </c>
      <c r="K7186" s="2" t="s">
        <v>1452</v>
      </c>
      <c r="L7186" s="2" t="s">
        <v>5221</v>
      </c>
      <c r="M7186" s="2" t="s">
        <v>5221</v>
      </c>
      <c r="N7186" s="2" t="s">
        <v>924</v>
      </c>
      <c r="O7186" s="14">
        <v>4300</v>
      </c>
      <c r="P7186" s="14">
        <v>91.86</v>
      </c>
      <c r="Q7186" s="14">
        <v>350.02</v>
      </c>
      <c r="R7186" s="14">
        <v>840.05</v>
      </c>
      <c r="S7186" s="2" t="s">
        <v>194</v>
      </c>
      <c r="T7186" s="2">
        <v>1.87</v>
      </c>
      <c r="U7186" s="2">
        <v>61.2</v>
      </c>
      <c r="V7186" s="2">
        <v>64</v>
      </c>
      <c r="W7186" s="2" t="s">
        <v>7862</v>
      </c>
      <c r="X7186" s="2" t="s">
        <v>5028</v>
      </c>
      <c r="Y7186" s="2">
        <v>10320</v>
      </c>
      <c r="Z7186" s="19" t="str">
        <f>HYPERLINK("https://ssdweb.co/ssdweb/hd/Vision360.html?d=925700187&amp;zoomslide=1&amp;z=1925700187&amp;ISCONFIRM=0","VIDEO")</f>
        <v>VIDEO</v>
      </c>
      <c r="AA7186" s="19" t="str">
        <f>HYPERLINK("https://ssdweb.co/ssdweb/CERTH/629479329.pdf","CERTI")</f>
        <v>CERTI</v>
      </c>
    </row>
    <row r="7187" spans="1:27" ht="15" x14ac:dyDescent="0.25">
      <c r="A7187" s="2">
        <v>7182</v>
      </c>
      <c r="B7187" s="39">
        <v>927020687</v>
      </c>
      <c r="C7187" s="28" t="str">
        <f>HYPERLINK("https://pld.live/RapDetail.aspx?STONELIST=927020687","DNA")</f>
        <v>DNA</v>
      </c>
      <c r="D7187" s="18" t="s">
        <v>5154</v>
      </c>
      <c r="E7187" s="18" t="s">
        <v>2186</v>
      </c>
      <c r="F7187" s="2" t="s">
        <v>7987</v>
      </c>
      <c r="G7187" s="2" t="s">
        <v>2054</v>
      </c>
      <c r="H7187" s="14">
        <v>2.3199999999999998</v>
      </c>
      <c r="I7187" s="2" t="s">
        <v>4699</v>
      </c>
      <c r="J7187" s="2" t="s">
        <v>3942</v>
      </c>
      <c r="K7187" s="2" t="s">
        <v>1452</v>
      </c>
      <c r="L7187" s="2" t="s">
        <v>5221</v>
      </c>
      <c r="M7187" s="2" t="s">
        <v>5221</v>
      </c>
      <c r="N7187" s="2" t="s">
        <v>2317</v>
      </c>
      <c r="O7187" s="14">
        <v>16000</v>
      </c>
      <c r="P7187" s="14">
        <v>99.06</v>
      </c>
      <c r="Q7187" s="14">
        <v>150.4</v>
      </c>
      <c r="R7187" s="14">
        <v>348.93</v>
      </c>
      <c r="S7187" s="2" t="s">
        <v>384</v>
      </c>
      <c r="T7187" s="2">
        <v>1.97</v>
      </c>
      <c r="U7187" s="2">
        <v>61</v>
      </c>
      <c r="V7187" s="2">
        <v>61</v>
      </c>
      <c r="W7187" s="2" t="s">
        <v>7862</v>
      </c>
      <c r="X7187" s="2" t="s">
        <v>5028</v>
      </c>
      <c r="Y7187" s="2">
        <v>37120</v>
      </c>
      <c r="Z7187" s="19" t="str">
        <f>HYPERLINK("https://ssdweb.co/ssdweb/hd/Vision360.html?d=927020687&amp;zoomslide=1&amp;z=1927020687&amp;ISCONFIRM=0","VIDEO")</f>
        <v>VIDEO</v>
      </c>
      <c r="AA7187" s="19" t="str">
        <f>HYPERLINK("https://ssdweb.co/ssdweb/CERTH/670484461.pdf","CERTI")</f>
        <v>CERTI</v>
      </c>
    </row>
    <row r="7188" spans="1:27" ht="15" x14ac:dyDescent="0.25">
      <c r="A7188" s="2">
        <v>7183</v>
      </c>
      <c r="B7188" s="39">
        <v>926130169</v>
      </c>
      <c r="C7188" s="28" t="str">
        <f>HYPERLINK("https://pld.live/RapDetail.aspx?STONELIST=926130169","DNA")</f>
        <v>DNA</v>
      </c>
      <c r="D7188" s="18" t="s">
        <v>3658</v>
      </c>
      <c r="E7188" s="18" t="s">
        <v>2186</v>
      </c>
      <c r="F7188" s="2" t="s">
        <v>7987</v>
      </c>
      <c r="G7188" s="2" t="s">
        <v>2054</v>
      </c>
      <c r="H7188" s="14">
        <v>2.2599999999999998</v>
      </c>
      <c r="I7188" s="2" t="s">
        <v>6587</v>
      </c>
      <c r="J7188" s="2" t="s">
        <v>13</v>
      </c>
      <c r="K7188" s="2" t="s">
        <v>1452</v>
      </c>
      <c r="L7188" s="2" t="s">
        <v>5221</v>
      </c>
      <c r="M7188" s="2" t="s">
        <v>5221</v>
      </c>
      <c r="N7188" s="2" t="s">
        <v>2317</v>
      </c>
      <c r="O7188" s="14">
        <v>14000</v>
      </c>
      <c r="P7188" s="14">
        <v>99.09</v>
      </c>
      <c r="Q7188" s="14">
        <v>127.4</v>
      </c>
      <c r="R7188" s="14">
        <v>287.92</v>
      </c>
      <c r="S7188" s="2" t="s">
        <v>1606</v>
      </c>
      <c r="T7188" s="2">
        <v>1.9</v>
      </c>
      <c r="U7188" s="2">
        <v>61.8</v>
      </c>
      <c r="V7188" s="2">
        <v>61</v>
      </c>
      <c r="W7188" s="2" t="s">
        <v>8016</v>
      </c>
      <c r="X7188" s="2" t="s">
        <v>5028</v>
      </c>
      <c r="Y7188" s="2">
        <v>31640</v>
      </c>
      <c r="Z7188" s="19" t="str">
        <f>HYPERLINK("https://ssdweb.co/ssdweb/hd/Vision360.html?d=926130169&amp;zoomslide=1&amp;z=1926130169&amp;ISCONFIRM=0","VIDEO")</f>
        <v>VIDEO</v>
      </c>
      <c r="AA7188" s="19" t="str">
        <f>HYPERLINK("https://ssdweb.co/ssdweb/CERTH/634431384.pdf","CERTI")</f>
        <v>CERTI</v>
      </c>
    </row>
    <row r="7189" spans="1:27" ht="15" x14ac:dyDescent="0.25">
      <c r="A7189" s="2">
        <v>7184</v>
      </c>
      <c r="B7189" s="39">
        <v>941390555</v>
      </c>
      <c r="C7189" s="28" t="str">
        <f>HYPERLINK("https://pld.live/RapDetail.aspx?STONELIST=941390555","DNA")</f>
        <v>DNA</v>
      </c>
      <c r="D7189" s="18" t="s">
        <v>3658</v>
      </c>
      <c r="E7189" s="18" t="s">
        <v>2186</v>
      </c>
      <c r="F7189" s="2" t="s">
        <v>7987</v>
      </c>
      <c r="G7189" s="2" t="s">
        <v>2054</v>
      </c>
      <c r="H7189" s="14">
        <v>2.21</v>
      </c>
      <c r="I7189" s="2" t="s">
        <v>4761</v>
      </c>
      <c r="J7189" s="2" t="s">
        <v>13</v>
      </c>
      <c r="K7189" s="2" t="s">
        <v>1452</v>
      </c>
      <c r="L7189" s="2" t="s">
        <v>5221</v>
      </c>
      <c r="M7189" s="2" t="s">
        <v>5221</v>
      </c>
      <c r="N7189" s="2" t="s">
        <v>2317</v>
      </c>
      <c r="O7189" s="14">
        <v>16000</v>
      </c>
      <c r="P7189" s="14">
        <v>99.09</v>
      </c>
      <c r="Q7189" s="14">
        <v>145.6</v>
      </c>
      <c r="R7189" s="14">
        <v>321.77999999999997</v>
      </c>
      <c r="S7189" s="2" t="s">
        <v>6112</v>
      </c>
      <c r="T7189" s="2">
        <v>1.9</v>
      </c>
      <c r="U7189" s="2">
        <v>62.9</v>
      </c>
      <c r="V7189" s="2">
        <v>60</v>
      </c>
      <c r="W7189" s="2" t="s">
        <v>7862</v>
      </c>
      <c r="X7189" s="2" t="s">
        <v>5028</v>
      </c>
      <c r="Y7189" s="2">
        <v>35360</v>
      </c>
      <c r="Z7189" s="19" t="str">
        <f>HYPERLINK("https://ssdweb.co/ssdweb/hd/Vision360.html?d=941390555&amp;zoomslide=1&amp;z=1941390555&amp;ISCONFIRM=0","VIDEO")</f>
        <v>VIDEO</v>
      </c>
      <c r="AA7189" s="19" t="str">
        <f>HYPERLINK("https://ssdweb.co/ssdweb/CERTH/691577946.pdf","CERTI")</f>
        <v>CERTI</v>
      </c>
    </row>
    <row r="7190" spans="1:27" ht="15" x14ac:dyDescent="0.25">
      <c r="A7190" s="2">
        <v>7185</v>
      </c>
      <c r="B7190" s="39">
        <v>927110105</v>
      </c>
      <c r="C7190" s="28" t="str">
        <f>HYPERLINK("https://pld.live/RapDetail.aspx?STONELIST=927110105","DNA")</f>
        <v>DNA</v>
      </c>
      <c r="D7190" s="18" t="s">
        <v>3658</v>
      </c>
      <c r="E7190" s="18" t="s">
        <v>2186</v>
      </c>
      <c r="F7190" s="2" t="s">
        <v>7987</v>
      </c>
      <c r="G7190" s="2" t="s">
        <v>2054</v>
      </c>
      <c r="H7190" s="14">
        <v>2.2000000000000002</v>
      </c>
      <c r="I7190" s="2" t="s">
        <v>4761</v>
      </c>
      <c r="J7190" s="2" t="s">
        <v>5144</v>
      </c>
      <c r="K7190" s="2" t="s">
        <v>1452</v>
      </c>
      <c r="L7190" s="2" t="s">
        <v>5221</v>
      </c>
      <c r="M7190" s="2" t="s">
        <v>5221</v>
      </c>
      <c r="N7190" s="2" t="s">
        <v>2317</v>
      </c>
      <c r="O7190" s="14">
        <v>15000</v>
      </c>
      <c r="P7190" s="14">
        <v>99.1</v>
      </c>
      <c r="Q7190" s="14">
        <v>135</v>
      </c>
      <c r="R7190" s="14">
        <v>297</v>
      </c>
      <c r="S7190" s="2" t="s">
        <v>2768</v>
      </c>
      <c r="T7190" s="2">
        <v>2.08</v>
      </c>
      <c r="U7190" s="2">
        <v>63.2</v>
      </c>
      <c r="V7190" s="2">
        <v>59</v>
      </c>
      <c r="W7190" s="2" t="s">
        <v>7862</v>
      </c>
      <c r="X7190" s="2" t="s">
        <v>5028</v>
      </c>
      <c r="Y7190" s="2">
        <v>33000</v>
      </c>
      <c r="Z7190" s="19" t="str">
        <f>HYPERLINK("https://ssdweb.co/ssdweb/hd/Vision360.html?d=927110105&amp;zoomslide=1&amp;z=1927110105&amp;ISCONFIRM=0","VIDEO")</f>
        <v>VIDEO</v>
      </c>
      <c r="AA7190" s="19" t="str">
        <f>HYPERLINK("https://ssdweb.co/ssdweb/CERTH/674532521.pdf","CERTI")</f>
        <v>CERTI</v>
      </c>
    </row>
    <row r="7191" spans="1:27" ht="15" x14ac:dyDescent="0.25">
      <c r="A7191" s="2">
        <v>7186</v>
      </c>
      <c r="B7191" s="39">
        <v>927120169</v>
      </c>
      <c r="C7191" s="28" t="str">
        <f>HYPERLINK("https://pld.live/RapDetail.aspx?STONELIST=927120169","DNA")</f>
        <v>DNA</v>
      </c>
      <c r="D7191" s="18" t="s">
        <v>3658</v>
      </c>
      <c r="E7191" s="18" t="s">
        <v>2186</v>
      </c>
      <c r="F7191" s="2" t="s">
        <v>7987</v>
      </c>
      <c r="G7191" s="2" t="s">
        <v>2054</v>
      </c>
      <c r="H7191" s="14">
        <v>2.2000000000000002</v>
      </c>
      <c r="I7191" s="2" t="s">
        <v>4699</v>
      </c>
      <c r="J7191" s="2" t="s">
        <v>3942</v>
      </c>
      <c r="K7191" s="2" t="s">
        <v>1452</v>
      </c>
      <c r="L7191" s="2" t="s">
        <v>5221</v>
      </c>
      <c r="M7191" s="2" t="s">
        <v>5221</v>
      </c>
      <c r="N7191" s="2" t="s">
        <v>2317</v>
      </c>
      <c r="O7191" s="14">
        <v>16000</v>
      </c>
      <c r="P7191" s="14">
        <v>99.06</v>
      </c>
      <c r="Q7191" s="14">
        <v>150.4</v>
      </c>
      <c r="R7191" s="14">
        <v>330.88</v>
      </c>
      <c r="S7191" s="2" t="s">
        <v>643</v>
      </c>
      <c r="T7191" s="2">
        <v>2.0099999999999998</v>
      </c>
      <c r="U7191" s="2">
        <v>61.7</v>
      </c>
      <c r="V7191" s="2">
        <v>64</v>
      </c>
      <c r="W7191" s="2" t="s">
        <v>7862</v>
      </c>
      <c r="X7191" s="2" t="s">
        <v>5028</v>
      </c>
      <c r="Y7191" s="2">
        <v>35200</v>
      </c>
      <c r="Z7191" s="19" t="str">
        <f>HYPERLINK("https://ssdweb.co/ssdweb/hd/Vision360.html?d=927120169&amp;zoomslide=1&amp;z=1927120169&amp;ISCONFIRM=0","VIDEO")</f>
        <v>VIDEO</v>
      </c>
      <c r="AA7191" s="19" t="str">
        <f>HYPERLINK("https://ssdweb.co/ssdweb/CERTH/671477249.pdf","CERTI")</f>
        <v>CERTI</v>
      </c>
    </row>
    <row r="7192" spans="1:27" ht="15" x14ac:dyDescent="0.25">
      <c r="A7192" s="2">
        <v>7187</v>
      </c>
      <c r="B7192" s="39">
        <v>927020705</v>
      </c>
      <c r="C7192" s="28" t="str">
        <f>HYPERLINK("https://pld.live/RapDetail.aspx?STONELIST=927020705","DNA")</f>
        <v>DNA</v>
      </c>
      <c r="D7192" s="18" t="s">
        <v>3658</v>
      </c>
      <c r="E7192" s="18" t="s">
        <v>2186</v>
      </c>
      <c r="F7192" s="2" t="s">
        <v>7987</v>
      </c>
      <c r="G7192" s="2" t="s">
        <v>2054</v>
      </c>
      <c r="H7192" s="14">
        <v>2.08</v>
      </c>
      <c r="I7192" s="2" t="s">
        <v>4761</v>
      </c>
      <c r="J7192" s="2" t="s">
        <v>13</v>
      </c>
      <c r="K7192" s="2" t="s">
        <v>1452</v>
      </c>
      <c r="L7192" s="2" t="s">
        <v>5221</v>
      </c>
      <c r="M7192" s="2" t="s">
        <v>5221</v>
      </c>
      <c r="N7192" s="2" t="s">
        <v>2317</v>
      </c>
      <c r="O7192" s="14">
        <v>16000</v>
      </c>
      <c r="P7192" s="14">
        <v>99.09</v>
      </c>
      <c r="Q7192" s="14">
        <v>145.6</v>
      </c>
      <c r="R7192" s="14">
        <v>302.85000000000002</v>
      </c>
      <c r="S7192" s="2" t="s">
        <v>1611</v>
      </c>
      <c r="T7192" s="2">
        <v>2</v>
      </c>
      <c r="U7192" s="2">
        <v>61.8</v>
      </c>
      <c r="V7192" s="2">
        <v>62</v>
      </c>
      <c r="W7192" s="2" t="s">
        <v>7862</v>
      </c>
      <c r="X7192" s="2" t="s">
        <v>5028</v>
      </c>
      <c r="Y7192" s="2">
        <v>33280</v>
      </c>
      <c r="Z7192" s="19" t="str">
        <f>HYPERLINK("https://ssdweb.co/ssdweb/hd/Vision360.html?d=927020705&amp;zoomslide=1&amp;z=1927020705&amp;ISCONFIRM=0","VIDEO")</f>
        <v>VIDEO</v>
      </c>
      <c r="AA7192" s="19" t="str">
        <f>HYPERLINK("https://ssdweb.co/ssdweb/CERTH/670484505.pdf","CERTI")</f>
        <v>CERTI</v>
      </c>
    </row>
    <row r="7193" spans="1:27" ht="15" x14ac:dyDescent="0.25">
      <c r="A7193" s="2">
        <v>7188</v>
      </c>
      <c r="B7193" s="39">
        <v>927070792</v>
      </c>
      <c r="C7193" s="28" t="str">
        <f>HYPERLINK("https://pld.live/RapDetail.aspx?STONELIST=927070792","DNA")</f>
        <v>DNA</v>
      </c>
      <c r="D7193" s="18" t="s">
        <v>3658</v>
      </c>
      <c r="E7193" s="18" t="s">
        <v>2186</v>
      </c>
      <c r="F7193" s="2" t="s">
        <v>7987</v>
      </c>
      <c r="G7193" s="2" t="s">
        <v>2054</v>
      </c>
      <c r="H7193" s="14">
        <v>2.0699999999999998</v>
      </c>
      <c r="I7193" s="2" t="s">
        <v>4699</v>
      </c>
      <c r="J7193" s="2" t="s">
        <v>6555</v>
      </c>
      <c r="K7193" s="2" t="s">
        <v>1452</v>
      </c>
      <c r="L7193" s="2" t="s">
        <v>5221</v>
      </c>
      <c r="M7193" s="2" t="s">
        <v>5221</v>
      </c>
      <c r="N7193" s="2" t="s">
        <v>2317</v>
      </c>
      <c r="O7193" s="14">
        <v>17000</v>
      </c>
      <c r="P7193" s="14">
        <v>98.59</v>
      </c>
      <c r="Q7193" s="14">
        <v>239.7</v>
      </c>
      <c r="R7193" s="14">
        <v>496.18</v>
      </c>
      <c r="S7193" s="2" t="s">
        <v>2708</v>
      </c>
      <c r="T7193" s="2">
        <v>1.9</v>
      </c>
      <c r="U7193" s="2">
        <v>62.6</v>
      </c>
      <c r="V7193" s="2">
        <v>62</v>
      </c>
      <c r="W7193" s="2" t="s">
        <v>7862</v>
      </c>
      <c r="X7193" s="2" t="s">
        <v>5028</v>
      </c>
      <c r="Y7193" s="2">
        <v>35190</v>
      </c>
      <c r="Z7193" s="19" t="str">
        <f>HYPERLINK("https://ssdweb.co/ssdweb/hd/Vision360.html?d=927070792&amp;zoomslide=1&amp;z=1927070792&amp;ISCONFIRM=0","VIDEO")</f>
        <v>VIDEO</v>
      </c>
      <c r="AA7193" s="19" t="str">
        <f>HYPERLINK("https://ssdweb.co/ssdweb/CERTH/670484370.pdf","CERTI")</f>
        <v>CERTI</v>
      </c>
    </row>
    <row r="7194" spans="1:27" ht="15" x14ac:dyDescent="0.25">
      <c r="A7194" s="2">
        <v>7189</v>
      </c>
      <c r="B7194" s="39">
        <v>926030047</v>
      </c>
      <c r="C7194" s="28" t="str">
        <f>HYPERLINK("https://pld.live/RapDetail.aspx?STONELIST=926030047","DNA")</f>
        <v>DNA</v>
      </c>
      <c r="D7194" s="18" t="s">
        <v>3658</v>
      </c>
      <c r="E7194" s="18" t="s">
        <v>2186</v>
      </c>
      <c r="F7194" s="2" t="s">
        <v>7987</v>
      </c>
      <c r="G7194" s="2" t="s">
        <v>2054</v>
      </c>
      <c r="H7194" s="14">
        <v>2.04</v>
      </c>
      <c r="I7194" s="2" t="s">
        <v>6874</v>
      </c>
      <c r="J7194" s="2" t="s">
        <v>3942</v>
      </c>
      <c r="K7194" s="2" t="s">
        <v>1452</v>
      </c>
      <c r="L7194" s="2" t="s">
        <v>5221</v>
      </c>
      <c r="M7194" s="2" t="s">
        <v>5221</v>
      </c>
      <c r="N7194" s="2" t="s">
        <v>924</v>
      </c>
      <c r="O7194" s="14">
        <v>4500</v>
      </c>
      <c r="P7194" s="14">
        <v>91.78</v>
      </c>
      <c r="Q7194" s="14">
        <v>369.9</v>
      </c>
      <c r="R7194" s="14">
        <v>754.6</v>
      </c>
      <c r="S7194" s="2" t="s">
        <v>238</v>
      </c>
      <c r="T7194" s="2">
        <v>1.89</v>
      </c>
      <c r="U7194" s="2">
        <v>61.8</v>
      </c>
      <c r="V7194" s="2">
        <v>61</v>
      </c>
      <c r="W7194" s="2" t="s">
        <v>7862</v>
      </c>
      <c r="X7194" s="2" t="s">
        <v>5028</v>
      </c>
      <c r="Y7194" s="2">
        <v>9180</v>
      </c>
      <c r="Z7194" s="19" t="str">
        <f>HYPERLINK("https://ssdweb.co/ssdweb/hd/Vision360.html?d=926030047&amp;zoomslide=1&amp;z=1926030047&amp;ISCONFIRM=0","VIDEO")</f>
        <v>VIDEO</v>
      </c>
      <c r="AA7194" s="19" t="str">
        <f>HYPERLINK("https://ssdweb.co/ssdweb/CERTH/639406140.pdf","CERTI")</f>
        <v>CERTI</v>
      </c>
    </row>
    <row r="7195" spans="1:27" ht="15" x14ac:dyDescent="0.25">
      <c r="A7195" s="2">
        <v>7190</v>
      </c>
      <c r="B7195" s="39">
        <v>927070903</v>
      </c>
      <c r="C7195" s="28" t="str">
        <f>HYPERLINK("https://pld.live/RapDetail.aspx?STONELIST=927070903","DNA")</f>
        <v>DNA</v>
      </c>
      <c r="D7195" s="18" t="s">
        <v>3658</v>
      </c>
      <c r="E7195" s="18" t="s">
        <v>2186</v>
      </c>
      <c r="F7195" s="2" t="s">
        <v>7987</v>
      </c>
      <c r="G7195" s="2" t="s">
        <v>2054</v>
      </c>
      <c r="H7195" s="14">
        <v>2.0299999999999998</v>
      </c>
      <c r="I7195" s="2" t="s">
        <v>4761</v>
      </c>
      <c r="J7195" s="2" t="s">
        <v>13</v>
      </c>
      <c r="K7195" s="2" t="s">
        <v>1452</v>
      </c>
      <c r="L7195" s="2" t="s">
        <v>5221</v>
      </c>
      <c r="M7195" s="2" t="s">
        <v>5221</v>
      </c>
      <c r="N7195" s="2" t="s">
        <v>2317</v>
      </c>
      <c r="O7195" s="14">
        <v>16000</v>
      </c>
      <c r="P7195" s="14">
        <v>99.09</v>
      </c>
      <c r="Q7195" s="14">
        <v>145.6</v>
      </c>
      <c r="R7195" s="14">
        <v>295.57</v>
      </c>
      <c r="S7195" s="2" t="s">
        <v>6414</v>
      </c>
      <c r="T7195" s="2">
        <v>1.9</v>
      </c>
      <c r="U7195" s="2">
        <v>62.5</v>
      </c>
      <c r="V7195" s="2">
        <v>61</v>
      </c>
      <c r="W7195" s="2" t="s">
        <v>7862</v>
      </c>
      <c r="X7195" s="2" t="s">
        <v>5028</v>
      </c>
      <c r="Y7195" s="2">
        <v>32480</v>
      </c>
      <c r="Z7195" s="19" t="str">
        <f>HYPERLINK("https://ssdweb.co/ssdweb/hd/Vision360.html?d=927070903&amp;zoomslide=1&amp;z=1927070903&amp;ISCONFIRM=0","VIDEO")</f>
        <v>VIDEO</v>
      </c>
      <c r="AA7195" s="19" t="str">
        <f>HYPERLINK("https://ssdweb.co/ssdweb/CERTH/671477235.pdf","CERTI")</f>
        <v>CERTI</v>
      </c>
    </row>
    <row r="7196" spans="1:27" ht="15" x14ac:dyDescent="0.25">
      <c r="A7196" s="2">
        <v>7191</v>
      </c>
      <c r="B7196" s="39">
        <v>941110543</v>
      </c>
      <c r="C7196" s="28" t="str">
        <f>HYPERLINK("https://pld.live/RapDetail.aspx?STONELIST=941110543","DNA")</f>
        <v>DNA</v>
      </c>
      <c r="D7196" s="18" t="s">
        <v>3658</v>
      </c>
      <c r="E7196" s="18" t="s">
        <v>2186</v>
      </c>
      <c r="F7196" s="2" t="s">
        <v>7987</v>
      </c>
      <c r="G7196" s="2" t="s">
        <v>2054</v>
      </c>
      <c r="H7196" s="14">
        <v>2.02</v>
      </c>
      <c r="I7196" s="2" t="s">
        <v>4761</v>
      </c>
      <c r="J7196" s="2" t="s">
        <v>3942</v>
      </c>
      <c r="K7196" s="2" t="s">
        <v>1452</v>
      </c>
      <c r="L7196" s="2" t="s">
        <v>5221</v>
      </c>
      <c r="M7196" s="2" t="s">
        <v>5221</v>
      </c>
      <c r="N7196" s="2" t="s">
        <v>2317</v>
      </c>
      <c r="O7196" s="14">
        <v>17000</v>
      </c>
      <c r="P7196" s="14">
        <v>99.03</v>
      </c>
      <c r="Q7196" s="14">
        <v>164.9</v>
      </c>
      <c r="R7196" s="14">
        <v>333.1</v>
      </c>
      <c r="S7196" s="2" t="s">
        <v>4623</v>
      </c>
      <c r="T7196" s="2">
        <v>1.9</v>
      </c>
      <c r="U7196" s="2">
        <v>62.6</v>
      </c>
      <c r="V7196" s="2">
        <v>63</v>
      </c>
      <c r="W7196" s="2" t="s">
        <v>7862</v>
      </c>
      <c r="X7196" s="2" t="s">
        <v>5028</v>
      </c>
      <c r="Y7196" s="2">
        <v>34340</v>
      </c>
      <c r="Z7196" s="19" t="str">
        <f>HYPERLINK("https://ssdweb.co/ssdweb/hd/Vision360.html?d=941110543&amp;zoomslide=1&amp;z=1941110543&amp;ISCONFIRM=0","VIDEO")</f>
        <v>VIDEO</v>
      </c>
      <c r="AA7196" s="19" t="str">
        <f>HYPERLINK("https://ssdweb.co/ssdweb/CERTH/675504664.pdf","CERTI")</f>
        <v>CERTI</v>
      </c>
    </row>
    <row r="7197" spans="1:27" ht="15" x14ac:dyDescent="0.25">
      <c r="A7197" s="2">
        <v>7192</v>
      </c>
      <c r="B7197" s="39">
        <v>941110556</v>
      </c>
      <c r="C7197" s="28" t="str">
        <f>HYPERLINK("https://pld.live/RapDetail.aspx?STONELIST=941110556","DNA")</f>
        <v>DNA</v>
      </c>
      <c r="D7197" s="18" t="s">
        <v>3658</v>
      </c>
      <c r="E7197" s="18" t="s">
        <v>2186</v>
      </c>
      <c r="F7197" s="2" t="s">
        <v>7987</v>
      </c>
      <c r="G7197" s="2" t="s">
        <v>2054</v>
      </c>
      <c r="H7197" s="14">
        <v>2.02</v>
      </c>
      <c r="I7197" s="2" t="s">
        <v>4761</v>
      </c>
      <c r="J7197" s="2" t="s">
        <v>13</v>
      </c>
      <c r="K7197" s="2" t="s">
        <v>1452</v>
      </c>
      <c r="L7197" s="2" t="s">
        <v>5221</v>
      </c>
      <c r="M7197" s="2" t="s">
        <v>5221</v>
      </c>
      <c r="N7197" s="2" t="s">
        <v>2317</v>
      </c>
      <c r="O7197" s="14">
        <v>16000</v>
      </c>
      <c r="P7197" s="14">
        <v>99.09</v>
      </c>
      <c r="Q7197" s="14">
        <v>145.6</v>
      </c>
      <c r="R7197" s="14">
        <v>294.11</v>
      </c>
      <c r="S7197" s="2" t="s">
        <v>3287</v>
      </c>
      <c r="T7197" s="2">
        <v>1.91</v>
      </c>
      <c r="U7197" s="2">
        <v>61.7</v>
      </c>
      <c r="V7197" s="2">
        <v>63</v>
      </c>
      <c r="W7197" s="2" t="s">
        <v>7862</v>
      </c>
      <c r="X7197" s="2" t="s">
        <v>5028</v>
      </c>
      <c r="Y7197" s="2">
        <v>32320</v>
      </c>
      <c r="Z7197" s="19" t="str">
        <f>HYPERLINK("https://ssdweb.co/ssdweb/hd/Vision360.html?d=941110556&amp;zoomslide=1&amp;z=1941110556&amp;ISCONFIRM=0","VIDEO")</f>
        <v>VIDEO</v>
      </c>
      <c r="AA7197" s="19" t="str">
        <f>HYPERLINK("https://ssdweb.co/ssdweb/CERTH/675504684.pdf","CERTI")</f>
        <v>CERTI</v>
      </c>
    </row>
    <row r="7198" spans="1:27" ht="15" x14ac:dyDescent="0.25">
      <c r="A7198" s="2">
        <v>7193</v>
      </c>
      <c r="B7198" s="39">
        <v>927080765</v>
      </c>
      <c r="C7198" s="28" t="str">
        <f>HYPERLINK("https://pld.live/RapDetail.aspx?STONELIST=927080765","DNA")</f>
        <v>DNA</v>
      </c>
      <c r="D7198" s="18" t="s">
        <v>3658</v>
      </c>
      <c r="E7198" s="18" t="s">
        <v>2186</v>
      </c>
      <c r="F7198" s="2" t="s">
        <v>7987</v>
      </c>
      <c r="G7198" s="2" t="s">
        <v>2054</v>
      </c>
      <c r="H7198" s="14">
        <v>2.02</v>
      </c>
      <c r="I7198" s="2" t="s">
        <v>4699</v>
      </c>
      <c r="J7198" s="2" t="s">
        <v>13</v>
      </c>
      <c r="K7198" s="2" t="s">
        <v>1452</v>
      </c>
      <c r="L7198" s="2" t="s">
        <v>5221</v>
      </c>
      <c r="M7198" s="2" t="s">
        <v>5221</v>
      </c>
      <c r="N7198" s="2" t="s">
        <v>2317</v>
      </c>
      <c r="O7198" s="14">
        <v>15000</v>
      </c>
      <c r="P7198" s="14">
        <v>99.07</v>
      </c>
      <c r="Q7198" s="14">
        <v>139.5</v>
      </c>
      <c r="R7198" s="14">
        <v>281.79000000000002</v>
      </c>
      <c r="S7198" s="2" t="s">
        <v>6985</v>
      </c>
      <c r="T7198" s="2">
        <v>1.91</v>
      </c>
      <c r="U7198" s="2">
        <v>63.6</v>
      </c>
      <c r="V7198" s="2">
        <v>63</v>
      </c>
      <c r="W7198" s="2" t="s">
        <v>7862</v>
      </c>
      <c r="X7198" s="2" t="s">
        <v>5028</v>
      </c>
      <c r="Y7198" s="2">
        <v>30300</v>
      </c>
      <c r="Z7198" s="19" t="str">
        <f>HYPERLINK("https://ssdweb.co/ssdweb/hd/Vision360.html?d=927080765&amp;zoomslide=1&amp;z=1927080765&amp;ISCONFIRM=0","VIDEO")</f>
        <v>VIDEO</v>
      </c>
      <c r="AA7198" s="19" t="str">
        <f>HYPERLINK("https://ssdweb.co/ssdweb/CERTH/671477245.pdf","CERTI")</f>
        <v>CERTI</v>
      </c>
    </row>
    <row r="7199" spans="1:27" ht="15" x14ac:dyDescent="0.25">
      <c r="A7199" s="2">
        <v>7194</v>
      </c>
      <c r="B7199" s="39">
        <v>926160047</v>
      </c>
      <c r="C7199" s="28" t="str">
        <f>HYPERLINK("https://pld.live/RapDetail.aspx?STONELIST=926160047","DNA")</f>
        <v>DNA</v>
      </c>
      <c r="D7199" s="18" t="s">
        <v>3658</v>
      </c>
      <c r="E7199" s="18" t="s">
        <v>2186</v>
      </c>
      <c r="F7199" s="2" t="s">
        <v>7987</v>
      </c>
      <c r="G7199" s="2" t="s">
        <v>2054</v>
      </c>
      <c r="H7199" s="14">
        <v>2.02</v>
      </c>
      <c r="I7199" s="2" t="s">
        <v>6587</v>
      </c>
      <c r="J7199" s="2" t="s">
        <v>5144</v>
      </c>
      <c r="K7199" s="2" t="s">
        <v>1452</v>
      </c>
      <c r="L7199" s="2" t="s">
        <v>5221</v>
      </c>
      <c r="M7199" s="2" t="s">
        <v>5221</v>
      </c>
      <c r="N7199" s="2" t="s">
        <v>2317</v>
      </c>
      <c r="O7199" s="14">
        <v>13000</v>
      </c>
      <c r="P7199" s="14">
        <v>99.05</v>
      </c>
      <c r="Q7199" s="14">
        <v>123.5</v>
      </c>
      <c r="R7199" s="14">
        <v>249.47</v>
      </c>
      <c r="S7199" s="2" t="s">
        <v>7896</v>
      </c>
      <c r="T7199" s="2">
        <v>2.02</v>
      </c>
      <c r="U7199" s="2">
        <v>61.6</v>
      </c>
      <c r="V7199" s="2">
        <v>59</v>
      </c>
      <c r="W7199" s="2" t="s">
        <v>8016</v>
      </c>
      <c r="X7199" s="2" t="s">
        <v>5028</v>
      </c>
      <c r="Y7199" s="2">
        <v>26260</v>
      </c>
      <c r="Z7199" s="19" t="str">
        <f>HYPERLINK("https://ssdweb.co/ssdweb/hd/Vision360.html?d=926160047&amp;zoomslide=1&amp;z=1926160047&amp;ISCONFIRM=0","VIDEO")</f>
        <v>VIDEO</v>
      </c>
      <c r="AA7199" s="19" t="str">
        <f>HYPERLINK("https://ssdweb.co/ssdweb/CERTH/634431427.pdf","CERTI")</f>
        <v>CERTI</v>
      </c>
    </row>
    <row r="7200" spans="1:27" ht="15" x14ac:dyDescent="0.25">
      <c r="A7200" s="2">
        <v>7195</v>
      </c>
      <c r="B7200" s="39">
        <v>9413900606</v>
      </c>
      <c r="C7200" s="28" t="str">
        <f>HYPERLINK("https://pld.live/RapDetail.aspx?STONELIST=9413900606","DNA")</f>
        <v>DNA</v>
      </c>
      <c r="D7200" s="18" t="s">
        <v>3658</v>
      </c>
      <c r="E7200" s="18" t="s">
        <v>2186</v>
      </c>
      <c r="F7200" s="2" t="s">
        <v>7987</v>
      </c>
      <c r="G7200" s="2" t="s">
        <v>2054</v>
      </c>
      <c r="H7200" s="14">
        <v>2.0099999999999998</v>
      </c>
      <c r="I7200" s="2" t="s">
        <v>267</v>
      </c>
      <c r="J7200" s="2" t="s">
        <v>13</v>
      </c>
      <c r="K7200" s="2" t="s">
        <v>1452</v>
      </c>
      <c r="L7200" s="2" t="s">
        <v>5221</v>
      </c>
      <c r="M7200" s="2" t="s">
        <v>5221</v>
      </c>
      <c r="N7200" s="2" t="s">
        <v>2317</v>
      </c>
      <c r="O7200" s="14">
        <v>17500</v>
      </c>
      <c r="P7200" s="14">
        <v>99.06</v>
      </c>
      <c r="Q7200" s="14">
        <v>164.5</v>
      </c>
      <c r="R7200" s="14">
        <v>330.65</v>
      </c>
      <c r="S7200" s="2" t="s">
        <v>3059</v>
      </c>
      <c r="T7200" s="2">
        <v>1.9</v>
      </c>
      <c r="U7200" s="2">
        <v>63.9</v>
      </c>
      <c r="V7200" s="2">
        <v>59</v>
      </c>
      <c r="W7200" s="2" t="s">
        <v>7862</v>
      </c>
      <c r="X7200" s="2" t="s">
        <v>5028</v>
      </c>
      <c r="Y7200" s="2">
        <v>35175</v>
      </c>
      <c r="Z7200" s="19" t="str">
        <f>HYPERLINK("https://ssdweb.co/ssdweb/hd/Vision360.html?d=9413900606&amp;zoomslide=1&amp;z=19413900606&amp;ISCONFIRM=0","VIDEO")</f>
        <v>VIDEO</v>
      </c>
      <c r="AA7200" s="19" t="str">
        <f>HYPERLINK("https://ssdweb.co/ssdweb/CERTH/694579602.pdf","CERTI")</f>
        <v>CERTI</v>
      </c>
    </row>
    <row r="7201" spans="1:27" ht="15" x14ac:dyDescent="0.25">
      <c r="A7201" s="2">
        <v>7196</v>
      </c>
      <c r="B7201" s="39">
        <v>821132872</v>
      </c>
      <c r="C7201" s="28" t="str">
        <f>HYPERLINK("https://pld.live/RapDetail.aspx?STONELIST=821132872","DNA")</f>
        <v>DNA</v>
      </c>
      <c r="D7201" s="18" t="s">
        <v>3658</v>
      </c>
      <c r="E7201" s="18" t="s">
        <v>1253</v>
      </c>
      <c r="F7201" s="2" t="s">
        <v>7987</v>
      </c>
      <c r="G7201" s="2" t="s">
        <v>2054</v>
      </c>
      <c r="H7201" s="14">
        <v>2.0099999999999998</v>
      </c>
      <c r="I7201" s="2" t="s">
        <v>4761</v>
      </c>
      <c r="J7201" s="2" t="s">
        <v>3942</v>
      </c>
      <c r="K7201" s="2" t="s">
        <v>1452</v>
      </c>
      <c r="L7201" s="2" t="s">
        <v>5221</v>
      </c>
      <c r="M7201" s="2" t="s">
        <v>5221</v>
      </c>
      <c r="N7201" s="2" t="s">
        <v>2317</v>
      </c>
      <c r="O7201" s="14">
        <v>17000</v>
      </c>
      <c r="P7201" s="14">
        <v>99.03</v>
      </c>
      <c r="Q7201" s="14">
        <v>164.9</v>
      </c>
      <c r="R7201" s="14">
        <v>331.45</v>
      </c>
      <c r="S7201" s="2" t="s">
        <v>5932</v>
      </c>
      <c r="T7201" s="2">
        <v>1.96</v>
      </c>
      <c r="U7201" s="2">
        <v>58.5</v>
      </c>
      <c r="V7201" s="2">
        <v>61</v>
      </c>
      <c r="W7201" s="2" t="s">
        <v>7862</v>
      </c>
      <c r="X7201" s="2" t="s">
        <v>5028</v>
      </c>
      <c r="Y7201" s="2">
        <v>34170</v>
      </c>
      <c r="Z7201" s="19" t="str">
        <f>HYPERLINK("https://ssdweb.co/ssdweb/hd/Vision360.html?d=821132872&amp;zoomslide=1&amp;z=1821132872&amp;ISCONFIRM=0","VIDEO")</f>
        <v>VIDEO</v>
      </c>
      <c r="AA7201" s="19" t="str">
        <f>HYPERLINK("https://ssdweb.co/ssdweb/CERTH/675504649.pdf","CERTI")</f>
        <v>CERTI</v>
      </c>
    </row>
    <row r="7202" spans="1:27" ht="15" x14ac:dyDescent="0.25">
      <c r="A7202" s="2">
        <v>7197</v>
      </c>
      <c r="B7202" s="39">
        <v>941110547</v>
      </c>
      <c r="C7202" s="28" t="str">
        <f>HYPERLINK("https://pld.live/RapDetail.aspx?STONELIST=941110547","DNA")</f>
        <v>DNA</v>
      </c>
      <c r="D7202" s="18" t="s">
        <v>3658</v>
      </c>
      <c r="E7202" s="18" t="s">
        <v>2186</v>
      </c>
      <c r="F7202" s="2" t="s">
        <v>7987</v>
      </c>
      <c r="G7202" s="2" t="s">
        <v>2054</v>
      </c>
      <c r="H7202" s="14">
        <v>2.0099999999999998</v>
      </c>
      <c r="I7202" s="2" t="s">
        <v>4761</v>
      </c>
      <c r="J7202" s="2" t="s">
        <v>13</v>
      </c>
      <c r="K7202" s="2" t="s">
        <v>1452</v>
      </c>
      <c r="L7202" s="2" t="s">
        <v>5221</v>
      </c>
      <c r="M7202" s="2" t="s">
        <v>5221</v>
      </c>
      <c r="N7202" s="2" t="s">
        <v>2317</v>
      </c>
      <c r="O7202" s="14">
        <v>16000</v>
      </c>
      <c r="P7202" s="14">
        <v>99.09</v>
      </c>
      <c r="Q7202" s="14">
        <v>145.6</v>
      </c>
      <c r="R7202" s="14">
        <v>292.66000000000003</v>
      </c>
      <c r="S7202" s="2" t="s">
        <v>2898</v>
      </c>
      <c r="T7202" s="2">
        <v>1.9</v>
      </c>
      <c r="U7202" s="2">
        <v>62.4</v>
      </c>
      <c r="V7202" s="2">
        <v>59</v>
      </c>
      <c r="W7202" s="2" t="s">
        <v>7862</v>
      </c>
      <c r="X7202" s="2" t="s">
        <v>5028</v>
      </c>
      <c r="Y7202" s="2">
        <v>32160</v>
      </c>
      <c r="Z7202" s="19" t="str">
        <f>HYPERLINK("https://ssdweb.co/ssdweb/hd/Vision360.html?d=941110547&amp;zoomslide=1&amp;z=1941110547&amp;ISCONFIRM=0","VIDEO")</f>
        <v>VIDEO</v>
      </c>
      <c r="AA7202" s="19" t="str">
        <f>HYPERLINK("https://ssdweb.co/ssdweb/CERTH/675504676.pdf","CERTI")</f>
        <v>CERTI</v>
      </c>
    </row>
    <row r="7203" spans="1:27" ht="15" x14ac:dyDescent="0.25">
      <c r="A7203" s="2">
        <v>7198</v>
      </c>
      <c r="B7203" s="39">
        <v>927070916</v>
      </c>
      <c r="C7203" s="28" t="str">
        <f>HYPERLINK("https://pld.live/RapDetail.aspx?STONELIST=927070916","DNA")</f>
        <v>DNA</v>
      </c>
      <c r="D7203" s="18" t="s">
        <v>3658</v>
      </c>
      <c r="E7203" s="18" t="s">
        <v>2186</v>
      </c>
      <c r="F7203" s="2" t="s">
        <v>7987</v>
      </c>
      <c r="G7203" s="2" t="s">
        <v>2054</v>
      </c>
      <c r="H7203" s="14">
        <v>2.0099999999999998</v>
      </c>
      <c r="I7203" s="2" t="s">
        <v>4761</v>
      </c>
      <c r="J7203" s="2" t="s">
        <v>13</v>
      </c>
      <c r="K7203" s="2" t="s">
        <v>1452</v>
      </c>
      <c r="L7203" s="2" t="s">
        <v>5221</v>
      </c>
      <c r="M7203" s="2" t="s">
        <v>5221</v>
      </c>
      <c r="N7203" s="2" t="s">
        <v>2317</v>
      </c>
      <c r="O7203" s="14">
        <v>16000</v>
      </c>
      <c r="P7203" s="14">
        <v>99.09</v>
      </c>
      <c r="Q7203" s="14">
        <v>145.6</v>
      </c>
      <c r="R7203" s="14">
        <v>292.66000000000003</v>
      </c>
      <c r="S7203" s="2" t="s">
        <v>4406</v>
      </c>
      <c r="T7203" s="2">
        <v>1.84</v>
      </c>
      <c r="U7203" s="2">
        <v>64.8</v>
      </c>
      <c r="V7203" s="2">
        <v>64</v>
      </c>
      <c r="W7203" s="2" t="s">
        <v>7862</v>
      </c>
      <c r="X7203" s="2" t="s">
        <v>5028</v>
      </c>
      <c r="Y7203" s="2">
        <v>32160</v>
      </c>
      <c r="Z7203" s="19" t="str">
        <f>HYPERLINK("https://ssdweb.co/ssdweb/hd/Vision360.html?d=927070916&amp;zoomslide=1&amp;z=1927070916&amp;ISCONFIRM=0","VIDEO")</f>
        <v>VIDEO</v>
      </c>
      <c r="AA7203" s="19" t="str">
        <f>HYPERLINK("https://ssdweb.co/ssdweb/CERTH/671477238.pdf","CERTI")</f>
        <v>CERTI</v>
      </c>
    </row>
    <row r="7204" spans="1:27" ht="15" x14ac:dyDescent="0.25">
      <c r="A7204" s="2">
        <v>7199</v>
      </c>
      <c r="B7204" s="39">
        <v>941150098</v>
      </c>
      <c r="C7204" s="28" t="str">
        <f>HYPERLINK("https://pld.live/RapDetail.aspx?STONELIST=941150098","DNA")</f>
        <v>DNA</v>
      </c>
      <c r="D7204" s="18" t="s">
        <v>3658</v>
      </c>
      <c r="E7204" s="18" t="s">
        <v>2186</v>
      </c>
      <c r="F7204" s="2" t="s">
        <v>7987</v>
      </c>
      <c r="G7204" s="2" t="s">
        <v>2054</v>
      </c>
      <c r="H7204" s="14">
        <v>2.0099999999999998</v>
      </c>
      <c r="I7204" s="2" t="s">
        <v>4699</v>
      </c>
      <c r="J7204" s="2" t="s">
        <v>3942</v>
      </c>
      <c r="K7204" s="2" t="s">
        <v>1452</v>
      </c>
      <c r="L7204" s="2" t="s">
        <v>5221</v>
      </c>
      <c r="M7204" s="2" t="s">
        <v>5221</v>
      </c>
      <c r="N7204" s="2" t="s">
        <v>2317</v>
      </c>
      <c r="O7204" s="14">
        <v>16000</v>
      </c>
      <c r="P7204" s="14">
        <v>99.06</v>
      </c>
      <c r="Q7204" s="14">
        <v>150.4</v>
      </c>
      <c r="R7204" s="14">
        <v>302.3</v>
      </c>
      <c r="S7204" s="2" t="s">
        <v>6081</v>
      </c>
      <c r="T7204" s="2">
        <v>1.9</v>
      </c>
      <c r="U7204" s="2">
        <v>62.7</v>
      </c>
      <c r="V7204" s="2">
        <v>61</v>
      </c>
      <c r="W7204" s="2" t="s">
        <v>7862</v>
      </c>
      <c r="X7204" s="2" t="s">
        <v>5028</v>
      </c>
      <c r="Y7204" s="2">
        <v>32160</v>
      </c>
      <c r="Z7204" s="19" t="str">
        <f>HYPERLINK("https://ssdweb.co/ssdweb/hd/Vision360.html?d=941150098&amp;zoomslide=1&amp;z=1941150098&amp;ISCONFIRM=0","VIDEO")</f>
        <v>VIDEO</v>
      </c>
      <c r="AA7204" s="19" t="str">
        <f>HYPERLINK("https://ssdweb.co/ssdweb/CERTH/675596565.pdf","CERTI")</f>
        <v>CERTI</v>
      </c>
    </row>
    <row r="7205" spans="1:27" ht="15" x14ac:dyDescent="0.25">
      <c r="A7205" s="2">
        <v>7200</v>
      </c>
      <c r="B7205" s="39">
        <v>821132867</v>
      </c>
      <c r="C7205" s="28" t="str">
        <f>HYPERLINK("https://pld.live/RapDetail.aspx?STONELIST=821132867","DNA")</f>
        <v>DNA</v>
      </c>
      <c r="D7205" s="18" t="s">
        <v>3658</v>
      </c>
      <c r="E7205" s="18" t="s">
        <v>1253</v>
      </c>
      <c r="F7205" s="2" t="s">
        <v>7987</v>
      </c>
      <c r="G7205" s="2" t="s">
        <v>2054</v>
      </c>
      <c r="H7205" s="14">
        <v>2</v>
      </c>
      <c r="I7205" s="2" t="s">
        <v>4761</v>
      </c>
      <c r="J7205" s="2" t="s">
        <v>13</v>
      </c>
      <c r="K7205" s="2" t="s">
        <v>1452</v>
      </c>
      <c r="L7205" s="2" t="s">
        <v>5221</v>
      </c>
      <c r="M7205" s="2" t="s">
        <v>5221</v>
      </c>
      <c r="N7205" s="2" t="s">
        <v>2317</v>
      </c>
      <c r="O7205" s="14">
        <v>16000</v>
      </c>
      <c r="P7205" s="14">
        <v>99.09</v>
      </c>
      <c r="Q7205" s="14">
        <v>145.6</v>
      </c>
      <c r="R7205" s="14">
        <v>291.2</v>
      </c>
      <c r="S7205" s="2" t="s">
        <v>7429</v>
      </c>
      <c r="T7205" s="2">
        <v>1.91</v>
      </c>
      <c r="U7205" s="2">
        <v>58.5</v>
      </c>
      <c r="V7205" s="2">
        <v>61</v>
      </c>
      <c r="W7205" s="2" t="s">
        <v>7862</v>
      </c>
      <c r="X7205" s="2" t="s">
        <v>5028</v>
      </c>
      <c r="Y7205" s="2">
        <v>32000</v>
      </c>
      <c r="Z7205" s="19" t="str">
        <f>HYPERLINK("https://ssdweb.co/ssdweb/hd/Vision360.html?d=821132867&amp;zoomslide=1&amp;z=1821132867&amp;ISCONFIRM=0","VIDEO")</f>
        <v>VIDEO</v>
      </c>
      <c r="AA7205" s="19" t="str">
        <f>HYPERLINK("https://ssdweb.co/ssdweb/CERTH/675504648.pdf","CERTI")</f>
        <v>CERTI</v>
      </c>
    </row>
    <row r="7206" spans="1:27" ht="15" x14ac:dyDescent="0.25">
      <c r="A7206" s="2">
        <v>7201</v>
      </c>
      <c r="B7206" s="39">
        <v>927070928</v>
      </c>
      <c r="C7206" s="28" t="str">
        <f>HYPERLINK("https://pld.live/RapDetail.aspx?STONELIST=927070928","DNA")</f>
        <v>DNA</v>
      </c>
      <c r="D7206" s="18" t="s">
        <v>3658</v>
      </c>
      <c r="E7206" s="18" t="s">
        <v>2186</v>
      </c>
      <c r="F7206" s="2" t="s">
        <v>7987</v>
      </c>
      <c r="G7206" s="2" t="s">
        <v>2054</v>
      </c>
      <c r="H7206" s="14">
        <v>2</v>
      </c>
      <c r="I7206" s="2" t="s">
        <v>4761</v>
      </c>
      <c r="J7206" s="2" t="s">
        <v>13</v>
      </c>
      <c r="K7206" s="2" t="s">
        <v>1452</v>
      </c>
      <c r="L7206" s="2" t="s">
        <v>5221</v>
      </c>
      <c r="M7206" s="2" t="s">
        <v>5221</v>
      </c>
      <c r="N7206" s="2" t="s">
        <v>2317</v>
      </c>
      <c r="O7206" s="14">
        <v>16000</v>
      </c>
      <c r="P7206" s="14">
        <v>99.09</v>
      </c>
      <c r="Q7206" s="14">
        <v>145.6</v>
      </c>
      <c r="R7206" s="14">
        <v>291.2</v>
      </c>
      <c r="S7206" s="2" t="s">
        <v>5478</v>
      </c>
      <c r="T7206" s="2">
        <v>1.86</v>
      </c>
      <c r="U7206" s="2">
        <v>64.599999999999994</v>
      </c>
      <c r="V7206" s="2">
        <v>62</v>
      </c>
      <c r="W7206" s="2" t="s">
        <v>7862</v>
      </c>
      <c r="X7206" s="2" t="s">
        <v>5028</v>
      </c>
      <c r="Y7206" s="2">
        <v>32000</v>
      </c>
      <c r="Z7206" s="19" t="str">
        <f>HYPERLINK("https://ssdweb.co/ssdweb/hd/Vision360.html?d=927070928&amp;zoomslide=1&amp;z=1927070928&amp;ISCONFIRM=0","VIDEO")</f>
        <v>VIDEO</v>
      </c>
      <c r="AA7206" s="19" t="str">
        <f>HYPERLINK("https://ssdweb.co/ssdweb/CERTH/671477242.pdf","CERTI")</f>
        <v>CERTI</v>
      </c>
    </row>
    <row r="7207" spans="1:27" ht="15" x14ac:dyDescent="0.25">
      <c r="A7207" s="2">
        <v>7202</v>
      </c>
      <c r="B7207" s="39">
        <v>922950378</v>
      </c>
      <c r="C7207" s="28" t="str">
        <f>HYPERLINK("https://pld.live/RapDetail.aspx?STONELIST=922950378","DNA")</f>
        <v>DNA</v>
      </c>
      <c r="D7207" s="18" t="s">
        <v>3658</v>
      </c>
      <c r="E7207" s="18" t="s">
        <v>2186</v>
      </c>
      <c r="F7207" s="2" t="s">
        <v>7987</v>
      </c>
      <c r="G7207" s="2" t="s">
        <v>2054</v>
      </c>
      <c r="H7207" s="14">
        <v>2</v>
      </c>
      <c r="I7207" s="2" t="s">
        <v>4699</v>
      </c>
      <c r="J7207" s="2" t="s">
        <v>3942</v>
      </c>
      <c r="K7207" s="2" t="s">
        <v>1452</v>
      </c>
      <c r="L7207" s="2" t="s">
        <v>5221</v>
      </c>
      <c r="M7207" s="2" t="s">
        <v>5221</v>
      </c>
      <c r="N7207" s="2" t="s">
        <v>2317</v>
      </c>
      <c r="O7207" s="14">
        <v>16000</v>
      </c>
      <c r="P7207" s="14">
        <v>99.09</v>
      </c>
      <c r="Q7207" s="14">
        <v>145.6</v>
      </c>
      <c r="R7207" s="14">
        <v>291.2</v>
      </c>
      <c r="S7207" s="2" t="s">
        <v>2055</v>
      </c>
      <c r="T7207" s="2">
        <v>1.86</v>
      </c>
      <c r="U7207" s="2">
        <v>64</v>
      </c>
      <c r="V7207" s="2">
        <v>56.5</v>
      </c>
      <c r="W7207" s="2" t="s">
        <v>7862</v>
      </c>
      <c r="X7207" s="2" t="s">
        <v>5028</v>
      </c>
      <c r="Y7207" s="2">
        <v>32000</v>
      </c>
      <c r="Z7207" s="19" t="str">
        <f>HYPERLINK("https://ssdweb.co/ssdweb/hd/Vision360.html?d=922950378&amp;zoomslide=1&amp;z=1922950378&amp;ISCONFIRM=0","VIDEO")</f>
        <v>VIDEO</v>
      </c>
      <c r="AA7207" s="19" t="str">
        <f>HYPERLINK("https://ssdweb.co/ssdweb/CERTH/534254322.pdf","CERTI")</f>
        <v>CERTI</v>
      </c>
    </row>
    <row r="7208" spans="1:27" ht="15" x14ac:dyDescent="0.25">
      <c r="A7208" s="2">
        <v>7203</v>
      </c>
      <c r="B7208" s="39">
        <v>924160795</v>
      </c>
      <c r="C7208" s="28" t="str">
        <f>HYPERLINK("https://pld.live/RapDetail.aspx?STONELIST=924160795","DNA")</f>
        <v>DNA</v>
      </c>
      <c r="D7208" s="18" t="s">
        <v>5313</v>
      </c>
      <c r="E7208" s="18" t="s">
        <v>2186</v>
      </c>
      <c r="F7208" s="2" t="s">
        <v>5597</v>
      </c>
      <c r="G7208" s="2" t="s">
        <v>2054</v>
      </c>
      <c r="H7208" s="14">
        <v>1.81</v>
      </c>
      <c r="I7208" s="2" t="s">
        <v>1505</v>
      </c>
      <c r="J7208" s="2" t="s">
        <v>13</v>
      </c>
      <c r="K7208" s="2" t="s">
        <v>1452</v>
      </c>
      <c r="L7208" s="2" t="s">
        <v>5221</v>
      </c>
      <c r="M7208" s="2" t="s">
        <v>5221</v>
      </c>
      <c r="N7208" s="2" t="s">
        <v>2317</v>
      </c>
      <c r="O7208" s="14">
        <v>7900</v>
      </c>
      <c r="P7208" s="14">
        <v>97.47</v>
      </c>
      <c r="Q7208" s="14">
        <v>199.87</v>
      </c>
      <c r="R7208" s="14">
        <v>361.76</v>
      </c>
      <c r="S7208" s="2" t="s">
        <v>5918</v>
      </c>
      <c r="T7208" s="2">
        <v>1.91</v>
      </c>
      <c r="U7208" s="2">
        <v>63</v>
      </c>
      <c r="V7208" s="2">
        <v>61</v>
      </c>
      <c r="W7208" s="2" t="s">
        <v>7862</v>
      </c>
      <c r="X7208" s="2" t="s">
        <v>5028</v>
      </c>
      <c r="Y7208" s="2">
        <v>14299</v>
      </c>
      <c r="Z7208" s="19" t="str">
        <f>HYPERLINK("https://ssdweb.co/ssdweb/hd/Vision360.html?d=924160795&amp;zoomslide=1&amp;z=1924160795&amp;ISCONFIRM=0","VIDEO")</f>
        <v>VIDEO</v>
      </c>
      <c r="AA7208" s="19" t="str">
        <f>HYPERLINK("https://ssdweb.co/ssdweb/CERTH/6465584134.pdf","CERTI")</f>
        <v>CERTI</v>
      </c>
    </row>
    <row r="7209" spans="1:27" ht="15" x14ac:dyDescent="0.25">
      <c r="A7209" s="2">
        <v>7204</v>
      </c>
      <c r="B7209" s="39">
        <v>941340743</v>
      </c>
      <c r="C7209" s="28" t="str">
        <f>HYPERLINK("https://pld.live/RapDetail.aspx?STONELIST=941340743","DNA")</f>
        <v>DNA</v>
      </c>
      <c r="D7209" s="18" t="s">
        <v>5313</v>
      </c>
      <c r="E7209" s="18" t="s">
        <v>2186</v>
      </c>
      <c r="F7209" s="2" t="s">
        <v>7987</v>
      </c>
      <c r="G7209" s="2" t="s">
        <v>2054</v>
      </c>
      <c r="H7209" s="14">
        <v>1.78</v>
      </c>
      <c r="I7209" s="2" t="s">
        <v>4761</v>
      </c>
      <c r="J7209" s="2" t="s">
        <v>13</v>
      </c>
      <c r="K7209" s="2" t="s">
        <v>1452</v>
      </c>
      <c r="L7209" s="2" t="s">
        <v>5221</v>
      </c>
      <c r="M7209" s="2" t="s">
        <v>5221</v>
      </c>
      <c r="N7209" s="2" t="s">
        <v>2317</v>
      </c>
      <c r="O7209" s="14">
        <v>10800</v>
      </c>
      <c r="P7209" s="14">
        <v>98.8</v>
      </c>
      <c r="Q7209" s="14">
        <v>129.6</v>
      </c>
      <c r="R7209" s="14">
        <v>230.69</v>
      </c>
      <c r="S7209" s="2" t="s">
        <v>1841</v>
      </c>
      <c r="T7209" s="2">
        <v>1.9</v>
      </c>
      <c r="U7209" s="2">
        <v>61.4</v>
      </c>
      <c r="V7209" s="2">
        <v>63</v>
      </c>
      <c r="W7209" s="2" t="s">
        <v>7862</v>
      </c>
      <c r="X7209" s="2" t="s">
        <v>5028</v>
      </c>
      <c r="Y7209" s="2">
        <v>19224</v>
      </c>
      <c r="Z7209" s="19" t="str">
        <f>HYPERLINK("https://ssdweb.co/ssdweb/hd/Vision360.html?d=941340743&amp;zoomslide=1&amp;z=1941340743&amp;ISCONFIRM=0","VIDEO")</f>
        <v>VIDEO</v>
      </c>
      <c r="AA7209" s="19" t="str">
        <f>HYPERLINK("https://ssdweb.co/ssdweb/CERTH/687591669.pdf","CERTI")</f>
        <v>CERTI</v>
      </c>
    </row>
    <row r="7210" spans="1:27" ht="15" x14ac:dyDescent="0.25">
      <c r="A7210" s="2">
        <v>7205</v>
      </c>
      <c r="B7210" s="39">
        <v>926030146</v>
      </c>
      <c r="C7210" s="28" t="str">
        <f>HYPERLINK("https://pld.live/RapDetail.aspx?STONELIST=926030146","DNA")</f>
        <v>DNA</v>
      </c>
      <c r="D7210" s="18" t="s">
        <v>5313</v>
      </c>
      <c r="E7210" s="18" t="s">
        <v>2186</v>
      </c>
      <c r="F7210" s="2" t="s">
        <v>7987</v>
      </c>
      <c r="G7210" s="2" t="s">
        <v>2054</v>
      </c>
      <c r="H7210" s="14">
        <v>1.78</v>
      </c>
      <c r="I7210" s="2" t="s">
        <v>1066</v>
      </c>
      <c r="J7210" s="2" t="s">
        <v>3942</v>
      </c>
      <c r="K7210" s="2" t="s">
        <v>1452</v>
      </c>
      <c r="L7210" s="2" t="s">
        <v>5221</v>
      </c>
      <c r="M7210" s="2" t="s">
        <v>5221</v>
      </c>
      <c r="N7210" s="2" t="s">
        <v>924</v>
      </c>
      <c r="O7210" s="14">
        <v>3400</v>
      </c>
      <c r="P7210" s="14">
        <v>91.18</v>
      </c>
      <c r="Q7210" s="14">
        <v>299.88</v>
      </c>
      <c r="R7210" s="14">
        <v>533.79</v>
      </c>
      <c r="S7210" s="2" t="s">
        <v>4756</v>
      </c>
      <c r="T7210" s="2">
        <v>1.9</v>
      </c>
      <c r="U7210" s="2">
        <v>62.6</v>
      </c>
      <c r="V7210" s="2">
        <v>61</v>
      </c>
      <c r="W7210" s="2" t="s">
        <v>7862</v>
      </c>
      <c r="X7210" s="2" t="s">
        <v>5028</v>
      </c>
      <c r="Y7210" s="2">
        <v>6052</v>
      </c>
      <c r="Z7210" s="19" t="str">
        <f>HYPERLINK("https://ssdweb.co/ssdweb/hd/Vision360.html?d=926030146&amp;zoomslide=1&amp;z=1926030146&amp;ISCONFIRM=0","VIDEO")</f>
        <v>VIDEO</v>
      </c>
      <c r="AA7210" s="19" t="str">
        <f>HYPERLINK("https://ssdweb.co/ssdweb/CERTH/639406142.pdf","CERTI")</f>
        <v>CERTI</v>
      </c>
    </row>
    <row r="7211" spans="1:27" ht="15" x14ac:dyDescent="0.25">
      <c r="A7211" s="2">
        <v>7206</v>
      </c>
      <c r="B7211" s="39">
        <v>926030169</v>
      </c>
      <c r="C7211" s="28" t="str">
        <f>HYPERLINK("https://pld.live/RapDetail.aspx?STONELIST=926030169","DNA")</f>
        <v>DNA</v>
      </c>
      <c r="D7211" s="18" t="s">
        <v>5313</v>
      </c>
      <c r="E7211" s="18" t="s">
        <v>2186</v>
      </c>
      <c r="F7211" s="2" t="s">
        <v>7987</v>
      </c>
      <c r="G7211" s="2" t="s">
        <v>2054</v>
      </c>
      <c r="H7211" s="14">
        <v>1.78</v>
      </c>
      <c r="I7211" s="2" t="s">
        <v>1066</v>
      </c>
      <c r="J7211" s="2" t="s">
        <v>5144</v>
      </c>
      <c r="K7211" s="2" t="s">
        <v>1452</v>
      </c>
      <c r="L7211" s="2" t="s">
        <v>5221</v>
      </c>
      <c r="M7211" s="2" t="s">
        <v>5221</v>
      </c>
      <c r="N7211" s="2" t="s">
        <v>924</v>
      </c>
      <c r="O7211" s="14">
        <v>3100</v>
      </c>
      <c r="P7211" s="14">
        <v>91.29</v>
      </c>
      <c r="Q7211" s="14">
        <v>270.01</v>
      </c>
      <c r="R7211" s="14">
        <v>480.62</v>
      </c>
      <c r="S7211" s="2" t="s">
        <v>1549</v>
      </c>
      <c r="T7211" s="2">
        <v>1.94</v>
      </c>
      <c r="U7211" s="2">
        <v>61.9</v>
      </c>
      <c r="V7211" s="2">
        <v>64</v>
      </c>
      <c r="W7211" s="2" t="s">
        <v>7862</v>
      </c>
      <c r="X7211" s="2" t="s">
        <v>5028</v>
      </c>
      <c r="Y7211" s="2">
        <v>5518</v>
      </c>
      <c r="Z7211" s="19" t="str">
        <f>HYPERLINK("https://ssdweb.co/ssdweb/hd/Vision360.html?d=926030169&amp;zoomslide=1&amp;z=1926030169&amp;ISCONFIRM=0","VIDEO")</f>
        <v>VIDEO</v>
      </c>
      <c r="AA7211" s="19" t="str">
        <f>HYPERLINK("https://ssdweb.co/ssdweb/CERTH/639406149.pdf","CERTI")</f>
        <v>CERTI</v>
      </c>
    </row>
    <row r="7212" spans="1:27" ht="15" x14ac:dyDescent="0.25">
      <c r="A7212" s="2">
        <v>7207</v>
      </c>
      <c r="B7212" s="39">
        <v>831020505</v>
      </c>
      <c r="C7212" s="28" t="str">
        <f>HYPERLINK("https://pld.live/RapDetail.aspx?STONELIST=831020505","DNA")</f>
        <v>DNA</v>
      </c>
      <c r="D7212" s="18" t="s">
        <v>5313</v>
      </c>
      <c r="E7212" s="18" t="s">
        <v>2186</v>
      </c>
      <c r="F7212" s="2" t="s">
        <v>5597</v>
      </c>
      <c r="G7212" s="2" t="s">
        <v>2054</v>
      </c>
      <c r="H7212" s="14">
        <v>1.71</v>
      </c>
      <c r="I7212" s="2" t="s">
        <v>4761</v>
      </c>
      <c r="J7212" s="2" t="s">
        <v>13</v>
      </c>
      <c r="K7212" s="2" t="s">
        <v>1452</v>
      </c>
      <c r="L7212" s="2" t="s">
        <v>5221</v>
      </c>
      <c r="M7212" s="2" t="s">
        <v>5721</v>
      </c>
      <c r="N7212" s="2" t="s">
        <v>2317</v>
      </c>
      <c r="O7212" s="14">
        <v>10800</v>
      </c>
      <c r="P7212" s="14">
        <v>97.82</v>
      </c>
      <c r="Q7212" s="14">
        <v>235.44</v>
      </c>
      <c r="R7212" s="14">
        <v>402.6</v>
      </c>
      <c r="S7212" s="2" t="s">
        <v>3229</v>
      </c>
      <c r="T7212" s="2">
        <v>1.9</v>
      </c>
      <c r="U7212" s="2">
        <v>62</v>
      </c>
      <c r="V7212" s="2">
        <v>60</v>
      </c>
      <c r="W7212" s="2" t="s">
        <v>7862</v>
      </c>
      <c r="X7212" s="2" t="s">
        <v>5028</v>
      </c>
      <c r="Y7212" s="2">
        <v>18468</v>
      </c>
      <c r="Z7212" s="19" t="str">
        <f>HYPERLINK("https://ssdweb.co/ssdweb/hd/Vision360.html?d=831020505&amp;zoomslide=1&amp;z=1831020505&amp;ISCONFIRM=0","VIDEO")</f>
        <v>VIDEO</v>
      </c>
      <c r="AA7212" s="19" t="str">
        <f>HYPERLINK("https://ssdweb.co/ssdweb/CERTH/7471331184.pdf","CERTI")</f>
        <v>CERTI</v>
      </c>
    </row>
    <row r="7213" spans="1:27" ht="15" x14ac:dyDescent="0.25">
      <c r="A7213" s="2">
        <v>7208</v>
      </c>
      <c r="B7213" s="39">
        <v>924160380</v>
      </c>
      <c r="C7213" s="28" t="str">
        <f>HYPERLINK("https://pld.live/RapDetail.aspx?STONELIST=924160380","DNA")</f>
        <v>DNA</v>
      </c>
      <c r="D7213" s="18" t="s">
        <v>5313</v>
      </c>
      <c r="E7213" s="18" t="s">
        <v>2186</v>
      </c>
      <c r="F7213" s="2" t="s">
        <v>5597</v>
      </c>
      <c r="G7213" s="2" t="s">
        <v>2054</v>
      </c>
      <c r="H7213" s="14">
        <v>1.7</v>
      </c>
      <c r="I7213" s="2" t="s">
        <v>6587</v>
      </c>
      <c r="J7213" s="2" t="s">
        <v>13</v>
      </c>
      <c r="K7213" s="2" t="s">
        <v>1452</v>
      </c>
      <c r="L7213" s="2" t="s">
        <v>5221</v>
      </c>
      <c r="M7213" s="2" t="s">
        <v>5221</v>
      </c>
      <c r="N7213" s="2" t="s">
        <v>2317</v>
      </c>
      <c r="O7213" s="14">
        <v>9300</v>
      </c>
      <c r="P7213" s="14">
        <v>97.63</v>
      </c>
      <c r="Q7213" s="14">
        <v>220.41</v>
      </c>
      <c r="R7213" s="14">
        <v>374.7</v>
      </c>
      <c r="S7213" s="2" t="s">
        <v>1780</v>
      </c>
      <c r="T7213" s="2">
        <v>1.9</v>
      </c>
      <c r="U7213" s="2">
        <v>62.9</v>
      </c>
      <c r="V7213" s="2">
        <v>62</v>
      </c>
      <c r="W7213" s="2" t="s">
        <v>7862</v>
      </c>
      <c r="X7213" s="2" t="s">
        <v>5028</v>
      </c>
      <c r="Y7213" s="2">
        <v>15810</v>
      </c>
      <c r="Z7213" s="19" t="str">
        <f>HYPERLINK("https://ssdweb.co/ssdweb/hd/Vision360.html?d=924160380&amp;zoomslide=1&amp;z=1924160380&amp;ISCONFIRM=0","VIDEO")</f>
        <v>VIDEO</v>
      </c>
      <c r="AA7213" s="19" t="str">
        <f>HYPERLINK("https://ssdweb.co/ssdweb/CERTH/1468394973.pdf","CERTI")</f>
        <v>CERTI</v>
      </c>
    </row>
    <row r="7214" spans="1:27" ht="15" x14ac:dyDescent="0.25">
      <c r="A7214" s="2">
        <v>7209</v>
      </c>
      <c r="B7214" s="39">
        <v>925060463</v>
      </c>
      <c r="C7214" s="28" t="str">
        <f>HYPERLINK("https://pld.live/RapDetail.aspx?STONELIST=925060463","DNA")</f>
        <v>DNA</v>
      </c>
      <c r="D7214" s="18" t="s">
        <v>711</v>
      </c>
      <c r="E7214" s="18" t="s">
        <v>2186</v>
      </c>
      <c r="F7214" s="2" t="s">
        <v>7987</v>
      </c>
      <c r="G7214" s="2" t="s">
        <v>2054</v>
      </c>
      <c r="H7214" s="14">
        <v>1.57</v>
      </c>
      <c r="I7214" s="2" t="s">
        <v>6587</v>
      </c>
      <c r="J7214" s="2" t="s">
        <v>13</v>
      </c>
      <c r="K7214" s="2" t="s">
        <v>1452</v>
      </c>
      <c r="L7214" s="2" t="s">
        <v>5221</v>
      </c>
      <c r="M7214" s="2" t="s">
        <v>5221</v>
      </c>
      <c r="N7214" s="2" t="s">
        <v>2317</v>
      </c>
      <c r="O7214" s="14">
        <v>9300</v>
      </c>
      <c r="P7214" s="14">
        <v>98.75</v>
      </c>
      <c r="Q7214" s="14">
        <v>116.25</v>
      </c>
      <c r="R7214" s="14">
        <v>182.51</v>
      </c>
      <c r="S7214" s="2" t="s">
        <v>8025</v>
      </c>
      <c r="T7214" s="2">
        <v>2.09</v>
      </c>
      <c r="U7214" s="2">
        <v>60.4</v>
      </c>
      <c r="V7214" s="2">
        <v>62</v>
      </c>
      <c r="W7214" s="2" t="s">
        <v>8016</v>
      </c>
      <c r="X7214" s="2" t="s">
        <v>5028</v>
      </c>
      <c r="Y7214" s="2">
        <v>14601</v>
      </c>
      <c r="Z7214" s="19" t="str">
        <f>HYPERLINK("https://ssdweb.co/ssdweb/hd/Vision360.html?d=925060463&amp;zoomslide=1&amp;z=1925060463&amp;ISCONFIRM=0","VIDEO")</f>
        <v>VIDEO</v>
      </c>
      <c r="AA7214" s="19" t="str">
        <f>HYPERLINK("https://ssdweb.co/ssdweb/CERTH/619469653.pdf","CERTI")</f>
        <v>CERTI</v>
      </c>
    </row>
    <row r="7215" spans="1:27" ht="15" x14ac:dyDescent="0.25">
      <c r="A7215" s="2">
        <v>7210</v>
      </c>
      <c r="B7215" s="39">
        <v>821111274</v>
      </c>
      <c r="C7215" s="28" t="str">
        <f>HYPERLINK("https://pld.live/RapDetail.aspx?STONELIST=821111274","DNA")</f>
        <v>DNA</v>
      </c>
      <c r="D7215" s="18" t="s">
        <v>711</v>
      </c>
      <c r="E7215" s="18" t="s">
        <v>2186</v>
      </c>
      <c r="F7215" s="2" t="s">
        <v>7987</v>
      </c>
      <c r="G7215" s="2" t="s">
        <v>2054</v>
      </c>
      <c r="H7215" s="14">
        <v>1.55</v>
      </c>
      <c r="I7215" s="2" t="s">
        <v>4761</v>
      </c>
      <c r="J7215" s="2" t="s">
        <v>5144</v>
      </c>
      <c r="K7215" s="2" t="s">
        <v>1452</v>
      </c>
      <c r="L7215" s="2" t="s">
        <v>5221</v>
      </c>
      <c r="M7215" s="2" t="s">
        <v>5221</v>
      </c>
      <c r="N7215" s="2" t="s">
        <v>2317</v>
      </c>
      <c r="O7215" s="14">
        <v>9300</v>
      </c>
      <c r="P7215" s="14">
        <v>98.77</v>
      </c>
      <c r="Q7215" s="14">
        <v>114.39</v>
      </c>
      <c r="R7215" s="14">
        <v>177.3</v>
      </c>
      <c r="S7215" s="2" t="s">
        <v>2753</v>
      </c>
      <c r="T7215" s="2">
        <v>2</v>
      </c>
      <c r="U7215" s="2">
        <v>62.8</v>
      </c>
      <c r="V7215" s="2">
        <v>56</v>
      </c>
      <c r="W7215" s="2" t="s">
        <v>7862</v>
      </c>
      <c r="X7215" s="2" t="s">
        <v>5028</v>
      </c>
      <c r="Y7215" s="2">
        <v>14415</v>
      </c>
      <c r="Z7215" s="19" t="str">
        <f>HYPERLINK("https://ssdweb.co/ssdweb/hd/Vision360.html?d=821111274&amp;zoomslide=1&amp;z=1821111274&amp;ISCONFIRM=0","VIDEO")</f>
        <v>VIDEO</v>
      </c>
      <c r="AA7215" s="19" t="str">
        <f>HYPERLINK("https://ssdweb.co/ssdweb/CERTH/602387965.pdf","CERTI")</f>
        <v>CERTI</v>
      </c>
    </row>
    <row r="7216" spans="1:27" ht="15" x14ac:dyDescent="0.25">
      <c r="A7216" s="2">
        <v>7211</v>
      </c>
      <c r="B7216" s="39">
        <v>821112006</v>
      </c>
      <c r="C7216" s="28" t="str">
        <f>HYPERLINK("https://pld.live/RapDetail.aspx?STONELIST=821112006","DNA")</f>
        <v>DNA</v>
      </c>
      <c r="D7216" s="18" t="s">
        <v>711</v>
      </c>
      <c r="E7216" s="18" t="s">
        <v>2186</v>
      </c>
      <c r="F7216" s="2" t="s">
        <v>7987</v>
      </c>
      <c r="G7216" s="2" t="s">
        <v>2054</v>
      </c>
      <c r="H7216" s="14">
        <v>1.55</v>
      </c>
      <c r="I7216" s="2" t="s">
        <v>4699</v>
      </c>
      <c r="J7216" s="2" t="s">
        <v>5144</v>
      </c>
      <c r="K7216" s="2" t="s">
        <v>1452</v>
      </c>
      <c r="L7216" s="2" t="s">
        <v>5221</v>
      </c>
      <c r="M7216" s="2" t="s">
        <v>5221</v>
      </c>
      <c r="N7216" s="2" t="s">
        <v>2317</v>
      </c>
      <c r="O7216" s="14">
        <v>8800</v>
      </c>
      <c r="P7216" s="14">
        <v>98.68</v>
      </c>
      <c r="Q7216" s="14">
        <v>116.16</v>
      </c>
      <c r="R7216" s="14">
        <v>180.05</v>
      </c>
      <c r="S7216" s="2" t="s">
        <v>6273</v>
      </c>
      <c r="T7216" s="2">
        <v>2</v>
      </c>
      <c r="U7216" s="2">
        <v>62.9</v>
      </c>
      <c r="V7216" s="2">
        <v>61</v>
      </c>
      <c r="W7216" s="2" t="s">
        <v>7862</v>
      </c>
      <c r="X7216" s="2" t="s">
        <v>5028</v>
      </c>
      <c r="Y7216" s="2">
        <v>13640</v>
      </c>
      <c r="Z7216" s="19" t="str">
        <f>HYPERLINK("https://ssdweb.co/ssdweb/hd/Vision360.html?d=821112006&amp;zoomslide=1&amp;z=1821112006&amp;ISCONFIRM=0","VIDEO")</f>
        <v>VIDEO</v>
      </c>
      <c r="AA7216" s="19" t="str">
        <f>HYPERLINK("https://ssdweb.co/ssdweb/CERTH/615350992.pdf","CERTI")</f>
        <v>CERTI</v>
      </c>
    </row>
    <row r="7217" spans="1:27" ht="15" x14ac:dyDescent="0.25">
      <c r="A7217" s="2">
        <v>7212</v>
      </c>
      <c r="B7217" s="39">
        <v>821112002</v>
      </c>
      <c r="C7217" s="28" t="str">
        <f>HYPERLINK("https://pld.live/RapDetail.aspx?STONELIST=821112002","DNA")</f>
        <v>DNA</v>
      </c>
      <c r="D7217" s="18" t="s">
        <v>711</v>
      </c>
      <c r="E7217" s="18" t="s">
        <v>2186</v>
      </c>
      <c r="F7217" s="2" t="s">
        <v>7987</v>
      </c>
      <c r="G7217" s="2" t="s">
        <v>2054</v>
      </c>
      <c r="H7217" s="14">
        <v>1.55</v>
      </c>
      <c r="I7217" s="2" t="s">
        <v>4699</v>
      </c>
      <c r="J7217" s="2" t="s">
        <v>5144</v>
      </c>
      <c r="K7217" s="2" t="s">
        <v>1452</v>
      </c>
      <c r="L7217" s="2" t="s">
        <v>5221</v>
      </c>
      <c r="M7217" s="2" t="s">
        <v>5221</v>
      </c>
      <c r="N7217" s="2" t="s">
        <v>2317</v>
      </c>
      <c r="O7217" s="14">
        <v>8800</v>
      </c>
      <c r="P7217" s="14">
        <v>98.68</v>
      </c>
      <c r="Q7217" s="14">
        <v>116.16</v>
      </c>
      <c r="R7217" s="14">
        <v>180.05</v>
      </c>
      <c r="S7217" s="2" t="s">
        <v>2365</v>
      </c>
      <c r="T7217" s="2">
        <v>2.02</v>
      </c>
      <c r="U7217" s="2">
        <v>62.9</v>
      </c>
      <c r="V7217" s="2">
        <v>60</v>
      </c>
      <c r="W7217" s="2" t="s">
        <v>7862</v>
      </c>
      <c r="X7217" s="2" t="s">
        <v>5028</v>
      </c>
      <c r="Y7217" s="2">
        <v>13640</v>
      </c>
      <c r="Z7217" s="19" t="str">
        <f>HYPERLINK("https://ssdweb.co/ssdweb/hd/Vision360.html?d=821112002&amp;zoomslide=1&amp;z=1821112002&amp;ISCONFIRM=0","VIDEO")</f>
        <v>VIDEO</v>
      </c>
      <c r="AA7217" s="19" t="str">
        <f>HYPERLINK("https://ssdweb.co/ssdweb/CERTH/610326866.pdf","CERTI")</f>
        <v>CERTI</v>
      </c>
    </row>
    <row r="7218" spans="1:27" ht="15" x14ac:dyDescent="0.25">
      <c r="A7218" s="2">
        <v>7213</v>
      </c>
      <c r="B7218" s="39">
        <v>821111833</v>
      </c>
      <c r="C7218" s="28" t="str">
        <f>HYPERLINK("https://pld.live/RapDetail.aspx?STONELIST=821111833","DNA")</f>
        <v>DNA</v>
      </c>
      <c r="D7218" s="18" t="s">
        <v>711</v>
      </c>
      <c r="E7218" s="18" t="s">
        <v>2186</v>
      </c>
      <c r="F7218" s="2" t="s">
        <v>7987</v>
      </c>
      <c r="G7218" s="2" t="s">
        <v>2054</v>
      </c>
      <c r="H7218" s="14">
        <v>1.54</v>
      </c>
      <c r="I7218" s="2" t="s">
        <v>267</v>
      </c>
      <c r="J7218" s="2" t="s">
        <v>5144</v>
      </c>
      <c r="K7218" s="2" t="s">
        <v>1452</v>
      </c>
      <c r="L7218" s="2" t="s">
        <v>5221</v>
      </c>
      <c r="M7218" s="2" t="s">
        <v>5221</v>
      </c>
      <c r="N7218" s="2" t="s">
        <v>2317</v>
      </c>
      <c r="O7218" s="14">
        <v>9900</v>
      </c>
      <c r="P7218" s="14">
        <v>98.78</v>
      </c>
      <c r="Q7218" s="14">
        <v>120.78</v>
      </c>
      <c r="R7218" s="14">
        <v>186</v>
      </c>
      <c r="S7218" s="2" t="s">
        <v>3515</v>
      </c>
      <c r="T7218" s="2">
        <v>1.93</v>
      </c>
      <c r="U7218" s="2">
        <v>60.1</v>
      </c>
      <c r="V7218" s="2">
        <v>61</v>
      </c>
      <c r="W7218" s="2" t="s">
        <v>7862</v>
      </c>
      <c r="X7218" s="2" t="s">
        <v>5028</v>
      </c>
      <c r="Y7218" s="2">
        <v>15246</v>
      </c>
      <c r="Z7218" s="19" t="str">
        <f>HYPERLINK("https://ssdweb.co/ssdweb/hd/Vision360.html?d=821111833&amp;zoomslide=1&amp;z=1821111833&amp;ISCONFIRM=0","VIDEO")</f>
        <v>VIDEO</v>
      </c>
      <c r="AA7218" s="19" t="str">
        <f>HYPERLINK("https://ssdweb.co/ssdweb/CERTH/610327111.pdf","CERTI")</f>
        <v>CERTI</v>
      </c>
    </row>
    <row r="7219" spans="1:27" ht="15" x14ac:dyDescent="0.25">
      <c r="A7219" s="2">
        <v>7214</v>
      </c>
      <c r="B7219" s="39">
        <v>821111862</v>
      </c>
      <c r="C7219" s="28" t="str">
        <f>HYPERLINK("https://pld.live/RapDetail.aspx?STONELIST=821111862","DNA")</f>
        <v>DNA</v>
      </c>
      <c r="D7219" s="18" t="s">
        <v>711</v>
      </c>
      <c r="E7219" s="18" t="s">
        <v>2186</v>
      </c>
      <c r="F7219" s="2" t="s">
        <v>7987</v>
      </c>
      <c r="G7219" s="2" t="s">
        <v>2054</v>
      </c>
      <c r="H7219" s="14">
        <v>1.54</v>
      </c>
      <c r="I7219" s="2" t="s">
        <v>4699</v>
      </c>
      <c r="J7219" s="2" t="s">
        <v>13</v>
      </c>
      <c r="K7219" s="2" t="s">
        <v>1452</v>
      </c>
      <c r="L7219" s="2" t="s">
        <v>5221</v>
      </c>
      <c r="M7219" s="2" t="s">
        <v>5221</v>
      </c>
      <c r="N7219" s="2" t="s">
        <v>2317</v>
      </c>
      <c r="O7219" s="14">
        <v>10200</v>
      </c>
      <c r="P7219" s="14">
        <v>98.82</v>
      </c>
      <c r="Q7219" s="14">
        <v>120.36</v>
      </c>
      <c r="R7219" s="14">
        <v>185.35</v>
      </c>
      <c r="S7219" s="2" t="s">
        <v>6742</v>
      </c>
      <c r="T7219" s="2">
        <v>2.0099999999999998</v>
      </c>
      <c r="U7219" s="2">
        <v>61.4</v>
      </c>
      <c r="V7219" s="2">
        <v>61</v>
      </c>
      <c r="W7219" s="2" t="s">
        <v>7862</v>
      </c>
      <c r="X7219" s="2" t="s">
        <v>5028</v>
      </c>
      <c r="Y7219" s="2">
        <v>15708</v>
      </c>
      <c r="Z7219" s="19" t="str">
        <f>HYPERLINK("https://ssdweb.co/ssdweb/hd/Vision360.html?d=821111862&amp;zoomslide=1&amp;z=1821111862&amp;ISCONFIRM=0","VIDEO")</f>
        <v>VIDEO</v>
      </c>
      <c r="AA7219" s="19" t="str">
        <f>HYPERLINK("https://ssdweb.co/ssdweb/CERTH/612329547.pdf","CERTI")</f>
        <v>CERTI</v>
      </c>
    </row>
    <row r="7220" spans="1:27" ht="15" x14ac:dyDescent="0.25">
      <c r="A7220" s="2">
        <v>7215</v>
      </c>
      <c r="B7220" s="39">
        <v>821113013</v>
      </c>
      <c r="C7220" s="28" t="str">
        <f>HYPERLINK("https://pld.live/RapDetail.aspx?STONELIST=821113013","DNA")</f>
        <v>DNA</v>
      </c>
      <c r="D7220" s="18" t="s">
        <v>711</v>
      </c>
      <c r="E7220" s="18" t="s">
        <v>2186</v>
      </c>
      <c r="F7220" s="2" t="s">
        <v>7987</v>
      </c>
      <c r="G7220" s="2" t="s">
        <v>2054</v>
      </c>
      <c r="H7220" s="14">
        <v>1.53</v>
      </c>
      <c r="I7220" s="2" t="s">
        <v>4699</v>
      </c>
      <c r="J7220" s="2" t="s">
        <v>3942</v>
      </c>
      <c r="K7220" s="2" t="s">
        <v>1452</v>
      </c>
      <c r="L7220" s="2" t="s">
        <v>5221</v>
      </c>
      <c r="M7220" s="2" t="s">
        <v>5221</v>
      </c>
      <c r="N7220" s="2" t="s">
        <v>2317</v>
      </c>
      <c r="O7220" s="14">
        <v>10800</v>
      </c>
      <c r="P7220" s="14">
        <v>98.81</v>
      </c>
      <c r="Q7220" s="14">
        <v>128.52000000000001</v>
      </c>
      <c r="R7220" s="14">
        <v>196.64</v>
      </c>
      <c r="S7220" s="2" t="s">
        <v>1473</v>
      </c>
      <c r="T7220" s="2">
        <v>1.95</v>
      </c>
      <c r="U7220" s="2">
        <v>60.7</v>
      </c>
      <c r="V7220" s="2">
        <v>61</v>
      </c>
      <c r="W7220" s="2" t="s">
        <v>7862</v>
      </c>
      <c r="X7220" s="2" t="s">
        <v>5028</v>
      </c>
      <c r="Y7220" s="2">
        <v>16524</v>
      </c>
      <c r="Z7220" s="19" t="str">
        <f>HYPERLINK("https://ssdweb.co/ssdweb/hd/Vision360.html?d=821113013&amp;zoomslide=1&amp;z=1821113013&amp;ISCONFIRM=0","VIDEO")</f>
        <v>VIDEO</v>
      </c>
      <c r="AA7220" s="19" t="str">
        <f>HYPERLINK("https://ssdweb.co/ssdweb/CERTH/621497172.pdf","CERTI")</f>
        <v>CERTI</v>
      </c>
    </row>
    <row r="7221" spans="1:27" ht="15" x14ac:dyDescent="0.25">
      <c r="A7221" s="2">
        <v>7216</v>
      </c>
      <c r="B7221" s="39">
        <v>821113011</v>
      </c>
      <c r="C7221" s="28" t="str">
        <f>HYPERLINK("https://pld.live/RapDetail.aspx?STONELIST=821113011","DNA")</f>
        <v>DNA</v>
      </c>
      <c r="D7221" s="18" t="s">
        <v>711</v>
      </c>
      <c r="E7221" s="18" t="s">
        <v>2186</v>
      </c>
      <c r="F7221" s="2" t="s">
        <v>7987</v>
      </c>
      <c r="G7221" s="2" t="s">
        <v>2054</v>
      </c>
      <c r="H7221" s="14">
        <v>1.53</v>
      </c>
      <c r="I7221" s="2" t="s">
        <v>4699</v>
      </c>
      <c r="J7221" s="2" t="s">
        <v>3942</v>
      </c>
      <c r="K7221" s="2" t="s">
        <v>1452</v>
      </c>
      <c r="L7221" s="2" t="s">
        <v>5221</v>
      </c>
      <c r="M7221" s="2" t="s">
        <v>5221</v>
      </c>
      <c r="N7221" s="2" t="s">
        <v>2317</v>
      </c>
      <c r="O7221" s="14">
        <v>10800</v>
      </c>
      <c r="P7221" s="14">
        <v>98.81</v>
      </c>
      <c r="Q7221" s="14">
        <v>128.52000000000001</v>
      </c>
      <c r="R7221" s="14">
        <v>196.64</v>
      </c>
      <c r="S7221" s="2" t="s">
        <v>7112</v>
      </c>
      <c r="T7221" s="2">
        <v>1.99</v>
      </c>
      <c r="U7221" s="2">
        <v>62.5</v>
      </c>
      <c r="V7221" s="2">
        <v>59</v>
      </c>
      <c r="W7221" s="2" t="s">
        <v>7862</v>
      </c>
      <c r="X7221" s="2" t="s">
        <v>5028</v>
      </c>
      <c r="Y7221" s="2">
        <v>16524</v>
      </c>
      <c r="Z7221" s="19" t="str">
        <f>HYPERLINK("https://ssdweb.co/ssdweb/hd/Vision360.html?d=821113011&amp;zoomslide=1&amp;z=1821113011&amp;ISCONFIRM=0","VIDEO")</f>
        <v>VIDEO</v>
      </c>
      <c r="AA7221" s="19" t="str">
        <f>HYPERLINK("https://ssdweb.co/ssdweb/CERTH/621497173.pdf","CERTI")</f>
        <v>CERTI</v>
      </c>
    </row>
    <row r="7222" spans="1:27" ht="15" x14ac:dyDescent="0.25">
      <c r="A7222" s="2">
        <v>7217</v>
      </c>
      <c r="B7222" s="39">
        <v>821113007</v>
      </c>
      <c r="C7222" s="28" t="str">
        <f>HYPERLINK("https://pld.live/RapDetail.aspx?STONELIST=821113007","DNA")</f>
        <v>DNA</v>
      </c>
      <c r="D7222" s="18" t="s">
        <v>711</v>
      </c>
      <c r="E7222" s="18" t="s">
        <v>2186</v>
      </c>
      <c r="F7222" s="2" t="s">
        <v>7987</v>
      </c>
      <c r="G7222" s="2" t="s">
        <v>2054</v>
      </c>
      <c r="H7222" s="14">
        <v>1.53</v>
      </c>
      <c r="I7222" s="2" t="s">
        <v>4699</v>
      </c>
      <c r="J7222" s="2" t="s">
        <v>3942</v>
      </c>
      <c r="K7222" s="2" t="s">
        <v>1452</v>
      </c>
      <c r="L7222" s="2" t="s">
        <v>5221</v>
      </c>
      <c r="M7222" s="2" t="s">
        <v>5221</v>
      </c>
      <c r="N7222" s="2" t="s">
        <v>2317</v>
      </c>
      <c r="O7222" s="14">
        <v>10800</v>
      </c>
      <c r="P7222" s="14">
        <v>98.81</v>
      </c>
      <c r="Q7222" s="14">
        <v>128.52000000000001</v>
      </c>
      <c r="R7222" s="14">
        <v>196.64</v>
      </c>
      <c r="S7222" s="2" t="s">
        <v>3651</v>
      </c>
      <c r="T7222" s="2">
        <v>2.0699999999999998</v>
      </c>
      <c r="U7222" s="2">
        <v>62.9</v>
      </c>
      <c r="V7222" s="2">
        <v>59</v>
      </c>
      <c r="W7222" s="2" t="s">
        <v>7862</v>
      </c>
      <c r="X7222" s="2" t="s">
        <v>5028</v>
      </c>
      <c r="Y7222" s="2">
        <v>16524</v>
      </c>
      <c r="Z7222" s="19" t="str">
        <f>HYPERLINK("https://ssdweb.co/ssdweb/hd/Vision360.html?d=821113007&amp;zoomslide=1&amp;z=1821113007&amp;ISCONFIRM=0","VIDEO")</f>
        <v>VIDEO</v>
      </c>
      <c r="AA7222" s="19" t="str">
        <f>HYPERLINK("https://ssdweb.co/ssdweb/CERTH/621497193.pdf","CERTI")</f>
        <v>CERTI</v>
      </c>
    </row>
    <row r="7223" spans="1:27" ht="15" x14ac:dyDescent="0.25">
      <c r="A7223" s="2">
        <v>7218</v>
      </c>
      <c r="B7223" s="39">
        <v>821113006</v>
      </c>
      <c r="C7223" s="28" t="str">
        <f>HYPERLINK("https://pld.live/RapDetail.aspx?STONELIST=821113006","DNA")</f>
        <v>DNA</v>
      </c>
      <c r="D7223" s="18" t="s">
        <v>711</v>
      </c>
      <c r="E7223" s="18" t="s">
        <v>2186</v>
      </c>
      <c r="F7223" s="2" t="s">
        <v>7987</v>
      </c>
      <c r="G7223" s="2" t="s">
        <v>2054</v>
      </c>
      <c r="H7223" s="14">
        <v>1.53</v>
      </c>
      <c r="I7223" s="2" t="s">
        <v>4699</v>
      </c>
      <c r="J7223" s="2" t="s">
        <v>3942</v>
      </c>
      <c r="K7223" s="2" t="s">
        <v>1452</v>
      </c>
      <c r="L7223" s="2" t="s">
        <v>5221</v>
      </c>
      <c r="M7223" s="2" t="s">
        <v>5221</v>
      </c>
      <c r="N7223" s="2" t="s">
        <v>2317</v>
      </c>
      <c r="O7223" s="14">
        <v>10800</v>
      </c>
      <c r="P7223" s="14">
        <v>98.81</v>
      </c>
      <c r="Q7223" s="14">
        <v>128.52000000000001</v>
      </c>
      <c r="R7223" s="14">
        <v>196.64</v>
      </c>
      <c r="S7223" s="2" t="s">
        <v>4695</v>
      </c>
      <c r="T7223" s="2">
        <v>1.92</v>
      </c>
      <c r="U7223" s="2">
        <v>59.5</v>
      </c>
      <c r="V7223" s="2">
        <v>58</v>
      </c>
      <c r="W7223" s="2" t="s">
        <v>7862</v>
      </c>
      <c r="X7223" s="2" t="s">
        <v>5028</v>
      </c>
      <c r="Y7223" s="2">
        <v>16524</v>
      </c>
      <c r="Z7223" s="19" t="str">
        <f>HYPERLINK("https://ssdweb.co/ssdweb/hd/Vision360.html?d=821113006&amp;zoomslide=1&amp;z=1821113006&amp;ISCONFIRM=0","VIDEO")</f>
        <v>VIDEO</v>
      </c>
      <c r="AA7223" s="19" t="str">
        <f>HYPERLINK("https://ssdweb.co/ssdweb/CERTH/621497192.pdf","CERTI")</f>
        <v>CERTI</v>
      </c>
    </row>
    <row r="7224" spans="1:27" ht="15" x14ac:dyDescent="0.25">
      <c r="A7224" s="2">
        <v>7219</v>
      </c>
      <c r="B7224" s="39">
        <v>821111889</v>
      </c>
      <c r="C7224" s="28" t="str">
        <f>HYPERLINK("https://pld.live/RapDetail.aspx?STONELIST=821111889","DNA")</f>
        <v>DNA</v>
      </c>
      <c r="D7224" s="18" t="s">
        <v>711</v>
      </c>
      <c r="E7224" s="18" t="s">
        <v>2186</v>
      </c>
      <c r="F7224" s="2" t="s">
        <v>7987</v>
      </c>
      <c r="G7224" s="2" t="s">
        <v>2054</v>
      </c>
      <c r="H7224" s="14">
        <v>1.53</v>
      </c>
      <c r="I7224" s="2" t="s">
        <v>4699</v>
      </c>
      <c r="J7224" s="2" t="s">
        <v>3942</v>
      </c>
      <c r="K7224" s="2" t="s">
        <v>1452</v>
      </c>
      <c r="L7224" s="2" t="s">
        <v>5221</v>
      </c>
      <c r="M7224" s="2" t="s">
        <v>5221</v>
      </c>
      <c r="N7224" s="2" t="s">
        <v>2317</v>
      </c>
      <c r="O7224" s="14">
        <v>10800</v>
      </c>
      <c r="P7224" s="14">
        <v>98.81</v>
      </c>
      <c r="Q7224" s="14">
        <v>128.52000000000001</v>
      </c>
      <c r="R7224" s="14">
        <v>196.64</v>
      </c>
      <c r="S7224" s="2" t="s">
        <v>560</v>
      </c>
      <c r="T7224" s="2">
        <v>1.99</v>
      </c>
      <c r="U7224" s="2">
        <v>61.7</v>
      </c>
      <c r="V7224" s="2">
        <v>58</v>
      </c>
      <c r="W7224" s="2" t="s">
        <v>7862</v>
      </c>
      <c r="X7224" s="2" t="s">
        <v>5028</v>
      </c>
      <c r="Y7224" s="2">
        <v>16524</v>
      </c>
      <c r="Z7224" s="19" t="str">
        <f>HYPERLINK("https://ssdweb.co/ssdweb/hd/Vision360.html?d=821111889&amp;zoomslide=1&amp;z=1821111889&amp;ISCONFIRM=0","VIDEO")</f>
        <v>VIDEO</v>
      </c>
      <c r="AA7224" s="19" t="str">
        <f>HYPERLINK("https://ssdweb.co/ssdweb/CERTH/612329855.pdf","CERTI")</f>
        <v>CERTI</v>
      </c>
    </row>
    <row r="7225" spans="1:27" ht="15" x14ac:dyDescent="0.25">
      <c r="A7225" s="2">
        <v>7220</v>
      </c>
      <c r="B7225" s="39">
        <v>821111968</v>
      </c>
      <c r="C7225" s="28" t="str">
        <f>HYPERLINK("https://pld.live/RapDetail.aspx?STONELIST=821111968","DNA")</f>
        <v>DNA</v>
      </c>
      <c r="D7225" s="18" t="s">
        <v>711</v>
      </c>
      <c r="E7225" s="18" t="s">
        <v>2186</v>
      </c>
      <c r="F7225" s="2" t="s">
        <v>7987</v>
      </c>
      <c r="G7225" s="2" t="s">
        <v>2054</v>
      </c>
      <c r="H7225" s="14">
        <v>1.53</v>
      </c>
      <c r="I7225" s="2" t="s">
        <v>4699</v>
      </c>
      <c r="J7225" s="2" t="s">
        <v>5144</v>
      </c>
      <c r="K7225" s="2" t="s">
        <v>1452</v>
      </c>
      <c r="L7225" s="2" t="s">
        <v>5221</v>
      </c>
      <c r="M7225" s="2" t="s">
        <v>5221</v>
      </c>
      <c r="N7225" s="2" t="s">
        <v>2317</v>
      </c>
      <c r="O7225" s="14">
        <v>8800</v>
      </c>
      <c r="P7225" s="14">
        <v>98.68</v>
      </c>
      <c r="Q7225" s="14">
        <v>116.16</v>
      </c>
      <c r="R7225" s="14">
        <v>177.72</v>
      </c>
      <c r="S7225" s="2" t="s">
        <v>808</v>
      </c>
      <c r="T7225" s="2">
        <v>2.09</v>
      </c>
      <c r="U7225" s="2">
        <v>61.9</v>
      </c>
      <c r="V7225" s="2">
        <v>63</v>
      </c>
      <c r="W7225" s="2" t="s">
        <v>7862</v>
      </c>
      <c r="X7225" s="2" t="s">
        <v>5028</v>
      </c>
      <c r="Y7225" s="2">
        <v>13464</v>
      </c>
      <c r="Z7225" s="19" t="str">
        <f>HYPERLINK("https://ssdweb.co/ssdweb/hd/Vision360.html?d=821111968&amp;zoomslide=1&amp;z=1821111968&amp;ISCONFIRM=0","VIDEO")</f>
        <v>VIDEO</v>
      </c>
      <c r="AA7225" s="19" t="str">
        <f>HYPERLINK("https://ssdweb.co/ssdweb/CERTH/615351531.pdf","CERTI")</f>
        <v>CERTI</v>
      </c>
    </row>
    <row r="7226" spans="1:27" ht="15" x14ac:dyDescent="0.25">
      <c r="A7226" s="2">
        <v>7221</v>
      </c>
      <c r="B7226" s="39">
        <v>821118003</v>
      </c>
      <c r="C7226" s="28" t="str">
        <f>HYPERLINK("https://pld.live/RapDetail.aspx?STONELIST=821118003","DNA")</f>
        <v>DNA</v>
      </c>
      <c r="D7226" s="18" t="s">
        <v>711</v>
      </c>
      <c r="E7226" s="18" t="s">
        <v>2186</v>
      </c>
      <c r="F7226" s="2" t="s">
        <v>7987</v>
      </c>
      <c r="G7226" s="2" t="s">
        <v>2054</v>
      </c>
      <c r="H7226" s="14">
        <v>1.52</v>
      </c>
      <c r="I7226" s="2" t="s">
        <v>267</v>
      </c>
      <c r="J7226" s="2" t="s">
        <v>3942</v>
      </c>
      <c r="K7226" s="2" t="s">
        <v>1452</v>
      </c>
      <c r="L7226" s="2" t="s">
        <v>5221</v>
      </c>
      <c r="M7226" s="2" t="s">
        <v>5221</v>
      </c>
      <c r="N7226" s="2" t="s">
        <v>2317</v>
      </c>
      <c r="O7226" s="14">
        <v>12500</v>
      </c>
      <c r="P7226" s="14">
        <v>98.84</v>
      </c>
      <c r="Q7226" s="14">
        <v>145</v>
      </c>
      <c r="R7226" s="14">
        <v>220.4</v>
      </c>
      <c r="S7226" s="2" t="s">
        <v>4910</v>
      </c>
      <c r="T7226" s="2">
        <v>2.0099999999999998</v>
      </c>
      <c r="U7226" s="2">
        <v>58.6</v>
      </c>
      <c r="V7226" s="2">
        <v>60</v>
      </c>
      <c r="W7226" s="2" t="s">
        <v>7862</v>
      </c>
      <c r="X7226" s="2" t="s">
        <v>5028</v>
      </c>
      <c r="Y7226" s="2">
        <v>19000</v>
      </c>
      <c r="Z7226" s="19" t="str">
        <f>HYPERLINK("https://ssdweb.co/ssdweb/hd/Vision360.html?d=821118003&amp;zoomslide=1&amp;z=1821118003&amp;ISCONFIRM=0","VIDEO")</f>
        <v>VIDEO</v>
      </c>
      <c r="AA7226" s="19" t="str">
        <f>HYPERLINK("https://ssdweb.co/ssdweb/CERTH/694508400.pdf","CERTI")</f>
        <v>CERTI</v>
      </c>
    </row>
    <row r="7227" spans="1:27" ht="15" x14ac:dyDescent="0.25">
      <c r="A7227" s="2">
        <v>7222</v>
      </c>
      <c r="B7227" s="39">
        <v>821117996</v>
      </c>
      <c r="C7227" s="28" t="str">
        <f>HYPERLINK("https://pld.live/RapDetail.aspx?STONELIST=821117996","DNA")</f>
        <v>DNA</v>
      </c>
      <c r="D7227" s="18" t="s">
        <v>711</v>
      </c>
      <c r="E7227" s="18" t="s">
        <v>2186</v>
      </c>
      <c r="F7227" s="2" t="s">
        <v>7987</v>
      </c>
      <c r="G7227" s="2" t="s">
        <v>2054</v>
      </c>
      <c r="H7227" s="14">
        <v>1.52</v>
      </c>
      <c r="I7227" s="2" t="s">
        <v>4761</v>
      </c>
      <c r="J7227" s="2" t="s">
        <v>3942</v>
      </c>
      <c r="K7227" s="2" t="s">
        <v>1452</v>
      </c>
      <c r="L7227" s="2" t="s">
        <v>5221</v>
      </c>
      <c r="M7227" s="2" t="s">
        <v>5221</v>
      </c>
      <c r="N7227" s="2" t="s">
        <v>2317</v>
      </c>
      <c r="O7227" s="14">
        <v>11600</v>
      </c>
      <c r="P7227" s="14">
        <v>98.81</v>
      </c>
      <c r="Q7227" s="14">
        <v>138.04</v>
      </c>
      <c r="R7227" s="14">
        <v>209.82</v>
      </c>
      <c r="S7227" s="2" t="s">
        <v>1395</v>
      </c>
      <c r="T7227" s="2">
        <v>2.0099999999999998</v>
      </c>
      <c r="U7227" s="2">
        <v>61</v>
      </c>
      <c r="V7227" s="2">
        <v>61</v>
      </c>
      <c r="W7227" s="2" t="s">
        <v>7862</v>
      </c>
      <c r="X7227" s="2" t="s">
        <v>5028</v>
      </c>
      <c r="Y7227" s="2">
        <v>17632</v>
      </c>
      <c r="Z7227" s="19" t="str">
        <f>HYPERLINK("https://ssdweb.co/ssdweb/hd/Vision360.html?d=821117996&amp;zoomslide=1&amp;z=1821117996&amp;ISCONFIRM=0","VIDEO")</f>
        <v>VIDEO</v>
      </c>
      <c r="AA7227" s="19" t="str">
        <f>HYPERLINK("https://ssdweb.co/ssdweb/CERTH/694508395.pdf","CERTI")</f>
        <v>CERTI</v>
      </c>
    </row>
    <row r="7228" spans="1:27" ht="15" x14ac:dyDescent="0.25">
      <c r="A7228" s="2">
        <v>7223</v>
      </c>
      <c r="B7228" s="39">
        <v>821117999</v>
      </c>
      <c r="C7228" s="28" t="str">
        <f>HYPERLINK("https://pld.live/RapDetail.aspx?STONELIST=821117999","DNA")</f>
        <v>DNA</v>
      </c>
      <c r="D7228" s="18" t="s">
        <v>711</v>
      </c>
      <c r="E7228" s="18" t="s">
        <v>2186</v>
      </c>
      <c r="F7228" s="2" t="s">
        <v>7987</v>
      </c>
      <c r="G7228" s="2" t="s">
        <v>2054</v>
      </c>
      <c r="H7228" s="14">
        <v>1.52</v>
      </c>
      <c r="I7228" s="2" t="s">
        <v>4761</v>
      </c>
      <c r="J7228" s="2" t="s">
        <v>3942</v>
      </c>
      <c r="K7228" s="2" t="s">
        <v>1452</v>
      </c>
      <c r="L7228" s="2" t="s">
        <v>5221</v>
      </c>
      <c r="M7228" s="2" t="s">
        <v>5221</v>
      </c>
      <c r="N7228" s="2" t="s">
        <v>2317</v>
      </c>
      <c r="O7228" s="14">
        <v>11600</v>
      </c>
      <c r="P7228" s="14">
        <v>98.81</v>
      </c>
      <c r="Q7228" s="14">
        <v>138.04</v>
      </c>
      <c r="R7228" s="14">
        <v>209.82</v>
      </c>
      <c r="S7228" s="2" t="s">
        <v>954</v>
      </c>
      <c r="T7228" s="2">
        <v>1.97</v>
      </c>
      <c r="U7228" s="2">
        <v>61</v>
      </c>
      <c r="V7228" s="2">
        <v>59</v>
      </c>
      <c r="W7228" s="2" t="s">
        <v>7862</v>
      </c>
      <c r="X7228" s="2" t="s">
        <v>5028</v>
      </c>
      <c r="Y7228" s="2">
        <v>17632</v>
      </c>
      <c r="Z7228" s="19" t="str">
        <f>HYPERLINK("https://ssdweb.co/ssdweb/hd/Vision360.html?d=821117999&amp;zoomslide=1&amp;z=1821117999&amp;ISCONFIRM=0","VIDEO")</f>
        <v>VIDEO</v>
      </c>
      <c r="AA7228" s="19" t="str">
        <f>HYPERLINK("https://ssdweb.co/ssdweb/CERTH/694508397.pdf","CERTI")</f>
        <v>CERTI</v>
      </c>
    </row>
    <row r="7229" spans="1:27" ht="15" x14ac:dyDescent="0.25">
      <c r="A7229" s="2">
        <v>7224</v>
      </c>
      <c r="B7229" s="39">
        <v>926360318</v>
      </c>
      <c r="C7229" s="28" t="str">
        <f>HYPERLINK("https://pld.live/RapDetail.aspx?STONELIST=926360318","DNA")</f>
        <v>DNA</v>
      </c>
      <c r="D7229" s="18" t="s">
        <v>711</v>
      </c>
      <c r="E7229" s="18" t="s">
        <v>2186</v>
      </c>
      <c r="F7229" s="2" t="s">
        <v>7987</v>
      </c>
      <c r="G7229" s="2" t="s">
        <v>2054</v>
      </c>
      <c r="H7229" s="14">
        <v>1.52</v>
      </c>
      <c r="I7229" s="2" t="s">
        <v>4699</v>
      </c>
      <c r="J7229" s="2" t="s">
        <v>13</v>
      </c>
      <c r="K7229" s="2" t="s">
        <v>1452</v>
      </c>
      <c r="L7229" s="2" t="s">
        <v>5221</v>
      </c>
      <c r="M7229" s="2" t="s">
        <v>5221</v>
      </c>
      <c r="N7229" s="2" t="s">
        <v>2317</v>
      </c>
      <c r="O7229" s="14">
        <v>10200</v>
      </c>
      <c r="P7229" s="14">
        <v>98.82</v>
      </c>
      <c r="Q7229" s="14">
        <v>120.36</v>
      </c>
      <c r="R7229" s="14">
        <v>182.95</v>
      </c>
      <c r="S7229" s="2" t="s">
        <v>757</v>
      </c>
      <c r="T7229" s="2">
        <v>2.1</v>
      </c>
      <c r="U7229" s="2">
        <v>61</v>
      </c>
      <c r="V7229" s="2">
        <v>58</v>
      </c>
      <c r="W7229" s="2" t="s">
        <v>7862</v>
      </c>
      <c r="X7229" s="2" t="s">
        <v>5028</v>
      </c>
      <c r="Y7229" s="2">
        <v>15504</v>
      </c>
      <c r="Z7229" s="19" t="str">
        <f>HYPERLINK("https://ssdweb.co/ssdweb/hd/Vision360.html?d=926360318&amp;zoomslide=1&amp;z=1926360318&amp;ISCONFIRM=0","VIDEO")</f>
        <v>VIDEO</v>
      </c>
      <c r="AA7229" s="19" t="str">
        <f>HYPERLINK("https://ssdweb.co/ssdweb/CERTH/642443358.pdf","CERTI")</f>
        <v>CERTI</v>
      </c>
    </row>
    <row r="7230" spans="1:27" ht="15" x14ac:dyDescent="0.25">
      <c r="A7230" s="2">
        <v>7225</v>
      </c>
      <c r="B7230" s="39">
        <v>821118010</v>
      </c>
      <c r="C7230" s="28" t="str">
        <f>HYPERLINK("https://pld.live/RapDetail.aspx?STONELIST=821118010","DNA")</f>
        <v>DNA</v>
      </c>
      <c r="D7230" s="18" t="s">
        <v>711</v>
      </c>
      <c r="E7230" s="18" t="s">
        <v>2186</v>
      </c>
      <c r="F7230" s="2" t="s">
        <v>7987</v>
      </c>
      <c r="G7230" s="2" t="s">
        <v>2054</v>
      </c>
      <c r="H7230" s="14">
        <v>1.51</v>
      </c>
      <c r="I7230" s="2" t="s">
        <v>267</v>
      </c>
      <c r="J7230" s="2" t="s">
        <v>3942</v>
      </c>
      <c r="K7230" s="2" t="s">
        <v>1452</v>
      </c>
      <c r="L7230" s="2" t="s">
        <v>5221</v>
      </c>
      <c r="M7230" s="2" t="s">
        <v>5221</v>
      </c>
      <c r="N7230" s="2" t="s">
        <v>2317</v>
      </c>
      <c r="O7230" s="14">
        <v>12500</v>
      </c>
      <c r="P7230" s="14">
        <v>98.84</v>
      </c>
      <c r="Q7230" s="14">
        <v>145</v>
      </c>
      <c r="R7230" s="14">
        <v>218.95</v>
      </c>
      <c r="S7230" s="2" t="s">
        <v>5882</v>
      </c>
      <c r="T7230" s="2">
        <v>2.02</v>
      </c>
      <c r="U7230" s="2">
        <v>62.3</v>
      </c>
      <c r="V7230" s="2">
        <v>61</v>
      </c>
      <c r="W7230" s="2" t="s">
        <v>7862</v>
      </c>
      <c r="X7230" s="2" t="s">
        <v>5028</v>
      </c>
      <c r="Y7230" s="2">
        <v>18875</v>
      </c>
      <c r="Z7230" s="19" t="str">
        <f>HYPERLINK("https://ssdweb.co/ssdweb/hd/Vision360.html?d=821118010&amp;zoomslide=1&amp;z=1821118010&amp;ISCONFIRM=0","VIDEO")</f>
        <v>VIDEO</v>
      </c>
      <c r="AA7230" s="19" t="str">
        <f>HYPERLINK("https://ssdweb.co/ssdweb/CERTH/694508402.pdf","CERTI")</f>
        <v>CERTI</v>
      </c>
    </row>
    <row r="7231" spans="1:27" ht="15" x14ac:dyDescent="0.25">
      <c r="A7231" s="2">
        <v>7226</v>
      </c>
      <c r="B7231" s="39">
        <v>821118015</v>
      </c>
      <c r="C7231" s="28" t="str">
        <f>HYPERLINK("https://pld.live/RapDetail.aspx?STONELIST=821118015","DNA")</f>
        <v>DNA</v>
      </c>
      <c r="D7231" s="18" t="s">
        <v>711</v>
      </c>
      <c r="E7231" s="18" t="s">
        <v>2186</v>
      </c>
      <c r="F7231" s="2" t="s">
        <v>7987</v>
      </c>
      <c r="G7231" s="2" t="s">
        <v>2054</v>
      </c>
      <c r="H7231" s="14">
        <v>1.51</v>
      </c>
      <c r="I7231" s="2" t="s">
        <v>267</v>
      </c>
      <c r="J7231" s="2" t="s">
        <v>13</v>
      </c>
      <c r="K7231" s="2" t="s">
        <v>1452</v>
      </c>
      <c r="L7231" s="2" t="s">
        <v>5721</v>
      </c>
      <c r="M7231" s="2" t="s">
        <v>5221</v>
      </c>
      <c r="N7231" s="2" t="s">
        <v>2317</v>
      </c>
      <c r="O7231" s="14">
        <v>11600</v>
      </c>
      <c r="P7231" s="14">
        <v>98.86</v>
      </c>
      <c r="Q7231" s="14">
        <v>132.24</v>
      </c>
      <c r="R7231" s="14">
        <v>199.68</v>
      </c>
      <c r="S7231" s="2" t="s">
        <v>3548</v>
      </c>
      <c r="T7231" s="2">
        <v>2.0699999999999998</v>
      </c>
      <c r="U7231" s="2">
        <v>61.7</v>
      </c>
      <c r="V7231" s="2">
        <v>63</v>
      </c>
      <c r="W7231" s="2" t="s">
        <v>7862</v>
      </c>
      <c r="X7231" s="2" t="s">
        <v>5028</v>
      </c>
      <c r="Y7231" s="2">
        <v>17516</v>
      </c>
      <c r="Z7231" s="19" t="str">
        <f>HYPERLINK("https://ssdweb.co/ssdweb/hd/Vision360.html?d=821118015&amp;zoomslide=1&amp;z=1821118015&amp;ISCONFIRM=0","VIDEO")</f>
        <v>VIDEO</v>
      </c>
      <c r="AA7231" s="19" t="str">
        <f>HYPERLINK("https://ssdweb.co/ssdweb/CERTH/694508405.pdf","CERTI")</f>
        <v>CERTI</v>
      </c>
    </row>
    <row r="7232" spans="1:27" ht="15" x14ac:dyDescent="0.25">
      <c r="A7232" s="2">
        <v>7227</v>
      </c>
      <c r="B7232" s="39">
        <v>821118012</v>
      </c>
      <c r="C7232" s="28" t="str">
        <f>HYPERLINK("https://pld.live/RapDetail.aspx?STONELIST=821118012","DNA")</f>
        <v>DNA</v>
      </c>
      <c r="D7232" s="18" t="s">
        <v>711</v>
      </c>
      <c r="E7232" s="18" t="s">
        <v>2186</v>
      </c>
      <c r="F7232" s="2" t="s">
        <v>7987</v>
      </c>
      <c r="G7232" s="2" t="s">
        <v>2054</v>
      </c>
      <c r="H7232" s="14">
        <v>1.51</v>
      </c>
      <c r="I7232" s="2" t="s">
        <v>267</v>
      </c>
      <c r="J7232" s="2" t="s">
        <v>13</v>
      </c>
      <c r="K7232" s="2" t="s">
        <v>1452</v>
      </c>
      <c r="L7232" s="2" t="s">
        <v>5721</v>
      </c>
      <c r="M7232" s="2" t="s">
        <v>5721</v>
      </c>
      <c r="N7232" s="2" t="s">
        <v>2317</v>
      </c>
      <c r="O7232" s="14">
        <v>11600</v>
      </c>
      <c r="P7232" s="14">
        <v>98.86</v>
      </c>
      <c r="Q7232" s="14">
        <v>132.24</v>
      </c>
      <c r="R7232" s="14">
        <v>199.68</v>
      </c>
      <c r="S7232" s="2" t="s">
        <v>8019</v>
      </c>
      <c r="T7232" s="2">
        <v>2.02</v>
      </c>
      <c r="U7232" s="2">
        <v>61.6</v>
      </c>
      <c r="V7232" s="2">
        <v>59</v>
      </c>
      <c r="W7232" s="2" t="s">
        <v>7862</v>
      </c>
      <c r="X7232" s="2" t="s">
        <v>5028</v>
      </c>
      <c r="Y7232" s="2">
        <v>17516</v>
      </c>
      <c r="Z7232" s="19" t="str">
        <f>HYPERLINK("https://ssdweb.co/ssdweb/hd/Vision360.html?d=821118012&amp;zoomslide=1&amp;z=1821118012&amp;ISCONFIRM=0","VIDEO")</f>
        <v>VIDEO</v>
      </c>
      <c r="AA7232" s="19" t="str">
        <f>HYPERLINK("https://ssdweb.co/ssdweb/CERTH/694508403.pdf","CERTI")</f>
        <v>CERTI</v>
      </c>
    </row>
    <row r="7233" spans="1:27" ht="15" x14ac:dyDescent="0.25">
      <c r="A7233" s="2">
        <v>7228</v>
      </c>
      <c r="B7233" s="39">
        <v>821118000</v>
      </c>
      <c r="C7233" s="28" t="str">
        <f>HYPERLINK("https://pld.live/RapDetail.aspx?STONELIST=821118000","DNA")</f>
        <v>DNA</v>
      </c>
      <c r="D7233" s="18" t="s">
        <v>711</v>
      </c>
      <c r="E7233" s="18" t="s">
        <v>2186</v>
      </c>
      <c r="F7233" s="2" t="s">
        <v>7987</v>
      </c>
      <c r="G7233" s="2" t="s">
        <v>2054</v>
      </c>
      <c r="H7233" s="14">
        <v>1.51</v>
      </c>
      <c r="I7233" s="2" t="s">
        <v>4761</v>
      </c>
      <c r="J7233" s="2" t="s">
        <v>3942</v>
      </c>
      <c r="K7233" s="2" t="s">
        <v>1452</v>
      </c>
      <c r="L7233" s="2" t="s">
        <v>5221</v>
      </c>
      <c r="M7233" s="2" t="s">
        <v>5221</v>
      </c>
      <c r="N7233" s="2" t="s">
        <v>2317</v>
      </c>
      <c r="O7233" s="14">
        <v>11600</v>
      </c>
      <c r="P7233" s="14">
        <v>98.81</v>
      </c>
      <c r="Q7233" s="14">
        <v>138.04</v>
      </c>
      <c r="R7233" s="14">
        <v>208.44</v>
      </c>
      <c r="S7233" s="2" t="s">
        <v>3845</v>
      </c>
      <c r="T7233" s="2">
        <v>2.09</v>
      </c>
      <c r="U7233" s="2">
        <v>58</v>
      </c>
      <c r="V7233" s="2">
        <v>60</v>
      </c>
      <c r="W7233" s="2" t="s">
        <v>7862</v>
      </c>
      <c r="X7233" s="2" t="s">
        <v>5028</v>
      </c>
      <c r="Y7233" s="2">
        <v>17516</v>
      </c>
      <c r="Z7233" s="19" t="str">
        <f>HYPERLINK("https://ssdweb.co/ssdweb/hd/Vision360.html?d=821118000&amp;zoomslide=1&amp;z=1821118000&amp;ISCONFIRM=0","VIDEO")</f>
        <v>VIDEO</v>
      </c>
      <c r="AA7233" s="19" t="str">
        <f>HYPERLINK("https://ssdweb.co/ssdweb/CERTH/694508398.pdf","CERTI")</f>
        <v>CERTI</v>
      </c>
    </row>
    <row r="7234" spans="1:27" ht="15" x14ac:dyDescent="0.25">
      <c r="A7234" s="2">
        <v>7229</v>
      </c>
      <c r="B7234" s="39">
        <v>821117998</v>
      </c>
      <c r="C7234" s="28" t="str">
        <f>HYPERLINK("https://pld.live/RapDetail.aspx?STONELIST=821117998","DNA")</f>
        <v>DNA</v>
      </c>
      <c r="D7234" s="18" t="s">
        <v>711</v>
      </c>
      <c r="E7234" s="18" t="s">
        <v>2186</v>
      </c>
      <c r="F7234" s="2" t="s">
        <v>7987</v>
      </c>
      <c r="G7234" s="2" t="s">
        <v>2054</v>
      </c>
      <c r="H7234" s="14">
        <v>1.51</v>
      </c>
      <c r="I7234" s="2" t="s">
        <v>4761</v>
      </c>
      <c r="J7234" s="2" t="s">
        <v>3942</v>
      </c>
      <c r="K7234" s="2" t="s">
        <v>1452</v>
      </c>
      <c r="L7234" s="2" t="s">
        <v>5221</v>
      </c>
      <c r="M7234" s="2" t="s">
        <v>5221</v>
      </c>
      <c r="N7234" s="2" t="s">
        <v>2317</v>
      </c>
      <c r="O7234" s="14">
        <v>11600</v>
      </c>
      <c r="P7234" s="14">
        <v>98.81</v>
      </c>
      <c r="Q7234" s="14">
        <v>138.04</v>
      </c>
      <c r="R7234" s="14">
        <v>208.44</v>
      </c>
      <c r="S7234" s="2" t="s">
        <v>5759</v>
      </c>
      <c r="T7234" s="2">
        <v>2.02</v>
      </c>
      <c r="U7234" s="2">
        <v>63.8</v>
      </c>
      <c r="V7234" s="2">
        <v>56</v>
      </c>
      <c r="W7234" s="2" t="s">
        <v>7862</v>
      </c>
      <c r="X7234" s="2" t="s">
        <v>5028</v>
      </c>
      <c r="Y7234" s="2">
        <v>17516</v>
      </c>
      <c r="Z7234" s="19" t="str">
        <f>HYPERLINK("https://ssdweb.co/ssdweb/hd/Vision360.html?d=821117998&amp;zoomslide=1&amp;z=1821117998&amp;ISCONFIRM=0","VIDEO")</f>
        <v>VIDEO</v>
      </c>
      <c r="AA7234" s="19" t="str">
        <f>HYPERLINK("https://ssdweb.co/ssdweb/CERTH/694508396.pdf","CERTI")</f>
        <v>CERTI</v>
      </c>
    </row>
    <row r="7235" spans="1:27" ht="15" x14ac:dyDescent="0.25">
      <c r="A7235" s="2">
        <v>7230</v>
      </c>
      <c r="B7235" s="39">
        <v>821117988</v>
      </c>
      <c r="C7235" s="28" t="str">
        <f>HYPERLINK("https://pld.live/RapDetail.aspx?STONELIST=821117988","DNA")</f>
        <v>DNA</v>
      </c>
      <c r="D7235" s="18" t="s">
        <v>711</v>
      </c>
      <c r="E7235" s="18" t="s">
        <v>2186</v>
      </c>
      <c r="F7235" s="2" t="s">
        <v>7987</v>
      </c>
      <c r="G7235" s="2" t="s">
        <v>2054</v>
      </c>
      <c r="H7235" s="14">
        <v>1.51</v>
      </c>
      <c r="I7235" s="2" t="s">
        <v>4761</v>
      </c>
      <c r="J7235" s="2" t="s">
        <v>3942</v>
      </c>
      <c r="K7235" s="2" t="s">
        <v>1452</v>
      </c>
      <c r="L7235" s="2" t="s">
        <v>5221</v>
      </c>
      <c r="M7235" s="2" t="s">
        <v>5221</v>
      </c>
      <c r="N7235" s="2" t="s">
        <v>2317</v>
      </c>
      <c r="O7235" s="14">
        <v>11600</v>
      </c>
      <c r="P7235" s="14">
        <v>98.81</v>
      </c>
      <c r="Q7235" s="14">
        <v>138.04</v>
      </c>
      <c r="R7235" s="14">
        <v>208.44</v>
      </c>
      <c r="S7235" s="2" t="s">
        <v>722</v>
      </c>
      <c r="T7235" s="2">
        <v>1.97</v>
      </c>
      <c r="U7235" s="2">
        <v>62.2</v>
      </c>
      <c r="V7235" s="2">
        <v>60</v>
      </c>
      <c r="W7235" s="2" t="s">
        <v>7862</v>
      </c>
      <c r="X7235" s="2" t="s">
        <v>5028</v>
      </c>
      <c r="Y7235" s="2">
        <v>17516</v>
      </c>
      <c r="Z7235" s="19" t="str">
        <f>HYPERLINK("https://ssdweb.co/ssdweb/hd/Vision360.html?d=821117988&amp;zoomslide=1&amp;z=1821117988&amp;ISCONFIRM=0","VIDEO")</f>
        <v>VIDEO</v>
      </c>
      <c r="AA7235" s="19" t="str">
        <f>HYPERLINK("https://ssdweb.co/ssdweb/CERTH/694508424.pdf","CERTI")</f>
        <v>CERTI</v>
      </c>
    </row>
    <row r="7236" spans="1:27" ht="15" x14ac:dyDescent="0.25">
      <c r="A7236" s="2">
        <v>7231</v>
      </c>
      <c r="B7236" s="39">
        <v>821118007</v>
      </c>
      <c r="C7236" s="28" t="str">
        <f>HYPERLINK("https://pld.live/RapDetail.aspx?STONELIST=821118007","DNA")</f>
        <v>DNA</v>
      </c>
      <c r="D7236" s="18" t="s">
        <v>711</v>
      </c>
      <c r="E7236" s="18" t="s">
        <v>2186</v>
      </c>
      <c r="F7236" s="2" t="s">
        <v>7987</v>
      </c>
      <c r="G7236" s="2" t="s">
        <v>2054</v>
      </c>
      <c r="H7236" s="14">
        <v>1.51</v>
      </c>
      <c r="I7236" s="2" t="s">
        <v>4761</v>
      </c>
      <c r="J7236" s="2" t="s">
        <v>3942</v>
      </c>
      <c r="K7236" s="2" t="s">
        <v>1452</v>
      </c>
      <c r="L7236" s="2" t="s">
        <v>5221</v>
      </c>
      <c r="M7236" s="2" t="s">
        <v>5721</v>
      </c>
      <c r="N7236" s="2" t="s">
        <v>2317</v>
      </c>
      <c r="O7236" s="14">
        <v>11600</v>
      </c>
      <c r="P7236" s="14">
        <v>98.83</v>
      </c>
      <c r="Q7236" s="14">
        <v>135.72</v>
      </c>
      <c r="R7236" s="14">
        <v>204.94</v>
      </c>
      <c r="S7236" s="2" t="s">
        <v>5482</v>
      </c>
      <c r="T7236" s="2">
        <v>1.96</v>
      </c>
      <c r="U7236" s="2">
        <v>63.1</v>
      </c>
      <c r="V7236" s="2">
        <v>60</v>
      </c>
      <c r="W7236" s="2" t="s">
        <v>7862</v>
      </c>
      <c r="X7236" s="2" t="s">
        <v>5028</v>
      </c>
      <c r="Y7236" s="2">
        <v>17516</v>
      </c>
      <c r="Z7236" s="19" t="str">
        <f>HYPERLINK("https://ssdweb.co/ssdweb/hd/Vision360.html?d=821118007&amp;zoomslide=1&amp;z=1821118007&amp;ISCONFIRM=0","VIDEO")</f>
        <v>VIDEO</v>
      </c>
      <c r="AA7236" s="19" t="str">
        <f>HYPERLINK("https://ssdweb.co/ssdweb/CERTH/694508399.pdf","CERTI")</f>
        <v>CERTI</v>
      </c>
    </row>
    <row r="7237" spans="1:27" ht="15" x14ac:dyDescent="0.25">
      <c r="A7237" s="2">
        <v>7232</v>
      </c>
      <c r="B7237" s="39">
        <v>821118008</v>
      </c>
      <c r="C7237" s="28" t="str">
        <f>HYPERLINK("https://pld.live/RapDetail.aspx?STONELIST=821118008","DNA")</f>
        <v>DNA</v>
      </c>
      <c r="D7237" s="18" t="s">
        <v>711</v>
      </c>
      <c r="E7237" s="18" t="s">
        <v>2186</v>
      </c>
      <c r="F7237" s="2" t="s">
        <v>7987</v>
      </c>
      <c r="G7237" s="2" t="s">
        <v>2054</v>
      </c>
      <c r="H7237" s="14">
        <v>1.51</v>
      </c>
      <c r="I7237" s="2" t="s">
        <v>4761</v>
      </c>
      <c r="J7237" s="2" t="s">
        <v>13</v>
      </c>
      <c r="K7237" s="2" t="s">
        <v>1452</v>
      </c>
      <c r="L7237" s="2" t="s">
        <v>5221</v>
      </c>
      <c r="M7237" s="2" t="s">
        <v>5221</v>
      </c>
      <c r="N7237" s="2" t="s">
        <v>2317</v>
      </c>
      <c r="O7237" s="14">
        <v>10800</v>
      </c>
      <c r="P7237" s="14">
        <v>98.8</v>
      </c>
      <c r="Q7237" s="14">
        <v>129.6</v>
      </c>
      <c r="R7237" s="14">
        <v>195.7</v>
      </c>
      <c r="S7237" s="2" t="s">
        <v>5084</v>
      </c>
      <c r="T7237" s="2">
        <v>1.96</v>
      </c>
      <c r="U7237" s="2">
        <v>59</v>
      </c>
      <c r="V7237" s="2">
        <v>61</v>
      </c>
      <c r="W7237" s="2" t="s">
        <v>7862</v>
      </c>
      <c r="X7237" s="2" t="s">
        <v>5028</v>
      </c>
      <c r="Y7237" s="2">
        <v>16308</v>
      </c>
      <c r="Z7237" s="19" t="str">
        <f>HYPERLINK("https://ssdweb.co/ssdweb/hd/Vision360.html?d=821118008&amp;zoomslide=1&amp;z=1821118008&amp;ISCONFIRM=0","VIDEO")</f>
        <v>VIDEO</v>
      </c>
      <c r="AA7237" s="19" t="str">
        <f>HYPERLINK("https://ssdweb.co/ssdweb/CERTH/694508401.pdf","CERTI")</f>
        <v>CERTI</v>
      </c>
    </row>
    <row r="7238" spans="1:27" ht="15" x14ac:dyDescent="0.25">
      <c r="A7238" s="2">
        <v>7233</v>
      </c>
      <c r="B7238" s="39">
        <v>821132360</v>
      </c>
      <c r="C7238" s="28" t="str">
        <f>HYPERLINK("https://pld.live/RapDetail.aspx?STONELIST=821132360","DNA")</f>
        <v>DNA</v>
      </c>
      <c r="D7238" s="18" t="s">
        <v>711</v>
      </c>
      <c r="E7238" s="18" t="s">
        <v>1253</v>
      </c>
      <c r="F7238" s="2" t="s">
        <v>7987</v>
      </c>
      <c r="G7238" s="2" t="s">
        <v>2054</v>
      </c>
      <c r="H7238" s="14">
        <v>1.51</v>
      </c>
      <c r="I7238" s="2" t="s">
        <v>4761</v>
      </c>
      <c r="J7238" s="2" t="s">
        <v>13</v>
      </c>
      <c r="K7238" s="2" t="s">
        <v>1452</v>
      </c>
      <c r="L7238" s="2" t="s">
        <v>5221</v>
      </c>
      <c r="M7238" s="2" t="s">
        <v>5721</v>
      </c>
      <c r="N7238" s="2" t="s">
        <v>2317</v>
      </c>
      <c r="O7238" s="14">
        <v>10800</v>
      </c>
      <c r="P7238" s="14">
        <v>98.83</v>
      </c>
      <c r="Q7238" s="14">
        <v>126.36</v>
      </c>
      <c r="R7238" s="14">
        <v>190.8</v>
      </c>
      <c r="S7238" s="2" t="s">
        <v>5041</v>
      </c>
      <c r="T7238" s="2">
        <v>1.94</v>
      </c>
      <c r="U7238" s="2">
        <v>60.7</v>
      </c>
      <c r="V7238" s="2">
        <v>60</v>
      </c>
      <c r="W7238" s="2" t="s">
        <v>7862</v>
      </c>
      <c r="X7238" s="2" t="s">
        <v>5028</v>
      </c>
      <c r="Y7238" s="2">
        <v>16308</v>
      </c>
      <c r="Z7238" s="19" t="str">
        <f>HYPERLINK("https://ssdweb.co/ssdweb/hd/Vision360.html?d=821132360&amp;zoomslide=1&amp;z=1821132360&amp;ISCONFIRM=0","VIDEO")</f>
        <v>VIDEO</v>
      </c>
      <c r="AA7238" s="19" t="str">
        <f>HYPERLINK("https://ssdweb.co/ssdweb/CERTH/668437166.pdf","CERTI")</f>
        <v>CERTI</v>
      </c>
    </row>
    <row r="7239" spans="1:27" ht="15" x14ac:dyDescent="0.25">
      <c r="A7239" s="2">
        <v>7234</v>
      </c>
      <c r="B7239" s="39">
        <v>821132726</v>
      </c>
      <c r="C7239" s="28" t="str">
        <f>HYPERLINK("https://pld.live/RapDetail.aspx?STONELIST=821132726","DNA")</f>
        <v>DNA</v>
      </c>
      <c r="D7239" s="18" t="s">
        <v>711</v>
      </c>
      <c r="E7239" s="18" t="s">
        <v>1253</v>
      </c>
      <c r="F7239" s="2" t="s">
        <v>7987</v>
      </c>
      <c r="G7239" s="2" t="s">
        <v>2054</v>
      </c>
      <c r="H7239" s="14">
        <v>1.51</v>
      </c>
      <c r="I7239" s="2" t="s">
        <v>4761</v>
      </c>
      <c r="J7239" s="2" t="s">
        <v>13</v>
      </c>
      <c r="K7239" s="2" t="s">
        <v>1452</v>
      </c>
      <c r="L7239" s="2" t="s">
        <v>5221</v>
      </c>
      <c r="M7239" s="2" t="s">
        <v>5721</v>
      </c>
      <c r="N7239" s="2" t="s">
        <v>2317</v>
      </c>
      <c r="O7239" s="14">
        <v>10800</v>
      </c>
      <c r="P7239" s="14">
        <v>98.83</v>
      </c>
      <c r="Q7239" s="14">
        <v>126.36</v>
      </c>
      <c r="R7239" s="14">
        <v>190.8</v>
      </c>
      <c r="S7239" s="2" t="s">
        <v>1818</v>
      </c>
      <c r="T7239" s="2">
        <v>1.91</v>
      </c>
      <c r="U7239" s="2">
        <v>61.5</v>
      </c>
      <c r="V7239" s="2">
        <v>58</v>
      </c>
      <c r="W7239" s="2" t="s">
        <v>7862</v>
      </c>
      <c r="X7239" s="2" t="s">
        <v>5028</v>
      </c>
      <c r="Y7239" s="2">
        <v>16308</v>
      </c>
      <c r="Z7239" s="19" t="str">
        <f>HYPERLINK("https://ssdweb.co/ssdweb/hd/Vision360.html?d=821132726&amp;zoomslide=1&amp;z=1821132726&amp;ISCONFIRM=0","VIDEO")</f>
        <v>VIDEO</v>
      </c>
      <c r="AA7239" s="19" t="str">
        <f>HYPERLINK("https://ssdweb.co/ssdweb/CERTH/668437169.pdf","CERTI")</f>
        <v>CERTI</v>
      </c>
    </row>
    <row r="7240" spans="1:27" ht="15" x14ac:dyDescent="0.25">
      <c r="A7240" s="2">
        <v>7235</v>
      </c>
      <c r="B7240" s="39">
        <v>926130186</v>
      </c>
      <c r="C7240" s="28" t="str">
        <f>HYPERLINK("https://pld.live/RapDetail.aspx?STONELIST=926130186","DNA")</f>
        <v>DNA</v>
      </c>
      <c r="D7240" s="18" t="s">
        <v>711</v>
      </c>
      <c r="E7240" s="18" t="s">
        <v>2186</v>
      </c>
      <c r="F7240" s="2" t="s">
        <v>7987</v>
      </c>
      <c r="G7240" s="2" t="s">
        <v>2054</v>
      </c>
      <c r="H7240" s="14">
        <v>1.51</v>
      </c>
      <c r="I7240" s="2" t="s">
        <v>4699</v>
      </c>
      <c r="J7240" s="2" t="s">
        <v>3942</v>
      </c>
      <c r="K7240" s="2" t="s">
        <v>1452</v>
      </c>
      <c r="L7240" s="2" t="s">
        <v>5221</v>
      </c>
      <c r="M7240" s="2" t="s">
        <v>5221</v>
      </c>
      <c r="N7240" s="2" t="s">
        <v>2317</v>
      </c>
      <c r="O7240" s="14">
        <v>10800</v>
      </c>
      <c r="P7240" s="14">
        <v>98.83</v>
      </c>
      <c r="Q7240" s="14">
        <v>126.36</v>
      </c>
      <c r="R7240" s="14">
        <v>190.8</v>
      </c>
      <c r="S7240" s="2" t="s">
        <v>6660</v>
      </c>
      <c r="T7240" s="2">
        <v>1.87</v>
      </c>
      <c r="U7240" s="2">
        <v>59.9</v>
      </c>
      <c r="V7240" s="2">
        <v>64</v>
      </c>
      <c r="W7240" s="2" t="s">
        <v>8016</v>
      </c>
      <c r="X7240" s="2" t="s">
        <v>5028</v>
      </c>
      <c r="Y7240" s="2">
        <v>16308</v>
      </c>
      <c r="Z7240" s="19" t="str">
        <f>HYPERLINK("https://ssdweb.co/ssdweb/hd/Vision360.html?d=926130186&amp;zoomslide=1&amp;z=1926130186&amp;ISCONFIRM=0","VIDEO")</f>
        <v>VIDEO</v>
      </c>
      <c r="AA7240" s="19" t="str">
        <f>HYPERLINK("https://ssdweb.co/ssdweb/CERTH/635423914.pdf","CERTI")</f>
        <v>CERTI</v>
      </c>
    </row>
    <row r="7241" spans="1:27" ht="15" x14ac:dyDescent="0.25">
      <c r="A7241" s="2">
        <v>7236</v>
      </c>
      <c r="B7241" s="39">
        <v>821132469</v>
      </c>
      <c r="C7241" s="28" t="str">
        <f>HYPERLINK("https://pld.live/RapDetail.aspx?STONELIST=821132469","DNA")</f>
        <v>DNA</v>
      </c>
      <c r="D7241" s="18" t="s">
        <v>711</v>
      </c>
      <c r="E7241" s="18" t="s">
        <v>1253</v>
      </c>
      <c r="F7241" s="2" t="s">
        <v>7987</v>
      </c>
      <c r="G7241" s="2" t="s">
        <v>2054</v>
      </c>
      <c r="H7241" s="14">
        <v>1.51</v>
      </c>
      <c r="I7241" s="2" t="s">
        <v>4699</v>
      </c>
      <c r="J7241" s="2" t="s">
        <v>13</v>
      </c>
      <c r="K7241" s="2" t="s">
        <v>1452</v>
      </c>
      <c r="L7241" s="2" t="s">
        <v>5221</v>
      </c>
      <c r="M7241" s="2" t="s">
        <v>5721</v>
      </c>
      <c r="N7241" s="2" t="s">
        <v>2317</v>
      </c>
      <c r="O7241" s="14">
        <v>10200</v>
      </c>
      <c r="P7241" s="14">
        <v>98.82</v>
      </c>
      <c r="Q7241" s="14">
        <v>120.36</v>
      </c>
      <c r="R7241" s="14">
        <v>181.74</v>
      </c>
      <c r="S7241" s="2" t="s">
        <v>7727</v>
      </c>
      <c r="T7241" s="2">
        <v>1.99</v>
      </c>
      <c r="U7241" s="2">
        <v>57.9</v>
      </c>
      <c r="V7241" s="2">
        <v>60</v>
      </c>
      <c r="W7241" s="2" t="s">
        <v>7862</v>
      </c>
      <c r="X7241" s="2" t="s">
        <v>5028</v>
      </c>
      <c r="Y7241" s="2">
        <v>15402</v>
      </c>
      <c r="Z7241" s="19" t="str">
        <f>HYPERLINK("https://ssdweb.co/ssdweb/hd/Vision360.html?d=821132469&amp;zoomslide=1&amp;z=1821132469&amp;ISCONFIRM=0","VIDEO")</f>
        <v>VIDEO</v>
      </c>
      <c r="AA7241" s="19" t="str">
        <f>HYPERLINK("https://ssdweb.co/ssdweb/CERTH/668437167.pdf","CERTI")</f>
        <v>CERTI</v>
      </c>
    </row>
    <row r="7242" spans="1:27" ht="15" x14ac:dyDescent="0.25">
      <c r="A7242" s="2">
        <v>7237</v>
      </c>
      <c r="B7242" s="39">
        <v>927000647</v>
      </c>
      <c r="C7242" s="28" t="str">
        <f>HYPERLINK("https://pld.live/RapDetail.aspx?STONELIST=927000647","DNA")</f>
        <v>DNA</v>
      </c>
      <c r="D7242" s="18" t="s">
        <v>711</v>
      </c>
      <c r="E7242" s="18" t="s">
        <v>2186</v>
      </c>
      <c r="F7242" s="2" t="s">
        <v>7987</v>
      </c>
      <c r="G7242" s="2" t="s">
        <v>2054</v>
      </c>
      <c r="H7242" s="14">
        <v>1.51</v>
      </c>
      <c r="I7242" s="2" t="s">
        <v>4699</v>
      </c>
      <c r="J7242" s="2" t="s">
        <v>5144</v>
      </c>
      <c r="K7242" s="2" t="s">
        <v>1452</v>
      </c>
      <c r="L7242" s="2" t="s">
        <v>5221</v>
      </c>
      <c r="M7242" s="2" t="s">
        <v>5221</v>
      </c>
      <c r="N7242" s="2" t="s">
        <v>2317</v>
      </c>
      <c r="O7242" s="14">
        <v>8800</v>
      </c>
      <c r="P7242" s="14">
        <v>98.66</v>
      </c>
      <c r="Q7242" s="14">
        <v>117.92</v>
      </c>
      <c r="R7242" s="14">
        <v>178.06</v>
      </c>
      <c r="S7242" s="2" t="s">
        <v>6680</v>
      </c>
      <c r="T7242" s="2">
        <v>1.88</v>
      </c>
      <c r="U7242" s="2">
        <v>61.7</v>
      </c>
      <c r="V7242" s="2">
        <v>61</v>
      </c>
      <c r="W7242" s="2" t="s">
        <v>7862</v>
      </c>
      <c r="X7242" s="2" t="s">
        <v>5028</v>
      </c>
      <c r="Y7242" s="2">
        <v>13288</v>
      </c>
      <c r="Z7242" s="19" t="str">
        <f>HYPERLINK("https://ssdweb.co/ssdweb/hd/Vision360.html?d=927000647&amp;zoomslide=1&amp;z=1927000647&amp;ISCONFIRM=0","VIDEO")</f>
        <v>VIDEO</v>
      </c>
      <c r="AA7242" s="19" t="str">
        <f>HYPERLINK("https://ssdweb.co/ssdweb/CERTH/662473905.pdf","CERTI")</f>
        <v>CERTI</v>
      </c>
    </row>
    <row r="7243" spans="1:27" ht="15" x14ac:dyDescent="0.25">
      <c r="A7243" s="2">
        <v>7238</v>
      </c>
      <c r="B7243" s="39">
        <v>821132167</v>
      </c>
      <c r="C7243" s="28" t="str">
        <f>HYPERLINK("https://pld.live/RapDetail.aspx?STONELIST=821132167","DNA")</f>
        <v>DNA</v>
      </c>
      <c r="D7243" s="18" t="s">
        <v>711</v>
      </c>
      <c r="E7243" s="18" t="s">
        <v>1253</v>
      </c>
      <c r="F7243" s="2" t="s">
        <v>7987</v>
      </c>
      <c r="G7243" s="2" t="s">
        <v>2054</v>
      </c>
      <c r="H7243" s="14">
        <v>1.51</v>
      </c>
      <c r="I7243" s="2" t="s">
        <v>6587</v>
      </c>
      <c r="J7243" s="2" t="s">
        <v>13</v>
      </c>
      <c r="K7243" s="2" t="s">
        <v>1452</v>
      </c>
      <c r="L7243" s="2" t="s">
        <v>5221</v>
      </c>
      <c r="M7243" s="2" t="s">
        <v>5221</v>
      </c>
      <c r="N7243" s="2" t="s">
        <v>2317</v>
      </c>
      <c r="O7243" s="14">
        <v>9300</v>
      </c>
      <c r="P7243" s="14">
        <v>98.71</v>
      </c>
      <c r="Q7243" s="14">
        <v>119.97</v>
      </c>
      <c r="R7243" s="14">
        <v>181.15</v>
      </c>
      <c r="S7243" s="2" t="s">
        <v>1279</v>
      </c>
      <c r="T7243" s="2">
        <v>2</v>
      </c>
      <c r="U7243" s="2">
        <v>63.4</v>
      </c>
      <c r="V7243" s="2">
        <v>58</v>
      </c>
      <c r="W7243" s="2" t="s">
        <v>7862</v>
      </c>
      <c r="X7243" s="2" t="s">
        <v>5028</v>
      </c>
      <c r="Y7243" s="2">
        <v>14043</v>
      </c>
      <c r="Z7243" s="19" t="str">
        <f>HYPERLINK("https://ssdweb.co/ssdweb/hd/Vision360.html?d=821132167&amp;zoomslide=1&amp;z=1821132167&amp;ISCONFIRM=0","VIDEO")</f>
        <v>VIDEO</v>
      </c>
      <c r="AA7243" s="19" t="str">
        <f>HYPERLINK("https://ssdweb.co/ssdweb/CERTH/668437164.pdf","CERTI")</f>
        <v>CERTI</v>
      </c>
    </row>
    <row r="7244" spans="1:27" ht="15" x14ac:dyDescent="0.25">
      <c r="A7244" s="2">
        <v>7239</v>
      </c>
      <c r="B7244" s="39">
        <v>925700264</v>
      </c>
      <c r="C7244" s="28" t="str">
        <f>HYPERLINK("https://pld.live/RapDetail.aspx?STONELIST=925700264","DNA")</f>
        <v>DNA</v>
      </c>
      <c r="D7244" s="18" t="s">
        <v>711</v>
      </c>
      <c r="E7244" s="18" t="s">
        <v>2186</v>
      </c>
      <c r="F7244" s="2" t="s">
        <v>5597</v>
      </c>
      <c r="G7244" s="2" t="s">
        <v>2054</v>
      </c>
      <c r="H7244" s="14">
        <v>1.51</v>
      </c>
      <c r="I7244" s="2" t="s">
        <v>6587</v>
      </c>
      <c r="J7244" s="2" t="s">
        <v>13</v>
      </c>
      <c r="K7244" s="2" t="s">
        <v>1452</v>
      </c>
      <c r="L7244" s="2" t="s">
        <v>5221</v>
      </c>
      <c r="M7244" s="2" t="s">
        <v>5721</v>
      </c>
      <c r="N7244" s="2" t="s">
        <v>2317</v>
      </c>
      <c r="O7244" s="14">
        <v>9300</v>
      </c>
      <c r="P7244" s="14">
        <v>97.69</v>
      </c>
      <c r="Q7244" s="14">
        <v>214.83</v>
      </c>
      <c r="R7244" s="14">
        <v>324.39</v>
      </c>
      <c r="S7244" s="2" t="s">
        <v>4381</v>
      </c>
      <c r="T7244" s="2">
        <v>1.91</v>
      </c>
      <c r="U7244" s="2">
        <v>62.8</v>
      </c>
      <c r="V7244" s="2">
        <v>60</v>
      </c>
      <c r="W7244" s="2" t="s">
        <v>7862</v>
      </c>
      <c r="X7244" s="2" t="s">
        <v>5028</v>
      </c>
      <c r="Y7244" s="2">
        <v>14043</v>
      </c>
      <c r="Z7244" s="19" t="str">
        <f>HYPERLINK("https://ssdweb.co/ssdweb/hd/Vision360.html?d=925700264&amp;zoomslide=1&amp;z=1925700264&amp;ISCONFIRM=0","VIDEO")</f>
        <v>VIDEO</v>
      </c>
      <c r="AA7244" s="19" t="str">
        <f>HYPERLINK("https://ssdweb.co/ssdweb/CERTH/7481902363.pdf","CERTI")</f>
        <v>CERTI</v>
      </c>
    </row>
    <row r="7245" spans="1:27" ht="15" x14ac:dyDescent="0.25">
      <c r="A7245" s="2">
        <v>7240</v>
      </c>
      <c r="B7245" s="39">
        <v>9413900605</v>
      </c>
      <c r="C7245" s="28" t="str">
        <f>HYPERLINK("https://pld.live/RapDetail.aspx?STONELIST=9413900605","DNA")</f>
        <v>DNA</v>
      </c>
      <c r="D7245" s="18" t="s">
        <v>711</v>
      </c>
      <c r="E7245" s="18" t="s">
        <v>2186</v>
      </c>
      <c r="F7245" s="2" t="s">
        <v>7987</v>
      </c>
      <c r="G7245" s="2" t="s">
        <v>2054</v>
      </c>
      <c r="H7245" s="14">
        <v>1.5</v>
      </c>
      <c r="I7245" s="2" t="s">
        <v>4761</v>
      </c>
      <c r="J7245" s="2" t="s">
        <v>3942</v>
      </c>
      <c r="K7245" s="2" t="s">
        <v>1452</v>
      </c>
      <c r="L7245" s="2" t="s">
        <v>5221</v>
      </c>
      <c r="M7245" s="2" t="s">
        <v>5221</v>
      </c>
      <c r="N7245" s="2" t="s">
        <v>2317</v>
      </c>
      <c r="O7245" s="14">
        <v>11600</v>
      </c>
      <c r="P7245" s="14">
        <v>98.81</v>
      </c>
      <c r="Q7245" s="14">
        <v>138.04</v>
      </c>
      <c r="R7245" s="14">
        <v>207.06</v>
      </c>
      <c r="S7245" s="2" t="s">
        <v>2216</v>
      </c>
      <c r="T7245" s="2">
        <v>1.89</v>
      </c>
      <c r="U7245" s="2">
        <v>62.2</v>
      </c>
      <c r="V7245" s="2">
        <v>62</v>
      </c>
      <c r="W7245" s="2" t="s">
        <v>7862</v>
      </c>
      <c r="X7245" s="2" t="s">
        <v>5028</v>
      </c>
      <c r="Y7245" s="2">
        <v>17400</v>
      </c>
      <c r="Z7245" s="19" t="str">
        <f>HYPERLINK("https://ssdweb.co/ssdweb/hd/Vision360.html?d=9413900605&amp;zoomslide=1&amp;z=19413900605&amp;ISCONFIRM=0","VIDEO")</f>
        <v>VIDEO</v>
      </c>
      <c r="AA7245" s="19" t="str">
        <f>HYPERLINK("https://ssdweb.co/ssdweb/CERTH/694579649.pdf","CERTI")</f>
        <v>CERTI</v>
      </c>
    </row>
    <row r="7246" spans="1:27" ht="15" x14ac:dyDescent="0.25">
      <c r="A7246" s="2">
        <v>7241</v>
      </c>
      <c r="B7246" s="39">
        <v>831020492</v>
      </c>
      <c r="C7246" s="28" t="str">
        <f>HYPERLINK("https://pld.live/RapDetail.aspx?STONELIST=831020492","DNA")</f>
        <v>DNA</v>
      </c>
      <c r="D7246" s="18" t="s">
        <v>711</v>
      </c>
      <c r="E7246" s="18" t="s">
        <v>2186</v>
      </c>
      <c r="F7246" s="2" t="s">
        <v>5597</v>
      </c>
      <c r="G7246" s="2" t="s">
        <v>2054</v>
      </c>
      <c r="H7246" s="14">
        <v>1.5</v>
      </c>
      <c r="I7246" s="2" t="s">
        <v>4761</v>
      </c>
      <c r="J7246" s="2" t="s">
        <v>13</v>
      </c>
      <c r="K7246" s="2" t="s">
        <v>1452</v>
      </c>
      <c r="L7246" s="2" t="s">
        <v>5221</v>
      </c>
      <c r="M7246" s="2" t="s">
        <v>5721</v>
      </c>
      <c r="N7246" s="2" t="s">
        <v>2317</v>
      </c>
      <c r="O7246" s="14">
        <v>10800</v>
      </c>
      <c r="P7246" s="14">
        <v>97.87</v>
      </c>
      <c r="Q7246" s="14">
        <v>230.04</v>
      </c>
      <c r="R7246" s="14">
        <v>345.06</v>
      </c>
      <c r="S7246" s="2" t="s">
        <v>6031</v>
      </c>
      <c r="T7246" s="2">
        <v>1.91</v>
      </c>
      <c r="U7246" s="2">
        <v>63.1</v>
      </c>
      <c r="V7246" s="2">
        <v>60</v>
      </c>
      <c r="W7246" s="2" t="s">
        <v>7862</v>
      </c>
      <c r="X7246" s="2" t="s">
        <v>5028</v>
      </c>
      <c r="Y7246" s="2">
        <v>16200</v>
      </c>
      <c r="Z7246" s="19" t="str">
        <f>HYPERLINK("https://ssdweb.co/ssdweb/hd/Vision360.html?d=831020492&amp;zoomslide=1&amp;z=1831020492&amp;ISCONFIRM=0","VIDEO")</f>
        <v>VIDEO</v>
      </c>
      <c r="AA7246" s="19" t="str">
        <f>HYPERLINK("https://ssdweb.co/ssdweb/CERTH/6471370955.pdf","CERTI")</f>
        <v>CERTI</v>
      </c>
    </row>
    <row r="7247" spans="1:27" ht="15" x14ac:dyDescent="0.25">
      <c r="A7247" s="2">
        <v>7242</v>
      </c>
      <c r="B7247" s="39">
        <v>925670214</v>
      </c>
      <c r="C7247" s="28" t="str">
        <f>HYPERLINK("https://pld.live/RapDetail.aspx?STONELIST=925670214","DNA")</f>
        <v>DNA</v>
      </c>
      <c r="D7247" s="18" t="s">
        <v>711</v>
      </c>
      <c r="E7247" s="18" t="s">
        <v>2186</v>
      </c>
      <c r="F7247" s="2" t="s">
        <v>5597</v>
      </c>
      <c r="G7247" s="2" t="s">
        <v>2054</v>
      </c>
      <c r="H7247" s="14">
        <v>1.5</v>
      </c>
      <c r="I7247" s="2" t="s">
        <v>4699</v>
      </c>
      <c r="J7247" s="2" t="s">
        <v>3942</v>
      </c>
      <c r="K7247" s="2" t="s">
        <v>1452</v>
      </c>
      <c r="L7247" s="2" t="s">
        <v>5221</v>
      </c>
      <c r="M7247" s="2" t="s">
        <v>5721</v>
      </c>
      <c r="N7247" s="2" t="s">
        <v>2317</v>
      </c>
      <c r="O7247" s="14">
        <v>10800</v>
      </c>
      <c r="P7247" s="14">
        <v>97.82</v>
      </c>
      <c r="Q7247" s="14">
        <v>235.44</v>
      </c>
      <c r="R7247" s="14">
        <v>353.16</v>
      </c>
      <c r="S7247" s="2" t="s">
        <v>6386</v>
      </c>
      <c r="T7247" s="2">
        <v>1.86</v>
      </c>
      <c r="U7247" s="2">
        <v>61.8</v>
      </c>
      <c r="V7247" s="2">
        <v>61</v>
      </c>
      <c r="W7247" s="2" t="s">
        <v>7862</v>
      </c>
      <c r="X7247" s="2" t="s">
        <v>5028</v>
      </c>
      <c r="Y7247" s="2">
        <v>16200</v>
      </c>
      <c r="Z7247" s="19" t="str">
        <f>HYPERLINK("https://ssdweb.co/ssdweb/hd/Vision360.html?d=925670214&amp;zoomslide=1&amp;z=1925670214&amp;ISCONFIRM=0","VIDEO")</f>
        <v>VIDEO</v>
      </c>
      <c r="AA7247" s="19" t="str">
        <f>HYPERLINK("https://ssdweb.co/ssdweb/CERTH/6481820785.pdf","CERTI")</f>
        <v>CERTI</v>
      </c>
    </row>
    <row r="7248" spans="1:27" ht="15" x14ac:dyDescent="0.25">
      <c r="A7248" s="2">
        <v>7243</v>
      </c>
      <c r="B7248" s="39">
        <v>821118011</v>
      </c>
      <c r="C7248" s="28" t="str">
        <f>HYPERLINK("https://pld.live/RapDetail.aspx?STONELIST=821118011","DNA")</f>
        <v>DNA</v>
      </c>
      <c r="D7248" s="18" t="s">
        <v>5281</v>
      </c>
      <c r="E7248" s="18" t="s">
        <v>2186</v>
      </c>
      <c r="F7248" s="2" t="s">
        <v>7987</v>
      </c>
      <c r="G7248" s="2" t="s">
        <v>2054</v>
      </c>
      <c r="H7248" s="14">
        <v>1.49</v>
      </c>
      <c r="I7248" s="2" t="s">
        <v>4699</v>
      </c>
      <c r="J7248" s="2" t="s">
        <v>3942</v>
      </c>
      <c r="K7248" s="2" t="s">
        <v>1452</v>
      </c>
      <c r="L7248" s="2" t="s">
        <v>5221</v>
      </c>
      <c r="M7248" s="2" t="s">
        <v>5721</v>
      </c>
      <c r="N7248" s="2" t="s">
        <v>2317</v>
      </c>
      <c r="O7248" s="14">
        <v>6400</v>
      </c>
      <c r="P7248" s="14">
        <v>98.05</v>
      </c>
      <c r="Q7248" s="14">
        <v>124.8</v>
      </c>
      <c r="R7248" s="14">
        <v>185.95</v>
      </c>
      <c r="S7248" s="2" t="s">
        <v>343</v>
      </c>
      <c r="T7248" s="2">
        <v>1.97</v>
      </c>
      <c r="U7248" s="2">
        <v>61.2</v>
      </c>
      <c r="V7248" s="2">
        <v>58</v>
      </c>
      <c r="W7248" s="2" t="s">
        <v>7862</v>
      </c>
      <c r="X7248" s="2" t="s">
        <v>5028</v>
      </c>
      <c r="Y7248" s="2">
        <v>9536</v>
      </c>
      <c r="Z7248" s="19" t="str">
        <f>HYPERLINK("https://ssdweb.co/ssdweb/hd/Vision360.html?d=821118011&amp;zoomslide=1&amp;z=1821118011&amp;ISCONFIRM=0","VIDEO")</f>
        <v>VIDEO</v>
      </c>
      <c r="AA7248" s="19" t="str">
        <f>HYPERLINK("https://ssdweb.co/ssdweb/CERTH/694508444.pdf","CERTI")</f>
        <v>CERTI</v>
      </c>
    </row>
    <row r="7249" spans="1:27" ht="15" x14ac:dyDescent="0.25">
      <c r="A7249" s="2">
        <v>7244</v>
      </c>
      <c r="B7249" s="39">
        <v>941090678</v>
      </c>
      <c r="C7249" s="28" t="str">
        <f>HYPERLINK("https://pld.live/RapDetail.aspx?STONELIST=941090678","DNA")</f>
        <v>DNA</v>
      </c>
      <c r="D7249" s="18" t="s">
        <v>5235</v>
      </c>
      <c r="E7249" s="18" t="s">
        <v>2186</v>
      </c>
      <c r="F7249" s="2" t="s">
        <v>7987</v>
      </c>
      <c r="G7249" s="2" t="s">
        <v>2054</v>
      </c>
      <c r="H7249" s="14">
        <v>1.21</v>
      </c>
      <c r="I7249" s="2" t="s">
        <v>267</v>
      </c>
      <c r="J7249" s="2" t="s">
        <v>13</v>
      </c>
      <c r="K7249" s="2" t="s">
        <v>1452</v>
      </c>
      <c r="L7249" s="2" t="s">
        <v>5221</v>
      </c>
      <c r="M7249" s="2" t="s">
        <v>5221</v>
      </c>
      <c r="N7249" s="2" t="s">
        <v>2317</v>
      </c>
      <c r="O7249" s="14">
        <v>6700</v>
      </c>
      <c r="P7249" s="14">
        <v>98.13</v>
      </c>
      <c r="Q7249" s="14">
        <v>125.29</v>
      </c>
      <c r="R7249" s="14">
        <v>151.6</v>
      </c>
      <c r="S7249" s="2" t="s">
        <v>3180</v>
      </c>
      <c r="T7249" s="2">
        <v>1.87</v>
      </c>
      <c r="U7249" s="2">
        <v>62.1</v>
      </c>
      <c r="V7249" s="2">
        <v>61</v>
      </c>
      <c r="W7249" s="2" t="s">
        <v>7862</v>
      </c>
      <c r="X7249" s="2" t="s">
        <v>5028</v>
      </c>
      <c r="Y7249" s="2">
        <v>8107</v>
      </c>
      <c r="Z7249" s="19" t="str">
        <f>HYPERLINK("https://ssdweb.co/ssdweb/hd/Vision360.html?d=941090678&amp;zoomslide=1&amp;z=1941090678&amp;ISCONFIRM=0","VIDEO")</f>
        <v>VIDEO</v>
      </c>
      <c r="AA7249" s="19" t="str">
        <f>HYPERLINK("https://ssdweb.co/ssdweb/CERTH/674532555.pdf","CERTI")</f>
        <v>CERTI</v>
      </c>
    </row>
    <row r="7250" spans="1:27" ht="15" x14ac:dyDescent="0.25">
      <c r="A7250" s="2">
        <v>7245</v>
      </c>
      <c r="B7250" s="39">
        <v>941090680</v>
      </c>
      <c r="C7250" s="28" t="str">
        <f>HYPERLINK("https://pld.live/RapDetail.aspx?STONELIST=941090680","DNA")</f>
        <v>DNA</v>
      </c>
      <c r="D7250" s="18" t="s">
        <v>5235</v>
      </c>
      <c r="E7250" s="18" t="s">
        <v>2186</v>
      </c>
      <c r="F7250" s="2" t="s">
        <v>7987</v>
      </c>
      <c r="G7250" s="2" t="s">
        <v>2054</v>
      </c>
      <c r="H7250" s="14">
        <v>1.2</v>
      </c>
      <c r="I7250" s="2" t="s">
        <v>4699</v>
      </c>
      <c r="J7250" s="2" t="s">
        <v>13</v>
      </c>
      <c r="K7250" s="2" t="s">
        <v>1452</v>
      </c>
      <c r="L7250" s="2" t="s">
        <v>5221</v>
      </c>
      <c r="M7250" s="2" t="s">
        <v>5221</v>
      </c>
      <c r="N7250" s="2" t="s">
        <v>2317</v>
      </c>
      <c r="O7250" s="14">
        <v>5800</v>
      </c>
      <c r="P7250" s="14">
        <v>98.1</v>
      </c>
      <c r="Q7250" s="14">
        <v>110.2</v>
      </c>
      <c r="R7250" s="14">
        <v>132.24</v>
      </c>
      <c r="S7250" s="2" t="s">
        <v>4552</v>
      </c>
      <c r="T7250" s="2">
        <v>1.9</v>
      </c>
      <c r="U7250" s="2">
        <v>62.9</v>
      </c>
      <c r="V7250" s="2">
        <v>62</v>
      </c>
      <c r="W7250" s="2" t="s">
        <v>7862</v>
      </c>
      <c r="X7250" s="2" t="s">
        <v>5028</v>
      </c>
      <c r="Y7250" s="2">
        <v>6960</v>
      </c>
      <c r="Z7250" s="19" t="str">
        <f>HYPERLINK("https://ssdweb.co/ssdweb/hd/Vision360.html?d=941090680&amp;zoomslide=1&amp;z=1941090680&amp;ISCONFIRM=0","VIDEO")</f>
        <v>VIDEO</v>
      </c>
      <c r="AA7250" s="19" t="str">
        <f>HYPERLINK("https://ssdweb.co/ssdweb/CERTH/674532554.pdf","CERTI")</f>
        <v>CERTI</v>
      </c>
    </row>
    <row r="7251" spans="1:27" ht="15" x14ac:dyDescent="0.25">
      <c r="A7251" s="2">
        <v>7246</v>
      </c>
      <c r="B7251" s="39">
        <v>927170050</v>
      </c>
      <c r="C7251" s="28" t="str">
        <f>HYPERLINK("https://pld.live/RapDetail.aspx?STONELIST=927170050","DNA")</f>
        <v>DNA</v>
      </c>
      <c r="D7251" s="18" t="s">
        <v>5235</v>
      </c>
      <c r="E7251" s="18" t="s">
        <v>2186</v>
      </c>
      <c r="F7251" s="2" t="s">
        <v>7987</v>
      </c>
      <c r="G7251" s="2" t="s">
        <v>2054</v>
      </c>
      <c r="H7251" s="14">
        <v>1.2</v>
      </c>
      <c r="I7251" s="2" t="s">
        <v>6587</v>
      </c>
      <c r="J7251" s="2" t="s">
        <v>3942</v>
      </c>
      <c r="K7251" s="2" t="s">
        <v>1452</v>
      </c>
      <c r="L7251" s="2" t="s">
        <v>5221</v>
      </c>
      <c r="M7251" s="2" t="s">
        <v>5221</v>
      </c>
      <c r="N7251" s="2" t="s">
        <v>2317</v>
      </c>
      <c r="O7251" s="14">
        <v>5800</v>
      </c>
      <c r="P7251" s="14">
        <v>98.02</v>
      </c>
      <c r="Q7251" s="14">
        <v>114.84</v>
      </c>
      <c r="R7251" s="14">
        <v>137.81</v>
      </c>
      <c r="S7251" s="2" t="s">
        <v>1256</v>
      </c>
      <c r="T7251" s="2">
        <v>1.85</v>
      </c>
      <c r="U7251" s="2">
        <v>63.4</v>
      </c>
      <c r="V7251" s="2">
        <v>62</v>
      </c>
      <c r="W7251" s="2" t="s">
        <v>7862</v>
      </c>
      <c r="X7251" s="2" t="s">
        <v>5028</v>
      </c>
      <c r="Y7251" s="2">
        <v>6960</v>
      </c>
      <c r="Z7251" s="19" t="str">
        <f>HYPERLINK("https://ssdweb.co/ssdweb/hd/Vision360.html?d=927170050&amp;zoomslide=1&amp;z=1927170050&amp;ISCONFIRM=0","VIDEO")</f>
        <v>VIDEO</v>
      </c>
      <c r="AA7251" s="19" t="str">
        <f>HYPERLINK("https://ssdweb.co/ssdweb/CERTH/674532534.pdf","CERTI")</f>
        <v>CERTI</v>
      </c>
    </row>
    <row r="7252" spans="1:27" ht="15" x14ac:dyDescent="0.25">
      <c r="A7252" s="2">
        <v>7247</v>
      </c>
      <c r="B7252" s="39">
        <v>924260668</v>
      </c>
      <c r="C7252" s="28" t="str">
        <f>HYPERLINK("https://pld.live/RapDetail.aspx?STONELIST=924260668","DNA")</f>
        <v>DNA</v>
      </c>
      <c r="D7252" s="18" t="s">
        <v>3054</v>
      </c>
      <c r="E7252" s="18" t="s">
        <v>2186</v>
      </c>
      <c r="F7252" s="2" t="s">
        <v>7987</v>
      </c>
      <c r="G7252" s="2" t="s">
        <v>2054</v>
      </c>
      <c r="H7252" s="14">
        <v>1.1100000000000001</v>
      </c>
      <c r="I7252" s="2" t="s">
        <v>6587</v>
      </c>
      <c r="J7252" s="2" t="s">
        <v>13</v>
      </c>
      <c r="K7252" s="2" t="s">
        <v>1452</v>
      </c>
      <c r="L7252" s="2" t="s">
        <v>5221</v>
      </c>
      <c r="M7252" s="2" t="s">
        <v>5221</v>
      </c>
      <c r="N7252" s="2" t="s">
        <v>2317</v>
      </c>
      <c r="O7252" s="14">
        <v>5400</v>
      </c>
      <c r="P7252" s="14">
        <v>98.22</v>
      </c>
      <c r="Q7252" s="14">
        <v>96.12</v>
      </c>
      <c r="R7252" s="14">
        <v>106.69</v>
      </c>
      <c r="S7252" s="2" t="s">
        <v>2681</v>
      </c>
      <c r="T7252" s="2">
        <v>2.09</v>
      </c>
      <c r="U7252" s="2">
        <v>61.1</v>
      </c>
      <c r="V7252" s="2">
        <v>61</v>
      </c>
      <c r="W7252" s="2" t="s">
        <v>7862</v>
      </c>
      <c r="X7252" s="2" t="s">
        <v>5028</v>
      </c>
      <c r="Y7252" s="2">
        <v>5994</v>
      </c>
      <c r="Z7252" s="19" t="str">
        <f>HYPERLINK("https://ssdweb.co/ssdweb/hd/Vision360.html?d=924260668&amp;zoomslide=1&amp;z=1924260668&amp;ISCONFIRM=0","VIDEO")</f>
        <v>VIDEO</v>
      </c>
      <c r="AA7252" s="19" t="str">
        <f>HYPERLINK("https://ssdweb.co/ssdweb/CERTH/583303277.pdf","CERTI")</f>
        <v>CERTI</v>
      </c>
    </row>
    <row r="7253" spans="1:27" ht="15" x14ac:dyDescent="0.25">
      <c r="A7253" s="2">
        <v>7248</v>
      </c>
      <c r="B7253" s="39">
        <v>926540239</v>
      </c>
      <c r="C7253" s="28" t="str">
        <f>HYPERLINK("https://pld.live/RapDetail.aspx?STONELIST=926540239","DNA")</f>
        <v>DNA</v>
      </c>
      <c r="D7253" s="18" t="s">
        <v>3054</v>
      </c>
      <c r="E7253" s="18" t="s">
        <v>2186</v>
      </c>
      <c r="F7253" s="2" t="s">
        <v>7987</v>
      </c>
      <c r="G7253" s="2" t="s">
        <v>2054</v>
      </c>
      <c r="H7253" s="14">
        <v>1.1000000000000001</v>
      </c>
      <c r="I7253" s="2" t="s">
        <v>6587</v>
      </c>
      <c r="J7253" s="2" t="s">
        <v>3942</v>
      </c>
      <c r="K7253" s="2" t="s">
        <v>1452</v>
      </c>
      <c r="L7253" s="2" t="s">
        <v>5221</v>
      </c>
      <c r="M7253" s="2" t="s">
        <v>5221</v>
      </c>
      <c r="N7253" s="2" t="s">
        <v>2317</v>
      </c>
      <c r="O7253" s="14">
        <v>5800</v>
      </c>
      <c r="P7253" s="14">
        <v>98.19</v>
      </c>
      <c r="Q7253" s="14">
        <v>104.98</v>
      </c>
      <c r="R7253" s="14">
        <v>115.48</v>
      </c>
      <c r="S7253" s="2" t="s">
        <v>1998</v>
      </c>
      <c r="T7253" s="2">
        <v>1.9</v>
      </c>
      <c r="U7253" s="2">
        <v>61.5</v>
      </c>
      <c r="V7253" s="2">
        <v>61</v>
      </c>
      <c r="W7253" s="2" t="s">
        <v>7862</v>
      </c>
      <c r="X7253" s="2" t="s">
        <v>5028</v>
      </c>
      <c r="Y7253" s="2">
        <v>6380</v>
      </c>
      <c r="Z7253" s="19" t="str">
        <f>HYPERLINK("https://ssdweb.co/ssdweb/hd/Vision360.html?d=926540239&amp;zoomslide=1&amp;z=1926540239&amp;ISCONFIRM=0","VIDEO")</f>
        <v>VIDEO</v>
      </c>
      <c r="AA7253" s="19" t="str">
        <f>HYPERLINK("https://ssdweb.co/ssdweb/CERTH/649434580.pdf","CERTI")</f>
        <v>CERTI</v>
      </c>
    </row>
    <row r="7254" spans="1:27" ht="15" x14ac:dyDescent="0.25">
      <c r="A7254" s="2">
        <v>7249</v>
      </c>
      <c r="B7254" s="39">
        <v>926980715</v>
      </c>
      <c r="C7254" s="28" t="str">
        <f>HYPERLINK("https://pld.live/RapDetail.aspx?STONELIST=926980715","DNA")</f>
        <v>DNA</v>
      </c>
      <c r="D7254" s="18" t="s">
        <v>3054</v>
      </c>
      <c r="E7254" s="18" t="s">
        <v>2186</v>
      </c>
      <c r="F7254" s="2" t="s">
        <v>7987</v>
      </c>
      <c r="G7254" s="2" t="s">
        <v>2054</v>
      </c>
      <c r="H7254" s="14">
        <v>1.0900000000000001</v>
      </c>
      <c r="I7254" s="2" t="s">
        <v>267</v>
      </c>
      <c r="J7254" s="2" t="s">
        <v>3942</v>
      </c>
      <c r="K7254" s="2" t="s">
        <v>1452</v>
      </c>
      <c r="L7254" s="2" t="s">
        <v>5221</v>
      </c>
      <c r="M7254" s="2" t="s">
        <v>5221</v>
      </c>
      <c r="N7254" s="2" t="s">
        <v>2317</v>
      </c>
      <c r="O7254" s="14">
        <v>7600</v>
      </c>
      <c r="P7254" s="14">
        <v>98.09</v>
      </c>
      <c r="Q7254" s="14">
        <v>145.16</v>
      </c>
      <c r="R7254" s="14">
        <v>158.22</v>
      </c>
      <c r="S7254" s="2" t="s">
        <v>2043</v>
      </c>
      <c r="T7254" s="2">
        <v>1.94</v>
      </c>
      <c r="U7254" s="2">
        <v>62.1</v>
      </c>
      <c r="V7254" s="2">
        <v>59</v>
      </c>
      <c r="W7254" s="2" t="s">
        <v>7862</v>
      </c>
      <c r="X7254" s="2" t="s">
        <v>5028</v>
      </c>
      <c r="Y7254" s="2">
        <v>8284</v>
      </c>
      <c r="Z7254" s="19" t="str">
        <f>HYPERLINK("https://ssdweb.co/ssdweb/hd/Vision360.html?d=926980715&amp;zoomslide=1&amp;z=1926980715&amp;ISCONFIRM=0","VIDEO")</f>
        <v>VIDEO</v>
      </c>
      <c r="AA7254" s="19" t="str">
        <f>HYPERLINK("https://ssdweb.co/ssdweb/CERTH/671411225.pdf","CERTI")</f>
        <v>CERTI</v>
      </c>
    </row>
    <row r="7255" spans="1:27" ht="15" x14ac:dyDescent="0.25">
      <c r="A7255" s="2">
        <v>7250</v>
      </c>
      <c r="B7255" s="39">
        <v>927060782</v>
      </c>
      <c r="C7255" s="28" t="str">
        <f>HYPERLINK("https://pld.live/RapDetail.aspx?STONELIST=927060782","DNA")</f>
        <v>DNA</v>
      </c>
      <c r="D7255" s="18" t="s">
        <v>3054</v>
      </c>
      <c r="E7255" s="18" t="s">
        <v>2186</v>
      </c>
      <c r="F7255" s="2" t="s">
        <v>7987</v>
      </c>
      <c r="G7255" s="2" t="s">
        <v>2054</v>
      </c>
      <c r="H7255" s="14">
        <v>1.06</v>
      </c>
      <c r="I7255" s="2" t="s">
        <v>4761</v>
      </c>
      <c r="J7255" s="2" t="s">
        <v>13</v>
      </c>
      <c r="K7255" s="2" t="s">
        <v>1452</v>
      </c>
      <c r="L7255" s="2" t="s">
        <v>5221</v>
      </c>
      <c r="M7255" s="2" t="s">
        <v>5221</v>
      </c>
      <c r="N7255" s="2" t="s">
        <v>2317</v>
      </c>
      <c r="O7255" s="14">
        <v>6200</v>
      </c>
      <c r="P7255" s="14">
        <v>97.98</v>
      </c>
      <c r="Q7255" s="14">
        <v>125.24</v>
      </c>
      <c r="R7255" s="14">
        <v>132.75</v>
      </c>
      <c r="S7255" s="2" t="s">
        <v>5444</v>
      </c>
      <c r="T7255" s="2">
        <v>1.89</v>
      </c>
      <c r="U7255" s="2">
        <v>63.3</v>
      </c>
      <c r="V7255" s="2">
        <v>62</v>
      </c>
      <c r="W7255" s="2" t="s">
        <v>7862</v>
      </c>
      <c r="X7255" s="2" t="s">
        <v>5028</v>
      </c>
      <c r="Y7255" s="2">
        <v>6572</v>
      </c>
      <c r="Z7255" s="19" t="str">
        <f>HYPERLINK("https://ssdweb.co/ssdweb/hd/Vision360.html?d=927060782&amp;zoomslide=1&amp;z=1927060782&amp;ISCONFIRM=0","VIDEO")</f>
        <v>VIDEO</v>
      </c>
      <c r="AA7255" s="19" t="str">
        <f>HYPERLINK("https://ssdweb.co/ssdweb/CERTH/670484362.pdf","CERTI")</f>
        <v>CERTI</v>
      </c>
    </row>
    <row r="7256" spans="1:27" ht="15" x14ac:dyDescent="0.25">
      <c r="A7256" s="2">
        <v>7251</v>
      </c>
      <c r="B7256" s="39">
        <v>926560179</v>
      </c>
      <c r="C7256" s="28" t="str">
        <f>HYPERLINK("https://pld.live/RapDetail.aspx?STONELIST=926560179","DNA")</f>
        <v>DNA</v>
      </c>
      <c r="D7256" s="18" t="s">
        <v>3054</v>
      </c>
      <c r="E7256" s="18" t="s">
        <v>2186</v>
      </c>
      <c r="F7256" s="2" t="s">
        <v>7987</v>
      </c>
      <c r="G7256" s="2" t="s">
        <v>2054</v>
      </c>
      <c r="H7256" s="14">
        <v>1.06</v>
      </c>
      <c r="I7256" s="2" t="s">
        <v>6587</v>
      </c>
      <c r="J7256" s="2" t="s">
        <v>5144</v>
      </c>
      <c r="K7256" s="2" t="s">
        <v>1452</v>
      </c>
      <c r="L7256" s="2" t="s">
        <v>5221</v>
      </c>
      <c r="M7256" s="2" t="s">
        <v>5721</v>
      </c>
      <c r="N7256" s="2" t="s">
        <v>2317</v>
      </c>
      <c r="O7256" s="14">
        <v>4800</v>
      </c>
      <c r="P7256" s="14">
        <v>98.1</v>
      </c>
      <c r="Q7256" s="14">
        <v>91.2</v>
      </c>
      <c r="R7256" s="14">
        <v>96.67</v>
      </c>
      <c r="S7256" s="2" t="s">
        <v>5796</v>
      </c>
      <c r="T7256" s="2">
        <v>1.97</v>
      </c>
      <c r="U7256" s="2">
        <v>60.6</v>
      </c>
      <c r="V7256" s="2">
        <v>58</v>
      </c>
      <c r="W7256" s="2" t="s">
        <v>7862</v>
      </c>
      <c r="X7256" s="2" t="s">
        <v>5028</v>
      </c>
      <c r="Y7256" s="2">
        <v>5088</v>
      </c>
      <c r="Z7256" s="19" t="str">
        <f>HYPERLINK("https://ssdweb.co/ssdweb/hd/Vision360.html?d=926560179&amp;zoomslide=1&amp;z=1926560179&amp;ISCONFIRM=0","VIDEO")</f>
        <v>VIDEO</v>
      </c>
      <c r="AA7256" s="19" t="str">
        <f>HYPERLINK("https://ssdweb.co/ssdweb/CERTH/647424349.pdf","CERTI")</f>
        <v>CERTI</v>
      </c>
    </row>
    <row r="7257" spans="1:27" ht="15" x14ac:dyDescent="0.25">
      <c r="A7257" s="2">
        <v>7252</v>
      </c>
      <c r="B7257" s="39">
        <v>927140462</v>
      </c>
      <c r="C7257" s="28" t="str">
        <f>HYPERLINK("https://pld.live/RapDetail.aspx?STONELIST=927140462","DNA")</f>
        <v>DNA</v>
      </c>
      <c r="D7257" s="18" t="s">
        <v>3054</v>
      </c>
      <c r="E7257" s="18" t="s">
        <v>2186</v>
      </c>
      <c r="F7257" s="2" t="s">
        <v>7987</v>
      </c>
      <c r="G7257" s="2" t="s">
        <v>2054</v>
      </c>
      <c r="H7257" s="14">
        <v>1.05</v>
      </c>
      <c r="I7257" s="2" t="s">
        <v>267</v>
      </c>
      <c r="J7257" s="2" t="s">
        <v>13</v>
      </c>
      <c r="K7257" s="2" t="s">
        <v>1452</v>
      </c>
      <c r="L7257" s="2" t="s">
        <v>5221</v>
      </c>
      <c r="M7257" s="2" t="s">
        <v>5221</v>
      </c>
      <c r="N7257" s="2" t="s">
        <v>2317</v>
      </c>
      <c r="O7257" s="14">
        <v>6700</v>
      </c>
      <c r="P7257" s="14">
        <v>97.99</v>
      </c>
      <c r="Q7257" s="14">
        <v>134.66999999999999</v>
      </c>
      <c r="R7257" s="14">
        <v>141.4</v>
      </c>
      <c r="S7257" s="2" t="s">
        <v>2822</v>
      </c>
      <c r="T7257" s="2">
        <v>1.85</v>
      </c>
      <c r="U7257" s="2">
        <v>63.8</v>
      </c>
      <c r="V7257" s="2">
        <v>61</v>
      </c>
      <c r="W7257" s="2" t="s">
        <v>7862</v>
      </c>
      <c r="X7257" s="2" t="s">
        <v>5028</v>
      </c>
      <c r="Y7257" s="2">
        <v>7035</v>
      </c>
      <c r="Z7257" s="19" t="str">
        <f>HYPERLINK("https://ssdweb.co/ssdweb/hd/Vision360.html?d=927140462&amp;zoomslide=1&amp;z=1927140462&amp;ISCONFIRM=0","VIDEO")</f>
        <v>VIDEO</v>
      </c>
      <c r="AA7257" s="19" t="str">
        <f>HYPERLINK("https://ssdweb.co/ssdweb/CERTH/675504665.pdf","CERTI")</f>
        <v>CERTI</v>
      </c>
    </row>
    <row r="7258" spans="1:27" ht="15" x14ac:dyDescent="0.25">
      <c r="A7258" s="2">
        <v>7253</v>
      </c>
      <c r="B7258" s="39">
        <v>925570054</v>
      </c>
      <c r="C7258" s="28" t="str">
        <f>HYPERLINK("https://pld.live/RapDetail.aspx?STONELIST=925570054","DNA")</f>
        <v>DNA</v>
      </c>
      <c r="D7258" s="18" t="s">
        <v>3054</v>
      </c>
      <c r="E7258" s="18" t="s">
        <v>2186</v>
      </c>
      <c r="F7258" s="2" t="s">
        <v>7987</v>
      </c>
      <c r="G7258" s="2" t="s">
        <v>2054</v>
      </c>
      <c r="H7258" s="14">
        <v>1.05</v>
      </c>
      <c r="I7258" s="2" t="s">
        <v>1505</v>
      </c>
      <c r="J7258" s="2" t="s">
        <v>13</v>
      </c>
      <c r="K7258" s="2" t="s">
        <v>1452</v>
      </c>
      <c r="L7258" s="2" t="s">
        <v>5221</v>
      </c>
      <c r="M7258" s="2" t="s">
        <v>5221</v>
      </c>
      <c r="N7258" s="2" t="s">
        <v>2317</v>
      </c>
      <c r="O7258" s="14">
        <v>4600</v>
      </c>
      <c r="P7258" s="14">
        <v>98.02</v>
      </c>
      <c r="Q7258" s="14">
        <v>91.08</v>
      </c>
      <c r="R7258" s="14">
        <v>95.63</v>
      </c>
      <c r="S7258" s="2" t="s">
        <v>5725</v>
      </c>
      <c r="T7258" s="2">
        <v>1.94</v>
      </c>
      <c r="U7258" s="2">
        <v>61.8</v>
      </c>
      <c r="V7258" s="2">
        <v>61</v>
      </c>
      <c r="W7258" s="2" t="s">
        <v>7862</v>
      </c>
      <c r="X7258" s="2" t="s">
        <v>5028</v>
      </c>
      <c r="Y7258" s="2">
        <v>4830</v>
      </c>
      <c r="Z7258" s="19" t="str">
        <f>HYPERLINK("https://ssdweb.co/ssdweb/hd/Vision360.html?d=925570054&amp;zoomslide=1&amp;z=1925570054&amp;ISCONFIRM=0","VIDEO")</f>
        <v>VIDEO</v>
      </c>
      <c r="AA7258" s="19" t="str">
        <f>HYPERLINK("https://ssdweb.co/ssdweb/CERTH/621498061.pdf","CERTI")</f>
        <v>CERTI</v>
      </c>
    </row>
    <row r="7259" spans="1:27" ht="15" x14ac:dyDescent="0.25">
      <c r="A7259" s="2">
        <v>7254</v>
      </c>
      <c r="B7259" s="39">
        <v>924920341</v>
      </c>
      <c r="C7259" s="28" t="str">
        <f>HYPERLINK("https://pld.live/RapDetail.aspx?STONELIST=924920341","DNA")</f>
        <v>DNA</v>
      </c>
      <c r="D7259" s="18" t="s">
        <v>3054</v>
      </c>
      <c r="E7259" s="18" t="s">
        <v>2186</v>
      </c>
      <c r="F7259" s="2" t="s">
        <v>7987</v>
      </c>
      <c r="G7259" s="2" t="s">
        <v>2054</v>
      </c>
      <c r="H7259" s="14">
        <v>1.04</v>
      </c>
      <c r="I7259" s="2" t="s">
        <v>1505</v>
      </c>
      <c r="J7259" s="2" t="s">
        <v>3942</v>
      </c>
      <c r="K7259" s="2" t="s">
        <v>1452</v>
      </c>
      <c r="L7259" s="2" t="s">
        <v>5221</v>
      </c>
      <c r="M7259" s="2" t="s">
        <v>5221</v>
      </c>
      <c r="N7259" s="2" t="s">
        <v>2317</v>
      </c>
      <c r="O7259" s="14">
        <v>4900</v>
      </c>
      <c r="P7259" s="14">
        <v>98.02</v>
      </c>
      <c r="Q7259" s="14">
        <v>97.02</v>
      </c>
      <c r="R7259" s="14">
        <v>100.9</v>
      </c>
      <c r="S7259" s="2" t="s">
        <v>6843</v>
      </c>
      <c r="T7259" s="2">
        <v>2.1</v>
      </c>
      <c r="U7259" s="2">
        <v>60.7</v>
      </c>
      <c r="V7259" s="2">
        <v>61</v>
      </c>
      <c r="W7259" s="2" t="s">
        <v>7862</v>
      </c>
      <c r="X7259" s="2" t="s">
        <v>5028</v>
      </c>
      <c r="Y7259" s="2">
        <v>5096</v>
      </c>
      <c r="Z7259" s="19" t="str">
        <f>HYPERLINK("https://ssdweb.co/ssdweb/hd/Vision360.html?d=924920341&amp;zoomslide=1&amp;z=1924920341&amp;ISCONFIRM=0","VIDEO")</f>
        <v>VIDEO</v>
      </c>
      <c r="AA7259" s="19" t="str">
        <f>HYPERLINK("https://ssdweb.co/ssdweb/CERTH/605355734.pdf","CERTI")</f>
        <v>CERTI</v>
      </c>
    </row>
    <row r="7260" spans="1:27" ht="15" x14ac:dyDescent="0.25">
      <c r="A7260" s="2">
        <v>7255</v>
      </c>
      <c r="B7260" s="39">
        <v>941100165</v>
      </c>
      <c r="C7260" s="28" t="str">
        <f>HYPERLINK("https://pld.live/RapDetail.aspx?STONELIST=941100165","DNA")</f>
        <v>DNA</v>
      </c>
      <c r="D7260" s="18" t="s">
        <v>3054</v>
      </c>
      <c r="E7260" s="18" t="s">
        <v>2186</v>
      </c>
      <c r="F7260" s="2" t="s">
        <v>7987</v>
      </c>
      <c r="G7260" s="2" t="s">
        <v>2054</v>
      </c>
      <c r="H7260" s="14">
        <v>1.03</v>
      </c>
      <c r="I7260" s="2" t="s">
        <v>4761</v>
      </c>
      <c r="J7260" s="2" t="s">
        <v>13</v>
      </c>
      <c r="K7260" s="2" t="s">
        <v>1452</v>
      </c>
      <c r="L7260" s="2" t="s">
        <v>5221</v>
      </c>
      <c r="M7260" s="2" t="s">
        <v>5221</v>
      </c>
      <c r="N7260" s="2" t="s">
        <v>2317</v>
      </c>
      <c r="O7260" s="14">
        <v>6200</v>
      </c>
      <c r="P7260" s="14">
        <v>97.98</v>
      </c>
      <c r="Q7260" s="14">
        <v>125.24</v>
      </c>
      <c r="R7260" s="14">
        <v>129</v>
      </c>
      <c r="S7260" s="2" t="s">
        <v>5658</v>
      </c>
      <c r="T7260" s="2">
        <v>1.9</v>
      </c>
      <c r="U7260" s="2">
        <v>61.3</v>
      </c>
      <c r="V7260" s="2">
        <v>61</v>
      </c>
      <c r="W7260" s="2" t="s">
        <v>7862</v>
      </c>
      <c r="X7260" s="2" t="s">
        <v>5028</v>
      </c>
      <c r="Y7260" s="2">
        <v>6386</v>
      </c>
      <c r="Z7260" s="19" t="str">
        <f>HYPERLINK("https://ssdweb.co/ssdweb/hd/Vision360.html?d=941100165&amp;zoomslide=1&amp;z=1941100165&amp;ISCONFIRM=0","VIDEO")</f>
        <v>VIDEO</v>
      </c>
      <c r="AA7260" s="19" t="str">
        <f>HYPERLINK("https://ssdweb.co/ssdweb/CERTH/671437436.pdf","CERTI")</f>
        <v>CERTI</v>
      </c>
    </row>
    <row r="7261" spans="1:27" ht="15" x14ac:dyDescent="0.25">
      <c r="A7261" s="2">
        <v>7256</v>
      </c>
      <c r="B7261" s="39">
        <v>941180120</v>
      </c>
      <c r="C7261" s="28" t="str">
        <f>HYPERLINK("https://pld.live/RapDetail.aspx?STONELIST=941180120","DNA")</f>
        <v>DNA</v>
      </c>
      <c r="D7261" s="18" t="s">
        <v>3054</v>
      </c>
      <c r="E7261" s="18" t="s">
        <v>2186</v>
      </c>
      <c r="F7261" s="2" t="s">
        <v>7987</v>
      </c>
      <c r="G7261" s="2" t="s">
        <v>2054</v>
      </c>
      <c r="H7261" s="14">
        <v>1.02</v>
      </c>
      <c r="I7261" s="2" t="s">
        <v>4761</v>
      </c>
      <c r="J7261" s="2" t="s">
        <v>13</v>
      </c>
      <c r="K7261" s="2" t="s">
        <v>1452</v>
      </c>
      <c r="L7261" s="2" t="s">
        <v>5221</v>
      </c>
      <c r="M7261" s="2" t="s">
        <v>5221</v>
      </c>
      <c r="N7261" s="2" t="s">
        <v>2317</v>
      </c>
      <c r="O7261" s="14">
        <v>6200</v>
      </c>
      <c r="P7261" s="14">
        <v>97.98</v>
      </c>
      <c r="Q7261" s="14">
        <v>125.24</v>
      </c>
      <c r="R7261" s="14">
        <v>127.74</v>
      </c>
      <c r="S7261" s="2" t="s">
        <v>7319</v>
      </c>
      <c r="T7261" s="2">
        <v>2.08</v>
      </c>
      <c r="U7261" s="2">
        <v>62.4</v>
      </c>
      <c r="V7261" s="2">
        <v>59</v>
      </c>
      <c r="W7261" s="2" t="s">
        <v>7862</v>
      </c>
      <c r="X7261" s="2" t="s">
        <v>5028</v>
      </c>
      <c r="Y7261" s="2">
        <v>6324</v>
      </c>
      <c r="Z7261" s="19" t="str">
        <f>HYPERLINK("https://ssdweb.co/ssdweb/hd/Vision360.html?d=941180120&amp;zoomslide=1&amp;z=1941180120&amp;ISCONFIRM=0","VIDEO")</f>
        <v>VIDEO</v>
      </c>
      <c r="AA7261" s="19" t="str">
        <f>HYPERLINK("https://ssdweb.co/ssdweb/CERTH/678564598.pdf","CERTI")</f>
        <v>CERTI</v>
      </c>
    </row>
    <row r="7262" spans="1:27" ht="15" x14ac:dyDescent="0.25">
      <c r="A7262" s="2">
        <v>7257</v>
      </c>
      <c r="B7262" s="39">
        <v>941110555</v>
      </c>
      <c r="C7262" s="28" t="str">
        <f>HYPERLINK("https://pld.live/RapDetail.aspx?STONELIST=941110555","DNA")</f>
        <v>DNA</v>
      </c>
      <c r="D7262" s="18" t="s">
        <v>3054</v>
      </c>
      <c r="E7262" s="18" t="s">
        <v>2186</v>
      </c>
      <c r="F7262" s="2" t="s">
        <v>7987</v>
      </c>
      <c r="G7262" s="2" t="s">
        <v>2054</v>
      </c>
      <c r="H7262" s="14">
        <v>1.02</v>
      </c>
      <c r="I7262" s="2" t="s">
        <v>4761</v>
      </c>
      <c r="J7262" s="2" t="s">
        <v>13</v>
      </c>
      <c r="K7262" s="2" t="s">
        <v>1452</v>
      </c>
      <c r="L7262" s="2" t="s">
        <v>5221</v>
      </c>
      <c r="M7262" s="2" t="s">
        <v>5221</v>
      </c>
      <c r="N7262" s="2" t="s">
        <v>2317</v>
      </c>
      <c r="O7262" s="14">
        <v>6200</v>
      </c>
      <c r="P7262" s="14">
        <v>97.98</v>
      </c>
      <c r="Q7262" s="14">
        <v>125.24</v>
      </c>
      <c r="R7262" s="14">
        <v>127.74</v>
      </c>
      <c r="S7262" s="2" t="s">
        <v>1894</v>
      </c>
      <c r="T7262" s="2">
        <v>1.93</v>
      </c>
      <c r="U7262" s="2">
        <v>59.8</v>
      </c>
      <c r="V7262" s="2">
        <v>62</v>
      </c>
      <c r="W7262" s="2" t="s">
        <v>7862</v>
      </c>
      <c r="X7262" s="2" t="s">
        <v>5028</v>
      </c>
      <c r="Y7262" s="2">
        <v>6324</v>
      </c>
      <c r="Z7262" s="19" t="str">
        <f>HYPERLINK("https://ssdweb.co/ssdweb/hd/Vision360.html?d=941110555&amp;zoomslide=1&amp;z=1941110555&amp;ISCONFIRM=0","VIDEO")</f>
        <v>VIDEO</v>
      </c>
      <c r="AA7262" s="19" t="str">
        <f>HYPERLINK("https://ssdweb.co/ssdweb/CERTH/675504683.pdf","CERTI")</f>
        <v>CERTI</v>
      </c>
    </row>
    <row r="7263" spans="1:27" ht="15" x14ac:dyDescent="0.25">
      <c r="A7263" s="2">
        <v>7258</v>
      </c>
      <c r="B7263" s="39">
        <v>927052650</v>
      </c>
      <c r="C7263" s="28" t="str">
        <f>HYPERLINK("https://pld.live/RapDetail.aspx?STONELIST=927052650","DNA")</f>
        <v>DNA</v>
      </c>
      <c r="D7263" s="18" t="s">
        <v>3054</v>
      </c>
      <c r="E7263" s="18" t="s">
        <v>5128</v>
      </c>
      <c r="F7263" s="2" t="s">
        <v>7987</v>
      </c>
      <c r="G7263" s="2" t="s">
        <v>2054</v>
      </c>
      <c r="H7263" s="14">
        <v>1.02</v>
      </c>
      <c r="I7263" s="2" t="s">
        <v>4761</v>
      </c>
      <c r="J7263" s="2" t="s">
        <v>13</v>
      </c>
      <c r="K7263" s="2" t="s">
        <v>1452</v>
      </c>
      <c r="L7263" s="2" t="s">
        <v>5221</v>
      </c>
      <c r="M7263" s="2" t="s">
        <v>5221</v>
      </c>
      <c r="N7263" s="2" t="s">
        <v>2317</v>
      </c>
      <c r="O7263" s="14">
        <v>6200</v>
      </c>
      <c r="P7263" s="14">
        <v>97.98</v>
      </c>
      <c r="Q7263" s="14">
        <v>125.24</v>
      </c>
      <c r="R7263" s="14">
        <v>127.74</v>
      </c>
      <c r="S7263" s="2" t="s">
        <v>4747</v>
      </c>
      <c r="T7263" s="2">
        <v>1.86</v>
      </c>
      <c r="U7263" s="2">
        <v>63.7</v>
      </c>
      <c r="V7263" s="2">
        <v>59</v>
      </c>
      <c r="W7263" s="2" t="s">
        <v>7862</v>
      </c>
      <c r="X7263" s="2" t="s">
        <v>5028</v>
      </c>
      <c r="Y7263" s="2">
        <v>6324</v>
      </c>
      <c r="Z7263" s="19" t="str">
        <f>HYPERLINK("https://ssdweb.co/ssdweb/hd/Vision360.html?d=927052650&amp;zoomslide=1&amp;z=1927052650&amp;ISCONFIRM=0","VIDEO")</f>
        <v>VIDEO</v>
      </c>
      <c r="AA7263" s="19" t="str">
        <f>HYPERLINK("https://ssdweb.co/ssdweb/CERTH/670484358.pdf","CERTI")</f>
        <v>CERTI</v>
      </c>
    </row>
    <row r="7264" spans="1:27" ht="15" x14ac:dyDescent="0.25">
      <c r="A7264" s="2">
        <v>7259</v>
      </c>
      <c r="B7264" s="39">
        <v>927140401</v>
      </c>
      <c r="C7264" s="28" t="str">
        <f>HYPERLINK("https://pld.live/RapDetail.aspx?STONELIST=927140401","DNA")</f>
        <v>DNA</v>
      </c>
      <c r="D7264" s="18" t="s">
        <v>3054</v>
      </c>
      <c r="E7264" s="18" t="s">
        <v>2186</v>
      </c>
      <c r="F7264" s="2" t="s">
        <v>7987</v>
      </c>
      <c r="G7264" s="2" t="s">
        <v>2054</v>
      </c>
      <c r="H7264" s="14">
        <v>1.02</v>
      </c>
      <c r="I7264" s="2" t="s">
        <v>4761</v>
      </c>
      <c r="J7264" s="2" t="s">
        <v>13</v>
      </c>
      <c r="K7264" s="2" t="s">
        <v>1452</v>
      </c>
      <c r="L7264" s="2" t="s">
        <v>5221</v>
      </c>
      <c r="M7264" s="2" t="s">
        <v>5221</v>
      </c>
      <c r="N7264" s="2" t="s">
        <v>2317</v>
      </c>
      <c r="O7264" s="14">
        <v>6200</v>
      </c>
      <c r="P7264" s="14">
        <v>97.98</v>
      </c>
      <c r="Q7264" s="14">
        <v>125.24</v>
      </c>
      <c r="R7264" s="14">
        <v>127.74</v>
      </c>
      <c r="S7264" s="2" t="s">
        <v>5002</v>
      </c>
      <c r="T7264" s="2">
        <v>1.92</v>
      </c>
      <c r="U7264" s="2">
        <v>62.1</v>
      </c>
      <c r="V7264" s="2">
        <v>62</v>
      </c>
      <c r="W7264" s="2" t="s">
        <v>7862</v>
      </c>
      <c r="X7264" s="2" t="s">
        <v>5028</v>
      </c>
      <c r="Y7264" s="2">
        <v>6324</v>
      </c>
      <c r="Z7264" s="19" t="str">
        <f>HYPERLINK("https://ssdweb.co/ssdweb/hd/Vision360.html?d=927140401&amp;zoomslide=1&amp;z=1927140401&amp;ISCONFIRM=0","VIDEO")</f>
        <v>VIDEO</v>
      </c>
      <c r="AA7264" s="19" t="str">
        <f>HYPERLINK("https://ssdweb.co/ssdweb/CERTH/671437448.pdf","CERTI")</f>
        <v>CERTI</v>
      </c>
    </row>
    <row r="7265" spans="1:27" ht="15" x14ac:dyDescent="0.25">
      <c r="A7265" s="2">
        <v>7260</v>
      </c>
      <c r="B7265" s="39">
        <v>927140413</v>
      </c>
      <c r="C7265" s="28" t="str">
        <f>HYPERLINK("https://pld.live/RapDetail.aspx?STONELIST=927140413","DNA")</f>
        <v>DNA</v>
      </c>
      <c r="D7265" s="18" t="s">
        <v>3054</v>
      </c>
      <c r="E7265" s="18" t="s">
        <v>2186</v>
      </c>
      <c r="F7265" s="2" t="s">
        <v>7987</v>
      </c>
      <c r="G7265" s="2" t="s">
        <v>2054</v>
      </c>
      <c r="H7265" s="14">
        <v>1.02</v>
      </c>
      <c r="I7265" s="2" t="s">
        <v>4761</v>
      </c>
      <c r="J7265" s="2" t="s">
        <v>5144</v>
      </c>
      <c r="K7265" s="2" t="s">
        <v>1452</v>
      </c>
      <c r="L7265" s="2" t="s">
        <v>5221</v>
      </c>
      <c r="M7265" s="2" t="s">
        <v>5221</v>
      </c>
      <c r="N7265" s="2" t="s">
        <v>2317</v>
      </c>
      <c r="O7265" s="14">
        <v>5400</v>
      </c>
      <c r="P7265" s="14">
        <v>97.87</v>
      </c>
      <c r="Q7265" s="14">
        <v>115.02</v>
      </c>
      <c r="R7265" s="14">
        <v>117.32</v>
      </c>
      <c r="S7265" s="2" t="s">
        <v>6590</v>
      </c>
      <c r="T7265" s="2">
        <v>1.91</v>
      </c>
      <c r="U7265" s="2">
        <v>61.5</v>
      </c>
      <c r="V7265" s="2">
        <v>62</v>
      </c>
      <c r="W7265" s="2" t="s">
        <v>7862</v>
      </c>
      <c r="X7265" s="2" t="s">
        <v>5028</v>
      </c>
      <c r="Y7265" s="2">
        <v>5508</v>
      </c>
      <c r="Z7265" s="19" t="str">
        <f>HYPERLINK("https://ssdweb.co/ssdweb/hd/Vision360.html?d=927140413&amp;zoomslide=1&amp;z=1927140413&amp;ISCONFIRM=0","VIDEO")</f>
        <v>VIDEO</v>
      </c>
      <c r="AA7265" s="19" t="str">
        <f>HYPERLINK("https://ssdweb.co/ssdweb/CERTH/671477224.pdf","CERTI")</f>
        <v>CERTI</v>
      </c>
    </row>
    <row r="7266" spans="1:27" ht="15" x14ac:dyDescent="0.25">
      <c r="A7266" s="2">
        <v>7261</v>
      </c>
      <c r="B7266" s="39">
        <v>924290386</v>
      </c>
      <c r="C7266" s="28" t="str">
        <f>HYPERLINK("https://pld.live/RapDetail.aspx?STONELIST=924290386","DNA")</f>
        <v>DNA</v>
      </c>
      <c r="D7266" s="18" t="s">
        <v>3054</v>
      </c>
      <c r="E7266" s="18" t="s">
        <v>2186</v>
      </c>
      <c r="F7266" s="2" t="s">
        <v>7987</v>
      </c>
      <c r="G7266" s="2" t="s">
        <v>2054</v>
      </c>
      <c r="H7266" s="14">
        <v>1.02</v>
      </c>
      <c r="I7266" s="2" t="s">
        <v>6587</v>
      </c>
      <c r="J7266" s="2" t="s">
        <v>13</v>
      </c>
      <c r="K7266" s="2" t="s">
        <v>1452</v>
      </c>
      <c r="L7266" s="2" t="s">
        <v>5221</v>
      </c>
      <c r="M7266" s="2" t="s">
        <v>5221</v>
      </c>
      <c r="N7266" s="2" t="s">
        <v>2317</v>
      </c>
      <c r="O7266" s="14">
        <v>5400</v>
      </c>
      <c r="P7266" s="14">
        <v>98.26</v>
      </c>
      <c r="Q7266" s="14">
        <v>93.96</v>
      </c>
      <c r="R7266" s="14">
        <v>95.84</v>
      </c>
      <c r="S7266" s="2" t="s">
        <v>7400</v>
      </c>
      <c r="T7266" s="2">
        <v>2.1</v>
      </c>
      <c r="U7266" s="2">
        <v>61.3</v>
      </c>
      <c r="V7266" s="2">
        <v>60</v>
      </c>
      <c r="W7266" s="2" t="s">
        <v>8016</v>
      </c>
      <c r="X7266" s="2" t="s">
        <v>5028</v>
      </c>
      <c r="Y7266" s="2">
        <v>5508</v>
      </c>
      <c r="Z7266" s="19" t="str">
        <f>HYPERLINK("https://ssdweb.co/ssdweb/hd/Vision360.html?d=924290386&amp;zoomslide=1&amp;z=1924290386&amp;ISCONFIRM=0","VIDEO")</f>
        <v>VIDEO</v>
      </c>
      <c r="AA7266" s="19" t="str">
        <f>HYPERLINK("https://ssdweb.co/ssdweb/CERTH/589396738.pdf","CERTI")</f>
        <v>CERTI</v>
      </c>
    </row>
    <row r="7267" spans="1:27" ht="15" x14ac:dyDescent="0.25">
      <c r="A7267" s="2">
        <v>7262</v>
      </c>
      <c r="B7267" s="39">
        <v>927030744</v>
      </c>
      <c r="C7267" s="28" t="str">
        <f>HYPERLINK("https://pld.live/RapDetail.aspx?STONELIST=927030744","DNA")</f>
        <v>DNA</v>
      </c>
      <c r="D7267" s="18" t="s">
        <v>3054</v>
      </c>
      <c r="E7267" s="18" t="s">
        <v>2186</v>
      </c>
      <c r="F7267" s="2" t="s">
        <v>7987</v>
      </c>
      <c r="G7267" s="2" t="s">
        <v>2054</v>
      </c>
      <c r="H7267" s="14">
        <v>1.01</v>
      </c>
      <c r="I7267" s="2" t="s">
        <v>267</v>
      </c>
      <c r="J7267" s="2" t="s">
        <v>5144</v>
      </c>
      <c r="K7267" s="2" t="s">
        <v>1452</v>
      </c>
      <c r="L7267" s="2" t="s">
        <v>5221</v>
      </c>
      <c r="M7267" s="2" t="s">
        <v>5221</v>
      </c>
      <c r="N7267" s="2" t="s">
        <v>2317</v>
      </c>
      <c r="O7267" s="14">
        <v>5700</v>
      </c>
      <c r="P7267" s="14">
        <v>97.86</v>
      </c>
      <c r="Q7267" s="14">
        <v>121.98</v>
      </c>
      <c r="R7267" s="14">
        <v>123.2</v>
      </c>
      <c r="S7267" s="2" t="s">
        <v>6955</v>
      </c>
      <c r="T7267" s="2">
        <v>1.9</v>
      </c>
      <c r="U7267" s="2">
        <v>62.6</v>
      </c>
      <c r="V7267" s="2">
        <v>65</v>
      </c>
      <c r="W7267" s="2" t="s">
        <v>7862</v>
      </c>
      <c r="X7267" s="2" t="s">
        <v>5028</v>
      </c>
      <c r="Y7267" s="2">
        <v>5757</v>
      </c>
      <c r="Z7267" s="19" t="str">
        <f>HYPERLINK("https://ssdweb.co/ssdweb/hd/Vision360.html?d=927030744&amp;zoomslide=1&amp;z=1927030744&amp;ISCONFIRM=0","VIDEO")</f>
        <v>VIDEO</v>
      </c>
      <c r="AA7267" s="19" t="str">
        <f>HYPERLINK("https://ssdweb.co/ssdweb/CERTH/671477233.pdf","CERTI")</f>
        <v>CERTI</v>
      </c>
    </row>
    <row r="7268" spans="1:27" ht="15" x14ac:dyDescent="0.25">
      <c r="A7268" s="2">
        <v>7263</v>
      </c>
      <c r="B7268" s="39">
        <v>941110512</v>
      </c>
      <c r="C7268" s="28" t="str">
        <f>HYPERLINK("https://pld.live/RapDetail.aspx?STONELIST=941110512","DNA")</f>
        <v>DNA</v>
      </c>
      <c r="D7268" s="18" t="s">
        <v>3054</v>
      </c>
      <c r="E7268" s="18" t="s">
        <v>2186</v>
      </c>
      <c r="F7268" s="2" t="s">
        <v>7987</v>
      </c>
      <c r="G7268" s="2" t="s">
        <v>2054</v>
      </c>
      <c r="H7268" s="14">
        <v>1.01</v>
      </c>
      <c r="I7268" s="2" t="s">
        <v>4761</v>
      </c>
      <c r="J7268" s="2" t="s">
        <v>7032</v>
      </c>
      <c r="K7268" s="2" t="s">
        <v>1452</v>
      </c>
      <c r="L7268" s="2" t="s">
        <v>5221</v>
      </c>
      <c r="M7268" s="2" t="s">
        <v>5221</v>
      </c>
      <c r="N7268" s="2" t="s">
        <v>2317</v>
      </c>
      <c r="O7268" s="14">
        <v>8200</v>
      </c>
      <c r="P7268" s="14">
        <v>96.65</v>
      </c>
      <c r="Q7268" s="14">
        <v>274.7</v>
      </c>
      <c r="R7268" s="14">
        <v>277.45</v>
      </c>
      <c r="S7268" s="2" t="s">
        <v>2471</v>
      </c>
      <c r="T7268" s="2">
        <v>1.88</v>
      </c>
      <c r="U7268" s="2">
        <v>61</v>
      </c>
      <c r="V7268" s="2">
        <v>62</v>
      </c>
      <c r="W7268" s="2" t="s">
        <v>7862</v>
      </c>
      <c r="X7268" s="2" t="s">
        <v>5028</v>
      </c>
      <c r="Y7268" s="2">
        <v>8282</v>
      </c>
      <c r="Z7268" s="19" t="str">
        <f>HYPERLINK("https://ssdweb.co/ssdweb/hd/Vision360.html?d=941110512&amp;zoomslide=1&amp;z=1941110512&amp;ISCONFIRM=0","VIDEO")</f>
        <v>VIDEO</v>
      </c>
      <c r="AA7268" s="19" t="str">
        <f>HYPERLINK("https://ssdweb.co/ssdweb/CERTH/674532539.pdf","CERTI")</f>
        <v>CERTI</v>
      </c>
    </row>
    <row r="7269" spans="1:27" ht="15" x14ac:dyDescent="0.25">
      <c r="A7269" s="2">
        <v>7264</v>
      </c>
      <c r="B7269" s="39">
        <v>941110565</v>
      </c>
      <c r="C7269" s="28" t="str">
        <f>HYPERLINK("https://pld.live/RapDetail.aspx?STONELIST=941110565","DNA")</f>
        <v>DNA</v>
      </c>
      <c r="D7269" s="18" t="s">
        <v>3054</v>
      </c>
      <c r="E7269" s="18" t="s">
        <v>2186</v>
      </c>
      <c r="F7269" s="2" t="s">
        <v>7987</v>
      </c>
      <c r="G7269" s="2" t="s">
        <v>2054</v>
      </c>
      <c r="H7269" s="14">
        <v>1.01</v>
      </c>
      <c r="I7269" s="2" t="s">
        <v>4761</v>
      </c>
      <c r="J7269" s="2" t="s">
        <v>3942</v>
      </c>
      <c r="K7269" s="2" t="s">
        <v>1452</v>
      </c>
      <c r="L7269" s="2" t="s">
        <v>5221</v>
      </c>
      <c r="M7269" s="2" t="s">
        <v>5221</v>
      </c>
      <c r="N7269" s="2" t="s">
        <v>2317</v>
      </c>
      <c r="O7269" s="14">
        <v>6900</v>
      </c>
      <c r="P7269" s="14">
        <v>98</v>
      </c>
      <c r="Q7269" s="14">
        <v>138</v>
      </c>
      <c r="R7269" s="14">
        <v>139.38</v>
      </c>
      <c r="S7269" s="2" t="s">
        <v>5974</v>
      </c>
      <c r="T7269" s="2">
        <v>1.91</v>
      </c>
      <c r="U7269" s="2">
        <v>63.1</v>
      </c>
      <c r="V7269" s="2">
        <v>63</v>
      </c>
      <c r="W7269" s="2" t="s">
        <v>7862</v>
      </c>
      <c r="X7269" s="2" t="s">
        <v>5028</v>
      </c>
      <c r="Y7269" s="2">
        <v>6969</v>
      </c>
      <c r="Z7269" s="19" t="str">
        <f>HYPERLINK("https://ssdweb.co/ssdweb/hd/Vision360.html?d=941110565&amp;zoomslide=1&amp;z=1941110565&amp;ISCONFIRM=0","VIDEO")</f>
        <v>VIDEO</v>
      </c>
      <c r="AA7269" s="19" t="str">
        <f>HYPERLINK("https://ssdweb.co/ssdweb/CERTH/675596758.pdf","CERTI")</f>
        <v>CERTI</v>
      </c>
    </row>
    <row r="7270" spans="1:27" ht="15" x14ac:dyDescent="0.25">
      <c r="A7270" s="2">
        <v>7265</v>
      </c>
      <c r="B7270" s="39">
        <v>927070942</v>
      </c>
      <c r="C7270" s="28" t="str">
        <f>HYPERLINK("https://pld.live/RapDetail.aspx?STONELIST=927070942","DNA")</f>
        <v>DNA</v>
      </c>
      <c r="D7270" s="18" t="s">
        <v>3054</v>
      </c>
      <c r="E7270" s="18" t="s">
        <v>2186</v>
      </c>
      <c r="F7270" s="2" t="s">
        <v>7987</v>
      </c>
      <c r="G7270" s="2" t="s">
        <v>2054</v>
      </c>
      <c r="H7270" s="14">
        <v>1.01</v>
      </c>
      <c r="I7270" s="2" t="s">
        <v>4761</v>
      </c>
      <c r="J7270" s="2" t="s">
        <v>3942</v>
      </c>
      <c r="K7270" s="2" t="s">
        <v>1452</v>
      </c>
      <c r="L7270" s="2" t="s">
        <v>5221</v>
      </c>
      <c r="M7270" s="2" t="s">
        <v>5221</v>
      </c>
      <c r="N7270" s="2" t="s">
        <v>2317</v>
      </c>
      <c r="O7270" s="14">
        <v>6900</v>
      </c>
      <c r="P7270" s="14">
        <v>98</v>
      </c>
      <c r="Q7270" s="14">
        <v>138</v>
      </c>
      <c r="R7270" s="14">
        <v>139.38</v>
      </c>
      <c r="S7270" s="2" t="s">
        <v>7779</v>
      </c>
      <c r="T7270" s="2">
        <v>1.92</v>
      </c>
      <c r="U7270" s="2">
        <v>62.7</v>
      </c>
      <c r="V7270" s="2">
        <v>59</v>
      </c>
      <c r="W7270" s="2" t="s">
        <v>7862</v>
      </c>
      <c r="X7270" s="2" t="s">
        <v>5028</v>
      </c>
      <c r="Y7270" s="2">
        <v>6969</v>
      </c>
      <c r="Z7270" s="19" t="str">
        <f>HYPERLINK("https://ssdweb.co/ssdweb/hd/Vision360.html?d=927070942&amp;zoomslide=1&amp;z=1927070942&amp;ISCONFIRM=0","VIDEO")</f>
        <v>VIDEO</v>
      </c>
      <c r="AA7270" s="19" t="str">
        <f>HYPERLINK("https://ssdweb.co/ssdweb/CERTH/674543272.pdf","CERTI")</f>
        <v>CERTI</v>
      </c>
    </row>
    <row r="7271" spans="1:27" ht="15" x14ac:dyDescent="0.25">
      <c r="A7271" s="2">
        <v>7266</v>
      </c>
      <c r="B7271" s="39">
        <v>941330628</v>
      </c>
      <c r="C7271" s="28" t="str">
        <f>HYPERLINK("https://pld.live/RapDetail.aspx?STONELIST=941330628","DNA")</f>
        <v>DNA</v>
      </c>
      <c r="D7271" s="18" t="s">
        <v>3054</v>
      </c>
      <c r="E7271" s="18" t="s">
        <v>2186</v>
      </c>
      <c r="F7271" s="2" t="s">
        <v>7987</v>
      </c>
      <c r="G7271" s="2" t="s">
        <v>2054</v>
      </c>
      <c r="H7271" s="14">
        <v>1.01</v>
      </c>
      <c r="I7271" s="2" t="s">
        <v>4761</v>
      </c>
      <c r="J7271" s="2" t="s">
        <v>13</v>
      </c>
      <c r="K7271" s="2" t="s">
        <v>1452</v>
      </c>
      <c r="L7271" s="2" t="s">
        <v>5221</v>
      </c>
      <c r="M7271" s="2" t="s">
        <v>5221</v>
      </c>
      <c r="N7271" s="2" t="s">
        <v>2317</v>
      </c>
      <c r="O7271" s="14">
        <v>6200</v>
      </c>
      <c r="P7271" s="14">
        <v>97.98</v>
      </c>
      <c r="Q7271" s="14">
        <v>125.24</v>
      </c>
      <c r="R7271" s="14">
        <v>126.49</v>
      </c>
      <c r="S7271" s="2" t="s">
        <v>5027</v>
      </c>
      <c r="T7271" s="2">
        <v>2.12</v>
      </c>
      <c r="U7271" s="2">
        <v>65.099999999999994</v>
      </c>
      <c r="V7271" s="2">
        <v>62</v>
      </c>
      <c r="W7271" s="2" t="s">
        <v>7862</v>
      </c>
      <c r="X7271" s="2" t="s">
        <v>5028</v>
      </c>
      <c r="Y7271" s="2">
        <v>6262</v>
      </c>
      <c r="Z7271" s="19" t="str">
        <f>HYPERLINK("https://ssdweb.co/ssdweb/hd/Vision360.html?d=941330628&amp;zoomslide=1&amp;z=1941330628&amp;ISCONFIRM=0","VIDEO")</f>
        <v>VIDEO</v>
      </c>
      <c r="AA7271" s="19" t="str">
        <f>HYPERLINK("https://ssdweb.co/ssdweb/CERTH/693519475.pdf","CERTI")</f>
        <v>CERTI</v>
      </c>
    </row>
    <row r="7272" spans="1:27" ht="15" x14ac:dyDescent="0.25">
      <c r="A7272" s="2">
        <v>7267</v>
      </c>
      <c r="B7272" s="39">
        <v>927030810</v>
      </c>
      <c r="C7272" s="28" t="str">
        <f>HYPERLINK("https://pld.live/RapDetail.aspx?STONELIST=927030810","DNA")</f>
        <v>DNA</v>
      </c>
      <c r="D7272" s="18" t="s">
        <v>3054</v>
      </c>
      <c r="E7272" s="18" t="s">
        <v>2186</v>
      </c>
      <c r="F7272" s="2" t="s">
        <v>7987</v>
      </c>
      <c r="G7272" s="2" t="s">
        <v>2054</v>
      </c>
      <c r="H7272" s="14">
        <v>1.01</v>
      </c>
      <c r="I7272" s="2" t="s">
        <v>4761</v>
      </c>
      <c r="J7272" s="2" t="s">
        <v>13</v>
      </c>
      <c r="K7272" s="2" t="s">
        <v>1452</v>
      </c>
      <c r="L7272" s="2" t="s">
        <v>5221</v>
      </c>
      <c r="M7272" s="2" t="s">
        <v>5221</v>
      </c>
      <c r="N7272" s="2" t="s">
        <v>2317</v>
      </c>
      <c r="O7272" s="14">
        <v>6200</v>
      </c>
      <c r="P7272" s="14">
        <v>97.98</v>
      </c>
      <c r="Q7272" s="14">
        <v>125.24</v>
      </c>
      <c r="R7272" s="14">
        <v>126.49</v>
      </c>
      <c r="S7272" s="2" t="s">
        <v>496</v>
      </c>
      <c r="T7272" s="2">
        <v>1.86</v>
      </c>
      <c r="U7272" s="2">
        <v>64.099999999999994</v>
      </c>
      <c r="V7272" s="2">
        <v>61</v>
      </c>
      <c r="W7272" s="2" t="s">
        <v>7862</v>
      </c>
      <c r="X7272" s="2" t="s">
        <v>5028</v>
      </c>
      <c r="Y7272" s="2">
        <v>6262</v>
      </c>
      <c r="Z7272" s="19" t="str">
        <f>HYPERLINK("https://ssdweb.co/ssdweb/hd/Vision360.html?d=927030810&amp;zoomslide=1&amp;z=1927030810&amp;ISCONFIRM=0","VIDEO")</f>
        <v>VIDEO</v>
      </c>
      <c r="AA7272" s="19" t="str">
        <f>HYPERLINK("https://ssdweb.co/ssdweb/CERTH/671411234.pdf","CERTI")</f>
        <v>CERTI</v>
      </c>
    </row>
    <row r="7273" spans="1:27" ht="15" x14ac:dyDescent="0.25">
      <c r="A7273" s="2">
        <v>7268</v>
      </c>
      <c r="B7273" s="39">
        <v>927030804</v>
      </c>
      <c r="C7273" s="28" t="str">
        <f>HYPERLINK("https://pld.live/RapDetail.aspx?STONELIST=927030804","DNA")</f>
        <v>DNA</v>
      </c>
      <c r="D7273" s="18" t="s">
        <v>3054</v>
      </c>
      <c r="E7273" s="18" t="s">
        <v>2186</v>
      </c>
      <c r="F7273" s="2" t="s">
        <v>7987</v>
      </c>
      <c r="G7273" s="2" t="s">
        <v>2054</v>
      </c>
      <c r="H7273" s="14">
        <v>1.01</v>
      </c>
      <c r="I7273" s="2" t="s">
        <v>4761</v>
      </c>
      <c r="J7273" s="2" t="s">
        <v>13</v>
      </c>
      <c r="K7273" s="2" t="s">
        <v>1452</v>
      </c>
      <c r="L7273" s="2" t="s">
        <v>5221</v>
      </c>
      <c r="M7273" s="2" t="s">
        <v>5221</v>
      </c>
      <c r="N7273" s="2" t="s">
        <v>2317</v>
      </c>
      <c r="O7273" s="14">
        <v>6200</v>
      </c>
      <c r="P7273" s="14">
        <v>97.98</v>
      </c>
      <c r="Q7273" s="14">
        <v>125.24</v>
      </c>
      <c r="R7273" s="14">
        <v>126.49</v>
      </c>
      <c r="S7273" s="2" t="s">
        <v>2883</v>
      </c>
      <c r="T7273" s="2">
        <v>1.9</v>
      </c>
      <c r="U7273" s="2">
        <v>61.4</v>
      </c>
      <c r="V7273" s="2">
        <v>62</v>
      </c>
      <c r="W7273" s="2" t="s">
        <v>7862</v>
      </c>
      <c r="X7273" s="2" t="s">
        <v>5028</v>
      </c>
      <c r="Y7273" s="2">
        <v>6262</v>
      </c>
      <c r="Z7273" s="19" t="str">
        <f>HYPERLINK("https://ssdweb.co/ssdweb/hd/Vision360.html?d=927030804&amp;zoomslide=1&amp;z=1927030804&amp;ISCONFIRM=0","VIDEO")</f>
        <v>VIDEO</v>
      </c>
      <c r="AA7273" s="19" t="str">
        <f>HYPERLINK("https://ssdweb.co/ssdweb/CERTH/670484517.pdf","CERTI")</f>
        <v>CERTI</v>
      </c>
    </row>
    <row r="7274" spans="1:27" ht="15" x14ac:dyDescent="0.25">
      <c r="A7274" s="2">
        <v>7269</v>
      </c>
      <c r="B7274" s="39">
        <v>927030766</v>
      </c>
      <c r="C7274" s="28" t="str">
        <f>HYPERLINK("https://pld.live/RapDetail.aspx?STONELIST=927030766","DNA")</f>
        <v>DNA</v>
      </c>
      <c r="D7274" s="18" t="s">
        <v>3054</v>
      </c>
      <c r="E7274" s="18" t="s">
        <v>2186</v>
      </c>
      <c r="F7274" s="2" t="s">
        <v>7987</v>
      </c>
      <c r="G7274" s="2" t="s">
        <v>2054</v>
      </c>
      <c r="H7274" s="14">
        <v>1.01</v>
      </c>
      <c r="I7274" s="2" t="s">
        <v>4761</v>
      </c>
      <c r="J7274" s="2" t="s">
        <v>13</v>
      </c>
      <c r="K7274" s="2" t="s">
        <v>1452</v>
      </c>
      <c r="L7274" s="2" t="s">
        <v>5221</v>
      </c>
      <c r="M7274" s="2" t="s">
        <v>5221</v>
      </c>
      <c r="N7274" s="2" t="s">
        <v>2317</v>
      </c>
      <c r="O7274" s="14">
        <v>6200</v>
      </c>
      <c r="P7274" s="14">
        <v>97.98</v>
      </c>
      <c r="Q7274" s="14">
        <v>125.24</v>
      </c>
      <c r="R7274" s="14">
        <v>126.49</v>
      </c>
      <c r="S7274" s="2" t="s">
        <v>5034</v>
      </c>
      <c r="T7274" s="2">
        <v>1.94</v>
      </c>
      <c r="U7274" s="2">
        <v>60.8</v>
      </c>
      <c r="V7274" s="2">
        <v>63</v>
      </c>
      <c r="W7274" s="2" t="s">
        <v>7862</v>
      </c>
      <c r="X7274" s="2" t="s">
        <v>5028</v>
      </c>
      <c r="Y7274" s="2">
        <v>6262</v>
      </c>
      <c r="Z7274" s="19" t="str">
        <f>HYPERLINK("https://ssdweb.co/ssdweb/hd/Vision360.html?d=927030766&amp;zoomslide=1&amp;z=1927030766&amp;ISCONFIRM=0","VIDEO")</f>
        <v>VIDEO</v>
      </c>
      <c r="AA7274" s="19" t="str">
        <f>HYPERLINK("https://ssdweb.co/ssdweb/CERTH/670484481.pdf","CERTI")</f>
        <v>CERTI</v>
      </c>
    </row>
    <row r="7275" spans="1:27" ht="15" x14ac:dyDescent="0.25">
      <c r="A7275" s="2">
        <v>7270</v>
      </c>
      <c r="B7275" s="39">
        <v>821112811</v>
      </c>
      <c r="C7275" s="28" t="str">
        <f>HYPERLINK("https://pld.live/RapDetail.aspx?STONELIST=821112811","DNA")</f>
        <v>DNA</v>
      </c>
      <c r="D7275" s="18" t="s">
        <v>3054</v>
      </c>
      <c r="E7275" s="18" t="s">
        <v>2186</v>
      </c>
      <c r="F7275" s="2" t="s">
        <v>7987</v>
      </c>
      <c r="G7275" s="2" t="s">
        <v>2054</v>
      </c>
      <c r="H7275" s="14">
        <v>1.01</v>
      </c>
      <c r="I7275" s="2" t="s">
        <v>4699</v>
      </c>
      <c r="J7275" s="2" t="s">
        <v>13</v>
      </c>
      <c r="K7275" s="2" t="s">
        <v>1452</v>
      </c>
      <c r="L7275" s="2" t="s">
        <v>5221</v>
      </c>
      <c r="M7275" s="2" t="s">
        <v>5221</v>
      </c>
      <c r="N7275" s="2" t="s">
        <v>2317</v>
      </c>
      <c r="O7275" s="14">
        <v>5800</v>
      </c>
      <c r="P7275" s="14">
        <v>98.09</v>
      </c>
      <c r="Q7275" s="14">
        <v>110.78</v>
      </c>
      <c r="R7275" s="14">
        <v>111.89</v>
      </c>
      <c r="S7275" s="2" t="s">
        <v>4743</v>
      </c>
      <c r="T7275" s="2">
        <v>2.04</v>
      </c>
      <c r="U7275" s="2">
        <v>63.6</v>
      </c>
      <c r="V7275" s="2">
        <v>58</v>
      </c>
      <c r="W7275" s="2" t="s">
        <v>7862</v>
      </c>
      <c r="X7275" s="2" t="s">
        <v>5028</v>
      </c>
      <c r="Y7275" s="2">
        <v>5858</v>
      </c>
      <c r="Z7275" s="19" t="str">
        <f>HYPERLINK("https://ssdweb.co/ssdweb/hd/Vision360.html?d=821112811&amp;zoomslide=1&amp;z=1821112811&amp;ISCONFIRM=0","VIDEO")</f>
        <v>VIDEO</v>
      </c>
      <c r="AA7275" s="19" t="str">
        <f>HYPERLINK("https://ssdweb.co/ssdweb/CERTH/619443880.pdf","CERTI")</f>
        <v>CERTI</v>
      </c>
    </row>
    <row r="7276" spans="1:27" ht="15" x14ac:dyDescent="0.25">
      <c r="A7276" s="2">
        <v>7271</v>
      </c>
      <c r="B7276" s="39">
        <v>926980717</v>
      </c>
      <c r="C7276" s="28" t="str">
        <f>HYPERLINK("https://pld.live/RapDetail.aspx?STONELIST=926980717","DNA")</f>
        <v>DNA</v>
      </c>
      <c r="D7276" s="18" t="s">
        <v>3054</v>
      </c>
      <c r="E7276" s="18" t="s">
        <v>2186</v>
      </c>
      <c r="F7276" s="2" t="s">
        <v>7987</v>
      </c>
      <c r="G7276" s="2" t="s">
        <v>2054</v>
      </c>
      <c r="H7276" s="14">
        <v>1.01</v>
      </c>
      <c r="I7276" s="2" t="s">
        <v>4699</v>
      </c>
      <c r="J7276" s="2" t="s">
        <v>13</v>
      </c>
      <c r="K7276" s="2" t="s">
        <v>1452</v>
      </c>
      <c r="L7276" s="2" t="s">
        <v>5221</v>
      </c>
      <c r="M7276" s="2" t="s">
        <v>5221</v>
      </c>
      <c r="N7276" s="2" t="s">
        <v>2317</v>
      </c>
      <c r="O7276" s="14">
        <v>5800</v>
      </c>
      <c r="P7276" s="14">
        <v>98.02</v>
      </c>
      <c r="Q7276" s="14">
        <v>114.84</v>
      </c>
      <c r="R7276" s="14">
        <v>115.99</v>
      </c>
      <c r="S7276" s="2" t="s">
        <v>6191</v>
      </c>
      <c r="T7276" s="2">
        <v>1.89</v>
      </c>
      <c r="U7276" s="2">
        <v>62.5</v>
      </c>
      <c r="V7276" s="2">
        <v>61</v>
      </c>
      <c r="W7276" s="2" t="s">
        <v>7862</v>
      </c>
      <c r="X7276" s="2" t="s">
        <v>5028</v>
      </c>
      <c r="Y7276" s="2">
        <v>5858</v>
      </c>
      <c r="Z7276" s="19" t="str">
        <f>HYPERLINK("https://ssdweb.co/ssdweb/hd/Vision360.html?d=926980717&amp;zoomslide=1&amp;z=1926980717&amp;ISCONFIRM=0","VIDEO")</f>
        <v>VIDEO</v>
      </c>
      <c r="AA7276" s="19" t="str">
        <f>HYPERLINK("https://ssdweb.co/ssdweb/CERTH/671477260.pdf","CERTI")</f>
        <v>CERTI</v>
      </c>
    </row>
    <row r="7277" spans="1:27" ht="15" x14ac:dyDescent="0.25">
      <c r="A7277" s="2">
        <v>7272</v>
      </c>
      <c r="B7277" s="39">
        <v>924260766</v>
      </c>
      <c r="C7277" s="28" t="str">
        <f>HYPERLINK("https://pld.live/RapDetail.aspx?STONELIST=924260766","DNA")</f>
        <v>DNA</v>
      </c>
      <c r="D7277" s="18" t="s">
        <v>3054</v>
      </c>
      <c r="E7277" s="18" t="s">
        <v>2186</v>
      </c>
      <c r="F7277" s="2" t="s">
        <v>7987</v>
      </c>
      <c r="G7277" s="2" t="s">
        <v>2054</v>
      </c>
      <c r="H7277" s="14">
        <v>1.01</v>
      </c>
      <c r="I7277" s="2" t="s">
        <v>6587</v>
      </c>
      <c r="J7277" s="2" t="s">
        <v>13</v>
      </c>
      <c r="K7277" s="2" t="s">
        <v>1452</v>
      </c>
      <c r="L7277" s="2" t="s">
        <v>5221</v>
      </c>
      <c r="M7277" s="2" t="s">
        <v>5221</v>
      </c>
      <c r="N7277" s="2" t="s">
        <v>2317</v>
      </c>
      <c r="O7277" s="14">
        <v>5400</v>
      </c>
      <c r="P7277" s="14">
        <v>98.22</v>
      </c>
      <c r="Q7277" s="14">
        <v>96.12</v>
      </c>
      <c r="R7277" s="14">
        <v>97.08</v>
      </c>
      <c r="S7277" s="2" t="s">
        <v>5438</v>
      </c>
      <c r="T7277" s="2">
        <v>2.13</v>
      </c>
      <c r="U7277" s="2">
        <v>58.8</v>
      </c>
      <c r="V7277" s="2">
        <v>63</v>
      </c>
      <c r="W7277" s="2" t="s">
        <v>7862</v>
      </c>
      <c r="X7277" s="2" t="s">
        <v>5028</v>
      </c>
      <c r="Y7277" s="2">
        <v>5454</v>
      </c>
      <c r="Z7277" s="19" t="str">
        <f>HYPERLINK("https://ssdweb.co/ssdweb/hd/Vision360.html?d=924260766&amp;zoomslide=1&amp;z=1924260766&amp;ISCONFIRM=0","VIDEO")</f>
        <v>VIDEO</v>
      </c>
      <c r="AA7277" s="19" t="str">
        <f>HYPERLINK("https://ssdweb.co/ssdweb/CERTH/585327257.pdf","CERTI")</f>
        <v>CERTI</v>
      </c>
    </row>
    <row r="7278" spans="1:27" ht="15" x14ac:dyDescent="0.25">
      <c r="A7278" s="2">
        <v>7273</v>
      </c>
      <c r="B7278" s="39">
        <v>927132482</v>
      </c>
      <c r="C7278" s="28" t="str">
        <f>HYPERLINK("https://pld.live/RapDetail.aspx?STONELIST=927132482","DNA")</f>
        <v>DNA</v>
      </c>
      <c r="D7278" s="18" t="s">
        <v>3054</v>
      </c>
      <c r="E7278" s="18" t="s">
        <v>5128</v>
      </c>
      <c r="F7278" s="2" t="s">
        <v>7987</v>
      </c>
      <c r="G7278" s="2" t="s">
        <v>2054</v>
      </c>
      <c r="H7278" s="14">
        <v>1</v>
      </c>
      <c r="I7278" s="2" t="s">
        <v>4761</v>
      </c>
      <c r="J7278" s="2" t="s">
        <v>6555</v>
      </c>
      <c r="K7278" s="2" t="s">
        <v>1452</v>
      </c>
      <c r="L7278" s="2" t="s">
        <v>5221</v>
      </c>
      <c r="M7278" s="2" t="s">
        <v>5221</v>
      </c>
      <c r="N7278" s="2" t="s">
        <v>2317</v>
      </c>
      <c r="O7278" s="14">
        <v>7500</v>
      </c>
      <c r="P7278" s="14">
        <v>98.03</v>
      </c>
      <c r="Q7278" s="14">
        <v>147.75</v>
      </c>
      <c r="R7278" s="14">
        <v>147.75</v>
      </c>
      <c r="S7278" s="2" t="s">
        <v>7790</v>
      </c>
      <c r="T7278" s="2">
        <v>1.83</v>
      </c>
      <c r="U7278" s="2">
        <v>64.099999999999994</v>
      </c>
      <c r="V7278" s="2">
        <v>63</v>
      </c>
      <c r="W7278" s="2" t="s">
        <v>7862</v>
      </c>
      <c r="X7278" s="2" t="s">
        <v>5028</v>
      </c>
      <c r="Y7278" s="2">
        <v>7500</v>
      </c>
      <c r="Z7278" s="19" t="str">
        <f>HYPERLINK("https://ssdweb.co/ssdweb/hd/Vision360.html?d=927132482&amp;zoomslide=1&amp;z=1927132482&amp;ISCONFIRM=0","VIDEO")</f>
        <v>VIDEO</v>
      </c>
      <c r="AA7278" s="19" t="str">
        <f>HYPERLINK("https://ssdweb.co/ssdweb/CERTH/671477247.pdf","CERTI")</f>
        <v>CERTI</v>
      </c>
    </row>
    <row r="7279" spans="1:27" ht="15" x14ac:dyDescent="0.25">
      <c r="A7279" s="2">
        <v>7274</v>
      </c>
      <c r="B7279" s="39">
        <v>927140396</v>
      </c>
      <c r="C7279" s="28" t="str">
        <f>HYPERLINK("https://pld.live/RapDetail.aspx?STONELIST=927140396","DNA")</f>
        <v>DNA</v>
      </c>
      <c r="D7279" s="18" t="s">
        <v>3054</v>
      </c>
      <c r="E7279" s="18" t="s">
        <v>2186</v>
      </c>
      <c r="F7279" s="2" t="s">
        <v>7987</v>
      </c>
      <c r="G7279" s="2" t="s">
        <v>2054</v>
      </c>
      <c r="H7279" s="14">
        <v>1</v>
      </c>
      <c r="I7279" s="2" t="s">
        <v>4761</v>
      </c>
      <c r="J7279" s="2" t="s">
        <v>3942</v>
      </c>
      <c r="K7279" s="2" t="s">
        <v>1452</v>
      </c>
      <c r="L7279" s="2" t="s">
        <v>5221</v>
      </c>
      <c r="M7279" s="2" t="s">
        <v>5721</v>
      </c>
      <c r="N7279" s="2" t="s">
        <v>2317</v>
      </c>
      <c r="O7279" s="14">
        <v>6900</v>
      </c>
      <c r="P7279" s="14">
        <v>98.03</v>
      </c>
      <c r="Q7279" s="14">
        <v>135.93</v>
      </c>
      <c r="R7279" s="14">
        <v>135.93</v>
      </c>
      <c r="S7279" s="2" t="s">
        <v>1726</v>
      </c>
      <c r="T7279" s="2">
        <v>1.93</v>
      </c>
      <c r="U7279" s="2">
        <v>62.4</v>
      </c>
      <c r="V7279" s="2">
        <v>65</v>
      </c>
      <c r="W7279" s="2" t="s">
        <v>7862</v>
      </c>
      <c r="X7279" s="2" t="s">
        <v>5028</v>
      </c>
      <c r="Y7279" s="2">
        <v>6900</v>
      </c>
      <c r="Z7279" s="19" t="str">
        <f>HYPERLINK("https://ssdweb.co/ssdweb/hd/Vision360.html?d=927140396&amp;zoomslide=1&amp;z=1927140396&amp;ISCONFIRM=0","VIDEO")</f>
        <v>VIDEO</v>
      </c>
      <c r="AA7279" s="19" t="str">
        <f>HYPERLINK("https://ssdweb.co/ssdweb/CERTH/671437447.pdf","CERTI")</f>
        <v>CERTI</v>
      </c>
    </row>
    <row r="7280" spans="1:27" ht="15" x14ac:dyDescent="0.25">
      <c r="A7280" s="2">
        <v>7275</v>
      </c>
      <c r="B7280" s="39">
        <v>927140412</v>
      </c>
      <c r="C7280" s="28" t="str">
        <f>HYPERLINK("https://pld.live/RapDetail.aspx?STONELIST=927140412","DNA")</f>
        <v>DNA</v>
      </c>
      <c r="D7280" s="18" t="s">
        <v>3054</v>
      </c>
      <c r="E7280" s="18" t="s">
        <v>2186</v>
      </c>
      <c r="F7280" s="2" t="s">
        <v>7987</v>
      </c>
      <c r="G7280" s="2" t="s">
        <v>2054</v>
      </c>
      <c r="H7280" s="14">
        <v>1</v>
      </c>
      <c r="I7280" s="2" t="s">
        <v>4761</v>
      </c>
      <c r="J7280" s="2" t="s">
        <v>13</v>
      </c>
      <c r="K7280" s="2" t="s">
        <v>1452</v>
      </c>
      <c r="L7280" s="2" t="s">
        <v>5221</v>
      </c>
      <c r="M7280" s="2" t="s">
        <v>5221</v>
      </c>
      <c r="N7280" s="2" t="s">
        <v>2317</v>
      </c>
      <c r="O7280" s="14">
        <v>6200</v>
      </c>
      <c r="P7280" s="14">
        <v>97.98</v>
      </c>
      <c r="Q7280" s="14">
        <v>125.24</v>
      </c>
      <c r="R7280" s="14">
        <v>125.24</v>
      </c>
      <c r="S7280" s="2" t="s">
        <v>4066</v>
      </c>
      <c r="T7280" s="2">
        <v>1.91</v>
      </c>
      <c r="U7280" s="2">
        <v>60.9</v>
      </c>
      <c r="V7280" s="2">
        <v>65</v>
      </c>
      <c r="W7280" s="2" t="s">
        <v>7862</v>
      </c>
      <c r="X7280" s="2" t="s">
        <v>5028</v>
      </c>
      <c r="Y7280" s="2">
        <v>6200</v>
      </c>
      <c r="Z7280" s="19" t="str">
        <f>HYPERLINK("https://ssdweb.co/ssdweb/hd/Vision360.html?d=927140412&amp;zoomslide=1&amp;z=1927140412&amp;ISCONFIRM=0","VIDEO")</f>
        <v>VIDEO</v>
      </c>
      <c r="AA7280" s="19" t="str">
        <f>HYPERLINK("https://ssdweb.co/ssdweb/CERTH/671477223.pdf","CERTI")</f>
        <v>CERTI</v>
      </c>
    </row>
    <row r="7281" spans="1:27" ht="15" x14ac:dyDescent="0.25">
      <c r="A7281" s="2">
        <v>7276</v>
      </c>
      <c r="B7281" s="39">
        <v>927102436</v>
      </c>
      <c r="C7281" s="28" t="str">
        <f>HYPERLINK("https://pld.live/RapDetail.aspx?STONELIST=927102436","DNA")</f>
        <v>DNA</v>
      </c>
      <c r="D7281" s="18" t="s">
        <v>3054</v>
      </c>
      <c r="E7281" s="18" t="s">
        <v>5128</v>
      </c>
      <c r="F7281" s="2" t="s">
        <v>7987</v>
      </c>
      <c r="G7281" s="2" t="s">
        <v>2054</v>
      </c>
      <c r="H7281" s="14">
        <v>1</v>
      </c>
      <c r="I7281" s="2" t="s">
        <v>4761</v>
      </c>
      <c r="J7281" s="2" t="s">
        <v>13</v>
      </c>
      <c r="K7281" s="2" t="s">
        <v>1452</v>
      </c>
      <c r="L7281" s="2" t="s">
        <v>5221</v>
      </c>
      <c r="M7281" s="2" t="s">
        <v>5221</v>
      </c>
      <c r="N7281" s="2" t="s">
        <v>2317</v>
      </c>
      <c r="O7281" s="14">
        <v>6200</v>
      </c>
      <c r="P7281" s="14">
        <v>97.98</v>
      </c>
      <c r="Q7281" s="14">
        <v>125.24</v>
      </c>
      <c r="R7281" s="14">
        <v>125.24</v>
      </c>
      <c r="S7281" s="2" t="s">
        <v>6917</v>
      </c>
      <c r="T7281" s="2">
        <v>1.84</v>
      </c>
      <c r="U7281" s="2">
        <v>65.099999999999994</v>
      </c>
      <c r="V7281" s="2">
        <v>58</v>
      </c>
      <c r="W7281" s="2" t="s">
        <v>7862</v>
      </c>
      <c r="X7281" s="2" t="s">
        <v>5028</v>
      </c>
      <c r="Y7281" s="2">
        <v>6200</v>
      </c>
      <c r="Z7281" s="19" t="str">
        <f>HYPERLINK("https://ssdweb.co/ssdweb/hd/Vision360.html?d=927102436&amp;zoomslide=1&amp;z=1927102436&amp;ISCONFIRM=0","VIDEO")</f>
        <v>VIDEO</v>
      </c>
      <c r="AA7281" s="19" t="str">
        <f>HYPERLINK("https://ssdweb.co/ssdweb/CERTH/671411236.pdf","CERTI")</f>
        <v>CERTI</v>
      </c>
    </row>
    <row r="7282" spans="1:27" ht="15" x14ac:dyDescent="0.25">
      <c r="A7282" s="2">
        <v>7277</v>
      </c>
      <c r="B7282" s="39">
        <v>941110573</v>
      </c>
      <c r="C7282" s="28" t="str">
        <f>HYPERLINK("https://pld.live/RapDetail.aspx?STONELIST=941110573","DNA")</f>
        <v>DNA</v>
      </c>
      <c r="D7282" s="18" t="s">
        <v>3054</v>
      </c>
      <c r="E7282" s="18" t="s">
        <v>2186</v>
      </c>
      <c r="F7282" s="2" t="s">
        <v>7987</v>
      </c>
      <c r="G7282" s="2" t="s">
        <v>2054</v>
      </c>
      <c r="H7282" s="14">
        <v>1</v>
      </c>
      <c r="I7282" s="2" t="s">
        <v>4761</v>
      </c>
      <c r="J7282" s="2" t="s">
        <v>13</v>
      </c>
      <c r="K7282" s="2" t="s">
        <v>1452</v>
      </c>
      <c r="L7282" s="2" t="s">
        <v>5221</v>
      </c>
      <c r="M7282" s="2" t="s">
        <v>5721</v>
      </c>
      <c r="N7282" s="2" t="s">
        <v>2317</v>
      </c>
      <c r="O7282" s="14">
        <v>6200</v>
      </c>
      <c r="P7282" s="14">
        <v>98.02</v>
      </c>
      <c r="Q7282" s="14">
        <v>122.76</v>
      </c>
      <c r="R7282" s="14">
        <v>122.76</v>
      </c>
      <c r="S7282" s="2" t="s">
        <v>4786</v>
      </c>
      <c r="T7282" s="2">
        <v>1.9</v>
      </c>
      <c r="U7282" s="2">
        <v>62.5</v>
      </c>
      <c r="V7282" s="2">
        <v>61</v>
      </c>
      <c r="W7282" s="2" t="s">
        <v>7862</v>
      </c>
      <c r="X7282" s="2" t="s">
        <v>5028</v>
      </c>
      <c r="Y7282" s="2">
        <v>6200</v>
      </c>
      <c r="Z7282" s="19" t="str">
        <f>HYPERLINK("https://ssdweb.co/ssdweb/hd/Vision360.html?d=941110573&amp;zoomslide=1&amp;z=1941110573&amp;ISCONFIRM=0","VIDEO")</f>
        <v>VIDEO</v>
      </c>
      <c r="AA7282" s="19" t="str">
        <f>HYPERLINK("https://ssdweb.co/ssdweb/CERTH/677510592.pdf","CERTI")</f>
        <v>CERTI</v>
      </c>
    </row>
    <row r="7283" spans="1:27" ht="15" x14ac:dyDescent="0.25">
      <c r="A7283" s="2">
        <v>7278</v>
      </c>
      <c r="B7283" s="39">
        <v>926990466</v>
      </c>
      <c r="C7283" s="28" t="str">
        <f>HYPERLINK("https://pld.live/RapDetail.aspx?STONELIST=926990466","DNA")</f>
        <v>DNA</v>
      </c>
      <c r="D7283" s="18" t="s">
        <v>3054</v>
      </c>
      <c r="E7283" s="18" t="s">
        <v>2186</v>
      </c>
      <c r="F7283" s="2" t="s">
        <v>7987</v>
      </c>
      <c r="G7283" s="2" t="s">
        <v>2054</v>
      </c>
      <c r="H7283" s="14">
        <v>1</v>
      </c>
      <c r="I7283" s="2" t="s">
        <v>4699</v>
      </c>
      <c r="J7283" s="2" t="s">
        <v>13</v>
      </c>
      <c r="K7283" s="2" t="s">
        <v>1452</v>
      </c>
      <c r="L7283" s="2" t="s">
        <v>5221</v>
      </c>
      <c r="M7283" s="2" t="s">
        <v>5221</v>
      </c>
      <c r="N7283" s="2" t="s">
        <v>2317</v>
      </c>
      <c r="O7283" s="14">
        <v>5800</v>
      </c>
      <c r="P7283" s="14">
        <v>98.02</v>
      </c>
      <c r="Q7283" s="14">
        <v>114.84</v>
      </c>
      <c r="R7283" s="14">
        <v>114.84</v>
      </c>
      <c r="S7283" s="2" t="s">
        <v>7102</v>
      </c>
      <c r="T7283" s="2">
        <v>1.9</v>
      </c>
      <c r="U7283" s="2">
        <v>61.8</v>
      </c>
      <c r="V7283" s="2">
        <v>59</v>
      </c>
      <c r="W7283" s="2" t="s">
        <v>7862</v>
      </c>
      <c r="X7283" s="2" t="s">
        <v>5028</v>
      </c>
      <c r="Y7283" s="2">
        <v>5800</v>
      </c>
      <c r="Z7283" s="19" t="str">
        <f>HYPERLINK("https://ssdweb.co/ssdweb/hd/Vision360.html?d=926990466&amp;zoomslide=1&amp;z=1926990466&amp;ISCONFIRM=0","VIDEO")</f>
        <v>VIDEO</v>
      </c>
      <c r="AA7283" s="19" t="str">
        <f>HYPERLINK("https://ssdweb.co/ssdweb/CERTH/671477232.pdf","CERTI")</f>
        <v>CERTI</v>
      </c>
    </row>
    <row r="7284" spans="1:27" ht="15" x14ac:dyDescent="0.25">
      <c r="A7284" s="2">
        <v>7279</v>
      </c>
      <c r="B7284" s="39">
        <v>821113077</v>
      </c>
      <c r="C7284" s="28" t="str">
        <f>HYPERLINK("https://pld.live/RapDetail.aspx?STONELIST=821113077","DNA")</f>
        <v>DNA</v>
      </c>
      <c r="D7284" s="18" t="s">
        <v>3054</v>
      </c>
      <c r="E7284" s="18" t="s">
        <v>2186</v>
      </c>
      <c r="F7284" s="2" t="s">
        <v>7987</v>
      </c>
      <c r="G7284" s="2" t="s">
        <v>2054</v>
      </c>
      <c r="H7284" s="14">
        <v>1</v>
      </c>
      <c r="I7284" s="2" t="s">
        <v>6587</v>
      </c>
      <c r="J7284" s="2" t="s">
        <v>13</v>
      </c>
      <c r="K7284" s="2" t="s">
        <v>1452</v>
      </c>
      <c r="L7284" s="2" t="s">
        <v>5221</v>
      </c>
      <c r="M7284" s="2" t="s">
        <v>5221</v>
      </c>
      <c r="N7284" s="2" t="s">
        <v>2317</v>
      </c>
      <c r="O7284" s="14">
        <v>5400</v>
      </c>
      <c r="P7284" s="14">
        <v>98.22</v>
      </c>
      <c r="Q7284" s="14">
        <v>96.12</v>
      </c>
      <c r="R7284" s="14">
        <v>96.12</v>
      </c>
      <c r="S7284" s="2" t="s">
        <v>5891</v>
      </c>
      <c r="T7284" s="2">
        <v>2.04</v>
      </c>
      <c r="U7284" s="2">
        <v>59.5</v>
      </c>
      <c r="V7284" s="2">
        <v>61</v>
      </c>
      <c r="W7284" s="2" t="s">
        <v>7862</v>
      </c>
      <c r="X7284" s="2" t="s">
        <v>5028</v>
      </c>
      <c r="Y7284" s="2">
        <v>5400</v>
      </c>
      <c r="Z7284" s="19" t="str">
        <f>HYPERLINK("https://ssdweb.co/ssdweb/hd/Vision360.html?d=821113077&amp;zoomslide=1&amp;z=1821113077&amp;ISCONFIRM=0","VIDEO")</f>
        <v>VIDEO</v>
      </c>
      <c r="AA7284" s="19" t="str">
        <f>HYPERLINK("https://ssdweb.co/ssdweb/CERTH/619444325.pdf","CERTI")</f>
        <v>CERTI</v>
      </c>
    </row>
    <row r="7285" spans="1:27" ht="15" x14ac:dyDescent="0.25">
      <c r="A7285" s="2">
        <v>7280</v>
      </c>
      <c r="B7285" s="39">
        <v>927152403</v>
      </c>
      <c r="C7285" s="28" t="str">
        <f>HYPERLINK("https://pld.live/RapDetail.aspx?STONELIST=927152403","DNA")</f>
        <v>DNA</v>
      </c>
      <c r="D7285" s="18" t="s">
        <v>4121</v>
      </c>
      <c r="E7285" s="18" t="s">
        <v>5128</v>
      </c>
      <c r="F7285" s="2" t="s">
        <v>7987</v>
      </c>
      <c r="G7285" s="2" t="s">
        <v>2054</v>
      </c>
      <c r="H7285" s="14">
        <v>0.99</v>
      </c>
      <c r="I7285" s="2" t="s">
        <v>4761</v>
      </c>
      <c r="J7285" s="2" t="s">
        <v>6555</v>
      </c>
      <c r="K7285" s="2" t="s">
        <v>1452</v>
      </c>
      <c r="L7285" s="2" t="s">
        <v>5221</v>
      </c>
      <c r="M7285" s="2" t="s">
        <v>5221</v>
      </c>
      <c r="N7285" s="2" t="s">
        <v>2317</v>
      </c>
      <c r="O7285" s="14">
        <v>5700</v>
      </c>
      <c r="P7285" s="14">
        <v>97.46</v>
      </c>
      <c r="Q7285" s="14">
        <v>144.78</v>
      </c>
      <c r="R7285" s="14">
        <v>143.33000000000001</v>
      </c>
      <c r="S7285" s="2" t="s">
        <v>2890</v>
      </c>
      <c r="T7285" s="2">
        <v>1.87</v>
      </c>
      <c r="U7285" s="2">
        <v>64</v>
      </c>
      <c r="V7285" s="2">
        <v>61</v>
      </c>
      <c r="W7285" s="2" t="s">
        <v>7862</v>
      </c>
      <c r="X7285" s="2" t="s">
        <v>5028</v>
      </c>
      <c r="Y7285" s="2">
        <v>5643</v>
      </c>
      <c r="Z7285" s="19" t="str">
        <f>HYPERLINK("https://ssdweb.co/ssdweb/hd/Vision360.html?d=927152403&amp;zoomslide=1&amp;z=1927152403&amp;ISCONFIRM=0","VIDEO")</f>
        <v>VIDEO</v>
      </c>
      <c r="AA7285" s="19" t="str">
        <f>HYPERLINK("https://ssdweb.co/ssdweb/CERTH/669458168.pdf","CERTI")</f>
        <v>CERTI</v>
      </c>
    </row>
    <row r="7286" spans="1:27" ht="15" x14ac:dyDescent="0.25">
      <c r="A7286" s="2">
        <v>7281</v>
      </c>
      <c r="B7286" s="39">
        <v>941100114</v>
      </c>
      <c r="C7286" s="28" t="str">
        <f>HYPERLINK("https://pld.live/RapDetail.aspx?STONELIST=941100114","DNA")</f>
        <v>DNA</v>
      </c>
      <c r="D7286" s="18" t="s">
        <v>4121</v>
      </c>
      <c r="E7286" s="18" t="s">
        <v>2186</v>
      </c>
      <c r="F7286" s="2" t="s">
        <v>7987</v>
      </c>
      <c r="G7286" s="2" t="s">
        <v>2054</v>
      </c>
      <c r="H7286" s="14">
        <v>0.96</v>
      </c>
      <c r="I7286" s="2" t="s">
        <v>4761</v>
      </c>
      <c r="J7286" s="2" t="s">
        <v>3942</v>
      </c>
      <c r="K7286" s="2" t="s">
        <v>1452</v>
      </c>
      <c r="L7286" s="2" t="s">
        <v>5221</v>
      </c>
      <c r="M7286" s="2" t="s">
        <v>5221</v>
      </c>
      <c r="N7286" s="2" t="s">
        <v>2317</v>
      </c>
      <c r="O7286" s="14">
        <v>5200</v>
      </c>
      <c r="P7286" s="14">
        <v>97.44</v>
      </c>
      <c r="Q7286" s="14">
        <v>133.12</v>
      </c>
      <c r="R7286" s="14">
        <v>127.8</v>
      </c>
      <c r="S7286" s="2" t="s">
        <v>6868</v>
      </c>
      <c r="T7286" s="2">
        <v>1.9</v>
      </c>
      <c r="U7286" s="2">
        <v>61.5</v>
      </c>
      <c r="V7286" s="2">
        <v>62</v>
      </c>
      <c r="W7286" s="2" t="s">
        <v>7862</v>
      </c>
      <c r="X7286" s="2" t="s">
        <v>5028</v>
      </c>
      <c r="Y7286" s="2">
        <v>4992</v>
      </c>
      <c r="Z7286" s="19" t="str">
        <f>HYPERLINK("https://ssdweb.co/ssdweb/hd/Vision360.html?d=941100114&amp;zoomslide=1&amp;z=1941100114&amp;ISCONFIRM=0","VIDEO")</f>
        <v>VIDEO</v>
      </c>
      <c r="AA7286" s="19" t="str">
        <f>HYPERLINK("https://ssdweb.co/ssdweb/CERTH/671411142.pdf","CERTI")</f>
        <v>CERTI</v>
      </c>
    </row>
    <row r="7287" spans="1:27" ht="15" x14ac:dyDescent="0.25">
      <c r="A7287" s="2">
        <v>7282</v>
      </c>
      <c r="B7287" s="39">
        <v>927132480</v>
      </c>
      <c r="C7287" s="28" t="str">
        <f>HYPERLINK("https://pld.live/RapDetail.aspx?STONELIST=927132480","DNA")</f>
        <v>DNA</v>
      </c>
      <c r="D7287" s="18" t="s">
        <v>2990</v>
      </c>
      <c r="E7287" s="18" t="s">
        <v>5128</v>
      </c>
      <c r="F7287" s="2" t="s">
        <v>7987</v>
      </c>
      <c r="G7287" s="2" t="s">
        <v>2054</v>
      </c>
      <c r="H7287" s="14">
        <v>0.94</v>
      </c>
      <c r="I7287" s="2" t="s">
        <v>4761</v>
      </c>
      <c r="J7287" s="2" t="s">
        <v>13</v>
      </c>
      <c r="K7287" s="2" t="s">
        <v>1452</v>
      </c>
      <c r="L7287" s="2" t="s">
        <v>5221</v>
      </c>
      <c r="M7287" s="2" t="s">
        <v>5221</v>
      </c>
      <c r="N7287" s="2" t="s">
        <v>2317</v>
      </c>
      <c r="O7287" s="14">
        <v>4900</v>
      </c>
      <c r="P7287" s="14">
        <v>97.47</v>
      </c>
      <c r="Q7287" s="14">
        <v>123.97</v>
      </c>
      <c r="R7287" s="14">
        <v>116.53</v>
      </c>
      <c r="S7287" s="2" t="s">
        <v>118</v>
      </c>
      <c r="T7287" s="2">
        <v>1.96</v>
      </c>
      <c r="U7287" s="2">
        <v>63.1</v>
      </c>
      <c r="V7287" s="2">
        <v>59</v>
      </c>
      <c r="W7287" s="2" t="s">
        <v>7862</v>
      </c>
      <c r="X7287" s="2" t="s">
        <v>5028</v>
      </c>
      <c r="Y7287" s="2">
        <v>4606</v>
      </c>
      <c r="Z7287" s="19" t="str">
        <f>HYPERLINK("https://ssdweb.co/ssdweb/hd/Vision360.html?d=927132480&amp;zoomslide=1&amp;z=1927132480&amp;ISCONFIRM=0","VIDEO")</f>
        <v>VIDEO</v>
      </c>
      <c r="AA7287" s="19" t="str">
        <f>HYPERLINK("https://ssdweb.co/ssdweb/CERTH/671477207.pdf","CERTI")</f>
        <v>CERTI</v>
      </c>
    </row>
    <row r="7288" spans="1:27" ht="15" x14ac:dyDescent="0.25">
      <c r="A7288" s="2">
        <v>7283</v>
      </c>
      <c r="B7288" s="39">
        <v>941220177</v>
      </c>
      <c r="C7288" s="28" t="str">
        <f>HYPERLINK("https://pld.live/RapDetail.aspx?STONELIST=941220177","DNA")</f>
        <v>DNA</v>
      </c>
      <c r="D7288" s="18" t="s">
        <v>2990</v>
      </c>
      <c r="E7288" s="18" t="s">
        <v>2186</v>
      </c>
      <c r="F7288" s="2" t="s">
        <v>7987</v>
      </c>
      <c r="G7288" s="2" t="s">
        <v>2054</v>
      </c>
      <c r="H7288" s="14">
        <v>0.92</v>
      </c>
      <c r="I7288" s="2" t="s">
        <v>267</v>
      </c>
      <c r="J7288" s="2" t="s">
        <v>3942</v>
      </c>
      <c r="K7288" s="2" t="s">
        <v>1452</v>
      </c>
      <c r="L7288" s="2" t="s">
        <v>5221</v>
      </c>
      <c r="M7288" s="2" t="s">
        <v>5221</v>
      </c>
      <c r="N7288" s="2" t="s">
        <v>2317</v>
      </c>
      <c r="O7288" s="14">
        <v>5600</v>
      </c>
      <c r="P7288" s="14">
        <v>97.5</v>
      </c>
      <c r="Q7288" s="14">
        <v>140</v>
      </c>
      <c r="R7288" s="14">
        <v>128.80000000000001</v>
      </c>
      <c r="S7288" s="2" t="s">
        <v>3345</v>
      </c>
      <c r="T7288" s="2">
        <v>1.9</v>
      </c>
      <c r="U7288" s="2">
        <v>63</v>
      </c>
      <c r="V7288" s="2">
        <v>61</v>
      </c>
      <c r="W7288" s="2" t="s">
        <v>7862</v>
      </c>
      <c r="X7288" s="2" t="s">
        <v>5028</v>
      </c>
      <c r="Y7288" s="2">
        <v>5152</v>
      </c>
      <c r="Z7288" s="19" t="str">
        <f>HYPERLINK("https://ssdweb.co/ssdweb/hd/Vision360.html?d=941220177&amp;zoomslide=1&amp;z=1941220177&amp;ISCONFIRM=0","VIDEO")</f>
        <v>VIDEO</v>
      </c>
      <c r="AA7288" s="19" t="str">
        <f>HYPERLINK("https://ssdweb.co/ssdweb/CERTH/678550451.pdf","CERTI")</f>
        <v>CERTI</v>
      </c>
    </row>
    <row r="7289" spans="1:27" ht="15" x14ac:dyDescent="0.25">
      <c r="A7289" s="2">
        <v>7284</v>
      </c>
      <c r="B7289" s="39">
        <v>927132578</v>
      </c>
      <c r="C7289" s="28" t="str">
        <f>HYPERLINK("https://pld.live/RapDetail.aspx?STONELIST=927132578","DNA")</f>
        <v>DNA</v>
      </c>
      <c r="D7289" s="18" t="s">
        <v>2990</v>
      </c>
      <c r="E7289" s="18" t="s">
        <v>5128</v>
      </c>
      <c r="F7289" s="2" t="s">
        <v>7987</v>
      </c>
      <c r="G7289" s="2" t="s">
        <v>2054</v>
      </c>
      <c r="H7289" s="14">
        <v>0.92</v>
      </c>
      <c r="I7289" s="2" t="s">
        <v>4761</v>
      </c>
      <c r="J7289" s="2" t="s">
        <v>6555</v>
      </c>
      <c r="K7289" s="2" t="s">
        <v>1452</v>
      </c>
      <c r="L7289" s="2" t="s">
        <v>5221</v>
      </c>
      <c r="M7289" s="2" t="s">
        <v>5221</v>
      </c>
      <c r="N7289" s="2" t="s">
        <v>2317</v>
      </c>
      <c r="O7289" s="14">
        <v>5700</v>
      </c>
      <c r="P7289" s="14">
        <v>97.46</v>
      </c>
      <c r="Q7289" s="14">
        <v>144.78</v>
      </c>
      <c r="R7289" s="14">
        <v>133.19999999999999</v>
      </c>
      <c r="S7289" s="2" t="s">
        <v>5672</v>
      </c>
      <c r="T7289" s="2">
        <v>1.89</v>
      </c>
      <c r="U7289" s="2">
        <v>62.2</v>
      </c>
      <c r="V7289" s="2">
        <v>59</v>
      </c>
      <c r="W7289" s="2" t="s">
        <v>7862</v>
      </c>
      <c r="X7289" s="2" t="s">
        <v>5028</v>
      </c>
      <c r="Y7289" s="2">
        <v>5244</v>
      </c>
      <c r="Z7289" s="19" t="str">
        <f>HYPERLINK("https://ssdweb.co/ssdweb/hd/Vision360.html?d=927132578&amp;zoomslide=1&amp;z=1927132578&amp;ISCONFIRM=0","VIDEO")</f>
        <v>VIDEO</v>
      </c>
      <c r="AA7289" s="19" t="str">
        <f>HYPERLINK("https://ssdweb.co/ssdweb/CERTH/674532472.pdf","CERTI")</f>
        <v>CERTI</v>
      </c>
    </row>
    <row r="7290" spans="1:27" ht="15" x14ac:dyDescent="0.25">
      <c r="A7290" s="2">
        <v>7285</v>
      </c>
      <c r="B7290" s="39">
        <v>941110203</v>
      </c>
      <c r="C7290" s="28" t="str">
        <f>HYPERLINK("https://pld.live/RapDetail.aspx?STONELIST=941110203","DNA")</f>
        <v>DNA</v>
      </c>
      <c r="D7290" s="18" t="s">
        <v>2990</v>
      </c>
      <c r="E7290" s="18" t="s">
        <v>2186</v>
      </c>
      <c r="F7290" s="2" t="s">
        <v>7987</v>
      </c>
      <c r="G7290" s="2" t="s">
        <v>2054</v>
      </c>
      <c r="H7290" s="14">
        <v>0.92</v>
      </c>
      <c r="I7290" s="2" t="s">
        <v>4761</v>
      </c>
      <c r="J7290" s="2" t="s">
        <v>13</v>
      </c>
      <c r="K7290" s="2" t="s">
        <v>1452</v>
      </c>
      <c r="L7290" s="2" t="s">
        <v>5221</v>
      </c>
      <c r="M7290" s="2" t="s">
        <v>5721</v>
      </c>
      <c r="N7290" s="2" t="s">
        <v>2317</v>
      </c>
      <c r="O7290" s="14">
        <v>4900</v>
      </c>
      <c r="P7290" s="14">
        <v>97.51</v>
      </c>
      <c r="Q7290" s="14">
        <v>122.01</v>
      </c>
      <c r="R7290" s="14">
        <v>112.25</v>
      </c>
      <c r="S7290" s="2" t="s">
        <v>1591</v>
      </c>
      <c r="T7290" s="2">
        <v>1.99</v>
      </c>
      <c r="U7290" s="2">
        <v>60.2</v>
      </c>
      <c r="V7290" s="2">
        <v>61</v>
      </c>
      <c r="W7290" s="2" t="s">
        <v>7862</v>
      </c>
      <c r="X7290" s="2" t="s">
        <v>5028</v>
      </c>
      <c r="Y7290" s="2">
        <v>4508</v>
      </c>
      <c r="Z7290" s="19" t="str">
        <f>HYPERLINK("https://ssdweb.co/ssdweb/hd/Vision360.html?d=941110203&amp;zoomslide=1&amp;z=1941110203&amp;ISCONFIRM=0","VIDEO")</f>
        <v>VIDEO</v>
      </c>
      <c r="AA7290" s="19" t="str">
        <f>HYPERLINK("https://ssdweb.co/ssdweb/CERTH/671477211.pdf","CERTI")</f>
        <v>CERTI</v>
      </c>
    </row>
    <row r="7291" spans="1:27" ht="15" x14ac:dyDescent="0.25">
      <c r="A7291" s="2">
        <v>7286</v>
      </c>
      <c r="B7291" s="39">
        <v>831020355</v>
      </c>
      <c r="C7291" s="28" t="str">
        <f>HYPERLINK("https://pld.live/RapDetail.aspx?STONELIST=831020355","DNA")</f>
        <v>DNA</v>
      </c>
      <c r="D7291" s="18" t="s">
        <v>2990</v>
      </c>
      <c r="E7291" s="18" t="s">
        <v>2186</v>
      </c>
      <c r="F7291" s="2" t="s">
        <v>7987</v>
      </c>
      <c r="G7291" s="2" t="s">
        <v>2054</v>
      </c>
      <c r="H7291" s="14">
        <v>0.92</v>
      </c>
      <c r="I7291" s="2" t="s">
        <v>6587</v>
      </c>
      <c r="J7291" s="2" t="s">
        <v>13</v>
      </c>
      <c r="K7291" s="2" t="s">
        <v>1452</v>
      </c>
      <c r="L7291" s="2" t="s">
        <v>5221</v>
      </c>
      <c r="M7291" s="2" t="s">
        <v>5221</v>
      </c>
      <c r="N7291" s="2" t="s">
        <v>2317</v>
      </c>
      <c r="O7291" s="14">
        <v>4300</v>
      </c>
      <c r="P7291" s="14">
        <v>97.7</v>
      </c>
      <c r="Q7291" s="14">
        <v>98.9</v>
      </c>
      <c r="R7291" s="14">
        <v>90.99</v>
      </c>
      <c r="S7291" s="2" t="s">
        <v>3341</v>
      </c>
      <c r="T7291" s="2">
        <v>1.92</v>
      </c>
      <c r="U7291" s="2">
        <v>62.2</v>
      </c>
      <c r="V7291" s="2">
        <v>61</v>
      </c>
      <c r="W7291" s="2" t="s">
        <v>8016</v>
      </c>
      <c r="X7291" s="2" t="s">
        <v>5028</v>
      </c>
      <c r="Y7291" s="2">
        <v>3956</v>
      </c>
      <c r="Z7291" s="19" t="str">
        <f>HYPERLINK("https://ssdweb.co/ssdweb/hd/Vision360.html?d=831020355&amp;zoomslide=1&amp;z=1831020355&amp;ISCONFIRM=0","VIDEO")</f>
        <v>VIDEO</v>
      </c>
      <c r="AA7291" s="19" t="str">
        <f>HYPERLINK("https://ssdweb.co/ssdweb/CERTH/594332588.pdf","CERTI")</f>
        <v>CERTI</v>
      </c>
    </row>
    <row r="7292" spans="1:27" ht="15" x14ac:dyDescent="0.25">
      <c r="A7292" s="2">
        <v>7287</v>
      </c>
      <c r="B7292" s="39">
        <v>927060789</v>
      </c>
      <c r="C7292" s="28" t="str">
        <f>HYPERLINK("https://pld.live/RapDetail.aspx?STONELIST=927060789","DNA")</f>
        <v>DNA</v>
      </c>
      <c r="D7292" s="18" t="s">
        <v>2990</v>
      </c>
      <c r="E7292" s="18" t="s">
        <v>2186</v>
      </c>
      <c r="F7292" s="2" t="s">
        <v>7987</v>
      </c>
      <c r="G7292" s="2" t="s">
        <v>2054</v>
      </c>
      <c r="H7292" s="14">
        <v>0.9</v>
      </c>
      <c r="I7292" s="2" t="s">
        <v>267</v>
      </c>
      <c r="J7292" s="2" t="s">
        <v>3942</v>
      </c>
      <c r="K7292" s="2" t="s">
        <v>1452</v>
      </c>
      <c r="L7292" s="2" t="s">
        <v>5221</v>
      </c>
      <c r="M7292" s="2" t="s">
        <v>5221</v>
      </c>
      <c r="N7292" s="2" t="s">
        <v>2317</v>
      </c>
      <c r="O7292" s="14">
        <v>5600</v>
      </c>
      <c r="P7292" s="14">
        <v>97.5</v>
      </c>
      <c r="Q7292" s="14">
        <v>140</v>
      </c>
      <c r="R7292" s="14">
        <v>126</v>
      </c>
      <c r="S7292" s="2" t="s">
        <v>264</v>
      </c>
      <c r="T7292" s="2">
        <v>1.93</v>
      </c>
      <c r="U7292" s="2">
        <v>62</v>
      </c>
      <c r="V7292" s="2">
        <v>61</v>
      </c>
      <c r="W7292" s="2" t="s">
        <v>7862</v>
      </c>
      <c r="X7292" s="2" t="s">
        <v>5028</v>
      </c>
      <c r="Y7292" s="2">
        <v>5040</v>
      </c>
      <c r="Z7292" s="19" t="str">
        <f>HYPERLINK("https://ssdweb.co/ssdweb/hd/Vision360.html?d=927060789&amp;zoomslide=1&amp;z=1927060789&amp;ISCONFIRM=0","VIDEO")</f>
        <v>VIDEO</v>
      </c>
      <c r="AA7292" s="19" t="str">
        <f>HYPERLINK("https://ssdweb.co/ssdweb/CERTH/671411141.pdf","CERTI")</f>
        <v>CERTI</v>
      </c>
    </row>
    <row r="7293" spans="1:27" ht="15" x14ac:dyDescent="0.25">
      <c r="A7293" s="2">
        <v>7288</v>
      </c>
      <c r="B7293" s="39">
        <v>926780063</v>
      </c>
      <c r="C7293" s="28" t="str">
        <f>HYPERLINK("https://pld.live/RapDetail.aspx?STONELIST=926780063","DNA")</f>
        <v>DNA</v>
      </c>
      <c r="D7293" s="18" t="s">
        <v>2990</v>
      </c>
      <c r="E7293" s="18" t="s">
        <v>2186</v>
      </c>
      <c r="F7293" s="2" t="s">
        <v>7987</v>
      </c>
      <c r="G7293" s="2" t="s">
        <v>2054</v>
      </c>
      <c r="H7293" s="14">
        <v>0.9</v>
      </c>
      <c r="I7293" s="2" t="s">
        <v>267</v>
      </c>
      <c r="J7293" s="2" t="s">
        <v>5144</v>
      </c>
      <c r="K7293" s="2" t="s">
        <v>1452</v>
      </c>
      <c r="L7293" s="2" t="s">
        <v>5221</v>
      </c>
      <c r="M7293" s="2" t="s">
        <v>5721</v>
      </c>
      <c r="N7293" s="2" t="s">
        <v>2317</v>
      </c>
      <c r="O7293" s="14">
        <v>4400</v>
      </c>
      <c r="P7293" s="14">
        <v>97.41</v>
      </c>
      <c r="Q7293" s="14">
        <v>113.96</v>
      </c>
      <c r="R7293" s="14">
        <v>102.56</v>
      </c>
      <c r="S7293" s="2" t="s">
        <v>3527</v>
      </c>
      <c r="T7293" s="2">
        <v>2.09</v>
      </c>
      <c r="U7293" s="2">
        <v>60.4</v>
      </c>
      <c r="V7293" s="2">
        <v>62</v>
      </c>
      <c r="W7293" s="2" t="s">
        <v>7862</v>
      </c>
      <c r="X7293" s="2" t="s">
        <v>5028</v>
      </c>
      <c r="Y7293" s="2">
        <v>3960</v>
      </c>
      <c r="Z7293" s="19" t="str">
        <f>HYPERLINK("https://ssdweb.co/ssdweb/hd/Vision360.html?d=926780063&amp;zoomslide=1&amp;z=1926780063&amp;ISCONFIRM=0","VIDEO")</f>
        <v>VIDEO</v>
      </c>
      <c r="AA7293" s="19" t="str">
        <f>HYPERLINK("https://ssdweb.co/ssdweb/CERTH/653442466.pdf","CERTI")</f>
        <v>CERTI</v>
      </c>
    </row>
    <row r="7294" spans="1:27" ht="15" x14ac:dyDescent="0.25">
      <c r="A7294" s="2">
        <v>7289</v>
      </c>
      <c r="B7294" s="39">
        <v>927070900</v>
      </c>
      <c r="C7294" s="28" t="str">
        <f>HYPERLINK("https://pld.live/RapDetail.aspx?STONELIST=927070900","DNA")</f>
        <v>DNA</v>
      </c>
      <c r="D7294" s="18" t="s">
        <v>2990</v>
      </c>
      <c r="E7294" s="18" t="s">
        <v>2186</v>
      </c>
      <c r="F7294" s="2" t="s">
        <v>7987</v>
      </c>
      <c r="G7294" s="2" t="s">
        <v>2054</v>
      </c>
      <c r="H7294" s="14">
        <v>0.9</v>
      </c>
      <c r="I7294" s="2" t="s">
        <v>4761</v>
      </c>
      <c r="J7294" s="2" t="s">
        <v>5144</v>
      </c>
      <c r="K7294" s="2" t="s">
        <v>1452</v>
      </c>
      <c r="L7294" s="2" t="s">
        <v>5221</v>
      </c>
      <c r="M7294" s="2" t="s">
        <v>5221</v>
      </c>
      <c r="N7294" s="2" t="s">
        <v>2317</v>
      </c>
      <c r="O7294" s="14">
        <v>4200</v>
      </c>
      <c r="P7294" s="14">
        <v>97.38</v>
      </c>
      <c r="Q7294" s="14">
        <v>110.04</v>
      </c>
      <c r="R7294" s="14">
        <v>99.04</v>
      </c>
      <c r="S7294" s="2" t="s">
        <v>8022</v>
      </c>
      <c r="T7294" s="2">
        <v>1.88</v>
      </c>
      <c r="U7294" s="2">
        <v>62.5</v>
      </c>
      <c r="V7294" s="2">
        <v>60</v>
      </c>
      <c r="W7294" s="2" t="s">
        <v>7862</v>
      </c>
      <c r="X7294" s="2" t="s">
        <v>5028</v>
      </c>
      <c r="Y7294" s="2">
        <v>3780</v>
      </c>
      <c r="Z7294" s="19" t="str">
        <f>HYPERLINK("https://ssdweb.co/ssdweb/hd/Vision360.html?d=927070900&amp;zoomslide=1&amp;z=1927070900&amp;ISCONFIRM=0","VIDEO")</f>
        <v>VIDEO</v>
      </c>
      <c r="AA7294" s="19" t="str">
        <f>HYPERLINK("https://ssdweb.co/ssdweb/CERTH/671427993.pdf","CERTI")</f>
        <v>CERTI</v>
      </c>
    </row>
    <row r="7295" spans="1:27" ht="15" x14ac:dyDescent="0.25">
      <c r="A7295" s="2">
        <v>7290</v>
      </c>
      <c r="B7295" s="39">
        <v>924260941</v>
      </c>
      <c r="C7295" s="28" t="str">
        <f>HYPERLINK("https://pld.live/RapDetail.aspx?STONELIST=924260941","DNA")</f>
        <v>DNA</v>
      </c>
      <c r="D7295" s="18" t="s">
        <v>2990</v>
      </c>
      <c r="E7295" s="18" t="s">
        <v>2186</v>
      </c>
      <c r="F7295" s="2" t="s">
        <v>7987</v>
      </c>
      <c r="G7295" s="2" t="s">
        <v>2054</v>
      </c>
      <c r="H7295" s="14">
        <v>0.9</v>
      </c>
      <c r="I7295" s="2" t="s">
        <v>6587</v>
      </c>
      <c r="J7295" s="2" t="s">
        <v>13</v>
      </c>
      <c r="K7295" s="2" t="s">
        <v>1452</v>
      </c>
      <c r="L7295" s="2" t="s">
        <v>5221</v>
      </c>
      <c r="M7295" s="2" t="s">
        <v>5221</v>
      </c>
      <c r="N7295" s="2" t="s">
        <v>2317</v>
      </c>
      <c r="O7295" s="14">
        <v>4300</v>
      </c>
      <c r="P7295" s="14">
        <v>97.65</v>
      </c>
      <c r="Q7295" s="14">
        <v>101.05</v>
      </c>
      <c r="R7295" s="14">
        <v>90.95</v>
      </c>
      <c r="S7295" s="2" t="s">
        <v>4833</v>
      </c>
      <c r="T7295" s="2">
        <v>2.12</v>
      </c>
      <c r="U7295" s="2">
        <v>59.1</v>
      </c>
      <c r="V7295" s="2">
        <v>60</v>
      </c>
      <c r="W7295" s="2" t="s">
        <v>7862</v>
      </c>
      <c r="X7295" s="2" t="s">
        <v>5028</v>
      </c>
      <c r="Y7295" s="2">
        <v>3870</v>
      </c>
      <c r="Z7295" s="19" t="str">
        <f>HYPERLINK("https://ssdweb.co/ssdweb/hd/Vision360.html?d=924260941&amp;zoomslide=1&amp;z=1924260941&amp;ISCONFIRM=0","VIDEO")</f>
        <v>VIDEO</v>
      </c>
      <c r="AA7295" s="19" t="str">
        <f>HYPERLINK("https://ssdweb.co/ssdweb/CERTH/588354531.pdf","CERTI")</f>
        <v>CERTI</v>
      </c>
    </row>
    <row r="7296" spans="1:27" ht="15" x14ac:dyDescent="0.25">
      <c r="A7296" s="2">
        <v>7291</v>
      </c>
      <c r="B7296" s="39">
        <v>924410801</v>
      </c>
      <c r="C7296" s="28" t="str">
        <f>HYPERLINK("https://pld.live/RapDetail.aspx?STONELIST=924410801","DNA")</f>
        <v>DNA</v>
      </c>
      <c r="D7296" s="18" t="s">
        <v>2990</v>
      </c>
      <c r="E7296" s="18" t="s">
        <v>2186</v>
      </c>
      <c r="F7296" s="2" t="s">
        <v>7987</v>
      </c>
      <c r="G7296" s="2" t="s">
        <v>2054</v>
      </c>
      <c r="H7296" s="14">
        <v>0.9</v>
      </c>
      <c r="I7296" s="2" t="s">
        <v>6845</v>
      </c>
      <c r="J7296" s="2" t="s">
        <v>13</v>
      </c>
      <c r="K7296" s="2" t="s">
        <v>1452</v>
      </c>
      <c r="L7296" s="2" t="s">
        <v>5221</v>
      </c>
      <c r="M7296" s="2" t="s">
        <v>5221</v>
      </c>
      <c r="N7296" s="2" t="s">
        <v>2317</v>
      </c>
      <c r="O7296" s="14">
        <v>1800</v>
      </c>
      <c r="P7296" s="14">
        <v>87.78</v>
      </c>
      <c r="Q7296" s="14">
        <v>219.96</v>
      </c>
      <c r="R7296" s="14">
        <v>197.96</v>
      </c>
      <c r="S7296" s="2" t="s">
        <v>7410</v>
      </c>
      <c r="T7296" s="2">
        <v>2.11</v>
      </c>
      <c r="U7296" s="2">
        <v>60.2</v>
      </c>
      <c r="V7296" s="2">
        <v>59</v>
      </c>
      <c r="W7296" s="2" t="s">
        <v>7862</v>
      </c>
      <c r="X7296" s="2" t="s">
        <v>5028</v>
      </c>
      <c r="Y7296" s="2">
        <v>1620</v>
      </c>
      <c r="Z7296" s="19" t="str">
        <f>HYPERLINK("https://ssdweb.co/ssdweb/hd/Vision360.html?d=924410801&amp;zoomslide=1&amp;z=1924410801&amp;ISCONFIRM=0","VIDEO")</f>
        <v>VIDEO</v>
      </c>
      <c r="AA7296" s="19" t="str">
        <f>HYPERLINK("https://ssdweb.co/ssdweb/CERTH/624499489.pdf","CERTI")</f>
        <v>CERTI</v>
      </c>
    </row>
    <row r="7297" spans="1:27" ht="15" x14ac:dyDescent="0.25">
      <c r="A7297" s="2">
        <v>7292</v>
      </c>
      <c r="B7297" s="39">
        <v>920470185</v>
      </c>
      <c r="C7297" s="28" t="str">
        <f>HYPERLINK("https://pld.live/RapDetail.aspx?STONELIST=920470185","DNA")</f>
        <v>DNA</v>
      </c>
      <c r="D7297" s="18" t="s">
        <v>2990</v>
      </c>
      <c r="E7297" s="18" t="s">
        <v>7909</v>
      </c>
      <c r="F7297" s="2" t="s">
        <v>7987</v>
      </c>
      <c r="G7297" s="2" t="s">
        <v>2054</v>
      </c>
      <c r="H7297" s="14">
        <v>0.9</v>
      </c>
      <c r="I7297" s="2" t="s">
        <v>6845</v>
      </c>
      <c r="J7297" s="2" t="s">
        <v>13</v>
      </c>
      <c r="K7297" s="2" t="s">
        <v>1452</v>
      </c>
      <c r="L7297" s="2" t="s">
        <v>5221</v>
      </c>
      <c r="M7297" s="2" t="s">
        <v>5721</v>
      </c>
      <c r="N7297" s="2" t="s">
        <v>2317</v>
      </c>
      <c r="O7297" s="14">
        <v>1800</v>
      </c>
      <c r="P7297" s="14">
        <v>87.78</v>
      </c>
      <c r="Q7297" s="14">
        <v>219.96</v>
      </c>
      <c r="R7297" s="14">
        <v>197.96</v>
      </c>
      <c r="S7297" s="2" t="s">
        <v>614</v>
      </c>
      <c r="T7297" s="2">
        <v>2.08</v>
      </c>
      <c r="U7297" s="2">
        <v>61.6</v>
      </c>
      <c r="V7297" s="2">
        <v>60</v>
      </c>
      <c r="W7297" s="2" t="s">
        <v>7862</v>
      </c>
      <c r="X7297" s="2" t="s">
        <v>5028</v>
      </c>
      <c r="Y7297" s="2">
        <v>1620</v>
      </c>
      <c r="Z7297" s="19" t="str">
        <f>HYPERLINK("https://ssdweb.co/ssdweb/hd/Vision360.html?d=920470185&amp;zoomslide=1&amp;z=1920470185&amp;ISCONFIRM=0","VIDEO")</f>
        <v>VIDEO</v>
      </c>
      <c r="AA7297" s="19" t="str">
        <f>HYPERLINK("https://ssdweb.co/ssdweb/CERTH/624499492.pdf","CERTI")</f>
        <v>CERTI</v>
      </c>
    </row>
    <row r="7298" spans="1:27" ht="15" x14ac:dyDescent="0.25">
      <c r="A7298" s="2">
        <v>7293</v>
      </c>
      <c r="B7298" s="39">
        <v>941100440</v>
      </c>
      <c r="C7298" s="28" t="str">
        <f>HYPERLINK("https://pld.live/RapDetail.aspx?STONELIST=941100440","DNA")</f>
        <v>DNA</v>
      </c>
      <c r="D7298" s="18" t="s">
        <v>5715</v>
      </c>
      <c r="E7298" s="18" t="s">
        <v>2186</v>
      </c>
      <c r="F7298" s="2" t="s">
        <v>7987</v>
      </c>
      <c r="G7298" s="2" t="s">
        <v>2054</v>
      </c>
      <c r="H7298" s="14">
        <v>0.82</v>
      </c>
      <c r="I7298" s="2" t="s">
        <v>267</v>
      </c>
      <c r="J7298" s="2" t="s">
        <v>6555</v>
      </c>
      <c r="K7298" s="2" t="s">
        <v>1452</v>
      </c>
      <c r="L7298" s="2" t="s">
        <v>5221</v>
      </c>
      <c r="M7298" s="2" t="s">
        <v>5221</v>
      </c>
      <c r="N7298" s="2" t="s">
        <v>2317</v>
      </c>
      <c r="O7298" s="14">
        <v>4300</v>
      </c>
      <c r="P7298" s="14">
        <v>96.28</v>
      </c>
      <c r="Q7298" s="14">
        <v>159.96</v>
      </c>
      <c r="R7298" s="14">
        <v>131.16999999999999</v>
      </c>
      <c r="S7298" s="2" t="s">
        <v>2016</v>
      </c>
      <c r="T7298" s="2">
        <v>2.0299999999999998</v>
      </c>
      <c r="U7298" s="2">
        <v>60.7</v>
      </c>
      <c r="V7298" s="2">
        <v>62</v>
      </c>
      <c r="W7298" s="2" t="s">
        <v>7862</v>
      </c>
      <c r="X7298" s="2" t="s">
        <v>5028</v>
      </c>
      <c r="Y7298" s="2">
        <v>3526</v>
      </c>
      <c r="Z7298" s="19" t="str">
        <f>HYPERLINK("https://ssdweb.co/ssdweb/hd/Vision360.html?d=941100440&amp;zoomslide=1&amp;z=1941100440&amp;ISCONFIRM=0","VIDEO")</f>
        <v>VIDEO</v>
      </c>
      <c r="AA7298" s="19" t="str">
        <f>HYPERLINK("https://ssdweb.co/ssdweb/CERTH/674504060.pdf","CERTI")</f>
        <v>CERTI</v>
      </c>
    </row>
    <row r="7299" spans="1:27" ht="15" x14ac:dyDescent="0.25">
      <c r="A7299" s="2">
        <v>7294</v>
      </c>
      <c r="B7299" s="39">
        <v>927030813</v>
      </c>
      <c r="C7299" s="28" t="str">
        <f>HYPERLINK("https://pld.live/RapDetail.aspx?STONELIST=927030813","DNA")</f>
        <v>DNA</v>
      </c>
      <c r="D7299" s="18" t="s">
        <v>5715</v>
      </c>
      <c r="E7299" s="18" t="s">
        <v>2186</v>
      </c>
      <c r="F7299" s="2" t="s">
        <v>7987</v>
      </c>
      <c r="G7299" s="2" t="s">
        <v>2054</v>
      </c>
      <c r="H7299" s="14">
        <v>0.81</v>
      </c>
      <c r="I7299" s="2" t="s">
        <v>4761</v>
      </c>
      <c r="J7299" s="2" t="s">
        <v>13</v>
      </c>
      <c r="K7299" s="2" t="s">
        <v>1452</v>
      </c>
      <c r="L7299" s="2" t="s">
        <v>5221</v>
      </c>
      <c r="M7299" s="2" t="s">
        <v>5221</v>
      </c>
      <c r="N7299" s="2" t="s">
        <v>2317</v>
      </c>
      <c r="O7299" s="14">
        <v>3500</v>
      </c>
      <c r="P7299" s="14">
        <v>96.23</v>
      </c>
      <c r="Q7299" s="14">
        <v>131.94999999999999</v>
      </c>
      <c r="R7299" s="14">
        <v>106.88</v>
      </c>
      <c r="S7299" s="2" t="s">
        <v>5746</v>
      </c>
      <c r="T7299" s="2">
        <v>1.9</v>
      </c>
      <c r="U7299" s="2">
        <v>63.2</v>
      </c>
      <c r="V7299" s="2">
        <v>59</v>
      </c>
      <c r="W7299" s="2" t="s">
        <v>7862</v>
      </c>
      <c r="X7299" s="2" t="s">
        <v>5028</v>
      </c>
      <c r="Y7299" s="2">
        <v>2835</v>
      </c>
      <c r="Z7299" s="19" t="str">
        <f>HYPERLINK("https://ssdweb.co/ssdweb/hd/Vision360.html?d=927030813&amp;zoomslide=1&amp;z=1927030813&amp;ISCONFIRM=0","VIDEO")</f>
        <v>VIDEO</v>
      </c>
      <c r="AA7299" s="19" t="str">
        <f>HYPERLINK("https://ssdweb.co/ssdweb/CERTH/670484182.pdf","CERTI")</f>
        <v>CERTI</v>
      </c>
    </row>
    <row r="7300" spans="1:27" ht="15" x14ac:dyDescent="0.25">
      <c r="A7300" s="2">
        <v>7295</v>
      </c>
      <c r="B7300" s="39">
        <v>927000646</v>
      </c>
      <c r="C7300" s="28" t="str">
        <f>HYPERLINK("https://pld.live/RapDetail.aspx?STONELIST=927000646","DNA")</f>
        <v>DNA</v>
      </c>
      <c r="D7300" s="18" t="s">
        <v>5715</v>
      </c>
      <c r="E7300" s="18" t="s">
        <v>2186</v>
      </c>
      <c r="F7300" s="2" t="s">
        <v>7987</v>
      </c>
      <c r="G7300" s="2" t="s">
        <v>2054</v>
      </c>
      <c r="H7300" s="14">
        <v>0.81</v>
      </c>
      <c r="I7300" s="2" t="s">
        <v>4761</v>
      </c>
      <c r="J7300" s="2" t="s">
        <v>5144</v>
      </c>
      <c r="K7300" s="2" t="s">
        <v>1452</v>
      </c>
      <c r="L7300" s="2" t="s">
        <v>5221</v>
      </c>
      <c r="M7300" s="2" t="s">
        <v>5221</v>
      </c>
      <c r="N7300" s="2" t="s">
        <v>2317</v>
      </c>
      <c r="O7300" s="14">
        <v>3200</v>
      </c>
      <c r="P7300" s="14">
        <v>96</v>
      </c>
      <c r="Q7300" s="14">
        <v>128</v>
      </c>
      <c r="R7300" s="14">
        <v>103.68</v>
      </c>
      <c r="S7300" s="2" t="s">
        <v>628</v>
      </c>
      <c r="T7300" s="2">
        <v>1.9</v>
      </c>
      <c r="U7300" s="2">
        <v>64</v>
      </c>
      <c r="V7300" s="2">
        <v>59</v>
      </c>
      <c r="W7300" s="2" t="s">
        <v>7862</v>
      </c>
      <c r="X7300" s="2" t="s">
        <v>5028</v>
      </c>
      <c r="Y7300" s="2">
        <v>2592</v>
      </c>
      <c r="Z7300" s="19" t="str">
        <f>HYPERLINK("https://ssdweb.co/ssdweb/hd/Vision360.html?d=927000646&amp;zoomslide=1&amp;z=1927000646&amp;ISCONFIRM=0","VIDEO")</f>
        <v>VIDEO</v>
      </c>
      <c r="AA7300" s="19" t="str">
        <f>HYPERLINK("https://ssdweb.co/ssdweb/CERTH/670484290.pdf","CERTI")</f>
        <v>CERTI</v>
      </c>
    </row>
    <row r="7301" spans="1:27" ht="15" x14ac:dyDescent="0.25">
      <c r="A7301" s="2">
        <v>7296</v>
      </c>
      <c r="B7301" s="39">
        <v>927030805</v>
      </c>
      <c r="C7301" s="28" t="str">
        <f>HYPERLINK("https://pld.live/RapDetail.aspx?STONELIST=927030805","DNA")</f>
        <v>DNA</v>
      </c>
      <c r="D7301" s="18" t="s">
        <v>5715</v>
      </c>
      <c r="E7301" s="18" t="s">
        <v>2186</v>
      </c>
      <c r="F7301" s="2" t="s">
        <v>7987</v>
      </c>
      <c r="G7301" s="2" t="s">
        <v>2054</v>
      </c>
      <c r="H7301" s="14">
        <v>0.8</v>
      </c>
      <c r="I7301" s="2" t="s">
        <v>267</v>
      </c>
      <c r="J7301" s="2" t="s">
        <v>3942</v>
      </c>
      <c r="K7301" s="2" t="s">
        <v>1452</v>
      </c>
      <c r="L7301" s="2" t="s">
        <v>5221</v>
      </c>
      <c r="M7301" s="2" t="s">
        <v>5221</v>
      </c>
      <c r="N7301" s="2" t="s">
        <v>2317</v>
      </c>
      <c r="O7301" s="14">
        <v>4000</v>
      </c>
      <c r="P7301" s="14">
        <v>96.38</v>
      </c>
      <c r="Q7301" s="14">
        <v>144.80000000000001</v>
      </c>
      <c r="R7301" s="14">
        <v>115.84</v>
      </c>
      <c r="S7301" s="2" t="s">
        <v>2778</v>
      </c>
      <c r="T7301" s="2">
        <v>1.91</v>
      </c>
      <c r="U7301" s="2">
        <v>63.2</v>
      </c>
      <c r="V7301" s="2">
        <v>61</v>
      </c>
      <c r="W7301" s="2" t="s">
        <v>7862</v>
      </c>
      <c r="X7301" s="2" t="s">
        <v>5028</v>
      </c>
      <c r="Y7301" s="2">
        <v>3200</v>
      </c>
      <c r="Z7301" s="19" t="str">
        <f>HYPERLINK("https://ssdweb.co/ssdweb/hd/Vision360.html?d=927030805&amp;zoomslide=1&amp;z=1927030805&amp;ISCONFIRM=0","VIDEO")</f>
        <v>VIDEO</v>
      </c>
      <c r="AA7301" s="19" t="str">
        <f>HYPERLINK("https://ssdweb.co/ssdweb/CERTH/671411164.pdf","CERTI")</f>
        <v>CERTI</v>
      </c>
    </row>
    <row r="7302" spans="1:27" ht="15" x14ac:dyDescent="0.25">
      <c r="A7302" s="2">
        <v>7297</v>
      </c>
      <c r="B7302" s="39">
        <v>927080764</v>
      </c>
      <c r="C7302" s="28" t="str">
        <f>HYPERLINK("https://pld.live/RapDetail.aspx?STONELIST=927080764","DNA")</f>
        <v>DNA</v>
      </c>
      <c r="D7302" s="18" t="s">
        <v>5715</v>
      </c>
      <c r="E7302" s="18" t="s">
        <v>2186</v>
      </c>
      <c r="F7302" s="2" t="s">
        <v>7987</v>
      </c>
      <c r="G7302" s="2" t="s">
        <v>2054</v>
      </c>
      <c r="H7302" s="14">
        <v>0.8</v>
      </c>
      <c r="I7302" s="2" t="s">
        <v>267</v>
      </c>
      <c r="J7302" s="2" t="s">
        <v>13</v>
      </c>
      <c r="K7302" s="2" t="s">
        <v>1452</v>
      </c>
      <c r="L7302" s="2" t="s">
        <v>5221</v>
      </c>
      <c r="M7302" s="2" t="s">
        <v>5221</v>
      </c>
      <c r="N7302" s="2" t="s">
        <v>2317</v>
      </c>
      <c r="O7302" s="14">
        <v>3700</v>
      </c>
      <c r="P7302" s="14">
        <v>96.35</v>
      </c>
      <c r="Q7302" s="14">
        <v>135.05000000000001</v>
      </c>
      <c r="R7302" s="14">
        <v>108.04</v>
      </c>
      <c r="S7302" s="2" t="s">
        <v>4887</v>
      </c>
      <c r="T7302" s="2">
        <v>1.85</v>
      </c>
      <c r="U7302" s="2">
        <v>63.2</v>
      </c>
      <c r="V7302" s="2">
        <v>59</v>
      </c>
      <c r="W7302" s="2" t="s">
        <v>7862</v>
      </c>
      <c r="X7302" s="2" t="s">
        <v>5028</v>
      </c>
      <c r="Y7302" s="2">
        <v>2960</v>
      </c>
      <c r="Z7302" s="19" t="str">
        <f>HYPERLINK("https://ssdweb.co/ssdweb/hd/Vision360.html?d=927080764&amp;zoomslide=1&amp;z=1927080764&amp;ISCONFIRM=0","VIDEO")</f>
        <v>VIDEO</v>
      </c>
      <c r="AA7302" s="19" t="str">
        <f>HYPERLINK("https://ssdweb.co/ssdweb/CERTH/671477170.pdf","CERTI")</f>
        <v>CERTI</v>
      </c>
    </row>
    <row r="7303" spans="1:27" ht="15" x14ac:dyDescent="0.25">
      <c r="A7303" s="2">
        <v>7298</v>
      </c>
      <c r="B7303" s="39">
        <v>927080760</v>
      </c>
      <c r="C7303" s="28" t="str">
        <f>HYPERLINK("https://pld.live/RapDetail.aspx?STONELIST=927080760","DNA")</f>
        <v>DNA</v>
      </c>
      <c r="D7303" s="18" t="s">
        <v>5715</v>
      </c>
      <c r="E7303" s="18" t="s">
        <v>2186</v>
      </c>
      <c r="F7303" s="2" t="s">
        <v>7987</v>
      </c>
      <c r="G7303" s="2" t="s">
        <v>2054</v>
      </c>
      <c r="H7303" s="14">
        <v>0.8</v>
      </c>
      <c r="I7303" s="2" t="s">
        <v>4761</v>
      </c>
      <c r="J7303" s="2" t="s">
        <v>3942</v>
      </c>
      <c r="K7303" s="2" t="s">
        <v>1452</v>
      </c>
      <c r="L7303" s="2" t="s">
        <v>5221</v>
      </c>
      <c r="M7303" s="2" t="s">
        <v>5221</v>
      </c>
      <c r="N7303" s="2" t="s">
        <v>2317</v>
      </c>
      <c r="O7303" s="14">
        <v>3800</v>
      </c>
      <c r="P7303" s="14">
        <v>96.39</v>
      </c>
      <c r="Q7303" s="14">
        <v>137.18</v>
      </c>
      <c r="R7303" s="14">
        <v>109.74</v>
      </c>
      <c r="S7303" s="2" t="s">
        <v>323</v>
      </c>
      <c r="T7303" s="2">
        <v>1.86</v>
      </c>
      <c r="U7303" s="2">
        <v>64.3</v>
      </c>
      <c r="V7303" s="2">
        <v>61</v>
      </c>
      <c r="W7303" s="2" t="s">
        <v>7862</v>
      </c>
      <c r="X7303" s="2" t="s">
        <v>5028</v>
      </c>
      <c r="Y7303" s="2">
        <v>3040</v>
      </c>
      <c r="Z7303" s="19" t="str">
        <f>HYPERLINK("https://ssdweb.co/ssdweb/hd/Vision360.html?d=927080760&amp;zoomslide=1&amp;z=1927080760&amp;ISCONFIRM=0","VIDEO")</f>
        <v>VIDEO</v>
      </c>
      <c r="AA7303" s="19" t="str">
        <f>HYPERLINK("https://ssdweb.co/ssdweb/CERTH/671477169.pdf","CERTI")</f>
        <v>CERTI</v>
      </c>
    </row>
    <row r="7304" spans="1:27" ht="15" x14ac:dyDescent="0.25">
      <c r="A7304" s="2">
        <v>7299</v>
      </c>
      <c r="B7304" s="39">
        <v>927052679</v>
      </c>
      <c r="C7304" s="28" t="str">
        <f>HYPERLINK("https://pld.live/RapDetail.aspx?STONELIST=927052679","DNA")</f>
        <v>DNA</v>
      </c>
      <c r="D7304" s="18" t="s">
        <v>5715</v>
      </c>
      <c r="E7304" s="18" t="s">
        <v>5128</v>
      </c>
      <c r="F7304" s="2" t="s">
        <v>7987</v>
      </c>
      <c r="G7304" s="2" t="s">
        <v>2054</v>
      </c>
      <c r="H7304" s="14">
        <v>0.8</v>
      </c>
      <c r="I7304" s="2" t="s">
        <v>4699</v>
      </c>
      <c r="J7304" s="2" t="s">
        <v>3942</v>
      </c>
      <c r="K7304" s="2" t="s">
        <v>1452</v>
      </c>
      <c r="L7304" s="2" t="s">
        <v>5221</v>
      </c>
      <c r="M7304" s="2" t="s">
        <v>5221</v>
      </c>
      <c r="N7304" s="2" t="s">
        <v>2317</v>
      </c>
      <c r="O7304" s="14">
        <v>3600</v>
      </c>
      <c r="P7304" s="14">
        <v>96.33</v>
      </c>
      <c r="Q7304" s="14">
        <v>132.12</v>
      </c>
      <c r="R7304" s="14">
        <v>105.7</v>
      </c>
      <c r="S7304" s="2" t="s">
        <v>3091</v>
      </c>
      <c r="T7304" s="2">
        <v>1.9</v>
      </c>
      <c r="U7304" s="2">
        <v>62.5</v>
      </c>
      <c r="V7304" s="2">
        <v>59</v>
      </c>
      <c r="W7304" s="2" t="s">
        <v>7862</v>
      </c>
      <c r="X7304" s="2" t="s">
        <v>5028</v>
      </c>
      <c r="Y7304" s="2">
        <v>2880</v>
      </c>
      <c r="Z7304" s="19" t="str">
        <f>HYPERLINK("https://ssdweb.co/ssdweb/hd/Vision360.html?d=927052679&amp;zoomslide=1&amp;z=1927052679&amp;ISCONFIRM=0","VIDEO")</f>
        <v>VIDEO</v>
      </c>
      <c r="AA7304" s="19" t="str">
        <f>HYPERLINK("https://ssdweb.co/ssdweb/CERTH/671411155.pdf","CERTI")</f>
        <v>CERTI</v>
      </c>
    </row>
    <row r="7305" spans="1:27" ht="15" x14ac:dyDescent="0.25">
      <c r="A7305" s="2">
        <v>7300</v>
      </c>
      <c r="B7305" s="39">
        <v>927140437</v>
      </c>
      <c r="C7305" s="28" t="str">
        <f>HYPERLINK("https://pld.live/RapDetail.aspx?STONELIST=927140437","DNA")</f>
        <v>DNA</v>
      </c>
      <c r="D7305" s="18" t="s">
        <v>5847</v>
      </c>
      <c r="E7305" s="18" t="s">
        <v>2186</v>
      </c>
      <c r="F7305" s="2" t="s">
        <v>7987</v>
      </c>
      <c r="G7305" s="2" t="s">
        <v>2054</v>
      </c>
      <c r="H7305" s="14">
        <v>0.78</v>
      </c>
      <c r="I7305" s="2" t="s">
        <v>4761</v>
      </c>
      <c r="J7305" s="2" t="s">
        <v>3942</v>
      </c>
      <c r="K7305" s="2" t="s">
        <v>1452</v>
      </c>
      <c r="L7305" s="2" t="s">
        <v>5221</v>
      </c>
      <c r="M7305" s="2" t="s">
        <v>5221</v>
      </c>
      <c r="N7305" s="2" t="s">
        <v>2317</v>
      </c>
      <c r="O7305" s="14">
        <v>3800</v>
      </c>
      <c r="P7305" s="14">
        <v>96.26</v>
      </c>
      <c r="Q7305" s="14">
        <v>142.12</v>
      </c>
      <c r="R7305" s="14">
        <v>110.85</v>
      </c>
      <c r="S7305" s="2" t="s">
        <v>4202</v>
      </c>
      <c r="T7305" s="2">
        <v>2.0699999999999998</v>
      </c>
      <c r="U7305" s="2">
        <v>65.3</v>
      </c>
      <c r="V7305" s="2">
        <v>61</v>
      </c>
      <c r="W7305" s="2" t="s">
        <v>7862</v>
      </c>
      <c r="X7305" s="2" t="s">
        <v>5028</v>
      </c>
      <c r="Y7305" s="2">
        <v>2964</v>
      </c>
      <c r="Z7305" s="19" t="str">
        <f>HYPERLINK("https://ssdweb.co/ssdweb/hd/Vision360.html?d=927140437&amp;zoomslide=1&amp;z=1927140437&amp;ISCONFIRM=0","VIDEO")</f>
        <v>VIDEO</v>
      </c>
      <c r="AA7305" s="19" t="str">
        <f>HYPERLINK("https://ssdweb.co/ssdweb/CERTH/674532474.pdf","CERTI")</f>
        <v>CERTI</v>
      </c>
    </row>
    <row r="7306" spans="1:27" ht="15" x14ac:dyDescent="0.25">
      <c r="A7306" s="2">
        <v>7301</v>
      </c>
      <c r="B7306" s="39">
        <v>941360586</v>
      </c>
      <c r="C7306" s="28" t="str">
        <f>HYPERLINK("https://pld.live/RapDetail.aspx?STONELIST=941360586","DNA")</f>
        <v>DNA</v>
      </c>
      <c r="D7306" s="18" t="s">
        <v>5847</v>
      </c>
      <c r="E7306" s="18" t="s">
        <v>2186</v>
      </c>
      <c r="F7306" s="2" t="s">
        <v>7987</v>
      </c>
      <c r="G7306" s="2" t="s">
        <v>2054</v>
      </c>
      <c r="H7306" s="14">
        <v>0.77</v>
      </c>
      <c r="I7306" s="2" t="s">
        <v>267</v>
      </c>
      <c r="J7306" s="2" t="s">
        <v>13</v>
      </c>
      <c r="K7306" s="2" t="s">
        <v>1452</v>
      </c>
      <c r="L7306" s="2" t="s">
        <v>5221</v>
      </c>
      <c r="M7306" s="2" t="s">
        <v>5221</v>
      </c>
      <c r="N7306" s="2" t="s">
        <v>2317</v>
      </c>
      <c r="O7306" s="14">
        <v>3700</v>
      </c>
      <c r="P7306" s="14">
        <v>96.22</v>
      </c>
      <c r="Q7306" s="14">
        <v>139.86000000000001</v>
      </c>
      <c r="R7306" s="14">
        <v>107.69</v>
      </c>
      <c r="S7306" s="2" t="s">
        <v>1208</v>
      </c>
      <c r="T7306" s="2">
        <v>1.98</v>
      </c>
      <c r="U7306" s="2">
        <v>61.8</v>
      </c>
      <c r="V7306" s="2">
        <v>60</v>
      </c>
      <c r="W7306" s="2" t="s">
        <v>7862</v>
      </c>
      <c r="X7306" s="2" t="s">
        <v>5028</v>
      </c>
      <c r="Y7306" s="2">
        <v>2849</v>
      </c>
      <c r="Z7306" s="19" t="str">
        <f>HYPERLINK("https://ssdweb.co/ssdweb/hd/Vision360.html?d=941360586&amp;zoomslide=1&amp;z=1941360586&amp;ISCONFIRM=0","VIDEO")</f>
        <v>VIDEO</v>
      </c>
      <c r="AA7306" s="19" t="str">
        <f>HYPERLINK("https://ssdweb.co/ssdweb/CERTH/691533686.pdf","CERTI")</f>
        <v>CERTI</v>
      </c>
    </row>
    <row r="7307" spans="1:27" ht="15" x14ac:dyDescent="0.25">
      <c r="A7307" s="2">
        <v>7302</v>
      </c>
      <c r="B7307" s="39">
        <v>927132478</v>
      </c>
      <c r="C7307" s="28" t="str">
        <f>HYPERLINK("https://pld.live/RapDetail.aspx?STONELIST=927132478","DNA")</f>
        <v>DNA</v>
      </c>
      <c r="D7307" s="18" t="s">
        <v>5847</v>
      </c>
      <c r="E7307" s="18" t="s">
        <v>5128</v>
      </c>
      <c r="F7307" s="2" t="s">
        <v>7987</v>
      </c>
      <c r="G7307" s="2" t="s">
        <v>2054</v>
      </c>
      <c r="H7307" s="14">
        <v>0.73</v>
      </c>
      <c r="I7307" s="2" t="s">
        <v>267</v>
      </c>
      <c r="J7307" s="2" t="s">
        <v>6555</v>
      </c>
      <c r="K7307" s="2" t="s">
        <v>1452</v>
      </c>
      <c r="L7307" s="2" t="s">
        <v>5221</v>
      </c>
      <c r="M7307" s="2" t="s">
        <v>5221</v>
      </c>
      <c r="N7307" s="2" t="s">
        <v>2317</v>
      </c>
      <c r="O7307" s="14">
        <v>4300</v>
      </c>
      <c r="P7307" s="14">
        <v>96.16</v>
      </c>
      <c r="Q7307" s="14">
        <v>165.12</v>
      </c>
      <c r="R7307" s="14">
        <v>120.54</v>
      </c>
      <c r="S7307" s="2" t="s">
        <v>449</v>
      </c>
      <c r="T7307" s="2">
        <v>1.9</v>
      </c>
      <c r="U7307" s="2">
        <v>61.6</v>
      </c>
      <c r="V7307" s="2">
        <v>60</v>
      </c>
      <c r="W7307" s="2" t="s">
        <v>7862</v>
      </c>
      <c r="X7307" s="2" t="s">
        <v>5028</v>
      </c>
      <c r="Y7307" s="2">
        <v>3139</v>
      </c>
      <c r="Z7307" s="19" t="str">
        <f>HYPERLINK("https://ssdweb.co/ssdweb/hd/Vision360.html?d=927132478&amp;zoomslide=1&amp;z=1927132478&amp;ISCONFIRM=0","VIDEO")</f>
        <v>VIDEO</v>
      </c>
      <c r="AA7307" s="19" t="str">
        <f>HYPERLINK("https://ssdweb.co/ssdweb/CERTH/671477206.pdf","CERTI")</f>
        <v>CERTI</v>
      </c>
    </row>
    <row r="7308" spans="1:27" ht="15" x14ac:dyDescent="0.25">
      <c r="A7308" s="2">
        <v>7303</v>
      </c>
      <c r="B7308" s="39">
        <v>927092607</v>
      </c>
      <c r="C7308" s="28" t="str">
        <f>HYPERLINK("https://pld.live/RapDetail.aspx?STONELIST=927092607","DNA")</f>
        <v>DNA</v>
      </c>
      <c r="D7308" s="18" t="s">
        <v>5847</v>
      </c>
      <c r="E7308" s="18" t="s">
        <v>5128</v>
      </c>
      <c r="F7308" s="2" t="s">
        <v>7987</v>
      </c>
      <c r="G7308" s="2" t="s">
        <v>2054</v>
      </c>
      <c r="H7308" s="14">
        <v>0.73</v>
      </c>
      <c r="I7308" s="2" t="s">
        <v>4761</v>
      </c>
      <c r="J7308" s="2" t="s">
        <v>3942</v>
      </c>
      <c r="K7308" s="2" t="s">
        <v>1452</v>
      </c>
      <c r="L7308" s="2" t="s">
        <v>5221</v>
      </c>
      <c r="M7308" s="2" t="s">
        <v>5221</v>
      </c>
      <c r="N7308" s="2" t="s">
        <v>2317</v>
      </c>
      <c r="O7308" s="14">
        <v>3800</v>
      </c>
      <c r="P7308" s="14">
        <v>96.26</v>
      </c>
      <c r="Q7308" s="14">
        <v>142.12</v>
      </c>
      <c r="R7308" s="14">
        <v>103.75</v>
      </c>
      <c r="S7308" s="2" t="s">
        <v>894</v>
      </c>
      <c r="T7308" s="2">
        <v>1.9</v>
      </c>
      <c r="U7308" s="2">
        <v>60.8</v>
      </c>
      <c r="V7308" s="2">
        <v>59</v>
      </c>
      <c r="W7308" s="2" t="s">
        <v>7862</v>
      </c>
      <c r="X7308" s="2" t="s">
        <v>5028</v>
      </c>
      <c r="Y7308" s="2">
        <v>2774</v>
      </c>
      <c r="Z7308" s="19" t="str">
        <f>HYPERLINK("https://ssdweb.co/ssdweb/hd/Vision360.html?d=927092607&amp;zoomslide=1&amp;z=1927092607&amp;ISCONFIRM=0","VIDEO")</f>
        <v>VIDEO</v>
      </c>
      <c r="AA7308" s="19" t="str">
        <f>HYPERLINK("https://ssdweb.co/ssdweb/CERTH/671427768.pdf","CERTI")</f>
        <v>CERTI</v>
      </c>
    </row>
    <row r="7309" spans="1:27" ht="15" x14ac:dyDescent="0.25">
      <c r="A7309" s="2">
        <v>7304</v>
      </c>
      <c r="B7309" s="39">
        <v>927140423</v>
      </c>
      <c r="C7309" s="28" t="str">
        <f>HYPERLINK("https://pld.live/RapDetail.aspx?STONELIST=927140423","DNA")</f>
        <v>DNA</v>
      </c>
      <c r="D7309" s="18" t="s">
        <v>5847</v>
      </c>
      <c r="E7309" s="18" t="s">
        <v>2186</v>
      </c>
      <c r="F7309" s="2" t="s">
        <v>7987</v>
      </c>
      <c r="G7309" s="2" t="s">
        <v>2054</v>
      </c>
      <c r="H7309" s="14">
        <v>0.73</v>
      </c>
      <c r="I7309" s="2" t="s">
        <v>4761</v>
      </c>
      <c r="J7309" s="2" t="s">
        <v>3942</v>
      </c>
      <c r="K7309" s="2" t="s">
        <v>1452</v>
      </c>
      <c r="L7309" s="2" t="s">
        <v>5221</v>
      </c>
      <c r="M7309" s="2" t="s">
        <v>5721</v>
      </c>
      <c r="N7309" s="2" t="s">
        <v>2317</v>
      </c>
      <c r="O7309" s="14">
        <v>3800</v>
      </c>
      <c r="P7309" s="14">
        <v>96.32</v>
      </c>
      <c r="Q7309" s="14">
        <v>139.84</v>
      </c>
      <c r="R7309" s="14">
        <v>102.08</v>
      </c>
      <c r="S7309" s="2" t="s">
        <v>2151</v>
      </c>
      <c r="T7309" s="2">
        <v>1.91</v>
      </c>
      <c r="U7309" s="2">
        <v>61.5</v>
      </c>
      <c r="V7309" s="2">
        <v>59</v>
      </c>
      <c r="W7309" s="2" t="s">
        <v>7862</v>
      </c>
      <c r="X7309" s="2" t="s">
        <v>5028</v>
      </c>
      <c r="Y7309" s="2">
        <v>2774</v>
      </c>
      <c r="Z7309" s="19" t="str">
        <f>HYPERLINK("https://ssdweb.co/ssdweb/hd/Vision360.html?d=927140423&amp;zoomslide=1&amp;z=1927140423&amp;ISCONFIRM=0","VIDEO")</f>
        <v>VIDEO</v>
      </c>
      <c r="AA7309" s="19" t="str">
        <f>HYPERLINK("https://ssdweb.co/ssdweb/CERTH/674504042.pdf","CERTI")</f>
        <v>CERTI</v>
      </c>
    </row>
    <row r="7310" spans="1:27" ht="15" x14ac:dyDescent="0.25">
      <c r="A7310" s="2">
        <v>7305</v>
      </c>
      <c r="B7310" s="39">
        <v>926060022</v>
      </c>
      <c r="C7310" s="28" t="str">
        <f>HYPERLINK("https://pld.live/RapDetail.aspx?STONELIST=926060022","DNA")</f>
        <v>DNA</v>
      </c>
      <c r="D7310" s="18" t="s">
        <v>5847</v>
      </c>
      <c r="E7310" s="18" t="s">
        <v>2186</v>
      </c>
      <c r="F7310" s="2" t="s">
        <v>7987</v>
      </c>
      <c r="G7310" s="2" t="s">
        <v>2054</v>
      </c>
      <c r="H7310" s="14">
        <v>0.73</v>
      </c>
      <c r="I7310" s="2" t="s">
        <v>2659</v>
      </c>
      <c r="J7310" s="2" t="s">
        <v>5144</v>
      </c>
      <c r="K7310" s="2" t="s">
        <v>1452</v>
      </c>
      <c r="L7310" s="2" t="s">
        <v>5221</v>
      </c>
      <c r="M7310" s="2" t="s">
        <v>5221</v>
      </c>
      <c r="N7310" s="2" t="s">
        <v>2317</v>
      </c>
      <c r="O7310" s="14">
        <v>1500</v>
      </c>
      <c r="P7310" s="14">
        <v>81.33</v>
      </c>
      <c r="Q7310" s="14">
        <v>280.05</v>
      </c>
      <c r="R7310" s="14">
        <v>204.44</v>
      </c>
      <c r="S7310" s="2" t="s">
        <v>6026</v>
      </c>
      <c r="T7310" s="2">
        <v>2.0699999999999998</v>
      </c>
      <c r="U7310" s="2">
        <v>61.4</v>
      </c>
      <c r="V7310" s="2">
        <v>61</v>
      </c>
      <c r="W7310" s="2" t="s">
        <v>7862</v>
      </c>
      <c r="X7310" s="2" t="s">
        <v>5028</v>
      </c>
      <c r="Y7310" s="2">
        <v>1095</v>
      </c>
      <c r="Z7310" s="19" t="str">
        <f>HYPERLINK("https://ssdweb.co/ssdweb/hd/Vision360.html?d=926060022&amp;zoomslide=1&amp;z=1926060022&amp;ISCONFIRM=0","VIDEO")</f>
        <v>VIDEO</v>
      </c>
      <c r="AA7310" s="19" t="str">
        <f>HYPERLINK("https://ssdweb.co/ssdweb/CERTH/631463883.pdf","CERTI")</f>
        <v>CERTI</v>
      </c>
    </row>
    <row r="7311" spans="1:27" ht="15" x14ac:dyDescent="0.25">
      <c r="A7311" s="2">
        <v>7306</v>
      </c>
      <c r="B7311" s="39">
        <v>924260814</v>
      </c>
      <c r="C7311" s="28" t="str">
        <f>HYPERLINK("https://pld.live/RapDetail.aspx?STONELIST=924260814","DNA")</f>
        <v>DNA</v>
      </c>
      <c r="D7311" s="18" t="s">
        <v>5847</v>
      </c>
      <c r="E7311" s="18" t="s">
        <v>2186</v>
      </c>
      <c r="F7311" s="2" t="s">
        <v>7987</v>
      </c>
      <c r="G7311" s="2" t="s">
        <v>2054</v>
      </c>
      <c r="H7311" s="14">
        <v>0.73</v>
      </c>
      <c r="I7311" s="2" t="s">
        <v>3191</v>
      </c>
      <c r="J7311" s="2" t="s">
        <v>6555</v>
      </c>
      <c r="K7311" s="2" t="s">
        <v>1452</v>
      </c>
      <c r="L7311" s="2" t="s">
        <v>5721</v>
      </c>
      <c r="M7311" s="2" t="s">
        <v>5221</v>
      </c>
      <c r="N7311" s="2" t="s">
        <v>2317</v>
      </c>
      <c r="O7311" s="14">
        <v>1900</v>
      </c>
      <c r="P7311" s="14">
        <v>90.53</v>
      </c>
      <c r="Q7311" s="14">
        <v>179.93</v>
      </c>
      <c r="R7311" s="14">
        <v>131.35</v>
      </c>
      <c r="S7311" s="2" t="s">
        <v>2056</v>
      </c>
      <c r="T7311" s="2">
        <v>2.08</v>
      </c>
      <c r="U7311" s="2">
        <v>61.9</v>
      </c>
      <c r="V7311" s="2">
        <v>58</v>
      </c>
      <c r="W7311" s="2" t="s">
        <v>7862</v>
      </c>
      <c r="X7311" s="2" t="s">
        <v>5028</v>
      </c>
      <c r="Y7311" s="2">
        <v>1387</v>
      </c>
      <c r="Z7311" s="19" t="str">
        <f>HYPERLINK("https://ssdweb.co/ssdweb/hd/Vision360.html?d=924260814&amp;zoomslide=1&amp;z=1924260814&amp;ISCONFIRM=0","VIDEO")</f>
        <v>VIDEO</v>
      </c>
      <c r="AA7311" s="19" t="str">
        <f>HYPERLINK("https://ssdweb.co/ssdweb/CERTH/627431608.pdf","CERTI")</f>
        <v>CERTI</v>
      </c>
    </row>
    <row r="7312" spans="1:27" ht="15" x14ac:dyDescent="0.25">
      <c r="A7312" s="2">
        <v>7307</v>
      </c>
      <c r="B7312" s="39">
        <v>927052700</v>
      </c>
      <c r="C7312" s="28" t="str">
        <f>HYPERLINK("https://pld.live/RapDetail.aspx?STONELIST=927052700","DNA")</f>
        <v>DNA</v>
      </c>
      <c r="D7312" s="18" t="s">
        <v>5847</v>
      </c>
      <c r="E7312" s="18" t="s">
        <v>5128</v>
      </c>
      <c r="F7312" s="2" t="s">
        <v>7987</v>
      </c>
      <c r="G7312" s="2" t="s">
        <v>2054</v>
      </c>
      <c r="H7312" s="14">
        <v>0.72</v>
      </c>
      <c r="I7312" s="2" t="s">
        <v>267</v>
      </c>
      <c r="J7312" s="2" t="s">
        <v>3942</v>
      </c>
      <c r="K7312" s="2" t="s">
        <v>1452</v>
      </c>
      <c r="L7312" s="2" t="s">
        <v>5221</v>
      </c>
      <c r="M7312" s="2" t="s">
        <v>5221</v>
      </c>
      <c r="N7312" s="2" t="s">
        <v>2317</v>
      </c>
      <c r="O7312" s="14">
        <v>4000</v>
      </c>
      <c r="P7312" s="14">
        <v>96.38</v>
      </c>
      <c r="Q7312" s="14">
        <v>144.80000000000001</v>
      </c>
      <c r="R7312" s="14">
        <v>104.26</v>
      </c>
      <c r="S7312" s="2" t="s">
        <v>1443</v>
      </c>
      <c r="T7312" s="2">
        <v>1.94</v>
      </c>
      <c r="U7312" s="2">
        <v>62.2</v>
      </c>
      <c r="V7312" s="2">
        <v>60</v>
      </c>
      <c r="W7312" s="2" t="s">
        <v>7862</v>
      </c>
      <c r="X7312" s="2" t="s">
        <v>5028</v>
      </c>
      <c r="Y7312" s="2">
        <v>2880</v>
      </c>
      <c r="Z7312" s="19" t="str">
        <f>HYPERLINK("https://ssdweb.co/ssdweb/hd/Vision360.html?d=927052700&amp;zoomslide=1&amp;z=1927052700&amp;ISCONFIRM=0","VIDEO")</f>
        <v>VIDEO</v>
      </c>
      <c r="AA7312" s="19" t="str">
        <f>HYPERLINK("https://ssdweb.co/ssdweb/CERTH/670445138.pdf","CERTI")</f>
        <v>CERTI</v>
      </c>
    </row>
    <row r="7313" spans="1:27" ht="15" x14ac:dyDescent="0.25">
      <c r="A7313" s="2">
        <v>7308</v>
      </c>
      <c r="B7313" s="39">
        <v>941130439</v>
      </c>
      <c r="C7313" s="28" t="str">
        <f>HYPERLINK("https://pld.live/RapDetail.aspx?STONELIST=941130439","DNA")</f>
        <v>DNA</v>
      </c>
      <c r="D7313" s="18" t="s">
        <v>5847</v>
      </c>
      <c r="E7313" s="18" t="s">
        <v>2186</v>
      </c>
      <c r="F7313" s="2" t="s">
        <v>7987</v>
      </c>
      <c r="G7313" s="2" t="s">
        <v>2054</v>
      </c>
      <c r="H7313" s="14">
        <v>0.72</v>
      </c>
      <c r="I7313" s="2" t="s">
        <v>4761</v>
      </c>
      <c r="J7313" s="2" t="s">
        <v>6555</v>
      </c>
      <c r="K7313" s="2" t="s">
        <v>1452</v>
      </c>
      <c r="L7313" s="2" t="s">
        <v>5221</v>
      </c>
      <c r="M7313" s="2" t="s">
        <v>5221</v>
      </c>
      <c r="N7313" s="2" t="s">
        <v>2317</v>
      </c>
      <c r="O7313" s="14">
        <v>4000</v>
      </c>
      <c r="P7313" s="14">
        <v>96.13</v>
      </c>
      <c r="Q7313" s="14">
        <v>154.80000000000001</v>
      </c>
      <c r="R7313" s="14">
        <v>111.46</v>
      </c>
      <c r="S7313" s="2" t="s">
        <v>448</v>
      </c>
      <c r="T7313" s="2">
        <v>2.09</v>
      </c>
      <c r="U7313" s="2">
        <v>61.2</v>
      </c>
      <c r="V7313" s="2">
        <v>62</v>
      </c>
      <c r="W7313" s="2" t="s">
        <v>7862</v>
      </c>
      <c r="X7313" s="2" t="s">
        <v>5028</v>
      </c>
      <c r="Y7313" s="2">
        <v>2880</v>
      </c>
      <c r="Z7313" s="19" t="str">
        <f>HYPERLINK("https://ssdweb.co/ssdweb/hd/Vision360.html?d=941130439&amp;zoomslide=1&amp;z=1941130439&amp;ISCONFIRM=0","VIDEO")</f>
        <v>VIDEO</v>
      </c>
      <c r="AA7313" s="19" t="str">
        <f>HYPERLINK("https://ssdweb.co/ssdweb/CERTH/675596858.pdf","CERTI")</f>
        <v>CERTI</v>
      </c>
    </row>
    <row r="7314" spans="1:27" ht="15" x14ac:dyDescent="0.25">
      <c r="A7314" s="2">
        <v>7309</v>
      </c>
      <c r="B7314" s="39">
        <v>927140425</v>
      </c>
      <c r="C7314" s="28" t="str">
        <f>HYPERLINK("https://pld.live/RapDetail.aspx?STONELIST=927140425","DNA")</f>
        <v>DNA</v>
      </c>
      <c r="D7314" s="18" t="s">
        <v>5847</v>
      </c>
      <c r="E7314" s="18" t="s">
        <v>2186</v>
      </c>
      <c r="F7314" s="2" t="s">
        <v>7987</v>
      </c>
      <c r="G7314" s="2" t="s">
        <v>2054</v>
      </c>
      <c r="H7314" s="14">
        <v>0.72</v>
      </c>
      <c r="I7314" s="2" t="s">
        <v>4761</v>
      </c>
      <c r="J7314" s="2" t="s">
        <v>3942</v>
      </c>
      <c r="K7314" s="2" t="s">
        <v>1452</v>
      </c>
      <c r="L7314" s="2" t="s">
        <v>5221</v>
      </c>
      <c r="M7314" s="2" t="s">
        <v>5721</v>
      </c>
      <c r="N7314" s="2" t="s">
        <v>2317</v>
      </c>
      <c r="O7314" s="14">
        <v>3800</v>
      </c>
      <c r="P7314" s="14">
        <v>96.32</v>
      </c>
      <c r="Q7314" s="14">
        <v>139.84</v>
      </c>
      <c r="R7314" s="14">
        <v>100.68</v>
      </c>
      <c r="S7314" s="2" t="s">
        <v>5311</v>
      </c>
      <c r="T7314" s="2">
        <v>1.94</v>
      </c>
      <c r="U7314" s="2">
        <v>61.4</v>
      </c>
      <c r="V7314" s="2">
        <v>61</v>
      </c>
      <c r="W7314" s="2" t="s">
        <v>7862</v>
      </c>
      <c r="X7314" s="2" t="s">
        <v>5028</v>
      </c>
      <c r="Y7314" s="2">
        <v>2736</v>
      </c>
      <c r="Z7314" s="19" t="str">
        <f>HYPERLINK("https://ssdweb.co/ssdweb/hd/Vision360.html?d=927140425&amp;zoomslide=1&amp;z=1927140425&amp;ISCONFIRM=0","VIDEO")</f>
        <v>VIDEO</v>
      </c>
      <c r="AA7314" s="19" t="str">
        <f>HYPERLINK("https://ssdweb.co/ssdweb/CERTH/674504041.pdf","CERTI")</f>
        <v>CERTI</v>
      </c>
    </row>
    <row r="7315" spans="1:27" ht="15" x14ac:dyDescent="0.25">
      <c r="A7315" s="2">
        <v>7310</v>
      </c>
      <c r="B7315" s="39">
        <v>941150072</v>
      </c>
      <c r="C7315" s="28" t="str">
        <f>HYPERLINK("https://pld.live/RapDetail.aspx?STONELIST=941150072","DNA")</f>
        <v>DNA</v>
      </c>
      <c r="D7315" s="18" t="s">
        <v>5847</v>
      </c>
      <c r="E7315" s="18" t="s">
        <v>2186</v>
      </c>
      <c r="F7315" s="2" t="s">
        <v>7987</v>
      </c>
      <c r="G7315" s="2" t="s">
        <v>2054</v>
      </c>
      <c r="H7315" s="14">
        <v>0.72</v>
      </c>
      <c r="I7315" s="2" t="s">
        <v>4761</v>
      </c>
      <c r="J7315" s="2" t="s">
        <v>13</v>
      </c>
      <c r="K7315" s="2" t="s">
        <v>1452</v>
      </c>
      <c r="L7315" s="2" t="s">
        <v>5221</v>
      </c>
      <c r="M7315" s="2" t="s">
        <v>5221</v>
      </c>
      <c r="N7315" s="2" t="s">
        <v>2317</v>
      </c>
      <c r="O7315" s="14">
        <v>3500</v>
      </c>
      <c r="P7315" s="14">
        <v>96.09</v>
      </c>
      <c r="Q7315" s="14">
        <v>136.85</v>
      </c>
      <c r="R7315" s="14">
        <v>98.53</v>
      </c>
      <c r="S7315" s="2" t="s">
        <v>7982</v>
      </c>
      <c r="T7315" s="2">
        <v>2.0099999999999998</v>
      </c>
      <c r="U7315" s="2">
        <v>60.6</v>
      </c>
      <c r="V7315" s="2">
        <v>61</v>
      </c>
      <c r="W7315" s="2" t="s">
        <v>7862</v>
      </c>
      <c r="X7315" s="2" t="s">
        <v>5028</v>
      </c>
      <c r="Y7315" s="2">
        <v>2520</v>
      </c>
      <c r="Z7315" s="19" t="str">
        <f>HYPERLINK("https://ssdweb.co/ssdweb/hd/Vision360.html?d=941150072&amp;zoomslide=1&amp;z=1941150072&amp;ISCONFIRM=0","VIDEO")</f>
        <v>VIDEO</v>
      </c>
      <c r="AA7315" s="19" t="str">
        <f>HYPERLINK("https://ssdweb.co/ssdweb/CERTH/675504559.pdf","CERTI")</f>
        <v>CERTI</v>
      </c>
    </row>
    <row r="7316" spans="1:27" ht="15" x14ac:dyDescent="0.25">
      <c r="A7316" s="2">
        <v>7311</v>
      </c>
      <c r="B7316" s="39">
        <v>927070920</v>
      </c>
      <c r="C7316" s="28" t="str">
        <f>HYPERLINK("https://pld.live/RapDetail.aspx?STONELIST=927070920","DNA")</f>
        <v>DNA</v>
      </c>
      <c r="D7316" s="18" t="s">
        <v>5847</v>
      </c>
      <c r="E7316" s="18" t="s">
        <v>2186</v>
      </c>
      <c r="F7316" s="2" t="s">
        <v>7987</v>
      </c>
      <c r="G7316" s="2" t="s">
        <v>2054</v>
      </c>
      <c r="H7316" s="14">
        <v>0.72</v>
      </c>
      <c r="I7316" s="2" t="s">
        <v>4761</v>
      </c>
      <c r="J7316" s="2" t="s">
        <v>13</v>
      </c>
      <c r="K7316" s="2" t="s">
        <v>1452</v>
      </c>
      <c r="L7316" s="2" t="s">
        <v>5221</v>
      </c>
      <c r="M7316" s="2" t="s">
        <v>5221</v>
      </c>
      <c r="N7316" s="2" t="s">
        <v>2317</v>
      </c>
      <c r="O7316" s="14">
        <v>3500</v>
      </c>
      <c r="P7316" s="14">
        <v>96.09</v>
      </c>
      <c r="Q7316" s="14">
        <v>136.85</v>
      </c>
      <c r="R7316" s="14">
        <v>98.53</v>
      </c>
      <c r="S7316" s="2" t="s">
        <v>2565</v>
      </c>
      <c r="T7316" s="2">
        <v>1.9</v>
      </c>
      <c r="U7316" s="2">
        <v>62.5</v>
      </c>
      <c r="V7316" s="2">
        <v>57</v>
      </c>
      <c r="W7316" s="2" t="s">
        <v>7862</v>
      </c>
      <c r="X7316" s="2" t="s">
        <v>5028</v>
      </c>
      <c r="Y7316" s="2">
        <v>2520</v>
      </c>
      <c r="Z7316" s="19" t="str">
        <f>HYPERLINK("https://ssdweb.co/ssdweb/hd/Vision360.html?d=927070920&amp;zoomslide=1&amp;z=1927070920&amp;ISCONFIRM=0","VIDEO")</f>
        <v>VIDEO</v>
      </c>
      <c r="AA7316" s="19" t="str">
        <f>HYPERLINK("https://ssdweb.co/ssdweb/CERTH/671477166.pdf","CERTI")</f>
        <v>CERTI</v>
      </c>
    </row>
    <row r="7317" spans="1:27" ht="15" x14ac:dyDescent="0.25">
      <c r="A7317" s="2">
        <v>7312</v>
      </c>
      <c r="B7317" s="39">
        <v>927010836</v>
      </c>
      <c r="C7317" s="28" t="str">
        <f>HYPERLINK("https://pld.live/RapDetail.aspx?STONELIST=927010836","DNA")</f>
        <v>DNA</v>
      </c>
      <c r="D7317" s="18" t="s">
        <v>5847</v>
      </c>
      <c r="E7317" s="18" t="s">
        <v>2186</v>
      </c>
      <c r="F7317" s="2" t="s">
        <v>7987</v>
      </c>
      <c r="G7317" s="2" t="s">
        <v>2054</v>
      </c>
      <c r="H7317" s="14">
        <v>0.72</v>
      </c>
      <c r="I7317" s="2" t="s">
        <v>4761</v>
      </c>
      <c r="J7317" s="2" t="s">
        <v>13</v>
      </c>
      <c r="K7317" s="2" t="s">
        <v>1452</v>
      </c>
      <c r="L7317" s="2" t="s">
        <v>5221</v>
      </c>
      <c r="M7317" s="2" t="s">
        <v>5721</v>
      </c>
      <c r="N7317" s="2" t="s">
        <v>2317</v>
      </c>
      <c r="O7317" s="14">
        <v>3500</v>
      </c>
      <c r="P7317" s="14">
        <v>96.14</v>
      </c>
      <c r="Q7317" s="14">
        <v>135.1</v>
      </c>
      <c r="R7317" s="14">
        <v>97.27</v>
      </c>
      <c r="S7317" s="2" t="s">
        <v>2831</v>
      </c>
      <c r="T7317" s="2">
        <v>2.12</v>
      </c>
      <c r="U7317" s="2">
        <v>59.1</v>
      </c>
      <c r="V7317" s="2">
        <v>63</v>
      </c>
      <c r="W7317" s="2" t="s">
        <v>7862</v>
      </c>
      <c r="X7317" s="2" t="s">
        <v>5028</v>
      </c>
      <c r="Y7317" s="2">
        <v>2520</v>
      </c>
      <c r="Z7317" s="19" t="str">
        <f>HYPERLINK("https://ssdweb.co/ssdweb/hd/Vision360.html?d=927010836&amp;zoomslide=1&amp;z=1927010836&amp;ISCONFIRM=0","VIDEO")</f>
        <v>VIDEO</v>
      </c>
      <c r="AA7317" s="19" t="str">
        <f>HYPERLINK("https://ssdweb.co/ssdweb/CERTH/671427938.pdf","CERTI")</f>
        <v>CERTI</v>
      </c>
    </row>
    <row r="7318" spans="1:27" ht="15" x14ac:dyDescent="0.25">
      <c r="A7318" s="2">
        <v>7313</v>
      </c>
      <c r="B7318" s="39">
        <v>926990556</v>
      </c>
      <c r="C7318" s="28" t="str">
        <f>HYPERLINK("https://pld.live/RapDetail.aspx?STONELIST=926990556","DNA")</f>
        <v>DNA</v>
      </c>
      <c r="D7318" s="18" t="s">
        <v>5847</v>
      </c>
      <c r="E7318" s="18" t="s">
        <v>2186</v>
      </c>
      <c r="F7318" s="2" t="s">
        <v>7987</v>
      </c>
      <c r="G7318" s="2" t="s">
        <v>2054</v>
      </c>
      <c r="H7318" s="14">
        <v>0.71</v>
      </c>
      <c r="I7318" s="2" t="s">
        <v>267</v>
      </c>
      <c r="J7318" s="2" t="s">
        <v>3942</v>
      </c>
      <c r="K7318" s="2" t="s">
        <v>1452</v>
      </c>
      <c r="L7318" s="2" t="s">
        <v>5221</v>
      </c>
      <c r="M7318" s="2" t="s">
        <v>5221</v>
      </c>
      <c r="N7318" s="2" t="s">
        <v>2317</v>
      </c>
      <c r="O7318" s="14">
        <v>4000</v>
      </c>
      <c r="P7318" s="14">
        <v>96.38</v>
      </c>
      <c r="Q7318" s="14">
        <v>144.80000000000001</v>
      </c>
      <c r="R7318" s="14">
        <v>102.81</v>
      </c>
      <c r="S7318" s="2" t="s">
        <v>3821</v>
      </c>
      <c r="T7318" s="2">
        <v>1.94</v>
      </c>
      <c r="U7318" s="2">
        <v>64</v>
      </c>
      <c r="V7318" s="2">
        <v>60</v>
      </c>
      <c r="W7318" s="2" t="s">
        <v>7862</v>
      </c>
      <c r="X7318" s="2" t="s">
        <v>5028</v>
      </c>
      <c r="Y7318" s="2">
        <v>2840</v>
      </c>
      <c r="Z7318" s="19" t="str">
        <f>HYPERLINK("https://ssdweb.co/ssdweb/hd/Vision360.html?d=926990556&amp;zoomslide=1&amp;z=1926990556&amp;ISCONFIRM=0","VIDEO")</f>
        <v>VIDEO</v>
      </c>
      <c r="AA7318" s="19" t="str">
        <f>HYPERLINK("https://ssdweb.co/ssdweb/CERTH/670484285.pdf","CERTI")</f>
        <v>CERTI</v>
      </c>
    </row>
    <row r="7319" spans="1:27" ht="15" x14ac:dyDescent="0.25">
      <c r="A7319" s="2">
        <v>7314</v>
      </c>
      <c r="B7319" s="39">
        <v>941140832</v>
      </c>
      <c r="C7319" s="28" t="str">
        <f>HYPERLINK("https://pld.live/RapDetail.aspx?STONELIST=941140832","DNA")</f>
        <v>DNA</v>
      </c>
      <c r="D7319" s="18" t="s">
        <v>5847</v>
      </c>
      <c r="E7319" s="18" t="s">
        <v>5128</v>
      </c>
      <c r="F7319" s="2" t="s">
        <v>7987</v>
      </c>
      <c r="G7319" s="2" t="s">
        <v>2054</v>
      </c>
      <c r="H7319" s="14">
        <v>0.71</v>
      </c>
      <c r="I7319" s="2" t="s">
        <v>4761</v>
      </c>
      <c r="J7319" s="2" t="s">
        <v>7032</v>
      </c>
      <c r="K7319" s="2" t="s">
        <v>1452</v>
      </c>
      <c r="L7319" s="2" t="s">
        <v>5221</v>
      </c>
      <c r="M7319" s="2" t="s">
        <v>5221</v>
      </c>
      <c r="N7319" s="2" t="s">
        <v>2317</v>
      </c>
      <c r="O7319" s="14">
        <v>4300</v>
      </c>
      <c r="P7319" s="14">
        <v>94.65</v>
      </c>
      <c r="Q7319" s="14">
        <v>230.05</v>
      </c>
      <c r="R7319" s="14">
        <v>163.34</v>
      </c>
      <c r="S7319" s="2" t="s">
        <v>519</v>
      </c>
      <c r="T7319" s="2">
        <v>1.91</v>
      </c>
      <c r="U7319" s="2">
        <v>63.4</v>
      </c>
      <c r="V7319" s="2">
        <v>60</v>
      </c>
      <c r="W7319" s="2" t="s">
        <v>7862</v>
      </c>
      <c r="X7319" s="2" t="s">
        <v>5028</v>
      </c>
      <c r="Y7319" s="2">
        <v>3053</v>
      </c>
      <c r="Z7319" s="19" t="str">
        <f>HYPERLINK("https://ssdweb.co/ssdweb/hd/Vision360.html?d=941140832&amp;zoomslide=1&amp;z=1941140832&amp;ISCONFIRM=0","VIDEO")</f>
        <v>VIDEO</v>
      </c>
      <c r="AA7319" s="19" t="str">
        <f>HYPERLINK("https://ssdweb.co/ssdweb/CERTH/675504558.pdf","CERTI")</f>
        <v>CERTI</v>
      </c>
    </row>
    <row r="7320" spans="1:27" ht="15" x14ac:dyDescent="0.25">
      <c r="A7320" s="2">
        <v>7315</v>
      </c>
      <c r="B7320" s="39">
        <v>941080836</v>
      </c>
      <c r="C7320" s="28" t="str">
        <f>HYPERLINK("https://pld.live/RapDetail.aspx?STONELIST=941080836","DNA")</f>
        <v>DNA</v>
      </c>
      <c r="D7320" s="18" t="s">
        <v>5847</v>
      </c>
      <c r="E7320" s="18" t="s">
        <v>2186</v>
      </c>
      <c r="F7320" s="2" t="s">
        <v>7987</v>
      </c>
      <c r="G7320" s="2" t="s">
        <v>2054</v>
      </c>
      <c r="H7320" s="14">
        <v>0.71</v>
      </c>
      <c r="I7320" s="2" t="s">
        <v>4761</v>
      </c>
      <c r="J7320" s="2" t="s">
        <v>3942</v>
      </c>
      <c r="K7320" s="2" t="s">
        <v>1452</v>
      </c>
      <c r="L7320" s="2" t="s">
        <v>5221</v>
      </c>
      <c r="M7320" s="2" t="s">
        <v>5221</v>
      </c>
      <c r="N7320" s="2" t="s">
        <v>2317</v>
      </c>
      <c r="O7320" s="14">
        <v>3800</v>
      </c>
      <c r="P7320" s="14">
        <v>96.26</v>
      </c>
      <c r="Q7320" s="14">
        <v>142.12</v>
      </c>
      <c r="R7320" s="14">
        <v>100.91</v>
      </c>
      <c r="S7320" s="2" t="s">
        <v>2304</v>
      </c>
      <c r="T7320" s="2">
        <v>1.85</v>
      </c>
      <c r="U7320" s="2">
        <v>59.7</v>
      </c>
      <c r="V7320" s="2">
        <v>62</v>
      </c>
      <c r="W7320" s="2" t="s">
        <v>7862</v>
      </c>
      <c r="X7320" s="2" t="s">
        <v>5028</v>
      </c>
      <c r="Y7320" s="2">
        <v>2698</v>
      </c>
      <c r="Z7320" s="19" t="str">
        <f>HYPERLINK("https://ssdweb.co/ssdweb/hd/Vision360.html?d=941080836&amp;zoomslide=1&amp;z=1941080836&amp;ISCONFIRM=0","VIDEO")</f>
        <v>VIDEO</v>
      </c>
      <c r="AA7320" s="19" t="str">
        <f>HYPERLINK("https://ssdweb.co/ssdweb/CERTH/674532494.pdf","CERTI")</f>
        <v>CERTI</v>
      </c>
    </row>
    <row r="7321" spans="1:27" ht="15" x14ac:dyDescent="0.25">
      <c r="A7321" s="2">
        <v>7316</v>
      </c>
      <c r="B7321" s="39">
        <v>927132552</v>
      </c>
      <c r="C7321" s="28" t="str">
        <f>HYPERLINK("https://pld.live/RapDetail.aspx?STONELIST=927132552","DNA")</f>
        <v>DNA</v>
      </c>
      <c r="D7321" s="18" t="s">
        <v>5847</v>
      </c>
      <c r="E7321" s="18" t="s">
        <v>5128</v>
      </c>
      <c r="F7321" s="2" t="s">
        <v>7987</v>
      </c>
      <c r="G7321" s="2" t="s">
        <v>2054</v>
      </c>
      <c r="H7321" s="14">
        <v>0.71</v>
      </c>
      <c r="I7321" s="2" t="s">
        <v>4761</v>
      </c>
      <c r="J7321" s="2" t="s">
        <v>3942</v>
      </c>
      <c r="K7321" s="2" t="s">
        <v>1452</v>
      </c>
      <c r="L7321" s="2" t="s">
        <v>5221</v>
      </c>
      <c r="M7321" s="2" t="s">
        <v>5721</v>
      </c>
      <c r="N7321" s="2" t="s">
        <v>2317</v>
      </c>
      <c r="O7321" s="14">
        <v>3800</v>
      </c>
      <c r="P7321" s="14">
        <v>96.32</v>
      </c>
      <c r="Q7321" s="14">
        <v>139.84</v>
      </c>
      <c r="R7321" s="14">
        <v>99.29</v>
      </c>
      <c r="S7321" s="2" t="s">
        <v>6072</v>
      </c>
      <c r="T7321" s="2">
        <v>1.9</v>
      </c>
      <c r="U7321" s="2">
        <v>62.4</v>
      </c>
      <c r="V7321" s="2">
        <v>62</v>
      </c>
      <c r="W7321" s="2" t="s">
        <v>7862</v>
      </c>
      <c r="X7321" s="2" t="s">
        <v>5028</v>
      </c>
      <c r="Y7321" s="2">
        <v>2698</v>
      </c>
      <c r="Z7321" s="19" t="str">
        <f>HYPERLINK("https://ssdweb.co/ssdweb/hd/Vision360.html?d=927132552&amp;zoomslide=1&amp;z=1927132552&amp;ISCONFIRM=0","VIDEO")</f>
        <v>VIDEO</v>
      </c>
      <c r="AA7321" s="19" t="str">
        <f>HYPERLINK("https://ssdweb.co/ssdweb/CERTH/674543020.pdf","CERTI")</f>
        <v>CERTI</v>
      </c>
    </row>
    <row r="7322" spans="1:27" ht="15" x14ac:dyDescent="0.25">
      <c r="A7322" s="2">
        <v>7317</v>
      </c>
      <c r="B7322" s="39">
        <v>927152986</v>
      </c>
      <c r="C7322" s="28" t="str">
        <f>HYPERLINK("https://pld.live/RapDetail.aspx?STONELIST=927152986","DNA")</f>
        <v>DNA</v>
      </c>
      <c r="D7322" s="18" t="s">
        <v>5847</v>
      </c>
      <c r="E7322" s="18" t="s">
        <v>5128</v>
      </c>
      <c r="F7322" s="2" t="s">
        <v>7987</v>
      </c>
      <c r="G7322" s="2" t="s">
        <v>2054</v>
      </c>
      <c r="H7322" s="14">
        <v>0.71</v>
      </c>
      <c r="I7322" s="2" t="s">
        <v>4761</v>
      </c>
      <c r="J7322" s="2" t="s">
        <v>13</v>
      </c>
      <c r="K7322" s="2" t="s">
        <v>1452</v>
      </c>
      <c r="L7322" s="2" t="s">
        <v>5221</v>
      </c>
      <c r="M7322" s="2" t="s">
        <v>5721</v>
      </c>
      <c r="N7322" s="2" t="s">
        <v>2317</v>
      </c>
      <c r="O7322" s="14">
        <v>3500</v>
      </c>
      <c r="P7322" s="14">
        <v>96.14</v>
      </c>
      <c r="Q7322" s="14">
        <v>135.1</v>
      </c>
      <c r="R7322" s="14">
        <v>95.92</v>
      </c>
      <c r="S7322" s="2" t="s">
        <v>5792</v>
      </c>
      <c r="T7322" s="2">
        <v>1.86</v>
      </c>
      <c r="U7322" s="2">
        <v>64</v>
      </c>
      <c r="V7322" s="2">
        <v>57</v>
      </c>
      <c r="W7322" s="2" t="s">
        <v>7862</v>
      </c>
      <c r="X7322" s="2" t="s">
        <v>5028</v>
      </c>
      <c r="Y7322" s="2">
        <v>2485</v>
      </c>
      <c r="Z7322" s="19" t="str">
        <f>HYPERLINK("https://ssdweb.co/ssdweb/hd/Vision360.html?d=927152986&amp;zoomslide=1&amp;z=1927152986&amp;ISCONFIRM=0","VIDEO")</f>
        <v>VIDEO</v>
      </c>
      <c r="AA7322" s="19" t="str">
        <f>HYPERLINK("https://ssdweb.co/ssdweb/CERTH/675596613.pdf","CERTI")</f>
        <v>CERTI</v>
      </c>
    </row>
    <row r="7323" spans="1:27" ht="15" x14ac:dyDescent="0.25">
      <c r="A7323" s="2">
        <v>7318</v>
      </c>
      <c r="B7323" s="39">
        <v>926360087</v>
      </c>
      <c r="C7323" s="28" t="str">
        <f>HYPERLINK("https://pld.live/RapDetail.aspx?STONELIST=926360087","DNA")</f>
        <v>DNA</v>
      </c>
      <c r="D7323" s="18" t="s">
        <v>5847</v>
      </c>
      <c r="E7323" s="18" t="s">
        <v>2186</v>
      </c>
      <c r="F7323" s="2" t="s">
        <v>7987</v>
      </c>
      <c r="G7323" s="2" t="s">
        <v>2054</v>
      </c>
      <c r="H7323" s="14">
        <v>0.71</v>
      </c>
      <c r="I7323" s="2" t="s">
        <v>6587</v>
      </c>
      <c r="J7323" s="2" t="s">
        <v>13</v>
      </c>
      <c r="K7323" s="2" t="s">
        <v>1452</v>
      </c>
      <c r="L7323" s="2" t="s">
        <v>5221</v>
      </c>
      <c r="M7323" s="2" t="s">
        <v>5721</v>
      </c>
      <c r="N7323" s="2" t="s">
        <v>2317</v>
      </c>
      <c r="O7323" s="14">
        <v>3100</v>
      </c>
      <c r="P7323" s="14">
        <v>96.1</v>
      </c>
      <c r="Q7323" s="14">
        <v>120.9</v>
      </c>
      <c r="R7323" s="14">
        <v>85.84</v>
      </c>
      <c r="S7323" s="2" t="s">
        <v>5551</v>
      </c>
      <c r="T7323" s="2">
        <v>1.97</v>
      </c>
      <c r="U7323" s="2">
        <v>62.9</v>
      </c>
      <c r="V7323" s="2">
        <v>58</v>
      </c>
      <c r="W7323" s="2" t="s">
        <v>7862</v>
      </c>
      <c r="X7323" s="2" t="s">
        <v>5028</v>
      </c>
      <c r="Y7323" s="2">
        <v>2201</v>
      </c>
      <c r="Z7323" s="19" t="str">
        <f>HYPERLINK("https://ssdweb.co/ssdweb/hd/Vision360.html?d=926360087&amp;zoomslide=1&amp;z=1926360087&amp;ISCONFIRM=0","VIDEO")</f>
        <v>VIDEO</v>
      </c>
      <c r="AA7323" s="19" t="str">
        <f>HYPERLINK("https://ssdweb.co/ssdweb/CERTH/640419154.pdf","CERTI")</f>
        <v>CERTI</v>
      </c>
    </row>
    <row r="7324" spans="1:27" ht="15" x14ac:dyDescent="0.25">
      <c r="A7324" s="2">
        <v>7319</v>
      </c>
      <c r="B7324" s="39">
        <v>920470186</v>
      </c>
      <c r="C7324" s="28" t="str">
        <f>HYPERLINK("https://pld.live/RapDetail.aspx?STONELIST=920470186","DNA")</f>
        <v>DNA</v>
      </c>
      <c r="D7324" s="18" t="s">
        <v>5847</v>
      </c>
      <c r="E7324" s="18" t="s">
        <v>7909</v>
      </c>
      <c r="F7324" s="2" t="s">
        <v>7987</v>
      </c>
      <c r="G7324" s="2" t="s">
        <v>2054</v>
      </c>
      <c r="H7324" s="14">
        <v>0.71</v>
      </c>
      <c r="I7324" s="2" t="s">
        <v>6845</v>
      </c>
      <c r="J7324" s="2" t="s">
        <v>13</v>
      </c>
      <c r="K7324" s="2" t="s">
        <v>1452</v>
      </c>
      <c r="L7324" s="2" t="s">
        <v>5221</v>
      </c>
      <c r="M7324" s="2" t="s">
        <v>5221</v>
      </c>
      <c r="N7324" s="2" t="s">
        <v>2317</v>
      </c>
      <c r="O7324" s="14">
        <v>1600</v>
      </c>
      <c r="P7324" s="14">
        <v>86.25</v>
      </c>
      <c r="Q7324" s="14">
        <v>220</v>
      </c>
      <c r="R7324" s="14">
        <v>156.19999999999999</v>
      </c>
      <c r="S7324" s="2" t="s">
        <v>5010</v>
      </c>
      <c r="T7324" s="2">
        <v>2.15</v>
      </c>
      <c r="U7324" s="2">
        <v>63.6</v>
      </c>
      <c r="V7324" s="2">
        <v>60</v>
      </c>
      <c r="W7324" s="2" t="s">
        <v>7862</v>
      </c>
      <c r="X7324" s="2" t="s">
        <v>5028</v>
      </c>
      <c r="Y7324" s="2">
        <v>1136</v>
      </c>
      <c r="Z7324" s="19" t="str">
        <f>HYPERLINK("https://ssdweb.co/ssdweb/hd/Vision360.html?d=920470186&amp;zoomslide=1&amp;z=1920470186&amp;ISCONFIRM=0","VIDEO")</f>
        <v>VIDEO</v>
      </c>
      <c r="AA7324" s="19" t="str">
        <f>HYPERLINK("https://ssdweb.co/ssdweb/CERTH/624499494.pdf","CERTI")</f>
        <v>CERTI</v>
      </c>
    </row>
    <row r="7325" spans="1:27" ht="15" x14ac:dyDescent="0.25">
      <c r="A7325" s="2">
        <v>7320</v>
      </c>
      <c r="B7325" s="39">
        <v>941390559</v>
      </c>
      <c r="C7325" s="28" t="str">
        <f>HYPERLINK("https://pld.live/RapDetail.aspx?STONELIST=941390559","DNA")</f>
        <v>DNA</v>
      </c>
      <c r="D7325" s="18" t="s">
        <v>5847</v>
      </c>
      <c r="E7325" s="18" t="s">
        <v>2186</v>
      </c>
      <c r="F7325" s="2" t="s">
        <v>7987</v>
      </c>
      <c r="G7325" s="2" t="s">
        <v>2054</v>
      </c>
      <c r="H7325" s="14">
        <v>0.7</v>
      </c>
      <c r="I7325" s="2" t="s">
        <v>267</v>
      </c>
      <c r="J7325" s="2" t="s">
        <v>3942</v>
      </c>
      <c r="K7325" s="2" t="s">
        <v>1452</v>
      </c>
      <c r="L7325" s="2" t="s">
        <v>5221</v>
      </c>
      <c r="M7325" s="2" t="s">
        <v>5221</v>
      </c>
      <c r="N7325" s="2" t="s">
        <v>2317</v>
      </c>
      <c r="O7325" s="14">
        <v>4000</v>
      </c>
      <c r="P7325" s="14">
        <v>96.38</v>
      </c>
      <c r="Q7325" s="14">
        <v>144.80000000000001</v>
      </c>
      <c r="R7325" s="14">
        <v>101.36</v>
      </c>
      <c r="S7325" s="2" t="s">
        <v>2066</v>
      </c>
      <c r="T7325" s="2">
        <v>1.91</v>
      </c>
      <c r="U7325" s="2">
        <v>61.7</v>
      </c>
      <c r="V7325" s="2">
        <v>61</v>
      </c>
      <c r="W7325" s="2" t="s">
        <v>7862</v>
      </c>
      <c r="X7325" s="2" t="s">
        <v>5028</v>
      </c>
      <c r="Y7325" s="2">
        <v>2800</v>
      </c>
      <c r="Z7325" s="19" t="str">
        <f>HYPERLINK("https://ssdweb.co/ssdweb/hd/Vision360.html?d=941390559&amp;zoomslide=1&amp;z=1941390559&amp;ISCONFIRM=0","VIDEO")</f>
        <v>VIDEO</v>
      </c>
      <c r="AA7325" s="19" t="str">
        <f>HYPERLINK("https://ssdweb.co/ssdweb/CERTH/691577902.pdf","CERTI")</f>
        <v>CERTI</v>
      </c>
    </row>
    <row r="7326" spans="1:27" ht="15" x14ac:dyDescent="0.25">
      <c r="A7326" s="2">
        <v>7321</v>
      </c>
      <c r="B7326" s="39">
        <v>941021789</v>
      </c>
      <c r="C7326" s="28" t="str">
        <f>HYPERLINK("https://pld.live/RapDetail.aspx?STONELIST=941021789","DNA")</f>
        <v>DNA</v>
      </c>
      <c r="D7326" s="18" t="s">
        <v>5847</v>
      </c>
      <c r="E7326" s="18" t="s">
        <v>5128</v>
      </c>
      <c r="F7326" s="2" t="s">
        <v>7987</v>
      </c>
      <c r="G7326" s="2" t="s">
        <v>2054</v>
      </c>
      <c r="H7326" s="14">
        <v>0.7</v>
      </c>
      <c r="I7326" s="2" t="s">
        <v>267</v>
      </c>
      <c r="J7326" s="2" t="s">
        <v>3942</v>
      </c>
      <c r="K7326" s="2" t="s">
        <v>1452</v>
      </c>
      <c r="L7326" s="2" t="s">
        <v>5221</v>
      </c>
      <c r="M7326" s="2" t="s">
        <v>5221</v>
      </c>
      <c r="N7326" s="2" t="s">
        <v>2317</v>
      </c>
      <c r="O7326" s="14">
        <v>4000</v>
      </c>
      <c r="P7326" s="14">
        <v>96.38</v>
      </c>
      <c r="Q7326" s="14">
        <v>144.80000000000001</v>
      </c>
      <c r="R7326" s="14">
        <v>101.36</v>
      </c>
      <c r="S7326" s="2" t="s">
        <v>7407</v>
      </c>
      <c r="T7326" s="2">
        <v>1.85</v>
      </c>
      <c r="U7326" s="2">
        <v>63.2</v>
      </c>
      <c r="V7326" s="2">
        <v>60</v>
      </c>
      <c r="W7326" s="2" t="s">
        <v>7862</v>
      </c>
      <c r="X7326" s="2" t="s">
        <v>5028</v>
      </c>
      <c r="Y7326" s="2">
        <v>2800</v>
      </c>
      <c r="Z7326" s="19" t="str">
        <f>HYPERLINK("https://ssdweb.co/ssdweb/hd/Vision360.html?d=941021789&amp;zoomslide=1&amp;z=1941021789&amp;ISCONFIRM=0","VIDEO")</f>
        <v>VIDEO</v>
      </c>
      <c r="AA7326" s="19" t="str">
        <f>HYPERLINK("https://ssdweb.co/ssdweb/CERTH/674504037.pdf","CERTI")</f>
        <v>CERTI</v>
      </c>
    </row>
    <row r="7327" spans="1:27" ht="15" x14ac:dyDescent="0.25">
      <c r="A7327" s="2">
        <v>7322</v>
      </c>
      <c r="B7327" s="39">
        <v>941140793</v>
      </c>
      <c r="C7327" s="28" t="str">
        <f>HYPERLINK("https://pld.live/RapDetail.aspx?STONELIST=941140793","DNA")</f>
        <v>DNA</v>
      </c>
      <c r="D7327" s="18" t="s">
        <v>5847</v>
      </c>
      <c r="E7327" s="18" t="s">
        <v>5128</v>
      </c>
      <c r="F7327" s="2" t="s">
        <v>7987</v>
      </c>
      <c r="G7327" s="2" t="s">
        <v>2054</v>
      </c>
      <c r="H7327" s="14">
        <v>0.7</v>
      </c>
      <c r="I7327" s="2" t="s">
        <v>267</v>
      </c>
      <c r="J7327" s="2" t="s">
        <v>3942</v>
      </c>
      <c r="K7327" s="2" t="s">
        <v>1452</v>
      </c>
      <c r="L7327" s="2" t="s">
        <v>5221</v>
      </c>
      <c r="M7327" s="2" t="s">
        <v>5721</v>
      </c>
      <c r="N7327" s="2" t="s">
        <v>2317</v>
      </c>
      <c r="O7327" s="14">
        <v>4000</v>
      </c>
      <c r="P7327" s="14">
        <v>96.43</v>
      </c>
      <c r="Q7327" s="14">
        <v>142.80000000000001</v>
      </c>
      <c r="R7327" s="14">
        <v>99.96</v>
      </c>
      <c r="S7327" s="2" t="s">
        <v>1047</v>
      </c>
      <c r="T7327" s="2">
        <v>1.87</v>
      </c>
      <c r="U7327" s="2">
        <v>63.1</v>
      </c>
      <c r="V7327" s="2">
        <v>61</v>
      </c>
      <c r="W7327" s="2" t="s">
        <v>7862</v>
      </c>
      <c r="X7327" s="2" t="s">
        <v>5028</v>
      </c>
      <c r="Y7327" s="2">
        <v>2800</v>
      </c>
      <c r="Z7327" s="19" t="str">
        <f>HYPERLINK("https://ssdweb.co/ssdweb/hd/Vision360.html?d=941140793&amp;zoomslide=1&amp;z=1941140793&amp;ISCONFIRM=0","VIDEO")</f>
        <v>VIDEO</v>
      </c>
      <c r="AA7327" s="19" t="str">
        <f>HYPERLINK("https://ssdweb.co/ssdweb/CERTH/675504590.pdf","CERTI")</f>
        <v>CERTI</v>
      </c>
    </row>
    <row r="7328" spans="1:27" ht="15" x14ac:dyDescent="0.25">
      <c r="A7328" s="2">
        <v>7323</v>
      </c>
      <c r="B7328" s="39">
        <v>927132496</v>
      </c>
      <c r="C7328" s="28" t="str">
        <f>HYPERLINK("https://pld.live/RapDetail.aspx?STONELIST=927132496","DNA")</f>
        <v>DNA</v>
      </c>
      <c r="D7328" s="18" t="s">
        <v>5847</v>
      </c>
      <c r="E7328" s="18" t="s">
        <v>5128</v>
      </c>
      <c r="F7328" s="2" t="s">
        <v>7987</v>
      </c>
      <c r="G7328" s="2" t="s">
        <v>2054</v>
      </c>
      <c r="H7328" s="14">
        <v>0.7</v>
      </c>
      <c r="I7328" s="2" t="s">
        <v>267</v>
      </c>
      <c r="J7328" s="2" t="s">
        <v>3942</v>
      </c>
      <c r="K7328" s="2" t="s">
        <v>1452</v>
      </c>
      <c r="L7328" s="2" t="s">
        <v>5221</v>
      </c>
      <c r="M7328" s="2" t="s">
        <v>5721</v>
      </c>
      <c r="N7328" s="2" t="s">
        <v>2317</v>
      </c>
      <c r="O7328" s="14">
        <v>4000</v>
      </c>
      <c r="P7328" s="14">
        <v>96.43</v>
      </c>
      <c r="Q7328" s="14">
        <v>142.80000000000001</v>
      </c>
      <c r="R7328" s="14">
        <v>99.96</v>
      </c>
      <c r="S7328" s="2" t="s">
        <v>3641</v>
      </c>
      <c r="T7328" s="2">
        <v>1.88</v>
      </c>
      <c r="U7328" s="2">
        <v>62.8</v>
      </c>
      <c r="V7328" s="2">
        <v>60</v>
      </c>
      <c r="W7328" s="2" t="s">
        <v>7862</v>
      </c>
      <c r="X7328" s="2" t="s">
        <v>5028</v>
      </c>
      <c r="Y7328" s="2">
        <v>2800</v>
      </c>
      <c r="Z7328" s="19" t="str">
        <f>HYPERLINK("https://ssdweb.co/ssdweb/hd/Vision360.html?d=927132496&amp;zoomslide=1&amp;z=1927132496&amp;ISCONFIRM=0","VIDEO")</f>
        <v>VIDEO</v>
      </c>
      <c r="AA7328" s="19" t="str">
        <f>HYPERLINK("https://ssdweb.co/ssdweb/CERTH/674504050.pdf","CERTI")</f>
        <v>CERTI</v>
      </c>
    </row>
    <row r="7329" spans="1:27" ht="15" x14ac:dyDescent="0.25">
      <c r="A7329" s="2">
        <v>7324</v>
      </c>
      <c r="B7329" s="39">
        <v>927102499</v>
      </c>
      <c r="C7329" s="28" t="str">
        <f>HYPERLINK("https://pld.live/RapDetail.aspx?STONELIST=927102499","DNA")</f>
        <v>DNA</v>
      </c>
      <c r="D7329" s="18" t="s">
        <v>5847</v>
      </c>
      <c r="E7329" s="18" t="s">
        <v>5128</v>
      </c>
      <c r="F7329" s="2" t="s">
        <v>7987</v>
      </c>
      <c r="G7329" s="2" t="s">
        <v>2054</v>
      </c>
      <c r="H7329" s="14">
        <v>0.7</v>
      </c>
      <c r="I7329" s="2" t="s">
        <v>267</v>
      </c>
      <c r="J7329" s="2" t="s">
        <v>3942</v>
      </c>
      <c r="K7329" s="2" t="s">
        <v>1452</v>
      </c>
      <c r="L7329" s="2" t="s">
        <v>5721</v>
      </c>
      <c r="M7329" s="2" t="s">
        <v>5221</v>
      </c>
      <c r="N7329" s="2" t="s">
        <v>2317</v>
      </c>
      <c r="O7329" s="14">
        <v>4000</v>
      </c>
      <c r="P7329" s="14">
        <v>96.43</v>
      </c>
      <c r="Q7329" s="14">
        <v>142.80000000000001</v>
      </c>
      <c r="R7329" s="14">
        <v>99.96</v>
      </c>
      <c r="S7329" s="2" t="s">
        <v>7193</v>
      </c>
      <c r="T7329" s="2">
        <v>1.86</v>
      </c>
      <c r="U7329" s="2">
        <v>59.7</v>
      </c>
      <c r="V7329" s="2">
        <v>63</v>
      </c>
      <c r="W7329" s="2" t="s">
        <v>7862</v>
      </c>
      <c r="X7329" s="2" t="s">
        <v>5028</v>
      </c>
      <c r="Y7329" s="2">
        <v>2800</v>
      </c>
      <c r="Z7329" s="19" t="str">
        <f>HYPERLINK("https://ssdweb.co/ssdweb/hd/Vision360.html?d=927102499&amp;zoomslide=1&amp;z=1927102499&amp;ISCONFIRM=0","VIDEO")</f>
        <v>VIDEO</v>
      </c>
      <c r="AA7329" s="19" t="str">
        <f>HYPERLINK("https://ssdweb.co/ssdweb/CERTH/674504047.pdf","CERTI")</f>
        <v>CERTI</v>
      </c>
    </row>
    <row r="7330" spans="1:27" ht="15" x14ac:dyDescent="0.25">
      <c r="A7330" s="2">
        <v>7325</v>
      </c>
      <c r="B7330" s="39">
        <v>926790843</v>
      </c>
      <c r="C7330" s="28" t="str">
        <f>HYPERLINK("https://pld.live/RapDetail.aspx?STONELIST=926790843","DNA")</f>
        <v>DNA</v>
      </c>
      <c r="D7330" s="18" t="s">
        <v>5847</v>
      </c>
      <c r="E7330" s="18" t="s">
        <v>2186</v>
      </c>
      <c r="F7330" s="2" t="s">
        <v>7987</v>
      </c>
      <c r="G7330" s="2" t="s">
        <v>2054</v>
      </c>
      <c r="H7330" s="14">
        <v>0.7</v>
      </c>
      <c r="I7330" s="2" t="s">
        <v>267</v>
      </c>
      <c r="J7330" s="2" t="s">
        <v>3942</v>
      </c>
      <c r="K7330" s="2" t="s">
        <v>1452</v>
      </c>
      <c r="L7330" s="2" t="s">
        <v>5721</v>
      </c>
      <c r="M7330" s="2" t="s">
        <v>5721</v>
      </c>
      <c r="N7330" s="2" t="s">
        <v>2317</v>
      </c>
      <c r="O7330" s="14">
        <v>4000</v>
      </c>
      <c r="P7330" s="14">
        <v>96.48</v>
      </c>
      <c r="Q7330" s="14">
        <v>140.80000000000001</v>
      </c>
      <c r="R7330" s="14">
        <v>98.56</v>
      </c>
      <c r="S7330" s="2" t="s">
        <v>2703</v>
      </c>
      <c r="T7330" s="2">
        <v>1.84</v>
      </c>
      <c r="U7330" s="2">
        <v>63.7</v>
      </c>
      <c r="V7330" s="2">
        <v>61</v>
      </c>
      <c r="W7330" s="2" t="s">
        <v>7862</v>
      </c>
      <c r="X7330" s="2" t="s">
        <v>5028</v>
      </c>
      <c r="Y7330" s="2">
        <v>2800</v>
      </c>
      <c r="Z7330" s="19" t="str">
        <f>HYPERLINK("https://ssdweb.co/ssdweb/hd/Vision360.html?d=926790843&amp;zoomslide=1&amp;z=1926790843&amp;ISCONFIRM=0","VIDEO")</f>
        <v>VIDEO</v>
      </c>
      <c r="AA7330" s="19" t="str">
        <f>HYPERLINK("https://ssdweb.co/ssdweb/CERTH/653427361.pdf","CERTI")</f>
        <v>CERTI</v>
      </c>
    </row>
    <row r="7331" spans="1:27" ht="15" x14ac:dyDescent="0.25">
      <c r="A7331" s="2">
        <v>7326</v>
      </c>
      <c r="B7331" s="39">
        <v>925850997</v>
      </c>
      <c r="C7331" s="28" t="str">
        <f>HYPERLINK("https://pld.live/RapDetail.aspx?STONELIST=925850997","DNA")</f>
        <v>DNA</v>
      </c>
      <c r="D7331" s="18" t="s">
        <v>5847</v>
      </c>
      <c r="E7331" s="18" t="s">
        <v>5128</v>
      </c>
      <c r="F7331" s="2" t="s">
        <v>7987</v>
      </c>
      <c r="G7331" s="2" t="s">
        <v>2054</v>
      </c>
      <c r="H7331" s="14">
        <v>0.7</v>
      </c>
      <c r="I7331" s="2" t="s">
        <v>267</v>
      </c>
      <c r="J7331" s="2" t="s">
        <v>13</v>
      </c>
      <c r="K7331" s="2" t="s">
        <v>1452</v>
      </c>
      <c r="L7331" s="2" t="s">
        <v>5221</v>
      </c>
      <c r="M7331" s="2" t="s">
        <v>5221</v>
      </c>
      <c r="N7331" s="2" t="s">
        <v>2317</v>
      </c>
      <c r="O7331" s="14">
        <v>3700</v>
      </c>
      <c r="P7331" s="14">
        <v>96.38</v>
      </c>
      <c r="Q7331" s="14">
        <v>133.94</v>
      </c>
      <c r="R7331" s="14">
        <v>93.76</v>
      </c>
      <c r="S7331" s="2" t="s">
        <v>1303</v>
      </c>
      <c r="T7331" s="2">
        <v>1.9</v>
      </c>
      <c r="U7331" s="2">
        <v>63.3</v>
      </c>
      <c r="V7331" s="2">
        <v>57</v>
      </c>
      <c r="W7331" s="2" t="s">
        <v>7862</v>
      </c>
      <c r="X7331" s="2" t="s">
        <v>5028</v>
      </c>
      <c r="Y7331" s="2">
        <v>2590</v>
      </c>
      <c r="Z7331" s="19" t="str">
        <f>HYPERLINK("https://ssdweb.co/ssdweb/hd/Vision360.html?d=925850997&amp;zoomslide=1&amp;z=1925850997&amp;ISCONFIRM=0","VIDEO")</f>
        <v>VIDEO</v>
      </c>
      <c r="AA7331" s="19" t="str">
        <f>HYPERLINK("https://ssdweb.co/ssdweb/CERTH/627497011.pdf","CERTI")</f>
        <v>CERTI</v>
      </c>
    </row>
    <row r="7332" spans="1:27" ht="15" x14ac:dyDescent="0.25">
      <c r="A7332" s="2">
        <v>7327</v>
      </c>
      <c r="B7332" s="39">
        <v>926960877</v>
      </c>
      <c r="C7332" s="28" t="str">
        <f>HYPERLINK("https://pld.live/RapDetail.aspx?STONELIST=926960877","DNA")</f>
        <v>DNA</v>
      </c>
      <c r="D7332" s="18" t="s">
        <v>5847</v>
      </c>
      <c r="E7332" s="18" t="s">
        <v>5128</v>
      </c>
      <c r="F7332" s="2" t="s">
        <v>7987</v>
      </c>
      <c r="G7332" s="2" t="s">
        <v>2054</v>
      </c>
      <c r="H7332" s="14">
        <v>0.7</v>
      </c>
      <c r="I7332" s="2" t="s">
        <v>267</v>
      </c>
      <c r="J7332" s="2" t="s">
        <v>13</v>
      </c>
      <c r="K7332" s="2" t="s">
        <v>1452</v>
      </c>
      <c r="L7332" s="2" t="s">
        <v>5221</v>
      </c>
      <c r="M7332" s="2" t="s">
        <v>5221</v>
      </c>
      <c r="N7332" s="2" t="s">
        <v>2317</v>
      </c>
      <c r="O7332" s="14">
        <v>3700</v>
      </c>
      <c r="P7332" s="14">
        <v>96.22</v>
      </c>
      <c r="Q7332" s="14">
        <v>139.86000000000001</v>
      </c>
      <c r="R7332" s="14">
        <v>97.9</v>
      </c>
      <c r="S7332" s="2" t="s">
        <v>3077</v>
      </c>
      <c r="T7332" s="2">
        <v>1.91</v>
      </c>
      <c r="U7332" s="2">
        <v>62.2</v>
      </c>
      <c r="V7332" s="2">
        <v>58</v>
      </c>
      <c r="W7332" s="2" t="s">
        <v>7862</v>
      </c>
      <c r="X7332" s="2" t="s">
        <v>5028</v>
      </c>
      <c r="Y7332" s="2">
        <v>2590</v>
      </c>
      <c r="Z7332" s="19" t="str">
        <f>HYPERLINK("https://ssdweb.co/ssdweb/hd/Vision360.html?d=926960877&amp;zoomslide=1&amp;z=1926960877&amp;ISCONFIRM=0","VIDEO")</f>
        <v>VIDEO</v>
      </c>
      <c r="AA7332" s="19" t="str">
        <f>HYPERLINK("https://ssdweb.co/ssdweb/CERTH/669458156.pdf","CERTI")</f>
        <v>CERTI</v>
      </c>
    </row>
    <row r="7333" spans="1:27" ht="15" x14ac:dyDescent="0.25">
      <c r="A7333" s="2">
        <v>7328</v>
      </c>
      <c r="B7333" s="39">
        <v>927132648</v>
      </c>
      <c r="C7333" s="28" t="str">
        <f>HYPERLINK("https://pld.live/RapDetail.aspx?STONELIST=927132648","DNA")</f>
        <v>DNA</v>
      </c>
      <c r="D7333" s="18" t="s">
        <v>5847</v>
      </c>
      <c r="E7333" s="18" t="s">
        <v>5128</v>
      </c>
      <c r="F7333" s="2" t="s">
        <v>7987</v>
      </c>
      <c r="G7333" s="2" t="s">
        <v>2054</v>
      </c>
      <c r="H7333" s="14">
        <v>0.7</v>
      </c>
      <c r="I7333" s="2" t="s">
        <v>267</v>
      </c>
      <c r="J7333" s="2" t="s">
        <v>13</v>
      </c>
      <c r="K7333" s="2" t="s">
        <v>1452</v>
      </c>
      <c r="L7333" s="2" t="s">
        <v>5221</v>
      </c>
      <c r="M7333" s="2" t="s">
        <v>5721</v>
      </c>
      <c r="N7333" s="2" t="s">
        <v>2317</v>
      </c>
      <c r="O7333" s="14">
        <v>3700</v>
      </c>
      <c r="P7333" s="14">
        <v>96.27</v>
      </c>
      <c r="Q7333" s="14">
        <v>138.01</v>
      </c>
      <c r="R7333" s="14">
        <v>96.61</v>
      </c>
      <c r="S7333" s="2" t="s">
        <v>1429</v>
      </c>
      <c r="T7333" s="2">
        <v>1.86</v>
      </c>
      <c r="U7333" s="2">
        <v>62.4</v>
      </c>
      <c r="V7333" s="2">
        <v>60</v>
      </c>
      <c r="W7333" s="2" t="s">
        <v>7862</v>
      </c>
      <c r="X7333" s="2" t="s">
        <v>5028</v>
      </c>
      <c r="Y7333" s="2">
        <v>2590</v>
      </c>
      <c r="Z7333" s="19" t="str">
        <f>HYPERLINK("https://ssdweb.co/ssdweb/hd/Vision360.html?d=927132648&amp;zoomslide=1&amp;z=1927132648&amp;ISCONFIRM=0","VIDEO")</f>
        <v>VIDEO</v>
      </c>
      <c r="AA7333" s="19" t="str">
        <f>HYPERLINK("https://ssdweb.co/ssdweb/CERTH/677510869.pdf","CERTI")</f>
        <v>CERTI</v>
      </c>
    </row>
    <row r="7334" spans="1:27" ht="15" x14ac:dyDescent="0.25">
      <c r="A7334" s="2">
        <v>7329</v>
      </c>
      <c r="B7334" s="39">
        <v>925851227</v>
      </c>
      <c r="C7334" s="28" t="str">
        <f>HYPERLINK("https://pld.live/RapDetail.aspx?STONELIST=925851227","DNA")</f>
        <v>DNA</v>
      </c>
      <c r="D7334" s="18" t="s">
        <v>5847</v>
      </c>
      <c r="E7334" s="18" t="s">
        <v>5128</v>
      </c>
      <c r="F7334" s="2" t="s">
        <v>7987</v>
      </c>
      <c r="G7334" s="2" t="s">
        <v>2054</v>
      </c>
      <c r="H7334" s="14">
        <v>0.7</v>
      </c>
      <c r="I7334" s="2" t="s">
        <v>267</v>
      </c>
      <c r="J7334" s="2" t="s">
        <v>5144</v>
      </c>
      <c r="K7334" s="2" t="s">
        <v>1452</v>
      </c>
      <c r="L7334" s="2" t="s">
        <v>5221</v>
      </c>
      <c r="M7334" s="2" t="s">
        <v>5721</v>
      </c>
      <c r="N7334" s="2" t="s">
        <v>2317</v>
      </c>
      <c r="O7334" s="14">
        <v>3400</v>
      </c>
      <c r="P7334" s="14">
        <v>96.26</v>
      </c>
      <c r="Q7334" s="14">
        <v>127.16</v>
      </c>
      <c r="R7334" s="14">
        <v>89.01</v>
      </c>
      <c r="S7334" s="2" t="s">
        <v>4550</v>
      </c>
      <c r="T7334" s="2">
        <v>1.92</v>
      </c>
      <c r="U7334" s="2">
        <v>62.7</v>
      </c>
      <c r="V7334" s="2">
        <v>57</v>
      </c>
      <c r="W7334" s="2" t="s">
        <v>7862</v>
      </c>
      <c r="X7334" s="2" t="s">
        <v>5028</v>
      </c>
      <c r="Y7334" s="2">
        <v>2380</v>
      </c>
      <c r="Z7334" s="19" t="str">
        <f>HYPERLINK("https://ssdweb.co/ssdweb/hd/Vision360.html?d=925851227&amp;zoomslide=1&amp;z=1925851227&amp;ISCONFIRM=0","VIDEO")</f>
        <v>VIDEO</v>
      </c>
      <c r="AA7334" s="19" t="str">
        <f>HYPERLINK("https://ssdweb.co/ssdweb/CERTH/628426764.pdf","CERTI")</f>
        <v>CERTI</v>
      </c>
    </row>
    <row r="7335" spans="1:27" ht="15" x14ac:dyDescent="0.25">
      <c r="A7335" s="2">
        <v>7330</v>
      </c>
      <c r="B7335" s="39">
        <v>927102477</v>
      </c>
      <c r="C7335" s="28" t="str">
        <f>HYPERLINK("https://pld.live/RapDetail.aspx?STONELIST=927102477","DNA")</f>
        <v>DNA</v>
      </c>
      <c r="D7335" s="18" t="s">
        <v>5847</v>
      </c>
      <c r="E7335" s="18" t="s">
        <v>5128</v>
      </c>
      <c r="F7335" s="2" t="s">
        <v>7987</v>
      </c>
      <c r="G7335" s="2" t="s">
        <v>2054</v>
      </c>
      <c r="H7335" s="14">
        <v>0.7</v>
      </c>
      <c r="I7335" s="2" t="s">
        <v>4761</v>
      </c>
      <c r="J7335" s="2" t="s">
        <v>6555</v>
      </c>
      <c r="K7335" s="2" t="s">
        <v>1452</v>
      </c>
      <c r="L7335" s="2" t="s">
        <v>5221</v>
      </c>
      <c r="M7335" s="2" t="s">
        <v>5221</v>
      </c>
      <c r="N7335" s="2" t="s">
        <v>2317</v>
      </c>
      <c r="O7335" s="14">
        <v>4000</v>
      </c>
      <c r="P7335" s="14">
        <v>96.13</v>
      </c>
      <c r="Q7335" s="14">
        <v>154.80000000000001</v>
      </c>
      <c r="R7335" s="14">
        <v>108.36</v>
      </c>
      <c r="S7335" s="2" t="s">
        <v>6021</v>
      </c>
      <c r="T7335" s="2">
        <v>1.91</v>
      </c>
      <c r="U7335" s="2">
        <v>64.099999999999994</v>
      </c>
      <c r="V7335" s="2">
        <v>61</v>
      </c>
      <c r="W7335" s="2" t="s">
        <v>7862</v>
      </c>
      <c r="X7335" s="2" t="s">
        <v>5028</v>
      </c>
      <c r="Y7335" s="2">
        <v>2800</v>
      </c>
      <c r="Z7335" s="19" t="str">
        <f>HYPERLINK("https://ssdweb.co/ssdweb/hd/Vision360.html?d=927102477&amp;zoomslide=1&amp;z=1927102477&amp;ISCONFIRM=0","VIDEO")</f>
        <v>VIDEO</v>
      </c>
      <c r="AA7335" s="19" t="str">
        <f>HYPERLINK("https://ssdweb.co/ssdweb/CERTH/671477189.pdf","CERTI")</f>
        <v>CERTI</v>
      </c>
    </row>
    <row r="7336" spans="1:27" ht="15" x14ac:dyDescent="0.25">
      <c r="A7336" s="2">
        <v>7331</v>
      </c>
      <c r="B7336" s="39">
        <v>926980712</v>
      </c>
      <c r="C7336" s="28" t="str">
        <f>HYPERLINK("https://pld.live/RapDetail.aspx?STONELIST=926980712","DNA")</f>
        <v>DNA</v>
      </c>
      <c r="D7336" s="18" t="s">
        <v>5847</v>
      </c>
      <c r="E7336" s="18" t="s">
        <v>2186</v>
      </c>
      <c r="F7336" s="2" t="s">
        <v>7987</v>
      </c>
      <c r="G7336" s="2" t="s">
        <v>2054</v>
      </c>
      <c r="H7336" s="14">
        <v>0.7</v>
      </c>
      <c r="I7336" s="2" t="s">
        <v>4761</v>
      </c>
      <c r="J7336" s="2" t="s">
        <v>13</v>
      </c>
      <c r="K7336" s="2" t="s">
        <v>1452</v>
      </c>
      <c r="L7336" s="2" t="s">
        <v>5221</v>
      </c>
      <c r="M7336" s="2" t="s">
        <v>5221</v>
      </c>
      <c r="N7336" s="2" t="s">
        <v>2317</v>
      </c>
      <c r="O7336" s="14">
        <v>3500</v>
      </c>
      <c r="P7336" s="14">
        <v>96.14</v>
      </c>
      <c r="Q7336" s="14">
        <v>135.1</v>
      </c>
      <c r="R7336" s="14">
        <v>94.57</v>
      </c>
      <c r="S7336" s="2" t="s">
        <v>4922</v>
      </c>
      <c r="T7336" s="2">
        <v>1.89</v>
      </c>
      <c r="U7336" s="2">
        <v>59.1</v>
      </c>
      <c r="V7336" s="2">
        <v>59</v>
      </c>
      <c r="W7336" s="2" t="s">
        <v>7862</v>
      </c>
      <c r="X7336" s="2" t="s">
        <v>5028</v>
      </c>
      <c r="Y7336" s="2">
        <v>2450</v>
      </c>
      <c r="Z7336" s="19" t="str">
        <f>HYPERLINK("https://ssdweb.co/ssdweb/hd/Vision360.html?d=926980712&amp;zoomslide=1&amp;z=1926980712&amp;ISCONFIRM=0","VIDEO")</f>
        <v>VIDEO</v>
      </c>
      <c r="AA7336" s="19" t="str">
        <f>HYPERLINK("https://ssdweb.co/ssdweb/CERTH/667408221.pdf","CERTI")</f>
        <v>CERTI</v>
      </c>
    </row>
    <row r="7337" spans="1:27" ht="15" x14ac:dyDescent="0.25">
      <c r="A7337" s="2">
        <v>7332</v>
      </c>
      <c r="B7337" s="39">
        <v>926360119</v>
      </c>
      <c r="C7337" s="28" t="str">
        <f>HYPERLINK("https://pld.live/RapDetail.aspx?STONELIST=926360119","DNA")</f>
        <v>DNA</v>
      </c>
      <c r="D7337" s="18" t="s">
        <v>5847</v>
      </c>
      <c r="E7337" s="18" t="s">
        <v>2186</v>
      </c>
      <c r="F7337" s="2" t="s">
        <v>7987</v>
      </c>
      <c r="G7337" s="2" t="s">
        <v>2054</v>
      </c>
      <c r="H7337" s="14">
        <v>0.7</v>
      </c>
      <c r="I7337" s="2" t="s">
        <v>4761</v>
      </c>
      <c r="J7337" s="2" t="s">
        <v>13</v>
      </c>
      <c r="K7337" s="2" t="s">
        <v>1452</v>
      </c>
      <c r="L7337" s="2" t="s">
        <v>5221</v>
      </c>
      <c r="M7337" s="2" t="s">
        <v>5221</v>
      </c>
      <c r="N7337" s="2" t="s">
        <v>2317</v>
      </c>
      <c r="O7337" s="14">
        <v>3500</v>
      </c>
      <c r="P7337" s="14">
        <v>96.2</v>
      </c>
      <c r="Q7337" s="14">
        <v>133</v>
      </c>
      <c r="R7337" s="14">
        <v>93.1</v>
      </c>
      <c r="S7337" s="2" t="s">
        <v>4311</v>
      </c>
      <c r="T7337" s="2">
        <v>2.0099999999999998</v>
      </c>
      <c r="U7337" s="2">
        <v>63.6</v>
      </c>
      <c r="V7337" s="2">
        <v>63</v>
      </c>
      <c r="W7337" s="2" t="s">
        <v>7862</v>
      </c>
      <c r="X7337" s="2" t="s">
        <v>5028</v>
      </c>
      <c r="Y7337" s="2">
        <v>2450</v>
      </c>
      <c r="Z7337" s="19" t="str">
        <f>HYPERLINK("https://ssdweb.co/ssdweb/hd/Vision360.html?d=926360119&amp;zoomslide=1&amp;z=1926360119&amp;ISCONFIRM=0","VIDEO")</f>
        <v>VIDEO</v>
      </c>
      <c r="AA7337" s="19" t="str">
        <f>HYPERLINK("https://ssdweb.co/ssdweb/CERTH/640454188.pdf","CERTI")</f>
        <v>CERTI</v>
      </c>
    </row>
    <row r="7338" spans="1:27" ht="15" x14ac:dyDescent="0.25">
      <c r="A7338" s="2">
        <v>7333</v>
      </c>
      <c r="B7338" s="39">
        <v>927010777</v>
      </c>
      <c r="C7338" s="28" t="str">
        <f>HYPERLINK("https://pld.live/RapDetail.aspx?STONELIST=927010777","DNA")</f>
        <v>DNA</v>
      </c>
      <c r="D7338" s="18" t="s">
        <v>5847</v>
      </c>
      <c r="E7338" s="18" t="s">
        <v>2186</v>
      </c>
      <c r="F7338" s="2" t="s">
        <v>7987</v>
      </c>
      <c r="G7338" s="2" t="s">
        <v>2054</v>
      </c>
      <c r="H7338" s="14">
        <v>0.7</v>
      </c>
      <c r="I7338" s="2" t="s">
        <v>4761</v>
      </c>
      <c r="J7338" s="2" t="s">
        <v>13</v>
      </c>
      <c r="K7338" s="2" t="s">
        <v>1452</v>
      </c>
      <c r="L7338" s="2" t="s">
        <v>5221</v>
      </c>
      <c r="M7338" s="2" t="s">
        <v>5721</v>
      </c>
      <c r="N7338" s="2" t="s">
        <v>2317</v>
      </c>
      <c r="O7338" s="14">
        <v>3500</v>
      </c>
      <c r="P7338" s="14">
        <v>96.14</v>
      </c>
      <c r="Q7338" s="14">
        <v>135.1</v>
      </c>
      <c r="R7338" s="14">
        <v>94.57</v>
      </c>
      <c r="S7338" s="2" t="s">
        <v>6569</v>
      </c>
      <c r="T7338" s="2">
        <v>1.92</v>
      </c>
      <c r="U7338" s="2">
        <v>63</v>
      </c>
      <c r="V7338" s="2">
        <v>61</v>
      </c>
      <c r="W7338" s="2" t="s">
        <v>7862</v>
      </c>
      <c r="X7338" s="2" t="s">
        <v>5028</v>
      </c>
      <c r="Y7338" s="2">
        <v>2450</v>
      </c>
      <c r="Z7338" s="19" t="str">
        <f>HYPERLINK("https://ssdweb.co/ssdweb/hd/Vision360.html?d=927010777&amp;zoomslide=1&amp;z=1927010777&amp;ISCONFIRM=0","VIDEO")</f>
        <v>VIDEO</v>
      </c>
      <c r="AA7338" s="19" t="str">
        <f>HYPERLINK("https://ssdweb.co/ssdweb/CERTH/670484178.pdf","CERTI")</f>
        <v>CERTI</v>
      </c>
    </row>
    <row r="7339" spans="1:27" ht="15" x14ac:dyDescent="0.25">
      <c r="A7339" s="2">
        <v>7334</v>
      </c>
      <c r="B7339" s="39">
        <v>926980710</v>
      </c>
      <c r="C7339" s="28" t="str">
        <f>HYPERLINK("https://pld.live/RapDetail.aspx?STONELIST=926980710","DNA")</f>
        <v>DNA</v>
      </c>
      <c r="D7339" s="18" t="s">
        <v>5847</v>
      </c>
      <c r="E7339" s="18" t="s">
        <v>2186</v>
      </c>
      <c r="F7339" s="2" t="s">
        <v>7987</v>
      </c>
      <c r="G7339" s="2" t="s">
        <v>2054</v>
      </c>
      <c r="H7339" s="14">
        <v>0.7</v>
      </c>
      <c r="I7339" s="2" t="s">
        <v>4761</v>
      </c>
      <c r="J7339" s="2" t="s">
        <v>13</v>
      </c>
      <c r="K7339" s="2" t="s">
        <v>1452</v>
      </c>
      <c r="L7339" s="2" t="s">
        <v>5221</v>
      </c>
      <c r="M7339" s="2" t="s">
        <v>5721</v>
      </c>
      <c r="N7339" s="2" t="s">
        <v>2317</v>
      </c>
      <c r="O7339" s="14">
        <v>3500</v>
      </c>
      <c r="P7339" s="14">
        <v>96.2</v>
      </c>
      <c r="Q7339" s="14">
        <v>133</v>
      </c>
      <c r="R7339" s="14">
        <v>93.1</v>
      </c>
      <c r="S7339" s="2" t="s">
        <v>3086</v>
      </c>
      <c r="T7339" s="2">
        <v>1.9</v>
      </c>
      <c r="U7339" s="2">
        <v>61.3</v>
      </c>
      <c r="V7339" s="2">
        <v>65</v>
      </c>
      <c r="W7339" s="2" t="s">
        <v>7862</v>
      </c>
      <c r="X7339" s="2" t="s">
        <v>5028</v>
      </c>
      <c r="Y7339" s="2">
        <v>2450</v>
      </c>
      <c r="Z7339" s="19" t="str">
        <f>HYPERLINK("https://ssdweb.co/ssdweb/hd/Vision360.html?d=926980710&amp;zoomslide=1&amp;z=1926980710&amp;ISCONFIRM=0","VIDEO")</f>
        <v>VIDEO</v>
      </c>
      <c r="AA7339" s="19" t="str">
        <f>HYPERLINK("https://ssdweb.co/ssdweb/CERTH/666416255.pdf","CERTI")</f>
        <v>CERTI</v>
      </c>
    </row>
    <row r="7340" spans="1:27" ht="15" x14ac:dyDescent="0.25">
      <c r="A7340" s="2">
        <v>7335</v>
      </c>
      <c r="B7340" s="39">
        <v>925630391</v>
      </c>
      <c r="C7340" s="28" t="str">
        <f>HYPERLINK("https://pld.live/RapDetail.aspx?STONELIST=925630391","DNA")</f>
        <v>DNA</v>
      </c>
      <c r="D7340" s="18" t="s">
        <v>5847</v>
      </c>
      <c r="E7340" s="18" t="s">
        <v>2186</v>
      </c>
      <c r="F7340" s="2" t="s">
        <v>7987</v>
      </c>
      <c r="G7340" s="2" t="s">
        <v>2054</v>
      </c>
      <c r="H7340" s="14">
        <v>0.7</v>
      </c>
      <c r="I7340" s="2" t="s">
        <v>4761</v>
      </c>
      <c r="J7340" s="2" t="s">
        <v>13</v>
      </c>
      <c r="K7340" s="2" t="s">
        <v>1452</v>
      </c>
      <c r="L7340" s="2" t="s">
        <v>5221</v>
      </c>
      <c r="M7340" s="2" t="s">
        <v>5721</v>
      </c>
      <c r="N7340" s="2" t="s">
        <v>2317</v>
      </c>
      <c r="O7340" s="14">
        <v>3500</v>
      </c>
      <c r="P7340" s="14">
        <v>96.31</v>
      </c>
      <c r="Q7340" s="14">
        <v>129.15</v>
      </c>
      <c r="R7340" s="14">
        <v>90.41</v>
      </c>
      <c r="S7340" s="2" t="s">
        <v>7302</v>
      </c>
      <c r="T7340" s="2">
        <v>1.93</v>
      </c>
      <c r="U7340" s="2">
        <v>63.3</v>
      </c>
      <c r="V7340" s="2">
        <v>66</v>
      </c>
      <c r="W7340" s="2" t="s">
        <v>7862</v>
      </c>
      <c r="X7340" s="2" t="s">
        <v>5028</v>
      </c>
      <c r="Y7340" s="2">
        <v>2450</v>
      </c>
      <c r="Z7340" s="19" t="str">
        <f>HYPERLINK("https://ssdweb.co/ssdweb/hd/Vision360.html?d=925630391&amp;zoomslide=1&amp;z=1925630391&amp;ISCONFIRM=0","VIDEO")</f>
        <v>VIDEO</v>
      </c>
      <c r="AA7340" s="19" t="str">
        <f>HYPERLINK("https://ssdweb.co/ssdweb/CERTH/622499828.pdf","CERTI")</f>
        <v>CERTI</v>
      </c>
    </row>
    <row r="7341" spans="1:27" ht="15" x14ac:dyDescent="0.25">
      <c r="A7341" s="2">
        <v>7336</v>
      </c>
      <c r="B7341" s="39">
        <v>924571036</v>
      </c>
      <c r="C7341" s="28" t="str">
        <f>HYPERLINK("https://pld.live/RapDetail.aspx?STONELIST=924571036","DNA")</f>
        <v>DNA</v>
      </c>
      <c r="D7341" s="18" t="s">
        <v>5847</v>
      </c>
      <c r="E7341" s="18" t="s">
        <v>2186</v>
      </c>
      <c r="F7341" s="2" t="s">
        <v>7987</v>
      </c>
      <c r="G7341" s="2" t="s">
        <v>2054</v>
      </c>
      <c r="H7341" s="14">
        <v>0.7</v>
      </c>
      <c r="I7341" s="2" t="s">
        <v>4761</v>
      </c>
      <c r="J7341" s="2" t="s">
        <v>5144</v>
      </c>
      <c r="K7341" s="2" t="s">
        <v>1452</v>
      </c>
      <c r="L7341" s="2" t="s">
        <v>5221</v>
      </c>
      <c r="M7341" s="2" t="s">
        <v>5221</v>
      </c>
      <c r="N7341" s="2" t="s">
        <v>2317</v>
      </c>
      <c r="O7341" s="14">
        <v>3200</v>
      </c>
      <c r="P7341" s="14">
        <v>96.16</v>
      </c>
      <c r="Q7341" s="14">
        <v>122.88</v>
      </c>
      <c r="R7341" s="14">
        <v>86.02</v>
      </c>
      <c r="S7341" s="2" t="s">
        <v>903</v>
      </c>
      <c r="T7341" s="2">
        <v>1.98</v>
      </c>
      <c r="U7341" s="2">
        <v>62.3</v>
      </c>
      <c r="V7341" s="2">
        <v>62</v>
      </c>
      <c r="W7341" s="2" t="s">
        <v>8016</v>
      </c>
      <c r="X7341" s="2" t="s">
        <v>5028</v>
      </c>
      <c r="Y7341" s="2">
        <v>2240</v>
      </c>
      <c r="Z7341" s="19" t="str">
        <f>HYPERLINK("https://ssdweb.co/ssdweb/hd/Vision360.html?d=924571036&amp;zoomslide=1&amp;z=1924571036&amp;ISCONFIRM=0","VIDEO")</f>
        <v>VIDEO</v>
      </c>
      <c r="AA7341" s="19" t="str">
        <f>HYPERLINK("https://ssdweb.co/ssdweb/CERTH/600304508.pdf","CERTI")</f>
        <v>CERTI</v>
      </c>
    </row>
    <row r="7342" spans="1:27" ht="15" x14ac:dyDescent="0.25">
      <c r="A7342" s="2">
        <v>7337</v>
      </c>
      <c r="B7342" s="39">
        <v>924260491</v>
      </c>
      <c r="C7342" s="28" t="str">
        <f>HYPERLINK("https://pld.live/RapDetail.aspx?STONELIST=924260491","DNA")</f>
        <v>DNA</v>
      </c>
      <c r="D7342" s="18" t="s">
        <v>5847</v>
      </c>
      <c r="E7342" s="18" t="s">
        <v>2186</v>
      </c>
      <c r="F7342" s="2" t="s">
        <v>7987</v>
      </c>
      <c r="G7342" s="2" t="s">
        <v>2054</v>
      </c>
      <c r="H7342" s="14">
        <v>0.7</v>
      </c>
      <c r="I7342" s="2" t="s">
        <v>4699</v>
      </c>
      <c r="J7342" s="2" t="s">
        <v>3942</v>
      </c>
      <c r="K7342" s="2" t="s">
        <v>1452</v>
      </c>
      <c r="L7342" s="2" t="s">
        <v>5221</v>
      </c>
      <c r="M7342" s="2" t="s">
        <v>5221</v>
      </c>
      <c r="N7342" s="2" t="s">
        <v>2317</v>
      </c>
      <c r="O7342" s="14">
        <v>3600</v>
      </c>
      <c r="P7342" s="14">
        <v>96.36</v>
      </c>
      <c r="Q7342" s="14">
        <v>131.04</v>
      </c>
      <c r="R7342" s="14">
        <v>91.73</v>
      </c>
      <c r="S7342" s="2" t="s">
        <v>2079</v>
      </c>
      <c r="T7342" s="2">
        <v>2.16</v>
      </c>
      <c r="U7342" s="2">
        <v>62.2</v>
      </c>
      <c r="V7342" s="2">
        <v>62</v>
      </c>
      <c r="W7342" s="2" t="s">
        <v>7862</v>
      </c>
      <c r="X7342" s="2" t="s">
        <v>5028</v>
      </c>
      <c r="Y7342" s="2">
        <v>2520</v>
      </c>
      <c r="Z7342" s="19" t="str">
        <f>HYPERLINK("https://ssdweb.co/ssdweb/hd/Vision360.html?d=924260491&amp;zoomslide=1&amp;z=1924260491&amp;ISCONFIRM=0","VIDEO")</f>
        <v>VIDEO</v>
      </c>
      <c r="AA7342" s="19" t="str">
        <f>HYPERLINK("https://ssdweb.co/ssdweb/CERTH/583308710.pdf","CERTI")</f>
        <v>CERTI</v>
      </c>
    </row>
    <row r="7343" spans="1:27" ht="15" x14ac:dyDescent="0.25">
      <c r="A7343" s="2">
        <v>7338</v>
      </c>
      <c r="B7343" s="39">
        <v>927020724</v>
      </c>
      <c r="C7343" s="28" t="str">
        <f>HYPERLINK("https://pld.live/RapDetail.aspx?STONELIST=927020724","DNA")</f>
        <v>DNA</v>
      </c>
      <c r="D7343" s="18" t="s">
        <v>5847</v>
      </c>
      <c r="E7343" s="18" t="s">
        <v>2186</v>
      </c>
      <c r="F7343" s="2" t="s">
        <v>7987</v>
      </c>
      <c r="G7343" s="2" t="s">
        <v>2054</v>
      </c>
      <c r="H7343" s="14">
        <v>0.7</v>
      </c>
      <c r="I7343" s="2" t="s">
        <v>4699</v>
      </c>
      <c r="J7343" s="2" t="s">
        <v>13</v>
      </c>
      <c r="K7343" s="2" t="s">
        <v>1452</v>
      </c>
      <c r="L7343" s="2" t="s">
        <v>5721</v>
      </c>
      <c r="M7343" s="2" t="s">
        <v>5721</v>
      </c>
      <c r="N7343" s="2" t="s">
        <v>2317</v>
      </c>
      <c r="O7343" s="14">
        <v>3300</v>
      </c>
      <c r="P7343" s="14">
        <v>96</v>
      </c>
      <c r="Q7343" s="14">
        <v>132</v>
      </c>
      <c r="R7343" s="14">
        <v>92.4</v>
      </c>
      <c r="S7343" s="2" t="s">
        <v>1941</v>
      </c>
      <c r="T7343" s="2">
        <v>2.09</v>
      </c>
      <c r="U7343" s="2">
        <v>61.7</v>
      </c>
      <c r="V7343" s="2">
        <v>59</v>
      </c>
      <c r="W7343" s="2" t="s">
        <v>7862</v>
      </c>
      <c r="X7343" s="2" t="s">
        <v>5028</v>
      </c>
      <c r="Y7343" s="2">
        <v>2310</v>
      </c>
      <c r="Z7343" s="19" t="str">
        <f>HYPERLINK("https://ssdweb.co/ssdweb/hd/Vision360.html?d=927020724&amp;zoomslide=1&amp;z=1927020724&amp;ISCONFIRM=0","VIDEO")</f>
        <v>VIDEO</v>
      </c>
      <c r="AA7343" s="19" t="str">
        <f>HYPERLINK("https://ssdweb.co/ssdweb/CERTH/669458176.pdf","CERTI")</f>
        <v>CERTI</v>
      </c>
    </row>
    <row r="7344" spans="1:27" ht="15" x14ac:dyDescent="0.25">
      <c r="A7344" s="2">
        <v>7339</v>
      </c>
      <c r="B7344" s="39">
        <v>925851160</v>
      </c>
      <c r="C7344" s="28" t="str">
        <f>HYPERLINK("https://pld.live/RapDetail.aspx?STONELIST=925851160","DNA")</f>
        <v>DNA</v>
      </c>
      <c r="D7344" s="18" t="s">
        <v>1924</v>
      </c>
      <c r="E7344" s="18" t="s">
        <v>5128</v>
      </c>
      <c r="F7344" s="2" t="s">
        <v>7987</v>
      </c>
      <c r="G7344" s="2" t="s">
        <v>2054</v>
      </c>
      <c r="H7344" s="14">
        <v>0.69</v>
      </c>
      <c r="I7344" s="2" t="s">
        <v>4761</v>
      </c>
      <c r="J7344" s="2" t="s">
        <v>3942</v>
      </c>
      <c r="K7344" s="2" t="s">
        <v>1452</v>
      </c>
      <c r="L7344" s="2" t="s">
        <v>5221</v>
      </c>
      <c r="M7344" s="2" t="s">
        <v>5221</v>
      </c>
      <c r="N7344" s="2" t="s">
        <v>2317</v>
      </c>
      <c r="O7344" s="14">
        <v>2600</v>
      </c>
      <c r="P7344" s="14">
        <v>95.15</v>
      </c>
      <c r="Q7344" s="14">
        <v>126.1</v>
      </c>
      <c r="R7344" s="14">
        <v>87.01</v>
      </c>
      <c r="S7344" s="2" t="s">
        <v>6589</v>
      </c>
      <c r="T7344" s="2">
        <v>1.85</v>
      </c>
      <c r="U7344" s="2">
        <v>63.6</v>
      </c>
      <c r="V7344" s="2">
        <v>59</v>
      </c>
      <c r="W7344" s="2" t="s">
        <v>7862</v>
      </c>
      <c r="X7344" s="2" t="s">
        <v>5028</v>
      </c>
      <c r="Y7344" s="2">
        <v>1794</v>
      </c>
      <c r="Z7344" s="19" t="str">
        <f>HYPERLINK("https://ssdweb.co/ssdweb/hd/Vision360.html?d=925851160&amp;zoomslide=1&amp;z=1925851160&amp;ISCONFIRM=0","VIDEO")</f>
        <v>VIDEO</v>
      </c>
      <c r="AA7344" s="19" t="str">
        <f>HYPERLINK("https://ssdweb.co/ssdweb/CERTH/627431695.pdf","CERTI")</f>
        <v>CERTI</v>
      </c>
    </row>
    <row r="7345" spans="1:27" ht="15" x14ac:dyDescent="0.25">
      <c r="A7345" s="2">
        <v>7340</v>
      </c>
      <c r="B7345" s="39">
        <v>925851284</v>
      </c>
      <c r="C7345" s="28" t="str">
        <f>HYPERLINK("https://pld.live/RapDetail.aspx?STONELIST=925851284","DNA")</f>
        <v>DNA</v>
      </c>
      <c r="D7345" s="18" t="s">
        <v>1924</v>
      </c>
      <c r="E7345" s="18" t="s">
        <v>5128</v>
      </c>
      <c r="F7345" s="2" t="s">
        <v>7987</v>
      </c>
      <c r="G7345" s="2" t="s">
        <v>2054</v>
      </c>
      <c r="H7345" s="14">
        <v>0.67</v>
      </c>
      <c r="I7345" s="2" t="s">
        <v>267</v>
      </c>
      <c r="J7345" s="2" t="s">
        <v>13</v>
      </c>
      <c r="K7345" s="2" t="s">
        <v>1452</v>
      </c>
      <c r="L7345" s="2" t="s">
        <v>5221</v>
      </c>
      <c r="M7345" s="2" t="s">
        <v>5221</v>
      </c>
      <c r="N7345" s="2" t="s">
        <v>2317</v>
      </c>
      <c r="O7345" s="14">
        <v>2600</v>
      </c>
      <c r="P7345" s="14">
        <v>95.23</v>
      </c>
      <c r="Q7345" s="14">
        <v>124.02</v>
      </c>
      <c r="R7345" s="14">
        <v>83.09</v>
      </c>
      <c r="S7345" s="2" t="s">
        <v>7459</v>
      </c>
      <c r="T7345" s="2">
        <v>1.91</v>
      </c>
      <c r="U7345" s="2">
        <v>61.1</v>
      </c>
      <c r="V7345" s="2">
        <v>58</v>
      </c>
      <c r="W7345" s="2" t="s">
        <v>7862</v>
      </c>
      <c r="X7345" s="2" t="s">
        <v>5028</v>
      </c>
      <c r="Y7345" s="2">
        <v>1742</v>
      </c>
      <c r="Z7345" s="19" t="str">
        <f>HYPERLINK("https://ssdweb.co/ssdweb/hd/Vision360.html?d=925851284&amp;zoomslide=1&amp;z=1925851284&amp;ISCONFIRM=0","VIDEO")</f>
        <v>VIDEO</v>
      </c>
      <c r="AA7345" s="19" t="str">
        <f>HYPERLINK("https://ssdweb.co/ssdweb/CERTH/629435572.pdf","CERTI")</f>
        <v>CERTI</v>
      </c>
    </row>
    <row r="7346" spans="1:27" ht="15" x14ac:dyDescent="0.25">
      <c r="A7346" s="2">
        <v>7341</v>
      </c>
      <c r="B7346" s="39">
        <v>925700203</v>
      </c>
      <c r="C7346" s="28" t="str">
        <f>HYPERLINK("https://pld.live/RapDetail.aspx?STONELIST=925700203","DNA")</f>
        <v>DNA</v>
      </c>
      <c r="D7346" s="18" t="s">
        <v>1924</v>
      </c>
      <c r="E7346" s="18" t="s">
        <v>2186</v>
      </c>
      <c r="F7346" s="2" t="s">
        <v>7987</v>
      </c>
      <c r="G7346" s="2" t="s">
        <v>2054</v>
      </c>
      <c r="H7346" s="14">
        <v>0.66</v>
      </c>
      <c r="I7346" s="2" t="s">
        <v>6587</v>
      </c>
      <c r="J7346" s="2" t="s">
        <v>13</v>
      </c>
      <c r="K7346" s="2" t="s">
        <v>1452</v>
      </c>
      <c r="L7346" s="2" t="s">
        <v>5221</v>
      </c>
      <c r="M7346" s="2" t="s">
        <v>5721</v>
      </c>
      <c r="N7346" s="2" t="s">
        <v>2317</v>
      </c>
      <c r="O7346" s="14">
        <v>2200</v>
      </c>
      <c r="P7346" s="14">
        <v>94.82</v>
      </c>
      <c r="Q7346" s="14">
        <v>113.96</v>
      </c>
      <c r="R7346" s="14">
        <v>75.209999999999994</v>
      </c>
      <c r="S7346" s="2" t="s">
        <v>406</v>
      </c>
      <c r="T7346" s="2">
        <v>1.91</v>
      </c>
      <c r="U7346" s="2">
        <v>62.3</v>
      </c>
      <c r="V7346" s="2">
        <v>59</v>
      </c>
      <c r="W7346" s="2" t="s">
        <v>7862</v>
      </c>
      <c r="X7346" s="2" t="s">
        <v>5028</v>
      </c>
      <c r="Y7346" s="2">
        <v>1452</v>
      </c>
      <c r="Z7346" s="19" t="str">
        <f>HYPERLINK("https://ssdweb.co/ssdweb/hd/Vision360.html?d=925700203&amp;zoomslide=1&amp;z=1925700203&amp;ISCONFIRM=0","VIDEO")</f>
        <v>VIDEO</v>
      </c>
      <c r="AA7346" s="19" t="str">
        <f>HYPERLINK("https://ssdweb.co/ssdweb/CERTH/626415008.pdf","CERTI")</f>
        <v>CERTI</v>
      </c>
    </row>
    <row r="7347" spans="1:27" ht="15" x14ac:dyDescent="0.25">
      <c r="A7347" s="2">
        <v>7342</v>
      </c>
      <c r="B7347" s="39">
        <v>925851120</v>
      </c>
      <c r="C7347" s="28" t="str">
        <f>HYPERLINK("https://pld.live/RapDetail.aspx?STONELIST=925851120","DNA")</f>
        <v>DNA</v>
      </c>
      <c r="D7347" s="18" t="s">
        <v>1924</v>
      </c>
      <c r="E7347" s="18" t="s">
        <v>5128</v>
      </c>
      <c r="F7347" s="2" t="s">
        <v>7987</v>
      </c>
      <c r="G7347" s="2" t="s">
        <v>2054</v>
      </c>
      <c r="H7347" s="14">
        <v>0.65</v>
      </c>
      <c r="I7347" s="2" t="s">
        <v>267</v>
      </c>
      <c r="J7347" s="2" t="s">
        <v>13</v>
      </c>
      <c r="K7347" s="2" t="s">
        <v>1452</v>
      </c>
      <c r="L7347" s="2" t="s">
        <v>5221</v>
      </c>
      <c r="M7347" s="2" t="s">
        <v>5221</v>
      </c>
      <c r="N7347" s="2" t="s">
        <v>2317</v>
      </c>
      <c r="O7347" s="14">
        <v>2600</v>
      </c>
      <c r="P7347" s="14">
        <v>95.23</v>
      </c>
      <c r="Q7347" s="14">
        <v>124.02</v>
      </c>
      <c r="R7347" s="14">
        <v>80.61</v>
      </c>
      <c r="S7347" s="2" t="s">
        <v>2808</v>
      </c>
      <c r="T7347" s="2">
        <v>1.91</v>
      </c>
      <c r="U7347" s="2">
        <v>62.7</v>
      </c>
      <c r="V7347" s="2">
        <v>59</v>
      </c>
      <c r="W7347" s="2" t="s">
        <v>7862</v>
      </c>
      <c r="X7347" s="2" t="s">
        <v>5028</v>
      </c>
      <c r="Y7347" s="2">
        <v>1690</v>
      </c>
      <c r="Z7347" s="19" t="str">
        <f>HYPERLINK("https://ssdweb.co/ssdweb/hd/Vision360.html?d=925851120&amp;zoomslide=1&amp;z=1925851120&amp;ISCONFIRM=0","VIDEO")</f>
        <v>VIDEO</v>
      </c>
      <c r="AA7347" s="19" t="str">
        <f>HYPERLINK("https://ssdweb.co/ssdweb/CERTH/627427285.pdf","CERTI")</f>
        <v>CERTI</v>
      </c>
    </row>
    <row r="7348" spans="1:27" ht="15" x14ac:dyDescent="0.25">
      <c r="A7348" s="2">
        <v>7343</v>
      </c>
      <c r="B7348" s="39">
        <v>926060010</v>
      </c>
      <c r="C7348" s="28" t="str">
        <f>HYPERLINK("https://pld.live/RapDetail.aspx?STONELIST=926060010","DNA")</f>
        <v>DNA</v>
      </c>
      <c r="D7348" s="18" t="s">
        <v>1924</v>
      </c>
      <c r="E7348" s="18" t="s">
        <v>2186</v>
      </c>
      <c r="F7348" s="2" t="s">
        <v>7987</v>
      </c>
      <c r="G7348" s="2" t="s">
        <v>2054</v>
      </c>
      <c r="H7348" s="14">
        <v>0.63</v>
      </c>
      <c r="I7348" s="2" t="s">
        <v>6874</v>
      </c>
      <c r="J7348" s="2" t="s">
        <v>3942</v>
      </c>
      <c r="K7348" s="2" t="s">
        <v>1452</v>
      </c>
      <c r="L7348" s="2" t="s">
        <v>5221</v>
      </c>
      <c r="M7348" s="2" t="s">
        <v>5721</v>
      </c>
      <c r="N7348" s="2" t="s">
        <v>924</v>
      </c>
      <c r="O7348" s="14">
        <v>1200</v>
      </c>
      <c r="P7348" s="14">
        <v>79.17</v>
      </c>
      <c r="Q7348" s="14">
        <v>249.96</v>
      </c>
      <c r="R7348" s="14">
        <v>157.47</v>
      </c>
      <c r="S7348" s="2" t="s">
        <v>6149</v>
      </c>
      <c r="T7348" s="2">
        <v>2.1</v>
      </c>
      <c r="U7348" s="2">
        <v>60.9</v>
      </c>
      <c r="V7348" s="2">
        <v>60</v>
      </c>
      <c r="W7348" s="2" t="s">
        <v>7862</v>
      </c>
      <c r="X7348" s="2" t="s">
        <v>5028</v>
      </c>
      <c r="Y7348" s="2">
        <v>756</v>
      </c>
      <c r="Z7348" s="19" t="str">
        <f>HYPERLINK("https://ssdweb.co/ssdweb/hd/Vision360.html?d=926060010&amp;zoomslide=1&amp;z=1926060010&amp;ISCONFIRM=0","VIDEO")</f>
        <v>VIDEO</v>
      </c>
      <c r="AA7348" s="19" t="str">
        <f>HYPERLINK("https://ssdweb.co/ssdweb/CERTH/639406101.pdf","CERTI")</f>
        <v>CERTI</v>
      </c>
    </row>
    <row r="7349" spans="1:27" ht="15" x14ac:dyDescent="0.25">
      <c r="A7349" s="2">
        <v>7344</v>
      </c>
      <c r="B7349" s="39">
        <v>924510192</v>
      </c>
      <c r="C7349" s="28" t="str">
        <f>HYPERLINK("https://pld.live/RapDetail.aspx?STONELIST=924510192","DNA")</f>
        <v>DNA</v>
      </c>
      <c r="D7349" s="18" t="s">
        <v>1924</v>
      </c>
      <c r="E7349" s="18" t="s">
        <v>2186</v>
      </c>
      <c r="F7349" s="2" t="s">
        <v>5597</v>
      </c>
      <c r="G7349" s="2" t="s">
        <v>2054</v>
      </c>
      <c r="H7349" s="14">
        <v>0.62</v>
      </c>
      <c r="I7349" s="2" t="s">
        <v>6587</v>
      </c>
      <c r="J7349" s="2" t="s">
        <v>5144</v>
      </c>
      <c r="K7349" s="2" t="s">
        <v>1452</v>
      </c>
      <c r="L7349" s="2" t="s">
        <v>5221</v>
      </c>
      <c r="M7349" s="2" t="s">
        <v>5221</v>
      </c>
      <c r="N7349" s="2" t="s">
        <v>2317</v>
      </c>
      <c r="O7349" s="14">
        <v>2100</v>
      </c>
      <c r="P7349" s="14">
        <v>91.43</v>
      </c>
      <c r="Q7349" s="14">
        <v>179.97</v>
      </c>
      <c r="R7349" s="14">
        <v>111.58</v>
      </c>
      <c r="S7349" s="2" t="s">
        <v>4095</v>
      </c>
      <c r="T7349" s="2">
        <v>2.1</v>
      </c>
      <c r="U7349" s="2">
        <v>61.1</v>
      </c>
      <c r="V7349" s="2">
        <v>60</v>
      </c>
      <c r="W7349" s="2" t="s">
        <v>7862</v>
      </c>
      <c r="X7349" s="2" t="s">
        <v>5028</v>
      </c>
      <c r="Y7349" s="2">
        <v>1302</v>
      </c>
      <c r="Z7349" s="19" t="str">
        <f>HYPERLINK("https://ssdweb.co/ssdweb/hd/Vision360.html?d=924510192&amp;zoomslide=1&amp;z=1924510192&amp;ISCONFIRM=0","VIDEO")</f>
        <v>VIDEO</v>
      </c>
      <c r="AA7349" s="19" t="str">
        <f>HYPERLINK("https://ssdweb.co/ssdweb/CERTH/7473522148.pdf","CERTI")</f>
        <v>CERTI</v>
      </c>
    </row>
    <row r="7350" spans="1:27" ht="15" x14ac:dyDescent="0.25">
      <c r="A7350" s="2">
        <v>7345</v>
      </c>
      <c r="B7350" s="39">
        <v>926060004</v>
      </c>
      <c r="C7350" s="28" t="str">
        <f>HYPERLINK("https://pld.live/RapDetail.aspx?STONELIST=926060004","DNA")</f>
        <v>DNA</v>
      </c>
      <c r="D7350" s="18" t="s">
        <v>1924</v>
      </c>
      <c r="E7350" s="18" t="s">
        <v>2186</v>
      </c>
      <c r="F7350" s="2" t="s">
        <v>7987</v>
      </c>
      <c r="G7350" s="2" t="s">
        <v>2054</v>
      </c>
      <c r="H7350" s="14">
        <v>0.62</v>
      </c>
      <c r="I7350" s="2" t="s">
        <v>6874</v>
      </c>
      <c r="J7350" s="2" t="s">
        <v>13</v>
      </c>
      <c r="K7350" s="2" t="s">
        <v>1452</v>
      </c>
      <c r="L7350" s="2" t="s">
        <v>5221</v>
      </c>
      <c r="M7350" s="2" t="s">
        <v>5221</v>
      </c>
      <c r="N7350" s="2" t="s">
        <v>924</v>
      </c>
      <c r="O7350" s="14">
        <v>1100</v>
      </c>
      <c r="P7350" s="14">
        <v>79.09</v>
      </c>
      <c r="Q7350" s="14">
        <v>230.01</v>
      </c>
      <c r="R7350" s="14">
        <v>142.61000000000001</v>
      </c>
      <c r="S7350" s="2" t="s">
        <v>4661</v>
      </c>
      <c r="T7350" s="2">
        <v>2.13</v>
      </c>
      <c r="U7350" s="2">
        <v>59.7</v>
      </c>
      <c r="V7350" s="2">
        <v>61</v>
      </c>
      <c r="W7350" s="2" t="s">
        <v>7862</v>
      </c>
      <c r="X7350" s="2" t="s">
        <v>5028</v>
      </c>
      <c r="Y7350" s="2">
        <v>682</v>
      </c>
      <c r="Z7350" s="19" t="str">
        <f>HYPERLINK("https://ssdweb.co/ssdweb/hd/Vision360.html?d=926060004&amp;zoomslide=1&amp;z=1926060004&amp;ISCONFIRM=0","VIDEO")</f>
        <v>VIDEO</v>
      </c>
      <c r="AA7350" s="19" t="str">
        <f>HYPERLINK("https://ssdweb.co/ssdweb/CERTH/631429902.pdf","CERTI")</f>
        <v>CERTI</v>
      </c>
    </row>
    <row r="7351" spans="1:27" ht="15" x14ac:dyDescent="0.25">
      <c r="A7351" s="2">
        <v>7346</v>
      </c>
      <c r="B7351" s="39">
        <v>925610139</v>
      </c>
      <c r="C7351" s="28" t="str">
        <f>HYPERLINK("https://pld.live/RapDetail.aspx?STONELIST=925610139","DNA")</f>
        <v>DNA</v>
      </c>
      <c r="D7351" s="18" t="s">
        <v>1924</v>
      </c>
      <c r="E7351" s="18" t="s">
        <v>2186</v>
      </c>
      <c r="F7351" s="2" t="s">
        <v>7987</v>
      </c>
      <c r="G7351" s="2" t="s">
        <v>2054</v>
      </c>
      <c r="H7351" s="14">
        <v>0.61</v>
      </c>
      <c r="I7351" s="2" t="s">
        <v>267</v>
      </c>
      <c r="J7351" s="2" t="s">
        <v>3942</v>
      </c>
      <c r="K7351" s="2" t="s">
        <v>1452</v>
      </c>
      <c r="L7351" s="2" t="s">
        <v>5221</v>
      </c>
      <c r="M7351" s="2" t="s">
        <v>5221</v>
      </c>
      <c r="N7351" s="2" t="s">
        <v>2317</v>
      </c>
      <c r="O7351" s="14">
        <v>2800</v>
      </c>
      <c r="P7351" s="14">
        <v>95.39</v>
      </c>
      <c r="Q7351" s="14">
        <v>129.08000000000001</v>
      </c>
      <c r="R7351" s="14">
        <v>78.739999999999995</v>
      </c>
      <c r="S7351" s="2" t="s">
        <v>645</v>
      </c>
      <c r="T7351" s="2">
        <v>1.89</v>
      </c>
      <c r="U7351" s="2">
        <v>60</v>
      </c>
      <c r="V7351" s="2">
        <v>61</v>
      </c>
      <c r="W7351" s="2" t="s">
        <v>7862</v>
      </c>
      <c r="X7351" s="2" t="s">
        <v>5028</v>
      </c>
      <c r="Y7351" s="2">
        <v>1708</v>
      </c>
      <c r="Z7351" s="19" t="str">
        <f>HYPERLINK("https://ssdweb.co/ssdweb/hd/Vision360.html?d=925610139&amp;zoomslide=1&amp;z=1925610139&amp;ISCONFIRM=0","VIDEO")</f>
        <v>VIDEO</v>
      </c>
      <c r="AA7351" s="19" t="str">
        <f>HYPERLINK("https://ssdweb.co/ssdweb/CERTH/621496714.pdf","CERTI")</f>
        <v>CERTI</v>
      </c>
    </row>
    <row r="7352" spans="1:27" ht="15" x14ac:dyDescent="0.25">
      <c r="A7352" s="2">
        <v>7347</v>
      </c>
      <c r="B7352" s="39">
        <v>926930947</v>
      </c>
      <c r="C7352" s="28" t="str">
        <f>HYPERLINK("https://pld.live/RapDetail.aspx?STONELIST=926930947","DNA")</f>
        <v>DNA</v>
      </c>
      <c r="D7352" s="18" t="s">
        <v>1924</v>
      </c>
      <c r="E7352" s="18" t="s">
        <v>2186</v>
      </c>
      <c r="F7352" s="2" t="s">
        <v>7987</v>
      </c>
      <c r="G7352" s="2" t="s">
        <v>2054</v>
      </c>
      <c r="H7352" s="14">
        <v>0.61</v>
      </c>
      <c r="I7352" s="2" t="s">
        <v>4761</v>
      </c>
      <c r="J7352" s="2" t="s">
        <v>13</v>
      </c>
      <c r="K7352" s="2" t="s">
        <v>1452</v>
      </c>
      <c r="L7352" s="2" t="s">
        <v>5221</v>
      </c>
      <c r="M7352" s="2" t="s">
        <v>5221</v>
      </c>
      <c r="N7352" s="2" t="s">
        <v>2317</v>
      </c>
      <c r="O7352" s="14">
        <v>2500</v>
      </c>
      <c r="P7352" s="14">
        <v>94.96</v>
      </c>
      <c r="Q7352" s="14">
        <v>126</v>
      </c>
      <c r="R7352" s="14">
        <v>76.86</v>
      </c>
      <c r="S7352" s="2" t="s">
        <v>2257</v>
      </c>
      <c r="T7352" s="2">
        <v>1.99</v>
      </c>
      <c r="U7352" s="2">
        <v>61.4</v>
      </c>
      <c r="V7352" s="2">
        <v>60</v>
      </c>
      <c r="W7352" s="2" t="s">
        <v>7862</v>
      </c>
      <c r="X7352" s="2" t="s">
        <v>5028</v>
      </c>
      <c r="Y7352" s="2">
        <v>1525</v>
      </c>
      <c r="Z7352" s="19" t="str">
        <f>HYPERLINK("https://ssdweb.co/ssdweb/hd/Vision360.html?d=926930947&amp;zoomslide=1&amp;z=1926930947&amp;ISCONFIRM=0","VIDEO")</f>
        <v>VIDEO</v>
      </c>
      <c r="AA7352" s="19" t="str">
        <f>HYPERLINK("https://ssdweb.co/ssdweb/CERTH/667408220.pdf","CERTI")</f>
        <v>CERTI</v>
      </c>
    </row>
    <row r="7353" spans="1:27" ht="15" x14ac:dyDescent="0.25">
      <c r="A7353" s="2">
        <v>7348</v>
      </c>
      <c r="B7353" s="39">
        <v>941370627</v>
      </c>
      <c r="C7353" s="28" t="str">
        <f>HYPERLINK("https://pld.live/RapDetail.aspx?STONELIST=941370627","DNA")</f>
        <v>DNA</v>
      </c>
      <c r="D7353" s="18" t="s">
        <v>1924</v>
      </c>
      <c r="E7353" s="18" t="s">
        <v>5128</v>
      </c>
      <c r="F7353" s="2" t="s">
        <v>7987</v>
      </c>
      <c r="G7353" s="2" t="s">
        <v>2054</v>
      </c>
      <c r="H7353" s="14">
        <v>0.6</v>
      </c>
      <c r="I7353" s="2" t="s">
        <v>267</v>
      </c>
      <c r="J7353" s="2" t="s">
        <v>6555</v>
      </c>
      <c r="K7353" s="2" t="s">
        <v>1452</v>
      </c>
      <c r="L7353" s="2" t="s">
        <v>5221</v>
      </c>
      <c r="M7353" s="2" t="s">
        <v>5221</v>
      </c>
      <c r="N7353" s="2" t="s">
        <v>2317</v>
      </c>
      <c r="O7353" s="14">
        <v>3000</v>
      </c>
      <c r="P7353" s="14">
        <v>94.67</v>
      </c>
      <c r="Q7353" s="14">
        <v>159.9</v>
      </c>
      <c r="R7353" s="14">
        <v>95.94</v>
      </c>
      <c r="S7353" s="2" t="s">
        <v>1216</v>
      </c>
      <c r="T7353" s="2">
        <v>2.0299999999999998</v>
      </c>
      <c r="U7353" s="2">
        <v>60</v>
      </c>
      <c r="V7353" s="2">
        <v>63</v>
      </c>
      <c r="W7353" s="2" t="s">
        <v>7862</v>
      </c>
      <c r="X7353" s="2" t="s">
        <v>5028</v>
      </c>
      <c r="Y7353" s="2">
        <v>1800</v>
      </c>
      <c r="Z7353" s="19" t="str">
        <f>HYPERLINK("https://ssdweb.co/ssdweb/hd/Vision360.html?d=941370627&amp;zoomslide=1&amp;z=1941370627&amp;ISCONFIRM=0","VIDEO")</f>
        <v>VIDEO</v>
      </c>
      <c r="AA7353" s="19" t="str">
        <f>HYPERLINK("https://ssdweb.co/ssdweb/CERTH/694508354.pdf","CERTI")</f>
        <v>CERTI</v>
      </c>
    </row>
    <row r="7354" spans="1:27" ht="15" x14ac:dyDescent="0.25">
      <c r="A7354" s="2">
        <v>7349</v>
      </c>
      <c r="B7354" s="39">
        <v>925880262</v>
      </c>
      <c r="C7354" s="28" t="str">
        <f>HYPERLINK("https://pld.live/RapDetail.aspx?STONELIST=925880262","DNA")</f>
        <v>DNA</v>
      </c>
      <c r="D7354" s="18" t="s">
        <v>1924</v>
      </c>
      <c r="E7354" s="18" t="s">
        <v>2186</v>
      </c>
      <c r="F7354" s="2" t="s">
        <v>7987</v>
      </c>
      <c r="G7354" s="2" t="s">
        <v>2054</v>
      </c>
      <c r="H7354" s="14">
        <v>0.6</v>
      </c>
      <c r="I7354" s="2" t="s">
        <v>267</v>
      </c>
      <c r="J7354" s="2" t="s">
        <v>3942</v>
      </c>
      <c r="K7354" s="2" t="s">
        <v>1452</v>
      </c>
      <c r="L7354" s="2" t="s">
        <v>5221</v>
      </c>
      <c r="M7354" s="2" t="s">
        <v>5221</v>
      </c>
      <c r="N7354" s="2" t="s">
        <v>2317</v>
      </c>
      <c r="O7354" s="14">
        <v>2800</v>
      </c>
      <c r="P7354" s="14">
        <v>95.32</v>
      </c>
      <c r="Q7354" s="14">
        <v>131.04</v>
      </c>
      <c r="R7354" s="14">
        <v>78.62</v>
      </c>
      <c r="S7354" s="2" t="s">
        <v>4211</v>
      </c>
      <c r="T7354" s="2">
        <v>2.0699999999999998</v>
      </c>
      <c r="U7354" s="2">
        <v>62.5</v>
      </c>
      <c r="V7354" s="2">
        <v>61</v>
      </c>
      <c r="W7354" s="2" t="s">
        <v>7862</v>
      </c>
      <c r="X7354" s="2" t="s">
        <v>5028</v>
      </c>
      <c r="Y7354" s="2">
        <v>1680</v>
      </c>
      <c r="Z7354" s="19" t="str">
        <f>HYPERLINK("https://ssdweb.co/ssdweb/hd/Vision360.html?d=925880262&amp;zoomslide=1&amp;z=1925880262&amp;ISCONFIRM=0","VIDEO")</f>
        <v>VIDEO</v>
      </c>
      <c r="AA7354" s="19" t="str">
        <f>HYPERLINK("https://ssdweb.co/ssdweb/CERTH/629478893.pdf","CERTI")</f>
        <v>CERTI</v>
      </c>
    </row>
    <row r="7355" spans="1:27" ht="15" x14ac:dyDescent="0.25">
      <c r="A7355" s="2">
        <v>7350</v>
      </c>
      <c r="B7355" s="39">
        <v>9413300631</v>
      </c>
      <c r="C7355" s="28" t="str">
        <f>HYPERLINK("https://pld.live/RapDetail.aspx?STONELIST=9413300631","DNA")</f>
        <v>DNA</v>
      </c>
      <c r="D7355" s="18" t="s">
        <v>1924</v>
      </c>
      <c r="E7355" s="18" t="s">
        <v>2186</v>
      </c>
      <c r="F7355" s="2" t="s">
        <v>7987</v>
      </c>
      <c r="G7355" s="2" t="s">
        <v>2054</v>
      </c>
      <c r="H7355" s="14">
        <v>0.6</v>
      </c>
      <c r="I7355" s="2" t="s">
        <v>267</v>
      </c>
      <c r="J7355" s="2" t="s">
        <v>3942</v>
      </c>
      <c r="K7355" s="2" t="s">
        <v>1452</v>
      </c>
      <c r="L7355" s="2" t="s">
        <v>5221</v>
      </c>
      <c r="M7355" s="2" t="s">
        <v>5221</v>
      </c>
      <c r="N7355" s="2" t="s">
        <v>2317</v>
      </c>
      <c r="O7355" s="14">
        <v>2800</v>
      </c>
      <c r="P7355" s="14">
        <v>95.18</v>
      </c>
      <c r="Q7355" s="14">
        <v>134.96</v>
      </c>
      <c r="R7355" s="14">
        <v>80.98</v>
      </c>
      <c r="S7355" s="2" t="s">
        <v>6977</v>
      </c>
      <c r="T7355" s="2">
        <v>2.0699999999999998</v>
      </c>
      <c r="U7355" s="2">
        <v>60</v>
      </c>
      <c r="V7355" s="2">
        <v>62</v>
      </c>
      <c r="W7355" s="2" t="s">
        <v>7862</v>
      </c>
      <c r="X7355" s="2" t="s">
        <v>5028</v>
      </c>
      <c r="Y7355" s="2">
        <v>1680</v>
      </c>
      <c r="Z7355" s="19" t="str">
        <f>HYPERLINK("https://ssdweb.co/ssdweb/hd/Vision360.html?d=9413300631&amp;zoomslide=1&amp;z=19413300631&amp;ISCONFIRM=0","VIDEO")</f>
        <v>VIDEO</v>
      </c>
      <c r="AA7355" s="19" t="str">
        <f>HYPERLINK("https://ssdweb.co/ssdweb/CERTH/694508347.pdf","CERTI")</f>
        <v>CERTI</v>
      </c>
    </row>
    <row r="7356" spans="1:27" ht="15" x14ac:dyDescent="0.25">
      <c r="A7356" s="2">
        <v>7351</v>
      </c>
      <c r="B7356" s="39">
        <v>925851300</v>
      </c>
      <c r="C7356" s="28" t="str">
        <f>HYPERLINK("https://pld.live/RapDetail.aspx?STONELIST=925851300","DNA")</f>
        <v>DNA</v>
      </c>
      <c r="D7356" s="18" t="s">
        <v>1924</v>
      </c>
      <c r="E7356" s="18" t="s">
        <v>5128</v>
      </c>
      <c r="F7356" s="2" t="s">
        <v>7987</v>
      </c>
      <c r="G7356" s="2" t="s">
        <v>2054</v>
      </c>
      <c r="H7356" s="14">
        <v>0.6</v>
      </c>
      <c r="I7356" s="2" t="s">
        <v>267</v>
      </c>
      <c r="J7356" s="2" t="s">
        <v>13</v>
      </c>
      <c r="K7356" s="2" t="s">
        <v>1452</v>
      </c>
      <c r="L7356" s="2" t="s">
        <v>5221</v>
      </c>
      <c r="M7356" s="2" t="s">
        <v>5721</v>
      </c>
      <c r="N7356" s="2" t="s">
        <v>2317</v>
      </c>
      <c r="O7356" s="14">
        <v>2600</v>
      </c>
      <c r="P7356" s="14">
        <v>95.31</v>
      </c>
      <c r="Q7356" s="14">
        <v>121.94</v>
      </c>
      <c r="R7356" s="14">
        <v>73.16</v>
      </c>
      <c r="S7356" s="2" t="s">
        <v>1324</v>
      </c>
      <c r="T7356" s="2">
        <v>1.93</v>
      </c>
      <c r="U7356" s="2">
        <v>60.9</v>
      </c>
      <c r="V7356" s="2">
        <v>61</v>
      </c>
      <c r="W7356" s="2" t="s">
        <v>7862</v>
      </c>
      <c r="X7356" s="2" t="s">
        <v>5028</v>
      </c>
      <c r="Y7356" s="2">
        <v>1560</v>
      </c>
      <c r="Z7356" s="19" t="str">
        <f>HYPERLINK("https://ssdweb.co/ssdweb/hd/Vision360.html?d=925851300&amp;zoomslide=1&amp;z=1925851300&amp;ISCONFIRM=0","VIDEO")</f>
        <v>VIDEO</v>
      </c>
      <c r="AA7356" s="19" t="str">
        <f>HYPERLINK("https://ssdweb.co/ssdweb/CERTH/628400746.pdf","CERTI")</f>
        <v>CERTI</v>
      </c>
    </row>
    <row r="7357" spans="1:27" ht="15" x14ac:dyDescent="0.25">
      <c r="A7357" s="2">
        <v>7352</v>
      </c>
      <c r="B7357" s="39">
        <v>941340750</v>
      </c>
      <c r="C7357" s="28" t="str">
        <f>HYPERLINK("https://pld.live/RapDetail.aspx?STONELIST=941340750","DNA")</f>
        <v>DNA</v>
      </c>
      <c r="D7357" s="18" t="s">
        <v>1924</v>
      </c>
      <c r="E7357" s="18" t="s">
        <v>2186</v>
      </c>
      <c r="F7357" s="2" t="s">
        <v>7987</v>
      </c>
      <c r="G7357" s="2" t="s">
        <v>2054</v>
      </c>
      <c r="H7357" s="14">
        <v>0.6</v>
      </c>
      <c r="I7357" s="2" t="s">
        <v>267</v>
      </c>
      <c r="J7357" s="2" t="s">
        <v>13</v>
      </c>
      <c r="K7357" s="2" t="s">
        <v>1452</v>
      </c>
      <c r="L7357" s="2" t="s">
        <v>5221</v>
      </c>
      <c r="M7357" s="2" t="s">
        <v>5721</v>
      </c>
      <c r="N7357" s="2" t="s">
        <v>2317</v>
      </c>
      <c r="O7357" s="14">
        <v>2600</v>
      </c>
      <c r="P7357" s="14">
        <v>95.08</v>
      </c>
      <c r="Q7357" s="14">
        <v>127.92</v>
      </c>
      <c r="R7357" s="14">
        <v>76.75</v>
      </c>
      <c r="S7357" s="2" t="s">
        <v>6817</v>
      </c>
      <c r="T7357" s="2">
        <v>1.89</v>
      </c>
      <c r="U7357" s="2">
        <v>63.6</v>
      </c>
      <c r="V7357" s="2">
        <v>59</v>
      </c>
      <c r="W7357" s="2" t="s">
        <v>7862</v>
      </c>
      <c r="X7357" s="2" t="s">
        <v>5028</v>
      </c>
      <c r="Y7357" s="2">
        <v>1560</v>
      </c>
      <c r="Z7357" s="19" t="str">
        <f>HYPERLINK("https://ssdweb.co/ssdweb/hd/Vision360.html?d=941340750&amp;zoomslide=1&amp;z=1941340750&amp;ISCONFIRM=0","VIDEO")</f>
        <v>VIDEO</v>
      </c>
      <c r="AA7357" s="19" t="str">
        <f>HYPERLINK("https://ssdweb.co/ssdweb/CERTH/689587265.pdf","CERTI")</f>
        <v>CERTI</v>
      </c>
    </row>
    <row r="7358" spans="1:27" ht="15" x14ac:dyDescent="0.25">
      <c r="A7358" s="2">
        <v>7353</v>
      </c>
      <c r="B7358" s="39">
        <v>926410438</v>
      </c>
      <c r="C7358" s="28" t="str">
        <f>HYPERLINK("https://pld.live/RapDetail.aspx?STONELIST=926410438","DNA")</f>
        <v>DNA</v>
      </c>
      <c r="D7358" s="18" t="s">
        <v>1924</v>
      </c>
      <c r="E7358" s="18" t="s">
        <v>2186</v>
      </c>
      <c r="F7358" s="2" t="s">
        <v>7987</v>
      </c>
      <c r="G7358" s="2" t="s">
        <v>2054</v>
      </c>
      <c r="H7358" s="14">
        <v>0.6</v>
      </c>
      <c r="I7358" s="2" t="s">
        <v>4761</v>
      </c>
      <c r="J7358" s="2" t="s">
        <v>13</v>
      </c>
      <c r="K7358" s="2" t="s">
        <v>1452</v>
      </c>
      <c r="L7358" s="2" t="s">
        <v>5221</v>
      </c>
      <c r="M7358" s="2" t="s">
        <v>5221</v>
      </c>
      <c r="N7358" s="2" t="s">
        <v>2317</v>
      </c>
      <c r="O7358" s="14">
        <v>2500</v>
      </c>
      <c r="P7358" s="14">
        <v>95.04</v>
      </c>
      <c r="Q7358" s="14">
        <v>124</v>
      </c>
      <c r="R7358" s="14">
        <v>74.400000000000006</v>
      </c>
      <c r="S7358" s="2" t="s">
        <v>2268</v>
      </c>
      <c r="T7358" s="2">
        <v>2.1</v>
      </c>
      <c r="U7358" s="2">
        <v>60.8</v>
      </c>
      <c r="V7358" s="2">
        <v>60</v>
      </c>
      <c r="W7358" s="2" t="s">
        <v>7862</v>
      </c>
      <c r="X7358" s="2" t="s">
        <v>5028</v>
      </c>
      <c r="Y7358" s="2">
        <v>1500</v>
      </c>
      <c r="Z7358" s="19" t="str">
        <f>HYPERLINK("https://ssdweb.co/ssdweb/hd/Vision360.html?d=926410438&amp;zoomslide=1&amp;z=1926410438&amp;ISCONFIRM=0","VIDEO")</f>
        <v>VIDEO</v>
      </c>
      <c r="AA7358" s="19" t="str">
        <f>HYPERLINK("https://ssdweb.co/ssdweb/CERTH/645490386.pdf","CERTI")</f>
        <v>CERTI</v>
      </c>
    </row>
    <row r="7359" spans="1:27" ht="15" x14ac:dyDescent="0.25">
      <c r="A7359" s="2">
        <v>7354</v>
      </c>
      <c r="B7359" s="39">
        <v>920470421</v>
      </c>
      <c r="C7359" s="28" t="str">
        <f>HYPERLINK("https://pld.live/RapDetail.aspx?STONELIST=920470421","DNA")</f>
        <v>DNA</v>
      </c>
      <c r="D7359" s="18" t="s">
        <v>1924</v>
      </c>
      <c r="E7359" s="18" t="s">
        <v>7909</v>
      </c>
      <c r="F7359" s="2" t="s">
        <v>7987</v>
      </c>
      <c r="G7359" s="2" t="s">
        <v>2054</v>
      </c>
      <c r="H7359" s="14">
        <v>0.6</v>
      </c>
      <c r="I7359" s="2" t="s">
        <v>6845</v>
      </c>
      <c r="J7359" s="2" t="s">
        <v>13</v>
      </c>
      <c r="K7359" s="2" t="s">
        <v>1452</v>
      </c>
      <c r="L7359" s="2" t="s">
        <v>5221</v>
      </c>
      <c r="M7359" s="2" t="s">
        <v>5221</v>
      </c>
      <c r="N7359" s="2" t="s">
        <v>2317</v>
      </c>
      <c r="O7359" s="14">
        <v>1100</v>
      </c>
      <c r="P7359" s="14">
        <v>80</v>
      </c>
      <c r="Q7359" s="14">
        <v>220</v>
      </c>
      <c r="R7359" s="14">
        <v>132</v>
      </c>
      <c r="S7359" s="2" t="s">
        <v>5104</v>
      </c>
      <c r="T7359" s="2">
        <v>1.87</v>
      </c>
      <c r="U7359" s="2">
        <v>62.9</v>
      </c>
      <c r="V7359" s="2">
        <v>64</v>
      </c>
      <c r="W7359" s="2" t="s">
        <v>7862</v>
      </c>
      <c r="X7359" s="2" t="s">
        <v>5028</v>
      </c>
      <c r="Y7359" s="2">
        <v>660</v>
      </c>
      <c r="Z7359" s="19" t="str">
        <f>HYPERLINK("https://ssdweb.co/ssdweb/hd/Vision360.html?d=920470421&amp;zoomslide=1&amp;z=1920470421&amp;ISCONFIRM=0","VIDEO")</f>
        <v>VIDEO</v>
      </c>
      <c r="AA7359" s="19" t="str">
        <f>HYPERLINK("https://ssdweb.co/ssdweb/CERTH/631429900.pdf","CERTI")</f>
        <v>CERTI</v>
      </c>
    </row>
    <row r="7360" spans="1:27" ht="15" x14ac:dyDescent="0.25">
      <c r="A7360" s="2">
        <v>7355</v>
      </c>
      <c r="B7360" s="39">
        <v>941330587</v>
      </c>
      <c r="C7360" s="28" t="str">
        <f>HYPERLINK("https://pld.live/RapDetail.aspx?STONELIST=941330587","DNA")</f>
        <v>DNA</v>
      </c>
      <c r="D7360" s="18" t="s">
        <v>5466</v>
      </c>
      <c r="E7360" s="18" t="s">
        <v>2186</v>
      </c>
      <c r="F7360" s="2" t="s">
        <v>7987</v>
      </c>
      <c r="G7360" s="2" t="s">
        <v>2054</v>
      </c>
      <c r="H7360" s="14">
        <v>0.59</v>
      </c>
      <c r="I7360" s="2" t="s">
        <v>4761</v>
      </c>
      <c r="J7360" s="2" t="s">
        <v>3942</v>
      </c>
      <c r="K7360" s="2" t="s">
        <v>1452</v>
      </c>
      <c r="L7360" s="2" t="s">
        <v>5221</v>
      </c>
      <c r="M7360" s="2" t="s">
        <v>5221</v>
      </c>
      <c r="N7360" s="2" t="s">
        <v>2317</v>
      </c>
      <c r="O7360" s="14">
        <v>2600</v>
      </c>
      <c r="P7360" s="14">
        <v>94.54</v>
      </c>
      <c r="Q7360" s="14">
        <v>141.96</v>
      </c>
      <c r="R7360" s="14">
        <v>83.76</v>
      </c>
      <c r="S7360" s="2" t="s">
        <v>7405</v>
      </c>
      <c r="T7360" s="2">
        <v>2.0699999999999998</v>
      </c>
      <c r="U7360" s="2">
        <v>61.5</v>
      </c>
      <c r="V7360" s="2">
        <v>61</v>
      </c>
      <c r="W7360" s="2" t="s">
        <v>7862</v>
      </c>
      <c r="X7360" s="2" t="s">
        <v>5028</v>
      </c>
      <c r="Y7360" s="2">
        <v>1534</v>
      </c>
      <c r="Z7360" s="19" t="str">
        <f>HYPERLINK("https://ssdweb.co/ssdweb/hd/Vision360.html?d=941330587&amp;zoomslide=1&amp;z=1941330587&amp;ISCONFIRM=0","VIDEO")</f>
        <v>VIDEO</v>
      </c>
      <c r="AA7360" s="19" t="str">
        <f>HYPERLINK("https://ssdweb.co/ssdweb/CERTH/691577897.pdf","CERTI")</f>
        <v>CERTI</v>
      </c>
    </row>
    <row r="7361" spans="1:27" ht="15" x14ac:dyDescent="0.25">
      <c r="A7361" s="2">
        <v>7356</v>
      </c>
      <c r="B7361" s="39">
        <v>926470100</v>
      </c>
      <c r="C7361" s="28" t="str">
        <f>HYPERLINK("https://pld.live/RapDetail.aspx?STONELIST=926470100","DNA")</f>
        <v>DNA</v>
      </c>
      <c r="D7361" s="18" t="s">
        <v>5466</v>
      </c>
      <c r="E7361" s="18" t="s">
        <v>2186</v>
      </c>
      <c r="F7361" s="2" t="s">
        <v>7987</v>
      </c>
      <c r="G7361" s="2" t="s">
        <v>2054</v>
      </c>
      <c r="H7361" s="14">
        <v>0.59</v>
      </c>
      <c r="I7361" s="2" t="s">
        <v>4761</v>
      </c>
      <c r="J7361" s="2" t="s">
        <v>13</v>
      </c>
      <c r="K7361" s="2" t="s">
        <v>1452</v>
      </c>
      <c r="L7361" s="2" t="s">
        <v>5221</v>
      </c>
      <c r="M7361" s="2" t="s">
        <v>5221</v>
      </c>
      <c r="N7361" s="2" t="s">
        <v>2317</v>
      </c>
      <c r="O7361" s="14">
        <v>2500</v>
      </c>
      <c r="P7361" s="14">
        <v>94.64</v>
      </c>
      <c r="Q7361" s="14">
        <v>134</v>
      </c>
      <c r="R7361" s="14">
        <v>79.06</v>
      </c>
      <c r="S7361" s="2" t="s">
        <v>5546</v>
      </c>
      <c r="T7361" s="2">
        <v>1.91</v>
      </c>
      <c r="U7361" s="2">
        <v>62.4</v>
      </c>
      <c r="V7361" s="2">
        <v>58</v>
      </c>
      <c r="W7361" s="2" t="s">
        <v>7862</v>
      </c>
      <c r="X7361" s="2" t="s">
        <v>5028</v>
      </c>
      <c r="Y7361" s="2">
        <v>1475</v>
      </c>
      <c r="Z7361" s="19" t="str">
        <f>HYPERLINK("https://ssdweb.co/ssdweb/hd/Vision360.html?d=926470100&amp;zoomslide=1&amp;z=1926470100&amp;ISCONFIRM=0","VIDEO")</f>
        <v>VIDEO</v>
      </c>
      <c r="AA7361" s="19" t="str">
        <f>HYPERLINK("https://ssdweb.co/ssdweb/CERTH/644490457.pdf","CERTI")</f>
        <v>CERTI</v>
      </c>
    </row>
    <row r="7362" spans="1:27" ht="15" x14ac:dyDescent="0.25">
      <c r="A7362" s="2">
        <v>7357</v>
      </c>
      <c r="B7362" s="39">
        <v>926470240</v>
      </c>
      <c r="C7362" s="28" t="str">
        <f>HYPERLINK("https://pld.live/RapDetail.aspx?STONELIST=926470240","DNA")</f>
        <v>DNA</v>
      </c>
      <c r="D7362" s="18" t="s">
        <v>5466</v>
      </c>
      <c r="E7362" s="18" t="s">
        <v>2186</v>
      </c>
      <c r="F7362" s="2" t="s">
        <v>7987</v>
      </c>
      <c r="G7362" s="2" t="s">
        <v>2054</v>
      </c>
      <c r="H7362" s="14">
        <v>0.59</v>
      </c>
      <c r="I7362" s="2" t="s">
        <v>4699</v>
      </c>
      <c r="J7362" s="2" t="s">
        <v>3942</v>
      </c>
      <c r="K7362" s="2" t="s">
        <v>1452</v>
      </c>
      <c r="L7362" s="2" t="s">
        <v>5221</v>
      </c>
      <c r="M7362" s="2" t="s">
        <v>5221</v>
      </c>
      <c r="N7362" s="2" t="s">
        <v>2317</v>
      </c>
      <c r="O7362" s="14">
        <v>2500</v>
      </c>
      <c r="P7362" s="14">
        <v>94.56</v>
      </c>
      <c r="Q7362" s="14">
        <v>136</v>
      </c>
      <c r="R7362" s="14">
        <v>80.239999999999995</v>
      </c>
      <c r="S7362" s="2" t="s">
        <v>2718</v>
      </c>
      <c r="T7362" s="2">
        <v>1.97</v>
      </c>
      <c r="U7362" s="2">
        <v>62.8</v>
      </c>
      <c r="V7362" s="2">
        <v>59</v>
      </c>
      <c r="W7362" s="2" t="s">
        <v>7862</v>
      </c>
      <c r="X7362" s="2" t="s">
        <v>5028</v>
      </c>
      <c r="Y7362" s="2">
        <v>1475</v>
      </c>
      <c r="Z7362" s="19" t="str">
        <f>HYPERLINK("https://ssdweb.co/ssdweb/hd/Vision360.html?d=926470240&amp;zoomslide=1&amp;z=1926470240&amp;ISCONFIRM=0","VIDEO")</f>
        <v>VIDEO</v>
      </c>
      <c r="AA7362" s="19" t="str">
        <f>HYPERLINK("https://ssdweb.co/ssdweb/CERTH/645461641.pdf","CERTI")</f>
        <v>CERTI</v>
      </c>
    </row>
    <row r="7363" spans="1:27" ht="15" x14ac:dyDescent="0.25">
      <c r="A7363" s="2">
        <v>7358</v>
      </c>
      <c r="B7363" s="39">
        <v>941360585</v>
      </c>
      <c r="C7363" s="28" t="str">
        <f>HYPERLINK("https://pld.live/RapDetail.aspx?STONELIST=941360585","DNA")</f>
        <v>DNA</v>
      </c>
      <c r="D7363" s="18" t="s">
        <v>5466</v>
      </c>
      <c r="E7363" s="18" t="s">
        <v>2186</v>
      </c>
      <c r="F7363" s="2" t="s">
        <v>7987</v>
      </c>
      <c r="G7363" s="2" t="s">
        <v>2054</v>
      </c>
      <c r="H7363" s="14">
        <v>0.57999999999999996</v>
      </c>
      <c r="I7363" s="2" t="s">
        <v>267</v>
      </c>
      <c r="J7363" s="2" t="s">
        <v>3942</v>
      </c>
      <c r="K7363" s="2" t="s">
        <v>1452</v>
      </c>
      <c r="L7363" s="2" t="s">
        <v>5221</v>
      </c>
      <c r="M7363" s="2" t="s">
        <v>5221</v>
      </c>
      <c r="N7363" s="2" t="s">
        <v>2317</v>
      </c>
      <c r="O7363" s="14">
        <v>2800</v>
      </c>
      <c r="P7363" s="14">
        <v>94.82</v>
      </c>
      <c r="Q7363" s="14">
        <v>145.04</v>
      </c>
      <c r="R7363" s="14">
        <v>84.12</v>
      </c>
      <c r="S7363" s="2" t="s">
        <v>2069</v>
      </c>
      <c r="T7363" s="2">
        <v>2.0699999999999998</v>
      </c>
      <c r="U7363" s="2">
        <v>62.7</v>
      </c>
      <c r="V7363" s="2">
        <v>60</v>
      </c>
      <c r="W7363" s="2" t="s">
        <v>7862</v>
      </c>
      <c r="X7363" s="2" t="s">
        <v>5028</v>
      </c>
      <c r="Y7363" s="2">
        <v>1624</v>
      </c>
      <c r="Z7363" s="19" t="str">
        <f>HYPERLINK("https://ssdweb.co/ssdweb/hd/Vision360.html?d=941360585&amp;zoomslide=1&amp;z=1941360585&amp;ISCONFIRM=0","VIDEO")</f>
        <v>VIDEO</v>
      </c>
      <c r="AA7363" s="19" t="str">
        <f>HYPERLINK("https://ssdweb.co/ssdweb/CERTH/691533685.pdf","CERTI")</f>
        <v>CERTI</v>
      </c>
    </row>
    <row r="7364" spans="1:27" ht="15" x14ac:dyDescent="0.25">
      <c r="A7364" s="2">
        <v>7359</v>
      </c>
      <c r="B7364" s="39">
        <v>941280502</v>
      </c>
      <c r="C7364" s="28" t="str">
        <f>HYPERLINK("https://pld.live/RapDetail.aspx?STONELIST=941280502","DNA")</f>
        <v>DNA</v>
      </c>
      <c r="D7364" s="18" t="s">
        <v>5466</v>
      </c>
      <c r="E7364" s="18" t="s">
        <v>2186</v>
      </c>
      <c r="F7364" s="2" t="s">
        <v>7987</v>
      </c>
      <c r="G7364" s="2" t="s">
        <v>2054</v>
      </c>
      <c r="H7364" s="14">
        <v>0.57999999999999996</v>
      </c>
      <c r="I7364" s="2" t="s">
        <v>267</v>
      </c>
      <c r="J7364" s="2" t="s">
        <v>5144</v>
      </c>
      <c r="K7364" s="2" t="s">
        <v>1452</v>
      </c>
      <c r="L7364" s="2" t="s">
        <v>5221</v>
      </c>
      <c r="M7364" s="2" t="s">
        <v>5221</v>
      </c>
      <c r="N7364" s="2" t="s">
        <v>2317</v>
      </c>
      <c r="O7364" s="14">
        <v>2400</v>
      </c>
      <c r="P7364" s="14">
        <v>94.25</v>
      </c>
      <c r="Q7364" s="14">
        <v>138</v>
      </c>
      <c r="R7364" s="14">
        <v>80.040000000000006</v>
      </c>
      <c r="S7364" s="2" t="s">
        <v>8125</v>
      </c>
      <c r="T7364" s="2">
        <v>2.08</v>
      </c>
      <c r="U7364" s="2">
        <v>63.2</v>
      </c>
      <c r="V7364" s="2">
        <v>59</v>
      </c>
      <c r="W7364" s="2" t="s">
        <v>7862</v>
      </c>
      <c r="X7364" s="2" t="s">
        <v>5028</v>
      </c>
      <c r="Y7364" s="2">
        <v>1392</v>
      </c>
      <c r="Z7364" s="19" t="str">
        <f>HYPERLINK("https://ssdweb.co/ssdweb/hd/Vision360.html?d=941280502&amp;zoomslide=1&amp;z=1941280502&amp;ISCONFIRM=0","VIDEO")</f>
        <v>VIDEO</v>
      </c>
      <c r="AA7364" s="19" t="str">
        <f>HYPERLINK("https://ssdweb.co/ssdweb/CERTH/689587170.pdf","CERTI")</f>
        <v>CERTI</v>
      </c>
    </row>
    <row r="7365" spans="1:27" ht="15" x14ac:dyDescent="0.25">
      <c r="A7365" s="2">
        <v>7360</v>
      </c>
      <c r="B7365" s="39">
        <v>926980724</v>
      </c>
      <c r="C7365" s="28" t="str">
        <f>HYPERLINK("https://pld.live/RapDetail.aspx?STONELIST=926980724","DNA")</f>
        <v>DNA</v>
      </c>
      <c r="D7365" s="18" t="s">
        <v>5466</v>
      </c>
      <c r="E7365" s="18" t="s">
        <v>2186</v>
      </c>
      <c r="F7365" s="2" t="s">
        <v>7987</v>
      </c>
      <c r="G7365" s="2" t="s">
        <v>2054</v>
      </c>
      <c r="H7365" s="14">
        <v>0.57999999999999996</v>
      </c>
      <c r="I7365" s="2" t="s">
        <v>4761</v>
      </c>
      <c r="J7365" s="2" t="s">
        <v>3942</v>
      </c>
      <c r="K7365" s="2" t="s">
        <v>1452</v>
      </c>
      <c r="L7365" s="2" t="s">
        <v>5221</v>
      </c>
      <c r="M7365" s="2" t="s">
        <v>5721</v>
      </c>
      <c r="N7365" s="2" t="s">
        <v>2317</v>
      </c>
      <c r="O7365" s="14">
        <v>2600</v>
      </c>
      <c r="P7365" s="14">
        <v>94.62</v>
      </c>
      <c r="Q7365" s="14">
        <v>139.88</v>
      </c>
      <c r="R7365" s="14">
        <v>81.13</v>
      </c>
      <c r="S7365" s="2" t="s">
        <v>6752</v>
      </c>
      <c r="T7365" s="2">
        <v>1.9</v>
      </c>
      <c r="U7365" s="2">
        <v>60.9</v>
      </c>
      <c r="V7365" s="2">
        <v>60</v>
      </c>
      <c r="W7365" s="2" t="s">
        <v>7862</v>
      </c>
      <c r="X7365" s="2" t="s">
        <v>5028</v>
      </c>
      <c r="Y7365" s="2">
        <v>1508</v>
      </c>
      <c r="Z7365" s="19" t="str">
        <f>HYPERLINK("https://ssdweb.co/ssdweb/hd/Vision360.html?d=926980724&amp;zoomslide=1&amp;z=1926980724&amp;ISCONFIRM=0","VIDEO")</f>
        <v>VIDEO</v>
      </c>
      <c r="AA7365" s="19" t="str">
        <f>HYPERLINK("https://ssdweb.co/ssdweb/CERTH/669458163.pdf","CERTI")</f>
        <v>CERTI</v>
      </c>
    </row>
    <row r="7366" spans="1:27" ht="15" x14ac:dyDescent="0.25">
      <c r="A7366" s="2">
        <v>7361</v>
      </c>
      <c r="B7366" s="39">
        <v>941340751</v>
      </c>
      <c r="C7366" s="28" t="str">
        <f>HYPERLINK("https://pld.live/RapDetail.aspx?STONELIST=941340751","DNA")</f>
        <v>DNA</v>
      </c>
      <c r="D7366" s="18" t="s">
        <v>5466</v>
      </c>
      <c r="E7366" s="18" t="s">
        <v>2186</v>
      </c>
      <c r="F7366" s="2" t="s">
        <v>7987</v>
      </c>
      <c r="G7366" s="2" t="s">
        <v>2054</v>
      </c>
      <c r="H7366" s="14">
        <v>0.56000000000000005</v>
      </c>
      <c r="I7366" s="2" t="s">
        <v>267</v>
      </c>
      <c r="J7366" s="2" t="s">
        <v>6555</v>
      </c>
      <c r="K7366" s="2" t="s">
        <v>1452</v>
      </c>
      <c r="L7366" s="2" t="s">
        <v>5221</v>
      </c>
      <c r="M7366" s="2" t="s">
        <v>5221</v>
      </c>
      <c r="N7366" s="2" t="s">
        <v>2317</v>
      </c>
      <c r="O7366" s="14">
        <v>3000</v>
      </c>
      <c r="P7366" s="14">
        <v>94.33</v>
      </c>
      <c r="Q7366" s="14">
        <v>170.1</v>
      </c>
      <c r="R7366" s="14">
        <v>95.26</v>
      </c>
      <c r="S7366" s="2" t="s">
        <v>1612</v>
      </c>
      <c r="T7366" s="2">
        <v>1.91</v>
      </c>
      <c r="U7366" s="2">
        <v>63.2</v>
      </c>
      <c r="V7366" s="2">
        <v>60</v>
      </c>
      <c r="W7366" s="2" t="s">
        <v>7862</v>
      </c>
      <c r="X7366" s="2" t="s">
        <v>5028</v>
      </c>
      <c r="Y7366" s="2">
        <v>1680</v>
      </c>
      <c r="Z7366" s="19" t="str">
        <f>HYPERLINK("https://ssdweb.co/ssdweb/hd/Vision360.html?d=941340751&amp;zoomslide=1&amp;z=1941340751&amp;ISCONFIRM=0","VIDEO")</f>
        <v>VIDEO</v>
      </c>
      <c r="AA7366" s="19" t="str">
        <f>HYPERLINK("https://ssdweb.co/ssdweb/CERTH/689543226.pdf","CERTI")</f>
        <v>CERTI</v>
      </c>
    </row>
    <row r="7367" spans="1:27" ht="15" x14ac:dyDescent="0.25">
      <c r="A7367" s="2">
        <v>7362</v>
      </c>
      <c r="B7367" s="39">
        <v>926200990</v>
      </c>
      <c r="C7367" s="28" t="str">
        <f>HYPERLINK("https://pld.live/RapDetail.aspx?STONELIST=926200990","DNA")</f>
        <v>DNA</v>
      </c>
      <c r="D7367" s="18" t="s">
        <v>5466</v>
      </c>
      <c r="E7367" s="18" t="s">
        <v>5128</v>
      </c>
      <c r="F7367" s="2" t="s">
        <v>7987</v>
      </c>
      <c r="G7367" s="2" t="s">
        <v>2054</v>
      </c>
      <c r="H7367" s="14">
        <v>0.56000000000000005</v>
      </c>
      <c r="I7367" s="2" t="s">
        <v>267</v>
      </c>
      <c r="J7367" s="2" t="s">
        <v>6555</v>
      </c>
      <c r="K7367" s="2" t="s">
        <v>1452</v>
      </c>
      <c r="L7367" s="2" t="s">
        <v>5221</v>
      </c>
      <c r="M7367" s="2" t="s">
        <v>5721</v>
      </c>
      <c r="N7367" s="2" t="s">
        <v>2317</v>
      </c>
      <c r="O7367" s="14">
        <v>3000</v>
      </c>
      <c r="P7367" s="14">
        <v>94.53</v>
      </c>
      <c r="Q7367" s="14">
        <v>164.1</v>
      </c>
      <c r="R7367" s="14">
        <v>91.9</v>
      </c>
      <c r="S7367" s="2" t="s">
        <v>2456</v>
      </c>
      <c r="T7367" s="2">
        <v>2.0499999999999998</v>
      </c>
      <c r="U7367" s="2">
        <v>63</v>
      </c>
      <c r="V7367" s="2">
        <v>61</v>
      </c>
      <c r="W7367" s="2" t="s">
        <v>7862</v>
      </c>
      <c r="X7367" s="2" t="s">
        <v>5028</v>
      </c>
      <c r="Y7367" s="2">
        <v>1680</v>
      </c>
      <c r="Z7367" s="19" t="str">
        <f>HYPERLINK("https://ssdweb.co/ssdweb/hd/Vision360.html?d=926200990&amp;zoomslide=1&amp;z=1926200990&amp;ISCONFIRM=0","VIDEO")</f>
        <v>VIDEO</v>
      </c>
      <c r="AA7367" s="19" t="str">
        <f>HYPERLINK("https://ssdweb.co/ssdweb/CERTH/635423864.pdf","CERTI")</f>
        <v>CERTI</v>
      </c>
    </row>
    <row r="7368" spans="1:27" ht="15" x14ac:dyDescent="0.25">
      <c r="A7368" s="2">
        <v>7363</v>
      </c>
      <c r="B7368" s="39">
        <v>941330597</v>
      </c>
      <c r="C7368" s="28" t="str">
        <f>HYPERLINK("https://pld.live/RapDetail.aspx?STONELIST=941330597","DNA")</f>
        <v>DNA</v>
      </c>
      <c r="D7368" s="18" t="s">
        <v>5466</v>
      </c>
      <c r="E7368" s="18" t="s">
        <v>2186</v>
      </c>
      <c r="F7368" s="2" t="s">
        <v>7987</v>
      </c>
      <c r="G7368" s="2" t="s">
        <v>2054</v>
      </c>
      <c r="H7368" s="14">
        <v>0.53</v>
      </c>
      <c r="I7368" s="2" t="s">
        <v>267</v>
      </c>
      <c r="J7368" s="2" t="s">
        <v>3942</v>
      </c>
      <c r="K7368" s="2" t="s">
        <v>1452</v>
      </c>
      <c r="L7368" s="2" t="s">
        <v>5221</v>
      </c>
      <c r="M7368" s="2" t="s">
        <v>5221</v>
      </c>
      <c r="N7368" s="2" t="s">
        <v>2317</v>
      </c>
      <c r="O7368" s="14">
        <v>2800</v>
      </c>
      <c r="P7368" s="14">
        <v>94.82</v>
      </c>
      <c r="Q7368" s="14">
        <v>145.04</v>
      </c>
      <c r="R7368" s="14">
        <v>76.87</v>
      </c>
      <c r="S7368" s="2" t="s">
        <v>5346</v>
      </c>
      <c r="T7368" s="2">
        <v>2.02</v>
      </c>
      <c r="U7368" s="2">
        <v>63.1</v>
      </c>
      <c r="V7368" s="2">
        <v>59</v>
      </c>
      <c r="W7368" s="2" t="s">
        <v>7862</v>
      </c>
      <c r="X7368" s="2" t="s">
        <v>5028</v>
      </c>
      <c r="Y7368" s="2">
        <v>1484</v>
      </c>
      <c r="Z7368" s="19" t="str">
        <f>HYPERLINK("https://ssdweb.co/ssdweb/hd/Vision360.html?d=941330597&amp;zoomslide=1&amp;z=1941330597&amp;ISCONFIRM=0","VIDEO")</f>
        <v>VIDEO</v>
      </c>
      <c r="AA7368" s="19" t="str">
        <f>HYPERLINK("https://ssdweb.co/ssdweb/CERTH/691577898.pdf","CERTI")</f>
        <v>CERTI</v>
      </c>
    </row>
    <row r="7369" spans="1:27" ht="15" x14ac:dyDescent="0.25">
      <c r="A7369" s="2">
        <v>7364</v>
      </c>
      <c r="B7369" s="39">
        <v>941330627</v>
      </c>
      <c r="C7369" s="28" t="str">
        <f>HYPERLINK("https://pld.live/RapDetail.aspx?STONELIST=941330627","DNA")</f>
        <v>DNA</v>
      </c>
      <c r="D7369" s="18" t="s">
        <v>5466</v>
      </c>
      <c r="E7369" s="18" t="s">
        <v>2186</v>
      </c>
      <c r="F7369" s="2" t="s">
        <v>7987</v>
      </c>
      <c r="G7369" s="2" t="s">
        <v>2054</v>
      </c>
      <c r="H7369" s="14">
        <v>0.53</v>
      </c>
      <c r="I7369" s="2" t="s">
        <v>267</v>
      </c>
      <c r="J7369" s="2" t="s">
        <v>3942</v>
      </c>
      <c r="K7369" s="2" t="s">
        <v>1452</v>
      </c>
      <c r="L7369" s="2" t="s">
        <v>5221</v>
      </c>
      <c r="M7369" s="2" t="s">
        <v>5221</v>
      </c>
      <c r="N7369" s="2" t="s">
        <v>2317</v>
      </c>
      <c r="O7369" s="14">
        <v>2800</v>
      </c>
      <c r="P7369" s="14">
        <v>93.39</v>
      </c>
      <c r="Q7369" s="14">
        <v>185.08</v>
      </c>
      <c r="R7369" s="14">
        <v>98.09</v>
      </c>
      <c r="S7369" s="2" t="s">
        <v>2610</v>
      </c>
      <c r="T7369" s="2">
        <v>1.91</v>
      </c>
      <c r="U7369" s="2">
        <v>59.9</v>
      </c>
      <c r="V7369" s="2">
        <v>60</v>
      </c>
      <c r="W7369" s="2" t="s">
        <v>7862</v>
      </c>
      <c r="X7369" s="2" t="s">
        <v>5028</v>
      </c>
      <c r="Y7369" s="2">
        <v>1484</v>
      </c>
      <c r="Z7369" s="19" t="str">
        <f>HYPERLINK("https://ssdweb.co/ssdweb/hd/Vision360.html?d=941330627&amp;zoomslide=1&amp;z=1941330627&amp;ISCONFIRM=0","VIDEO")</f>
        <v>VIDEO</v>
      </c>
      <c r="AA7369" s="19" t="str">
        <f>HYPERLINK("https://ssdweb.co/ssdweb/CERTH/693519442.pdf","CERTI")</f>
        <v>CERTI</v>
      </c>
    </row>
    <row r="7370" spans="1:27" ht="15" x14ac:dyDescent="0.25">
      <c r="A7370" s="2">
        <v>7365</v>
      </c>
      <c r="B7370" s="39">
        <v>927052744</v>
      </c>
      <c r="C7370" s="28" t="str">
        <f>HYPERLINK("https://pld.live/RapDetail.aspx?STONELIST=927052744","DNA")</f>
        <v>DNA</v>
      </c>
      <c r="D7370" s="18" t="s">
        <v>5466</v>
      </c>
      <c r="E7370" s="18" t="s">
        <v>5128</v>
      </c>
      <c r="F7370" s="2" t="s">
        <v>7987</v>
      </c>
      <c r="G7370" s="2" t="s">
        <v>2054</v>
      </c>
      <c r="H7370" s="14">
        <v>0.52</v>
      </c>
      <c r="I7370" s="2" t="s">
        <v>267</v>
      </c>
      <c r="J7370" s="2" t="s">
        <v>3942</v>
      </c>
      <c r="K7370" s="2" t="s">
        <v>1452</v>
      </c>
      <c r="L7370" s="2" t="s">
        <v>5721</v>
      </c>
      <c r="M7370" s="2" t="s">
        <v>5721</v>
      </c>
      <c r="N7370" s="2" t="s">
        <v>2317</v>
      </c>
      <c r="O7370" s="14">
        <v>2800</v>
      </c>
      <c r="P7370" s="14">
        <v>94.89</v>
      </c>
      <c r="Q7370" s="14">
        <v>143.08000000000001</v>
      </c>
      <c r="R7370" s="14">
        <v>74.400000000000006</v>
      </c>
      <c r="S7370" s="2" t="s">
        <v>7008</v>
      </c>
      <c r="T7370" s="2">
        <v>1.88</v>
      </c>
      <c r="U7370" s="2">
        <v>62.1</v>
      </c>
      <c r="V7370" s="2">
        <v>60</v>
      </c>
      <c r="W7370" s="2" t="s">
        <v>7862</v>
      </c>
      <c r="X7370" s="2" t="s">
        <v>5028</v>
      </c>
      <c r="Y7370" s="2">
        <v>1456</v>
      </c>
      <c r="Z7370" s="19" t="str">
        <f>HYPERLINK("https://ssdweb.co/ssdweb/hd/Vision360.html?d=927052744&amp;zoomslide=1&amp;z=1927052744&amp;ISCONFIRM=0","VIDEO")</f>
        <v>VIDEO</v>
      </c>
      <c r="AA7370" s="19" t="str">
        <f>HYPERLINK("https://ssdweb.co/ssdweb/CERTH/671477180.pdf","CERTI")</f>
        <v>CERTI</v>
      </c>
    </row>
    <row r="7371" spans="1:27" ht="15" x14ac:dyDescent="0.25">
      <c r="A7371" s="2">
        <v>7366</v>
      </c>
      <c r="B7371" s="39">
        <v>926820116</v>
      </c>
      <c r="C7371" s="28" t="str">
        <f>HYPERLINK("https://pld.live/RapDetail.aspx?STONELIST=926820116","DNA")</f>
        <v>DNA</v>
      </c>
      <c r="D7371" s="18" t="s">
        <v>5466</v>
      </c>
      <c r="E7371" s="18" t="s">
        <v>2186</v>
      </c>
      <c r="F7371" s="2" t="s">
        <v>7987</v>
      </c>
      <c r="G7371" s="2" t="s">
        <v>2054</v>
      </c>
      <c r="H7371" s="14">
        <v>0.52</v>
      </c>
      <c r="I7371" s="2" t="s">
        <v>267</v>
      </c>
      <c r="J7371" s="2" t="s">
        <v>13</v>
      </c>
      <c r="K7371" s="2" t="s">
        <v>1452</v>
      </c>
      <c r="L7371" s="2" t="s">
        <v>5221</v>
      </c>
      <c r="M7371" s="2" t="s">
        <v>5721</v>
      </c>
      <c r="N7371" s="2" t="s">
        <v>2317</v>
      </c>
      <c r="O7371" s="14">
        <v>2600</v>
      </c>
      <c r="P7371" s="14">
        <v>94.77</v>
      </c>
      <c r="Q7371" s="14">
        <v>135.97999999999999</v>
      </c>
      <c r="R7371" s="14">
        <v>70.709999999999994</v>
      </c>
      <c r="S7371" s="2" t="s">
        <v>4647</v>
      </c>
      <c r="T7371" s="2">
        <v>2.1</v>
      </c>
      <c r="U7371" s="2">
        <v>61</v>
      </c>
      <c r="V7371" s="2">
        <v>56</v>
      </c>
      <c r="W7371" s="2" t="s">
        <v>7862</v>
      </c>
      <c r="X7371" s="2" t="s">
        <v>5028</v>
      </c>
      <c r="Y7371" s="2">
        <v>1352</v>
      </c>
      <c r="Z7371" s="19" t="str">
        <f>HYPERLINK("https://ssdweb.co/ssdweb/hd/Vision360.html?d=926820116&amp;zoomslide=1&amp;z=1926820116&amp;ISCONFIRM=0","VIDEO")</f>
        <v>VIDEO</v>
      </c>
      <c r="AA7371" s="19" t="str">
        <f>HYPERLINK("https://ssdweb.co/ssdweb/CERTH/660440458.pdf","CERTI")</f>
        <v>CERTI</v>
      </c>
    </row>
    <row r="7372" spans="1:27" ht="15" x14ac:dyDescent="0.25">
      <c r="A7372" s="2">
        <v>7367</v>
      </c>
      <c r="B7372" s="39">
        <v>941080855</v>
      </c>
      <c r="C7372" s="28" t="str">
        <f>HYPERLINK("https://pld.live/RapDetail.aspx?STONELIST=941080855","DNA")</f>
        <v>DNA</v>
      </c>
      <c r="D7372" s="18" t="s">
        <v>5466</v>
      </c>
      <c r="E7372" s="18" t="s">
        <v>2186</v>
      </c>
      <c r="F7372" s="2" t="s">
        <v>7987</v>
      </c>
      <c r="G7372" s="2" t="s">
        <v>2054</v>
      </c>
      <c r="H7372" s="14">
        <v>0.52</v>
      </c>
      <c r="I7372" s="2" t="s">
        <v>267</v>
      </c>
      <c r="J7372" s="2" t="s">
        <v>13</v>
      </c>
      <c r="K7372" s="2" t="s">
        <v>1452</v>
      </c>
      <c r="L7372" s="2" t="s">
        <v>5221</v>
      </c>
      <c r="M7372" s="2" t="s">
        <v>5721</v>
      </c>
      <c r="N7372" s="2" t="s">
        <v>2317</v>
      </c>
      <c r="O7372" s="14">
        <v>2600</v>
      </c>
      <c r="P7372" s="14">
        <v>94.69</v>
      </c>
      <c r="Q7372" s="14">
        <v>138.06</v>
      </c>
      <c r="R7372" s="14">
        <v>71.790000000000006</v>
      </c>
      <c r="S7372" s="2" t="s">
        <v>1379</v>
      </c>
      <c r="T7372" s="2">
        <v>2.0499999999999998</v>
      </c>
      <c r="U7372" s="2">
        <v>61</v>
      </c>
      <c r="V7372" s="2">
        <v>58</v>
      </c>
      <c r="W7372" s="2" t="s">
        <v>7862</v>
      </c>
      <c r="X7372" s="2" t="s">
        <v>5028</v>
      </c>
      <c r="Y7372" s="2">
        <v>1352</v>
      </c>
      <c r="Z7372" s="19" t="str">
        <f>HYPERLINK("https://ssdweb.co/ssdweb/hd/Vision360.html?d=941080855&amp;zoomslide=1&amp;z=1941080855&amp;ISCONFIRM=0","VIDEO")</f>
        <v>VIDEO</v>
      </c>
      <c r="AA7372" s="19" t="str">
        <f>HYPERLINK("https://ssdweb.co/ssdweb/CERTH/675504516.pdf","CERTI")</f>
        <v>CERTI</v>
      </c>
    </row>
    <row r="7373" spans="1:27" ht="15" x14ac:dyDescent="0.25">
      <c r="A7373" s="2">
        <v>7368</v>
      </c>
      <c r="B7373" s="39">
        <v>927152936</v>
      </c>
      <c r="C7373" s="28" t="str">
        <f>HYPERLINK("https://pld.live/RapDetail.aspx?STONELIST=927152936","DNA")</f>
        <v>DNA</v>
      </c>
      <c r="D7373" s="18" t="s">
        <v>5466</v>
      </c>
      <c r="E7373" s="18" t="s">
        <v>5128</v>
      </c>
      <c r="F7373" s="2" t="s">
        <v>7987</v>
      </c>
      <c r="G7373" s="2" t="s">
        <v>2054</v>
      </c>
      <c r="H7373" s="14">
        <v>0.52</v>
      </c>
      <c r="I7373" s="2" t="s">
        <v>4761</v>
      </c>
      <c r="J7373" s="2" t="s">
        <v>6555</v>
      </c>
      <c r="K7373" s="2" t="s">
        <v>1452</v>
      </c>
      <c r="L7373" s="2" t="s">
        <v>5221</v>
      </c>
      <c r="M7373" s="2" t="s">
        <v>5721</v>
      </c>
      <c r="N7373" s="2" t="s">
        <v>2317</v>
      </c>
      <c r="O7373" s="14">
        <v>2800</v>
      </c>
      <c r="P7373" s="14">
        <v>94.36</v>
      </c>
      <c r="Q7373" s="14">
        <v>157.91999999999999</v>
      </c>
      <c r="R7373" s="14">
        <v>82.12</v>
      </c>
      <c r="S7373" s="2" t="s">
        <v>2961</v>
      </c>
      <c r="T7373" s="2">
        <v>1.95</v>
      </c>
      <c r="U7373" s="2">
        <v>60.7</v>
      </c>
      <c r="V7373" s="2">
        <v>61</v>
      </c>
      <c r="W7373" s="2" t="s">
        <v>7862</v>
      </c>
      <c r="X7373" s="2" t="s">
        <v>5028</v>
      </c>
      <c r="Y7373" s="2">
        <v>1456</v>
      </c>
      <c r="Z7373" s="19" t="str">
        <f>HYPERLINK("https://ssdweb.co/ssdweb/hd/Vision360.html?d=927152936&amp;zoomslide=1&amp;z=1927152936&amp;ISCONFIRM=0","VIDEO")</f>
        <v>VIDEO</v>
      </c>
      <c r="AA7373" s="19" t="str">
        <f>HYPERLINK("https://ssdweb.co/ssdweb/CERTH/674542993.pdf","CERTI")</f>
        <v>CERTI</v>
      </c>
    </row>
    <row r="7374" spans="1:27" ht="15" x14ac:dyDescent="0.25">
      <c r="A7374" s="2">
        <v>7369</v>
      </c>
      <c r="B7374" s="39">
        <v>927132566</v>
      </c>
      <c r="C7374" s="28" t="str">
        <f>HYPERLINK("https://pld.live/RapDetail.aspx?STONELIST=927132566","DNA")</f>
        <v>DNA</v>
      </c>
      <c r="D7374" s="18" t="s">
        <v>5466</v>
      </c>
      <c r="E7374" s="18" t="s">
        <v>5128</v>
      </c>
      <c r="F7374" s="2" t="s">
        <v>7987</v>
      </c>
      <c r="G7374" s="2" t="s">
        <v>2054</v>
      </c>
      <c r="H7374" s="14">
        <v>0.52</v>
      </c>
      <c r="I7374" s="2" t="s">
        <v>4761</v>
      </c>
      <c r="J7374" s="2" t="s">
        <v>6555</v>
      </c>
      <c r="K7374" s="2" t="s">
        <v>1452</v>
      </c>
      <c r="L7374" s="2" t="s">
        <v>5221</v>
      </c>
      <c r="M7374" s="2" t="s">
        <v>5721</v>
      </c>
      <c r="N7374" s="2" t="s">
        <v>2317</v>
      </c>
      <c r="O7374" s="14">
        <v>2800</v>
      </c>
      <c r="P7374" s="14">
        <v>94.36</v>
      </c>
      <c r="Q7374" s="14">
        <v>157.91999999999999</v>
      </c>
      <c r="R7374" s="14">
        <v>82.12</v>
      </c>
      <c r="S7374" s="2" t="s">
        <v>986</v>
      </c>
      <c r="T7374" s="2">
        <v>1.92</v>
      </c>
      <c r="U7374" s="2">
        <v>62.8</v>
      </c>
      <c r="V7374" s="2">
        <v>60</v>
      </c>
      <c r="W7374" s="2" t="s">
        <v>7862</v>
      </c>
      <c r="X7374" s="2" t="s">
        <v>5028</v>
      </c>
      <c r="Y7374" s="2">
        <v>1456</v>
      </c>
      <c r="Z7374" s="19" t="str">
        <f>HYPERLINK("https://ssdweb.co/ssdweb/hd/Vision360.html?d=927132566&amp;zoomslide=1&amp;z=1927132566&amp;ISCONFIRM=0","VIDEO")</f>
        <v>VIDEO</v>
      </c>
      <c r="AA7374" s="19" t="str">
        <f>HYPERLINK("https://ssdweb.co/ssdweb/CERTH/674532469.pdf","CERTI")</f>
        <v>CERTI</v>
      </c>
    </row>
    <row r="7375" spans="1:27" ht="15" x14ac:dyDescent="0.25">
      <c r="A7375" s="2">
        <v>7370</v>
      </c>
      <c r="B7375" s="39">
        <v>941351131</v>
      </c>
      <c r="C7375" s="28" t="str">
        <f>HYPERLINK("https://pld.live/RapDetail.aspx?STONELIST=941351131","DNA")</f>
        <v>DNA</v>
      </c>
      <c r="D7375" s="18" t="s">
        <v>5466</v>
      </c>
      <c r="E7375" s="18" t="s">
        <v>5128</v>
      </c>
      <c r="F7375" s="2" t="s">
        <v>7987</v>
      </c>
      <c r="G7375" s="2" t="s">
        <v>2054</v>
      </c>
      <c r="H7375" s="14">
        <v>0.52</v>
      </c>
      <c r="I7375" s="2" t="s">
        <v>4761</v>
      </c>
      <c r="J7375" s="2" t="s">
        <v>3942</v>
      </c>
      <c r="K7375" s="2" t="s">
        <v>1452</v>
      </c>
      <c r="L7375" s="2" t="s">
        <v>5221</v>
      </c>
      <c r="M7375" s="2" t="s">
        <v>5221</v>
      </c>
      <c r="N7375" s="2" t="s">
        <v>2317</v>
      </c>
      <c r="O7375" s="14">
        <v>2600</v>
      </c>
      <c r="P7375" s="14">
        <v>94.54</v>
      </c>
      <c r="Q7375" s="14">
        <v>141.96</v>
      </c>
      <c r="R7375" s="14">
        <v>73.819999999999993</v>
      </c>
      <c r="S7375" s="2" t="s">
        <v>6697</v>
      </c>
      <c r="T7375" s="2">
        <v>1.88</v>
      </c>
      <c r="U7375" s="2">
        <v>61</v>
      </c>
      <c r="V7375" s="2">
        <v>58</v>
      </c>
      <c r="W7375" s="2" t="s">
        <v>7862</v>
      </c>
      <c r="X7375" s="2" t="s">
        <v>5028</v>
      </c>
      <c r="Y7375" s="2">
        <v>1352</v>
      </c>
      <c r="Z7375" s="19" t="str">
        <f>HYPERLINK("https://ssdweb.co/ssdweb/hd/Vision360.html?d=941351131&amp;zoomslide=1&amp;z=1941351131&amp;ISCONFIRM=0","VIDEO")</f>
        <v>VIDEO</v>
      </c>
      <c r="AA7375" s="19" t="str">
        <f>HYPERLINK("https://ssdweb.co/ssdweb/CERTH/694508353.pdf","CERTI")</f>
        <v>CERTI</v>
      </c>
    </row>
    <row r="7376" spans="1:27" ht="15" x14ac:dyDescent="0.25">
      <c r="A7376" s="2">
        <v>7371</v>
      </c>
      <c r="B7376" s="39">
        <v>927092653</v>
      </c>
      <c r="C7376" s="28" t="str">
        <f>HYPERLINK("https://pld.live/RapDetail.aspx?STONELIST=927092653","DNA")</f>
        <v>DNA</v>
      </c>
      <c r="D7376" s="18" t="s">
        <v>5466</v>
      </c>
      <c r="E7376" s="18" t="s">
        <v>5128</v>
      </c>
      <c r="F7376" s="2" t="s">
        <v>7987</v>
      </c>
      <c r="G7376" s="2" t="s">
        <v>2054</v>
      </c>
      <c r="H7376" s="14">
        <v>0.52</v>
      </c>
      <c r="I7376" s="2" t="s">
        <v>4699</v>
      </c>
      <c r="J7376" s="2" t="s">
        <v>3942</v>
      </c>
      <c r="K7376" s="2" t="s">
        <v>1452</v>
      </c>
      <c r="L7376" s="2" t="s">
        <v>5221</v>
      </c>
      <c r="M7376" s="2" t="s">
        <v>5721</v>
      </c>
      <c r="N7376" s="2" t="s">
        <v>2317</v>
      </c>
      <c r="O7376" s="14">
        <v>2500</v>
      </c>
      <c r="P7376" s="14">
        <v>94.48</v>
      </c>
      <c r="Q7376" s="14">
        <v>138</v>
      </c>
      <c r="R7376" s="14">
        <v>71.760000000000005</v>
      </c>
      <c r="S7376" s="2" t="s">
        <v>6265</v>
      </c>
      <c r="T7376" s="2">
        <v>1.91</v>
      </c>
      <c r="U7376" s="2">
        <v>62.5</v>
      </c>
      <c r="V7376" s="2">
        <v>57</v>
      </c>
      <c r="W7376" s="2" t="s">
        <v>7862</v>
      </c>
      <c r="X7376" s="2" t="s">
        <v>5028</v>
      </c>
      <c r="Y7376" s="2">
        <v>1300</v>
      </c>
      <c r="Z7376" s="19" t="str">
        <f>HYPERLINK("https://ssdweb.co/ssdweb/hd/Vision360.html?d=927092653&amp;zoomslide=1&amp;z=1927092653&amp;ISCONFIRM=0","VIDEO")</f>
        <v>VIDEO</v>
      </c>
      <c r="AA7376" s="19" t="str">
        <f>HYPERLINK("https://ssdweb.co/ssdweb/CERTH/671477217.pdf","CERTI")</f>
        <v>CERTI</v>
      </c>
    </row>
    <row r="7377" spans="1:27" ht="15" x14ac:dyDescent="0.25">
      <c r="A7377" s="2">
        <v>7372</v>
      </c>
      <c r="B7377" s="39">
        <v>927152931</v>
      </c>
      <c r="C7377" s="28" t="str">
        <f>HYPERLINK("https://pld.live/RapDetail.aspx?STONELIST=927152931","DNA")</f>
        <v>DNA</v>
      </c>
      <c r="D7377" s="18" t="s">
        <v>5466</v>
      </c>
      <c r="E7377" s="18" t="s">
        <v>5128</v>
      </c>
      <c r="F7377" s="2" t="s">
        <v>7987</v>
      </c>
      <c r="G7377" s="2" t="s">
        <v>2054</v>
      </c>
      <c r="H7377" s="14">
        <v>0.51</v>
      </c>
      <c r="I7377" s="2" t="s">
        <v>267</v>
      </c>
      <c r="J7377" s="2" t="s">
        <v>6555</v>
      </c>
      <c r="K7377" s="2" t="s">
        <v>1452</v>
      </c>
      <c r="L7377" s="2" t="s">
        <v>5221</v>
      </c>
      <c r="M7377" s="2" t="s">
        <v>5221</v>
      </c>
      <c r="N7377" s="2" t="s">
        <v>2317</v>
      </c>
      <c r="O7377" s="14">
        <v>3000</v>
      </c>
      <c r="P7377" s="14">
        <v>94.33</v>
      </c>
      <c r="Q7377" s="14">
        <v>170.1</v>
      </c>
      <c r="R7377" s="14">
        <v>86.75</v>
      </c>
      <c r="S7377" s="2" t="s">
        <v>2749</v>
      </c>
      <c r="T7377" s="2">
        <v>1.9</v>
      </c>
      <c r="U7377" s="2">
        <v>62.4</v>
      </c>
      <c r="V7377" s="2">
        <v>64</v>
      </c>
      <c r="W7377" s="2" t="s">
        <v>7862</v>
      </c>
      <c r="X7377" s="2" t="s">
        <v>5028</v>
      </c>
      <c r="Y7377" s="2">
        <v>1530</v>
      </c>
      <c r="Z7377" s="19" t="str">
        <f>HYPERLINK("https://ssdweb.co/ssdweb/hd/Vision360.html?d=927152931&amp;zoomslide=1&amp;z=1927152931&amp;ISCONFIRM=0","VIDEO")</f>
        <v>VIDEO</v>
      </c>
      <c r="AA7377" s="19" t="str">
        <f>HYPERLINK("https://ssdweb.co/ssdweb/CERTH/674543122.pdf","CERTI")</f>
        <v>CERTI</v>
      </c>
    </row>
    <row r="7378" spans="1:27" ht="15" x14ac:dyDescent="0.25">
      <c r="A7378" s="2">
        <v>7373</v>
      </c>
      <c r="B7378" s="39">
        <v>941340769</v>
      </c>
      <c r="C7378" s="28" t="str">
        <f>HYPERLINK("https://pld.live/RapDetail.aspx?STONELIST=941340769","DNA")</f>
        <v>DNA</v>
      </c>
      <c r="D7378" s="18" t="s">
        <v>5466</v>
      </c>
      <c r="E7378" s="18" t="s">
        <v>2186</v>
      </c>
      <c r="F7378" s="2" t="s">
        <v>7987</v>
      </c>
      <c r="G7378" s="2" t="s">
        <v>2054</v>
      </c>
      <c r="H7378" s="14">
        <v>0.51</v>
      </c>
      <c r="I7378" s="2" t="s">
        <v>267</v>
      </c>
      <c r="J7378" s="2" t="s">
        <v>3942</v>
      </c>
      <c r="K7378" s="2" t="s">
        <v>1452</v>
      </c>
      <c r="L7378" s="2" t="s">
        <v>5221</v>
      </c>
      <c r="M7378" s="2" t="s">
        <v>5221</v>
      </c>
      <c r="N7378" s="2" t="s">
        <v>2317</v>
      </c>
      <c r="O7378" s="14">
        <v>2800</v>
      </c>
      <c r="P7378" s="14">
        <v>94.82</v>
      </c>
      <c r="Q7378" s="14">
        <v>145.04</v>
      </c>
      <c r="R7378" s="14">
        <v>73.97</v>
      </c>
      <c r="S7378" s="2" t="s">
        <v>1362</v>
      </c>
      <c r="T7378" s="2">
        <v>1.86</v>
      </c>
      <c r="U7378" s="2">
        <v>65</v>
      </c>
      <c r="V7378" s="2">
        <v>59</v>
      </c>
      <c r="W7378" s="2" t="s">
        <v>7862</v>
      </c>
      <c r="X7378" s="2" t="s">
        <v>5028</v>
      </c>
      <c r="Y7378" s="2">
        <v>1428</v>
      </c>
      <c r="Z7378" s="19" t="str">
        <f>HYPERLINK("https://ssdweb.co/ssdweb/hd/Vision360.html?d=941340769&amp;zoomslide=1&amp;z=1941340769&amp;ISCONFIRM=0","VIDEO")</f>
        <v>VIDEO</v>
      </c>
      <c r="AA7378" s="19" t="str">
        <f>HYPERLINK("https://ssdweb.co/ssdweb/CERTH/691577899.pdf","CERTI")</f>
        <v>CERTI</v>
      </c>
    </row>
    <row r="7379" spans="1:27" ht="15" x14ac:dyDescent="0.25">
      <c r="A7379" s="2">
        <v>7374</v>
      </c>
      <c r="B7379" s="39">
        <v>941400585</v>
      </c>
      <c r="C7379" s="28" t="str">
        <f>HYPERLINK("https://pld.live/RapDetail.aspx?STONELIST=941400585","DNA")</f>
        <v>DNA</v>
      </c>
      <c r="D7379" s="18" t="s">
        <v>5466</v>
      </c>
      <c r="E7379" s="18" t="s">
        <v>5128</v>
      </c>
      <c r="F7379" s="2" t="s">
        <v>7987</v>
      </c>
      <c r="G7379" s="2" t="s">
        <v>2054</v>
      </c>
      <c r="H7379" s="14">
        <v>0.51</v>
      </c>
      <c r="I7379" s="2" t="s">
        <v>267</v>
      </c>
      <c r="J7379" s="2" t="s">
        <v>3942</v>
      </c>
      <c r="K7379" s="2" t="s">
        <v>1452</v>
      </c>
      <c r="L7379" s="2" t="s">
        <v>5221</v>
      </c>
      <c r="M7379" s="2" t="s">
        <v>5721</v>
      </c>
      <c r="N7379" s="2" t="s">
        <v>2317</v>
      </c>
      <c r="O7379" s="14">
        <v>2800</v>
      </c>
      <c r="P7379" s="14">
        <v>94.89</v>
      </c>
      <c r="Q7379" s="14">
        <v>143.08000000000001</v>
      </c>
      <c r="R7379" s="14">
        <v>72.97</v>
      </c>
      <c r="S7379" s="2" t="s">
        <v>7457</v>
      </c>
      <c r="T7379" s="2">
        <v>2.08</v>
      </c>
      <c r="U7379" s="2">
        <v>61.2</v>
      </c>
      <c r="V7379" s="2">
        <v>58</v>
      </c>
      <c r="W7379" s="2" t="s">
        <v>7862</v>
      </c>
      <c r="X7379" s="2" t="s">
        <v>5028</v>
      </c>
      <c r="Y7379" s="2">
        <v>1428</v>
      </c>
      <c r="Z7379" s="19" t="str">
        <f>HYPERLINK("https://ssdweb.co/ssdweb/hd/Vision360.html?d=941400585&amp;zoomslide=1&amp;z=1941400585&amp;ISCONFIRM=0","VIDEO")</f>
        <v>VIDEO</v>
      </c>
      <c r="AA7379" s="19" t="str">
        <f>HYPERLINK("https://ssdweb.co/ssdweb/CERTH/692534022.pdf","CERTI")</f>
        <v>CERTI</v>
      </c>
    </row>
    <row r="7380" spans="1:27" ht="15" x14ac:dyDescent="0.25">
      <c r="A7380" s="2">
        <v>7375</v>
      </c>
      <c r="B7380" s="39">
        <v>941400590</v>
      </c>
      <c r="C7380" s="28" t="str">
        <f>HYPERLINK("https://pld.live/RapDetail.aspx?STONELIST=941400590","DNA")</f>
        <v>DNA</v>
      </c>
      <c r="D7380" s="18" t="s">
        <v>5466</v>
      </c>
      <c r="E7380" s="18" t="s">
        <v>5128</v>
      </c>
      <c r="F7380" s="2" t="s">
        <v>7987</v>
      </c>
      <c r="G7380" s="2" t="s">
        <v>2054</v>
      </c>
      <c r="H7380" s="14">
        <v>0.51</v>
      </c>
      <c r="I7380" s="2" t="s">
        <v>267</v>
      </c>
      <c r="J7380" s="2" t="s">
        <v>13</v>
      </c>
      <c r="K7380" s="2" t="s">
        <v>1452</v>
      </c>
      <c r="L7380" s="2" t="s">
        <v>5221</v>
      </c>
      <c r="M7380" s="2" t="s">
        <v>5221</v>
      </c>
      <c r="N7380" s="2" t="s">
        <v>2317</v>
      </c>
      <c r="O7380" s="14">
        <v>2600</v>
      </c>
      <c r="P7380" s="14">
        <v>93.08</v>
      </c>
      <c r="Q7380" s="14">
        <v>179.92</v>
      </c>
      <c r="R7380" s="14">
        <v>91.76</v>
      </c>
      <c r="S7380" s="2" t="s">
        <v>6518</v>
      </c>
      <c r="T7380" s="2">
        <v>2.0499999999999998</v>
      </c>
      <c r="U7380" s="2">
        <v>59.9</v>
      </c>
      <c r="V7380" s="2">
        <v>59</v>
      </c>
      <c r="W7380" s="2" t="s">
        <v>7862</v>
      </c>
      <c r="X7380" s="2" t="s">
        <v>5028</v>
      </c>
      <c r="Y7380" s="2">
        <v>1326</v>
      </c>
      <c r="Z7380" s="19" t="str">
        <f>HYPERLINK("https://ssdweb.co/ssdweb/hd/Vision360.html?d=941400590&amp;zoomslide=1&amp;z=1941400590&amp;ISCONFIRM=0","VIDEO")</f>
        <v>VIDEO</v>
      </c>
      <c r="AA7380" s="19" t="str">
        <f>HYPERLINK("https://ssdweb.co/ssdweb/CERTH/693519446.pdf","CERTI")</f>
        <v>CERTI</v>
      </c>
    </row>
    <row r="7381" spans="1:27" ht="15" x14ac:dyDescent="0.25">
      <c r="A7381" s="2">
        <v>7376</v>
      </c>
      <c r="B7381" s="39">
        <v>941280535</v>
      </c>
      <c r="C7381" s="28" t="str">
        <f>HYPERLINK("https://pld.live/RapDetail.aspx?STONELIST=941280535","DNA")</f>
        <v>DNA</v>
      </c>
      <c r="D7381" s="18" t="s">
        <v>5466</v>
      </c>
      <c r="E7381" s="18" t="s">
        <v>2186</v>
      </c>
      <c r="F7381" s="2" t="s">
        <v>7987</v>
      </c>
      <c r="G7381" s="2" t="s">
        <v>2054</v>
      </c>
      <c r="H7381" s="14">
        <v>0.51</v>
      </c>
      <c r="I7381" s="2" t="s">
        <v>267</v>
      </c>
      <c r="J7381" s="2" t="s">
        <v>13</v>
      </c>
      <c r="K7381" s="2" t="s">
        <v>1452</v>
      </c>
      <c r="L7381" s="2" t="s">
        <v>5221</v>
      </c>
      <c r="M7381" s="2" t="s">
        <v>5221</v>
      </c>
      <c r="N7381" s="2" t="s">
        <v>2317</v>
      </c>
      <c r="O7381" s="14">
        <v>2600</v>
      </c>
      <c r="P7381" s="14">
        <v>94.62</v>
      </c>
      <c r="Q7381" s="14">
        <v>139.88</v>
      </c>
      <c r="R7381" s="14">
        <v>71.34</v>
      </c>
      <c r="S7381" s="2" t="s">
        <v>5663</v>
      </c>
      <c r="T7381" s="2">
        <v>2.06</v>
      </c>
      <c r="U7381" s="2">
        <v>61.8</v>
      </c>
      <c r="V7381" s="2">
        <v>58</v>
      </c>
      <c r="W7381" s="2" t="s">
        <v>7862</v>
      </c>
      <c r="X7381" s="2" t="s">
        <v>5028</v>
      </c>
      <c r="Y7381" s="2">
        <v>1326</v>
      </c>
      <c r="Z7381" s="19" t="str">
        <f>HYPERLINK("https://ssdweb.co/ssdweb/hd/Vision360.html?d=941280535&amp;zoomslide=1&amp;z=1941280535&amp;ISCONFIRM=0","VIDEO")</f>
        <v>VIDEO</v>
      </c>
      <c r="AA7381" s="19" t="str">
        <f>HYPERLINK("https://ssdweb.co/ssdweb/CERTH/692505638.pdf","CERTI")</f>
        <v>CERTI</v>
      </c>
    </row>
    <row r="7382" spans="1:27" ht="15" x14ac:dyDescent="0.25">
      <c r="A7382" s="2">
        <v>7377</v>
      </c>
      <c r="B7382" s="39">
        <v>927152955</v>
      </c>
      <c r="C7382" s="28" t="str">
        <f>HYPERLINK("https://pld.live/RapDetail.aspx?STONELIST=927152955","DNA")</f>
        <v>DNA</v>
      </c>
      <c r="D7382" s="18" t="s">
        <v>5466</v>
      </c>
      <c r="E7382" s="18" t="s">
        <v>5128</v>
      </c>
      <c r="F7382" s="2" t="s">
        <v>7987</v>
      </c>
      <c r="G7382" s="2" t="s">
        <v>2054</v>
      </c>
      <c r="H7382" s="14">
        <v>0.5</v>
      </c>
      <c r="I7382" s="2" t="s">
        <v>267</v>
      </c>
      <c r="J7382" s="2" t="s">
        <v>6555</v>
      </c>
      <c r="K7382" s="2" t="s">
        <v>1452</v>
      </c>
      <c r="L7382" s="2" t="s">
        <v>5221</v>
      </c>
      <c r="M7382" s="2" t="s">
        <v>5721</v>
      </c>
      <c r="N7382" s="2" t="s">
        <v>2317</v>
      </c>
      <c r="O7382" s="14">
        <v>3000</v>
      </c>
      <c r="P7382" s="14">
        <v>94.4</v>
      </c>
      <c r="Q7382" s="14">
        <v>168</v>
      </c>
      <c r="R7382" s="14">
        <v>84</v>
      </c>
      <c r="S7382" s="2" t="s">
        <v>3209</v>
      </c>
      <c r="T7382" s="2">
        <v>1.9</v>
      </c>
      <c r="U7382" s="2">
        <v>61.1</v>
      </c>
      <c r="V7382" s="2">
        <v>56</v>
      </c>
      <c r="W7382" s="2" t="s">
        <v>7862</v>
      </c>
      <c r="X7382" s="2" t="s">
        <v>5028</v>
      </c>
      <c r="Y7382" s="2">
        <v>1500</v>
      </c>
      <c r="Z7382" s="19" t="str">
        <f>HYPERLINK("https://ssdweb.co/ssdweb/hd/Vision360.html?d=927152955&amp;zoomslide=1&amp;z=1927152955&amp;ISCONFIRM=0","VIDEO")</f>
        <v>VIDEO</v>
      </c>
      <c r="AA7382" s="19" t="str">
        <f>HYPERLINK("https://ssdweb.co/ssdweb/CERTH/674543111.pdf","CERTI")</f>
        <v>CERTI</v>
      </c>
    </row>
    <row r="7383" spans="1:27" ht="15" x14ac:dyDescent="0.25">
      <c r="A7383" s="2">
        <v>7378</v>
      </c>
      <c r="B7383" s="39">
        <v>941280527</v>
      </c>
      <c r="C7383" s="28" t="str">
        <f>HYPERLINK("https://pld.live/RapDetail.aspx?STONELIST=941280527","DNA")</f>
        <v>DNA</v>
      </c>
      <c r="D7383" s="18" t="s">
        <v>5466</v>
      </c>
      <c r="E7383" s="18" t="s">
        <v>2186</v>
      </c>
      <c r="F7383" s="2" t="s">
        <v>7987</v>
      </c>
      <c r="G7383" s="2" t="s">
        <v>2054</v>
      </c>
      <c r="H7383" s="14">
        <v>0.5</v>
      </c>
      <c r="I7383" s="2" t="s">
        <v>267</v>
      </c>
      <c r="J7383" s="2" t="s">
        <v>3942</v>
      </c>
      <c r="K7383" s="2" t="s">
        <v>1452</v>
      </c>
      <c r="L7383" s="2" t="s">
        <v>5221</v>
      </c>
      <c r="M7383" s="2" t="s">
        <v>5221</v>
      </c>
      <c r="N7383" s="2" t="s">
        <v>2317</v>
      </c>
      <c r="O7383" s="14">
        <v>2800</v>
      </c>
      <c r="P7383" s="14">
        <v>94.82</v>
      </c>
      <c r="Q7383" s="14">
        <v>145.04</v>
      </c>
      <c r="R7383" s="14">
        <v>72.52</v>
      </c>
      <c r="S7383" s="2" t="s">
        <v>7237</v>
      </c>
      <c r="T7383" s="2">
        <v>2</v>
      </c>
      <c r="U7383" s="2">
        <v>60</v>
      </c>
      <c r="V7383" s="2">
        <v>59</v>
      </c>
      <c r="W7383" s="2" t="s">
        <v>7862</v>
      </c>
      <c r="X7383" s="2" t="s">
        <v>5028</v>
      </c>
      <c r="Y7383" s="2">
        <v>1400</v>
      </c>
      <c r="Z7383" s="19" t="str">
        <f>HYPERLINK("https://ssdweb.co/ssdweb/hd/Vision360.html?d=941280527&amp;zoomslide=1&amp;z=1941280527&amp;ISCONFIRM=0","VIDEO")</f>
        <v>VIDEO</v>
      </c>
      <c r="AA7383" s="19" t="str">
        <f>HYPERLINK("https://ssdweb.co/ssdweb/CERTH/692505637.pdf","CERTI")</f>
        <v>CERTI</v>
      </c>
    </row>
    <row r="7384" spans="1:27" ht="15" x14ac:dyDescent="0.25">
      <c r="A7384" s="2">
        <v>7379</v>
      </c>
      <c r="B7384" s="39">
        <v>941300150</v>
      </c>
      <c r="C7384" s="28" t="str">
        <f>HYPERLINK("https://pld.live/RapDetail.aspx?STONELIST=941300150","DNA")</f>
        <v>DNA</v>
      </c>
      <c r="D7384" s="18" t="s">
        <v>5466</v>
      </c>
      <c r="E7384" s="18" t="s">
        <v>2186</v>
      </c>
      <c r="F7384" s="2" t="s">
        <v>7987</v>
      </c>
      <c r="G7384" s="2" t="s">
        <v>2054</v>
      </c>
      <c r="H7384" s="14">
        <v>0.5</v>
      </c>
      <c r="I7384" s="2" t="s">
        <v>267</v>
      </c>
      <c r="J7384" s="2" t="s">
        <v>3942</v>
      </c>
      <c r="K7384" s="2" t="s">
        <v>1452</v>
      </c>
      <c r="L7384" s="2" t="s">
        <v>5221</v>
      </c>
      <c r="M7384" s="2" t="s">
        <v>5221</v>
      </c>
      <c r="N7384" s="2" t="s">
        <v>2317</v>
      </c>
      <c r="O7384" s="14">
        <v>2800</v>
      </c>
      <c r="P7384" s="14">
        <v>94.82</v>
      </c>
      <c r="Q7384" s="14">
        <v>145.04</v>
      </c>
      <c r="R7384" s="14">
        <v>72.52</v>
      </c>
      <c r="S7384" s="2" t="s">
        <v>404</v>
      </c>
      <c r="T7384" s="2">
        <v>2.09</v>
      </c>
      <c r="U7384" s="2">
        <v>61.5</v>
      </c>
      <c r="V7384" s="2">
        <v>58</v>
      </c>
      <c r="W7384" s="2" t="s">
        <v>7862</v>
      </c>
      <c r="X7384" s="2" t="s">
        <v>5028</v>
      </c>
      <c r="Y7384" s="2">
        <v>1400</v>
      </c>
      <c r="Z7384" s="19" t="str">
        <f>HYPERLINK("https://ssdweb.co/ssdweb/hd/Vision360.html?d=941300150&amp;zoomslide=1&amp;z=1941300150&amp;ISCONFIRM=0","VIDEO")</f>
        <v>VIDEO</v>
      </c>
      <c r="AA7384" s="19" t="str">
        <f>HYPERLINK("https://ssdweb.co/ssdweb/CERTH/691577896.pdf","CERTI")</f>
        <v>CERTI</v>
      </c>
    </row>
    <row r="7385" spans="1:27" ht="15" x14ac:dyDescent="0.25">
      <c r="A7385" s="2">
        <v>7380</v>
      </c>
      <c r="B7385" s="39">
        <v>941290212</v>
      </c>
      <c r="C7385" s="28" t="str">
        <f>HYPERLINK("https://pld.live/RapDetail.aspx?STONELIST=941290212","DNA")</f>
        <v>DNA</v>
      </c>
      <c r="D7385" s="18" t="s">
        <v>5466</v>
      </c>
      <c r="E7385" s="18" t="s">
        <v>2186</v>
      </c>
      <c r="F7385" s="2" t="s">
        <v>7987</v>
      </c>
      <c r="G7385" s="2" t="s">
        <v>2054</v>
      </c>
      <c r="H7385" s="14">
        <v>0.5</v>
      </c>
      <c r="I7385" s="2" t="s">
        <v>267</v>
      </c>
      <c r="J7385" s="2" t="s">
        <v>13</v>
      </c>
      <c r="K7385" s="2" t="s">
        <v>1452</v>
      </c>
      <c r="L7385" s="2" t="s">
        <v>5221</v>
      </c>
      <c r="M7385" s="2" t="s">
        <v>5221</v>
      </c>
      <c r="N7385" s="2" t="s">
        <v>2317</v>
      </c>
      <c r="O7385" s="14">
        <v>2600</v>
      </c>
      <c r="P7385" s="14">
        <v>94.62</v>
      </c>
      <c r="Q7385" s="14">
        <v>139.88</v>
      </c>
      <c r="R7385" s="14">
        <v>69.94</v>
      </c>
      <c r="S7385" s="2" t="s">
        <v>7773</v>
      </c>
      <c r="T7385" s="2">
        <v>1.99</v>
      </c>
      <c r="U7385" s="2">
        <v>61.2</v>
      </c>
      <c r="V7385" s="2">
        <v>60</v>
      </c>
      <c r="W7385" s="2" t="s">
        <v>7862</v>
      </c>
      <c r="X7385" s="2" t="s">
        <v>5028</v>
      </c>
      <c r="Y7385" s="2">
        <v>1300</v>
      </c>
      <c r="Z7385" s="19" t="str">
        <f>HYPERLINK("https://ssdweb.co/ssdweb/hd/Vision360.html?d=941290212&amp;zoomslide=1&amp;z=1941290212&amp;ISCONFIRM=0","VIDEO")</f>
        <v>VIDEO</v>
      </c>
      <c r="AA7385" s="19" t="str">
        <f>HYPERLINK("https://ssdweb.co/ssdweb/CERTH/691577895.pdf","CERTI")</f>
        <v>CERTI</v>
      </c>
    </row>
    <row r="7386" spans="1:27" ht="15" x14ac:dyDescent="0.25">
      <c r="A7386" s="2">
        <v>7381</v>
      </c>
      <c r="B7386" s="39">
        <v>941330625</v>
      </c>
      <c r="C7386" s="28" t="str">
        <f>HYPERLINK("https://pld.live/RapDetail.aspx?STONELIST=941330625","DNA")</f>
        <v>DNA</v>
      </c>
      <c r="D7386" s="18" t="s">
        <v>5466</v>
      </c>
      <c r="E7386" s="18" t="s">
        <v>2186</v>
      </c>
      <c r="F7386" s="2" t="s">
        <v>7987</v>
      </c>
      <c r="G7386" s="2" t="s">
        <v>2054</v>
      </c>
      <c r="H7386" s="14">
        <v>0.5</v>
      </c>
      <c r="I7386" s="2" t="s">
        <v>267</v>
      </c>
      <c r="J7386" s="2" t="s">
        <v>13</v>
      </c>
      <c r="K7386" s="2" t="s">
        <v>1452</v>
      </c>
      <c r="L7386" s="2" t="s">
        <v>5221</v>
      </c>
      <c r="M7386" s="2" t="s">
        <v>5721</v>
      </c>
      <c r="N7386" s="2" t="s">
        <v>2317</v>
      </c>
      <c r="O7386" s="14">
        <v>2600</v>
      </c>
      <c r="P7386" s="14">
        <v>94.69</v>
      </c>
      <c r="Q7386" s="14">
        <v>138.06</v>
      </c>
      <c r="R7386" s="14">
        <v>69.03</v>
      </c>
      <c r="S7386" s="2" t="s">
        <v>6629</v>
      </c>
      <c r="T7386" s="2">
        <v>1.86</v>
      </c>
      <c r="U7386" s="2">
        <v>65.099999999999994</v>
      </c>
      <c r="V7386" s="2">
        <v>56</v>
      </c>
      <c r="W7386" s="2" t="s">
        <v>7862</v>
      </c>
      <c r="X7386" s="2" t="s">
        <v>5028</v>
      </c>
      <c r="Y7386" s="2">
        <v>1300</v>
      </c>
      <c r="Z7386" s="19" t="str">
        <f>HYPERLINK("https://ssdweb.co/ssdweb/hd/Vision360.html?d=941330625&amp;zoomslide=1&amp;z=1941330625&amp;ISCONFIRM=0","VIDEO")</f>
        <v>VIDEO</v>
      </c>
      <c r="AA7386" s="19" t="str">
        <f>HYPERLINK("https://ssdweb.co/ssdweb/CERTH/692534019.pdf","CERTI")</f>
        <v>CERTI</v>
      </c>
    </row>
    <row r="7387" spans="1:27" ht="15" x14ac:dyDescent="0.25">
      <c r="A7387" s="2">
        <v>7382</v>
      </c>
      <c r="B7387" s="39">
        <v>9413400783</v>
      </c>
      <c r="C7387" s="28" t="str">
        <f>HYPERLINK("https://pld.live/RapDetail.aspx?STONELIST=9413400783","DNA")</f>
        <v>DNA</v>
      </c>
      <c r="D7387" s="18" t="s">
        <v>5466</v>
      </c>
      <c r="E7387" s="18" t="s">
        <v>2186</v>
      </c>
      <c r="F7387" s="2" t="s">
        <v>7987</v>
      </c>
      <c r="G7387" s="2" t="s">
        <v>2054</v>
      </c>
      <c r="H7387" s="14">
        <v>0.5</v>
      </c>
      <c r="I7387" s="2" t="s">
        <v>4761</v>
      </c>
      <c r="J7387" s="2" t="s">
        <v>3942</v>
      </c>
      <c r="K7387" s="2" t="s">
        <v>1452</v>
      </c>
      <c r="L7387" s="2" t="s">
        <v>5221</v>
      </c>
      <c r="M7387" s="2" t="s">
        <v>5221</v>
      </c>
      <c r="N7387" s="2" t="s">
        <v>2317</v>
      </c>
      <c r="O7387" s="14">
        <v>2600</v>
      </c>
      <c r="P7387" s="14">
        <v>94.54</v>
      </c>
      <c r="Q7387" s="14">
        <v>141.96</v>
      </c>
      <c r="R7387" s="14">
        <v>70.98</v>
      </c>
      <c r="S7387" s="2" t="s">
        <v>6461</v>
      </c>
      <c r="T7387" s="2">
        <v>1.91</v>
      </c>
      <c r="U7387" s="2">
        <v>64.2</v>
      </c>
      <c r="V7387" s="2">
        <v>63</v>
      </c>
      <c r="W7387" s="2" t="s">
        <v>7862</v>
      </c>
      <c r="X7387" s="2" t="s">
        <v>5028</v>
      </c>
      <c r="Y7387" s="2">
        <v>1300</v>
      </c>
      <c r="Z7387" s="19" t="str">
        <f>HYPERLINK("https://ssdweb.co/ssdweb/hd/Vision360.html?d=9413400783&amp;zoomslide=1&amp;z=19413400783&amp;ISCONFIRM=0","VIDEO")</f>
        <v>VIDEO</v>
      </c>
      <c r="AA7387" s="19" t="str">
        <f>HYPERLINK("https://ssdweb.co/ssdweb/CERTH/694508348.pdf","CERTI")</f>
        <v>CERTI</v>
      </c>
    </row>
    <row r="7388" spans="1:27" ht="15" x14ac:dyDescent="0.25">
      <c r="A7388" s="2">
        <v>7383</v>
      </c>
      <c r="B7388" s="39">
        <v>941250537</v>
      </c>
      <c r="C7388" s="28" t="str">
        <f>HYPERLINK("https://pld.live/RapDetail.aspx?STONELIST=941250537","DNA")</f>
        <v>DNA</v>
      </c>
      <c r="D7388" s="18" t="s">
        <v>5466</v>
      </c>
      <c r="E7388" s="18" t="s">
        <v>2186</v>
      </c>
      <c r="F7388" s="2" t="s">
        <v>7987</v>
      </c>
      <c r="G7388" s="2" t="s">
        <v>2054</v>
      </c>
      <c r="H7388" s="14">
        <v>0.5</v>
      </c>
      <c r="I7388" s="2" t="s">
        <v>4761</v>
      </c>
      <c r="J7388" s="2" t="s">
        <v>13</v>
      </c>
      <c r="K7388" s="2" t="s">
        <v>1452</v>
      </c>
      <c r="L7388" s="2" t="s">
        <v>5221</v>
      </c>
      <c r="M7388" s="2" t="s">
        <v>5221</v>
      </c>
      <c r="N7388" s="2" t="s">
        <v>2317</v>
      </c>
      <c r="O7388" s="14">
        <v>2500</v>
      </c>
      <c r="P7388" s="14">
        <v>94.48</v>
      </c>
      <c r="Q7388" s="14">
        <v>138</v>
      </c>
      <c r="R7388" s="14">
        <v>69</v>
      </c>
      <c r="S7388" s="2" t="s">
        <v>5844</v>
      </c>
      <c r="T7388" s="2">
        <v>2.11</v>
      </c>
      <c r="U7388" s="2">
        <v>61.1</v>
      </c>
      <c r="V7388" s="2">
        <v>59</v>
      </c>
      <c r="W7388" s="2" t="s">
        <v>7862</v>
      </c>
      <c r="X7388" s="2" t="s">
        <v>5028</v>
      </c>
      <c r="Y7388" s="2">
        <v>1250</v>
      </c>
      <c r="Z7388" s="19" t="str">
        <f>HYPERLINK("https://ssdweb.co/ssdweb/hd/Vision360.html?d=941250537&amp;zoomslide=1&amp;z=1941250537&amp;ISCONFIRM=0","VIDEO")</f>
        <v>VIDEO</v>
      </c>
      <c r="AA7388" s="19" t="str">
        <f>HYPERLINK("https://ssdweb.co/ssdweb/CERTH/689586970.pdf","CERTI")</f>
        <v>CERTI</v>
      </c>
    </row>
    <row r="7389" spans="1:27" ht="15" x14ac:dyDescent="0.25">
      <c r="A7389" s="2">
        <v>7384</v>
      </c>
      <c r="B7389" s="39">
        <v>926060019</v>
      </c>
      <c r="C7389" s="28" t="str">
        <f>HYPERLINK("https://pld.live/RapDetail.aspx?STONELIST=926060019","DNA")</f>
        <v>DNA</v>
      </c>
      <c r="D7389" s="18" t="s">
        <v>2802</v>
      </c>
      <c r="E7389" s="18" t="s">
        <v>2186</v>
      </c>
      <c r="F7389" s="2" t="s">
        <v>7987</v>
      </c>
      <c r="G7389" s="2" t="s">
        <v>2054</v>
      </c>
      <c r="H7389" s="14">
        <v>0.43</v>
      </c>
      <c r="I7389" s="2" t="s">
        <v>2659</v>
      </c>
      <c r="J7389" s="2" t="s">
        <v>444</v>
      </c>
      <c r="K7389" s="2" t="s">
        <v>1452</v>
      </c>
      <c r="L7389" s="2" t="s">
        <v>5221</v>
      </c>
      <c r="M7389" s="2" t="s">
        <v>5221</v>
      </c>
      <c r="N7389" s="2" t="s">
        <v>2317</v>
      </c>
      <c r="O7389" s="14">
        <v>800</v>
      </c>
      <c r="P7389" s="14">
        <v>67.5</v>
      </c>
      <c r="Q7389" s="14">
        <v>260</v>
      </c>
      <c r="R7389" s="14">
        <v>111.8</v>
      </c>
      <c r="S7389" s="2" t="s">
        <v>4232</v>
      </c>
      <c r="T7389" s="2">
        <v>2.11</v>
      </c>
      <c r="U7389" s="2">
        <v>59.7</v>
      </c>
      <c r="V7389" s="2">
        <v>59</v>
      </c>
      <c r="W7389" s="2" t="s">
        <v>7862</v>
      </c>
      <c r="X7389" s="2" t="s">
        <v>5028</v>
      </c>
      <c r="Y7389" s="2">
        <v>344</v>
      </c>
      <c r="Z7389" s="19" t="str">
        <f>HYPERLINK("https://ssdweb.co/ssdweb/hd/Vision360.html?d=926060019&amp;zoomslide=1&amp;z=1926060019&amp;ISCONFIRM=0","VIDEO")</f>
        <v>VIDEO</v>
      </c>
      <c r="AA7389" s="19" t="str">
        <f>HYPERLINK("https://ssdweb.co/ssdweb/CERTH/631463882.pdf","CERTI")</f>
        <v>CERTI</v>
      </c>
    </row>
    <row r="7390" spans="1:27" ht="15" x14ac:dyDescent="0.25">
      <c r="A7390" s="2">
        <v>7385</v>
      </c>
      <c r="B7390" s="39">
        <v>926780098</v>
      </c>
      <c r="C7390" s="28" t="str">
        <f>HYPERLINK("https://pld.live/RapDetail.aspx?STONELIST=926780098","DNA")</f>
        <v>DNA</v>
      </c>
      <c r="D7390" s="18" t="s">
        <v>2845</v>
      </c>
      <c r="E7390" s="18" t="s">
        <v>2186</v>
      </c>
      <c r="F7390" s="2" t="s">
        <v>7987</v>
      </c>
      <c r="G7390" s="2" t="s">
        <v>15</v>
      </c>
      <c r="H7390" s="14">
        <v>20.52</v>
      </c>
      <c r="I7390" s="2" t="s">
        <v>4761</v>
      </c>
      <c r="J7390" s="2" t="s">
        <v>5144</v>
      </c>
      <c r="K7390" s="2" t="s">
        <v>1452</v>
      </c>
      <c r="L7390" s="2" t="s">
        <v>5221</v>
      </c>
      <c r="M7390" s="2" t="s">
        <v>5221</v>
      </c>
      <c r="N7390" s="2" t="s">
        <v>2317</v>
      </c>
      <c r="O7390" s="14">
        <v>72500</v>
      </c>
      <c r="P7390" s="14">
        <v>98.48</v>
      </c>
      <c r="Q7390" s="14">
        <v>1102</v>
      </c>
      <c r="R7390" s="14">
        <v>22613.040000000001</v>
      </c>
      <c r="S7390" s="2" t="s">
        <v>2297</v>
      </c>
      <c r="T7390" s="2">
        <v>1.02</v>
      </c>
      <c r="U7390" s="2">
        <v>63.7</v>
      </c>
      <c r="V7390" s="2">
        <v>67</v>
      </c>
      <c r="W7390" s="2" t="s">
        <v>7862</v>
      </c>
      <c r="X7390" s="2" t="s">
        <v>6838</v>
      </c>
      <c r="Y7390" s="2">
        <v>1487700</v>
      </c>
      <c r="Z7390" s="19" t="str">
        <f>HYPERLINK("https://ssdweb.co/ssdweb/hd/Vision360.html?d=926780098&amp;zoomslide=1&amp;z=1926780098&amp;ISCONFIRM=0","VIDEO")</f>
        <v>VIDEO</v>
      </c>
      <c r="AA7390" s="19" t="str">
        <f>HYPERLINK("https://ssdweb.co/ssdweb/CERTH/655441444.pdf","CERTI")</f>
        <v>CERTI</v>
      </c>
    </row>
    <row r="7391" spans="1:27" ht="15" x14ac:dyDescent="0.25">
      <c r="A7391" s="2">
        <v>7386</v>
      </c>
      <c r="B7391" s="39">
        <v>926820082</v>
      </c>
      <c r="C7391" s="28" t="str">
        <f>HYPERLINK("https://pld.live/RapDetail.aspx?STONELIST=926820082","DNA")</f>
        <v>DNA</v>
      </c>
      <c r="D7391" s="18" t="s">
        <v>38</v>
      </c>
      <c r="E7391" s="18" t="s">
        <v>2186</v>
      </c>
      <c r="F7391" s="2" t="s">
        <v>7987</v>
      </c>
      <c r="G7391" s="2" t="s">
        <v>15</v>
      </c>
      <c r="H7391" s="14">
        <v>16.5</v>
      </c>
      <c r="I7391" s="2" t="s">
        <v>4761</v>
      </c>
      <c r="J7391" s="2" t="s">
        <v>13</v>
      </c>
      <c r="K7391" s="2" t="s">
        <v>1452</v>
      </c>
      <c r="L7391" s="2" t="s">
        <v>5221</v>
      </c>
      <c r="M7391" s="2" t="s">
        <v>5221</v>
      </c>
      <c r="N7391" s="2" t="s">
        <v>2317</v>
      </c>
      <c r="O7391" s="14">
        <v>83500</v>
      </c>
      <c r="P7391" s="14">
        <v>99.28</v>
      </c>
      <c r="Q7391" s="14">
        <v>601.20000000000005</v>
      </c>
      <c r="R7391" s="14">
        <v>9919.7999999999993</v>
      </c>
      <c r="S7391" s="2" t="s">
        <v>7854</v>
      </c>
      <c r="T7391" s="2">
        <v>1.01</v>
      </c>
      <c r="U7391" s="2">
        <v>64.599999999999994</v>
      </c>
      <c r="V7391" s="2">
        <v>62</v>
      </c>
      <c r="W7391" s="2" t="s">
        <v>7862</v>
      </c>
      <c r="X7391" s="2" t="s">
        <v>6838</v>
      </c>
      <c r="Y7391" s="2">
        <v>1377750</v>
      </c>
      <c r="Z7391" s="19" t="str">
        <f>HYPERLINK("https://ssdweb.co/ssdweb/hd/Vision360.html?d=926820082&amp;zoomslide=1&amp;z=1926820082&amp;ISCONFIRM=0","VIDEO")</f>
        <v>VIDEO</v>
      </c>
      <c r="AA7391" s="19" t="str">
        <f>HYPERLINK("https://ssdweb.co/ssdweb/CERTH/657419943.pdf","CERTI")</f>
        <v>CERTI</v>
      </c>
    </row>
    <row r="7392" spans="1:27" ht="15" x14ac:dyDescent="0.25">
      <c r="A7392" s="2">
        <v>7387</v>
      </c>
      <c r="B7392" s="39">
        <v>926780076</v>
      </c>
      <c r="C7392" s="28" t="str">
        <f>HYPERLINK("https://pld.live/RapDetail.aspx?STONELIST=926780076","DNA")</f>
        <v>DNA</v>
      </c>
      <c r="D7392" s="18" t="s">
        <v>38</v>
      </c>
      <c r="E7392" s="18" t="s">
        <v>2186</v>
      </c>
      <c r="F7392" s="2" t="s">
        <v>7987</v>
      </c>
      <c r="G7392" s="2" t="s">
        <v>15</v>
      </c>
      <c r="H7392" s="14">
        <v>15.25</v>
      </c>
      <c r="I7392" s="2" t="s">
        <v>4761</v>
      </c>
      <c r="J7392" s="2" t="s">
        <v>13</v>
      </c>
      <c r="K7392" s="2" t="s">
        <v>1452</v>
      </c>
      <c r="L7392" s="2" t="s">
        <v>5221</v>
      </c>
      <c r="M7392" s="2" t="s">
        <v>5221</v>
      </c>
      <c r="N7392" s="2" t="s">
        <v>2317</v>
      </c>
      <c r="O7392" s="14">
        <v>83500</v>
      </c>
      <c r="P7392" s="14">
        <v>99.28</v>
      </c>
      <c r="Q7392" s="14">
        <v>601.20000000000005</v>
      </c>
      <c r="R7392" s="14">
        <v>9168.2999999999993</v>
      </c>
      <c r="S7392" s="2" t="s">
        <v>8121</v>
      </c>
      <c r="T7392" s="2">
        <v>1.02</v>
      </c>
      <c r="U7392" s="2">
        <v>64.8</v>
      </c>
      <c r="V7392" s="2">
        <v>66</v>
      </c>
      <c r="W7392" s="2" t="s">
        <v>7862</v>
      </c>
      <c r="X7392" s="2" t="s">
        <v>6838</v>
      </c>
      <c r="Y7392" s="2">
        <v>1273375</v>
      </c>
      <c r="Z7392" s="19" t="str">
        <f>HYPERLINK("https://ssdweb.co/ssdweb/hd/Vision360.html?d=926780076&amp;zoomslide=1&amp;z=1926780076&amp;ISCONFIRM=0","VIDEO")</f>
        <v>VIDEO</v>
      </c>
      <c r="AA7392" s="19" t="str">
        <f>HYPERLINK("https://ssdweb.co/ssdweb/CERTH/653424615.pdf","CERTI")</f>
        <v>CERTI</v>
      </c>
    </row>
    <row r="7393" spans="1:27" ht="15" x14ac:dyDescent="0.25">
      <c r="A7393" s="2">
        <v>7388</v>
      </c>
      <c r="B7393" s="39">
        <v>923830004</v>
      </c>
      <c r="C7393" s="28" t="str">
        <f>HYPERLINK("https://pld.live/RapDetail.aspx?STONELIST=923830004","DNA")</f>
        <v>DNA</v>
      </c>
      <c r="D7393" s="18" t="s">
        <v>1255</v>
      </c>
      <c r="E7393" s="18" t="s">
        <v>2186</v>
      </c>
      <c r="F7393" s="2" t="s">
        <v>7987</v>
      </c>
      <c r="G7393" s="2" t="s">
        <v>15</v>
      </c>
      <c r="H7393" s="14">
        <v>10.36</v>
      </c>
      <c r="I7393" s="2" t="s">
        <v>4699</v>
      </c>
      <c r="J7393" s="2" t="s">
        <v>13</v>
      </c>
      <c r="K7393" s="2" t="s">
        <v>1452</v>
      </c>
      <c r="L7393" s="2" t="s">
        <v>5221</v>
      </c>
      <c r="M7393" s="2" t="s">
        <v>5221</v>
      </c>
      <c r="N7393" s="2" t="s">
        <v>2317</v>
      </c>
      <c r="O7393" s="14">
        <v>76500</v>
      </c>
      <c r="P7393" s="14">
        <v>99.48</v>
      </c>
      <c r="Q7393" s="14">
        <v>397.8</v>
      </c>
      <c r="R7393" s="14">
        <v>4121.21</v>
      </c>
      <c r="S7393" s="2" t="s">
        <v>3783</v>
      </c>
      <c r="T7393" s="2">
        <v>1.01</v>
      </c>
      <c r="U7393" s="2">
        <v>64.2</v>
      </c>
      <c r="V7393" s="2">
        <v>66</v>
      </c>
      <c r="W7393" s="2" t="s">
        <v>7862</v>
      </c>
      <c r="X7393" s="2" t="s">
        <v>6838</v>
      </c>
      <c r="Y7393" s="2">
        <v>792540</v>
      </c>
      <c r="Z7393" s="19" t="str">
        <f>HYPERLINK("https://ssdweb.co/ssdweb/hd/Vision360.html?d=923830004&amp;zoomslide=1&amp;z=1923830004&amp;ISCONFIRM=0","VIDEO")</f>
        <v>VIDEO</v>
      </c>
      <c r="AA7393" s="19" t="str">
        <f>HYPERLINK("https://ssdweb.co/ssdweb/CERTH/561250564.pdf","CERTI")</f>
        <v>CERTI</v>
      </c>
    </row>
    <row r="7394" spans="1:27" ht="15" x14ac:dyDescent="0.25">
      <c r="A7394" s="2">
        <v>7389</v>
      </c>
      <c r="B7394" s="39">
        <v>925060309</v>
      </c>
      <c r="C7394" s="28" t="str">
        <f>HYPERLINK("https://pld.live/RapDetail.aspx?STONELIST=925060309","DNA")</f>
        <v>DNA</v>
      </c>
      <c r="D7394" s="18" t="s">
        <v>3174</v>
      </c>
      <c r="E7394" s="18" t="s">
        <v>2186</v>
      </c>
      <c r="F7394" s="2" t="s">
        <v>7987</v>
      </c>
      <c r="G7394" s="2" t="s">
        <v>15</v>
      </c>
      <c r="H7394" s="14">
        <v>5.24</v>
      </c>
      <c r="I7394" s="2" t="s">
        <v>1505</v>
      </c>
      <c r="J7394" s="2" t="s">
        <v>5144</v>
      </c>
      <c r="K7394" s="2" t="s">
        <v>1452</v>
      </c>
      <c r="L7394" s="2" t="s">
        <v>5221</v>
      </c>
      <c r="M7394" s="2" t="s">
        <v>5221</v>
      </c>
      <c r="N7394" s="2" t="s">
        <v>2317</v>
      </c>
      <c r="O7394" s="14">
        <v>30000</v>
      </c>
      <c r="P7394" s="14">
        <v>99.58</v>
      </c>
      <c r="Q7394" s="14">
        <v>126</v>
      </c>
      <c r="R7394" s="14">
        <v>660.24</v>
      </c>
      <c r="S7394" s="2" t="s">
        <v>232</v>
      </c>
      <c r="T7394" s="2">
        <v>1.01</v>
      </c>
      <c r="U7394" s="2">
        <v>66.5</v>
      </c>
      <c r="V7394" s="2">
        <v>64</v>
      </c>
      <c r="W7394" s="2" t="s">
        <v>7862</v>
      </c>
      <c r="X7394" s="2" t="s">
        <v>6838</v>
      </c>
      <c r="Y7394" s="2">
        <v>157200</v>
      </c>
      <c r="Z7394" s="19" t="str">
        <f>HYPERLINK("https://ssdweb.co/ssdweb/hd/Vision360.html?d=925060309&amp;zoomslide=1&amp;z=1925060309&amp;ISCONFIRM=0","VIDEO")</f>
        <v>VIDEO</v>
      </c>
      <c r="AA7394" s="19" t="str">
        <f>HYPERLINK("https://ssdweb.co/ssdweb/CERTH/607357875.pdf","CERTI")</f>
        <v>CERTI</v>
      </c>
    </row>
    <row r="7395" spans="1:27" ht="15" x14ac:dyDescent="0.25">
      <c r="A7395" s="2">
        <v>7390</v>
      </c>
      <c r="B7395" s="39">
        <v>923740361</v>
      </c>
      <c r="C7395" s="28" t="str">
        <f>HYPERLINK("https://pld.live/RapDetail.aspx?STONELIST=923740361","DNA")</f>
        <v>DNA</v>
      </c>
      <c r="D7395" s="18" t="s">
        <v>3174</v>
      </c>
      <c r="E7395" s="18" t="s">
        <v>2186</v>
      </c>
      <c r="F7395" s="2" t="s">
        <v>7987</v>
      </c>
      <c r="G7395" s="2" t="s">
        <v>15</v>
      </c>
      <c r="H7395" s="14">
        <v>5.1100000000000003</v>
      </c>
      <c r="I7395" s="2" t="s">
        <v>1505</v>
      </c>
      <c r="J7395" s="2" t="s">
        <v>5144</v>
      </c>
      <c r="K7395" s="2" t="s">
        <v>1452</v>
      </c>
      <c r="L7395" s="2" t="s">
        <v>5221</v>
      </c>
      <c r="M7395" s="2" t="s">
        <v>5221</v>
      </c>
      <c r="N7395" s="2" t="s">
        <v>2317</v>
      </c>
      <c r="O7395" s="14">
        <v>30000</v>
      </c>
      <c r="P7395" s="14">
        <v>99.58</v>
      </c>
      <c r="Q7395" s="14">
        <v>126</v>
      </c>
      <c r="R7395" s="14">
        <v>643.86</v>
      </c>
      <c r="S7395" s="2" t="s">
        <v>4763</v>
      </c>
      <c r="T7395" s="2">
        <v>1.02</v>
      </c>
      <c r="U7395" s="2">
        <v>64.400000000000006</v>
      </c>
      <c r="V7395" s="2">
        <v>65.5</v>
      </c>
      <c r="W7395" s="2" t="s">
        <v>7862</v>
      </c>
      <c r="X7395" s="2" t="s">
        <v>6838</v>
      </c>
      <c r="Y7395" s="2">
        <v>153300</v>
      </c>
      <c r="Z7395" s="19" t="str">
        <f>HYPERLINK("https://ssdweb.co/ssdweb/hd/Vision360.html?d=923740361&amp;zoomslide=1&amp;z=1923740361&amp;ISCONFIRM=0","VIDEO")</f>
        <v>VIDEO</v>
      </c>
      <c r="AA7395" s="19" t="str">
        <f>HYPERLINK("https://ssdweb.co/ssdweb/CERTH/566302069.pdf","CERTI")</f>
        <v>CERTI</v>
      </c>
    </row>
    <row r="7396" spans="1:27" ht="15" x14ac:dyDescent="0.25">
      <c r="A7396" s="2">
        <v>7391</v>
      </c>
      <c r="B7396" s="39">
        <v>926380117</v>
      </c>
      <c r="C7396" s="28" t="str">
        <f>HYPERLINK("https://pld.live/RapDetail.aspx?STONELIST=926380117","DNA")</f>
        <v>DNA</v>
      </c>
      <c r="D7396" s="18" t="s">
        <v>3174</v>
      </c>
      <c r="E7396" s="18" t="s">
        <v>2186</v>
      </c>
      <c r="F7396" s="2" t="s">
        <v>7987</v>
      </c>
      <c r="G7396" s="2" t="s">
        <v>15</v>
      </c>
      <c r="H7396" s="14">
        <v>5.0999999999999996</v>
      </c>
      <c r="I7396" s="2" t="s">
        <v>6587</v>
      </c>
      <c r="J7396" s="2" t="s">
        <v>5144</v>
      </c>
      <c r="K7396" s="2" t="s">
        <v>1452</v>
      </c>
      <c r="L7396" s="2" t="s">
        <v>5221</v>
      </c>
      <c r="M7396" s="2" t="s">
        <v>5221</v>
      </c>
      <c r="N7396" s="2" t="s">
        <v>2317</v>
      </c>
      <c r="O7396" s="14">
        <v>36500</v>
      </c>
      <c r="P7396" s="14">
        <v>99.64</v>
      </c>
      <c r="Q7396" s="14">
        <v>131.4</v>
      </c>
      <c r="R7396" s="14">
        <v>670.14</v>
      </c>
      <c r="S7396" s="2" t="s">
        <v>2428</v>
      </c>
      <c r="T7396" s="2">
        <v>1.02</v>
      </c>
      <c r="U7396" s="2">
        <v>64.8</v>
      </c>
      <c r="V7396" s="2">
        <v>66</v>
      </c>
      <c r="W7396" s="2" t="s">
        <v>8016</v>
      </c>
      <c r="X7396" s="2" t="s">
        <v>6838</v>
      </c>
      <c r="Y7396" s="2">
        <v>186150</v>
      </c>
      <c r="Z7396" s="19" t="str">
        <f>HYPERLINK("https://ssdweb.co/ssdweb/hd/Vision360.html?d=926380117&amp;zoomslide=1&amp;z=1926380117&amp;ISCONFIRM=0","VIDEO")</f>
        <v>VIDEO</v>
      </c>
      <c r="AA7396" s="19" t="str">
        <f>HYPERLINK("https://ssdweb.co/ssdweb/CERTH/641474139.pdf","CERTI")</f>
        <v>CERTI</v>
      </c>
    </row>
    <row r="7397" spans="1:27" ht="15" x14ac:dyDescent="0.25">
      <c r="A7397" s="2">
        <v>7392</v>
      </c>
      <c r="B7397" s="39">
        <v>926850145</v>
      </c>
      <c r="C7397" s="28" t="str">
        <f>HYPERLINK("https://pld.live/RapDetail.aspx?STONELIST=926850145","DNA")</f>
        <v>DNA</v>
      </c>
      <c r="D7397" s="18" t="s">
        <v>3174</v>
      </c>
      <c r="E7397" s="18" t="s">
        <v>2186</v>
      </c>
      <c r="F7397" s="2" t="s">
        <v>7987</v>
      </c>
      <c r="G7397" s="2" t="s">
        <v>15</v>
      </c>
      <c r="H7397" s="14">
        <v>5.0999999999999996</v>
      </c>
      <c r="I7397" s="2" t="s">
        <v>1066</v>
      </c>
      <c r="J7397" s="2" t="s">
        <v>13</v>
      </c>
      <c r="K7397" s="2" t="s">
        <v>1452</v>
      </c>
      <c r="L7397" s="2" t="s">
        <v>5221</v>
      </c>
      <c r="M7397" s="2" t="s">
        <v>5221</v>
      </c>
      <c r="N7397" s="2" t="s">
        <v>924</v>
      </c>
      <c r="O7397" s="14">
        <v>9500</v>
      </c>
      <c r="P7397" s="14">
        <v>95.89</v>
      </c>
      <c r="Q7397" s="14">
        <v>390.45</v>
      </c>
      <c r="R7397" s="14">
        <v>1991.3</v>
      </c>
      <c r="S7397" s="2" t="s">
        <v>6531</v>
      </c>
      <c r="T7397" s="2">
        <v>1.01</v>
      </c>
      <c r="U7397" s="2">
        <v>66.5</v>
      </c>
      <c r="V7397" s="2">
        <v>64</v>
      </c>
      <c r="W7397" s="2" t="s">
        <v>7862</v>
      </c>
      <c r="X7397" s="2" t="s">
        <v>6838</v>
      </c>
      <c r="Y7397" s="2">
        <v>48450</v>
      </c>
      <c r="Z7397" s="19" t="str">
        <f>HYPERLINK("https://ssdweb.co/ssdweb/hd/Vision360.html?d=926850145&amp;zoomslide=1&amp;z=1926850145&amp;ISCONFIRM=0","VIDEO")</f>
        <v>VIDEO</v>
      </c>
      <c r="AA7397" s="19" t="str">
        <f>HYPERLINK("https://ssdweb.co/ssdweb/CERTH/665453080.pdf","CERTI")</f>
        <v>CERTI</v>
      </c>
    </row>
    <row r="7398" spans="1:27" ht="15" x14ac:dyDescent="0.25">
      <c r="A7398" s="2">
        <v>7393</v>
      </c>
      <c r="B7398" s="39">
        <v>925880067</v>
      </c>
      <c r="C7398" s="28" t="str">
        <f>HYPERLINK("https://pld.live/RapDetail.aspx?STONELIST=925880067","DNA")</f>
        <v>DNA</v>
      </c>
      <c r="D7398" s="18" t="s">
        <v>3174</v>
      </c>
      <c r="E7398" s="18" t="s">
        <v>2186</v>
      </c>
      <c r="F7398" s="2" t="s">
        <v>7987</v>
      </c>
      <c r="G7398" s="2" t="s">
        <v>15</v>
      </c>
      <c r="H7398" s="14">
        <v>5.07</v>
      </c>
      <c r="I7398" s="2" t="s">
        <v>4761</v>
      </c>
      <c r="J7398" s="2" t="s">
        <v>13</v>
      </c>
      <c r="K7398" s="2" t="s">
        <v>1452</v>
      </c>
      <c r="L7398" s="2" t="s">
        <v>5221</v>
      </c>
      <c r="M7398" s="2" t="s">
        <v>5221</v>
      </c>
      <c r="N7398" s="2" t="s">
        <v>2317</v>
      </c>
      <c r="O7398" s="14">
        <v>52500</v>
      </c>
      <c r="P7398" s="14">
        <v>99.71</v>
      </c>
      <c r="Q7398" s="14">
        <v>152.25</v>
      </c>
      <c r="R7398" s="14">
        <v>771.91</v>
      </c>
      <c r="S7398" s="2" t="s">
        <v>3533</v>
      </c>
      <c r="T7398" s="2">
        <v>1.02</v>
      </c>
      <c r="U7398" s="2">
        <v>67.599999999999994</v>
      </c>
      <c r="V7398" s="2">
        <v>65</v>
      </c>
      <c r="W7398" s="2" t="s">
        <v>7862</v>
      </c>
      <c r="X7398" s="2" t="s">
        <v>6838</v>
      </c>
      <c r="Y7398" s="2">
        <v>266175</v>
      </c>
      <c r="Z7398" s="19" t="str">
        <f>HYPERLINK("https://ssdweb.co/ssdweb/hd/Vision360.html?d=925880067&amp;zoomslide=1&amp;z=1925880067&amp;ISCONFIRM=0","VIDEO")</f>
        <v>VIDEO</v>
      </c>
      <c r="AA7398" s="19" t="str">
        <f>HYPERLINK("https://ssdweb.co/ssdweb/CERTH/629432408.pdf","CERTI")</f>
        <v>CERTI</v>
      </c>
    </row>
    <row r="7399" spans="1:27" ht="15" x14ac:dyDescent="0.25">
      <c r="A7399" s="2">
        <v>7394</v>
      </c>
      <c r="B7399" s="39">
        <v>925710068</v>
      </c>
      <c r="C7399" s="28" t="str">
        <f>HYPERLINK("https://pld.live/RapDetail.aspx?STONELIST=925710068","DNA")</f>
        <v>DNA</v>
      </c>
      <c r="D7399" s="18" t="s">
        <v>3174</v>
      </c>
      <c r="E7399" s="18" t="s">
        <v>2186</v>
      </c>
      <c r="F7399" s="2" t="s">
        <v>7987</v>
      </c>
      <c r="G7399" s="2" t="s">
        <v>15</v>
      </c>
      <c r="H7399" s="14">
        <v>5.07</v>
      </c>
      <c r="I7399" s="2" t="s">
        <v>1066</v>
      </c>
      <c r="J7399" s="2" t="s">
        <v>5144</v>
      </c>
      <c r="K7399" s="2" t="s">
        <v>1452</v>
      </c>
      <c r="L7399" s="2" t="s">
        <v>5221</v>
      </c>
      <c r="M7399" s="2" t="s">
        <v>5221</v>
      </c>
      <c r="N7399" s="2" t="s">
        <v>924</v>
      </c>
      <c r="O7399" s="14">
        <v>9000</v>
      </c>
      <c r="P7399" s="14">
        <v>95.78</v>
      </c>
      <c r="Q7399" s="14">
        <v>379.8</v>
      </c>
      <c r="R7399" s="14">
        <v>1925.59</v>
      </c>
      <c r="S7399" s="2" t="s">
        <v>6795</v>
      </c>
      <c r="T7399" s="2">
        <v>1.02</v>
      </c>
      <c r="U7399" s="2">
        <v>65.099999999999994</v>
      </c>
      <c r="V7399" s="2">
        <v>67</v>
      </c>
      <c r="W7399" s="2" t="s">
        <v>7862</v>
      </c>
      <c r="X7399" s="2" t="s">
        <v>6838</v>
      </c>
      <c r="Y7399" s="2">
        <v>45630</v>
      </c>
      <c r="Z7399" s="19" t="str">
        <f>HYPERLINK("https://ssdweb.co/ssdweb/hd/Vision360.html?d=925710068&amp;zoomslide=1&amp;z=1925710068&amp;ISCONFIRM=0","VIDEO")</f>
        <v>VIDEO</v>
      </c>
      <c r="AA7399" s="19" t="str">
        <f>HYPERLINK("https://ssdweb.co/ssdweb/CERTH/629486090.pdf","CERTI")</f>
        <v>CERTI</v>
      </c>
    </row>
    <row r="7400" spans="1:27" ht="15" x14ac:dyDescent="0.25">
      <c r="A7400" s="2">
        <v>7395</v>
      </c>
      <c r="B7400" s="39">
        <v>924300702</v>
      </c>
      <c r="C7400" s="28" t="str">
        <f>HYPERLINK("https://pld.live/RapDetail.aspx?STONELIST=924300702","DNA")</f>
        <v>DNA</v>
      </c>
      <c r="D7400" s="18" t="s">
        <v>3174</v>
      </c>
      <c r="E7400" s="18" t="s">
        <v>2186</v>
      </c>
      <c r="F7400" s="2" t="s">
        <v>7987</v>
      </c>
      <c r="G7400" s="2" t="s">
        <v>15</v>
      </c>
      <c r="H7400" s="14">
        <v>5.0599999999999996</v>
      </c>
      <c r="I7400" s="2" t="s">
        <v>6587</v>
      </c>
      <c r="J7400" s="2" t="s">
        <v>3942</v>
      </c>
      <c r="K7400" s="2" t="s">
        <v>1452</v>
      </c>
      <c r="L7400" s="2" t="s">
        <v>5221</v>
      </c>
      <c r="M7400" s="2" t="s">
        <v>5221</v>
      </c>
      <c r="N7400" s="2" t="s">
        <v>2317</v>
      </c>
      <c r="O7400" s="14">
        <v>44500</v>
      </c>
      <c r="P7400" s="14">
        <v>99.67</v>
      </c>
      <c r="Q7400" s="14">
        <v>146.85</v>
      </c>
      <c r="R7400" s="14">
        <v>743.06</v>
      </c>
      <c r="S7400" s="2" t="s">
        <v>3332</v>
      </c>
      <c r="T7400" s="2">
        <v>1.02</v>
      </c>
      <c r="U7400" s="2">
        <v>64.5</v>
      </c>
      <c r="V7400" s="2">
        <v>66</v>
      </c>
      <c r="W7400" s="2" t="s">
        <v>7862</v>
      </c>
      <c r="X7400" s="2" t="s">
        <v>6838</v>
      </c>
      <c r="Y7400" s="2">
        <v>225170</v>
      </c>
      <c r="Z7400" s="19" t="str">
        <f>HYPERLINK("https://ssdweb.co/ssdweb/hd/Vision360.html?d=924300702&amp;zoomslide=1&amp;z=1924300702&amp;ISCONFIRM=0","VIDEO")</f>
        <v>VIDEO</v>
      </c>
      <c r="AA7400" s="19" t="str">
        <f>HYPERLINK("https://ssdweb.co/ssdweb/CERTH/589382200.pdf","CERTI")</f>
        <v>CERTI</v>
      </c>
    </row>
    <row r="7401" spans="1:27" ht="15" x14ac:dyDescent="0.25">
      <c r="A7401" s="2">
        <v>7396</v>
      </c>
      <c r="B7401" s="39">
        <v>924300710</v>
      </c>
      <c r="C7401" s="28" t="str">
        <f>HYPERLINK("https://pld.live/RapDetail.aspx?STONELIST=924300710","DNA")</f>
        <v>DNA</v>
      </c>
      <c r="D7401" s="18" t="s">
        <v>3174</v>
      </c>
      <c r="E7401" s="18" t="s">
        <v>2186</v>
      </c>
      <c r="F7401" s="2" t="s">
        <v>7987</v>
      </c>
      <c r="G7401" s="2" t="s">
        <v>15</v>
      </c>
      <c r="H7401" s="14">
        <v>5.03</v>
      </c>
      <c r="I7401" s="2" t="s">
        <v>4699</v>
      </c>
      <c r="J7401" s="2" t="s">
        <v>13</v>
      </c>
      <c r="K7401" s="2" t="s">
        <v>1452</v>
      </c>
      <c r="L7401" s="2" t="s">
        <v>5221</v>
      </c>
      <c r="M7401" s="2" t="s">
        <v>5221</v>
      </c>
      <c r="N7401" s="2" t="s">
        <v>2317</v>
      </c>
      <c r="O7401" s="14">
        <v>48500</v>
      </c>
      <c r="P7401" s="14">
        <v>99.7</v>
      </c>
      <c r="Q7401" s="14">
        <v>145.5</v>
      </c>
      <c r="R7401" s="14">
        <v>731.87</v>
      </c>
      <c r="S7401" s="2" t="s">
        <v>4425</v>
      </c>
      <c r="T7401" s="2">
        <v>1.03</v>
      </c>
      <c r="U7401" s="2">
        <v>64</v>
      </c>
      <c r="V7401" s="2">
        <v>64</v>
      </c>
      <c r="W7401" s="2" t="s">
        <v>7862</v>
      </c>
      <c r="X7401" s="2" t="s">
        <v>6838</v>
      </c>
      <c r="Y7401" s="2">
        <v>243955</v>
      </c>
      <c r="Z7401" s="19" t="str">
        <f>HYPERLINK("https://ssdweb.co/ssdweb/hd/Vision360.html?d=924300710&amp;zoomslide=1&amp;z=1924300710&amp;ISCONFIRM=0","VIDEO")</f>
        <v>VIDEO</v>
      </c>
      <c r="AA7401" s="19" t="str">
        <f>HYPERLINK("https://ssdweb.co/ssdweb/CERTH/589306724.pdf","CERTI")</f>
        <v>CERTI</v>
      </c>
    </row>
    <row r="7402" spans="1:27" ht="15" x14ac:dyDescent="0.25">
      <c r="A7402" s="2">
        <v>7397</v>
      </c>
      <c r="B7402" s="39">
        <v>926450456</v>
      </c>
      <c r="C7402" s="28" t="str">
        <f>HYPERLINK("https://pld.live/RapDetail.aspx?STONELIST=926450456","DNA")</f>
        <v>DNA</v>
      </c>
      <c r="D7402" s="18" t="s">
        <v>3174</v>
      </c>
      <c r="E7402" s="18" t="s">
        <v>2186</v>
      </c>
      <c r="F7402" s="2" t="s">
        <v>7987</v>
      </c>
      <c r="G7402" s="2" t="s">
        <v>15</v>
      </c>
      <c r="H7402" s="14">
        <v>5.03</v>
      </c>
      <c r="I7402" s="2" t="s">
        <v>6587</v>
      </c>
      <c r="J7402" s="2" t="s">
        <v>3942</v>
      </c>
      <c r="K7402" s="2" t="s">
        <v>1452</v>
      </c>
      <c r="L7402" s="2" t="s">
        <v>5221</v>
      </c>
      <c r="M7402" s="2" t="s">
        <v>5221</v>
      </c>
      <c r="N7402" s="2" t="s">
        <v>2317</v>
      </c>
      <c r="O7402" s="14">
        <v>44500</v>
      </c>
      <c r="P7402" s="14">
        <v>99.67</v>
      </c>
      <c r="Q7402" s="14">
        <v>146.85</v>
      </c>
      <c r="R7402" s="14">
        <v>738.66</v>
      </c>
      <c r="S7402" s="2" t="s">
        <v>1653</v>
      </c>
      <c r="T7402" s="2">
        <v>1.02</v>
      </c>
      <c r="U7402" s="2">
        <v>64.7</v>
      </c>
      <c r="V7402" s="2">
        <v>67</v>
      </c>
      <c r="W7402" s="2" t="s">
        <v>7862</v>
      </c>
      <c r="X7402" s="2" t="s">
        <v>6838</v>
      </c>
      <c r="Y7402" s="2">
        <v>223835</v>
      </c>
      <c r="Z7402" s="19" t="str">
        <f>HYPERLINK("https://ssdweb.co/ssdweb/hd/Vision360.html?d=926450456&amp;zoomslide=1&amp;z=1926450456&amp;ISCONFIRM=0","VIDEO")</f>
        <v>VIDEO</v>
      </c>
      <c r="AA7402" s="19" t="str">
        <f>HYPERLINK("https://ssdweb.co/ssdweb/CERTH/644490500.pdf","CERTI")</f>
        <v>CERTI</v>
      </c>
    </row>
    <row r="7403" spans="1:27" ht="15" x14ac:dyDescent="0.25">
      <c r="A7403" s="2">
        <v>7398</v>
      </c>
      <c r="B7403" s="39">
        <v>925880040</v>
      </c>
      <c r="C7403" s="28" t="str">
        <f>HYPERLINK("https://pld.live/RapDetail.aspx?STONELIST=925880040","DNA")</f>
        <v>DNA</v>
      </c>
      <c r="D7403" s="18" t="s">
        <v>3174</v>
      </c>
      <c r="E7403" s="18" t="s">
        <v>2186</v>
      </c>
      <c r="F7403" s="2" t="s">
        <v>7987</v>
      </c>
      <c r="G7403" s="2" t="s">
        <v>15</v>
      </c>
      <c r="H7403" s="14">
        <v>5.0199999999999996</v>
      </c>
      <c r="I7403" s="2" t="s">
        <v>4761</v>
      </c>
      <c r="J7403" s="2" t="s">
        <v>13</v>
      </c>
      <c r="K7403" s="2" t="s">
        <v>1452</v>
      </c>
      <c r="L7403" s="2" t="s">
        <v>5221</v>
      </c>
      <c r="M7403" s="2" t="s">
        <v>5221</v>
      </c>
      <c r="N7403" s="2" t="s">
        <v>2317</v>
      </c>
      <c r="O7403" s="14">
        <v>52500</v>
      </c>
      <c r="P7403" s="14">
        <v>99.71</v>
      </c>
      <c r="Q7403" s="14">
        <v>152.25</v>
      </c>
      <c r="R7403" s="14">
        <v>764.3</v>
      </c>
      <c r="S7403" s="2" t="s">
        <v>591</v>
      </c>
      <c r="T7403" s="2">
        <v>1</v>
      </c>
      <c r="U7403" s="2">
        <v>66.099999999999994</v>
      </c>
      <c r="V7403" s="2">
        <v>67</v>
      </c>
      <c r="W7403" s="2" t="s">
        <v>7862</v>
      </c>
      <c r="X7403" s="2" t="s">
        <v>6838</v>
      </c>
      <c r="Y7403" s="2">
        <v>263550</v>
      </c>
      <c r="Z7403" s="19" t="str">
        <f>HYPERLINK("https://ssdweb.co/ssdweb/hd/Vision360.html?d=925880040&amp;zoomslide=1&amp;z=1925880040&amp;ISCONFIRM=0","VIDEO")</f>
        <v>VIDEO</v>
      </c>
      <c r="AA7403" s="19" t="str">
        <f>HYPERLINK("https://ssdweb.co/ssdweb/CERTH/629432407.pdf","CERTI")</f>
        <v>CERTI</v>
      </c>
    </row>
    <row r="7404" spans="1:27" ht="15" x14ac:dyDescent="0.25">
      <c r="A7404" s="2">
        <v>7399</v>
      </c>
      <c r="B7404" s="39">
        <v>926450619</v>
      </c>
      <c r="C7404" s="28" t="str">
        <f>HYPERLINK("https://pld.live/RapDetail.aspx?STONELIST=926450619","DNA")</f>
        <v>DNA</v>
      </c>
      <c r="D7404" s="18" t="s">
        <v>3174</v>
      </c>
      <c r="E7404" s="18" t="s">
        <v>2186</v>
      </c>
      <c r="F7404" s="2" t="s">
        <v>7987</v>
      </c>
      <c r="G7404" s="2" t="s">
        <v>15</v>
      </c>
      <c r="H7404" s="14">
        <v>5.0199999999999996</v>
      </c>
      <c r="I7404" s="2" t="s">
        <v>6748</v>
      </c>
      <c r="J7404" s="2" t="s">
        <v>13</v>
      </c>
      <c r="K7404" s="2" t="s">
        <v>1452</v>
      </c>
      <c r="L7404" s="2" t="s">
        <v>5221</v>
      </c>
      <c r="M7404" s="2" t="s">
        <v>5221</v>
      </c>
      <c r="N7404" s="2" t="s">
        <v>2317</v>
      </c>
      <c r="O7404" s="14">
        <v>9500</v>
      </c>
      <c r="P7404" s="14">
        <v>95.58</v>
      </c>
      <c r="Q7404" s="14">
        <v>419.9</v>
      </c>
      <c r="R7404" s="14">
        <v>2107.9</v>
      </c>
      <c r="S7404" s="2" t="s">
        <v>8009</v>
      </c>
      <c r="T7404" s="2">
        <v>1.02</v>
      </c>
      <c r="U7404" s="2">
        <v>67.099999999999994</v>
      </c>
      <c r="V7404" s="2">
        <v>67</v>
      </c>
      <c r="W7404" s="2" t="s">
        <v>7862</v>
      </c>
      <c r="X7404" s="2" t="s">
        <v>6838</v>
      </c>
      <c r="Y7404" s="2">
        <v>47690</v>
      </c>
      <c r="Z7404" s="19" t="str">
        <f>HYPERLINK("https://ssdweb.co/ssdweb/hd/Vision360.html?d=926450619&amp;zoomslide=1&amp;z=1926450619&amp;ISCONFIRM=0","VIDEO")</f>
        <v>VIDEO</v>
      </c>
      <c r="AA7404" s="19" t="str">
        <f>HYPERLINK("https://ssdweb.co/ssdweb/CERTH/648410114.pdf","CERTI")</f>
        <v>CERTI</v>
      </c>
    </row>
    <row r="7405" spans="1:27" ht="15" x14ac:dyDescent="0.25">
      <c r="A7405" s="2">
        <v>7400</v>
      </c>
      <c r="B7405" s="39">
        <v>926050308</v>
      </c>
      <c r="C7405" s="28" t="str">
        <f>HYPERLINK("https://pld.live/RapDetail.aspx?STONELIST=926050308","DNA")</f>
        <v>DNA</v>
      </c>
      <c r="D7405" s="18" t="s">
        <v>3174</v>
      </c>
      <c r="E7405" s="18" t="s">
        <v>2186</v>
      </c>
      <c r="F7405" s="2" t="s">
        <v>7987</v>
      </c>
      <c r="G7405" s="2" t="s">
        <v>15</v>
      </c>
      <c r="H7405" s="14">
        <v>5.01</v>
      </c>
      <c r="I7405" s="2" t="s">
        <v>4761</v>
      </c>
      <c r="J7405" s="2" t="s">
        <v>13</v>
      </c>
      <c r="K7405" s="2" t="s">
        <v>1452</v>
      </c>
      <c r="L7405" s="2" t="s">
        <v>5221</v>
      </c>
      <c r="M7405" s="2" t="s">
        <v>5221</v>
      </c>
      <c r="N7405" s="2" t="s">
        <v>2317</v>
      </c>
      <c r="O7405" s="14">
        <v>52500</v>
      </c>
      <c r="P7405" s="14">
        <v>99.71</v>
      </c>
      <c r="Q7405" s="14">
        <v>152.25</v>
      </c>
      <c r="R7405" s="14">
        <v>762.77</v>
      </c>
      <c r="S7405" s="2" t="s">
        <v>1061</v>
      </c>
      <c r="T7405" s="2">
        <v>1.04</v>
      </c>
      <c r="U7405" s="2">
        <v>64.099999999999994</v>
      </c>
      <c r="V7405" s="2">
        <v>70</v>
      </c>
      <c r="W7405" s="2" t="s">
        <v>7862</v>
      </c>
      <c r="X7405" s="2" t="s">
        <v>6838</v>
      </c>
      <c r="Y7405" s="2">
        <v>263025</v>
      </c>
      <c r="Z7405" s="19" t="str">
        <f>HYPERLINK("https://ssdweb.co/ssdweb/hd/Vision360.html?d=926050308&amp;zoomslide=1&amp;z=1926050308&amp;ISCONFIRM=0","VIDEO")</f>
        <v>VIDEO</v>
      </c>
      <c r="AA7405" s="19" t="str">
        <f>HYPERLINK("https://ssdweb.co/ssdweb/CERTH/632488513.pdf","CERTI")</f>
        <v>CERTI</v>
      </c>
    </row>
    <row r="7406" spans="1:27" ht="15" x14ac:dyDescent="0.25">
      <c r="A7406" s="2">
        <v>7401</v>
      </c>
      <c r="B7406" s="39">
        <v>923810415</v>
      </c>
      <c r="C7406" s="28" t="str">
        <f>HYPERLINK("https://pld.live/RapDetail.aspx?STONELIST=923810415","DNA")</f>
        <v>DNA</v>
      </c>
      <c r="D7406" s="18" t="s">
        <v>3174</v>
      </c>
      <c r="E7406" s="18" t="s">
        <v>2186</v>
      </c>
      <c r="F7406" s="2" t="s">
        <v>7987</v>
      </c>
      <c r="G7406" s="2" t="s">
        <v>15</v>
      </c>
      <c r="H7406" s="14">
        <v>5.01</v>
      </c>
      <c r="I7406" s="2" t="s">
        <v>1505</v>
      </c>
      <c r="J7406" s="2" t="s">
        <v>5144</v>
      </c>
      <c r="K7406" s="2" t="s">
        <v>1452</v>
      </c>
      <c r="L7406" s="2" t="s">
        <v>5221</v>
      </c>
      <c r="M7406" s="2" t="s">
        <v>5221</v>
      </c>
      <c r="N7406" s="2" t="s">
        <v>2317</v>
      </c>
      <c r="O7406" s="14">
        <v>30000</v>
      </c>
      <c r="P7406" s="14">
        <v>99.58</v>
      </c>
      <c r="Q7406" s="14">
        <v>126</v>
      </c>
      <c r="R7406" s="14">
        <v>631.26</v>
      </c>
      <c r="S7406" s="2" t="s">
        <v>1402</v>
      </c>
      <c r="T7406" s="2">
        <v>1.02</v>
      </c>
      <c r="U7406" s="2">
        <v>65.5</v>
      </c>
      <c r="V7406" s="2">
        <v>65</v>
      </c>
      <c r="W7406" s="2" t="s">
        <v>7862</v>
      </c>
      <c r="X7406" s="2" t="s">
        <v>6838</v>
      </c>
      <c r="Y7406" s="2">
        <v>150300</v>
      </c>
      <c r="Z7406" s="19" t="str">
        <f>HYPERLINK("https://ssdweb.co/ssdweb/hd/Vision360.html?d=923810415&amp;zoomslide=1&amp;z=1923810415&amp;ISCONFIRM=0","VIDEO")</f>
        <v>VIDEO</v>
      </c>
      <c r="AA7406" s="19" t="str">
        <f>HYPERLINK("https://ssdweb.co/ssdweb/CERTH/567357172.pdf","CERTI")</f>
        <v>CERTI</v>
      </c>
    </row>
    <row r="7407" spans="1:27" ht="15" x14ac:dyDescent="0.25">
      <c r="A7407" s="2">
        <v>7402</v>
      </c>
      <c r="B7407" s="39">
        <v>925060385</v>
      </c>
      <c r="C7407" s="28" t="str">
        <f>HYPERLINK("https://pld.live/RapDetail.aspx?STONELIST=925060385","DNA")</f>
        <v>DNA</v>
      </c>
      <c r="D7407" s="18" t="s">
        <v>3174</v>
      </c>
      <c r="E7407" s="18" t="s">
        <v>2186</v>
      </c>
      <c r="F7407" s="2" t="s">
        <v>7987</v>
      </c>
      <c r="G7407" s="2" t="s">
        <v>15</v>
      </c>
      <c r="H7407" s="14">
        <v>5.01</v>
      </c>
      <c r="I7407" s="2" t="s">
        <v>1505</v>
      </c>
      <c r="J7407" s="2" t="s">
        <v>5144</v>
      </c>
      <c r="K7407" s="2" t="s">
        <v>1452</v>
      </c>
      <c r="L7407" s="2" t="s">
        <v>5221</v>
      </c>
      <c r="M7407" s="2" t="s">
        <v>5221</v>
      </c>
      <c r="N7407" s="2" t="s">
        <v>2317</v>
      </c>
      <c r="O7407" s="14">
        <v>30000</v>
      </c>
      <c r="P7407" s="14">
        <v>99.59</v>
      </c>
      <c r="Q7407" s="14">
        <v>123</v>
      </c>
      <c r="R7407" s="14">
        <v>616.23</v>
      </c>
      <c r="S7407" s="2" t="s">
        <v>805</v>
      </c>
      <c r="T7407" s="2">
        <v>1.02</v>
      </c>
      <c r="U7407" s="2">
        <v>64</v>
      </c>
      <c r="V7407" s="2">
        <v>68</v>
      </c>
      <c r="W7407" s="2" t="s">
        <v>8016</v>
      </c>
      <c r="X7407" s="2" t="s">
        <v>6838</v>
      </c>
      <c r="Y7407" s="2">
        <v>150300</v>
      </c>
      <c r="Z7407" s="19" t="str">
        <f>HYPERLINK("https://ssdweb.co/ssdweb/hd/Vision360.html?d=925060385&amp;zoomslide=1&amp;z=1925060385&amp;ISCONFIRM=0","VIDEO")</f>
        <v>VIDEO</v>
      </c>
      <c r="AA7407" s="19" t="str">
        <f>HYPERLINK("https://ssdweb.co/ssdweb/CERTH/610341137.pdf","CERTI")</f>
        <v>CERTI</v>
      </c>
    </row>
    <row r="7408" spans="1:27" ht="15" x14ac:dyDescent="0.25">
      <c r="A7408" s="2">
        <v>7403</v>
      </c>
      <c r="B7408" s="39">
        <v>926050160</v>
      </c>
      <c r="C7408" s="28" t="str">
        <f>HYPERLINK("https://pld.live/RapDetail.aspx?STONELIST=926050160","DNA")</f>
        <v>DNA</v>
      </c>
      <c r="D7408" s="18" t="s">
        <v>3543</v>
      </c>
      <c r="E7408" s="18" t="s">
        <v>2186</v>
      </c>
      <c r="F7408" s="2" t="s">
        <v>7987</v>
      </c>
      <c r="G7408" s="2" t="s">
        <v>15</v>
      </c>
      <c r="H7408" s="14">
        <v>4.71</v>
      </c>
      <c r="I7408" s="2" t="s">
        <v>6587</v>
      </c>
      <c r="J7408" s="2" t="s">
        <v>13</v>
      </c>
      <c r="K7408" s="2" t="s">
        <v>1452</v>
      </c>
      <c r="L7408" s="2" t="s">
        <v>5221</v>
      </c>
      <c r="M7408" s="2" t="s">
        <v>5221</v>
      </c>
      <c r="N7408" s="2" t="s">
        <v>2317</v>
      </c>
      <c r="O7408" s="14">
        <v>30000</v>
      </c>
      <c r="P7408" s="14">
        <v>99.58</v>
      </c>
      <c r="Q7408" s="14">
        <v>126</v>
      </c>
      <c r="R7408" s="14">
        <v>593.46</v>
      </c>
      <c r="S7408" s="2" t="s">
        <v>4214</v>
      </c>
      <c r="T7408" s="2">
        <v>1.02</v>
      </c>
      <c r="U7408" s="2">
        <v>67.5</v>
      </c>
      <c r="V7408" s="2">
        <v>64</v>
      </c>
      <c r="W7408" s="2" t="s">
        <v>7862</v>
      </c>
      <c r="X7408" s="2" t="s">
        <v>6838</v>
      </c>
      <c r="Y7408" s="2">
        <v>141300</v>
      </c>
      <c r="Z7408" s="19" t="str">
        <f>HYPERLINK("https://ssdweb.co/ssdweb/hd/Vision360.html?d=926050160&amp;zoomslide=1&amp;z=1926050160&amp;ISCONFIRM=0","VIDEO")</f>
        <v>VIDEO</v>
      </c>
      <c r="AA7408" s="19" t="str">
        <f>HYPERLINK("https://ssdweb.co/ssdweb/CERTH/631430432.pdf","CERTI")</f>
        <v>CERTI</v>
      </c>
    </row>
    <row r="7409" spans="1:27" ht="15" x14ac:dyDescent="0.25">
      <c r="A7409" s="2">
        <v>7404</v>
      </c>
      <c r="B7409" s="39">
        <v>925010182</v>
      </c>
      <c r="C7409" s="28" t="str">
        <f>HYPERLINK("https://pld.live/RapDetail.aspx?STONELIST=925010182","DNA")</f>
        <v>DNA</v>
      </c>
      <c r="D7409" s="18" t="s">
        <v>3134</v>
      </c>
      <c r="E7409" s="18" t="s">
        <v>2186</v>
      </c>
      <c r="F7409" s="2" t="s">
        <v>7987</v>
      </c>
      <c r="G7409" s="2" t="s">
        <v>15</v>
      </c>
      <c r="H7409" s="14">
        <v>4.1900000000000004</v>
      </c>
      <c r="I7409" s="2" t="s">
        <v>4761</v>
      </c>
      <c r="J7409" s="2" t="s">
        <v>13</v>
      </c>
      <c r="K7409" s="2" t="s">
        <v>1452</v>
      </c>
      <c r="L7409" s="2" t="s">
        <v>5221</v>
      </c>
      <c r="M7409" s="2" t="s">
        <v>5221</v>
      </c>
      <c r="N7409" s="2" t="s">
        <v>2317</v>
      </c>
      <c r="O7409" s="14">
        <v>37500</v>
      </c>
      <c r="P7409" s="14">
        <v>99.63</v>
      </c>
      <c r="Q7409" s="14">
        <v>138.75</v>
      </c>
      <c r="R7409" s="14">
        <v>581.36</v>
      </c>
      <c r="S7409" s="2" t="s">
        <v>6257</v>
      </c>
      <c r="T7409" s="2">
        <v>1.02</v>
      </c>
      <c r="U7409" s="2">
        <v>66.400000000000006</v>
      </c>
      <c r="V7409" s="2">
        <v>64</v>
      </c>
      <c r="W7409" s="2" t="s">
        <v>7862</v>
      </c>
      <c r="X7409" s="2" t="s">
        <v>6838</v>
      </c>
      <c r="Y7409" s="2">
        <v>157125</v>
      </c>
      <c r="Z7409" s="19" t="str">
        <f>HYPERLINK("https://ssdweb.co/ssdweb/hd/Vision360.html?d=925010182&amp;zoomslide=1&amp;z=1925010182&amp;ISCONFIRM=0","VIDEO")</f>
        <v>VIDEO</v>
      </c>
      <c r="AA7409" s="19" t="str">
        <f>HYPERLINK("https://ssdweb.co/ssdweb/CERTH/606330018.pdf","CERTI")</f>
        <v>CERTI</v>
      </c>
    </row>
    <row r="7410" spans="1:27" ht="15" x14ac:dyDescent="0.25">
      <c r="A7410" s="2">
        <v>7405</v>
      </c>
      <c r="B7410" s="39">
        <v>831020313</v>
      </c>
      <c r="C7410" s="28" t="str">
        <f>HYPERLINK("https://pld.live/RapDetail.aspx?STONELIST=831020313","DNA")</f>
        <v>DNA</v>
      </c>
      <c r="D7410" s="18" t="s">
        <v>3134</v>
      </c>
      <c r="E7410" s="18" t="s">
        <v>2186</v>
      </c>
      <c r="F7410" s="2" t="s">
        <v>7987</v>
      </c>
      <c r="G7410" s="2" t="s">
        <v>15</v>
      </c>
      <c r="H7410" s="14">
        <v>4.1500000000000004</v>
      </c>
      <c r="I7410" s="2" t="s">
        <v>4699</v>
      </c>
      <c r="J7410" s="2" t="s">
        <v>3942</v>
      </c>
      <c r="K7410" s="2" t="s">
        <v>1452</v>
      </c>
      <c r="L7410" s="2" t="s">
        <v>5221</v>
      </c>
      <c r="M7410" s="2" t="s">
        <v>5221</v>
      </c>
      <c r="N7410" s="2" t="s">
        <v>2317</v>
      </c>
      <c r="O7410" s="14">
        <v>37000</v>
      </c>
      <c r="P7410" s="14">
        <v>99.59</v>
      </c>
      <c r="Q7410" s="14">
        <v>151.69999999999999</v>
      </c>
      <c r="R7410" s="14">
        <v>629.55999999999995</v>
      </c>
      <c r="S7410" s="2" t="s">
        <v>6412</v>
      </c>
      <c r="T7410" s="2">
        <v>1.01</v>
      </c>
      <c r="U7410" s="2">
        <v>65</v>
      </c>
      <c r="V7410" s="2">
        <v>66</v>
      </c>
      <c r="W7410" s="2" t="s">
        <v>7862</v>
      </c>
      <c r="X7410" s="2" t="s">
        <v>6838</v>
      </c>
      <c r="Y7410" s="2">
        <v>153550</v>
      </c>
      <c r="Z7410" s="19" t="str">
        <f>HYPERLINK("https://ssdweb.co/ssdweb/hd/Vision360.html?d=831020313&amp;zoomslide=1&amp;z=1831020313&amp;ISCONFIRM=0","VIDEO")</f>
        <v>VIDEO</v>
      </c>
      <c r="AA7410" s="19" t="str">
        <f>HYPERLINK("https://ssdweb.co/ssdweb/CERTH/617426238.pdf","CERTI")</f>
        <v>CERTI</v>
      </c>
    </row>
    <row r="7411" spans="1:27" ht="15" x14ac:dyDescent="0.25">
      <c r="A7411" s="2">
        <v>7406</v>
      </c>
      <c r="B7411" s="39">
        <v>923750325</v>
      </c>
      <c r="C7411" s="28" t="str">
        <f>HYPERLINK("https://pld.live/RapDetail.aspx?STONELIST=923750325","DNA")</f>
        <v>DNA</v>
      </c>
      <c r="D7411" s="18" t="s">
        <v>3134</v>
      </c>
      <c r="E7411" s="18" t="s">
        <v>2186</v>
      </c>
      <c r="F7411" s="2" t="s">
        <v>7987</v>
      </c>
      <c r="G7411" s="2" t="s">
        <v>15</v>
      </c>
      <c r="H7411" s="14">
        <v>4.1500000000000004</v>
      </c>
      <c r="I7411" s="2" t="s">
        <v>6587</v>
      </c>
      <c r="J7411" s="2" t="s">
        <v>3942</v>
      </c>
      <c r="K7411" s="2" t="s">
        <v>1452</v>
      </c>
      <c r="L7411" s="2" t="s">
        <v>5221</v>
      </c>
      <c r="M7411" s="2" t="s">
        <v>5221</v>
      </c>
      <c r="N7411" s="2" t="s">
        <v>2317</v>
      </c>
      <c r="O7411" s="14">
        <v>32000</v>
      </c>
      <c r="P7411" s="14">
        <v>99.56</v>
      </c>
      <c r="Q7411" s="14">
        <v>140.80000000000001</v>
      </c>
      <c r="R7411" s="14">
        <v>584.32000000000005</v>
      </c>
      <c r="S7411" s="2" t="s">
        <v>7392</v>
      </c>
      <c r="T7411" s="2">
        <v>1.02</v>
      </c>
      <c r="U7411" s="2">
        <v>65.5</v>
      </c>
      <c r="V7411" s="2">
        <v>64.5</v>
      </c>
      <c r="W7411" s="2" t="s">
        <v>7862</v>
      </c>
      <c r="X7411" s="2" t="s">
        <v>6838</v>
      </c>
      <c r="Y7411" s="2">
        <v>132800</v>
      </c>
      <c r="Z7411" s="19" t="str">
        <f>HYPERLINK("https://ssdweb.co/ssdweb/hd/Vision360.html?d=923750325&amp;zoomslide=1&amp;z=1923750325&amp;ISCONFIRM=0","VIDEO")</f>
        <v>VIDEO</v>
      </c>
      <c r="AA7411" s="19" t="str">
        <f>HYPERLINK("https://ssdweb.co/ssdweb/CERTH/564371136.pdf","CERTI")</f>
        <v>CERTI</v>
      </c>
    </row>
    <row r="7412" spans="1:27" ht="15" x14ac:dyDescent="0.25">
      <c r="A7412" s="2">
        <v>7407</v>
      </c>
      <c r="B7412" s="39">
        <v>831020423</v>
      </c>
      <c r="C7412" s="28" t="str">
        <f>HYPERLINK("https://pld.live/RapDetail.aspx?STONELIST=831020423","DNA")</f>
        <v>DNA</v>
      </c>
      <c r="D7412" s="18" t="s">
        <v>3134</v>
      </c>
      <c r="E7412" s="18" t="s">
        <v>2186</v>
      </c>
      <c r="F7412" s="2" t="s">
        <v>7987</v>
      </c>
      <c r="G7412" s="2" t="s">
        <v>15</v>
      </c>
      <c r="H7412" s="14">
        <v>4.1100000000000003</v>
      </c>
      <c r="I7412" s="2" t="s">
        <v>6587</v>
      </c>
      <c r="J7412" s="2" t="s">
        <v>13</v>
      </c>
      <c r="K7412" s="2" t="s">
        <v>1452</v>
      </c>
      <c r="L7412" s="2" t="s">
        <v>5221</v>
      </c>
      <c r="M7412" s="2" t="s">
        <v>5221</v>
      </c>
      <c r="N7412" s="2" t="s">
        <v>2317</v>
      </c>
      <c r="O7412" s="14">
        <v>30000</v>
      </c>
      <c r="P7412" s="14">
        <v>99.58</v>
      </c>
      <c r="Q7412" s="14">
        <v>126</v>
      </c>
      <c r="R7412" s="14">
        <v>517.86</v>
      </c>
      <c r="S7412" s="2" t="s">
        <v>6162</v>
      </c>
      <c r="T7412" s="2">
        <v>1.01</v>
      </c>
      <c r="U7412" s="2">
        <v>64.5</v>
      </c>
      <c r="V7412" s="2">
        <v>59</v>
      </c>
      <c r="W7412" s="2" t="s">
        <v>7862</v>
      </c>
      <c r="X7412" s="2" t="s">
        <v>6838</v>
      </c>
      <c r="Y7412" s="2">
        <v>123300</v>
      </c>
      <c r="Z7412" s="19" t="str">
        <f>HYPERLINK("https://ssdweb.co/ssdweb/hd/Vision360.html?d=831020423&amp;zoomslide=1&amp;z=1831020423&amp;ISCONFIRM=0","VIDEO")</f>
        <v>VIDEO</v>
      </c>
      <c r="AA7412" s="19" t="str">
        <f>HYPERLINK("https://ssdweb.co/ssdweb/CERTH/592360689.pdf","CERTI")</f>
        <v>CERTI</v>
      </c>
    </row>
    <row r="7413" spans="1:27" ht="15" x14ac:dyDescent="0.25">
      <c r="A7413" s="2">
        <v>7408</v>
      </c>
      <c r="B7413" s="39">
        <v>925050152</v>
      </c>
      <c r="C7413" s="28" t="str">
        <f>HYPERLINK("https://pld.live/RapDetail.aspx?STONELIST=925050152","DNA")</f>
        <v>DNA</v>
      </c>
      <c r="D7413" s="18" t="s">
        <v>3134</v>
      </c>
      <c r="E7413" s="18" t="s">
        <v>2186</v>
      </c>
      <c r="F7413" s="2" t="s">
        <v>7987</v>
      </c>
      <c r="G7413" s="2" t="s">
        <v>15</v>
      </c>
      <c r="H7413" s="14">
        <v>4.0999999999999996</v>
      </c>
      <c r="I7413" s="2" t="s">
        <v>267</v>
      </c>
      <c r="J7413" s="2" t="s">
        <v>13</v>
      </c>
      <c r="K7413" s="2" t="s">
        <v>1452</v>
      </c>
      <c r="L7413" s="2" t="s">
        <v>5221</v>
      </c>
      <c r="M7413" s="2" t="s">
        <v>5221</v>
      </c>
      <c r="N7413" s="2" t="s">
        <v>2317</v>
      </c>
      <c r="O7413" s="14">
        <v>40500</v>
      </c>
      <c r="P7413" s="14">
        <v>99.6</v>
      </c>
      <c r="Q7413" s="14">
        <v>162</v>
      </c>
      <c r="R7413" s="14">
        <v>664.2</v>
      </c>
      <c r="S7413" s="2" t="s">
        <v>955</v>
      </c>
      <c r="T7413" s="2">
        <v>1.02</v>
      </c>
      <c r="U7413" s="2">
        <v>65.099999999999994</v>
      </c>
      <c r="V7413" s="2">
        <v>62</v>
      </c>
      <c r="W7413" s="2" t="s">
        <v>7862</v>
      </c>
      <c r="X7413" s="2" t="s">
        <v>6838</v>
      </c>
      <c r="Y7413" s="2">
        <v>166050</v>
      </c>
      <c r="Z7413" s="19" t="str">
        <f>HYPERLINK("https://ssdweb.co/ssdweb/hd/Vision360.html?d=925050152&amp;zoomslide=1&amp;z=1925050152&amp;ISCONFIRM=0","VIDEO")</f>
        <v>VIDEO</v>
      </c>
      <c r="AA7413" s="19" t="str">
        <f>HYPERLINK("https://ssdweb.co/ssdweb/CERTH/611357267.pdf","CERTI")</f>
        <v>CERTI</v>
      </c>
    </row>
    <row r="7414" spans="1:27" ht="15" x14ac:dyDescent="0.25">
      <c r="A7414" s="2">
        <v>7409</v>
      </c>
      <c r="B7414" s="39">
        <v>925010199</v>
      </c>
      <c r="C7414" s="28" t="str">
        <f>HYPERLINK("https://pld.live/RapDetail.aspx?STONELIST=925010199","DNA")</f>
        <v>DNA</v>
      </c>
      <c r="D7414" s="18" t="s">
        <v>3134</v>
      </c>
      <c r="E7414" s="18" t="s">
        <v>2186</v>
      </c>
      <c r="F7414" s="2" t="s">
        <v>7987</v>
      </c>
      <c r="G7414" s="2" t="s">
        <v>15</v>
      </c>
      <c r="H7414" s="14">
        <v>4.0999999999999996</v>
      </c>
      <c r="I7414" s="2" t="s">
        <v>4761</v>
      </c>
      <c r="J7414" s="2" t="s">
        <v>3942</v>
      </c>
      <c r="K7414" s="2" t="s">
        <v>1452</v>
      </c>
      <c r="L7414" s="2" t="s">
        <v>5221</v>
      </c>
      <c r="M7414" s="2" t="s">
        <v>5221</v>
      </c>
      <c r="N7414" s="2" t="s">
        <v>2317</v>
      </c>
      <c r="O7414" s="14">
        <v>40000</v>
      </c>
      <c r="P7414" s="14">
        <v>99.6</v>
      </c>
      <c r="Q7414" s="14">
        <v>160</v>
      </c>
      <c r="R7414" s="14">
        <v>656</v>
      </c>
      <c r="S7414" s="2" t="s">
        <v>7969</v>
      </c>
      <c r="T7414" s="2">
        <v>1</v>
      </c>
      <c r="U7414" s="2">
        <v>66.400000000000006</v>
      </c>
      <c r="V7414" s="2">
        <v>62</v>
      </c>
      <c r="W7414" s="2" t="s">
        <v>7862</v>
      </c>
      <c r="X7414" s="2" t="s">
        <v>6838</v>
      </c>
      <c r="Y7414" s="2">
        <v>164000</v>
      </c>
      <c r="Z7414" s="19" t="str">
        <f>HYPERLINK("https://ssdweb.co/ssdweb/hd/Vision360.html?d=925010199&amp;zoomslide=1&amp;z=1925010199&amp;ISCONFIRM=0","VIDEO")</f>
        <v>VIDEO</v>
      </c>
      <c r="AA7414" s="19" t="str">
        <f>HYPERLINK("https://ssdweb.co/ssdweb/CERTH/607366216.pdf","CERTI")</f>
        <v>CERTI</v>
      </c>
    </row>
    <row r="7415" spans="1:27" ht="15" x14ac:dyDescent="0.25">
      <c r="A7415" s="2">
        <v>7410</v>
      </c>
      <c r="B7415" s="39">
        <v>831020257</v>
      </c>
      <c r="C7415" s="28" t="str">
        <f>HYPERLINK("https://pld.live/RapDetail.aspx?STONELIST=831020257","DNA")</f>
        <v>DNA</v>
      </c>
      <c r="D7415" s="18" t="s">
        <v>3134</v>
      </c>
      <c r="E7415" s="18" t="s">
        <v>2186</v>
      </c>
      <c r="F7415" s="2" t="s">
        <v>7987</v>
      </c>
      <c r="G7415" s="2" t="s">
        <v>15</v>
      </c>
      <c r="H7415" s="14">
        <v>4.08</v>
      </c>
      <c r="I7415" s="2" t="s">
        <v>6587</v>
      </c>
      <c r="J7415" s="2" t="s">
        <v>13</v>
      </c>
      <c r="K7415" s="2" t="s">
        <v>1452</v>
      </c>
      <c r="L7415" s="2" t="s">
        <v>5221</v>
      </c>
      <c r="M7415" s="2" t="s">
        <v>5221</v>
      </c>
      <c r="N7415" s="2" t="s">
        <v>2317</v>
      </c>
      <c r="O7415" s="14">
        <v>30000</v>
      </c>
      <c r="P7415" s="14">
        <v>99.58</v>
      </c>
      <c r="Q7415" s="14">
        <v>126</v>
      </c>
      <c r="R7415" s="14">
        <v>514.08000000000004</v>
      </c>
      <c r="S7415" s="2" t="s">
        <v>5729</v>
      </c>
      <c r="T7415" s="2">
        <v>1.02</v>
      </c>
      <c r="U7415" s="2">
        <v>64.5</v>
      </c>
      <c r="V7415" s="2">
        <v>64.5</v>
      </c>
      <c r="W7415" s="2" t="s">
        <v>7862</v>
      </c>
      <c r="X7415" s="2" t="s">
        <v>6838</v>
      </c>
      <c r="Y7415" s="2">
        <v>122400</v>
      </c>
      <c r="Z7415" s="19" t="str">
        <f>HYPERLINK("https://ssdweb.co/ssdweb/hd/Vision360.html?d=831020257&amp;zoomslide=1&amp;z=1831020257&amp;ISCONFIRM=0","VIDEO")</f>
        <v>VIDEO</v>
      </c>
      <c r="AA7415" s="19" t="str">
        <f>HYPERLINK("https://ssdweb.co/ssdweb/CERTH/566301252.pdf","CERTI")</f>
        <v>CERTI</v>
      </c>
    </row>
    <row r="7416" spans="1:27" ht="15" x14ac:dyDescent="0.25">
      <c r="A7416" s="2">
        <v>7411</v>
      </c>
      <c r="B7416" s="39">
        <v>831020224</v>
      </c>
      <c r="C7416" s="28" t="str">
        <f>HYPERLINK("https://pld.live/RapDetail.aspx?STONELIST=831020224","DNA")</f>
        <v>DNA</v>
      </c>
      <c r="D7416" s="18" t="s">
        <v>3134</v>
      </c>
      <c r="E7416" s="18" t="s">
        <v>2186</v>
      </c>
      <c r="F7416" s="2" t="s">
        <v>7987</v>
      </c>
      <c r="G7416" s="2" t="s">
        <v>15</v>
      </c>
      <c r="H7416" s="14">
        <v>4.08</v>
      </c>
      <c r="I7416" s="2" t="s">
        <v>1505</v>
      </c>
      <c r="J7416" s="2" t="s">
        <v>3942</v>
      </c>
      <c r="K7416" s="2" t="s">
        <v>1452</v>
      </c>
      <c r="L7416" s="2" t="s">
        <v>5221</v>
      </c>
      <c r="M7416" s="2" t="s">
        <v>5221</v>
      </c>
      <c r="N7416" s="2" t="s">
        <v>2317</v>
      </c>
      <c r="O7416" s="14">
        <v>27000</v>
      </c>
      <c r="P7416" s="14">
        <v>99.5</v>
      </c>
      <c r="Q7416" s="14">
        <v>135</v>
      </c>
      <c r="R7416" s="14">
        <v>550.79999999999995</v>
      </c>
      <c r="S7416" s="2" t="s">
        <v>3207</v>
      </c>
      <c r="T7416" s="2">
        <v>1.01</v>
      </c>
      <c r="U7416" s="2">
        <v>66.400000000000006</v>
      </c>
      <c r="V7416" s="2">
        <v>63.5</v>
      </c>
      <c r="W7416" s="2" t="s">
        <v>7862</v>
      </c>
      <c r="X7416" s="2" t="s">
        <v>6838</v>
      </c>
      <c r="Y7416" s="2">
        <v>110160</v>
      </c>
      <c r="Z7416" s="19" t="str">
        <f>HYPERLINK("https://ssdweb.co/ssdweb/hd/Vision360.html?d=831020224&amp;zoomslide=1&amp;z=1831020224&amp;ISCONFIRM=0","VIDEO")</f>
        <v>VIDEO</v>
      </c>
      <c r="AA7416" s="19" t="str">
        <f>HYPERLINK("https://ssdweb.co/ssdweb/CERTH/564371622.pdf","CERTI")</f>
        <v>CERTI</v>
      </c>
    </row>
    <row r="7417" spans="1:27" ht="15" x14ac:dyDescent="0.25">
      <c r="A7417" s="2">
        <v>7412</v>
      </c>
      <c r="B7417" s="39">
        <v>831020310</v>
      </c>
      <c r="C7417" s="28" t="str">
        <f>HYPERLINK("https://pld.live/RapDetail.aspx?STONELIST=831020310","DNA")</f>
        <v>DNA</v>
      </c>
      <c r="D7417" s="18" t="s">
        <v>3134</v>
      </c>
      <c r="E7417" s="18" t="s">
        <v>2186</v>
      </c>
      <c r="F7417" s="2" t="s">
        <v>7987</v>
      </c>
      <c r="G7417" s="2" t="s">
        <v>15</v>
      </c>
      <c r="H7417" s="14">
        <v>4.0599999999999996</v>
      </c>
      <c r="I7417" s="2" t="s">
        <v>6587</v>
      </c>
      <c r="J7417" s="2" t="s">
        <v>13</v>
      </c>
      <c r="K7417" s="2" t="s">
        <v>1452</v>
      </c>
      <c r="L7417" s="2" t="s">
        <v>5221</v>
      </c>
      <c r="M7417" s="2" t="s">
        <v>5221</v>
      </c>
      <c r="N7417" s="2" t="s">
        <v>2317</v>
      </c>
      <c r="O7417" s="14">
        <v>30000</v>
      </c>
      <c r="P7417" s="14">
        <v>99.58</v>
      </c>
      <c r="Q7417" s="14">
        <v>126</v>
      </c>
      <c r="R7417" s="14">
        <v>511.56</v>
      </c>
      <c r="S7417" s="2" t="s">
        <v>8119</v>
      </c>
      <c r="T7417" s="2">
        <v>1</v>
      </c>
      <c r="U7417" s="2">
        <v>66.3</v>
      </c>
      <c r="V7417" s="2">
        <v>66</v>
      </c>
      <c r="W7417" s="2" t="s">
        <v>7862</v>
      </c>
      <c r="X7417" s="2" t="s">
        <v>6838</v>
      </c>
      <c r="Y7417" s="2">
        <v>121800</v>
      </c>
      <c r="Z7417" s="19" t="str">
        <f>HYPERLINK("https://ssdweb.co/ssdweb/hd/Vision360.html?d=831020310&amp;zoomslide=1&amp;z=1831020310&amp;ISCONFIRM=0","VIDEO")</f>
        <v>VIDEO</v>
      </c>
      <c r="AA7417" s="19" t="str">
        <f>HYPERLINK("https://ssdweb.co/ssdweb/CERTH/602361395.pdf","CERTI")</f>
        <v>CERTI</v>
      </c>
    </row>
    <row r="7418" spans="1:27" ht="15" x14ac:dyDescent="0.25">
      <c r="A7418" s="2">
        <v>7413</v>
      </c>
      <c r="B7418" s="39">
        <v>924590268</v>
      </c>
      <c r="C7418" s="28" t="str">
        <f>HYPERLINK("https://pld.live/RapDetail.aspx?STONELIST=924590268","DNA")</f>
        <v>DNA</v>
      </c>
      <c r="D7418" s="18" t="s">
        <v>3134</v>
      </c>
      <c r="E7418" s="18" t="s">
        <v>2186</v>
      </c>
      <c r="F7418" s="2" t="s">
        <v>7987</v>
      </c>
      <c r="G7418" s="2" t="s">
        <v>15</v>
      </c>
      <c r="H7418" s="14">
        <v>4.05</v>
      </c>
      <c r="I7418" s="2" t="s">
        <v>6587</v>
      </c>
      <c r="J7418" s="2" t="s">
        <v>5144</v>
      </c>
      <c r="K7418" s="2" t="s">
        <v>1452</v>
      </c>
      <c r="L7418" s="2" t="s">
        <v>5221</v>
      </c>
      <c r="M7418" s="2" t="s">
        <v>5221</v>
      </c>
      <c r="N7418" s="2" t="s">
        <v>2317</v>
      </c>
      <c r="O7418" s="14">
        <v>27500</v>
      </c>
      <c r="P7418" s="14">
        <v>99.57</v>
      </c>
      <c r="Q7418" s="14">
        <v>118.25</v>
      </c>
      <c r="R7418" s="14">
        <v>478.91</v>
      </c>
      <c r="S7418" s="2" t="s">
        <v>4281</v>
      </c>
      <c r="T7418" s="2">
        <v>1.02</v>
      </c>
      <c r="U7418" s="2">
        <v>65.2</v>
      </c>
      <c r="V7418" s="2">
        <v>68</v>
      </c>
      <c r="W7418" s="2" t="s">
        <v>8016</v>
      </c>
      <c r="X7418" s="2" t="s">
        <v>6838</v>
      </c>
      <c r="Y7418" s="2">
        <v>111375</v>
      </c>
      <c r="Z7418" s="19" t="str">
        <f>HYPERLINK("https://ssdweb.co/ssdweb/hd/Vision360.html?d=924590268&amp;zoomslide=1&amp;z=1924590268&amp;ISCONFIRM=0","VIDEO")</f>
        <v>VIDEO</v>
      </c>
      <c r="AA7418" s="19" t="str">
        <f>HYPERLINK("https://ssdweb.co/ssdweb/CERTH/600346140.pdf","CERTI")</f>
        <v>CERTI</v>
      </c>
    </row>
    <row r="7419" spans="1:27" ht="15" x14ac:dyDescent="0.25">
      <c r="A7419" s="2">
        <v>7414</v>
      </c>
      <c r="B7419" s="39">
        <v>924590341</v>
      </c>
      <c r="C7419" s="28" t="str">
        <f>HYPERLINK("https://pld.live/RapDetail.aspx?STONELIST=924590341","DNA")</f>
        <v>DNA</v>
      </c>
      <c r="D7419" s="18" t="s">
        <v>3134</v>
      </c>
      <c r="E7419" s="18" t="s">
        <v>2186</v>
      </c>
      <c r="F7419" s="2" t="s">
        <v>7987</v>
      </c>
      <c r="G7419" s="2" t="s">
        <v>15</v>
      </c>
      <c r="H7419" s="14">
        <v>4.05</v>
      </c>
      <c r="I7419" s="2" t="s">
        <v>6587</v>
      </c>
      <c r="J7419" s="2" t="s">
        <v>444</v>
      </c>
      <c r="K7419" s="2" t="s">
        <v>1452</v>
      </c>
      <c r="L7419" s="2" t="s">
        <v>5221</v>
      </c>
      <c r="M7419" s="2" t="s">
        <v>5221</v>
      </c>
      <c r="N7419" s="2" t="s">
        <v>2317</v>
      </c>
      <c r="O7419" s="14">
        <v>21500</v>
      </c>
      <c r="P7419" s="14">
        <v>99.47</v>
      </c>
      <c r="Q7419" s="14">
        <v>113.95</v>
      </c>
      <c r="R7419" s="14">
        <v>461.5</v>
      </c>
      <c r="S7419" s="2" t="s">
        <v>6145</v>
      </c>
      <c r="T7419" s="2">
        <v>1.03</v>
      </c>
      <c r="U7419" s="2">
        <v>64.5</v>
      </c>
      <c r="V7419" s="2">
        <v>63</v>
      </c>
      <c r="W7419" s="2" t="s">
        <v>7862</v>
      </c>
      <c r="X7419" s="2" t="s">
        <v>6838</v>
      </c>
      <c r="Y7419" s="2">
        <v>87075</v>
      </c>
      <c r="Z7419" s="19" t="str">
        <f>HYPERLINK("https://ssdweb.co/ssdweb/hd/Vision360.html?d=924590341&amp;zoomslide=1&amp;z=1924590341&amp;ISCONFIRM=0","VIDEO")</f>
        <v>VIDEO</v>
      </c>
      <c r="AA7419" s="19" t="str">
        <f>HYPERLINK("https://ssdweb.co/ssdweb/CERTH/600385158.pdf","CERTI")</f>
        <v>CERTI</v>
      </c>
    </row>
    <row r="7420" spans="1:27" ht="15" x14ac:dyDescent="0.25">
      <c r="A7420" s="2">
        <v>7415</v>
      </c>
      <c r="B7420" s="39">
        <v>926930921</v>
      </c>
      <c r="C7420" s="28" t="str">
        <f>HYPERLINK("https://pld.live/RapDetail.aspx?STONELIST=926930921","DNA")</f>
        <v>DNA</v>
      </c>
      <c r="D7420" s="18" t="s">
        <v>3134</v>
      </c>
      <c r="E7420" s="18" t="s">
        <v>2186</v>
      </c>
      <c r="F7420" s="2" t="s">
        <v>7987</v>
      </c>
      <c r="G7420" s="2" t="s">
        <v>15</v>
      </c>
      <c r="H7420" s="14">
        <v>4.04</v>
      </c>
      <c r="I7420" s="2" t="s">
        <v>6587</v>
      </c>
      <c r="J7420" s="2" t="s">
        <v>13</v>
      </c>
      <c r="K7420" s="2" t="s">
        <v>1452</v>
      </c>
      <c r="L7420" s="2" t="s">
        <v>5221</v>
      </c>
      <c r="M7420" s="2" t="s">
        <v>5221</v>
      </c>
      <c r="N7420" s="2" t="s">
        <v>2317</v>
      </c>
      <c r="O7420" s="14">
        <v>30000</v>
      </c>
      <c r="P7420" s="14">
        <v>99.57</v>
      </c>
      <c r="Q7420" s="14">
        <v>129</v>
      </c>
      <c r="R7420" s="14">
        <v>521.16</v>
      </c>
      <c r="S7420" s="2" t="s">
        <v>4349</v>
      </c>
      <c r="T7420" s="2">
        <v>1.01</v>
      </c>
      <c r="U7420" s="2">
        <v>65.599999999999994</v>
      </c>
      <c r="V7420" s="2">
        <v>67</v>
      </c>
      <c r="W7420" s="2" t="s">
        <v>7862</v>
      </c>
      <c r="X7420" s="2" t="s">
        <v>6838</v>
      </c>
      <c r="Y7420" s="2">
        <v>121200</v>
      </c>
      <c r="Z7420" s="19" t="str">
        <f>HYPERLINK("https://ssdweb.co/ssdweb/hd/Vision360.html?d=926930921&amp;zoomslide=1&amp;z=1926930921&amp;ISCONFIRM=0","VIDEO")</f>
        <v>VIDEO</v>
      </c>
      <c r="AA7420" s="19" t="str">
        <f>HYPERLINK("https://ssdweb.co/ssdweb/CERTH/660440581.pdf","CERTI")</f>
        <v>CERTI</v>
      </c>
    </row>
    <row r="7421" spans="1:27" ht="15" x14ac:dyDescent="0.25">
      <c r="A7421" s="2">
        <v>7416</v>
      </c>
      <c r="B7421" s="39">
        <v>925010186</v>
      </c>
      <c r="C7421" s="28" t="str">
        <f>HYPERLINK("https://pld.live/RapDetail.aspx?STONELIST=925010186","DNA")</f>
        <v>DNA</v>
      </c>
      <c r="D7421" s="18" t="s">
        <v>3134</v>
      </c>
      <c r="E7421" s="18" t="s">
        <v>2186</v>
      </c>
      <c r="F7421" s="2" t="s">
        <v>7987</v>
      </c>
      <c r="G7421" s="2" t="s">
        <v>15</v>
      </c>
      <c r="H7421" s="14">
        <v>4.03</v>
      </c>
      <c r="I7421" s="2" t="s">
        <v>4699</v>
      </c>
      <c r="J7421" s="2" t="s">
        <v>13</v>
      </c>
      <c r="K7421" s="2" t="s">
        <v>1452</v>
      </c>
      <c r="L7421" s="2" t="s">
        <v>5221</v>
      </c>
      <c r="M7421" s="2" t="s">
        <v>5221</v>
      </c>
      <c r="N7421" s="2" t="s">
        <v>2317</v>
      </c>
      <c r="O7421" s="14">
        <v>34500</v>
      </c>
      <c r="P7421" s="14">
        <v>99.62</v>
      </c>
      <c r="Q7421" s="14">
        <v>131.1</v>
      </c>
      <c r="R7421" s="14">
        <v>528.33000000000004</v>
      </c>
      <c r="S7421" s="2" t="s">
        <v>7068</v>
      </c>
      <c r="T7421" s="2">
        <v>1.01</v>
      </c>
      <c r="U7421" s="2">
        <v>65.599999999999994</v>
      </c>
      <c r="V7421" s="2">
        <v>60</v>
      </c>
      <c r="W7421" s="2" t="s">
        <v>7862</v>
      </c>
      <c r="X7421" s="2" t="s">
        <v>6838</v>
      </c>
      <c r="Y7421" s="2">
        <v>139035</v>
      </c>
      <c r="Z7421" s="19" t="str">
        <f>HYPERLINK("https://ssdweb.co/ssdweb/hd/Vision360.html?d=925010186&amp;zoomslide=1&amp;z=1925010186&amp;ISCONFIRM=0","VIDEO")</f>
        <v>VIDEO</v>
      </c>
      <c r="AA7421" s="19" t="str">
        <f>HYPERLINK("https://ssdweb.co/ssdweb/CERTH/606330017.pdf","CERTI")</f>
        <v>CERTI</v>
      </c>
    </row>
    <row r="7422" spans="1:27" ht="15" x14ac:dyDescent="0.25">
      <c r="A7422" s="2">
        <v>7417</v>
      </c>
      <c r="B7422" s="39">
        <v>925880150</v>
      </c>
      <c r="C7422" s="28" t="str">
        <f>HYPERLINK("https://pld.live/RapDetail.aspx?STONELIST=925880150","DNA")</f>
        <v>DNA</v>
      </c>
      <c r="D7422" s="18" t="s">
        <v>3134</v>
      </c>
      <c r="E7422" s="18" t="s">
        <v>2186</v>
      </c>
      <c r="F7422" s="2" t="s">
        <v>7987</v>
      </c>
      <c r="G7422" s="2" t="s">
        <v>15</v>
      </c>
      <c r="H7422" s="14">
        <v>4.0199999999999996</v>
      </c>
      <c r="I7422" s="2" t="s">
        <v>4761</v>
      </c>
      <c r="J7422" s="2" t="s">
        <v>13</v>
      </c>
      <c r="K7422" s="2" t="s">
        <v>1452</v>
      </c>
      <c r="L7422" s="2" t="s">
        <v>5221</v>
      </c>
      <c r="M7422" s="2" t="s">
        <v>5221</v>
      </c>
      <c r="N7422" s="2" t="s">
        <v>2317</v>
      </c>
      <c r="O7422" s="14">
        <v>37500</v>
      </c>
      <c r="P7422" s="14">
        <v>99.63</v>
      </c>
      <c r="Q7422" s="14">
        <v>138.75</v>
      </c>
      <c r="R7422" s="14">
        <v>557.78</v>
      </c>
      <c r="S7422" s="2" t="s">
        <v>2974</v>
      </c>
      <c r="T7422" s="2">
        <v>1.02</v>
      </c>
      <c r="U7422" s="2">
        <v>65</v>
      </c>
      <c r="V7422" s="2">
        <v>66</v>
      </c>
      <c r="W7422" s="2" t="s">
        <v>7862</v>
      </c>
      <c r="X7422" s="2" t="s">
        <v>6838</v>
      </c>
      <c r="Y7422" s="2">
        <v>150750</v>
      </c>
      <c r="Z7422" s="19" t="str">
        <f>HYPERLINK("https://ssdweb.co/ssdweb/hd/Vision360.html?d=925880150&amp;zoomslide=1&amp;z=1925880150&amp;ISCONFIRM=0","VIDEO")</f>
        <v>VIDEO</v>
      </c>
      <c r="AA7422" s="19" t="str">
        <f>HYPERLINK("https://ssdweb.co/ssdweb/CERTH/629453368.pdf","CERTI")</f>
        <v>CERTI</v>
      </c>
    </row>
    <row r="7423" spans="1:27" ht="15" x14ac:dyDescent="0.25">
      <c r="A7423" s="2">
        <v>7418</v>
      </c>
      <c r="B7423" s="39">
        <v>925050132</v>
      </c>
      <c r="C7423" s="28" t="str">
        <f>HYPERLINK("https://pld.live/RapDetail.aspx?STONELIST=925050132","DNA")</f>
        <v>DNA</v>
      </c>
      <c r="D7423" s="18" t="s">
        <v>3134</v>
      </c>
      <c r="E7423" s="18" t="s">
        <v>2186</v>
      </c>
      <c r="F7423" s="2" t="s">
        <v>7987</v>
      </c>
      <c r="G7423" s="2" t="s">
        <v>15</v>
      </c>
      <c r="H7423" s="14">
        <v>4.01</v>
      </c>
      <c r="I7423" s="2" t="s">
        <v>267</v>
      </c>
      <c r="J7423" s="2" t="s">
        <v>3942</v>
      </c>
      <c r="K7423" s="2" t="s">
        <v>1452</v>
      </c>
      <c r="L7423" s="2" t="s">
        <v>5221</v>
      </c>
      <c r="M7423" s="2" t="s">
        <v>5221</v>
      </c>
      <c r="N7423" s="2" t="s">
        <v>2317</v>
      </c>
      <c r="O7423" s="14">
        <v>43500</v>
      </c>
      <c r="P7423" s="14">
        <v>99.6</v>
      </c>
      <c r="Q7423" s="14">
        <v>174</v>
      </c>
      <c r="R7423" s="14">
        <v>697.74</v>
      </c>
      <c r="S7423" s="2" t="s">
        <v>7038</v>
      </c>
      <c r="T7423" s="2">
        <v>1.01</v>
      </c>
      <c r="U7423" s="2">
        <v>66.5</v>
      </c>
      <c r="V7423" s="2">
        <v>67</v>
      </c>
      <c r="W7423" s="2" t="s">
        <v>7862</v>
      </c>
      <c r="X7423" s="2" t="s">
        <v>6838</v>
      </c>
      <c r="Y7423" s="2">
        <v>174435</v>
      </c>
      <c r="Z7423" s="19" t="str">
        <f>HYPERLINK("https://ssdweb.co/ssdweb/hd/Vision360.html?d=925050132&amp;zoomslide=1&amp;z=1925050132&amp;ISCONFIRM=0","VIDEO")</f>
        <v>VIDEO</v>
      </c>
      <c r="AA7423" s="19" t="str">
        <f>HYPERLINK("https://ssdweb.co/ssdweb/CERTH/610341132.pdf","CERTI")</f>
        <v>CERTI</v>
      </c>
    </row>
    <row r="7424" spans="1:27" ht="15" x14ac:dyDescent="0.25">
      <c r="A7424" s="2">
        <v>7419</v>
      </c>
      <c r="B7424" s="39">
        <v>925050155</v>
      </c>
      <c r="C7424" s="28" t="str">
        <f>HYPERLINK("https://pld.live/RapDetail.aspx?STONELIST=925050155","DNA")</f>
        <v>DNA</v>
      </c>
      <c r="D7424" s="18" t="s">
        <v>3134</v>
      </c>
      <c r="E7424" s="18" t="s">
        <v>2186</v>
      </c>
      <c r="F7424" s="2" t="s">
        <v>7987</v>
      </c>
      <c r="G7424" s="2" t="s">
        <v>15</v>
      </c>
      <c r="H7424" s="14">
        <v>4.01</v>
      </c>
      <c r="I7424" s="2" t="s">
        <v>267</v>
      </c>
      <c r="J7424" s="2" t="s">
        <v>13</v>
      </c>
      <c r="K7424" s="2" t="s">
        <v>1452</v>
      </c>
      <c r="L7424" s="2" t="s">
        <v>5221</v>
      </c>
      <c r="M7424" s="2" t="s">
        <v>5221</v>
      </c>
      <c r="N7424" s="2" t="s">
        <v>2317</v>
      </c>
      <c r="O7424" s="14">
        <v>40500</v>
      </c>
      <c r="P7424" s="14">
        <v>99.6</v>
      </c>
      <c r="Q7424" s="14">
        <v>162</v>
      </c>
      <c r="R7424" s="14">
        <v>649.62</v>
      </c>
      <c r="S7424" s="2" t="s">
        <v>4290</v>
      </c>
      <c r="T7424" s="2">
        <v>1</v>
      </c>
      <c r="U7424" s="2">
        <v>65.400000000000006</v>
      </c>
      <c r="V7424" s="2">
        <v>66</v>
      </c>
      <c r="W7424" s="2" t="s">
        <v>7862</v>
      </c>
      <c r="X7424" s="2" t="s">
        <v>6838</v>
      </c>
      <c r="Y7424" s="2">
        <v>162405</v>
      </c>
      <c r="Z7424" s="19" t="str">
        <f>HYPERLINK("https://ssdweb.co/ssdweb/hd/Vision360.html?d=925050155&amp;zoomslide=1&amp;z=1925050155&amp;ISCONFIRM=0","VIDEO")</f>
        <v>VIDEO</v>
      </c>
      <c r="AA7424" s="19" t="str">
        <f>HYPERLINK("https://ssdweb.co/ssdweb/CERTH/611357268.pdf","CERTI")</f>
        <v>CERTI</v>
      </c>
    </row>
    <row r="7425" spans="1:27" ht="15" x14ac:dyDescent="0.25">
      <c r="A7425" s="2">
        <v>7420</v>
      </c>
      <c r="B7425" s="39">
        <v>924940279</v>
      </c>
      <c r="C7425" s="28" t="str">
        <f>HYPERLINK("https://pld.live/RapDetail.aspx?STONELIST=924940279","DNA")</f>
        <v>DNA</v>
      </c>
      <c r="D7425" s="18" t="s">
        <v>3134</v>
      </c>
      <c r="E7425" s="18" t="s">
        <v>2186</v>
      </c>
      <c r="F7425" s="2" t="s">
        <v>7987</v>
      </c>
      <c r="G7425" s="2" t="s">
        <v>15</v>
      </c>
      <c r="H7425" s="14">
        <v>4</v>
      </c>
      <c r="I7425" s="2" t="s">
        <v>1505</v>
      </c>
      <c r="J7425" s="2" t="s">
        <v>5144</v>
      </c>
      <c r="K7425" s="2" t="s">
        <v>1452</v>
      </c>
      <c r="L7425" s="2" t="s">
        <v>5221</v>
      </c>
      <c r="M7425" s="2" t="s">
        <v>5221</v>
      </c>
      <c r="N7425" s="2" t="s">
        <v>2317</v>
      </c>
      <c r="O7425" s="14">
        <v>23500</v>
      </c>
      <c r="P7425" s="14">
        <v>99.51</v>
      </c>
      <c r="Q7425" s="14">
        <v>115.15</v>
      </c>
      <c r="R7425" s="14">
        <v>460.6</v>
      </c>
      <c r="S7425" s="2" t="s">
        <v>725</v>
      </c>
      <c r="T7425" s="2">
        <v>1.02</v>
      </c>
      <c r="U7425" s="2">
        <v>66</v>
      </c>
      <c r="V7425" s="2">
        <v>66</v>
      </c>
      <c r="W7425" s="2" t="s">
        <v>7862</v>
      </c>
      <c r="X7425" s="2" t="s">
        <v>6838</v>
      </c>
      <c r="Y7425" s="2">
        <v>94000</v>
      </c>
      <c r="Z7425" s="19" t="str">
        <f>HYPERLINK("https://ssdweb.co/ssdweb/hd/Vision360.html?d=924940279&amp;zoomslide=1&amp;z=1924940279&amp;ISCONFIRM=0","VIDEO")</f>
        <v>VIDEO</v>
      </c>
      <c r="AA7425" s="19" t="str">
        <f>HYPERLINK("https://ssdweb.co/ssdweb/CERTH/605355657.pdf","CERTI")</f>
        <v>CERTI</v>
      </c>
    </row>
    <row r="7426" spans="1:27" ht="15" x14ac:dyDescent="0.25">
      <c r="A7426" s="2">
        <v>7421</v>
      </c>
      <c r="B7426" s="39">
        <v>923750341</v>
      </c>
      <c r="C7426" s="28" t="str">
        <f>HYPERLINK("https://pld.live/RapDetail.aspx?STONELIST=923750341","DNA")</f>
        <v>DNA</v>
      </c>
      <c r="D7426" s="18" t="s">
        <v>7401</v>
      </c>
      <c r="E7426" s="18" t="s">
        <v>2186</v>
      </c>
      <c r="F7426" s="2" t="s">
        <v>7987</v>
      </c>
      <c r="G7426" s="2" t="s">
        <v>15</v>
      </c>
      <c r="H7426" s="14">
        <v>3.83</v>
      </c>
      <c r="I7426" s="2" t="s">
        <v>6587</v>
      </c>
      <c r="J7426" s="2" t="s">
        <v>13</v>
      </c>
      <c r="K7426" s="2" t="s">
        <v>1452</v>
      </c>
      <c r="L7426" s="2" t="s">
        <v>5221</v>
      </c>
      <c r="M7426" s="2" t="s">
        <v>5221</v>
      </c>
      <c r="N7426" s="2" t="s">
        <v>2317</v>
      </c>
      <c r="O7426" s="14">
        <v>22500</v>
      </c>
      <c r="P7426" s="14">
        <v>99.47</v>
      </c>
      <c r="Q7426" s="14">
        <v>119.25</v>
      </c>
      <c r="R7426" s="14">
        <v>456.73</v>
      </c>
      <c r="S7426" s="2" t="s">
        <v>8020</v>
      </c>
      <c r="T7426" s="2">
        <v>1.01</v>
      </c>
      <c r="U7426" s="2">
        <v>67.5</v>
      </c>
      <c r="V7426" s="2">
        <v>63</v>
      </c>
      <c r="W7426" s="2" t="s">
        <v>7862</v>
      </c>
      <c r="X7426" s="2" t="s">
        <v>6838</v>
      </c>
      <c r="Y7426" s="2">
        <v>86175</v>
      </c>
      <c r="Z7426" s="19" t="str">
        <f>HYPERLINK("https://ssdweb.co/ssdweb/hd/Vision360.html?d=923750341&amp;zoomslide=1&amp;z=1923750341&amp;ISCONFIRM=0","VIDEO")</f>
        <v>VIDEO</v>
      </c>
      <c r="AA7426" s="19" t="str">
        <f>HYPERLINK("https://ssdweb.co/ssdweb/CERTH/566302066.pdf","CERTI")</f>
        <v>CERTI</v>
      </c>
    </row>
    <row r="7427" spans="1:27" ht="15" x14ac:dyDescent="0.25">
      <c r="A7427" s="2">
        <v>7422</v>
      </c>
      <c r="B7427" s="39">
        <v>923460273</v>
      </c>
      <c r="C7427" s="28" t="str">
        <f>HYPERLINK("https://pld.live/RapDetail.aspx?STONELIST=923460273","DNA")</f>
        <v>DNA</v>
      </c>
      <c r="D7427" s="18" t="s">
        <v>7401</v>
      </c>
      <c r="E7427" s="18" t="s">
        <v>2186</v>
      </c>
      <c r="F7427" s="2" t="s">
        <v>7987</v>
      </c>
      <c r="G7427" s="2" t="s">
        <v>15</v>
      </c>
      <c r="H7427" s="14">
        <v>3.8</v>
      </c>
      <c r="I7427" s="2" t="s">
        <v>6587</v>
      </c>
      <c r="J7427" s="2" t="s">
        <v>13</v>
      </c>
      <c r="K7427" s="2" t="s">
        <v>1452</v>
      </c>
      <c r="L7427" s="2" t="s">
        <v>5221</v>
      </c>
      <c r="M7427" s="2" t="s">
        <v>5221</v>
      </c>
      <c r="N7427" s="2" t="s">
        <v>2317</v>
      </c>
      <c r="O7427" s="14">
        <v>22500</v>
      </c>
      <c r="P7427" s="14">
        <v>99.47</v>
      </c>
      <c r="Q7427" s="14">
        <v>119.25</v>
      </c>
      <c r="R7427" s="14">
        <v>453.15</v>
      </c>
      <c r="S7427" s="2" t="s">
        <v>227</v>
      </c>
      <c r="T7427" s="2">
        <v>1.01</v>
      </c>
      <c r="U7427" s="2">
        <v>64.8</v>
      </c>
      <c r="V7427" s="2">
        <v>69.5</v>
      </c>
      <c r="W7427" s="2" t="s">
        <v>7862</v>
      </c>
      <c r="X7427" s="2" t="s">
        <v>6838</v>
      </c>
      <c r="Y7427" s="2">
        <v>85500</v>
      </c>
      <c r="Z7427" s="19" t="str">
        <f>HYPERLINK("https://ssdweb.co/ssdweb/hd/Vision360.html?d=923460273&amp;zoomslide=1&amp;z=1923460273&amp;ISCONFIRM=0","VIDEO")</f>
        <v>VIDEO</v>
      </c>
      <c r="AA7427" s="19" t="str">
        <f>HYPERLINK("https://ssdweb.co/ssdweb/CERTH/547262028.pdf","CERTI")</f>
        <v>CERTI</v>
      </c>
    </row>
    <row r="7428" spans="1:27" ht="15" x14ac:dyDescent="0.25">
      <c r="A7428" s="2">
        <v>7423</v>
      </c>
      <c r="B7428" s="39">
        <v>924300669</v>
      </c>
      <c r="C7428" s="28" t="str">
        <f>HYPERLINK("https://pld.live/RapDetail.aspx?STONELIST=924300669","DNA")</f>
        <v>DNA</v>
      </c>
      <c r="D7428" s="18" t="s">
        <v>6469</v>
      </c>
      <c r="E7428" s="18" t="s">
        <v>2186</v>
      </c>
      <c r="F7428" s="2" t="s">
        <v>7987</v>
      </c>
      <c r="G7428" s="2" t="s">
        <v>15</v>
      </c>
      <c r="H7428" s="14">
        <v>3.43</v>
      </c>
      <c r="I7428" s="2" t="s">
        <v>4761</v>
      </c>
      <c r="J7428" s="2" t="s">
        <v>13</v>
      </c>
      <c r="K7428" s="2" t="s">
        <v>1452</v>
      </c>
      <c r="L7428" s="2" t="s">
        <v>5221</v>
      </c>
      <c r="M7428" s="2" t="s">
        <v>5221</v>
      </c>
      <c r="N7428" s="2" t="s">
        <v>2317</v>
      </c>
      <c r="O7428" s="14">
        <v>27500</v>
      </c>
      <c r="P7428" s="14">
        <v>99.49</v>
      </c>
      <c r="Q7428" s="14">
        <v>140.25</v>
      </c>
      <c r="R7428" s="14">
        <v>481.06</v>
      </c>
      <c r="S7428" s="2" t="s">
        <v>1311</v>
      </c>
      <c r="T7428" s="2">
        <v>1.01</v>
      </c>
      <c r="U7428" s="2">
        <v>65.2</v>
      </c>
      <c r="V7428" s="2">
        <v>64</v>
      </c>
      <c r="W7428" s="2" t="s">
        <v>7862</v>
      </c>
      <c r="X7428" s="2" t="s">
        <v>6838</v>
      </c>
      <c r="Y7428" s="2">
        <v>94325</v>
      </c>
      <c r="Z7428" s="19" t="str">
        <f>HYPERLINK("https://ssdweb.co/ssdweb/hd/Vision360.html?d=924300669&amp;zoomslide=1&amp;z=1924300669&amp;ISCONFIRM=0","VIDEO")</f>
        <v>VIDEO</v>
      </c>
      <c r="AA7428" s="19" t="str">
        <f>HYPERLINK("https://ssdweb.co/ssdweb/CERTH/587397951.pdf","CERTI")</f>
        <v>CERTI</v>
      </c>
    </row>
    <row r="7429" spans="1:27" ht="15" x14ac:dyDescent="0.25">
      <c r="A7429" s="2">
        <v>7424</v>
      </c>
      <c r="B7429" s="39">
        <v>923750351</v>
      </c>
      <c r="C7429" s="28" t="str">
        <f>HYPERLINK("https://pld.live/RapDetail.aspx?STONELIST=923750351","DNA")</f>
        <v>DNA</v>
      </c>
      <c r="D7429" s="18" t="s">
        <v>6469</v>
      </c>
      <c r="E7429" s="18" t="s">
        <v>2186</v>
      </c>
      <c r="F7429" s="2" t="s">
        <v>7987</v>
      </c>
      <c r="G7429" s="2" t="s">
        <v>15</v>
      </c>
      <c r="H7429" s="14">
        <v>3.36</v>
      </c>
      <c r="I7429" s="2" t="s">
        <v>6587</v>
      </c>
      <c r="J7429" s="2" t="s">
        <v>13</v>
      </c>
      <c r="K7429" s="2" t="s">
        <v>1452</v>
      </c>
      <c r="L7429" s="2" t="s">
        <v>5221</v>
      </c>
      <c r="M7429" s="2" t="s">
        <v>5221</v>
      </c>
      <c r="N7429" s="2" t="s">
        <v>2317</v>
      </c>
      <c r="O7429" s="14">
        <v>22500</v>
      </c>
      <c r="P7429" s="14">
        <v>99.47</v>
      </c>
      <c r="Q7429" s="14">
        <v>119.25</v>
      </c>
      <c r="R7429" s="14">
        <v>400.68</v>
      </c>
      <c r="S7429" s="2" t="s">
        <v>5403</v>
      </c>
      <c r="T7429" s="2">
        <v>1.02</v>
      </c>
      <c r="U7429" s="2">
        <v>64.599999999999994</v>
      </c>
      <c r="V7429" s="2">
        <v>60.5</v>
      </c>
      <c r="W7429" s="2" t="s">
        <v>7862</v>
      </c>
      <c r="X7429" s="2" t="s">
        <v>6838</v>
      </c>
      <c r="Y7429" s="2">
        <v>75600</v>
      </c>
      <c r="Z7429" s="19" t="str">
        <f>HYPERLINK("https://ssdweb.co/ssdweb/hd/Vision360.html?d=923750351&amp;zoomslide=1&amp;z=1923750351&amp;ISCONFIRM=0","VIDEO")</f>
        <v>VIDEO</v>
      </c>
      <c r="AA7429" s="19" t="str">
        <f>HYPERLINK("https://ssdweb.co/ssdweb/CERTH/566301249.pdf","CERTI")</f>
        <v>CERTI</v>
      </c>
    </row>
    <row r="7430" spans="1:27" ht="15" x14ac:dyDescent="0.25">
      <c r="A7430" s="2">
        <v>7425</v>
      </c>
      <c r="B7430" s="39">
        <v>924350642</v>
      </c>
      <c r="C7430" s="28" t="str">
        <f>HYPERLINK("https://pld.live/RapDetail.aspx?STONELIST=924350642","DNA")</f>
        <v>DNA</v>
      </c>
      <c r="D7430" s="18" t="s">
        <v>6469</v>
      </c>
      <c r="E7430" s="18" t="s">
        <v>2186</v>
      </c>
      <c r="F7430" s="2" t="s">
        <v>7987</v>
      </c>
      <c r="G7430" s="2" t="s">
        <v>15</v>
      </c>
      <c r="H7430" s="14">
        <v>3.33</v>
      </c>
      <c r="I7430" s="2" t="s">
        <v>6587</v>
      </c>
      <c r="J7430" s="2" t="s">
        <v>13</v>
      </c>
      <c r="K7430" s="2" t="s">
        <v>1452</v>
      </c>
      <c r="L7430" s="2" t="s">
        <v>5221</v>
      </c>
      <c r="M7430" s="2" t="s">
        <v>5221</v>
      </c>
      <c r="N7430" s="2" t="s">
        <v>2317</v>
      </c>
      <c r="O7430" s="14">
        <v>22500</v>
      </c>
      <c r="P7430" s="14">
        <v>99.47</v>
      </c>
      <c r="Q7430" s="14">
        <v>119.25</v>
      </c>
      <c r="R7430" s="14">
        <v>397.1</v>
      </c>
      <c r="S7430" s="2" t="s">
        <v>5158</v>
      </c>
      <c r="T7430" s="2">
        <v>1.01</v>
      </c>
      <c r="U7430" s="2">
        <v>64.599999999999994</v>
      </c>
      <c r="V7430" s="2">
        <v>63</v>
      </c>
      <c r="W7430" s="2" t="s">
        <v>7862</v>
      </c>
      <c r="X7430" s="2" t="s">
        <v>6838</v>
      </c>
      <c r="Y7430" s="2">
        <v>74925</v>
      </c>
      <c r="Z7430" s="19" t="str">
        <f>HYPERLINK("https://ssdweb.co/ssdweb/hd/Vision360.html?d=924350642&amp;zoomslide=1&amp;z=1924350642&amp;ISCONFIRM=0","VIDEO")</f>
        <v>VIDEO</v>
      </c>
      <c r="AA7430" s="19" t="str">
        <f>HYPERLINK("https://ssdweb.co/ssdweb/CERTH/591373209.pdf","CERTI")</f>
        <v>CERTI</v>
      </c>
    </row>
    <row r="7431" spans="1:27" ht="15" x14ac:dyDescent="0.25">
      <c r="A7431" s="2">
        <v>7426</v>
      </c>
      <c r="B7431" s="39">
        <v>924300183</v>
      </c>
      <c r="C7431" s="28" t="str">
        <f>HYPERLINK("https://pld.live/RapDetail.aspx?STONELIST=924300183","DNA")</f>
        <v>DNA</v>
      </c>
      <c r="D7431" s="18" t="s">
        <v>4563</v>
      </c>
      <c r="E7431" s="18" t="s">
        <v>2186</v>
      </c>
      <c r="F7431" s="2" t="s">
        <v>7987</v>
      </c>
      <c r="G7431" s="2" t="s">
        <v>15</v>
      </c>
      <c r="H7431" s="14">
        <v>3.13</v>
      </c>
      <c r="I7431" s="2" t="s">
        <v>1505</v>
      </c>
      <c r="J7431" s="2" t="s">
        <v>13</v>
      </c>
      <c r="K7431" s="2" t="s">
        <v>1452</v>
      </c>
      <c r="L7431" s="2" t="s">
        <v>5221</v>
      </c>
      <c r="M7431" s="2" t="s">
        <v>5221</v>
      </c>
      <c r="N7431" s="2" t="s">
        <v>2317</v>
      </c>
      <c r="O7431" s="14">
        <v>19500</v>
      </c>
      <c r="P7431" s="14">
        <v>99.41</v>
      </c>
      <c r="Q7431" s="14">
        <v>115.05</v>
      </c>
      <c r="R7431" s="14">
        <v>360.11</v>
      </c>
      <c r="S7431" s="2" t="s">
        <v>1845</v>
      </c>
      <c r="T7431" s="2">
        <v>1.01</v>
      </c>
      <c r="U7431" s="2">
        <v>65.099999999999994</v>
      </c>
      <c r="V7431" s="2">
        <v>64</v>
      </c>
      <c r="W7431" s="2" t="s">
        <v>7862</v>
      </c>
      <c r="X7431" s="2" t="s">
        <v>6838</v>
      </c>
      <c r="Y7431" s="2">
        <v>61035</v>
      </c>
      <c r="Z7431" s="19" t="str">
        <f>HYPERLINK("https://ssdweb.co/ssdweb/hd/Vision360.html?d=924300183&amp;zoomslide=1&amp;z=1924300183&amp;ISCONFIRM=0","VIDEO")</f>
        <v>VIDEO</v>
      </c>
      <c r="AA7431" s="19" t="str">
        <f>HYPERLINK("https://ssdweb.co/ssdweb/CERTH/585304028.pdf","CERTI")</f>
        <v>CERTI</v>
      </c>
    </row>
    <row r="7432" spans="1:27" ht="15" x14ac:dyDescent="0.25">
      <c r="A7432" s="2">
        <v>7427</v>
      </c>
      <c r="B7432" s="39">
        <v>924300691</v>
      </c>
      <c r="C7432" s="28" t="str">
        <f>HYPERLINK("https://pld.live/RapDetail.aspx?STONELIST=924300691","DNA")</f>
        <v>DNA</v>
      </c>
      <c r="D7432" s="18" t="s">
        <v>4563</v>
      </c>
      <c r="E7432" s="18" t="s">
        <v>2186</v>
      </c>
      <c r="F7432" s="2" t="s">
        <v>5597</v>
      </c>
      <c r="G7432" s="2" t="s">
        <v>15</v>
      </c>
      <c r="H7432" s="14">
        <v>3.07</v>
      </c>
      <c r="I7432" s="2" t="s">
        <v>4699</v>
      </c>
      <c r="J7432" s="2" t="s">
        <v>13</v>
      </c>
      <c r="K7432" s="2" t="s">
        <v>1452</v>
      </c>
      <c r="L7432" s="2" t="s">
        <v>5221</v>
      </c>
      <c r="M7432" s="2" t="s">
        <v>5721</v>
      </c>
      <c r="N7432" s="2" t="s">
        <v>2317</v>
      </c>
      <c r="O7432" s="14">
        <v>25000</v>
      </c>
      <c r="P7432" s="14">
        <v>99.07</v>
      </c>
      <c r="Q7432" s="14">
        <v>232.5</v>
      </c>
      <c r="R7432" s="14">
        <v>713.78</v>
      </c>
      <c r="S7432" s="2" t="s">
        <v>1752</v>
      </c>
      <c r="T7432" s="2">
        <v>1.02</v>
      </c>
      <c r="U7432" s="2">
        <v>65.099999999999994</v>
      </c>
      <c r="V7432" s="2">
        <v>65</v>
      </c>
      <c r="W7432" s="2" t="s">
        <v>7862</v>
      </c>
      <c r="X7432" s="2" t="s">
        <v>6838</v>
      </c>
      <c r="Y7432" s="2">
        <v>76750</v>
      </c>
      <c r="Z7432" s="19" t="str">
        <f>HYPERLINK("https://ssdweb.co/ssdweb/hd/Vision360.html?d=924300691&amp;zoomslide=1&amp;z=1924300691&amp;ISCONFIRM=0","VIDEO")</f>
        <v>VIDEO</v>
      </c>
      <c r="AA7432" s="19" t="str">
        <f>HYPERLINK("https://ssdweb.co/ssdweb/CERTH/7476028974.pdf","CERTI")</f>
        <v>CERTI</v>
      </c>
    </row>
    <row r="7433" spans="1:27" ht="15" x14ac:dyDescent="0.25">
      <c r="A7433" s="2">
        <v>7428</v>
      </c>
      <c r="B7433" s="39">
        <v>924450176</v>
      </c>
      <c r="C7433" s="28" t="str">
        <f>HYPERLINK("https://pld.live/RapDetail.aspx?STONELIST=924450176","DNA")</f>
        <v>DNA</v>
      </c>
      <c r="D7433" s="18" t="s">
        <v>4563</v>
      </c>
      <c r="E7433" s="18" t="s">
        <v>2186</v>
      </c>
      <c r="F7433" s="2" t="s">
        <v>7987</v>
      </c>
      <c r="G7433" s="2" t="s">
        <v>15</v>
      </c>
      <c r="H7433" s="14">
        <v>3.07</v>
      </c>
      <c r="I7433" s="2" t="s">
        <v>6587</v>
      </c>
      <c r="J7433" s="2" t="s">
        <v>13</v>
      </c>
      <c r="K7433" s="2" t="s">
        <v>1452</v>
      </c>
      <c r="L7433" s="2" t="s">
        <v>5221</v>
      </c>
      <c r="M7433" s="2" t="s">
        <v>5221</v>
      </c>
      <c r="N7433" s="2" t="s">
        <v>2317</v>
      </c>
      <c r="O7433" s="14">
        <v>22500</v>
      </c>
      <c r="P7433" s="14">
        <v>99.48</v>
      </c>
      <c r="Q7433" s="14">
        <v>117</v>
      </c>
      <c r="R7433" s="14">
        <v>359.19</v>
      </c>
      <c r="S7433" s="2" t="s">
        <v>6511</v>
      </c>
      <c r="T7433" s="2">
        <v>1.02</v>
      </c>
      <c r="U7433" s="2">
        <v>64.599999999999994</v>
      </c>
      <c r="V7433" s="2">
        <v>62</v>
      </c>
      <c r="W7433" s="2" t="s">
        <v>8016</v>
      </c>
      <c r="X7433" s="2" t="s">
        <v>6838</v>
      </c>
      <c r="Y7433" s="2">
        <v>69075</v>
      </c>
      <c r="Z7433" s="19" t="str">
        <f>HYPERLINK("https://ssdweb.co/ssdweb/hd/Vision360.html?d=924450176&amp;zoomslide=1&amp;z=1924450176&amp;ISCONFIRM=0","VIDEO")</f>
        <v>VIDEO</v>
      </c>
      <c r="AA7433" s="19" t="str">
        <f>HYPERLINK("https://ssdweb.co/ssdweb/CERTH/598316311.pdf","CERTI")</f>
        <v>CERTI</v>
      </c>
    </row>
    <row r="7434" spans="1:27" ht="15" x14ac:dyDescent="0.25">
      <c r="A7434" s="2">
        <v>7429</v>
      </c>
      <c r="B7434" s="39">
        <v>831020412</v>
      </c>
      <c r="C7434" s="28" t="str">
        <f>HYPERLINK("https://pld.live/RapDetail.aspx?STONELIST=831020412","DNA")</f>
        <v>DNA</v>
      </c>
      <c r="D7434" s="18" t="s">
        <v>4563</v>
      </c>
      <c r="E7434" s="18" t="s">
        <v>2186</v>
      </c>
      <c r="F7434" s="2" t="s">
        <v>7987</v>
      </c>
      <c r="G7434" s="2" t="s">
        <v>15</v>
      </c>
      <c r="H7434" s="14">
        <v>3.05</v>
      </c>
      <c r="I7434" s="2" t="s">
        <v>6587</v>
      </c>
      <c r="J7434" s="2" t="s">
        <v>13</v>
      </c>
      <c r="K7434" s="2" t="s">
        <v>1452</v>
      </c>
      <c r="L7434" s="2" t="s">
        <v>5221</v>
      </c>
      <c r="M7434" s="2" t="s">
        <v>5221</v>
      </c>
      <c r="N7434" s="2" t="s">
        <v>2317</v>
      </c>
      <c r="O7434" s="14">
        <v>22500</v>
      </c>
      <c r="P7434" s="14">
        <v>99.47</v>
      </c>
      <c r="Q7434" s="14">
        <v>119.25</v>
      </c>
      <c r="R7434" s="14">
        <v>363.71</v>
      </c>
      <c r="S7434" s="2" t="s">
        <v>5075</v>
      </c>
      <c r="T7434" s="2">
        <v>1.01</v>
      </c>
      <c r="U7434" s="2">
        <v>64.8</v>
      </c>
      <c r="V7434" s="2">
        <v>64.5</v>
      </c>
      <c r="W7434" s="2" t="s">
        <v>7862</v>
      </c>
      <c r="X7434" s="2" t="s">
        <v>6838</v>
      </c>
      <c r="Y7434" s="2">
        <v>68625</v>
      </c>
      <c r="Z7434" s="19" t="str">
        <f>HYPERLINK("https://ssdweb.co/ssdweb/hd/Vision360.html?d=831020412&amp;zoomslide=1&amp;z=1831020412&amp;ISCONFIRM=0","VIDEO")</f>
        <v>VIDEO</v>
      </c>
      <c r="AA7434" s="19" t="str">
        <f>HYPERLINK("https://ssdweb.co/ssdweb/CERTH/559285154.pdf","CERTI")</f>
        <v>CERTI</v>
      </c>
    </row>
    <row r="7435" spans="1:27" ht="15" x14ac:dyDescent="0.25">
      <c r="A7435" s="2">
        <v>7430</v>
      </c>
      <c r="B7435" s="39">
        <v>923750344</v>
      </c>
      <c r="C7435" s="28" t="str">
        <f>HYPERLINK("https://pld.live/RapDetail.aspx?STONELIST=923750344","DNA")</f>
        <v>DNA</v>
      </c>
      <c r="D7435" s="18" t="s">
        <v>4563</v>
      </c>
      <c r="E7435" s="18" t="s">
        <v>2186</v>
      </c>
      <c r="F7435" s="2" t="s">
        <v>7987</v>
      </c>
      <c r="G7435" s="2" t="s">
        <v>15</v>
      </c>
      <c r="H7435" s="14">
        <v>3.04</v>
      </c>
      <c r="I7435" s="2" t="s">
        <v>6587</v>
      </c>
      <c r="J7435" s="2" t="s">
        <v>5144</v>
      </c>
      <c r="K7435" s="2" t="s">
        <v>1452</v>
      </c>
      <c r="L7435" s="2" t="s">
        <v>5221</v>
      </c>
      <c r="M7435" s="2" t="s">
        <v>5221</v>
      </c>
      <c r="N7435" s="2" t="s">
        <v>2317</v>
      </c>
      <c r="O7435" s="14">
        <v>20500</v>
      </c>
      <c r="P7435" s="14">
        <v>99.44</v>
      </c>
      <c r="Q7435" s="14">
        <v>114.8</v>
      </c>
      <c r="R7435" s="14">
        <v>348.99</v>
      </c>
      <c r="S7435" s="2" t="s">
        <v>4807</v>
      </c>
      <c r="T7435" s="2">
        <v>1.02</v>
      </c>
      <c r="U7435" s="2">
        <v>63.5</v>
      </c>
      <c r="V7435" s="2">
        <v>65</v>
      </c>
      <c r="W7435" s="2" t="s">
        <v>7862</v>
      </c>
      <c r="X7435" s="2" t="s">
        <v>6838</v>
      </c>
      <c r="Y7435" s="2">
        <v>62320</v>
      </c>
      <c r="Z7435" s="19" t="str">
        <f>HYPERLINK("https://ssdweb.co/ssdweb/hd/Vision360.html?d=923750344&amp;zoomslide=1&amp;z=1923750344&amp;ISCONFIRM=0","VIDEO")</f>
        <v>VIDEO</v>
      </c>
      <c r="AA7435" s="19" t="str">
        <f>HYPERLINK("https://ssdweb.co/ssdweb/CERTH/566302056.pdf","CERTI")</f>
        <v>CERTI</v>
      </c>
    </row>
    <row r="7436" spans="1:27" ht="15" x14ac:dyDescent="0.25">
      <c r="A7436" s="2">
        <v>7431</v>
      </c>
      <c r="B7436" s="39">
        <v>924590279</v>
      </c>
      <c r="C7436" s="28" t="str">
        <f>HYPERLINK("https://pld.live/RapDetail.aspx?STONELIST=924590279","DNA")</f>
        <v>DNA</v>
      </c>
      <c r="D7436" s="18" t="s">
        <v>4563</v>
      </c>
      <c r="E7436" s="18" t="s">
        <v>2186</v>
      </c>
      <c r="F7436" s="2" t="s">
        <v>7987</v>
      </c>
      <c r="G7436" s="2" t="s">
        <v>15</v>
      </c>
      <c r="H7436" s="14">
        <v>3.03</v>
      </c>
      <c r="I7436" s="2" t="s">
        <v>1505</v>
      </c>
      <c r="J7436" s="2" t="s">
        <v>13</v>
      </c>
      <c r="K7436" s="2" t="s">
        <v>1452</v>
      </c>
      <c r="L7436" s="2" t="s">
        <v>5221</v>
      </c>
      <c r="M7436" s="2" t="s">
        <v>5221</v>
      </c>
      <c r="N7436" s="2" t="s">
        <v>2317</v>
      </c>
      <c r="O7436" s="14">
        <v>19500</v>
      </c>
      <c r="P7436" s="14">
        <v>99.41</v>
      </c>
      <c r="Q7436" s="14">
        <v>115.05</v>
      </c>
      <c r="R7436" s="14">
        <v>348.6</v>
      </c>
      <c r="S7436" s="2" t="s">
        <v>5523</v>
      </c>
      <c r="T7436" s="2">
        <v>1.02</v>
      </c>
      <c r="U7436" s="2">
        <v>64.599999999999994</v>
      </c>
      <c r="V7436" s="2">
        <v>63</v>
      </c>
      <c r="W7436" s="2" t="s">
        <v>7862</v>
      </c>
      <c r="X7436" s="2" t="s">
        <v>6838</v>
      </c>
      <c r="Y7436" s="2">
        <v>59085</v>
      </c>
      <c r="Z7436" s="19" t="str">
        <f>HYPERLINK("https://ssdweb.co/ssdweb/hd/Vision360.html?d=924590279&amp;zoomslide=1&amp;z=1924590279&amp;ISCONFIRM=0","VIDEO")</f>
        <v>VIDEO</v>
      </c>
      <c r="AA7436" s="19" t="str">
        <f>HYPERLINK("https://ssdweb.co/ssdweb/CERTH/600346141.pdf","CERTI")</f>
        <v>CERTI</v>
      </c>
    </row>
    <row r="7437" spans="1:27" ht="15" x14ac:dyDescent="0.25">
      <c r="A7437" s="2">
        <v>7432</v>
      </c>
      <c r="B7437" s="39">
        <v>831020565</v>
      </c>
      <c r="C7437" s="28" t="str">
        <f>HYPERLINK("https://pld.live/RapDetail.aspx?STONELIST=831020565","DNA")</f>
        <v>DNA</v>
      </c>
      <c r="D7437" s="18" t="s">
        <v>4563</v>
      </c>
      <c r="E7437" s="18" t="s">
        <v>2186</v>
      </c>
      <c r="F7437" s="2" t="s">
        <v>7987</v>
      </c>
      <c r="G7437" s="2" t="s">
        <v>15</v>
      </c>
      <c r="H7437" s="14">
        <v>3.02</v>
      </c>
      <c r="I7437" s="2" t="s">
        <v>6587</v>
      </c>
      <c r="J7437" s="2" t="s">
        <v>5144</v>
      </c>
      <c r="K7437" s="2" t="s">
        <v>1452</v>
      </c>
      <c r="L7437" s="2" t="s">
        <v>5221</v>
      </c>
      <c r="M7437" s="2" t="s">
        <v>5221</v>
      </c>
      <c r="N7437" s="2" t="s">
        <v>2317</v>
      </c>
      <c r="O7437" s="14">
        <v>20500</v>
      </c>
      <c r="P7437" s="14">
        <v>99.44</v>
      </c>
      <c r="Q7437" s="14">
        <v>114.8</v>
      </c>
      <c r="R7437" s="14">
        <v>346.7</v>
      </c>
      <c r="S7437" s="2" t="s">
        <v>7697</v>
      </c>
      <c r="T7437" s="2">
        <v>1.01</v>
      </c>
      <c r="U7437" s="2">
        <v>64.5</v>
      </c>
      <c r="V7437" s="2">
        <v>65</v>
      </c>
      <c r="W7437" s="2" t="s">
        <v>7862</v>
      </c>
      <c r="X7437" s="2" t="s">
        <v>6838</v>
      </c>
      <c r="Y7437" s="2">
        <v>61910</v>
      </c>
      <c r="Z7437" s="19" t="str">
        <f>HYPERLINK("https://ssdweb.co/ssdweb/hd/Vision360.html?d=831020565&amp;zoomslide=1&amp;z=1831020565&amp;ISCONFIRM=0","VIDEO")</f>
        <v>VIDEO</v>
      </c>
      <c r="AA7437" s="19" t="str">
        <f>HYPERLINK("https://ssdweb.co/ssdweb/CERTH/592360691.pdf","CERTI")</f>
        <v>CERTI</v>
      </c>
    </row>
    <row r="7438" spans="1:27" ht="15" x14ac:dyDescent="0.25">
      <c r="A7438" s="2">
        <v>7433</v>
      </c>
      <c r="B7438" s="39">
        <v>923700140</v>
      </c>
      <c r="C7438" s="28" t="str">
        <f>HYPERLINK("https://pld.live/RapDetail.aspx?STONELIST=923700140","DNA")</f>
        <v>DNA</v>
      </c>
      <c r="D7438" s="18" t="s">
        <v>4563</v>
      </c>
      <c r="E7438" s="18" t="s">
        <v>2186</v>
      </c>
      <c r="F7438" s="2" t="s">
        <v>7987</v>
      </c>
      <c r="G7438" s="2" t="s">
        <v>15</v>
      </c>
      <c r="H7438" s="14">
        <v>3.02</v>
      </c>
      <c r="I7438" s="2" t="s">
        <v>1505</v>
      </c>
      <c r="J7438" s="2" t="s">
        <v>13</v>
      </c>
      <c r="K7438" s="2" t="s">
        <v>1452</v>
      </c>
      <c r="L7438" s="2" t="s">
        <v>5221</v>
      </c>
      <c r="M7438" s="2" t="s">
        <v>5221</v>
      </c>
      <c r="N7438" s="2" t="s">
        <v>2317</v>
      </c>
      <c r="O7438" s="14">
        <v>19500</v>
      </c>
      <c r="P7438" s="14">
        <v>99.42</v>
      </c>
      <c r="Q7438" s="14">
        <v>113.1</v>
      </c>
      <c r="R7438" s="14">
        <v>341.56</v>
      </c>
      <c r="S7438" s="2" t="s">
        <v>4553</v>
      </c>
      <c r="T7438" s="2">
        <v>1.02</v>
      </c>
      <c r="U7438" s="2">
        <v>67.5</v>
      </c>
      <c r="V7438" s="2">
        <v>64</v>
      </c>
      <c r="W7438" s="2" t="s">
        <v>8016</v>
      </c>
      <c r="X7438" s="2" t="s">
        <v>6838</v>
      </c>
      <c r="Y7438" s="2">
        <v>58890</v>
      </c>
      <c r="Z7438" s="19" t="str">
        <f>HYPERLINK("https://ssdweb.co/ssdweb/hd/Vision360.html?d=923700140&amp;zoomslide=1&amp;z=1923700140&amp;ISCONFIRM=0","VIDEO")</f>
        <v>VIDEO</v>
      </c>
      <c r="AA7438" s="19" t="str">
        <f>HYPERLINK("https://ssdweb.co/ssdweb/CERTH/559284773.pdf","CERTI")</f>
        <v>CERTI</v>
      </c>
    </row>
    <row r="7439" spans="1:27" ht="15" x14ac:dyDescent="0.25">
      <c r="A7439" s="2">
        <v>7434</v>
      </c>
      <c r="B7439" s="39">
        <v>923720330</v>
      </c>
      <c r="C7439" s="28" t="str">
        <f>HYPERLINK("https://pld.live/RapDetail.aspx?STONELIST=923720330","DNA")</f>
        <v>DNA</v>
      </c>
      <c r="D7439" s="18" t="s">
        <v>4563</v>
      </c>
      <c r="E7439" s="18" t="s">
        <v>2186</v>
      </c>
      <c r="F7439" s="2" t="s">
        <v>7987</v>
      </c>
      <c r="G7439" s="2" t="s">
        <v>15</v>
      </c>
      <c r="H7439" s="14">
        <v>3</v>
      </c>
      <c r="I7439" s="2" t="s">
        <v>6587</v>
      </c>
      <c r="J7439" s="2" t="s">
        <v>13</v>
      </c>
      <c r="K7439" s="2" t="s">
        <v>1452</v>
      </c>
      <c r="L7439" s="2" t="s">
        <v>5221</v>
      </c>
      <c r="M7439" s="2" t="s">
        <v>5221</v>
      </c>
      <c r="N7439" s="2" t="s">
        <v>2317</v>
      </c>
      <c r="O7439" s="14">
        <v>22500</v>
      </c>
      <c r="P7439" s="14">
        <v>99.47</v>
      </c>
      <c r="Q7439" s="14">
        <v>119.25</v>
      </c>
      <c r="R7439" s="14">
        <v>357.75</v>
      </c>
      <c r="S7439" s="2" t="s">
        <v>7885</v>
      </c>
      <c r="T7439" s="2">
        <v>1.02</v>
      </c>
      <c r="U7439" s="2">
        <v>63.9</v>
      </c>
      <c r="V7439" s="2">
        <v>63.5</v>
      </c>
      <c r="W7439" s="2" t="s">
        <v>7862</v>
      </c>
      <c r="X7439" s="2" t="s">
        <v>6838</v>
      </c>
      <c r="Y7439" s="2">
        <v>67500</v>
      </c>
      <c r="Z7439" s="19" t="str">
        <f>HYPERLINK("https://ssdweb.co/ssdweb/hd/Vision360.html?d=923720330&amp;zoomslide=1&amp;z=1923720330&amp;ISCONFIRM=0","VIDEO")</f>
        <v>VIDEO</v>
      </c>
      <c r="AA7439" s="19" t="str">
        <f>HYPERLINK("https://ssdweb.co/ssdweb/CERTH/566302049.pdf","CERTI")</f>
        <v>CERTI</v>
      </c>
    </row>
    <row r="7440" spans="1:27" ht="15" x14ac:dyDescent="0.25">
      <c r="A7440" s="2">
        <v>7435</v>
      </c>
      <c r="B7440" s="39">
        <v>924450192</v>
      </c>
      <c r="C7440" s="28" t="str">
        <f>HYPERLINK("https://pld.live/RapDetail.aspx?STONELIST=924450192","DNA")</f>
        <v>DNA</v>
      </c>
      <c r="D7440" s="18" t="s">
        <v>4563</v>
      </c>
      <c r="E7440" s="18" t="s">
        <v>2186</v>
      </c>
      <c r="F7440" s="2" t="s">
        <v>7987</v>
      </c>
      <c r="G7440" s="2" t="s">
        <v>15</v>
      </c>
      <c r="H7440" s="14">
        <v>3</v>
      </c>
      <c r="I7440" s="2" t="s">
        <v>6587</v>
      </c>
      <c r="J7440" s="2" t="s">
        <v>5144</v>
      </c>
      <c r="K7440" s="2" t="s">
        <v>1452</v>
      </c>
      <c r="L7440" s="2" t="s">
        <v>5221</v>
      </c>
      <c r="M7440" s="2" t="s">
        <v>5221</v>
      </c>
      <c r="N7440" s="2" t="s">
        <v>2317</v>
      </c>
      <c r="O7440" s="14">
        <v>20500</v>
      </c>
      <c r="P7440" s="14">
        <v>99.45</v>
      </c>
      <c r="Q7440" s="14">
        <v>112.75</v>
      </c>
      <c r="R7440" s="14">
        <v>338.25</v>
      </c>
      <c r="S7440" s="2" t="s">
        <v>4509</v>
      </c>
      <c r="T7440" s="2">
        <v>1.01</v>
      </c>
      <c r="U7440" s="2">
        <v>65.599999999999994</v>
      </c>
      <c r="V7440" s="2">
        <v>66</v>
      </c>
      <c r="W7440" s="2" t="s">
        <v>8016</v>
      </c>
      <c r="X7440" s="2" t="s">
        <v>6838</v>
      </c>
      <c r="Y7440" s="2">
        <v>61500</v>
      </c>
      <c r="Z7440" s="19" t="str">
        <f>HYPERLINK("https://ssdweb.co/ssdweb/hd/Vision360.html?d=924450192&amp;zoomslide=1&amp;z=1924450192&amp;ISCONFIRM=0","VIDEO")</f>
        <v>VIDEO</v>
      </c>
      <c r="AA7440" s="19" t="str">
        <f>HYPERLINK("https://ssdweb.co/ssdweb/CERTH/598373773.pdf","CERTI")</f>
        <v>CERTI</v>
      </c>
    </row>
    <row r="7441" spans="1:27" ht="15" x14ac:dyDescent="0.25">
      <c r="A7441" s="2">
        <v>7436</v>
      </c>
      <c r="B7441" s="39">
        <v>924940197</v>
      </c>
      <c r="C7441" s="28" t="str">
        <f>HYPERLINK("https://pld.live/RapDetail.aspx?STONELIST=924940197","DNA")</f>
        <v>DNA</v>
      </c>
      <c r="D7441" s="18" t="s">
        <v>2694</v>
      </c>
      <c r="E7441" s="18" t="s">
        <v>2186</v>
      </c>
      <c r="F7441" s="2" t="s">
        <v>7987</v>
      </c>
      <c r="G7441" s="2" t="s">
        <v>15</v>
      </c>
      <c r="H7441" s="14">
        <v>2.89</v>
      </c>
      <c r="I7441" s="2" t="s">
        <v>3722</v>
      </c>
      <c r="J7441" s="2" t="s">
        <v>5144</v>
      </c>
      <c r="K7441" s="2" t="s">
        <v>1452</v>
      </c>
      <c r="L7441" s="2" t="s">
        <v>5221</v>
      </c>
      <c r="M7441" s="2" t="s">
        <v>5221</v>
      </c>
      <c r="N7441" s="2" t="s">
        <v>2317</v>
      </c>
      <c r="O7441" s="14">
        <v>9000</v>
      </c>
      <c r="P7441" s="14">
        <v>98.83</v>
      </c>
      <c r="Q7441" s="14">
        <v>105.3</v>
      </c>
      <c r="R7441" s="14">
        <v>304.32</v>
      </c>
      <c r="S7441" s="2" t="s">
        <v>1648</v>
      </c>
      <c r="T7441" s="2">
        <v>1</v>
      </c>
      <c r="U7441" s="2">
        <v>67.099999999999994</v>
      </c>
      <c r="V7441" s="2">
        <v>61</v>
      </c>
      <c r="W7441" s="2" t="s">
        <v>7862</v>
      </c>
      <c r="X7441" s="2" t="s">
        <v>6838</v>
      </c>
      <c r="Y7441" s="2">
        <v>26010</v>
      </c>
      <c r="Z7441" s="19" t="str">
        <f>HYPERLINK("https://ssdweb.co/ssdweb/hd/Vision360.html?d=924940197&amp;zoomslide=1&amp;z=1924940197&amp;ISCONFIRM=0","VIDEO")</f>
        <v>VIDEO</v>
      </c>
      <c r="AA7441" s="19" t="str">
        <f>HYPERLINK("https://ssdweb.co/ssdweb/CERTH/602361369.pdf","CERTI")</f>
        <v>CERTI</v>
      </c>
    </row>
    <row r="7442" spans="1:27" ht="15" x14ac:dyDescent="0.25">
      <c r="A7442" s="2">
        <v>7437</v>
      </c>
      <c r="B7442" s="39">
        <v>924760105</v>
      </c>
      <c r="C7442" s="28" t="str">
        <f>HYPERLINK("https://pld.live/RapDetail.aspx?STONELIST=924760105","DNA")</f>
        <v>DNA</v>
      </c>
      <c r="D7442" s="18" t="s">
        <v>3658</v>
      </c>
      <c r="E7442" s="18" t="s">
        <v>5128</v>
      </c>
      <c r="F7442" s="2" t="s">
        <v>7987</v>
      </c>
      <c r="G7442" s="2" t="s">
        <v>15</v>
      </c>
      <c r="H7442" s="14">
        <v>2.23</v>
      </c>
      <c r="I7442" s="2" t="s">
        <v>267</v>
      </c>
      <c r="J7442" s="2" t="s">
        <v>13</v>
      </c>
      <c r="K7442" s="2" t="s">
        <v>1452</v>
      </c>
      <c r="L7442" s="2" t="s">
        <v>5221</v>
      </c>
      <c r="M7442" s="2" t="s">
        <v>5221</v>
      </c>
      <c r="N7442" s="2" t="s">
        <v>2317</v>
      </c>
      <c r="O7442" s="14">
        <v>17500</v>
      </c>
      <c r="P7442" s="14">
        <v>99.14</v>
      </c>
      <c r="Q7442" s="14">
        <v>150.5</v>
      </c>
      <c r="R7442" s="14">
        <v>335.62</v>
      </c>
      <c r="S7442" s="2" t="s">
        <v>6952</v>
      </c>
      <c r="T7442" s="2">
        <v>1</v>
      </c>
      <c r="U7442" s="2">
        <v>67.7</v>
      </c>
      <c r="V7442" s="2">
        <v>63</v>
      </c>
      <c r="W7442" s="2" t="s">
        <v>7862</v>
      </c>
      <c r="X7442" s="2" t="s">
        <v>6838</v>
      </c>
      <c r="Y7442" s="2">
        <v>39025</v>
      </c>
      <c r="Z7442" s="19" t="str">
        <f>HYPERLINK("https://ssdweb.co/ssdweb/hd/Vision360.html?d=924760105&amp;zoomslide=1&amp;z=1924760105&amp;ISCONFIRM=0","VIDEO")</f>
        <v>VIDEO</v>
      </c>
      <c r="AA7442" s="19" t="str">
        <f>HYPERLINK("https://ssdweb.co/ssdweb/CERTH/600385217.pdf","CERTI")</f>
        <v>CERTI</v>
      </c>
    </row>
    <row r="7443" spans="1:27" ht="15" x14ac:dyDescent="0.25">
      <c r="A7443" s="2">
        <v>7438</v>
      </c>
      <c r="B7443" s="39">
        <v>925981016</v>
      </c>
      <c r="C7443" s="28" t="str">
        <f>HYPERLINK("https://pld.live/RapDetail.aspx?STONELIST=925981016","DNA")</f>
        <v>DNA</v>
      </c>
      <c r="D7443" s="18" t="s">
        <v>3658</v>
      </c>
      <c r="E7443" s="18" t="s">
        <v>5128</v>
      </c>
      <c r="F7443" s="2" t="s">
        <v>7987</v>
      </c>
      <c r="G7443" s="2" t="s">
        <v>15</v>
      </c>
      <c r="H7443" s="14">
        <v>2.21</v>
      </c>
      <c r="I7443" s="2" t="s">
        <v>4761</v>
      </c>
      <c r="J7443" s="2" t="s">
        <v>13</v>
      </c>
      <c r="K7443" s="2" t="s">
        <v>1452</v>
      </c>
      <c r="L7443" s="2" t="s">
        <v>5221</v>
      </c>
      <c r="M7443" s="2" t="s">
        <v>5221</v>
      </c>
      <c r="N7443" s="2" t="s">
        <v>2317</v>
      </c>
      <c r="O7443" s="14">
        <v>16000</v>
      </c>
      <c r="P7443" s="14">
        <v>99.13</v>
      </c>
      <c r="Q7443" s="14">
        <v>139.19999999999999</v>
      </c>
      <c r="R7443" s="14">
        <v>307.63</v>
      </c>
      <c r="S7443" s="2" t="s">
        <v>3704</v>
      </c>
      <c r="T7443" s="2">
        <v>1.01</v>
      </c>
      <c r="U7443" s="2">
        <v>64.599999999999994</v>
      </c>
      <c r="V7443" s="2">
        <v>64</v>
      </c>
      <c r="W7443" s="2" t="s">
        <v>7862</v>
      </c>
      <c r="X7443" s="2" t="s">
        <v>6838</v>
      </c>
      <c r="Y7443" s="2">
        <v>35360</v>
      </c>
      <c r="Z7443" s="19" t="str">
        <f>HYPERLINK("https://ssdweb.co/ssdweb/hd/Vision360.html?d=925981016&amp;zoomslide=1&amp;z=1925981016&amp;ISCONFIRM=0","VIDEO")</f>
        <v>VIDEO</v>
      </c>
      <c r="AA7443" s="19" t="str">
        <f>HYPERLINK("https://ssdweb.co/ssdweb/CERTH/629479078.pdf","CERTI")</f>
        <v>CERTI</v>
      </c>
    </row>
    <row r="7444" spans="1:27" ht="15" x14ac:dyDescent="0.25">
      <c r="A7444" s="2">
        <v>7439</v>
      </c>
      <c r="B7444" s="39">
        <v>925951023</v>
      </c>
      <c r="C7444" s="28" t="str">
        <f>HYPERLINK("https://pld.live/RapDetail.aspx?STONELIST=925951023","DNA")</f>
        <v>DNA</v>
      </c>
      <c r="D7444" s="18" t="s">
        <v>3658</v>
      </c>
      <c r="E7444" s="18" t="s">
        <v>5128</v>
      </c>
      <c r="F7444" s="2" t="s">
        <v>7987</v>
      </c>
      <c r="G7444" s="2" t="s">
        <v>15</v>
      </c>
      <c r="H7444" s="14">
        <v>2.11</v>
      </c>
      <c r="I7444" s="2" t="s">
        <v>267</v>
      </c>
      <c r="J7444" s="2" t="s">
        <v>3942</v>
      </c>
      <c r="K7444" s="2" t="s">
        <v>1452</v>
      </c>
      <c r="L7444" s="2" t="s">
        <v>5221</v>
      </c>
      <c r="M7444" s="2" t="s">
        <v>5221</v>
      </c>
      <c r="N7444" s="2" t="s">
        <v>2317</v>
      </c>
      <c r="O7444" s="14">
        <v>18500</v>
      </c>
      <c r="P7444" s="14">
        <v>99.16</v>
      </c>
      <c r="Q7444" s="14">
        <v>155.4</v>
      </c>
      <c r="R7444" s="14">
        <v>327.89</v>
      </c>
      <c r="S7444" s="2" t="s">
        <v>2359</v>
      </c>
      <c r="T7444" s="2">
        <v>1</v>
      </c>
      <c r="U7444" s="2">
        <v>67.400000000000006</v>
      </c>
      <c r="V7444" s="2">
        <v>66</v>
      </c>
      <c r="W7444" s="2" t="s">
        <v>7862</v>
      </c>
      <c r="X7444" s="2" t="s">
        <v>6838</v>
      </c>
      <c r="Y7444" s="2">
        <v>39035</v>
      </c>
      <c r="Z7444" s="19" t="str">
        <f>HYPERLINK("https://ssdweb.co/ssdweb/hd/Vision360.html?d=925951023&amp;zoomslide=1&amp;z=1925951023&amp;ISCONFIRM=0","VIDEO")</f>
        <v>VIDEO</v>
      </c>
      <c r="AA7444" s="19" t="str">
        <f>HYPERLINK("https://ssdweb.co/ssdweb/CERTH/628427038.pdf","CERTI")</f>
        <v>CERTI</v>
      </c>
    </row>
    <row r="7445" spans="1:27" ht="15" x14ac:dyDescent="0.25">
      <c r="A7445" s="2">
        <v>7440</v>
      </c>
      <c r="B7445" s="39">
        <v>924830258</v>
      </c>
      <c r="C7445" s="28" t="str">
        <f>HYPERLINK("https://pld.live/RapDetail.aspx?STONELIST=924830258","DNA")</f>
        <v>DNA</v>
      </c>
      <c r="D7445" s="18" t="s">
        <v>3658</v>
      </c>
      <c r="E7445" s="18" t="s">
        <v>5128</v>
      </c>
      <c r="F7445" s="2" t="s">
        <v>7987</v>
      </c>
      <c r="G7445" s="2" t="s">
        <v>15</v>
      </c>
      <c r="H7445" s="14">
        <v>2.11</v>
      </c>
      <c r="I7445" s="2" t="s">
        <v>267</v>
      </c>
      <c r="J7445" s="2" t="s">
        <v>5144</v>
      </c>
      <c r="K7445" s="2" t="s">
        <v>1452</v>
      </c>
      <c r="L7445" s="2" t="s">
        <v>5221</v>
      </c>
      <c r="M7445" s="2" t="s">
        <v>5221</v>
      </c>
      <c r="N7445" s="2" t="s">
        <v>2317</v>
      </c>
      <c r="O7445" s="14">
        <v>16000</v>
      </c>
      <c r="P7445" s="14">
        <v>99.13</v>
      </c>
      <c r="Q7445" s="14">
        <v>139.19999999999999</v>
      </c>
      <c r="R7445" s="14">
        <v>293.70999999999998</v>
      </c>
      <c r="S7445" s="2" t="s">
        <v>3032</v>
      </c>
      <c r="T7445" s="2">
        <v>1.02</v>
      </c>
      <c r="U7445" s="2">
        <v>64.8</v>
      </c>
      <c r="V7445" s="2">
        <v>63</v>
      </c>
      <c r="W7445" s="2" t="s">
        <v>7862</v>
      </c>
      <c r="X7445" s="2" t="s">
        <v>6838</v>
      </c>
      <c r="Y7445" s="2">
        <v>33760</v>
      </c>
      <c r="Z7445" s="19" t="str">
        <f>HYPERLINK("https://ssdweb.co/ssdweb/hd/Vision360.html?d=924830258&amp;zoomslide=1&amp;z=1924830258&amp;ISCONFIRM=0","VIDEO")</f>
        <v>VIDEO</v>
      </c>
      <c r="AA7445" s="19" t="str">
        <f>HYPERLINK("https://ssdweb.co/ssdweb/CERTH/602361291.pdf","CERTI")</f>
        <v>CERTI</v>
      </c>
    </row>
    <row r="7446" spans="1:27" ht="15" x14ac:dyDescent="0.25">
      <c r="A7446" s="2">
        <v>7441</v>
      </c>
      <c r="B7446" s="39">
        <v>831010747</v>
      </c>
      <c r="C7446" s="28" t="str">
        <f>HYPERLINK("https://pld.live/RapDetail.aspx?STONELIST=831010747","DNA")</f>
        <v>DNA</v>
      </c>
      <c r="D7446" s="18" t="s">
        <v>3658</v>
      </c>
      <c r="E7446" s="18" t="s">
        <v>5128</v>
      </c>
      <c r="F7446" s="2" t="s">
        <v>7987</v>
      </c>
      <c r="G7446" s="2" t="s">
        <v>15</v>
      </c>
      <c r="H7446" s="14">
        <v>2.11</v>
      </c>
      <c r="I7446" s="2" t="s">
        <v>4761</v>
      </c>
      <c r="J7446" s="2" t="s">
        <v>3942</v>
      </c>
      <c r="K7446" s="2" t="s">
        <v>1452</v>
      </c>
      <c r="L7446" s="2" t="s">
        <v>5221</v>
      </c>
      <c r="M7446" s="2" t="s">
        <v>5221</v>
      </c>
      <c r="N7446" s="2" t="s">
        <v>2317</v>
      </c>
      <c r="O7446" s="14">
        <v>17000</v>
      </c>
      <c r="P7446" s="14">
        <v>99.15</v>
      </c>
      <c r="Q7446" s="14">
        <v>144.5</v>
      </c>
      <c r="R7446" s="14">
        <v>304.89999999999998</v>
      </c>
      <c r="S7446" s="2" t="s">
        <v>4390</v>
      </c>
      <c r="T7446" s="2">
        <v>1.01</v>
      </c>
      <c r="U7446" s="2">
        <v>64.599999999999994</v>
      </c>
      <c r="V7446" s="2">
        <v>66</v>
      </c>
      <c r="W7446" s="2" t="s">
        <v>7862</v>
      </c>
      <c r="X7446" s="2" t="s">
        <v>6838</v>
      </c>
      <c r="Y7446" s="2">
        <v>35870</v>
      </c>
      <c r="Z7446" s="19" t="str">
        <f>HYPERLINK("https://ssdweb.co/ssdweb/hd/Vision360.html?d=831010747&amp;zoomslide=1&amp;z=1831010747&amp;ISCONFIRM=0","VIDEO")</f>
        <v>VIDEO</v>
      </c>
      <c r="AA7446" s="19" t="str">
        <f>HYPERLINK("https://ssdweb.co/ssdweb/CERTH/625457987.pdf","CERTI")</f>
        <v>CERTI</v>
      </c>
    </row>
    <row r="7447" spans="1:27" ht="15" x14ac:dyDescent="0.25">
      <c r="A7447" s="2">
        <v>7442</v>
      </c>
      <c r="B7447" s="39">
        <v>925722037</v>
      </c>
      <c r="C7447" s="28" t="str">
        <f>HYPERLINK("https://pld.live/RapDetail.aspx?STONELIST=925722037","DNA")</f>
        <v>DNA</v>
      </c>
      <c r="D7447" s="18" t="s">
        <v>3658</v>
      </c>
      <c r="E7447" s="18" t="s">
        <v>5128</v>
      </c>
      <c r="F7447" s="2" t="s">
        <v>5597</v>
      </c>
      <c r="G7447" s="2" t="s">
        <v>15</v>
      </c>
      <c r="H7447" s="14">
        <v>2.1</v>
      </c>
      <c r="I7447" s="2" t="s">
        <v>267</v>
      </c>
      <c r="J7447" s="2" t="s">
        <v>444</v>
      </c>
      <c r="K7447" s="2" t="s">
        <v>1452</v>
      </c>
      <c r="L7447" s="2" t="s">
        <v>5221</v>
      </c>
      <c r="M7447" s="2" t="s">
        <v>5721</v>
      </c>
      <c r="N7447" s="2" t="s">
        <v>2317</v>
      </c>
      <c r="O7447" s="14">
        <v>13500</v>
      </c>
      <c r="P7447" s="14">
        <v>98.35</v>
      </c>
      <c r="Q7447" s="14">
        <v>222.75</v>
      </c>
      <c r="R7447" s="14">
        <v>467.78</v>
      </c>
      <c r="S7447" s="2" t="s">
        <v>2875</v>
      </c>
      <c r="T7447" s="2">
        <v>1.01</v>
      </c>
      <c r="U7447" s="2">
        <v>64.599999999999994</v>
      </c>
      <c r="V7447" s="2">
        <v>61</v>
      </c>
      <c r="W7447" s="2" t="s">
        <v>7862</v>
      </c>
      <c r="X7447" s="2" t="s">
        <v>6838</v>
      </c>
      <c r="Y7447" s="2">
        <v>28350</v>
      </c>
      <c r="Z7447" s="19" t="str">
        <f>HYPERLINK("https://ssdweb.co/ssdweb/hd/Vision360.html?d=925722037&amp;zoomslide=1&amp;z=1925722037&amp;ISCONFIRM=0","VIDEO")</f>
        <v>VIDEO</v>
      </c>
      <c r="AA7447" s="19" t="str">
        <f>HYPERLINK("https://ssdweb.co/ssdweb/CERTH/6481806051.pdf","CERTI")</f>
        <v>CERTI</v>
      </c>
    </row>
    <row r="7448" spans="1:27" ht="15" x14ac:dyDescent="0.25">
      <c r="A7448" s="2">
        <v>7443</v>
      </c>
      <c r="B7448" s="39">
        <v>925771215</v>
      </c>
      <c r="C7448" s="28" t="str">
        <f>HYPERLINK("https://pld.live/RapDetail.aspx?STONELIST=925771215","DNA")</f>
        <v>DNA</v>
      </c>
      <c r="D7448" s="18" t="s">
        <v>3658</v>
      </c>
      <c r="E7448" s="18" t="s">
        <v>5128</v>
      </c>
      <c r="F7448" s="2" t="s">
        <v>7987</v>
      </c>
      <c r="G7448" s="2" t="s">
        <v>15</v>
      </c>
      <c r="H7448" s="14">
        <v>2.09</v>
      </c>
      <c r="I7448" s="2" t="s">
        <v>267</v>
      </c>
      <c r="J7448" s="2" t="s">
        <v>13</v>
      </c>
      <c r="K7448" s="2" t="s">
        <v>1452</v>
      </c>
      <c r="L7448" s="2" t="s">
        <v>5221</v>
      </c>
      <c r="M7448" s="2" t="s">
        <v>5221</v>
      </c>
      <c r="N7448" s="2" t="s">
        <v>2317</v>
      </c>
      <c r="O7448" s="14">
        <v>17500</v>
      </c>
      <c r="P7448" s="14">
        <v>99.14</v>
      </c>
      <c r="Q7448" s="14">
        <v>150.5</v>
      </c>
      <c r="R7448" s="14">
        <v>314.55</v>
      </c>
      <c r="S7448" s="2" t="s">
        <v>2243</v>
      </c>
      <c r="T7448" s="2">
        <v>1.01</v>
      </c>
      <c r="U7448" s="2">
        <v>64.5</v>
      </c>
      <c r="V7448" s="2">
        <v>69</v>
      </c>
      <c r="W7448" s="2" t="s">
        <v>7862</v>
      </c>
      <c r="X7448" s="2" t="s">
        <v>6838</v>
      </c>
      <c r="Y7448" s="2">
        <v>36575</v>
      </c>
      <c r="Z7448" s="19" t="str">
        <f>HYPERLINK("https://ssdweb.co/ssdweb/hd/Vision360.html?d=925771215&amp;zoomslide=1&amp;z=1925771215&amp;ISCONFIRM=0","VIDEO")</f>
        <v>VIDEO</v>
      </c>
      <c r="AA7448" s="19" t="str">
        <f>HYPERLINK("https://ssdweb.co/ssdweb/CERTH/626466225.pdf","CERTI")</f>
        <v>CERTI</v>
      </c>
    </row>
    <row r="7449" spans="1:27" ht="15" x14ac:dyDescent="0.25">
      <c r="A7449" s="2">
        <v>7444</v>
      </c>
      <c r="B7449" s="39">
        <v>925801498</v>
      </c>
      <c r="C7449" s="28" t="str">
        <f>HYPERLINK("https://pld.live/RapDetail.aspx?STONELIST=925801498","DNA")</f>
        <v>DNA</v>
      </c>
      <c r="D7449" s="18" t="s">
        <v>3658</v>
      </c>
      <c r="E7449" s="18" t="s">
        <v>5128</v>
      </c>
      <c r="F7449" s="2" t="s">
        <v>7987</v>
      </c>
      <c r="G7449" s="2" t="s">
        <v>15</v>
      </c>
      <c r="H7449" s="14">
        <v>2.09</v>
      </c>
      <c r="I7449" s="2" t="s">
        <v>4699</v>
      </c>
      <c r="J7449" s="2" t="s">
        <v>3942</v>
      </c>
      <c r="K7449" s="2" t="s">
        <v>1452</v>
      </c>
      <c r="L7449" s="2" t="s">
        <v>5221</v>
      </c>
      <c r="M7449" s="2" t="s">
        <v>5221</v>
      </c>
      <c r="N7449" s="2" t="s">
        <v>2317</v>
      </c>
      <c r="O7449" s="14">
        <v>16000</v>
      </c>
      <c r="P7449" s="14">
        <v>99.17</v>
      </c>
      <c r="Q7449" s="14">
        <v>132.80000000000001</v>
      </c>
      <c r="R7449" s="14">
        <v>277.55</v>
      </c>
      <c r="S7449" s="2" t="s">
        <v>1712</v>
      </c>
      <c r="T7449" s="2">
        <v>1.01</v>
      </c>
      <c r="U7449" s="2">
        <v>64.5</v>
      </c>
      <c r="V7449" s="2">
        <v>65</v>
      </c>
      <c r="W7449" s="2" t="s">
        <v>4336</v>
      </c>
      <c r="X7449" s="2" t="s">
        <v>6838</v>
      </c>
      <c r="Y7449" s="2">
        <v>33440</v>
      </c>
      <c r="Z7449" s="19" t="str">
        <f>HYPERLINK("https://ssdweb.co/ssdweb/hd/Vision360.html?d=925801498&amp;zoomslide=1&amp;z=1925801498&amp;ISCONFIRM=0","VIDEO")</f>
        <v>VIDEO</v>
      </c>
      <c r="AA7449" s="19" t="str">
        <f>HYPERLINK("https://ssdweb.co/ssdweb/CERTH/626414930.pdf","CERTI")</f>
        <v>CERTI</v>
      </c>
    </row>
    <row r="7450" spans="1:27" ht="15" x14ac:dyDescent="0.25">
      <c r="A7450" s="2">
        <v>7445</v>
      </c>
      <c r="B7450" s="39">
        <v>924830248</v>
      </c>
      <c r="C7450" s="28" t="str">
        <f>HYPERLINK("https://pld.live/RapDetail.aspx?STONELIST=924830248","DNA")</f>
        <v>DNA</v>
      </c>
      <c r="D7450" s="18" t="s">
        <v>3658</v>
      </c>
      <c r="E7450" s="18" t="s">
        <v>5128</v>
      </c>
      <c r="F7450" s="2" t="s">
        <v>7987</v>
      </c>
      <c r="G7450" s="2" t="s">
        <v>15</v>
      </c>
      <c r="H7450" s="14">
        <v>2.08</v>
      </c>
      <c r="I7450" s="2" t="s">
        <v>4699</v>
      </c>
      <c r="J7450" s="2" t="s">
        <v>13</v>
      </c>
      <c r="K7450" s="2" t="s">
        <v>1452</v>
      </c>
      <c r="L7450" s="2" t="s">
        <v>5221</v>
      </c>
      <c r="M7450" s="2" t="s">
        <v>5221</v>
      </c>
      <c r="N7450" s="2" t="s">
        <v>2317</v>
      </c>
      <c r="O7450" s="14">
        <v>15000</v>
      </c>
      <c r="P7450" s="14">
        <v>99.13</v>
      </c>
      <c r="Q7450" s="14">
        <v>130.5</v>
      </c>
      <c r="R7450" s="14">
        <v>271.44</v>
      </c>
      <c r="S7450" s="2" t="s">
        <v>779</v>
      </c>
      <c r="T7450" s="2">
        <v>1</v>
      </c>
      <c r="U7450" s="2">
        <v>67.2</v>
      </c>
      <c r="V7450" s="2">
        <v>64</v>
      </c>
      <c r="W7450" s="2" t="s">
        <v>7862</v>
      </c>
      <c r="X7450" s="2" t="s">
        <v>6838</v>
      </c>
      <c r="Y7450" s="2">
        <v>31200</v>
      </c>
      <c r="Z7450" s="19" t="str">
        <f>HYPERLINK("https://ssdweb.co/ssdweb/hd/Vision360.html?d=924830248&amp;zoomslide=1&amp;z=1924830248&amp;ISCONFIRM=0","VIDEO")</f>
        <v>VIDEO</v>
      </c>
      <c r="AA7450" s="19" t="str">
        <f>HYPERLINK("https://ssdweb.co/ssdweb/CERTH/602359490.pdf","CERTI")</f>
        <v>CERTI</v>
      </c>
    </row>
    <row r="7451" spans="1:27" ht="15" x14ac:dyDescent="0.25">
      <c r="A7451" s="2">
        <v>7446</v>
      </c>
      <c r="B7451" s="39">
        <v>926070225</v>
      </c>
      <c r="C7451" s="28" t="str">
        <f>HYPERLINK("https://pld.live/RapDetail.aspx?STONELIST=926070225","DNA")</f>
        <v>DNA</v>
      </c>
      <c r="D7451" s="18" t="s">
        <v>3658</v>
      </c>
      <c r="E7451" s="18" t="s">
        <v>5128</v>
      </c>
      <c r="F7451" s="2" t="s">
        <v>7987</v>
      </c>
      <c r="G7451" s="2" t="s">
        <v>15</v>
      </c>
      <c r="H7451" s="14">
        <v>2.08</v>
      </c>
      <c r="I7451" s="2" t="s">
        <v>4699</v>
      </c>
      <c r="J7451" s="2" t="s">
        <v>13</v>
      </c>
      <c r="K7451" s="2" t="s">
        <v>1452</v>
      </c>
      <c r="L7451" s="2" t="s">
        <v>5221</v>
      </c>
      <c r="M7451" s="2" t="s">
        <v>5221</v>
      </c>
      <c r="N7451" s="2" t="s">
        <v>2317</v>
      </c>
      <c r="O7451" s="14">
        <v>15000</v>
      </c>
      <c r="P7451" s="14">
        <v>99.13</v>
      </c>
      <c r="Q7451" s="14">
        <v>130.5</v>
      </c>
      <c r="R7451" s="14">
        <v>271.44</v>
      </c>
      <c r="S7451" s="2" t="s">
        <v>1947</v>
      </c>
      <c r="T7451" s="2">
        <v>1</v>
      </c>
      <c r="U7451" s="2">
        <v>66</v>
      </c>
      <c r="V7451" s="2">
        <v>63</v>
      </c>
      <c r="W7451" s="2" t="s">
        <v>7862</v>
      </c>
      <c r="X7451" s="2" t="s">
        <v>6838</v>
      </c>
      <c r="Y7451" s="2">
        <v>31200</v>
      </c>
      <c r="Z7451" s="19" t="str">
        <f>HYPERLINK("https://ssdweb.co/ssdweb/hd/Vision360.html?d=926070225&amp;zoomslide=1&amp;z=1926070225&amp;ISCONFIRM=0","VIDEO")</f>
        <v>VIDEO</v>
      </c>
      <c r="AA7451" s="19" t="str">
        <f>HYPERLINK("https://ssdweb.co/ssdweb/CERTH/629497488.pdf","CERTI")</f>
        <v>CERTI</v>
      </c>
    </row>
    <row r="7452" spans="1:27" ht="15" x14ac:dyDescent="0.25">
      <c r="A7452" s="2">
        <v>7447</v>
      </c>
      <c r="B7452" s="39">
        <v>925981105</v>
      </c>
      <c r="C7452" s="28" t="str">
        <f>HYPERLINK("https://pld.live/RapDetail.aspx?STONELIST=925981105","DNA")</f>
        <v>DNA</v>
      </c>
      <c r="D7452" s="18" t="s">
        <v>3658</v>
      </c>
      <c r="E7452" s="18" t="s">
        <v>5128</v>
      </c>
      <c r="F7452" s="2" t="s">
        <v>7987</v>
      </c>
      <c r="G7452" s="2" t="s">
        <v>15</v>
      </c>
      <c r="H7452" s="14">
        <v>2.0699999999999998</v>
      </c>
      <c r="I7452" s="2" t="s">
        <v>267</v>
      </c>
      <c r="J7452" s="2" t="s">
        <v>3942</v>
      </c>
      <c r="K7452" s="2" t="s">
        <v>1452</v>
      </c>
      <c r="L7452" s="2" t="s">
        <v>5221</v>
      </c>
      <c r="M7452" s="2" t="s">
        <v>5221</v>
      </c>
      <c r="N7452" s="2" t="s">
        <v>2317</v>
      </c>
      <c r="O7452" s="14">
        <v>18500</v>
      </c>
      <c r="P7452" s="14">
        <v>99.16</v>
      </c>
      <c r="Q7452" s="14">
        <v>155.4</v>
      </c>
      <c r="R7452" s="14">
        <v>321.68</v>
      </c>
      <c r="S7452" s="2" t="s">
        <v>4175</v>
      </c>
      <c r="T7452" s="2">
        <v>1.02</v>
      </c>
      <c r="U7452" s="2">
        <v>65.400000000000006</v>
      </c>
      <c r="V7452" s="2">
        <v>63</v>
      </c>
      <c r="W7452" s="2" t="s">
        <v>7862</v>
      </c>
      <c r="X7452" s="2" t="s">
        <v>6838</v>
      </c>
      <c r="Y7452" s="2">
        <v>38295</v>
      </c>
      <c r="Z7452" s="19" t="str">
        <f>HYPERLINK("https://ssdweb.co/ssdweb/hd/Vision360.html?d=925981105&amp;zoomslide=1&amp;z=1925981105&amp;ISCONFIRM=0","VIDEO")</f>
        <v>VIDEO</v>
      </c>
      <c r="AA7452" s="19" t="str">
        <f>HYPERLINK("https://ssdweb.co/ssdweb/CERTH/629478999.pdf","CERTI")</f>
        <v>CERTI</v>
      </c>
    </row>
    <row r="7453" spans="1:27" ht="15" x14ac:dyDescent="0.25">
      <c r="A7453" s="2">
        <v>7448</v>
      </c>
      <c r="B7453" s="39">
        <v>924830253</v>
      </c>
      <c r="C7453" s="28" t="str">
        <f>HYPERLINK("https://pld.live/RapDetail.aspx?STONELIST=924830253","DNA")</f>
        <v>DNA</v>
      </c>
      <c r="D7453" s="18" t="s">
        <v>3658</v>
      </c>
      <c r="E7453" s="18" t="s">
        <v>5128</v>
      </c>
      <c r="F7453" s="2" t="s">
        <v>7987</v>
      </c>
      <c r="G7453" s="2" t="s">
        <v>15</v>
      </c>
      <c r="H7453" s="14">
        <v>2.0699999999999998</v>
      </c>
      <c r="I7453" s="2" t="s">
        <v>267</v>
      </c>
      <c r="J7453" s="2" t="s">
        <v>13</v>
      </c>
      <c r="K7453" s="2" t="s">
        <v>1452</v>
      </c>
      <c r="L7453" s="2" t="s">
        <v>5221</v>
      </c>
      <c r="M7453" s="2" t="s">
        <v>5221</v>
      </c>
      <c r="N7453" s="2" t="s">
        <v>2317</v>
      </c>
      <c r="O7453" s="14">
        <v>17500</v>
      </c>
      <c r="P7453" s="14">
        <v>99.14</v>
      </c>
      <c r="Q7453" s="14">
        <v>150.5</v>
      </c>
      <c r="R7453" s="14">
        <v>311.54000000000002</v>
      </c>
      <c r="S7453" s="2" t="s">
        <v>1898</v>
      </c>
      <c r="T7453" s="2">
        <v>1.01</v>
      </c>
      <c r="U7453" s="2">
        <v>66.099999999999994</v>
      </c>
      <c r="V7453" s="2">
        <v>63</v>
      </c>
      <c r="W7453" s="2" t="s">
        <v>7862</v>
      </c>
      <c r="X7453" s="2" t="s">
        <v>6838</v>
      </c>
      <c r="Y7453" s="2">
        <v>36225</v>
      </c>
      <c r="Z7453" s="19" t="str">
        <f>HYPERLINK("https://ssdweb.co/ssdweb/hd/Vision360.html?d=924830253&amp;zoomslide=1&amp;z=1924830253&amp;ISCONFIRM=0","VIDEO")</f>
        <v>VIDEO</v>
      </c>
      <c r="AA7453" s="19" t="str">
        <f>HYPERLINK("https://ssdweb.co/ssdweb/CERTH/602361286.pdf","CERTI")</f>
        <v>CERTI</v>
      </c>
    </row>
    <row r="7454" spans="1:27" ht="15" x14ac:dyDescent="0.25">
      <c r="A7454" s="2">
        <v>7449</v>
      </c>
      <c r="B7454" s="39">
        <v>925801149</v>
      </c>
      <c r="C7454" s="28" t="str">
        <f>HYPERLINK("https://pld.live/RapDetail.aspx?STONELIST=925801149","DNA")</f>
        <v>DNA</v>
      </c>
      <c r="D7454" s="18" t="s">
        <v>3658</v>
      </c>
      <c r="E7454" s="18" t="s">
        <v>5128</v>
      </c>
      <c r="F7454" s="2" t="s">
        <v>7987</v>
      </c>
      <c r="G7454" s="2" t="s">
        <v>15</v>
      </c>
      <c r="H7454" s="14">
        <v>2.06</v>
      </c>
      <c r="I7454" s="2" t="s">
        <v>267</v>
      </c>
      <c r="J7454" s="2" t="s">
        <v>5144</v>
      </c>
      <c r="K7454" s="2" t="s">
        <v>1452</v>
      </c>
      <c r="L7454" s="2" t="s">
        <v>5221</v>
      </c>
      <c r="M7454" s="2" t="s">
        <v>5221</v>
      </c>
      <c r="N7454" s="2" t="s">
        <v>2317</v>
      </c>
      <c r="O7454" s="14">
        <v>16000</v>
      </c>
      <c r="P7454" s="14">
        <v>99.13</v>
      </c>
      <c r="Q7454" s="14">
        <v>139.19999999999999</v>
      </c>
      <c r="R7454" s="14">
        <v>286.75</v>
      </c>
      <c r="S7454" s="2" t="s">
        <v>7326</v>
      </c>
      <c r="T7454" s="2">
        <v>1</v>
      </c>
      <c r="U7454" s="2">
        <v>67.3</v>
      </c>
      <c r="V7454" s="2">
        <v>67</v>
      </c>
      <c r="W7454" s="2" t="s">
        <v>7862</v>
      </c>
      <c r="X7454" s="2" t="s">
        <v>6838</v>
      </c>
      <c r="Y7454" s="2">
        <v>32960</v>
      </c>
      <c r="Z7454" s="19" t="str">
        <f>HYPERLINK("https://ssdweb.co/ssdweb/hd/Vision360.html?d=925801149&amp;zoomslide=1&amp;z=1925801149&amp;ISCONFIRM=0","VIDEO")</f>
        <v>VIDEO</v>
      </c>
      <c r="AA7454" s="19" t="str">
        <f>HYPERLINK("https://ssdweb.co/ssdweb/CERTH/626457448.pdf","CERTI")</f>
        <v>CERTI</v>
      </c>
    </row>
    <row r="7455" spans="1:27" ht="15" x14ac:dyDescent="0.25">
      <c r="A7455" s="2">
        <v>7450</v>
      </c>
      <c r="B7455" s="39">
        <v>924830011</v>
      </c>
      <c r="C7455" s="28" t="str">
        <f>HYPERLINK("https://pld.live/RapDetail.aspx?STONELIST=924830011","DNA")</f>
        <v>DNA</v>
      </c>
      <c r="D7455" s="18" t="s">
        <v>3658</v>
      </c>
      <c r="E7455" s="18" t="s">
        <v>5128</v>
      </c>
      <c r="F7455" s="2" t="s">
        <v>7987</v>
      </c>
      <c r="G7455" s="2" t="s">
        <v>15</v>
      </c>
      <c r="H7455" s="14">
        <v>2.06</v>
      </c>
      <c r="I7455" s="2" t="s">
        <v>6587</v>
      </c>
      <c r="J7455" s="2" t="s">
        <v>6555</v>
      </c>
      <c r="K7455" s="2" t="s">
        <v>1452</v>
      </c>
      <c r="L7455" s="2" t="s">
        <v>5221</v>
      </c>
      <c r="M7455" s="2" t="s">
        <v>5221</v>
      </c>
      <c r="N7455" s="2" t="s">
        <v>2317</v>
      </c>
      <c r="O7455" s="14">
        <v>16000</v>
      </c>
      <c r="P7455" s="14">
        <v>98.95</v>
      </c>
      <c r="Q7455" s="14">
        <v>168</v>
      </c>
      <c r="R7455" s="14">
        <v>346.08</v>
      </c>
      <c r="S7455" s="2" t="s">
        <v>4392</v>
      </c>
      <c r="T7455" s="2">
        <v>1.02</v>
      </c>
      <c r="U7455" s="2">
        <v>65.5</v>
      </c>
      <c r="V7455" s="2">
        <v>65</v>
      </c>
      <c r="W7455" s="2" t="s">
        <v>4336</v>
      </c>
      <c r="X7455" s="2" t="s">
        <v>6838</v>
      </c>
      <c r="Y7455" s="2">
        <v>32960</v>
      </c>
      <c r="Z7455" s="19" t="str">
        <f>HYPERLINK("https://ssdweb.co/ssdweb/hd/Vision360.html?d=924830011&amp;zoomslide=1&amp;z=1924830011&amp;ISCONFIRM=0","VIDEO")</f>
        <v>VIDEO</v>
      </c>
      <c r="AA7455" s="19" t="str">
        <f>HYPERLINK("https://ssdweb.co/ssdweb/CERTH/598312913.pdf","CERTI")</f>
        <v>CERTI</v>
      </c>
    </row>
    <row r="7456" spans="1:27" ht="15" x14ac:dyDescent="0.25">
      <c r="A7456" s="2">
        <v>7451</v>
      </c>
      <c r="B7456" s="39">
        <v>925771276</v>
      </c>
      <c r="C7456" s="28" t="str">
        <f>HYPERLINK("https://pld.live/RapDetail.aspx?STONELIST=925771276","DNA")</f>
        <v>DNA</v>
      </c>
      <c r="D7456" s="18" t="s">
        <v>3658</v>
      </c>
      <c r="E7456" s="18" t="s">
        <v>5128</v>
      </c>
      <c r="F7456" s="2" t="s">
        <v>7987</v>
      </c>
      <c r="G7456" s="2" t="s">
        <v>15</v>
      </c>
      <c r="H7456" s="14">
        <v>2.0499999999999998</v>
      </c>
      <c r="I7456" s="2" t="s">
        <v>4761</v>
      </c>
      <c r="J7456" s="2" t="s">
        <v>6555</v>
      </c>
      <c r="K7456" s="2" t="s">
        <v>1452</v>
      </c>
      <c r="L7456" s="2" t="s">
        <v>5221</v>
      </c>
      <c r="M7456" s="2" t="s">
        <v>5221</v>
      </c>
      <c r="N7456" s="2" t="s">
        <v>2317</v>
      </c>
      <c r="O7456" s="14">
        <v>18500</v>
      </c>
      <c r="P7456" s="14">
        <v>98.86</v>
      </c>
      <c r="Q7456" s="14">
        <v>210.9</v>
      </c>
      <c r="R7456" s="14">
        <v>432.35</v>
      </c>
      <c r="S7456" s="2" t="s">
        <v>150</v>
      </c>
      <c r="T7456" s="2">
        <v>1.01</v>
      </c>
      <c r="U7456" s="2">
        <v>64.3</v>
      </c>
      <c r="V7456" s="2">
        <v>63</v>
      </c>
      <c r="W7456" s="2" t="s">
        <v>7862</v>
      </c>
      <c r="X7456" s="2" t="s">
        <v>6838</v>
      </c>
      <c r="Y7456" s="2">
        <v>37925</v>
      </c>
      <c r="Z7456" s="19" t="str">
        <f>HYPERLINK("https://ssdweb.co/ssdweb/hd/Vision360.html?d=925771276&amp;zoomslide=1&amp;z=1925771276&amp;ISCONFIRM=0","VIDEO")</f>
        <v>VIDEO</v>
      </c>
      <c r="AA7456" s="19" t="str">
        <f>HYPERLINK("https://ssdweb.co/ssdweb/CERTH/626427427.pdf","CERTI")</f>
        <v>CERTI</v>
      </c>
    </row>
    <row r="7457" spans="1:27" ht="15" x14ac:dyDescent="0.25">
      <c r="A7457" s="2">
        <v>7452</v>
      </c>
      <c r="B7457" s="39">
        <v>924830251</v>
      </c>
      <c r="C7457" s="28" t="str">
        <f>HYPERLINK("https://pld.live/RapDetail.aspx?STONELIST=924830251","DNA")</f>
        <v>DNA</v>
      </c>
      <c r="D7457" s="18" t="s">
        <v>3658</v>
      </c>
      <c r="E7457" s="18" t="s">
        <v>5128</v>
      </c>
      <c r="F7457" s="2" t="s">
        <v>7987</v>
      </c>
      <c r="G7457" s="2" t="s">
        <v>15</v>
      </c>
      <c r="H7457" s="14">
        <v>2.0499999999999998</v>
      </c>
      <c r="I7457" s="2" t="s">
        <v>4761</v>
      </c>
      <c r="J7457" s="2" t="s">
        <v>13</v>
      </c>
      <c r="K7457" s="2" t="s">
        <v>1452</v>
      </c>
      <c r="L7457" s="2" t="s">
        <v>5221</v>
      </c>
      <c r="M7457" s="2" t="s">
        <v>5221</v>
      </c>
      <c r="N7457" s="2" t="s">
        <v>2317</v>
      </c>
      <c r="O7457" s="14">
        <v>16000</v>
      </c>
      <c r="P7457" s="14">
        <v>99.13</v>
      </c>
      <c r="Q7457" s="14">
        <v>139.19999999999999</v>
      </c>
      <c r="R7457" s="14">
        <v>285.36</v>
      </c>
      <c r="S7457" s="2" t="s">
        <v>3005</v>
      </c>
      <c r="T7457" s="2">
        <v>1</v>
      </c>
      <c r="U7457" s="2">
        <v>64.7</v>
      </c>
      <c r="V7457" s="2">
        <v>62</v>
      </c>
      <c r="W7457" s="2" t="s">
        <v>7862</v>
      </c>
      <c r="X7457" s="2" t="s">
        <v>6838</v>
      </c>
      <c r="Y7457" s="2">
        <v>32800</v>
      </c>
      <c r="Z7457" s="19" t="str">
        <f>HYPERLINK("https://ssdweb.co/ssdweb/hd/Vision360.html?d=924830251&amp;zoomslide=1&amp;z=1924830251&amp;ISCONFIRM=0","VIDEO")</f>
        <v>VIDEO</v>
      </c>
      <c r="AA7457" s="19" t="str">
        <f>HYPERLINK("https://ssdweb.co/ssdweb/CERTH/602361285.pdf","CERTI")</f>
        <v>CERTI</v>
      </c>
    </row>
    <row r="7458" spans="1:27" ht="15" x14ac:dyDescent="0.25">
      <c r="A7458" s="2">
        <v>7453</v>
      </c>
      <c r="B7458" s="39">
        <v>925771285</v>
      </c>
      <c r="C7458" s="28" t="str">
        <f>HYPERLINK("https://pld.live/RapDetail.aspx?STONELIST=925771285","DNA")</f>
        <v>DNA</v>
      </c>
      <c r="D7458" s="18" t="s">
        <v>3658</v>
      </c>
      <c r="E7458" s="18" t="s">
        <v>5128</v>
      </c>
      <c r="F7458" s="2" t="s">
        <v>7987</v>
      </c>
      <c r="G7458" s="2" t="s">
        <v>15</v>
      </c>
      <c r="H7458" s="14">
        <v>2.04</v>
      </c>
      <c r="I7458" s="2" t="s">
        <v>267</v>
      </c>
      <c r="J7458" s="2" t="s">
        <v>3942</v>
      </c>
      <c r="K7458" s="2" t="s">
        <v>1452</v>
      </c>
      <c r="L7458" s="2" t="s">
        <v>5221</v>
      </c>
      <c r="M7458" s="2" t="s">
        <v>5221</v>
      </c>
      <c r="N7458" s="2" t="s">
        <v>2317</v>
      </c>
      <c r="O7458" s="14">
        <v>18500</v>
      </c>
      <c r="P7458" s="14">
        <v>99.16</v>
      </c>
      <c r="Q7458" s="14">
        <v>155.4</v>
      </c>
      <c r="R7458" s="14">
        <v>317.02</v>
      </c>
      <c r="S7458" s="2" t="s">
        <v>5984</v>
      </c>
      <c r="T7458" s="2">
        <v>1</v>
      </c>
      <c r="U7458" s="2">
        <v>67.2</v>
      </c>
      <c r="V7458" s="2">
        <v>62</v>
      </c>
      <c r="W7458" s="2" t="s">
        <v>7862</v>
      </c>
      <c r="X7458" s="2" t="s">
        <v>6838</v>
      </c>
      <c r="Y7458" s="2">
        <v>37740</v>
      </c>
      <c r="Z7458" s="19" t="str">
        <f>HYPERLINK("https://ssdweb.co/ssdweb/hd/Vision360.html?d=925771285&amp;zoomslide=1&amp;z=1925771285&amp;ISCONFIRM=0","VIDEO")</f>
        <v>VIDEO</v>
      </c>
      <c r="AA7458" s="19" t="str">
        <f>HYPERLINK("https://ssdweb.co/ssdweb/CERTH/626427545.pdf","CERTI")</f>
        <v>CERTI</v>
      </c>
    </row>
    <row r="7459" spans="1:27" ht="15" x14ac:dyDescent="0.25">
      <c r="A7459" s="2">
        <v>7454</v>
      </c>
      <c r="B7459" s="39">
        <v>925801206</v>
      </c>
      <c r="C7459" s="28" t="str">
        <f>HYPERLINK("https://pld.live/RapDetail.aspx?STONELIST=925801206","DNA")</f>
        <v>DNA</v>
      </c>
      <c r="D7459" s="18" t="s">
        <v>3658</v>
      </c>
      <c r="E7459" s="18" t="s">
        <v>5128</v>
      </c>
      <c r="F7459" s="2" t="s">
        <v>7987</v>
      </c>
      <c r="G7459" s="2" t="s">
        <v>15</v>
      </c>
      <c r="H7459" s="14">
        <v>2.04</v>
      </c>
      <c r="I7459" s="2" t="s">
        <v>267</v>
      </c>
      <c r="J7459" s="2" t="s">
        <v>3942</v>
      </c>
      <c r="K7459" s="2" t="s">
        <v>1452</v>
      </c>
      <c r="L7459" s="2" t="s">
        <v>5221</v>
      </c>
      <c r="M7459" s="2" t="s">
        <v>5221</v>
      </c>
      <c r="N7459" s="2" t="s">
        <v>2317</v>
      </c>
      <c r="O7459" s="14">
        <v>18500</v>
      </c>
      <c r="P7459" s="14">
        <v>99.16</v>
      </c>
      <c r="Q7459" s="14">
        <v>155.4</v>
      </c>
      <c r="R7459" s="14">
        <v>317.02</v>
      </c>
      <c r="S7459" s="2" t="s">
        <v>3937</v>
      </c>
      <c r="T7459" s="2">
        <v>1.02</v>
      </c>
      <c r="U7459" s="2">
        <v>64</v>
      </c>
      <c r="V7459" s="2">
        <v>67</v>
      </c>
      <c r="W7459" s="2" t="s">
        <v>7862</v>
      </c>
      <c r="X7459" s="2" t="s">
        <v>6838</v>
      </c>
      <c r="Y7459" s="2">
        <v>37740</v>
      </c>
      <c r="Z7459" s="19" t="str">
        <f>HYPERLINK("https://ssdweb.co/ssdweb/hd/Vision360.html?d=925801206&amp;zoomslide=1&amp;z=1925801206&amp;ISCONFIRM=0","VIDEO")</f>
        <v>VIDEO</v>
      </c>
      <c r="AA7459" s="19" t="str">
        <f>HYPERLINK("https://ssdweb.co/ssdweb/CERTH/626457454.pdf","CERTI")</f>
        <v>CERTI</v>
      </c>
    </row>
    <row r="7460" spans="1:27" ht="15" x14ac:dyDescent="0.25">
      <c r="A7460" s="2">
        <v>7455</v>
      </c>
      <c r="B7460" s="39">
        <v>925961314</v>
      </c>
      <c r="C7460" s="28" t="str">
        <f>HYPERLINK("https://pld.live/RapDetail.aspx?STONELIST=925961314","DNA")</f>
        <v>DNA</v>
      </c>
      <c r="D7460" s="18" t="s">
        <v>3658</v>
      </c>
      <c r="E7460" s="18" t="s">
        <v>5128</v>
      </c>
      <c r="F7460" s="2" t="s">
        <v>7987</v>
      </c>
      <c r="G7460" s="2" t="s">
        <v>15</v>
      </c>
      <c r="H7460" s="14">
        <v>2.04</v>
      </c>
      <c r="I7460" s="2" t="s">
        <v>267</v>
      </c>
      <c r="J7460" s="2" t="s">
        <v>5144</v>
      </c>
      <c r="K7460" s="2" t="s">
        <v>1452</v>
      </c>
      <c r="L7460" s="2" t="s">
        <v>5221</v>
      </c>
      <c r="M7460" s="2" t="s">
        <v>5221</v>
      </c>
      <c r="N7460" s="2" t="s">
        <v>2317</v>
      </c>
      <c r="O7460" s="14">
        <v>16000</v>
      </c>
      <c r="P7460" s="14">
        <v>99.13</v>
      </c>
      <c r="Q7460" s="14">
        <v>139.19999999999999</v>
      </c>
      <c r="R7460" s="14">
        <v>283.97000000000003</v>
      </c>
      <c r="S7460" s="2" t="s">
        <v>130</v>
      </c>
      <c r="T7460" s="2">
        <v>1.03</v>
      </c>
      <c r="U7460" s="2">
        <v>63.4</v>
      </c>
      <c r="V7460" s="2">
        <v>68</v>
      </c>
      <c r="W7460" s="2" t="s">
        <v>7862</v>
      </c>
      <c r="X7460" s="2" t="s">
        <v>6838</v>
      </c>
      <c r="Y7460" s="2">
        <v>32640</v>
      </c>
      <c r="Z7460" s="19" t="str">
        <f>HYPERLINK("https://ssdweb.co/ssdweb/hd/Vision360.html?d=925961314&amp;zoomslide=1&amp;z=1925961314&amp;ISCONFIRM=0","VIDEO")</f>
        <v>VIDEO</v>
      </c>
      <c r="AA7460" s="19" t="str">
        <f>HYPERLINK("https://ssdweb.co/ssdweb/CERTH/629479095.pdf","CERTI")</f>
        <v>CERTI</v>
      </c>
    </row>
    <row r="7461" spans="1:27" ht="15" x14ac:dyDescent="0.25">
      <c r="A7461" s="2">
        <v>7456</v>
      </c>
      <c r="B7461" s="39">
        <v>925771024</v>
      </c>
      <c r="C7461" s="28" t="str">
        <f>HYPERLINK("https://pld.live/RapDetail.aspx?STONELIST=925771024","DNA")</f>
        <v>DNA</v>
      </c>
      <c r="D7461" s="18" t="s">
        <v>3658</v>
      </c>
      <c r="E7461" s="18" t="s">
        <v>5128</v>
      </c>
      <c r="F7461" s="2" t="s">
        <v>7987</v>
      </c>
      <c r="G7461" s="2" t="s">
        <v>15</v>
      </c>
      <c r="H7461" s="14">
        <v>2.04</v>
      </c>
      <c r="I7461" s="2" t="s">
        <v>4761</v>
      </c>
      <c r="J7461" s="2" t="s">
        <v>3942</v>
      </c>
      <c r="K7461" s="2" t="s">
        <v>1452</v>
      </c>
      <c r="L7461" s="2" t="s">
        <v>5221</v>
      </c>
      <c r="M7461" s="2" t="s">
        <v>5221</v>
      </c>
      <c r="N7461" s="2" t="s">
        <v>2317</v>
      </c>
      <c r="O7461" s="14">
        <v>17000</v>
      </c>
      <c r="P7461" s="14">
        <v>99.15</v>
      </c>
      <c r="Q7461" s="14">
        <v>144.5</v>
      </c>
      <c r="R7461" s="14">
        <v>294.77999999999997</v>
      </c>
      <c r="S7461" s="2" t="s">
        <v>7551</v>
      </c>
      <c r="T7461" s="2">
        <v>1.02</v>
      </c>
      <c r="U7461" s="2">
        <v>64.400000000000006</v>
      </c>
      <c r="V7461" s="2">
        <v>66</v>
      </c>
      <c r="W7461" s="2" t="s">
        <v>7862</v>
      </c>
      <c r="X7461" s="2" t="s">
        <v>6838</v>
      </c>
      <c r="Y7461" s="2">
        <v>34680</v>
      </c>
      <c r="Z7461" s="19" t="str">
        <f>HYPERLINK("https://ssdweb.co/ssdweb/hd/Vision360.html?d=925771024&amp;zoomslide=1&amp;z=1925771024&amp;ISCONFIRM=0","VIDEO")</f>
        <v>VIDEO</v>
      </c>
      <c r="AA7461" s="19" t="str">
        <f>HYPERLINK("https://ssdweb.co/ssdweb/CERTH/626457397.pdf","CERTI")</f>
        <v>CERTI</v>
      </c>
    </row>
    <row r="7462" spans="1:27" ht="15" x14ac:dyDescent="0.25">
      <c r="A7462" s="2">
        <v>7457</v>
      </c>
      <c r="B7462" s="39">
        <v>925720791</v>
      </c>
      <c r="C7462" s="28" t="str">
        <f>HYPERLINK("https://pld.live/RapDetail.aspx?STONELIST=925720791","DNA")</f>
        <v>DNA</v>
      </c>
      <c r="D7462" s="18" t="s">
        <v>3658</v>
      </c>
      <c r="E7462" s="18" t="s">
        <v>5128</v>
      </c>
      <c r="F7462" s="2" t="s">
        <v>7987</v>
      </c>
      <c r="G7462" s="2" t="s">
        <v>15</v>
      </c>
      <c r="H7462" s="14">
        <v>2.04</v>
      </c>
      <c r="I7462" s="2" t="s">
        <v>4761</v>
      </c>
      <c r="J7462" s="2" t="s">
        <v>3942</v>
      </c>
      <c r="K7462" s="2" t="s">
        <v>1452</v>
      </c>
      <c r="L7462" s="2" t="s">
        <v>5221</v>
      </c>
      <c r="M7462" s="2" t="s">
        <v>5221</v>
      </c>
      <c r="N7462" s="2" t="s">
        <v>2317</v>
      </c>
      <c r="O7462" s="14">
        <v>17000</v>
      </c>
      <c r="P7462" s="14">
        <v>99.15</v>
      </c>
      <c r="Q7462" s="14">
        <v>144.5</v>
      </c>
      <c r="R7462" s="14">
        <v>294.77999999999997</v>
      </c>
      <c r="S7462" s="2" t="s">
        <v>1285</v>
      </c>
      <c r="T7462" s="2">
        <v>1</v>
      </c>
      <c r="U7462" s="2">
        <v>67.599999999999994</v>
      </c>
      <c r="V7462" s="2">
        <v>66</v>
      </c>
      <c r="W7462" s="2" t="s">
        <v>7862</v>
      </c>
      <c r="X7462" s="2" t="s">
        <v>6838</v>
      </c>
      <c r="Y7462" s="2">
        <v>34680</v>
      </c>
      <c r="Z7462" s="19" t="str">
        <f>HYPERLINK("https://ssdweb.co/ssdweb/hd/Vision360.html?d=925720791&amp;zoomslide=1&amp;z=1925720791&amp;ISCONFIRM=0","VIDEO")</f>
        <v>VIDEO</v>
      </c>
      <c r="AA7462" s="19" t="str">
        <f>HYPERLINK("https://ssdweb.co/ssdweb/CERTH/622461236.pdf","CERTI")</f>
        <v>CERTI</v>
      </c>
    </row>
    <row r="7463" spans="1:27" ht="15" x14ac:dyDescent="0.25">
      <c r="A7463" s="2">
        <v>7458</v>
      </c>
      <c r="B7463" s="39">
        <v>925270542</v>
      </c>
      <c r="C7463" s="28" t="str">
        <f>HYPERLINK("https://pld.live/RapDetail.aspx?STONELIST=925270542","DNA")</f>
        <v>DNA</v>
      </c>
      <c r="D7463" s="18" t="s">
        <v>3658</v>
      </c>
      <c r="E7463" s="18" t="s">
        <v>5128</v>
      </c>
      <c r="F7463" s="2" t="s">
        <v>7987</v>
      </c>
      <c r="G7463" s="2" t="s">
        <v>15</v>
      </c>
      <c r="H7463" s="14">
        <v>2.04</v>
      </c>
      <c r="I7463" s="2" t="s">
        <v>4761</v>
      </c>
      <c r="J7463" s="2" t="s">
        <v>13</v>
      </c>
      <c r="K7463" s="2" t="s">
        <v>1452</v>
      </c>
      <c r="L7463" s="2" t="s">
        <v>5221</v>
      </c>
      <c r="M7463" s="2" t="s">
        <v>5221</v>
      </c>
      <c r="N7463" s="2" t="s">
        <v>2317</v>
      </c>
      <c r="O7463" s="14">
        <v>16000</v>
      </c>
      <c r="P7463" s="14">
        <v>99.13</v>
      </c>
      <c r="Q7463" s="14">
        <v>139.19999999999999</v>
      </c>
      <c r="R7463" s="14">
        <v>283.97000000000003</v>
      </c>
      <c r="S7463" s="2" t="s">
        <v>3322</v>
      </c>
      <c r="T7463" s="2">
        <v>1.03</v>
      </c>
      <c r="U7463" s="2">
        <v>63.4</v>
      </c>
      <c r="V7463" s="2">
        <v>64</v>
      </c>
      <c r="W7463" s="2" t="s">
        <v>7862</v>
      </c>
      <c r="X7463" s="2" t="s">
        <v>6838</v>
      </c>
      <c r="Y7463" s="2">
        <v>32640</v>
      </c>
      <c r="Z7463" s="19" t="str">
        <f>HYPERLINK("https://ssdweb.co/ssdweb/hd/Vision360.html?d=925270542&amp;zoomslide=1&amp;z=1925270542&amp;ISCONFIRM=0","VIDEO")</f>
        <v>VIDEO</v>
      </c>
      <c r="AA7463" s="19" t="str">
        <f>HYPERLINK("https://ssdweb.co/ssdweb/CERTH/619453405.pdf","CERTI")</f>
        <v>CERTI</v>
      </c>
    </row>
    <row r="7464" spans="1:27" ht="15" x14ac:dyDescent="0.25">
      <c r="A7464" s="2">
        <v>7459</v>
      </c>
      <c r="B7464" s="39">
        <v>925370448</v>
      </c>
      <c r="C7464" s="28" t="str">
        <f>HYPERLINK("https://pld.live/RapDetail.aspx?STONELIST=925370448","DNA")</f>
        <v>DNA</v>
      </c>
      <c r="D7464" s="18" t="s">
        <v>3658</v>
      </c>
      <c r="E7464" s="18" t="s">
        <v>5128</v>
      </c>
      <c r="F7464" s="2" t="s">
        <v>7987</v>
      </c>
      <c r="G7464" s="2" t="s">
        <v>15</v>
      </c>
      <c r="H7464" s="14">
        <v>2.04</v>
      </c>
      <c r="I7464" s="2" t="s">
        <v>4761</v>
      </c>
      <c r="J7464" s="2" t="s">
        <v>5144</v>
      </c>
      <c r="K7464" s="2" t="s">
        <v>1452</v>
      </c>
      <c r="L7464" s="2" t="s">
        <v>5221</v>
      </c>
      <c r="M7464" s="2" t="s">
        <v>5221</v>
      </c>
      <c r="N7464" s="2" t="s">
        <v>2317</v>
      </c>
      <c r="O7464" s="14">
        <v>15000</v>
      </c>
      <c r="P7464" s="14">
        <v>99.13</v>
      </c>
      <c r="Q7464" s="14">
        <v>130.5</v>
      </c>
      <c r="R7464" s="14">
        <v>266.22000000000003</v>
      </c>
      <c r="S7464" s="2" t="s">
        <v>4531</v>
      </c>
      <c r="T7464" s="2">
        <v>1.02</v>
      </c>
      <c r="U7464" s="2">
        <v>62.8</v>
      </c>
      <c r="V7464" s="2">
        <v>65</v>
      </c>
      <c r="W7464" s="2" t="s">
        <v>7862</v>
      </c>
      <c r="X7464" s="2" t="s">
        <v>6838</v>
      </c>
      <c r="Y7464" s="2">
        <v>30600</v>
      </c>
      <c r="Z7464" s="19" t="str">
        <f>HYPERLINK("https://ssdweb.co/ssdweb/hd/Vision360.html?d=925370448&amp;zoomslide=1&amp;z=1925370448&amp;ISCONFIRM=0","VIDEO")</f>
        <v>VIDEO</v>
      </c>
      <c r="AA7464" s="19" t="str">
        <f>HYPERLINK("https://ssdweb.co/ssdweb/CERTH/620469808.pdf","CERTI")</f>
        <v>CERTI</v>
      </c>
    </row>
    <row r="7465" spans="1:27" ht="15" x14ac:dyDescent="0.25">
      <c r="A7465" s="2">
        <v>7460</v>
      </c>
      <c r="B7465" s="39">
        <v>925771305</v>
      </c>
      <c r="C7465" s="28" t="str">
        <f>HYPERLINK("https://pld.live/RapDetail.aspx?STONELIST=925771305","DNA")</f>
        <v>DNA</v>
      </c>
      <c r="D7465" s="18" t="s">
        <v>3658</v>
      </c>
      <c r="E7465" s="18" t="s">
        <v>5128</v>
      </c>
      <c r="F7465" s="2" t="s">
        <v>7987</v>
      </c>
      <c r="G7465" s="2" t="s">
        <v>15</v>
      </c>
      <c r="H7465" s="14">
        <v>2.0299999999999998</v>
      </c>
      <c r="I7465" s="2" t="s">
        <v>267</v>
      </c>
      <c r="J7465" s="2" t="s">
        <v>3942</v>
      </c>
      <c r="K7465" s="2" t="s">
        <v>1452</v>
      </c>
      <c r="L7465" s="2" t="s">
        <v>5221</v>
      </c>
      <c r="M7465" s="2" t="s">
        <v>5221</v>
      </c>
      <c r="N7465" s="2" t="s">
        <v>2317</v>
      </c>
      <c r="O7465" s="14">
        <v>18500</v>
      </c>
      <c r="P7465" s="14">
        <v>99.16</v>
      </c>
      <c r="Q7465" s="14">
        <v>155.4</v>
      </c>
      <c r="R7465" s="14">
        <v>315.45999999999998</v>
      </c>
      <c r="S7465" s="2" t="s">
        <v>3588</v>
      </c>
      <c r="T7465" s="2">
        <v>1</v>
      </c>
      <c r="U7465" s="2">
        <v>64.7</v>
      </c>
      <c r="V7465" s="2">
        <v>65</v>
      </c>
      <c r="W7465" s="2" t="s">
        <v>7862</v>
      </c>
      <c r="X7465" s="2" t="s">
        <v>6838</v>
      </c>
      <c r="Y7465" s="2">
        <v>37555</v>
      </c>
      <c r="Z7465" s="19" t="str">
        <f>HYPERLINK("https://ssdweb.co/ssdweb/hd/Vision360.html?d=925771305&amp;zoomslide=1&amp;z=1925771305&amp;ISCONFIRM=0","VIDEO")</f>
        <v>VIDEO</v>
      </c>
      <c r="AA7465" s="19" t="str">
        <f>HYPERLINK("https://ssdweb.co/ssdweb/CERTH/626499250.pdf","CERTI")</f>
        <v>CERTI</v>
      </c>
    </row>
    <row r="7466" spans="1:27" ht="15" x14ac:dyDescent="0.25">
      <c r="A7466" s="2">
        <v>7461</v>
      </c>
      <c r="B7466" s="39">
        <v>925861293</v>
      </c>
      <c r="C7466" s="28" t="str">
        <f>HYPERLINK("https://pld.live/RapDetail.aspx?STONELIST=925861293","DNA")</f>
        <v>DNA</v>
      </c>
      <c r="D7466" s="18" t="s">
        <v>3658</v>
      </c>
      <c r="E7466" s="18" t="s">
        <v>5128</v>
      </c>
      <c r="F7466" s="2" t="s">
        <v>7987</v>
      </c>
      <c r="G7466" s="2" t="s">
        <v>15</v>
      </c>
      <c r="H7466" s="14">
        <v>2.0299999999999998</v>
      </c>
      <c r="I7466" s="2" t="s">
        <v>267</v>
      </c>
      <c r="J7466" s="2" t="s">
        <v>3942</v>
      </c>
      <c r="K7466" s="2" t="s">
        <v>1452</v>
      </c>
      <c r="L7466" s="2" t="s">
        <v>5221</v>
      </c>
      <c r="M7466" s="2" t="s">
        <v>5221</v>
      </c>
      <c r="N7466" s="2" t="s">
        <v>2317</v>
      </c>
      <c r="O7466" s="14">
        <v>18500</v>
      </c>
      <c r="P7466" s="14">
        <v>99.16</v>
      </c>
      <c r="Q7466" s="14">
        <v>155.4</v>
      </c>
      <c r="R7466" s="14">
        <v>315.45999999999998</v>
      </c>
      <c r="S7466" s="2" t="s">
        <v>4079</v>
      </c>
      <c r="T7466" s="2">
        <v>1.02</v>
      </c>
      <c r="U7466" s="2">
        <v>67.099999999999994</v>
      </c>
      <c r="V7466" s="2">
        <v>63</v>
      </c>
      <c r="W7466" s="2" t="s">
        <v>7862</v>
      </c>
      <c r="X7466" s="2" t="s">
        <v>6838</v>
      </c>
      <c r="Y7466" s="2">
        <v>37555</v>
      </c>
      <c r="Z7466" s="19" t="str">
        <f>HYPERLINK("https://ssdweb.co/ssdweb/hd/Vision360.html?d=925861293&amp;zoomslide=1&amp;z=1925861293&amp;ISCONFIRM=0","VIDEO")</f>
        <v>VIDEO</v>
      </c>
      <c r="AA7466" s="19" t="str">
        <f>HYPERLINK("https://ssdweb.co/ssdweb/CERTH/627473213.pdf","CERTI")</f>
        <v>CERTI</v>
      </c>
    </row>
    <row r="7467" spans="1:27" ht="15" x14ac:dyDescent="0.25">
      <c r="A7467" s="2">
        <v>7462</v>
      </c>
      <c r="B7467" s="39">
        <v>925850579</v>
      </c>
      <c r="C7467" s="28" t="str">
        <f>HYPERLINK("https://pld.live/RapDetail.aspx?STONELIST=925850579","DNA")</f>
        <v>DNA</v>
      </c>
      <c r="D7467" s="18" t="s">
        <v>3658</v>
      </c>
      <c r="E7467" s="18" t="s">
        <v>5128</v>
      </c>
      <c r="F7467" s="2" t="s">
        <v>7987</v>
      </c>
      <c r="G7467" s="2" t="s">
        <v>15</v>
      </c>
      <c r="H7467" s="14">
        <v>2.0299999999999998</v>
      </c>
      <c r="I7467" s="2" t="s">
        <v>267</v>
      </c>
      <c r="J7467" s="2" t="s">
        <v>3942</v>
      </c>
      <c r="K7467" s="2" t="s">
        <v>1452</v>
      </c>
      <c r="L7467" s="2" t="s">
        <v>5221</v>
      </c>
      <c r="M7467" s="2" t="s">
        <v>5221</v>
      </c>
      <c r="N7467" s="2" t="s">
        <v>2317</v>
      </c>
      <c r="O7467" s="14">
        <v>18500</v>
      </c>
      <c r="P7467" s="14">
        <v>99.16</v>
      </c>
      <c r="Q7467" s="14">
        <v>155.4</v>
      </c>
      <c r="R7467" s="14">
        <v>315.45999999999998</v>
      </c>
      <c r="S7467" s="2" t="s">
        <v>6971</v>
      </c>
      <c r="T7467" s="2">
        <v>1.03</v>
      </c>
      <c r="U7467" s="2">
        <v>64</v>
      </c>
      <c r="V7467" s="2">
        <v>67</v>
      </c>
      <c r="W7467" s="2" t="s">
        <v>7862</v>
      </c>
      <c r="X7467" s="2" t="s">
        <v>6838</v>
      </c>
      <c r="Y7467" s="2">
        <v>37555</v>
      </c>
      <c r="Z7467" s="19" t="str">
        <f>HYPERLINK("https://ssdweb.co/ssdweb/hd/Vision360.html?d=925850579&amp;zoomslide=1&amp;z=1925850579&amp;ISCONFIRM=0","VIDEO")</f>
        <v>VIDEO</v>
      </c>
      <c r="AA7467" s="19" t="str">
        <f>HYPERLINK("https://ssdweb.co/ssdweb/CERTH/626499210.pdf","CERTI")</f>
        <v>CERTI</v>
      </c>
    </row>
    <row r="7468" spans="1:27" ht="15" x14ac:dyDescent="0.25">
      <c r="A7468" s="2">
        <v>7463</v>
      </c>
      <c r="B7468" s="39">
        <v>925771243</v>
      </c>
      <c r="C7468" s="28" t="str">
        <f>HYPERLINK("https://pld.live/RapDetail.aspx?STONELIST=925771243","DNA")</f>
        <v>DNA</v>
      </c>
      <c r="D7468" s="18" t="s">
        <v>3658</v>
      </c>
      <c r="E7468" s="18" t="s">
        <v>5128</v>
      </c>
      <c r="F7468" s="2" t="s">
        <v>7987</v>
      </c>
      <c r="G7468" s="2" t="s">
        <v>15</v>
      </c>
      <c r="H7468" s="14">
        <v>2.0299999999999998</v>
      </c>
      <c r="I7468" s="2" t="s">
        <v>267</v>
      </c>
      <c r="J7468" s="2" t="s">
        <v>13</v>
      </c>
      <c r="K7468" s="2" t="s">
        <v>1452</v>
      </c>
      <c r="L7468" s="2" t="s">
        <v>5221</v>
      </c>
      <c r="M7468" s="2" t="s">
        <v>5221</v>
      </c>
      <c r="N7468" s="2" t="s">
        <v>2317</v>
      </c>
      <c r="O7468" s="14">
        <v>17500</v>
      </c>
      <c r="P7468" s="14">
        <v>99.14</v>
      </c>
      <c r="Q7468" s="14">
        <v>150.5</v>
      </c>
      <c r="R7468" s="14">
        <v>305.52</v>
      </c>
      <c r="S7468" s="2" t="s">
        <v>7517</v>
      </c>
      <c r="T7468" s="2">
        <v>1</v>
      </c>
      <c r="U7468" s="2">
        <v>64.5</v>
      </c>
      <c r="V7468" s="2">
        <v>66</v>
      </c>
      <c r="W7468" s="2" t="s">
        <v>7862</v>
      </c>
      <c r="X7468" s="2" t="s">
        <v>6838</v>
      </c>
      <c r="Y7468" s="2">
        <v>35525</v>
      </c>
      <c r="Z7468" s="19" t="str">
        <f>HYPERLINK("https://ssdweb.co/ssdweb/hd/Vision360.html?d=925771243&amp;zoomslide=1&amp;z=1925771243&amp;ISCONFIRM=0","VIDEO")</f>
        <v>VIDEO</v>
      </c>
      <c r="AA7468" s="19" t="str">
        <f>HYPERLINK("https://ssdweb.co/ssdweb/CERTH/626414900.pdf","CERTI")</f>
        <v>CERTI</v>
      </c>
    </row>
    <row r="7469" spans="1:27" ht="15" x14ac:dyDescent="0.25">
      <c r="A7469" s="2">
        <v>7464</v>
      </c>
      <c r="B7469" s="39">
        <v>925980658</v>
      </c>
      <c r="C7469" s="28" t="str">
        <f>HYPERLINK("https://pld.live/RapDetail.aspx?STONELIST=925980658","DNA")</f>
        <v>DNA</v>
      </c>
      <c r="D7469" s="18" t="s">
        <v>3658</v>
      </c>
      <c r="E7469" s="18" t="s">
        <v>5128</v>
      </c>
      <c r="F7469" s="2" t="s">
        <v>7987</v>
      </c>
      <c r="G7469" s="2" t="s">
        <v>15</v>
      </c>
      <c r="H7469" s="14">
        <v>2.0299999999999998</v>
      </c>
      <c r="I7469" s="2" t="s">
        <v>267</v>
      </c>
      <c r="J7469" s="2" t="s">
        <v>13</v>
      </c>
      <c r="K7469" s="2" t="s">
        <v>1452</v>
      </c>
      <c r="L7469" s="2" t="s">
        <v>5221</v>
      </c>
      <c r="M7469" s="2" t="s">
        <v>5221</v>
      </c>
      <c r="N7469" s="2" t="s">
        <v>2317</v>
      </c>
      <c r="O7469" s="14">
        <v>17500</v>
      </c>
      <c r="P7469" s="14">
        <v>99.14</v>
      </c>
      <c r="Q7469" s="14">
        <v>150.5</v>
      </c>
      <c r="R7469" s="14">
        <v>305.52</v>
      </c>
      <c r="S7469" s="2" t="s">
        <v>98</v>
      </c>
      <c r="T7469" s="2">
        <v>1.01</v>
      </c>
      <c r="U7469" s="2">
        <v>66.599999999999994</v>
      </c>
      <c r="V7469" s="2">
        <v>68</v>
      </c>
      <c r="W7469" s="2" t="s">
        <v>7862</v>
      </c>
      <c r="X7469" s="2" t="s">
        <v>6838</v>
      </c>
      <c r="Y7469" s="2">
        <v>35525</v>
      </c>
      <c r="Z7469" s="19" t="str">
        <f>HYPERLINK("https://ssdweb.co/ssdweb/hd/Vision360.html?d=925980658&amp;zoomslide=1&amp;z=1925980658&amp;ISCONFIRM=0","VIDEO")</f>
        <v>VIDEO</v>
      </c>
      <c r="AA7469" s="19" t="str">
        <f>HYPERLINK("https://ssdweb.co/ssdweb/CERTH/628427103.pdf","CERTI")</f>
        <v>CERTI</v>
      </c>
    </row>
    <row r="7470" spans="1:27" ht="15" x14ac:dyDescent="0.25">
      <c r="A7470" s="2">
        <v>7465</v>
      </c>
      <c r="B7470" s="39">
        <v>925731567</v>
      </c>
      <c r="C7470" s="28" t="str">
        <f>HYPERLINK("https://pld.live/RapDetail.aspx?STONELIST=925731567","DNA")</f>
        <v>DNA</v>
      </c>
      <c r="D7470" s="18" t="s">
        <v>3658</v>
      </c>
      <c r="E7470" s="18" t="s">
        <v>5128</v>
      </c>
      <c r="F7470" s="2" t="s">
        <v>7987</v>
      </c>
      <c r="G7470" s="2" t="s">
        <v>15</v>
      </c>
      <c r="H7470" s="14">
        <v>2.0299999999999998</v>
      </c>
      <c r="I7470" s="2" t="s">
        <v>4761</v>
      </c>
      <c r="J7470" s="2" t="s">
        <v>3942</v>
      </c>
      <c r="K7470" s="2" t="s">
        <v>1452</v>
      </c>
      <c r="L7470" s="2" t="s">
        <v>5221</v>
      </c>
      <c r="M7470" s="2" t="s">
        <v>5221</v>
      </c>
      <c r="N7470" s="2" t="s">
        <v>2317</v>
      </c>
      <c r="O7470" s="14">
        <v>17000</v>
      </c>
      <c r="P7470" s="14">
        <v>99.15</v>
      </c>
      <c r="Q7470" s="14">
        <v>144.5</v>
      </c>
      <c r="R7470" s="14">
        <v>293.33999999999997</v>
      </c>
      <c r="S7470" s="2" t="s">
        <v>2894</v>
      </c>
      <c r="T7470" s="2">
        <v>1.02</v>
      </c>
      <c r="U7470" s="2">
        <v>64.900000000000006</v>
      </c>
      <c r="V7470" s="2">
        <v>65</v>
      </c>
      <c r="W7470" s="2" t="s">
        <v>7862</v>
      </c>
      <c r="X7470" s="2" t="s">
        <v>6838</v>
      </c>
      <c r="Y7470" s="2">
        <v>34510</v>
      </c>
      <c r="Z7470" s="19" t="str">
        <f>HYPERLINK("https://ssdweb.co/ssdweb/hd/Vision360.html?d=925731567&amp;zoomslide=1&amp;z=1925731567&amp;ISCONFIRM=0","VIDEO")</f>
        <v>VIDEO</v>
      </c>
      <c r="AA7470" s="19" t="str">
        <f>HYPERLINK("https://ssdweb.co/ssdweb/CERTH/624440158.pdf","CERTI")</f>
        <v>CERTI</v>
      </c>
    </row>
    <row r="7471" spans="1:27" ht="15" x14ac:dyDescent="0.25">
      <c r="A7471" s="2">
        <v>7466</v>
      </c>
      <c r="B7471" s="39">
        <v>925801497</v>
      </c>
      <c r="C7471" s="28" t="str">
        <f>HYPERLINK("https://pld.live/RapDetail.aspx?STONELIST=925801497","DNA")</f>
        <v>DNA</v>
      </c>
      <c r="D7471" s="18" t="s">
        <v>3658</v>
      </c>
      <c r="E7471" s="18" t="s">
        <v>5128</v>
      </c>
      <c r="F7471" s="2" t="s">
        <v>7987</v>
      </c>
      <c r="G7471" s="2" t="s">
        <v>15</v>
      </c>
      <c r="H7471" s="14">
        <v>2.0299999999999998</v>
      </c>
      <c r="I7471" s="2" t="s">
        <v>4761</v>
      </c>
      <c r="J7471" s="2" t="s">
        <v>3942</v>
      </c>
      <c r="K7471" s="2" t="s">
        <v>1452</v>
      </c>
      <c r="L7471" s="2" t="s">
        <v>5221</v>
      </c>
      <c r="M7471" s="2" t="s">
        <v>5221</v>
      </c>
      <c r="N7471" s="2" t="s">
        <v>2317</v>
      </c>
      <c r="O7471" s="14">
        <v>17000</v>
      </c>
      <c r="P7471" s="14">
        <v>99.15</v>
      </c>
      <c r="Q7471" s="14">
        <v>144.5</v>
      </c>
      <c r="R7471" s="14">
        <v>293.33999999999997</v>
      </c>
      <c r="S7471" s="2" t="s">
        <v>6319</v>
      </c>
      <c r="T7471" s="2">
        <v>1</v>
      </c>
      <c r="U7471" s="2">
        <v>67.099999999999994</v>
      </c>
      <c r="V7471" s="2">
        <v>62</v>
      </c>
      <c r="W7471" s="2" t="s">
        <v>7862</v>
      </c>
      <c r="X7471" s="2" t="s">
        <v>6838</v>
      </c>
      <c r="Y7471" s="2">
        <v>34510</v>
      </c>
      <c r="Z7471" s="19" t="str">
        <f>HYPERLINK("https://ssdweb.co/ssdweb/hd/Vision360.html?d=925801497&amp;zoomslide=1&amp;z=1925801497&amp;ISCONFIRM=0","VIDEO")</f>
        <v>VIDEO</v>
      </c>
      <c r="AA7471" s="19" t="str">
        <f>HYPERLINK("https://ssdweb.co/ssdweb/CERTH/626414921.pdf","CERTI")</f>
        <v>CERTI</v>
      </c>
    </row>
    <row r="7472" spans="1:27" ht="15" x14ac:dyDescent="0.25">
      <c r="A7472" s="2">
        <v>7467</v>
      </c>
      <c r="B7472" s="39">
        <v>925960314</v>
      </c>
      <c r="C7472" s="28" t="str">
        <f>HYPERLINK("https://pld.live/RapDetail.aspx?STONELIST=925960314","DNA")</f>
        <v>DNA</v>
      </c>
      <c r="D7472" s="18" t="s">
        <v>3658</v>
      </c>
      <c r="E7472" s="18" t="s">
        <v>5128</v>
      </c>
      <c r="F7472" s="2" t="s">
        <v>7987</v>
      </c>
      <c r="G7472" s="2" t="s">
        <v>15</v>
      </c>
      <c r="H7472" s="14">
        <v>2.0299999999999998</v>
      </c>
      <c r="I7472" s="2" t="s">
        <v>4699</v>
      </c>
      <c r="J7472" s="2" t="s">
        <v>3942</v>
      </c>
      <c r="K7472" s="2" t="s">
        <v>1452</v>
      </c>
      <c r="L7472" s="2" t="s">
        <v>5221</v>
      </c>
      <c r="M7472" s="2" t="s">
        <v>5221</v>
      </c>
      <c r="N7472" s="2" t="s">
        <v>2317</v>
      </c>
      <c r="O7472" s="14">
        <v>16000</v>
      </c>
      <c r="P7472" s="14">
        <v>99.17</v>
      </c>
      <c r="Q7472" s="14">
        <v>132.80000000000001</v>
      </c>
      <c r="R7472" s="14">
        <v>269.58</v>
      </c>
      <c r="S7472" s="2" t="s">
        <v>4204</v>
      </c>
      <c r="T7472" s="2">
        <v>1</v>
      </c>
      <c r="U7472" s="2">
        <v>67.3</v>
      </c>
      <c r="V7472" s="2">
        <v>62</v>
      </c>
      <c r="W7472" s="2" t="s">
        <v>4336</v>
      </c>
      <c r="X7472" s="2" t="s">
        <v>6838</v>
      </c>
      <c r="Y7472" s="2">
        <v>32480</v>
      </c>
      <c r="Z7472" s="19" t="str">
        <f>HYPERLINK("https://ssdweb.co/ssdweb/hd/Vision360.html?d=925960314&amp;zoomslide=1&amp;z=1925960314&amp;ISCONFIRM=0","VIDEO")</f>
        <v>VIDEO</v>
      </c>
      <c r="AA7472" s="19" t="str">
        <f>HYPERLINK("https://ssdweb.co/ssdweb/CERTH/627431826.pdf","CERTI")</f>
        <v>CERTI</v>
      </c>
    </row>
    <row r="7473" spans="1:27" ht="15" x14ac:dyDescent="0.25">
      <c r="A7473" s="2">
        <v>7468</v>
      </c>
      <c r="B7473" s="39">
        <v>925950395</v>
      </c>
      <c r="C7473" s="28" t="str">
        <f>HYPERLINK("https://pld.live/RapDetail.aspx?STONELIST=925950395","DNA")</f>
        <v>DNA</v>
      </c>
      <c r="D7473" s="18" t="s">
        <v>3658</v>
      </c>
      <c r="E7473" s="18" t="s">
        <v>5128</v>
      </c>
      <c r="F7473" s="2" t="s">
        <v>7987</v>
      </c>
      <c r="G7473" s="2" t="s">
        <v>15</v>
      </c>
      <c r="H7473" s="14">
        <v>2.02</v>
      </c>
      <c r="I7473" s="2" t="s">
        <v>267</v>
      </c>
      <c r="J7473" s="2" t="s">
        <v>6555</v>
      </c>
      <c r="K7473" s="2" t="s">
        <v>1452</v>
      </c>
      <c r="L7473" s="2" t="s">
        <v>5221</v>
      </c>
      <c r="M7473" s="2" t="s">
        <v>5221</v>
      </c>
      <c r="N7473" s="2" t="s">
        <v>2317</v>
      </c>
      <c r="O7473" s="14">
        <v>20000</v>
      </c>
      <c r="P7473" s="14">
        <v>98.83</v>
      </c>
      <c r="Q7473" s="14">
        <v>234</v>
      </c>
      <c r="R7473" s="14">
        <v>472.68</v>
      </c>
      <c r="S7473" s="2" t="s">
        <v>7133</v>
      </c>
      <c r="T7473" s="2">
        <v>1.01</v>
      </c>
      <c r="U7473" s="2">
        <v>65.2</v>
      </c>
      <c r="V7473" s="2">
        <v>65</v>
      </c>
      <c r="W7473" s="2" t="s">
        <v>7862</v>
      </c>
      <c r="X7473" s="2" t="s">
        <v>6838</v>
      </c>
      <c r="Y7473" s="2">
        <v>40400</v>
      </c>
      <c r="Z7473" s="19" t="str">
        <f>HYPERLINK("https://ssdweb.co/ssdweb/hd/Vision360.html?d=925950395&amp;zoomslide=1&amp;z=1925950395&amp;ISCONFIRM=0","VIDEO")</f>
        <v>VIDEO</v>
      </c>
      <c r="AA7473" s="19" t="str">
        <f>HYPERLINK("https://ssdweb.co/ssdweb/CERTH/627410531.pdf","CERTI")</f>
        <v>CERTI</v>
      </c>
    </row>
    <row r="7474" spans="1:27" ht="15" x14ac:dyDescent="0.25">
      <c r="A7474" s="2">
        <v>7469</v>
      </c>
      <c r="B7474" s="39">
        <v>925850930</v>
      </c>
      <c r="C7474" s="28" t="str">
        <f>HYPERLINK("https://pld.live/RapDetail.aspx?STONELIST=925850930","DNA")</f>
        <v>DNA</v>
      </c>
      <c r="D7474" s="18" t="s">
        <v>3658</v>
      </c>
      <c r="E7474" s="18" t="s">
        <v>5128</v>
      </c>
      <c r="F7474" s="2" t="s">
        <v>7987</v>
      </c>
      <c r="G7474" s="2" t="s">
        <v>15</v>
      </c>
      <c r="H7474" s="14">
        <v>2.02</v>
      </c>
      <c r="I7474" s="2" t="s">
        <v>267</v>
      </c>
      <c r="J7474" s="2" t="s">
        <v>6555</v>
      </c>
      <c r="K7474" s="2" t="s">
        <v>1452</v>
      </c>
      <c r="L7474" s="2" t="s">
        <v>5221</v>
      </c>
      <c r="M7474" s="2" t="s">
        <v>5221</v>
      </c>
      <c r="N7474" s="2" t="s">
        <v>2317</v>
      </c>
      <c r="O7474" s="14">
        <v>20000</v>
      </c>
      <c r="P7474" s="14">
        <v>98.83</v>
      </c>
      <c r="Q7474" s="14">
        <v>234</v>
      </c>
      <c r="R7474" s="14">
        <v>472.68</v>
      </c>
      <c r="S7474" s="2" t="s">
        <v>791</v>
      </c>
      <c r="T7474" s="2">
        <v>1.02</v>
      </c>
      <c r="U7474" s="2">
        <v>63.7</v>
      </c>
      <c r="V7474" s="2">
        <v>68</v>
      </c>
      <c r="W7474" s="2" t="s">
        <v>7862</v>
      </c>
      <c r="X7474" s="2" t="s">
        <v>6838</v>
      </c>
      <c r="Y7474" s="2">
        <v>40400</v>
      </c>
      <c r="Z7474" s="19" t="str">
        <f>HYPERLINK("https://ssdweb.co/ssdweb/hd/Vision360.html?d=925850930&amp;zoomslide=1&amp;z=1925850930&amp;ISCONFIRM=0","VIDEO")</f>
        <v>VIDEO</v>
      </c>
      <c r="AA7474" s="19" t="str">
        <f>HYPERLINK("https://ssdweb.co/ssdweb/CERTH/627415206.pdf","CERTI")</f>
        <v>CERTI</v>
      </c>
    </row>
    <row r="7475" spans="1:27" ht="15" x14ac:dyDescent="0.25">
      <c r="A7475" s="2">
        <v>7470</v>
      </c>
      <c r="B7475" s="39">
        <v>925730799</v>
      </c>
      <c r="C7475" s="28" t="str">
        <f>HYPERLINK("https://pld.live/RapDetail.aspx?STONELIST=925730799","DNA")</f>
        <v>DNA</v>
      </c>
      <c r="D7475" s="18" t="s">
        <v>3658</v>
      </c>
      <c r="E7475" s="18" t="s">
        <v>5128</v>
      </c>
      <c r="F7475" s="2" t="s">
        <v>7987</v>
      </c>
      <c r="G7475" s="2" t="s">
        <v>15</v>
      </c>
      <c r="H7475" s="14">
        <v>2.02</v>
      </c>
      <c r="I7475" s="2" t="s">
        <v>267</v>
      </c>
      <c r="J7475" s="2" t="s">
        <v>3942</v>
      </c>
      <c r="K7475" s="2" t="s">
        <v>1452</v>
      </c>
      <c r="L7475" s="2" t="s">
        <v>5221</v>
      </c>
      <c r="M7475" s="2" t="s">
        <v>5221</v>
      </c>
      <c r="N7475" s="2" t="s">
        <v>2317</v>
      </c>
      <c r="O7475" s="14">
        <v>18500</v>
      </c>
      <c r="P7475" s="14">
        <v>99.16</v>
      </c>
      <c r="Q7475" s="14">
        <v>155.4</v>
      </c>
      <c r="R7475" s="14">
        <v>313.91000000000003</v>
      </c>
      <c r="S7475" s="2" t="s">
        <v>1532</v>
      </c>
      <c r="T7475" s="2">
        <v>1.01</v>
      </c>
      <c r="U7475" s="2">
        <v>65</v>
      </c>
      <c r="V7475" s="2">
        <v>67</v>
      </c>
      <c r="W7475" s="2" t="s">
        <v>7862</v>
      </c>
      <c r="X7475" s="2" t="s">
        <v>6838</v>
      </c>
      <c r="Y7475" s="2">
        <v>37370</v>
      </c>
      <c r="Z7475" s="19" t="str">
        <f>HYPERLINK("https://ssdweb.co/ssdweb/hd/Vision360.html?d=925730799&amp;zoomslide=1&amp;z=1925730799&amp;ISCONFIRM=0","VIDEO")</f>
        <v>VIDEO</v>
      </c>
      <c r="AA7475" s="19" t="str">
        <f>HYPERLINK("https://ssdweb.co/ssdweb/CERTH/623493304.pdf","CERTI")</f>
        <v>CERTI</v>
      </c>
    </row>
    <row r="7476" spans="1:27" ht="15" x14ac:dyDescent="0.25">
      <c r="A7476" s="2">
        <v>7471</v>
      </c>
      <c r="B7476" s="39">
        <v>926071384</v>
      </c>
      <c r="C7476" s="28" t="str">
        <f>HYPERLINK("https://pld.live/RapDetail.aspx?STONELIST=926071384","DNA")</f>
        <v>DNA</v>
      </c>
      <c r="D7476" s="18" t="s">
        <v>3658</v>
      </c>
      <c r="E7476" s="18" t="s">
        <v>5128</v>
      </c>
      <c r="F7476" s="2" t="s">
        <v>7987</v>
      </c>
      <c r="G7476" s="2" t="s">
        <v>15</v>
      </c>
      <c r="H7476" s="14">
        <v>2.02</v>
      </c>
      <c r="I7476" s="2" t="s">
        <v>267</v>
      </c>
      <c r="J7476" s="2" t="s">
        <v>3942</v>
      </c>
      <c r="K7476" s="2" t="s">
        <v>1452</v>
      </c>
      <c r="L7476" s="2" t="s">
        <v>5221</v>
      </c>
      <c r="M7476" s="2" t="s">
        <v>5221</v>
      </c>
      <c r="N7476" s="2" t="s">
        <v>2317</v>
      </c>
      <c r="O7476" s="14">
        <v>18500</v>
      </c>
      <c r="P7476" s="14">
        <v>99.16</v>
      </c>
      <c r="Q7476" s="14">
        <v>155.4</v>
      </c>
      <c r="R7476" s="14">
        <v>313.91000000000003</v>
      </c>
      <c r="S7476" s="2" t="s">
        <v>4004</v>
      </c>
      <c r="T7476" s="2">
        <v>1.01</v>
      </c>
      <c r="U7476" s="2">
        <v>68.2</v>
      </c>
      <c r="V7476" s="2">
        <v>65</v>
      </c>
      <c r="W7476" s="2" t="s">
        <v>7862</v>
      </c>
      <c r="X7476" s="2" t="s">
        <v>6838</v>
      </c>
      <c r="Y7476" s="2">
        <v>37370</v>
      </c>
      <c r="Z7476" s="19" t="str">
        <f>HYPERLINK("https://ssdweb.co/ssdweb/hd/Vision360.html?d=926071384&amp;zoomslide=1&amp;z=1926071384&amp;ISCONFIRM=0","VIDEO")</f>
        <v>VIDEO</v>
      </c>
      <c r="AA7476" s="19" t="str">
        <f>HYPERLINK("https://ssdweb.co/ssdweb/CERTH/631430281.pdf","CERTI")</f>
        <v>CERTI</v>
      </c>
    </row>
    <row r="7477" spans="1:27" ht="15" x14ac:dyDescent="0.25">
      <c r="A7477" s="2">
        <v>7472</v>
      </c>
      <c r="B7477" s="39">
        <v>925721878</v>
      </c>
      <c r="C7477" s="28" t="str">
        <f>HYPERLINK("https://pld.live/RapDetail.aspx?STONELIST=925721878","DNA")</f>
        <v>DNA</v>
      </c>
      <c r="D7477" s="18" t="s">
        <v>3658</v>
      </c>
      <c r="E7477" s="18" t="s">
        <v>5128</v>
      </c>
      <c r="F7477" s="2" t="s">
        <v>5597</v>
      </c>
      <c r="G7477" s="2" t="s">
        <v>15</v>
      </c>
      <c r="H7477" s="14">
        <v>2.02</v>
      </c>
      <c r="I7477" s="2" t="s">
        <v>4761</v>
      </c>
      <c r="J7477" s="2" t="s">
        <v>13</v>
      </c>
      <c r="K7477" s="2" t="s">
        <v>1452</v>
      </c>
      <c r="L7477" s="2" t="s">
        <v>5221</v>
      </c>
      <c r="M7477" s="2" t="s">
        <v>5721</v>
      </c>
      <c r="N7477" s="2" t="s">
        <v>2317</v>
      </c>
      <c r="O7477" s="14">
        <v>16000</v>
      </c>
      <c r="P7477" s="14">
        <v>98.51</v>
      </c>
      <c r="Q7477" s="14">
        <v>238.4</v>
      </c>
      <c r="R7477" s="14">
        <v>481.57</v>
      </c>
      <c r="S7477" s="2" t="s">
        <v>7691</v>
      </c>
      <c r="T7477" s="2">
        <v>1.02</v>
      </c>
      <c r="U7477" s="2">
        <v>64.599999999999994</v>
      </c>
      <c r="V7477" s="2">
        <v>62</v>
      </c>
      <c r="W7477" s="2" t="s">
        <v>7862</v>
      </c>
      <c r="X7477" s="2" t="s">
        <v>6838</v>
      </c>
      <c r="Y7477" s="2">
        <v>32320</v>
      </c>
      <c r="Z7477" s="19" t="str">
        <f>HYPERLINK("https://ssdweb.co/ssdweb/hd/Vision360.html?d=925721878&amp;zoomslide=1&amp;z=1925721878&amp;ISCONFIRM=0","VIDEO")</f>
        <v>VIDEO</v>
      </c>
      <c r="AA7477" s="19" t="str">
        <f>HYPERLINK("https://ssdweb.co/ssdweb/CERTH/7486733324.pdf","CERTI")</f>
        <v>CERTI</v>
      </c>
    </row>
    <row r="7478" spans="1:27" ht="15" x14ac:dyDescent="0.25">
      <c r="A7478" s="2">
        <v>7473</v>
      </c>
      <c r="B7478" s="39">
        <v>925950629</v>
      </c>
      <c r="C7478" s="28" t="str">
        <f>HYPERLINK("https://pld.live/RapDetail.aspx?STONELIST=925950629","DNA")</f>
        <v>DNA</v>
      </c>
      <c r="D7478" s="18" t="s">
        <v>3658</v>
      </c>
      <c r="E7478" s="18" t="s">
        <v>5128</v>
      </c>
      <c r="F7478" s="2" t="s">
        <v>7987</v>
      </c>
      <c r="G7478" s="2" t="s">
        <v>15</v>
      </c>
      <c r="H7478" s="14">
        <v>2.0099999999999998</v>
      </c>
      <c r="I7478" s="2" t="s">
        <v>4761</v>
      </c>
      <c r="J7478" s="2" t="s">
        <v>6555</v>
      </c>
      <c r="K7478" s="2" t="s">
        <v>1452</v>
      </c>
      <c r="L7478" s="2" t="s">
        <v>5221</v>
      </c>
      <c r="M7478" s="2" t="s">
        <v>5221</v>
      </c>
      <c r="N7478" s="2" t="s">
        <v>2317</v>
      </c>
      <c r="O7478" s="14">
        <v>18500</v>
      </c>
      <c r="P7478" s="14">
        <v>98.88</v>
      </c>
      <c r="Q7478" s="14">
        <v>207.2</v>
      </c>
      <c r="R7478" s="14">
        <v>416.47</v>
      </c>
      <c r="S7478" s="2" t="s">
        <v>1339</v>
      </c>
      <c r="T7478" s="2">
        <v>1</v>
      </c>
      <c r="U7478" s="2">
        <v>66.2</v>
      </c>
      <c r="V7478" s="2">
        <v>68</v>
      </c>
      <c r="W7478" s="2" t="s">
        <v>4336</v>
      </c>
      <c r="X7478" s="2" t="s">
        <v>6838</v>
      </c>
      <c r="Y7478" s="2">
        <v>37185</v>
      </c>
      <c r="Z7478" s="19" t="str">
        <f>HYPERLINK("https://ssdweb.co/ssdweb/hd/Vision360.html?d=925950629&amp;zoomslide=1&amp;z=1925950629&amp;ISCONFIRM=0","VIDEO")</f>
        <v>VIDEO</v>
      </c>
      <c r="AA7478" s="19" t="str">
        <f>HYPERLINK("https://ssdweb.co/ssdweb/CERTH/627410467.pdf","CERTI")</f>
        <v>CERTI</v>
      </c>
    </row>
    <row r="7479" spans="1:27" ht="15" x14ac:dyDescent="0.25">
      <c r="A7479" s="2">
        <v>7474</v>
      </c>
      <c r="B7479" s="39">
        <v>925300337</v>
      </c>
      <c r="C7479" s="28" t="str">
        <f>HYPERLINK("https://pld.live/RapDetail.aspx?STONELIST=925300337","DNA")</f>
        <v>DNA</v>
      </c>
      <c r="D7479" s="18" t="s">
        <v>3658</v>
      </c>
      <c r="E7479" s="18" t="s">
        <v>5128</v>
      </c>
      <c r="F7479" s="2" t="s">
        <v>7987</v>
      </c>
      <c r="G7479" s="2" t="s">
        <v>15</v>
      </c>
      <c r="H7479" s="14">
        <v>2.0099999999999998</v>
      </c>
      <c r="I7479" s="2" t="s">
        <v>4761</v>
      </c>
      <c r="J7479" s="2" t="s">
        <v>5144</v>
      </c>
      <c r="K7479" s="2" t="s">
        <v>1452</v>
      </c>
      <c r="L7479" s="2" t="s">
        <v>5221</v>
      </c>
      <c r="M7479" s="2" t="s">
        <v>5221</v>
      </c>
      <c r="N7479" s="2" t="s">
        <v>2317</v>
      </c>
      <c r="O7479" s="14">
        <v>15000</v>
      </c>
      <c r="P7479" s="14">
        <v>99.13</v>
      </c>
      <c r="Q7479" s="14">
        <v>130.5</v>
      </c>
      <c r="R7479" s="14">
        <v>262.31</v>
      </c>
      <c r="S7479" s="2" t="s">
        <v>91</v>
      </c>
      <c r="T7479" s="2">
        <v>1.02</v>
      </c>
      <c r="U7479" s="2">
        <v>66.2</v>
      </c>
      <c r="V7479" s="2">
        <v>65</v>
      </c>
      <c r="W7479" s="2" t="s">
        <v>7862</v>
      </c>
      <c r="X7479" s="2" t="s">
        <v>6838</v>
      </c>
      <c r="Y7479" s="2">
        <v>30150</v>
      </c>
      <c r="Z7479" s="19" t="str">
        <f>HYPERLINK("https://ssdweb.co/ssdweb/hd/Vision360.html?d=925300337&amp;zoomslide=1&amp;z=1925300337&amp;ISCONFIRM=0","VIDEO")</f>
        <v>VIDEO</v>
      </c>
      <c r="AA7479" s="19" t="str">
        <f>HYPERLINK("https://ssdweb.co/ssdweb/CERTH/619469713.pdf","CERTI")</f>
        <v>CERTI</v>
      </c>
    </row>
    <row r="7480" spans="1:27" ht="15" x14ac:dyDescent="0.25">
      <c r="A7480" s="2">
        <v>7475</v>
      </c>
      <c r="B7480" s="39">
        <v>926020673</v>
      </c>
      <c r="C7480" s="28" t="str">
        <f>HYPERLINK("https://pld.live/RapDetail.aspx?STONELIST=926020673","DNA")</f>
        <v>DNA</v>
      </c>
      <c r="D7480" s="18" t="s">
        <v>3658</v>
      </c>
      <c r="E7480" s="18" t="s">
        <v>5128</v>
      </c>
      <c r="F7480" s="2" t="s">
        <v>7987</v>
      </c>
      <c r="G7480" s="2" t="s">
        <v>15</v>
      </c>
      <c r="H7480" s="14">
        <v>2.0099999999999998</v>
      </c>
      <c r="I7480" s="2" t="s">
        <v>4761</v>
      </c>
      <c r="J7480" s="2" t="s">
        <v>5144</v>
      </c>
      <c r="K7480" s="2" t="s">
        <v>1452</v>
      </c>
      <c r="L7480" s="2" t="s">
        <v>5221</v>
      </c>
      <c r="M7480" s="2" t="s">
        <v>5221</v>
      </c>
      <c r="N7480" s="2" t="s">
        <v>2317</v>
      </c>
      <c r="O7480" s="14">
        <v>15000</v>
      </c>
      <c r="P7480" s="14">
        <v>99.13</v>
      </c>
      <c r="Q7480" s="14">
        <v>130.5</v>
      </c>
      <c r="R7480" s="14">
        <v>262.31</v>
      </c>
      <c r="S7480" s="2" t="s">
        <v>860</v>
      </c>
      <c r="T7480" s="2">
        <v>1</v>
      </c>
      <c r="U7480" s="2">
        <v>67.5</v>
      </c>
      <c r="V7480" s="2">
        <v>61</v>
      </c>
      <c r="W7480" s="2" t="s">
        <v>7862</v>
      </c>
      <c r="X7480" s="2" t="s">
        <v>6838</v>
      </c>
      <c r="Y7480" s="2">
        <v>30150</v>
      </c>
      <c r="Z7480" s="19" t="str">
        <f>HYPERLINK("https://ssdweb.co/ssdweb/hd/Vision360.html?d=926020673&amp;zoomslide=1&amp;z=1926020673&amp;ISCONFIRM=0","VIDEO")</f>
        <v>VIDEO</v>
      </c>
      <c r="AA7480" s="19" t="str">
        <f>HYPERLINK("https://ssdweb.co/ssdweb/CERTH/629497493.pdf","CERTI")</f>
        <v>CERTI</v>
      </c>
    </row>
    <row r="7481" spans="1:27" ht="15" x14ac:dyDescent="0.25">
      <c r="A7481" s="2">
        <v>7476</v>
      </c>
      <c r="B7481" s="39">
        <v>924830010</v>
      </c>
      <c r="C7481" s="28" t="str">
        <f>HYPERLINK("https://pld.live/RapDetail.aspx?STONELIST=924830010","DNA")</f>
        <v>DNA</v>
      </c>
      <c r="D7481" s="18" t="s">
        <v>3658</v>
      </c>
      <c r="E7481" s="18" t="s">
        <v>5128</v>
      </c>
      <c r="F7481" s="2" t="s">
        <v>5597</v>
      </c>
      <c r="G7481" s="2" t="s">
        <v>15</v>
      </c>
      <c r="H7481" s="14">
        <v>2.0099999999999998</v>
      </c>
      <c r="I7481" s="2" t="s">
        <v>4699</v>
      </c>
      <c r="J7481" s="2" t="s">
        <v>7032</v>
      </c>
      <c r="K7481" s="2" t="s">
        <v>1452</v>
      </c>
      <c r="L7481" s="2" t="s">
        <v>5221</v>
      </c>
      <c r="M7481" s="2" t="s">
        <v>5221</v>
      </c>
      <c r="N7481" s="2" t="s">
        <v>2317</v>
      </c>
      <c r="O7481" s="14">
        <v>18500</v>
      </c>
      <c r="P7481" s="14">
        <v>96.57</v>
      </c>
      <c r="Q7481" s="14">
        <v>634.54999999999995</v>
      </c>
      <c r="R7481" s="14">
        <v>1275.45</v>
      </c>
      <c r="S7481" s="2" t="s">
        <v>5999</v>
      </c>
      <c r="T7481" s="2">
        <v>1.01</v>
      </c>
      <c r="U7481" s="2">
        <v>67.5</v>
      </c>
      <c r="V7481" s="2">
        <v>64</v>
      </c>
      <c r="W7481" s="2" t="s">
        <v>4336</v>
      </c>
      <c r="X7481" s="2" t="s">
        <v>6838</v>
      </c>
      <c r="Y7481" s="2">
        <v>37185</v>
      </c>
      <c r="Z7481" s="19" t="str">
        <f>HYPERLINK("https://ssdweb.co/ssdweb/hd/Vision360.html?d=924830010&amp;zoomslide=1&amp;z=1924830010&amp;ISCONFIRM=0","VIDEO")</f>
        <v>VIDEO</v>
      </c>
      <c r="AA7481" s="19" t="str">
        <f>HYPERLINK("https://ssdweb.co/ssdweb/CERTH/6472505848.pdf","CERTI")</f>
        <v>CERTI</v>
      </c>
    </row>
    <row r="7482" spans="1:27" ht="15" x14ac:dyDescent="0.25">
      <c r="A7482" s="2">
        <v>7477</v>
      </c>
      <c r="B7482" s="39">
        <v>926071602</v>
      </c>
      <c r="C7482" s="28" t="str">
        <f>HYPERLINK("https://pld.live/RapDetail.aspx?STONELIST=926071602","DNA")</f>
        <v>DNA</v>
      </c>
      <c r="D7482" s="18" t="s">
        <v>3658</v>
      </c>
      <c r="E7482" s="18" t="s">
        <v>5128</v>
      </c>
      <c r="F7482" s="2" t="s">
        <v>7987</v>
      </c>
      <c r="G7482" s="2" t="s">
        <v>15</v>
      </c>
      <c r="H7482" s="14">
        <v>2</v>
      </c>
      <c r="I7482" s="2" t="s">
        <v>267</v>
      </c>
      <c r="J7482" s="2" t="s">
        <v>6555</v>
      </c>
      <c r="K7482" s="2" t="s">
        <v>1452</v>
      </c>
      <c r="L7482" s="2" t="s">
        <v>5221</v>
      </c>
      <c r="M7482" s="2" t="s">
        <v>5221</v>
      </c>
      <c r="N7482" s="2" t="s">
        <v>2317</v>
      </c>
      <c r="O7482" s="14">
        <v>20000</v>
      </c>
      <c r="P7482" s="14">
        <v>98.83</v>
      </c>
      <c r="Q7482" s="14">
        <v>234</v>
      </c>
      <c r="R7482" s="14">
        <v>468</v>
      </c>
      <c r="S7482" s="2" t="s">
        <v>3221</v>
      </c>
      <c r="T7482" s="2">
        <v>1</v>
      </c>
      <c r="U7482" s="2">
        <v>67.7</v>
      </c>
      <c r="V7482" s="2">
        <v>61</v>
      </c>
      <c r="W7482" s="2" t="s">
        <v>7862</v>
      </c>
      <c r="X7482" s="2" t="s">
        <v>6838</v>
      </c>
      <c r="Y7482" s="2">
        <v>40000</v>
      </c>
      <c r="Z7482" s="19" t="str">
        <f>HYPERLINK("https://ssdweb.co/ssdweb/hd/Vision360.html?d=926071602&amp;zoomslide=1&amp;z=1926071602&amp;ISCONFIRM=0","VIDEO")</f>
        <v>VIDEO</v>
      </c>
      <c r="AA7482" s="19" t="str">
        <f>HYPERLINK("https://ssdweb.co/ssdweb/CERTH/631430413.pdf","CERTI")</f>
        <v>CERTI</v>
      </c>
    </row>
    <row r="7483" spans="1:27" ht="15" x14ac:dyDescent="0.25">
      <c r="A7483" s="2">
        <v>7478</v>
      </c>
      <c r="B7483" s="39">
        <v>925771283</v>
      </c>
      <c r="C7483" s="28" t="str">
        <f>HYPERLINK("https://pld.live/RapDetail.aspx?STONELIST=925771283","DNA")</f>
        <v>DNA</v>
      </c>
      <c r="D7483" s="18" t="s">
        <v>3658</v>
      </c>
      <c r="E7483" s="18" t="s">
        <v>5128</v>
      </c>
      <c r="F7483" s="2" t="s">
        <v>7987</v>
      </c>
      <c r="G7483" s="2" t="s">
        <v>15</v>
      </c>
      <c r="H7483" s="14">
        <v>2</v>
      </c>
      <c r="I7483" s="2" t="s">
        <v>267</v>
      </c>
      <c r="J7483" s="2" t="s">
        <v>3942</v>
      </c>
      <c r="K7483" s="2" t="s">
        <v>1452</v>
      </c>
      <c r="L7483" s="2" t="s">
        <v>5221</v>
      </c>
      <c r="M7483" s="2" t="s">
        <v>5221</v>
      </c>
      <c r="N7483" s="2" t="s">
        <v>2317</v>
      </c>
      <c r="O7483" s="14">
        <v>18500</v>
      </c>
      <c r="P7483" s="14">
        <v>99.16</v>
      </c>
      <c r="Q7483" s="14">
        <v>155.4</v>
      </c>
      <c r="R7483" s="14">
        <v>310.8</v>
      </c>
      <c r="S7483" s="2" t="s">
        <v>6739</v>
      </c>
      <c r="T7483" s="2">
        <v>1.01</v>
      </c>
      <c r="U7483" s="2">
        <v>68.099999999999994</v>
      </c>
      <c r="V7483" s="2">
        <v>69</v>
      </c>
      <c r="W7483" s="2" t="s">
        <v>7862</v>
      </c>
      <c r="X7483" s="2" t="s">
        <v>6838</v>
      </c>
      <c r="Y7483" s="2">
        <v>37000</v>
      </c>
      <c r="Z7483" s="19" t="str">
        <f>HYPERLINK("https://ssdweb.co/ssdweb/hd/Vision360.html?d=925771283&amp;zoomslide=1&amp;z=1925771283&amp;ISCONFIRM=0","VIDEO")</f>
        <v>VIDEO</v>
      </c>
      <c r="AA7483" s="19" t="str">
        <f>HYPERLINK("https://ssdweb.co/ssdweb/CERTH/626427547.pdf","CERTI")</f>
        <v>CERTI</v>
      </c>
    </row>
    <row r="7484" spans="1:27" ht="15" x14ac:dyDescent="0.25">
      <c r="A7484" s="2">
        <v>7479</v>
      </c>
      <c r="B7484" s="39">
        <v>925920654</v>
      </c>
      <c r="C7484" s="28" t="str">
        <f>HYPERLINK("https://pld.live/RapDetail.aspx?STONELIST=925920654","DNA")</f>
        <v>DNA</v>
      </c>
      <c r="D7484" s="18" t="s">
        <v>3658</v>
      </c>
      <c r="E7484" s="18" t="s">
        <v>5128</v>
      </c>
      <c r="F7484" s="2" t="s">
        <v>7987</v>
      </c>
      <c r="G7484" s="2" t="s">
        <v>15</v>
      </c>
      <c r="H7484" s="14">
        <v>2</v>
      </c>
      <c r="I7484" s="2" t="s">
        <v>267</v>
      </c>
      <c r="J7484" s="2" t="s">
        <v>3942</v>
      </c>
      <c r="K7484" s="2" t="s">
        <v>1452</v>
      </c>
      <c r="L7484" s="2" t="s">
        <v>5221</v>
      </c>
      <c r="M7484" s="2" t="s">
        <v>5221</v>
      </c>
      <c r="N7484" s="2" t="s">
        <v>2317</v>
      </c>
      <c r="O7484" s="14">
        <v>18500</v>
      </c>
      <c r="P7484" s="14">
        <v>99.16</v>
      </c>
      <c r="Q7484" s="14">
        <v>155.4</v>
      </c>
      <c r="R7484" s="14">
        <v>310.8</v>
      </c>
      <c r="S7484" s="2" t="s">
        <v>3162</v>
      </c>
      <c r="T7484" s="2">
        <v>1.01</v>
      </c>
      <c r="U7484" s="2">
        <v>67.7</v>
      </c>
      <c r="V7484" s="2">
        <v>66</v>
      </c>
      <c r="W7484" s="2" t="s">
        <v>7862</v>
      </c>
      <c r="X7484" s="2" t="s">
        <v>6838</v>
      </c>
      <c r="Y7484" s="2">
        <v>37000</v>
      </c>
      <c r="Z7484" s="19" t="str">
        <f>HYPERLINK("https://ssdweb.co/ssdweb/hd/Vision360.html?d=925920654&amp;zoomslide=1&amp;z=1925920654&amp;ISCONFIRM=0","VIDEO")</f>
        <v>VIDEO</v>
      </c>
      <c r="AA7484" s="19" t="str">
        <f>HYPERLINK("https://ssdweb.co/ssdweb/CERTH/627431774.pdf","CERTI")</f>
        <v>CERTI</v>
      </c>
    </row>
    <row r="7485" spans="1:27" ht="15" x14ac:dyDescent="0.25">
      <c r="A7485" s="2">
        <v>7480</v>
      </c>
      <c r="B7485" s="39">
        <v>925951323</v>
      </c>
      <c r="C7485" s="28" t="str">
        <f>HYPERLINK("https://pld.live/RapDetail.aspx?STONELIST=925951323","DNA")</f>
        <v>DNA</v>
      </c>
      <c r="D7485" s="18" t="s">
        <v>3658</v>
      </c>
      <c r="E7485" s="18" t="s">
        <v>5128</v>
      </c>
      <c r="F7485" s="2" t="s">
        <v>7987</v>
      </c>
      <c r="G7485" s="2" t="s">
        <v>15</v>
      </c>
      <c r="H7485" s="14">
        <v>2</v>
      </c>
      <c r="I7485" s="2" t="s">
        <v>267</v>
      </c>
      <c r="J7485" s="2" t="s">
        <v>3942</v>
      </c>
      <c r="K7485" s="2" t="s">
        <v>1452</v>
      </c>
      <c r="L7485" s="2" t="s">
        <v>5221</v>
      </c>
      <c r="M7485" s="2" t="s">
        <v>5221</v>
      </c>
      <c r="N7485" s="2" t="s">
        <v>2317</v>
      </c>
      <c r="O7485" s="14">
        <v>18500</v>
      </c>
      <c r="P7485" s="14">
        <v>99.16</v>
      </c>
      <c r="Q7485" s="14">
        <v>155.4</v>
      </c>
      <c r="R7485" s="14">
        <v>310.8</v>
      </c>
      <c r="S7485" s="2" t="s">
        <v>357</v>
      </c>
      <c r="T7485" s="2">
        <v>1.02</v>
      </c>
      <c r="U7485" s="2">
        <v>67.3</v>
      </c>
      <c r="V7485" s="2">
        <v>66</v>
      </c>
      <c r="W7485" s="2" t="s">
        <v>7862</v>
      </c>
      <c r="X7485" s="2" t="s">
        <v>6838</v>
      </c>
      <c r="Y7485" s="2">
        <v>37000</v>
      </c>
      <c r="Z7485" s="19" t="str">
        <f>HYPERLINK("https://ssdweb.co/ssdweb/hd/Vision360.html?d=925951323&amp;zoomslide=1&amp;z=1925951323&amp;ISCONFIRM=0","VIDEO")</f>
        <v>VIDEO</v>
      </c>
      <c r="AA7485" s="19" t="str">
        <f>HYPERLINK("https://ssdweb.co/ssdweb/CERTH/630447913.pdf","CERTI")</f>
        <v>CERTI</v>
      </c>
    </row>
    <row r="7486" spans="1:27" ht="15" x14ac:dyDescent="0.25">
      <c r="A7486" s="2">
        <v>7481</v>
      </c>
      <c r="B7486" s="39">
        <v>925771189</v>
      </c>
      <c r="C7486" s="28" t="str">
        <f>HYPERLINK("https://pld.live/RapDetail.aspx?STONELIST=925771189","DNA")</f>
        <v>DNA</v>
      </c>
      <c r="D7486" s="18" t="s">
        <v>3658</v>
      </c>
      <c r="E7486" s="18" t="s">
        <v>5128</v>
      </c>
      <c r="F7486" s="2" t="s">
        <v>7987</v>
      </c>
      <c r="G7486" s="2" t="s">
        <v>15</v>
      </c>
      <c r="H7486" s="14">
        <v>2</v>
      </c>
      <c r="I7486" s="2" t="s">
        <v>267</v>
      </c>
      <c r="J7486" s="2" t="s">
        <v>3942</v>
      </c>
      <c r="K7486" s="2" t="s">
        <v>1452</v>
      </c>
      <c r="L7486" s="2" t="s">
        <v>5221</v>
      </c>
      <c r="M7486" s="2" t="s">
        <v>5221</v>
      </c>
      <c r="N7486" s="2" t="s">
        <v>2317</v>
      </c>
      <c r="O7486" s="14">
        <v>18500</v>
      </c>
      <c r="P7486" s="14">
        <v>99.16</v>
      </c>
      <c r="Q7486" s="14">
        <v>155.4</v>
      </c>
      <c r="R7486" s="14">
        <v>310.8</v>
      </c>
      <c r="S7486" s="2" t="s">
        <v>3440</v>
      </c>
      <c r="T7486" s="2">
        <v>1.04</v>
      </c>
      <c r="U7486" s="2">
        <v>64.5</v>
      </c>
      <c r="V7486" s="2">
        <v>61</v>
      </c>
      <c r="W7486" s="2" t="s">
        <v>7862</v>
      </c>
      <c r="X7486" s="2" t="s">
        <v>6838</v>
      </c>
      <c r="Y7486" s="2">
        <v>37000</v>
      </c>
      <c r="Z7486" s="19" t="str">
        <f>HYPERLINK("https://ssdweb.co/ssdweb/hd/Vision360.html?d=925771189&amp;zoomslide=1&amp;z=1925771189&amp;ISCONFIRM=0","VIDEO")</f>
        <v>VIDEO</v>
      </c>
      <c r="AA7486" s="19" t="str">
        <f>HYPERLINK("https://ssdweb.co/ssdweb/CERTH/626466216.pdf","CERTI")</f>
        <v>CERTI</v>
      </c>
    </row>
    <row r="7487" spans="1:27" ht="15" x14ac:dyDescent="0.25">
      <c r="A7487" s="2">
        <v>7482</v>
      </c>
      <c r="B7487" s="39">
        <v>925920909</v>
      </c>
      <c r="C7487" s="28" t="str">
        <f>HYPERLINK("https://pld.live/RapDetail.aspx?STONELIST=925920909","DNA")</f>
        <v>DNA</v>
      </c>
      <c r="D7487" s="18" t="s">
        <v>3658</v>
      </c>
      <c r="E7487" s="18" t="s">
        <v>5128</v>
      </c>
      <c r="F7487" s="2" t="s">
        <v>7987</v>
      </c>
      <c r="G7487" s="2" t="s">
        <v>15</v>
      </c>
      <c r="H7487" s="14">
        <v>2</v>
      </c>
      <c r="I7487" s="2" t="s">
        <v>267</v>
      </c>
      <c r="J7487" s="2" t="s">
        <v>13</v>
      </c>
      <c r="K7487" s="2" t="s">
        <v>1452</v>
      </c>
      <c r="L7487" s="2" t="s">
        <v>5221</v>
      </c>
      <c r="M7487" s="2" t="s">
        <v>5221</v>
      </c>
      <c r="N7487" s="2" t="s">
        <v>2317</v>
      </c>
      <c r="O7487" s="14">
        <v>17500</v>
      </c>
      <c r="P7487" s="14">
        <v>99.14</v>
      </c>
      <c r="Q7487" s="14">
        <v>150.5</v>
      </c>
      <c r="R7487" s="14">
        <v>301</v>
      </c>
      <c r="S7487" s="2" t="s">
        <v>3461</v>
      </c>
      <c r="T7487" s="2">
        <v>1</v>
      </c>
      <c r="U7487" s="2">
        <v>67.2</v>
      </c>
      <c r="V7487" s="2">
        <v>63</v>
      </c>
      <c r="W7487" s="2" t="s">
        <v>7862</v>
      </c>
      <c r="X7487" s="2" t="s">
        <v>6838</v>
      </c>
      <c r="Y7487" s="2">
        <v>35000</v>
      </c>
      <c r="Z7487" s="19" t="str">
        <f>HYPERLINK("https://ssdweb.co/ssdweb/hd/Vision360.html?d=925920909&amp;zoomslide=1&amp;z=1925920909&amp;ISCONFIRM=0","VIDEO")</f>
        <v>VIDEO</v>
      </c>
      <c r="AA7487" s="19" t="str">
        <f>HYPERLINK("https://ssdweb.co/ssdweb/CERTH/628426919.pdf","CERTI")</f>
        <v>CERTI</v>
      </c>
    </row>
    <row r="7488" spans="1:27" ht="15" x14ac:dyDescent="0.25">
      <c r="A7488" s="2">
        <v>7483</v>
      </c>
      <c r="B7488" s="39">
        <v>925801763</v>
      </c>
      <c r="C7488" s="28" t="str">
        <f>HYPERLINK("https://pld.live/RapDetail.aspx?STONELIST=925801763","DNA")</f>
        <v>DNA</v>
      </c>
      <c r="D7488" s="18" t="s">
        <v>3658</v>
      </c>
      <c r="E7488" s="18" t="s">
        <v>5128</v>
      </c>
      <c r="F7488" s="2" t="s">
        <v>7987</v>
      </c>
      <c r="G7488" s="2" t="s">
        <v>15</v>
      </c>
      <c r="H7488" s="14">
        <v>2</v>
      </c>
      <c r="I7488" s="2" t="s">
        <v>267</v>
      </c>
      <c r="J7488" s="2" t="s">
        <v>13</v>
      </c>
      <c r="K7488" s="2" t="s">
        <v>1452</v>
      </c>
      <c r="L7488" s="2" t="s">
        <v>5221</v>
      </c>
      <c r="M7488" s="2" t="s">
        <v>5221</v>
      </c>
      <c r="N7488" s="2" t="s">
        <v>2317</v>
      </c>
      <c r="O7488" s="14">
        <v>17500</v>
      </c>
      <c r="P7488" s="14">
        <v>99.14</v>
      </c>
      <c r="Q7488" s="14">
        <v>150.5</v>
      </c>
      <c r="R7488" s="14">
        <v>301</v>
      </c>
      <c r="S7488" s="2" t="s">
        <v>3202</v>
      </c>
      <c r="T7488" s="2">
        <v>1.03</v>
      </c>
      <c r="U7488" s="2">
        <v>67.099999999999994</v>
      </c>
      <c r="V7488" s="2">
        <v>68</v>
      </c>
      <c r="W7488" s="2" t="s">
        <v>7862</v>
      </c>
      <c r="X7488" s="2" t="s">
        <v>6838</v>
      </c>
      <c r="Y7488" s="2">
        <v>35000</v>
      </c>
      <c r="Z7488" s="19" t="str">
        <f>HYPERLINK("https://ssdweb.co/ssdweb/hd/Vision360.html?d=925801763&amp;zoomslide=1&amp;z=1925801763&amp;ISCONFIRM=0","VIDEO")</f>
        <v>VIDEO</v>
      </c>
      <c r="AA7488" s="19" t="str">
        <f>HYPERLINK("https://ssdweb.co/ssdweb/CERTH/626499256.pdf","CERTI")</f>
        <v>CERTI</v>
      </c>
    </row>
    <row r="7489" spans="1:27" ht="15" x14ac:dyDescent="0.25">
      <c r="A7489" s="2">
        <v>7484</v>
      </c>
      <c r="B7489" s="39">
        <v>925300330</v>
      </c>
      <c r="C7489" s="28" t="str">
        <f>HYPERLINK("https://pld.live/RapDetail.aspx?STONELIST=925300330","DNA")</f>
        <v>DNA</v>
      </c>
      <c r="D7489" s="18" t="s">
        <v>3658</v>
      </c>
      <c r="E7489" s="18" t="s">
        <v>5128</v>
      </c>
      <c r="F7489" s="2" t="s">
        <v>7987</v>
      </c>
      <c r="G7489" s="2" t="s">
        <v>15</v>
      </c>
      <c r="H7489" s="14">
        <v>2</v>
      </c>
      <c r="I7489" s="2" t="s">
        <v>267</v>
      </c>
      <c r="J7489" s="2" t="s">
        <v>13</v>
      </c>
      <c r="K7489" s="2" t="s">
        <v>1452</v>
      </c>
      <c r="L7489" s="2" t="s">
        <v>5221</v>
      </c>
      <c r="M7489" s="2" t="s">
        <v>5221</v>
      </c>
      <c r="N7489" s="2" t="s">
        <v>2317</v>
      </c>
      <c r="O7489" s="14">
        <v>17500</v>
      </c>
      <c r="P7489" s="14">
        <v>99.14</v>
      </c>
      <c r="Q7489" s="14">
        <v>150.5</v>
      </c>
      <c r="R7489" s="14">
        <v>301</v>
      </c>
      <c r="S7489" s="2" t="s">
        <v>5730</v>
      </c>
      <c r="T7489" s="2">
        <v>1.02</v>
      </c>
      <c r="U7489" s="2">
        <v>67.400000000000006</v>
      </c>
      <c r="V7489" s="2">
        <v>60</v>
      </c>
      <c r="W7489" s="2" t="s">
        <v>7862</v>
      </c>
      <c r="X7489" s="2" t="s">
        <v>6838</v>
      </c>
      <c r="Y7489" s="2">
        <v>35000</v>
      </c>
      <c r="Z7489" s="19" t="str">
        <f>HYPERLINK("https://ssdweb.co/ssdweb/hd/Vision360.html?d=925300330&amp;zoomslide=1&amp;z=1925300330&amp;ISCONFIRM=0","VIDEO")</f>
        <v>VIDEO</v>
      </c>
      <c r="AA7489" s="19" t="str">
        <f>HYPERLINK("https://ssdweb.co/ssdweb/CERTH/619453380.pdf","CERTI")</f>
        <v>CERTI</v>
      </c>
    </row>
    <row r="7490" spans="1:27" ht="15" x14ac:dyDescent="0.25">
      <c r="A7490" s="2">
        <v>7485</v>
      </c>
      <c r="B7490" s="39">
        <v>925730989</v>
      </c>
      <c r="C7490" s="28" t="str">
        <f>HYPERLINK("https://pld.live/RapDetail.aspx?STONELIST=925730989","DNA")</f>
        <v>DNA</v>
      </c>
      <c r="D7490" s="18" t="s">
        <v>3658</v>
      </c>
      <c r="E7490" s="18" t="s">
        <v>5128</v>
      </c>
      <c r="F7490" s="2" t="s">
        <v>7987</v>
      </c>
      <c r="G7490" s="2" t="s">
        <v>15</v>
      </c>
      <c r="H7490" s="14">
        <v>2</v>
      </c>
      <c r="I7490" s="2" t="s">
        <v>4761</v>
      </c>
      <c r="J7490" s="2" t="s">
        <v>3942</v>
      </c>
      <c r="K7490" s="2" t="s">
        <v>1452</v>
      </c>
      <c r="L7490" s="2" t="s">
        <v>5221</v>
      </c>
      <c r="M7490" s="2" t="s">
        <v>5221</v>
      </c>
      <c r="N7490" s="2" t="s">
        <v>2317</v>
      </c>
      <c r="O7490" s="14">
        <v>17000</v>
      </c>
      <c r="P7490" s="14">
        <v>99.15</v>
      </c>
      <c r="Q7490" s="14">
        <v>144.5</v>
      </c>
      <c r="R7490" s="14">
        <v>289</v>
      </c>
      <c r="S7490" s="2" t="s">
        <v>5816</v>
      </c>
      <c r="T7490" s="2">
        <v>1.03</v>
      </c>
      <c r="U7490" s="2">
        <v>68.400000000000006</v>
      </c>
      <c r="V7490" s="2">
        <v>70</v>
      </c>
      <c r="W7490" s="2" t="s">
        <v>7862</v>
      </c>
      <c r="X7490" s="2" t="s">
        <v>6838</v>
      </c>
      <c r="Y7490" s="2">
        <v>34000</v>
      </c>
      <c r="Z7490" s="19" t="str">
        <f>HYPERLINK("https://ssdweb.co/ssdweb/hd/Vision360.html?d=925730989&amp;zoomslide=1&amp;z=1925730989&amp;ISCONFIRM=0","VIDEO")</f>
        <v>VIDEO</v>
      </c>
      <c r="AA7490" s="19" t="str">
        <f>HYPERLINK("https://ssdweb.co/ssdweb/CERTH/624499655.pdf","CERTI")</f>
        <v>CERTI</v>
      </c>
    </row>
    <row r="7491" spans="1:27" ht="15" x14ac:dyDescent="0.25">
      <c r="A7491" s="2">
        <v>7486</v>
      </c>
      <c r="B7491" s="39">
        <v>924830257</v>
      </c>
      <c r="C7491" s="28" t="str">
        <f>HYPERLINK("https://pld.live/RapDetail.aspx?STONELIST=924830257","DNA")</f>
        <v>DNA</v>
      </c>
      <c r="D7491" s="18" t="s">
        <v>3658</v>
      </c>
      <c r="E7491" s="18" t="s">
        <v>5128</v>
      </c>
      <c r="F7491" s="2" t="s">
        <v>7987</v>
      </c>
      <c r="G7491" s="2" t="s">
        <v>15</v>
      </c>
      <c r="H7491" s="14">
        <v>2</v>
      </c>
      <c r="I7491" s="2" t="s">
        <v>4761</v>
      </c>
      <c r="J7491" s="2" t="s">
        <v>5144</v>
      </c>
      <c r="K7491" s="2" t="s">
        <v>1452</v>
      </c>
      <c r="L7491" s="2" t="s">
        <v>5221</v>
      </c>
      <c r="M7491" s="2" t="s">
        <v>5221</v>
      </c>
      <c r="N7491" s="2" t="s">
        <v>2317</v>
      </c>
      <c r="O7491" s="14">
        <v>15000</v>
      </c>
      <c r="P7491" s="14">
        <v>99.13</v>
      </c>
      <c r="Q7491" s="14">
        <v>130.5</v>
      </c>
      <c r="R7491" s="14">
        <v>261</v>
      </c>
      <c r="S7491" s="2" t="s">
        <v>6143</v>
      </c>
      <c r="T7491" s="2">
        <v>1.01</v>
      </c>
      <c r="U7491" s="2">
        <v>65.7</v>
      </c>
      <c r="V7491" s="2">
        <v>64</v>
      </c>
      <c r="W7491" s="2" t="s">
        <v>7862</v>
      </c>
      <c r="X7491" s="2" t="s">
        <v>6838</v>
      </c>
      <c r="Y7491" s="2">
        <v>30000</v>
      </c>
      <c r="Z7491" s="19" t="str">
        <f>HYPERLINK("https://ssdweb.co/ssdweb/hd/Vision360.html?d=924830257&amp;zoomslide=1&amp;z=1924830257&amp;ISCONFIRM=0","VIDEO")</f>
        <v>VIDEO</v>
      </c>
      <c r="AA7491" s="19" t="str">
        <f>HYPERLINK("https://ssdweb.co/ssdweb/CERTH/602361290.pdf","CERTI")</f>
        <v>CERTI</v>
      </c>
    </row>
    <row r="7492" spans="1:27" ht="15" x14ac:dyDescent="0.25">
      <c r="A7492" s="2">
        <v>7487</v>
      </c>
      <c r="B7492" s="39">
        <v>925771335</v>
      </c>
      <c r="C7492" s="28" t="str">
        <f>HYPERLINK("https://pld.live/RapDetail.aspx?STONELIST=925771335","DNA")</f>
        <v>DNA</v>
      </c>
      <c r="D7492" s="18" t="s">
        <v>6675</v>
      </c>
      <c r="E7492" s="18" t="s">
        <v>5128</v>
      </c>
      <c r="F7492" s="2" t="s">
        <v>7987</v>
      </c>
      <c r="G7492" s="2" t="s">
        <v>15</v>
      </c>
      <c r="H7492" s="14">
        <v>1.99</v>
      </c>
      <c r="I7492" s="2" t="s">
        <v>267</v>
      </c>
      <c r="J7492" s="2" t="s">
        <v>13</v>
      </c>
      <c r="K7492" s="2" t="s">
        <v>1452</v>
      </c>
      <c r="L7492" s="2" t="s">
        <v>5221</v>
      </c>
      <c r="M7492" s="2" t="s">
        <v>5221</v>
      </c>
      <c r="N7492" s="2" t="s">
        <v>2317</v>
      </c>
      <c r="O7492" s="14">
        <v>11600</v>
      </c>
      <c r="P7492" s="14">
        <v>98.85</v>
      </c>
      <c r="Q7492" s="14">
        <v>133.4</v>
      </c>
      <c r="R7492" s="14">
        <v>265.47000000000003</v>
      </c>
      <c r="S7492" s="2" t="s">
        <v>1955</v>
      </c>
      <c r="T7492" s="2">
        <v>1.01</v>
      </c>
      <c r="U7492" s="2">
        <v>66.3</v>
      </c>
      <c r="V7492" s="2">
        <v>67</v>
      </c>
      <c r="W7492" s="2" t="s">
        <v>7862</v>
      </c>
      <c r="X7492" s="2" t="s">
        <v>6838</v>
      </c>
      <c r="Y7492" s="2">
        <v>23084</v>
      </c>
      <c r="Z7492" s="19" t="str">
        <f>HYPERLINK("https://ssdweb.co/ssdweb/hd/Vision360.html?d=925771335&amp;zoomslide=1&amp;z=1925771335&amp;ISCONFIRM=0","VIDEO")</f>
        <v>VIDEO</v>
      </c>
      <c r="AA7492" s="19" t="str">
        <f>HYPERLINK("https://ssdweb.co/ssdweb/CERTH/627471560.pdf","CERTI")</f>
        <v>CERTI</v>
      </c>
    </row>
    <row r="7493" spans="1:27" ht="15" x14ac:dyDescent="0.25">
      <c r="A7493" s="2">
        <v>7488</v>
      </c>
      <c r="B7493" s="39">
        <v>925180155</v>
      </c>
      <c r="C7493" s="28" t="str">
        <f>HYPERLINK("https://pld.live/RapDetail.aspx?STONELIST=925180155","DNA")</f>
        <v>DNA</v>
      </c>
      <c r="D7493" s="18" t="s">
        <v>6675</v>
      </c>
      <c r="E7493" s="18" t="s">
        <v>5128</v>
      </c>
      <c r="F7493" s="2" t="s">
        <v>7987</v>
      </c>
      <c r="G7493" s="2" t="s">
        <v>15</v>
      </c>
      <c r="H7493" s="14">
        <v>1.98</v>
      </c>
      <c r="I7493" s="2" t="s">
        <v>4761</v>
      </c>
      <c r="J7493" s="2" t="s">
        <v>5144</v>
      </c>
      <c r="K7493" s="2" t="s">
        <v>1452</v>
      </c>
      <c r="L7493" s="2" t="s">
        <v>5221</v>
      </c>
      <c r="M7493" s="2" t="s">
        <v>5221</v>
      </c>
      <c r="N7493" s="2" t="s">
        <v>2317</v>
      </c>
      <c r="O7493" s="14">
        <v>9300</v>
      </c>
      <c r="P7493" s="14">
        <v>98.65</v>
      </c>
      <c r="Q7493" s="14">
        <v>125.55</v>
      </c>
      <c r="R7493" s="14">
        <v>248.59</v>
      </c>
      <c r="S7493" s="2" t="s">
        <v>2786</v>
      </c>
      <c r="T7493" s="2">
        <v>1.01</v>
      </c>
      <c r="U7493" s="2">
        <v>64.900000000000006</v>
      </c>
      <c r="V7493" s="2">
        <v>66</v>
      </c>
      <c r="W7493" s="2" t="s">
        <v>7862</v>
      </c>
      <c r="X7493" s="2" t="s">
        <v>6838</v>
      </c>
      <c r="Y7493" s="2">
        <v>18414</v>
      </c>
      <c r="Z7493" s="19" t="str">
        <f>HYPERLINK("https://ssdweb.co/ssdweb/hd/Vision360.html?d=925180155&amp;zoomslide=1&amp;z=1925180155&amp;ISCONFIRM=0","VIDEO")</f>
        <v>VIDEO</v>
      </c>
      <c r="AA7493" s="19" t="str">
        <f>HYPERLINK("https://ssdweb.co/ssdweb/CERTH/613355483.pdf","CERTI")</f>
        <v>CERTI</v>
      </c>
    </row>
    <row r="7494" spans="1:27" ht="15" x14ac:dyDescent="0.25">
      <c r="A7494" s="2">
        <v>7489</v>
      </c>
      <c r="B7494" s="39">
        <v>925771359</v>
      </c>
      <c r="C7494" s="28" t="str">
        <f>HYPERLINK("https://pld.live/RapDetail.aspx?STONELIST=925771359","DNA")</f>
        <v>DNA</v>
      </c>
      <c r="D7494" s="18" t="s">
        <v>6675</v>
      </c>
      <c r="E7494" s="18" t="s">
        <v>5128</v>
      </c>
      <c r="F7494" s="2" t="s">
        <v>7987</v>
      </c>
      <c r="G7494" s="2" t="s">
        <v>15</v>
      </c>
      <c r="H7494" s="14">
        <v>1.96</v>
      </c>
      <c r="I7494" s="2" t="s">
        <v>267</v>
      </c>
      <c r="J7494" s="2" t="s">
        <v>13</v>
      </c>
      <c r="K7494" s="2" t="s">
        <v>1452</v>
      </c>
      <c r="L7494" s="2" t="s">
        <v>5221</v>
      </c>
      <c r="M7494" s="2" t="s">
        <v>5221</v>
      </c>
      <c r="N7494" s="2" t="s">
        <v>2317</v>
      </c>
      <c r="O7494" s="14">
        <v>11600</v>
      </c>
      <c r="P7494" s="14">
        <v>98.85</v>
      </c>
      <c r="Q7494" s="14">
        <v>133.4</v>
      </c>
      <c r="R7494" s="14">
        <v>261.45999999999998</v>
      </c>
      <c r="S7494" s="2" t="s">
        <v>7130</v>
      </c>
      <c r="T7494" s="2">
        <v>1.01</v>
      </c>
      <c r="U7494" s="2">
        <v>67.400000000000006</v>
      </c>
      <c r="V7494" s="2">
        <v>61</v>
      </c>
      <c r="W7494" s="2" t="s">
        <v>7862</v>
      </c>
      <c r="X7494" s="2" t="s">
        <v>6838</v>
      </c>
      <c r="Y7494" s="2">
        <v>22736</v>
      </c>
      <c r="Z7494" s="19" t="str">
        <f>HYPERLINK("https://ssdweb.co/ssdweb/hd/Vision360.html?d=925771359&amp;zoomslide=1&amp;z=1925771359&amp;ISCONFIRM=0","VIDEO")</f>
        <v>VIDEO</v>
      </c>
      <c r="AA7494" s="19" t="str">
        <f>HYPERLINK("https://ssdweb.co/ssdweb/CERTH/627431736.pdf","CERTI")</f>
        <v>CERTI</v>
      </c>
    </row>
    <row r="7495" spans="1:27" ht="15" x14ac:dyDescent="0.25">
      <c r="A7495" s="2">
        <v>7490</v>
      </c>
      <c r="B7495" s="39">
        <v>925981175</v>
      </c>
      <c r="C7495" s="28" t="str">
        <f>HYPERLINK("https://pld.live/RapDetail.aspx?STONELIST=925981175","DNA")</f>
        <v>DNA</v>
      </c>
      <c r="D7495" s="18" t="s">
        <v>6675</v>
      </c>
      <c r="E7495" s="18" t="s">
        <v>5128</v>
      </c>
      <c r="F7495" s="2" t="s">
        <v>7987</v>
      </c>
      <c r="G7495" s="2" t="s">
        <v>15</v>
      </c>
      <c r="H7495" s="14">
        <v>1.92</v>
      </c>
      <c r="I7495" s="2" t="s">
        <v>267</v>
      </c>
      <c r="J7495" s="2" t="s">
        <v>13</v>
      </c>
      <c r="K7495" s="2" t="s">
        <v>1452</v>
      </c>
      <c r="L7495" s="2" t="s">
        <v>5221</v>
      </c>
      <c r="M7495" s="2" t="s">
        <v>5221</v>
      </c>
      <c r="N7495" s="2" t="s">
        <v>2317</v>
      </c>
      <c r="O7495" s="14">
        <v>11600</v>
      </c>
      <c r="P7495" s="14">
        <v>98.85</v>
      </c>
      <c r="Q7495" s="14">
        <v>133.4</v>
      </c>
      <c r="R7495" s="14">
        <v>256.13</v>
      </c>
      <c r="S7495" s="2" t="s">
        <v>283</v>
      </c>
      <c r="T7495" s="2">
        <v>1.01</v>
      </c>
      <c r="U7495" s="2">
        <v>65.599999999999994</v>
      </c>
      <c r="V7495" s="2">
        <v>65</v>
      </c>
      <c r="W7495" s="2" t="s">
        <v>7862</v>
      </c>
      <c r="X7495" s="2" t="s">
        <v>6838</v>
      </c>
      <c r="Y7495" s="2">
        <v>22272</v>
      </c>
      <c r="Z7495" s="19" t="str">
        <f>HYPERLINK("https://ssdweb.co/ssdweb/hd/Vision360.html?d=925981175&amp;zoomslide=1&amp;z=1925981175&amp;ISCONFIRM=0","VIDEO")</f>
        <v>VIDEO</v>
      </c>
      <c r="AA7495" s="19" t="str">
        <f>HYPERLINK("https://ssdweb.co/ssdweb/CERTH/629497435.pdf","CERTI")</f>
        <v>CERTI</v>
      </c>
    </row>
    <row r="7496" spans="1:27" ht="15" x14ac:dyDescent="0.25">
      <c r="A7496" s="2">
        <v>7491</v>
      </c>
      <c r="B7496" s="39">
        <v>926071494</v>
      </c>
      <c r="C7496" s="28" t="str">
        <f>HYPERLINK("https://pld.live/RapDetail.aspx?STONELIST=926071494","DNA")</f>
        <v>DNA</v>
      </c>
      <c r="D7496" s="18" t="s">
        <v>5313</v>
      </c>
      <c r="E7496" s="18" t="s">
        <v>5128</v>
      </c>
      <c r="F7496" s="2" t="s">
        <v>7987</v>
      </c>
      <c r="G7496" s="2" t="s">
        <v>15</v>
      </c>
      <c r="H7496" s="14">
        <v>1.79</v>
      </c>
      <c r="I7496" s="2" t="s">
        <v>4761</v>
      </c>
      <c r="J7496" s="2" t="s">
        <v>3942</v>
      </c>
      <c r="K7496" s="2" t="s">
        <v>1452</v>
      </c>
      <c r="L7496" s="2" t="s">
        <v>5221</v>
      </c>
      <c r="M7496" s="2" t="s">
        <v>5221</v>
      </c>
      <c r="N7496" s="2" t="s">
        <v>2317</v>
      </c>
      <c r="O7496" s="14">
        <v>11600</v>
      </c>
      <c r="P7496" s="14">
        <v>98.89</v>
      </c>
      <c r="Q7496" s="14">
        <v>128.76</v>
      </c>
      <c r="R7496" s="14">
        <v>230.48</v>
      </c>
      <c r="S7496" s="2" t="s">
        <v>7637</v>
      </c>
      <c r="T7496" s="2">
        <v>1.03</v>
      </c>
      <c r="U7496" s="2">
        <v>65.7</v>
      </c>
      <c r="V7496" s="2">
        <v>65</v>
      </c>
      <c r="W7496" s="2" t="s">
        <v>7862</v>
      </c>
      <c r="X7496" s="2" t="s">
        <v>6838</v>
      </c>
      <c r="Y7496" s="2">
        <v>20764</v>
      </c>
      <c r="Z7496" s="19" t="str">
        <f>HYPERLINK("https://ssdweb.co/ssdweb/hd/Vision360.html?d=926071494&amp;zoomslide=1&amp;z=1926071494&amp;ISCONFIRM=0","VIDEO")</f>
        <v>VIDEO</v>
      </c>
      <c r="AA7496" s="19" t="str">
        <f>HYPERLINK("https://ssdweb.co/ssdweb/CERTH/631430311.pdf","CERTI")</f>
        <v>CERTI</v>
      </c>
    </row>
    <row r="7497" spans="1:27" ht="15" x14ac:dyDescent="0.25">
      <c r="A7497" s="2">
        <v>7492</v>
      </c>
      <c r="B7497" s="39">
        <v>926071719</v>
      </c>
      <c r="C7497" s="28" t="str">
        <f>HYPERLINK("https://pld.live/RapDetail.aspx?STONELIST=926071719","DNA")</f>
        <v>DNA</v>
      </c>
      <c r="D7497" s="18" t="s">
        <v>5313</v>
      </c>
      <c r="E7497" s="18" t="s">
        <v>5128</v>
      </c>
      <c r="F7497" s="2" t="s">
        <v>7987</v>
      </c>
      <c r="G7497" s="2" t="s">
        <v>15</v>
      </c>
      <c r="H7497" s="14">
        <v>1.78</v>
      </c>
      <c r="I7497" s="2" t="s">
        <v>267</v>
      </c>
      <c r="J7497" s="2" t="s">
        <v>13</v>
      </c>
      <c r="K7497" s="2" t="s">
        <v>1452</v>
      </c>
      <c r="L7497" s="2" t="s">
        <v>5221</v>
      </c>
      <c r="M7497" s="2" t="s">
        <v>5221</v>
      </c>
      <c r="N7497" s="2" t="s">
        <v>2317</v>
      </c>
      <c r="O7497" s="14">
        <v>11600</v>
      </c>
      <c r="P7497" s="14">
        <v>98.91</v>
      </c>
      <c r="Q7497" s="14">
        <v>126.44</v>
      </c>
      <c r="R7497" s="14">
        <v>225.06</v>
      </c>
      <c r="S7497" s="2" t="s">
        <v>7783</v>
      </c>
      <c r="T7497" s="2">
        <v>1</v>
      </c>
      <c r="U7497" s="2">
        <v>66.900000000000006</v>
      </c>
      <c r="V7497" s="2">
        <v>63</v>
      </c>
      <c r="W7497" s="2" t="s">
        <v>7862</v>
      </c>
      <c r="X7497" s="2" t="s">
        <v>6838</v>
      </c>
      <c r="Y7497" s="2">
        <v>20648</v>
      </c>
      <c r="Z7497" s="19" t="str">
        <f>HYPERLINK("https://ssdweb.co/ssdweb/hd/Vision360.html?d=926071719&amp;zoomslide=1&amp;z=1926071719&amp;ISCONFIRM=0","VIDEO")</f>
        <v>VIDEO</v>
      </c>
      <c r="AA7497" s="19" t="str">
        <f>HYPERLINK("https://ssdweb.co/ssdweb/CERTH/631464099.pdf","CERTI")</f>
        <v>CERTI</v>
      </c>
    </row>
    <row r="7498" spans="1:27" ht="15" x14ac:dyDescent="0.25">
      <c r="A7498" s="2">
        <v>7493</v>
      </c>
      <c r="B7498" s="39">
        <v>926071676</v>
      </c>
      <c r="C7498" s="28" t="str">
        <f>HYPERLINK("https://pld.live/RapDetail.aspx?STONELIST=926071676","DNA")</f>
        <v>DNA</v>
      </c>
      <c r="D7498" s="18" t="s">
        <v>5313</v>
      </c>
      <c r="E7498" s="18" t="s">
        <v>5128</v>
      </c>
      <c r="F7498" s="2" t="s">
        <v>7987</v>
      </c>
      <c r="G7498" s="2" t="s">
        <v>15</v>
      </c>
      <c r="H7498" s="14">
        <v>1.75</v>
      </c>
      <c r="I7498" s="2" t="s">
        <v>267</v>
      </c>
      <c r="J7498" s="2" t="s">
        <v>6555</v>
      </c>
      <c r="K7498" s="2" t="s">
        <v>1452</v>
      </c>
      <c r="L7498" s="2" t="s">
        <v>5221</v>
      </c>
      <c r="M7498" s="2" t="s">
        <v>5221</v>
      </c>
      <c r="N7498" s="2" t="s">
        <v>2317</v>
      </c>
      <c r="O7498" s="14">
        <v>13200</v>
      </c>
      <c r="P7498" s="14">
        <v>98.7</v>
      </c>
      <c r="Q7498" s="14">
        <v>171.6</v>
      </c>
      <c r="R7498" s="14">
        <v>300.3</v>
      </c>
      <c r="S7498" s="2" t="s">
        <v>297</v>
      </c>
      <c r="T7498" s="2">
        <v>1</v>
      </c>
      <c r="U7498" s="2">
        <v>66.099999999999994</v>
      </c>
      <c r="V7498" s="2">
        <v>66</v>
      </c>
      <c r="W7498" s="2" t="s">
        <v>7862</v>
      </c>
      <c r="X7498" s="2" t="s">
        <v>6838</v>
      </c>
      <c r="Y7498" s="2">
        <v>23100</v>
      </c>
      <c r="Z7498" s="19" t="str">
        <f>HYPERLINK("https://ssdweb.co/ssdweb/hd/Vision360.html?d=926071676&amp;zoomslide=1&amp;z=1926071676&amp;ISCONFIRM=0","VIDEO")</f>
        <v>VIDEO</v>
      </c>
      <c r="AA7498" s="19" t="str">
        <f>HYPERLINK("https://ssdweb.co/ssdweb/CERTH/631430099.pdf","CERTI")</f>
        <v>CERTI</v>
      </c>
    </row>
    <row r="7499" spans="1:27" ht="15" x14ac:dyDescent="0.25">
      <c r="A7499" s="2">
        <v>7494</v>
      </c>
      <c r="B7499" s="39">
        <v>926071823</v>
      </c>
      <c r="C7499" s="28" t="str">
        <f>HYPERLINK("https://pld.live/RapDetail.aspx?STONELIST=926071823","DNA")</f>
        <v>DNA</v>
      </c>
      <c r="D7499" s="18" t="s">
        <v>711</v>
      </c>
      <c r="E7499" s="18" t="s">
        <v>5128</v>
      </c>
      <c r="F7499" s="2" t="s">
        <v>7987</v>
      </c>
      <c r="G7499" s="2" t="s">
        <v>15</v>
      </c>
      <c r="H7499" s="14">
        <v>1.68</v>
      </c>
      <c r="I7499" s="2" t="s">
        <v>267</v>
      </c>
      <c r="J7499" s="2" t="s">
        <v>13</v>
      </c>
      <c r="K7499" s="2" t="s">
        <v>1452</v>
      </c>
      <c r="L7499" s="2" t="s">
        <v>5221</v>
      </c>
      <c r="M7499" s="2" t="s">
        <v>5221</v>
      </c>
      <c r="N7499" s="2" t="s">
        <v>2317</v>
      </c>
      <c r="O7499" s="14">
        <v>11600</v>
      </c>
      <c r="P7499" s="14">
        <v>98.91</v>
      </c>
      <c r="Q7499" s="14">
        <v>126.44</v>
      </c>
      <c r="R7499" s="14">
        <v>212.42</v>
      </c>
      <c r="S7499" s="2" t="s">
        <v>7660</v>
      </c>
      <c r="T7499" s="2">
        <v>1.02</v>
      </c>
      <c r="U7499" s="2">
        <v>65.3</v>
      </c>
      <c r="V7499" s="2">
        <v>68</v>
      </c>
      <c r="W7499" s="2" t="s">
        <v>7862</v>
      </c>
      <c r="X7499" s="2" t="s">
        <v>6838</v>
      </c>
      <c r="Y7499" s="2">
        <v>19488</v>
      </c>
      <c r="Z7499" s="19" t="str">
        <f>HYPERLINK("https://ssdweb.co/ssdweb/hd/Vision360.html?d=926071823&amp;zoomslide=1&amp;z=1926071823&amp;ISCONFIRM=0","VIDEO")</f>
        <v>VIDEO</v>
      </c>
      <c r="AA7499" s="19" t="str">
        <f>HYPERLINK("https://ssdweb.co/ssdweb/CERTH/631464056.pdf","CERTI")</f>
        <v>CERTI</v>
      </c>
    </row>
    <row r="7500" spans="1:27" ht="15" x14ac:dyDescent="0.25">
      <c r="A7500" s="2">
        <v>7495</v>
      </c>
      <c r="B7500" s="39">
        <v>925802020</v>
      </c>
      <c r="C7500" s="28" t="str">
        <f>HYPERLINK("https://pld.live/RapDetail.aspx?STONELIST=925802020","DNA")</f>
        <v>DNA</v>
      </c>
      <c r="D7500" s="18" t="s">
        <v>711</v>
      </c>
      <c r="E7500" s="18" t="s">
        <v>5128</v>
      </c>
      <c r="F7500" s="2" t="s">
        <v>7987</v>
      </c>
      <c r="G7500" s="2" t="s">
        <v>15</v>
      </c>
      <c r="H7500" s="14">
        <v>1.62</v>
      </c>
      <c r="I7500" s="2" t="s">
        <v>4761</v>
      </c>
      <c r="J7500" s="2" t="s">
        <v>13</v>
      </c>
      <c r="K7500" s="2" t="s">
        <v>1452</v>
      </c>
      <c r="L7500" s="2" t="s">
        <v>5221</v>
      </c>
      <c r="M7500" s="2" t="s">
        <v>5221</v>
      </c>
      <c r="N7500" s="2" t="s">
        <v>2317</v>
      </c>
      <c r="O7500" s="14">
        <v>10800</v>
      </c>
      <c r="P7500" s="14">
        <v>98.87</v>
      </c>
      <c r="Q7500" s="14">
        <v>122.04</v>
      </c>
      <c r="R7500" s="14">
        <v>197.7</v>
      </c>
      <c r="S7500" s="2" t="s">
        <v>2880</v>
      </c>
      <c r="T7500" s="2">
        <v>1.02</v>
      </c>
      <c r="U7500" s="2">
        <v>64.400000000000006</v>
      </c>
      <c r="V7500" s="2">
        <v>64</v>
      </c>
      <c r="W7500" s="2" t="s">
        <v>7862</v>
      </c>
      <c r="X7500" s="2" t="s">
        <v>6838</v>
      </c>
      <c r="Y7500" s="2">
        <v>17496</v>
      </c>
      <c r="Z7500" s="19" t="str">
        <f>HYPERLINK("https://ssdweb.co/ssdweb/hd/Vision360.html?d=925802020&amp;zoomslide=1&amp;z=1925802020&amp;ISCONFIRM=0","VIDEO")</f>
        <v>VIDEO</v>
      </c>
      <c r="AA7500" s="19" t="str">
        <f>HYPERLINK("https://ssdweb.co/ssdweb/CERTH/627410469.pdf","CERTI")</f>
        <v>CERTI</v>
      </c>
    </row>
    <row r="7501" spans="1:27" ht="15" x14ac:dyDescent="0.25">
      <c r="A7501" s="2">
        <v>7496</v>
      </c>
      <c r="B7501" s="39">
        <v>924700201</v>
      </c>
      <c r="C7501" s="28" t="str">
        <f>HYPERLINK("https://pld.live/RapDetail.aspx?STONELIST=924700201","DNA")</f>
        <v>DNA</v>
      </c>
      <c r="D7501" s="18" t="s">
        <v>711</v>
      </c>
      <c r="E7501" s="18" t="s">
        <v>5128</v>
      </c>
      <c r="F7501" s="2" t="s">
        <v>7987</v>
      </c>
      <c r="G7501" s="2" t="s">
        <v>15</v>
      </c>
      <c r="H7501" s="14">
        <v>1.6</v>
      </c>
      <c r="I7501" s="2" t="s">
        <v>6587</v>
      </c>
      <c r="J7501" s="2" t="s">
        <v>3942</v>
      </c>
      <c r="K7501" s="2" t="s">
        <v>1452</v>
      </c>
      <c r="L7501" s="2" t="s">
        <v>5221</v>
      </c>
      <c r="M7501" s="2" t="s">
        <v>5221</v>
      </c>
      <c r="N7501" s="2" t="s">
        <v>2317</v>
      </c>
      <c r="O7501" s="14">
        <v>10000</v>
      </c>
      <c r="P7501" s="14">
        <v>98.81</v>
      </c>
      <c r="Q7501" s="14">
        <v>119</v>
      </c>
      <c r="R7501" s="14">
        <v>190.4</v>
      </c>
      <c r="S7501" s="2" t="s">
        <v>3222</v>
      </c>
      <c r="T7501" s="2">
        <v>1</v>
      </c>
      <c r="U7501" s="2">
        <v>66.099999999999994</v>
      </c>
      <c r="V7501" s="2">
        <v>63</v>
      </c>
      <c r="W7501" s="2" t="s">
        <v>4336</v>
      </c>
      <c r="X7501" s="2" t="s">
        <v>6838</v>
      </c>
      <c r="Y7501" s="2">
        <v>16000</v>
      </c>
      <c r="Z7501" s="19" t="str">
        <f>HYPERLINK("https://ssdweb.co/ssdweb/hd/Vision360.html?d=924700201&amp;zoomslide=1&amp;z=1924700201&amp;ISCONFIRM=0","VIDEO")</f>
        <v>VIDEO</v>
      </c>
      <c r="AA7501" s="19" t="str">
        <f>HYPERLINK("https://ssdweb.co/ssdweb/CERTH/600385191.pdf","CERTI")</f>
        <v>CERTI</v>
      </c>
    </row>
    <row r="7502" spans="1:27" ht="15" x14ac:dyDescent="0.25">
      <c r="A7502" s="2">
        <v>7497</v>
      </c>
      <c r="B7502" s="39">
        <v>925860705</v>
      </c>
      <c r="C7502" s="28" t="str">
        <f>HYPERLINK("https://pld.live/RapDetail.aspx?STONELIST=925860705","DNA")</f>
        <v>DNA</v>
      </c>
      <c r="D7502" s="18" t="s">
        <v>711</v>
      </c>
      <c r="E7502" s="18" t="s">
        <v>5128</v>
      </c>
      <c r="F7502" s="2" t="s">
        <v>7987</v>
      </c>
      <c r="G7502" s="2" t="s">
        <v>7076</v>
      </c>
      <c r="H7502" s="14">
        <v>1.59</v>
      </c>
      <c r="I7502" s="2" t="s">
        <v>267</v>
      </c>
      <c r="J7502" s="2" t="s">
        <v>3942</v>
      </c>
      <c r="K7502" s="2" t="s">
        <v>1452</v>
      </c>
      <c r="L7502" s="2" t="s">
        <v>5221</v>
      </c>
      <c r="M7502" s="2" t="s">
        <v>5221</v>
      </c>
      <c r="N7502" s="2" t="s">
        <v>2317</v>
      </c>
      <c r="O7502" s="14">
        <v>12500</v>
      </c>
      <c r="P7502" s="14">
        <v>96.24</v>
      </c>
      <c r="Q7502" s="14">
        <v>470</v>
      </c>
      <c r="R7502" s="14">
        <v>747.3</v>
      </c>
      <c r="S7502" s="2" t="s">
        <v>6090</v>
      </c>
      <c r="T7502" s="2">
        <v>0.98</v>
      </c>
      <c r="U7502" s="2">
        <v>0</v>
      </c>
      <c r="V7502" s="2">
        <v>0</v>
      </c>
      <c r="W7502" s="2" t="s">
        <v>7862</v>
      </c>
      <c r="X7502" s="2" t="s">
        <v>1920</v>
      </c>
      <c r="Y7502" s="2">
        <v>19875</v>
      </c>
      <c r="Z7502" s="19" t="str">
        <f>HYPERLINK("https://ssdweb.co/ssdweb/hd/Vision360.html?d=925860705&amp;zoomslide=1&amp;z=1925860705&amp;ISCONFIRM=0","VIDEO")</f>
        <v>VIDEO</v>
      </c>
      <c r="AA7502" s="19" t="str">
        <f>HYPERLINK("https://ssdweb.co/ssdweb/CERTH/626492775.pdf","CERTI")</f>
        <v>CERTI</v>
      </c>
    </row>
    <row r="7503" spans="1:27" ht="15" x14ac:dyDescent="0.25">
      <c r="A7503" s="2">
        <v>7498</v>
      </c>
      <c r="B7503" s="39">
        <v>925732284</v>
      </c>
      <c r="C7503" s="28" t="str">
        <f>HYPERLINK("https://pld.live/RapDetail.aspx?STONELIST=925732284","DNA")</f>
        <v>DNA</v>
      </c>
      <c r="D7503" s="18" t="s">
        <v>711</v>
      </c>
      <c r="E7503" s="18" t="s">
        <v>5128</v>
      </c>
      <c r="F7503" s="2" t="s">
        <v>7987</v>
      </c>
      <c r="G7503" s="2" t="s">
        <v>15</v>
      </c>
      <c r="H7503" s="14">
        <v>1.57</v>
      </c>
      <c r="I7503" s="2" t="s">
        <v>267</v>
      </c>
      <c r="J7503" s="2" t="s">
        <v>3942</v>
      </c>
      <c r="K7503" s="2" t="s">
        <v>1452</v>
      </c>
      <c r="L7503" s="2" t="s">
        <v>5221</v>
      </c>
      <c r="M7503" s="2" t="s">
        <v>5221</v>
      </c>
      <c r="N7503" s="2" t="s">
        <v>2317</v>
      </c>
      <c r="O7503" s="14">
        <v>12500</v>
      </c>
      <c r="P7503" s="14">
        <v>98.94</v>
      </c>
      <c r="Q7503" s="14">
        <v>132.5</v>
      </c>
      <c r="R7503" s="14">
        <v>208.03</v>
      </c>
      <c r="S7503" s="2" t="s">
        <v>2286</v>
      </c>
      <c r="T7503" s="2">
        <v>1.02</v>
      </c>
      <c r="U7503" s="2">
        <v>65.2</v>
      </c>
      <c r="V7503" s="2">
        <v>56</v>
      </c>
      <c r="W7503" s="2" t="s">
        <v>7862</v>
      </c>
      <c r="X7503" s="2" t="s">
        <v>6838</v>
      </c>
      <c r="Y7503" s="2">
        <v>19625</v>
      </c>
      <c r="Z7503" s="19" t="str">
        <f>HYPERLINK("https://ssdweb.co/ssdweb/hd/Vision360.html?d=925732284&amp;zoomslide=1&amp;z=1925732284&amp;ISCONFIRM=0","VIDEO")</f>
        <v>VIDEO</v>
      </c>
      <c r="AA7503" s="19" t="str">
        <f>HYPERLINK("https://ssdweb.co/ssdweb/CERTH/627471623.pdf","CERTI")</f>
        <v>CERTI</v>
      </c>
    </row>
    <row r="7504" spans="1:27" ht="15" x14ac:dyDescent="0.25">
      <c r="A7504" s="2">
        <v>7499</v>
      </c>
      <c r="B7504" s="39">
        <v>925731977</v>
      </c>
      <c r="C7504" s="28" t="str">
        <f>HYPERLINK("https://pld.live/RapDetail.aspx?STONELIST=925731977","DNA")</f>
        <v>DNA</v>
      </c>
      <c r="D7504" s="18" t="s">
        <v>711</v>
      </c>
      <c r="E7504" s="18" t="s">
        <v>5128</v>
      </c>
      <c r="F7504" s="2" t="s">
        <v>7987</v>
      </c>
      <c r="G7504" s="2" t="s">
        <v>15</v>
      </c>
      <c r="H7504" s="14">
        <v>1.57</v>
      </c>
      <c r="I7504" s="2" t="s">
        <v>4761</v>
      </c>
      <c r="J7504" s="2" t="s">
        <v>13</v>
      </c>
      <c r="K7504" s="2" t="s">
        <v>1452</v>
      </c>
      <c r="L7504" s="2" t="s">
        <v>5221</v>
      </c>
      <c r="M7504" s="2" t="s">
        <v>5221</v>
      </c>
      <c r="N7504" s="2" t="s">
        <v>2317</v>
      </c>
      <c r="O7504" s="14">
        <v>10800</v>
      </c>
      <c r="P7504" s="14">
        <v>98.89</v>
      </c>
      <c r="Q7504" s="14">
        <v>119.88</v>
      </c>
      <c r="R7504" s="14">
        <v>188.21</v>
      </c>
      <c r="S7504" s="2" t="s">
        <v>2238</v>
      </c>
      <c r="T7504" s="2">
        <v>1.02</v>
      </c>
      <c r="U7504" s="2">
        <v>65.400000000000006</v>
      </c>
      <c r="V7504" s="2">
        <v>67</v>
      </c>
      <c r="W7504" s="2" t="s">
        <v>4336</v>
      </c>
      <c r="X7504" s="2" t="s">
        <v>6838</v>
      </c>
      <c r="Y7504" s="2">
        <v>16956</v>
      </c>
      <c r="Z7504" s="19" t="str">
        <f>HYPERLINK("https://ssdweb.co/ssdweb/hd/Vision360.html?d=925731977&amp;zoomslide=1&amp;z=1925731977&amp;ISCONFIRM=0","VIDEO")</f>
        <v>VIDEO</v>
      </c>
      <c r="AA7504" s="19" t="str">
        <f>HYPERLINK("https://ssdweb.co/ssdweb/CERTH/625432334.pdf","CERTI")</f>
        <v>CERTI</v>
      </c>
    </row>
    <row r="7505" spans="1:27" ht="15" x14ac:dyDescent="0.25">
      <c r="A7505" s="2">
        <v>7500</v>
      </c>
      <c r="B7505" s="39">
        <v>925732179</v>
      </c>
      <c r="C7505" s="28" t="str">
        <f>HYPERLINK("https://pld.live/RapDetail.aspx?STONELIST=925732179","DNA")</f>
        <v>DNA</v>
      </c>
      <c r="D7505" s="18" t="s">
        <v>711</v>
      </c>
      <c r="E7505" s="18" t="s">
        <v>5128</v>
      </c>
      <c r="F7505" s="2" t="s">
        <v>7987</v>
      </c>
      <c r="G7505" s="2" t="s">
        <v>15</v>
      </c>
      <c r="H7505" s="14">
        <v>1.57</v>
      </c>
      <c r="I7505" s="2" t="s">
        <v>6587</v>
      </c>
      <c r="J7505" s="2" t="s">
        <v>7032</v>
      </c>
      <c r="K7505" s="2" t="s">
        <v>1452</v>
      </c>
      <c r="L7505" s="2" t="s">
        <v>5221</v>
      </c>
      <c r="M7505" s="2" t="s">
        <v>5221</v>
      </c>
      <c r="N7505" s="2" t="s">
        <v>2317</v>
      </c>
      <c r="O7505" s="14">
        <v>10900</v>
      </c>
      <c r="P7505" s="14">
        <v>97.34</v>
      </c>
      <c r="Q7505" s="14">
        <v>289.94</v>
      </c>
      <c r="R7505" s="14">
        <v>455.21</v>
      </c>
      <c r="S7505" s="2" t="s">
        <v>5552</v>
      </c>
      <c r="T7505" s="2">
        <v>1.01</v>
      </c>
      <c r="U7505" s="2">
        <v>64.7</v>
      </c>
      <c r="V7505" s="2">
        <v>68</v>
      </c>
      <c r="W7505" s="2" t="s">
        <v>7862</v>
      </c>
      <c r="X7505" s="2" t="s">
        <v>6838</v>
      </c>
      <c r="Y7505" s="2">
        <v>17113</v>
      </c>
      <c r="Z7505" s="19" t="str">
        <f>HYPERLINK("https://ssdweb.co/ssdweb/hd/Vision360.html?d=925732179&amp;zoomslide=1&amp;z=1925732179&amp;ISCONFIRM=0","VIDEO")</f>
        <v>VIDEO</v>
      </c>
      <c r="AA7505" s="19" t="str">
        <f>HYPERLINK("https://ssdweb.co/ssdweb/CERTH/626466256.pdf","CERTI")</f>
        <v>CERTI</v>
      </c>
    </row>
    <row r="7506" spans="1:27" ht="15" x14ac:dyDescent="0.25">
      <c r="A7506" s="2">
        <v>7501</v>
      </c>
      <c r="B7506" s="39">
        <v>925801738</v>
      </c>
      <c r="C7506" s="28" t="str">
        <f>HYPERLINK("https://pld.live/RapDetail.aspx?STONELIST=925801738","DNA")</f>
        <v>DNA</v>
      </c>
      <c r="D7506" s="18" t="s">
        <v>711</v>
      </c>
      <c r="E7506" s="18" t="s">
        <v>5128</v>
      </c>
      <c r="F7506" s="2" t="s">
        <v>7987</v>
      </c>
      <c r="G7506" s="2" t="s">
        <v>15</v>
      </c>
      <c r="H7506" s="14">
        <v>1.56</v>
      </c>
      <c r="I7506" s="2" t="s">
        <v>267</v>
      </c>
      <c r="J7506" s="2" t="s">
        <v>7032</v>
      </c>
      <c r="K7506" s="2" t="s">
        <v>1452</v>
      </c>
      <c r="L7506" s="2" t="s">
        <v>5221</v>
      </c>
      <c r="M7506" s="2" t="s">
        <v>5221</v>
      </c>
      <c r="N7506" s="2" t="s">
        <v>2317</v>
      </c>
      <c r="O7506" s="14">
        <v>14100</v>
      </c>
      <c r="P7506" s="14">
        <v>97.38</v>
      </c>
      <c r="Q7506" s="14">
        <v>369.42</v>
      </c>
      <c r="R7506" s="14">
        <v>576.29999999999995</v>
      </c>
      <c r="S7506" s="2" t="s">
        <v>7218</v>
      </c>
      <c r="T7506" s="2">
        <v>1.01</v>
      </c>
      <c r="U7506" s="2">
        <v>64.599999999999994</v>
      </c>
      <c r="V7506" s="2">
        <v>65</v>
      </c>
      <c r="W7506" s="2" t="s">
        <v>7862</v>
      </c>
      <c r="X7506" s="2" t="s">
        <v>6838</v>
      </c>
      <c r="Y7506" s="2">
        <v>21996</v>
      </c>
      <c r="Z7506" s="19" t="str">
        <f>HYPERLINK("https://ssdweb.co/ssdweb/hd/Vision360.html?d=925801738&amp;zoomslide=1&amp;z=1925801738&amp;ISCONFIRM=0","VIDEO")</f>
        <v>VIDEO</v>
      </c>
      <c r="AA7506" s="19" t="str">
        <f>HYPERLINK("https://ssdweb.co/ssdweb/CERTH/626427554.pdf","CERTI")</f>
        <v>CERTI</v>
      </c>
    </row>
    <row r="7507" spans="1:27" ht="15" x14ac:dyDescent="0.25">
      <c r="A7507" s="2">
        <v>7502</v>
      </c>
      <c r="B7507" s="39">
        <v>925732016</v>
      </c>
      <c r="C7507" s="28" t="str">
        <f>HYPERLINK("https://pld.live/RapDetail.aspx?STONELIST=925732016","DNA")</f>
        <v>DNA</v>
      </c>
      <c r="D7507" s="18" t="s">
        <v>711</v>
      </c>
      <c r="E7507" s="18" t="s">
        <v>5128</v>
      </c>
      <c r="F7507" s="2" t="s">
        <v>7987</v>
      </c>
      <c r="G7507" s="2" t="s">
        <v>15</v>
      </c>
      <c r="H7507" s="14">
        <v>1.56</v>
      </c>
      <c r="I7507" s="2" t="s">
        <v>267</v>
      </c>
      <c r="J7507" s="2" t="s">
        <v>7032</v>
      </c>
      <c r="K7507" s="2" t="s">
        <v>1452</v>
      </c>
      <c r="L7507" s="2" t="s">
        <v>5221</v>
      </c>
      <c r="M7507" s="2" t="s">
        <v>5221</v>
      </c>
      <c r="N7507" s="2" t="s">
        <v>2317</v>
      </c>
      <c r="O7507" s="14">
        <v>14100</v>
      </c>
      <c r="P7507" s="14">
        <v>97.38</v>
      </c>
      <c r="Q7507" s="14">
        <v>369.42</v>
      </c>
      <c r="R7507" s="14">
        <v>576.29999999999995</v>
      </c>
      <c r="S7507" s="2" t="s">
        <v>3029</v>
      </c>
      <c r="T7507" s="2">
        <v>1.02</v>
      </c>
      <c r="U7507" s="2">
        <v>64.8</v>
      </c>
      <c r="V7507" s="2">
        <v>64</v>
      </c>
      <c r="W7507" s="2" t="s">
        <v>7862</v>
      </c>
      <c r="X7507" s="2" t="s">
        <v>6838</v>
      </c>
      <c r="Y7507" s="2">
        <v>21996</v>
      </c>
      <c r="Z7507" s="19" t="str">
        <f>HYPERLINK("https://ssdweb.co/ssdweb/hd/Vision360.html?d=925732016&amp;zoomslide=1&amp;z=1925732016&amp;ISCONFIRM=0","VIDEO")</f>
        <v>VIDEO</v>
      </c>
      <c r="AA7507" s="19" t="str">
        <f>HYPERLINK("https://ssdweb.co/ssdweb/CERTH/625432323.pdf","CERTI")</f>
        <v>CERTI</v>
      </c>
    </row>
    <row r="7508" spans="1:27" ht="15" x14ac:dyDescent="0.25">
      <c r="A7508" s="2">
        <v>7503</v>
      </c>
      <c r="B7508" s="39">
        <v>925731958</v>
      </c>
      <c r="C7508" s="28" t="str">
        <f>HYPERLINK("https://pld.live/RapDetail.aspx?STONELIST=925731958","DNA")</f>
        <v>DNA</v>
      </c>
      <c r="D7508" s="18" t="s">
        <v>711</v>
      </c>
      <c r="E7508" s="18" t="s">
        <v>5128</v>
      </c>
      <c r="F7508" s="2" t="s">
        <v>7987</v>
      </c>
      <c r="G7508" s="2" t="s">
        <v>15</v>
      </c>
      <c r="H7508" s="14">
        <v>1.56</v>
      </c>
      <c r="I7508" s="2" t="s">
        <v>267</v>
      </c>
      <c r="J7508" s="2" t="s">
        <v>3942</v>
      </c>
      <c r="K7508" s="2" t="s">
        <v>1452</v>
      </c>
      <c r="L7508" s="2" t="s">
        <v>5221</v>
      </c>
      <c r="M7508" s="2" t="s">
        <v>5221</v>
      </c>
      <c r="N7508" s="2" t="s">
        <v>2317</v>
      </c>
      <c r="O7508" s="14">
        <v>12500</v>
      </c>
      <c r="P7508" s="14">
        <v>98.94</v>
      </c>
      <c r="Q7508" s="14">
        <v>132.5</v>
      </c>
      <c r="R7508" s="14">
        <v>206.7</v>
      </c>
      <c r="S7508" s="2" t="s">
        <v>817</v>
      </c>
      <c r="T7508" s="2">
        <v>1</v>
      </c>
      <c r="U7508" s="2">
        <v>64.2</v>
      </c>
      <c r="V7508" s="2">
        <v>63</v>
      </c>
      <c r="W7508" s="2" t="s">
        <v>7862</v>
      </c>
      <c r="X7508" s="2" t="s">
        <v>6838</v>
      </c>
      <c r="Y7508" s="2">
        <v>19500</v>
      </c>
      <c r="Z7508" s="19" t="str">
        <f>HYPERLINK("https://ssdweb.co/ssdweb/hd/Vision360.html?d=925731958&amp;zoomslide=1&amp;z=1925731958&amp;ISCONFIRM=0","VIDEO")</f>
        <v>VIDEO</v>
      </c>
      <c r="AA7508" s="19" t="str">
        <f>HYPERLINK("https://ssdweb.co/ssdweb/CERTH/625432327.pdf","CERTI")</f>
        <v>CERTI</v>
      </c>
    </row>
    <row r="7509" spans="1:27" ht="15" x14ac:dyDescent="0.25">
      <c r="A7509" s="2">
        <v>7504</v>
      </c>
      <c r="B7509" s="39">
        <v>925731371</v>
      </c>
      <c r="C7509" s="28" t="str">
        <f>HYPERLINK("https://pld.live/RapDetail.aspx?STONELIST=925731371","DNA")</f>
        <v>DNA</v>
      </c>
      <c r="D7509" s="18" t="s">
        <v>711</v>
      </c>
      <c r="E7509" s="18" t="s">
        <v>5128</v>
      </c>
      <c r="F7509" s="2" t="s">
        <v>7987</v>
      </c>
      <c r="G7509" s="2" t="s">
        <v>15</v>
      </c>
      <c r="H7509" s="14">
        <v>1.56</v>
      </c>
      <c r="I7509" s="2" t="s">
        <v>267</v>
      </c>
      <c r="J7509" s="2" t="s">
        <v>3942</v>
      </c>
      <c r="K7509" s="2" t="s">
        <v>1452</v>
      </c>
      <c r="L7509" s="2" t="s">
        <v>5221</v>
      </c>
      <c r="M7509" s="2" t="s">
        <v>5221</v>
      </c>
      <c r="N7509" s="2" t="s">
        <v>2317</v>
      </c>
      <c r="O7509" s="14">
        <v>12500</v>
      </c>
      <c r="P7509" s="14">
        <v>98.94</v>
      </c>
      <c r="Q7509" s="14">
        <v>132.5</v>
      </c>
      <c r="R7509" s="14">
        <v>206.7</v>
      </c>
      <c r="S7509" s="2" t="s">
        <v>5130</v>
      </c>
      <c r="T7509" s="2">
        <v>1</v>
      </c>
      <c r="U7509" s="2">
        <v>67.2</v>
      </c>
      <c r="V7509" s="2">
        <v>64</v>
      </c>
      <c r="W7509" s="2" t="s">
        <v>7862</v>
      </c>
      <c r="X7509" s="2" t="s">
        <v>6838</v>
      </c>
      <c r="Y7509" s="2">
        <v>19500</v>
      </c>
      <c r="Z7509" s="19" t="str">
        <f>HYPERLINK("https://ssdweb.co/ssdweb/hd/Vision360.html?d=925731371&amp;zoomslide=1&amp;z=1925731371&amp;ISCONFIRM=0","VIDEO")</f>
        <v>VIDEO</v>
      </c>
      <c r="AA7509" s="19" t="str">
        <f>HYPERLINK("https://ssdweb.co/ssdweb/CERTH/624440104.pdf","CERTI")</f>
        <v>CERTI</v>
      </c>
    </row>
    <row r="7510" spans="1:27" ht="15" x14ac:dyDescent="0.25">
      <c r="A7510" s="2">
        <v>7505</v>
      </c>
      <c r="B7510" s="39">
        <v>925771140</v>
      </c>
      <c r="C7510" s="28" t="str">
        <f>HYPERLINK("https://pld.live/RapDetail.aspx?STONELIST=925771140","DNA")</f>
        <v>DNA</v>
      </c>
      <c r="D7510" s="18" t="s">
        <v>711</v>
      </c>
      <c r="E7510" s="18" t="s">
        <v>5128</v>
      </c>
      <c r="F7510" s="2" t="s">
        <v>7987</v>
      </c>
      <c r="G7510" s="2" t="s">
        <v>15</v>
      </c>
      <c r="H7510" s="14">
        <v>1.56</v>
      </c>
      <c r="I7510" s="2" t="s">
        <v>267</v>
      </c>
      <c r="J7510" s="2" t="s">
        <v>13</v>
      </c>
      <c r="K7510" s="2" t="s">
        <v>1452</v>
      </c>
      <c r="L7510" s="2" t="s">
        <v>5221</v>
      </c>
      <c r="M7510" s="2" t="s">
        <v>5221</v>
      </c>
      <c r="N7510" s="2" t="s">
        <v>2317</v>
      </c>
      <c r="O7510" s="14">
        <v>11600</v>
      </c>
      <c r="P7510" s="14">
        <v>98.91</v>
      </c>
      <c r="Q7510" s="14">
        <v>126.44</v>
      </c>
      <c r="R7510" s="14">
        <v>197.25</v>
      </c>
      <c r="S7510" s="2" t="s">
        <v>818</v>
      </c>
      <c r="T7510" s="2">
        <v>1.02</v>
      </c>
      <c r="U7510" s="2">
        <v>65.5</v>
      </c>
      <c r="V7510" s="2">
        <v>64</v>
      </c>
      <c r="W7510" s="2" t="s">
        <v>7862</v>
      </c>
      <c r="X7510" s="2" t="s">
        <v>6838</v>
      </c>
      <c r="Y7510" s="2">
        <v>18096</v>
      </c>
      <c r="Z7510" s="19" t="str">
        <f>HYPERLINK("https://ssdweb.co/ssdweb/hd/Vision360.html?d=925771140&amp;zoomslide=1&amp;z=1925771140&amp;ISCONFIRM=0","VIDEO")</f>
        <v>VIDEO</v>
      </c>
      <c r="AA7510" s="19" t="str">
        <f>HYPERLINK("https://ssdweb.co/ssdweb/CERTH/626457391.pdf","CERTI")</f>
        <v>CERTI</v>
      </c>
    </row>
    <row r="7511" spans="1:27" ht="15" x14ac:dyDescent="0.25">
      <c r="A7511" s="2">
        <v>7506</v>
      </c>
      <c r="B7511" s="39">
        <v>925730985</v>
      </c>
      <c r="C7511" s="28" t="str">
        <f>HYPERLINK("https://pld.live/RapDetail.aspx?STONELIST=925730985","DNA")</f>
        <v>DNA</v>
      </c>
      <c r="D7511" s="18" t="s">
        <v>711</v>
      </c>
      <c r="E7511" s="18" t="s">
        <v>5128</v>
      </c>
      <c r="F7511" s="2" t="s">
        <v>7987</v>
      </c>
      <c r="G7511" s="2" t="s">
        <v>15</v>
      </c>
      <c r="H7511" s="14">
        <v>1.56</v>
      </c>
      <c r="I7511" s="2" t="s">
        <v>4761</v>
      </c>
      <c r="J7511" s="2" t="s">
        <v>13</v>
      </c>
      <c r="K7511" s="2" t="s">
        <v>1452</v>
      </c>
      <c r="L7511" s="2" t="s">
        <v>5221</v>
      </c>
      <c r="M7511" s="2" t="s">
        <v>5221</v>
      </c>
      <c r="N7511" s="2" t="s">
        <v>2317</v>
      </c>
      <c r="O7511" s="14">
        <v>10800</v>
      </c>
      <c r="P7511" s="14">
        <v>98.87</v>
      </c>
      <c r="Q7511" s="14">
        <v>122.04</v>
      </c>
      <c r="R7511" s="14">
        <v>190.38</v>
      </c>
      <c r="S7511" s="2" t="s">
        <v>3272</v>
      </c>
      <c r="T7511" s="2">
        <v>1</v>
      </c>
      <c r="U7511" s="2">
        <v>65.8</v>
      </c>
      <c r="V7511" s="2">
        <v>63</v>
      </c>
      <c r="W7511" s="2" t="s">
        <v>7862</v>
      </c>
      <c r="X7511" s="2" t="s">
        <v>6838</v>
      </c>
      <c r="Y7511" s="2">
        <v>16848</v>
      </c>
      <c r="Z7511" s="19" t="str">
        <f>HYPERLINK("https://ssdweb.co/ssdweb/hd/Vision360.html?d=925730985&amp;zoomslide=1&amp;z=1925730985&amp;ISCONFIRM=0","VIDEO")</f>
        <v>VIDEO</v>
      </c>
      <c r="AA7511" s="19" t="str">
        <f>HYPERLINK("https://ssdweb.co/ssdweb/CERTH/623493309.pdf","CERTI")</f>
        <v>CERTI</v>
      </c>
    </row>
    <row r="7512" spans="1:27" ht="15" x14ac:dyDescent="0.25">
      <c r="A7512" s="2">
        <v>7507</v>
      </c>
      <c r="B7512" s="39">
        <v>925731411</v>
      </c>
      <c r="C7512" s="28" t="str">
        <f>HYPERLINK("https://pld.live/RapDetail.aspx?STONELIST=925731411","DNA")</f>
        <v>DNA</v>
      </c>
      <c r="D7512" s="18" t="s">
        <v>711</v>
      </c>
      <c r="E7512" s="18" t="s">
        <v>5128</v>
      </c>
      <c r="F7512" s="2" t="s">
        <v>7987</v>
      </c>
      <c r="G7512" s="2" t="s">
        <v>15</v>
      </c>
      <c r="H7512" s="14">
        <v>1.56</v>
      </c>
      <c r="I7512" s="2" t="s">
        <v>4761</v>
      </c>
      <c r="J7512" s="2" t="s">
        <v>5144</v>
      </c>
      <c r="K7512" s="2" t="s">
        <v>1452</v>
      </c>
      <c r="L7512" s="2" t="s">
        <v>5221</v>
      </c>
      <c r="M7512" s="2" t="s">
        <v>5221</v>
      </c>
      <c r="N7512" s="2" t="s">
        <v>2317</v>
      </c>
      <c r="O7512" s="14">
        <v>9300</v>
      </c>
      <c r="P7512" s="14">
        <v>98.73</v>
      </c>
      <c r="Q7512" s="14">
        <v>118.11</v>
      </c>
      <c r="R7512" s="14">
        <v>184.25</v>
      </c>
      <c r="S7512" s="2" t="s">
        <v>4964</v>
      </c>
      <c r="T7512" s="2">
        <v>1</v>
      </c>
      <c r="U7512" s="2">
        <v>66.599999999999994</v>
      </c>
      <c r="V7512" s="2">
        <v>64</v>
      </c>
      <c r="W7512" s="2" t="s">
        <v>7862</v>
      </c>
      <c r="X7512" s="2" t="s">
        <v>6838</v>
      </c>
      <c r="Y7512" s="2">
        <v>14508</v>
      </c>
      <c r="Z7512" s="19" t="str">
        <f>HYPERLINK("https://ssdweb.co/ssdweb/hd/Vision360.html?d=925731411&amp;zoomslide=1&amp;z=1925731411&amp;ISCONFIRM=0","VIDEO")</f>
        <v>VIDEO</v>
      </c>
      <c r="AA7512" s="19" t="str">
        <f>HYPERLINK("https://ssdweb.co/ssdweb/CERTH/624420552.pdf","CERTI")</f>
        <v>CERTI</v>
      </c>
    </row>
    <row r="7513" spans="1:27" ht="15" x14ac:dyDescent="0.25">
      <c r="A7513" s="2">
        <v>7508</v>
      </c>
      <c r="B7513" s="39">
        <v>925732144</v>
      </c>
      <c r="C7513" s="28" t="str">
        <f>HYPERLINK("https://pld.live/RapDetail.aspx?STONELIST=925732144","DNA")</f>
        <v>DNA</v>
      </c>
      <c r="D7513" s="18" t="s">
        <v>711</v>
      </c>
      <c r="E7513" s="18" t="s">
        <v>5128</v>
      </c>
      <c r="F7513" s="2" t="s">
        <v>7987</v>
      </c>
      <c r="G7513" s="2" t="s">
        <v>15</v>
      </c>
      <c r="H7513" s="14">
        <v>1.56</v>
      </c>
      <c r="I7513" s="2" t="s">
        <v>4699</v>
      </c>
      <c r="J7513" s="2" t="s">
        <v>3942</v>
      </c>
      <c r="K7513" s="2" t="s">
        <v>1452</v>
      </c>
      <c r="L7513" s="2" t="s">
        <v>5221</v>
      </c>
      <c r="M7513" s="2" t="s">
        <v>5221</v>
      </c>
      <c r="N7513" s="2" t="s">
        <v>2317</v>
      </c>
      <c r="O7513" s="14">
        <v>10800</v>
      </c>
      <c r="P7513" s="14">
        <v>98.85</v>
      </c>
      <c r="Q7513" s="14">
        <v>124.2</v>
      </c>
      <c r="R7513" s="14">
        <v>193.75</v>
      </c>
      <c r="S7513" s="2" t="s">
        <v>5527</v>
      </c>
      <c r="T7513" s="2">
        <v>1.02</v>
      </c>
      <c r="U7513" s="2">
        <v>64.8</v>
      </c>
      <c r="V7513" s="2">
        <v>65</v>
      </c>
      <c r="W7513" s="2" t="s">
        <v>7862</v>
      </c>
      <c r="X7513" s="2" t="s">
        <v>6838</v>
      </c>
      <c r="Y7513" s="2">
        <v>16848</v>
      </c>
      <c r="Z7513" s="19" t="str">
        <f>HYPERLINK("https://ssdweb.co/ssdweb/hd/Vision360.html?d=925732144&amp;zoomslide=1&amp;z=1925732144&amp;ISCONFIRM=0","VIDEO")</f>
        <v>VIDEO</v>
      </c>
      <c r="AA7513" s="19" t="str">
        <f>HYPERLINK("https://ssdweb.co/ssdweb/CERTH/626457440.pdf","CERTI")</f>
        <v>CERTI</v>
      </c>
    </row>
    <row r="7514" spans="1:27" ht="15" x14ac:dyDescent="0.25">
      <c r="A7514" s="2">
        <v>7509</v>
      </c>
      <c r="B7514" s="39">
        <v>925730242</v>
      </c>
      <c r="C7514" s="28" t="str">
        <f>HYPERLINK("https://pld.live/RapDetail.aspx?STONELIST=925730242","DNA")</f>
        <v>DNA</v>
      </c>
      <c r="D7514" s="18" t="s">
        <v>711</v>
      </c>
      <c r="E7514" s="18" t="s">
        <v>5128</v>
      </c>
      <c r="F7514" s="2" t="s">
        <v>7987</v>
      </c>
      <c r="G7514" s="2" t="s">
        <v>15</v>
      </c>
      <c r="H7514" s="14">
        <v>1.56</v>
      </c>
      <c r="I7514" s="2" t="s">
        <v>4699</v>
      </c>
      <c r="J7514" s="2" t="s">
        <v>13</v>
      </c>
      <c r="K7514" s="2" t="s">
        <v>1452</v>
      </c>
      <c r="L7514" s="2" t="s">
        <v>5221</v>
      </c>
      <c r="M7514" s="2" t="s">
        <v>5221</v>
      </c>
      <c r="N7514" s="2" t="s">
        <v>2317</v>
      </c>
      <c r="O7514" s="14">
        <v>10200</v>
      </c>
      <c r="P7514" s="14">
        <v>98.85</v>
      </c>
      <c r="Q7514" s="14">
        <v>117.3</v>
      </c>
      <c r="R7514" s="14">
        <v>182.99</v>
      </c>
      <c r="S7514" s="2" t="s">
        <v>3388</v>
      </c>
      <c r="T7514" s="2">
        <v>1.01</v>
      </c>
      <c r="U7514" s="2">
        <v>67.099999999999994</v>
      </c>
      <c r="V7514" s="2">
        <v>64</v>
      </c>
      <c r="W7514" s="2" t="s">
        <v>4336</v>
      </c>
      <c r="X7514" s="2" t="s">
        <v>6838</v>
      </c>
      <c r="Y7514" s="2">
        <v>15912</v>
      </c>
      <c r="Z7514" s="19" t="str">
        <f>HYPERLINK("https://ssdweb.co/ssdweb/hd/Vision360.html?d=925730242&amp;zoomslide=1&amp;z=1925730242&amp;ISCONFIRM=0","VIDEO")</f>
        <v>VIDEO</v>
      </c>
      <c r="AA7514" s="19" t="str">
        <f>HYPERLINK("https://ssdweb.co/ssdweb/CERTH/623412645.pdf","CERTI")</f>
        <v>CERTI</v>
      </c>
    </row>
    <row r="7515" spans="1:27" ht="15" x14ac:dyDescent="0.25">
      <c r="A7515" s="2">
        <v>7510</v>
      </c>
      <c r="B7515" s="39">
        <v>925861199</v>
      </c>
      <c r="C7515" s="28" t="str">
        <f>HYPERLINK("https://pld.live/RapDetail.aspx?STONELIST=925861199","DNA")</f>
        <v>DNA</v>
      </c>
      <c r="D7515" s="18" t="s">
        <v>711</v>
      </c>
      <c r="E7515" s="18" t="s">
        <v>5128</v>
      </c>
      <c r="F7515" s="2" t="s">
        <v>7987</v>
      </c>
      <c r="G7515" s="2" t="s">
        <v>15</v>
      </c>
      <c r="H7515" s="14">
        <v>1.55</v>
      </c>
      <c r="I7515" s="2" t="s">
        <v>267</v>
      </c>
      <c r="J7515" s="2" t="s">
        <v>7032</v>
      </c>
      <c r="K7515" s="2" t="s">
        <v>1452</v>
      </c>
      <c r="L7515" s="2" t="s">
        <v>5221</v>
      </c>
      <c r="M7515" s="2" t="s">
        <v>5221</v>
      </c>
      <c r="N7515" s="2" t="s">
        <v>2317</v>
      </c>
      <c r="O7515" s="14">
        <v>14100</v>
      </c>
      <c r="P7515" s="14">
        <v>97.38</v>
      </c>
      <c r="Q7515" s="14">
        <v>369.42</v>
      </c>
      <c r="R7515" s="14">
        <v>572.6</v>
      </c>
      <c r="S7515" s="2" t="s">
        <v>5619</v>
      </c>
      <c r="T7515" s="2">
        <v>1</v>
      </c>
      <c r="U7515" s="2">
        <v>67.400000000000006</v>
      </c>
      <c r="V7515" s="2">
        <v>66</v>
      </c>
      <c r="W7515" s="2" t="s">
        <v>7862</v>
      </c>
      <c r="X7515" s="2" t="s">
        <v>6838</v>
      </c>
      <c r="Y7515" s="2">
        <v>21855</v>
      </c>
      <c r="Z7515" s="19" t="str">
        <f>HYPERLINK("https://ssdweb.co/ssdweb/hd/Vision360.html?d=925861199&amp;zoomslide=1&amp;z=1925861199&amp;ISCONFIRM=0","VIDEO")</f>
        <v>VIDEO</v>
      </c>
      <c r="AA7515" s="19" t="str">
        <f>HYPERLINK("https://ssdweb.co/ssdweb/CERTH/627474756.pdf","CERTI")</f>
        <v>CERTI</v>
      </c>
    </row>
    <row r="7516" spans="1:27" ht="15" x14ac:dyDescent="0.25">
      <c r="A7516" s="2">
        <v>7511</v>
      </c>
      <c r="B7516" s="39">
        <v>925801573</v>
      </c>
      <c r="C7516" s="28" t="str">
        <f>HYPERLINK("https://pld.live/RapDetail.aspx?STONELIST=925801573","DNA")</f>
        <v>DNA</v>
      </c>
      <c r="D7516" s="18" t="s">
        <v>711</v>
      </c>
      <c r="E7516" s="18" t="s">
        <v>5128</v>
      </c>
      <c r="F7516" s="2" t="s">
        <v>7987</v>
      </c>
      <c r="G7516" s="2" t="s">
        <v>15</v>
      </c>
      <c r="H7516" s="14">
        <v>1.55</v>
      </c>
      <c r="I7516" s="2" t="s">
        <v>267</v>
      </c>
      <c r="J7516" s="2" t="s">
        <v>3942</v>
      </c>
      <c r="K7516" s="2" t="s">
        <v>1452</v>
      </c>
      <c r="L7516" s="2" t="s">
        <v>5221</v>
      </c>
      <c r="M7516" s="2" t="s">
        <v>5221</v>
      </c>
      <c r="N7516" s="2" t="s">
        <v>2317</v>
      </c>
      <c r="O7516" s="14">
        <v>12500</v>
      </c>
      <c r="P7516" s="14">
        <v>98.94</v>
      </c>
      <c r="Q7516" s="14">
        <v>132.5</v>
      </c>
      <c r="R7516" s="14">
        <v>205.38</v>
      </c>
      <c r="S7516" s="2" t="s">
        <v>4826</v>
      </c>
      <c r="T7516" s="2">
        <v>1</v>
      </c>
      <c r="U7516" s="2">
        <v>66.2</v>
      </c>
      <c r="V7516" s="2">
        <v>62</v>
      </c>
      <c r="W7516" s="2" t="s">
        <v>7862</v>
      </c>
      <c r="X7516" s="2" t="s">
        <v>6838</v>
      </c>
      <c r="Y7516" s="2">
        <v>19375</v>
      </c>
      <c r="Z7516" s="19" t="str">
        <f>HYPERLINK("https://ssdweb.co/ssdweb/hd/Vision360.html?d=925801573&amp;zoomslide=1&amp;z=1925801573&amp;ISCONFIRM=0","VIDEO")</f>
        <v>VIDEO</v>
      </c>
      <c r="AA7516" s="19" t="str">
        <f>HYPERLINK("https://ssdweb.co/ssdweb/CERTH/626427596.pdf","CERTI")</f>
        <v>CERTI</v>
      </c>
    </row>
    <row r="7517" spans="1:27" ht="15" x14ac:dyDescent="0.25">
      <c r="A7517" s="2">
        <v>7512</v>
      </c>
      <c r="B7517" s="39">
        <v>925731672</v>
      </c>
      <c r="C7517" s="28" t="str">
        <f>HYPERLINK("https://pld.live/RapDetail.aspx?STONELIST=925731672","DNA")</f>
        <v>DNA</v>
      </c>
      <c r="D7517" s="18" t="s">
        <v>711</v>
      </c>
      <c r="E7517" s="18" t="s">
        <v>5128</v>
      </c>
      <c r="F7517" s="2" t="s">
        <v>7987</v>
      </c>
      <c r="G7517" s="2" t="s">
        <v>15</v>
      </c>
      <c r="H7517" s="14">
        <v>1.55</v>
      </c>
      <c r="I7517" s="2" t="s">
        <v>267</v>
      </c>
      <c r="J7517" s="2" t="s">
        <v>3942</v>
      </c>
      <c r="K7517" s="2" t="s">
        <v>1452</v>
      </c>
      <c r="L7517" s="2" t="s">
        <v>5221</v>
      </c>
      <c r="M7517" s="2" t="s">
        <v>5221</v>
      </c>
      <c r="N7517" s="2" t="s">
        <v>2317</v>
      </c>
      <c r="O7517" s="14">
        <v>12500</v>
      </c>
      <c r="P7517" s="14">
        <v>98.94</v>
      </c>
      <c r="Q7517" s="14">
        <v>132.5</v>
      </c>
      <c r="R7517" s="14">
        <v>205.38</v>
      </c>
      <c r="S7517" s="2" t="s">
        <v>3974</v>
      </c>
      <c r="T7517" s="2">
        <v>1.02</v>
      </c>
      <c r="U7517" s="2">
        <v>64.3</v>
      </c>
      <c r="V7517" s="2">
        <v>68</v>
      </c>
      <c r="W7517" s="2" t="s">
        <v>7862</v>
      </c>
      <c r="X7517" s="2" t="s">
        <v>6838</v>
      </c>
      <c r="Y7517" s="2">
        <v>19375</v>
      </c>
      <c r="Z7517" s="19" t="str">
        <f>HYPERLINK("https://ssdweb.co/ssdweb/hd/Vision360.html?d=925731672&amp;zoomslide=1&amp;z=1925731672&amp;ISCONFIRM=0","VIDEO")</f>
        <v>VIDEO</v>
      </c>
      <c r="AA7517" s="19" t="str">
        <f>HYPERLINK("https://ssdweb.co/ssdweb/CERTH/625457930.pdf","CERTI")</f>
        <v>CERTI</v>
      </c>
    </row>
    <row r="7518" spans="1:27" ht="15" x14ac:dyDescent="0.25">
      <c r="A7518" s="2">
        <v>7513</v>
      </c>
      <c r="B7518" s="39">
        <v>925801574</v>
      </c>
      <c r="C7518" s="28" t="str">
        <f>HYPERLINK("https://pld.live/RapDetail.aspx?STONELIST=925801574","DNA")</f>
        <v>DNA</v>
      </c>
      <c r="D7518" s="18" t="s">
        <v>711</v>
      </c>
      <c r="E7518" s="18" t="s">
        <v>5128</v>
      </c>
      <c r="F7518" s="2" t="s">
        <v>7987</v>
      </c>
      <c r="G7518" s="2" t="s">
        <v>15</v>
      </c>
      <c r="H7518" s="14">
        <v>1.55</v>
      </c>
      <c r="I7518" s="2" t="s">
        <v>267</v>
      </c>
      <c r="J7518" s="2" t="s">
        <v>3942</v>
      </c>
      <c r="K7518" s="2" t="s">
        <v>1452</v>
      </c>
      <c r="L7518" s="2" t="s">
        <v>5221</v>
      </c>
      <c r="M7518" s="2" t="s">
        <v>5221</v>
      </c>
      <c r="N7518" s="2" t="s">
        <v>2317</v>
      </c>
      <c r="O7518" s="14">
        <v>12500</v>
      </c>
      <c r="P7518" s="14">
        <v>98.94</v>
      </c>
      <c r="Q7518" s="14">
        <v>132.5</v>
      </c>
      <c r="R7518" s="14">
        <v>205.38</v>
      </c>
      <c r="S7518" s="2" t="s">
        <v>4893</v>
      </c>
      <c r="T7518" s="2">
        <v>1</v>
      </c>
      <c r="U7518" s="2">
        <v>67.400000000000006</v>
      </c>
      <c r="V7518" s="2">
        <v>65</v>
      </c>
      <c r="W7518" s="2" t="s">
        <v>7862</v>
      </c>
      <c r="X7518" s="2" t="s">
        <v>6838</v>
      </c>
      <c r="Y7518" s="2">
        <v>19375</v>
      </c>
      <c r="Z7518" s="19" t="str">
        <f>HYPERLINK("https://ssdweb.co/ssdweb/hd/Vision360.html?d=925801574&amp;zoomslide=1&amp;z=1925801574&amp;ISCONFIRM=0","VIDEO")</f>
        <v>VIDEO</v>
      </c>
      <c r="AA7518" s="19" t="str">
        <f>HYPERLINK("https://ssdweb.co/ssdweb/CERTH/626427597.pdf","CERTI")</f>
        <v>CERTI</v>
      </c>
    </row>
    <row r="7519" spans="1:27" ht="15" x14ac:dyDescent="0.25">
      <c r="A7519" s="2">
        <v>7514</v>
      </c>
      <c r="B7519" s="39">
        <v>925731976</v>
      </c>
      <c r="C7519" s="28" t="str">
        <f>HYPERLINK("https://pld.live/RapDetail.aspx?STONELIST=925731976","DNA")</f>
        <v>DNA</v>
      </c>
      <c r="D7519" s="18" t="s">
        <v>711</v>
      </c>
      <c r="E7519" s="18" t="s">
        <v>5128</v>
      </c>
      <c r="F7519" s="2" t="s">
        <v>7987</v>
      </c>
      <c r="G7519" s="2" t="s">
        <v>15</v>
      </c>
      <c r="H7519" s="14">
        <v>1.55</v>
      </c>
      <c r="I7519" s="2" t="s">
        <v>267</v>
      </c>
      <c r="J7519" s="2" t="s">
        <v>3942</v>
      </c>
      <c r="K7519" s="2" t="s">
        <v>1452</v>
      </c>
      <c r="L7519" s="2" t="s">
        <v>5221</v>
      </c>
      <c r="M7519" s="2" t="s">
        <v>5221</v>
      </c>
      <c r="N7519" s="2" t="s">
        <v>2317</v>
      </c>
      <c r="O7519" s="14">
        <v>12500</v>
      </c>
      <c r="P7519" s="14">
        <v>98.94</v>
      </c>
      <c r="Q7519" s="14">
        <v>132.5</v>
      </c>
      <c r="R7519" s="14">
        <v>205.38</v>
      </c>
      <c r="S7519" s="2" t="s">
        <v>3256</v>
      </c>
      <c r="T7519" s="2">
        <v>1</v>
      </c>
      <c r="U7519" s="2">
        <v>64.900000000000006</v>
      </c>
      <c r="V7519" s="2">
        <v>67</v>
      </c>
      <c r="W7519" s="2" t="s">
        <v>7862</v>
      </c>
      <c r="X7519" s="2" t="s">
        <v>6838</v>
      </c>
      <c r="Y7519" s="2">
        <v>19375</v>
      </c>
      <c r="Z7519" s="19" t="str">
        <f>HYPERLINK("https://ssdweb.co/ssdweb/hd/Vision360.html?d=925731976&amp;zoomslide=1&amp;z=1925731976&amp;ISCONFIRM=0","VIDEO")</f>
        <v>VIDEO</v>
      </c>
      <c r="AA7519" s="19" t="str">
        <f>HYPERLINK("https://ssdweb.co/ssdweb/CERTH/625432333.pdf","CERTI")</f>
        <v>CERTI</v>
      </c>
    </row>
    <row r="7520" spans="1:27" ht="15" x14ac:dyDescent="0.25">
      <c r="A7520" s="2">
        <v>7515</v>
      </c>
      <c r="B7520" s="39">
        <v>925720615</v>
      </c>
      <c r="C7520" s="28" t="str">
        <f>HYPERLINK("https://pld.live/RapDetail.aspx?STONELIST=925720615","DNA")</f>
        <v>DNA</v>
      </c>
      <c r="D7520" s="18" t="s">
        <v>711</v>
      </c>
      <c r="E7520" s="18" t="s">
        <v>5128</v>
      </c>
      <c r="F7520" s="2" t="s">
        <v>7987</v>
      </c>
      <c r="G7520" s="2" t="s">
        <v>15</v>
      </c>
      <c r="H7520" s="14">
        <v>1.55</v>
      </c>
      <c r="I7520" s="2" t="s">
        <v>267</v>
      </c>
      <c r="J7520" s="2" t="s">
        <v>3942</v>
      </c>
      <c r="K7520" s="2" t="s">
        <v>1452</v>
      </c>
      <c r="L7520" s="2" t="s">
        <v>5221</v>
      </c>
      <c r="M7520" s="2" t="s">
        <v>5221</v>
      </c>
      <c r="N7520" s="2" t="s">
        <v>2317</v>
      </c>
      <c r="O7520" s="14">
        <v>12500</v>
      </c>
      <c r="P7520" s="14">
        <v>98.94</v>
      </c>
      <c r="Q7520" s="14">
        <v>132.5</v>
      </c>
      <c r="R7520" s="14">
        <v>205.38</v>
      </c>
      <c r="S7520" s="2" t="s">
        <v>1458</v>
      </c>
      <c r="T7520" s="2">
        <v>1.02</v>
      </c>
      <c r="U7520" s="2">
        <v>66.099999999999994</v>
      </c>
      <c r="V7520" s="2">
        <v>63</v>
      </c>
      <c r="W7520" s="2" t="s">
        <v>7862</v>
      </c>
      <c r="X7520" s="2" t="s">
        <v>6838</v>
      </c>
      <c r="Y7520" s="2">
        <v>19375</v>
      </c>
      <c r="Z7520" s="19" t="str">
        <f>HYPERLINK("https://ssdweb.co/ssdweb/hd/Vision360.html?d=925720615&amp;zoomslide=1&amp;z=1925720615&amp;ISCONFIRM=0","VIDEO")</f>
        <v>VIDEO</v>
      </c>
      <c r="AA7520" s="19" t="str">
        <f>HYPERLINK("https://ssdweb.co/ssdweb/CERTH/621448177.pdf","CERTI")</f>
        <v>CERTI</v>
      </c>
    </row>
    <row r="7521" spans="1:27" ht="15" x14ac:dyDescent="0.25">
      <c r="A7521" s="2">
        <v>7516</v>
      </c>
      <c r="B7521" s="39">
        <v>925731809</v>
      </c>
      <c r="C7521" s="28" t="str">
        <f>HYPERLINK("https://pld.live/RapDetail.aspx?STONELIST=925731809","DNA")</f>
        <v>DNA</v>
      </c>
      <c r="D7521" s="18" t="s">
        <v>711</v>
      </c>
      <c r="E7521" s="18" t="s">
        <v>5128</v>
      </c>
      <c r="F7521" s="2" t="s">
        <v>7987</v>
      </c>
      <c r="G7521" s="2" t="s">
        <v>15</v>
      </c>
      <c r="H7521" s="14">
        <v>1.55</v>
      </c>
      <c r="I7521" s="2" t="s">
        <v>267</v>
      </c>
      <c r="J7521" s="2" t="s">
        <v>13</v>
      </c>
      <c r="K7521" s="2" t="s">
        <v>1452</v>
      </c>
      <c r="L7521" s="2" t="s">
        <v>5221</v>
      </c>
      <c r="M7521" s="2" t="s">
        <v>5221</v>
      </c>
      <c r="N7521" s="2" t="s">
        <v>2317</v>
      </c>
      <c r="O7521" s="14">
        <v>11600</v>
      </c>
      <c r="P7521" s="14">
        <v>98.91</v>
      </c>
      <c r="Q7521" s="14">
        <v>126.44</v>
      </c>
      <c r="R7521" s="14">
        <v>195.98</v>
      </c>
      <c r="S7521" s="2" t="s">
        <v>3813</v>
      </c>
      <c r="T7521" s="2">
        <v>1.02</v>
      </c>
      <c r="U7521" s="2">
        <v>66.099999999999994</v>
      </c>
      <c r="V7521" s="2">
        <v>65</v>
      </c>
      <c r="W7521" s="2" t="s">
        <v>7862</v>
      </c>
      <c r="X7521" s="2" t="s">
        <v>6838</v>
      </c>
      <c r="Y7521" s="2">
        <v>17980</v>
      </c>
      <c r="Z7521" s="19" t="str">
        <f>HYPERLINK("https://ssdweb.co/ssdweb/hd/Vision360.html?d=925731809&amp;zoomslide=1&amp;z=1925731809&amp;ISCONFIRM=0","VIDEO")</f>
        <v>VIDEO</v>
      </c>
      <c r="AA7521" s="19" t="str">
        <f>HYPERLINK("https://ssdweb.co/ssdweb/CERTH/625432256.pdf","CERTI")</f>
        <v>CERTI</v>
      </c>
    </row>
    <row r="7522" spans="1:27" ht="15" x14ac:dyDescent="0.25">
      <c r="A7522" s="2">
        <v>7517</v>
      </c>
      <c r="B7522" s="39">
        <v>925802038</v>
      </c>
      <c r="C7522" s="28" t="str">
        <f>HYPERLINK("https://pld.live/RapDetail.aspx?STONELIST=925802038","DNA")</f>
        <v>DNA</v>
      </c>
      <c r="D7522" s="18" t="s">
        <v>711</v>
      </c>
      <c r="E7522" s="18" t="s">
        <v>5128</v>
      </c>
      <c r="F7522" s="2" t="s">
        <v>7987</v>
      </c>
      <c r="G7522" s="2" t="s">
        <v>15</v>
      </c>
      <c r="H7522" s="14">
        <v>1.55</v>
      </c>
      <c r="I7522" s="2" t="s">
        <v>267</v>
      </c>
      <c r="J7522" s="2" t="s">
        <v>13</v>
      </c>
      <c r="K7522" s="2" t="s">
        <v>1452</v>
      </c>
      <c r="L7522" s="2" t="s">
        <v>5221</v>
      </c>
      <c r="M7522" s="2" t="s">
        <v>5221</v>
      </c>
      <c r="N7522" s="2" t="s">
        <v>2317</v>
      </c>
      <c r="O7522" s="14">
        <v>11600</v>
      </c>
      <c r="P7522" s="14">
        <v>98.91</v>
      </c>
      <c r="Q7522" s="14">
        <v>126.44</v>
      </c>
      <c r="R7522" s="14">
        <v>195.98</v>
      </c>
      <c r="S7522" s="2" t="s">
        <v>1664</v>
      </c>
      <c r="T7522" s="2">
        <v>1</v>
      </c>
      <c r="U7522" s="2">
        <v>64.400000000000006</v>
      </c>
      <c r="V7522" s="2">
        <v>68</v>
      </c>
      <c r="W7522" s="2" t="s">
        <v>7862</v>
      </c>
      <c r="X7522" s="2" t="s">
        <v>6838</v>
      </c>
      <c r="Y7522" s="2">
        <v>17980</v>
      </c>
      <c r="Z7522" s="19" t="str">
        <f>HYPERLINK("https://ssdweb.co/ssdweb/hd/Vision360.html?d=925802038&amp;zoomslide=1&amp;z=1925802038&amp;ISCONFIRM=0","VIDEO")</f>
        <v>VIDEO</v>
      </c>
      <c r="AA7522" s="19" t="str">
        <f>HYPERLINK("https://ssdweb.co/ssdweb/CERTH/627431850.pdf","CERTI")</f>
        <v>CERTI</v>
      </c>
    </row>
    <row r="7523" spans="1:27" ht="15" x14ac:dyDescent="0.25">
      <c r="A7523" s="2">
        <v>7518</v>
      </c>
      <c r="B7523" s="39">
        <v>925731928</v>
      </c>
      <c r="C7523" s="28" t="str">
        <f>HYPERLINK("https://pld.live/RapDetail.aspx?STONELIST=925731928","DNA")</f>
        <v>DNA</v>
      </c>
      <c r="D7523" s="18" t="s">
        <v>711</v>
      </c>
      <c r="E7523" s="18" t="s">
        <v>5128</v>
      </c>
      <c r="F7523" s="2" t="s">
        <v>7987</v>
      </c>
      <c r="G7523" s="2" t="s">
        <v>15</v>
      </c>
      <c r="H7523" s="14">
        <v>1.55</v>
      </c>
      <c r="I7523" s="2" t="s">
        <v>267</v>
      </c>
      <c r="J7523" s="2" t="s">
        <v>13</v>
      </c>
      <c r="K7523" s="2" t="s">
        <v>1452</v>
      </c>
      <c r="L7523" s="2" t="s">
        <v>5221</v>
      </c>
      <c r="M7523" s="2" t="s">
        <v>5221</v>
      </c>
      <c r="N7523" s="2" t="s">
        <v>2317</v>
      </c>
      <c r="O7523" s="14">
        <v>11600</v>
      </c>
      <c r="P7523" s="14">
        <v>98.91</v>
      </c>
      <c r="Q7523" s="14">
        <v>126.44</v>
      </c>
      <c r="R7523" s="14">
        <v>195.98</v>
      </c>
      <c r="S7523" s="2" t="s">
        <v>697</v>
      </c>
      <c r="T7523" s="2">
        <v>1.01</v>
      </c>
      <c r="U7523" s="2">
        <v>65.900000000000006</v>
      </c>
      <c r="V7523" s="2">
        <v>60</v>
      </c>
      <c r="W7523" s="2" t="s">
        <v>7862</v>
      </c>
      <c r="X7523" s="2" t="s">
        <v>6838</v>
      </c>
      <c r="Y7523" s="2">
        <v>17980</v>
      </c>
      <c r="Z7523" s="19" t="str">
        <f>HYPERLINK("https://ssdweb.co/ssdweb/hd/Vision360.html?d=925731928&amp;zoomslide=1&amp;z=1925731928&amp;ISCONFIRM=0","VIDEO")</f>
        <v>VIDEO</v>
      </c>
      <c r="AA7523" s="19" t="str">
        <f>HYPERLINK("https://ssdweb.co/ssdweb/CERTH/625432297.pdf","CERTI")</f>
        <v>CERTI</v>
      </c>
    </row>
    <row r="7524" spans="1:27" ht="15" x14ac:dyDescent="0.25">
      <c r="A7524" s="2">
        <v>7519</v>
      </c>
      <c r="B7524" s="39">
        <v>925801204</v>
      </c>
      <c r="C7524" s="28" t="str">
        <f>HYPERLINK("https://pld.live/RapDetail.aspx?STONELIST=925801204","DNA")</f>
        <v>DNA</v>
      </c>
      <c r="D7524" s="18" t="s">
        <v>711</v>
      </c>
      <c r="E7524" s="18" t="s">
        <v>5128</v>
      </c>
      <c r="F7524" s="2" t="s">
        <v>7987</v>
      </c>
      <c r="G7524" s="2" t="s">
        <v>15</v>
      </c>
      <c r="H7524" s="14">
        <v>1.55</v>
      </c>
      <c r="I7524" s="2" t="s">
        <v>267</v>
      </c>
      <c r="J7524" s="2" t="s">
        <v>13</v>
      </c>
      <c r="K7524" s="2" t="s">
        <v>1452</v>
      </c>
      <c r="L7524" s="2" t="s">
        <v>5221</v>
      </c>
      <c r="M7524" s="2" t="s">
        <v>5221</v>
      </c>
      <c r="N7524" s="2" t="s">
        <v>2317</v>
      </c>
      <c r="O7524" s="14">
        <v>11600</v>
      </c>
      <c r="P7524" s="14">
        <v>98.91</v>
      </c>
      <c r="Q7524" s="14">
        <v>126.44</v>
      </c>
      <c r="R7524" s="14">
        <v>195.98</v>
      </c>
      <c r="S7524" s="2" t="s">
        <v>671</v>
      </c>
      <c r="T7524" s="2">
        <v>1.01</v>
      </c>
      <c r="U7524" s="2">
        <v>64.599999999999994</v>
      </c>
      <c r="V7524" s="2">
        <v>61</v>
      </c>
      <c r="W7524" s="2" t="s">
        <v>7862</v>
      </c>
      <c r="X7524" s="2" t="s">
        <v>6838</v>
      </c>
      <c r="Y7524" s="2">
        <v>17980</v>
      </c>
      <c r="Z7524" s="19" t="str">
        <f>HYPERLINK("https://ssdweb.co/ssdweb/hd/Vision360.html?d=925801204&amp;zoomslide=1&amp;z=1925801204&amp;ISCONFIRM=0","VIDEO")</f>
        <v>VIDEO</v>
      </c>
      <c r="AA7524" s="19" t="str">
        <f>HYPERLINK("https://ssdweb.co/ssdweb/CERTH/626457453.pdf","CERTI")</f>
        <v>CERTI</v>
      </c>
    </row>
    <row r="7525" spans="1:27" ht="15" x14ac:dyDescent="0.25">
      <c r="A7525" s="2">
        <v>7520</v>
      </c>
      <c r="B7525" s="39">
        <v>925770558</v>
      </c>
      <c r="C7525" s="28" t="str">
        <f>HYPERLINK("https://pld.live/RapDetail.aspx?STONELIST=925770558","DNA")</f>
        <v>DNA</v>
      </c>
      <c r="D7525" s="18" t="s">
        <v>711</v>
      </c>
      <c r="E7525" s="18" t="s">
        <v>5128</v>
      </c>
      <c r="F7525" s="2" t="s">
        <v>7987</v>
      </c>
      <c r="G7525" s="2" t="s">
        <v>15</v>
      </c>
      <c r="H7525" s="14">
        <v>1.55</v>
      </c>
      <c r="I7525" s="2" t="s">
        <v>267</v>
      </c>
      <c r="J7525" s="2" t="s">
        <v>13</v>
      </c>
      <c r="K7525" s="2" t="s">
        <v>1452</v>
      </c>
      <c r="L7525" s="2" t="s">
        <v>5221</v>
      </c>
      <c r="M7525" s="2" t="s">
        <v>5221</v>
      </c>
      <c r="N7525" s="2" t="s">
        <v>2317</v>
      </c>
      <c r="O7525" s="14">
        <v>11600</v>
      </c>
      <c r="P7525" s="14">
        <v>98.91</v>
      </c>
      <c r="Q7525" s="14">
        <v>126.44</v>
      </c>
      <c r="R7525" s="14">
        <v>195.98</v>
      </c>
      <c r="S7525" s="2" t="s">
        <v>6887</v>
      </c>
      <c r="T7525" s="2">
        <v>1</v>
      </c>
      <c r="U7525" s="2">
        <v>67.2</v>
      </c>
      <c r="V7525" s="2">
        <v>62</v>
      </c>
      <c r="W7525" s="2" t="s">
        <v>7862</v>
      </c>
      <c r="X7525" s="2" t="s">
        <v>6838</v>
      </c>
      <c r="Y7525" s="2">
        <v>17980</v>
      </c>
      <c r="Z7525" s="19" t="str">
        <f>HYPERLINK("https://ssdweb.co/ssdweb/hd/Vision360.html?d=925770558&amp;zoomslide=1&amp;z=1925770558&amp;ISCONFIRM=0","VIDEO")</f>
        <v>VIDEO</v>
      </c>
      <c r="AA7525" s="19" t="str">
        <f>HYPERLINK("https://ssdweb.co/ssdweb/CERTH/624440058.pdf","CERTI")</f>
        <v>CERTI</v>
      </c>
    </row>
    <row r="7526" spans="1:27" ht="15" x14ac:dyDescent="0.25">
      <c r="A7526" s="2">
        <v>7521</v>
      </c>
      <c r="B7526" s="39">
        <v>925801725</v>
      </c>
      <c r="C7526" s="28" t="str">
        <f>HYPERLINK("https://pld.live/RapDetail.aspx?STONELIST=925801725","DNA")</f>
        <v>DNA</v>
      </c>
      <c r="D7526" s="18" t="s">
        <v>711</v>
      </c>
      <c r="E7526" s="18" t="s">
        <v>5128</v>
      </c>
      <c r="F7526" s="2" t="s">
        <v>7987</v>
      </c>
      <c r="G7526" s="2" t="s">
        <v>15</v>
      </c>
      <c r="H7526" s="14">
        <v>1.55</v>
      </c>
      <c r="I7526" s="2" t="s">
        <v>267</v>
      </c>
      <c r="J7526" s="2" t="s">
        <v>13</v>
      </c>
      <c r="K7526" s="2" t="s">
        <v>1452</v>
      </c>
      <c r="L7526" s="2" t="s">
        <v>5221</v>
      </c>
      <c r="M7526" s="2" t="s">
        <v>5221</v>
      </c>
      <c r="N7526" s="2" t="s">
        <v>2317</v>
      </c>
      <c r="O7526" s="14">
        <v>11600</v>
      </c>
      <c r="P7526" s="14">
        <v>98.91</v>
      </c>
      <c r="Q7526" s="14">
        <v>126.44</v>
      </c>
      <c r="R7526" s="14">
        <v>195.98</v>
      </c>
      <c r="S7526" s="2" t="s">
        <v>2395</v>
      </c>
      <c r="T7526" s="2">
        <v>1.02</v>
      </c>
      <c r="U7526" s="2">
        <v>65</v>
      </c>
      <c r="V7526" s="2">
        <v>61</v>
      </c>
      <c r="W7526" s="2" t="s">
        <v>7862</v>
      </c>
      <c r="X7526" s="2" t="s">
        <v>6838</v>
      </c>
      <c r="Y7526" s="2">
        <v>17980</v>
      </c>
      <c r="Z7526" s="19" t="str">
        <f>HYPERLINK("https://ssdweb.co/ssdweb/hd/Vision360.html?d=925801725&amp;zoomslide=1&amp;z=1925801725&amp;ISCONFIRM=0","VIDEO")</f>
        <v>VIDEO</v>
      </c>
      <c r="AA7526" s="19" t="str">
        <f>HYPERLINK("https://ssdweb.co/ssdweb/CERTH/626427489.pdf","CERTI")</f>
        <v>CERTI</v>
      </c>
    </row>
    <row r="7527" spans="1:27" ht="15" x14ac:dyDescent="0.25">
      <c r="A7527" s="2">
        <v>7522</v>
      </c>
      <c r="B7527" s="39">
        <v>925732029</v>
      </c>
      <c r="C7527" s="28" t="str">
        <f>HYPERLINK("https://pld.live/RapDetail.aspx?STONELIST=925732029","DNA")</f>
        <v>DNA</v>
      </c>
      <c r="D7527" s="18" t="s">
        <v>711</v>
      </c>
      <c r="E7527" s="18" t="s">
        <v>5128</v>
      </c>
      <c r="F7527" s="2" t="s">
        <v>7987</v>
      </c>
      <c r="G7527" s="2" t="s">
        <v>15</v>
      </c>
      <c r="H7527" s="14">
        <v>1.55</v>
      </c>
      <c r="I7527" s="2" t="s">
        <v>267</v>
      </c>
      <c r="J7527" s="2" t="s">
        <v>13</v>
      </c>
      <c r="K7527" s="2" t="s">
        <v>1452</v>
      </c>
      <c r="L7527" s="2" t="s">
        <v>5221</v>
      </c>
      <c r="M7527" s="2" t="s">
        <v>5221</v>
      </c>
      <c r="N7527" s="2" t="s">
        <v>2317</v>
      </c>
      <c r="O7527" s="14">
        <v>11600</v>
      </c>
      <c r="P7527" s="14">
        <v>98.91</v>
      </c>
      <c r="Q7527" s="14">
        <v>126.44</v>
      </c>
      <c r="R7527" s="14">
        <v>195.98</v>
      </c>
      <c r="S7527" s="2" t="s">
        <v>502</v>
      </c>
      <c r="T7527" s="2">
        <v>1.03</v>
      </c>
      <c r="U7527" s="2">
        <v>66.900000000000006</v>
      </c>
      <c r="V7527" s="2">
        <v>59</v>
      </c>
      <c r="W7527" s="2" t="s">
        <v>7862</v>
      </c>
      <c r="X7527" s="2" t="s">
        <v>6838</v>
      </c>
      <c r="Y7527" s="2">
        <v>17980</v>
      </c>
      <c r="Z7527" s="19" t="str">
        <f>HYPERLINK("https://ssdweb.co/ssdweb/hd/Vision360.html?d=925732029&amp;zoomslide=1&amp;z=1925732029&amp;ISCONFIRM=0","VIDEO")</f>
        <v>VIDEO</v>
      </c>
      <c r="AA7527" s="19" t="str">
        <f>HYPERLINK("https://ssdweb.co/ssdweb/CERTH/625432291.pdf","CERTI")</f>
        <v>CERTI</v>
      </c>
    </row>
    <row r="7528" spans="1:27" ht="15" x14ac:dyDescent="0.25">
      <c r="A7528" s="2">
        <v>7523</v>
      </c>
      <c r="B7528" s="39">
        <v>925771026</v>
      </c>
      <c r="C7528" s="28" t="str">
        <f>HYPERLINK("https://pld.live/RapDetail.aspx?STONELIST=925771026","DNA")</f>
        <v>DNA</v>
      </c>
      <c r="D7528" s="18" t="s">
        <v>711</v>
      </c>
      <c r="E7528" s="18" t="s">
        <v>5128</v>
      </c>
      <c r="F7528" s="2" t="s">
        <v>7987</v>
      </c>
      <c r="G7528" s="2" t="s">
        <v>15</v>
      </c>
      <c r="H7528" s="14">
        <v>1.55</v>
      </c>
      <c r="I7528" s="2" t="s">
        <v>267</v>
      </c>
      <c r="J7528" s="2" t="s">
        <v>13</v>
      </c>
      <c r="K7528" s="2" t="s">
        <v>1452</v>
      </c>
      <c r="L7528" s="2" t="s">
        <v>5221</v>
      </c>
      <c r="M7528" s="2" t="s">
        <v>5221</v>
      </c>
      <c r="N7528" s="2" t="s">
        <v>2317</v>
      </c>
      <c r="O7528" s="14">
        <v>11600</v>
      </c>
      <c r="P7528" s="14">
        <v>98.91</v>
      </c>
      <c r="Q7528" s="14">
        <v>126.44</v>
      </c>
      <c r="R7528" s="14">
        <v>195.98</v>
      </c>
      <c r="S7528" s="2" t="s">
        <v>4333</v>
      </c>
      <c r="T7528" s="2">
        <v>1.01</v>
      </c>
      <c r="U7528" s="2">
        <v>65.099999999999994</v>
      </c>
      <c r="V7528" s="2">
        <v>65</v>
      </c>
      <c r="W7528" s="2" t="s">
        <v>7862</v>
      </c>
      <c r="X7528" s="2" t="s">
        <v>6838</v>
      </c>
      <c r="Y7528" s="2">
        <v>17980</v>
      </c>
      <c r="Z7528" s="19" t="str">
        <f>HYPERLINK("https://ssdweb.co/ssdweb/hd/Vision360.html?d=925771026&amp;zoomslide=1&amp;z=1925771026&amp;ISCONFIRM=0","VIDEO")</f>
        <v>VIDEO</v>
      </c>
      <c r="AA7528" s="19" t="str">
        <f>HYPERLINK("https://ssdweb.co/ssdweb/CERTH/626457399.pdf","CERTI")</f>
        <v>CERTI</v>
      </c>
    </row>
    <row r="7529" spans="1:27" ht="15" x14ac:dyDescent="0.25">
      <c r="A7529" s="2">
        <v>7524</v>
      </c>
      <c r="B7529" s="39">
        <v>925140303</v>
      </c>
      <c r="C7529" s="28" t="str">
        <f>HYPERLINK("https://pld.live/RapDetail.aspx?STONELIST=925140303","DNA")</f>
        <v>DNA</v>
      </c>
      <c r="D7529" s="18" t="s">
        <v>711</v>
      </c>
      <c r="E7529" s="18" t="s">
        <v>5128</v>
      </c>
      <c r="F7529" s="2" t="s">
        <v>7987</v>
      </c>
      <c r="G7529" s="2" t="s">
        <v>15</v>
      </c>
      <c r="H7529" s="14">
        <v>1.55</v>
      </c>
      <c r="I7529" s="2" t="s">
        <v>4761</v>
      </c>
      <c r="J7529" s="2" t="s">
        <v>7032</v>
      </c>
      <c r="K7529" s="2" t="s">
        <v>1452</v>
      </c>
      <c r="L7529" s="2" t="s">
        <v>5221</v>
      </c>
      <c r="M7529" s="2" t="s">
        <v>5221</v>
      </c>
      <c r="N7529" s="2" t="s">
        <v>2317</v>
      </c>
      <c r="O7529" s="14">
        <v>13200</v>
      </c>
      <c r="P7529" s="14">
        <v>97.42</v>
      </c>
      <c r="Q7529" s="14">
        <v>340.56</v>
      </c>
      <c r="R7529" s="14">
        <v>527.87</v>
      </c>
      <c r="S7529" s="2" t="s">
        <v>8084</v>
      </c>
      <c r="T7529" s="2">
        <v>1</v>
      </c>
      <c r="U7529" s="2">
        <v>67.3</v>
      </c>
      <c r="V7529" s="2">
        <v>65</v>
      </c>
      <c r="W7529" s="2" t="s">
        <v>7862</v>
      </c>
      <c r="X7529" s="2" t="s">
        <v>6838</v>
      </c>
      <c r="Y7529" s="2">
        <v>20460</v>
      </c>
      <c r="Z7529" s="19" t="str">
        <f>HYPERLINK("https://ssdweb.co/ssdweb/hd/Vision360.html?d=925140303&amp;zoomslide=1&amp;z=1925140303&amp;ISCONFIRM=0","VIDEO")</f>
        <v>VIDEO</v>
      </c>
      <c r="AA7529" s="19" t="str">
        <f>HYPERLINK("https://ssdweb.co/ssdweb/CERTH/614319472.pdf","CERTI")</f>
        <v>CERTI</v>
      </c>
    </row>
    <row r="7530" spans="1:27" ht="15" x14ac:dyDescent="0.25">
      <c r="A7530" s="2">
        <v>7525</v>
      </c>
      <c r="B7530" s="39">
        <v>925771237</v>
      </c>
      <c r="C7530" s="28" t="str">
        <f>HYPERLINK("https://pld.live/RapDetail.aspx?STONELIST=925771237","DNA")</f>
        <v>DNA</v>
      </c>
      <c r="D7530" s="18" t="s">
        <v>711</v>
      </c>
      <c r="E7530" s="18" t="s">
        <v>5128</v>
      </c>
      <c r="F7530" s="2" t="s">
        <v>7987</v>
      </c>
      <c r="G7530" s="2" t="s">
        <v>15</v>
      </c>
      <c r="H7530" s="14">
        <v>1.55</v>
      </c>
      <c r="I7530" s="2" t="s">
        <v>4761</v>
      </c>
      <c r="J7530" s="2" t="s">
        <v>3942</v>
      </c>
      <c r="K7530" s="2" t="s">
        <v>1452</v>
      </c>
      <c r="L7530" s="2" t="s">
        <v>5221</v>
      </c>
      <c r="M7530" s="2" t="s">
        <v>5221</v>
      </c>
      <c r="N7530" s="2" t="s">
        <v>2317</v>
      </c>
      <c r="O7530" s="14">
        <v>11600</v>
      </c>
      <c r="P7530" s="14">
        <v>98.91</v>
      </c>
      <c r="Q7530" s="14">
        <v>126.44</v>
      </c>
      <c r="R7530" s="14">
        <v>195.98</v>
      </c>
      <c r="S7530" s="2" t="s">
        <v>811</v>
      </c>
      <c r="T7530" s="2">
        <v>1</v>
      </c>
      <c r="U7530" s="2">
        <v>65.400000000000006</v>
      </c>
      <c r="V7530" s="2">
        <v>63</v>
      </c>
      <c r="W7530" s="2" t="s">
        <v>7862</v>
      </c>
      <c r="X7530" s="2" t="s">
        <v>6838</v>
      </c>
      <c r="Y7530" s="2">
        <v>17980</v>
      </c>
      <c r="Z7530" s="19" t="str">
        <f>HYPERLINK("https://ssdweb.co/ssdweb/hd/Vision360.html?d=925771237&amp;zoomslide=1&amp;z=1925771237&amp;ISCONFIRM=0","VIDEO")</f>
        <v>VIDEO</v>
      </c>
      <c r="AA7530" s="19" t="str">
        <f>HYPERLINK("https://ssdweb.co/ssdweb/CERTH/626466293.pdf","CERTI")</f>
        <v>CERTI</v>
      </c>
    </row>
    <row r="7531" spans="1:27" ht="15" x14ac:dyDescent="0.25">
      <c r="A7531" s="2">
        <v>7526</v>
      </c>
      <c r="B7531" s="39">
        <v>925731971</v>
      </c>
      <c r="C7531" s="28" t="str">
        <f>HYPERLINK("https://pld.live/RapDetail.aspx?STONELIST=925731971","DNA")</f>
        <v>DNA</v>
      </c>
      <c r="D7531" s="18" t="s">
        <v>711</v>
      </c>
      <c r="E7531" s="18" t="s">
        <v>5128</v>
      </c>
      <c r="F7531" s="2" t="s">
        <v>7987</v>
      </c>
      <c r="G7531" s="2" t="s">
        <v>15</v>
      </c>
      <c r="H7531" s="14">
        <v>1.55</v>
      </c>
      <c r="I7531" s="2" t="s">
        <v>4761</v>
      </c>
      <c r="J7531" s="2" t="s">
        <v>3942</v>
      </c>
      <c r="K7531" s="2" t="s">
        <v>1452</v>
      </c>
      <c r="L7531" s="2" t="s">
        <v>5221</v>
      </c>
      <c r="M7531" s="2" t="s">
        <v>5221</v>
      </c>
      <c r="N7531" s="2" t="s">
        <v>2317</v>
      </c>
      <c r="O7531" s="14">
        <v>11600</v>
      </c>
      <c r="P7531" s="14">
        <v>98.91</v>
      </c>
      <c r="Q7531" s="14">
        <v>126.44</v>
      </c>
      <c r="R7531" s="14">
        <v>195.98</v>
      </c>
      <c r="S7531" s="2" t="s">
        <v>1528</v>
      </c>
      <c r="T7531" s="2">
        <v>1.01</v>
      </c>
      <c r="U7531" s="2">
        <v>65.8</v>
      </c>
      <c r="V7531" s="2">
        <v>63</v>
      </c>
      <c r="W7531" s="2" t="s">
        <v>7862</v>
      </c>
      <c r="X7531" s="2" t="s">
        <v>6838</v>
      </c>
      <c r="Y7531" s="2">
        <v>17980</v>
      </c>
      <c r="Z7531" s="19" t="str">
        <f>HYPERLINK("https://ssdweb.co/ssdweb/hd/Vision360.html?d=925731971&amp;zoomslide=1&amp;z=1925731971&amp;ISCONFIRM=0","VIDEO")</f>
        <v>VIDEO</v>
      </c>
      <c r="AA7531" s="19" t="str">
        <f>HYPERLINK("https://ssdweb.co/ssdweb/CERTH/625432330.pdf","CERTI")</f>
        <v>CERTI</v>
      </c>
    </row>
    <row r="7532" spans="1:27" ht="15" x14ac:dyDescent="0.25">
      <c r="A7532" s="2">
        <v>7527</v>
      </c>
      <c r="B7532" s="39">
        <v>925771315</v>
      </c>
      <c r="C7532" s="28" t="str">
        <f>HYPERLINK("https://pld.live/RapDetail.aspx?STONELIST=925771315","DNA")</f>
        <v>DNA</v>
      </c>
      <c r="D7532" s="18" t="s">
        <v>711</v>
      </c>
      <c r="E7532" s="18" t="s">
        <v>5128</v>
      </c>
      <c r="F7532" s="2" t="s">
        <v>7987</v>
      </c>
      <c r="G7532" s="2" t="s">
        <v>15</v>
      </c>
      <c r="H7532" s="14">
        <v>1.55</v>
      </c>
      <c r="I7532" s="2" t="s">
        <v>4761</v>
      </c>
      <c r="J7532" s="2" t="s">
        <v>13</v>
      </c>
      <c r="K7532" s="2" t="s">
        <v>1452</v>
      </c>
      <c r="L7532" s="2" t="s">
        <v>5221</v>
      </c>
      <c r="M7532" s="2" t="s">
        <v>5221</v>
      </c>
      <c r="N7532" s="2" t="s">
        <v>2317</v>
      </c>
      <c r="O7532" s="14">
        <v>10800</v>
      </c>
      <c r="P7532" s="14">
        <v>98.87</v>
      </c>
      <c r="Q7532" s="14">
        <v>122.04</v>
      </c>
      <c r="R7532" s="14">
        <v>189.16</v>
      </c>
      <c r="S7532" s="2" t="s">
        <v>6353</v>
      </c>
      <c r="T7532" s="2">
        <v>1.01</v>
      </c>
      <c r="U7532" s="2">
        <v>66.5</v>
      </c>
      <c r="V7532" s="2">
        <v>62</v>
      </c>
      <c r="W7532" s="2" t="s">
        <v>7862</v>
      </c>
      <c r="X7532" s="2" t="s">
        <v>6838</v>
      </c>
      <c r="Y7532" s="2">
        <v>16740</v>
      </c>
      <c r="Z7532" s="19" t="str">
        <f>HYPERLINK("https://ssdweb.co/ssdweb/hd/Vision360.html?d=925771315&amp;zoomslide=1&amp;z=1925771315&amp;ISCONFIRM=0","VIDEO")</f>
        <v>VIDEO</v>
      </c>
      <c r="AA7532" s="19" t="str">
        <f>HYPERLINK("https://ssdweb.co/ssdweb/CERTH/626499232.pdf","CERTI")</f>
        <v>CERTI</v>
      </c>
    </row>
    <row r="7533" spans="1:27" ht="15" x14ac:dyDescent="0.25">
      <c r="A7533" s="2">
        <v>7528</v>
      </c>
      <c r="B7533" s="39">
        <v>925801849</v>
      </c>
      <c r="C7533" s="28" t="str">
        <f>HYPERLINK("https://pld.live/RapDetail.aspx?STONELIST=925801849","DNA")</f>
        <v>DNA</v>
      </c>
      <c r="D7533" s="18" t="s">
        <v>711</v>
      </c>
      <c r="E7533" s="18" t="s">
        <v>5128</v>
      </c>
      <c r="F7533" s="2" t="s">
        <v>7987</v>
      </c>
      <c r="G7533" s="2" t="s">
        <v>15</v>
      </c>
      <c r="H7533" s="14">
        <v>1.55</v>
      </c>
      <c r="I7533" s="2" t="s">
        <v>4761</v>
      </c>
      <c r="J7533" s="2" t="s">
        <v>5144</v>
      </c>
      <c r="K7533" s="2" t="s">
        <v>1452</v>
      </c>
      <c r="L7533" s="2" t="s">
        <v>5221</v>
      </c>
      <c r="M7533" s="2" t="s">
        <v>5221</v>
      </c>
      <c r="N7533" s="2" t="s">
        <v>2317</v>
      </c>
      <c r="O7533" s="14">
        <v>9300</v>
      </c>
      <c r="P7533" s="14">
        <v>98.73</v>
      </c>
      <c r="Q7533" s="14">
        <v>118.11</v>
      </c>
      <c r="R7533" s="14">
        <v>183.07</v>
      </c>
      <c r="S7533" s="2" t="s">
        <v>2349</v>
      </c>
      <c r="T7533" s="2">
        <v>1.02</v>
      </c>
      <c r="U7533" s="2">
        <v>64.900000000000006</v>
      </c>
      <c r="V7533" s="2">
        <v>65</v>
      </c>
      <c r="W7533" s="2" t="s">
        <v>7862</v>
      </c>
      <c r="X7533" s="2" t="s">
        <v>6838</v>
      </c>
      <c r="Y7533" s="2">
        <v>14415</v>
      </c>
      <c r="Z7533" s="19" t="str">
        <f>HYPERLINK("https://ssdweb.co/ssdweb/hd/Vision360.html?d=925801849&amp;zoomslide=1&amp;z=1925801849&amp;ISCONFIRM=0","VIDEO")</f>
        <v>VIDEO</v>
      </c>
      <c r="AA7533" s="19" t="str">
        <f>HYPERLINK("https://ssdweb.co/ssdweb/CERTH/627471599.pdf","CERTI")</f>
        <v>CERTI</v>
      </c>
    </row>
    <row r="7534" spans="1:27" ht="15" x14ac:dyDescent="0.25">
      <c r="A7534" s="2">
        <v>7529</v>
      </c>
      <c r="B7534" s="39">
        <v>925801928</v>
      </c>
      <c r="C7534" s="28" t="str">
        <f>HYPERLINK("https://pld.live/RapDetail.aspx?STONELIST=925801928","DNA")</f>
        <v>DNA</v>
      </c>
      <c r="D7534" s="18" t="s">
        <v>711</v>
      </c>
      <c r="E7534" s="18" t="s">
        <v>5128</v>
      </c>
      <c r="F7534" s="2" t="s">
        <v>7987</v>
      </c>
      <c r="G7534" s="2" t="s">
        <v>15</v>
      </c>
      <c r="H7534" s="14">
        <v>1.55</v>
      </c>
      <c r="I7534" s="2" t="s">
        <v>4699</v>
      </c>
      <c r="J7534" s="2" t="s">
        <v>13</v>
      </c>
      <c r="K7534" s="2" t="s">
        <v>1452</v>
      </c>
      <c r="L7534" s="2" t="s">
        <v>5221</v>
      </c>
      <c r="M7534" s="2" t="s">
        <v>5221</v>
      </c>
      <c r="N7534" s="2" t="s">
        <v>2317</v>
      </c>
      <c r="O7534" s="14">
        <v>10200</v>
      </c>
      <c r="P7534" s="14">
        <v>98.83</v>
      </c>
      <c r="Q7534" s="14">
        <v>119.34</v>
      </c>
      <c r="R7534" s="14">
        <v>184.98</v>
      </c>
      <c r="S7534" s="2" t="s">
        <v>4295</v>
      </c>
      <c r="T7534" s="2">
        <v>1.02</v>
      </c>
      <c r="U7534" s="2">
        <v>65</v>
      </c>
      <c r="V7534" s="2">
        <v>63</v>
      </c>
      <c r="W7534" s="2" t="s">
        <v>7862</v>
      </c>
      <c r="X7534" s="2" t="s">
        <v>6838</v>
      </c>
      <c r="Y7534" s="2">
        <v>15810</v>
      </c>
      <c r="Z7534" s="19" t="str">
        <f>HYPERLINK("https://ssdweb.co/ssdweb/hd/Vision360.html?d=925801928&amp;zoomslide=1&amp;z=1925801928&amp;ISCONFIRM=0","VIDEO")</f>
        <v>VIDEO</v>
      </c>
      <c r="AA7534" s="19" t="str">
        <f>HYPERLINK("https://ssdweb.co/ssdweb/CERTH/627474790.pdf","CERTI")</f>
        <v>CERTI</v>
      </c>
    </row>
    <row r="7535" spans="1:27" ht="15" x14ac:dyDescent="0.25">
      <c r="A7535" s="2">
        <v>7530</v>
      </c>
      <c r="B7535" s="39">
        <v>925732115</v>
      </c>
      <c r="C7535" s="28" t="str">
        <f>HYPERLINK("https://pld.live/RapDetail.aspx?STONELIST=925732115","DNA")</f>
        <v>DNA</v>
      </c>
      <c r="D7535" s="18" t="s">
        <v>711</v>
      </c>
      <c r="E7535" s="18" t="s">
        <v>5128</v>
      </c>
      <c r="F7535" s="2" t="s">
        <v>7987</v>
      </c>
      <c r="G7535" s="2" t="s">
        <v>15</v>
      </c>
      <c r="H7535" s="14">
        <v>1.54</v>
      </c>
      <c r="I7535" s="2" t="s">
        <v>267</v>
      </c>
      <c r="J7535" s="2" t="s">
        <v>6555</v>
      </c>
      <c r="K7535" s="2" t="s">
        <v>1452</v>
      </c>
      <c r="L7535" s="2" t="s">
        <v>5221</v>
      </c>
      <c r="M7535" s="2" t="s">
        <v>5221</v>
      </c>
      <c r="N7535" s="2" t="s">
        <v>2317</v>
      </c>
      <c r="O7535" s="14">
        <v>13200</v>
      </c>
      <c r="P7535" s="14">
        <v>98.74</v>
      </c>
      <c r="Q7535" s="14">
        <v>166.32</v>
      </c>
      <c r="R7535" s="14">
        <v>256.13</v>
      </c>
      <c r="S7535" s="2" t="s">
        <v>3132</v>
      </c>
      <c r="T7535" s="2">
        <v>1.03</v>
      </c>
      <c r="U7535" s="2">
        <v>65.5</v>
      </c>
      <c r="V7535" s="2">
        <v>64</v>
      </c>
      <c r="W7535" s="2" t="s">
        <v>7862</v>
      </c>
      <c r="X7535" s="2" t="s">
        <v>6838</v>
      </c>
      <c r="Y7535" s="2">
        <v>20328</v>
      </c>
      <c r="Z7535" s="19" t="str">
        <f>HYPERLINK("https://ssdweb.co/ssdweb/hd/Vision360.html?d=925732115&amp;zoomslide=1&amp;z=1925732115&amp;ISCONFIRM=0","VIDEO")</f>
        <v>VIDEO</v>
      </c>
      <c r="AA7535" s="19" t="str">
        <f>HYPERLINK("https://ssdweb.co/ssdweb/CERTH/626457356.pdf","CERTI")</f>
        <v>CERTI</v>
      </c>
    </row>
    <row r="7536" spans="1:27" ht="15" x14ac:dyDescent="0.25">
      <c r="A7536" s="2">
        <v>7531</v>
      </c>
      <c r="B7536" s="39">
        <v>925732054</v>
      </c>
      <c r="C7536" s="28" t="str">
        <f>HYPERLINK("https://pld.live/RapDetail.aspx?STONELIST=925732054","DNA")</f>
        <v>DNA</v>
      </c>
      <c r="D7536" s="18" t="s">
        <v>711</v>
      </c>
      <c r="E7536" s="18" t="s">
        <v>5128</v>
      </c>
      <c r="F7536" s="2" t="s">
        <v>7987</v>
      </c>
      <c r="G7536" s="2" t="s">
        <v>15</v>
      </c>
      <c r="H7536" s="14">
        <v>1.54</v>
      </c>
      <c r="I7536" s="2" t="s">
        <v>267</v>
      </c>
      <c r="J7536" s="2" t="s">
        <v>3942</v>
      </c>
      <c r="K7536" s="2" t="s">
        <v>1452</v>
      </c>
      <c r="L7536" s="2" t="s">
        <v>5221</v>
      </c>
      <c r="M7536" s="2" t="s">
        <v>5221</v>
      </c>
      <c r="N7536" s="2" t="s">
        <v>2317</v>
      </c>
      <c r="O7536" s="14">
        <v>12500</v>
      </c>
      <c r="P7536" s="14">
        <v>98.94</v>
      </c>
      <c r="Q7536" s="14">
        <v>132.5</v>
      </c>
      <c r="R7536" s="14">
        <v>204.05</v>
      </c>
      <c r="S7536" s="2" t="s">
        <v>2541</v>
      </c>
      <c r="T7536" s="2">
        <v>1.02</v>
      </c>
      <c r="U7536" s="2">
        <v>65.099999999999994</v>
      </c>
      <c r="V7536" s="2">
        <v>65</v>
      </c>
      <c r="W7536" s="2" t="s">
        <v>7862</v>
      </c>
      <c r="X7536" s="2" t="s">
        <v>6838</v>
      </c>
      <c r="Y7536" s="2">
        <v>19250</v>
      </c>
      <c r="Z7536" s="19" t="str">
        <f>HYPERLINK("https://ssdweb.co/ssdweb/hd/Vision360.html?d=925732054&amp;zoomslide=1&amp;z=1925732054&amp;ISCONFIRM=0","VIDEO")</f>
        <v>VIDEO</v>
      </c>
      <c r="AA7536" s="19" t="str">
        <f>HYPERLINK("https://ssdweb.co/ssdweb/CERTH/626457365.pdf","CERTI")</f>
        <v>CERTI</v>
      </c>
    </row>
    <row r="7537" spans="1:27" ht="15" x14ac:dyDescent="0.25">
      <c r="A7537" s="2">
        <v>7532</v>
      </c>
      <c r="B7537" s="39">
        <v>925732111</v>
      </c>
      <c r="C7537" s="28" t="str">
        <f>HYPERLINK("https://pld.live/RapDetail.aspx?STONELIST=925732111","DNA")</f>
        <v>DNA</v>
      </c>
      <c r="D7537" s="18" t="s">
        <v>711</v>
      </c>
      <c r="E7537" s="18" t="s">
        <v>5128</v>
      </c>
      <c r="F7537" s="2" t="s">
        <v>7987</v>
      </c>
      <c r="G7537" s="2" t="s">
        <v>15</v>
      </c>
      <c r="H7537" s="14">
        <v>1.54</v>
      </c>
      <c r="I7537" s="2" t="s">
        <v>267</v>
      </c>
      <c r="J7537" s="2" t="s">
        <v>3942</v>
      </c>
      <c r="K7537" s="2" t="s">
        <v>1452</v>
      </c>
      <c r="L7537" s="2" t="s">
        <v>5221</v>
      </c>
      <c r="M7537" s="2" t="s">
        <v>5221</v>
      </c>
      <c r="N7537" s="2" t="s">
        <v>2317</v>
      </c>
      <c r="O7537" s="14">
        <v>12500</v>
      </c>
      <c r="P7537" s="14">
        <v>98.94</v>
      </c>
      <c r="Q7537" s="14">
        <v>132.5</v>
      </c>
      <c r="R7537" s="14">
        <v>204.05</v>
      </c>
      <c r="S7537" s="2" t="s">
        <v>3700</v>
      </c>
      <c r="T7537" s="2">
        <v>1.02</v>
      </c>
      <c r="U7537" s="2">
        <v>64.8</v>
      </c>
      <c r="V7537" s="2">
        <v>64</v>
      </c>
      <c r="W7537" s="2" t="s">
        <v>7862</v>
      </c>
      <c r="X7537" s="2" t="s">
        <v>6838</v>
      </c>
      <c r="Y7537" s="2">
        <v>19250</v>
      </c>
      <c r="Z7537" s="19" t="str">
        <f>HYPERLINK("https://ssdweb.co/ssdweb/hd/Vision360.html?d=925732111&amp;zoomslide=1&amp;z=1925732111&amp;ISCONFIRM=0","VIDEO")</f>
        <v>VIDEO</v>
      </c>
      <c r="AA7537" s="19" t="str">
        <f>HYPERLINK("https://ssdweb.co/ssdweb/CERTH/626457412.pdf","CERTI")</f>
        <v>CERTI</v>
      </c>
    </row>
    <row r="7538" spans="1:27" ht="15" x14ac:dyDescent="0.25">
      <c r="A7538" s="2">
        <v>7533</v>
      </c>
      <c r="B7538" s="39">
        <v>925801772</v>
      </c>
      <c r="C7538" s="28" t="str">
        <f>HYPERLINK("https://pld.live/RapDetail.aspx?STONELIST=925801772","DNA")</f>
        <v>DNA</v>
      </c>
      <c r="D7538" s="18" t="s">
        <v>711</v>
      </c>
      <c r="E7538" s="18" t="s">
        <v>5128</v>
      </c>
      <c r="F7538" s="2" t="s">
        <v>7987</v>
      </c>
      <c r="G7538" s="2" t="s">
        <v>15</v>
      </c>
      <c r="H7538" s="14">
        <v>1.54</v>
      </c>
      <c r="I7538" s="2" t="s">
        <v>267</v>
      </c>
      <c r="J7538" s="2" t="s">
        <v>3942</v>
      </c>
      <c r="K7538" s="2" t="s">
        <v>1452</v>
      </c>
      <c r="L7538" s="2" t="s">
        <v>5221</v>
      </c>
      <c r="M7538" s="2" t="s">
        <v>5221</v>
      </c>
      <c r="N7538" s="2" t="s">
        <v>2317</v>
      </c>
      <c r="O7538" s="14">
        <v>12500</v>
      </c>
      <c r="P7538" s="14">
        <v>98.94</v>
      </c>
      <c r="Q7538" s="14">
        <v>132.5</v>
      </c>
      <c r="R7538" s="14">
        <v>204.05</v>
      </c>
      <c r="S7538" s="2" t="s">
        <v>1259</v>
      </c>
      <c r="T7538" s="2">
        <v>1.01</v>
      </c>
      <c r="U7538" s="2">
        <v>67.3</v>
      </c>
      <c r="V7538" s="2">
        <v>62</v>
      </c>
      <c r="W7538" s="2" t="s">
        <v>7862</v>
      </c>
      <c r="X7538" s="2" t="s">
        <v>6838</v>
      </c>
      <c r="Y7538" s="2">
        <v>19250</v>
      </c>
      <c r="Z7538" s="19" t="str">
        <f>HYPERLINK("https://ssdweb.co/ssdweb/hd/Vision360.html?d=925801772&amp;zoomslide=1&amp;z=1925801772&amp;ISCONFIRM=0","VIDEO")</f>
        <v>VIDEO</v>
      </c>
      <c r="AA7538" s="19" t="str">
        <f>HYPERLINK("https://ssdweb.co/ssdweb/CERTH/626499202.pdf","CERTI")</f>
        <v>CERTI</v>
      </c>
    </row>
    <row r="7539" spans="1:27" ht="15" x14ac:dyDescent="0.25">
      <c r="A7539" s="2">
        <v>7534</v>
      </c>
      <c r="B7539" s="39">
        <v>925732191</v>
      </c>
      <c r="C7539" s="28" t="str">
        <f>HYPERLINK("https://pld.live/RapDetail.aspx?STONELIST=925732191","DNA")</f>
        <v>DNA</v>
      </c>
      <c r="D7539" s="18" t="s">
        <v>711</v>
      </c>
      <c r="E7539" s="18" t="s">
        <v>5128</v>
      </c>
      <c r="F7539" s="2" t="s">
        <v>7987</v>
      </c>
      <c r="G7539" s="2" t="s">
        <v>15</v>
      </c>
      <c r="H7539" s="14">
        <v>1.54</v>
      </c>
      <c r="I7539" s="2" t="s">
        <v>267</v>
      </c>
      <c r="J7539" s="2" t="s">
        <v>3942</v>
      </c>
      <c r="K7539" s="2" t="s">
        <v>1452</v>
      </c>
      <c r="L7539" s="2" t="s">
        <v>5221</v>
      </c>
      <c r="M7539" s="2" t="s">
        <v>5221</v>
      </c>
      <c r="N7539" s="2" t="s">
        <v>2317</v>
      </c>
      <c r="O7539" s="14">
        <v>12500</v>
      </c>
      <c r="P7539" s="14">
        <v>98.94</v>
      </c>
      <c r="Q7539" s="14">
        <v>132.5</v>
      </c>
      <c r="R7539" s="14">
        <v>204.05</v>
      </c>
      <c r="S7539" s="2" t="s">
        <v>831</v>
      </c>
      <c r="T7539" s="2">
        <v>1</v>
      </c>
      <c r="U7539" s="2">
        <v>66.5</v>
      </c>
      <c r="V7539" s="2">
        <v>68</v>
      </c>
      <c r="W7539" s="2" t="s">
        <v>7862</v>
      </c>
      <c r="X7539" s="2" t="s">
        <v>6838</v>
      </c>
      <c r="Y7539" s="2">
        <v>19250</v>
      </c>
      <c r="Z7539" s="19" t="str">
        <f>HYPERLINK("https://ssdweb.co/ssdweb/hd/Vision360.html?d=925732191&amp;zoomslide=1&amp;z=1925732191&amp;ISCONFIRM=0","VIDEO")</f>
        <v>VIDEO</v>
      </c>
      <c r="AA7539" s="19" t="str">
        <f>HYPERLINK("https://ssdweb.co/ssdweb/CERTH/626466262.pdf","CERTI")</f>
        <v>CERTI</v>
      </c>
    </row>
    <row r="7540" spans="1:27" ht="15" x14ac:dyDescent="0.25">
      <c r="A7540" s="2">
        <v>7535</v>
      </c>
      <c r="B7540" s="39">
        <v>925771227</v>
      </c>
      <c r="C7540" s="28" t="str">
        <f>HYPERLINK("https://pld.live/RapDetail.aspx?STONELIST=925771227","DNA")</f>
        <v>DNA</v>
      </c>
      <c r="D7540" s="18" t="s">
        <v>711</v>
      </c>
      <c r="E7540" s="18" t="s">
        <v>5128</v>
      </c>
      <c r="F7540" s="2" t="s">
        <v>7987</v>
      </c>
      <c r="G7540" s="2" t="s">
        <v>15</v>
      </c>
      <c r="H7540" s="14">
        <v>1.54</v>
      </c>
      <c r="I7540" s="2" t="s">
        <v>267</v>
      </c>
      <c r="J7540" s="2" t="s">
        <v>13</v>
      </c>
      <c r="K7540" s="2" t="s">
        <v>1452</v>
      </c>
      <c r="L7540" s="2" t="s">
        <v>5221</v>
      </c>
      <c r="M7540" s="2" t="s">
        <v>5221</v>
      </c>
      <c r="N7540" s="2" t="s">
        <v>2317</v>
      </c>
      <c r="O7540" s="14">
        <v>11600</v>
      </c>
      <c r="P7540" s="14">
        <v>98.91</v>
      </c>
      <c r="Q7540" s="14">
        <v>126.44</v>
      </c>
      <c r="R7540" s="14">
        <v>194.72</v>
      </c>
      <c r="S7540" s="2" t="s">
        <v>7595</v>
      </c>
      <c r="T7540" s="2">
        <v>1</v>
      </c>
      <c r="U7540" s="2">
        <v>64.400000000000006</v>
      </c>
      <c r="V7540" s="2">
        <v>65</v>
      </c>
      <c r="W7540" s="2" t="s">
        <v>7862</v>
      </c>
      <c r="X7540" s="2" t="s">
        <v>6838</v>
      </c>
      <c r="Y7540" s="2">
        <v>17864</v>
      </c>
      <c r="Z7540" s="19" t="str">
        <f>HYPERLINK("https://ssdweb.co/ssdweb/hd/Vision360.html?d=925771227&amp;zoomslide=1&amp;z=1925771227&amp;ISCONFIRM=0","VIDEO")</f>
        <v>VIDEO</v>
      </c>
      <c r="AA7540" s="19" t="str">
        <f>HYPERLINK("https://ssdweb.co/ssdweb/CERTH/626466285.pdf","CERTI")</f>
        <v>CERTI</v>
      </c>
    </row>
    <row r="7541" spans="1:27" ht="15" x14ac:dyDescent="0.25">
      <c r="A7541" s="2">
        <v>7536</v>
      </c>
      <c r="B7541" s="39">
        <v>925801722</v>
      </c>
      <c r="C7541" s="28" t="str">
        <f>HYPERLINK("https://pld.live/RapDetail.aspx?STONELIST=925801722","DNA")</f>
        <v>DNA</v>
      </c>
      <c r="D7541" s="18" t="s">
        <v>711</v>
      </c>
      <c r="E7541" s="18" t="s">
        <v>5128</v>
      </c>
      <c r="F7541" s="2" t="s">
        <v>7987</v>
      </c>
      <c r="G7541" s="2" t="s">
        <v>15</v>
      </c>
      <c r="H7541" s="14">
        <v>1.54</v>
      </c>
      <c r="I7541" s="2" t="s">
        <v>267</v>
      </c>
      <c r="J7541" s="2" t="s">
        <v>13</v>
      </c>
      <c r="K7541" s="2" t="s">
        <v>1452</v>
      </c>
      <c r="L7541" s="2" t="s">
        <v>5221</v>
      </c>
      <c r="M7541" s="2" t="s">
        <v>5221</v>
      </c>
      <c r="N7541" s="2" t="s">
        <v>2317</v>
      </c>
      <c r="O7541" s="14">
        <v>11600</v>
      </c>
      <c r="P7541" s="14">
        <v>98.91</v>
      </c>
      <c r="Q7541" s="14">
        <v>126.44</v>
      </c>
      <c r="R7541" s="14">
        <v>194.72</v>
      </c>
      <c r="S7541" s="2" t="s">
        <v>3840</v>
      </c>
      <c r="T7541" s="2">
        <v>1</v>
      </c>
      <c r="U7541" s="2">
        <v>66.7</v>
      </c>
      <c r="V7541" s="2">
        <v>60</v>
      </c>
      <c r="W7541" s="2" t="s">
        <v>7862</v>
      </c>
      <c r="X7541" s="2" t="s">
        <v>6838</v>
      </c>
      <c r="Y7541" s="2">
        <v>17864</v>
      </c>
      <c r="Z7541" s="19" t="str">
        <f>HYPERLINK("https://ssdweb.co/ssdweb/hd/Vision360.html?d=925801722&amp;zoomslide=1&amp;z=1925801722&amp;ISCONFIRM=0","VIDEO")</f>
        <v>VIDEO</v>
      </c>
      <c r="AA7541" s="19" t="str">
        <f>HYPERLINK("https://ssdweb.co/ssdweb/CERTH/626427492.pdf","CERTI")</f>
        <v>CERTI</v>
      </c>
    </row>
    <row r="7542" spans="1:27" ht="15" x14ac:dyDescent="0.25">
      <c r="A7542" s="2">
        <v>7537</v>
      </c>
      <c r="B7542" s="39">
        <v>925732128</v>
      </c>
      <c r="C7542" s="28" t="str">
        <f>HYPERLINK("https://pld.live/RapDetail.aspx?STONELIST=925732128","DNA")</f>
        <v>DNA</v>
      </c>
      <c r="D7542" s="18" t="s">
        <v>711</v>
      </c>
      <c r="E7542" s="18" t="s">
        <v>5128</v>
      </c>
      <c r="F7542" s="2" t="s">
        <v>7987</v>
      </c>
      <c r="G7542" s="2" t="s">
        <v>15</v>
      </c>
      <c r="H7542" s="14">
        <v>1.54</v>
      </c>
      <c r="I7542" s="2" t="s">
        <v>267</v>
      </c>
      <c r="J7542" s="2" t="s">
        <v>13</v>
      </c>
      <c r="K7542" s="2" t="s">
        <v>1452</v>
      </c>
      <c r="L7542" s="2" t="s">
        <v>5221</v>
      </c>
      <c r="M7542" s="2" t="s">
        <v>5221</v>
      </c>
      <c r="N7542" s="2" t="s">
        <v>2317</v>
      </c>
      <c r="O7542" s="14">
        <v>11600</v>
      </c>
      <c r="P7542" s="14">
        <v>98.91</v>
      </c>
      <c r="Q7542" s="14">
        <v>126.44</v>
      </c>
      <c r="R7542" s="14">
        <v>194.72</v>
      </c>
      <c r="S7542" s="2" t="s">
        <v>5914</v>
      </c>
      <c r="T7542" s="2">
        <v>1.01</v>
      </c>
      <c r="U7542" s="2">
        <v>65.900000000000006</v>
      </c>
      <c r="V7542" s="2">
        <v>66</v>
      </c>
      <c r="W7542" s="2" t="s">
        <v>7862</v>
      </c>
      <c r="X7542" s="2" t="s">
        <v>6838</v>
      </c>
      <c r="Y7542" s="2">
        <v>17864</v>
      </c>
      <c r="Z7542" s="19" t="str">
        <f>HYPERLINK("https://ssdweb.co/ssdweb/hd/Vision360.html?d=925732128&amp;zoomslide=1&amp;z=1925732128&amp;ISCONFIRM=0","VIDEO")</f>
        <v>VIDEO</v>
      </c>
      <c r="AA7542" s="19" t="str">
        <f>HYPERLINK("https://ssdweb.co/ssdweb/CERTH/626457360.pdf","CERTI")</f>
        <v>CERTI</v>
      </c>
    </row>
    <row r="7543" spans="1:27" ht="15" x14ac:dyDescent="0.25">
      <c r="A7543" s="2">
        <v>7538</v>
      </c>
      <c r="B7543" s="39">
        <v>925731746</v>
      </c>
      <c r="C7543" s="28" t="str">
        <f>HYPERLINK("https://pld.live/RapDetail.aspx?STONELIST=925731746","DNA")</f>
        <v>DNA</v>
      </c>
      <c r="D7543" s="18" t="s">
        <v>711</v>
      </c>
      <c r="E7543" s="18" t="s">
        <v>5128</v>
      </c>
      <c r="F7543" s="2" t="s">
        <v>7987</v>
      </c>
      <c r="G7543" s="2" t="s">
        <v>15</v>
      </c>
      <c r="H7543" s="14">
        <v>1.54</v>
      </c>
      <c r="I7543" s="2" t="s">
        <v>267</v>
      </c>
      <c r="J7543" s="2" t="s">
        <v>13</v>
      </c>
      <c r="K7543" s="2" t="s">
        <v>1452</v>
      </c>
      <c r="L7543" s="2" t="s">
        <v>5221</v>
      </c>
      <c r="M7543" s="2" t="s">
        <v>5221</v>
      </c>
      <c r="N7543" s="2" t="s">
        <v>2317</v>
      </c>
      <c r="O7543" s="14">
        <v>11600</v>
      </c>
      <c r="P7543" s="14">
        <v>98.91</v>
      </c>
      <c r="Q7543" s="14">
        <v>126.44</v>
      </c>
      <c r="R7543" s="14">
        <v>194.72</v>
      </c>
      <c r="S7543" s="2" t="s">
        <v>7749</v>
      </c>
      <c r="T7543" s="2">
        <v>1</v>
      </c>
      <c r="U7543" s="2">
        <v>64.5</v>
      </c>
      <c r="V7543" s="2">
        <v>63</v>
      </c>
      <c r="W7543" s="2" t="s">
        <v>7862</v>
      </c>
      <c r="X7543" s="2" t="s">
        <v>6838</v>
      </c>
      <c r="Y7543" s="2">
        <v>17864</v>
      </c>
      <c r="Z7543" s="19" t="str">
        <f>HYPERLINK("https://ssdweb.co/ssdweb/hd/Vision360.html?d=925731746&amp;zoomslide=1&amp;z=1925731746&amp;ISCONFIRM=0","VIDEO")</f>
        <v>VIDEO</v>
      </c>
      <c r="AA7543" s="19" t="str">
        <f>HYPERLINK("https://ssdweb.co/ssdweb/CERTH/625457974.pdf","CERTI")</f>
        <v>CERTI</v>
      </c>
    </row>
    <row r="7544" spans="1:27" ht="15" x14ac:dyDescent="0.25">
      <c r="A7544" s="2">
        <v>7539</v>
      </c>
      <c r="B7544" s="39">
        <v>831010244</v>
      </c>
      <c r="C7544" s="28" t="str">
        <f>HYPERLINK("https://pld.live/RapDetail.aspx?STONELIST=831010244","DNA")</f>
        <v>DNA</v>
      </c>
      <c r="D7544" s="18" t="s">
        <v>711</v>
      </c>
      <c r="E7544" s="18" t="s">
        <v>5128</v>
      </c>
      <c r="F7544" s="2" t="s">
        <v>5597</v>
      </c>
      <c r="G7544" s="2" t="s">
        <v>15</v>
      </c>
      <c r="H7544" s="14">
        <v>1.54</v>
      </c>
      <c r="I7544" s="2" t="s">
        <v>267</v>
      </c>
      <c r="J7544" s="2" t="s">
        <v>13</v>
      </c>
      <c r="K7544" s="2" t="s">
        <v>1452</v>
      </c>
      <c r="L7544" s="2" t="s">
        <v>5221</v>
      </c>
      <c r="M7544" s="2" t="s">
        <v>5221</v>
      </c>
      <c r="N7544" s="2" t="s">
        <v>2317</v>
      </c>
      <c r="O7544" s="14">
        <v>11600</v>
      </c>
      <c r="P7544" s="14">
        <v>98.1</v>
      </c>
      <c r="Q7544" s="14">
        <v>220.4</v>
      </c>
      <c r="R7544" s="14">
        <v>339.42</v>
      </c>
      <c r="S7544" s="2" t="s">
        <v>4046</v>
      </c>
      <c r="T7544" s="2">
        <v>1</v>
      </c>
      <c r="U7544" s="2">
        <v>66.400000000000006</v>
      </c>
      <c r="V7544" s="2">
        <v>66</v>
      </c>
      <c r="W7544" s="2" t="s">
        <v>7862</v>
      </c>
      <c r="X7544" s="2" t="s">
        <v>6838</v>
      </c>
      <c r="Y7544" s="2">
        <v>17864</v>
      </c>
      <c r="Z7544" s="19" t="str">
        <f>HYPERLINK("https://ssdweb.co/ssdweb/hd/Vision360.html?d=831010244&amp;zoomslide=1&amp;z=1831010244&amp;ISCONFIRM=0","VIDEO")</f>
        <v>VIDEO</v>
      </c>
      <c r="AA7544" s="19" t="str">
        <f>HYPERLINK("https://ssdweb.co/ssdweb/CERTH/2474784004.pdf","CERTI")</f>
        <v>CERTI</v>
      </c>
    </row>
    <row r="7545" spans="1:27" ht="15" x14ac:dyDescent="0.25">
      <c r="A7545" s="2">
        <v>7540</v>
      </c>
      <c r="B7545" s="39">
        <v>925731741</v>
      </c>
      <c r="C7545" s="28" t="str">
        <f>HYPERLINK("https://pld.live/RapDetail.aspx?STONELIST=925731741","DNA")</f>
        <v>DNA</v>
      </c>
      <c r="D7545" s="18" t="s">
        <v>711</v>
      </c>
      <c r="E7545" s="18" t="s">
        <v>5128</v>
      </c>
      <c r="F7545" s="2" t="s">
        <v>7987</v>
      </c>
      <c r="G7545" s="2" t="s">
        <v>15</v>
      </c>
      <c r="H7545" s="14">
        <v>1.54</v>
      </c>
      <c r="I7545" s="2" t="s">
        <v>4761</v>
      </c>
      <c r="J7545" s="2" t="s">
        <v>6555</v>
      </c>
      <c r="K7545" s="2" t="s">
        <v>1452</v>
      </c>
      <c r="L7545" s="2" t="s">
        <v>5221</v>
      </c>
      <c r="M7545" s="2" t="s">
        <v>5221</v>
      </c>
      <c r="N7545" s="2" t="s">
        <v>2317</v>
      </c>
      <c r="O7545" s="14">
        <v>12400</v>
      </c>
      <c r="P7545" s="14">
        <v>98.74</v>
      </c>
      <c r="Q7545" s="14">
        <v>156.24</v>
      </c>
      <c r="R7545" s="14">
        <v>240.61</v>
      </c>
      <c r="S7545" s="2" t="s">
        <v>6396</v>
      </c>
      <c r="T7545" s="2">
        <v>1.02</v>
      </c>
      <c r="U7545" s="2">
        <v>64.3</v>
      </c>
      <c r="V7545" s="2">
        <v>69</v>
      </c>
      <c r="W7545" s="2" t="s">
        <v>7862</v>
      </c>
      <c r="X7545" s="2" t="s">
        <v>6838</v>
      </c>
      <c r="Y7545" s="2">
        <v>19096</v>
      </c>
      <c r="Z7545" s="19" t="str">
        <f>HYPERLINK("https://ssdweb.co/ssdweb/hd/Vision360.html?d=925731741&amp;zoomslide=1&amp;z=1925731741&amp;ISCONFIRM=0","VIDEO")</f>
        <v>VIDEO</v>
      </c>
      <c r="AA7545" s="19" t="str">
        <f>HYPERLINK("https://ssdweb.co/ssdweb/CERTH/625457931.pdf","CERTI")</f>
        <v>CERTI</v>
      </c>
    </row>
    <row r="7546" spans="1:27" ht="15" x14ac:dyDescent="0.25">
      <c r="A7546" s="2">
        <v>7541</v>
      </c>
      <c r="B7546" s="39">
        <v>925731879</v>
      </c>
      <c r="C7546" s="28" t="str">
        <f>HYPERLINK("https://pld.live/RapDetail.aspx?STONELIST=925731879","DNA")</f>
        <v>DNA</v>
      </c>
      <c r="D7546" s="18" t="s">
        <v>711</v>
      </c>
      <c r="E7546" s="18" t="s">
        <v>5128</v>
      </c>
      <c r="F7546" s="2" t="s">
        <v>7987</v>
      </c>
      <c r="G7546" s="2" t="s">
        <v>15</v>
      </c>
      <c r="H7546" s="14">
        <v>1.53</v>
      </c>
      <c r="I7546" s="2" t="s">
        <v>267</v>
      </c>
      <c r="J7546" s="2" t="s">
        <v>3942</v>
      </c>
      <c r="K7546" s="2" t="s">
        <v>1452</v>
      </c>
      <c r="L7546" s="2" t="s">
        <v>5221</v>
      </c>
      <c r="M7546" s="2" t="s">
        <v>5221</v>
      </c>
      <c r="N7546" s="2" t="s">
        <v>2317</v>
      </c>
      <c r="O7546" s="14">
        <v>12500</v>
      </c>
      <c r="P7546" s="14">
        <v>98.94</v>
      </c>
      <c r="Q7546" s="14">
        <v>132.5</v>
      </c>
      <c r="R7546" s="14">
        <v>202.73</v>
      </c>
      <c r="S7546" s="2" t="s">
        <v>233</v>
      </c>
      <c r="T7546" s="2">
        <v>1</v>
      </c>
      <c r="U7546" s="2">
        <v>65.5</v>
      </c>
      <c r="V7546" s="2">
        <v>61</v>
      </c>
      <c r="W7546" s="2" t="s">
        <v>7862</v>
      </c>
      <c r="X7546" s="2" t="s">
        <v>6838</v>
      </c>
      <c r="Y7546" s="2">
        <v>19125</v>
      </c>
      <c r="Z7546" s="19" t="str">
        <f>HYPERLINK("https://ssdweb.co/ssdweb/hd/Vision360.html?d=925731879&amp;zoomslide=1&amp;z=1925731879&amp;ISCONFIRM=0","VIDEO")</f>
        <v>VIDEO</v>
      </c>
      <c r="AA7546" s="19" t="str">
        <f>HYPERLINK("https://ssdweb.co/ssdweb/CERTH/625432258.pdf","CERTI")</f>
        <v>CERTI</v>
      </c>
    </row>
    <row r="7547" spans="1:27" ht="15" x14ac:dyDescent="0.25">
      <c r="A7547" s="2">
        <v>7542</v>
      </c>
      <c r="B7547" s="39">
        <v>925731911</v>
      </c>
      <c r="C7547" s="28" t="str">
        <f>HYPERLINK("https://pld.live/RapDetail.aspx?STONELIST=925731911","DNA")</f>
        <v>DNA</v>
      </c>
      <c r="D7547" s="18" t="s">
        <v>711</v>
      </c>
      <c r="E7547" s="18" t="s">
        <v>5128</v>
      </c>
      <c r="F7547" s="2" t="s">
        <v>7987</v>
      </c>
      <c r="G7547" s="2" t="s">
        <v>15</v>
      </c>
      <c r="H7547" s="14">
        <v>1.53</v>
      </c>
      <c r="I7547" s="2" t="s">
        <v>267</v>
      </c>
      <c r="J7547" s="2" t="s">
        <v>3942</v>
      </c>
      <c r="K7547" s="2" t="s">
        <v>1452</v>
      </c>
      <c r="L7547" s="2" t="s">
        <v>5221</v>
      </c>
      <c r="M7547" s="2" t="s">
        <v>5221</v>
      </c>
      <c r="N7547" s="2" t="s">
        <v>2317</v>
      </c>
      <c r="O7547" s="14">
        <v>12500</v>
      </c>
      <c r="P7547" s="14">
        <v>98.94</v>
      </c>
      <c r="Q7547" s="14">
        <v>132.5</v>
      </c>
      <c r="R7547" s="14">
        <v>202.73</v>
      </c>
      <c r="S7547" s="2" t="s">
        <v>505</v>
      </c>
      <c r="T7547" s="2">
        <v>1.02</v>
      </c>
      <c r="U7547" s="2">
        <v>65</v>
      </c>
      <c r="V7547" s="2">
        <v>63</v>
      </c>
      <c r="W7547" s="2" t="s">
        <v>7862</v>
      </c>
      <c r="X7547" s="2" t="s">
        <v>6838</v>
      </c>
      <c r="Y7547" s="2">
        <v>19125</v>
      </c>
      <c r="Z7547" s="19" t="str">
        <f>HYPERLINK("https://ssdweb.co/ssdweb/hd/Vision360.html?d=925731911&amp;zoomslide=1&amp;z=1925731911&amp;ISCONFIRM=0","VIDEO")</f>
        <v>VIDEO</v>
      </c>
      <c r="AA7547" s="19" t="str">
        <f>HYPERLINK("https://ssdweb.co/ssdweb/CERTH/625432263.pdf","CERTI")</f>
        <v>CERTI</v>
      </c>
    </row>
    <row r="7548" spans="1:27" ht="15" x14ac:dyDescent="0.25">
      <c r="A7548" s="2">
        <v>7543</v>
      </c>
      <c r="B7548" s="39">
        <v>925731643</v>
      </c>
      <c r="C7548" s="28" t="str">
        <f>HYPERLINK("https://pld.live/RapDetail.aspx?STONELIST=925731643","DNA")</f>
        <v>DNA</v>
      </c>
      <c r="D7548" s="18" t="s">
        <v>711</v>
      </c>
      <c r="E7548" s="18" t="s">
        <v>5128</v>
      </c>
      <c r="F7548" s="2" t="s">
        <v>7987</v>
      </c>
      <c r="G7548" s="2" t="s">
        <v>15</v>
      </c>
      <c r="H7548" s="14">
        <v>1.53</v>
      </c>
      <c r="I7548" s="2" t="s">
        <v>267</v>
      </c>
      <c r="J7548" s="2" t="s">
        <v>3942</v>
      </c>
      <c r="K7548" s="2" t="s">
        <v>1452</v>
      </c>
      <c r="L7548" s="2" t="s">
        <v>5221</v>
      </c>
      <c r="M7548" s="2" t="s">
        <v>5221</v>
      </c>
      <c r="N7548" s="2" t="s">
        <v>2317</v>
      </c>
      <c r="O7548" s="14">
        <v>12500</v>
      </c>
      <c r="P7548" s="14">
        <v>98.94</v>
      </c>
      <c r="Q7548" s="14">
        <v>132.5</v>
      </c>
      <c r="R7548" s="14">
        <v>202.73</v>
      </c>
      <c r="S7548" s="2" t="s">
        <v>1022</v>
      </c>
      <c r="T7548" s="2">
        <v>1.01</v>
      </c>
      <c r="U7548" s="2">
        <v>66.2</v>
      </c>
      <c r="V7548" s="2">
        <v>63</v>
      </c>
      <c r="W7548" s="2" t="s">
        <v>7862</v>
      </c>
      <c r="X7548" s="2" t="s">
        <v>6838</v>
      </c>
      <c r="Y7548" s="2">
        <v>19125</v>
      </c>
      <c r="Z7548" s="19" t="str">
        <f>HYPERLINK("https://ssdweb.co/ssdweb/hd/Vision360.html?d=925731643&amp;zoomslide=1&amp;z=1925731643&amp;ISCONFIRM=0","VIDEO")</f>
        <v>VIDEO</v>
      </c>
      <c r="AA7548" s="19" t="str">
        <f>HYPERLINK("https://ssdweb.co/ssdweb/CERTH/625457928.pdf","CERTI")</f>
        <v>CERTI</v>
      </c>
    </row>
    <row r="7549" spans="1:27" ht="15" x14ac:dyDescent="0.25">
      <c r="A7549" s="2">
        <v>7544</v>
      </c>
      <c r="B7549" s="39">
        <v>925801527</v>
      </c>
      <c r="C7549" s="28" t="str">
        <f>HYPERLINK("https://pld.live/RapDetail.aspx?STONELIST=925801527","DNA")</f>
        <v>DNA</v>
      </c>
      <c r="D7549" s="18" t="s">
        <v>711</v>
      </c>
      <c r="E7549" s="18" t="s">
        <v>5128</v>
      </c>
      <c r="F7549" s="2" t="s">
        <v>7987</v>
      </c>
      <c r="G7549" s="2" t="s">
        <v>15</v>
      </c>
      <c r="H7549" s="14">
        <v>1.53</v>
      </c>
      <c r="I7549" s="2" t="s">
        <v>267</v>
      </c>
      <c r="J7549" s="2" t="s">
        <v>5144</v>
      </c>
      <c r="K7549" s="2" t="s">
        <v>1452</v>
      </c>
      <c r="L7549" s="2" t="s">
        <v>5221</v>
      </c>
      <c r="M7549" s="2" t="s">
        <v>5221</v>
      </c>
      <c r="N7549" s="2" t="s">
        <v>2317</v>
      </c>
      <c r="O7549" s="14">
        <v>9900</v>
      </c>
      <c r="P7549" s="14">
        <v>98.78</v>
      </c>
      <c r="Q7549" s="14">
        <v>120.78</v>
      </c>
      <c r="R7549" s="14">
        <v>184.79</v>
      </c>
      <c r="S7549" s="2" t="s">
        <v>6236</v>
      </c>
      <c r="T7549" s="2">
        <v>1</v>
      </c>
      <c r="U7549" s="2">
        <v>67.3</v>
      </c>
      <c r="V7549" s="2">
        <v>63</v>
      </c>
      <c r="W7549" s="2" t="s">
        <v>7862</v>
      </c>
      <c r="X7549" s="2" t="s">
        <v>6838</v>
      </c>
      <c r="Y7549" s="2">
        <v>15147</v>
      </c>
      <c r="Z7549" s="19" t="str">
        <f>HYPERLINK("https://ssdweb.co/ssdweb/hd/Vision360.html?d=925801527&amp;zoomslide=1&amp;z=1925801527&amp;ISCONFIRM=0","VIDEO")</f>
        <v>VIDEO</v>
      </c>
      <c r="AA7549" s="19" t="str">
        <f>HYPERLINK("https://ssdweb.co/ssdweb/CERTH/626414924.pdf","CERTI")</f>
        <v>CERTI</v>
      </c>
    </row>
    <row r="7550" spans="1:27" ht="15" x14ac:dyDescent="0.25">
      <c r="A7550" s="2">
        <v>7545</v>
      </c>
      <c r="B7550" s="39">
        <v>831010479</v>
      </c>
      <c r="C7550" s="28" t="str">
        <f>HYPERLINK("https://pld.live/RapDetail.aspx?STONELIST=831010479","DNA")</f>
        <v>DNA</v>
      </c>
      <c r="D7550" s="18" t="s">
        <v>711</v>
      </c>
      <c r="E7550" s="18" t="s">
        <v>5128</v>
      </c>
      <c r="F7550" s="2" t="s">
        <v>7987</v>
      </c>
      <c r="G7550" s="2" t="s">
        <v>15</v>
      </c>
      <c r="H7550" s="14">
        <v>1.53</v>
      </c>
      <c r="I7550" s="2" t="s">
        <v>267</v>
      </c>
      <c r="J7550" s="2" t="s">
        <v>444</v>
      </c>
      <c r="K7550" s="2" t="s">
        <v>1452</v>
      </c>
      <c r="L7550" s="2" t="s">
        <v>5221</v>
      </c>
      <c r="M7550" s="2" t="s">
        <v>5221</v>
      </c>
      <c r="N7550" s="2" t="s">
        <v>2317</v>
      </c>
      <c r="O7550" s="14">
        <v>8100</v>
      </c>
      <c r="P7550" s="14">
        <v>98.57</v>
      </c>
      <c r="Q7550" s="14">
        <v>115.83</v>
      </c>
      <c r="R7550" s="14">
        <v>177.22</v>
      </c>
      <c r="S7550" s="2" t="s">
        <v>2946</v>
      </c>
      <c r="T7550" s="2">
        <v>1.02</v>
      </c>
      <c r="U7550" s="2">
        <v>64.099999999999994</v>
      </c>
      <c r="V7550" s="2">
        <v>66</v>
      </c>
      <c r="W7550" s="2" t="s">
        <v>7862</v>
      </c>
      <c r="X7550" s="2" t="s">
        <v>6838</v>
      </c>
      <c r="Y7550" s="2">
        <v>12393</v>
      </c>
      <c r="Z7550" s="19" t="str">
        <f>HYPERLINK("https://ssdweb.co/ssdweb/hd/Vision360.html?d=831010479&amp;zoomslide=1&amp;z=1831010479&amp;ISCONFIRM=0","VIDEO")</f>
        <v>VIDEO</v>
      </c>
      <c r="AA7550" s="19" t="str">
        <f>HYPERLINK("https://ssdweb.co/ssdweb/CERTH/566322610.pdf","CERTI")</f>
        <v>CERTI</v>
      </c>
    </row>
    <row r="7551" spans="1:27" ht="15" x14ac:dyDescent="0.25">
      <c r="A7551" s="2">
        <v>7546</v>
      </c>
      <c r="B7551" s="39">
        <v>925801833</v>
      </c>
      <c r="C7551" s="28" t="str">
        <f>HYPERLINK("https://pld.live/RapDetail.aspx?STONELIST=925801833","DNA")</f>
        <v>DNA</v>
      </c>
      <c r="D7551" s="18" t="s">
        <v>711</v>
      </c>
      <c r="E7551" s="18" t="s">
        <v>5128</v>
      </c>
      <c r="F7551" s="2" t="s">
        <v>7987</v>
      </c>
      <c r="G7551" s="2" t="s">
        <v>15</v>
      </c>
      <c r="H7551" s="14">
        <v>1.53</v>
      </c>
      <c r="I7551" s="2" t="s">
        <v>4761</v>
      </c>
      <c r="J7551" s="2" t="s">
        <v>3942</v>
      </c>
      <c r="K7551" s="2" t="s">
        <v>1452</v>
      </c>
      <c r="L7551" s="2" t="s">
        <v>5221</v>
      </c>
      <c r="M7551" s="2" t="s">
        <v>5221</v>
      </c>
      <c r="N7551" s="2" t="s">
        <v>2317</v>
      </c>
      <c r="O7551" s="14">
        <v>11600</v>
      </c>
      <c r="P7551" s="14">
        <v>98.91</v>
      </c>
      <c r="Q7551" s="14">
        <v>126.44</v>
      </c>
      <c r="R7551" s="14">
        <v>193.45</v>
      </c>
      <c r="S7551" s="2" t="s">
        <v>7143</v>
      </c>
      <c r="T7551" s="2">
        <v>1.02</v>
      </c>
      <c r="U7551" s="2">
        <v>66.7</v>
      </c>
      <c r="V7551" s="2">
        <v>64</v>
      </c>
      <c r="W7551" s="2" t="s">
        <v>7862</v>
      </c>
      <c r="X7551" s="2" t="s">
        <v>6838</v>
      </c>
      <c r="Y7551" s="2">
        <v>17748</v>
      </c>
      <c r="Z7551" s="19" t="str">
        <f>HYPERLINK("https://ssdweb.co/ssdweb/hd/Vision360.html?d=925801833&amp;zoomslide=1&amp;z=1925801833&amp;ISCONFIRM=0","VIDEO")</f>
        <v>VIDEO</v>
      </c>
      <c r="AA7551" s="19" t="str">
        <f>HYPERLINK("https://ssdweb.co/ssdweb/CERTH/626499188.pdf","CERTI")</f>
        <v>CERTI</v>
      </c>
    </row>
    <row r="7552" spans="1:27" ht="15" x14ac:dyDescent="0.25">
      <c r="A7552" s="2">
        <v>7547</v>
      </c>
      <c r="B7552" s="39">
        <v>925770994</v>
      </c>
      <c r="C7552" s="28" t="str">
        <f>HYPERLINK("https://pld.live/RapDetail.aspx?STONELIST=925770994","DNA")</f>
        <v>DNA</v>
      </c>
      <c r="D7552" s="18" t="s">
        <v>711</v>
      </c>
      <c r="E7552" s="18" t="s">
        <v>5128</v>
      </c>
      <c r="F7552" s="2" t="s">
        <v>7987</v>
      </c>
      <c r="G7552" s="2" t="s">
        <v>15</v>
      </c>
      <c r="H7552" s="14">
        <v>1.53</v>
      </c>
      <c r="I7552" s="2" t="s">
        <v>4761</v>
      </c>
      <c r="J7552" s="2" t="s">
        <v>3942</v>
      </c>
      <c r="K7552" s="2" t="s">
        <v>1452</v>
      </c>
      <c r="L7552" s="2" t="s">
        <v>5221</v>
      </c>
      <c r="M7552" s="2" t="s">
        <v>5221</v>
      </c>
      <c r="N7552" s="2" t="s">
        <v>2317</v>
      </c>
      <c r="O7552" s="14">
        <v>11600</v>
      </c>
      <c r="P7552" s="14">
        <v>98.91</v>
      </c>
      <c r="Q7552" s="14">
        <v>126.44</v>
      </c>
      <c r="R7552" s="14">
        <v>193.45</v>
      </c>
      <c r="S7552" s="2" t="s">
        <v>1776</v>
      </c>
      <c r="T7552" s="2">
        <v>1</v>
      </c>
      <c r="U7552" s="2">
        <v>66.5</v>
      </c>
      <c r="V7552" s="2">
        <v>68</v>
      </c>
      <c r="W7552" s="2" t="s">
        <v>7862</v>
      </c>
      <c r="X7552" s="2" t="s">
        <v>6838</v>
      </c>
      <c r="Y7552" s="2">
        <v>17748</v>
      </c>
      <c r="Z7552" s="19" t="str">
        <f>HYPERLINK("https://ssdweb.co/ssdweb/hd/Vision360.html?d=925770994&amp;zoomslide=1&amp;z=1925770994&amp;ISCONFIRM=0","VIDEO")</f>
        <v>VIDEO</v>
      </c>
      <c r="AA7552" s="19" t="str">
        <f>HYPERLINK("https://ssdweb.co/ssdweb/CERTH/625432283.pdf","CERTI")</f>
        <v>CERTI</v>
      </c>
    </row>
    <row r="7553" spans="1:27" ht="15" x14ac:dyDescent="0.25">
      <c r="A7553" s="2">
        <v>7548</v>
      </c>
      <c r="B7553" s="39">
        <v>925300323</v>
      </c>
      <c r="C7553" s="28" t="str">
        <f>HYPERLINK("https://pld.live/RapDetail.aspx?STONELIST=925300323","DNA")</f>
        <v>DNA</v>
      </c>
      <c r="D7553" s="18" t="s">
        <v>711</v>
      </c>
      <c r="E7553" s="18" t="s">
        <v>5128</v>
      </c>
      <c r="F7553" s="2" t="s">
        <v>7987</v>
      </c>
      <c r="G7553" s="2" t="s">
        <v>15</v>
      </c>
      <c r="H7553" s="14">
        <v>1.53</v>
      </c>
      <c r="I7553" s="2" t="s">
        <v>4761</v>
      </c>
      <c r="J7553" s="2" t="s">
        <v>3942</v>
      </c>
      <c r="K7553" s="2" t="s">
        <v>1452</v>
      </c>
      <c r="L7553" s="2" t="s">
        <v>5221</v>
      </c>
      <c r="M7553" s="2" t="s">
        <v>5221</v>
      </c>
      <c r="N7553" s="2" t="s">
        <v>2317</v>
      </c>
      <c r="O7553" s="14">
        <v>11600</v>
      </c>
      <c r="P7553" s="14">
        <v>98.91</v>
      </c>
      <c r="Q7553" s="14">
        <v>126.44</v>
      </c>
      <c r="R7553" s="14">
        <v>193.45</v>
      </c>
      <c r="S7553" s="2" t="s">
        <v>7607</v>
      </c>
      <c r="T7553" s="2">
        <v>1.02</v>
      </c>
      <c r="U7553" s="2">
        <v>63.4</v>
      </c>
      <c r="V7553" s="2">
        <v>69</v>
      </c>
      <c r="W7553" s="2" t="s">
        <v>7862</v>
      </c>
      <c r="X7553" s="2" t="s">
        <v>6838</v>
      </c>
      <c r="Y7553" s="2">
        <v>17748</v>
      </c>
      <c r="Z7553" s="19" t="str">
        <f>HYPERLINK("https://ssdweb.co/ssdweb/hd/Vision360.html?d=925300323&amp;zoomslide=1&amp;z=1925300323&amp;ISCONFIRM=0","VIDEO")</f>
        <v>VIDEO</v>
      </c>
      <c r="AA7553" s="19" t="str">
        <f>HYPERLINK("https://ssdweb.co/ssdweb/CERTH/617424660.pdf","CERTI")</f>
        <v>CERTI</v>
      </c>
    </row>
    <row r="7554" spans="1:27" ht="15" x14ac:dyDescent="0.25">
      <c r="A7554" s="2">
        <v>7549</v>
      </c>
      <c r="B7554" s="39">
        <v>925721906</v>
      </c>
      <c r="C7554" s="28" t="str">
        <f>HYPERLINK("https://pld.live/RapDetail.aspx?STONELIST=925721906","DNA")</f>
        <v>DNA</v>
      </c>
      <c r="D7554" s="18" t="s">
        <v>711</v>
      </c>
      <c r="E7554" s="18" t="s">
        <v>5128</v>
      </c>
      <c r="F7554" s="2" t="s">
        <v>7987</v>
      </c>
      <c r="G7554" s="2" t="s">
        <v>15</v>
      </c>
      <c r="H7554" s="14">
        <v>1.53</v>
      </c>
      <c r="I7554" s="2" t="s">
        <v>4761</v>
      </c>
      <c r="J7554" s="2" t="s">
        <v>3942</v>
      </c>
      <c r="K7554" s="2" t="s">
        <v>1452</v>
      </c>
      <c r="L7554" s="2" t="s">
        <v>5221</v>
      </c>
      <c r="M7554" s="2" t="s">
        <v>5221</v>
      </c>
      <c r="N7554" s="2" t="s">
        <v>2317</v>
      </c>
      <c r="O7554" s="14">
        <v>11600</v>
      </c>
      <c r="P7554" s="14">
        <v>98.91</v>
      </c>
      <c r="Q7554" s="14">
        <v>126.44</v>
      </c>
      <c r="R7554" s="14">
        <v>193.45</v>
      </c>
      <c r="S7554" s="2" t="s">
        <v>6419</v>
      </c>
      <c r="T7554" s="2">
        <v>1</v>
      </c>
      <c r="U7554" s="2">
        <v>66.599999999999994</v>
      </c>
      <c r="V7554" s="2">
        <v>63</v>
      </c>
      <c r="W7554" s="2" t="s">
        <v>7862</v>
      </c>
      <c r="X7554" s="2" t="s">
        <v>6838</v>
      </c>
      <c r="Y7554" s="2">
        <v>17748</v>
      </c>
      <c r="Z7554" s="19" t="str">
        <f>HYPERLINK("https://ssdweb.co/ssdweb/hd/Vision360.html?d=925721906&amp;zoomslide=1&amp;z=1925721906&amp;ISCONFIRM=0","VIDEO")</f>
        <v>VIDEO</v>
      </c>
      <c r="AA7554" s="19" t="str">
        <f>HYPERLINK("https://ssdweb.co/ssdweb/CERTH/624440109.pdf","CERTI")</f>
        <v>CERTI</v>
      </c>
    </row>
    <row r="7555" spans="1:27" ht="15" x14ac:dyDescent="0.25">
      <c r="A7555" s="2">
        <v>7550</v>
      </c>
      <c r="B7555" s="39">
        <v>925300231</v>
      </c>
      <c r="C7555" s="28" t="str">
        <f>HYPERLINK("https://pld.live/RapDetail.aspx?STONELIST=925300231","DNA")</f>
        <v>DNA</v>
      </c>
      <c r="D7555" s="18" t="s">
        <v>711</v>
      </c>
      <c r="E7555" s="18" t="s">
        <v>5128</v>
      </c>
      <c r="F7555" s="2" t="s">
        <v>7987</v>
      </c>
      <c r="G7555" s="2" t="s">
        <v>15</v>
      </c>
      <c r="H7555" s="14">
        <v>1.53</v>
      </c>
      <c r="I7555" s="2" t="s">
        <v>4761</v>
      </c>
      <c r="J7555" s="2" t="s">
        <v>13</v>
      </c>
      <c r="K7555" s="2" t="s">
        <v>1452</v>
      </c>
      <c r="L7555" s="2" t="s">
        <v>5221</v>
      </c>
      <c r="M7555" s="2" t="s">
        <v>5221</v>
      </c>
      <c r="N7555" s="2" t="s">
        <v>2317</v>
      </c>
      <c r="O7555" s="14">
        <v>10800</v>
      </c>
      <c r="P7555" s="14">
        <v>98.89</v>
      </c>
      <c r="Q7555" s="14">
        <v>119.88</v>
      </c>
      <c r="R7555" s="14">
        <v>183.42</v>
      </c>
      <c r="S7555" s="2" t="s">
        <v>265</v>
      </c>
      <c r="T7555" s="2">
        <v>1.02</v>
      </c>
      <c r="U7555" s="2">
        <v>67.2</v>
      </c>
      <c r="V7555" s="2">
        <v>66</v>
      </c>
      <c r="W7555" s="2" t="s">
        <v>4336</v>
      </c>
      <c r="X7555" s="2" t="s">
        <v>6838</v>
      </c>
      <c r="Y7555" s="2">
        <v>16524</v>
      </c>
      <c r="Z7555" s="19" t="str">
        <f>HYPERLINK("https://ssdweb.co/ssdweb/hd/Vision360.html?d=925300231&amp;zoomslide=1&amp;z=1925300231&amp;ISCONFIRM=0","VIDEO")</f>
        <v>VIDEO</v>
      </c>
      <c r="AA7555" s="19" t="str">
        <f>HYPERLINK("https://ssdweb.co/ssdweb/CERTH/614319497.pdf","CERTI")</f>
        <v>CERTI</v>
      </c>
    </row>
    <row r="7556" spans="1:27" ht="15" x14ac:dyDescent="0.25">
      <c r="A7556" s="2">
        <v>7551</v>
      </c>
      <c r="B7556" s="39">
        <v>924780210</v>
      </c>
      <c r="C7556" s="28" t="str">
        <f>HYPERLINK("https://pld.live/RapDetail.aspx?STONELIST=924780210","DNA")</f>
        <v>DNA</v>
      </c>
      <c r="D7556" s="18" t="s">
        <v>711</v>
      </c>
      <c r="E7556" s="18" t="s">
        <v>2186</v>
      </c>
      <c r="F7556" s="2" t="s">
        <v>7987</v>
      </c>
      <c r="G7556" s="2" t="s">
        <v>15</v>
      </c>
      <c r="H7556" s="14">
        <v>1.53</v>
      </c>
      <c r="I7556" s="2" t="s">
        <v>4699</v>
      </c>
      <c r="J7556" s="2" t="s">
        <v>13</v>
      </c>
      <c r="K7556" s="2" t="s">
        <v>1452</v>
      </c>
      <c r="L7556" s="2" t="s">
        <v>5221</v>
      </c>
      <c r="M7556" s="2" t="s">
        <v>5221</v>
      </c>
      <c r="N7556" s="2" t="s">
        <v>2317</v>
      </c>
      <c r="O7556" s="14">
        <v>10200</v>
      </c>
      <c r="P7556" s="14">
        <v>98.83</v>
      </c>
      <c r="Q7556" s="14">
        <v>119.34</v>
      </c>
      <c r="R7556" s="14">
        <v>182.59</v>
      </c>
      <c r="S7556" s="2" t="s">
        <v>7148</v>
      </c>
      <c r="T7556" s="2">
        <v>1.02</v>
      </c>
      <c r="U7556" s="2">
        <v>66.7</v>
      </c>
      <c r="V7556" s="2">
        <v>64</v>
      </c>
      <c r="W7556" s="2" t="s">
        <v>7862</v>
      </c>
      <c r="X7556" s="2" t="s">
        <v>6838</v>
      </c>
      <c r="Y7556" s="2">
        <v>15606</v>
      </c>
      <c r="Z7556" s="19" t="str">
        <f>HYPERLINK("https://ssdweb.co/ssdweb/hd/Vision360.html?d=924780210&amp;zoomslide=1&amp;z=1924780210&amp;ISCONFIRM=0","VIDEO")</f>
        <v>VIDEO</v>
      </c>
      <c r="AA7556" s="19" t="str">
        <f>HYPERLINK("https://ssdweb.co/ssdweb/CERTH/602359474.pdf","CERTI")</f>
        <v>CERTI</v>
      </c>
    </row>
    <row r="7557" spans="1:27" ht="15" x14ac:dyDescent="0.25">
      <c r="A7557" s="2">
        <v>7552</v>
      </c>
      <c r="B7557" s="39">
        <v>925731624</v>
      </c>
      <c r="C7557" s="28" t="str">
        <f>HYPERLINK("https://pld.live/RapDetail.aspx?STONELIST=925731624","DNA")</f>
        <v>DNA</v>
      </c>
      <c r="D7557" s="18" t="s">
        <v>711</v>
      </c>
      <c r="E7557" s="18" t="s">
        <v>5128</v>
      </c>
      <c r="F7557" s="2" t="s">
        <v>7987</v>
      </c>
      <c r="G7557" s="2" t="s">
        <v>15</v>
      </c>
      <c r="H7557" s="14">
        <v>1.52</v>
      </c>
      <c r="I7557" s="2" t="s">
        <v>267</v>
      </c>
      <c r="J7557" s="2" t="s">
        <v>7032</v>
      </c>
      <c r="K7557" s="2" t="s">
        <v>1452</v>
      </c>
      <c r="L7557" s="2" t="s">
        <v>5221</v>
      </c>
      <c r="M7557" s="2" t="s">
        <v>5221</v>
      </c>
      <c r="N7557" s="2" t="s">
        <v>2317</v>
      </c>
      <c r="O7557" s="14">
        <v>14100</v>
      </c>
      <c r="P7557" s="14">
        <v>97.38</v>
      </c>
      <c r="Q7557" s="14">
        <v>369.42</v>
      </c>
      <c r="R7557" s="14">
        <v>561.52</v>
      </c>
      <c r="S7557" s="2" t="s">
        <v>3706</v>
      </c>
      <c r="T7557" s="2">
        <v>1</v>
      </c>
      <c r="U7557" s="2">
        <v>67.400000000000006</v>
      </c>
      <c r="V7557" s="2">
        <v>64</v>
      </c>
      <c r="W7557" s="2" t="s">
        <v>7862</v>
      </c>
      <c r="X7557" s="2" t="s">
        <v>6838</v>
      </c>
      <c r="Y7557" s="2">
        <v>21432</v>
      </c>
      <c r="Z7557" s="19" t="str">
        <f>HYPERLINK("https://ssdweb.co/ssdweb/hd/Vision360.html?d=925731624&amp;zoomslide=1&amp;z=1925731624&amp;ISCONFIRM=0","VIDEO")</f>
        <v>VIDEO</v>
      </c>
      <c r="AA7557" s="19" t="str">
        <f>HYPERLINK("https://ssdweb.co/ssdweb/CERTH/625457919.pdf","CERTI")</f>
        <v>CERTI</v>
      </c>
    </row>
    <row r="7558" spans="1:27" ht="15" x14ac:dyDescent="0.25">
      <c r="A7558" s="2">
        <v>7553</v>
      </c>
      <c r="B7558" s="39">
        <v>925801520</v>
      </c>
      <c r="C7558" s="28" t="str">
        <f>HYPERLINK("https://pld.live/RapDetail.aspx?STONELIST=925801520","DNA")</f>
        <v>DNA</v>
      </c>
      <c r="D7558" s="18" t="s">
        <v>711</v>
      </c>
      <c r="E7558" s="18" t="s">
        <v>5128</v>
      </c>
      <c r="F7558" s="2" t="s">
        <v>7987</v>
      </c>
      <c r="G7558" s="2" t="s">
        <v>15</v>
      </c>
      <c r="H7558" s="14">
        <v>1.52</v>
      </c>
      <c r="I7558" s="2" t="s">
        <v>267</v>
      </c>
      <c r="J7558" s="2" t="s">
        <v>6555</v>
      </c>
      <c r="K7558" s="2" t="s">
        <v>1452</v>
      </c>
      <c r="L7558" s="2" t="s">
        <v>5221</v>
      </c>
      <c r="M7558" s="2" t="s">
        <v>5221</v>
      </c>
      <c r="N7558" s="2" t="s">
        <v>2317</v>
      </c>
      <c r="O7558" s="14">
        <v>13200</v>
      </c>
      <c r="P7558" s="14">
        <v>98.74</v>
      </c>
      <c r="Q7558" s="14">
        <v>166.32</v>
      </c>
      <c r="R7558" s="14">
        <v>252.81</v>
      </c>
      <c r="S7558" s="2" t="s">
        <v>4774</v>
      </c>
      <c r="T7558" s="2">
        <v>1</v>
      </c>
      <c r="U7558" s="2">
        <v>67.400000000000006</v>
      </c>
      <c r="V7558" s="2">
        <v>62</v>
      </c>
      <c r="W7558" s="2" t="s">
        <v>7862</v>
      </c>
      <c r="X7558" s="2" t="s">
        <v>6838</v>
      </c>
      <c r="Y7558" s="2">
        <v>20064</v>
      </c>
      <c r="Z7558" s="19" t="str">
        <f>HYPERLINK("https://ssdweb.co/ssdweb/hd/Vision360.html?d=925801520&amp;zoomslide=1&amp;z=1925801520&amp;ISCONFIRM=0","VIDEO")</f>
        <v>VIDEO</v>
      </c>
      <c r="AA7558" s="19" t="str">
        <f>HYPERLINK("https://ssdweb.co/ssdweb/CERTH/626414931.pdf","CERTI")</f>
        <v>CERTI</v>
      </c>
    </row>
    <row r="7559" spans="1:27" ht="15" x14ac:dyDescent="0.25">
      <c r="A7559" s="2">
        <v>7554</v>
      </c>
      <c r="B7559" s="39">
        <v>925732106</v>
      </c>
      <c r="C7559" s="28" t="str">
        <f>HYPERLINK("https://pld.live/RapDetail.aspx?STONELIST=925732106","DNA")</f>
        <v>DNA</v>
      </c>
      <c r="D7559" s="18" t="s">
        <v>711</v>
      </c>
      <c r="E7559" s="18" t="s">
        <v>5128</v>
      </c>
      <c r="F7559" s="2" t="s">
        <v>7987</v>
      </c>
      <c r="G7559" s="2" t="s">
        <v>15</v>
      </c>
      <c r="H7559" s="14">
        <v>1.52</v>
      </c>
      <c r="I7559" s="2" t="s">
        <v>267</v>
      </c>
      <c r="J7559" s="2" t="s">
        <v>3942</v>
      </c>
      <c r="K7559" s="2" t="s">
        <v>1452</v>
      </c>
      <c r="L7559" s="2" t="s">
        <v>5221</v>
      </c>
      <c r="M7559" s="2" t="s">
        <v>5221</v>
      </c>
      <c r="N7559" s="2" t="s">
        <v>2317</v>
      </c>
      <c r="O7559" s="14">
        <v>12500</v>
      </c>
      <c r="P7559" s="14">
        <v>98.94</v>
      </c>
      <c r="Q7559" s="14">
        <v>132.5</v>
      </c>
      <c r="R7559" s="14">
        <v>201.4</v>
      </c>
      <c r="S7559" s="2" t="s">
        <v>7698</v>
      </c>
      <c r="T7559" s="2">
        <v>1.02</v>
      </c>
      <c r="U7559" s="2">
        <v>64.7</v>
      </c>
      <c r="V7559" s="2">
        <v>67</v>
      </c>
      <c r="W7559" s="2" t="s">
        <v>7862</v>
      </c>
      <c r="X7559" s="2" t="s">
        <v>6838</v>
      </c>
      <c r="Y7559" s="2">
        <v>19000</v>
      </c>
      <c r="Z7559" s="19" t="str">
        <f>HYPERLINK("https://ssdweb.co/ssdweb/hd/Vision360.html?d=925732106&amp;zoomslide=1&amp;z=1925732106&amp;ISCONFIRM=0","VIDEO")</f>
        <v>VIDEO</v>
      </c>
      <c r="AA7559" s="19" t="str">
        <f>HYPERLINK("https://ssdweb.co/ssdweb/CERTH/626457408.pdf","CERTI")</f>
        <v>CERTI</v>
      </c>
    </row>
    <row r="7560" spans="1:27" ht="15" x14ac:dyDescent="0.25">
      <c r="A7560" s="2">
        <v>7555</v>
      </c>
      <c r="B7560" s="39">
        <v>925801652</v>
      </c>
      <c r="C7560" s="28" t="str">
        <f>HYPERLINK("https://pld.live/RapDetail.aspx?STONELIST=925801652","DNA")</f>
        <v>DNA</v>
      </c>
      <c r="D7560" s="18" t="s">
        <v>711</v>
      </c>
      <c r="E7560" s="18" t="s">
        <v>5128</v>
      </c>
      <c r="F7560" s="2" t="s">
        <v>7987</v>
      </c>
      <c r="G7560" s="2" t="s">
        <v>15</v>
      </c>
      <c r="H7560" s="14">
        <v>1.52</v>
      </c>
      <c r="I7560" s="2" t="s">
        <v>267</v>
      </c>
      <c r="J7560" s="2" t="s">
        <v>3942</v>
      </c>
      <c r="K7560" s="2" t="s">
        <v>1452</v>
      </c>
      <c r="L7560" s="2" t="s">
        <v>5221</v>
      </c>
      <c r="M7560" s="2" t="s">
        <v>5221</v>
      </c>
      <c r="N7560" s="2" t="s">
        <v>2317</v>
      </c>
      <c r="O7560" s="14">
        <v>12500</v>
      </c>
      <c r="P7560" s="14">
        <v>98.94</v>
      </c>
      <c r="Q7560" s="14">
        <v>132.5</v>
      </c>
      <c r="R7560" s="14">
        <v>201.4</v>
      </c>
      <c r="S7560" s="2" t="s">
        <v>1641</v>
      </c>
      <c r="T7560" s="2">
        <v>1.02</v>
      </c>
      <c r="U7560" s="2">
        <v>64.900000000000006</v>
      </c>
      <c r="V7560" s="2">
        <v>64</v>
      </c>
      <c r="W7560" s="2" t="s">
        <v>7862</v>
      </c>
      <c r="X7560" s="2" t="s">
        <v>6838</v>
      </c>
      <c r="Y7560" s="2">
        <v>19000</v>
      </c>
      <c r="Z7560" s="19" t="str">
        <f>HYPERLINK("https://ssdweb.co/ssdweb/hd/Vision360.html?d=925801652&amp;zoomslide=1&amp;z=1925801652&amp;ISCONFIRM=0","VIDEO")</f>
        <v>VIDEO</v>
      </c>
      <c r="AA7560" s="19" t="str">
        <f>HYPERLINK("https://ssdweb.co/ssdweb/CERTH/626427642.pdf","CERTI")</f>
        <v>CERTI</v>
      </c>
    </row>
    <row r="7561" spans="1:27" ht="15" x14ac:dyDescent="0.25">
      <c r="A7561" s="2">
        <v>7556</v>
      </c>
      <c r="B7561" s="39">
        <v>925771358</v>
      </c>
      <c r="C7561" s="28" t="str">
        <f>HYPERLINK("https://pld.live/RapDetail.aspx?STONELIST=925771358","DNA")</f>
        <v>DNA</v>
      </c>
      <c r="D7561" s="18" t="s">
        <v>711</v>
      </c>
      <c r="E7561" s="18" t="s">
        <v>5128</v>
      </c>
      <c r="F7561" s="2" t="s">
        <v>7987</v>
      </c>
      <c r="G7561" s="2" t="s">
        <v>15</v>
      </c>
      <c r="H7561" s="14">
        <v>1.52</v>
      </c>
      <c r="I7561" s="2" t="s">
        <v>267</v>
      </c>
      <c r="J7561" s="2" t="s">
        <v>13</v>
      </c>
      <c r="K7561" s="2" t="s">
        <v>1452</v>
      </c>
      <c r="L7561" s="2" t="s">
        <v>5221</v>
      </c>
      <c r="M7561" s="2" t="s">
        <v>5221</v>
      </c>
      <c r="N7561" s="2" t="s">
        <v>2317</v>
      </c>
      <c r="O7561" s="14">
        <v>11600</v>
      </c>
      <c r="P7561" s="14">
        <v>98.91</v>
      </c>
      <c r="Q7561" s="14">
        <v>126.44</v>
      </c>
      <c r="R7561" s="14">
        <v>192.19</v>
      </c>
      <c r="S7561" s="2" t="s">
        <v>3230</v>
      </c>
      <c r="T7561" s="2">
        <v>1.02</v>
      </c>
      <c r="U7561" s="2">
        <v>64.900000000000006</v>
      </c>
      <c r="V7561" s="2">
        <v>62</v>
      </c>
      <c r="W7561" s="2" t="s">
        <v>7862</v>
      </c>
      <c r="X7561" s="2" t="s">
        <v>6838</v>
      </c>
      <c r="Y7561" s="2">
        <v>17632</v>
      </c>
      <c r="Z7561" s="19" t="str">
        <f>HYPERLINK("https://ssdweb.co/ssdweb/hd/Vision360.html?d=925771358&amp;zoomslide=1&amp;z=1925771358&amp;ISCONFIRM=0","VIDEO")</f>
        <v>VIDEO</v>
      </c>
      <c r="AA7561" s="19" t="str">
        <f>HYPERLINK("https://ssdweb.co/ssdweb/CERTH/627431737.pdf","CERTI")</f>
        <v>CERTI</v>
      </c>
    </row>
    <row r="7562" spans="1:27" ht="15" x14ac:dyDescent="0.25">
      <c r="A7562" s="2">
        <v>7557</v>
      </c>
      <c r="B7562" s="39">
        <v>925732241</v>
      </c>
      <c r="C7562" s="28" t="str">
        <f>HYPERLINK("https://pld.live/RapDetail.aspx?STONELIST=925732241","DNA")</f>
        <v>DNA</v>
      </c>
      <c r="D7562" s="18" t="s">
        <v>711</v>
      </c>
      <c r="E7562" s="18" t="s">
        <v>5128</v>
      </c>
      <c r="F7562" s="2" t="s">
        <v>7987</v>
      </c>
      <c r="G7562" s="2" t="s">
        <v>15</v>
      </c>
      <c r="H7562" s="14">
        <v>1.52</v>
      </c>
      <c r="I7562" s="2" t="s">
        <v>267</v>
      </c>
      <c r="J7562" s="2" t="s">
        <v>13</v>
      </c>
      <c r="K7562" s="2" t="s">
        <v>1452</v>
      </c>
      <c r="L7562" s="2" t="s">
        <v>5221</v>
      </c>
      <c r="M7562" s="2" t="s">
        <v>5221</v>
      </c>
      <c r="N7562" s="2" t="s">
        <v>2317</v>
      </c>
      <c r="O7562" s="14">
        <v>11600</v>
      </c>
      <c r="P7562" s="14">
        <v>98.91</v>
      </c>
      <c r="Q7562" s="14">
        <v>126.44</v>
      </c>
      <c r="R7562" s="14">
        <v>192.19</v>
      </c>
      <c r="S7562" s="2" t="s">
        <v>3631</v>
      </c>
      <c r="T7562" s="2">
        <v>1</v>
      </c>
      <c r="U7562" s="2">
        <v>66.7</v>
      </c>
      <c r="V7562" s="2">
        <v>61</v>
      </c>
      <c r="W7562" s="2" t="s">
        <v>7862</v>
      </c>
      <c r="X7562" s="2" t="s">
        <v>6838</v>
      </c>
      <c r="Y7562" s="2">
        <v>17632</v>
      </c>
      <c r="Z7562" s="19" t="str">
        <f>HYPERLINK("https://ssdweb.co/ssdweb/hd/Vision360.html?d=925732241&amp;zoomslide=1&amp;z=1925732241&amp;ISCONFIRM=0","VIDEO")</f>
        <v>VIDEO</v>
      </c>
      <c r="AA7562" s="19" t="str">
        <f>HYPERLINK("https://ssdweb.co/ssdweb/CERTH/626427608.pdf","CERTI")</f>
        <v>CERTI</v>
      </c>
    </row>
    <row r="7563" spans="1:27" ht="15" x14ac:dyDescent="0.25">
      <c r="A7563" s="2">
        <v>7558</v>
      </c>
      <c r="B7563" s="39">
        <v>926100898</v>
      </c>
      <c r="C7563" s="28" t="str">
        <f>HYPERLINK("https://pld.live/RapDetail.aspx?STONELIST=926100898","DNA")</f>
        <v>DNA</v>
      </c>
      <c r="D7563" s="18" t="s">
        <v>711</v>
      </c>
      <c r="E7563" s="18" t="s">
        <v>5128</v>
      </c>
      <c r="F7563" s="2" t="s">
        <v>7987</v>
      </c>
      <c r="G7563" s="2" t="s">
        <v>15</v>
      </c>
      <c r="H7563" s="14">
        <v>1.52</v>
      </c>
      <c r="I7563" s="2" t="s">
        <v>267</v>
      </c>
      <c r="J7563" s="2" t="s">
        <v>13</v>
      </c>
      <c r="K7563" s="2" t="s">
        <v>1452</v>
      </c>
      <c r="L7563" s="2" t="s">
        <v>5221</v>
      </c>
      <c r="M7563" s="2" t="s">
        <v>5221</v>
      </c>
      <c r="N7563" s="2" t="s">
        <v>2317</v>
      </c>
      <c r="O7563" s="14">
        <v>11600</v>
      </c>
      <c r="P7563" s="14">
        <v>98.91</v>
      </c>
      <c r="Q7563" s="14">
        <v>126.44</v>
      </c>
      <c r="R7563" s="14">
        <v>192.19</v>
      </c>
      <c r="S7563" s="2" t="s">
        <v>3236</v>
      </c>
      <c r="T7563" s="2">
        <v>1.01</v>
      </c>
      <c r="U7563" s="2">
        <v>67.8</v>
      </c>
      <c r="V7563" s="2">
        <v>65</v>
      </c>
      <c r="W7563" s="2" t="s">
        <v>7862</v>
      </c>
      <c r="X7563" s="2" t="s">
        <v>6838</v>
      </c>
      <c r="Y7563" s="2">
        <v>17632</v>
      </c>
      <c r="Z7563" s="19" t="str">
        <f>HYPERLINK("https://ssdweb.co/ssdweb/hd/Vision360.html?d=926100898&amp;zoomslide=1&amp;z=1926100898&amp;ISCONFIRM=0","VIDEO")</f>
        <v>VIDEO</v>
      </c>
      <c r="AA7563" s="19" t="str">
        <f>HYPERLINK("https://ssdweb.co/ssdweb/CERTH/631464294.pdf","CERTI")</f>
        <v>CERTI</v>
      </c>
    </row>
    <row r="7564" spans="1:27" ht="15" x14ac:dyDescent="0.25">
      <c r="A7564" s="2">
        <v>7559</v>
      </c>
      <c r="B7564" s="39">
        <v>925732295</v>
      </c>
      <c r="C7564" s="28" t="str">
        <f>HYPERLINK("https://pld.live/RapDetail.aspx?STONELIST=925732295","DNA")</f>
        <v>DNA</v>
      </c>
      <c r="D7564" s="18" t="s">
        <v>711</v>
      </c>
      <c r="E7564" s="18" t="s">
        <v>5128</v>
      </c>
      <c r="F7564" s="2" t="s">
        <v>7987</v>
      </c>
      <c r="G7564" s="2" t="s">
        <v>15</v>
      </c>
      <c r="H7564" s="14">
        <v>1.52</v>
      </c>
      <c r="I7564" s="2" t="s">
        <v>267</v>
      </c>
      <c r="J7564" s="2" t="s">
        <v>5144</v>
      </c>
      <c r="K7564" s="2" t="s">
        <v>1452</v>
      </c>
      <c r="L7564" s="2" t="s">
        <v>5221</v>
      </c>
      <c r="M7564" s="2" t="s">
        <v>5221</v>
      </c>
      <c r="N7564" s="2" t="s">
        <v>2317</v>
      </c>
      <c r="O7564" s="14">
        <v>9900</v>
      </c>
      <c r="P7564" s="14">
        <v>98.78</v>
      </c>
      <c r="Q7564" s="14">
        <v>120.78</v>
      </c>
      <c r="R7564" s="14">
        <v>183.59</v>
      </c>
      <c r="S7564" s="2" t="s">
        <v>6037</v>
      </c>
      <c r="T7564" s="2">
        <v>1</v>
      </c>
      <c r="U7564" s="2">
        <v>66</v>
      </c>
      <c r="V7564" s="2">
        <v>61</v>
      </c>
      <c r="W7564" s="2" t="s">
        <v>7862</v>
      </c>
      <c r="X7564" s="2" t="s">
        <v>6838</v>
      </c>
      <c r="Y7564" s="2">
        <v>15048</v>
      </c>
      <c r="Z7564" s="19" t="str">
        <f>HYPERLINK("https://ssdweb.co/ssdweb/hd/Vision360.html?d=925732295&amp;zoomslide=1&amp;z=1925732295&amp;ISCONFIRM=0","VIDEO")</f>
        <v>VIDEO</v>
      </c>
      <c r="AA7564" s="19" t="str">
        <f>HYPERLINK("https://ssdweb.co/ssdweb/CERTH/627497107.pdf","CERTI")</f>
        <v>CERTI</v>
      </c>
    </row>
    <row r="7565" spans="1:27" ht="15" x14ac:dyDescent="0.25">
      <c r="A7565" s="2">
        <v>7560</v>
      </c>
      <c r="B7565" s="39">
        <v>925771187</v>
      </c>
      <c r="C7565" s="28" t="str">
        <f>HYPERLINK("https://pld.live/RapDetail.aspx?STONELIST=925771187","DNA")</f>
        <v>DNA</v>
      </c>
      <c r="D7565" s="18" t="s">
        <v>711</v>
      </c>
      <c r="E7565" s="18" t="s">
        <v>5128</v>
      </c>
      <c r="F7565" s="2" t="s">
        <v>7987</v>
      </c>
      <c r="G7565" s="2" t="s">
        <v>15</v>
      </c>
      <c r="H7565" s="14">
        <v>1.52</v>
      </c>
      <c r="I7565" s="2" t="s">
        <v>4761</v>
      </c>
      <c r="J7565" s="2" t="s">
        <v>3942</v>
      </c>
      <c r="K7565" s="2" t="s">
        <v>1452</v>
      </c>
      <c r="L7565" s="2" t="s">
        <v>5221</v>
      </c>
      <c r="M7565" s="2" t="s">
        <v>5221</v>
      </c>
      <c r="N7565" s="2" t="s">
        <v>2317</v>
      </c>
      <c r="O7565" s="14">
        <v>11600</v>
      </c>
      <c r="P7565" s="14">
        <v>98.91</v>
      </c>
      <c r="Q7565" s="14">
        <v>126.44</v>
      </c>
      <c r="R7565" s="14">
        <v>192.19</v>
      </c>
      <c r="S7565" s="2" t="s">
        <v>2460</v>
      </c>
      <c r="T7565" s="2">
        <v>1</v>
      </c>
      <c r="U7565" s="2">
        <v>67.2</v>
      </c>
      <c r="V7565" s="2">
        <v>63</v>
      </c>
      <c r="W7565" s="2" t="s">
        <v>7862</v>
      </c>
      <c r="X7565" s="2" t="s">
        <v>6838</v>
      </c>
      <c r="Y7565" s="2">
        <v>17632</v>
      </c>
      <c r="Z7565" s="19" t="str">
        <f>HYPERLINK("https://ssdweb.co/ssdweb/hd/Vision360.html?d=925771187&amp;zoomslide=1&amp;z=1925771187&amp;ISCONFIRM=0","VIDEO")</f>
        <v>VIDEO</v>
      </c>
      <c r="AA7565" s="19" t="str">
        <f>HYPERLINK("https://ssdweb.co/ssdweb/CERTH/626457258.pdf","CERTI")</f>
        <v>CERTI</v>
      </c>
    </row>
    <row r="7566" spans="1:27" ht="15" x14ac:dyDescent="0.25">
      <c r="A7566" s="2">
        <v>7561</v>
      </c>
      <c r="B7566" s="39">
        <v>925731416</v>
      </c>
      <c r="C7566" s="28" t="str">
        <f>HYPERLINK("https://pld.live/RapDetail.aspx?STONELIST=925731416","DNA")</f>
        <v>DNA</v>
      </c>
      <c r="D7566" s="18" t="s">
        <v>711</v>
      </c>
      <c r="E7566" s="18" t="s">
        <v>5128</v>
      </c>
      <c r="F7566" s="2" t="s">
        <v>7987</v>
      </c>
      <c r="G7566" s="2" t="s">
        <v>15</v>
      </c>
      <c r="H7566" s="14">
        <v>1.52</v>
      </c>
      <c r="I7566" s="2" t="s">
        <v>4761</v>
      </c>
      <c r="J7566" s="2" t="s">
        <v>13</v>
      </c>
      <c r="K7566" s="2" t="s">
        <v>1452</v>
      </c>
      <c r="L7566" s="2" t="s">
        <v>5221</v>
      </c>
      <c r="M7566" s="2" t="s">
        <v>5221</v>
      </c>
      <c r="N7566" s="2" t="s">
        <v>2317</v>
      </c>
      <c r="O7566" s="14">
        <v>10800</v>
      </c>
      <c r="P7566" s="14">
        <v>98.87</v>
      </c>
      <c r="Q7566" s="14">
        <v>122.04</v>
      </c>
      <c r="R7566" s="14">
        <v>185.5</v>
      </c>
      <c r="S7566" s="2" t="s">
        <v>1346</v>
      </c>
      <c r="T7566" s="2">
        <v>1.01</v>
      </c>
      <c r="U7566" s="2">
        <v>67.3</v>
      </c>
      <c r="V7566" s="2">
        <v>65</v>
      </c>
      <c r="W7566" s="2" t="s">
        <v>7862</v>
      </c>
      <c r="X7566" s="2" t="s">
        <v>6838</v>
      </c>
      <c r="Y7566" s="2">
        <v>16416</v>
      </c>
      <c r="Z7566" s="19" t="str">
        <f>HYPERLINK("https://ssdweb.co/ssdweb/hd/Vision360.html?d=925731416&amp;zoomslide=1&amp;z=1925731416&amp;ISCONFIRM=0","VIDEO")</f>
        <v>VIDEO</v>
      </c>
      <c r="AA7566" s="19" t="str">
        <f>HYPERLINK("https://ssdweb.co/ssdweb/CERTH/624440115.pdf","CERTI")</f>
        <v>CERTI</v>
      </c>
    </row>
    <row r="7567" spans="1:27" ht="15" x14ac:dyDescent="0.25">
      <c r="A7567" s="2">
        <v>7562</v>
      </c>
      <c r="B7567" s="39">
        <v>925801727</v>
      </c>
      <c r="C7567" s="28" t="str">
        <f>HYPERLINK("https://pld.live/RapDetail.aspx?STONELIST=925801727","DNA")</f>
        <v>DNA</v>
      </c>
      <c r="D7567" s="18" t="s">
        <v>711</v>
      </c>
      <c r="E7567" s="18" t="s">
        <v>5128</v>
      </c>
      <c r="F7567" s="2" t="s">
        <v>7987</v>
      </c>
      <c r="G7567" s="2" t="s">
        <v>15</v>
      </c>
      <c r="H7567" s="14">
        <v>1.52</v>
      </c>
      <c r="I7567" s="2" t="s">
        <v>4761</v>
      </c>
      <c r="J7567" s="2" t="s">
        <v>13</v>
      </c>
      <c r="K7567" s="2" t="s">
        <v>1452</v>
      </c>
      <c r="L7567" s="2" t="s">
        <v>5221</v>
      </c>
      <c r="M7567" s="2" t="s">
        <v>5221</v>
      </c>
      <c r="N7567" s="2" t="s">
        <v>2317</v>
      </c>
      <c r="O7567" s="14">
        <v>10800</v>
      </c>
      <c r="P7567" s="14">
        <v>98.87</v>
      </c>
      <c r="Q7567" s="14">
        <v>122.04</v>
      </c>
      <c r="R7567" s="14">
        <v>185.5</v>
      </c>
      <c r="S7567" s="2" t="s">
        <v>2549</v>
      </c>
      <c r="T7567" s="2">
        <v>1.01</v>
      </c>
      <c r="U7567" s="2">
        <v>64.8</v>
      </c>
      <c r="V7567" s="2">
        <v>66</v>
      </c>
      <c r="W7567" s="2" t="s">
        <v>7862</v>
      </c>
      <c r="X7567" s="2" t="s">
        <v>6838</v>
      </c>
      <c r="Y7567" s="2">
        <v>16416</v>
      </c>
      <c r="Z7567" s="19" t="str">
        <f>HYPERLINK("https://ssdweb.co/ssdweb/hd/Vision360.html?d=925801727&amp;zoomslide=1&amp;z=1925801727&amp;ISCONFIRM=0","VIDEO")</f>
        <v>VIDEO</v>
      </c>
      <c r="AA7567" s="19" t="str">
        <f>HYPERLINK("https://ssdweb.co/ssdweb/CERTH/626427487.pdf","CERTI")</f>
        <v>CERTI</v>
      </c>
    </row>
    <row r="7568" spans="1:27" ht="15" x14ac:dyDescent="0.25">
      <c r="A7568" s="2">
        <v>7563</v>
      </c>
      <c r="B7568" s="39">
        <v>926100899</v>
      </c>
      <c r="C7568" s="28" t="str">
        <f>HYPERLINK("https://pld.live/RapDetail.aspx?STONELIST=926100899","DNA")</f>
        <v>DNA</v>
      </c>
      <c r="D7568" s="18" t="s">
        <v>711</v>
      </c>
      <c r="E7568" s="18" t="s">
        <v>5128</v>
      </c>
      <c r="F7568" s="2" t="s">
        <v>7987</v>
      </c>
      <c r="G7568" s="2" t="s">
        <v>15</v>
      </c>
      <c r="H7568" s="14">
        <v>1.52</v>
      </c>
      <c r="I7568" s="2" t="s">
        <v>4761</v>
      </c>
      <c r="J7568" s="2" t="s">
        <v>13</v>
      </c>
      <c r="K7568" s="2" t="s">
        <v>1452</v>
      </c>
      <c r="L7568" s="2" t="s">
        <v>5221</v>
      </c>
      <c r="M7568" s="2" t="s">
        <v>5221</v>
      </c>
      <c r="N7568" s="2" t="s">
        <v>2317</v>
      </c>
      <c r="O7568" s="14">
        <v>10800</v>
      </c>
      <c r="P7568" s="14">
        <v>98.87</v>
      </c>
      <c r="Q7568" s="14">
        <v>122.04</v>
      </c>
      <c r="R7568" s="14">
        <v>185.5</v>
      </c>
      <c r="S7568" s="2" t="s">
        <v>3799</v>
      </c>
      <c r="T7568" s="2">
        <v>1</v>
      </c>
      <c r="U7568" s="2">
        <v>65.400000000000006</v>
      </c>
      <c r="V7568" s="2">
        <v>67</v>
      </c>
      <c r="W7568" s="2" t="s">
        <v>7862</v>
      </c>
      <c r="X7568" s="2" t="s">
        <v>6838</v>
      </c>
      <c r="Y7568" s="2">
        <v>16416</v>
      </c>
      <c r="Z7568" s="19" t="str">
        <f>HYPERLINK("https://ssdweb.co/ssdweb/hd/Vision360.html?d=926100899&amp;zoomslide=1&amp;z=1926100899&amp;ISCONFIRM=0","VIDEO")</f>
        <v>VIDEO</v>
      </c>
      <c r="AA7568" s="19" t="str">
        <f>HYPERLINK("https://ssdweb.co/ssdweb/CERTH/631464295.pdf","CERTI")</f>
        <v>CERTI</v>
      </c>
    </row>
    <row r="7569" spans="1:27" ht="15" x14ac:dyDescent="0.25">
      <c r="A7569" s="2">
        <v>7564</v>
      </c>
      <c r="B7569" s="39">
        <v>925721914</v>
      </c>
      <c r="C7569" s="28" t="str">
        <f>HYPERLINK("https://pld.live/RapDetail.aspx?STONELIST=925721914","DNA")</f>
        <v>DNA</v>
      </c>
      <c r="D7569" s="18" t="s">
        <v>711</v>
      </c>
      <c r="E7569" s="18" t="s">
        <v>5128</v>
      </c>
      <c r="F7569" s="2" t="s">
        <v>7987</v>
      </c>
      <c r="G7569" s="2" t="s">
        <v>15</v>
      </c>
      <c r="H7569" s="14">
        <v>1.52</v>
      </c>
      <c r="I7569" s="2" t="s">
        <v>4699</v>
      </c>
      <c r="J7569" s="2" t="s">
        <v>3942</v>
      </c>
      <c r="K7569" s="2" t="s">
        <v>1452</v>
      </c>
      <c r="L7569" s="2" t="s">
        <v>5221</v>
      </c>
      <c r="M7569" s="2" t="s">
        <v>5221</v>
      </c>
      <c r="N7569" s="2" t="s">
        <v>2317</v>
      </c>
      <c r="O7569" s="14">
        <v>10800</v>
      </c>
      <c r="P7569" s="14">
        <v>98.85</v>
      </c>
      <c r="Q7569" s="14">
        <v>124.2</v>
      </c>
      <c r="R7569" s="14">
        <v>188.78</v>
      </c>
      <c r="S7569" s="2" t="s">
        <v>3738</v>
      </c>
      <c r="T7569" s="2">
        <v>1.02</v>
      </c>
      <c r="U7569" s="2">
        <v>65.400000000000006</v>
      </c>
      <c r="V7569" s="2">
        <v>67</v>
      </c>
      <c r="W7569" s="2" t="s">
        <v>7862</v>
      </c>
      <c r="X7569" s="2" t="s">
        <v>6838</v>
      </c>
      <c r="Y7569" s="2">
        <v>16416</v>
      </c>
      <c r="Z7569" s="19" t="str">
        <f>HYPERLINK("https://ssdweb.co/ssdweb/hd/Vision360.html?d=925721914&amp;zoomslide=1&amp;z=1925721914&amp;ISCONFIRM=0","VIDEO")</f>
        <v>VIDEO</v>
      </c>
      <c r="AA7569" s="19" t="str">
        <f>HYPERLINK("https://ssdweb.co/ssdweb/CERTH/624420536.pdf","CERTI")</f>
        <v>CERTI</v>
      </c>
    </row>
    <row r="7570" spans="1:27" ht="15" x14ac:dyDescent="0.25">
      <c r="A7570" s="2">
        <v>7565</v>
      </c>
      <c r="B7570" s="39">
        <v>925732028</v>
      </c>
      <c r="C7570" s="28" t="str">
        <f>HYPERLINK("https://pld.live/RapDetail.aspx?STONELIST=925732028","DNA")</f>
        <v>DNA</v>
      </c>
      <c r="D7570" s="18" t="s">
        <v>711</v>
      </c>
      <c r="E7570" s="18" t="s">
        <v>5128</v>
      </c>
      <c r="F7570" s="2" t="s">
        <v>7987</v>
      </c>
      <c r="G7570" s="2" t="s">
        <v>15</v>
      </c>
      <c r="H7570" s="14">
        <v>1.51</v>
      </c>
      <c r="I7570" s="2" t="s">
        <v>267</v>
      </c>
      <c r="J7570" s="2" t="s">
        <v>7032</v>
      </c>
      <c r="K7570" s="2" t="s">
        <v>1452</v>
      </c>
      <c r="L7570" s="2" t="s">
        <v>5221</v>
      </c>
      <c r="M7570" s="2" t="s">
        <v>5221</v>
      </c>
      <c r="N7570" s="2" t="s">
        <v>2317</v>
      </c>
      <c r="O7570" s="14">
        <v>14100</v>
      </c>
      <c r="P7570" s="14">
        <v>97.38</v>
      </c>
      <c r="Q7570" s="14">
        <v>369.42</v>
      </c>
      <c r="R7570" s="14">
        <v>557.82000000000005</v>
      </c>
      <c r="S7570" s="2" t="s">
        <v>3314</v>
      </c>
      <c r="T7570" s="2">
        <v>1.02</v>
      </c>
      <c r="U7570" s="2">
        <v>66.099999999999994</v>
      </c>
      <c r="V7570" s="2">
        <v>67</v>
      </c>
      <c r="W7570" s="2" t="s">
        <v>7862</v>
      </c>
      <c r="X7570" s="2" t="s">
        <v>6838</v>
      </c>
      <c r="Y7570" s="2">
        <v>21291</v>
      </c>
      <c r="Z7570" s="19" t="str">
        <f>HYPERLINK("https://ssdweb.co/ssdweb/hd/Vision360.html?d=925732028&amp;zoomslide=1&amp;z=1925732028&amp;ISCONFIRM=0","VIDEO")</f>
        <v>VIDEO</v>
      </c>
      <c r="AA7570" s="19" t="str">
        <f>HYPERLINK("https://ssdweb.co/ssdweb/CERTH/625432294.pdf","CERTI")</f>
        <v>CERTI</v>
      </c>
    </row>
    <row r="7571" spans="1:27" ht="15" x14ac:dyDescent="0.25">
      <c r="A7571" s="2">
        <v>7566</v>
      </c>
      <c r="B7571" s="39">
        <v>925731625</v>
      </c>
      <c r="C7571" s="28" t="str">
        <f>HYPERLINK("https://pld.live/RapDetail.aspx?STONELIST=925731625","DNA")</f>
        <v>DNA</v>
      </c>
      <c r="D7571" s="18" t="s">
        <v>711</v>
      </c>
      <c r="E7571" s="18" t="s">
        <v>5128</v>
      </c>
      <c r="F7571" s="2" t="s">
        <v>7987</v>
      </c>
      <c r="G7571" s="2" t="s">
        <v>15</v>
      </c>
      <c r="H7571" s="14">
        <v>1.51</v>
      </c>
      <c r="I7571" s="2" t="s">
        <v>267</v>
      </c>
      <c r="J7571" s="2" t="s">
        <v>7032</v>
      </c>
      <c r="K7571" s="2" t="s">
        <v>1452</v>
      </c>
      <c r="L7571" s="2" t="s">
        <v>5221</v>
      </c>
      <c r="M7571" s="2" t="s">
        <v>5221</v>
      </c>
      <c r="N7571" s="2" t="s">
        <v>2317</v>
      </c>
      <c r="O7571" s="14">
        <v>14100</v>
      </c>
      <c r="P7571" s="14">
        <v>97.38</v>
      </c>
      <c r="Q7571" s="14">
        <v>369.42</v>
      </c>
      <c r="R7571" s="14">
        <v>557.82000000000005</v>
      </c>
      <c r="S7571" s="2" t="s">
        <v>771</v>
      </c>
      <c r="T7571" s="2">
        <v>1.01</v>
      </c>
      <c r="U7571" s="2">
        <v>67.400000000000006</v>
      </c>
      <c r="V7571" s="2">
        <v>66</v>
      </c>
      <c r="W7571" s="2" t="s">
        <v>7862</v>
      </c>
      <c r="X7571" s="2" t="s">
        <v>6838</v>
      </c>
      <c r="Y7571" s="2">
        <v>21291</v>
      </c>
      <c r="Z7571" s="19" t="str">
        <f>HYPERLINK("https://ssdweb.co/ssdweb/hd/Vision360.html?d=925731625&amp;zoomslide=1&amp;z=1925731625&amp;ISCONFIRM=0","VIDEO")</f>
        <v>VIDEO</v>
      </c>
      <c r="AA7571" s="19" t="str">
        <f>HYPERLINK("https://ssdweb.co/ssdweb/CERTH/625457920.pdf","CERTI")</f>
        <v>CERTI</v>
      </c>
    </row>
    <row r="7572" spans="1:27" ht="15" x14ac:dyDescent="0.25">
      <c r="A7572" s="2">
        <v>7567</v>
      </c>
      <c r="B7572" s="39">
        <v>926101424</v>
      </c>
      <c r="C7572" s="28" t="str">
        <f>HYPERLINK("https://pld.live/RapDetail.aspx?STONELIST=926101424","DNA")</f>
        <v>DNA</v>
      </c>
      <c r="D7572" s="18" t="s">
        <v>711</v>
      </c>
      <c r="E7572" s="18" t="s">
        <v>5128</v>
      </c>
      <c r="F7572" s="2" t="s">
        <v>7987</v>
      </c>
      <c r="G7572" s="2" t="s">
        <v>15</v>
      </c>
      <c r="H7572" s="14">
        <v>1.51</v>
      </c>
      <c r="I7572" s="2" t="s">
        <v>267</v>
      </c>
      <c r="J7572" s="2" t="s">
        <v>7032</v>
      </c>
      <c r="K7572" s="2" t="s">
        <v>1452</v>
      </c>
      <c r="L7572" s="2" t="s">
        <v>5221</v>
      </c>
      <c r="M7572" s="2" t="s">
        <v>5221</v>
      </c>
      <c r="N7572" s="2" t="s">
        <v>2317</v>
      </c>
      <c r="O7572" s="14">
        <v>14100</v>
      </c>
      <c r="P7572" s="14">
        <v>97.38</v>
      </c>
      <c r="Q7572" s="14">
        <v>369.42</v>
      </c>
      <c r="R7572" s="14">
        <v>557.82000000000005</v>
      </c>
      <c r="S7572" s="2" t="s">
        <v>5909</v>
      </c>
      <c r="T7572" s="2">
        <v>1.02</v>
      </c>
      <c r="U7572" s="2">
        <v>63.2</v>
      </c>
      <c r="V7572" s="2">
        <v>70</v>
      </c>
      <c r="W7572" s="2" t="s">
        <v>7862</v>
      </c>
      <c r="X7572" s="2" t="s">
        <v>6838</v>
      </c>
      <c r="Y7572" s="2">
        <v>21291</v>
      </c>
      <c r="Z7572" s="19" t="str">
        <f>HYPERLINK("https://ssdweb.co/ssdweb/hd/Vision360.html?d=926101424&amp;zoomslide=1&amp;z=1926101424&amp;ISCONFIRM=0","VIDEO")</f>
        <v>VIDEO</v>
      </c>
      <c r="AA7572" s="19" t="str">
        <f>HYPERLINK("https://ssdweb.co/ssdweb/CERTH/632421516.pdf","CERTI")</f>
        <v>CERTI</v>
      </c>
    </row>
    <row r="7573" spans="1:27" ht="15" x14ac:dyDescent="0.25">
      <c r="A7573" s="2">
        <v>7568</v>
      </c>
      <c r="B7573" s="39">
        <v>925731752</v>
      </c>
      <c r="C7573" s="28" t="str">
        <f>HYPERLINK("https://pld.live/RapDetail.aspx?STONELIST=925731752","DNA")</f>
        <v>DNA</v>
      </c>
      <c r="D7573" s="18" t="s">
        <v>711</v>
      </c>
      <c r="E7573" s="18" t="s">
        <v>5128</v>
      </c>
      <c r="F7573" s="2" t="s">
        <v>7987</v>
      </c>
      <c r="G7573" s="2" t="s">
        <v>15</v>
      </c>
      <c r="H7573" s="14">
        <v>1.51</v>
      </c>
      <c r="I7573" s="2" t="s">
        <v>267</v>
      </c>
      <c r="J7573" s="2" t="s">
        <v>3942</v>
      </c>
      <c r="K7573" s="2" t="s">
        <v>1452</v>
      </c>
      <c r="L7573" s="2" t="s">
        <v>5221</v>
      </c>
      <c r="M7573" s="2" t="s">
        <v>5221</v>
      </c>
      <c r="N7573" s="2" t="s">
        <v>2317</v>
      </c>
      <c r="O7573" s="14">
        <v>12500</v>
      </c>
      <c r="P7573" s="14">
        <v>98.94</v>
      </c>
      <c r="Q7573" s="14">
        <v>132.5</v>
      </c>
      <c r="R7573" s="14">
        <v>200.08</v>
      </c>
      <c r="S7573" s="2" t="s">
        <v>1125</v>
      </c>
      <c r="T7573" s="2">
        <v>1.01</v>
      </c>
      <c r="U7573" s="2">
        <v>64.2</v>
      </c>
      <c r="V7573" s="2">
        <v>67</v>
      </c>
      <c r="W7573" s="2" t="s">
        <v>7862</v>
      </c>
      <c r="X7573" s="2" t="s">
        <v>6838</v>
      </c>
      <c r="Y7573" s="2">
        <v>18875</v>
      </c>
      <c r="Z7573" s="19" t="str">
        <f>HYPERLINK("https://ssdweb.co/ssdweb/hd/Vision360.html?d=925731752&amp;zoomslide=1&amp;z=1925731752&amp;ISCONFIRM=0","VIDEO")</f>
        <v>VIDEO</v>
      </c>
      <c r="AA7573" s="19" t="str">
        <f>HYPERLINK("https://ssdweb.co/ssdweb/CERTH/625457979.pdf","CERTI")</f>
        <v>CERTI</v>
      </c>
    </row>
    <row r="7574" spans="1:27" ht="15" x14ac:dyDescent="0.25">
      <c r="A7574" s="2">
        <v>7569</v>
      </c>
      <c r="B7574" s="39">
        <v>925731628</v>
      </c>
      <c r="C7574" s="28" t="str">
        <f>HYPERLINK("https://pld.live/RapDetail.aspx?STONELIST=925731628","DNA")</f>
        <v>DNA</v>
      </c>
      <c r="D7574" s="18" t="s">
        <v>711</v>
      </c>
      <c r="E7574" s="18" t="s">
        <v>5128</v>
      </c>
      <c r="F7574" s="2" t="s">
        <v>7987</v>
      </c>
      <c r="G7574" s="2" t="s">
        <v>15</v>
      </c>
      <c r="H7574" s="14">
        <v>1.51</v>
      </c>
      <c r="I7574" s="2" t="s">
        <v>267</v>
      </c>
      <c r="J7574" s="2" t="s">
        <v>3942</v>
      </c>
      <c r="K7574" s="2" t="s">
        <v>1452</v>
      </c>
      <c r="L7574" s="2" t="s">
        <v>5221</v>
      </c>
      <c r="M7574" s="2" t="s">
        <v>5221</v>
      </c>
      <c r="N7574" s="2" t="s">
        <v>2317</v>
      </c>
      <c r="O7574" s="14">
        <v>12500</v>
      </c>
      <c r="P7574" s="14">
        <v>98.94</v>
      </c>
      <c r="Q7574" s="14">
        <v>132.5</v>
      </c>
      <c r="R7574" s="14">
        <v>200.08</v>
      </c>
      <c r="S7574" s="2" t="s">
        <v>2269</v>
      </c>
      <c r="T7574" s="2">
        <v>1.01</v>
      </c>
      <c r="U7574" s="2">
        <v>66.599999999999994</v>
      </c>
      <c r="V7574" s="2">
        <v>69</v>
      </c>
      <c r="W7574" s="2" t="s">
        <v>7862</v>
      </c>
      <c r="X7574" s="2" t="s">
        <v>6838</v>
      </c>
      <c r="Y7574" s="2">
        <v>18875</v>
      </c>
      <c r="Z7574" s="19" t="str">
        <f>HYPERLINK("https://ssdweb.co/ssdweb/hd/Vision360.html?d=925731628&amp;zoomslide=1&amp;z=1925731628&amp;ISCONFIRM=0","VIDEO")</f>
        <v>VIDEO</v>
      </c>
      <c r="AA7574" s="19" t="str">
        <f>HYPERLINK("https://ssdweb.co/ssdweb/CERTH/625457922.pdf","CERTI")</f>
        <v>CERTI</v>
      </c>
    </row>
    <row r="7575" spans="1:27" ht="15" x14ac:dyDescent="0.25">
      <c r="A7575" s="2">
        <v>7570</v>
      </c>
      <c r="B7575" s="39">
        <v>925771277</v>
      </c>
      <c r="C7575" s="28" t="str">
        <f>HYPERLINK("https://pld.live/RapDetail.aspx?STONELIST=925771277","DNA")</f>
        <v>DNA</v>
      </c>
      <c r="D7575" s="18" t="s">
        <v>711</v>
      </c>
      <c r="E7575" s="18" t="s">
        <v>5128</v>
      </c>
      <c r="F7575" s="2" t="s">
        <v>7987</v>
      </c>
      <c r="G7575" s="2" t="s">
        <v>15</v>
      </c>
      <c r="H7575" s="14">
        <v>1.51</v>
      </c>
      <c r="I7575" s="2" t="s">
        <v>267</v>
      </c>
      <c r="J7575" s="2" t="s">
        <v>3942</v>
      </c>
      <c r="K7575" s="2" t="s">
        <v>1452</v>
      </c>
      <c r="L7575" s="2" t="s">
        <v>5221</v>
      </c>
      <c r="M7575" s="2" t="s">
        <v>5221</v>
      </c>
      <c r="N7575" s="2" t="s">
        <v>2317</v>
      </c>
      <c r="O7575" s="14">
        <v>12500</v>
      </c>
      <c r="P7575" s="14">
        <v>98.94</v>
      </c>
      <c r="Q7575" s="14">
        <v>132.5</v>
      </c>
      <c r="R7575" s="14">
        <v>200.08</v>
      </c>
      <c r="S7575" s="2" t="s">
        <v>6513</v>
      </c>
      <c r="T7575" s="2">
        <v>1.01</v>
      </c>
      <c r="U7575" s="2">
        <v>66.2</v>
      </c>
      <c r="V7575" s="2">
        <v>67</v>
      </c>
      <c r="W7575" s="2" t="s">
        <v>7862</v>
      </c>
      <c r="X7575" s="2" t="s">
        <v>6838</v>
      </c>
      <c r="Y7575" s="2">
        <v>18875</v>
      </c>
      <c r="Z7575" s="19" t="str">
        <f>HYPERLINK("https://ssdweb.co/ssdweb/hd/Vision360.html?d=925771277&amp;zoomslide=1&amp;z=1925771277&amp;ISCONFIRM=0","VIDEO")</f>
        <v>VIDEO</v>
      </c>
      <c r="AA7575" s="19" t="str">
        <f>HYPERLINK("https://ssdweb.co/ssdweb/CERTH/626427616.pdf","CERTI")</f>
        <v>CERTI</v>
      </c>
    </row>
    <row r="7576" spans="1:27" ht="15" x14ac:dyDescent="0.25">
      <c r="A7576" s="2">
        <v>7571</v>
      </c>
      <c r="B7576" s="39">
        <v>925731901</v>
      </c>
      <c r="C7576" s="28" t="str">
        <f>HYPERLINK("https://pld.live/RapDetail.aspx?STONELIST=925731901","DNA")</f>
        <v>DNA</v>
      </c>
      <c r="D7576" s="18" t="s">
        <v>711</v>
      </c>
      <c r="E7576" s="18" t="s">
        <v>5128</v>
      </c>
      <c r="F7576" s="2" t="s">
        <v>7987</v>
      </c>
      <c r="G7576" s="2" t="s">
        <v>15</v>
      </c>
      <c r="H7576" s="14">
        <v>1.51</v>
      </c>
      <c r="I7576" s="2" t="s">
        <v>267</v>
      </c>
      <c r="J7576" s="2" t="s">
        <v>3942</v>
      </c>
      <c r="K7576" s="2" t="s">
        <v>1452</v>
      </c>
      <c r="L7576" s="2" t="s">
        <v>5221</v>
      </c>
      <c r="M7576" s="2" t="s">
        <v>5221</v>
      </c>
      <c r="N7576" s="2" t="s">
        <v>2317</v>
      </c>
      <c r="O7576" s="14">
        <v>12500</v>
      </c>
      <c r="P7576" s="14">
        <v>98.94</v>
      </c>
      <c r="Q7576" s="14">
        <v>132.5</v>
      </c>
      <c r="R7576" s="14">
        <v>200.08</v>
      </c>
      <c r="S7576" s="2" t="s">
        <v>2261</v>
      </c>
      <c r="T7576" s="2">
        <v>1.03</v>
      </c>
      <c r="U7576" s="2">
        <v>63.7</v>
      </c>
      <c r="V7576" s="2">
        <v>69</v>
      </c>
      <c r="W7576" s="2" t="s">
        <v>7862</v>
      </c>
      <c r="X7576" s="2" t="s">
        <v>6838</v>
      </c>
      <c r="Y7576" s="2">
        <v>18875</v>
      </c>
      <c r="Z7576" s="19" t="str">
        <f>HYPERLINK("https://ssdweb.co/ssdweb/hd/Vision360.html?d=925731901&amp;zoomslide=1&amp;z=1925731901&amp;ISCONFIRM=0","VIDEO")</f>
        <v>VIDEO</v>
      </c>
      <c r="AA7576" s="19" t="str">
        <f>HYPERLINK("https://ssdweb.co/ssdweb/CERTH/625432260.pdf","CERTI")</f>
        <v>CERTI</v>
      </c>
    </row>
    <row r="7577" spans="1:27" ht="15" x14ac:dyDescent="0.25">
      <c r="A7577" s="2">
        <v>7572</v>
      </c>
      <c r="B7577" s="39">
        <v>925770918</v>
      </c>
      <c r="C7577" s="28" t="str">
        <f>HYPERLINK("https://pld.live/RapDetail.aspx?STONELIST=925770918","DNA")</f>
        <v>DNA</v>
      </c>
      <c r="D7577" s="18" t="s">
        <v>711</v>
      </c>
      <c r="E7577" s="18" t="s">
        <v>5128</v>
      </c>
      <c r="F7577" s="2" t="s">
        <v>7987</v>
      </c>
      <c r="G7577" s="2" t="s">
        <v>15</v>
      </c>
      <c r="H7577" s="14">
        <v>1.51</v>
      </c>
      <c r="I7577" s="2" t="s">
        <v>267</v>
      </c>
      <c r="J7577" s="2" t="s">
        <v>3942</v>
      </c>
      <c r="K7577" s="2" t="s">
        <v>1452</v>
      </c>
      <c r="L7577" s="2" t="s">
        <v>5221</v>
      </c>
      <c r="M7577" s="2" t="s">
        <v>5221</v>
      </c>
      <c r="N7577" s="2" t="s">
        <v>2317</v>
      </c>
      <c r="O7577" s="14">
        <v>12500</v>
      </c>
      <c r="P7577" s="14">
        <v>98.94</v>
      </c>
      <c r="Q7577" s="14">
        <v>132.5</v>
      </c>
      <c r="R7577" s="14">
        <v>200.08</v>
      </c>
      <c r="S7577" s="2" t="s">
        <v>7683</v>
      </c>
      <c r="T7577" s="2">
        <v>1.01</v>
      </c>
      <c r="U7577" s="2">
        <v>65.2</v>
      </c>
      <c r="V7577" s="2">
        <v>63</v>
      </c>
      <c r="W7577" s="2" t="s">
        <v>7862</v>
      </c>
      <c r="X7577" s="2" t="s">
        <v>6838</v>
      </c>
      <c r="Y7577" s="2">
        <v>18875</v>
      </c>
      <c r="Z7577" s="19" t="str">
        <f>HYPERLINK("https://ssdweb.co/ssdweb/hd/Vision360.html?d=925770918&amp;zoomslide=1&amp;z=1925770918&amp;ISCONFIRM=0","VIDEO")</f>
        <v>VIDEO</v>
      </c>
      <c r="AA7577" s="19" t="str">
        <f>HYPERLINK("https://ssdweb.co/ssdweb/CERTH/625432277.pdf","CERTI")</f>
        <v>CERTI</v>
      </c>
    </row>
    <row r="7578" spans="1:27" ht="15" x14ac:dyDescent="0.25">
      <c r="A7578" s="2">
        <v>7573</v>
      </c>
      <c r="B7578" s="39">
        <v>925801985</v>
      </c>
      <c r="C7578" s="28" t="str">
        <f>HYPERLINK("https://pld.live/RapDetail.aspx?STONELIST=925801985","DNA")</f>
        <v>DNA</v>
      </c>
      <c r="D7578" s="18" t="s">
        <v>711</v>
      </c>
      <c r="E7578" s="18" t="s">
        <v>5128</v>
      </c>
      <c r="F7578" s="2" t="s">
        <v>7987</v>
      </c>
      <c r="G7578" s="2" t="s">
        <v>15</v>
      </c>
      <c r="H7578" s="14">
        <v>1.51</v>
      </c>
      <c r="I7578" s="2" t="s">
        <v>267</v>
      </c>
      <c r="J7578" s="2" t="s">
        <v>13</v>
      </c>
      <c r="K7578" s="2" t="s">
        <v>1452</v>
      </c>
      <c r="L7578" s="2" t="s">
        <v>5221</v>
      </c>
      <c r="M7578" s="2" t="s">
        <v>5221</v>
      </c>
      <c r="N7578" s="2" t="s">
        <v>2317</v>
      </c>
      <c r="O7578" s="14">
        <v>11600</v>
      </c>
      <c r="P7578" s="14">
        <v>98.91</v>
      </c>
      <c r="Q7578" s="14">
        <v>126.44</v>
      </c>
      <c r="R7578" s="14">
        <v>190.92</v>
      </c>
      <c r="S7578" s="2" t="s">
        <v>4184</v>
      </c>
      <c r="T7578" s="2">
        <v>1.02</v>
      </c>
      <c r="U7578" s="2">
        <v>63.6</v>
      </c>
      <c r="V7578" s="2">
        <v>65</v>
      </c>
      <c r="W7578" s="2" t="s">
        <v>7862</v>
      </c>
      <c r="X7578" s="2" t="s">
        <v>6838</v>
      </c>
      <c r="Y7578" s="2">
        <v>17516</v>
      </c>
      <c r="Z7578" s="19" t="str">
        <f>HYPERLINK("https://ssdweb.co/ssdweb/hd/Vision360.html?d=925801985&amp;zoomslide=1&amp;z=1925801985&amp;ISCONFIRM=0","VIDEO")</f>
        <v>VIDEO</v>
      </c>
      <c r="AA7578" s="19" t="str">
        <f>HYPERLINK("https://ssdweb.co/ssdweb/CERTH/627497083.pdf","CERTI")</f>
        <v>CERTI</v>
      </c>
    </row>
    <row r="7579" spans="1:27" ht="15" x14ac:dyDescent="0.25">
      <c r="A7579" s="2">
        <v>7574</v>
      </c>
      <c r="B7579" s="39">
        <v>925732177</v>
      </c>
      <c r="C7579" s="28" t="str">
        <f>HYPERLINK("https://pld.live/RapDetail.aspx?STONELIST=925732177","DNA")</f>
        <v>DNA</v>
      </c>
      <c r="D7579" s="18" t="s">
        <v>711</v>
      </c>
      <c r="E7579" s="18" t="s">
        <v>5128</v>
      </c>
      <c r="F7579" s="2" t="s">
        <v>7987</v>
      </c>
      <c r="G7579" s="2" t="s">
        <v>15</v>
      </c>
      <c r="H7579" s="14">
        <v>1.51</v>
      </c>
      <c r="I7579" s="2" t="s">
        <v>267</v>
      </c>
      <c r="J7579" s="2" t="s">
        <v>13</v>
      </c>
      <c r="K7579" s="2" t="s">
        <v>1452</v>
      </c>
      <c r="L7579" s="2" t="s">
        <v>5221</v>
      </c>
      <c r="M7579" s="2" t="s">
        <v>5221</v>
      </c>
      <c r="N7579" s="2" t="s">
        <v>2317</v>
      </c>
      <c r="O7579" s="14">
        <v>11600</v>
      </c>
      <c r="P7579" s="14">
        <v>98.91</v>
      </c>
      <c r="Q7579" s="14">
        <v>126.44</v>
      </c>
      <c r="R7579" s="14">
        <v>190.92</v>
      </c>
      <c r="S7579" s="2" t="s">
        <v>6753</v>
      </c>
      <c r="T7579" s="2">
        <v>1</v>
      </c>
      <c r="U7579" s="2">
        <v>65.2</v>
      </c>
      <c r="V7579" s="2">
        <v>64</v>
      </c>
      <c r="W7579" s="2" t="s">
        <v>7862</v>
      </c>
      <c r="X7579" s="2" t="s">
        <v>6838</v>
      </c>
      <c r="Y7579" s="2">
        <v>17516</v>
      </c>
      <c r="Z7579" s="19" t="str">
        <f>HYPERLINK("https://ssdweb.co/ssdweb/hd/Vision360.html?d=925732177&amp;zoomslide=1&amp;z=1925732177&amp;ISCONFIRM=0","VIDEO")</f>
        <v>VIDEO</v>
      </c>
      <c r="AA7579" s="19" t="str">
        <f>HYPERLINK("https://ssdweb.co/ssdweb/CERTH/626466206.pdf","CERTI")</f>
        <v>CERTI</v>
      </c>
    </row>
    <row r="7580" spans="1:27" ht="15" x14ac:dyDescent="0.25">
      <c r="A7580" s="2">
        <v>7575</v>
      </c>
      <c r="B7580" s="39">
        <v>926101498</v>
      </c>
      <c r="C7580" s="28" t="str">
        <f>HYPERLINK("https://pld.live/RapDetail.aspx?STONELIST=926101498","DNA")</f>
        <v>DNA</v>
      </c>
      <c r="D7580" s="18" t="s">
        <v>711</v>
      </c>
      <c r="E7580" s="18" t="s">
        <v>5128</v>
      </c>
      <c r="F7580" s="2" t="s">
        <v>7987</v>
      </c>
      <c r="G7580" s="2" t="s">
        <v>15</v>
      </c>
      <c r="H7580" s="14">
        <v>1.51</v>
      </c>
      <c r="I7580" s="2" t="s">
        <v>267</v>
      </c>
      <c r="J7580" s="2" t="s">
        <v>13</v>
      </c>
      <c r="K7580" s="2" t="s">
        <v>1452</v>
      </c>
      <c r="L7580" s="2" t="s">
        <v>5221</v>
      </c>
      <c r="M7580" s="2" t="s">
        <v>5221</v>
      </c>
      <c r="N7580" s="2" t="s">
        <v>2317</v>
      </c>
      <c r="O7580" s="14">
        <v>11600</v>
      </c>
      <c r="P7580" s="14">
        <v>98.91</v>
      </c>
      <c r="Q7580" s="14">
        <v>126.44</v>
      </c>
      <c r="R7580" s="14">
        <v>190.92</v>
      </c>
      <c r="S7580" s="2" t="s">
        <v>4058</v>
      </c>
      <c r="T7580" s="2">
        <v>1.02</v>
      </c>
      <c r="U7580" s="2">
        <v>64.5</v>
      </c>
      <c r="V7580" s="2">
        <v>67</v>
      </c>
      <c r="W7580" s="2" t="s">
        <v>7862</v>
      </c>
      <c r="X7580" s="2" t="s">
        <v>6838</v>
      </c>
      <c r="Y7580" s="2">
        <v>17516</v>
      </c>
      <c r="Z7580" s="19" t="str">
        <f>HYPERLINK("https://ssdweb.co/ssdweb/hd/Vision360.html?d=926101498&amp;zoomslide=1&amp;z=1926101498&amp;ISCONFIRM=0","VIDEO")</f>
        <v>VIDEO</v>
      </c>
      <c r="AA7580" s="19" t="str">
        <f>HYPERLINK("https://ssdweb.co/ssdweb/CERTH/632403833.pdf","CERTI")</f>
        <v>CERTI</v>
      </c>
    </row>
    <row r="7581" spans="1:27" ht="15" x14ac:dyDescent="0.25">
      <c r="A7581" s="2">
        <v>7576</v>
      </c>
      <c r="B7581" s="39">
        <v>925730875</v>
      </c>
      <c r="C7581" s="28" t="str">
        <f>HYPERLINK("https://pld.live/RapDetail.aspx?STONELIST=925730875","DNA")</f>
        <v>DNA</v>
      </c>
      <c r="D7581" s="18" t="s">
        <v>711</v>
      </c>
      <c r="E7581" s="18" t="s">
        <v>5128</v>
      </c>
      <c r="F7581" s="2" t="s">
        <v>7987</v>
      </c>
      <c r="G7581" s="2" t="s">
        <v>15</v>
      </c>
      <c r="H7581" s="14">
        <v>1.51</v>
      </c>
      <c r="I7581" s="2" t="s">
        <v>267</v>
      </c>
      <c r="J7581" s="2" t="s">
        <v>13</v>
      </c>
      <c r="K7581" s="2" t="s">
        <v>1452</v>
      </c>
      <c r="L7581" s="2" t="s">
        <v>5221</v>
      </c>
      <c r="M7581" s="2" t="s">
        <v>5221</v>
      </c>
      <c r="N7581" s="2" t="s">
        <v>2317</v>
      </c>
      <c r="O7581" s="14">
        <v>11600</v>
      </c>
      <c r="P7581" s="14">
        <v>98.91</v>
      </c>
      <c r="Q7581" s="14">
        <v>126.44</v>
      </c>
      <c r="R7581" s="14">
        <v>190.92</v>
      </c>
      <c r="S7581" s="2" t="s">
        <v>6578</v>
      </c>
      <c r="T7581" s="2">
        <v>1.02</v>
      </c>
      <c r="U7581" s="2">
        <v>64.3</v>
      </c>
      <c r="V7581" s="2">
        <v>66</v>
      </c>
      <c r="W7581" s="2" t="s">
        <v>7862</v>
      </c>
      <c r="X7581" s="2" t="s">
        <v>6838</v>
      </c>
      <c r="Y7581" s="2">
        <v>17516</v>
      </c>
      <c r="Z7581" s="19" t="str">
        <f>HYPERLINK("https://ssdweb.co/ssdweb/hd/Vision360.html?d=925730875&amp;zoomslide=1&amp;z=1925730875&amp;ISCONFIRM=0","VIDEO")</f>
        <v>VIDEO</v>
      </c>
      <c r="AA7581" s="19" t="str">
        <f>HYPERLINK("https://ssdweb.co/ssdweb/CERTH/623493308.pdf","CERTI")</f>
        <v>CERTI</v>
      </c>
    </row>
    <row r="7582" spans="1:27" ht="15" x14ac:dyDescent="0.25">
      <c r="A7582" s="2">
        <v>7577</v>
      </c>
      <c r="B7582" s="39">
        <v>925731931</v>
      </c>
      <c r="C7582" s="28" t="str">
        <f>HYPERLINK("https://pld.live/RapDetail.aspx?STONELIST=925731931","DNA")</f>
        <v>DNA</v>
      </c>
      <c r="D7582" s="18" t="s">
        <v>711</v>
      </c>
      <c r="E7582" s="18" t="s">
        <v>5128</v>
      </c>
      <c r="F7582" s="2" t="s">
        <v>7987</v>
      </c>
      <c r="G7582" s="2" t="s">
        <v>15</v>
      </c>
      <c r="H7582" s="14">
        <v>1.51</v>
      </c>
      <c r="I7582" s="2" t="s">
        <v>267</v>
      </c>
      <c r="J7582" s="2" t="s">
        <v>5144</v>
      </c>
      <c r="K7582" s="2" t="s">
        <v>1452</v>
      </c>
      <c r="L7582" s="2" t="s">
        <v>5221</v>
      </c>
      <c r="M7582" s="2" t="s">
        <v>5221</v>
      </c>
      <c r="N7582" s="2" t="s">
        <v>2317</v>
      </c>
      <c r="O7582" s="14">
        <v>9900</v>
      </c>
      <c r="P7582" s="14">
        <v>98.78</v>
      </c>
      <c r="Q7582" s="14">
        <v>120.78</v>
      </c>
      <c r="R7582" s="14">
        <v>182.38</v>
      </c>
      <c r="S7582" s="2" t="s">
        <v>3971</v>
      </c>
      <c r="T7582" s="2">
        <v>1</v>
      </c>
      <c r="U7582" s="2">
        <v>66.7</v>
      </c>
      <c r="V7582" s="2">
        <v>65</v>
      </c>
      <c r="W7582" s="2" t="s">
        <v>7862</v>
      </c>
      <c r="X7582" s="2" t="s">
        <v>6838</v>
      </c>
      <c r="Y7582" s="2">
        <v>14949</v>
      </c>
      <c r="Z7582" s="19" t="str">
        <f>HYPERLINK("https://ssdweb.co/ssdweb/hd/Vision360.html?d=925731931&amp;zoomslide=1&amp;z=1925731931&amp;ISCONFIRM=0","VIDEO")</f>
        <v>VIDEO</v>
      </c>
      <c r="AA7582" s="19" t="str">
        <f>HYPERLINK("https://ssdweb.co/ssdweb/CERTH/625432299.pdf","CERTI")</f>
        <v>CERTI</v>
      </c>
    </row>
    <row r="7583" spans="1:27" ht="15" x14ac:dyDescent="0.25">
      <c r="A7583" s="2">
        <v>7578</v>
      </c>
      <c r="B7583" s="39">
        <v>924690172</v>
      </c>
      <c r="C7583" s="28" t="str">
        <f>HYPERLINK("https://pld.live/RapDetail.aspx?STONELIST=924690172","DNA")</f>
        <v>DNA</v>
      </c>
      <c r="D7583" s="18" t="s">
        <v>711</v>
      </c>
      <c r="E7583" s="18" t="s">
        <v>5128</v>
      </c>
      <c r="F7583" s="2" t="s">
        <v>5597</v>
      </c>
      <c r="G7583" s="2" t="s">
        <v>15</v>
      </c>
      <c r="H7583" s="14">
        <v>1.51</v>
      </c>
      <c r="I7583" s="2" t="s">
        <v>267</v>
      </c>
      <c r="J7583" s="2" t="s">
        <v>5144</v>
      </c>
      <c r="K7583" s="2" t="s">
        <v>1452</v>
      </c>
      <c r="L7583" s="2" t="s">
        <v>5221</v>
      </c>
      <c r="M7583" s="2" t="s">
        <v>5221</v>
      </c>
      <c r="N7583" s="2" t="s">
        <v>2317</v>
      </c>
      <c r="O7583" s="14">
        <v>9900</v>
      </c>
      <c r="P7583" s="14">
        <v>97.83</v>
      </c>
      <c r="Q7583" s="14">
        <v>214.83</v>
      </c>
      <c r="R7583" s="14">
        <v>324.39</v>
      </c>
      <c r="S7583" s="2" t="s">
        <v>2824</v>
      </c>
      <c r="T7583" s="2">
        <v>1</v>
      </c>
      <c r="U7583" s="2">
        <v>65.5</v>
      </c>
      <c r="V7583" s="2">
        <v>60</v>
      </c>
      <c r="W7583" s="2" t="s">
        <v>7862</v>
      </c>
      <c r="X7583" s="2" t="s">
        <v>6838</v>
      </c>
      <c r="Y7583" s="2">
        <v>14949</v>
      </c>
      <c r="Z7583" s="19" t="str">
        <f>HYPERLINK("https://ssdweb.co/ssdweb/hd/Vision360.html?d=924690172&amp;zoomslide=1&amp;z=1924690172&amp;ISCONFIRM=0","VIDEO")</f>
        <v>VIDEO</v>
      </c>
      <c r="AA7583" s="19" t="str">
        <f>HYPERLINK("https://ssdweb.co/ssdweb/CERTH/1478552640.pdf","CERTI")</f>
        <v>CERTI</v>
      </c>
    </row>
    <row r="7584" spans="1:27" ht="15" x14ac:dyDescent="0.25">
      <c r="A7584" s="2">
        <v>7579</v>
      </c>
      <c r="B7584" s="39">
        <v>925801491</v>
      </c>
      <c r="C7584" s="28" t="str">
        <f>HYPERLINK("https://pld.live/RapDetail.aspx?STONELIST=925801491","DNA")</f>
        <v>DNA</v>
      </c>
      <c r="D7584" s="18" t="s">
        <v>711</v>
      </c>
      <c r="E7584" s="18" t="s">
        <v>5128</v>
      </c>
      <c r="F7584" s="2" t="s">
        <v>7987</v>
      </c>
      <c r="G7584" s="2" t="s">
        <v>15</v>
      </c>
      <c r="H7584" s="14">
        <v>1.51</v>
      </c>
      <c r="I7584" s="2" t="s">
        <v>4761</v>
      </c>
      <c r="J7584" s="2" t="s">
        <v>13</v>
      </c>
      <c r="K7584" s="2" t="s">
        <v>1452</v>
      </c>
      <c r="L7584" s="2" t="s">
        <v>5221</v>
      </c>
      <c r="M7584" s="2" t="s">
        <v>5221</v>
      </c>
      <c r="N7584" s="2" t="s">
        <v>2317</v>
      </c>
      <c r="O7584" s="14">
        <v>10800</v>
      </c>
      <c r="P7584" s="14">
        <v>98.87</v>
      </c>
      <c r="Q7584" s="14">
        <v>122.04</v>
      </c>
      <c r="R7584" s="14">
        <v>184.28</v>
      </c>
      <c r="S7584" s="2" t="s">
        <v>4410</v>
      </c>
      <c r="T7584" s="2">
        <v>1.01</v>
      </c>
      <c r="U7584" s="2">
        <v>64.599999999999994</v>
      </c>
      <c r="V7584" s="2">
        <v>64</v>
      </c>
      <c r="W7584" s="2" t="s">
        <v>7862</v>
      </c>
      <c r="X7584" s="2" t="s">
        <v>6838</v>
      </c>
      <c r="Y7584" s="2">
        <v>16308</v>
      </c>
      <c r="Z7584" s="19" t="str">
        <f>HYPERLINK("https://ssdweb.co/ssdweb/hd/Vision360.html?d=925801491&amp;zoomslide=1&amp;z=1925801491&amp;ISCONFIRM=0","VIDEO")</f>
        <v>VIDEO</v>
      </c>
      <c r="AA7584" s="19" t="str">
        <f>HYPERLINK("https://ssdweb.co/ssdweb/CERTH/626414929.pdf","CERTI")</f>
        <v>CERTI</v>
      </c>
    </row>
    <row r="7585" spans="1:27" ht="15" x14ac:dyDescent="0.25">
      <c r="A7585" s="2">
        <v>7580</v>
      </c>
      <c r="B7585" s="39">
        <v>925801803</v>
      </c>
      <c r="C7585" s="28" t="str">
        <f>HYPERLINK("https://pld.live/RapDetail.aspx?STONELIST=925801803","DNA")</f>
        <v>DNA</v>
      </c>
      <c r="D7585" s="18" t="s">
        <v>711</v>
      </c>
      <c r="E7585" s="18" t="s">
        <v>5128</v>
      </c>
      <c r="F7585" s="2" t="s">
        <v>7987</v>
      </c>
      <c r="G7585" s="2" t="s">
        <v>15</v>
      </c>
      <c r="H7585" s="14">
        <v>1.51</v>
      </c>
      <c r="I7585" s="2" t="s">
        <v>4699</v>
      </c>
      <c r="J7585" s="2" t="s">
        <v>3942</v>
      </c>
      <c r="K7585" s="2" t="s">
        <v>1452</v>
      </c>
      <c r="L7585" s="2" t="s">
        <v>5221</v>
      </c>
      <c r="M7585" s="2" t="s">
        <v>5221</v>
      </c>
      <c r="N7585" s="2" t="s">
        <v>2317</v>
      </c>
      <c r="O7585" s="14">
        <v>10800</v>
      </c>
      <c r="P7585" s="14">
        <v>98.85</v>
      </c>
      <c r="Q7585" s="14">
        <v>124.2</v>
      </c>
      <c r="R7585" s="14">
        <v>187.54</v>
      </c>
      <c r="S7585" s="2" t="s">
        <v>4841</v>
      </c>
      <c r="T7585" s="2">
        <v>1.03</v>
      </c>
      <c r="U7585" s="2">
        <v>63.1</v>
      </c>
      <c r="V7585" s="2">
        <v>63</v>
      </c>
      <c r="W7585" s="2" t="s">
        <v>7862</v>
      </c>
      <c r="X7585" s="2" t="s">
        <v>6838</v>
      </c>
      <c r="Y7585" s="2">
        <v>16308</v>
      </c>
      <c r="Z7585" s="19" t="str">
        <f>HYPERLINK("https://ssdweb.co/ssdweb/hd/Vision360.html?d=925801803&amp;zoomslide=1&amp;z=1925801803&amp;ISCONFIRM=0","VIDEO")</f>
        <v>VIDEO</v>
      </c>
      <c r="AA7585" s="19" t="str">
        <f>HYPERLINK("https://ssdweb.co/ssdweb/CERTH/626499179.pdf","CERTI")</f>
        <v>CERTI</v>
      </c>
    </row>
    <row r="7586" spans="1:27" ht="15" x14ac:dyDescent="0.25">
      <c r="A7586" s="2">
        <v>7581</v>
      </c>
      <c r="B7586" s="39">
        <v>925732146</v>
      </c>
      <c r="C7586" s="28" t="str">
        <f>HYPERLINK("https://pld.live/RapDetail.aspx?STONELIST=925732146","DNA")</f>
        <v>DNA</v>
      </c>
      <c r="D7586" s="18" t="s">
        <v>711</v>
      </c>
      <c r="E7586" s="18" t="s">
        <v>5128</v>
      </c>
      <c r="F7586" s="2" t="s">
        <v>7987</v>
      </c>
      <c r="G7586" s="2" t="s">
        <v>15</v>
      </c>
      <c r="H7586" s="14">
        <v>1.51</v>
      </c>
      <c r="I7586" s="2" t="s">
        <v>6587</v>
      </c>
      <c r="J7586" s="2" t="s">
        <v>6555</v>
      </c>
      <c r="K7586" s="2" t="s">
        <v>1452</v>
      </c>
      <c r="L7586" s="2" t="s">
        <v>5221</v>
      </c>
      <c r="M7586" s="2" t="s">
        <v>5221</v>
      </c>
      <c r="N7586" s="2" t="s">
        <v>2317</v>
      </c>
      <c r="O7586" s="14">
        <v>10500</v>
      </c>
      <c r="P7586" s="14">
        <v>98.76</v>
      </c>
      <c r="Q7586" s="14">
        <v>130.19999999999999</v>
      </c>
      <c r="R7586" s="14">
        <v>196.6</v>
      </c>
      <c r="S7586" s="2" t="s">
        <v>1358</v>
      </c>
      <c r="T7586" s="2">
        <v>1.02</v>
      </c>
      <c r="U7586" s="2">
        <v>64.3</v>
      </c>
      <c r="V7586" s="2">
        <v>70</v>
      </c>
      <c r="W7586" s="2" t="s">
        <v>4336</v>
      </c>
      <c r="X7586" s="2" t="s">
        <v>6838</v>
      </c>
      <c r="Y7586" s="2">
        <v>15855</v>
      </c>
      <c r="Z7586" s="19" t="str">
        <f>HYPERLINK("https://ssdweb.co/ssdweb/hd/Vision360.html?d=925732146&amp;zoomslide=1&amp;z=1925732146&amp;ISCONFIRM=0","VIDEO")</f>
        <v>VIDEO</v>
      </c>
      <c r="AA7586" s="19" t="str">
        <f>HYPERLINK("https://ssdweb.co/ssdweb/CERTH/626457442.pdf","CERTI")</f>
        <v>CERTI</v>
      </c>
    </row>
    <row r="7587" spans="1:27" ht="15" x14ac:dyDescent="0.25">
      <c r="A7587" s="2">
        <v>7582</v>
      </c>
      <c r="B7587" s="39">
        <v>925731623</v>
      </c>
      <c r="C7587" s="28" t="str">
        <f>HYPERLINK("https://pld.live/RapDetail.aspx?STONELIST=925731623","DNA")</f>
        <v>DNA</v>
      </c>
      <c r="D7587" s="18" t="s">
        <v>711</v>
      </c>
      <c r="E7587" s="18" t="s">
        <v>5128</v>
      </c>
      <c r="F7587" s="2" t="s">
        <v>7987</v>
      </c>
      <c r="G7587" s="2" t="s">
        <v>15</v>
      </c>
      <c r="H7587" s="14">
        <v>1.5</v>
      </c>
      <c r="I7587" s="2" t="s">
        <v>267</v>
      </c>
      <c r="J7587" s="2" t="s">
        <v>7032</v>
      </c>
      <c r="K7587" s="2" t="s">
        <v>1452</v>
      </c>
      <c r="L7587" s="2" t="s">
        <v>5221</v>
      </c>
      <c r="M7587" s="2" t="s">
        <v>5221</v>
      </c>
      <c r="N7587" s="2" t="s">
        <v>2317</v>
      </c>
      <c r="O7587" s="14">
        <v>14100</v>
      </c>
      <c r="P7587" s="14">
        <v>97.38</v>
      </c>
      <c r="Q7587" s="14">
        <v>369.42</v>
      </c>
      <c r="R7587" s="14">
        <v>554.13</v>
      </c>
      <c r="S7587" s="2" t="s">
        <v>1110</v>
      </c>
      <c r="T7587" s="2">
        <v>1.02</v>
      </c>
      <c r="U7587" s="2">
        <v>64.3</v>
      </c>
      <c r="V7587" s="2">
        <v>65</v>
      </c>
      <c r="W7587" s="2" t="s">
        <v>7862</v>
      </c>
      <c r="X7587" s="2" t="s">
        <v>6838</v>
      </c>
      <c r="Y7587" s="2">
        <v>21150</v>
      </c>
      <c r="Z7587" s="19" t="str">
        <f>HYPERLINK("https://ssdweb.co/ssdweb/hd/Vision360.html?d=925731623&amp;zoomslide=1&amp;z=1925731623&amp;ISCONFIRM=0","VIDEO")</f>
        <v>VIDEO</v>
      </c>
      <c r="AA7587" s="19" t="str">
        <f>HYPERLINK("https://ssdweb.co/ssdweb/CERTH/625457918.pdf","CERTI")</f>
        <v>CERTI</v>
      </c>
    </row>
    <row r="7588" spans="1:27" ht="15" x14ac:dyDescent="0.25">
      <c r="A7588" s="2">
        <v>7583</v>
      </c>
      <c r="B7588" s="39">
        <v>923760404</v>
      </c>
      <c r="C7588" s="28" t="str">
        <f>HYPERLINK("https://pld.live/RapDetail.aspx?STONELIST=923760404","DNA")</f>
        <v>DNA</v>
      </c>
      <c r="D7588" s="18" t="s">
        <v>711</v>
      </c>
      <c r="E7588" s="18" t="s">
        <v>5128</v>
      </c>
      <c r="F7588" s="2" t="s">
        <v>7987</v>
      </c>
      <c r="G7588" s="2" t="s">
        <v>15</v>
      </c>
      <c r="H7588" s="14">
        <v>1.5</v>
      </c>
      <c r="I7588" s="2" t="s">
        <v>267</v>
      </c>
      <c r="J7588" s="2" t="s">
        <v>7032</v>
      </c>
      <c r="K7588" s="2" t="s">
        <v>1452</v>
      </c>
      <c r="L7588" s="2" t="s">
        <v>5221</v>
      </c>
      <c r="M7588" s="2" t="s">
        <v>5221</v>
      </c>
      <c r="N7588" s="2" t="s">
        <v>2317</v>
      </c>
      <c r="O7588" s="14">
        <v>14100</v>
      </c>
      <c r="P7588" s="14">
        <v>97.38</v>
      </c>
      <c r="Q7588" s="14">
        <v>369.42</v>
      </c>
      <c r="R7588" s="14">
        <v>554.13</v>
      </c>
      <c r="S7588" s="2" t="s">
        <v>4228</v>
      </c>
      <c r="T7588" s="2">
        <v>1.03</v>
      </c>
      <c r="U7588" s="2">
        <v>63.5</v>
      </c>
      <c r="V7588" s="2">
        <v>65.5</v>
      </c>
      <c r="W7588" s="2" t="s">
        <v>7862</v>
      </c>
      <c r="X7588" s="2" t="s">
        <v>6838</v>
      </c>
      <c r="Y7588" s="2">
        <v>21150</v>
      </c>
      <c r="Z7588" s="19" t="str">
        <f>HYPERLINK("https://ssdweb.co/ssdweb/hd/Vision360.html?d=923760404&amp;zoomslide=1&amp;z=1923760404&amp;ISCONFIRM=0","VIDEO")</f>
        <v>VIDEO</v>
      </c>
      <c r="AA7588" s="19" t="str">
        <f>HYPERLINK("https://ssdweb.co/ssdweb/CERTH/566322627.pdf","CERTI")</f>
        <v>CERTI</v>
      </c>
    </row>
    <row r="7589" spans="1:27" ht="15" x14ac:dyDescent="0.25">
      <c r="A7589" s="2">
        <v>7584</v>
      </c>
      <c r="B7589" s="39">
        <v>925732017</v>
      </c>
      <c r="C7589" s="28" t="str">
        <f>HYPERLINK("https://pld.live/RapDetail.aspx?STONELIST=925732017","DNA")</f>
        <v>DNA</v>
      </c>
      <c r="D7589" s="18" t="s">
        <v>711</v>
      </c>
      <c r="E7589" s="18" t="s">
        <v>5128</v>
      </c>
      <c r="F7589" s="2" t="s">
        <v>7987</v>
      </c>
      <c r="G7589" s="2" t="s">
        <v>15</v>
      </c>
      <c r="H7589" s="14">
        <v>1.5</v>
      </c>
      <c r="I7589" s="2" t="s">
        <v>267</v>
      </c>
      <c r="J7589" s="2" t="s">
        <v>6555</v>
      </c>
      <c r="K7589" s="2" t="s">
        <v>1452</v>
      </c>
      <c r="L7589" s="2" t="s">
        <v>5221</v>
      </c>
      <c r="M7589" s="2" t="s">
        <v>5221</v>
      </c>
      <c r="N7589" s="2" t="s">
        <v>2317</v>
      </c>
      <c r="O7589" s="14">
        <v>13200</v>
      </c>
      <c r="P7589" s="14">
        <v>98.74</v>
      </c>
      <c r="Q7589" s="14">
        <v>166.32</v>
      </c>
      <c r="R7589" s="14">
        <v>249.48</v>
      </c>
      <c r="S7589" s="2" t="s">
        <v>1173</v>
      </c>
      <c r="T7589" s="2">
        <v>1</v>
      </c>
      <c r="U7589" s="2">
        <v>65.900000000000006</v>
      </c>
      <c r="V7589" s="2">
        <v>62</v>
      </c>
      <c r="W7589" s="2" t="s">
        <v>7862</v>
      </c>
      <c r="X7589" s="2" t="s">
        <v>6838</v>
      </c>
      <c r="Y7589" s="2">
        <v>19800</v>
      </c>
      <c r="Z7589" s="19" t="str">
        <f>HYPERLINK("https://ssdweb.co/ssdweb/hd/Vision360.html?d=925732017&amp;zoomslide=1&amp;z=1925732017&amp;ISCONFIRM=0","VIDEO")</f>
        <v>VIDEO</v>
      </c>
      <c r="AA7589" s="19" t="str">
        <f>HYPERLINK("https://ssdweb.co/ssdweb/CERTH/625432324.pdf","CERTI")</f>
        <v>CERTI</v>
      </c>
    </row>
    <row r="7590" spans="1:27" ht="15" x14ac:dyDescent="0.25">
      <c r="A7590" s="2">
        <v>7585</v>
      </c>
      <c r="B7590" s="39">
        <v>925731239</v>
      </c>
      <c r="C7590" s="28" t="str">
        <f>HYPERLINK("https://pld.live/RapDetail.aspx?STONELIST=925731239","DNA")</f>
        <v>DNA</v>
      </c>
      <c r="D7590" s="18" t="s">
        <v>711</v>
      </c>
      <c r="E7590" s="18" t="s">
        <v>5128</v>
      </c>
      <c r="F7590" s="2" t="s">
        <v>7987</v>
      </c>
      <c r="G7590" s="2" t="s">
        <v>15</v>
      </c>
      <c r="H7590" s="14">
        <v>1.5</v>
      </c>
      <c r="I7590" s="2" t="s">
        <v>267</v>
      </c>
      <c r="J7590" s="2" t="s">
        <v>3942</v>
      </c>
      <c r="K7590" s="2" t="s">
        <v>1452</v>
      </c>
      <c r="L7590" s="2" t="s">
        <v>5221</v>
      </c>
      <c r="M7590" s="2" t="s">
        <v>5221</v>
      </c>
      <c r="N7590" s="2" t="s">
        <v>2317</v>
      </c>
      <c r="O7590" s="14">
        <v>12500</v>
      </c>
      <c r="P7590" s="14">
        <v>98.94</v>
      </c>
      <c r="Q7590" s="14">
        <v>132.5</v>
      </c>
      <c r="R7590" s="14">
        <v>198.75</v>
      </c>
      <c r="S7590" s="2" t="s">
        <v>2895</v>
      </c>
      <c r="T7590" s="2">
        <v>1.01</v>
      </c>
      <c r="U7590" s="2">
        <v>67.900000000000006</v>
      </c>
      <c r="V7590" s="2">
        <v>65</v>
      </c>
      <c r="W7590" s="2" t="s">
        <v>7862</v>
      </c>
      <c r="X7590" s="2" t="s">
        <v>6838</v>
      </c>
      <c r="Y7590" s="2">
        <v>18750</v>
      </c>
      <c r="Z7590" s="19" t="str">
        <f>HYPERLINK("https://ssdweb.co/ssdweb/hd/Vision360.html?d=925731239&amp;zoomslide=1&amp;z=1925731239&amp;ISCONFIRM=0","VIDEO")</f>
        <v>VIDEO</v>
      </c>
      <c r="AA7590" s="19" t="str">
        <f>HYPERLINK("https://ssdweb.co/ssdweb/CERTH/624440102.pdf","CERTI")</f>
        <v>CERTI</v>
      </c>
    </row>
    <row r="7591" spans="1:27" ht="15" x14ac:dyDescent="0.25">
      <c r="A7591" s="2">
        <v>7586</v>
      </c>
      <c r="B7591" s="39">
        <v>925731522</v>
      </c>
      <c r="C7591" s="28" t="str">
        <f>HYPERLINK("https://pld.live/RapDetail.aspx?STONELIST=925731522","DNA")</f>
        <v>DNA</v>
      </c>
      <c r="D7591" s="18" t="s">
        <v>711</v>
      </c>
      <c r="E7591" s="18" t="s">
        <v>5128</v>
      </c>
      <c r="F7591" s="2" t="s">
        <v>7987</v>
      </c>
      <c r="G7591" s="2" t="s">
        <v>15</v>
      </c>
      <c r="H7591" s="14">
        <v>1.5</v>
      </c>
      <c r="I7591" s="2" t="s">
        <v>267</v>
      </c>
      <c r="J7591" s="2" t="s">
        <v>3942</v>
      </c>
      <c r="K7591" s="2" t="s">
        <v>1452</v>
      </c>
      <c r="L7591" s="2" t="s">
        <v>5221</v>
      </c>
      <c r="M7591" s="2" t="s">
        <v>5221</v>
      </c>
      <c r="N7591" s="2" t="s">
        <v>2317</v>
      </c>
      <c r="O7591" s="14">
        <v>12500</v>
      </c>
      <c r="P7591" s="14">
        <v>98.94</v>
      </c>
      <c r="Q7591" s="14">
        <v>132.5</v>
      </c>
      <c r="R7591" s="14">
        <v>198.75</v>
      </c>
      <c r="S7591" s="2" t="s">
        <v>6591</v>
      </c>
      <c r="T7591" s="2">
        <v>1.01</v>
      </c>
      <c r="U7591" s="2">
        <v>67.7</v>
      </c>
      <c r="V7591" s="2">
        <v>60</v>
      </c>
      <c r="W7591" s="2" t="s">
        <v>7862</v>
      </c>
      <c r="X7591" s="2" t="s">
        <v>6838</v>
      </c>
      <c r="Y7591" s="2">
        <v>18750</v>
      </c>
      <c r="Z7591" s="19" t="str">
        <f>HYPERLINK("https://ssdweb.co/ssdweb/hd/Vision360.html?d=925731522&amp;zoomslide=1&amp;z=1925731522&amp;ISCONFIRM=0","VIDEO")</f>
        <v>VIDEO</v>
      </c>
      <c r="AA7591" s="19" t="str">
        <f>HYPERLINK("https://ssdweb.co/ssdweb/CERTH/624440057.pdf","CERTI")</f>
        <v>CERTI</v>
      </c>
    </row>
    <row r="7592" spans="1:27" ht="15" x14ac:dyDescent="0.25">
      <c r="A7592" s="2">
        <v>7587</v>
      </c>
      <c r="B7592" s="39">
        <v>925732296</v>
      </c>
      <c r="C7592" s="28" t="str">
        <f>HYPERLINK("https://pld.live/RapDetail.aspx?STONELIST=925732296","DNA")</f>
        <v>DNA</v>
      </c>
      <c r="D7592" s="18" t="s">
        <v>711</v>
      </c>
      <c r="E7592" s="18" t="s">
        <v>5128</v>
      </c>
      <c r="F7592" s="2" t="s">
        <v>7987</v>
      </c>
      <c r="G7592" s="2" t="s">
        <v>15</v>
      </c>
      <c r="H7592" s="14">
        <v>1.5</v>
      </c>
      <c r="I7592" s="2" t="s">
        <v>267</v>
      </c>
      <c r="J7592" s="2" t="s">
        <v>3942</v>
      </c>
      <c r="K7592" s="2" t="s">
        <v>1452</v>
      </c>
      <c r="L7592" s="2" t="s">
        <v>5221</v>
      </c>
      <c r="M7592" s="2" t="s">
        <v>5721</v>
      </c>
      <c r="N7592" s="2" t="s">
        <v>2317</v>
      </c>
      <c r="O7592" s="14">
        <v>12500</v>
      </c>
      <c r="P7592" s="14">
        <v>98.95</v>
      </c>
      <c r="Q7592" s="14">
        <v>131.25</v>
      </c>
      <c r="R7592" s="14">
        <v>196.88</v>
      </c>
      <c r="S7592" s="2" t="s">
        <v>2127</v>
      </c>
      <c r="T7592" s="2">
        <v>1</v>
      </c>
      <c r="U7592" s="2">
        <v>65.400000000000006</v>
      </c>
      <c r="V7592" s="2">
        <v>67</v>
      </c>
      <c r="W7592" s="2" t="s">
        <v>7862</v>
      </c>
      <c r="X7592" s="2" t="s">
        <v>6838</v>
      </c>
      <c r="Y7592" s="2">
        <v>18750</v>
      </c>
      <c r="Z7592" s="19" t="str">
        <f>HYPERLINK("https://ssdweb.co/ssdweb/hd/Vision360.html?d=925732296&amp;zoomslide=1&amp;z=1925732296&amp;ISCONFIRM=0","VIDEO")</f>
        <v>VIDEO</v>
      </c>
      <c r="AA7592" s="19" t="str">
        <f>HYPERLINK("https://ssdweb.co/ssdweb/CERTH/627415156.pdf","CERTI")</f>
        <v>CERTI</v>
      </c>
    </row>
    <row r="7593" spans="1:27" ht="15" x14ac:dyDescent="0.25">
      <c r="A7593" s="2">
        <v>7588</v>
      </c>
      <c r="B7593" s="39">
        <v>925731953</v>
      </c>
      <c r="C7593" s="28" t="str">
        <f>HYPERLINK("https://pld.live/RapDetail.aspx?STONELIST=925731953","DNA")</f>
        <v>DNA</v>
      </c>
      <c r="D7593" s="18" t="s">
        <v>711</v>
      </c>
      <c r="E7593" s="18" t="s">
        <v>5128</v>
      </c>
      <c r="F7593" s="2" t="s">
        <v>7987</v>
      </c>
      <c r="G7593" s="2" t="s">
        <v>15</v>
      </c>
      <c r="H7593" s="14">
        <v>1.5</v>
      </c>
      <c r="I7593" s="2" t="s">
        <v>267</v>
      </c>
      <c r="J7593" s="2" t="s">
        <v>13</v>
      </c>
      <c r="K7593" s="2" t="s">
        <v>1452</v>
      </c>
      <c r="L7593" s="2" t="s">
        <v>5221</v>
      </c>
      <c r="M7593" s="2" t="s">
        <v>5221</v>
      </c>
      <c r="N7593" s="2" t="s">
        <v>2317</v>
      </c>
      <c r="O7593" s="14">
        <v>11600</v>
      </c>
      <c r="P7593" s="14">
        <v>98.91</v>
      </c>
      <c r="Q7593" s="14">
        <v>126.44</v>
      </c>
      <c r="R7593" s="14">
        <v>189.66</v>
      </c>
      <c r="S7593" s="2" t="s">
        <v>3657</v>
      </c>
      <c r="T7593" s="2">
        <v>1.02</v>
      </c>
      <c r="U7593" s="2">
        <v>65.900000000000006</v>
      </c>
      <c r="V7593" s="2">
        <v>65</v>
      </c>
      <c r="W7593" s="2" t="s">
        <v>7862</v>
      </c>
      <c r="X7593" s="2" t="s">
        <v>6838</v>
      </c>
      <c r="Y7593" s="2">
        <v>17400</v>
      </c>
      <c r="Z7593" s="19" t="str">
        <f>HYPERLINK("https://ssdweb.co/ssdweb/hd/Vision360.html?d=925731953&amp;zoomslide=1&amp;z=1925731953&amp;ISCONFIRM=0","VIDEO")</f>
        <v>VIDEO</v>
      </c>
      <c r="AA7593" s="19" t="str">
        <f>HYPERLINK("https://ssdweb.co/ssdweb/CERTH/625432305.pdf","CERTI")</f>
        <v>CERTI</v>
      </c>
    </row>
    <row r="7594" spans="1:27" ht="15" x14ac:dyDescent="0.25">
      <c r="A7594" s="2">
        <v>7589</v>
      </c>
      <c r="B7594" s="39">
        <v>925731412</v>
      </c>
      <c r="C7594" s="28" t="str">
        <f>HYPERLINK("https://pld.live/RapDetail.aspx?STONELIST=925731412","DNA")</f>
        <v>DNA</v>
      </c>
      <c r="D7594" s="18" t="s">
        <v>711</v>
      </c>
      <c r="E7594" s="18" t="s">
        <v>5128</v>
      </c>
      <c r="F7594" s="2" t="s">
        <v>7987</v>
      </c>
      <c r="G7594" s="2" t="s">
        <v>15</v>
      </c>
      <c r="H7594" s="14">
        <v>1.5</v>
      </c>
      <c r="I7594" s="2" t="s">
        <v>267</v>
      </c>
      <c r="J7594" s="2" t="s">
        <v>13</v>
      </c>
      <c r="K7594" s="2" t="s">
        <v>1452</v>
      </c>
      <c r="L7594" s="2" t="s">
        <v>5221</v>
      </c>
      <c r="M7594" s="2" t="s">
        <v>5221</v>
      </c>
      <c r="N7594" s="2" t="s">
        <v>2317</v>
      </c>
      <c r="O7594" s="14">
        <v>11600</v>
      </c>
      <c r="P7594" s="14">
        <v>98.91</v>
      </c>
      <c r="Q7594" s="14">
        <v>126.44</v>
      </c>
      <c r="R7594" s="14">
        <v>189.66</v>
      </c>
      <c r="S7594" s="2" t="s">
        <v>5713</v>
      </c>
      <c r="T7594" s="2">
        <v>1.01</v>
      </c>
      <c r="U7594" s="2">
        <v>64.599999999999994</v>
      </c>
      <c r="V7594" s="2">
        <v>65</v>
      </c>
      <c r="W7594" s="2" t="s">
        <v>7862</v>
      </c>
      <c r="X7594" s="2" t="s">
        <v>6838</v>
      </c>
      <c r="Y7594" s="2">
        <v>17400</v>
      </c>
      <c r="Z7594" s="19" t="str">
        <f>HYPERLINK("https://ssdweb.co/ssdweb/hd/Vision360.html?d=925731412&amp;zoomslide=1&amp;z=1925731412&amp;ISCONFIRM=0","VIDEO")</f>
        <v>VIDEO</v>
      </c>
      <c r="AA7594" s="19" t="str">
        <f>HYPERLINK("https://ssdweb.co/ssdweb/CERTH/624420513.pdf","CERTI")</f>
        <v>CERTI</v>
      </c>
    </row>
    <row r="7595" spans="1:27" ht="15" x14ac:dyDescent="0.25">
      <c r="A7595" s="2">
        <v>7590</v>
      </c>
      <c r="B7595" s="39">
        <v>925801474</v>
      </c>
      <c r="C7595" s="28" t="str">
        <f>HYPERLINK("https://pld.live/RapDetail.aspx?STONELIST=925801474","DNA")</f>
        <v>DNA</v>
      </c>
      <c r="D7595" s="18" t="s">
        <v>711</v>
      </c>
      <c r="E7595" s="18" t="s">
        <v>5128</v>
      </c>
      <c r="F7595" s="2" t="s">
        <v>7987</v>
      </c>
      <c r="G7595" s="2" t="s">
        <v>15</v>
      </c>
      <c r="H7595" s="14">
        <v>1.5</v>
      </c>
      <c r="I7595" s="2" t="s">
        <v>267</v>
      </c>
      <c r="J7595" s="2" t="s">
        <v>13</v>
      </c>
      <c r="K7595" s="2" t="s">
        <v>1452</v>
      </c>
      <c r="L7595" s="2" t="s">
        <v>5221</v>
      </c>
      <c r="M7595" s="2" t="s">
        <v>5221</v>
      </c>
      <c r="N7595" s="2" t="s">
        <v>2317</v>
      </c>
      <c r="O7595" s="14">
        <v>11600</v>
      </c>
      <c r="P7595" s="14">
        <v>98.91</v>
      </c>
      <c r="Q7595" s="14">
        <v>126.44</v>
      </c>
      <c r="R7595" s="14">
        <v>189.66</v>
      </c>
      <c r="S7595" s="2" t="s">
        <v>7144</v>
      </c>
      <c r="T7595" s="2">
        <v>1.01</v>
      </c>
      <c r="U7595" s="2">
        <v>64.900000000000006</v>
      </c>
      <c r="V7595" s="2">
        <v>69</v>
      </c>
      <c r="W7595" s="2" t="s">
        <v>7862</v>
      </c>
      <c r="X7595" s="2" t="s">
        <v>6838</v>
      </c>
      <c r="Y7595" s="2">
        <v>17400</v>
      </c>
      <c r="Z7595" s="19" t="str">
        <f>HYPERLINK("https://ssdweb.co/ssdweb/hd/Vision360.html?d=925801474&amp;zoomslide=1&amp;z=1925801474&amp;ISCONFIRM=0","VIDEO")</f>
        <v>VIDEO</v>
      </c>
      <c r="AA7595" s="19" t="str">
        <f>HYPERLINK("https://ssdweb.co/ssdweb/CERTH/626414973.pdf","CERTI")</f>
        <v>CERTI</v>
      </c>
    </row>
    <row r="7596" spans="1:27" ht="15" x14ac:dyDescent="0.25">
      <c r="A7596" s="2">
        <v>7591</v>
      </c>
      <c r="B7596" s="39">
        <v>925731749</v>
      </c>
      <c r="C7596" s="28" t="str">
        <f>HYPERLINK("https://pld.live/RapDetail.aspx?STONELIST=925731749","DNA")</f>
        <v>DNA</v>
      </c>
      <c r="D7596" s="18" t="s">
        <v>711</v>
      </c>
      <c r="E7596" s="18" t="s">
        <v>5128</v>
      </c>
      <c r="F7596" s="2" t="s">
        <v>7987</v>
      </c>
      <c r="G7596" s="2" t="s">
        <v>15</v>
      </c>
      <c r="H7596" s="14">
        <v>1.5</v>
      </c>
      <c r="I7596" s="2" t="s">
        <v>267</v>
      </c>
      <c r="J7596" s="2" t="s">
        <v>13</v>
      </c>
      <c r="K7596" s="2" t="s">
        <v>1452</v>
      </c>
      <c r="L7596" s="2" t="s">
        <v>5221</v>
      </c>
      <c r="M7596" s="2" t="s">
        <v>5221</v>
      </c>
      <c r="N7596" s="2" t="s">
        <v>2317</v>
      </c>
      <c r="O7596" s="14">
        <v>11600</v>
      </c>
      <c r="P7596" s="14">
        <v>98.91</v>
      </c>
      <c r="Q7596" s="14">
        <v>126.44</v>
      </c>
      <c r="R7596" s="14">
        <v>189.66</v>
      </c>
      <c r="S7596" s="2" t="s">
        <v>7546</v>
      </c>
      <c r="T7596" s="2">
        <v>1</v>
      </c>
      <c r="U7596" s="2">
        <v>66.5</v>
      </c>
      <c r="V7596" s="2">
        <v>66</v>
      </c>
      <c r="W7596" s="2" t="s">
        <v>7862</v>
      </c>
      <c r="X7596" s="2" t="s">
        <v>6838</v>
      </c>
      <c r="Y7596" s="2">
        <v>17400</v>
      </c>
      <c r="Z7596" s="19" t="str">
        <f>HYPERLINK("https://ssdweb.co/ssdweb/hd/Vision360.html?d=925731749&amp;zoomslide=1&amp;z=1925731749&amp;ISCONFIRM=0","VIDEO")</f>
        <v>VIDEO</v>
      </c>
      <c r="AA7596" s="19" t="str">
        <f>HYPERLINK("https://ssdweb.co/ssdweb/CERTH/625457976.pdf","CERTI")</f>
        <v>CERTI</v>
      </c>
    </row>
    <row r="7597" spans="1:27" ht="15" x14ac:dyDescent="0.25">
      <c r="A7597" s="2">
        <v>7592</v>
      </c>
      <c r="B7597" s="39">
        <v>925770993</v>
      </c>
      <c r="C7597" s="28" t="str">
        <f>HYPERLINK("https://pld.live/RapDetail.aspx?STONELIST=925770993","DNA")</f>
        <v>DNA</v>
      </c>
      <c r="D7597" s="18" t="s">
        <v>711</v>
      </c>
      <c r="E7597" s="18" t="s">
        <v>5128</v>
      </c>
      <c r="F7597" s="2" t="s">
        <v>7987</v>
      </c>
      <c r="G7597" s="2" t="s">
        <v>15</v>
      </c>
      <c r="H7597" s="14">
        <v>1.5</v>
      </c>
      <c r="I7597" s="2" t="s">
        <v>267</v>
      </c>
      <c r="J7597" s="2" t="s">
        <v>13</v>
      </c>
      <c r="K7597" s="2" t="s">
        <v>1452</v>
      </c>
      <c r="L7597" s="2" t="s">
        <v>5221</v>
      </c>
      <c r="M7597" s="2" t="s">
        <v>5221</v>
      </c>
      <c r="N7597" s="2" t="s">
        <v>2317</v>
      </c>
      <c r="O7597" s="14">
        <v>11600</v>
      </c>
      <c r="P7597" s="14">
        <v>98.91</v>
      </c>
      <c r="Q7597" s="14">
        <v>126.44</v>
      </c>
      <c r="R7597" s="14">
        <v>189.66</v>
      </c>
      <c r="S7597" s="2" t="s">
        <v>6757</v>
      </c>
      <c r="T7597" s="2">
        <v>1.01</v>
      </c>
      <c r="U7597" s="2">
        <v>66.900000000000006</v>
      </c>
      <c r="V7597" s="2">
        <v>68</v>
      </c>
      <c r="W7597" s="2" t="s">
        <v>7862</v>
      </c>
      <c r="X7597" s="2" t="s">
        <v>6838</v>
      </c>
      <c r="Y7597" s="2">
        <v>17400</v>
      </c>
      <c r="Z7597" s="19" t="str">
        <f>HYPERLINK("https://ssdweb.co/ssdweb/hd/Vision360.html?d=925770993&amp;zoomslide=1&amp;z=1925770993&amp;ISCONFIRM=0","VIDEO")</f>
        <v>VIDEO</v>
      </c>
      <c r="AA7597" s="19" t="str">
        <f>HYPERLINK("https://ssdweb.co/ssdweb/CERTH/625432282.pdf","CERTI")</f>
        <v>CERTI</v>
      </c>
    </row>
    <row r="7598" spans="1:27" ht="15" x14ac:dyDescent="0.25">
      <c r="A7598" s="2">
        <v>7593</v>
      </c>
      <c r="B7598" s="39">
        <v>925732286</v>
      </c>
      <c r="C7598" s="28" t="str">
        <f>HYPERLINK("https://pld.live/RapDetail.aspx?STONELIST=925732286","DNA")</f>
        <v>DNA</v>
      </c>
      <c r="D7598" s="18" t="s">
        <v>711</v>
      </c>
      <c r="E7598" s="18" t="s">
        <v>5128</v>
      </c>
      <c r="F7598" s="2" t="s">
        <v>7987</v>
      </c>
      <c r="G7598" s="2" t="s">
        <v>15</v>
      </c>
      <c r="H7598" s="14">
        <v>1.5</v>
      </c>
      <c r="I7598" s="2" t="s">
        <v>267</v>
      </c>
      <c r="J7598" s="2" t="s">
        <v>5144</v>
      </c>
      <c r="K7598" s="2" t="s">
        <v>1452</v>
      </c>
      <c r="L7598" s="2" t="s">
        <v>5221</v>
      </c>
      <c r="M7598" s="2" t="s">
        <v>5221</v>
      </c>
      <c r="N7598" s="2" t="s">
        <v>2317</v>
      </c>
      <c r="O7598" s="14">
        <v>9900</v>
      </c>
      <c r="P7598" s="14">
        <v>98.78</v>
      </c>
      <c r="Q7598" s="14">
        <v>120.78</v>
      </c>
      <c r="R7598" s="14">
        <v>181.17</v>
      </c>
      <c r="S7598" s="2" t="s">
        <v>713</v>
      </c>
      <c r="T7598" s="2">
        <v>1.04</v>
      </c>
      <c r="U7598" s="2">
        <v>63.9</v>
      </c>
      <c r="V7598" s="2">
        <v>62</v>
      </c>
      <c r="W7598" s="2" t="s">
        <v>7862</v>
      </c>
      <c r="X7598" s="2" t="s">
        <v>6838</v>
      </c>
      <c r="Y7598" s="2">
        <v>14850</v>
      </c>
      <c r="Z7598" s="19" t="str">
        <f>HYPERLINK("https://ssdweb.co/ssdweb/hd/Vision360.html?d=925732286&amp;zoomslide=1&amp;z=1925732286&amp;ISCONFIRM=0","VIDEO")</f>
        <v>VIDEO</v>
      </c>
      <c r="AA7598" s="19" t="str">
        <f>HYPERLINK("https://ssdweb.co/ssdweb/CERTH/627471627.pdf","CERTI")</f>
        <v>CERTI</v>
      </c>
    </row>
    <row r="7599" spans="1:27" ht="15" x14ac:dyDescent="0.25">
      <c r="A7599" s="2">
        <v>7594</v>
      </c>
      <c r="B7599" s="39">
        <v>925801997</v>
      </c>
      <c r="C7599" s="28" t="str">
        <f>HYPERLINK("https://pld.live/RapDetail.aspx?STONELIST=925801997","DNA")</f>
        <v>DNA</v>
      </c>
      <c r="D7599" s="18" t="s">
        <v>711</v>
      </c>
      <c r="E7599" s="18" t="s">
        <v>5128</v>
      </c>
      <c r="F7599" s="2" t="s">
        <v>7987</v>
      </c>
      <c r="G7599" s="2" t="s">
        <v>15</v>
      </c>
      <c r="H7599" s="14">
        <v>1.5</v>
      </c>
      <c r="I7599" s="2" t="s">
        <v>267</v>
      </c>
      <c r="J7599" s="2" t="s">
        <v>5144</v>
      </c>
      <c r="K7599" s="2" t="s">
        <v>1452</v>
      </c>
      <c r="L7599" s="2" t="s">
        <v>5221</v>
      </c>
      <c r="M7599" s="2" t="s">
        <v>5221</v>
      </c>
      <c r="N7599" s="2" t="s">
        <v>2317</v>
      </c>
      <c r="O7599" s="14">
        <v>9900</v>
      </c>
      <c r="P7599" s="14">
        <v>98.78</v>
      </c>
      <c r="Q7599" s="14">
        <v>120.78</v>
      </c>
      <c r="R7599" s="14">
        <v>181.17</v>
      </c>
      <c r="S7599" s="2" t="s">
        <v>5828</v>
      </c>
      <c r="T7599" s="2">
        <v>1</v>
      </c>
      <c r="U7599" s="2">
        <v>67</v>
      </c>
      <c r="V7599" s="2">
        <v>67</v>
      </c>
      <c r="W7599" s="2" t="s">
        <v>7862</v>
      </c>
      <c r="X7599" s="2" t="s">
        <v>6838</v>
      </c>
      <c r="Y7599" s="2">
        <v>14850</v>
      </c>
      <c r="Z7599" s="19" t="str">
        <f>HYPERLINK("https://ssdweb.co/ssdweb/hd/Vision360.html?d=925801997&amp;zoomslide=1&amp;z=1925801997&amp;ISCONFIRM=0","VIDEO")</f>
        <v>VIDEO</v>
      </c>
      <c r="AA7599" s="19" t="str">
        <f>HYPERLINK("https://ssdweb.co/ssdweb/CERTH/627415161.pdf","CERTI")</f>
        <v>CERTI</v>
      </c>
    </row>
    <row r="7600" spans="1:27" ht="15" x14ac:dyDescent="0.25">
      <c r="A7600" s="2">
        <v>7595</v>
      </c>
      <c r="B7600" s="39">
        <v>924690203</v>
      </c>
      <c r="C7600" s="28" t="str">
        <f>HYPERLINK("https://pld.live/RapDetail.aspx?STONELIST=924690203","DNA")</f>
        <v>DNA</v>
      </c>
      <c r="D7600" s="18" t="s">
        <v>711</v>
      </c>
      <c r="E7600" s="18" t="s">
        <v>5128</v>
      </c>
      <c r="F7600" s="2" t="s">
        <v>7987</v>
      </c>
      <c r="G7600" s="2" t="s">
        <v>15</v>
      </c>
      <c r="H7600" s="14">
        <v>1.5</v>
      </c>
      <c r="I7600" s="2" t="s">
        <v>267</v>
      </c>
      <c r="J7600" s="2" t="s">
        <v>5144</v>
      </c>
      <c r="K7600" s="2" t="s">
        <v>1452</v>
      </c>
      <c r="L7600" s="2" t="s">
        <v>5221</v>
      </c>
      <c r="M7600" s="2" t="s">
        <v>5221</v>
      </c>
      <c r="N7600" s="2" t="s">
        <v>2317</v>
      </c>
      <c r="O7600" s="14">
        <v>9900</v>
      </c>
      <c r="P7600" s="14">
        <v>98.78</v>
      </c>
      <c r="Q7600" s="14">
        <v>120.78</v>
      </c>
      <c r="R7600" s="14">
        <v>181.17</v>
      </c>
      <c r="S7600" s="2" t="s">
        <v>6809</v>
      </c>
      <c r="T7600" s="2">
        <v>1.02</v>
      </c>
      <c r="U7600" s="2">
        <v>67.8</v>
      </c>
      <c r="V7600" s="2">
        <v>64</v>
      </c>
      <c r="W7600" s="2" t="s">
        <v>7862</v>
      </c>
      <c r="X7600" s="2" t="s">
        <v>6838</v>
      </c>
      <c r="Y7600" s="2">
        <v>14850</v>
      </c>
      <c r="Z7600" s="19" t="str">
        <f>HYPERLINK("https://ssdweb.co/ssdweb/hd/Vision360.html?d=924690203&amp;zoomslide=1&amp;z=1924690203&amp;ISCONFIRM=0","VIDEO")</f>
        <v>VIDEO</v>
      </c>
      <c r="AA7600" s="19" t="str">
        <f>HYPERLINK("https://ssdweb.co/ssdweb/CERTH/600304663.pdf","CERTI")</f>
        <v>CERTI</v>
      </c>
    </row>
    <row r="7601" spans="1:27" ht="15" x14ac:dyDescent="0.25">
      <c r="A7601" s="2">
        <v>7596</v>
      </c>
      <c r="B7601" s="39">
        <v>925732019</v>
      </c>
      <c r="C7601" s="28" t="str">
        <f>HYPERLINK("https://pld.live/RapDetail.aspx?STONELIST=925732019","DNA")</f>
        <v>DNA</v>
      </c>
      <c r="D7601" s="18" t="s">
        <v>711</v>
      </c>
      <c r="E7601" s="18" t="s">
        <v>5128</v>
      </c>
      <c r="F7601" s="2" t="s">
        <v>7987</v>
      </c>
      <c r="G7601" s="2" t="s">
        <v>15</v>
      </c>
      <c r="H7601" s="14">
        <v>1.5</v>
      </c>
      <c r="I7601" s="2" t="s">
        <v>267</v>
      </c>
      <c r="J7601" s="2" t="s">
        <v>5144</v>
      </c>
      <c r="K7601" s="2" t="s">
        <v>1452</v>
      </c>
      <c r="L7601" s="2" t="s">
        <v>5221</v>
      </c>
      <c r="M7601" s="2" t="s">
        <v>5221</v>
      </c>
      <c r="N7601" s="2" t="s">
        <v>2317</v>
      </c>
      <c r="O7601" s="14">
        <v>9900</v>
      </c>
      <c r="P7601" s="14">
        <v>98.78</v>
      </c>
      <c r="Q7601" s="14">
        <v>120.78</v>
      </c>
      <c r="R7601" s="14">
        <v>181.17</v>
      </c>
      <c r="S7601" s="2" t="s">
        <v>6437</v>
      </c>
      <c r="T7601" s="2">
        <v>1.02</v>
      </c>
      <c r="U7601" s="2">
        <v>64.599999999999994</v>
      </c>
      <c r="V7601" s="2">
        <v>65</v>
      </c>
      <c r="W7601" s="2" t="s">
        <v>7862</v>
      </c>
      <c r="X7601" s="2" t="s">
        <v>6838</v>
      </c>
      <c r="Y7601" s="2">
        <v>14850</v>
      </c>
      <c r="Z7601" s="19" t="str">
        <f>HYPERLINK("https://ssdweb.co/ssdweb/hd/Vision360.html?d=925732019&amp;zoomslide=1&amp;z=1925732019&amp;ISCONFIRM=0","VIDEO")</f>
        <v>VIDEO</v>
      </c>
      <c r="AA7601" s="19" t="str">
        <f>HYPERLINK("https://ssdweb.co/ssdweb/CERTH/625432286.pdf","CERTI")</f>
        <v>CERTI</v>
      </c>
    </row>
    <row r="7602" spans="1:27" ht="15" x14ac:dyDescent="0.25">
      <c r="A7602" s="2">
        <v>7597</v>
      </c>
      <c r="B7602" s="39">
        <v>925300331</v>
      </c>
      <c r="C7602" s="28" t="str">
        <f>HYPERLINK("https://pld.live/RapDetail.aspx?STONELIST=925300331","DNA")</f>
        <v>DNA</v>
      </c>
      <c r="D7602" s="18" t="s">
        <v>711</v>
      </c>
      <c r="E7602" s="18" t="s">
        <v>5128</v>
      </c>
      <c r="F7602" s="2" t="s">
        <v>7987</v>
      </c>
      <c r="G7602" s="2" t="s">
        <v>15</v>
      </c>
      <c r="H7602" s="14">
        <v>1.5</v>
      </c>
      <c r="I7602" s="2" t="s">
        <v>267</v>
      </c>
      <c r="J7602" s="2" t="s">
        <v>5144</v>
      </c>
      <c r="K7602" s="2" t="s">
        <v>1452</v>
      </c>
      <c r="L7602" s="2" t="s">
        <v>5221</v>
      </c>
      <c r="M7602" s="2" t="s">
        <v>5221</v>
      </c>
      <c r="N7602" s="2" t="s">
        <v>2317</v>
      </c>
      <c r="O7602" s="14">
        <v>9900</v>
      </c>
      <c r="P7602" s="14">
        <v>98.78</v>
      </c>
      <c r="Q7602" s="14">
        <v>120.78</v>
      </c>
      <c r="R7602" s="14">
        <v>181.17</v>
      </c>
      <c r="S7602" s="2" t="s">
        <v>3432</v>
      </c>
      <c r="T7602" s="2">
        <v>1.01</v>
      </c>
      <c r="U7602" s="2">
        <v>63.6</v>
      </c>
      <c r="V7602" s="2">
        <v>61</v>
      </c>
      <c r="W7602" s="2" t="s">
        <v>7862</v>
      </c>
      <c r="X7602" s="2" t="s">
        <v>6838</v>
      </c>
      <c r="Y7602" s="2">
        <v>14850</v>
      </c>
      <c r="Z7602" s="19" t="str">
        <f>HYPERLINK("https://ssdweb.co/ssdweb/hd/Vision360.html?d=925300331&amp;zoomslide=1&amp;z=1925300331&amp;ISCONFIRM=0","VIDEO")</f>
        <v>VIDEO</v>
      </c>
      <c r="AA7602" s="19" t="str">
        <f>HYPERLINK("https://ssdweb.co/ssdweb/CERTH/619453381.pdf","CERTI")</f>
        <v>CERTI</v>
      </c>
    </row>
    <row r="7603" spans="1:27" ht="15" x14ac:dyDescent="0.25">
      <c r="A7603" s="2">
        <v>7598</v>
      </c>
      <c r="B7603" s="39">
        <v>925300343</v>
      </c>
      <c r="C7603" s="28" t="str">
        <f>HYPERLINK("https://pld.live/RapDetail.aspx?STONELIST=925300343","DNA")</f>
        <v>DNA</v>
      </c>
      <c r="D7603" s="18" t="s">
        <v>711</v>
      </c>
      <c r="E7603" s="18" t="s">
        <v>5128</v>
      </c>
      <c r="F7603" s="2" t="s">
        <v>7987</v>
      </c>
      <c r="G7603" s="2" t="s">
        <v>15</v>
      </c>
      <c r="H7603" s="14">
        <v>1.5</v>
      </c>
      <c r="I7603" s="2" t="s">
        <v>267</v>
      </c>
      <c r="J7603" s="2" t="s">
        <v>5144</v>
      </c>
      <c r="K7603" s="2" t="s">
        <v>1452</v>
      </c>
      <c r="L7603" s="2" t="s">
        <v>5221</v>
      </c>
      <c r="M7603" s="2" t="s">
        <v>5221</v>
      </c>
      <c r="N7603" s="2" t="s">
        <v>2317</v>
      </c>
      <c r="O7603" s="14">
        <v>9900</v>
      </c>
      <c r="P7603" s="14">
        <v>98.78</v>
      </c>
      <c r="Q7603" s="14">
        <v>120.78</v>
      </c>
      <c r="R7603" s="14">
        <v>181.17</v>
      </c>
      <c r="S7603" s="2" t="s">
        <v>5465</v>
      </c>
      <c r="T7603" s="2">
        <v>1.03</v>
      </c>
      <c r="U7603" s="2">
        <v>64.099999999999994</v>
      </c>
      <c r="V7603" s="2">
        <v>70</v>
      </c>
      <c r="W7603" s="2" t="s">
        <v>7862</v>
      </c>
      <c r="X7603" s="2" t="s">
        <v>6838</v>
      </c>
      <c r="Y7603" s="2">
        <v>14850</v>
      </c>
      <c r="Z7603" s="19" t="str">
        <f>HYPERLINK("https://ssdweb.co/ssdweb/hd/Vision360.html?d=925300343&amp;zoomslide=1&amp;z=1925300343&amp;ISCONFIRM=0","VIDEO")</f>
        <v>VIDEO</v>
      </c>
      <c r="AA7603" s="19" t="str">
        <f>HYPERLINK("https://ssdweb.co/ssdweb/CERTH/619469678.pdf","CERTI")</f>
        <v>CERTI</v>
      </c>
    </row>
    <row r="7604" spans="1:27" ht="15" x14ac:dyDescent="0.25">
      <c r="A7604" s="2">
        <v>7599</v>
      </c>
      <c r="B7604" s="39">
        <v>925731644</v>
      </c>
      <c r="C7604" s="28" t="str">
        <f>HYPERLINK("https://pld.live/RapDetail.aspx?STONELIST=925731644","DNA")</f>
        <v>DNA</v>
      </c>
      <c r="D7604" s="18" t="s">
        <v>711</v>
      </c>
      <c r="E7604" s="18" t="s">
        <v>5128</v>
      </c>
      <c r="F7604" s="2" t="s">
        <v>7987</v>
      </c>
      <c r="G7604" s="2" t="s">
        <v>15</v>
      </c>
      <c r="H7604" s="14">
        <v>1.5</v>
      </c>
      <c r="I7604" s="2" t="s">
        <v>4761</v>
      </c>
      <c r="J7604" s="2" t="s">
        <v>3942</v>
      </c>
      <c r="K7604" s="2" t="s">
        <v>1452</v>
      </c>
      <c r="L7604" s="2" t="s">
        <v>5221</v>
      </c>
      <c r="M7604" s="2" t="s">
        <v>5221</v>
      </c>
      <c r="N7604" s="2" t="s">
        <v>2317</v>
      </c>
      <c r="O7604" s="14">
        <v>11600</v>
      </c>
      <c r="P7604" s="14">
        <v>98.91</v>
      </c>
      <c r="Q7604" s="14">
        <v>126.44</v>
      </c>
      <c r="R7604" s="14">
        <v>189.66</v>
      </c>
      <c r="S7604" s="2" t="s">
        <v>2784</v>
      </c>
      <c r="T7604" s="2">
        <v>1</v>
      </c>
      <c r="U7604" s="2">
        <v>64.599999999999994</v>
      </c>
      <c r="V7604" s="2">
        <v>67</v>
      </c>
      <c r="W7604" s="2" t="s">
        <v>7862</v>
      </c>
      <c r="X7604" s="2" t="s">
        <v>6838</v>
      </c>
      <c r="Y7604" s="2">
        <v>17400</v>
      </c>
      <c r="Z7604" s="19" t="str">
        <f>HYPERLINK("https://ssdweb.co/ssdweb/hd/Vision360.html?d=925731644&amp;zoomslide=1&amp;z=1925731644&amp;ISCONFIRM=0","VIDEO")</f>
        <v>VIDEO</v>
      </c>
      <c r="AA7604" s="19" t="str">
        <f>HYPERLINK("https://ssdweb.co/ssdweb/CERTH/625457929.pdf","CERTI")</f>
        <v>CERTI</v>
      </c>
    </row>
    <row r="7605" spans="1:27" ht="15" x14ac:dyDescent="0.25">
      <c r="A7605" s="2">
        <v>7600</v>
      </c>
      <c r="B7605" s="39">
        <v>925732233</v>
      </c>
      <c r="C7605" s="28" t="str">
        <f>HYPERLINK("https://pld.live/RapDetail.aspx?STONELIST=925732233","DNA")</f>
        <v>DNA</v>
      </c>
      <c r="D7605" s="18" t="s">
        <v>5281</v>
      </c>
      <c r="E7605" s="18" t="s">
        <v>5128</v>
      </c>
      <c r="F7605" s="2" t="s">
        <v>7987</v>
      </c>
      <c r="G7605" s="2" t="s">
        <v>15</v>
      </c>
      <c r="H7605" s="14">
        <v>1.49</v>
      </c>
      <c r="I7605" s="2" t="s">
        <v>267</v>
      </c>
      <c r="J7605" s="2" t="s">
        <v>13</v>
      </c>
      <c r="K7605" s="2" t="s">
        <v>1452</v>
      </c>
      <c r="L7605" s="2" t="s">
        <v>5221</v>
      </c>
      <c r="M7605" s="2" t="s">
        <v>5221</v>
      </c>
      <c r="N7605" s="2" t="s">
        <v>2317</v>
      </c>
      <c r="O7605" s="14">
        <v>6700</v>
      </c>
      <c r="P7605" s="14">
        <v>98.15</v>
      </c>
      <c r="Q7605" s="14">
        <v>123.95</v>
      </c>
      <c r="R7605" s="14">
        <v>184.69</v>
      </c>
      <c r="S7605" s="2" t="s">
        <v>7596</v>
      </c>
      <c r="T7605" s="2">
        <v>1</v>
      </c>
      <c r="U7605" s="2">
        <v>67.400000000000006</v>
      </c>
      <c r="V7605" s="2">
        <v>65</v>
      </c>
      <c r="W7605" s="2" t="s">
        <v>7862</v>
      </c>
      <c r="X7605" s="2" t="s">
        <v>6838</v>
      </c>
      <c r="Y7605" s="2">
        <v>9983</v>
      </c>
      <c r="Z7605" s="19" t="str">
        <f>HYPERLINK("https://ssdweb.co/ssdweb/hd/Vision360.html?d=925732233&amp;zoomslide=1&amp;z=1925732233&amp;ISCONFIRM=0","VIDEO")</f>
        <v>VIDEO</v>
      </c>
      <c r="AA7605" s="19" t="str">
        <f>HYPERLINK("https://ssdweb.co/ssdweb/CERTH/626427512.pdf","CERTI")</f>
        <v>CERTI</v>
      </c>
    </row>
    <row r="7606" spans="1:27" ht="15" x14ac:dyDescent="0.25">
      <c r="A7606" s="2">
        <v>7601</v>
      </c>
      <c r="B7606" s="39">
        <v>925732294</v>
      </c>
      <c r="C7606" s="28" t="str">
        <f>HYPERLINK("https://pld.live/RapDetail.aspx?STONELIST=925732294","DNA")</f>
        <v>DNA</v>
      </c>
      <c r="D7606" s="18" t="s">
        <v>5281</v>
      </c>
      <c r="E7606" s="18" t="s">
        <v>5128</v>
      </c>
      <c r="F7606" s="2" t="s">
        <v>7987</v>
      </c>
      <c r="G7606" s="2" t="s">
        <v>15</v>
      </c>
      <c r="H7606" s="14">
        <v>1.48</v>
      </c>
      <c r="I7606" s="2" t="s">
        <v>267</v>
      </c>
      <c r="J7606" s="2" t="s">
        <v>13</v>
      </c>
      <c r="K7606" s="2" t="s">
        <v>1452</v>
      </c>
      <c r="L7606" s="2" t="s">
        <v>5221</v>
      </c>
      <c r="M7606" s="2" t="s">
        <v>5221</v>
      </c>
      <c r="N7606" s="2" t="s">
        <v>2317</v>
      </c>
      <c r="O7606" s="14">
        <v>6700</v>
      </c>
      <c r="P7606" s="14">
        <v>98.15</v>
      </c>
      <c r="Q7606" s="14">
        <v>123.95</v>
      </c>
      <c r="R7606" s="14">
        <v>183.45</v>
      </c>
      <c r="S7606" s="2" t="s">
        <v>5740</v>
      </c>
      <c r="T7606" s="2">
        <v>1</v>
      </c>
      <c r="U7606" s="2">
        <v>66.099999999999994</v>
      </c>
      <c r="V7606" s="2">
        <v>62</v>
      </c>
      <c r="W7606" s="2" t="s">
        <v>7862</v>
      </c>
      <c r="X7606" s="2" t="s">
        <v>6838</v>
      </c>
      <c r="Y7606" s="2">
        <v>9916</v>
      </c>
      <c r="Z7606" s="19" t="str">
        <f>HYPERLINK("https://ssdweb.co/ssdweb/hd/Vision360.html?d=925732294&amp;zoomslide=1&amp;z=1925732294&amp;ISCONFIRM=0","VIDEO")</f>
        <v>VIDEO</v>
      </c>
      <c r="AA7606" s="19" t="str">
        <f>HYPERLINK("https://ssdweb.co/ssdweb/CERTH/627415179.pdf","CERTI")</f>
        <v>CERTI</v>
      </c>
    </row>
    <row r="7607" spans="1:27" ht="15" x14ac:dyDescent="0.25">
      <c r="A7607" s="2">
        <v>7602</v>
      </c>
      <c r="B7607" s="39">
        <v>925732064</v>
      </c>
      <c r="C7607" s="28" t="str">
        <f>HYPERLINK("https://pld.live/RapDetail.aspx?STONELIST=925732064","DNA")</f>
        <v>DNA</v>
      </c>
      <c r="D7607" s="18" t="s">
        <v>5281</v>
      </c>
      <c r="E7607" s="18" t="s">
        <v>5128</v>
      </c>
      <c r="F7607" s="2" t="s">
        <v>7987</v>
      </c>
      <c r="G7607" s="2" t="s">
        <v>15</v>
      </c>
      <c r="H7607" s="14">
        <v>1.47</v>
      </c>
      <c r="I7607" s="2" t="s">
        <v>267</v>
      </c>
      <c r="J7607" s="2" t="s">
        <v>6555</v>
      </c>
      <c r="K7607" s="2" t="s">
        <v>1452</v>
      </c>
      <c r="L7607" s="2" t="s">
        <v>5221</v>
      </c>
      <c r="M7607" s="2" t="s">
        <v>5221</v>
      </c>
      <c r="N7607" s="2" t="s">
        <v>2317</v>
      </c>
      <c r="O7607" s="14">
        <v>8200</v>
      </c>
      <c r="P7607" s="14">
        <v>98.22</v>
      </c>
      <c r="Q7607" s="14">
        <v>145.96</v>
      </c>
      <c r="R7607" s="14">
        <v>214.56</v>
      </c>
      <c r="S7607" s="2" t="s">
        <v>1685</v>
      </c>
      <c r="T7607" s="2">
        <v>1.01</v>
      </c>
      <c r="U7607" s="2">
        <v>64.8</v>
      </c>
      <c r="V7607" s="2">
        <v>62</v>
      </c>
      <c r="W7607" s="2" t="s">
        <v>7862</v>
      </c>
      <c r="X7607" s="2" t="s">
        <v>6838</v>
      </c>
      <c r="Y7607" s="2">
        <v>12054</v>
      </c>
      <c r="Z7607" s="19" t="str">
        <f>HYPERLINK("https://ssdweb.co/ssdweb/hd/Vision360.html?d=925732064&amp;zoomslide=1&amp;z=1925732064&amp;ISCONFIRM=0","VIDEO")</f>
        <v>VIDEO</v>
      </c>
      <c r="AA7607" s="19" t="str">
        <f>HYPERLINK("https://ssdweb.co/ssdweb/CERTH/626457371.pdf","CERTI")</f>
        <v>CERTI</v>
      </c>
    </row>
    <row r="7608" spans="1:27" ht="15" x14ac:dyDescent="0.25">
      <c r="A7608" s="2">
        <v>7603</v>
      </c>
      <c r="B7608" s="39">
        <v>925802065</v>
      </c>
      <c r="C7608" s="28" t="str">
        <f>HYPERLINK("https://pld.live/RapDetail.aspx?STONELIST=925802065","DNA")</f>
        <v>DNA</v>
      </c>
      <c r="D7608" s="18" t="s">
        <v>5281</v>
      </c>
      <c r="E7608" s="18" t="s">
        <v>5128</v>
      </c>
      <c r="F7608" s="2" t="s">
        <v>7987</v>
      </c>
      <c r="G7608" s="2" t="s">
        <v>15</v>
      </c>
      <c r="H7608" s="14">
        <v>1.47</v>
      </c>
      <c r="I7608" s="2" t="s">
        <v>267</v>
      </c>
      <c r="J7608" s="2" t="s">
        <v>3942</v>
      </c>
      <c r="K7608" s="2" t="s">
        <v>1452</v>
      </c>
      <c r="L7608" s="2" t="s">
        <v>5221</v>
      </c>
      <c r="M7608" s="2" t="s">
        <v>5221</v>
      </c>
      <c r="N7608" s="2" t="s">
        <v>2317</v>
      </c>
      <c r="O7608" s="14">
        <v>7600</v>
      </c>
      <c r="P7608" s="14">
        <v>98.28</v>
      </c>
      <c r="Q7608" s="14">
        <v>130.72</v>
      </c>
      <c r="R7608" s="14">
        <v>192.16</v>
      </c>
      <c r="S7608" s="2" t="s">
        <v>99</v>
      </c>
      <c r="T7608" s="2">
        <v>1</v>
      </c>
      <c r="U7608" s="2">
        <v>65.7</v>
      </c>
      <c r="V7608" s="2">
        <v>63</v>
      </c>
      <c r="W7608" s="2" t="s">
        <v>7862</v>
      </c>
      <c r="X7608" s="2" t="s">
        <v>6838</v>
      </c>
      <c r="Y7608" s="2">
        <v>11172</v>
      </c>
      <c r="Z7608" s="19" t="str">
        <f>HYPERLINK("https://ssdweb.co/ssdweb/hd/Vision360.html?d=925802065&amp;zoomslide=1&amp;z=1925802065&amp;ISCONFIRM=0","VIDEO")</f>
        <v>VIDEO</v>
      </c>
      <c r="AA7608" s="19" t="str">
        <f>HYPERLINK("https://ssdweb.co/ssdweb/CERTH/628427062.pdf","CERTI")</f>
        <v>CERTI</v>
      </c>
    </row>
    <row r="7609" spans="1:27" ht="15" x14ac:dyDescent="0.25">
      <c r="A7609" s="2">
        <v>7604</v>
      </c>
      <c r="B7609" s="39">
        <v>925731420</v>
      </c>
      <c r="C7609" s="28" t="str">
        <f>HYPERLINK("https://pld.live/RapDetail.aspx?STONELIST=925731420","DNA")</f>
        <v>DNA</v>
      </c>
      <c r="D7609" s="18" t="s">
        <v>5281</v>
      </c>
      <c r="E7609" s="18" t="s">
        <v>5128</v>
      </c>
      <c r="F7609" s="2" t="s">
        <v>7987</v>
      </c>
      <c r="G7609" s="2" t="s">
        <v>15</v>
      </c>
      <c r="H7609" s="14">
        <v>1.45</v>
      </c>
      <c r="I7609" s="2" t="s">
        <v>267</v>
      </c>
      <c r="J7609" s="2" t="s">
        <v>13</v>
      </c>
      <c r="K7609" s="2" t="s">
        <v>1452</v>
      </c>
      <c r="L7609" s="2" t="s">
        <v>5221</v>
      </c>
      <c r="M7609" s="2" t="s">
        <v>5221</v>
      </c>
      <c r="N7609" s="2" t="s">
        <v>2317</v>
      </c>
      <c r="O7609" s="14">
        <v>6700</v>
      </c>
      <c r="P7609" s="14">
        <v>98.15</v>
      </c>
      <c r="Q7609" s="14">
        <v>123.95</v>
      </c>
      <c r="R7609" s="14">
        <v>179.73</v>
      </c>
      <c r="S7609" s="2" t="s">
        <v>3133</v>
      </c>
      <c r="T7609" s="2">
        <v>1.01</v>
      </c>
      <c r="U7609" s="2">
        <v>64.400000000000006</v>
      </c>
      <c r="V7609" s="2">
        <v>61</v>
      </c>
      <c r="W7609" s="2" t="s">
        <v>7862</v>
      </c>
      <c r="X7609" s="2" t="s">
        <v>6838</v>
      </c>
      <c r="Y7609" s="2">
        <v>9715</v>
      </c>
      <c r="Z7609" s="19" t="str">
        <f>HYPERLINK("https://ssdweb.co/ssdweb/hd/Vision360.html?d=925731420&amp;zoomslide=1&amp;z=1925731420&amp;ISCONFIRM=0","VIDEO")</f>
        <v>VIDEO</v>
      </c>
      <c r="AA7609" s="19" t="str">
        <f>HYPERLINK("https://ssdweb.co/ssdweb/CERTH/624420515.pdf","CERTI")</f>
        <v>CERTI</v>
      </c>
    </row>
    <row r="7610" spans="1:27" ht="15" x14ac:dyDescent="0.25">
      <c r="A7610" s="2">
        <v>7605</v>
      </c>
      <c r="B7610" s="39">
        <v>925731908</v>
      </c>
      <c r="C7610" s="28" t="str">
        <f>HYPERLINK("https://pld.live/RapDetail.aspx?STONELIST=925731908","DNA")</f>
        <v>DNA</v>
      </c>
      <c r="D7610" s="18" t="s">
        <v>5281</v>
      </c>
      <c r="E7610" s="18" t="s">
        <v>5128</v>
      </c>
      <c r="F7610" s="2" t="s">
        <v>7987</v>
      </c>
      <c r="G7610" s="2" t="s">
        <v>15</v>
      </c>
      <c r="H7610" s="14">
        <v>1.45</v>
      </c>
      <c r="I7610" s="2" t="s">
        <v>267</v>
      </c>
      <c r="J7610" s="2" t="s">
        <v>13</v>
      </c>
      <c r="K7610" s="2" t="s">
        <v>1452</v>
      </c>
      <c r="L7610" s="2" t="s">
        <v>5221</v>
      </c>
      <c r="M7610" s="2" t="s">
        <v>5221</v>
      </c>
      <c r="N7610" s="2" t="s">
        <v>2317</v>
      </c>
      <c r="O7610" s="14">
        <v>6700</v>
      </c>
      <c r="P7610" s="14">
        <v>98.15</v>
      </c>
      <c r="Q7610" s="14">
        <v>123.95</v>
      </c>
      <c r="R7610" s="14">
        <v>179.73</v>
      </c>
      <c r="S7610" s="2" t="s">
        <v>3915</v>
      </c>
      <c r="T7610" s="2">
        <v>1.01</v>
      </c>
      <c r="U7610" s="2">
        <v>65.5</v>
      </c>
      <c r="V7610" s="2">
        <v>66</v>
      </c>
      <c r="W7610" s="2" t="s">
        <v>7862</v>
      </c>
      <c r="X7610" s="2" t="s">
        <v>6838</v>
      </c>
      <c r="Y7610" s="2">
        <v>9715</v>
      </c>
      <c r="Z7610" s="19" t="str">
        <f>HYPERLINK("https://ssdweb.co/ssdweb/hd/Vision360.html?d=925731908&amp;zoomslide=1&amp;z=1925731908&amp;ISCONFIRM=0","VIDEO")</f>
        <v>VIDEO</v>
      </c>
      <c r="AA7610" s="19" t="str">
        <f>HYPERLINK("https://ssdweb.co/ssdweb/CERTH/625432261.pdf","CERTI")</f>
        <v>CERTI</v>
      </c>
    </row>
    <row r="7611" spans="1:27" ht="15" x14ac:dyDescent="0.25">
      <c r="A7611" s="2">
        <v>7606</v>
      </c>
      <c r="B7611" s="39">
        <v>925732298</v>
      </c>
      <c r="C7611" s="28" t="str">
        <f>HYPERLINK("https://pld.live/RapDetail.aspx?STONELIST=925732298","DNA")</f>
        <v>DNA</v>
      </c>
      <c r="D7611" s="18" t="s">
        <v>5281</v>
      </c>
      <c r="E7611" s="18" t="s">
        <v>5128</v>
      </c>
      <c r="F7611" s="2" t="s">
        <v>7987</v>
      </c>
      <c r="G7611" s="2" t="s">
        <v>15</v>
      </c>
      <c r="H7611" s="14">
        <v>1.45</v>
      </c>
      <c r="I7611" s="2" t="s">
        <v>4761</v>
      </c>
      <c r="J7611" s="2" t="s">
        <v>5144</v>
      </c>
      <c r="K7611" s="2" t="s">
        <v>1452</v>
      </c>
      <c r="L7611" s="2" t="s">
        <v>5221</v>
      </c>
      <c r="M7611" s="2" t="s">
        <v>5221</v>
      </c>
      <c r="N7611" s="2" t="s">
        <v>2317</v>
      </c>
      <c r="O7611" s="14">
        <v>5400</v>
      </c>
      <c r="P7611" s="14">
        <v>97.89</v>
      </c>
      <c r="Q7611" s="14">
        <v>113.94</v>
      </c>
      <c r="R7611" s="14">
        <v>165.21</v>
      </c>
      <c r="S7611" s="2" t="s">
        <v>4857</v>
      </c>
      <c r="T7611" s="2">
        <v>1</v>
      </c>
      <c r="U7611" s="2">
        <v>65.900000000000006</v>
      </c>
      <c r="V7611" s="2">
        <v>69</v>
      </c>
      <c r="W7611" s="2" t="s">
        <v>7862</v>
      </c>
      <c r="X7611" s="2" t="s">
        <v>6838</v>
      </c>
      <c r="Y7611" s="2">
        <v>7830</v>
      </c>
      <c r="Z7611" s="19" t="str">
        <f>HYPERLINK("https://ssdweb.co/ssdweb/hd/Vision360.html?d=925732298&amp;zoomslide=1&amp;z=1925732298&amp;ISCONFIRM=0","VIDEO")</f>
        <v>VIDEO</v>
      </c>
      <c r="AA7611" s="19" t="str">
        <f>HYPERLINK("https://ssdweb.co/ssdweb/CERTH/627410468.pdf","CERTI")</f>
        <v>CERTI</v>
      </c>
    </row>
    <row r="7612" spans="1:27" ht="15" x14ac:dyDescent="0.25">
      <c r="A7612" s="2">
        <v>7607</v>
      </c>
      <c r="B7612" s="39">
        <v>925732229</v>
      </c>
      <c r="C7612" s="28" t="str">
        <f>HYPERLINK("https://pld.live/RapDetail.aspx?STONELIST=925732229","DNA")</f>
        <v>DNA</v>
      </c>
      <c r="D7612" s="18" t="s">
        <v>5281</v>
      </c>
      <c r="E7612" s="18" t="s">
        <v>5128</v>
      </c>
      <c r="F7612" s="2" t="s">
        <v>7987</v>
      </c>
      <c r="G7612" s="2" t="s">
        <v>15</v>
      </c>
      <c r="H7612" s="14">
        <v>1.41</v>
      </c>
      <c r="I7612" s="2" t="s">
        <v>4761</v>
      </c>
      <c r="J7612" s="2" t="s">
        <v>5144</v>
      </c>
      <c r="K7612" s="2" t="s">
        <v>1452</v>
      </c>
      <c r="L7612" s="2" t="s">
        <v>5221</v>
      </c>
      <c r="M7612" s="2" t="s">
        <v>5221</v>
      </c>
      <c r="N7612" s="2" t="s">
        <v>2317</v>
      </c>
      <c r="O7612" s="14">
        <v>5400</v>
      </c>
      <c r="P7612" s="14">
        <v>97.89</v>
      </c>
      <c r="Q7612" s="14">
        <v>113.94</v>
      </c>
      <c r="R7612" s="14">
        <v>160.66</v>
      </c>
      <c r="S7612" s="2" t="s">
        <v>2615</v>
      </c>
      <c r="T7612" s="2">
        <v>1.02</v>
      </c>
      <c r="U7612" s="2">
        <v>67</v>
      </c>
      <c r="V7612" s="2">
        <v>63</v>
      </c>
      <c r="W7612" s="2" t="s">
        <v>7862</v>
      </c>
      <c r="X7612" s="2" t="s">
        <v>6838</v>
      </c>
      <c r="Y7612" s="2">
        <v>7614</v>
      </c>
      <c r="Z7612" s="19" t="str">
        <f>HYPERLINK("https://ssdweb.co/ssdweb/hd/Vision360.html?d=925732229&amp;zoomslide=1&amp;z=1925732229&amp;ISCONFIRM=0","VIDEO")</f>
        <v>VIDEO</v>
      </c>
      <c r="AA7612" s="19" t="str">
        <f>HYPERLINK("https://ssdweb.co/ssdweb/CERTH/626414950.pdf","CERTI")</f>
        <v>CERTI</v>
      </c>
    </row>
    <row r="7613" spans="1:27" ht="15" x14ac:dyDescent="0.25">
      <c r="A7613" s="2">
        <v>7608</v>
      </c>
      <c r="B7613" s="39">
        <v>923780385</v>
      </c>
      <c r="C7613" s="28" t="str">
        <f>HYPERLINK("https://pld.live/RapDetail.aspx?STONELIST=923780385","DNA")</f>
        <v>DNA</v>
      </c>
      <c r="D7613" s="18" t="s">
        <v>5235</v>
      </c>
      <c r="E7613" s="18" t="s">
        <v>5128</v>
      </c>
      <c r="F7613" s="2" t="s">
        <v>5597</v>
      </c>
      <c r="G7613" s="2" t="s">
        <v>15</v>
      </c>
      <c r="H7613" s="14">
        <v>1.26</v>
      </c>
      <c r="I7613" s="2" t="s">
        <v>267</v>
      </c>
      <c r="J7613" s="2" t="s">
        <v>6555</v>
      </c>
      <c r="K7613" s="2" t="s">
        <v>1452</v>
      </c>
      <c r="L7613" s="2" t="s">
        <v>5221</v>
      </c>
      <c r="M7613" s="2" t="s">
        <v>5221</v>
      </c>
      <c r="N7613" s="2" t="s">
        <v>2317</v>
      </c>
      <c r="O7613" s="14">
        <v>8200</v>
      </c>
      <c r="P7613" s="14">
        <v>97.32</v>
      </c>
      <c r="Q7613" s="14">
        <v>219.76</v>
      </c>
      <c r="R7613" s="14">
        <v>276.89999999999998</v>
      </c>
      <c r="S7613" s="2" t="s">
        <v>2322</v>
      </c>
      <c r="T7613" s="2">
        <v>1.03</v>
      </c>
      <c r="U7613" s="2">
        <v>64.8</v>
      </c>
      <c r="V7613" s="2">
        <v>64</v>
      </c>
      <c r="W7613" s="2" t="s">
        <v>7862</v>
      </c>
      <c r="X7613" s="2" t="s">
        <v>6838</v>
      </c>
      <c r="Y7613" s="2">
        <v>10332</v>
      </c>
      <c r="Z7613" s="19" t="str">
        <f>HYPERLINK("https://ssdweb.co/ssdweb/hd/Vision360.html?d=923780385&amp;zoomslide=1&amp;z=1923780385&amp;ISCONFIRM=0","VIDEO")</f>
        <v>VIDEO</v>
      </c>
      <c r="AA7613" s="19" t="str">
        <f>HYPERLINK("https://ssdweb.co/ssdweb/CERTH/2457864198.pdf","CERTI")</f>
        <v>CERTI</v>
      </c>
    </row>
    <row r="7614" spans="1:27" ht="15" x14ac:dyDescent="0.25">
      <c r="A7614" s="2">
        <v>7609</v>
      </c>
      <c r="B7614" s="39">
        <v>926640123</v>
      </c>
      <c r="C7614" s="28" t="str">
        <f>HYPERLINK("https://pld.live/RapDetail.aspx?STONELIST=926640123","DNA")</f>
        <v>DNA</v>
      </c>
      <c r="D7614" s="18" t="s">
        <v>5235</v>
      </c>
      <c r="E7614" s="18" t="s">
        <v>2186</v>
      </c>
      <c r="F7614" s="2" t="s">
        <v>7987</v>
      </c>
      <c r="G7614" s="2" t="s">
        <v>15</v>
      </c>
      <c r="H7614" s="14">
        <v>1.21</v>
      </c>
      <c r="I7614" s="2" t="s">
        <v>4761</v>
      </c>
      <c r="J7614" s="2" t="s">
        <v>3942</v>
      </c>
      <c r="K7614" s="2" t="s">
        <v>1452</v>
      </c>
      <c r="L7614" s="2" t="s">
        <v>5221</v>
      </c>
      <c r="M7614" s="2" t="s">
        <v>5221</v>
      </c>
      <c r="N7614" s="2" t="s">
        <v>2317</v>
      </c>
      <c r="O7614" s="14">
        <v>6900</v>
      </c>
      <c r="P7614" s="14">
        <v>98.19</v>
      </c>
      <c r="Q7614" s="14">
        <v>124.89</v>
      </c>
      <c r="R7614" s="14">
        <v>151.12</v>
      </c>
      <c r="S7614" s="2" t="s">
        <v>4596</v>
      </c>
      <c r="T7614" s="2">
        <v>1.02</v>
      </c>
      <c r="U7614" s="2">
        <v>65.3</v>
      </c>
      <c r="V7614" s="2">
        <v>61</v>
      </c>
      <c r="W7614" s="2" t="s">
        <v>7862</v>
      </c>
      <c r="X7614" s="2" t="s">
        <v>6838</v>
      </c>
      <c r="Y7614" s="2">
        <v>8349</v>
      </c>
      <c r="Z7614" s="19" t="str">
        <f>HYPERLINK("https://ssdweb.co/ssdweb/hd/Vision360.html?d=926640123&amp;zoomslide=1&amp;z=1926640123&amp;ISCONFIRM=0","VIDEO")</f>
        <v>VIDEO</v>
      </c>
      <c r="AA7614" s="19" t="str">
        <f>HYPERLINK("https://ssdweb.co/ssdweb/CERTH/647424347.pdf","CERTI")</f>
        <v>CERTI</v>
      </c>
    </row>
    <row r="7615" spans="1:27" ht="15" x14ac:dyDescent="0.25">
      <c r="A7615" s="2">
        <v>7610</v>
      </c>
      <c r="B7615" s="39">
        <v>926270772</v>
      </c>
      <c r="C7615" s="28" t="str">
        <f>HYPERLINK("https://pld.live/RapDetail.aspx?STONELIST=926270772","DNA")</f>
        <v>DNA</v>
      </c>
      <c r="D7615" s="18" t="s">
        <v>3054</v>
      </c>
      <c r="E7615" s="18" t="s">
        <v>5128</v>
      </c>
      <c r="F7615" s="2" t="s">
        <v>7987</v>
      </c>
      <c r="G7615" s="2" t="s">
        <v>15</v>
      </c>
      <c r="H7615" s="14">
        <v>1.1299999999999999</v>
      </c>
      <c r="I7615" s="2" t="s">
        <v>4761</v>
      </c>
      <c r="J7615" s="2" t="s">
        <v>3942</v>
      </c>
      <c r="K7615" s="2" t="s">
        <v>1452</v>
      </c>
      <c r="L7615" s="2" t="s">
        <v>5221</v>
      </c>
      <c r="M7615" s="2" t="s">
        <v>5221</v>
      </c>
      <c r="N7615" s="2" t="s">
        <v>2317</v>
      </c>
      <c r="O7615" s="14">
        <v>6900</v>
      </c>
      <c r="P7615" s="14">
        <v>98.17</v>
      </c>
      <c r="Q7615" s="14">
        <v>126.27</v>
      </c>
      <c r="R7615" s="14">
        <v>142.69</v>
      </c>
      <c r="S7615" s="2" t="s">
        <v>3902</v>
      </c>
      <c r="T7615" s="2">
        <v>1.01</v>
      </c>
      <c r="U7615" s="2">
        <v>65.8</v>
      </c>
      <c r="V7615" s="2">
        <v>64</v>
      </c>
      <c r="W7615" s="2" t="s">
        <v>7862</v>
      </c>
      <c r="X7615" s="2" t="s">
        <v>6838</v>
      </c>
      <c r="Y7615" s="2">
        <v>7797</v>
      </c>
      <c r="Z7615" s="19" t="str">
        <f>HYPERLINK("https://ssdweb.co/ssdweb/hd/Vision360.html?d=926270772&amp;zoomslide=1&amp;z=1926270772&amp;ISCONFIRM=0","VIDEO")</f>
        <v>VIDEO</v>
      </c>
      <c r="AA7615" s="19" t="str">
        <f>HYPERLINK("https://ssdweb.co/ssdweb/CERTH/638463351.pdf","CERTI")</f>
        <v>CERTI</v>
      </c>
    </row>
    <row r="7616" spans="1:27" ht="15" x14ac:dyDescent="0.25">
      <c r="A7616" s="2">
        <v>7611</v>
      </c>
      <c r="B7616" s="39">
        <v>926310379</v>
      </c>
      <c r="C7616" s="28" t="str">
        <f>HYPERLINK("https://pld.live/RapDetail.aspx?STONELIST=926310379","DNA")</f>
        <v>DNA</v>
      </c>
      <c r="D7616" s="18" t="s">
        <v>3054</v>
      </c>
      <c r="E7616" s="18" t="s">
        <v>5128</v>
      </c>
      <c r="F7616" s="2" t="s">
        <v>7987</v>
      </c>
      <c r="G7616" s="2" t="s">
        <v>15</v>
      </c>
      <c r="H7616" s="14">
        <v>1.08</v>
      </c>
      <c r="I7616" s="2" t="s">
        <v>267</v>
      </c>
      <c r="J7616" s="2" t="s">
        <v>7032</v>
      </c>
      <c r="K7616" s="2" t="s">
        <v>1452</v>
      </c>
      <c r="L7616" s="2" t="s">
        <v>5221</v>
      </c>
      <c r="M7616" s="2" t="s">
        <v>5221</v>
      </c>
      <c r="N7616" s="2" t="s">
        <v>2317</v>
      </c>
      <c r="O7616" s="14">
        <v>9300</v>
      </c>
      <c r="P7616" s="14">
        <v>97.1</v>
      </c>
      <c r="Q7616" s="14">
        <v>269.7</v>
      </c>
      <c r="R7616" s="14">
        <v>291.27999999999997</v>
      </c>
      <c r="S7616" s="2" t="s">
        <v>4993</v>
      </c>
      <c r="T7616" s="2">
        <v>1.03</v>
      </c>
      <c r="U7616" s="2">
        <v>64.400000000000006</v>
      </c>
      <c r="V7616" s="2">
        <v>62</v>
      </c>
      <c r="W7616" s="2" t="s">
        <v>7862</v>
      </c>
      <c r="X7616" s="2" t="s">
        <v>6838</v>
      </c>
      <c r="Y7616" s="2">
        <v>10044</v>
      </c>
      <c r="Z7616" s="19" t="str">
        <f>HYPERLINK("https://ssdweb.co/ssdweb/hd/Vision360.html?d=926310379&amp;zoomslide=1&amp;z=1926310379&amp;ISCONFIRM=0","VIDEO")</f>
        <v>VIDEO</v>
      </c>
      <c r="AA7616" s="19" t="str">
        <f>HYPERLINK("https://ssdweb.co/ssdweb/CERTH/638463206.pdf","CERTI")</f>
        <v>CERTI</v>
      </c>
    </row>
    <row r="7617" spans="1:27" ht="15" x14ac:dyDescent="0.25">
      <c r="A7617" s="2">
        <v>7612</v>
      </c>
      <c r="B7617" s="39">
        <v>924880298</v>
      </c>
      <c r="C7617" s="28" t="str">
        <f>HYPERLINK("https://pld.live/RapDetail.aspx?STONELIST=924880298","DNA")</f>
        <v>DNA</v>
      </c>
      <c r="D7617" s="18" t="s">
        <v>3054</v>
      </c>
      <c r="E7617" s="18" t="s">
        <v>5128</v>
      </c>
      <c r="F7617" s="2" t="s">
        <v>7987</v>
      </c>
      <c r="G7617" s="2" t="s">
        <v>15</v>
      </c>
      <c r="H7617" s="14">
        <v>1.08</v>
      </c>
      <c r="I7617" s="2" t="s">
        <v>267</v>
      </c>
      <c r="J7617" s="2" t="s">
        <v>5144</v>
      </c>
      <c r="K7617" s="2" t="s">
        <v>1452</v>
      </c>
      <c r="L7617" s="2" t="s">
        <v>5221</v>
      </c>
      <c r="M7617" s="2" t="s">
        <v>5221</v>
      </c>
      <c r="N7617" s="2" t="s">
        <v>2317</v>
      </c>
      <c r="O7617" s="14">
        <v>5700</v>
      </c>
      <c r="P7617" s="14">
        <v>97.91</v>
      </c>
      <c r="Q7617" s="14">
        <v>119.13</v>
      </c>
      <c r="R7617" s="14">
        <v>128.66</v>
      </c>
      <c r="S7617" s="2" t="s">
        <v>4958</v>
      </c>
      <c r="T7617" s="2">
        <v>1.01</v>
      </c>
      <c r="U7617" s="2">
        <v>67.5</v>
      </c>
      <c r="V7617" s="2">
        <v>64</v>
      </c>
      <c r="W7617" s="2" t="s">
        <v>7862</v>
      </c>
      <c r="X7617" s="2" t="s">
        <v>6838</v>
      </c>
      <c r="Y7617" s="2">
        <v>6156</v>
      </c>
      <c r="Z7617" s="19" t="str">
        <f>HYPERLINK("https://ssdweb.co/ssdweb/hd/Vision360.html?d=924880298&amp;zoomslide=1&amp;z=1924880298&amp;ISCONFIRM=0","VIDEO")</f>
        <v>VIDEO</v>
      </c>
      <c r="AA7617" s="19" t="str">
        <f>HYPERLINK("https://ssdweb.co/ssdweb/CERTH/602361293.pdf","CERTI")</f>
        <v>CERTI</v>
      </c>
    </row>
    <row r="7618" spans="1:27" ht="15" x14ac:dyDescent="0.25">
      <c r="A7618" s="2">
        <v>7613</v>
      </c>
      <c r="B7618" s="39">
        <v>924880356</v>
      </c>
      <c r="C7618" s="28" t="str">
        <f>HYPERLINK("https://pld.live/RapDetail.aspx?STONELIST=924880356","DNA")</f>
        <v>DNA</v>
      </c>
      <c r="D7618" s="18" t="s">
        <v>3054</v>
      </c>
      <c r="E7618" s="18" t="s">
        <v>5128</v>
      </c>
      <c r="F7618" s="2" t="s">
        <v>5597</v>
      </c>
      <c r="G7618" s="2" t="s">
        <v>15</v>
      </c>
      <c r="H7618" s="14">
        <v>1.05</v>
      </c>
      <c r="I7618" s="2" t="s">
        <v>4761</v>
      </c>
      <c r="J7618" s="2" t="s">
        <v>3942</v>
      </c>
      <c r="K7618" s="2" t="s">
        <v>1452</v>
      </c>
      <c r="L7618" s="2" t="s">
        <v>5221</v>
      </c>
      <c r="M7618" s="2" t="s">
        <v>5221</v>
      </c>
      <c r="N7618" s="2" t="s">
        <v>2317</v>
      </c>
      <c r="O7618" s="14">
        <v>6900</v>
      </c>
      <c r="P7618" s="14">
        <v>97.03</v>
      </c>
      <c r="Q7618" s="14">
        <v>204.93</v>
      </c>
      <c r="R7618" s="14">
        <v>215.18</v>
      </c>
      <c r="S7618" s="2" t="s">
        <v>7435</v>
      </c>
      <c r="T7618" s="2">
        <v>1.01</v>
      </c>
      <c r="U7618" s="2">
        <v>65.3</v>
      </c>
      <c r="V7618" s="2">
        <v>60</v>
      </c>
      <c r="W7618" s="2" t="s">
        <v>7862</v>
      </c>
      <c r="X7618" s="2" t="s">
        <v>6838</v>
      </c>
      <c r="Y7618" s="2">
        <v>7245</v>
      </c>
      <c r="Z7618" s="19" t="str">
        <f>HYPERLINK("https://ssdweb.co/ssdweb/hd/Vision360.html?d=924880356&amp;zoomslide=1&amp;z=1924880356&amp;ISCONFIRM=0","VIDEO")</f>
        <v>VIDEO</v>
      </c>
      <c r="AA7618" s="19" t="str">
        <f>HYPERLINK("https://ssdweb.co/ssdweb/CERTH/6471890455.pdf","CERTI")</f>
        <v>CERTI</v>
      </c>
    </row>
    <row r="7619" spans="1:27" ht="15" x14ac:dyDescent="0.25">
      <c r="A7619" s="2">
        <v>7614</v>
      </c>
      <c r="B7619" s="39">
        <v>926750731</v>
      </c>
      <c r="C7619" s="28" t="str">
        <f>HYPERLINK("https://pld.live/RapDetail.aspx?STONELIST=926750731","DNA")</f>
        <v>DNA</v>
      </c>
      <c r="D7619" s="18" t="s">
        <v>3054</v>
      </c>
      <c r="E7619" s="18" t="s">
        <v>5128</v>
      </c>
      <c r="F7619" s="2" t="s">
        <v>7987</v>
      </c>
      <c r="G7619" s="2" t="s">
        <v>15</v>
      </c>
      <c r="H7619" s="14">
        <v>1.04</v>
      </c>
      <c r="I7619" s="2" t="s">
        <v>267</v>
      </c>
      <c r="J7619" s="2" t="s">
        <v>6555</v>
      </c>
      <c r="K7619" s="2" t="s">
        <v>1452</v>
      </c>
      <c r="L7619" s="2" t="s">
        <v>5221</v>
      </c>
      <c r="M7619" s="2" t="s">
        <v>5221</v>
      </c>
      <c r="N7619" s="2" t="s">
        <v>2317</v>
      </c>
      <c r="O7619" s="14">
        <v>8200</v>
      </c>
      <c r="P7619" s="14">
        <v>98.28</v>
      </c>
      <c r="Q7619" s="14">
        <v>141.04</v>
      </c>
      <c r="R7619" s="14">
        <v>146.68</v>
      </c>
      <c r="S7619" s="2" t="s">
        <v>6828</v>
      </c>
      <c r="T7619" s="2">
        <v>1</v>
      </c>
      <c r="U7619" s="2">
        <v>64.400000000000006</v>
      </c>
      <c r="V7619" s="2">
        <v>66</v>
      </c>
      <c r="W7619" s="2" t="s">
        <v>7862</v>
      </c>
      <c r="X7619" s="2" t="s">
        <v>6838</v>
      </c>
      <c r="Y7619" s="2">
        <v>8528</v>
      </c>
      <c r="Z7619" s="19" t="str">
        <f>HYPERLINK("https://ssdweb.co/ssdweb/hd/Vision360.html?d=926750731&amp;zoomslide=1&amp;z=1926750731&amp;ISCONFIRM=0","VIDEO")</f>
        <v>VIDEO</v>
      </c>
      <c r="AA7619" s="19" t="str">
        <f>HYPERLINK("https://ssdweb.co/ssdweb/CERTH/651466224.pdf","CERTI")</f>
        <v>CERTI</v>
      </c>
    </row>
    <row r="7620" spans="1:27" ht="15" x14ac:dyDescent="0.25">
      <c r="A7620" s="2">
        <v>7615</v>
      </c>
      <c r="B7620" s="39">
        <v>926270778</v>
      </c>
      <c r="C7620" s="28" t="str">
        <f>HYPERLINK("https://pld.live/RapDetail.aspx?STONELIST=926270778","DNA")</f>
        <v>DNA</v>
      </c>
      <c r="D7620" s="18" t="s">
        <v>3054</v>
      </c>
      <c r="E7620" s="18" t="s">
        <v>5128</v>
      </c>
      <c r="F7620" s="2" t="s">
        <v>7987</v>
      </c>
      <c r="G7620" s="2" t="s">
        <v>15</v>
      </c>
      <c r="H7620" s="14">
        <v>1.04</v>
      </c>
      <c r="I7620" s="2" t="s">
        <v>4761</v>
      </c>
      <c r="J7620" s="2" t="s">
        <v>6555</v>
      </c>
      <c r="K7620" s="2" t="s">
        <v>1452</v>
      </c>
      <c r="L7620" s="2" t="s">
        <v>5221</v>
      </c>
      <c r="M7620" s="2" t="s">
        <v>5221</v>
      </c>
      <c r="N7620" s="2" t="s">
        <v>2317</v>
      </c>
      <c r="O7620" s="14">
        <v>7500</v>
      </c>
      <c r="P7620" s="14">
        <v>98.19</v>
      </c>
      <c r="Q7620" s="14">
        <v>135.75</v>
      </c>
      <c r="R7620" s="14">
        <v>141.18</v>
      </c>
      <c r="S7620" s="2" t="s">
        <v>3720</v>
      </c>
      <c r="T7620" s="2">
        <v>1.02</v>
      </c>
      <c r="U7620" s="2">
        <v>65.7</v>
      </c>
      <c r="V7620" s="2">
        <v>66</v>
      </c>
      <c r="W7620" s="2" t="s">
        <v>7862</v>
      </c>
      <c r="X7620" s="2" t="s">
        <v>6838</v>
      </c>
      <c r="Y7620" s="2">
        <v>7800</v>
      </c>
      <c r="Z7620" s="19" t="str">
        <f>HYPERLINK("https://ssdweb.co/ssdweb/hd/Vision360.html?d=926270778&amp;zoomslide=1&amp;z=1926270778&amp;ISCONFIRM=0","VIDEO")</f>
        <v>VIDEO</v>
      </c>
      <c r="AA7620" s="19" t="str">
        <f>HYPERLINK("https://ssdweb.co/ssdweb/CERTH/638463354.pdf","CERTI")</f>
        <v>CERTI</v>
      </c>
    </row>
    <row r="7621" spans="1:27" ht="15" x14ac:dyDescent="0.25">
      <c r="A7621" s="2">
        <v>7616</v>
      </c>
      <c r="B7621" s="39">
        <v>926790890</v>
      </c>
      <c r="C7621" s="28" t="str">
        <f>HYPERLINK("https://pld.live/RapDetail.aspx?STONELIST=926790890","DNA")</f>
        <v>DNA</v>
      </c>
      <c r="D7621" s="18" t="s">
        <v>3054</v>
      </c>
      <c r="E7621" s="18" t="s">
        <v>2186</v>
      </c>
      <c r="F7621" s="2" t="s">
        <v>7987</v>
      </c>
      <c r="G7621" s="2" t="s">
        <v>15</v>
      </c>
      <c r="H7621" s="14">
        <v>1.04</v>
      </c>
      <c r="I7621" s="2" t="s">
        <v>4761</v>
      </c>
      <c r="J7621" s="2" t="s">
        <v>3942</v>
      </c>
      <c r="K7621" s="2" t="s">
        <v>1452</v>
      </c>
      <c r="L7621" s="2" t="s">
        <v>5221</v>
      </c>
      <c r="M7621" s="2" t="s">
        <v>5221</v>
      </c>
      <c r="N7621" s="2" t="s">
        <v>2317</v>
      </c>
      <c r="O7621" s="14">
        <v>6900</v>
      </c>
      <c r="P7621" s="14">
        <v>98.14</v>
      </c>
      <c r="Q7621" s="14">
        <v>128.34</v>
      </c>
      <c r="R7621" s="14">
        <v>133.47</v>
      </c>
      <c r="S7621" s="2" t="s">
        <v>5903</v>
      </c>
      <c r="T7621" s="2">
        <v>1.01</v>
      </c>
      <c r="U7621" s="2">
        <v>67.400000000000006</v>
      </c>
      <c r="V7621" s="2">
        <v>67</v>
      </c>
      <c r="W7621" s="2" t="s">
        <v>7862</v>
      </c>
      <c r="X7621" s="2" t="s">
        <v>6838</v>
      </c>
      <c r="Y7621" s="2">
        <v>7176</v>
      </c>
      <c r="Z7621" s="19" t="str">
        <f>HYPERLINK("https://ssdweb.co/ssdweb/hd/Vision360.html?d=926790890&amp;zoomslide=1&amp;z=1926790890&amp;ISCONFIRM=0","VIDEO")</f>
        <v>VIDEO</v>
      </c>
      <c r="AA7621" s="19" t="str">
        <f>HYPERLINK("https://ssdweb.co/ssdweb/CERTH/668437134.pdf","CERTI")</f>
        <v>CERTI</v>
      </c>
    </row>
    <row r="7622" spans="1:27" ht="15" x14ac:dyDescent="0.25">
      <c r="A7622" s="2">
        <v>7617</v>
      </c>
      <c r="B7622" s="39">
        <v>926270893</v>
      </c>
      <c r="C7622" s="28" t="str">
        <f>HYPERLINK("https://pld.live/RapDetail.aspx?STONELIST=926270893","DNA")</f>
        <v>DNA</v>
      </c>
      <c r="D7622" s="18" t="s">
        <v>3054</v>
      </c>
      <c r="E7622" s="18" t="s">
        <v>5128</v>
      </c>
      <c r="F7622" s="2" t="s">
        <v>7987</v>
      </c>
      <c r="G7622" s="2" t="s">
        <v>15</v>
      </c>
      <c r="H7622" s="14">
        <v>1.04</v>
      </c>
      <c r="I7622" s="2" t="s">
        <v>4761</v>
      </c>
      <c r="J7622" s="2" t="s">
        <v>5144</v>
      </c>
      <c r="K7622" s="2" t="s">
        <v>1452</v>
      </c>
      <c r="L7622" s="2" t="s">
        <v>5221</v>
      </c>
      <c r="M7622" s="2" t="s">
        <v>5221</v>
      </c>
      <c r="N7622" s="2" t="s">
        <v>2317</v>
      </c>
      <c r="O7622" s="14">
        <v>5400</v>
      </c>
      <c r="P7622" s="14">
        <v>97.89</v>
      </c>
      <c r="Q7622" s="14">
        <v>113.94</v>
      </c>
      <c r="R7622" s="14">
        <v>118.5</v>
      </c>
      <c r="S7622" s="2" t="s">
        <v>1806</v>
      </c>
      <c r="T7622" s="2">
        <v>1.02</v>
      </c>
      <c r="U7622" s="2">
        <v>64.599999999999994</v>
      </c>
      <c r="V7622" s="2">
        <v>58</v>
      </c>
      <c r="W7622" s="2" t="s">
        <v>7862</v>
      </c>
      <c r="X7622" s="2" t="s">
        <v>6838</v>
      </c>
      <c r="Y7622" s="2">
        <v>5616</v>
      </c>
      <c r="Z7622" s="19" t="str">
        <f>HYPERLINK("https://ssdweb.co/ssdweb/hd/Vision360.html?d=926270893&amp;zoomslide=1&amp;z=1926270893&amp;ISCONFIRM=0","VIDEO")</f>
        <v>VIDEO</v>
      </c>
      <c r="AA7622" s="19" t="str">
        <f>HYPERLINK("https://ssdweb.co/ssdweb/CERTH/646472678.pdf","CERTI")</f>
        <v>CERTI</v>
      </c>
    </row>
    <row r="7623" spans="1:27" ht="15" x14ac:dyDescent="0.25">
      <c r="A7623" s="2">
        <v>7618</v>
      </c>
      <c r="B7623" s="39">
        <v>924420397</v>
      </c>
      <c r="C7623" s="28" t="str">
        <f>HYPERLINK("https://pld.live/RapDetail.aspx?STONELIST=924420397","DNA")</f>
        <v>DNA</v>
      </c>
      <c r="D7623" s="18" t="s">
        <v>3054</v>
      </c>
      <c r="E7623" s="18" t="s">
        <v>5128</v>
      </c>
      <c r="F7623" s="2" t="s">
        <v>7987</v>
      </c>
      <c r="G7623" s="2" t="s">
        <v>15</v>
      </c>
      <c r="H7623" s="14">
        <v>1.03</v>
      </c>
      <c r="I7623" s="2" t="s">
        <v>267</v>
      </c>
      <c r="J7623" s="2" t="s">
        <v>6555</v>
      </c>
      <c r="K7623" s="2" t="s">
        <v>1452</v>
      </c>
      <c r="L7623" s="2" t="s">
        <v>5221</v>
      </c>
      <c r="M7623" s="2" t="s">
        <v>5221</v>
      </c>
      <c r="N7623" s="2" t="s">
        <v>2317</v>
      </c>
      <c r="O7623" s="14">
        <v>8200</v>
      </c>
      <c r="P7623" s="14">
        <v>98.28</v>
      </c>
      <c r="Q7623" s="14">
        <v>141.04</v>
      </c>
      <c r="R7623" s="14">
        <v>145.27000000000001</v>
      </c>
      <c r="S7623" s="2" t="s">
        <v>4028</v>
      </c>
      <c r="T7623" s="2">
        <v>1.01</v>
      </c>
      <c r="U7623" s="2">
        <v>64</v>
      </c>
      <c r="V7623" s="2">
        <v>64</v>
      </c>
      <c r="W7623" s="2" t="s">
        <v>7862</v>
      </c>
      <c r="X7623" s="2" t="s">
        <v>6838</v>
      </c>
      <c r="Y7623" s="2">
        <v>8446</v>
      </c>
      <c r="Z7623" s="19" t="str">
        <f>HYPERLINK("https://ssdweb.co/ssdweb/hd/Vision360.html?d=924420397&amp;zoomslide=1&amp;z=1924420397&amp;ISCONFIRM=0","VIDEO")</f>
        <v>VIDEO</v>
      </c>
      <c r="AA7623" s="19" t="str">
        <f>HYPERLINK("https://ssdweb.co/ssdweb/CERTH/597360036.pdf","CERTI")</f>
        <v>CERTI</v>
      </c>
    </row>
    <row r="7624" spans="1:27" ht="15" x14ac:dyDescent="0.25">
      <c r="A7624" s="2">
        <v>7619</v>
      </c>
      <c r="B7624" s="39">
        <v>924440150</v>
      </c>
      <c r="C7624" s="28" t="str">
        <f>HYPERLINK("https://pld.live/RapDetail.aspx?STONELIST=924440150","DNA")</f>
        <v>DNA</v>
      </c>
      <c r="D7624" s="18" t="s">
        <v>3054</v>
      </c>
      <c r="E7624" s="18" t="s">
        <v>5128</v>
      </c>
      <c r="F7624" s="2" t="s">
        <v>7987</v>
      </c>
      <c r="G7624" s="2" t="s">
        <v>15</v>
      </c>
      <c r="H7624" s="14">
        <v>1.03</v>
      </c>
      <c r="I7624" s="2" t="s">
        <v>267</v>
      </c>
      <c r="J7624" s="2" t="s">
        <v>6555</v>
      </c>
      <c r="K7624" s="2" t="s">
        <v>1452</v>
      </c>
      <c r="L7624" s="2" t="s">
        <v>5221</v>
      </c>
      <c r="M7624" s="2" t="s">
        <v>5221</v>
      </c>
      <c r="N7624" s="2" t="s">
        <v>2317</v>
      </c>
      <c r="O7624" s="14">
        <v>8200</v>
      </c>
      <c r="P7624" s="14">
        <v>98.28</v>
      </c>
      <c r="Q7624" s="14">
        <v>141.04</v>
      </c>
      <c r="R7624" s="14">
        <v>145.27000000000001</v>
      </c>
      <c r="S7624" s="2" t="s">
        <v>5488</v>
      </c>
      <c r="T7624" s="2">
        <v>1.03</v>
      </c>
      <c r="U7624" s="2">
        <v>63</v>
      </c>
      <c r="V7624" s="2">
        <v>63</v>
      </c>
      <c r="W7624" s="2" t="s">
        <v>7862</v>
      </c>
      <c r="X7624" s="2" t="s">
        <v>6838</v>
      </c>
      <c r="Y7624" s="2">
        <v>8446</v>
      </c>
      <c r="Z7624" s="19" t="str">
        <f>HYPERLINK("https://ssdweb.co/ssdweb/hd/Vision360.html?d=924440150&amp;zoomslide=1&amp;z=1924440150&amp;ISCONFIRM=0","VIDEO")</f>
        <v>VIDEO</v>
      </c>
      <c r="AA7624" s="19" t="str">
        <f>HYPERLINK("https://ssdweb.co/ssdweb/CERTH/597387047.pdf","CERTI")</f>
        <v>CERTI</v>
      </c>
    </row>
    <row r="7625" spans="1:27" ht="15" x14ac:dyDescent="0.25">
      <c r="A7625" s="2">
        <v>7620</v>
      </c>
      <c r="B7625" s="39">
        <v>926311153</v>
      </c>
      <c r="C7625" s="28" t="str">
        <f>HYPERLINK("https://pld.live/RapDetail.aspx?STONELIST=926311153","DNA")</f>
        <v>DNA</v>
      </c>
      <c r="D7625" s="18" t="s">
        <v>3054</v>
      </c>
      <c r="E7625" s="18" t="s">
        <v>5128</v>
      </c>
      <c r="F7625" s="2" t="s">
        <v>7987</v>
      </c>
      <c r="G7625" s="2" t="s">
        <v>15</v>
      </c>
      <c r="H7625" s="14">
        <v>1.03</v>
      </c>
      <c r="I7625" s="2" t="s">
        <v>267</v>
      </c>
      <c r="J7625" s="2" t="s">
        <v>3942</v>
      </c>
      <c r="K7625" s="2" t="s">
        <v>1452</v>
      </c>
      <c r="L7625" s="2" t="s">
        <v>5221</v>
      </c>
      <c r="M7625" s="2" t="s">
        <v>5221</v>
      </c>
      <c r="N7625" s="2" t="s">
        <v>2317</v>
      </c>
      <c r="O7625" s="14">
        <v>7600</v>
      </c>
      <c r="P7625" s="14">
        <v>98.24</v>
      </c>
      <c r="Q7625" s="14">
        <v>133.76</v>
      </c>
      <c r="R7625" s="14">
        <v>137.77000000000001</v>
      </c>
      <c r="S7625" s="2" t="s">
        <v>623</v>
      </c>
      <c r="T7625" s="2">
        <v>1.01</v>
      </c>
      <c r="U7625" s="2">
        <v>64.7</v>
      </c>
      <c r="V7625" s="2">
        <v>64</v>
      </c>
      <c r="W7625" s="2" t="s">
        <v>7862</v>
      </c>
      <c r="X7625" s="2" t="s">
        <v>6838</v>
      </c>
      <c r="Y7625" s="2">
        <v>7828</v>
      </c>
      <c r="Z7625" s="19" t="str">
        <f>HYPERLINK("https://ssdweb.co/ssdweb/hd/Vision360.html?d=926311153&amp;zoomslide=1&amp;z=1926311153&amp;ISCONFIRM=0","VIDEO")</f>
        <v>VIDEO</v>
      </c>
      <c r="AA7625" s="19" t="str">
        <f>HYPERLINK("https://ssdweb.co/ssdweb/CERTH/694508406.pdf","CERTI")</f>
        <v>CERTI</v>
      </c>
    </row>
    <row r="7626" spans="1:27" ht="15" x14ac:dyDescent="0.25">
      <c r="A7626" s="2">
        <v>7621</v>
      </c>
      <c r="B7626" s="39">
        <v>926810705</v>
      </c>
      <c r="C7626" s="28" t="str">
        <f>HYPERLINK("https://pld.live/RapDetail.aspx?STONELIST=926810705","DNA")</f>
        <v>DNA</v>
      </c>
      <c r="D7626" s="18" t="s">
        <v>3054</v>
      </c>
      <c r="E7626" s="18" t="s">
        <v>5128</v>
      </c>
      <c r="F7626" s="2" t="s">
        <v>7987</v>
      </c>
      <c r="G7626" s="2" t="s">
        <v>15</v>
      </c>
      <c r="H7626" s="14">
        <v>1.02</v>
      </c>
      <c r="I7626" s="2" t="s">
        <v>267</v>
      </c>
      <c r="J7626" s="2" t="s">
        <v>7032</v>
      </c>
      <c r="K7626" s="2" t="s">
        <v>1452</v>
      </c>
      <c r="L7626" s="2" t="s">
        <v>5221</v>
      </c>
      <c r="M7626" s="2" t="s">
        <v>5221</v>
      </c>
      <c r="N7626" s="2" t="s">
        <v>2317</v>
      </c>
      <c r="O7626" s="14">
        <v>9300</v>
      </c>
      <c r="P7626" s="14">
        <v>97.1</v>
      </c>
      <c r="Q7626" s="14">
        <v>269.7</v>
      </c>
      <c r="R7626" s="14">
        <v>275.08999999999997</v>
      </c>
      <c r="S7626" s="2" t="s">
        <v>952</v>
      </c>
      <c r="T7626" s="2">
        <v>1.01</v>
      </c>
      <c r="U7626" s="2">
        <v>65</v>
      </c>
      <c r="V7626" s="2">
        <v>67</v>
      </c>
      <c r="W7626" s="2" t="s">
        <v>7862</v>
      </c>
      <c r="X7626" s="2" t="s">
        <v>6838</v>
      </c>
      <c r="Y7626" s="2">
        <v>9486</v>
      </c>
      <c r="Z7626" s="19" t="str">
        <f>HYPERLINK("https://ssdweb.co/ssdweb/hd/Vision360.html?d=926810705&amp;zoomslide=1&amp;z=1926810705&amp;ISCONFIRM=0","VIDEO")</f>
        <v>VIDEO</v>
      </c>
      <c r="AA7626" s="19" t="str">
        <f>HYPERLINK("https://ssdweb.co/ssdweb/CERTH/668446606.pdf","CERTI")</f>
        <v>CERTI</v>
      </c>
    </row>
    <row r="7627" spans="1:27" ht="15" x14ac:dyDescent="0.25">
      <c r="A7627" s="2">
        <v>7622</v>
      </c>
      <c r="B7627" s="39">
        <v>924880361</v>
      </c>
      <c r="C7627" s="28" t="str">
        <f>HYPERLINK("https://pld.live/RapDetail.aspx?STONELIST=924880361","DNA")</f>
        <v>DNA</v>
      </c>
      <c r="D7627" s="18" t="s">
        <v>3054</v>
      </c>
      <c r="E7627" s="18" t="s">
        <v>5128</v>
      </c>
      <c r="F7627" s="2" t="s">
        <v>7987</v>
      </c>
      <c r="G7627" s="2" t="s">
        <v>15</v>
      </c>
      <c r="H7627" s="14">
        <v>1.02</v>
      </c>
      <c r="I7627" s="2" t="s">
        <v>267</v>
      </c>
      <c r="J7627" s="2" t="s">
        <v>6555</v>
      </c>
      <c r="K7627" s="2" t="s">
        <v>1452</v>
      </c>
      <c r="L7627" s="2" t="s">
        <v>5221</v>
      </c>
      <c r="M7627" s="2" t="s">
        <v>5221</v>
      </c>
      <c r="N7627" s="2" t="s">
        <v>2317</v>
      </c>
      <c r="O7627" s="14">
        <v>8200</v>
      </c>
      <c r="P7627" s="14">
        <v>98.28</v>
      </c>
      <c r="Q7627" s="14">
        <v>141.04</v>
      </c>
      <c r="R7627" s="14">
        <v>143.86000000000001</v>
      </c>
      <c r="S7627" s="2" t="s">
        <v>2179</v>
      </c>
      <c r="T7627" s="2">
        <v>1.02</v>
      </c>
      <c r="U7627" s="2">
        <v>65.099999999999994</v>
      </c>
      <c r="V7627" s="2">
        <v>59</v>
      </c>
      <c r="W7627" s="2" t="s">
        <v>7862</v>
      </c>
      <c r="X7627" s="2" t="s">
        <v>6838</v>
      </c>
      <c r="Y7627" s="2">
        <v>8364</v>
      </c>
      <c r="Z7627" s="19" t="str">
        <f>HYPERLINK("https://ssdweb.co/ssdweb/hd/Vision360.html?d=924880361&amp;zoomslide=1&amp;z=1924880361&amp;ISCONFIRM=0","VIDEO")</f>
        <v>VIDEO</v>
      </c>
      <c r="AA7627" s="19" t="str">
        <f>HYPERLINK("https://ssdweb.co/ssdweb/CERTH/605381287.pdf","CERTI")</f>
        <v>CERTI</v>
      </c>
    </row>
    <row r="7628" spans="1:27" ht="15" x14ac:dyDescent="0.25">
      <c r="A7628" s="2">
        <v>7623</v>
      </c>
      <c r="B7628" s="39">
        <v>926810382</v>
      </c>
      <c r="C7628" s="28" t="str">
        <f>HYPERLINK("https://pld.live/RapDetail.aspx?STONELIST=926810382","DNA")</f>
        <v>DNA</v>
      </c>
      <c r="D7628" s="18" t="s">
        <v>3054</v>
      </c>
      <c r="E7628" s="18" t="s">
        <v>5128</v>
      </c>
      <c r="F7628" s="2" t="s">
        <v>7987</v>
      </c>
      <c r="G7628" s="2" t="s">
        <v>15</v>
      </c>
      <c r="H7628" s="14">
        <v>1.02</v>
      </c>
      <c r="I7628" s="2" t="s">
        <v>267</v>
      </c>
      <c r="J7628" s="2" t="s">
        <v>6555</v>
      </c>
      <c r="K7628" s="2" t="s">
        <v>1452</v>
      </c>
      <c r="L7628" s="2" t="s">
        <v>5221</v>
      </c>
      <c r="M7628" s="2" t="s">
        <v>5221</v>
      </c>
      <c r="N7628" s="2" t="s">
        <v>2317</v>
      </c>
      <c r="O7628" s="14">
        <v>8200</v>
      </c>
      <c r="P7628" s="14">
        <v>98.23</v>
      </c>
      <c r="Q7628" s="14">
        <v>145.13999999999999</v>
      </c>
      <c r="R7628" s="14">
        <v>148.04</v>
      </c>
      <c r="S7628" s="2" t="s">
        <v>3338</v>
      </c>
      <c r="T7628" s="2">
        <v>1.02</v>
      </c>
      <c r="U7628" s="2">
        <v>65.900000000000006</v>
      </c>
      <c r="V7628" s="2">
        <v>62</v>
      </c>
      <c r="W7628" s="2" t="s">
        <v>7862</v>
      </c>
      <c r="X7628" s="2" t="s">
        <v>6838</v>
      </c>
      <c r="Y7628" s="2">
        <v>8364</v>
      </c>
      <c r="Z7628" s="19" t="str">
        <f>HYPERLINK("https://ssdweb.co/ssdweb/hd/Vision360.html?d=926810382&amp;zoomslide=1&amp;z=1926810382&amp;ISCONFIRM=0","VIDEO")</f>
        <v>VIDEO</v>
      </c>
      <c r="AA7628" s="19" t="str">
        <f>HYPERLINK("https://ssdweb.co/ssdweb/CERTH/694508410.pdf","CERTI")</f>
        <v>CERTI</v>
      </c>
    </row>
    <row r="7629" spans="1:27" ht="15" x14ac:dyDescent="0.25">
      <c r="A7629" s="2">
        <v>7624</v>
      </c>
      <c r="B7629" s="39">
        <v>926311032</v>
      </c>
      <c r="C7629" s="28" t="str">
        <f>HYPERLINK("https://pld.live/RapDetail.aspx?STONELIST=926311032","DNA")</f>
        <v>DNA</v>
      </c>
      <c r="D7629" s="18" t="s">
        <v>3054</v>
      </c>
      <c r="E7629" s="18" t="s">
        <v>5128</v>
      </c>
      <c r="F7629" s="2" t="s">
        <v>7987</v>
      </c>
      <c r="G7629" s="2" t="s">
        <v>15</v>
      </c>
      <c r="H7629" s="14">
        <v>1.02</v>
      </c>
      <c r="I7629" s="2" t="s">
        <v>267</v>
      </c>
      <c r="J7629" s="2" t="s">
        <v>6555</v>
      </c>
      <c r="K7629" s="2" t="s">
        <v>1452</v>
      </c>
      <c r="L7629" s="2" t="s">
        <v>5221</v>
      </c>
      <c r="M7629" s="2" t="s">
        <v>5221</v>
      </c>
      <c r="N7629" s="2" t="s">
        <v>2317</v>
      </c>
      <c r="O7629" s="14">
        <v>8200</v>
      </c>
      <c r="P7629" s="14">
        <v>98.28</v>
      </c>
      <c r="Q7629" s="14">
        <v>141.04</v>
      </c>
      <c r="R7629" s="14">
        <v>143.86000000000001</v>
      </c>
      <c r="S7629" s="2" t="s">
        <v>5692</v>
      </c>
      <c r="T7629" s="2">
        <v>1.03</v>
      </c>
      <c r="U7629" s="2">
        <v>67</v>
      </c>
      <c r="V7629" s="2">
        <v>59</v>
      </c>
      <c r="W7629" s="2" t="s">
        <v>7862</v>
      </c>
      <c r="X7629" s="2" t="s">
        <v>6838</v>
      </c>
      <c r="Y7629" s="2">
        <v>8364</v>
      </c>
      <c r="Z7629" s="19" t="str">
        <f>HYPERLINK("https://ssdweb.co/ssdweb/hd/Vision360.html?d=926311032&amp;zoomslide=1&amp;z=1926311032&amp;ISCONFIRM=0","VIDEO")</f>
        <v>VIDEO</v>
      </c>
      <c r="AA7629" s="19" t="str">
        <f>HYPERLINK("https://ssdweb.co/ssdweb/CERTH/646472685.pdf","CERTI")</f>
        <v>CERTI</v>
      </c>
    </row>
    <row r="7630" spans="1:27" ht="15" x14ac:dyDescent="0.25">
      <c r="A7630" s="2">
        <v>7625</v>
      </c>
      <c r="B7630" s="39">
        <v>926810601</v>
      </c>
      <c r="C7630" s="28" t="str">
        <f>HYPERLINK("https://pld.live/RapDetail.aspx?STONELIST=926810601","DNA")</f>
        <v>DNA</v>
      </c>
      <c r="D7630" s="18" t="s">
        <v>3054</v>
      </c>
      <c r="E7630" s="18" t="s">
        <v>5128</v>
      </c>
      <c r="F7630" s="2" t="s">
        <v>7987</v>
      </c>
      <c r="G7630" s="2" t="s">
        <v>15</v>
      </c>
      <c r="H7630" s="14">
        <v>1.02</v>
      </c>
      <c r="I7630" s="2" t="s">
        <v>267</v>
      </c>
      <c r="J7630" s="2" t="s">
        <v>3942</v>
      </c>
      <c r="K7630" s="2" t="s">
        <v>1452</v>
      </c>
      <c r="L7630" s="2" t="s">
        <v>5221</v>
      </c>
      <c r="M7630" s="2" t="s">
        <v>5221</v>
      </c>
      <c r="N7630" s="2" t="s">
        <v>2317</v>
      </c>
      <c r="O7630" s="14">
        <v>7600</v>
      </c>
      <c r="P7630" s="14">
        <v>98.24</v>
      </c>
      <c r="Q7630" s="14">
        <v>133.76</v>
      </c>
      <c r="R7630" s="14">
        <v>136.44</v>
      </c>
      <c r="S7630" s="2" t="s">
        <v>2353</v>
      </c>
      <c r="T7630" s="2">
        <v>1</v>
      </c>
      <c r="U7630" s="2">
        <v>65.3</v>
      </c>
      <c r="V7630" s="2">
        <v>61</v>
      </c>
      <c r="W7630" s="2" t="s">
        <v>7862</v>
      </c>
      <c r="X7630" s="2" t="s">
        <v>6838</v>
      </c>
      <c r="Y7630" s="2">
        <v>7752</v>
      </c>
      <c r="Z7630" s="19" t="str">
        <f>HYPERLINK("https://ssdweb.co/ssdweb/hd/Vision360.html?d=926810601&amp;zoomslide=1&amp;z=1926810601&amp;ISCONFIRM=0","VIDEO")</f>
        <v>VIDEO</v>
      </c>
      <c r="AA7630" s="19" t="str">
        <f>HYPERLINK("https://ssdweb.co/ssdweb/CERTH/694508413.pdf","CERTI")</f>
        <v>CERTI</v>
      </c>
    </row>
    <row r="7631" spans="1:27" ht="15" x14ac:dyDescent="0.25">
      <c r="A7631" s="2">
        <v>7626</v>
      </c>
      <c r="B7631" s="39">
        <v>926810679</v>
      </c>
      <c r="C7631" s="28" t="str">
        <f>HYPERLINK("https://pld.live/RapDetail.aspx?STONELIST=926810679","DNA")</f>
        <v>DNA</v>
      </c>
      <c r="D7631" s="18" t="s">
        <v>3054</v>
      </c>
      <c r="E7631" s="18" t="s">
        <v>5128</v>
      </c>
      <c r="F7631" s="2" t="s">
        <v>7987</v>
      </c>
      <c r="G7631" s="2" t="s">
        <v>15</v>
      </c>
      <c r="H7631" s="14">
        <v>1.02</v>
      </c>
      <c r="I7631" s="2" t="s">
        <v>267</v>
      </c>
      <c r="J7631" s="2" t="s">
        <v>3942</v>
      </c>
      <c r="K7631" s="2" t="s">
        <v>1452</v>
      </c>
      <c r="L7631" s="2" t="s">
        <v>5221</v>
      </c>
      <c r="M7631" s="2" t="s">
        <v>5221</v>
      </c>
      <c r="N7631" s="2" t="s">
        <v>2317</v>
      </c>
      <c r="O7631" s="14">
        <v>7600</v>
      </c>
      <c r="P7631" s="14">
        <v>98.24</v>
      </c>
      <c r="Q7631" s="14">
        <v>133.76</v>
      </c>
      <c r="R7631" s="14">
        <v>136.44</v>
      </c>
      <c r="S7631" s="2" t="s">
        <v>4901</v>
      </c>
      <c r="T7631" s="2">
        <v>1.01</v>
      </c>
      <c r="U7631" s="2">
        <v>64.400000000000006</v>
      </c>
      <c r="V7631" s="2">
        <v>67</v>
      </c>
      <c r="W7631" s="2" t="s">
        <v>7862</v>
      </c>
      <c r="X7631" s="2" t="s">
        <v>6838</v>
      </c>
      <c r="Y7631" s="2">
        <v>7752</v>
      </c>
      <c r="Z7631" s="19" t="str">
        <f>HYPERLINK("https://ssdweb.co/ssdweb/hd/Vision360.html?d=926810679&amp;zoomslide=1&amp;z=1926810679&amp;ISCONFIRM=0","VIDEO")</f>
        <v>VIDEO</v>
      </c>
      <c r="AA7631" s="19" t="str">
        <f>HYPERLINK("https://ssdweb.co/ssdweb/CERTH/694508414.pdf","CERTI")</f>
        <v>CERTI</v>
      </c>
    </row>
    <row r="7632" spans="1:27" ht="15" x14ac:dyDescent="0.25">
      <c r="A7632" s="2">
        <v>7627</v>
      </c>
      <c r="B7632" s="39">
        <v>926810580</v>
      </c>
      <c r="C7632" s="28" t="str">
        <f>HYPERLINK("https://pld.live/RapDetail.aspx?STONELIST=926810580","DNA")</f>
        <v>DNA</v>
      </c>
      <c r="D7632" s="18" t="s">
        <v>3054</v>
      </c>
      <c r="E7632" s="18" t="s">
        <v>5128</v>
      </c>
      <c r="F7632" s="2" t="s">
        <v>7987</v>
      </c>
      <c r="G7632" s="2" t="s">
        <v>15</v>
      </c>
      <c r="H7632" s="14">
        <v>1.02</v>
      </c>
      <c r="I7632" s="2" t="s">
        <v>267</v>
      </c>
      <c r="J7632" s="2" t="s">
        <v>3942</v>
      </c>
      <c r="K7632" s="2" t="s">
        <v>1452</v>
      </c>
      <c r="L7632" s="2" t="s">
        <v>5221</v>
      </c>
      <c r="M7632" s="2" t="s">
        <v>5221</v>
      </c>
      <c r="N7632" s="2" t="s">
        <v>2317</v>
      </c>
      <c r="O7632" s="14">
        <v>7600</v>
      </c>
      <c r="P7632" s="14">
        <v>98.24</v>
      </c>
      <c r="Q7632" s="14">
        <v>133.76</v>
      </c>
      <c r="R7632" s="14">
        <v>136.44</v>
      </c>
      <c r="S7632" s="2" t="s">
        <v>5396</v>
      </c>
      <c r="T7632" s="2">
        <v>1.01</v>
      </c>
      <c r="U7632" s="2">
        <v>65.8</v>
      </c>
      <c r="V7632" s="2">
        <v>66</v>
      </c>
      <c r="W7632" s="2" t="s">
        <v>7862</v>
      </c>
      <c r="X7632" s="2" t="s">
        <v>6838</v>
      </c>
      <c r="Y7632" s="2">
        <v>7752</v>
      </c>
      <c r="Z7632" s="19" t="str">
        <f>HYPERLINK("https://ssdweb.co/ssdweb/hd/Vision360.html?d=926810580&amp;zoomslide=1&amp;z=1926810580&amp;ISCONFIRM=0","VIDEO")</f>
        <v>VIDEO</v>
      </c>
      <c r="AA7632" s="19" t="str">
        <f>HYPERLINK("https://ssdweb.co/ssdweb/CERTH/694508412.pdf","CERTI")</f>
        <v>CERTI</v>
      </c>
    </row>
    <row r="7633" spans="1:27" ht="15" x14ac:dyDescent="0.25">
      <c r="A7633" s="2">
        <v>7628</v>
      </c>
      <c r="B7633" s="39">
        <v>926810437</v>
      </c>
      <c r="C7633" s="28" t="str">
        <f>HYPERLINK("https://pld.live/RapDetail.aspx?STONELIST=926810437","DNA")</f>
        <v>DNA</v>
      </c>
      <c r="D7633" s="18" t="s">
        <v>3054</v>
      </c>
      <c r="E7633" s="18" t="s">
        <v>5128</v>
      </c>
      <c r="F7633" s="2" t="s">
        <v>7987</v>
      </c>
      <c r="G7633" s="2" t="s">
        <v>15</v>
      </c>
      <c r="H7633" s="14">
        <v>1.02</v>
      </c>
      <c r="I7633" s="2" t="s">
        <v>267</v>
      </c>
      <c r="J7633" s="2" t="s">
        <v>3942</v>
      </c>
      <c r="K7633" s="2" t="s">
        <v>1452</v>
      </c>
      <c r="L7633" s="2" t="s">
        <v>5221</v>
      </c>
      <c r="M7633" s="2" t="s">
        <v>5221</v>
      </c>
      <c r="N7633" s="2" t="s">
        <v>2317</v>
      </c>
      <c r="O7633" s="14">
        <v>7600</v>
      </c>
      <c r="P7633" s="14">
        <v>98.24</v>
      </c>
      <c r="Q7633" s="14">
        <v>133.76</v>
      </c>
      <c r="R7633" s="14">
        <v>136.44</v>
      </c>
      <c r="S7633" s="2" t="s">
        <v>64</v>
      </c>
      <c r="T7633" s="2">
        <v>1.01</v>
      </c>
      <c r="U7633" s="2">
        <v>66.7</v>
      </c>
      <c r="V7633" s="2">
        <v>60</v>
      </c>
      <c r="W7633" s="2" t="s">
        <v>7862</v>
      </c>
      <c r="X7633" s="2" t="s">
        <v>6838</v>
      </c>
      <c r="Y7633" s="2">
        <v>7752</v>
      </c>
      <c r="Z7633" s="19" t="str">
        <f>HYPERLINK("https://ssdweb.co/ssdweb/hd/Vision360.html?d=926810437&amp;zoomslide=1&amp;z=1926810437&amp;ISCONFIRM=0","VIDEO")</f>
        <v>VIDEO</v>
      </c>
      <c r="AA7633" s="19" t="str">
        <f>HYPERLINK("https://ssdweb.co/ssdweb/CERTH/692534087.pdf","CERTI")</f>
        <v>CERTI</v>
      </c>
    </row>
    <row r="7634" spans="1:27" ht="15" x14ac:dyDescent="0.25">
      <c r="A7634" s="2">
        <v>7629</v>
      </c>
      <c r="B7634" s="39">
        <v>926690850</v>
      </c>
      <c r="C7634" s="28" t="str">
        <f>HYPERLINK("https://pld.live/RapDetail.aspx?STONELIST=926690850","DNA")</f>
        <v>DNA</v>
      </c>
      <c r="D7634" s="18" t="s">
        <v>3054</v>
      </c>
      <c r="E7634" s="18" t="s">
        <v>5128</v>
      </c>
      <c r="F7634" s="2" t="s">
        <v>7987</v>
      </c>
      <c r="G7634" s="2" t="s">
        <v>15</v>
      </c>
      <c r="H7634" s="14">
        <v>1.02</v>
      </c>
      <c r="I7634" s="2" t="s">
        <v>267</v>
      </c>
      <c r="J7634" s="2" t="s">
        <v>3942</v>
      </c>
      <c r="K7634" s="2" t="s">
        <v>1452</v>
      </c>
      <c r="L7634" s="2" t="s">
        <v>5221</v>
      </c>
      <c r="M7634" s="2" t="s">
        <v>5221</v>
      </c>
      <c r="N7634" s="2" t="s">
        <v>2317</v>
      </c>
      <c r="O7634" s="14">
        <v>7600</v>
      </c>
      <c r="P7634" s="14">
        <v>98.24</v>
      </c>
      <c r="Q7634" s="14">
        <v>133.76</v>
      </c>
      <c r="R7634" s="14">
        <v>136.44</v>
      </c>
      <c r="S7634" s="2" t="s">
        <v>814</v>
      </c>
      <c r="T7634" s="2">
        <v>1</v>
      </c>
      <c r="U7634" s="2">
        <v>64.5</v>
      </c>
      <c r="V7634" s="2">
        <v>69</v>
      </c>
      <c r="W7634" s="2" t="s">
        <v>7862</v>
      </c>
      <c r="X7634" s="2" t="s">
        <v>6838</v>
      </c>
      <c r="Y7634" s="2">
        <v>7752</v>
      </c>
      <c r="Z7634" s="19" t="str">
        <f>HYPERLINK("https://ssdweb.co/ssdweb/hd/Vision360.html?d=926690850&amp;zoomslide=1&amp;z=1926690850&amp;ISCONFIRM=0","VIDEO")</f>
        <v>VIDEO</v>
      </c>
      <c r="AA7634" s="19" t="str">
        <f>HYPERLINK("https://ssdweb.co/ssdweb/CERTH/694508408.pdf","CERTI")</f>
        <v>CERTI</v>
      </c>
    </row>
    <row r="7635" spans="1:27" ht="15" x14ac:dyDescent="0.25">
      <c r="A7635" s="2">
        <v>7630</v>
      </c>
      <c r="B7635" s="39">
        <v>926311327</v>
      </c>
      <c r="C7635" s="28" t="str">
        <f>HYPERLINK("https://pld.live/RapDetail.aspx?STONELIST=926311327","DNA")</f>
        <v>DNA</v>
      </c>
      <c r="D7635" s="18" t="s">
        <v>3054</v>
      </c>
      <c r="E7635" s="18" t="s">
        <v>5128</v>
      </c>
      <c r="F7635" s="2" t="s">
        <v>7987</v>
      </c>
      <c r="G7635" s="2" t="s">
        <v>15</v>
      </c>
      <c r="H7635" s="14">
        <v>1.02</v>
      </c>
      <c r="I7635" s="2" t="s">
        <v>4761</v>
      </c>
      <c r="J7635" s="2" t="s">
        <v>6555</v>
      </c>
      <c r="K7635" s="2" t="s">
        <v>1452</v>
      </c>
      <c r="L7635" s="2" t="s">
        <v>5221</v>
      </c>
      <c r="M7635" s="2" t="s">
        <v>5221</v>
      </c>
      <c r="N7635" s="2" t="s">
        <v>2317</v>
      </c>
      <c r="O7635" s="14">
        <v>7500</v>
      </c>
      <c r="P7635" s="14">
        <v>98.19</v>
      </c>
      <c r="Q7635" s="14">
        <v>135.75</v>
      </c>
      <c r="R7635" s="14">
        <v>138.47</v>
      </c>
      <c r="S7635" s="2" t="s">
        <v>5237</v>
      </c>
      <c r="T7635" s="2">
        <v>1.01</v>
      </c>
      <c r="U7635" s="2">
        <v>66.400000000000006</v>
      </c>
      <c r="V7635" s="2">
        <v>68</v>
      </c>
      <c r="W7635" s="2" t="s">
        <v>7862</v>
      </c>
      <c r="X7635" s="2" t="s">
        <v>6838</v>
      </c>
      <c r="Y7635" s="2">
        <v>7650</v>
      </c>
      <c r="Z7635" s="19" t="str">
        <f>HYPERLINK("https://ssdweb.co/ssdweb/hd/Vision360.html?d=926311327&amp;zoomslide=1&amp;z=1926311327&amp;ISCONFIRM=0","VIDEO")</f>
        <v>VIDEO</v>
      </c>
      <c r="AA7635" s="19" t="str">
        <f>HYPERLINK("https://ssdweb.co/ssdweb/CERTH/644466909.pdf","CERTI")</f>
        <v>CERTI</v>
      </c>
    </row>
    <row r="7636" spans="1:27" ht="15" x14ac:dyDescent="0.25">
      <c r="A7636" s="2">
        <v>7631</v>
      </c>
      <c r="B7636" s="39">
        <v>926810513</v>
      </c>
      <c r="C7636" s="28" t="str">
        <f>HYPERLINK("https://pld.live/RapDetail.aspx?STONELIST=926810513","DNA")</f>
        <v>DNA</v>
      </c>
      <c r="D7636" s="18" t="s">
        <v>3054</v>
      </c>
      <c r="E7636" s="18" t="s">
        <v>5128</v>
      </c>
      <c r="F7636" s="2" t="s">
        <v>7987</v>
      </c>
      <c r="G7636" s="2" t="s">
        <v>15</v>
      </c>
      <c r="H7636" s="14">
        <v>1.02</v>
      </c>
      <c r="I7636" s="2" t="s">
        <v>4761</v>
      </c>
      <c r="J7636" s="2" t="s">
        <v>3942</v>
      </c>
      <c r="K7636" s="2" t="s">
        <v>1452</v>
      </c>
      <c r="L7636" s="2" t="s">
        <v>5221</v>
      </c>
      <c r="M7636" s="2" t="s">
        <v>5221</v>
      </c>
      <c r="N7636" s="2" t="s">
        <v>2317</v>
      </c>
      <c r="O7636" s="14">
        <v>6900</v>
      </c>
      <c r="P7636" s="14">
        <v>98.12</v>
      </c>
      <c r="Q7636" s="14">
        <v>129.72</v>
      </c>
      <c r="R7636" s="14">
        <v>132.31</v>
      </c>
      <c r="S7636" s="2" t="s">
        <v>3223</v>
      </c>
      <c r="T7636" s="2">
        <v>1.01</v>
      </c>
      <c r="U7636" s="2">
        <v>65.099999999999994</v>
      </c>
      <c r="V7636" s="2">
        <v>65</v>
      </c>
      <c r="W7636" s="2" t="s">
        <v>7862</v>
      </c>
      <c r="X7636" s="2" t="s">
        <v>6838</v>
      </c>
      <c r="Y7636" s="2">
        <v>7038</v>
      </c>
      <c r="Z7636" s="19" t="str">
        <f>HYPERLINK("https://ssdweb.co/ssdweb/hd/Vision360.html?d=926810513&amp;zoomslide=1&amp;z=1926810513&amp;ISCONFIRM=0","VIDEO")</f>
        <v>VIDEO</v>
      </c>
      <c r="AA7636" s="19" t="str">
        <f>HYPERLINK("https://ssdweb.co/ssdweb/CERTH/694508411.pdf","CERTI")</f>
        <v>CERTI</v>
      </c>
    </row>
    <row r="7637" spans="1:27" ht="15" x14ac:dyDescent="0.25">
      <c r="A7637" s="2">
        <v>7632</v>
      </c>
      <c r="B7637" s="39">
        <v>924880360</v>
      </c>
      <c r="C7637" s="28" t="str">
        <f>HYPERLINK("https://pld.live/RapDetail.aspx?STONELIST=924880360","DNA")</f>
        <v>DNA</v>
      </c>
      <c r="D7637" s="18" t="s">
        <v>3054</v>
      </c>
      <c r="E7637" s="18" t="s">
        <v>5128</v>
      </c>
      <c r="F7637" s="2" t="s">
        <v>5597</v>
      </c>
      <c r="G7637" s="2" t="s">
        <v>15</v>
      </c>
      <c r="H7637" s="14">
        <v>1.02</v>
      </c>
      <c r="I7637" s="2" t="s">
        <v>4761</v>
      </c>
      <c r="J7637" s="2" t="s">
        <v>3942</v>
      </c>
      <c r="K7637" s="2" t="s">
        <v>1452</v>
      </c>
      <c r="L7637" s="2" t="s">
        <v>5221</v>
      </c>
      <c r="M7637" s="2" t="s">
        <v>5721</v>
      </c>
      <c r="N7637" s="2" t="s">
        <v>2317</v>
      </c>
      <c r="O7637" s="14">
        <v>6900</v>
      </c>
      <c r="P7637" s="14">
        <v>97.06</v>
      </c>
      <c r="Q7637" s="14">
        <v>202.86</v>
      </c>
      <c r="R7637" s="14">
        <v>206.92</v>
      </c>
      <c r="S7637" s="2" t="s">
        <v>2906</v>
      </c>
      <c r="T7637" s="2">
        <v>1.03</v>
      </c>
      <c r="U7637" s="2">
        <v>63.1</v>
      </c>
      <c r="V7637" s="2">
        <v>63</v>
      </c>
      <c r="W7637" s="2" t="s">
        <v>7862</v>
      </c>
      <c r="X7637" s="2" t="s">
        <v>6838</v>
      </c>
      <c r="Y7637" s="2">
        <v>7038</v>
      </c>
      <c r="Z7637" s="19" t="str">
        <f>HYPERLINK("https://ssdweb.co/ssdweb/hd/Vision360.html?d=924880360&amp;zoomslide=1&amp;z=1924880360&amp;ISCONFIRM=0","VIDEO")</f>
        <v>VIDEO</v>
      </c>
      <c r="AA7637" s="19" t="str">
        <f>HYPERLINK("https://ssdweb.co/ssdweb/CERTH/2476923771.pdf","CERTI")</f>
        <v>CERTI</v>
      </c>
    </row>
    <row r="7638" spans="1:27" ht="15" x14ac:dyDescent="0.25">
      <c r="A7638" s="2">
        <v>7633</v>
      </c>
      <c r="B7638" s="39">
        <v>926631148</v>
      </c>
      <c r="C7638" s="28" t="str">
        <f>HYPERLINK("https://pld.live/RapDetail.aspx?STONELIST=926631148","DNA")</f>
        <v>DNA</v>
      </c>
      <c r="D7638" s="18" t="s">
        <v>3054</v>
      </c>
      <c r="E7638" s="18" t="s">
        <v>5128</v>
      </c>
      <c r="F7638" s="2" t="s">
        <v>7987</v>
      </c>
      <c r="G7638" s="2" t="s">
        <v>15</v>
      </c>
      <c r="H7638" s="14">
        <v>1.01</v>
      </c>
      <c r="I7638" s="2" t="s">
        <v>267</v>
      </c>
      <c r="J7638" s="2" t="s">
        <v>3942</v>
      </c>
      <c r="K7638" s="2" t="s">
        <v>1452</v>
      </c>
      <c r="L7638" s="2" t="s">
        <v>5221</v>
      </c>
      <c r="M7638" s="2" t="s">
        <v>5221</v>
      </c>
      <c r="N7638" s="2" t="s">
        <v>2317</v>
      </c>
      <c r="O7638" s="14">
        <v>7600</v>
      </c>
      <c r="P7638" s="14">
        <v>98.24</v>
      </c>
      <c r="Q7638" s="14">
        <v>133.76</v>
      </c>
      <c r="R7638" s="14">
        <v>135.1</v>
      </c>
      <c r="S7638" s="2" t="s">
        <v>3563</v>
      </c>
      <c r="T7638" s="2">
        <v>1.01</v>
      </c>
      <c r="U7638" s="2">
        <v>66.400000000000006</v>
      </c>
      <c r="V7638" s="2">
        <v>67</v>
      </c>
      <c r="W7638" s="2" t="s">
        <v>7862</v>
      </c>
      <c r="X7638" s="2" t="s">
        <v>6838</v>
      </c>
      <c r="Y7638" s="2">
        <v>7676</v>
      </c>
      <c r="Z7638" s="19" t="str">
        <f>HYPERLINK("https://ssdweb.co/ssdweb/hd/Vision360.html?d=926631148&amp;zoomslide=1&amp;z=1926631148&amp;ISCONFIRM=0","VIDEO")</f>
        <v>VIDEO</v>
      </c>
      <c r="AA7638" s="19" t="str">
        <f>HYPERLINK("https://ssdweb.co/ssdweb/CERTH/694508407.pdf","CERTI")</f>
        <v>CERTI</v>
      </c>
    </row>
    <row r="7639" spans="1:27" ht="15" x14ac:dyDescent="0.25">
      <c r="A7639" s="2">
        <v>7634</v>
      </c>
      <c r="B7639" s="39">
        <v>926810623</v>
      </c>
      <c r="C7639" s="28" t="str">
        <f>HYPERLINK("https://pld.live/RapDetail.aspx?STONELIST=926810623","DNA")</f>
        <v>DNA</v>
      </c>
      <c r="D7639" s="18" t="s">
        <v>3054</v>
      </c>
      <c r="E7639" s="18" t="s">
        <v>5128</v>
      </c>
      <c r="F7639" s="2" t="s">
        <v>7987</v>
      </c>
      <c r="G7639" s="2" t="s">
        <v>15</v>
      </c>
      <c r="H7639" s="14">
        <v>1.01</v>
      </c>
      <c r="I7639" s="2" t="s">
        <v>267</v>
      </c>
      <c r="J7639" s="2" t="s">
        <v>3942</v>
      </c>
      <c r="K7639" s="2" t="s">
        <v>1452</v>
      </c>
      <c r="L7639" s="2" t="s">
        <v>5221</v>
      </c>
      <c r="M7639" s="2" t="s">
        <v>5221</v>
      </c>
      <c r="N7639" s="2" t="s">
        <v>2317</v>
      </c>
      <c r="O7639" s="14">
        <v>7600</v>
      </c>
      <c r="P7639" s="14">
        <v>98.24</v>
      </c>
      <c r="Q7639" s="14">
        <v>133.76</v>
      </c>
      <c r="R7639" s="14">
        <v>135.1</v>
      </c>
      <c r="S7639" s="2" t="s">
        <v>2354</v>
      </c>
      <c r="T7639" s="2">
        <v>1.01</v>
      </c>
      <c r="U7639" s="2">
        <v>64.099999999999994</v>
      </c>
      <c r="V7639" s="2">
        <v>64</v>
      </c>
      <c r="W7639" s="2" t="s">
        <v>7862</v>
      </c>
      <c r="X7639" s="2" t="s">
        <v>6838</v>
      </c>
      <c r="Y7639" s="2">
        <v>7676</v>
      </c>
      <c r="Z7639" s="19" t="str">
        <f>HYPERLINK("https://ssdweb.co/ssdweb/hd/Vision360.html?d=926810623&amp;zoomslide=1&amp;z=1926810623&amp;ISCONFIRM=0","VIDEO")</f>
        <v>VIDEO</v>
      </c>
      <c r="AA7639" s="19" t="str">
        <f>HYPERLINK("https://ssdweb.co/ssdweb/CERTH/692534089.pdf","CERTI")</f>
        <v>CERTI</v>
      </c>
    </row>
    <row r="7640" spans="1:27" ht="15" x14ac:dyDescent="0.25">
      <c r="A7640" s="2">
        <v>7635</v>
      </c>
      <c r="B7640" s="39">
        <v>926810596</v>
      </c>
      <c r="C7640" s="28" t="str">
        <f>HYPERLINK("https://pld.live/RapDetail.aspx?STONELIST=926810596","DNA")</f>
        <v>DNA</v>
      </c>
      <c r="D7640" s="18" t="s">
        <v>3054</v>
      </c>
      <c r="E7640" s="18" t="s">
        <v>5128</v>
      </c>
      <c r="F7640" s="2" t="s">
        <v>7987</v>
      </c>
      <c r="G7640" s="2" t="s">
        <v>15</v>
      </c>
      <c r="H7640" s="14">
        <v>1.01</v>
      </c>
      <c r="I7640" s="2" t="s">
        <v>267</v>
      </c>
      <c r="J7640" s="2" t="s">
        <v>13</v>
      </c>
      <c r="K7640" s="2" t="s">
        <v>1452</v>
      </c>
      <c r="L7640" s="2" t="s">
        <v>5221</v>
      </c>
      <c r="M7640" s="2" t="s">
        <v>5221</v>
      </c>
      <c r="N7640" s="2" t="s">
        <v>2317</v>
      </c>
      <c r="O7640" s="14">
        <v>6700</v>
      </c>
      <c r="P7640" s="14">
        <v>98.09</v>
      </c>
      <c r="Q7640" s="14">
        <v>127.97</v>
      </c>
      <c r="R7640" s="14">
        <v>129.25</v>
      </c>
      <c r="S7640" s="2" t="s">
        <v>4923</v>
      </c>
      <c r="T7640" s="2">
        <v>1.01</v>
      </c>
      <c r="U7640" s="2">
        <v>67.7</v>
      </c>
      <c r="V7640" s="2">
        <v>61</v>
      </c>
      <c r="W7640" s="2" t="s">
        <v>7862</v>
      </c>
      <c r="X7640" s="2" t="s">
        <v>6838</v>
      </c>
      <c r="Y7640" s="2">
        <v>6767</v>
      </c>
      <c r="Z7640" s="19" t="str">
        <f>HYPERLINK("https://ssdweb.co/ssdweb/hd/Vision360.html?d=926810596&amp;zoomslide=1&amp;z=1926810596&amp;ISCONFIRM=0","VIDEO")</f>
        <v>VIDEO</v>
      </c>
      <c r="AA7640" s="19" t="str">
        <f>HYPERLINK("https://ssdweb.co/ssdweb/CERTH/692534088.pdf","CERTI")</f>
        <v>CERTI</v>
      </c>
    </row>
    <row r="7641" spans="1:27" ht="15" x14ac:dyDescent="0.25">
      <c r="A7641" s="2">
        <v>7636</v>
      </c>
      <c r="B7641" s="39">
        <v>926810645</v>
      </c>
      <c r="C7641" s="28" t="str">
        <f>HYPERLINK("https://pld.live/RapDetail.aspx?STONELIST=926810645","DNA")</f>
        <v>DNA</v>
      </c>
      <c r="D7641" s="18" t="s">
        <v>3054</v>
      </c>
      <c r="E7641" s="18" t="s">
        <v>5128</v>
      </c>
      <c r="F7641" s="2" t="s">
        <v>7987</v>
      </c>
      <c r="G7641" s="2" t="s">
        <v>15</v>
      </c>
      <c r="H7641" s="14">
        <v>1.01</v>
      </c>
      <c r="I7641" s="2" t="s">
        <v>267</v>
      </c>
      <c r="J7641" s="2" t="s">
        <v>13</v>
      </c>
      <c r="K7641" s="2" t="s">
        <v>1452</v>
      </c>
      <c r="L7641" s="2" t="s">
        <v>5221</v>
      </c>
      <c r="M7641" s="2" t="s">
        <v>5221</v>
      </c>
      <c r="N7641" s="2" t="s">
        <v>2317</v>
      </c>
      <c r="O7641" s="14">
        <v>6700</v>
      </c>
      <c r="P7641" s="14">
        <v>98.09</v>
      </c>
      <c r="Q7641" s="14">
        <v>127.97</v>
      </c>
      <c r="R7641" s="14">
        <v>129.25</v>
      </c>
      <c r="S7641" s="2" t="s">
        <v>6234</v>
      </c>
      <c r="T7641" s="2">
        <v>1.01</v>
      </c>
      <c r="U7641" s="2">
        <v>66.900000000000006</v>
      </c>
      <c r="V7641" s="2">
        <v>63</v>
      </c>
      <c r="W7641" s="2" t="s">
        <v>7862</v>
      </c>
      <c r="X7641" s="2" t="s">
        <v>6838</v>
      </c>
      <c r="Y7641" s="2">
        <v>6767</v>
      </c>
      <c r="Z7641" s="19" t="str">
        <f>HYPERLINK("https://ssdweb.co/ssdweb/hd/Vision360.html?d=926810645&amp;zoomslide=1&amp;z=1926810645&amp;ISCONFIRM=0","VIDEO")</f>
        <v>VIDEO</v>
      </c>
      <c r="AA7641" s="19" t="str">
        <f>HYPERLINK("https://ssdweb.co/ssdweb/CERTH/692534090.pdf","CERTI")</f>
        <v>CERTI</v>
      </c>
    </row>
    <row r="7642" spans="1:27" ht="15" x14ac:dyDescent="0.25">
      <c r="A7642" s="2">
        <v>7637</v>
      </c>
      <c r="B7642" s="39">
        <v>926690912</v>
      </c>
      <c r="C7642" s="28" t="str">
        <f>HYPERLINK("https://pld.live/RapDetail.aspx?STONELIST=926690912","DNA")</f>
        <v>DNA</v>
      </c>
      <c r="D7642" s="18" t="s">
        <v>3054</v>
      </c>
      <c r="E7642" s="18" t="s">
        <v>5128</v>
      </c>
      <c r="F7642" s="2" t="s">
        <v>7987</v>
      </c>
      <c r="G7642" s="2" t="s">
        <v>15</v>
      </c>
      <c r="H7642" s="14">
        <v>1.01</v>
      </c>
      <c r="I7642" s="2" t="s">
        <v>267</v>
      </c>
      <c r="J7642" s="2" t="s">
        <v>13</v>
      </c>
      <c r="K7642" s="2" t="s">
        <v>1452</v>
      </c>
      <c r="L7642" s="2" t="s">
        <v>5221</v>
      </c>
      <c r="M7642" s="2" t="s">
        <v>5221</v>
      </c>
      <c r="N7642" s="2" t="s">
        <v>2317</v>
      </c>
      <c r="O7642" s="14">
        <v>6700</v>
      </c>
      <c r="P7642" s="14">
        <v>98.09</v>
      </c>
      <c r="Q7642" s="14">
        <v>127.97</v>
      </c>
      <c r="R7642" s="14">
        <v>129.25</v>
      </c>
      <c r="S7642" s="2" t="s">
        <v>119</v>
      </c>
      <c r="T7642" s="2">
        <v>1.01</v>
      </c>
      <c r="U7642" s="2">
        <v>64.7</v>
      </c>
      <c r="V7642" s="2">
        <v>68</v>
      </c>
      <c r="W7642" s="2" t="s">
        <v>7862</v>
      </c>
      <c r="X7642" s="2" t="s">
        <v>6838</v>
      </c>
      <c r="Y7642" s="2">
        <v>6767</v>
      </c>
      <c r="Z7642" s="19" t="str">
        <f>HYPERLINK("https://ssdweb.co/ssdweb/hd/Vision360.html?d=926690912&amp;zoomslide=1&amp;z=1926690912&amp;ISCONFIRM=0","VIDEO")</f>
        <v>VIDEO</v>
      </c>
      <c r="AA7642" s="19" t="str">
        <f>HYPERLINK("https://ssdweb.co/ssdweb/CERTH/694508409.pdf","CERTI")</f>
        <v>CERTI</v>
      </c>
    </row>
    <row r="7643" spans="1:27" ht="15" x14ac:dyDescent="0.25">
      <c r="A7643" s="2">
        <v>7638</v>
      </c>
      <c r="B7643" s="39">
        <v>926921447</v>
      </c>
      <c r="C7643" s="28" t="str">
        <f>HYPERLINK("https://pld.live/RapDetail.aspx?STONELIST=926921447","DNA")</f>
        <v>DNA</v>
      </c>
      <c r="D7643" s="18" t="s">
        <v>3054</v>
      </c>
      <c r="E7643" s="18" t="s">
        <v>2186</v>
      </c>
      <c r="F7643" s="2" t="s">
        <v>7987</v>
      </c>
      <c r="G7643" s="2" t="s">
        <v>15</v>
      </c>
      <c r="H7643" s="14">
        <v>1.01</v>
      </c>
      <c r="I7643" s="2" t="s">
        <v>267</v>
      </c>
      <c r="J7643" s="2" t="s">
        <v>13</v>
      </c>
      <c r="K7643" s="2" t="s">
        <v>1452</v>
      </c>
      <c r="L7643" s="2" t="s">
        <v>5221</v>
      </c>
      <c r="M7643" s="2" t="s">
        <v>5221</v>
      </c>
      <c r="N7643" s="2" t="s">
        <v>2317</v>
      </c>
      <c r="O7643" s="14">
        <v>6700</v>
      </c>
      <c r="P7643" s="14">
        <v>98.09</v>
      </c>
      <c r="Q7643" s="14">
        <v>127.97</v>
      </c>
      <c r="R7643" s="14">
        <v>129.25</v>
      </c>
      <c r="S7643" s="2" t="s">
        <v>4926</v>
      </c>
      <c r="T7643" s="2">
        <v>1.02</v>
      </c>
      <c r="U7643" s="2">
        <v>65</v>
      </c>
      <c r="V7643" s="2">
        <v>68</v>
      </c>
      <c r="W7643" s="2" t="s">
        <v>7862</v>
      </c>
      <c r="X7643" s="2" t="s">
        <v>6838</v>
      </c>
      <c r="Y7643" s="2">
        <v>6767</v>
      </c>
      <c r="Z7643" s="19" t="str">
        <f>HYPERLINK("https://ssdweb.co/ssdweb/hd/Vision360.html?d=926921447&amp;zoomslide=1&amp;z=1926921447&amp;ISCONFIRM=0","VIDEO")</f>
        <v>VIDEO</v>
      </c>
      <c r="AA7643" s="19" t="str">
        <f>HYPERLINK("https://ssdweb.co/ssdweb/CERTH/694508427.pdf","CERTI")</f>
        <v>CERTI</v>
      </c>
    </row>
    <row r="7644" spans="1:27" ht="15" x14ac:dyDescent="0.25">
      <c r="A7644" s="2">
        <v>7639</v>
      </c>
      <c r="B7644" s="39">
        <v>926310955</v>
      </c>
      <c r="C7644" s="28" t="str">
        <f>HYPERLINK("https://pld.live/RapDetail.aspx?STONELIST=926310955","DNA")</f>
        <v>DNA</v>
      </c>
      <c r="D7644" s="18" t="s">
        <v>3054</v>
      </c>
      <c r="E7644" s="18" t="s">
        <v>5128</v>
      </c>
      <c r="F7644" s="2" t="s">
        <v>7987</v>
      </c>
      <c r="G7644" s="2" t="s">
        <v>15</v>
      </c>
      <c r="H7644" s="14">
        <v>1.01</v>
      </c>
      <c r="I7644" s="2" t="s">
        <v>267</v>
      </c>
      <c r="J7644" s="2" t="s">
        <v>13</v>
      </c>
      <c r="K7644" s="2" t="s">
        <v>1452</v>
      </c>
      <c r="L7644" s="2" t="s">
        <v>5221</v>
      </c>
      <c r="M7644" s="2" t="s">
        <v>5221</v>
      </c>
      <c r="N7644" s="2" t="s">
        <v>2317</v>
      </c>
      <c r="O7644" s="14">
        <v>6700</v>
      </c>
      <c r="P7644" s="14">
        <v>98.15</v>
      </c>
      <c r="Q7644" s="14">
        <v>123.95</v>
      </c>
      <c r="R7644" s="14">
        <v>125.19</v>
      </c>
      <c r="S7644" s="2" t="s">
        <v>5015</v>
      </c>
      <c r="T7644" s="2">
        <v>1</v>
      </c>
      <c r="U7644" s="2">
        <v>67.2</v>
      </c>
      <c r="V7644" s="2">
        <v>67</v>
      </c>
      <c r="W7644" s="2" t="s">
        <v>7862</v>
      </c>
      <c r="X7644" s="2" t="s">
        <v>6838</v>
      </c>
      <c r="Y7644" s="2">
        <v>6767</v>
      </c>
      <c r="Z7644" s="19" t="str">
        <f>HYPERLINK("https://ssdweb.co/ssdweb/hd/Vision360.html?d=926310955&amp;zoomslide=1&amp;z=1926310955&amp;ISCONFIRM=0","VIDEO")</f>
        <v>VIDEO</v>
      </c>
      <c r="AA7644" s="19" t="str">
        <f>HYPERLINK("https://ssdweb.co/ssdweb/CERTH/644466879.pdf","CERTI")</f>
        <v>CERTI</v>
      </c>
    </row>
    <row r="7645" spans="1:27" ht="15" x14ac:dyDescent="0.25">
      <c r="A7645" s="2">
        <v>7640</v>
      </c>
      <c r="B7645" s="39">
        <v>924880354</v>
      </c>
      <c r="C7645" s="28" t="str">
        <f>HYPERLINK("https://pld.live/RapDetail.aspx?STONELIST=924880354","DNA")</f>
        <v>DNA</v>
      </c>
      <c r="D7645" s="18" t="s">
        <v>3054</v>
      </c>
      <c r="E7645" s="18" t="s">
        <v>5128</v>
      </c>
      <c r="F7645" s="2" t="s">
        <v>5597</v>
      </c>
      <c r="G7645" s="2" t="s">
        <v>15</v>
      </c>
      <c r="H7645" s="14">
        <v>1.01</v>
      </c>
      <c r="I7645" s="2" t="s">
        <v>267</v>
      </c>
      <c r="J7645" s="2" t="s">
        <v>13</v>
      </c>
      <c r="K7645" s="2" t="s">
        <v>1452</v>
      </c>
      <c r="L7645" s="2" t="s">
        <v>5221</v>
      </c>
      <c r="M7645" s="2" t="s">
        <v>5721</v>
      </c>
      <c r="N7645" s="2" t="s">
        <v>2317</v>
      </c>
      <c r="O7645" s="14">
        <v>6700</v>
      </c>
      <c r="P7645" s="14">
        <v>97.01</v>
      </c>
      <c r="Q7645" s="14">
        <v>200.33</v>
      </c>
      <c r="R7645" s="14">
        <v>202.33</v>
      </c>
      <c r="S7645" s="2" t="s">
        <v>971</v>
      </c>
      <c r="T7645" s="2">
        <v>1</v>
      </c>
      <c r="U7645" s="2">
        <v>66.099999999999994</v>
      </c>
      <c r="V7645" s="2">
        <v>63</v>
      </c>
      <c r="W7645" s="2" t="s">
        <v>7862</v>
      </c>
      <c r="X7645" s="2" t="s">
        <v>6838</v>
      </c>
      <c r="Y7645" s="2">
        <v>6767</v>
      </c>
      <c r="Z7645" s="19" t="str">
        <f>HYPERLINK("https://ssdweb.co/ssdweb/hd/Vision360.html?d=924880354&amp;zoomslide=1&amp;z=1924880354&amp;ISCONFIRM=0","VIDEO")</f>
        <v>VIDEO</v>
      </c>
      <c r="AA7645" s="19" t="str">
        <f>HYPERLINK("https://ssdweb.co/ssdweb/CERTH/7478890462.pdf","CERTI")</f>
        <v>CERTI</v>
      </c>
    </row>
    <row r="7646" spans="1:27" ht="15" x14ac:dyDescent="0.25">
      <c r="A7646" s="2">
        <v>7641</v>
      </c>
      <c r="B7646" s="39">
        <v>926250479</v>
      </c>
      <c r="C7646" s="28" t="str">
        <f>HYPERLINK("https://pld.live/RapDetail.aspx?STONELIST=926250479","DNA")</f>
        <v>DNA</v>
      </c>
      <c r="D7646" s="18" t="s">
        <v>3054</v>
      </c>
      <c r="E7646" s="18" t="s">
        <v>5128</v>
      </c>
      <c r="F7646" s="2" t="s">
        <v>7987</v>
      </c>
      <c r="G7646" s="2" t="s">
        <v>15</v>
      </c>
      <c r="H7646" s="14">
        <v>1.01</v>
      </c>
      <c r="I7646" s="2" t="s">
        <v>267</v>
      </c>
      <c r="J7646" s="2" t="s">
        <v>5144</v>
      </c>
      <c r="K7646" s="2" t="s">
        <v>1452</v>
      </c>
      <c r="L7646" s="2" t="s">
        <v>5221</v>
      </c>
      <c r="M7646" s="2" t="s">
        <v>5221</v>
      </c>
      <c r="N7646" s="2" t="s">
        <v>2317</v>
      </c>
      <c r="O7646" s="14">
        <v>5700</v>
      </c>
      <c r="P7646" s="14">
        <v>97.91</v>
      </c>
      <c r="Q7646" s="14">
        <v>119.13</v>
      </c>
      <c r="R7646" s="14">
        <v>120.32</v>
      </c>
      <c r="S7646" s="2" t="s">
        <v>5051</v>
      </c>
      <c r="T7646" s="2">
        <v>1</v>
      </c>
      <c r="U7646" s="2">
        <v>63.7</v>
      </c>
      <c r="V7646" s="2">
        <v>67</v>
      </c>
      <c r="W7646" s="2" t="s">
        <v>7862</v>
      </c>
      <c r="X7646" s="2" t="s">
        <v>6838</v>
      </c>
      <c r="Y7646" s="2">
        <v>5757</v>
      </c>
      <c r="Z7646" s="19" t="str">
        <f>HYPERLINK("https://ssdweb.co/ssdweb/hd/Vision360.html?d=926250479&amp;zoomslide=1&amp;z=1926250479&amp;ISCONFIRM=0","VIDEO")</f>
        <v>VIDEO</v>
      </c>
      <c r="AA7646" s="19" t="str">
        <f>HYPERLINK("https://ssdweb.co/ssdweb/CERTH/639406102.pdf","CERTI")</f>
        <v>CERTI</v>
      </c>
    </row>
    <row r="7647" spans="1:27" ht="15" x14ac:dyDescent="0.25">
      <c r="A7647" s="2">
        <v>7642</v>
      </c>
      <c r="B7647" s="39">
        <v>925080480</v>
      </c>
      <c r="C7647" s="28" t="str">
        <f>HYPERLINK("https://pld.live/RapDetail.aspx?STONELIST=925080480","DNA")</f>
        <v>DNA</v>
      </c>
      <c r="D7647" s="18" t="s">
        <v>3054</v>
      </c>
      <c r="E7647" s="18" t="s">
        <v>5128</v>
      </c>
      <c r="F7647" s="2" t="s">
        <v>5597</v>
      </c>
      <c r="G7647" s="2" t="s">
        <v>15</v>
      </c>
      <c r="H7647" s="14">
        <v>1.01</v>
      </c>
      <c r="I7647" s="2" t="s">
        <v>267</v>
      </c>
      <c r="J7647" s="2" t="s">
        <v>5144</v>
      </c>
      <c r="K7647" s="2" t="s">
        <v>1452</v>
      </c>
      <c r="L7647" s="2" t="s">
        <v>5221</v>
      </c>
      <c r="M7647" s="2" t="s">
        <v>5221</v>
      </c>
      <c r="N7647" s="2" t="s">
        <v>2317</v>
      </c>
      <c r="O7647" s="14">
        <v>5700</v>
      </c>
      <c r="P7647" s="14">
        <v>96.58</v>
      </c>
      <c r="Q7647" s="14">
        <v>194.94</v>
      </c>
      <c r="R7647" s="14">
        <v>196.89</v>
      </c>
      <c r="S7647" s="2" t="s">
        <v>7279</v>
      </c>
      <c r="T7647" s="2">
        <v>1</v>
      </c>
      <c r="U7647" s="2">
        <v>67.2</v>
      </c>
      <c r="V7647" s="2">
        <v>64</v>
      </c>
      <c r="W7647" s="2" t="s">
        <v>7862</v>
      </c>
      <c r="X7647" s="2" t="s">
        <v>6838</v>
      </c>
      <c r="Y7647" s="2">
        <v>5757</v>
      </c>
      <c r="Z7647" s="19" t="str">
        <f>HYPERLINK("https://ssdweb.co/ssdweb/hd/Vision360.html?d=925080480&amp;zoomslide=1&amp;z=1925080480&amp;ISCONFIRM=0","VIDEO")</f>
        <v>VIDEO</v>
      </c>
      <c r="AA7647" s="19" t="str">
        <f>HYPERLINK("https://ssdweb.co/ssdweb/CERTH/3485175056.pdf","CERTI")</f>
        <v>CERTI</v>
      </c>
    </row>
    <row r="7648" spans="1:27" ht="15" x14ac:dyDescent="0.25">
      <c r="A7648" s="2">
        <v>7643</v>
      </c>
      <c r="B7648" s="39">
        <v>926810380</v>
      </c>
      <c r="C7648" s="28" t="str">
        <f>HYPERLINK("https://pld.live/RapDetail.aspx?STONELIST=926810380","DNA")</f>
        <v>DNA</v>
      </c>
      <c r="D7648" s="18" t="s">
        <v>3054</v>
      </c>
      <c r="E7648" s="18" t="s">
        <v>5128</v>
      </c>
      <c r="F7648" s="2" t="s">
        <v>7987</v>
      </c>
      <c r="G7648" s="2" t="s">
        <v>15</v>
      </c>
      <c r="H7648" s="14">
        <v>1</v>
      </c>
      <c r="I7648" s="2" t="s">
        <v>267</v>
      </c>
      <c r="J7648" s="2" t="s">
        <v>6555</v>
      </c>
      <c r="K7648" s="2" t="s">
        <v>1452</v>
      </c>
      <c r="L7648" s="2" t="s">
        <v>5221</v>
      </c>
      <c r="M7648" s="2" t="s">
        <v>5221</v>
      </c>
      <c r="N7648" s="2" t="s">
        <v>2317</v>
      </c>
      <c r="O7648" s="14">
        <v>8200</v>
      </c>
      <c r="P7648" s="14">
        <v>98.23</v>
      </c>
      <c r="Q7648" s="14">
        <v>145.13999999999999</v>
      </c>
      <c r="R7648" s="14">
        <v>145.13999999999999</v>
      </c>
      <c r="S7648" s="2" t="s">
        <v>1721</v>
      </c>
      <c r="T7648" s="2">
        <v>1</v>
      </c>
      <c r="U7648" s="2">
        <v>66.400000000000006</v>
      </c>
      <c r="V7648" s="2">
        <v>60</v>
      </c>
      <c r="W7648" s="2" t="s">
        <v>7862</v>
      </c>
      <c r="X7648" s="2" t="s">
        <v>6838</v>
      </c>
      <c r="Y7648" s="2">
        <v>8200</v>
      </c>
      <c r="Z7648" s="19" t="str">
        <f>HYPERLINK("https://ssdweb.co/ssdweb/hd/Vision360.html?d=926810380&amp;zoomslide=1&amp;z=1926810380&amp;ISCONFIRM=0","VIDEO")</f>
        <v>VIDEO</v>
      </c>
      <c r="AA7648" s="19" t="str">
        <f>HYPERLINK("https://ssdweb.co/ssdweb/CERTH/692534106.pdf","CERTI")</f>
        <v>CERTI</v>
      </c>
    </row>
    <row r="7649" spans="1:27" ht="15" x14ac:dyDescent="0.25">
      <c r="A7649" s="2">
        <v>7644</v>
      </c>
      <c r="B7649" s="39">
        <v>926790370</v>
      </c>
      <c r="C7649" s="28" t="str">
        <f>HYPERLINK("https://pld.live/RapDetail.aspx?STONELIST=926790370","DNA")</f>
        <v>DNA</v>
      </c>
      <c r="D7649" s="18" t="s">
        <v>3054</v>
      </c>
      <c r="E7649" s="18" t="s">
        <v>2186</v>
      </c>
      <c r="F7649" s="2" t="s">
        <v>7987</v>
      </c>
      <c r="G7649" s="2" t="s">
        <v>15</v>
      </c>
      <c r="H7649" s="14">
        <v>1</v>
      </c>
      <c r="I7649" s="2" t="s">
        <v>267</v>
      </c>
      <c r="J7649" s="2" t="s">
        <v>3942</v>
      </c>
      <c r="K7649" s="2" t="s">
        <v>1452</v>
      </c>
      <c r="L7649" s="2" t="s">
        <v>5221</v>
      </c>
      <c r="M7649" s="2" t="s">
        <v>5221</v>
      </c>
      <c r="N7649" s="2" t="s">
        <v>2317</v>
      </c>
      <c r="O7649" s="14">
        <v>7600</v>
      </c>
      <c r="P7649" s="14">
        <v>98.24</v>
      </c>
      <c r="Q7649" s="14">
        <v>133.76</v>
      </c>
      <c r="R7649" s="14">
        <v>133.76</v>
      </c>
      <c r="S7649" s="2" t="s">
        <v>3545</v>
      </c>
      <c r="T7649" s="2">
        <v>1.02</v>
      </c>
      <c r="U7649" s="2">
        <v>67.2</v>
      </c>
      <c r="V7649" s="2">
        <v>63</v>
      </c>
      <c r="W7649" s="2" t="s">
        <v>7862</v>
      </c>
      <c r="X7649" s="2" t="s">
        <v>6838</v>
      </c>
      <c r="Y7649" s="2">
        <v>7600</v>
      </c>
      <c r="Z7649" s="19" t="str">
        <f>HYPERLINK("https://ssdweb.co/ssdweb/hd/Vision360.html?d=926790370&amp;zoomslide=1&amp;z=1926790370&amp;ISCONFIRM=0","VIDEO")</f>
        <v>VIDEO</v>
      </c>
      <c r="AA7649" s="19" t="str">
        <f>HYPERLINK("https://ssdweb.co/ssdweb/CERTH/692534105.pdf","CERTI")</f>
        <v>CERTI</v>
      </c>
    </row>
    <row r="7650" spans="1:27" ht="15" x14ac:dyDescent="0.25">
      <c r="A7650" s="2">
        <v>7645</v>
      </c>
      <c r="B7650" s="39">
        <v>926870855</v>
      </c>
      <c r="C7650" s="28" t="str">
        <f>HYPERLINK("https://pld.live/RapDetail.aspx?STONELIST=926870855","DNA")</f>
        <v>DNA</v>
      </c>
      <c r="D7650" s="18" t="s">
        <v>3054</v>
      </c>
      <c r="E7650" s="18" t="s">
        <v>5128</v>
      </c>
      <c r="F7650" s="2" t="s">
        <v>7987</v>
      </c>
      <c r="G7650" s="2" t="s">
        <v>15</v>
      </c>
      <c r="H7650" s="14">
        <v>1</v>
      </c>
      <c r="I7650" s="2" t="s">
        <v>267</v>
      </c>
      <c r="J7650" s="2" t="s">
        <v>5144</v>
      </c>
      <c r="K7650" s="2" t="s">
        <v>1452</v>
      </c>
      <c r="L7650" s="2" t="s">
        <v>5221</v>
      </c>
      <c r="M7650" s="2" t="s">
        <v>5221</v>
      </c>
      <c r="N7650" s="2" t="s">
        <v>2317</v>
      </c>
      <c r="O7650" s="14">
        <v>5700</v>
      </c>
      <c r="P7650" s="14">
        <v>97.84</v>
      </c>
      <c r="Q7650" s="14">
        <v>123.12</v>
      </c>
      <c r="R7650" s="14">
        <v>123.12</v>
      </c>
      <c r="S7650" s="2" t="s">
        <v>1280</v>
      </c>
      <c r="T7650" s="2">
        <v>1</v>
      </c>
      <c r="U7650" s="2">
        <v>67.2</v>
      </c>
      <c r="V7650" s="2">
        <v>63</v>
      </c>
      <c r="W7650" s="2" t="s">
        <v>7862</v>
      </c>
      <c r="X7650" s="2" t="s">
        <v>6838</v>
      </c>
      <c r="Y7650" s="2">
        <v>5700</v>
      </c>
      <c r="Z7650" s="19" t="str">
        <f>HYPERLINK("https://ssdweb.co/ssdweb/hd/Vision360.html?d=926870855&amp;zoomslide=1&amp;z=1926870855&amp;ISCONFIRM=0","VIDEO")</f>
        <v>VIDEO</v>
      </c>
      <c r="AA7650" s="19" t="str">
        <f>HYPERLINK("https://ssdweb.co/ssdweb/CERTH/694508426.pdf","CERTI")</f>
        <v>CERTI</v>
      </c>
    </row>
    <row r="7651" spans="1:27" ht="15" x14ac:dyDescent="0.25">
      <c r="A7651" s="2">
        <v>7646</v>
      </c>
      <c r="B7651" s="39">
        <v>924440153</v>
      </c>
      <c r="C7651" s="28" t="str">
        <f>HYPERLINK("https://pld.live/RapDetail.aspx?STONELIST=924440153","DNA")</f>
        <v>DNA</v>
      </c>
      <c r="D7651" s="18" t="s">
        <v>3054</v>
      </c>
      <c r="E7651" s="18" t="s">
        <v>5128</v>
      </c>
      <c r="F7651" s="2" t="s">
        <v>5597</v>
      </c>
      <c r="G7651" s="2" t="s">
        <v>15</v>
      </c>
      <c r="H7651" s="14">
        <v>1</v>
      </c>
      <c r="I7651" s="2" t="s">
        <v>267</v>
      </c>
      <c r="J7651" s="2" t="s">
        <v>5144</v>
      </c>
      <c r="K7651" s="2" t="s">
        <v>1452</v>
      </c>
      <c r="L7651" s="2" t="s">
        <v>5221</v>
      </c>
      <c r="M7651" s="2" t="s">
        <v>5721</v>
      </c>
      <c r="N7651" s="2" t="s">
        <v>2317</v>
      </c>
      <c r="O7651" s="14">
        <v>5700</v>
      </c>
      <c r="P7651" s="14">
        <v>96.61</v>
      </c>
      <c r="Q7651" s="14">
        <v>193.23</v>
      </c>
      <c r="R7651" s="14">
        <v>193.23</v>
      </c>
      <c r="S7651" s="2" t="s">
        <v>4970</v>
      </c>
      <c r="T7651" s="2">
        <v>1.03</v>
      </c>
      <c r="U7651" s="2">
        <v>63</v>
      </c>
      <c r="V7651" s="2">
        <v>65</v>
      </c>
      <c r="W7651" s="2" t="s">
        <v>7862</v>
      </c>
      <c r="X7651" s="2" t="s">
        <v>6838</v>
      </c>
      <c r="Y7651" s="2">
        <v>5700</v>
      </c>
      <c r="Z7651" s="19" t="str">
        <f>HYPERLINK("https://ssdweb.co/ssdweb/hd/Vision360.html?d=924440153&amp;zoomslide=1&amp;z=1924440153&amp;ISCONFIRM=0","VIDEO")</f>
        <v>VIDEO</v>
      </c>
      <c r="AA7651" s="19" t="str">
        <f>HYPERLINK("https://ssdweb.co/ssdweb/CERTH/6472504789.pdf","CERTI")</f>
        <v>CERTI</v>
      </c>
    </row>
    <row r="7652" spans="1:27" ht="15" x14ac:dyDescent="0.25">
      <c r="A7652" s="2">
        <v>7647</v>
      </c>
      <c r="B7652" s="39">
        <v>926270852</v>
      </c>
      <c r="C7652" s="28" t="str">
        <f>HYPERLINK("https://pld.live/RapDetail.aspx?STONELIST=926270852","DNA")</f>
        <v>DNA</v>
      </c>
      <c r="D7652" s="18" t="s">
        <v>3054</v>
      </c>
      <c r="E7652" s="18" t="s">
        <v>5128</v>
      </c>
      <c r="F7652" s="2" t="s">
        <v>7987</v>
      </c>
      <c r="G7652" s="2" t="s">
        <v>15</v>
      </c>
      <c r="H7652" s="14">
        <v>1</v>
      </c>
      <c r="I7652" s="2" t="s">
        <v>4761</v>
      </c>
      <c r="J7652" s="2" t="s">
        <v>3942</v>
      </c>
      <c r="K7652" s="2" t="s">
        <v>1452</v>
      </c>
      <c r="L7652" s="2" t="s">
        <v>5221</v>
      </c>
      <c r="M7652" s="2" t="s">
        <v>5221</v>
      </c>
      <c r="N7652" s="2" t="s">
        <v>2317</v>
      </c>
      <c r="O7652" s="14">
        <v>6900</v>
      </c>
      <c r="P7652" s="14">
        <v>98.17</v>
      </c>
      <c r="Q7652" s="14">
        <v>126.27</v>
      </c>
      <c r="R7652" s="14">
        <v>126.27</v>
      </c>
      <c r="S7652" s="2" t="s">
        <v>6401</v>
      </c>
      <c r="T7652" s="2">
        <v>1</v>
      </c>
      <c r="U7652" s="2">
        <v>68.2</v>
      </c>
      <c r="V7652" s="2">
        <v>62</v>
      </c>
      <c r="W7652" s="2" t="s">
        <v>7862</v>
      </c>
      <c r="X7652" s="2" t="s">
        <v>6838</v>
      </c>
      <c r="Y7652" s="2">
        <v>6900</v>
      </c>
      <c r="Z7652" s="19" t="str">
        <f>HYPERLINK("https://ssdweb.co/ssdweb/hd/Vision360.html?d=926270852&amp;zoomslide=1&amp;z=1926270852&amp;ISCONFIRM=0","VIDEO")</f>
        <v>VIDEO</v>
      </c>
      <c r="AA7652" s="19" t="str">
        <f>HYPERLINK("https://ssdweb.co/ssdweb/CERTH/639413280.pdf","CERTI")</f>
        <v>CERTI</v>
      </c>
    </row>
    <row r="7653" spans="1:27" ht="15" x14ac:dyDescent="0.25">
      <c r="A7653" s="2">
        <v>7648</v>
      </c>
      <c r="B7653" s="39">
        <v>924710168</v>
      </c>
      <c r="C7653" s="28" t="str">
        <f>HYPERLINK("https://pld.live/RapDetail.aspx?STONELIST=924710168","DNA")</f>
        <v>DNA</v>
      </c>
      <c r="D7653" s="18" t="s">
        <v>3054</v>
      </c>
      <c r="E7653" s="18" t="s">
        <v>5128</v>
      </c>
      <c r="F7653" s="2" t="s">
        <v>7987</v>
      </c>
      <c r="G7653" s="2" t="s">
        <v>15</v>
      </c>
      <c r="H7653" s="14">
        <v>1</v>
      </c>
      <c r="I7653" s="2" t="s">
        <v>4699</v>
      </c>
      <c r="J7653" s="2" t="s">
        <v>13</v>
      </c>
      <c r="K7653" s="2" t="s">
        <v>1452</v>
      </c>
      <c r="L7653" s="2" t="s">
        <v>5221</v>
      </c>
      <c r="M7653" s="2" t="s">
        <v>5221</v>
      </c>
      <c r="N7653" s="2" t="s">
        <v>2317</v>
      </c>
      <c r="O7653" s="14">
        <v>5800</v>
      </c>
      <c r="P7653" s="14">
        <v>98</v>
      </c>
      <c r="Q7653" s="14">
        <v>116</v>
      </c>
      <c r="R7653" s="14">
        <v>116</v>
      </c>
      <c r="S7653" s="2" t="s">
        <v>344</v>
      </c>
      <c r="T7653" s="2">
        <v>1.03</v>
      </c>
      <c r="U7653" s="2">
        <v>63.6</v>
      </c>
      <c r="V7653" s="2">
        <v>70</v>
      </c>
      <c r="W7653" s="2" t="s">
        <v>7862</v>
      </c>
      <c r="X7653" s="2" t="s">
        <v>6838</v>
      </c>
      <c r="Y7653" s="2">
        <v>5800</v>
      </c>
      <c r="Z7653" s="19" t="str">
        <f>HYPERLINK("https://ssdweb.co/ssdweb/hd/Vision360.html?d=924710168&amp;zoomslide=1&amp;z=1924710168&amp;ISCONFIRM=0","VIDEO")</f>
        <v>VIDEO</v>
      </c>
      <c r="AA7653" s="19" t="str">
        <f>HYPERLINK("https://ssdweb.co/ssdweb/CERTH/600385236.pdf","CERTI")</f>
        <v>CERTI</v>
      </c>
    </row>
    <row r="7654" spans="1:27" ht="15" x14ac:dyDescent="0.25">
      <c r="A7654" s="2">
        <v>7649</v>
      </c>
      <c r="B7654" s="39">
        <v>926311220</v>
      </c>
      <c r="C7654" s="28" t="str">
        <f>HYPERLINK("https://pld.live/RapDetail.aspx?STONELIST=926311220","DNA")</f>
        <v>DNA</v>
      </c>
      <c r="D7654" s="18" t="s">
        <v>4121</v>
      </c>
      <c r="E7654" s="18" t="s">
        <v>5128</v>
      </c>
      <c r="F7654" s="2" t="s">
        <v>7987</v>
      </c>
      <c r="G7654" s="2" t="s">
        <v>15</v>
      </c>
      <c r="H7654" s="14">
        <v>0.98</v>
      </c>
      <c r="I7654" s="2" t="s">
        <v>4699</v>
      </c>
      <c r="J7654" s="2" t="s">
        <v>5144</v>
      </c>
      <c r="K7654" s="2" t="s">
        <v>1452</v>
      </c>
      <c r="L7654" s="2" t="s">
        <v>5721</v>
      </c>
      <c r="M7654" s="2" t="s">
        <v>5721</v>
      </c>
      <c r="N7654" s="2" t="s">
        <v>2317</v>
      </c>
      <c r="O7654" s="14">
        <v>4000</v>
      </c>
      <c r="P7654" s="14">
        <v>97.3</v>
      </c>
      <c r="Q7654" s="14">
        <v>108</v>
      </c>
      <c r="R7654" s="14">
        <v>105.84</v>
      </c>
      <c r="S7654" s="2" t="s">
        <v>4810</v>
      </c>
      <c r="T7654" s="2">
        <v>1.02</v>
      </c>
      <c r="U7654" s="2">
        <v>64.8</v>
      </c>
      <c r="V7654" s="2">
        <v>58</v>
      </c>
      <c r="W7654" s="2" t="s">
        <v>7862</v>
      </c>
      <c r="X7654" s="2" t="s">
        <v>6838</v>
      </c>
      <c r="Y7654" s="2">
        <v>3920</v>
      </c>
      <c r="Z7654" s="19" t="str">
        <f>HYPERLINK("https://ssdweb.co/ssdweb/hd/Vision360.html?d=926311220&amp;zoomslide=1&amp;z=1926311220&amp;ISCONFIRM=0","VIDEO")</f>
        <v>VIDEO</v>
      </c>
      <c r="AA7654" s="19" t="str">
        <f>HYPERLINK("https://ssdweb.co/ssdweb/CERTH/646472894.pdf","CERTI")</f>
        <v>CERTI</v>
      </c>
    </row>
    <row r="7655" spans="1:27" ht="15" x14ac:dyDescent="0.25">
      <c r="A7655" s="2">
        <v>7650</v>
      </c>
      <c r="B7655" s="39">
        <v>924880349</v>
      </c>
      <c r="C7655" s="28" t="str">
        <f>HYPERLINK("https://pld.live/RapDetail.aspx?STONELIST=924880349","DNA")</f>
        <v>DNA</v>
      </c>
      <c r="D7655" s="18" t="s">
        <v>2990</v>
      </c>
      <c r="E7655" s="18" t="s">
        <v>5128</v>
      </c>
      <c r="F7655" s="2" t="s">
        <v>7987</v>
      </c>
      <c r="G7655" s="2" t="s">
        <v>15</v>
      </c>
      <c r="H7655" s="14">
        <v>0.93</v>
      </c>
      <c r="I7655" s="2" t="s">
        <v>267</v>
      </c>
      <c r="J7655" s="2" t="s">
        <v>3942</v>
      </c>
      <c r="K7655" s="2" t="s">
        <v>1452</v>
      </c>
      <c r="L7655" s="2" t="s">
        <v>5221</v>
      </c>
      <c r="M7655" s="2" t="s">
        <v>5221</v>
      </c>
      <c r="N7655" s="2" t="s">
        <v>2317</v>
      </c>
      <c r="O7655" s="14">
        <v>5600</v>
      </c>
      <c r="P7655" s="14">
        <v>97.75</v>
      </c>
      <c r="Q7655" s="14">
        <v>126</v>
      </c>
      <c r="R7655" s="14">
        <v>117.18</v>
      </c>
      <c r="S7655" s="2" t="s">
        <v>1896</v>
      </c>
      <c r="T7655" s="2">
        <v>1.02</v>
      </c>
      <c r="U7655" s="2">
        <v>64.5</v>
      </c>
      <c r="V7655" s="2">
        <v>61</v>
      </c>
      <c r="W7655" s="2" t="s">
        <v>7862</v>
      </c>
      <c r="X7655" s="2" t="s">
        <v>6838</v>
      </c>
      <c r="Y7655" s="2">
        <v>5208</v>
      </c>
      <c r="Z7655" s="19" t="str">
        <f>HYPERLINK("https://ssdweb.co/ssdweb/hd/Vision360.html?d=924880349&amp;zoomslide=1&amp;z=1924880349&amp;ISCONFIRM=0","VIDEO")</f>
        <v>VIDEO</v>
      </c>
      <c r="AA7655" s="19" t="str">
        <f>HYPERLINK("https://ssdweb.co/ssdweb/CERTH/605355764.pdf","CERTI")</f>
        <v>CERTI</v>
      </c>
    </row>
    <row r="7656" spans="1:27" ht="15" x14ac:dyDescent="0.25">
      <c r="A7656" s="2">
        <v>7651</v>
      </c>
      <c r="B7656" s="39">
        <v>924900235</v>
      </c>
      <c r="C7656" s="28" t="str">
        <f>HYPERLINK("https://pld.live/RapDetail.aspx?STONELIST=924900235","DNA")</f>
        <v>DNA</v>
      </c>
      <c r="D7656" s="18" t="s">
        <v>2990</v>
      </c>
      <c r="E7656" s="18" t="s">
        <v>5128</v>
      </c>
      <c r="F7656" s="2" t="s">
        <v>7987</v>
      </c>
      <c r="G7656" s="2" t="s">
        <v>15</v>
      </c>
      <c r="H7656" s="14">
        <v>0.92</v>
      </c>
      <c r="I7656" s="2" t="s">
        <v>267</v>
      </c>
      <c r="J7656" s="2" t="s">
        <v>6555</v>
      </c>
      <c r="K7656" s="2" t="s">
        <v>1452</v>
      </c>
      <c r="L7656" s="2" t="s">
        <v>5221</v>
      </c>
      <c r="M7656" s="2" t="s">
        <v>5221</v>
      </c>
      <c r="N7656" s="2" t="s">
        <v>2317</v>
      </c>
      <c r="O7656" s="14">
        <v>6300</v>
      </c>
      <c r="P7656" s="14">
        <v>97.76</v>
      </c>
      <c r="Q7656" s="14">
        <v>141.12</v>
      </c>
      <c r="R7656" s="14">
        <v>129.83000000000001</v>
      </c>
      <c r="S7656" s="2" t="s">
        <v>2080</v>
      </c>
      <c r="T7656" s="2">
        <v>1.02</v>
      </c>
      <c r="U7656" s="2">
        <v>64.8</v>
      </c>
      <c r="V7656" s="2">
        <v>59</v>
      </c>
      <c r="W7656" s="2" t="s">
        <v>7862</v>
      </c>
      <c r="X7656" s="2" t="s">
        <v>6838</v>
      </c>
      <c r="Y7656" s="2">
        <v>5796</v>
      </c>
      <c r="Z7656" s="19" t="str">
        <f>HYPERLINK("https://ssdweb.co/ssdweb/hd/Vision360.html?d=924900235&amp;zoomslide=1&amp;z=1924900235&amp;ISCONFIRM=0","VIDEO")</f>
        <v>VIDEO</v>
      </c>
      <c r="AA7656" s="19" t="str">
        <f>HYPERLINK("https://ssdweb.co/ssdweb/CERTH/606329882.pdf","CERTI")</f>
        <v>CERTI</v>
      </c>
    </row>
    <row r="7657" spans="1:27" ht="15" x14ac:dyDescent="0.25">
      <c r="A7657" s="2">
        <v>7652</v>
      </c>
      <c r="B7657" s="39">
        <v>924850243</v>
      </c>
      <c r="C7657" s="28" t="str">
        <f>HYPERLINK("https://pld.live/RapDetail.aspx?STONELIST=924850243","DNA")</f>
        <v>DNA</v>
      </c>
      <c r="D7657" s="18" t="s">
        <v>5847</v>
      </c>
      <c r="E7657" s="18" t="s">
        <v>5128</v>
      </c>
      <c r="F7657" s="2" t="s">
        <v>7987</v>
      </c>
      <c r="G7657" s="2" t="s">
        <v>15</v>
      </c>
      <c r="H7657" s="14">
        <v>0.73</v>
      </c>
      <c r="I7657" s="2" t="s">
        <v>267</v>
      </c>
      <c r="J7657" s="2" t="s">
        <v>7032</v>
      </c>
      <c r="K7657" s="2" t="s">
        <v>1452</v>
      </c>
      <c r="L7657" s="2" t="s">
        <v>5221</v>
      </c>
      <c r="M7657" s="2" t="s">
        <v>5221</v>
      </c>
      <c r="N7657" s="2" t="s">
        <v>2317</v>
      </c>
      <c r="O7657" s="14">
        <v>4700</v>
      </c>
      <c r="P7657" s="14">
        <v>94.38</v>
      </c>
      <c r="Q7657" s="14">
        <v>264.14</v>
      </c>
      <c r="R7657" s="14">
        <v>192.82</v>
      </c>
      <c r="S7657" s="2" t="s">
        <v>1138</v>
      </c>
      <c r="T7657" s="2">
        <v>1.02</v>
      </c>
      <c r="U7657" s="2">
        <v>66.7</v>
      </c>
      <c r="V7657" s="2">
        <v>63</v>
      </c>
      <c r="W7657" s="2" t="s">
        <v>7862</v>
      </c>
      <c r="X7657" s="2" t="s">
        <v>6838</v>
      </c>
      <c r="Y7657" s="2">
        <v>3431</v>
      </c>
      <c r="Z7657" s="19" t="str">
        <f>HYPERLINK("https://ssdweb.co/ssdweb/hd/Vision360.html?d=924850243&amp;zoomslide=1&amp;z=1924850243&amp;ISCONFIRM=0","VIDEO")</f>
        <v>VIDEO</v>
      </c>
      <c r="AA7657" s="19" t="str">
        <f>HYPERLINK("https://ssdweb.co/ssdweb/CERTH/605305613.pdf","CERTI")</f>
        <v>CERTI</v>
      </c>
    </row>
    <row r="7658" spans="1:27" ht="15" x14ac:dyDescent="0.25">
      <c r="A7658" s="2">
        <v>7653</v>
      </c>
      <c r="B7658" s="39">
        <v>941260978</v>
      </c>
      <c r="C7658" s="28" t="str">
        <f>HYPERLINK("https://pld.live/RapDetail.aspx?STONELIST=941260978","DNA")</f>
        <v>DNA</v>
      </c>
      <c r="D7658" s="18" t="s">
        <v>5847</v>
      </c>
      <c r="E7658" s="18" t="s">
        <v>5128</v>
      </c>
      <c r="F7658" s="2" t="s">
        <v>7987</v>
      </c>
      <c r="G7658" s="2" t="s">
        <v>15</v>
      </c>
      <c r="H7658" s="14">
        <v>0.73</v>
      </c>
      <c r="I7658" s="2" t="s">
        <v>267</v>
      </c>
      <c r="J7658" s="2" t="s">
        <v>3942</v>
      </c>
      <c r="K7658" s="2" t="s">
        <v>1452</v>
      </c>
      <c r="L7658" s="2" t="s">
        <v>5221</v>
      </c>
      <c r="M7658" s="2" t="s">
        <v>5221</v>
      </c>
      <c r="N7658" s="2" t="s">
        <v>2317</v>
      </c>
      <c r="O7658" s="14">
        <v>4000</v>
      </c>
      <c r="P7658" s="14">
        <v>95.88</v>
      </c>
      <c r="Q7658" s="14">
        <v>164.8</v>
      </c>
      <c r="R7658" s="14">
        <v>120.3</v>
      </c>
      <c r="S7658" s="2" t="s">
        <v>1810</v>
      </c>
      <c r="T7658" s="2">
        <v>1.01</v>
      </c>
      <c r="U7658" s="2">
        <v>68</v>
      </c>
      <c r="V7658" s="2">
        <v>64</v>
      </c>
      <c r="W7658" s="2" t="s">
        <v>7862</v>
      </c>
      <c r="X7658" s="2" t="s">
        <v>6838</v>
      </c>
      <c r="Y7658" s="2">
        <v>2920</v>
      </c>
      <c r="Z7658" s="19" t="str">
        <f>HYPERLINK("https://ssdweb.co/ssdweb/hd/Vision360.html?d=941260978&amp;zoomslide=1&amp;z=1941260978&amp;ISCONFIRM=0","VIDEO")</f>
        <v>VIDEO</v>
      </c>
      <c r="AA7658" s="19" t="str">
        <f>HYPERLINK("https://ssdweb.co/ssdweb/CERTH/684505098.pdf","CERTI")</f>
        <v>CERTI</v>
      </c>
    </row>
    <row r="7659" spans="1:27" ht="15" x14ac:dyDescent="0.25">
      <c r="A7659" s="2">
        <v>7654</v>
      </c>
      <c r="B7659" s="39">
        <v>941260706</v>
      </c>
      <c r="C7659" s="28" t="str">
        <f>HYPERLINK("https://pld.live/RapDetail.aspx?STONELIST=941260706","DNA")</f>
        <v>DNA</v>
      </c>
      <c r="D7659" s="18" t="s">
        <v>5847</v>
      </c>
      <c r="E7659" s="18" t="s">
        <v>5128</v>
      </c>
      <c r="F7659" s="2" t="s">
        <v>7987</v>
      </c>
      <c r="G7659" s="2" t="s">
        <v>15</v>
      </c>
      <c r="H7659" s="14">
        <v>0.72</v>
      </c>
      <c r="I7659" s="2" t="s">
        <v>267</v>
      </c>
      <c r="J7659" s="2" t="s">
        <v>3942</v>
      </c>
      <c r="K7659" s="2" t="s">
        <v>1452</v>
      </c>
      <c r="L7659" s="2" t="s">
        <v>5221</v>
      </c>
      <c r="M7659" s="2" t="s">
        <v>5221</v>
      </c>
      <c r="N7659" s="2" t="s">
        <v>2317</v>
      </c>
      <c r="O7659" s="14">
        <v>4000</v>
      </c>
      <c r="P7659" s="14">
        <v>95.88</v>
      </c>
      <c r="Q7659" s="14">
        <v>164.8</v>
      </c>
      <c r="R7659" s="14">
        <v>118.66</v>
      </c>
      <c r="S7659" s="2" t="s">
        <v>3818</v>
      </c>
      <c r="T7659" s="2">
        <v>1</v>
      </c>
      <c r="U7659" s="2">
        <v>65.8</v>
      </c>
      <c r="V7659" s="2">
        <v>62</v>
      </c>
      <c r="W7659" s="2" t="s">
        <v>7862</v>
      </c>
      <c r="X7659" s="2" t="s">
        <v>6838</v>
      </c>
      <c r="Y7659" s="2">
        <v>2880</v>
      </c>
      <c r="Z7659" s="19" t="str">
        <f>HYPERLINK("https://ssdweb.co/ssdweb/hd/Vision360.html?d=941260706&amp;zoomslide=1&amp;z=1941260706&amp;ISCONFIRM=0","VIDEO")</f>
        <v>VIDEO</v>
      </c>
      <c r="AA7659" s="19" t="str">
        <f>HYPERLINK("https://ssdweb.co/ssdweb/CERTH/680505098.pdf","CERTI")</f>
        <v>CERTI</v>
      </c>
    </row>
    <row r="7660" spans="1:27" ht="15" x14ac:dyDescent="0.25">
      <c r="A7660" s="2">
        <v>7655</v>
      </c>
      <c r="B7660" s="39">
        <v>941260443</v>
      </c>
      <c r="C7660" s="28" t="str">
        <f>HYPERLINK("https://pld.live/RapDetail.aspx?STONELIST=941260443","DNA")</f>
        <v>DNA</v>
      </c>
      <c r="D7660" s="18" t="s">
        <v>5847</v>
      </c>
      <c r="E7660" s="18" t="s">
        <v>5128</v>
      </c>
      <c r="F7660" s="2" t="s">
        <v>7987</v>
      </c>
      <c r="G7660" s="2" t="s">
        <v>15</v>
      </c>
      <c r="H7660" s="14">
        <v>0.72</v>
      </c>
      <c r="I7660" s="2" t="s">
        <v>267</v>
      </c>
      <c r="J7660" s="2" t="s">
        <v>3942</v>
      </c>
      <c r="K7660" s="2" t="s">
        <v>1452</v>
      </c>
      <c r="L7660" s="2" t="s">
        <v>5221</v>
      </c>
      <c r="M7660" s="2" t="s">
        <v>5221</v>
      </c>
      <c r="N7660" s="2" t="s">
        <v>2317</v>
      </c>
      <c r="O7660" s="14">
        <v>4000</v>
      </c>
      <c r="P7660" s="14">
        <v>95.88</v>
      </c>
      <c r="Q7660" s="14">
        <v>164.8</v>
      </c>
      <c r="R7660" s="14">
        <v>118.66</v>
      </c>
      <c r="S7660" s="2" t="s">
        <v>8021</v>
      </c>
      <c r="T7660" s="2">
        <v>1</v>
      </c>
      <c r="U7660" s="2">
        <v>66.7</v>
      </c>
      <c r="V7660" s="2">
        <v>67</v>
      </c>
      <c r="W7660" s="2" t="s">
        <v>7862</v>
      </c>
      <c r="X7660" s="2" t="s">
        <v>6838</v>
      </c>
      <c r="Y7660" s="2">
        <v>2880</v>
      </c>
      <c r="Z7660" s="19" t="str">
        <f>HYPERLINK("https://ssdweb.co/ssdweb/hd/Vision360.html?d=941260443&amp;zoomslide=1&amp;z=1941260443&amp;ISCONFIRM=0","VIDEO")</f>
        <v>VIDEO</v>
      </c>
      <c r="AA7660" s="19" t="str">
        <f>HYPERLINK("https://ssdweb.co/ssdweb/CERTH/680505096.pdf","CERTI")</f>
        <v>CERTI</v>
      </c>
    </row>
    <row r="7661" spans="1:27" ht="15" x14ac:dyDescent="0.25">
      <c r="A7661" s="2">
        <v>7656</v>
      </c>
      <c r="B7661" s="39">
        <v>941170342</v>
      </c>
      <c r="C7661" s="28" t="str">
        <f>HYPERLINK("https://pld.live/RapDetail.aspx?STONELIST=941170342","DNA")</f>
        <v>DNA</v>
      </c>
      <c r="D7661" s="18" t="s">
        <v>5847</v>
      </c>
      <c r="E7661" s="18" t="s">
        <v>5128</v>
      </c>
      <c r="F7661" s="2" t="s">
        <v>7987</v>
      </c>
      <c r="G7661" s="2" t="s">
        <v>15</v>
      </c>
      <c r="H7661" s="14">
        <v>0.72</v>
      </c>
      <c r="I7661" s="2" t="s">
        <v>267</v>
      </c>
      <c r="J7661" s="2" t="s">
        <v>3942</v>
      </c>
      <c r="K7661" s="2" t="s">
        <v>1452</v>
      </c>
      <c r="L7661" s="2" t="s">
        <v>5221</v>
      </c>
      <c r="M7661" s="2" t="s">
        <v>5721</v>
      </c>
      <c r="N7661" s="2" t="s">
        <v>2317</v>
      </c>
      <c r="O7661" s="14">
        <v>4000</v>
      </c>
      <c r="P7661" s="14">
        <v>95.93</v>
      </c>
      <c r="Q7661" s="14">
        <v>162.80000000000001</v>
      </c>
      <c r="R7661" s="14">
        <v>117.22</v>
      </c>
      <c r="S7661" s="2" t="s">
        <v>5299</v>
      </c>
      <c r="T7661" s="2">
        <v>1.02</v>
      </c>
      <c r="U7661" s="2">
        <v>63.6</v>
      </c>
      <c r="V7661" s="2">
        <v>58</v>
      </c>
      <c r="W7661" s="2" t="s">
        <v>7862</v>
      </c>
      <c r="X7661" s="2" t="s">
        <v>6838</v>
      </c>
      <c r="Y7661" s="2">
        <v>2880</v>
      </c>
      <c r="Z7661" s="19" t="str">
        <f>HYPERLINK("https://ssdweb.co/ssdweb/hd/Vision360.html?d=941170342&amp;zoomslide=1&amp;z=1941170342&amp;ISCONFIRM=0","VIDEO")</f>
        <v>VIDEO</v>
      </c>
      <c r="AA7661" s="19" t="str">
        <f>HYPERLINK("https://ssdweb.co/ssdweb/CERTH/675504618.pdf","CERTI")</f>
        <v>CERTI</v>
      </c>
    </row>
    <row r="7662" spans="1:27" ht="15" x14ac:dyDescent="0.25">
      <c r="A7662" s="2">
        <v>7657</v>
      </c>
      <c r="B7662" s="39">
        <v>941261085</v>
      </c>
      <c r="C7662" s="28" t="str">
        <f>HYPERLINK("https://pld.live/RapDetail.aspx?STONELIST=941261085","DNA")</f>
        <v>DNA</v>
      </c>
      <c r="D7662" s="18" t="s">
        <v>5847</v>
      </c>
      <c r="E7662" s="18" t="s">
        <v>5128</v>
      </c>
      <c r="F7662" s="2" t="s">
        <v>7987</v>
      </c>
      <c r="G7662" s="2" t="s">
        <v>15</v>
      </c>
      <c r="H7662" s="14">
        <v>0.72</v>
      </c>
      <c r="I7662" s="2" t="s">
        <v>267</v>
      </c>
      <c r="J7662" s="2" t="s">
        <v>13</v>
      </c>
      <c r="K7662" s="2" t="s">
        <v>1452</v>
      </c>
      <c r="L7662" s="2" t="s">
        <v>5221</v>
      </c>
      <c r="M7662" s="2" t="s">
        <v>5221</v>
      </c>
      <c r="N7662" s="2" t="s">
        <v>2317</v>
      </c>
      <c r="O7662" s="14">
        <v>3700</v>
      </c>
      <c r="P7662" s="14">
        <v>96.22</v>
      </c>
      <c r="Q7662" s="14">
        <v>139.86000000000001</v>
      </c>
      <c r="R7662" s="14">
        <v>100.7</v>
      </c>
      <c r="S7662" s="2" t="s">
        <v>2247</v>
      </c>
      <c r="T7662" s="2">
        <v>1.01</v>
      </c>
      <c r="U7662" s="2">
        <v>66.7</v>
      </c>
      <c r="V7662" s="2">
        <v>66</v>
      </c>
      <c r="W7662" s="2" t="s">
        <v>7862</v>
      </c>
      <c r="X7662" s="2" t="s">
        <v>6838</v>
      </c>
      <c r="Y7662" s="2">
        <v>2664</v>
      </c>
      <c r="Z7662" s="19" t="str">
        <f>HYPERLINK("https://ssdweb.co/ssdweb/hd/Vision360.html?d=941261085&amp;zoomslide=1&amp;z=1941261085&amp;ISCONFIRM=0","VIDEO")</f>
        <v>VIDEO</v>
      </c>
      <c r="AA7662" s="19" t="str">
        <f>HYPERLINK("https://ssdweb.co/ssdweb/CERTH/689587202.pdf","CERTI")</f>
        <v>CERTI</v>
      </c>
    </row>
    <row r="7663" spans="1:27" ht="15" x14ac:dyDescent="0.25">
      <c r="A7663" s="2">
        <v>7658</v>
      </c>
      <c r="B7663" s="39">
        <v>941260509</v>
      </c>
      <c r="C7663" s="28" t="str">
        <f>HYPERLINK("https://pld.live/RapDetail.aspx?STONELIST=941260509","DNA")</f>
        <v>DNA</v>
      </c>
      <c r="D7663" s="18" t="s">
        <v>5847</v>
      </c>
      <c r="E7663" s="18" t="s">
        <v>5128</v>
      </c>
      <c r="F7663" s="2" t="s">
        <v>7987</v>
      </c>
      <c r="G7663" s="2" t="s">
        <v>15</v>
      </c>
      <c r="H7663" s="14">
        <v>0.72</v>
      </c>
      <c r="I7663" s="2" t="s">
        <v>267</v>
      </c>
      <c r="J7663" s="2" t="s">
        <v>13</v>
      </c>
      <c r="K7663" s="2" t="s">
        <v>1452</v>
      </c>
      <c r="L7663" s="2" t="s">
        <v>5221</v>
      </c>
      <c r="M7663" s="2" t="s">
        <v>5221</v>
      </c>
      <c r="N7663" s="2" t="s">
        <v>2317</v>
      </c>
      <c r="O7663" s="14">
        <v>3700</v>
      </c>
      <c r="P7663" s="14">
        <v>96.22</v>
      </c>
      <c r="Q7663" s="14">
        <v>139.86000000000001</v>
      </c>
      <c r="R7663" s="14">
        <v>100.7</v>
      </c>
      <c r="S7663" s="2" t="s">
        <v>2169</v>
      </c>
      <c r="T7663" s="2">
        <v>1.02</v>
      </c>
      <c r="U7663" s="2">
        <v>65</v>
      </c>
      <c r="V7663" s="2">
        <v>67</v>
      </c>
      <c r="W7663" s="2" t="s">
        <v>7862</v>
      </c>
      <c r="X7663" s="2" t="s">
        <v>6838</v>
      </c>
      <c r="Y7663" s="2">
        <v>2664</v>
      </c>
      <c r="Z7663" s="19" t="str">
        <f>HYPERLINK("https://ssdweb.co/ssdweb/hd/Vision360.html?d=941260509&amp;zoomslide=1&amp;z=1941260509&amp;ISCONFIRM=0","VIDEO")</f>
        <v>VIDEO</v>
      </c>
      <c r="AA7663" s="19" t="str">
        <f>HYPERLINK("https://ssdweb.co/ssdweb/CERTH/680505097.pdf","CERTI")</f>
        <v>CERTI</v>
      </c>
    </row>
    <row r="7664" spans="1:27" ht="15" x14ac:dyDescent="0.25">
      <c r="A7664" s="2">
        <v>7659</v>
      </c>
      <c r="B7664" s="39">
        <v>941170274</v>
      </c>
      <c r="C7664" s="28" t="str">
        <f>HYPERLINK("https://pld.live/RapDetail.aspx?STONELIST=941170274","DNA")</f>
        <v>DNA</v>
      </c>
      <c r="D7664" s="18" t="s">
        <v>5847</v>
      </c>
      <c r="E7664" s="18" t="s">
        <v>5128</v>
      </c>
      <c r="F7664" s="2" t="s">
        <v>7987</v>
      </c>
      <c r="G7664" s="2" t="s">
        <v>15</v>
      </c>
      <c r="H7664" s="14">
        <v>0.72</v>
      </c>
      <c r="I7664" s="2" t="s">
        <v>4761</v>
      </c>
      <c r="J7664" s="2" t="s">
        <v>6555</v>
      </c>
      <c r="K7664" s="2" t="s">
        <v>1452</v>
      </c>
      <c r="L7664" s="2" t="s">
        <v>5221</v>
      </c>
      <c r="M7664" s="2" t="s">
        <v>5221</v>
      </c>
      <c r="N7664" s="2" t="s">
        <v>2317</v>
      </c>
      <c r="O7664" s="14">
        <v>4000</v>
      </c>
      <c r="P7664" s="14">
        <v>95.5</v>
      </c>
      <c r="Q7664" s="14">
        <v>180</v>
      </c>
      <c r="R7664" s="14">
        <v>129.6</v>
      </c>
      <c r="S7664" s="2" t="s">
        <v>1838</v>
      </c>
      <c r="T7664" s="2">
        <v>1</v>
      </c>
      <c r="U7664" s="2">
        <v>66.8</v>
      </c>
      <c r="V7664" s="2">
        <v>67</v>
      </c>
      <c r="W7664" s="2" t="s">
        <v>7862</v>
      </c>
      <c r="X7664" s="2" t="s">
        <v>6838</v>
      </c>
      <c r="Y7664" s="2">
        <v>2880</v>
      </c>
      <c r="Z7664" s="19" t="str">
        <f>HYPERLINK("https://ssdweb.co/ssdweb/hd/Vision360.html?d=941170274&amp;zoomslide=1&amp;z=1941170274&amp;ISCONFIRM=0","VIDEO")</f>
        <v>VIDEO</v>
      </c>
      <c r="AA7664" s="19" t="str">
        <f>HYPERLINK("https://ssdweb.co/ssdweb/CERTH/675504581.pdf","CERTI")</f>
        <v>CERTI</v>
      </c>
    </row>
    <row r="7665" spans="1:27" ht="15" x14ac:dyDescent="0.25">
      <c r="A7665" s="2">
        <v>7660</v>
      </c>
      <c r="B7665" s="39">
        <v>941170035</v>
      </c>
      <c r="C7665" s="28" t="str">
        <f>HYPERLINK("https://pld.live/RapDetail.aspx?STONELIST=941170035","DNA")</f>
        <v>DNA</v>
      </c>
      <c r="D7665" s="18" t="s">
        <v>5847</v>
      </c>
      <c r="E7665" s="18" t="s">
        <v>5128</v>
      </c>
      <c r="F7665" s="2" t="s">
        <v>7987</v>
      </c>
      <c r="G7665" s="2" t="s">
        <v>15</v>
      </c>
      <c r="H7665" s="14">
        <v>0.71</v>
      </c>
      <c r="I7665" s="2" t="s">
        <v>267</v>
      </c>
      <c r="J7665" s="2" t="s">
        <v>6555</v>
      </c>
      <c r="K7665" s="2" t="s">
        <v>1452</v>
      </c>
      <c r="L7665" s="2" t="s">
        <v>5221</v>
      </c>
      <c r="M7665" s="2" t="s">
        <v>5221</v>
      </c>
      <c r="N7665" s="2" t="s">
        <v>2317</v>
      </c>
      <c r="O7665" s="14">
        <v>4300</v>
      </c>
      <c r="P7665" s="14">
        <v>95.12</v>
      </c>
      <c r="Q7665" s="14">
        <v>209.84</v>
      </c>
      <c r="R7665" s="14">
        <v>148.99</v>
      </c>
      <c r="S7665" s="2" t="s">
        <v>3762</v>
      </c>
      <c r="T7665" s="2">
        <v>1.01</v>
      </c>
      <c r="U7665" s="2">
        <v>64.900000000000006</v>
      </c>
      <c r="V7665" s="2">
        <v>63</v>
      </c>
      <c r="W7665" s="2" t="s">
        <v>7862</v>
      </c>
      <c r="X7665" s="2" t="s">
        <v>6838</v>
      </c>
      <c r="Y7665" s="2">
        <v>3053</v>
      </c>
      <c r="Z7665" s="19" t="str">
        <f>HYPERLINK("https://ssdweb.co/ssdweb/hd/Vision360.html?d=941170035&amp;zoomslide=1&amp;z=1941170035&amp;ISCONFIRM=0","VIDEO")</f>
        <v>VIDEO</v>
      </c>
      <c r="AA7665" s="19" t="str">
        <f>HYPERLINK("https://ssdweb.co/ssdweb/CERTH/675504572.pdf","CERTI")</f>
        <v>CERTI</v>
      </c>
    </row>
    <row r="7666" spans="1:27" ht="15" x14ac:dyDescent="0.25">
      <c r="A7666" s="2">
        <v>7661</v>
      </c>
      <c r="B7666" s="39">
        <v>941261088</v>
      </c>
      <c r="C7666" s="28" t="str">
        <f>HYPERLINK("https://pld.live/RapDetail.aspx?STONELIST=941261088","DNA")</f>
        <v>DNA</v>
      </c>
      <c r="D7666" s="18" t="s">
        <v>5847</v>
      </c>
      <c r="E7666" s="18" t="s">
        <v>5128</v>
      </c>
      <c r="F7666" s="2" t="s">
        <v>7987</v>
      </c>
      <c r="G7666" s="2" t="s">
        <v>15</v>
      </c>
      <c r="H7666" s="14">
        <v>0.71</v>
      </c>
      <c r="I7666" s="2" t="s">
        <v>267</v>
      </c>
      <c r="J7666" s="2" t="s">
        <v>3942</v>
      </c>
      <c r="K7666" s="2" t="s">
        <v>1452</v>
      </c>
      <c r="L7666" s="2" t="s">
        <v>5221</v>
      </c>
      <c r="M7666" s="2" t="s">
        <v>5221</v>
      </c>
      <c r="N7666" s="2" t="s">
        <v>2317</v>
      </c>
      <c r="O7666" s="14">
        <v>4000</v>
      </c>
      <c r="P7666" s="14">
        <v>95.88</v>
      </c>
      <c r="Q7666" s="14">
        <v>164.8</v>
      </c>
      <c r="R7666" s="14">
        <v>117.01</v>
      </c>
      <c r="S7666" s="2" t="s">
        <v>3074</v>
      </c>
      <c r="T7666" s="2">
        <v>1.01</v>
      </c>
      <c r="U7666" s="2">
        <v>68.599999999999994</v>
      </c>
      <c r="V7666" s="2">
        <v>58</v>
      </c>
      <c r="W7666" s="2" t="s">
        <v>7862</v>
      </c>
      <c r="X7666" s="2" t="s">
        <v>6838</v>
      </c>
      <c r="Y7666" s="2">
        <v>2840</v>
      </c>
      <c r="Z7666" s="19" t="str">
        <f>HYPERLINK("https://ssdweb.co/ssdweb/hd/Vision360.html?d=941261088&amp;zoomslide=1&amp;z=1941261088&amp;ISCONFIRM=0","VIDEO")</f>
        <v>VIDEO</v>
      </c>
      <c r="AA7666" s="19" t="str">
        <f>HYPERLINK("https://ssdweb.co/ssdweb/CERTH/689587203.pdf","CERTI")</f>
        <v>CERTI</v>
      </c>
    </row>
    <row r="7667" spans="1:27" ht="15" x14ac:dyDescent="0.25">
      <c r="A7667" s="2">
        <v>7662</v>
      </c>
      <c r="B7667" s="39">
        <v>941170036</v>
      </c>
      <c r="C7667" s="28" t="str">
        <f>HYPERLINK("https://pld.live/RapDetail.aspx?STONELIST=941170036","DNA")</f>
        <v>DNA</v>
      </c>
      <c r="D7667" s="18" t="s">
        <v>5847</v>
      </c>
      <c r="E7667" s="18" t="s">
        <v>5128</v>
      </c>
      <c r="F7667" s="2" t="s">
        <v>7987</v>
      </c>
      <c r="G7667" s="2" t="s">
        <v>15</v>
      </c>
      <c r="H7667" s="14">
        <v>0.71</v>
      </c>
      <c r="I7667" s="2" t="s">
        <v>267</v>
      </c>
      <c r="J7667" s="2" t="s">
        <v>3942</v>
      </c>
      <c r="K7667" s="2" t="s">
        <v>1452</v>
      </c>
      <c r="L7667" s="2" t="s">
        <v>5221</v>
      </c>
      <c r="M7667" s="2" t="s">
        <v>5221</v>
      </c>
      <c r="N7667" s="2" t="s">
        <v>2317</v>
      </c>
      <c r="O7667" s="14">
        <v>4000</v>
      </c>
      <c r="P7667" s="14">
        <v>95.88</v>
      </c>
      <c r="Q7667" s="14">
        <v>164.8</v>
      </c>
      <c r="R7667" s="14">
        <v>117.01</v>
      </c>
      <c r="S7667" s="2" t="s">
        <v>5112</v>
      </c>
      <c r="T7667" s="2">
        <v>1</v>
      </c>
      <c r="U7667" s="2">
        <v>64.8</v>
      </c>
      <c r="V7667" s="2">
        <v>62</v>
      </c>
      <c r="W7667" s="2" t="s">
        <v>7862</v>
      </c>
      <c r="X7667" s="2" t="s">
        <v>6838</v>
      </c>
      <c r="Y7667" s="2">
        <v>2840</v>
      </c>
      <c r="Z7667" s="19" t="str">
        <f>HYPERLINK("https://ssdweb.co/ssdweb/hd/Vision360.html?d=941170036&amp;zoomslide=1&amp;z=1941170036&amp;ISCONFIRM=0","VIDEO")</f>
        <v>VIDEO</v>
      </c>
      <c r="AA7667" s="19" t="str">
        <f>HYPERLINK("https://ssdweb.co/ssdweb/CERTH/675504573.pdf","CERTI")</f>
        <v>CERTI</v>
      </c>
    </row>
    <row r="7668" spans="1:27" ht="15" x14ac:dyDescent="0.25">
      <c r="A7668" s="2">
        <v>7663</v>
      </c>
      <c r="B7668" s="39">
        <v>941170086</v>
      </c>
      <c r="C7668" s="28" t="str">
        <f>HYPERLINK("https://pld.live/RapDetail.aspx?STONELIST=941170086","DNA")</f>
        <v>DNA</v>
      </c>
      <c r="D7668" s="18" t="s">
        <v>5847</v>
      </c>
      <c r="E7668" s="18" t="s">
        <v>5128</v>
      </c>
      <c r="F7668" s="2" t="s">
        <v>7987</v>
      </c>
      <c r="G7668" s="2" t="s">
        <v>15</v>
      </c>
      <c r="H7668" s="14">
        <v>0.71</v>
      </c>
      <c r="I7668" s="2" t="s">
        <v>267</v>
      </c>
      <c r="J7668" s="2" t="s">
        <v>3942</v>
      </c>
      <c r="K7668" s="2" t="s">
        <v>1452</v>
      </c>
      <c r="L7668" s="2" t="s">
        <v>5221</v>
      </c>
      <c r="M7668" s="2" t="s">
        <v>5221</v>
      </c>
      <c r="N7668" s="2" t="s">
        <v>2317</v>
      </c>
      <c r="O7668" s="14">
        <v>4000</v>
      </c>
      <c r="P7668" s="14">
        <v>95.88</v>
      </c>
      <c r="Q7668" s="14">
        <v>164.8</v>
      </c>
      <c r="R7668" s="14">
        <v>117.01</v>
      </c>
      <c r="S7668" s="2" t="s">
        <v>5608</v>
      </c>
      <c r="T7668" s="2">
        <v>1</v>
      </c>
      <c r="U7668" s="2">
        <v>64.5</v>
      </c>
      <c r="V7668" s="2">
        <v>61</v>
      </c>
      <c r="W7668" s="2" t="s">
        <v>7862</v>
      </c>
      <c r="X7668" s="2" t="s">
        <v>6838</v>
      </c>
      <c r="Y7668" s="2">
        <v>2840</v>
      </c>
      <c r="Z7668" s="19" t="str">
        <f>HYPERLINK("https://ssdweb.co/ssdweb/hd/Vision360.html?d=941170086&amp;zoomslide=1&amp;z=1941170086&amp;ISCONFIRM=0","VIDEO")</f>
        <v>VIDEO</v>
      </c>
      <c r="AA7668" s="19" t="str">
        <f>HYPERLINK("https://ssdweb.co/ssdweb/CERTH/675504575.pdf","CERTI")</f>
        <v>CERTI</v>
      </c>
    </row>
    <row r="7669" spans="1:27" ht="15" x14ac:dyDescent="0.25">
      <c r="A7669" s="2">
        <v>7664</v>
      </c>
      <c r="B7669" s="39">
        <v>941261094</v>
      </c>
      <c r="C7669" s="28" t="str">
        <f>HYPERLINK("https://pld.live/RapDetail.aspx?STONELIST=941261094","DNA")</f>
        <v>DNA</v>
      </c>
      <c r="D7669" s="18" t="s">
        <v>5847</v>
      </c>
      <c r="E7669" s="18" t="s">
        <v>5128</v>
      </c>
      <c r="F7669" s="2" t="s">
        <v>7987</v>
      </c>
      <c r="G7669" s="2" t="s">
        <v>15</v>
      </c>
      <c r="H7669" s="14">
        <v>0.71</v>
      </c>
      <c r="I7669" s="2" t="s">
        <v>267</v>
      </c>
      <c r="J7669" s="2" t="s">
        <v>3942</v>
      </c>
      <c r="K7669" s="2" t="s">
        <v>1452</v>
      </c>
      <c r="L7669" s="2" t="s">
        <v>5221</v>
      </c>
      <c r="M7669" s="2" t="s">
        <v>5221</v>
      </c>
      <c r="N7669" s="2" t="s">
        <v>2317</v>
      </c>
      <c r="O7669" s="14">
        <v>4000</v>
      </c>
      <c r="P7669" s="14">
        <v>95.88</v>
      </c>
      <c r="Q7669" s="14">
        <v>164.8</v>
      </c>
      <c r="R7669" s="14">
        <v>117.01</v>
      </c>
      <c r="S7669" s="2" t="s">
        <v>5657</v>
      </c>
      <c r="T7669" s="2">
        <v>1.01</v>
      </c>
      <c r="U7669" s="2">
        <v>67.8</v>
      </c>
      <c r="V7669" s="2">
        <v>68</v>
      </c>
      <c r="W7669" s="2" t="s">
        <v>7862</v>
      </c>
      <c r="X7669" s="2" t="s">
        <v>6838</v>
      </c>
      <c r="Y7669" s="2">
        <v>2840</v>
      </c>
      <c r="Z7669" s="19" t="str">
        <f>HYPERLINK("https://ssdweb.co/ssdweb/hd/Vision360.html?d=941261094&amp;zoomslide=1&amp;z=1941261094&amp;ISCONFIRM=0","VIDEO")</f>
        <v>VIDEO</v>
      </c>
      <c r="AA7669" s="19" t="str">
        <f>HYPERLINK("https://ssdweb.co/ssdweb/CERTH/689587207.pdf","CERTI")</f>
        <v>CERTI</v>
      </c>
    </row>
    <row r="7670" spans="1:27" ht="15" x14ac:dyDescent="0.25">
      <c r="A7670" s="2">
        <v>7665</v>
      </c>
      <c r="B7670" s="39">
        <v>941260467</v>
      </c>
      <c r="C7670" s="28" t="str">
        <f>HYPERLINK("https://pld.live/RapDetail.aspx?STONELIST=941260467","DNA")</f>
        <v>DNA</v>
      </c>
      <c r="D7670" s="18" t="s">
        <v>5847</v>
      </c>
      <c r="E7670" s="18" t="s">
        <v>5128</v>
      </c>
      <c r="F7670" s="2" t="s">
        <v>7987</v>
      </c>
      <c r="G7670" s="2" t="s">
        <v>15</v>
      </c>
      <c r="H7670" s="14">
        <v>0.71</v>
      </c>
      <c r="I7670" s="2" t="s">
        <v>267</v>
      </c>
      <c r="J7670" s="2" t="s">
        <v>3942</v>
      </c>
      <c r="K7670" s="2" t="s">
        <v>1452</v>
      </c>
      <c r="L7670" s="2" t="s">
        <v>5221</v>
      </c>
      <c r="M7670" s="2" t="s">
        <v>5221</v>
      </c>
      <c r="N7670" s="2" t="s">
        <v>2317</v>
      </c>
      <c r="O7670" s="14">
        <v>4000</v>
      </c>
      <c r="P7670" s="14">
        <v>95.88</v>
      </c>
      <c r="Q7670" s="14">
        <v>164.8</v>
      </c>
      <c r="R7670" s="14">
        <v>117.01</v>
      </c>
      <c r="S7670" s="2" t="s">
        <v>5988</v>
      </c>
      <c r="T7670" s="2">
        <v>1</v>
      </c>
      <c r="U7670" s="2">
        <v>66.2</v>
      </c>
      <c r="V7670" s="2">
        <v>64</v>
      </c>
      <c r="W7670" s="2" t="s">
        <v>7862</v>
      </c>
      <c r="X7670" s="2" t="s">
        <v>6838</v>
      </c>
      <c r="Y7670" s="2">
        <v>2840</v>
      </c>
      <c r="Z7670" s="19" t="str">
        <f>HYPERLINK("https://ssdweb.co/ssdweb/hd/Vision360.html?d=941260467&amp;zoomslide=1&amp;z=1941260467&amp;ISCONFIRM=0","VIDEO")</f>
        <v>VIDEO</v>
      </c>
      <c r="AA7670" s="19" t="str">
        <f>HYPERLINK("https://ssdweb.co/ssdweb/CERTH/680505092.pdf","CERTI")</f>
        <v>CERTI</v>
      </c>
    </row>
    <row r="7671" spans="1:27" ht="15" x14ac:dyDescent="0.25">
      <c r="A7671" s="2">
        <v>7666</v>
      </c>
      <c r="B7671" s="39">
        <v>941261077</v>
      </c>
      <c r="C7671" s="28" t="str">
        <f>HYPERLINK("https://pld.live/RapDetail.aspx?STONELIST=941261077","DNA")</f>
        <v>DNA</v>
      </c>
      <c r="D7671" s="18" t="s">
        <v>5847</v>
      </c>
      <c r="E7671" s="18" t="s">
        <v>5128</v>
      </c>
      <c r="F7671" s="2" t="s">
        <v>7987</v>
      </c>
      <c r="G7671" s="2" t="s">
        <v>15</v>
      </c>
      <c r="H7671" s="14">
        <v>0.71</v>
      </c>
      <c r="I7671" s="2" t="s">
        <v>267</v>
      </c>
      <c r="J7671" s="2" t="s">
        <v>3942</v>
      </c>
      <c r="K7671" s="2" t="s">
        <v>1452</v>
      </c>
      <c r="L7671" s="2" t="s">
        <v>5221</v>
      </c>
      <c r="M7671" s="2" t="s">
        <v>5221</v>
      </c>
      <c r="N7671" s="2" t="s">
        <v>2317</v>
      </c>
      <c r="O7671" s="14">
        <v>4000</v>
      </c>
      <c r="P7671" s="14">
        <v>95.88</v>
      </c>
      <c r="Q7671" s="14">
        <v>164.8</v>
      </c>
      <c r="R7671" s="14">
        <v>117.01</v>
      </c>
      <c r="S7671" s="2" t="s">
        <v>2986</v>
      </c>
      <c r="T7671" s="2">
        <v>1.01</v>
      </c>
      <c r="U7671" s="2">
        <v>65.7</v>
      </c>
      <c r="V7671" s="2">
        <v>66</v>
      </c>
      <c r="W7671" s="2" t="s">
        <v>7862</v>
      </c>
      <c r="X7671" s="2" t="s">
        <v>6838</v>
      </c>
      <c r="Y7671" s="2">
        <v>2840</v>
      </c>
      <c r="Z7671" s="19" t="str">
        <f>HYPERLINK("https://ssdweb.co/ssdweb/hd/Vision360.html?d=941261077&amp;zoomslide=1&amp;z=1941261077&amp;ISCONFIRM=0","VIDEO")</f>
        <v>VIDEO</v>
      </c>
      <c r="AA7671" s="19" t="str">
        <f>HYPERLINK("https://ssdweb.co/ssdweb/CERTH/689587177.pdf","CERTI")</f>
        <v>CERTI</v>
      </c>
    </row>
    <row r="7672" spans="1:27" ht="15" x14ac:dyDescent="0.25">
      <c r="A7672" s="2">
        <v>7667</v>
      </c>
      <c r="B7672" s="39">
        <v>941190062</v>
      </c>
      <c r="C7672" s="28" t="str">
        <f>HYPERLINK("https://pld.live/RapDetail.aspx?STONELIST=941190062","DNA")</f>
        <v>DNA</v>
      </c>
      <c r="D7672" s="18" t="s">
        <v>5847</v>
      </c>
      <c r="E7672" s="18" t="s">
        <v>5128</v>
      </c>
      <c r="F7672" s="2" t="s">
        <v>7987</v>
      </c>
      <c r="G7672" s="2" t="s">
        <v>15</v>
      </c>
      <c r="H7672" s="14">
        <v>0.71</v>
      </c>
      <c r="I7672" s="2" t="s">
        <v>267</v>
      </c>
      <c r="J7672" s="2" t="s">
        <v>13</v>
      </c>
      <c r="K7672" s="2" t="s">
        <v>1452</v>
      </c>
      <c r="L7672" s="2" t="s">
        <v>5221</v>
      </c>
      <c r="M7672" s="2" t="s">
        <v>5221</v>
      </c>
      <c r="N7672" s="2" t="s">
        <v>2317</v>
      </c>
      <c r="O7672" s="14">
        <v>3700</v>
      </c>
      <c r="P7672" s="14">
        <v>96.22</v>
      </c>
      <c r="Q7672" s="14">
        <v>139.86000000000001</v>
      </c>
      <c r="R7672" s="14">
        <v>99.3</v>
      </c>
      <c r="S7672" s="2" t="s">
        <v>3072</v>
      </c>
      <c r="T7672" s="2">
        <v>1</v>
      </c>
      <c r="U7672" s="2">
        <v>63.7</v>
      </c>
      <c r="V7672" s="2">
        <v>62</v>
      </c>
      <c r="W7672" s="2" t="s">
        <v>7862</v>
      </c>
      <c r="X7672" s="2" t="s">
        <v>6838</v>
      </c>
      <c r="Y7672" s="2">
        <v>2627</v>
      </c>
      <c r="Z7672" s="19" t="str">
        <f>HYPERLINK("https://ssdweb.co/ssdweb/hd/Vision360.html?d=941190062&amp;zoomslide=1&amp;z=1941190062&amp;ISCONFIRM=0","VIDEO")</f>
        <v>VIDEO</v>
      </c>
      <c r="AA7672" s="19" t="str">
        <f>HYPERLINK("https://ssdweb.co/ssdweb/CERTH/674532506.pdf","CERTI")</f>
        <v>CERTI</v>
      </c>
    </row>
    <row r="7673" spans="1:27" ht="15" x14ac:dyDescent="0.25">
      <c r="A7673" s="2">
        <v>7668</v>
      </c>
      <c r="B7673" s="39">
        <v>941260638</v>
      </c>
      <c r="C7673" s="28" t="str">
        <f>HYPERLINK("https://pld.live/RapDetail.aspx?STONELIST=941260638","DNA")</f>
        <v>DNA</v>
      </c>
      <c r="D7673" s="18" t="s">
        <v>5847</v>
      </c>
      <c r="E7673" s="18" t="s">
        <v>5128</v>
      </c>
      <c r="F7673" s="2" t="s">
        <v>7987</v>
      </c>
      <c r="G7673" s="2" t="s">
        <v>15</v>
      </c>
      <c r="H7673" s="14">
        <v>0.71</v>
      </c>
      <c r="I7673" s="2" t="s">
        <v>267</v>
      </c>
      <c r="J7673" s="2" t="s">
        <v>13</v>
      </c>
      <c r="K7673" s="2" t="s">
        <v>1452</v>
      </c>
      <c r="L7673" s="2" t="s">
        <v>5221</v>
      </c>
      <c r="M7673" s="2" t="s">
        <v>5221</v>
      </c>
      <c r="N7673" s="2" t="s">
        <v>2317</v>
      </c>
      <c r="O7673" s="14">
        <v>3700</v>
      </c>
      <c r="P7673" s="14">
        <v>96.22</v>
      </c>
      <c r="Q7673" s="14">
        <v>139.86000000000001</v>
      </c>
      <c r="R7673" s="14">
        <v>99.3</v>
      </c>
      <c r="S7673" s="2" t="s">
        <v>5076</v>
      </c>
      <c r="T7673" s="2">
        <v>1.01</v>
      </c>
      <c r="U7673" s="2">
        <v>66.7</v>
      </c>
      <c r="V7673" s="2">
        <v>59</v>
      </c>
      <c r="W7673" s="2" t="s">
        <v>7862</v>
      </c>
      <c r="X7673" s="2" t="s">
        <v>6838</v>
      </c>
      <c r="Y7673" s="2">
        <v>2627</v>
      </c>
      <c r="Z7673" s="19" t="str">
        <f>HYPERLINK("https://ssdweb.co/ssdweb/hd/Vision360.html?d=941260638&amp;zoomslide=1&amp;z=1941260638&amp;ISCONFIRM=0","VIDEO")</f>
        <v>VIDEO</v>
      </c>
      <c r="AA7673" s="19" t="str">
        <f>HYPERLINK("https://ssdweb.co/ssdweb/CERTH/680505094.pdf","CERTI")</f>
        <v>CERTI</v>
      </c>
    </row>
    <row r="7674" spans="1:27" ht="15" x14ac:dyDescent="0.25">
      <c r="A7674" s="2">
        <v>7669</v>
      </c>
      <c r="B7674" s="39">
        <v>831010857</v>
      </c>
      <c r="C7674" s="28" t="str">
        <f>HYPERLINK("https://pld.live/RapDetail.aspx?STONELIST=831010857","DNA")</f>
        <v>DNA</v>
      </c>
      <c r="D7674" s="18" t="s">
        <v>5847</v>
      </c>
      <c r="E7674" s="18" t="s">
        <v>5128</v>
      </c>
      <c r="F7674" s="2" t="s">
        <v>7987</v>
      </c>
      <c r="G7674" s="2" t="s">
        <v>15</v>
      </c>
      <c r="H7674" s="14">
        <v>0.71</v>
      </c>
      <c r="I7674" s="2" t="s">
        <v>4761</v>
      </c>
      <c r="J7674" s="2" t="s">
        <v>6555</v>
      </c>
      <c r="K7674" s="2" t="s">
        <v>1452</v>
      </c>
      <c r="L7674" s="2" t="s">
        <v>5221</v>
      </c>
      <c r="M7674" s="2" t="s">
        <v>5221</v>
      </c>
      <c r="N7674" s="2" t="s">
        <v>2317</v>
      </c>
      <c r="O7674" s="14">
        <v>4000</v>
      </c>
      <c r="P7674" s="14">
        <v>96.5</v>
      </c>
      <c r="Q7674" s="14">
        <v>140</v>
      </c>
      <c r="R7674" s="14">
        <v>99.4</v>
      </c>
      <c r="S7674" s="2" t="s">
        <v>6097</v>
      </c>
      <c r="T7674" s="2">
        <v>1.01</v>
      </c>
      <c r="U7674" s="2">
        <v>67.099999999999994</v>
      </c>
      <c r="V7674" s="2">
        <v>63</v>
      </c>
      <c r="W7674" s="2" t="s">
        <v>7862</v>
      </c>
      <c r="X7674" s="2" t="s">
        <v>6838</v>
      </c>
      <c r="Y7674" s="2">
        <v>2840</v>
      </c>
      <c r="Z7674" s="19" t="str">
        <f>HYPERLINK("https://ssdweb.co/ssdweb/hd/Vision360.html?d=831010857&amp;zoomslide=1&amp;z=1831010857&amp;ISCONFIRM=0","VIDEO")</f>
        <v>VIDEO</v>
      </c>
      <c r="AA7674" s="19" t="str">
        <f>HYPERLINK("https://ssdweb.co/ssdweb/CERTH/675504585.pdf","CERTI")</f>
        <v>CERTI</v>
      </c>
    </row>
    <row r="7675" spans="1:27" ht="15" x14ac:dyDescent="0.25">
      <c r="A7675" s="2">
        <v>7670</v>
      </c>
      <c r="B7675" s="39">
        <v>941170054</v>
      </c>
      <c r="C7675" s="28" t="str">
        <f>HYPERLINK("https://pld.live/RapDetail.aspx?STONELIST=941170054","DNA")</f>
        <v>DNA</v>
      </c>
      <c r="D7675" s="18" t="s">
        <v>5847</v>
      </c>
      <c r="E7675" s="18" t="s">
        <v>5128</v>
      </c>
      <c r="F7675" s="2" t="s">
        <v>7987</v>
      </c>
      <c r="G7675" s="2" t="s">
        <v>15</v>
      </c>
      <c r="H7675" s="14">
        <v>0.71</v>
      </c>
      <c r="I7675" s="2" t="s">
        <v>4761</v>
      </c>
      <c r="J7675" s="2" t="s">
        <v>6555</v>
      </c>
      <c r="K7675" s="2" t="s">
        <v>1452</v>
      </c>
      <c r="L7675" s="2" t="s">
        <v>5221</v>
      </c>
      <c r="M7675" s="2" t="s">
        <v>5221</v>
      </c>
      <c r="N7675" s="2" t="s">
        <v>2317</v>
      </c>
      <c r="O7675" s="14">
        <v>4000</v>
      </c>
      <c r="P7675" s="14">
        <v>95.5</v>
      </c>
      <c r="Q7675" s="14">
        <v>180</v>
      </c>
      <c r="R7675" s="14">
        <v>127.8</v>
      </c>
      <c r="S7675" s="2" t="s">
        <v>5555</v>
      </c>
      <c r="T7675" s="2">
        <v>1</v>
      </c>
      <c r="U7675" s="2">
        <v>65.599999999999994</v>
      </c>
      <c r="V7675" s="2">
        <v>63</v>
      </c>
      <c r="W7675" s="2" t="s">
        <v>7862</v>
      </c>
      <c r="X7675" s="2" t="s">
        <v>6838</v>
      </c>
      <c r="Y7675" s="2">
        <v>2840</v>
      </c>
      <c r="Z7675" s="19" t="str">
        <f>HYPERLINK("https://ssdweb.co/ssdweb/hd/Vision360.html?d=941170054&amp;zoomslide=1&amp;z=1941170054&amp;ISCONFIRM=0","VIDEO")</f>
        <v>VIDEO</v>
      </c>
      <c r="AA7675" s="19" t="str">
        <f>HYPERLINK("https://ssdweb.co/ssdweb/CERTH/675504574.pdf","CERTI")</f>
        <v>CERTI</v>
      </c>
    </row>
    <row r="7676" spans="1:27" ht="15" x14ac:dyDescent="0.25">
      <c r="A7676" s="2">
        <v>7671</v>
      </c>
      <c r="B7676" s="39">
        <v>941170285</v>
      </c>
      <c r="C7676" s="28" t="str">
        <f>HYPERLINK("https://pld.live/RapDetail.aspx?STONELIST=941170285","DNA")</f>
        <v>DNA</v>
      </c>
      <c r="D7676" s="18" t="s">
        <v>5847</v>
      </c>
      <c r="E7676" s="18" t="s">
        <v>5128</v>
      </c>
      <c r="F7676" s="2" t="s">
        <v>7987</v>
      </c>
      <c r="G7676" s="2" t="s">
        <v>15</v>
      </c>
      <c r="H7676" s="14">
        <v>0.71</v>
      </c>
      <c r="I7676" s="2" t="s">
        <v>4761</v>
      </c>
      <c r="J7676" s="2" t="s">
        <v>13</v>
      </c>
      <c r="K7676" s="2" t="s">
        <v>1452</v>
      </c>
      <c r="L7676" s="2" t="s">
        <v>5221</v>
      </c>
      <c r="M7676" s="2" t="s">
        <v>5221</v>
      </c>
      <c r="N7676" s="2" t="s">
        <v>2317</v>
      </c>
      <c r="O7676" s="14">
        <v>3500</v>
      </c>
      <c r="P7676" s="14">
        <v>96.26</v>
      </c>
      <c r="Q7676" s="14">
        <v>130.9</v>
      </c>
      <c r="R7676" s="14">
        <v>92.94</v>
      </c>
      <c r="S7676" s="2" t="s">
        <v>7217</v>
      </c>
      <c r="T7676" s="2">
        <v>1.01</v>
      </c>
      <c r="U7676" s="2">
        <v>64.5</v>
      </c>
      <c r="V7676" s="2">
        <v>63</v>
      </c>
      <c r="W7676" s="2" t="s">
        <v>7862</v>
      </c>
      <c r="X7676" s="2" t="s">
        <v>6838</v>
      </c>
      <c r="Y7676" s="2">
        <v>2485</v>
      </c>
      <c r="Z7676" s="19" t="str">
        <f>HYPERLINK("https://ssdweb.co/ssdweb/hd/Vision360.html?d=941170285&amp;zoomslide=1&amp;z=1941170285&amp;ISCONFIRM=0","VIDEO")</f>
        <v>VIDEO</v>
      </c>
      <c r="AA7676" s="19" t="str">
        <f>HYPERLINK("https://ssdweb.co/ssdweb/CERTH/675504584.pdf","CERTI")</f>
        <v>CERTI</v>
      </c>
    </row>
    <row r="7677" spans="1:27" ht="15" x14ac:dyDescent="0.25">
      <c r="A7677" s="2">
        <v>7672</v>
      </c>
      <c r="B7677" s="39">
        <v>941261116</v>
      </c>
      <c r="C7677" s="28" t="str">
        <f>HYPERLINK("https://pld.live/RapDetail.aspx?STONELIST=941261116","DNA")</f>
        <v>DNA</v>
      </c>
      <c r="D7677" s="18" t="s">
        <v>5847</v>
      </c>
      <c r="E7677" s="18" t="s">
        <v>5128</v>
      </c>
      <c r="F7677" s="2" t="s">
        <v>7987</v>
      </c>
      <c r="G7677" s="2" t="s">
        <v>15</v>
      </c>
      <c r="H7677" s="14">
        <v>0.7</v>
      </c>
      <c r="I7677" s="2" t="s">
        <v>267</v>
      </c>
      <c r="J7677" s="2" t="s">
        <v>6555</v>
      </c>
      <c r="K7677" s="2" t="s">
        <v>1452</v>
      </c>
      <c r="L7677" s="2" t="s">
        <v>5221</v>
      </c>
      <c r="M7677" s="2" t="s">
        <v>5221</v>
      </c>
      <c r="N7677" s="2" t="s">
        <v>2317</v>
      </c>
      <c r="O7677" s="14">
        <v>4300</v>
      </c>
      <c r="P7677" s="14">
        <v>95.12</v>
      </c>
      <c r="Q7677" s="14">
        <v>209.84</v>
      </c>
      <c r="R7677" s="14">
        <v>146.88999999999999</v>
      </c>
      <c r="S7677" s="2" t="s">
        <v>2309</v>
      </c>
      <c r="T7677" s="2">
        <v>1.02</v>
      </c>
      <c r="U7677" s="2">
        <v>66.8</v>
      </c>
      <c r="V7677" s="2">
        <v>64</v>
      </c>
      <c r="W7677" s="2" t="s">
        <v>7862</v>
      </c>
      <c r="X7677" s="2" t="s">
        <v>6838</v>
      </c>
      <c r="Y7677" s="2">
        <v>3010</v>
      </c>
      <c r="Z7677" s="19" t="str">
        <f>HYPERLINK("https://ssdweb.co/ssdweb/hd/Vision360.html?d=941261116&amp;zoomslide=1&amp;z=1941261116&amp;ISCONFIRM=0","VIDEO")</f>
        <v>VIDEO</v>
      </c>
      <c r="AA7677" s="19" t="str">
        <f>HYPERLINK("https://ssdweb.co/ssdweb/CERTH/691533667.pdf","CERTI")</f>
        <v>CERTI</v>
      </c>
    </row>
    <row r="7678" spans="1:27" ht="15" x14ac:dyDescent="0.25">
      <c r="A7678" s="2">
        <v>7673</v>
      </c>
      <c r="B7678" s="39">
        <v>941261121</v>
      </c>
      <c r="C7678" s="28" t="str">
        <f>HYPERLINK("https://pld.live/RapDetail.aspx?STONELIST=941261121","DNA")</f>
        <v>DNA</v>
      </c>
      <c r="D7678" s="18" t="s">
        <v>5847</v>
      </c>
      <c r="E7678" s="18" t="s">
        <v>5128</v>
      </c>
      <c r="F7678" s="2" t="s">
        <v>7987</v>
      </c>
      <c r="G7678" s="2" t="s">
        <v>15</v>
      </c>
      <c r="H7678" s="14">
        <v>0.7</v>
      </c>
      <c r="I7678" s="2" t="s">
        <v>267</v>
      </c>
      <c r="J7678" s="2" t="s">
        <v>3942</v>
      </c>
      <c r="K7678" s="2" t="s">
        <v>1452</v>
      </c>
      <c r="L7678" s="2" t="s">
        <v>5221</v>
      </c>
      <c r="M7678" s="2" t="s">
        <v>5221</v>
      </c>
      <c r="N7678" s="2" t="s">
        <v>2317</v>
      </c>
      <c r="O7678" s="14">
        <v>4000</v>
      </c>
      <c r="P7678" s="14">
        <v>95.88</v>
      </c>
      <c r="Q7678" s="14">
        <v>164.8</v>
      </c>
      <c r="R7678" s="14">
        <v>115.36</v>
      </c>
      <c r="S7678" s="2" t="s">
        <v>1868</v>
      </c>
      <c r="T7678" s="2">
        <v>1.01</v>
      </c>
      <c r="U7678" s="2">
        <v>66.599999999999994</v>
      </c>
      <c r="V7678" s="2">
        <v>64</v>
      </c>
      <c r="W7678" s="2" t="s">
        <v>7862</v>
      </c>
      <c r="X7678" s="2" t="s">
        <v>6838</v>
      </c>
      <c r="Y7678" s="2">
        <v>2800</v>
      </c>
      <c r="Z7678" s="19" t="str">
        <f>HYPERLINK("https://ssdweb.co/ssdweb/hd/Vision360.html?d=941261121&amp;zoomslide=1&amp;z=1941261121&amp;ISCONFIRM=0","VIDEO")</f>
        <v>VIDEO</v>
      </c>
      <c r="AA7678" s="19" t="str">
        <f>HYPERLINK("https://ssdweb.co/ssdweb/CERTH/691577881.pdf","CERTI")</f>
        <v>CERTI</v>
      </c>
    </row>
    <row r="7679" spans="1:27" ht="15" x14ac:dyDescent="0.25">
      <c r="A7679" s="2">
        <v>7674</v>
      </c>
      <c r="B7679" s="39">
        <v>941261081</v>
      </c>
      <c r="C7679" s="28" t="str">
        <f>HYPERLINK("https://pld.live/RapDetail.aspx?STONELIST=941261081","DNA")</f>
        <v>DNA</v>
      </c>
      <c r="D7679" s="18" t="s">
        <v>5847</v>
      </c>
      <c r="E7679" s="18" t="s">
        <v>5128</v>
      </c>
      <c r="F7679" s="2" t="s">
        <v>7987</v>
      </c>
      <c r="G7679" s="2" t="s">
        <v>15</v>
      </c>
      <c r="H7679" s="14">
        <v>0.7</v>
      </c>
      <c r="I7679" s="2" t="s">
        <v>267</v>
      </c>
      <c r="J7679" s="2" t="s">
        <v>3942</v>
      </c>
      <c r="K7679" s="2" t="s">
        <v>1452</v>
      </c>
      <c r="L7679" s="2" t="s">
        <v>5221</v>
      </c>
      <c r="M7679" s="2" t="s">
        <v>5221</v>
      </c>
      <c r="N7679" s="2" t="s">
        <v>2317</v>
      </c>
      <c r="O7679" s="14">
        <v>4000</v>
      </c>
      <c r="P7679" s="14">
        <v>95.88</v>
      </c>
      <c r="Q7679" s="14">
        <v>164.8</v>
      </c>
      <c r="R7679" s="14">
        <v>115.36</v>
      </c>
      <c r="S7679" s="2" t="s">
        <v>1873</v>
      </c>
      <c r="T7679" s="2">
        <v>1.01</v>
      </c>
      <c r="U7679" s="2">
        <v>66.900000000000006</v>
      </c>
      <c r="V7679" s="2">
        <v>63</v>
      </c>
      <c r="W7679" s="2" t="s">
        <v>7862</v>
      </c>
      <c r="X7679" s="2" t="s">
        <v>6838</v>
      </c>
      <c r="Y7679" s="2">
        <v>2800</v>
      </c>
      <c r="Z7679" s="19" t="str">
        <f>HYPERLINK("https://ssdweb.co/ssdweb/hd/Vision360.html?d=941261081&amp;zoomslide=1&amp;z=1941261081&amp;ISCONFIRM=0","VIDEO")</f>
        <v>VIDEO</v>
      </c>
      <c r="AA7679" s="19" t="str">
        <f>HYPERLINK("https://ssdweb.co/ssdweb/CERTH/689587179.pdf","CERTI")</f>
        <v>CERTI</v>
      </c>
    </row>
    <row r="7680" spans="1:27" ht="15" x14ac:dyDescent="0.25">
      <c r="A7680" s="2">
        <v>7675</v>
      </c>
      <c r="B7680" s="39">
        <v>941261095</v>
      </c>
      <c r="C7680" s="28" t="str">
        <f>HYPERLINK("https://pld.live/RapDetail.aspx?STONELIST=941261095","DNA")</f>
        <v>DNA</v>
      </c>
      <c r="D7680" s="18" t="s">
        <v>5847</v>
      </c>
      <c r="E7680" s="18" t="s">
        <v>5128</v>
      </c>
      <c r="F7680" s="2" t="s">
        <v>7987</v>
      </c>
      <c r="G7680" s="2" t="s">
        <v>15</v>
      </c>
      <c r="H7680" s="14">
        <v>0.7</v>
      </c>
      <c r="I7680" s="2" t="s">
        <v>267</v>
      </c>
      <c r="J7680" s="2" t="s">
        <v>3942</v>
      </c>
      <c r="K7680" s="2" t="s">
        <v>1452</v>
      </c>
      <c r="L7680" s="2" t="s">
        <v>5221</v>
      </c>
      <c r="M7680" s="2" t="s">
        <v>5221</v>
      </c>
      <c r="N7680" s="2" t="s">
        <v>2317</v>
      </c>
      <c r="O7680" s="14">
        <v>4000</v>
      </c>
      <c r="P7680" s="14">
        <v>95.88</v>
      </c>
      <c r="Q7680" s="14">
        <v>164.8</v>
      </c>
      <c r="R7680" s="14">
        <v>115.36</v>
      </c>
      <c r="S7680" s="2" t="s">
        <v>7598</v>
      </c>
      <c r="T7680" s="2">
        <v>1.03</v>
      </c>
      <c r="U7680" s="2">
        <v>64.400000000000006</v>
      </c>
      <c r="V7680" s="2">
        <v>69</v>
      </c>
      <c r="W7680" s="2" t="s">
        <v>7862</v>
      </c>
      <c r="X7680" s="2" t="s">
        <v>6838</v>
      </c>
      <c r="Y7680" s="2">
        <v>2800</v>
      </c>
      <c r="Z7680" s="19" t="str">
        <f>HYPERLINK("https://ssdweb.co/ssdweb/hd/Vision360.html?d=941261095&amp;zoomslide=1&amp;z=1941261095&amp;ISCONFIRM=0","VIDEO")</f>
        <v>VIDEO</v>
      </c>
      <c r="AA7680" s="19" t="str">
        <f>HYPERLINK("https://ssdweb.co/ssdweb/CERTH/689587208.pdf","CERTI")</f>
        <v>CERTI</v>
      </c>
    </row>
    <row r="7681" spans="1:27" ht="15" x14ac:dyDescent="0.25">
      <c r="A7681" s="2">
        <v>7676</v>
      </c>
      <c r="B7681" s="39">
        <v>941261127</v>
      </c>
      <c r="C7681" s="28" t="str">
        <f>HYPERLINK("https://pld.live/RapDetail.aspx?STONELIST=941261127","DNA")</f>
        <v>DNA</v>
      </c>
      <c r="D7681" s="18" t="s">
        <v>5847</v>
      </c>
      <c r="E7681" s="18" t="s">
        <v>5128</v>
      </c>
      <c r="F7681" s="2" t="s">
        <v>7987</v>
      </c>
      <c r="G7681" s="2" t="s">
        <v>15</v>
      </c>
      <c r="H7681" s="14">
        <v>0.7</v>
      </c>
      <c r="I7681" s="2" t="s">
        <v>267</v>
      </c>
      <c r="J7681" s="2" t="s">
        <v>13</v>
      </c>
      <c r="K7681" s="2" t="s">
        <v>1452</v>
      </c>
      <c r="L7681" s="2" t="s">
        <v>5221</v>
      </c>
      <c r="M7681" s="2" t="s">
        <v>5221</v>
      </c>
      <c r="N7681" s="2" t="s">
        <v>2317</v>
      </c>
      <c r="O7681" s="14">
        <v>3700</v>
      </c>
      <c r="P7681" s="14">
        <v>96.22</v>
      </c>
      <c r="Q7681" s="14">
        <v>139.86000000000001</v>
      </c>
      <c r="R7681" s="14">
        <v>97.9</v>
      </c>
      <c r="S7681" s="2" t="s">
        <v>6488</v>
      </c>
      <c r="T7681" s="2">
        <v>1</v>
      </c>
      <c r="U7681" s="2">
        <v>66.5</v>
      </c>
      <c r="V7681" s="2">
        <v>69</v>
      </c>
      <c r="W7681" s="2" t="s">
        <v>7862</v>
      </c>
      <c r="X7681" s="2" t="s">
        <v>6838</v>
      </c>
      <c r="Y7681" s="2">
        <v>2590</v>
      </c>
      <c r="Z7681" s="19" t="str">
        <f>HYPERLINK("https://ssdweb.co/ssdweb/hd/Vision360.html?d=941261127&amp;zoomslide=1&amp;z=1941261127&amp;ISCONFIRM=0","VIDEO")</f>
        <v>VIDEO</v>
      </c>
      <c r="AA7681" s="19" t="str">
        <f>HYPERLINK("https://ssdweb.co/ssdweb/CERTH/692505614.pdf","CERTI")</f>
        <v>CERTI</v>
      </c>
    </row>
    <row r="7682" spans="1:27" ht="15" x14ac:dyDescent="0.25">
      <c r="A7682" s="2">
        <v>7677</v>
      </c>
      <c r="B7682" s="39">
        <v>941261117</v>
      </c>
      <c r="C7682" s="28" t="str">
        <f>HYPERLINK("https://pld.live/RapDetail.aspx?STONELIST=941261117","DNA")</f>
        <v>DNA</v>
      </c>
      <c r="D7682" s="18" t="s">
        <v>1924</v>
      </c>
      <c r="E7682" s="18" t="s">
        <v>5128</v>
      </c>
      <c r="F7682" s="2" t="s">
        <v>7987</v>
      </c>
      <c r="G7682" s="2" t="s">
        <v>15</v>
      </c>
      <c r="H7682" s="14">
        <v>0.69</v>
      </c>
      <c r="I7682" s="2" t="s">
        <v>267</v>
      </c>
      <c r="J7682" s="2" t="s">
        <v>13</v>
      </c>
      <c r="K7682" s="2" t="s">
        <v>1452</v>
      </c>
      <c r="L7682" s="2" t="s">
        <v>5221</v>
      </c>
      <c r="M7682" s="2" t="s">
        <v>5221</v>
      </c>
      <c r="N7682" s="2" t="s">
        <v>2317</v>
      </c>
      <c r="O7682" s="14">
        <v>2600</v>
      </c>
      <c r="P7682" s="14">
        <v>92.31</v>
      </c>
      <c r="Q7682" s="14">
        <v>199.94</v>
      </c>
      <c r="R7682" s="14">
        <v>137.96</v>
      </c>
      <c r="S7682" s="2" t="s">
        <v>7149</v>
      </c>
      <c r="T7682" s="2">
        <v>1.01</v>
      </c>
      <c r="U7682" s="2">
        <v>66.2</v>
      </c>
      <c r="V7682" s="2">
        <v>67</v>
      </c>
      <c r="W7682" s="2" t="s">
        <v>7862</v>
      </c>
      <c r="X7682" s="2" t="s">
        <v>6838</v>
      </c>
      <c r="Y7682" s="2">
        <v>1794</v>
      </c>
      <c r="Z7682" s="19" t="str">
        <f>HYPERLINK("https://ssdweb.co/ssdweb/hd/Vision360.html?d=941261117&amp;zoomslide=1&amp;z=1941261117&amp;ISCONFIRM=0","VIDEO")</f>
        <v>VIDEO</v>
      </c>
      <c r="AA7682" s="19" t="str">
        <f>HYPERLINK("https://ssdweb.co/ssdweb/CERTH/691533668.pdf","CERTI")</f>
        <v>CERTI</v>
      </c>
    </row>
    <row r="7683" spans="1:27" ht="15" x14ac:dyDescent="0.25">
      <c r="A7683" s="2">
        <v>7678</v>
      </c>
      <c r="B7683" s="39">
        <v>941261137</v>
      </c>
      <c r="C7683" s="28" t="str">
        <f>HYPERLINK("https://pld.live/RapDetail.aspx?STONELIST=941261137","DNA")</f>
        <v>DNA</v>
      </c>
      <c r="D7683" s="18" t="s">
        <v>1924</v>
      </c>
      <c r="E7683" s="18" t="s">
        <v>5128</v>
      </c>
      <c r="F7683" s="2" t="s">
        <v>7987</v>
      </c>
      <c r="G7683" s="2" t="s">
        <v>15</v>
      </c>
      <c r="H7683" s="14">
        <v>0.69</v>
      </c>
      <c r="I7683" s="2" t="s">
        <v>267</v>
      </c>
      <c r="J7683" s="2" t="s">
        <v>13</v>
      </c>
      <c r="K7683" s="2" t="s">
        <v>1452</v>
      </c>
      <c r="L7683" s="2" t="s">
        <v>5221</v>
      </c>
      <c r="M7683" s="2" t="s">
        <v>5221</v>
      </c>
      <c r="N7683" s="2" t="s">
        <v>2317</v>
      </c>
      <c r="O7683" s="14">
        <v>2600</v>
      </c>
      <c r="P7683" s="14">
        <v>92.31</v>
      </c>
      <c r="Q7683" s="14">
        <v>199.94</v>
      </c>
      <c r="R7683" s="14">
        <v>137.96</v>
      </c>
      <c r="S7683" s="2" t="s">
        <v>1156</v>
      </c>
      <c r="T7683" s="2">
        <v>1</v>
      </c>
      <c r="U7683" s="2">
        <v>67.400000000000006</v>
      </c>
      <c r="V7683" s="2">
        <v>60</v>
      </c>
      <c r="W7683" s="2" t="s">
        <v>7862</v>
      </c>
      <c r="X7683" s="2" t="s">
        <v>6838</v>
      </c>
      <c r="Y7683" s="2">
        <v>1794</v>
      </c>
      <c r="Z7683" s="19" t="str">
        <f>HYPERLINK("https://ssdweb.co/ssdweb/hd/Vision360.html?d=941261137&amp;zoomslide=1&amp;z=1941261137&amp;ISCONFIRM=0","VIDEO")</f>
        <v>VIDEO</v>
      </c>
      <c r="AA7683" s="19" t="str">
        <f>HYPERLINK("https://ssdweb.co/ssdweb/CERTH/693519433.pdf","CERTI")</f>
        <v>CERTI</v>
      </c>
    </row>
    <row r="7684" spans="1:27" ht="15" x14ac:dyDescent="0.25">
      <c r="A7684" s="2">
        <v>7679</v>
      </c>
      <c r="B7684" s="39">
        <v>941190345</v>
      </c>
      <c r="C7684" s="28" t="str">
        <f>HYPERLINK("https://pld.live/RapDetail.aspx?STONELIST=941190345","DNA")</f>
        <v>DNA</v>
      </c>
      <c r="D7684" s="18" t="s">
        <v>5466</v>
      </c>
      <c r="E7684" s="18" t="s">
        <v>5128</v>
      </c>
      <c r="F7684" s="2" t="s">
        <v>7987</v>
      </c>
      <c r="G7684" s="2" t="s">
        <v>15</v>
      </c>
      <c r="H7684" s="14">
        <v>0.52</v>
      </c>
      <c r="I7684" s="2" t="s">
        <v>267</v>
      </c>
      <c r="J7684" s="2" t="s">
        <v>7032</v>
      </c>
      <c r="K7684" s="2" t="s">
        <v>1452</v>
      </c>
      <c r="L7684" s="2" t="s">
        <v>5721</v>
      </c>
      <c r="M7684" s="2" t="s">
        <v>5221</v>
      </c>
      <c r="N7684" s="2" t="s">
        <v>2317</v>
      </c>
      <c r="O7684" s="14">
        <v>3300</v>
      </c>
      <c r="P7684" s="14">
        <v>91.88</v>
      </c>
      <c r="Q7684" s="14">
        <v>267.95999999999998</v>
      </c>
      <c r="R7684" s="14">
        <v>139.34</v>
      </c>
      <c r="S7684" s="2" t="s">
        <v>2888</v>
      </c>
      <c r="T7684" s="2">
        <v>1.01</v>
      </c>
      <c r="U7684" s="2">
        <v>66.599999999999994</v>
      </c>
      <c r="V7684" s="2">
        <v>63</v>
      </c>
      <c r="W7684" s="2" t="s">
        <v>7862</v>
      </c>
      <c r="X7684" s="2" t="s">
        <v>6838</v>
      </c>
      <c r="Y7684" s="2">
        <v>1716</v>
      </c>
      <c r="Z7684" s="19" t="str">
        <f>HYPERLINK("https://ssdweb.co/ssdweb/hd/Vision360.html?d=941190345&amp;zoomslide=1&amp;z=1941190345&amp;ISCONFIRM=0","VIDEO")</f>
        <v>VIDEO</v>
      </c>
      <c r="AA7684" s="19" t="str">
        <f>HYPERLINK("https://ssdweb.co/ssdweb/CERTH/675596841.pdf","CERTI")</f>
        <v>CERTI</v>
      </c>
    </row>
    <row r="7685" spans="1:27" ht="15" x14ac:dyDescent="0.25">
      <c r="A7685" s="2">
        <v>7680</v>
      </c>
      <c r="B7685" s="39">
        <v>941270793</v>
      </c>
      <c r="C7685" s="28" t="str">
        <f>HYPERLINK("https://pld.live/RapDetail.aspx?STONELIST=941270793","DNA")</f>
        <v>DNA</v>
      </c>
      <c r="D7685" s="18" t="s">
        <v>5466</v>
      </c>
      <c r="E7685" s="18" t="s">
        <v>5128</v>
      </c>
      <c r="F7685" s="2" t="s">
        <v>7987</v>
      </c>
      <c r="G7685" s="2" t="s">
        <v>15</v>
      </c>
      <c r="H7685" s="14">
        <v>0.52</v>
      </c>
      <c r="I7685" s="2" t="s">
        <v>267</v>
      </c>
      <c r="J7685" s="2" t="s">
        <v>6555</v>
      </c>
      <c r="K7685" s="2" t="s">
        <v>1452</v>
      </c>
      <c r="L7685" s="2" t="s">
        <v>5221</v>
      </c>
      <c r="M7685" s="2" t="s">
        <v>5221</v>
      </c>
      <c r="N7685" s="2" t="s">
        <v>2317</v>
      </c>
      <c r="O7685" s="14">
        <v>3000</v>
      </c>
      <c r="P7685" s="14">
        <v>92.83</v>
      </c>
      <c r="Q7685" s="14">
        <v>215.1</v>
      </c>
      <c r="R7685" s="14">
        <v>111.85</v>
      </c>
      <c r="S7685" s="2" t="s">
        <v>402</v>
      </c>
      <c r="T7685" s="2">
        <v>1</v>
      </c>
      <c r="U7685" s="2">
        <v>63.4</v>
      </c>
      <c r="V7685" s="2">
        <v>69</v>
      </c>
      <c r="W7685" s="2" t="s">
        <v>7862</v>
      </c>
      <c r="X7685" s="2" t="s">
        <v>6838</v>
      </c>
      <c r="Y7685" s="2">
        <v>1560</v>
      </c>
      <c r="Z7685" s="19" t="str">
        <f>HYPERLINK("https://ssdweb.co/ssdweb/hd/Vision360.html?d=941270793&amp;zoomslide=1&amp;z=1941270793&amp;ISCONFIRM=0","VIDEO")</f>
        <v>VIDEO</v>
      </c>
      <c r="AA7685" s="19" t="str">
        <f>HYPERLINK("https://ssdweb.co/ssdweb/CERTH/692505649.pdf","CERTI")</f>
        <v>CERTI</v>
      </c>
    </row>
    <row r="7686" spans="1:27" ht="15" x14ac:dyDescent="0.25">
      <c r="A7686" s="2">
        <v>7681</v>
      </c>
      <c r="B7686" s="39">
        <v>941270786</v>
      </c>
      <c r="C7686" s="28" t="str">
        <f>HYPERLINK("https://pld.live/RapDetail.aspx?STONELIST=941270786","DNA")</f>
        <v>DNA</v>
      </c>
      <c r="D7686" s="18" t="s">
        <v>5466</v>
      </c>
      <c r="E7686" s="18" t="s">
        <v>5128</v>
      </c>
      <c r="F7686" s="2" t="s">
        <v>7987</v>
      </c>
      <c r="G7686" s="2" t="s">
        <v>15</v>
      </c>
      <c r="H7686" s="14">
        <v>0.52</v>
      </c>
      <c r="I7686" s="2" t="s">
        <v>267</v>
      </c>
      <c r="J7686" s="2" t="s">
        <v>6555</v>
      </c>
      <c r="K7686" s="2" t="s">
        <v>1452</v>
      </c>
      <c r="L7686" s="2" t="s">
        <v>5221</v>
      </c>
      <c r="M7686" s="2" t="s">
        <v>5221</v>
      </c>
      <c r="N7686" s="2" t="s">
        <v>2317</v>
      </c>
      <c r="O7686" s="14">
        <v>3000</v>
      </c>
      <c r="P7686" s="14">
        <v>92.83</v>
      </c>
      <c r="Q7686" s="14">
        <v>215.1</v>
      </c>
      <c r="R7686" s="14">
        <v>111.85</v>
      </c>
      <c r="S7686" s="2" t="s">
        <v>7547</v>
      </c>
      <c r="T7686" s="2">
        <v>1.01</v>
      </c>
      <c r="U7686" s="2">
        <v>67.599999999999994</v>
      </c>
      <c r="V7686" s="2">
        <v>60</v>
      </c>
      <c r="W7686" s="2" t="s">
        <v>7862</v>
      </c>
      <c r="X7686" s="2" t="s">
        <v>6838</v>
      </c>
      <c r="Y7686" s="2">
        <v>1560</v>
      </c>
      <c r="Z7686" s="19" t="str">
        <f>HYPERLINK("https://ssdweb.co/ssdweb/hd/Vision360.html?d=941270786&amp;zoomslide=1&amp;z=1941270786&amp;ISCONFIRM=0","VIDEO")</f>
        <v>VIDEO</v>
      </c>
      <c r="AA7686" s="19" t="str">
        <f>HYPERLINK("https://ssdweb.co/ssdweb/CERTH/692505644.pdf","CERTI")</f>
        <v>CERTI</v>
      </c>
    </row>
    <row r="7687" spans="1:27" ht="15" x14ac:dyDescent="0.25">
      <c r="A7687" s="2">
        <v>7682</v>
      </c>
      <c r="B7687" s="39">
        <v>941270802</v>
      </c>
      <c r="C7687" s="28" t="str">
        <f>HYPERLINK("https://pld.live/RapDetail.aspx?STONELIST=941270802","DNA")</f>
        <v>DNA</v>
      </c>
      <c r="D7687" s="18" t="s">
        <v>5466</v>
      </c>
      <c r="E7687" s="18" t="s">
        <v>5128</v>
      </c>
      <c r="F7687" s="2" t="s">
        <v>7987</v>
      </c>
      <c r="G7687" s="2" t="s">
        <v>15</v>
      </c>
      <c r="H7687" s="14">
        <v>0.52</v>
      </c>
      <c r="I7687" s="2" t="s">
        <v>267</v>
      </c>
      <c r="J7687" s="2" t="s">
        <v>6555</v>
      </c>
      <c r="K7687" s="2" t="s">
        <v>1452</v>
      </c>
      <c r="L7687" s="2" t="s">
        <v>5221</v>
      </c>
      <c r="M7687" s="2" t="s">
        <v>5221</v>
      </c>
      <c r="N7687" s="2" t="s">
        <v>2317</v>
      </c>
      <c r="O7687" s="14">
        <v>3000</v>
      </c>
      <c r="P7687" s="14">
        <v>92.83</v>
      </c>
      <c r="Q7687" s="14">
        <v>215.1</v>
      </c>
      <c r="R7687" s="14">
        <v>111.85</v>
      </c>
      <c r="S7687" s="2" t="s">
        <v>396</v>
      </c>
      <c r="T7687" s="2">
        <v>1.01</v>
      </c>
      <c r="U7687" s="2">
        <v>67.400000000000006</v>
      </c>
      <c r="V7687" s="2">
        <v>64</v>
      </c>
      <c r="W7687" s="2" t="s">
        <v>7862</v>
      </c>
      <c r="X7687" s="2" t="s">
        <v>6838</v>
      </c>
      <c r="Y7687" s="2">
        <v>1560</v>
      </c>
      <c r="Z7687" s="19" t="str">
        <f>HYPERLINK("https://ssdweb.co/ssdweb/hd/Vision360.html?d=941270802&amp;zoomslide=1&amp;z=1941270802&amp;ISCONFIRM=0","VIDEO")</f>
        <v>VIDEO</v>
      </c>
      <c r="AA7687" s="19" t="str">
        <f>HYPERLINK("https://ssdweb.co/ssdweb/CERTH/692533956.pdf","CERTI")</f>
        <v>CERTI</v>
      </c>
    </row>
    <row r="7688" spans="1:27" ht="15" x14ac:dyDescent="0.25">
      <c r="A7688" s="2">
        <v>7683</v>
      </c>
      <c r="B7688" s="39">
        <v>941270791</v>
      </c>
      <c r="C7688" s="28" t="str">
        <f>HYPERLINK("https://pld.live/RapDetail.aspx?STONELIST=941270791","DNA")</f>
        <v>DNA</v>
      </c>
      <c r="D7688" s="18" t="s">
        <v>5466</v>
      </c>
      <c r="E7688" s="18" t="s">
        <v>5128</v>
      </c>
      <c r="F7688" s="2" t="s">
        <v>7987</v>
      </c>
      <c r="G7688" s="2" t="s">
        <v>15</v>
      </c>
      <c r="H7688" s="14">
        <v>0.52</v>
      </c>
      <c r="I7688" s="2" t="s">
        <v>267</v>
      </c>
      <c r="J7688" s="2" t="s">
        <v>3942</v>
      </c>
      <c r="K7688" s="2" t="s">
        <v>1452</v>
      </c>
      <c r="L7688" s="2" t="s">
        <v>5221</v>
      </c>
      <c r="M7688" s="2" t="s">
        <v>5221</v>
      </c>
      <c r="N7688" s="2" t="s">
        <v>2317</v>
      </c>
      <c r="O7688" s="14">
        <v>2800</v>
      </c>
      <c r="P7688" s="14">
        <v>92.68</v>
      </c>
      <c r="Q7688" s="14">
        <v>204.96</v>
      </c>
      <c r="R7688" s="14">
        <v>106.58</v>
      </c>
      <c r="S7688" s="2" t="s">
        <v>7573</v>
      </c>
      <c r="T7688" s="2">
        <v>1.01</v>
      </c>
      <c r="U7688" s="2">
        <v>65.7</v>
      </c>
      <c r="V7688" s="2">
        <v>67</v>
      </c>
      <c r="W7688" s="2" t="s">
        <v>7862</v>
      </c>
      <c r="X7688" s="2" t="s">
        <v>6838</v>
      </c>
      <c r="Y7688" s="2">
        <v>1456</v>
      </c>
      <c r="Z7688" s="19" t="str">
        <f>HYPERLINK("https://ssdweb.co/ssdweb/hd/Vision360.html?d=941270791&amp;zoomslide=1&amp;z=1941270791&amp;ISCONFIRM=0","VIDEO")</f>
        <v>VIDEO</v>
      </c>
      <c r="AA7688" s="19" t="str">
        <f>HYPERLINK("https://ssdweb.co/ssdweb/CERTH/692505647.pdf","CERTI")</f>
        <v>CERTI</v>
      </c>
    </row>
    <row r="7689" spans="1:27" ht="15" x14ac:dyDescent="0.25">
      <c r="A7689" s="2">
        <v>7684</v>
      </c>
      <c r="B7689" s="39">
        <v>941270787</v>
      </c>
      <c r="C7689" s="28" t="str">
        <f>HYPERLINK("https://pld.live/RapDetail.aspx?STONELIST=941270787","DNA")</f>
        <v>DNA</v>
      </c>
      <c r="D7689" s="18" t="s">
        <v>5466</v>
      </c>
      <c r="E7689" s="18" t="s">
        <v>5128</v>
      </c>
      <c r="F7689" s="2" t="s">
        <v>7987</v>
      </c>
      <c r="G7689" s="2" t="s">
        <v>15</v>
      </c>
      <c r="H7689" s="14">
        <v>0.52</v>
      </c>
      <c r="I7689" s="2" t="s">
        <v>267</v>
      </c>
      <c r="J7689" s="2" t="s">
        <v>3942</v>
      </c>
      <c r="K7689" s="2" t="s">
        <v>1452</v>
      </c>
      <c r="L7689" s="2" t="s">
        <v>5221</v>
      </c>
      <c r="M7689" s="2" t="s">
        <v>5221</v>
      </c>
      <c r="N7689" s="2" t="s">
        <v>2317</v>
      </c>
      <c r="O7689" s="14">
        <v>2800</v>
      </c>
      <c r="P7689" s="14">
        <v>92.68</v>
      </c>
      <c r="Q7689" s="14">
        <v>204.96</v>
      </c>
      <c r="R7689" s="14">
        <v>106.58</v>
      </c>
      <c r="S7689" s="2" t="s">
        <v>330</v>
      </c>
      <c r="T7689" s="2">
        <v>1.01</v>
      </c>
      <c r="U7689" s="2">
        <v>67.5</v>
      </c>
      <c r="V7689" s="2">
        <v>65</v>
      </c>
      <c r="W7689" s="2" t="s">
        <v>7862</v>
      </c>
      <c r="X7689" s="2" t="s">
        <v>6838</v>
      </c>
      <c r="Y7689" s="2">
        <v>1456</v>
      </c>
      <c r="Z7689" s="19" t="str">
        <f>HYPERLINK("https://ssdweb.co/ssdweb/hd/Vision360.html?d=941270787&amp;zoomslide=1&amp;z=1941270787&amp;ISCONFIRM=0","VIDEO")</f>
        <v>VIDEO</v>
      </c>
      <c r="AA7689" s="19" t="str">
        <f>HYPERLINK("https://ssdweb.co/ssdweb/CERTH/692505645.pdf","CERTI")</f>
        <v>CERTI</v>
      </c>
    </row>
    <row r="7690" spans="1:27" ht="15" x14ac:dyDescent="0.25">
      <c r="A7690" s="2">
        <v>7685</v>
      </c>
      <c r="B7690" s="39">
        <v>941270805</v>
      </c>
      <c r="C7690" s="28" t="str">
        <f>HYPERLINK("https://pld.live/RapDetail.aspx?STONELIST=941270805","DNA")</f>
        <v>DNA</v>
      </c>
      <c r="D7690" s="18" t="s">
        <v>5466</v>
      </c>
      <c r="E7690" s="18" t="s">
        <v>5128</v>
      </c>
      <c r="F7690" s="2" t="s">
        <v>7987</v>
      </c>
      <c r="G7690" s="2" t="s">
        <v>15</v>
      </c>
      <c r="H7690" s="14">
        <v>0.52</v>
      </c>
      <c r="I7690" s="2" t="s">
        <v>267</v>
      </c>
      <c r="J7690" s="2" t="s">
        <v>3942</v>
      </c>
      <c r="K7690" s="2" t="s">
        <v>1452</v>
      </c>
      <c r="L7690" s="2" t="s">
        <v>5221</v>
      </c>
      <c r="M7690" s="2" t="s">
        <v>5221</v>
      </c>
      <c r="N7690" s="2" t="s">
        <v>2317</v>
      </c>
      <c r="O7690" s="14">
        <v>2800</v>
      </c>
      <c r="P7690" s="14">
        <v>92.68</v>
      </c>
      <c r="Q7690" s="14">
        <v>204.96</v>
      </c>
      <c r="R7690" s="14">
        <v>106.58</v>
      </c>
      <c r="S7690" s="2" t="s">
        <v>5052</v>
      </c>
      <c r="T7690" s="2">
        <v>1.01</v>
      </c>
      <c r="U7690" s="2">
        <v>67.5</v>
      </c>
      <c r="V7690" s="2">
        <v>61</v>
      </c>
      <c r="W7690" s="2" t="s">
        <v>7862</v>
      </c>
      <c r="X7690" s="2" t="s">
        <v>6838</v>
      </c>
      <c r="Y7690" s="2">
        <v>1456</v>
      </c>
      <c r="Z7690" s="19" t="str">
        <f>HYPERLINK("https://ssdweb.co/ssdweb/hd/Vision360.html?d=941270805&amp;zoomslide=1&amp;z=1941270805&amp;ISCONFIRM=0","VIDEO")</f>
        <v>VIDEO</v>
      </c>
      <c r="AA7690" s="19" t="str">
        <f>HYPERLINK("https://ssdweb.co/ssdweb/CERTH/692533959.pdf","CERTI")</f>
        <v>CERTI</v>
      </c>
    </row>
    <row r="7691" spans="1:27" ht="15" x14ac:dyDescent="0.25">
      <c r="A7691" s="2">
        <v>7686</v>
      </c>
      <c r="B7691" s="39">
        <v>941270777</v>
      </c>
      <c r="C7691" s="28" t="str">
        <f>HYPERLINK("https://pld.live/RapDetail.aspx?STONELIST=941270777","DNA")</f>
        <v>DNA</v>
      </c>
      <c r="D7691" s="18" t="s">
        <v>5466</v>
      </c>
      <c r="E7691" s="18" t="s">
        <v>5128</v>
      </c>
      <c r="F7691" s="2" t="s">
        <v>7987</v>
      </c>
      <c r="G7691" s="2" t="s">
        <v>15</v>
      </c>
      <c r="H7691" s="14">
        <v>0.52</v>
      </c>
      <c r="I7691" s="2" t="s">
        <v>267</v>
      </c>
      <c r="J7691" s="2" t="s">
        <v>3942</v>
      </c>
      <c r="K7691" s="2" t="s">
        <v>1452</v>
      </c>
      <c r="L7691" s="2" t="s">
        <v>5221</v>
      </c>
      <c r="M7691" s="2" t="s">
        <v>5221</v>
      </c>
      <c r="N7691" s="2" t="s">
        <v>2317</v>
      </c>
      <c r="O7691" s="14">
        <v>2800</v>
      </c>
      <c r="P7691" s="14">
        <v>92.68</v>
      </c>
      <c r="Q7691" s="14">
        <v>204.96</v>
      </c>
      <c r="R7691" s="14">
        <v>106.58</v>
      </c>
      <c r="S7691" s="2" t="s">
        <v>6038</v>
      </c>
      <c r="T7691" s="2">
        <v>1.01</v>
      </c>
      <c r="U7691" s="2">
        <v>65.8</v>
      </c>
      <c r="V7691" s="2">
        <v>61</v>
      </c>
      <c r="W7691" s="2" t="s">
        <v>7862</v>
      </c>
      <c r="X7691" s="2" t="s">
        <v>6838</v>
      </c>
      <c r="Y7691" s="2">
        <v>1456</v>
      </c>
      <c r="Z7691" s="19" t="str">
        <f>HYPERLINK("https://ssdweb.co/ssdweb/hd/Vision360.html?d=941270777&amp;zoomslide=1&amp;z=1941270777&amp;ISCONFIRM=0","VIDEO")</f>
        <v>VIDEO</v>
      </c>
      <c r="AA7691" s="19" t="str">
        <f>HYPERLINK("https://ssdweb.co/ssdweb/CERTH/691577890.pdf","CERTI")</f>
        <v>CERTI</v>
      </c>
    </row>
    <row r="7692" spans="1:27" ht="15" x14ac:dyDescent="0.25">
      <c r="A7692" s="2">
        <v>7687</v>
      </c>
      <c r="B7692" s="39">
        <v>941270816</v>
      </c>
      <c r="C7692" s="28" t="str">
        <f>HYPERLINK("https://pld.live/RapDetail.aspx?STONELIST=941270816","DNA")</f>
        <v>DNA</v>
      </c>
      <c r="D7692" s="18" t="s">
        <v>5466</v>
      </c>
      <c r="E7692" s="18" t="s">
        <v>5128</v>
      </c>
      <c r="F7692" s="2" t="s">
        <v>7987</v>
      </c>
      <c r="G7692" s="2" t="s">
        <v>15</v>
      </c>
      <c r="H7692" s="14">
        <v>0.52</v>
      </c>
      <c r="I7692" s="2" t="s">
        <v>267</v>
      </c>
      <c r="J7692" s="2" t="s">
        <v>3942</v>
      </c>
      <c r="K7692" s="2" t="s">
        <v>1452</v>
      </c>
      <c r="L7692" s="2" t="s">
        <v>5221</v>
      </c>
      <c r="M7692" s="2" t="s">
        <v>5221</v>
      </c>
      <c r="N7692" s="2" t="s">
        <v>2317</v>
      </c>
      <c r="O7692" s="14">
        <v>2800</v>
      </c>
      <c r="P7692" s="14">
        <v>92.68</v>
      </c>
      <c r="Q7692" s="14">
        <v>204.96</v>
      </c>
      <c r="R7692" s="14">
        <v>106.58</v>
      </c>
      <c r="S7692" s="2" t="s">
        <v>1533</v>
      </c>
      <c r="T7692" s="2">
        <v>1.02</v>
      </c>
      <c r="U7692" s="2">
        <v>63.9</v>
      </c>
      <c r="V7692" s="2">
        <v>66</v>
      </c>
      <c r="W7692" s="2" t="s">
        <v>7862</v>
      </c>
      <c r="X7692" s="2" t="s">
        <v>6838</v>
      </c>
      <c r="Y7692" s="2">
        <v>1456</v>
      </c>
      <c r="Z7692" s="19" t="str">
        <f>HYPERLINK("https://ssdweb.co/ssdweb/hd/Vision360.html?d=941270816&amp;zoomslide=1&amp;z=1941270816&amp;ISCONFIRM=0","VIDEO")</f>
        <v>VIDEO</v>
      </c>
      <c r="AA7692" s="19" t="str">
        <f>HYPERLINK("https://ssdweb.co/ssdweb/CERTH/693519437.pdf","CERTI")</f>
        <v>CERTI</v>
      </c>
    </row>
    <row r="7693" spans="1:27" ht="15" x14ac:dyDescent="0.25">
      <c r="A7693" s="2">
        <v>7688</v>
      </c>
      <c r="B7693" s="39">
        <v>941270783</v>
      </c>
      <c r="C7693" s="28" t="str">
        <f>HYPERLINK("https://pld.live/RapDetail.aspx?STONELIST=941270783","DNA")</f>
        <v>DNA</v>
      </c>
      <c r="D7693" s="18" t="s">
        <v>5466</v>
      </c>
      <c r="E7693" s="18" t="s">
        <v>5128</v>
      </c>
      <c r="F7693" s="2" t="s">
        <v>7987</v>
      </c>
      <c r="G7693" s="2" t="s">
        <v>15</v>
      </c>
      <c r="H7693" s="14">
        <v>0.52</v>
      </c>
      <c r="I7693" s="2" t="s">
        <v>267</v>
      </c>
      <c r="J7693" s="2" t="s">
        <v>3942</v>
      </c>
      <c r="K7693" s="2" t="s">
        <v>1452</v>
      </c>
      <c r="L7693" s="2" t="s">
        <v>5221</v>
      </c>
      <c r="M7693" s="2" t="s">
        <v>5221</v>
      </c>
      <c r="N7693" s="2" t="s">
        <v>2317</v>
      </c>
      <c r="O7693" s="14">
        <v>2800</v>
      </c>
      <c r="P7693" s="14">
        <v>92.68</v>
      </c>
      <c r="Q7693" s="14">
        <v>204.96</v>
      </c>
      <c r="R7693" s="14">
        <v>106.58</v>
      </c>
      <c r="S7693" s="2" t="s">
        <v>5214</v>
      </c>
      <c r="T7693" s="2">
        <v>1</v>
      </c>
      <c r="U7693" s="2">
        <v>66.900000000000006</v>
      </c>
      <c r="V7693" s="2">
        <v>64</v>
      </c>
      <c r="W7693" s="2" t="s">
        <v>7862</v>
      </c>
      <c r="X7693" s="2" t="s">
        <v>6838</v>
      </c>
      <c r="Y7693" s="2">
        <v>1456</v>
      </c>
      <c r="Z7693" s="19" t="str">
        <f>HYPERLINK("https://ssdweb.co/ssdweb/hd/Vision360.html?d=941270783&amp;zoomslide=1&amp;z=1941270783&amp;ISCONFIRM=0","VIDEO")</f>
        <v>VIDEO</v>
      </c>
      <c r="AA7693" s="19" t="str">
        <f>HYPERLINK("https://ssdweb.co/ssdweb/CERTH/692505621.pdf","CERTI")</f>
        <v>CERTI</v>
      </c>
    </row>
    <row r="7694" spans="1:27" ht="15" x14ac:dyDescent="0.25">
      <c r="A7694" s="2">
        <v>7689</v>
      </c>
      <c r="B7694" s="39">
        <v>941261104</v>
      </c>
      <c r="C7694" s="28" t="str">
        <f>HYPERLINK("https://pld.live/RapDetail.aspx?STONELIST=941261104","DNA")</f>
        <v>DNA</v>
      </c>
      <c r="D7694" s="18" t="s">
        <v>5466</v>
      </c>
      <c r="E7694" s="18" t="s">
        <v>5128</v>
      </c>
      <c r="F7694" s="2" t="s">
        <v>7987</v>
      </c>
      <c r="G7694" s="2" t="s">
        <v>15</v>
      </c>
      <c r="H7694" s="14">
        <v>0.52</v>
      </c>
      <c r="I7694" s="2" t="s">
        <v>267</v>
      </c>
      <c r="J7694" s="2" t="s">
        <v>3942</v>
      </c>
      <c r="K7694" s="2" t="s">
        <v>1452</v>
      </c>
      <c r="L7694" s="2" t="s">
        <v>5221</v>
      </c>
      <c r="M7694" s="2" t="s">
        <v>5221</v>
      </c>
      <c r="N7694" s="2" t="s">
        <v>2317</v>
      </c>
      <c r="O7694" s="14">
        <v>2800</v>
      </c>
      <c r="P7694" s="14">
        <v>92.68</v>
      </c>
      <c r="Q7694" s="14">
        <v>204.96</v>
      </c>
      <c r="R7694" s="14">
        <v>106.58</v>
      </c>
      <c r="S7694" s="2" t="s">
        <v>764</v>
      </c>
      <c r="T7694" s="2">
        <v>1</v>
      </c>
      <c r="U7694" s="2">
        <v>65</v>
      </c>
      <c r="V7694" s="2">
        <v>63</v>
      </c>
      <c r="W7694" s="2" t="s">
        <v>7862</v>
      </c>
      <c r="X7694" s="2" t="s">
        <v>6838</v>
      </c>
      <c r="Y7694" s="2">
        <v>1456</v>
      </c>
      <c r="Z7694" s="19" t="str">
        <f>HYPERLINK("https://ssdweb.co/ssdweb/hd/Vision360.html?d=941261104&amp;zoomslide=1&amp;z=1941261104&amp;ISCONFIRM=0","VIDEO")</f>
        <v>VIDEO</v>
      </c>
      <c r="AA7694" s="19" t="str">
        <f>HYPERLINK("https://ssdweb.co/ssdweb/CERTH/689587162.pdf","CERTI")</f>
        <v>CERTI</v>
      </c>
    </row>
    <row r="7695" spans="1:27" ht="15" x14ac:dyDescent="0.25">
      <c r="A7695" s="2">
        <v>7690</v>
      </c>
      <c r="B7695" s="39">
        <v>941261113</v>
      </c>
      <c r="C7695" s="28" t="str">
        <f>HYPERLINK("https://pld.live/RapDetail.aspx?STONELIST=941261113","DNA")</f>
        <v>DNA</v>
      </c>
      <c r="D7695" s="18" t="s">
        <v>5466</v>
      </c>
      <c r="E7695" s="18" t="s">
        <v>5128</v>
      </c>
      <c r="F7695" s="2" t="s">
        <v>7987</v>
      </c>
      <c r="G7695" s="2" t="s">
        <v>15</v>
      </c>
      <c r="H7695" s="14">
        <v>0.52</v>
      </c>
      <c r="I7695" s="2" t="s">
        <v>267</v>
      </c>
      <c r="J7695" s="2" t="s">
        <v>3942</v>
      </c>
      <c r="K7695" s="2" t="s">
        <v>1452</v>
      </c>
      <c r="L7695" s="2" t="s">
        <v>5221</v>
      </c>
      <c r="M7695" s="2" t="s">
        <v>5221</v>
      </c>
      <c r="N7695" s="2" t="s">
        <v>2317</v>
      </c>
      <c r="O7695" s="14">
        <v>2800</v>
      </c>
      <c r="P7695" s="14">
        <v>92.68</v>
      </c>
      <c r="Q7695" s="14">
        <v>204.96</v>
      </c>
      <c r="R7695" s="14">
        <v>106.58</v>
      </c>
      <c r="S7695" s="2" t="s">
        <v>1665</v>
      </c>
      <c r="T7695" s="2">
        <v>1</v>
      </c>
      <c r="U7695" s="2">
        <v>65.2</v>
      </c>
      <c r="V7695" s="2">
        <v>64</v>
      </c>
      <c r="W7695" s="2" t="s">
        <v>7862</v>
      </c>
      <c r="X7695" s="2" t="s">
        <v>6838</v>
      </c>
      <c r="Y7695" s="2">
        <v>1456</v>
      </c>
      <c r="Z7695" s="19" t="str">
        <f>HYPERLINK("https://ssdweb.co/ssdweb/hd/Vision360.html?d=941261113&amp;zoomslide=1&amp;z=1941261113&amp;ISCONFIRM=0","VIDEO")</f>
        <v>VIDEO</v>
      </c>
      <c r="AA7695" s="19" t="str">
        <f>HYPERLINK("https://ssdweb.co/ssdweb/CERTH/691533665.pdf","CERTI")</f>
        <v>CERTI</v>
      </c>
    </row>
    <row r="7696" spans="1:27" ht="15" x14ac:dyDescent="0.25">
      <c r="A7696" s="2">
        <v>7691</v>
      </c>
      <c r="B7696" s="39">
        <v>941270772</v>
      </c>
      <c r="C7696" s="28" t="str">
        <f>HYPERLINK("https://pld.live/RapDetail.aspx?STONELIST=941270772","DNA")</f>
        <v>DNA</v>
      </c>
      <c r="D7696" s="18" t="s">
        <v>5466</v>
      </c>
      <c r="E7696" s="18" t="s">
        <v>5128</v>
      </c>
      <c r="F7696" s="2" t="s">
        <v>7987</v>
      </c>
      <c r="G7696" s="2" t="s">
        <v>15</v>
      </c>
      <c r="H7696" s="14">
        <v>0.52</v>
      </c>
      <c r="I7696" s="2" t="s">
        <v>267</v>
      </c>
      <c r="J7696" s="2" t="s">
        <v>3942</v>
      </c>
      <c r="K7696" s="2" t="s">
        <v>1452</v>
      </c>
      <c r="L7696" s="2" t="s">
        <v>5221</v>
      </c>
      <c r="M7696" s="2" t="s">
        <v>5221</v>
      </c>
      <c r="N7696" s="2" t="s">
        <v>2317</v>
      </c>
      <c r="O7696" s="14">
        <v>2800</v>
      </c>
      <c r="P7696" s="14">
        <v>92.68</v>
      </c>
      <c r="Q7696" s="14">
        <v>204.96</v>
      </c>
      <c r="R7696" s="14">
        <v>106.58</v>
      </c>
      <c r="S7696" s="2" t="s">
        <v>2166</v>
      </c>
      <c r="T7696" s="2">
        <v>1.01</v>
      </c>
      <c r="U7696" s="2">
        <v>65.8</v>
      </c>
      <c r="V7696" s="2">
        <v>66</v>
      </c>
      <c r="W7696" s="2" t="s">
        <v>7862</v>
      </c>
      <c r="X7696" s="2" t="s">
        <v>6838</v>
      </c>
      <c r="Y7696" s="2">
        <v>1456</v>
      </c>
      <c r="Z7696" s="19" t="str">
        <f>HYPERLINK("https://ssdweb.co/ssdweb/hd/Vision360.html?d=941270772&amp;zoomslide=1&amp;z=1941270772&amp;ISCONFIRM=0","VIDEO")</f>
        <v>VIDEO</v>
      </c>
      <c r="AA7696" s="19" t="str">
        <f>HYPERLINK("https://ssdweb.co/ssdweb/CERTH/691577885.pdf","CERTI")</f>
        <v>CERTI</v>
      </c>
    </row>
    <row r="7697" spans="1:27" ht="15" x14ac:dyDescent="0.25">
      <c r="A7697" s="2">
        <v>7692</v>
      </c>
      <c r="B7697" s="39">
        <v>941261092</v>
      </c>
      <c r="C7697" s="28" t="str">
        <f>HYPERLINK("https://pld.live/RapDetail.aspx?STONELIST=941261092","DNA")</f>
        <v>DNA</v>
      </c>
      <c r="D7697" s="18" t="s">
        <v>5466</v>
      </c>
      <c r="E7697" s="18" t="s">
        <v>5128</v>
      </c>
      <c r="F7697" s="2" t="s">
        <v>7987</v>
      </c>
      <c r="G7697" s="2" t="s">
        <v>15</v>
      </c>
      <c r="H7697" s="14">
        <v>0.52</v>
      </c>
      <c r="I7697" s="2" t="s">
        <v>267</v>
      </c>
      <c r="J7697" s="2" t="s">
        <v>3942</v>
      </c>
      <c r="K7697" s="2" t="s">
        <v>1452</v>
      </c>
      <c r="L7697" s="2" t="s">
        <v>5221</v>
      </c>
      <c r="M7697" s="2" t="s">
        <v>5721</v>
      </c>
      <c r="N7697" s="2" t="s">
        <v>2317</v>
      </c>
      <c r="O7697" s="14">
        <v>2800</v>
      </c>
      <c r="P7697" s="14">
        <v>92.75</v>
      </c>
      <c r="Q7697" s="14">
        <v>203</v>
      </c>
      <c r="R7697" s="14">
        <v>105.56</v>
      </c>
      <c r="S7697" s="2" t="s">
        <v>6664</v>
      </c>
      <c r="T7697" s="2">
        <v>1.01</v>
      </c>
      <c r="U7697" s="2">
        <v>64.599999999999994</v>
      </c>
      <c r="V7697" s="2">
        <v>62</v>
      </c>
      <c r="W7697" s="2" t="s">
        <v>7862</v>
      </c>
      <c r="X7697" s="2" t="s">
        <v>6838</v>
      </c>
      <c r="Y7697" s="2">
        <v>1456</v>
      </c>
      <c r="Z7697" s="19" t="str">
        <f>HYPERLINK("https://ssdweb.co/ssdweb/hd/Vision360.html?d=941261092&amp;zoomslide=1&amp;z=1941261092&amp;ISCONFIRM=0","VIDEO")</f>
        <v>VIDEO</v>
      </c>
      <c r="AA7697" s="19" t="str">
        <f>HYPERLINK("https://ssdweb.co/ssdweb/CERTH/689587206.pdf","CERTI")</f>
        <v>CERTI</v>
      </c>
    </row>
    <row r="7698" spans="1:27" ht="15" x14ac:dyDescent="0.25">
      <c r="A7698" s="2">
        <v>7693</v>
      </c>
      <c r="B7698" s="39">
        <v>941270782</v>
      </c>
      <c r="C7698" s="28" t="str">
        <f>HYPERLINK("https://pld.live/RapDetail.aspx?STONELIST=941270782","DNA")</f>
        <v>DNA</v>
      </c>
      <c r="D7698" s="18" t="s">
        <v>5466</v>
      </c>
      <c r="E7698" s="18" t="s">
        <v>5128</v>
      </c>
      <c r="F7698" s="2" t="s">
        <v>7987</v>
      </c>
      <c r="G7698" s="2" t="s">
        <v>15</v>
      </c>
      <c r="H7698" s="14">
        <v>0.52</v>
      </c>
      <c r="I7698" s="2" t="s">
        <v>267</v>
      </c>
      <c r="J7698" s="2" t="s">
        <v>13</v>
      </c>
      <c r="K7698" s="2" t="s">
        <v>1452</v>
      </c>
      <c r="L7698" s="2" t="s">
        <v>5221</v>
      </c>
      <c r="M7698" s="2" t="s">
        <v>5221</v>
      </c>
      <c r="N7698" s="2" t="s">
        <v>2317</v>
      </c>
      <c r="O7698" s="14">
        <v>2600</v>
      </c>
      <c r="P7698" s="14">
        <v>92.31</v>
      </c>
      <c r="Q7698" s="14">
        <v>199.94</v>
      </c>
      <c r="R7698" s="14">
        <v>103.97</v>
      </c>
      <c r="S7698" s="2" t="s">
        <v>1649</v>
      </c>
      <c r="T7698" s="2">
        <v>1.01</v>
      </c>
      <c r="U7698" s="2">
        <v>65.8</v>
      </c>
      <c r="V7698" s="2">
        <v>64</v>
      </c>
      <c r="W7698" s="2" t="s">
        <v>7862</v>
      </c>
      <c r="X7698" s="2" t="s">
        <v>6838</v>
      </c>
      <c r="Y7698" s="2">
        <v>1352</v>
      </c>
      <c r="Z7698" s="19" t="str">
        <f>HYPERLINK("https://ssdweb.co/ssdweb/hd/Vision360.html?d=941270782&amp;zoomslide=1&amp;z=1941270782&amp;ISCONFIRM=0","VIDEO")</f>
        <v>VIDEO</v>
      </c>
      <c r="AA7698" s="19" t="str">
        <f>HYPERLINK("https://ssdweb.co/ssdweb/CERTH/692505620.pdf","CERTI")</f>
        <v>CERTI</v>
      </c>
    </row>
    <row r="7699" spans="1:27" ht="15" x14ac:dyDescent="0.25">
      <c r="A7699" s="2">
        <v>7694</v>
      </c>
      <c r="B7699" s="39">
        <v>941260730</v>
      </c>
      <c r="C7699" s="28" t="str">
        <f>HYPERLINK("https://pld.live/RapDetail.aspx?STONELIST=941260730","DNA")</f>
        <v>DNA</v>
      </c>
      <c r="D7699" s="18" t="s">
        <v>5466</v>
      </c>
      <c r="E7699" s="18" t="s">
        <v>5128</v>
      </c>
      <c r="F7699" s="2" t="s">
        <v>7987</v>
      </c>
      <c r="G7699" s="2" t="s">
        <v>15</v>
      </c>
      <c r="H7699" s="14">
        <v>0.52</v>
      </c>
      <c r="I7699" s="2" t="s">
        <v>267</v>
      </c>
      <c r="J7699" s="2" t="s">
        <v>13</v>
      </c>
      <c r="K7699" s="2" t="s">
        <v>1452</v>
      </c>
      <c r="L7699" s="2" t="s">
        <v>5221</v>
      </c>
      <c r="M7699" s="2" t="s">
        <v>5221</v>
      </c>
      <c r="N7699" s="2" t="s">
        <v>2317</v>
      </c>
      <c r="O7699" s="14">
        <v>2600</v>
      </c>
      <c r="P7699" s="14">
        <v>92.31</v>
      </c>
      <c r="Q7699" s="14">
        <v>199.94</v>
      </c>
      <c r="R7699" s="14">
        <v>103.97</v>
      </c>
      <c r="S7699" s="2" t="s">
        <v>4260</v>
      </c>
      <c r="T7699" s="2">
        <v>1.02</v>
      </c>
      <c r="U7699" s="2">
        <v>66.099999999999994</v>
      </c>
      <c r="V7699" s="2">
        <v>63</v>
      </c>
      <c r="W7699" s="2" t="s">
        <v>7862</v>
      </c>
      <c r="X7699" s="2" t="s">
        <v>6838</v>
      </c>
      <c r="Y7699" s="2">
        <v>1352</v>
      </c>
      <c r="Z7699" s="19" t="str">
        <f>HYPERLINK("https://ssdweb.co/ssdweb/hd/Vision360.html?d=941260730&amp;zoomslide=1&amp;z=1941260730&amp;ISCONFIRM=0","VIDEO")</f>
        <v>VIDEO</v>
      </c>
      <c r="AA7699" s="19" t="str">
        <f>HYPERLINK("https://ssdweb.co/ssdweb/CERTH/680505091.pdf","CERTI")</f>
        <v>CERTI</v>
      </c>
    </row>
    <row r="7700" spans="1:27" ht="15" x14ac:dyDescent="0.25">
      <c r="A7700" s="2">
        <v>7695</v>
      </c>
      <c r="B7700" s="39">
        <v>941270784</v>
      </c>
      <c r="C7700" s="28" t="str">
        <f>HYPERLINK("https://pld.live/RapDetail.aspx?STONELIST=941270784","DNA")</f>
        <v>DNA</v>
      </c>
      <c r="D7700" s="18" t="s">
        <v>5466</v>
      </c>
      <c r="E7700" s="18" t="s">
        <v>5128</v>
      </c>
      <c r="F7700" s="2" t="s">
        <v>7987</v>
      </c>
      <c r="G7700" s="2" t="s">
        <v>15</v>
      </c>
      <c r="H7700" s="14">
        <v>0.52</v>
      </c>
      <c r="I7700" s="2" t="s">
        <v>267</v>
      </c>
      <c r="J7700" s="2" t="s">
        <v>13</v>
      </c>
      <c r="K7700" s="2" t="s">
        <v>1452</v>
      </c>
      <c r="L7700" s="2" t="s">
        <v>5221</v>
      </c>
      <c r="M7700" s="2" t="s">
        <v>5221</v>
      </c>
      <c r="N7700" s="2" t="s">
        <v>2317</v>
      </c>
      <c r="O7700" s="14">
        <v>2600</v>
      </c>
      <c r="P7700" s="14">
        <v>92.31</v>
      </c>
      <c r="Q7700" s="14">
        <v>199.94</v>
      </c>
      <c r="R7700" s="14">
        <v>103.97</v>
      </c>
      <c r="S7700" s="2" t="s">
        <v>7315</v>
      </c>
      <c r="T7700" s="2">
        <v>1.03</v>
      </c>
      <c r="U7700" s="2">
        <v>64.8</v>
      </c>
      <c r="V7700" s="2">
        <v>69</v>
      </c>
      <c r="W7700" s="2" t="s">
        <v>7862</v>
      </c>
      <c r="X7700" s="2" t="s">
        <v>6838</v>
      </c>
      <c r="Y7700" s="2">
        <v>1352</v>
      </c>
      <c r="Z7700" s="19" t="str">
        <f>HYPERLINK("https://ssdweb.co/ssdweb/hd/Vision360.html?d=941270784&amp;zoomslide=1&amp;z=1941270784&amp;ISCONFIRM=0","VIDEO")</f>
        <v>VIDEO</v>
      </c>
      <c r="AA7700" s="19" t="str">
        <f>HYPERLINK("https://ssdweb.co/ssdweb/CERTH/692505622.pdf","CERTI")</f>
        <v>CERTI</v>
      </c>
    </row>
    <row r="7701" spans="1:27" ht="15" x14ac:dyDescent="0.25">
      <c r="A7701" s="2">
        <v>7696</v>
      </c>
      <c r="B7701" s="39">
        <v>941270771</v>
      </c>
      <c r="C7701" s="28" t="str">
        <f>HYPERLINK("https://pld.live/RapDetail.aspx?STONELIST=941270771","DNA")</f>
        <v>DNA</v>
      </c>
      <c r="D7701" s="18" t="s">
        <v>5466</v>
      </c>
      <c r="E7701" s="18" t="s">
        <v>5128</v>
      </c>
      <c r="F7701" s="2" t="s">
        <v>7987</v>
      </c>
      <c r="G7701" s="2" t="s">
        <v>15</v>
      </c>
      <c r="H7701" s="14">
        <v>0.52</v>
      </c>
      <c r="I7701" s="2" t="s">
        <v>267</v>
      </c>
      <c r="J7701" s="2" t="s">
        <v>5144</v>
      </c>
      <c r="K7701" s="2" t="s">
        <v>1452</v>
      </c>
      <c r="L7701" s="2" t="s">
        <v>5221</v>
      </c>
      <c r="M7701" s="2" t="s">
        <v>5221</v>
      </c>
      <c r="N7701" s="2" t="s">
        <v>2317</v>
      </c>
      <c r="O7701" s="14">
        <v>2400</v>
      </c>
      <c r="P7701" s="14">
        <v>92.71</v>
      </c>
      <c r="Q7701" s="14">
        <v>174.96</v>
      </c>
      <c r="R7701" s="14">
        <v>90.98</v>
      </c>
      <c r="S7701" s="2" t="s">
        <v>4573</v>
      </c>
      <c r="T7701" s="2">
        <v>1.02</v>
      </c>
      <c r="U7701" s="2">
        <v>66.3</v>
      </c>
      <c r="V7701" s="2">
        <v>64</v>
      </c>
      <c r="W7701" s="2" t="s">
        <v>7862</v>
      </c>
      <c r="X7701" s="2" t="s">
        <v>6838</v>
      </c>
      <c r="Y7701" s="2">
        <v>1248</v>
      </c>
      <c r="Z7701" s="19" t="str">
        <f>HYPERLINK("https://ssdweb.co/ssdweb/hd/Vision360.html?d=941270771&amp;zoomslide=1&amp;z=1941270771&amp;ISCONFIRM=0","VIDEO")</f>
        <v>VIDEO</v>
      </c>
      <c r="AA7701" s="19" t="str">
        <f>HYPERLINK("https://ssdweb.co/ssdweb/CERTH/691533692.pdf","CERTI")</f>
        <v>CERTI</v>
      </c>
    </row>
    <row r="7702" spans="1:27" ht="15" x14ac:dyDescent="0.25">
      <c r="A7702" s="2">
        <v>7697</v>
      </c>
      <c r="B7702" s="39">
        <v>941270767</v>
      </c>
      <c r="C7702" s="28" t="str">
        <f>HYPERLINK("https://pld.live/RapDetail.aspx?STONELIST=941270767","DNA")</f>
        <v>DNA</v>
      </c>
      <c r="D7702" s="18" t="s">
        <v>5466</v>
      </c>
      <c r="E7702" s="18" t="s">
        <v>5128</v>
      </c>
      <c r="F7702" s="2" t="s">
        <v>7987</v>
      </c>
      <c r="G7702" s="2" t="s">
        <v>15</v>
      </c>
      <c r="H7702" s="14">
        <v>0.51</v>
      </c>
      <c r="I7702" s="2" t="s">
        <v>267</v>
      </c>
      <c r="J7702" s="2" t="s">
        <v>3942</v>
      </c>
      <c r="K7702" s="2" t="s">
        <v>1452</v>
      </c>
      <c r="L7702" s="2" t="s">
        <v>5221</v>
      </c>
      <c r="M7702" s="2" t="s">
        <v>5221</v>
      </c>
      <c r="N7702" s="2" t="s">
        <v>2317</v>
      </c>
      <c r="O7702" s="14">
        <v>2800</v>
      </c>
      <c r="P7702" s="14">
        <v>92.68</v>
      </c>
      <c r="Q7702" s="14">
        <v>204.96</v>
      </c>
      <c r="R7702" s="14">
        <v>104.53</v>
      </c>
      <c r="S7702" s="2" t="s">
        <v>4982</v>
      </c>
      <c r="T7702" s="2">
        <v>1.02</v>
      </c>
      <c r="U7702" s="2">
        <v>67.8</v>
      </c>
      <c r="V7702" s="2">
        <v>63</v>
      </c>
      <c r="W7702" s="2" t="s">
        <v>7862</v>
      </c>
      <c r="X7702" s="2" t="s">
        <v>6838</v>
      </c>
      <c r="Y7702" s="2">
        <v>1428</v>
      </c>
      <c r="Z7702" s="19" t="str">
        <f>HYPERLINK("https://ssdweb.co/ssdweb/hd/Vision360.html?d=941270767&amp;zoomslide=1&amp;z=1941270767&amp;ISCONFIRM=0","VIDEO")</f>
        <v>VIDEO</v>
      </c>
      <c r="AA7702" s="19" t="str">
        <f>HYPERLINK("https://ssdweb.co/ssdweb/CERTH/691533688.pdf","CERTI")</f>
        <v>CERTI</v>
      </c>
    </row>
    <row r="7703" spans="1:27" ht="15" x14ac:dyDescent="0.25">
      <c r="A7703" s="2">
        <v>7698</v>
      </c>
      <c r="B7703" s="39">
        <v>941270801</v>
      </c>
      <c r="C7703" s="28" t="str">
        <f>HYPERLINK("https://pld.live/RapDetail.aspx?STONELIST=941270801","DNA")</f>
        <v>DNA</v>
      </c>
      <c r="D7703" s="18" t="s">
        <v>5466</v>
      </c>
      <c r="E7703" s="18" t="s">
        <v>5128</v>
      </c>
      <c r="F7703" s="2" t="s">
        <v>7987</v>
      </c>
      <c r="G7703" s="2" t="s">
        <v>15</v>
      </c>
      <c r="H7703" s="14">
        <v>0.51</v>
      </c>
      <c r="I7703" s="2" t="s">
        <v>267</v>
      </c>
      <c r="J7703" s="2" t="s">
        <v>3942</v>
      </c>
      <c r="K7703" s="2" t="s">
        <v>1452</v>
      </c>
      <c r="L7703" s="2" t="s">
        <v>5221</v>
      </c>
      <c r="M7703" s="2" t="s">
        <v>5221</v>
      </c>
      <c r="N7703" s="2" t="s">
        <v>2317</v>
      </c>
      <c r="O7703" s="14">
        <v>2800</v>
      </c>
      <c r="P7703" s="14">
        <v>92.68</v>
      </c>
      <c r="Q7703" s="14">
        <v>204.96</v>
      </c>
      <c r="R7703" s="14">
        <v>104.53</v>
      </c>
      <c r="S7703" s="2" t="s">
        <v>853</v>
      </c>
      <c r="T7703" s="2">
        <v>1.02</v>
      </c>
      <c r="U7703" s="2">
        <v>65.7</v>
      </c>
      <c r="V7703" s="2">
        <v>66</v>
      </c>
      <c r="W7703" s="2" t="s">
        <v>7862</v>
      </c>
      <c r="X7703" s="2" t="s">
        <v>6838</v>
      </c>
      <c r="Y7703" s="2">
        <v>1428</v>
      </c>
      <c r="Z7703" s="19" t="str">
        <f>HYPERLINK("https://ssdweb.co/ssdweb/hd/Vision360.html?d=941270801&amp;zoomslide=1&amp;z=1941270801&amp;ISCONFIRM=0","VIDEO")</f>
        <v>VIDEO</v>
      </c>
      <c r="AA7703" s="19" t="str">
        <f>HYPERLINK("https://ssdweb.co/ssdweb/CERTH/692533955.pdf","CERTI")</f>
        <v>CERTI</v>
      </c>
    </row>
    <row r="7704" spans="1:27" ht="15" x14ac:dyDescent="0.25">
      <c r="A7704" s="2">
        <v>7699</v>
      </c>
      <c r="B7704" s="39">
        <v>941270457</v>
      </c>
      <c r="C7704" s="28" t="str">
        <f>HYPERLINK("https://pld.live/RapDetail.aspx?STONELIST=941270457","DNA")</f>
        <v>DNA</v>
      </c>
      <c r="D7704" s="18" t="s">
        <v>5466</v>
      </c>
      <c r="E7704" s="18" t="s">
        <v>5128</v>
      </c>
      <c r="F7704" s="2" t="s">
        <v>7987</v>
      </c>
      <c r="G7704" s="2" t="s">
        <v>15</v>
      </c>
      <c r="H7704" s="14">
        <v>0.51</v>
      </c>
      <c r="I7704" s="2" t="s">
        <v>267</v>
      </c>
      <c r="J7704" s="2" t="s">
        <v>13</v>
      </c>
      <c r="K7704" s="2" t="s">
        <v>1452</v>
      </c>
      <c r="L7704" s="2" t="s">
        <v>5221</v>
      </c>
      <c r="M7704" s="2" t="s">
        <v>5221</v>
      </c>
      <c r="N7704" s="2" t="s">
        <v>2317</v>
      </c>
      <c r="O7704" s="14">
        <v>2600</v>
      </c>
      <c r="P7704" s="14">
        <v>92.31</v>
      </c>
      <c r="Q7704" s="14">
        <v>199.94</v>
      </c>
      <c r="R7704" s="14">
        <v>101.97</v>
      </c>
      <c r="S7704" s="2" t="s">
        <v>3183</v>
      </c>
      <c r="T7704" s="2">
        <v>1</v>
      </c>
      <c r="U7704" s="2">
        <v>66.3</v>
      </c>
      <c r="V7704" s="2">
        <v>62</v>
      </c>
      <c r="W7704" s="2" t="s">
        <v>7862</v>
      </c>
      <c r="X7704" s="2" t="s">
        <v>6838</v>
      </c>
      <c r="Y7704" s="2">
        <v>1326</v>
      </c>
      <c r="Z7704" s="19" t="str">
        <f>HYPERLINK("https://ssdweb.co/ssdweb/hd/Vision360.html?d=941270457&amp;zoomslide=1&amp;z=1941270457&amp;ISCONFIRM=0","VIDEO")</f>
        <v>VIDEO</v>
      </c>
      <c r="AA7704" s="19" t="str">
        <f>HYPERLINK("https://ssdweb.co/ssdweb/CERTH/681517251.pdf","CERTI")</f>
        <v>CERTI</v>
      </c>
    </row>
    <row r="7705" spans="1:27" ht="15" x14ac:dyDescent="0.25">
      <c r="A7705" s="2">
        <v>7700</v>
      </c>
      <c r="B7705" s="39">
        <v>941261109</v>
      </c>
      <c r="C7705" s="28" t="str">
        <f>HYPERLINK("https://pld.live/RapDetail.aspx?STONELIST=941261109","DNA")</f>
        <v>DNA</v>
      </c>
      <c r="D7705" s="18" t="s">
        <v>5466</v>
      </c>
      <c r="E7705" s="18" t="s">
        <v>5128</v>
      </c>
      <c r="F7705" s="2" t="s">
        <v>7987</v>
      </c>
      <c r="G7705" s="2" t="s">
        <v>15</v>
      </c>
      <c r="H7705" s="14">
        <v>0.51</v>
      </c>
      <c r="I7705" s="2" t="s">
        <v>267</v>
      </c>
      <c r="J7705" s="2" t="s">
        <v>13</v>
      </c>
      <c r="K7705" s="2" t="s">
        <v>1452</v>
      </c>
      <c r="L7705" s="2" t="s">
        <v>5221</v>
      </c>
      <c r="M7705" s="2" t="s">
        <v>5221</v>
      </c>
      <c r="N7705" s="2" t="s">
        <v>2317</v>
      </c>
      <c r="O7705" s="14">
        <v>2600</v>
      </c>
      <c r="P7705" s="14">
        <v>92.31</v>
      </c>
      <c r="Q7705" s="14">
        <v>199.94</v>
      </c>
      <c r="R7705" s="14">
        <v>101.97</v>
      </c>
      <c r="S7705" s="2" t="s">
        <v>5987</v>
      </c>
      <c r="T7705" s="2">
        <v>1.01</v>
      </c>
      <c r="U7705" s="2">
        <v>66.099999999999994</v>
      </c>
      <c r="V7705" s="2">
        <v>64</v>
      </c>
      <c r="W7705" s="2" t="s">
        <v>7862</v>
      </c>
      <c r="X7705" s="2" t="s">
        <v>6838</v>
      </c>
      <c r="Y7705" s="2">
        <v>1326</v>
      </c>
      <c r="Z7705" s="19" t="str">
        <f>HYPERLINK("https://ssdweb.co/ssdweb/hd/Vision360.html?d=941261109&amp;zoomslide=1&amp;z=1941261109&amp;ISCONFIRM=0","VIDEO")</f>
        <v>VIDEO</v>
      </c>
      <c r="AA7705" s="19" t="str">
        <f>HYPERLINK("https://ssdweb.co/ssdweb/CERTH/691533681.pdf","CERTI")</f>
        <v>CERTI</v>
      </c>
    </row>
    <row r="7706" spans="1:27" ht="15" x14ac:dyDescent="0.25">
      <c r="A7706" s="2">
        <v>7701</v>
      </c>
      <c r="B7706" s="39">
        <v>941270794</v>
      </c>
      <c r="C7706" s="28" t="str">
        <f>HYPERLINK("https://pld.live/RapDetail.aspx?STONELIST=941270794","DNA")</f>
        <v>DNA</v>
      </c>
      <c r="D7706" s="18" t="s">
        <v>5466</v>
      </c>
      <c r="E7706" s="18" t="s">
        <v>5128</v>
      </c>
      <c r="F7706" s="2" t="s">
        <v>7987</v>
      </c>
      <c r="G7706" s="2" t="s">
        <v>15</v>
      </c>
      <c r="H7706" s="14">
        <v>0.51</v>
      </c>
      <c r="I7706" s="2" t="s">
        <v>267</v>
      </c>
      <c r="J7706" s="2" t="s">
        <v>13</v>
      </c>
      <c r="K7706" s="2" t="s">
        <v>1452</v>
      </c>
      <c r="L7706" s="2" t="s">
        <v>5221</v>
      </c>
      <c r="M7706" s="2" t="s">
        <v>5221</v>
      </c>
      <c r="N7706" s="2" t="s">
        <v>2317</v>
      </c>
      <c r="O7706" s="14">
        <v>2600</v>
      </c>
      <c r="P7706" s="14">
        <v>92.31</v>
      </c>
      <c r="Q7706" s="14">
        <v>199.94</v>
      </c>
      <c r="R7706" s="14">
        <v>101.97</v>
      </c>
      <c r="S7706" s="2" t="s">
        <v>5308</v>
      </c>
      <c r="T7706" s="2">
        <v>1</v>
      </c>
      <c r="U7706" s="2">
        <v>66.599999999999994</v>
      </c>
      <c r="V7706" s="2">
        <v>66</v>
      </c>
      <c r="W7706" s="2" t="s">
        <v>7862</v>
      </c>
      <c r="X7706" s="2" t="s">
        <v>6838</v>
      </c>
      <c r="Y7706" s="2">
        <v>1326</v>
      </c>
      <c r="Z7706" s="19" t="str">
        <f>HYPERLINK("https://ssdweb.co/ssdweb/hd/Vision360.html?d=941270794&amp;zoomslide=1&amp;z=1941270794&amp;ISCONFIRM=0","VIDEO")</f>
        <v>VIDEO</v>
      </c>
      <c r="AA7706" s="19" t="str">
        <f>HYPERLINK("https://ssdweb.co/ssdweb/CERTH/692505650.pdf","CERTI")</f>
        <v>CERTI</v>
      </c>
    </row>
    <row r="7707" spans="1:27" ht="15" x14ac:dyDescent="0.25">
      <c r="A7707" s="2">
        <v>7702</v>
      </c>
      <c r="B7707" s="39">
        <v>941261125</v>
      </c>
      <c r="C7707" s="28" t="str">
        <f>HYPERLINK("https://pld.live/RapDetail.aspx?STONELIST=941261125","DNA")</f>
        <v>DNA</v>
      </c>
      <c r="D7707" s="18" t="s">
        <v>5466</v>
      </c>
      <c r="E7707" s="18" t="s">
        <v>5128</v>
      </c>
      <c r="F7707" s="2" t="s">
        <v>7987</v>
      </c>
      <c r="G7707" s="2" t="s">
        <v>15</v>
      </c>
      <c r="H7707" s="14">
        <v>0.51</v>
      </c>
      <c r="I7707" s="2" t="s">
        <v>267</v>
      </c>
      <c r="J7707" s="2" t="s">
        <v>13</v>
      </c>
      <c r="K7707" s="2" t="s">
        <v>1452</v>
      </c>
      <c r="L7707" s="2" t="s">
        <v>5221</v>
      </c>
      <c r="M7707" s="2" t="s">
        <v>5221</v>
      </c>
      <c r="N7707" s="2" t="s">
        <v>2317</v>
      </c>
      <c r="O7707" s="14">
        <v>2600</v>
      </c>
      <c r="P7707" s="14">
        <v>92.31</v>
      </c>
      <c r="Q7707" s="14">
        <v>199.94</v>
      </c>
      <c r="R7707" s="14">
        <v>101.97</v>
      </c>
      <c r="S7707" s="2" t="s">
        <v>6674</v>
      </c>
      <c r="T7707" s="2">
        <v>1</v>
      </c>
      <c r="U7707" s="2">
        <v>63.7</v>
      </c>
      <c r="V7707" s="2">
        <v>65</v>
      </c>
      <c r="W7707" s="2" t="s">
        <v>7862</v>
      </c>
      <c r="X7707" s="2" t="s">
        <v>6838</v>
      </c>
      <c r="Y7707" s="2">
        <v>1326</v>
      </c>
      <c r="Z7707" s="19" t="str">
        <f>HYPERLINK("https://ssdweb.co/ssdweb/hd/Vision360.html?d=941261125&amp;zoomslide=1&amp;z=1941261125&amp;ISCONFIRM=0","VIDEO")</f>
        <v>VIDEO</v>
      </c>
      <c r="AA7707" s="19" t="str">
        <f>HYPERLINK("https://ssdweb.co/ssdweb/CERTH/691577884.pdf","CERTI")</f>
        <v>CERTI</v>
      </c>
    </row>
    <row r="7708" spans="1:27" ht="15" x14ac:dyDescent="0.25">
      <c r="A7708" s="2">
        <v>7703</v>
      </c>
      <c r="B7708" s="39">
        <v>941270769</v>
      </c>
      <c r="C7708" s="28" t="str">
        <f>HYPERLINK("https://pld.live/RapDetail.aspx?STONELIST=941270769","DNA")</f>
        <v>DNA</v>
      </c>
      <c r="D7708" s="18" t="s">
        <v>5466</v>
      </c>
      <c r="E7708" s="18" t="s">
        <v>5128</v>
      </c>
      <c r="F7708" s="2" t="s">
        <v>7987</v>
      </c>
      <c r="G7708" s="2" t="s">
        <v>15</v>
      </c>
      <c r="H7708" s="14">
        <v>0.51</v>
      </c>
      <c r="I7708" s="2" t="s">
        <v>267</v>
      </c>
      <c r="J7708" s="2" t="s">
        <v>5144</v>
      </c>
      <c r="K7708" s="2" t="s">
        <v>1452</v>
      </c>
      <c r="L7708" s="2" t="s">
        <v>5221</v>
      </c>
      <c r="M7708" s="2" t="s">
        <v>5221</v>
      </c>
      <c r="N7708" s="2" t="s">
        <v>2317</v>
      </c>
      <c r="O7708" s="14">
        <v>2400</v>
      </c>
      <c r="P7708" s="14">
        <v>92.71</v>
      </c>
      <c r="Q7708" s="14">
        <v>174.96</v>
      </c>
      <c r="R7708" s="14">
        <v>89.23</v>
      </c>
      <c r="S7708" s="2" t="s">
        <v>1847</v>
      </c>
      <c r="T7708" s="2">
        <v>1.02</v>
      </c>
      <c r="U7708" s="2">
        <v>67.099999999999994</v>
      </c>
      <c r="V7708" s="2">
        <v>65</v>
      </c>
      <c r="W7708" s="2" t="s">
        <v>7862</v>
      </c>
      <c r="X7708" s="2" t="s">
        <v>6838</v>
      </c>
      <c r="Y7708" s="2">
        <v>1224</v>
      </c>
      <c r="Z7708" s="19" t="str">
        <f>HYPERLINK("https://ssdweb.co/ssdweb/hd/Vision360.html?d=941270769&amp;zoomslide=1&amp;z=1941270769&amp;ISCONFIRM=0","VIDEO")</f>
        <v>VIDEO</v>
      </c>
      <c r="AA7708" s="19" t="str">
        <f>HYPERLINK("https://ssdweb.co/ssdweb/CERTH/691533690.pdf","CERTI")</f>
        <v>CERTI</v>
      </c>
    </row>
    <row r="7709" spans="1:27" ht="15" x14ac:dyDescent="0.25">
      <c r="A7709" s="2">
        <v>7704</v>
      </c>
      <c r="B7709" s="39">
        <v>941270806</v>
      </c>
      <c r="C7709" s="28" t="str">
        <f>HYPERLINK("https://pld.live/RapDetail.aspx?STONELIST=941270806","DNA")</f>
        <v>DNA</v>
      </c>
      <c r="D7709" s="18" t="s">
        <v>5466</v>
      </c>
      <c r="E7709" s="18" t="s">
        <v>5128</v>
      </c>
      <c r="F7709" s="2" t="s">
        <v>7987</v>
      </c>
      <c r="G7709" s="2" t="s">
        <v>15</v>
      </c>
      <c r="H7709" s="14">
        <v>0.5</v>
      </c>
      <c r="I7709" s="2" t="s">
        <v>267</v>
      </c>
      <c r="J7709" s="2" t="s">
        <v>3942</v>
      </c>
      <c r="K7709" s="2" t="s">
        <v>1452</v>
      </c>
      <c r="L7709" s="2" t="s">
        <v>5221</v>
      </c>
      <c r="M7709" s="2" t="s">
        <v>5221</v>
      </c>
      <c r="N7709" s="2" t="s">
        <v>2317</v>
      </c>
      <c r="O7709" s="14">
        <v>2800</v>
      </c>
      <c r="P7709" s="14">
        <v>92.68</v>
      </c>
      <c r="Q7709" s="14">
        <v>204.96</v>
      </c>
      <c r="R7709" s="14">
        <v>102.48</v>
      </c>
      <c r="S7709" s="2" t="s">
        <v>2704</v>
      </c>
      <c r="T7709" s="2">
        <v>1.02</v>
      </c>
      <c r="U7709" s="2">
        <v>65.099999999999994</v>
      </c>
      <c r="V7709" s="2">
        <v>64</v>
      </c>
      <c r="W7709" s="2" t="s">
        <v>7862</v>
      </c>
      <c r="X7709" s="2" t="s">
        <v>6838</v>
      </c>
      <c r="Y7709" s="2">
        <v>1400</v>
      </c>
      <c r="Z7709" s="19" t="str">
        <f>HYPERLINK("https://ssdweb.co/ssdweb/hd/Vision360.html?d=941270806&amp;zoomslide=1&amp;z=1941270806&amp;ISCONFIRM=0","VIDEO")</f>
        <v>VIDEO</v>
      </c>
      <c r="AA7709" s="19" t="str">
        <f>HYPERLINK("https://ssdweb.co/ssdweb/CERTH/692533960.pdf","CERTI")</f>
        <v>CERTI</v>
      </c>
    </row>
    <row r="7710" spans="1:27" ht="15" x14ac:dyDescent="0.25">
      <c r="A7710" s="2">
        <v>7705</v>
      </c>
      <c r="B7710" s="39">
        <v>941270778</v>
      </c>
      <c r="C7710" s="28" t="str">
        <f>HYPERLINK("https://pld.live/RapDetail.aspx?STONELIST=941270778","DNA")</f>
        <v>DNA</v>
      </c>
      <c r="D7710" s="18" t="s">
        <v>5466</v>
      </c>
      <c r="E7710" s="18" t="s">
        <v>5128</v>
      </c>
      <c r="F7710" s="2" t="s">
        <v>7987</v>
      </c>
      <c r="G7710" s="2" t="s">
        <v>15</v>
      </c>
      <c r="H7710" s="14">
        <v>0.5</v>
      </c>
      <c r="I7710" s="2" t="s">
        <v>267</v>
      </c>
      <c r="J7710" s="2" t="s">
        <v>3942</v>
      </c>
      <c r="K7710" s="2" t="s">
        <v>1452</v>
      </c>
      <c r="L7710" s="2" t="s">
        <v>5221</v>
      </c>
      <c r="M7710" s="2" t="s">
        <v>5221</v>
      </c>
      <c r="N7710" s="2" t="s">
        <v>2317</v>
      </c>
      <c r="O7710" s="14">
        <v>2800</v>
      </c>
      <c r="P7710" s="14">
        <v>92.68</v>
      </c>
      <c r="Q7710" s="14">
        <v>204.96</v>
      </c>
      <c r="R7710" s="14">
        <v>102.48</v>
      </c>
      <c r="S7710" s="2" t="s">
        <v>5082</v>
      </c>
      <c r="T7710" s="2">
        <v>1.01</v>
      </c>
      <c r="U7710" s="2">
        <v>65</v>
      </c>
      <c r="V7710" s="2">
        <v>65</v>
      </c>
      <c r="W7710" s="2" t="s">
        <v>7862</v>
      </c>
      <c r="X7710" s="2" t="s">
        <v>6838</v>
      </c>
      <c r="Y7710" s="2">
        <v>1400</v>
      </c>
      <c r="Z7710" s="19" t="str">
        <f>HYPERLINK("https://ssdweb.co/ssdweb/hd/Vision360.html?d=941270778&amp;zoomslide=1&amp;z=1941270778&amp;ISCONFIRM=0","VIDEO")</f>
        <v>VIDEO</v>
      </c>
      <c r="AA7710" s="19" t="str">
        <f>HYPERLINK("https://ssdweb.co/ssdweb/CERTH/691577891.pdf","CERTI")</f>
        <v>CERTI</v>
      </c>
    </row>
    <row r="7711" spans="1:27" ht="15" x14ac:dyDescent="0.25">
      <c r="A7711" s="2">
        <v>7706</v>
      </c>
      <c r="B7711" s="39">
        <v>941270776</v>
      </c>
      <c r="C7711" s="28" t="str">
        <f>HYPERLINK("https://pld.live/RapDetail.aspx?STONELIST=941270776","DNA")</f>
        <v>DNA</v>
      </c>
      <c r="D7711" s="18" t="s">
        <v>5466</v>
      </c>
      <c r="E7711" s="18" t="s">
        <v>5128</v>
      </c>
      <c r="F7711" s="2" t="s">
        <v>7987</v>
      </c>
      <c r="G7711" s="2" t="s">
        <v>15</v>
      </c>
      <c r="H7711" s="14">
        <v>0.5</v>
      </c>
      <c r="I7711" s="2" t="s">
        <v>267</v>
      </c>
      <c r="J7711" s="2" t="s">
        <v>13</v>
      </c>
      <c r="K7711" s="2" t="s">
        <v>1452</v>
      </c>
      <c r="L7711" s="2" t="s">
        <v>5221</v>
      </c>
      <c r="M7711" s="2" t="s">
        <v>5221</v>
      </c>
      <c r="N7711" s="2" t="s">
        <v>2317</v>
      </c>
      <c r="O7711" s="14">
        <v>2600</v>
      </c>
      <c r="P7711" s="14">
        <v>92.31</v>
      </c>
      <c r="Q7711" s="14">
        <v>199.94</v>
      </c>
      <c r="R7711" s="14">
        <v>99.97</v>
      </c>
      <c r="S7711" s="2" t="s">
        <v>326</v>
      </c>
      <c r="T7711" s="2">
        <v>1.02</v>
      </c>
      <c r="U7711" s="2">
        <v>67.8</v>
      </c>
      <c r="V7711" s="2">
        <v>63</v>
      </c>
      <c r="W7711" s="2" t="s">
        <v>7862</v>
      </c>
      <c r="X7711" s="2" t="s">
        <v>6838</v>
      </c>
      <c r="Y7711" s="2">
        <v>1300</v>
      </c>
      <c r="Z7711" s="19" t="str">
        <f>HYPERLINK("https://ssdweb.co/ssdweb/hd/Vision360.html?d=941270776&amp;zoomslide=1&amp;z=1941270776&amp;ISCONFIRM=0","VIDEO")</f>
        <v>VIDEO</v>
      </c>
      <c r="AA7711" s="19" t="str">
        <f>HYPERLINK("https://ssdweb.co/ssdweb/CERTH/691577889.pdf","CERTI")</f>
        <v>CERTI</v>
      </c>
    </row>
    <row r="7712" spans="1:27" ht="15" x14ac:dyDescent="0.25">
      <c r="A7712" s="2">
        <v>7707</v>
      </c>
      <c r="B7712" s="39">
        <v>9412700820</v>
      </c>
      <c r="C7712" s="28" t="str">
        <f>HYPERLINK("https://pld.live/RapDetail.aspx?STONELIST=9412700820","DNA")</f>
        <v>DNA</v>
      </c>
      <c r="D7712" s="18" t="s">
        <v>5466</v>
      </c>
      <c r="E7712" s="18" t="s">
        <v>5128</v>
      </c>
      <c r="F7712" s="2" t="s">
        <v>7987</v>
      </c>
      <c r="G7712" s="2" t="s">
        <v>15</v>
      </c>
      <c r="H7712" s="14">
        <v>0.5</v>
      </c>
      <c r="I7712" s="2" t="s">
        <v>267</v>
      </c>
      <c r="J7712" s="2" t="s">
        <v>13</v>
      </c>
      <c r="K7712" s="2" t="s">
        <v>1452</v>
      </c>
      <c r="L7712" s="2" t="s">
        <v>5221</v>
      </c>
      <c r="M7712" s="2" t="s">
        <v>5221</v>
      </c>
      <c r="N7712" s="2" t="s">
        <v>2317</v>
      </c>
      <c r="O7712" s="14">
        <v>2600</v>
      </c>
      <c r="P7712" s="14">
        <v>92.31</v>
      </c>
      <c r="Q7712" s="14">
        <v>199.94</v>
      </c>
      <c r="R7712" s="14">
        <v>99.97</v>
      </c>
      <c r="S7712" s="2" t="s">
        <v>792</v>
      </c>
      <c r="T7712" s="2">
        <v>1.02</v>
      </c>
      <c r="U7712" s="2">
        <v>64.8</v>
      </c>
      <c r="V7712" s="2">
        <v>69</v>
      </c>
      <c r="W7712" s="2" t="s">
        <v>7862</v>
      </c>
      <c r="X7712" s="2" t="s">
        <v>6838</v>
      </c>
      <c r="Y7712" s="2">
        <v>1300</v>
      </c>
      <c r="Z7712" s="19" t="str">
        <f>HYPERLINK("https://ssdweb.co/ssdweb/hd/Vision360.html?d=9412700820&amp;zoomslide=1&amp;z=19412700820&amp;ISCONFIRM=0","VIDEO")</f>
        <v>VIDEO</v>
      </c>
      <c r="AA7712" s="19" t="str">
        <f>HYPERLINK("https://ssdweb.co/ssdweb/CERTH/693519434.pdf","CERTI")</f>
        <v>CERTI</v>
      </c>
    </row>
    <row r="7713" spans="1:27" ht="15" x14ac:dyDescent="0.25">
      <c r="A7713" s="2">
        <v>7708</v>
      </c>
      <c r="B7713" s="39">
        <v>941270795</v>
      </c>
      <c r="C7713" s="28" t="str">
        <f>HYPERLINK("https://pld.live/RapDetail.aspx?STONELIST=941270795","DNA")</f>
        <v>DNA</v>
      </c>
      <c r="D7713" s="18" t="s">
        <v>5466</v>
      </c>
      <c r="E7713" s="18" t="s">
        <v>5128</v>
      </c>
      <c r="F7713" s="2" t="s">
        <v>7987</v>
      </c>
      <c r="G7713" s="2" t="s">
        <v>15</v>
      </c>
      <c r="H7713" s="14">
        <v>0.5</v>
      </c>
      <c r="I7713" s="2" t="s">
        <v>267</v>
      </c>
      <c r="J7713" s="2" t="s">
        <v>13</v>
      </c>
      <c r="K7713" s="2" t="s">
        <v>1452</v>
      </c>
      <c r="L7713" s="2" t="s">
        <v>5221</v>
      </c>
      <c r="M7713" s="2" t="s">
        <v>5221</v>
      </c>
      <c r="N7713" s="2" t="s">
        <v>2317</v>
      </c>
      <c r="O7713" s="14">
        <v>2600</v>
      </c>
      <c r="P7713" s="14">
        <v>92.31</v>
      </c>
      <c r="Q7713" s="14">
        <v>199.94</v>
      </c>
      <c r="R7713" s="14">
        <v>99.97</v>
      </c>
      <c r="S7713" s="2" t="s">
        <v>1428</v>
      </c>
      <c r="T7713" s="2">
        <v>1</v>
      </c>
      <c r="U7713" s="2">
        <v>66.400000000000006</v>
      </c>
      <c r="V7713" s="2">
        <v>64</v>
      </c>
      <c r="W7713" s="2" t="s">
        <v>7862</v>
      </c>
      <c r="X7713" s="2" t="s">
        <v>6838</v>
      </c>
      <c r="Y7713" s="2">
        <v>1300</v>
      </c>
      <c r="Z7713" s="19" t="str">
        <f>HYPERLINK("https://ssdweb.co/ssdweb/hd/Vision360.html?d=941270795&amp;zoomslide=1&amp;z=1941270795&amp;ISCONFIRM=0","VIDEO")</f>
        <v>VIDEO</v>
      </c>
      <c r="AA7713" s="19" t="str">
        <f>HYPERLINK("https://ssdweb.co/ssdweb/CERTH/692505651.pdf","CERTI")</f>
        <v>CERTI</v>
      </c>
    </row>
    <row r="7714" spans="1:27" ht="15" x14ac:dyDescent="0.25">
      <c r="A7714" s="2">
        <v>7709</v>
      </c>
      <c r="B7714" s="39">
        <v>941270768</v>
      </c>
      <c r="C7714" s="28" t="str">
        <f>HYPERLINK("https://pld.live/RapDetail.aspx?STONELIST=941270768","DNA")</f>
        <v>DNA</v>
      </c>
      <c r="D7714" s="18" t="s">
        <v>5466</v>
      </c>
      <c r="E7714" s="18" t="s">
        <v>5128</v>
      </c>
      <c r="F7714" s="2" t="s">
        <v>7987</v>
      </c>
      <c r="G7714" s="2" t="s">
        <v>15</v>
      </c>
      <c r="H7714" s="14">
        <v>0.5</v>
      </c>
      <c r="I7714" s="2" t="s">
        <v>267</v>
      </c>
      <c r="J7714" s="2" t="s">
        <v>13</v>
      </c>
      <c r="K7714" s="2" t="s">
        <v>1452</v>
      </c>
      <c r="L7714" s="2" t="s">
        <v>5221</v>
      </c>
      <c r="M7714" s="2" t="s">
        <v>5221</v>
      </c>
      <c r="N7714" s="2" t="s">
        <v>2317</v>
      </c>
      <c r="O7714" s="14">
        <v>2600</v>
      </c>
      <c r="P7714" s="14">
        <v>92.31</v>
      </c>
      <c r="Q7714" s="14">
        <v>199.94</v>
      </c>
      <c r="R7714" s="14">
        <v>99.97</v>
      </c>
      <c r="S7714" s="2" t="s">
        <v>6567</v>
      </c>
      <c r="T7714" s="2">
        <v>1</v>
      </c>
      <c r="U7714" s="2">
        <v>68.599999999999994</v>
      </c>
      <c r="V7714" s="2">
        <v>62</v>
      </c>
      <c r="W7714" s="2" t="s">
        <v>7862</v>
      </c>
      <c r="X7714" s="2" t="s">
        <v>6838</v>
      </c>
      <c r="Y7714" s="2">
        <v>1300</v>
      </c>
      <c r="Z7714" s="19" t="str">
        <f>HYPERLINK("https://ssdweb.co/ssdweb/hd/Vision360.html?d=941270768&amp;zoomslide=1&amp;z=1941270768&amp;ISCONFIRM=0","VIDEO")</f>
        <v>VIDEO</v>
      </c>
      <c r="AA7714" s="19" t="str">
        <f>HYPERLINK("https://ssdweb.co/ssdweb/CERTH/691533689.pdf","CERTI")</f>
        <v>CERTI</v>
      </c>
    </row>
    <row r="7715" spans="1:27" ht="15" x14ac:dyDescent="0.25">
      <c r="A7715" s="2">
        <v>7710</v>
      </c>
      <c r="B7715" s="39">
        <v>941270815</v>
      </c>
      <c r="C7715" s="28" t="str">
        <f>HYPERLINK("https://pld.live/RapDetail.aspx?STONELIST=941270815","DNA")</f>
        <v>DNA</v>
      </c>
      <c r="D7715" s="18" t="s">
        <v>5466</v>
      </c>
      <c r="E7715" s="18" t="s">
        <v>5128</v>
      </c>
      <c r="F7715" s="2" t="s">
        <v>7987</v>
      </c>
      <c r="G7715" s="2" t="s">
        <v>15</v>
      </c>
      <c r="H7715" s="14">
        <v>0.5</v>
      </c>
      <c r="I7715" s="2" t="s">
        <v>267</v>
      </c>
      <c r="J7715" s="2" t="s">
        <v>13</v>
      </c>
      <c r="K7715" s="2" t="s">
        <v>1452</v>
      </c>
      <c r="L7715" s="2" t="s">
        <v>5221</v>
      </c>
      <c r="M7715" s="2" t="s">
        <v>5221</v>
      </c>
      <c r="N7715" s="2" t="s">
        <v>2317</v>
      </c>
      <c r="O7715" s="14">
        <v>2600</v>
      </c>
      <c r="P7715" s="14">
        <v>92.31</v>
      </c>
      <c r="Q7715" s="14">
        <v>199.94</v>
      </c>
      <c r="R7715" s="14">
        <v>99.97</v>
      </c>
      <c r="S7715" s="2" t="s">
        <v>929</v>
      </c>
      <c r="T7715" s="2">
        <v>1.01</v>
      </c>
      <c r="U7715" s="2">
        <v>68.3</v>
      </c>
      <c r="V7715" s="2">
        <v>73</v>
      </c>
      <c r="W7715" s="2" t="s">
        <v>7862</v>
      </c>
      <c r="X7715" s="2" t="s">
        <v>6838</v>
      </c>
      <c r="Y7715" s="2">
        <v>1300</v>
      </c>
      <c r="Z7715" s="19" t="str">
        <f>HYPERLINK("https://ssdweb.co/ssdweb/hd/Vision360.html?d=941270815&amp;zoomslide=1&amp;z=1941270815&amp;ISCONFIRM=0","VIDEO")</f>
        <v>VIDEO</v>
      </c>
      <c r="AA7715" s="19" t="str">
        <f>HYPERLINK("https://ssdweb.co/ssdweb/CERTH/693519436.pdf","CERTI")</f>
        <v>CERTI</v>
      </c>
    </row>
    <row r="7716" spans="1:27" ht="15" x14ac:dyDescent="0.25">
      <c r="A7716" s="2">
        <v>7711</v>
      </c>
      <c r="B7716" s="39">
        <v>926820122</v>
      </c>
      <c r="C7716" s="28" t="str">
        <f>HYPERLINK("https://pld.live/RapDetail.aspx?STONELIST=926820122","DNA")</f>
        <v>DNA</v>
      </c>
      <c r="D7716" s="18" t="s">
        <v>38</v>
      </c>
      <c r="E7716" s="18" t="s">
        <v>2186</v>
      </c>
      <c r="F7716" s="2" t="s">
        <v>7987</v>
      </c>
      <c r="G7716" s="2" t="s">
        <v>4029</v>
      </c>
      <c r="H7716" s="14">
        <v>16.510000000000002</v>
      </c>
      <c r="I7716" s="2" t="s">
        <v>4761</v>
      </c>
      <c r="J7716" s="2" t="s">
        <v>3942</v>
      </c>
      <c r="K7716" s="2" t="s">
        <v>1452</v>
      </c>
      <c r="L7716" s="2" t="s">
        <v>5221</v>
      </c>
      <c r="M7716" s="2" t="s">
        <v>5221</v>
      </c>
      <c r="N7716" s="2" t="s">
        <v>2317</v>
      </c>
      <c r="O7716" s="14">
        <v>90500</v>
      </c>
      <c r="P7716" s="14">
        <v>99.09</v>
      </c>
      <c r="Q7716" s="14">
        <v>823.55</v>
      </c>
      <c r="R7716" s="14">
        <v>13596.81</v>
      </c>
      <c r="S7716" s="2" t="s">
        <v>2444</v>
      </c>
      <c r="T7716" s="2">
        <v>1.45</v>
      </c>
      <c r="U7716" s="2">
        <v>67.7</v>
      </c>
      <c r="V7716" s="2">
        <v>67</v>
      </c>
      <c r="W7716" s="2" t="s">
        <v>7862</v>
      </c>
      <c r="X7716" s="2" t="s">
        <v>190</v>
      </c>
      <c r="Y7716" s="2">
        <v>1494155</v>
      </c>
      <c r="Z7716" s="19" t="str">
        <f>HYPERLINK("https://ssdweb.co/ssdweb/hd/Vision360.html?d=926820122&amp;zoomslide=1&amp;z=1926820122&amp;ISCONFIRM=0","VIDEO")</f>
        <v>VIDEO</v>
      </c>
      <c r="AA7716" s="19" t="str">
        <f>HYPERLINK("https://ssdweb.co/ssdweb/CERTH/660484855.pdf","CERTI")</f>
        <v>CERTI</v>
      </c>
    </row>
    <row r="7717" spans="1:27" ht="15" x14ac:dyDescent="0.25">
      <c r="A7717" s="2">
        <v>7712</v>
      </c>
      <c r="B7717" s="39">
        <v>926820093</v>
      </c>
      <c r="C7717" s="28" t="str">
        <f>HYPERLINK("https://pld.live/RapDetail.aspx?STONELIST=926820093","DNA")</f>
        <v>DNA</v>
      </c>
      <c r="D7717" s="18" t="s">
        <v>38</v>
      </c>
      <c r="E7717" s="18" t="s">
        <v>2186</v>
      </c>
      <c r="F7717" s="2" t="s">
        <v>7987</v>
      </c>
      <c r="G7717" s="2" t="s">
        <v>4029</v>
      </c>
      <c r="H7717" s="14">
        <v>16.079999999999998</v>
      </c>
      <c r="I7717" s="2" t="s">
        <v>4699</v>
      </c>
      <c r="J7717" s="2" t="s">
        <v>13</v>
      </c>
      <c r="K7717" s="2" t="s">
        <v>1452</v>
      </c>
      <c r="L7717" s="2" t="s">
        <v>5221</v>
      </c>
      <c r="M7717" s="2" t="s">
        <v>5221</v>
      </c>
      <c r="N7717" s="2" t="s">
        <v>2317</v>
      </c>
      <c r="O7717" s="14">
        <v>76500</v>
      </c>
      <c r="P7717" s="14">
        <v>99.15</v>
      </c>
      <c r="Q7717" s="14">
        <v>650.25</v>
      </c>
      <c r="R7717" s="14">
        <v>10456.02</v>
      </c>
      <c r="S7717" s="2" t="s">
        <v>7879</v>
      </c>
      <c r="T7717" s="2">
        <v>1.41</v>
      </c>
      <c r="U7717" s="2">
        <v>64.5</v>
      </c>
      <c r="V7717" s="2">
        <v>64</v>
      </c>
      <c r="W7717" s="2" t="s">
        <v>7862</v>
      </c>
      <c r="X7717" s="2" t="s">
        <v>190</v>
      </c>
      <c r="Y7717" s="2">
        <v>1230120</v>
      </c>
      <c r="Z7717" s="19" t="str">
        <f>HYPERLINK("https://ssdweb.co/ssdweb/hd/Vision360.html?d=926820093&amp;zoomslide=1&amp;z=1926820093&amp;ISCONFIRM=0","VIDEO")</f>
        <v>VIDEO</v>
      </c>
      <c r="AA7717" s="19" t="str">
        <f>HYPERLINK("https://ssdweb.co/ssdweb/CERTH/659414623.pdf","CERTI")</f>
        <v>CERTI</v>
      </c>
    </row>
    <row r="7718" spans="1:27" ht="15" x14ac:dyDescent="0.25">
      <c r="A7718" s="2">
        <v>7713</v>
      </c>
      <c r="B7718" s="39">
        <v>926780074</v>
      </c>
      <c r="C7718" s="28" t="str">
        <f>HYPERLINK("https://pld.live/RapDetail.aspx?STONELIST=926780074","DNA")</f>
        <v>DNA</v>
      </c>
      <c r="D7718" s="18" t="s">
        <v>38</v>
      </c>
      <c r="E7718" s="18" t="s">
        <v>2186</v>
      </c>
      <c r="F7718" s="2" t="s">
        <v>7987</v>
      </c>
      <c r="G7718" s="2" t="s">
        <v>4029</v>
      </c>
      <c r="H7718" s="14">
        <v>15.5</v>
      </c>
      <c r="I7718" s="2" t="s">
        <v>4761</v>
      </c>
      <c r="J7718" s="2" t="s">
        <v>13</v>
      </c>
      <c r="K7718" s="2" t="s">
        <v>1452</v>
      </c>
      <c r="L7718" s="2" t="s">
        <v>5221</v>
      </c>
      <c r="M7718" s="2" t="s">
        <v>5221</v>
      </c>
      <c r="N7718" s="2" t="s">
        <v>2317</v>
      </c>
      <c r="O7718" s="14">
        <v>83500</v>
      </c>
      <c r="P7718" s="14">
        <v>99.08</v>
      </c>
      <c r="Q7718" s="14">
        <v>768.2</v>
      </c>
      <c r="R7718" s="14">
        <v>11907.1</v>
      </c>
      <c r="S7718" s="2" t="s">
        <v>5912</v>
      </c>
      <c r="T7718" s="2">
        <v>1.41</v>
      </c>
      <c r="U7718" s="2">
        <v>67.3</v>
      </c>
      <c r="V7718" s="2">
        <v>65</v>
      </c>
      <c r="W7718" s="2" t="s">
        <v>7862</v>
      </c>
      <c r="X7718" s="2" t="s">
        <v>190</v>
      </c>
      <c r="Y7718" s="2">
        <v>1294250</v>
      </c>
      <c r="Z7718" s="19" t="str">
        <f>HYPERLINK("https://ssdweb.co/ssdweb/hd/Vision360.html?d=926780074&amp;zoomslide=1&amp;z=1926780074&amp;ISCONFIRM=0","VIDEO")</f>
        <v>VIDEO</v>
      </c>
      <c r="AA7718" s="19" t="str">
        <f>HYPERLINK("https://ssdweb.co/ssdweb/CERTH/653424616.pdf","CERTI")</f>
        <v>CERTI</v>
      </c>
    </row>
    <row r="7719" spans="1:27" ht="15" x14ac:dyDescent="0.25">
      <c r="A7719" s="2">
        <v>7714</v>
      </c>
      <c r="B7719" s="39">
        <v>926780092</v>
      </c>
      <c r="C7719" s="28" t="str">
        <f>HYPERLINK("https://pld.live/RapDetail.aspx?STONELIST=926780092","DNA")</f>
        <v>DNA</v>
      </c>
      <c r="D7719" s="18" t="s">
        <v>38</v>
      </c>
      <c r="E7719" s="18" t="s">
        <v>2186</v>
      </c>
      <c r="F7719" s="2" t="s">
        <v>7987</v>
      </c>
      <c r="G7719" s="2" t="s">
        <v>4029</v>
      </c>
      <c r="H7719" s="14">
        <v>15.1</v>
      </c>
      <c r="I7719" s="2" t="s">
        <v>4761</v>
      </c>
      <c r="J7719" s="2" t="s">
        <v>13</v>
      </c>
      <c r="K7719" s="2" t="s">
        <v>1452</v>
      </c>
      <c r="L7719" s="2" t="s">
        <v>5221</v>
      </c>
      <c r="M7719" s="2" t="s">
        <v>5221</v>
      </c>
      <c r="N7719" s="2" t="s">
        <v>2317</v>
      </c>
      <c r="O7719" s="14">
        <v>83500</v>
      </c>
      <c r="P7719" s="14">
        <v>99.08</v>
      </c>
      <c r="Q7719" s="14">
        <v>768.2</v>
      </c>
      <c r="R7719" s="14">
        <v>11599.82</v>
      </c>
      <c r="S7719" s="2" t="s">
        <v>2972</v>
      </c>
      <c r="T7719" s="2">
        <v>1.46</v>
      </c>
      <c r="U7719" s="2">
        <v>67.400000000000006</v>
      </c>
      <c r="V7719" s="2">
        <v>66</v>
      </c>
      <c r="W7719" s="2" t="s">
        <v>7862</v>
      </c>
      <c r="X7719" s="2" t="s">
        <v>190</v>
      </c>
      <c r="Y7719" s="2">
        <v>1260850</v>
      </c>
      <c r="Z7719" s="19" t="str">
        <f>HYPERLINK("https://ssdweb.co/ssdweb/hd/Vision360.html?d=926780092&amp;zoomslide=1&amp;z=1926780092&amp;ISCONFIRM=0","VIDEO")</f>
        <v>VIDEO</v>
      </c>
      <c r="AA7719" s="19" t="str">
        <f>HYPERLINK("https://ssdweb.co/ssdweb/CERTH/654408166.pdf","CERTI")</f>
        <v>CERTI</v>
      </c>
    </row>
    <row r="7720" spans="1:27" ht="15" x14ac:dyDescent="0.25">
      <c r="A7720" s="2">
        <v>7715</v>
      </c>
      <c r="B7720" s="39">
        <v>926780075</v>
      </c>
      <c r="C7720" s="28" t="str">
        <f>HYPERLINK("https://pld.live/RapDetail.aspx?STONELIST=926780075","DNA")</f>
        <v>DNA</v>
      </c>
      <c r="D7720" s="18" t="s">
        <v>38</v>
      </c>
      <c r="E7720" s="18" t="s">
        <v>2186</v>
      </c>
      <c r="F7720" s="2" t="s">
        <v>7987</v>
      </c>
      <c r="G7720" s="2" t="s">
        <v>4029</v>
      </c>
      <c r="H7720" s="14">
        <v>15.09</v>
      </c>
      <c r="I7720" s="2" t="s">
        <v>4699</v>
      </c>
      <c r="J7720" s="2" t="s">
        <v>3942</v>
      </c>
      <c r="K7720" s="2" t="s">
        <v>1452</v>
      </c>
      <c r="L7720" s="2" t="s">
        <v>5221</v>
      </c>
      <c r="M7720" s="2" t="s">
        <v>5221</v>
      </c>
      <c r="N7720" s="2" t="s">
        <v>2317</v>
      </c>
      <c r="O7720" s="14">
        <v>83500</v>
      </c>
      <c r="P7720" s="14">
        <v>99.1</v>
      </c>
      <c r="Q7720" s="14">
        <v>751.5</v>
      </c>
      <c r="R7720" s="14">
        <v>11340.14</v>
      </c>
      <c r="S7720" s="2" t="s">
        <v>6505</v>
      </c>
      <c r="T7720" s="2">
        <v>1.41</v>
      </c>
      <c r="U7720" s="2">
        <v>68.099999999999994</v>
      </c>
      <c r="V7720" s="2">
        <v>66</v>
      </c>
      <c r="W7720" s="2" t="s">
        <v>7862</v>
      </c>
      <c r="X7720" s="2" t="s">
        <v>190</v>
      </c>
      <c r="Y7720" s="2">
        <v>1260015</v>
      </c>
      <c r="Z7720" s="19" t="str">
        <f>HYPERLINK("https://ssdweb.co/ssdweb/hd/Vision360.html?d=926780075&amp;zoomslide=1&amp;z=1926780075&amp;ISCONFIRM=0","VIDEO")</f>
        <v>VIDEO</v>
      </c>
      <c r="AA7720" s="19" t="str">
        <f>HYPERLINK("https://ssdweb.co/ssdweb/CERTH/653424614.pdf","CERTI")</f>
        <v>CERTI</v>
      </c>
    </row>
    <row r="7721" spans="1:27" ht="15" x14ac:dyDescent="0.25">
      <c r="A7721" s="2">
        <v>7716</v>
      </c>
      <c r="B7721" s="39">
        <v>926820121</v>
      </c>
      <c r="C7721" s="28" t="str">
        <f>HYPERLINK("https://pld.live/RapDetail.aspx?STONELIST=926820121","DNA")</f>
        <v>DNA</v>
      </c>
      <c r="D7721" s="18" t="s">
        <v>38</v>
      </c>
      <c r="E7721" s="18" t="s">
        <v>2186</v>
      </c>
      <c r="F7721" s="2" t="s">
        <v>7987</v>
      </c>
      <c r="G7721" s="2" t="s">
        <v>4029</v>
      </c>
      <c r="H7721" s="14">
        <v>15.04</v>
      </c>
      <c r="I7721" s="2" t="s">
        <v>4761</v>
      </c>
      <c r="J7721" s="2" t="s">
        <v>13</v>
      </c>
      <c r="K7721" s="2" t="s">
        <v>1452</v>
      </c>
      <c r="L7721" s="2" t="s">
        <v>5221</v>
      </c>
      <c r="M7721" s="2" t="s">
        <v>5221</v>
      </c>
      <c r="N7721" s="2" t="s">
        <v>2317</v>
      </c>
      <c r="O7721" s="14">
        <v>83500</v>
      </c>
      <c r="P7721" s="14">
        <v>99.08</v>
      </c>
      <c r="Q7721" s="14">
        <v>768.2</v>
      </c>
      <c r="R7721" s="14">
        <v>11553.73</v>
      </c>
      <c r="S7721" s="2" t="s">
        <v>4414</v>
      </c>
      <c r="T7721" s="2">
        <v>1.42</v>
      </c>
      <c r="U7721" s="2">
        <v>67.5</v>
      </c>
      <c r="V7721" s="2">
        <v>60</v>
      </c>
      <c r="W7721" s="2" t="s">
        <v>7862</v>
      </c>
      <c r="X7721" s="2" t="s">
        <v>190</v>
      </c>
      <c r="Y7721" s="2">
        <v>1255840</v>
      </c>
      <c r="Z7721" s="19" t="str">
        <f>HYPERLINK("https://ssdweb.co/ssdweb/hd/Vision360.html?d=926820121&amp;zoomslide=1&amp;z=1926820121&amp;ISCONFIRM=0","VIDEO")</f>
        <v>VIDEO</v>
      </c>
      <c r="AA7721" s="19" t="str">
        <f>HYPERLINK("https://ssdweb.co/ssdweb/CERTH/660484853.pdf","CERTI")</f>
        <v>CERTI</v>
      </c>
    </row>
    <row r="7722" spans="1:27" ht="15" x14ac:dyDescent="0.25">
      <c r="A7722" s="2">
        <v>7717</v>
      </c>
      <c r="B7722" s="39">
        <v>926820124</v>
      </c>
      <c r="C7722" s="28" t="str">
        <f>HYPERLINK("https://pld.live/RapDetail.aspx?STONELIST=926820124","DNA")</f>
        <v>DNA</v>
      </c>
      <c r="D7722" s="18" t="s">
        <v>38</v>
      </c>
      <c r="E7722" s="18" t="s">
        <v>2186</v>
      </c>
      <c r="F7722" s="2" t="s">
        <v>7987</v>
      </c>
      <c r="G7722" s="2" t="s">
        <v>4029</v>
      </c>
      <c r="H7722" s="14">
        <v>14.25</v>
      </c>
      <c r="I7722" s="2" t="s">
        <v>4761</v>
      </c>
      <c r="J7722" s="2" t="s">
        <v>13</v>
      </c>
      <c r="K7722" s="2" t="s">
        <v>1452</v>
      </c>
      <c r="L7722" s="2" t="s">
        <v>5221</v>
      </c>
      <c r="M7722" s="2" t="s">
        <v>5221</v>
      </c>
      <c r="N7722" s="2" t="s">
        <v>2317</v>
      </c>
      <c r="O7722" s="14">
        <v>83500</v>
      </c>
      <c r="P7722" s="14">
        <v>99.5</v>
      </c>
      <c r="Q7722" s="14">
        <v>417.5</v>
      </c>
      <c r="R7722" s="14">
        <v>5949.38</v>
      </c>
      <c r="S7722" s="2" t="s">
        <v>6848</v>
      </c>
      <c r="T7722" s="2">
        <v>1.46</v>
      </c>
      <c r="U7722" s="2">
        <v>66.599999999999994</v>
      </c>
      <c r="V7722" s="2">
        <v>66</v>
      </c>
      <c r="W7722" s="2" t="s">
        <v>7862</v>
      </c>
      <c r="X7722" s="2" t="s">
        <v>190</v>
      </c>
      <c r="Y7722" s="2">
        <v>1189875</v>
      </c>
      <c r="Z7722" s="19" t="str">
        <f>HYPERLINK("https://ssdweb.co/ssdweb/hd/Vision360.html?d=926820124&amp;zoomslide=1&amp;z=1926820124&amp;ISCONFIRM=0","VIDEO")</f>
        <v>VIDEO</v>
      </c>
      <c r="AA7722" s="19" t="str">
        <f>HYPERLINK("https://ssdweb.co/ssdweb/CERTH/660484852.pdf","CERTI")</f>
        <v>CERTI</v>
      </c>
    </row>
    <row r="7723" spans="1:27" ht="15" x14ac:dyDescent="0.25">
      <c r="A7723" s="2">
        <v>7718</v>
      </c>
      <c r="B7723" s="39">
        <v>926560385</v>
      </c>
      <c r="C7723" s="28" t="str">
        <f>HYPERLINK("https://pld.live/RapDetail.aspx?STONELIST=926560385","DNA")</f>
        <v>DNA</v>
      </c>
      <c r="D7723" s="18" t="s">
        <v>3174</v>
      </c>
      <c r="E7723" s="18" t="s">
        <v>2186</v>
      </c>
      <c r="F7723" s="2" t="s">
        <v>7987</v>
      </c>
      <c r="G7723" s="2" t="s">
        <v>4029</v>
      </c>
      <c r="H7723" s="14">
        <v>5.25</v>
      </c>
      <c r="I7723" s="2" t="s">
        <v>6845</v>
      </c>
      <c r="J7723" s="2" t="s">
        <v>13</v>
      </c>
      <c r="K7723" s="2" t="s">
        <v>1452</v>
      </c>
      <c r="L7723" s="2" t="s">
        <v>5221</v>
      </c>
      <c r="M7723" s="2" t="s">
        <v>5221</v>
      </c>
      <c r="N7723" s="2" t="s">
        <v>2317</v>
      </c>
      <c r="O7723" s="14">
        <v>9500</v>
      </c>
      <c r="P7723" s="14">
        <v>96.11</v>
      </c>
      <c r="Q7723" s="14">
        <v>369.55</v>
      </c>
      <c r="R7723" s="14">
        <v>1940.14</v>
      </c>
      <c r="S7723" s="2" t="s">
        <v>51</v>
      </c>
      <c r="T7723" s="2">
        <v>1.35</v>
      </c>
      <c r="U7723" s="2">
        <v>66.900000000000006</v>
      </c>
      <c r="V7723" s="2">
        <v>65</v>
      </c>
      <c r="W7723" s="2" t="s">
        <v>7862</v>
      </c>
      <c r="X7723" s="2" t="s">
        <v>190</v>
      </c>
      <c r="Y7723" s="2">
        <v>49875</v>
      </c>
      <c r="Z7723" s="19" t="str">
        <f>HYPERLINK("https://ssdweb.co/ssdweb/hd/Vision360.html?d=926560385&amp;zoomslide=1&amp;z=1926560385&amp;ISCONFIRM=0","VIDEO")</f>
        <v>VIDEO</v>
      </c>
      <c r="AA7723" s="19" t="str">
        <f>HYPERLINK("https://ssdweb.co/ssdweb/CERTH/649412693.pdf","CERTI")</f>
        <v>CERTI</v>
      </c>
    </row>
    <row r="7724" spans="1:27" ht="15" x14ac:dyDescent="0.25">
      <c r="A7724" s="2">
        <v>7719</v>
      </c>
      <c r="B7724" s="39">
        <v>925930288</v>
      </c>
      <c r="C7724" s="28" t="str">
        <f>HYPERLINK("https://pld.live/RapDetail.aspx?STONELIST=925930288","DNA")</f>
        <v>DNA</v>
      </c>
      <c r="D7724" s="18" t="s">
        <v>3174</v>
      </c>
      <c r="E7724" s="18" t="s">
        <v>2186</v>
      </c>
      <c r="F7724" s="2" t="s">
        <v>5597</v>
      </c>
      <c r="G7724" s="2" t="s">
        <v>4029</v>
      </c>
      <c r="H7724" s="14">
        <v>5.05</v>
      </c>
      <c r="I7724" s="2" t="s">
        <v>4761</v>
      </c>
      <c r="J7724" s="2" t="s">
        <v>13</v>
      </c>
      <c r="K7724" s="2" t="s">
        <v>1452</v>
      </c>
      <c r="L7724" s="2" t="s">
        <v>5221</v>
      </c>
      <c r="M7724" s="2" t="s">
        <v>5221</v>
      </c>
      <c r="N7724" s="2" t="s">
        <v>2317</v>
      </c>
      <c r="O7724" s="14">
        <v>52500</v>
      </c>
      <c r="P7724" s="14">
        <v>99.22</v>
      </c>
      <c r="Q7724" s="14">
        <v>409.5</v>
      </c>
      <c r="R7724" s="14">
        <v>2067.98</v>
      </c>
      <c r="S7724" s="2" t="s">
        <v>7702</v>
      </c>
      <c r="T7724" s="2">
        <v>1.4</v>
      </c>
      <c r="U7724" s="2">
        <v>67.400000000000006</v>
      </c>
      <c r="V7724" s="2">
        <v>65</v>
      </c>
      <c r="W7724" s="2" t="s">
        <v>7862</v>
      </c>
      <c r="X7724" s="2" t="s">
        <v>3698</v>
      </c>
      <c r="Y7724" s="2">
        <v>265125</v>
      </c>
      <c r="Z7724" s="19" t="str">
        <f>HYPERLINK("https://ssdweb.co/ssdweb/hd/Vision360.html?d=925930288&amp;zoomslide=1&amp;z=1925930288&amp;ISCONFIRM=0","VIDEO")</f>
        <v>VIDEO</v>
      </c>
      <c r="AA7724" s="19" t="str">
        <f>HYPERLINK("https://ssdweb.co/ssdweb/CERTH/1493165964.pdf","CERTI")</f>
        <v>CERTI</v>
      </c>
    </row>
    <row r="7725" spans="1:27" ht="15" x14ac:dyDescent="0.25">
      <c r="A7725" s="2">
        <v>7720</v>
      </c>
      <c r="B7725" s="39">
        <v>926470426</v>
      </c>
      <c r="C7725" s="28" t="str">
        <f>HYPERLINK("https://pld.live/RapDetail.aspx?STONELIST=926470426","DNA")</f>
        <v>DNA</v>
      </c>
      <c r="D7725" s="18" t="s">
        <v>3174</v>
      </c>
      <c r="E7725" s="18" t="s">
        <v>2186</v>
      </c>
      <c r="F7725" s="2" t="s">
        <v>7987</v>
      </c>
      <c r="G7725" s="2" t="s">
        <v>4029</v>
      </c>
      <c r="H7725" s="14">
        <v>5.05</v>
      </c>
      <c r="I7725" s="2" t="s">
        <v>6845</v>
      </c>
      <c r="J7725" s="2" t="s">
        <v>13</v>
      </c>
      <c r="K7725" s="2" t="s">
        <v>1452</v>
      </c>
      <c r="L7725" s="2" t="s">
        <v>5221</v>
      </c>
      <c r="M7725" s="2" t="s">
        <v>5221</v>
      </c>
      <c r="N7725" s="2" t="s">
        <v>2317</v>
      </c>
      <c r="O7725" s="14">
        <v>9500</v>
      </c>
      <c r="P7725" s="14">
        <v>96.11</v>
      </c>
      <c r="Q7725" s="14">
        <v>369.55</v>
      </c>
      <c r="R7725" s="14">
        <v>1866.23</v>
      </c>
      <c r="S7725" s="2" t="s">
        <v>8101</v>
      </c>
      <c r="T7725" s="2">
        <v>1.35</v>
      </c>
      <c r="U7725" s="2">
        <v>64.099999999999994</v>
      </c>
      <c r="V7725" s="2">
        <v>65</v>
      </c>
      <c r="W7725" s="2" t="s">
        <v>7862</v>
      </c>
      <c r="X7725" s="2" t="s">
        <v>190</v>
      </c>
      <c r="Y7725" s="2">
        <v>47975</v>
      </c>
      <c r="Z7725" s="19" t="str">
        <f>HYPERLINK("https://ssdweb.co/ssdweb/hd/Vision360.html?d=926470426&amp;zoomslide=1&amp;z=1926470426&amp;ISCONFIRM=0","VIDEO")</f>
        <v>VIDEO</v>
      </c>
      <c r="AA7725" s="19" t="str">
        <f>HYPERLINK("https://ssdweb.co/ssdweb/CERTH/648410113.pdf","CERTI")</f>
        <v>CERTI</v>
      </c>
    </row>
    <row r="7726" spans="1:27" ht="15" x14ac:dyDescent="0.25">
      <c r="A7726" s="2">
        <v>7721</v>
      </c>
      <c r="B7726" s="39">
        <v>927120151</v>
      </c>
      <c r="C7726" s="28" t="str">
        <f>HYPERLINK("https://pld.live/RapDetail.aspx?STONELIST=927120151","DNA")</f>
        <v>DNA</v>
      </c>
      <c r="D7726" s="18" t="s">
        <v>3174</v>
      </c>
      <c r="E7726" s="18" t="s">
        <v>2186</v>
      </c>
      <c r="F7726" s="2" t="s">
        <v>7987</v>
      </c>
      <c r="G7726" s="2" t="s">
        <v>4029</v>
      </c>
      <c r="H7726" s="14">
        <v>5.04</v>
      </c>
      <c r="I7726" s="2" t="s">
        <v>1066</v>
      </c>
      <c r="J7726" s="2" t="s">
        <v>13</v>
      </c>
      <c r="K7726" s="2" t="s">
        <v>1452</v>
      </c>
      <c r="L7726" s="2" t="s">
        <v>5221</v>
      </c>
      <c r="M7726" s="2" t="s">
        <v>5221</v>
      </c>
      <c r="N7726" s="2" t="s">
        <v>924</v>
      </c>
      <c r="O7726" s="14">
        <v>9500</v>
      </c>
      <c r="P7726" s="14">
        <v>96</v>
      </c>
      <c r="Q7726" s="14">
        <v>380</v>
      </c>
      <c r="R7726" s="14">
        <v>1915.2</v>
      </c>
      <c r="S7726" s="2" t="s">
        <v>2603</v>
      </c>
      <c r="T7726" s="2">
        <v>1.48</v>
      </c>
      <c r="U7726" s="2">
        <v>65.400000000000006</v>
      </c>
      <c r="V7726" s="2">
        <v>65</v>
      </c>
      <c r="W7726" s="2" t="s">
        <v>7862</v>
      </c>
      <c r="X7726" s="2" t="s">
        <v>190</v>
      </c>
      <c r="Y7726" s="2">
        <v>47880</v>
      </c>
      <c r="Z7726" s="19" t="str">
        <f>HYPERLINK("https://ssdweb.co/ssdweb/hd/Vision360.html?d=927120151&amp;zoomslide=1&amp;z=1927120151&amp;ISCONFIRM=0","VIDEO")</f>
        <v>VIDEO</v>
      </c>
      <c r="AA7726" s="19" t="str">
        <f>HYPERLINK("https://ssdweb.co/ssdweb/CERTH/684506648.pdf","CERTI")</f>
        <v>CERTI</v>
      </c>
    </row>
    <row r="7727" spans="1:27" ht="15" x14ac:dyDescent="0.25">
      <c r="A7727" s="2">
        <v>7722</v>
      </c>
      <c r="B7727" s="39">
        <v>927120041</v>
      </c>
      <c r="C7727" s="28" t="str">
        <f>HYPERLINK("https://pld.live/RapDetail.aspx?STONELIST=927120041","DNA")</f>
        <v>DNA</v>
      </c>
      <c r="D7727" s="18" t="s">
        <v>3174</v>
      </c>
      <c r="E7727" s="18" t="s">
        <v>2186</v>
      </c>
      <c r="F7727" s="2" t="s">
        <v>7987</v>
      </c>
      <c r="G7727" s="2" t="s">
        <v>4029</v>
      </c>
      <c r="H7727" s="14">
        <v>5.0199999999999996</v>
      </c>
      <c r="I7727" s="2" t="s">
        <v>6587</v>
      </c>
      <c r="J7727" s="2" t="s">
        <v>13</v>
      </c>
      <c r="K7727" s="2" t="s">
        <v>1452</v>
      </c>
      <c r="L7727" s="2" t="s">
        <v>5221</v>
      </c>
      <c r="M7727" s="2" t="s">
        <v>5221</v>
      </c>
      <c r="N7727" s="2" t="s">
        <v>2317</v>
      </c>
      <c r="O7727" s="14">
        <v>42500</v>
      </c>
      <c r="P7727" s="14">
        <v>99.65</v>
      </c>
      <c r="Q7727" s="14">
        <v>148.75</v>
      </c>
      <c r="R7727" s="14">
        <v>746.73</v>
      </c>
      <c r="S7727" s="2" t="s">
        <v>6605</v>
      </c>
      <c r="T7727" s="2">
        <v>1.47</v>
      </c>
      <c r="U7727" s="2">
        <v>68.2</v>
      </c>
      <c r="V7727" s="2">
        <v>66</v>
      </c>
      <c r="W7727" s="2" t="s">
        <v>7862</v>
      </c>
      <c r="X7727" s="2" t="s">
        <v>190</v>
      </c>
      <c r="Y7727" s="2">
        <v>213350</v>
      </c>
      <c r="Z7727" s="19" t="str">
        <f>HYPERLINK("https://ssdweb.co/ssdweb/hd/Vision360.html?d=927120041&amp;zoomslide=1&amp;z=1927120041&amp;ISCONFIRM=0","VIDEO")</f>
        <v>VIDEO</v>
      </c>
      <c r="AA7727" s="19" t="str">
        <f>HYPERLINK("https://ssdweb.co/ssdweb/CERTH/668437264.pdf","CERTI")</f>
        <v>CERTI</v>
      </c>
    </row>
    <row r="7728" spans="1:27" ht="15" x14ac:dyDescent="0.25">
      <c r="A7728" s="2">
        <v>7723</v>
      </c>
      <c r="B7728" s="39">
        <v>926470439</v>
      </c>
      <c r="C7728" s="28" t="str">
        <f>HYPERLINK("https://pld.live/RapDetail.aspx?STONELIST=926470439","DNA")</f>
        <v>DNA</v>
      </c>
      <c r="D7728" s="18" t="s">
        <v>3174</v>
      </c>
      <c r="E7728" s="18" t="s">
        <v>2186</v>
      </c>
      <c r="F7728" s="2" t="s">
        <v>7987</v>
      </c>
      <c r="G7728" s="2" t="s">
        <v>4029</v>
      </c>
      <c r="H7728" s="14">
        <v>5.0199999999999996</v>
      </c>
      <c r="I7728" s="2" t="s">
        <v>6845</v>
      </c>
      <c r="J7728" s="2" t="s">
        <v>13</v>
      </c>
      <c r="K7728" s="2" t="s">
        <v>1452</v>
      </c>
      <c r="L7728" s="2" t="s">
        <v>5221</v>
      </c>
      <c r="M7728" s="2" t="s">
        <v>5221</v>
      </c>
      <c r="N7728" s="2" t="s">
        <v>2317</v>
      </c>
      <c r="O7728" s="14">
        <v>9500</v>
      </c>
      <c r="P7728" s="14">
        <v>96.11</v>
      </c>
      <c r="Q7728" s="14">
        <v>369.55</v>
      </c>
      <c r="R7728" s="14">
        <v>1855.14</v>
      </c>
      <c r="S7728" s="2" t="s">
        <v>7394</v>
      </c>
      <c r="T7728" s="2">
        <v>1.35</v>
      </c>
      <c r="U7728" s="2">
        <v>65.900000000000006</v>
      </c>
      <c r="V7728" s="2">
        <v>66</v>
      </c>
      <c r="W7728" s="2" t="s">
        <v>7862</v>
      </c>
      <c r="X7728" s="2" t="s">
        <v>190</v>
      </c>
      <c r="Y7728" s="2">
        <v>47690</v>
      </c>
      <c r="Z7728" s="19" t="str">
        <f>HYPERLINK("https://ssdweb.co/ssdweb/hd/Vision360.html?d=926470439&amp;zoomslide=1&amp;z=1926470439&amp;ISCONFIRM=0","VIDEO")</f>
        <v>VIDEO</v>
      </c>
      <c r="AA7728" s="19" t="str">
        <f>HYPERLINK("https://ssdweb.co/ssdweb/CERTH/648463550.pdf","CERTI")</f>
        <v>CERTI</v>
      </c>
    </row>
    <row r="7729" spans="1:27" ht="15" x14ac:dyDescent="0.25">
      <c r="A7729" s="2">
        <v>7724</v>
      </c>
      <c r="B7729" s="39">
        <v>926420456</v>
      </c>
      <c r="C7729" s="28" t="str">
        <f>HYPERLINK("https://pld.live/RapDetail.aspx?STONELIST=926420456","DNA")</f>
        <v>DNA</v>
      </c>
      <c r="D7729" s="18" t="s">
        <v>3174</v>
      </c>
      <c r="E7729" s="18" t="s">
        <v>2186</v>
      </c>
      <c r="F7729" s="2" t="s">
        <v>7987</v>
      </c>
      <c r="G7729" s="2" t="s">
        <v>4029</v>
      </c>
      <c r="H7729" s="14">
        <v>5.0199999999999996</v>
      </c>
      <c r="I7729" s="2" t="s">
        <v>6845</v>
      </c>
      <c r="J7729" s="2" t="s">
        <v>13</v>
      </c>
      <c r="K7729" s="2" t="s">
        <v>1452</v>
      </c>
      <c r="L7729" s="2" t="s">
        <v>5221</v>
      </c>
      <c r="M7729" s="2" t="s">
        <v>5221</v>
      </c>
      <c r="N7729" s="2" t="s">
        <v>2317</v>
      </c>
      <c r="O7729" s="14">
        <v>9500</v>
      </c>
      <c r="P7729" s="14">
        <v>96.11</v>
      </c>
      <c r="Q7729" s="14">
        <v>369.55</v>
      </c>
      <c r="R7729" s="14">
        <v>1855.14</v>
      </c>
      <c r="S7729" s="2" t="s">
        <v>5387</v>
      </c>
      <c r="T7729" s="2">
        <v>1.35</v>
      </c>
      <c r="U7729" s="2">
        <v>67.5</v>
      </c>
      <c r="V7729" s="2">
        <v>68</v>
      </c>
      <c r="W7729" s="2" t="s">
        <v>7862</v>
      </c>
      <c r="X7729" s="2" t="s">
        <v>190</v>
      </c>
      <c r="Y7729" s="2">
        <v>47690</v>
      </c>
      <c r="Z7729" s="19" t="str">
        <f>HYPERLINK("https://ssdweb.co/ssdweb/hd/Vision360.html?d=926420456&amp;zoomslide=1&amp;z=1926420456&amp;ISCONFIRM=0","VIDEO")</f>
        <v>VIDEO</v>
      </c>
      <c r="AA7729" s="19" t="str">
        <f>HYPERLINK("https://ssdweb.co/ssdweb/CERTH/648463551.pdf","CERTI")</f>
        <v>CERTI</v>
      </c>
    </row>
    <row r="7730" spans="1:27" ht="15" x14ac:dyDescent="0.25">
      <c r="A7730" s="2">
        <v>7725</v>
      </c>
      <c r="B7730" s="39">
        <v>831020586</v>
      </c>
      <c r="C7730" s="28" t="str">
        <f>HYPERLINK("https://pld.live/RapDetail.aspx?STONELIST=831020586","DNA")</f>
        <v>DNA</v>
      </c>
      <c r="D7730" s="18" t="s">
        <v>3174</v>
      </c>
      <c r="E7730" s="18" t="s">
        <v>2186</v>
      </c>
      <c r="F7730" s="2" t="s">
        <v>7987</v>
      </c>
      <c r="G7730" s="2" t="s">
        <v>4029</v>
      </c>
      <c r="H7730" s="14">
        <v>5.01</v>
      </c>
      <c r="I7730" s="2" t="s">
        <v>267</v>
      </c>
      <c r="J7730" s="2" t="s">
        <v>6555</v>
      </c>
      <c r="K7730" s="2" t="s">
        <v>1452</v>
      </c>
      <c r="L7730" s="2" t="s">
        <v>5221</v>
      </c>
      <c r="M7730" s="2" t="s">
        <v>5221</v>
      </c>
      <c r="N7730" s="2" t="s">
        <v>2317</v>
      </c>
      <c r="O7730" s="14">
        <v>63500</v>
      </c>
      <c r="P7730" s="14">
        <v>99.08</v>
      </c>
      <c r="Q7730" s="14">
        <v>584.20000000000005</v>
      </c>
      <c r="R7730" s="14">
        <v>2926.84</v>
      </c>
      <c r="S7730" s="2" t="s">
        <v>1571</v>
      </c>
      <c r="T7730" s="2">
        <v>1.4</v>
      </c>
      <c r="U7730" s="2">
        <v>67.099999999999994</v>
      </c>
      <c r="V7730" s="2">
        <v>65</v>
      </c>
      <c r="W7730" s="2" t="s">
        <v>7862</v>
      </c>
      <c r="X7730" s="2" t="s">
        <v>190</v>
      </c>
      <c r="Y7730" s="2">
        <v>318135</v>
      </c>
      <c r="Z7730" s="19" t="str">
        <f>HYPERLINK("https://ssdweb.co/ssdweb/hd/Vision360.html?d=831020586&amp;zoomslide=1&amp;z=1831020586&amp;ISCONFIRM=0","VIDEO")</f>
        <v>VIDEO</v>
      </c>
      <c r="AA7730" s="19" t="str">
        <f>HYPERLINK("https://ssdweb.co/ssdweb/CERTH/629404671.pdf","CERTI")</f>
        <v>CERTI</v>
      </c>
    </row>
    <row r="7731" spans="1:27" ht="15" x14ac:dyDescent="0.25">
      <c r="A7731" s="2">
        <v>7726</v>
      </c>
      <c r="B7731" s="39">
        <v>924380180</v>
      </c>
      <c r="C7731" s="28" t="str">
        <f>HYPERLINK("https://pld.live/RapDetail.aspx?STONELIST=924380180","DNA")</f>
        <v>DNA</v>
      </c>
      <c r="D7731" s="18" t="s">
        <v>3134</v>
      </c>
      <c r="E7731" s="18" t="s">
        <v>2186</v>
      </c>
      <c r="F7731" s="2" t="s">
        <v>7987</v>
      </c>
      <c r="G7731" s="2" t="s">
        <v>4029</v>
      </c>
      <c r="H7731" s="14">
        <v>4.24</v>
      </c>
      <c r="I7731" s="2" t="s">
        <v>1505</v>
      </c>
      <c r="J7731" s="2" t="s">
        <v>13</v>
      </c>
      <c r="K7731" s="2" t="s">
        <v>1452</v>
      </c>
      <c r="L7731" s="2" t="s">
        <v>5221</v>
      </c>
      <c r="M7731" s="2" t="s">
        <v>5221</v>
      </c>
      <c r="N7731" s="2" t="s">
        <v>2317</v>
      </c>
      <c r="O7731" s="14">
        <v>25500</v>
      </c>
      <c r="P7731" s="14">
        <v>99.5</v>
      </c>
      <c r="Q7731" s="14">
        <v>127.5</v>
      </c>
      <c r="R7731" s="14">
        <v>540.6</v>
      </c>
      <c r="S7731" s="2" t="s">
        <v>6387</v>
      </c>
      <c r="T7731" s="2">
        <v>1.34</v>
      </c>
      <c r="U7731" s="2">
        <v>64.599999999999994</v>
      </c>
      <c r="V7731" s="2">
        <v>66</v>
      </c>
      <c r="W7731" s="2" t="s">
        <v>8016</v>
      </c>
      <c r="X7731" s="2" t="s">
        <v>190</v>
      </c>
      <c r="Y7731" s="2">
        <v>108120</v>
      </c>
      <c r="Z7731" s="19" t="str">
        <f>HYPERLINK("https://ssdweb.co/ssdweb/hd/Vision360.html?d=924380180&amp;zoomslide=1&amp;z=1924380180&amp;ISCONFIRM=0","VIDEO")</f>
        <v>VIDEO</v>
      </c>
      <c r="AA7731" s="19" t="str">
        <f>HYPERLINK("https://ssdweb.co/ssdweb/CERTH/589397107.pdf","CERTI")</f>
        <v>CERTI</v>
      </c>
    </row>
    <row r="7732" spans="1:27" ht="15" x14ac:dyDescent="0.25">
      <c r="A7732" s="2">
        <v>7727</v>
      </c>
      <c r="B7732" s="39">
        <v>924510173</v>
      </c>
      <c r="C7732" s="28" t="str">
        <f>HYPERLINK("https://pld.live/RapDetail.aspx?STONELIST=924510173","DNA")</f>
        <v>DNA</v>
      </c>
      <c r="D7732" s="18" t="s">
        <v>3134</v>
      </c>
      <c r="E7732" s="18" t="s">
        <v>2186</v>
      </c>
      <c r="F7732" s="2" t="s">
        <v>7987</v>
      </c>
      <c r="G7732" s="2" t="s">
        <v>4029</v>
      </c>
      <c r="H7732" s="14">
        <v>4.21</v>
      </c>
      <c r="I7732" s="2" t="s">
        <v>6587</v>
      </c>
      <c r="J7732" s="2" t="s">
        <v>5144</v>
      </c>
      <c r="K7732" s="2" t="s">
        <v>1452</v>
      </c>
      <c r="L7732" s="2" t="s">
        <v>5221</v>
      </c>
      <c r="M7732" s="2" t="s">
        <v>5221</v>
      </c>
      <c r="N7732" s="2" t="s">
        <v>2317</v>
      </c>
      <c r="O7732" s="14">
        <v>27500</v>
      </c>
      <c r="P7732" s="14">
        <v>99.53</v>
      </c>
      <c r="Q7732" s="14">
        <v>129.25</v>
      </c>
      <c r="R7732" s="14">
        <v>544.14</v>
      </c>
      <c r="S7732" s="2" t="s">
        <v>3686</v>
      </c>
      <c r="T7732" s="2">
        <v>1.4</v>
      </c>
      <c r="U7732" s="2">
        <v>67.7</v>
      </c>
      <c r="V7732" s="2">
        <v>65</v>
      </c>
      <c r="W7732" s="2" t="s">
        <v>7862</v>
      </c>
      <c r="X7732" s="2" t="s">
        <v>190</v>
      </c>
      <c r="Y7732" s="2">
        <v>115775</v>
      </c>
      <c r="Z7732" s="19" t="str">
        <f>HYPERLINK("https://ssdweb.co/ssdweb/hd/Vision360.html?d=924510173&amp;zoomslide=1&amp;z=1924510173&amp;ISCONFIRM=0","VIDEO")</f>
        <v>VIDEO</v>
      </c>
      <c r="AA7732" s="19" t="str">
        <f>HYPERLINK("https://ssdweb.co/ssdweb/CERTH/597387129.pdf","CERTI")</f>
        <v>CERTI</v>
      </c>
    </row>
    <row r="7733" spans="1:27" ht="15" x14ac:dyDescent="0.25">
      <c r="A7733" s="2">
        <v>7728</v>
      </c>
      <c r="B7733" s="39">
        <v>925710187</v>
      </c>
      <c r="C7733" s="28" t="str">
        <f>HYPERLINK("https://pld.live/RapDetail.aspx?STONELIST=925710187","DNA")</f>
        <v>DNA</v>
      </c>
      <c r="D7733" s="18" t="s">
        <v>3134</v>
      </c>
      <c r="E7733" s="18" t="s">
        <v>2186</v>
      </c>
      <c r="F7733" s="2" t="s">
        <v>7987</v>
      </c>
      <c r="G7733" s="2" t="s">
        <v>4029</v>
      </c>
      <c r="H7733" s="14">
        <v>4.03</v>
      </c>
      <c r="I7733" s="2" t="s">
        <v>6874</v>
      </c>
      <c r="J7733" s="2" t="s">
        <v>13</v>
      </c>
      <c r="K7733" s="2" t="s">
        <v>1452</v>
      </c>
      <c r="L7733" s="2" t="s">
        <v>5221</v>
      </c>
      <c r="M7733" s="2" t="s">
        <v>5221</v>
      </c>
      <c r="N7733" s="2" t="s">
        <v>924</v>
      </c>
      <c r="O7733" s="14">
        <v>7100</v>
      </c>
      <c r="P7733" s="14">
        <v>94.93</v>
      </c>
      <c r="Q7733" s="14">
        <v>359.97</v>
      </c>
      <c r="R7733" s="14">
        <v>1450.68</v>
      </c>
      <c r="S7733" s="2" t="s">
        <v>5007</v>
      </c>
      <c r="T7733" s="2">
        <v>1.51</v>
      </c>
      <c r="U7733" s="2">
        <v>63.3</v>
      </c>
      <c r="V7733" s="2">
        <v>65</v>
      </c>
      <c r="W7733" s="2" t="s">
        <v>7862</v>
      </c>
      <c r="X7733" s="2" t="s">
        <v>190</v>
      </c>
      <c r="Y7733" s="2">
        <v>28613</v>
      </c>
      <c r="Z7733" s="19" t="str">
        <f>HYPERLINK("https://ssdweb.co/ssdweb/hd/Vision360.html?d=925710187&amp;zoomslide=1&amp;z=1925710187&amp;ISCONFIRM=0","VIDEO")</f>
        <v>VIDEO</v>
      </c>
      <c r="AA7733" s="19" t="str">
        <f>HYPERLINK("https://ssdweb.co/ssdweb/CERTH/631429932.pdf","CERTI")</f>
        <v>CERTI</v>
      </c>
    </row>
    <row r="7734" spans="1:27" ht="15" x14ac:dyDescent="0.25">
      <c r="A7734" s="2">
        <v>7729</v>
      </c>
      <c r="B7734" s="39">
        <v>927170009</v>
      </c>
      <c r="C7734" s="28" t="str">
        <f>HYPERLINK("https://pld.live/RapDetail.aspx?STONELIST=927170009","DNA")</f>
        <v>DNA</v>
      </c>
      <c r="D7734" s="18" t="s">
        <v>3134</v>
      </c>
      <c r="E7734" s="18" t="s">
        <v>2186</v>
      </c>
      <c r="F7734" s="2" t="s">
        <v>7987</v>
      </c>
      <c r="G7734" s="2" t="s">
        <v>4029</v>
      </c>
      <c r="H7734" s="14">
        <v>4.01</v>
      </c>
      <c r="I7734" s="2" t="s">
        <v>6874</v>
      </c>
      <c r="J7734" s="2" t="s">
        <v>13</v>
      </c>
      <c r="K7734" s="2" t="s">
        <v>1452</v>
      </c>
      <c r="L7734" s="2" t="s">
        <v>5221</v>
      </c>
      <c r="M7734" s="2" t="s">
        <v>5221</v>
      </c>
      <c r="N7734" s="2" t="s">
        <v>924</v>
      </c>
      <c r="O7734" s="14">
        <v>7100</v>
      </c>
      <c r="P7734" s="14">
        <v>94.93</v>
      </c>
      <c r="Q7734" s="14">
        <v>359.97</v>
      </c>
      <c r="R7734" s="14">
        <v>1443.48</v>
      </c>
      <c r="S7734" s="2" t="s">
        <v>7965</v>
      </c>
      <c r="T7734" s="2">
        <v>1.35</v>
      </c>
      <c r="U7734" s="2">
        <v>66.8</v>
      </c>
      <c r="V7734" s="2">
        <v>64</v>
      </c>
      <c r="W7734" s="2" t="s">
        <v>7862</v>
      </c>
      <c r="X7734" s="2" t="s">
        <v>190</v>
      </c>
      <c r="Y7734" s="2">
        <v>28471</v>
      </c>
      <c r="Z7734" s="19" t="str">
        <f>HYPERLINK("https://ssdweb.co/ssdweb/hd/Vision360.html?d=927170009&amp;zoomslide=1&amp;z=1927170009&amp;ISCONFIRM=0","VIDEO")</f>
        <v>VIDEO</v>
      </c>
      <c r="AA7734" s="19" t="str">
        <f>HYPERLINK("https://ssdweb.co/ssdweb/CERTH/684506649.pdf","CERTI")</f>
        <v>CERTI</v>
      </c>
    </row>
    <row r="7735" spans="1:27" ht="15" x14ac:dyDescent="0.25">
      <c r="A7735" s="2">
        <v>7730</v>
      </c>
      <c r="B7735" s="39">
        <v>927120032</v>
      </c>
      <c r="C7735" s="28" t="str">
        <f>HYPERLINK("https://pld.live/RapDetail.aspx?STONELIST=927120032","DNA")</f>
        <v>DNA</v>
      </c>
      <c r="D7735" s="18" t="s">
        <v>3134</v>
      </c>
      <c r="E7735" s="18" t="s">
        <v>2186</v>
      </c>
      <c r="F7735" s="2" t="s">
        <v>7987</v>
      </c>
      <c r="G7735" s="2" t="s">
        <v>4029</v>
      </c>
      <c r="H7735" s="14">
        <v>4.01</v>
      </c>
      <c r="I7735" s="2" t="s">
        <v>6874</v>
      </c>
      <c r="J7735" s="2" t="s">
        <v>5144</v>
      </c>
      <c r="K7735" s="2" t="s">
        <v>1452</v>
      </c>
      <c r="L7735" s="2" t="s">
        <v>5221</v>
      </c>
      <c r="M7735" s="2" t="s">
        <v>5221</v>
      </c>
      <c r="N7735" s="2" t="s">
        <v>924</v>
      </c>
      <c r="O7735" s="14">
        <v>6800</v>
      </c>
      <c r="P7735" s="14">
        <v>95.15</v>
      </c>
      <c r="Q7735" s="14">
        <v>329.8</v>
      </c>
      <c r="R7735" s="14">
        <v>1322.5</v>
      </c>
      <c r="S7735" s="2" t="s">
        <v>2305</v>
      </c>
      <c r="T7735" s="2">
        <v>1.33</v>
      </c>
      <c r="U7735" s="2">
        <v>67.900000000000006</v>
      </c>
      <c r="V7735" s="2">
        <v>61</v>
      </c>
      <c r="W7735" s="2" t="s">
        <v>7862</v>
      </c>
      <c r="X7735" s="2" t="s">
        <v>190</v>
      </c>
      <c r="Y7735" s="2">
        <v>27268</v>
      </c>
      <c r="Z7735" s="19" t="str">
        <f>HYPERLINK("https://ssdweb.co/ssdweb/hd/Vision360.html?d=927120032&amp;zoomslide=1&amp;z=1927120032&amp;ISCONFIRM=0","VIDEO")</f>
        <v>VIDEO</v>
      </c>
      <c r="AA7735" s="19" t="str">
        <f>HYPERLINK("https://ssdweb.co/ssdweb/CERTH/684506646.pdf","CERTI")</f>
        <v>CERTI</v>
      </c>
    </row>
    <row r="7736" spans="1:27" ht="15" x14ac:dyDescent="0.25">
      <c r="A7736" s="2">
        <v>7731</v>
      </c>
      <c r="B7736" s="39">
        <v>926560206</v>
      </c>
      <c r="C7736" s="28" t="str">
        <f>HYPERLINK("https://pld.live/RapDetail.aspx?STONELIST=926560206","DNA")</f>
        <v>DNA</v>
      </c>
      <c r="D7736" s="18" t="s">
        <v>7401</v>
      </c>
      <c r="E7736" s="18" t="s">
        <v>2186</v>
      </c>
      <c r="F7736" s="2" t="s">
        <v>7987</v>
      </c>
      <c r="G7736" s="2" t="s">
        <v>4029</v>
      </c>
      <c r="H7736" s="14">
        <v>3.9</v>
      </c>
      <c r="I7736" s="2" t="s">
        <v>4699</v>
      </c>
      <c r="J7736" s="2" t="s">
        <v>13</v>
      </c>
      <c r="K7736" s="2" t="s">
        <v>1452</v>
      </c>
      <c r="L7736" s="2" t="s">
        <v>5221</v>
      </c>
      <c r="M7736" s="2" t="s">
        <v>5221</v>
      </c>
      <c r="N7736" s="2" t="s">
        <v>2317</v>
      </c>
      <c r="O7736" s="14">
        <v>25000</v>
      </c>
      <c r="P7736" s="14">
        <v>99.41</v>
      </c>
      <c r="Q7736" s="14">
        <v>147.5</v>
      </c>
      <c r="R7736" s="14">
        <v>575.25</v>
      </c>
      <c r="S7736" s="2" t="s">
        <v>1063</v>
      </c>
      <c r="T7736" s="2">
        <v>1.34</v>
      </c>
      <c r="U7736" s="2">
        <v>64</v>
      </c>
      <c r="V7736" s="2">
        <v>67</v>
      </c>
      <c r="W7736" s="2" t="s">
        <v>7862</v>
      </c>
      <c r="X7736" s="2" t="s">
        <v>190</v>
      </c>
      <c r="Y7736" s="2">
        <v>97500</v>
      </c>
      <c r="Z7736" s="19" t="str">
        <f>HYPERLINK("https://ssdweb.co/ssdweb/hd/Vision360.html?d=926560206&amp;zoomslide=1&amp;z=1926560206&amp;ISCONFIRM=0","VIDEO")</f>
        <v>VIDEO</v>
      </c>
      <c r="AA7736" s="19" t="str">
        <f>HYPERLINK("https://ssdweb.co/ssdweb/CERTH/647424646.pdf","CERTI")</f>
        <v>CERTI</v>
      </c>
    </row>
    <row r="7737" spans="1:27" ht="15" x14ac:dyDescent="0.25">
      <c r="A7737" s="2">
        <v>7732</v>
      </c>
      <c r="B7737" s="39">
        <v>941380305</v>
      </c>
      <c r="C7737" s="28" t="str">
        <f>HYPERLINK("https://pld.live/RapDetail.aspx?STONELIST=941380305","DNA")</f>
        <v>DNA</v>
      </c>
      <c r="D7737" s="18" t="s">
        <v>7401</v>
      </c>
      <c r="E7737" s="18" t="s">
        <v>2186</v>
      </c>
      <c r="F7737" s="2" t="s">
        <v>7987</v>
      </c>
      <c r="G7737" s="2" t="s">
        <v>4029</v>
      </c>
      <c r="H7737" s="14">
        <v>3.89</v>
      </c>
      <c r="I7737" s="2" t="s">
        <v>4761</v>
      </c>
      <c r="J7737" s="2" t="s">
        <v>3942</v>
      </c>
      <c r="K7737" s="2" t="s">
        <v>1452</v>
      </c>
      <c r="L7737" s="2" t="s">
        <v>5221</v>
      </c>
      <c r="M7737" s="2" t="s">
        <v>5221</v>
      </c>
      <c r="N7737" s="2" t="s">
        <v>2317</v>
      </c>
      <c r="O7737" s="14">
        <v>29500</v>
      </c>
      <c r="P7737" s="14">
        <v>99.39</v>
      </c>
      <c r="Q7737" s="14">
        <v>179.95</v>
      </c>
      <c r="R7737" s="14">
        <v>700.01</v>
      </c>
      <c r="S7737" s="2" t="s">
        <v>2338</v>
      </c>
      <c r="T7737" s="2">
        <v>1.29</v>
      </c>
      <c r="U7737" s="2">
        <v>65.3</v>
      </c>
      <c r="V7737" s="2">
        <v>66</v>
      </c>
      <c r="W7737" s="2" t="s">
        <v>7862</v>
      </c>
      <c r="X7737" s="2" t="s">
        <v>190</v>
      </c>
      <c r="Y7737" s="2">
        <v>114755</v>
      </c>
      <c r="Z7737" s="19" t="str">
        <f>HYPERLINK("https://ssdweb.co/ssdweb/hd/Vision360.html?d=941380305&amp;zoomslide=1&amp;z=1941380305&amp;ISCONFIRM=0","VIDEO")</f>
        <v>VIDEO</v>
      </c>
      <c r="AA7737" s="19" t="str">
        <f>HYPERLINK("https://ssdweb.co/ssdweb/CERTH/692534195.pdf","CERTI")</f>
        <v>CERTI</v>
      </c>
    </row>
    <row r="7738" spans="1:27" ht="15" x14ac:dyDescent="0.25">
      <c r="A7738" s="2">
        <v>7733</v>
      </c>
      <c r="B7738" s="39">
        <v>926560183</v>
      </c>
      <c r="C7738" s="28" t="str">
        <f>HYPERLINK("https://pld.live/RapDetail.aspx?STONELIST=926560183","DNA")</f>
        <v>DNA</v>
      </c>
      <c r="D7738" s="18" t="s">
        <v>7401</v>
      </c>
      <c r="E7738" s="18" t="s">
        <v>2186</v>
      </c>
      <c r="F7738" s="2" t="s">
        <v>7987</v>
      </c>
      <c r="G7738" s="2" t="s">
        <v>4029</v>
      </c>
      <c r="H7738" s="14">
        <v>3.89</v>
      </c>
      <c r="I7738" s="2" t="s">
        <v>4699</v>
      </c>
      <c r="J7738" s="2" t="s">
        <v>5144</v>
      </c>
      <c r="K7738" s="2" t="s">
        <v>1452</v>
      </c>
      <c r="L7738" s="2" t="s">
        <v>5221</v>
      </c>
      <c r="M7738" s="2" t="s">
        <v>5221</v>
      </c>
      <c r="N7738" s="2" t="s">
        <v>2317</v>
      </c>
      <c r="O7738" s="14">
        <v>22500</v>
      </c>
      <c r="P7738" s="14">
        <v>99.38</v>
      </c>
      <c r="Q7738" s="14">
        <v>139.5</v>
      </c>
      <c r="R7738" s="14">
        <v>542.66</v>
      </c>
      <c r="S7738" s="2" t="s">
        <v>1715</v>
      </c>
      <c r="T7738" s="2">
        <v>1.35</v>
      </c>
      <c r="U7738" s="2">
        <v>64</v>
      </c>
      <c r="V7738" s="2">
        <v>63</v>
      </c>
      <c r="W7738" s="2" t="s">
        <v>7862</v>
      </c>
      <c r="X7738" s="2" t="s">
        <v>190</v>
      </c>
      <c r="Y7738" s="2">
        <v>87525</v>
      </c>
      <c r="Z7738" s="19" t="str">
        <f>HYPERLINK("https://ssdweb.co/ssdweb/hd/Vision360.html?d=926560183&amp;zoomslide=1&amp;z=1926560183&amp;ISCONFIRM=0","VIDEO")</f>
        <v>VIDEO</v>
      </c>
      <c r="AA7738" s="19" t="str">
        <f>HYPERLINK("https://ssdweb.co/ssdweb/CERTH/666408446.pdf","CERTI")</f>
        <v>CERTI</v>
      </c>
    </row>
    <row r="7739" spans="1:27" ht="15" x14ac:dyDescent="0.25">
      <c r="A7739" s="2">
        <v>7734</v>
      </c>
      <c r="B7739" s="39">
        <v>926380212</v>
      </c>
      <c r="C7739" s="28" t="str">
        <f>HYPERLINK("https://pld.live/RapDetail.aspx?STONELIST=926380212","DNA")</f>
        <v>DNA</v>
      </c>
      <c r="D7739" s="18" t="s">
        <v>7401</v>
      </c>
      <c r="E7739" s="18" t="s">
        <v>2186</v>
      </c>
      <c r="F7739" s="2" t="s">
        <v>7987</v>
      </c>
      <c r="G7739" s="2" t="s">
        <v>4029</v>
      </c>
      <c r="H7739" s="14">
        <v>3.89</v>
      </c>
      <c r="I7739" s="2" t="s">
        <v>6587</v>
      </c>
      <c r="J7739" s="2" t="s">
        <v>13</v>
      </c>
      <c r="K7739" s="2" t="s">
        <v>1452</v>
      </c>
      <c r="L7739" s="2" t="s">
        <v>5221</v>
      </c>
      <c r="M7739" s="2" t="s">
        <v>5221</v>
      </c>
      <c r="N7739" s="2" t="s">
        <v>2317</v>
      </c>
      <c r="O7739" s="14">
        <v>22500</v>
      </c>
      <c r="P7739" s="14">
        <v>99.4</v>
      </c>
      <c r="Q7739" s="14">
        <v>135</v>
      </c>
      <c r="R7739" s="14">
        <v>525.15</v>
      </c>
      <c r="S7739" s="2" t="s">
        <v>3926</v>
      </c>
      <c r="T7739" s="2">
        <v>1.28</v>
      </c>
      <c r="U7739" s="2">
        <v>66.900000000000006</v>
      </c>
      <c r="V7739" s="2">
        <v>65</v>
      </c>
      <c r="W7739" s="2" t="s">
        <v>8016</v>
      </c>
      <c r="X7739" s="2" t="s">
        <v>190</v>
      </c>
      <c r="Y7739" s="2">
        <v>87525</v>
      </c>
      <c r="Z7739" s="19" t="str">
        <f>HYPERLINK("https://ssdweb.co/ssdweb/hd/Vision360.html?d=926380212&amp;zoomslide=1&amp;z=1926380212&amp;ISCONFIRM=0","VIDEO")</f>
        <v>VIDEO</v>
      </c>
      <c r="AA7739" s="19" t="str">
        <f>HYPERLINK("https://ssdweb.co/ssdweb/CERTH/660489713.pdf","CERTI")</f>
        <v>CERTI</v>
      </c>
    </row>
    <row r="7740" spans="1:27" ht="15" x14ac:dyDescent="0.25">
      <c r="A7740" s="2">
        <v>7735</v>
      </c>
      <c r="B7740" s="39">
        <v>924190250</v>
      </c>
      <c r="C7740" s="28" t="str">
        <f>HYPERLINK("https://pld.live/RapDetail.aspx?STONELIST=924190250","DNA")</f>
        <v>DNA</v>
      </c>
      <c r="D7740" s="18" t="s">
        <v>7401</v>
      </c>
      <c r="E7740" s="18" t="s">
        <v>2186</v>
      </c>
      <c r="F7740" s="2" t="s">
        <v>5597</v>
      </c>
      <c r="G7740" s="2" t="s">
        <v>4029</v>
      </c>
      <c r="H7740" s="14">
        <v>3.84</v>
      </c>
      <c r="I7740" s="2" t="s">
        <v>1505</v>
      </c>
      <c r="J7740" s="2" t="s">
        <v>5144</v>
      </c>
      <c r="K7740" s="2" t="s">
        <v>1452</v>
      </c>
      <c r="L7740" s="2" t="s">
        <v>5221</v>
      </c>
      <c r="M7740" s="2" t="s">
        <v>5221</v>
      </c>
      <c r="N7740" s="2" t="s">
        <v>2317</v>
      </c>
      <c r="O7740" s="14">
        <v>18000</v>
      </c>
      <c r="P7740" s="14">
        <v>98.83</v>
      </c>
      <c r="Q7740" s="14">
        <v>210.6</v>
      </c>
      <c r="R7740" s="14">
        <v>808.7</v>
      </c>
      <c r="S7740" s="2" t="s">
        <v>5219</v>
      </c>
      <c r="T7740" s="2">
        <v>1.28</v>
      </c>
      <c r="U7740" s="2">
        <v>67.7</v>
      </c>
      <c r="V7740" s="2">
        <v>66</v>
      </c>
      <c r="W7740" s="2" t="s">
        <v>7862</v>
      </c>
      <c r="X7740" s="2" t="s">
        <v>3698</v>
      </c>
      <c r="Y7740" s="2">
        <v>69120</v>
      </c>
      <c r="Z7740" s="19" t="str">
        <f>HYPERLINK("https://ssdweb.co/ssdweb/hd/Vision360.html?d=924190250&amp;zoomslide=1&amp;z=1924190250&amp;ISCONFIRM=0","VIDEO")</f>
        <v>VIDEO</v>
      </c>
      <c r="AA7740" s="19" t="str">
        <f>HYPERLINK("https://ssdweb.co/ssdweb/CERTH/6465454448.pdf","CERTI")</f>
        <v>CERTI</v>
      </c>
    </row>
    <row r="7741" spans="1:27" ht="15" x14ac:dyDescent="0.25">
      <c r="A7741" s="2">
        <v>7736</v>
      </c>
      <c r="B7741" s="39">
        <v>941330513</v>
      </c>
      <c r="C7741" s="28" t="str">
        <f>HYPERLINK("https://pld.live/RapDetail.aspx?STONELIST=941330513","DNA")</f>
        <v>DNA</v>
      </c>
      <c r="D7741" s="18" t="s">
        <v>7401</v>
      </c>
      <c r="E7741" s="18" t="s">
        <v>2186</v>
      </c>
      <c r="F7741" s="2" t="s">
        <v>7987</v>
      </c>
      <c r="G7741" s="2" t="s">
        <v>4029</v>
      </c>
      <c r="H7741" s="14">
        <v>3.82</v>
      </c>
      <c r="I7741" s="2" t="s">
        <v>4699</v>
      </c>
      <c r="J7741" s="2" t="s">
        <v>13</v>
      </c>
      <c r="K7741" s="2" t="s">
        <v>1452</v>
      </c>
      <c r="L7741" s="2" t="s">
        <v>5221</v>
      </c>
      <c r="M7741" s="2" t="s">
        <v>5221</v>
      </c>
      <c r="N7741" s="2" t="s">
        <v>2317</v>
      </c>
      <c r="O7741" s="14">
        <v>25000</v>
      </c>
      <c r="P7741" s="14">
        <v>99.4</v>
      </c>
      <c r="Q7741" s="14">
        <v>150</v>
      </c>
      <c r="R7741" s="14">
        <v>573</v>
      </c>
      <c r="S7741" s="2" t="s">
        <v>6077</v>
      </c>
      <c r="T7741" s="2">
        <v>1.3</v>
      </c>
      <c r="U7741" s="2">
        <v>66.099999999999994</v>
      </c>
      <c r="V7741" s="2">
        <v>67</v>
      </c>
      <c r="W7741" s="2" t="s">
        <v>7862</v>
      </c>
      <c r="X7741" s="2" t="s">
        <v>190</v>
      </c>
      <c r="Y7741" s="2">
        <v>95500</v>
      </c>
      <c r="Z7741" s="19" t="str">
        <f>HYPERLINK("https://ssdweb.co/ssdweb/hd/Vision360.html?d=941330513&amp;zoomslide=1&amp;z=1941330513&amp;ISCONFIRM=0","VIDEO")</f>
        <v>VIDEO</v>
      </c>
      <c r="AA7741" s="19" t="str">
        <f>HYPERLINK("https://ssdweb.co/ssdweb/CERTH/689543252.pdf","CERTI")</f>
        <v>CERTI</v>
      </c>
    </row>
    <row r="7742" spans="1:27" ht="15" x14ac:dyDescent="0.25">
      <c r="A7742" s="2">
        <v>7737</v>
      </c>
      <c r="B7742" s="39">
        <v>926860066</v>
      </c>
      <c r="C7742" s="28" t="str">
        <f>HYPERLINK("https://pld.live/RapDetail.aspx?STONELIST=926860066","DNA")</f>
        <v>DNA</v>
      </c>
      <c r="D7742" s="18" t="s">
        <v>7401</v>
      </c>
      <c r="E7742" s="18" t="s">
        <v>2186</v>
      </c>
      <c r="F7742" s="2" t="s">
        <v>7987</v>
      </c>
      <c r="G7742" s="2" t="s">
        <v>4029</v>
      </c>
      <c r="H7742" s="14">
        <v>3.75</v>
      </c>
      <c r="I7742" s="2" t="s">
        <v>6587</v>
      </c>
      <c r="J7742" s="2" t="s">
        <v>3942</v>
      </c>
      <c r="K7742" s="2" t="s">
        <v>1452</v>
      </c>
      <c r="L7742" s="2" t="s">
        <v>5221</v>
      </c>
      <c r="M7742" s="2" t="s">
        <v>5221</v>
      </c>
      <c r="N7742" s="2" t="s">
        <v>2317</v>
      </c>
      <c r="O7742" s="14">
        <v>24500</v>
      </c>
      <c r="P7742" s="14">
        <v>99.4</v>
      </c>
      <c r="Q7742" s="14">
        <v>147</v>
      </c>
      <c r="R7742" s="14">
        <v>551.25</v>
      </c>
      <c r="S7742" s="2" t="s">
        <v>2412</v>
      </c>
      <c r="T7742" s="2">
        <v>1.3</v>
      </c>
      <c r="U7742" s="2">
        <v>67.8</v>
      </c>
      <c r="V7742" s="2">
        <v>63</v>
      </c>
      <c r="W7742" s="2" t="s">
        <v>7862</v>
      </c>
      <c r="X7742" s="2" t="s">
        <v>190</v>
      </c>
      <c r="Y7742" s="2">
        <v>91875</v>
      </c>
      <c r="Z7742" s="19" t="str">
        <f>HYPERLINK("https://ssdweb.co/ssdweb/hd/Vision360.html?d=926860066&amp;zoomslide=1&amp;z=1926860066&amp;ISCONFIRM=0","VIDEO")</f>
        <v>VIDEO</v>
      </c>
      <c r="AA7742" s="19" t="str">
        <f>HYPERLINK("https://ssdweb.co/ssdweb/CERTH/660489727.pdf","CERTI")</f>
        <v>CERTI</v>
      </c>
    </row>
    <row r="7743" spans="1:27" ht="15" x14ac:dyDescent="0.25">
      <c r="A7743" s="2">
        <v>7738</v>
      </c>
      <c r="B7743" s="39">
        <v>925660200</v>
      </c>
      <c r="C7743" s="28" t="str">
        <f>HYPERLINK("https://pld.live/RapDetail.aspx?STONELIST=925660200","DNA")</f>
        <v>DNA</v>
      </c>
      <c r="D7743" s="18" t="s">
        <v>3628</v>
      </c>
      <c r="E7743" s="18" t="s">
        <v>2186</v>
      </c>
      <c r="F7743" s="2" t="s">
        <v>7987</v>
      </c>
      <c r="G7743" s="2" t="s">
        <v>4029</v>
      </c>
      <c r="H7743" s="14">
        <v>3.5</v>
      </c>
      <c r="I7743" s="2" t="s">
        <v>6845</v>
      </c>
      <c r="J7743" s="2" t="s">
        <v>444</v>
      </c>
      <c r="K7743" s="2" t="s">
        <v>1452</v>
      </c>
      <c r="L7743" s="2" t="s">
        <v>5221</v>
      </c>
      <c r="M7743" s="2" t="s">
        <v>5221</v>
      </c>
      <c r="N7743" s="2" t="s">
        <v>2317</v>
      </c>
      <c r="O7743" s="14">
        <v>4900</v>
      </c>
      <c r="P7743" s="14">
        <v>95.51</v>
      </c>
      <c r="Q7743" s="14">
        <v>220.01</v>
      </c>
      <c r="R7743" s="14">
        <v>770.04</v>
      </c>
      <c r="S7743" s="2" t="s">
        <v>5512</v>
      </c>
      <c r="T7743" s="2">
        <v>1.38</v>
      </c>
      <c r="U7743" s="2">
        <v>67.7</v>
      </c>
      <c r="V7743" s="2">
        <v>64</v>
      </c>
      <c r="W7743" s="2" t="s">
        <v>7862</v>
      </c>
      <c r="X7743" s="2" t="s">
        <v>190</v>
      </c>
      <c r="Y7743" s="2">
        <v>17150</v>
      </c>
      <c r="Z7743" s="19" t="str">
        <f>HYPERLINK("https://ssdweb.co/ssdweb/hd/Vision360.html?d=925660200&amp;zoomslide=1&amp;z=1925660200&amp;ISCONFIRM=0","VIDEO")</f>
        <v>VIDEO</v>
      </c>
      <c r="AA7743" s="19" t="str">
        <f>HYPERLINK("https://ssdweb.co/ssdweb/CERTH/631429926.pdf","CERTI")</f>
        <v>CERTI</v>
      </c>
    </row>
    <row r="7744" spans="1:27" ht="15" x14ac:dyDescent="0.25">
      <c r="A7744" s="2">
        <v>7739</v>
      </c>
      <c r="B7744" s="39">
        <v>831020660</v>
      </c>
      <c r="C7744" s="28" t="str">
        <f>HYPERLINK("https://pld.live/RapDetail.aspx?STONELIST=831020660","DNA")</f>
        <v>DNA</v>
      </c>
      <c r="D7744" s="18" t="s">
        <v>4563</v>
      </c>
      <c r="E7744" s="18" t="s">
        <v>2186</v>
      </c>
      <c r="F7744" s="2" t="s">
        <v>7987</v>
      </c>
      <c r="G7744" s="2" t="s">
        <v>4029</v>
      </c>
      <c r="H7744" s="14">
        <v>3.24</v>
      </c>
      <c r="I7744" s="2" t="s">
        <v>4699</v>
      </c>
      <c r="J7744" s="2" t="s">
        <v>3942</v>
      </c>
      <c r="K7744" s="2" t="s">
        <v>1452</v>
      </c>
      <c r="L7744" s="2" t="s">
        <v>5221</v>
      </c>
      <c r="M7744" s="2" t="s">
        <v>5221</v>
      </c>
      <c r="N7744" s="2" t="s">
        <v>2317</v>
      </c>
      <c r="O7744" s="14">
        <v>27000</v>
      </c>
      <c r="P7744" s="14">
        <v>99.43</v>
      </c>
      <c r="Q7744" s="14">
        <v>153.9</v>
      </c>
      <c r="R7744" s="14">
        <v>498.64</v>
      </c>
      <c r="S7744" s="2" t="s">
        <v>1815</v>
      </c>
      <c r="T7744" s="2">
        <v>1.29</v>
      </c>
      <c r="U7744" s="2">
        <v>66.3</v>
      </c>
      <c r="V7744" s="2">
        <v>64</v>
      </c>
      <c r="W7744" s="2" t="s">
        <v>7862</v>
      </c>
      <c r="X7744" s="2" t="s">
        <v>190</v>
      </c>
      <c r="Y7744" s="2">
        <v>87480</v>
      </c>
      <c r="Z7744" s="19" t="str">
        <f>HYPERLINK("https://ssdweb.co/ssdweb/hd/Vision360.html?d=831020660&amp;zoomslide=1&amp;z=1831020660&amp;ISCONFIRM=0","VIDEO")</f>
        <v>VIDEO</v>
      </c>
      <c r="AA7744" s="19" t="str">
        <f>HYPERLINK("https://ssdweb.co/ssdweb/CERTH/665411191.pdf","CERTI")</f>
        <v>CERTI</v>
      </c>
    </row>
    <row r="7745" spans="1:27" ht="15" x14ac:dyDescent="0.25">
      <c r="A7745" s="2">
        <v>7740</v>
      </c>
      <c r="B7745" s="39">
        <v>926450303</v>
      </c>
      <c r="C7745" s="28" t="str">
        <f>HYPERLINK("https://pld.live/RapDetail.aspx?STONELIST=926450303","DNA")</f>
        <v>DNA</v>
      </c>
      <c r="D7745" s="18" t="s">
        <v>4563</v>
      </c>
      <c r="E7745" s="18" t="s">
        <v>2186</v>
      </c>
      <c r="F7745" s="2" t="s">
        <v>7987</v>
      </c>
      <c r="G7745" s="2" t="s">
        <v>4029</v>
      </c>
      <c r="H7745" s="14">
        <v>3.23</v>
      </c>
      <c r="I7745" s="2" t="s">
        <v>6845</v>
      </c>
      <c r="J7745" s="2" t="s">
        <v>13</v>
      </c>
      <c r="K7745" s="2" t="s">
        <v>1452</v>
      </c>
      <c r="L7745" s="2" t="s">
        <v>5221</v>
      </c>
      <c r="M7745" s="2" t="s">
        <v>5221</v>
      </c>
      <c r="N7745" s="2" t="s">
        <v>2317</v>
      </c>
      <c r="O7745" s="14">
        <v>5700</v>
      </c>
      <c r="P7745" s="14">
        <v>95.44</v>
      </c>
      <c r="Q7745" s="14">
        <v>259.92</v>
      </c>
      <c r="R7745" s="14">
        <v>839.54</v>
      </c>
      <c r="S7745" s="2" t="s">
        <v>3094</v>
      </c>
      <c r="T7745" s="2">
        <v>1.34</v>
      </c>
      <c r="U7745" s="2">
        <v>67.5</v>
      </c>
      <c r="V7745" s="2">
        <v>66</v>
      </c>
      <c r="W7745" s="2" t="s">
        <v>7862</v>
      </c>
      <c r="X7745" s="2" t="s">
        <v>190</v>
      </c>
      <c r="Y7745" s="2">
        <v>18411</v>
      </c>
      <c r="Z7745" s="19" t="str">
        <f>HYPERLINK("https://ssdweb.co/ssdweb/hd/Vision360.html?d=926450303&amp;zoomslide=1&amp;z=1926450303&amp;ISCONFIRM=0","VIDEO")</f>
        <v>VIDEO</v>
      </c>
      <c r="AA7745" s="19" t="str">
        <f>HYPERLINK("https://ssdweb.co/ssdweb/CERTH/668437273.pdf","CERTI")</f>
        <v>CERTI</v>
      </c>
    </row>
    <row r="7746" spans="1:27" ht="15" x14ac:dyDescent="0.25">
      <c r="A7746" s="2">
        <v>7741</v>
      </c>
      <c r="B7746" s="39">
        <v>831020740</v>
      </c>
      <c r="C7746" s="28" t="str">
        <f>HYPERLINK("https://pld.live/RapDetail.aspx?STONELIST=831020740","DNA")</f>
        <v>DNA</v>
      </c>
      <c r="D7746" s="18" t="s">
        <v>4563</v>
      </c>
      <c r="E7746" s="18" t="s">
        <v>2186</v>
      </c>
      <c r="F7746" s="2" t="s">
        <v>7987</v>
      </c>
      <c r="G7746" s="2" t="s">
        <v>4029</v>
      </c>
      <c r="H7746" s="14">
        <v>3.21</v>
      </c>
      <c r="I7746" s="2" t="s">
        <v>4761</v>
      </c>
      <c r="J7746" s="2" t="s">
        <v>5144</v>
      </c>
      <c r="K7746" s="2" t="s">
        <v>1452</v>
      </c>
      <c r="L7746" s="2" t="s">
        <v>5221</v>
      </c>
      <c r="M7746" s="2" t="s">
        <v>5221</v>
      </c>
      <c r="N7746" s="2" t="s">
        <v>2317</v>
      </c>
      <c r="O7746" s="14">
        <v>24500</v>
      </c>
      <c r="P7746" s="14">
        <v>99.43</v>
      </c>
      <c r="Q7746" s="14">
        <v>139.65</v>
      </c>
      <c r="R7746" s="14">
        <v>448.28</v>
      </c>
      <c r="S7746" s="2" t="s">
        <v>4370</v>
      </c>
      <c r="T7746" s="2">
        <v>1.4</v>
      </c>
      <c r="U7746" s="2">
        <v>67.400000000000006</v>
      </c>
      <c r="V7746" s="2">
        <v>66</v>
      </c>
      <c r="W7746" s="2" t="s">
        <v>7862</v>
      </c>
      <c r="X7746" s="2" t="s">
        <v>190</v>
      </c>
      <c r="Y7746" s="2">
        <v>78645</v>
      </c>
      <c r="Z7746" s="19" t="str">
        <f>HYPERLINK("https://ssdweb.co/ssdweb/hd/Vision360.html?d=831020740&amp;zoomslide=1&amp;z=1831020740&amp;ISCONFIRM=0","VIDEO")</f>
        <v>VIDEO</v>
      </c>
      <c r="AA7746" s="19" t="str">
        <f>HYPERLINK("https://ssdweb.co/ssdweb/CERTH/594332712.pdf","CERTI")</f>
        <v>CERTI</v>
      </c>
    </row>
    <row r="7747" spans="1:27" ht="15" x14ac:dyDescent="0.25">
      <c r="A7747" s="2">
        <v>7742</v>
      </c>
      <c r="B7747" s="39">
        <v>925820223</v>
      </c>
      <c r="C7747" s="28" t="str">
        <f>HYPERLINK("https://pld.live/RapDetail.aspx?STONELIST=925820223","DNA")</f>
        <v>DNA</v>
      </c>
      <c r="D7747" s="18" t="s">
        <v>4563</v>
      </c>
      <c r="E7747" s="18" t="s">
        <v>2186</v>
      </c>
      <c r="F7747" s="2" t="s">
        <v>7987</v>
      </c>
      <c r="G7747" s="2" t="s">
        <v>4029</v>
      </c>
      <c r="H7747" s="14">
        <v>3.1</v>
      </c>
      <c r="I7747" s="2" t="s">
        <v>267</v>
      </c>
      <c r="J7747" s="2" t="s">
        <v>444</v>
      </c>
      <c r="K7747" s="2" t="s">
        <v>1452</v>
      </c>
      <c r="L7747" s="2" t="s">
        <v>5221</v>
      </c>
      <c r="M7747" s="2" t="s">
        <v>5221</v>
      </c>
      <c r="N7747" s="2" t="s">
        <v>2317</v>
      </c>
      <c r="O7747" s="14">
        <v>23000</v>
      </c>
      <c r="P7747" s="14">
        <v>99.39</v>
      </c>
      <c r="Q7747" s="14">
        <v>140.30000000000001</v>
      </c>
      <c r="R7747" s="14">
        <v>434.93</v>
      </c>
      <c r="S7747" s="2" t="s">
        <v>5819</v>
      </c>
      <c r="T7747" s="2">
        <v>1.46</v>
      </c>
      <c r="U7747" s="2">
        <v>66</v>
      </c>
      <c r="V7747" s="2">
        <v>65</v>
      </c>
      <c r="W7747" s="2" t="s">
        <v>7862</v>
      </c>
      <c r="X7747" s="2" t="s">
        <v>190</v>
      </c>
      <c r="Y7747" s="2">
        <v>71300</v>
      </c>
      <c r="Z7747" s="19" t="str">
        <f>HYPERLINK("https://ssdweb.co/ssdweb/hd/Vision360.html?d=925820223&amp;zoomslide=1&amp;z=1925820223&amp;ISCONFIRM=0","VIDEO")</f>
        <v>VIDEO</v>
      </c>
      <c r="AA7747" s="19" t="str">
        <f>HYPERLINK("https://ssdweb.co/ssdweb/CERTH/627410583.pdf","CERTI")</f>
        <v>CERTI</v>
      </c>
    </row>
    <row r="7748" spans="1:27" ht="15" x14ac:dyDescent="0.25">
      <c r="A7748" s="2">
        <v>7743</v>
      </c>
      <c r="B7748" s="39">
        <v>926850106</v>
      </c>
      <c r="C7748" s="28" t="str">
        <f>HYPERLINK("https://pld.live/RapDetail.aspx?STONELIST=926850106","DNA")</f>
        <v>DNA</v>
      </c>
      <c r="D7748" s="18" t="s">
        <v>4563</v>
      </c>
      <c r="E7748" s="18" t="s">
        <v>2186</v>
      </c>
      <c r="F7748" s="2" t="s">
        <v>7987</v>
      </c>
      <c r="G7748" s="2" t="s">
        <v>4029</v>
      </c>
      <c r="H7748" s="14">
        <v>3.1</v>
      </c>
      <c r="I7748" s="2" t="s">
        <v>1505</v>
      </c>
      <c r="J7748" s="2" t="s">
        <v>5144</v>
      </c>
      <c r="K7748" s="2" t="s">
        <v>1452</v>
      </c>
      <c r="L7748" s="2" t="s">
        <v>5221</v>
      </c>
      <c r="M7748" s="2" t="s">
        <v>5221</v>
      </c>
      <c r="N7748" s="2" t="s">
        <v>2317</v>
      </c>
      <c r="O7748" s="14">
        <v>18000</v>
      </c>
      <c r="P7748" s="14">
        <v>99.33</v>
      </c>
      <c r="Q7748" s="14">
        <v>120.6</v>
      </c>
      <c r="R7748" s="14">
        <v>373.86</v>
      </c>
      <c r="S7748" s="2" t="s">
        <v>2156</v>
      </c>
      <c r="T7748" s="2">
        <v>1.33</v>
      </c>
      <c r="U7748" s="2">
        <v>67.2</v>
      </c>
      <c r="V7748" s="2">
        <v>64</v>
      </c>
      <c r="W7748" s="2" t="s">
        <v>8016</v>
      </c>
      <c r="X7748" s="2" t="s">
        <v>190</v>
      </c>
      <c r="Y7748" s="2">
        <v>55800</v>
      </c>
      <c r="Z7748" s="19" t="str">
        <f>HYPERLINK("https://ssdweb.co/ssdweb/hd/Vision360.html?d=926850106&amp;zoomslide=1&amp;z=1926850106&amp;ISCONFIRM=0","VIDEO")</f>
        <v>VIDEO</v>
      </c>
      <c r="AA7748" s="19" t="str">
        <f>HYPERLINK("https://ssdweb.co/ssdweb/CERTH/654432351.pdf","CERTI")</f>
        <v>CERTI</v>
      </c>
    </row>
    <row r="7749" spans="1:27" ht="15" x14ac:dyDescent="0.25">
      <c r="A7749" s="2">
        <v>7744</v>
      </c>
      <c r="B7749" s="39">
        <v>927000590</v>
      </c>
      <c r="C7749" s="28" t="str">
        <f>HYPERLINK("https://pld.live/RapDetail.aspx?STONELIST=927000590","DNA")</f>
        <v>DNA</v>
      </c>
      <c r="D7749" s="18" t="s">
        <v>4563</v>
      </c>
      <c r="E7749" s="18" t="s">
        <v>2186</v>
      </c>
      <c r="F7749" s="2" t="s">
        <v>7987</v>
      </c>
      <c r="G7749" s="2" t="s">
        <v>4029</v>
      </c>
      <c r="H7749" s="14">
        <v>3.04</v>
      </c>
      <c r="I7749" s="2" t="s">
        <v>4699</v>
      </c>
      <c r="J7749" s="2" t="s">
        <v>5144</v>
      </c>
      <c r="K7749" s="2" t="s">
        <v>1452</v>
      </c>
      <c r="L7749" s="2" t="s">
        <v>5221</v>
      </c>
      <c r="M7749" s="2" t="s">
        <v>5221</v>
      </c>
      <c r="N7749" s="2" t="s">
        <v>2317</v>
      </c>
      <c r="O7749" s="14">
        <v>22500</v>
      </c>
      <c r="P7749" s="14">
        <v>99.38</v>
      </c>
      <c r="Q7749" s="14">
        <v>139.5</v>
      </c>
      <c r="R7749" s="14">
        <v>424.08</v>
      </c>
      <c r="S7749" s="2" t="s">
        <v>3814</v>
      </c>
      <c r="T7749" s="2">
        <v>1.29</v>
      </c>
      <c r="U7749" s="2">
        <v>67.5</v>
      </c>
      <c r="V7749" s="2">
        <v>64</v>
      </c>
      <c r="W7749" s="2" t="s">
        <v>7862</v>
      </c>
      <c r="X7749" s="2" t="s">
        <v>190</v>
      </c>
      <c r="Y7749" s="2">
        <v>68400</v>
      </c>
      <c r="Z7749" s="19" t="str">
        <f>HYPERLINK("https://ssdweb.co/ssdweb/hd/Vision360.html?d=927000590&amp;zoomslide=1&amp;z=1927000590&amp;ISCONFIRM=0","VIDEO")</f>
        <v>VIDEO</v>
      </c>
      <c r="AA7749" s="19" t="str">
        <f>HYPERLINK("https://ssdweb.co/ssdweb/CERTH/665453222.pdf","CERTI")</f>
        <v>CERTI</v>
      </c>
    </row>
    <row r="7750" spans="1:27" ht="15" x14ac:dyDescent="0.25">
      <c r="A7750" s="2">
        <v>7745</v>
      </c>
      <c r="B7750" s="39">
        <v>924250222</v>
      </c>
      <c r="C7750" s="28" t="str">
        <f>HYPERLINK("https://pld.live/RapDetail.aspx?STONELIST=924250222","DNA")</f>
        <v>DNA</v>
      </c>
      <c r="D7750" s="18" t="s">
        <v>4563</v>
      </c>
      <c r="E7750" s="18" t="s">
        <v>2186</v>
      </c>
      <c r="F7750" s="2" t="s">
        <v>5597</v>
      </c>
      <c r="G7750" s="2" t="s">
        <v>4029</v>
      </c>
      <c r="H7750" s="14">
        <v>3.04</v>
      </c>
      <c r="I7750" s="2" t="s">
        <v>6587</v>
      </c>
      <c r="J7750" s="2" t="s">
        <v>5144</v>
      </c>
      <c r="K7750" s="2" t="s">
        <v>1452</v>
      </c>
      <c r="L7750" s="2" t="s">
        <v>5221</v>
      </c>
      <c r="M7750" s="2" t="s">
        <v>5221</v>
      </c>
      <c r="N7750" s="2" t="s">
        <v>2317</v>
      </c>
      <c r="O7750" s="14">
        <v>20500</v>
      </c>
      <c r="P7750" s="14">
        <v>98.9</v>
      </c>
      <c r="Q7750" s="14">
        <v>225.5</v>
      </c>
      <c r="R7750" s="14">
        <v>685.52</v>
      </c>
      <c r="S7750" s="2" t="s">
        <v>2481</v>
      </c>
      <c r="T7750" s="2">
        <v>1.28</v>
      </c>
      <c r="U7750" s="2">
        <v>67.5</v>
      </c>
      <c r="V7750" s="2">
        <v>67</v>
      </c>
      <c r="W7750" s="2" t="s">
        <v>7862</v>
      </c>
      <c r="X7750" s="2" t="s">
        <v>3698</v>
      </c>
      <c r="Y7750" s="2">
        <v>62320</v>
      </c>
      <c r="Z7750" s="19" t="str">
        <f>HYPERLINK("https://ssdweb.co/ssdweb/hd/Vision360.html?d=924250222&amp;zoomslide=1&amp;z=1924250222&amp;ISCONFIRM=0","VIDEO")</f>
        <v>VIDEO</v>
      </c>
      <c r="AA7750" s="19" t="str">
        <f>HYPERLINK("https://ssdweb.co/ssdweb/CERTH/6465584370.pdf","CERTI")</f>
        <v>CERTI</v>
      </c>
    </row>
    <row r="7751" spans="1:27" ht="15" x14ac:dyDescent="0.25">
      <c r="A7751" s="2">
        <v>7746</v>
      </c>
      <c r="B7751" s="39">
        <v>831020628</v>
      </c>
      <c r="C7751" s="28" t="str">
        <f>HYPERLINK("https://pld.live/RapDetail.aspx?STONELIST=831020628","DNA")</f>
        <v>DNA</v>
      </c>
      <c r="D7751" s="18" t="s">
        <v>4563</v>
      </c>
      <c r="E7751" s="18" t="s">
        <v>2186</v>
      </c>
      <c r="F7751" s="2" t="s">
        <v>7987</v>
      </c>
      <c r="G7751" s="2" t="s">
        <v>4029</v>
      </c>
      <c r="H7751" s="14">
        <v>3.02</v>
      </c>
      <c r="I7751" s="2" t="s">
        <v>1505</v>
      </c>
      <c r="J7751" s="2" t="s">
        <v>5144</v>
      </c>
      <c r="K7751" s="2" t="s">
        <v>1452</v>
      </c>
      <c r="L7751" s="2" t="s">
        <v>5221</v>
      </c>
      <c r="M7751" s="2" t="s">
        <v>5221</v>
      </c>
      <c r="N7751" s="2" t="s">
        <v>2317</v>
      </c>
      <c r="O7751" s="14">
        <v>18000</v>
      </c>
      <c r="P7751" s="14">
        <v>99.33</v>
      </c>
      <c r="Q7751" s="14">
        <v>120.6</v>
      </c>
      <c r="R7751" s="14">
        <v>364.21</v>
      </c>
      <c r="S7751" s="2" t="s">
        <v>5963</v>
      </c>
      <c r="T7751" s="2">
        <v>1.29</v>
      </c>
      <c r="U7751" s="2">
        <v>68.099999999999994</v>
      </c>
      <c r="V7751" s="2">
        <v>67</v>
      </c>
      <c r="W7751" s="2" t="s">
        <v>7862</v>
      </c>
      <c r="X7751" s="2" t="s">
        <v>190</v>
      </c>
      <c r="Y7751" s="2">
        <v>54360</v>
      </c>
      <c r="Z7751" s="19" t="str">
        <f>HYPERLINK("https://ssdweb.co/ssdweb/hd/Vision360.html?d=831020628&amp;zoomslide=1&amp;z=1831020628&amp;ISCONFIRM=0","VIDEO")</f>
        <v>VIDEO</v>
      </c>
      <c r="AA7751" s="19" t="str">
        <f>HYPERLINK("https://ssdweb.co/ssdweb/CERTH/605330738.pdf","CERTI")</f>
        <v>CERTI</v>
      </c>
    </row>
    <row r="7752" spans="1:27" ht="15" x14ac:dyDescent="0.25">
      <c r="A7752" s="2">
        <v>7747</v>
      </c>
      <c r="B7752" s="39">
        <v>926380279</v>
      </c>
      <c r="C7752" s="28" t="str">
        <f>HYPERLINK("https://pld.live/RapDetail.aspx?STONELIST=926380279","DNA")</f>
        <v>DNA</v>
      </c>
      <c r="D7752" s="18" t="s">
        <v>4563</v>
      </c>
      <c r="E7752" s="18" t="s">
        <v>2186</v>
      </c>
      <c r="F7752" s="2" t="s">
        <v>7987</v>
      </c>
      <c r="G7752" s="2" t="s">
        <v>4029</v>
      </c>
      <c r="H7752" s="14">
        <v>3.01</v>
      </c>
      <c r="I7752" s="2" t="s">
        <v>6845</v>
      </c>
      <c r="J7752" s="2" t="s">
        <v>13</v>
      </c>
      <c r="K7752" s="2" t="s">
        <v>1452</v>
      </c>
      <c r="L7752" s="2" t="s">
        <v>5221</v>
      </c>
      <c r="M7752" s="2" t="s">
        <v>5221</v>
      </c>
      <c r="N7752" s="2" t="s">
        <v>2317</v>
      </c>
      <c r="O7752" s="14">
        <v>5700</v>
      </c>
      <c r="P7752" s="14">
        <v>95.44</v>
      </c>
      <c r="Q7752" s="14">
        <v>259.92</v>
      </c>
      <c r="R7752" s="14">
        <v>782.36</v>
      </c>
      <c r="S7752" s="2" t="s">
        <v>2450</v>
      </c>
      <c r="T7752" s="2">
        <v>1.31</v>
      </c>
      <c r="U7752" s="2">
        <v>66.7</v>
      </c>
      <c r="V7752" s="2">
        <v>65</v>
      </c>
      <c r="W7752" s="2" t="s">
        <v>7862</v>
      </c>
      <c r="X7752" s="2" t="s">
        <v>190</v>
      </c>
      <c r="Y7752" s="2">
        <v>17157</v>
      </c>
      <c r="Z7752" s="19" t="str">
        <f>HYPERLINK("https://ssdweb.co/ssdweb/hd/Vision360.html?d=926380279&amp;zoomslide=1&amp;z=1926380279&amp;ISCONFIRM=0","VIDEO")</f>
        <v>VIDEO</v>
      </c>
      <c r="AA7752" s="19" t="str">
        <f>HYPERLINK("https://ssdweb.co/ssdweb/CERTH/648487510.pdf","CERTI")</f>
        <v>CERTI</v>
      </c>
    </row>
    <row r="7753" spans="1:27" ht="15" x14ac:dyDescent="0.25">
      <c r="A7753" s="2">
        <v>7748</v>
      </c>
      <c r="B7753" s="39">
        <v>926360231</v>
      </c>
      <c r="C7753" s="28" t="str">
        <f>HYPERLINK("https://pld.live/RapDetail.aspx?STONELIST=926360231","DNA")</f>
        <v>DNA</v>
      </c>
      <c r="D7753" s="18" t="s">
        <v>2694</v>
      </c>
      <c r="E7753" s="18" t="s">
        <v>2186</v>
      </c>
      <c r="F7753" s="2" t="s">
        <v>7987</v>
      </c>
      <c r="G7753" s="2" t="s">
        <v>4029</v>
      </c>
      <c r="H7753" s="14">
        <v>2.89</v>
      </c>
      <c r="I7753" s="2" t="s">
        <v>4699</v>
      </c>
      <c r="J7753" s="2" t="s">
        <v>5144</v>
      </c>
      <c r="K7753" s="2" t="s">
        <v>1452</v>
      </c>
      <c r="L7753" s="2" t="s">
        <v>5221</v>
      </c>
      <c r="M7753" s="2" t="s">
        <v>5221</v>
      </c>
      <c r="N7753" s="2" t="s">
        <v>2317</v>
      </c>
      <c r="O7753" s="14">
        <v>14000</v>
      </c>
      <c r="P7753" s="14">
        <v>99.09</v>
      </c>
      <c r="Q7753" s="14">
        <v>127.4</v>
      </c>
      <c r="R7753" s="14">
        <v>368.19</v>
      </c>
      <c r="S7753" s="2" t="s">
        <v>4450</v>
      </c>
      <c r="T7753" s="2">
        <v>1.34</v>
      </c>
      <c r="U7753" s="2">
        <v>67.2</v>
      </c>
      <c r="V7753" s="2">
        <v>65</v>
      </c>
      <c r="W7753" s="2" t="s">
        <v>7862</v>
      </c>
      <c r="X7753" s="2" t="s">
        <v>190</v>
      </c>
      <c r="Y7753" s="2">
        <v>40460</v>
      </c>
      <c r="Z7753" s="19" t="str">
        <f>HYPERLINK("https://ssdweb.co/ssdweb/hd/Vision360.html?d=926360231&amp;zoomslide=1&amp;z=1926360231&amp;ISCONFIRM=0","VIDEO")</f>
        <v>VIDEO</v>
      </c>
      <c r="AA7753" s="19" t="str">
        <f>HYPERLINK("https://ssdweb.co/ssdweb/CERTH/641474132.pdf","CERTI")</f>
        <v>CERTI</v>
      </c>
    </row>
    <row r="7754" spans="1:27" ht="15" x14ac:dyDescent="0.25">
      <c r="A7754" s="2">
        <v>7749</v>
      </c>
      <c r="B7754" s="39">
        <v>926930847</v>
      </c>
      <c r="C7754" s="28" t="str">
        <f>HYPERLINK("https://pld.live/RapDetail.aspx?STONELIST=926930847","DNA")</f>
        <v>DNA</v>
      </c>
      <c r="D7754" s="18" t="s">
        <v>2694</v>
      </c>
      <c r="E7754" s="18" t="s">
        <v>2186</v>
      </c>
      <c r="F7754" s="2" t="s">
        <v>7987</v>
      </c>
      <c r="G7754" s="2" t="s">
        <v>4029</v>
      </c>
      <c r="H7754" s="14">
        <v>2.89</v>
      </c>
      <c r="I7754" s="2" t="s">
        <v>6587</v>
      </c>
      <c r="J7754" s="2" t="s">
        <v>5144</v>
      </c>
      <c r="K7754" s="2" t="s">
        <v>1452</v>
      </c>
      <c r="L7754" s="2" t="s">
        <v>5221</v>
      </c>
      <c r="M7754" s="2" t="s">
        <v>5221</v>
      </c>
      <c r="N7754" s="2" t="s">
        <v>2317</v>
      </c>
      <c r="O7754" s="14">
        <v>13000</v>
      </c>
      <c r="P7754" s="14">
        <v>99.09</v>
      </c>
      <c r="Q7754" s="14">
        <v>118.3</v>
      </c>
      <c r="R7754" s="14">
        <v>341.89</v>
      </c>
      <c r="S7754" s="2" t="s">
        <v>7620</v>
      </c>
      <c r="T7754" s="2">
        <v>1.27</v>
      </c>
      <c r="U7754" s="2">
        <v>67.5</v>
      </c>
      <c r="V7754" s="2">
        <v>64</v>
      </c>
      <c r="W7754" s="2" t="s">
        <v>7862</v>
      </c>
      <c r="X7754" s="2" t="s">
        <v>190</v>
      </c>
      <c r="Y7754" s="2">
        <v>37570</v>
      </c>
      <c r="Z7754" s="19" t="str">
        <f>HYPERLINK("https://ssdweb.co/ssdweb/hd/Vision360.html?d=926930847&amp;zoomslide=1&amp;z=1926930847&amp;ISCONFIRM=0","VIDEO")</f>
        <v>VIDEO</v>
      </c>
      <c r="AA7754" s="19" t="str">
        <f>HYPERLINK("https://ssdweb.co/ssdweb/CERTH/660489657.pdf","CERTI")</f>
        <v>CERTI</v>
      </c>
    </row>
    <row r="7755" spans="1:27" ht="15" x14ac:dyDescent="0.25">
      <c r="A7755" s="2">
        <v>7750</v>
      </c>
      <c r="B7755" s="39">
        <v>926030042</v>
      </c>
      <c r="C7755" s="28" t="str">
        <f>HYPERLINK("https://pld.live/RapDetail.aspx?STONELIST=926030042","DNA")</f>
        <v>DNA</v>
      </c>
      <c r="D7755" s="18" t="s">
        <v>2694</v>
      </c>
      <c r="E7755" s="18" t="s">
        <v>2186</v>
      </c>
      <c r="F7755" s="2" t="s">
        <v>7987</v>
      </c>
      <c r="G7755" s="2" t="s">
        <v>4029</v>
      </c>
      <c r="H7755" s="14">
        <v>2.87</v>
      </c>
      <c r="I7755" s="2" t="s">
        <v>1066</v>
      </c>
      <c r="J7755" s="2" t="s">
        <v>13</v>
      </c>
      <c r="K7755" s="2" t="s">
        <v>1452</v>
      </c>
      <c r="L7755" s="2" t="s">
        <v>5221</v>
      </c>
      <c r="M7755" s="2" t="s">
        <v>5221</v>
      </c>
      <c r="N7755" s="2" t="s">
        <v>924</v>
      </c>
      <c r="O7755" s="14">
        <v>4300</v>
      </c>
      <c r="P7755" s="14">
        <v>92.09</v>
      </c>
      <c r="Q7755" s="14">
        <v>340.13</v>
      </c>
      <c r="R7755" s="14">
        <v>976.17</v>
      </c>
      <c r="S7755" s="2" t="s">
        <v>1734</v>
      </c>
      <c r="T7755" s="2">
        <v>1.35</v>
      </c>
      <c r="U7755" s="2">
        <v>66.400000000000006</v>
      </c>
      <c r="V7755" s="2">
        <v>66</v>
      </c>
      <c r="W7755" s="2" t="s">
        <v>7862</v>
      </c>
      <c r="X7755" s="2" t="s">
        <v>190</v>
      </c>
      <c r="Y7755" s="2">
        <v>12341</v>
      </c>
      <c r="Z7755" s="19" t="str">
        <f>HYPERLINK("https://ssdweb.co/ssdweb/hd/Vision360.html?d=926030042&amp;zoomslide=1&amp;z=1926030042&amp;ISCONFIRM=0","VIDEO")</f>
        <v>VIDEO</v>
      </c>
      <c r="AA7755" s="19" t="str">
        <f>HYPERLINK("https://ssdweb.co/ssdweb/CERTH/637468020.pdf","CERTI")</f>
        <v>CERTI</v>
      </c>
    </row>
    <row r="7756" spans="1:27" ht="15" x14ac:dyDescent="0.25">
      <c r="A7756" s="2">
        <v>7751</v>
      </c>
      <c r="B7756" s="39">
        <v>924940101</v>
      </c>
      <c r="C7756" s="28" t="str">
        <f>HYPERLINK("https://pld.live/RapDetail.aspx?STONELIST=924940101","DNA")</f>
        <v>DNA</v>
      </c>
      <c r="D7756" s="18" t="s">
        <v>2694</v>
      </c>
      <c r="E7756" s="18" t="s">
        <v>2186</v>
      </c>
      <c r="F7756" s="2" t="s">
        <v>7987</v>
      </c>
      <c r="G7756" s="2" t="s">
        <v>4029</v>
      </c>
      <c r="H7756" s="14">
        <v>2.82</v>
      </c>
      <c r="I7756" s="2" t="s">
        <v>6587</v>
      </c>
      <c r="J7756" s="2" t="s">
        <v>444</v>
      </c>
      <c r="K7756" s="2" t="s">
        <v>1452</v>
      </c>
      <c r="L7756" s="2" t="s">
        <v>5221</v>
      </c>
      <c r="M7756" s="2" t="s">
        <v>5221</v>
      </c>
      <c r="N7756" s="2" t="s">
        <v>2317</v>
      </c>
      <c r="O7756" s="14">
        <v>10700</v>
      </c>
      <c r="P7756" s="14">
        <v>98.97</v>
      </c>
      <c r="Q7756" s="14">
        <v>110.21</v>
      </c>
      <c r="R7756" s="14">
        <v>310.79000000000002</v>
      </c>
      <c r="S7756" s="2" t="s">
        <v>6767</v>
      </c>
      <c r="T7756" s="2">
        <v>1.28</v>
      </c>
      <c r="U7756" s="2">
        <v>67.400000000000006</v>
      </c>
      <c r="V7756" s="2">
        <v>66</v>
      </c>
      <c r="W7756" s="2" t="s">
        <v>7862</v>
      </c>
      <c r="X7756" s="2" t="s">
        <v>190</v>
      </c>
      <c r="Y7756" s="2">
        <v>30174</v>
      </c>
      <c r="Z7756" s="19" t="str">
        <f>HYPERLINK("https://ssdweb.co/ssdweb/hd/Vision360.html?d=924940101&amp;zoomslide=1&amp;z=1924940101&amp;ISCONFIRM=0","VIDEO")</f>
        <v>VIDEO</v>
      </c>
      <c r="AA7756" s="19" t="str">
        <f>HYPERLINK("https://ssdweb.co/ssdweb/CERTH/602358434.pdf","CERTI")</f>
        <v>CERTI</v>
      </c>
    </row>
    <row r="7757" spans="1:27" ht="15" x14ac:dyDescent="0.25">
      <c r="A7757" s="2">
        <v>7752</v>
      </c>
      <c r="B7757" s="39">
        <v>926470188</v>
      </c>
      <c r="C7757" s="28" t="str">
        <f>HYPERLINK("https://pld.live/RapDetail.aspx?STONELIST=926470188","DNA")</f>
        <v>DNA</v>
      </c>
      <c r="D7757" s="18" t="s">
        <v>2694</v>
      </c>
      <c r="E7757" s="18" t="s">
        <v>2186</v>
      </c>
      <c r="F7757" s="2" t="s">
        <v>7987</v>
      </c>
      <c r="G7757" s="2" t="s">
        <v>4029</v>
      </c>
      <c r="H7757" s="14">
        <v>2.79</v>
      </c>
      <c r="I7757" s="2" t="s">
        <v>6587</v>
      </c>
      <c r="J7757" s="2" t="s">
        <v>13</v>
      </c>
      <c r="K7757" s="2" t="s">
        <v>1452</v>
      </c>
      <c r="L7757" s="2" t="s">
        <v>5221</v>
      </c>
      <c r="M7757" s="2" t="s">
        <v>5221</v>
      </c>
      <c r="N7757" s="2" t="s">
        <v>2317</v>
      </c>
      <c r="O7757" s="14">
        <v>14000</v>
      </c>
      <c r="P7757" s="14">
        <v>99.14</v>
      </c>
      <c r="Q7757" s="14">
        <v>120.4</v>
      </c>
      <c r="R7757" s="14">
        <v>335.92</v>
      </c>
      <c r="S7757" s="2" t="s">
        <v>1340</v>
      </c>
      <c r="T7757" s="2">
        <v>1.34</v>
      </c>
      <c r="U7757" s="2">
        <v>66.900000000000006</v>
      </c>
      <c r="V7757" s="2">
        <v>65</v>
      </c>
      <c r="W7757" s="2" t="s">
        <v>8016</v>
      </c>
      <c r="X7757" s="2" t="s">
        <v>190</v>
      </c>
      <c r="Y7757" s="2">
        <v>39060</v>
      </c>
      <c r="Z7757" s="19" t="str">
        <f>HYPERLINK("https://ssdweb.co/ssdweb/hd/Vision360.html?d=926470188&amp;zoomslide=1&amp;z=1926470188&amp;ISCONFIRM=0","VIDEO")</f>
        <v>VIDEO</v>
      </c>
      <c r="AA7757" s="19" t="str">
        <f>HYPERLINK("https://ssdweb.co/ssdweb/CERTH/660489687.pdf","CERTI")</f>
        <v>CERTI</v>
      </c>
    </row>
    <row r="7758" spans="1:27" ht="15" x14ac:dyDescent="0.25">
      <c r="A7758" s="2">
        <v>7753</v>
      </c>
      <c r="B7758" s="39">
        <v>926010050</v>
      </c>
      <c r="C7758" s="28" t="str">
        <f>HYPERLINK("https://pld.live/RapDetail.aspx?STONELIST=926010050","DNA")</f>
        <v>DNA</v>
      </c>
      <c r="D7758" s="18" t="s">
        <v>2694</v>
      </c>
      <c r="E7758" s="18" t="s">
        <v>2186</v>
      </c>
      <c r="F7758" s="2" t="s">
        <v>7987</v>
      </c>
      <c r="G7758" s="2" t="s">
        <v>4029</v>
      </c>
      <c r="H7758" s="14">
        <v>2.79</v>
      </c>
      <c r="I7758" s="2" t="s">
        <v>6844</v>
      </c>
      <c r="J7758" s="2" t="s">
        <v>13</v>
      </c>
      <c r="K7758" s="2" t="s">
        <v>1452</v>
      </c>
      <c r="L7758" s="2" t="s">
        <v>5221</v>
      </c>
      <c r="M7758" s="2" t="s">
        <v>5221</v>
      </c>
      <c r="N7758" s="2" t="s">
        <v>924</v>
      </c>
      <c r="O7758" s="14">
        <v>4300</v>
      </c>
      <c r="P7758" s="14">
        <v>92.56</v>
      </c>
      <c r="Q7758" s="14">
        <v>319.92</v>
      </c>
      <c r="R7758" s="14">
        <v>892.58</v>
      </c>
      <c r="S7758" s="2" t="s">
        <v>7608</v>
      </c>
      <c r="T7758" s="2">
        <v>1.34</v>
      </c>
      <c r="U7758" s="2">
        <v>68.099999999999994</v>
      </c>
      <c r="V7758" s="2">
        <v>65</v>
      </c>
      <c r="W7758" s="2" t="s">
        <v>7862</v>
      </c>
      <c r="X7758" s="2" t="s">
        <v>190</v>
      </c>
      <c r="Y7758" s="2">
        <v>11997</v>
      </c>
      <c r="Z7758" s="19" t="str">
        <f>HYPERLINK("https://ssdweb.co/ssdweb/hd/Vision360.html?d=926010050&amp;zoomslide=1&amp;z=1926010050&amp;ISCONFIRM=0","VIDEO")</f>
        <v>VIDEO</v>
      </c>
      <c r="AA7758" s="19" t="str">
        <f>HYPERLINK("https://ssdweb.co/ssdweb/CERTH/635427153.pdf","CERTI")</f>
        <v>CERTI</v>
      </c>
    </row>
    <row r="7759" spans="1:27" ht="15" x14ac:dyDescent="0.25">
      <c r="A7759" s="2">
        <v>7754</v>
      </c>
      <c r="B7759" s="39">
        <v>941390602</v>
      </c>
      <c r="C7759" s="28" t="str">
        <f>HYPERLINK("https://pld.live/RapDetail.aspx?STONELIST=941390602","DNA")</f>
        <v>DNA</v>
      </c>
      <c r="D7759" s="18" t="s">
        <v>2694</v>
      </c>
      <c r="E7759" s="18" t="s">
        <v>2186</v>
      </c>
      <c r="F7759" s="2" t="s">
        <v>7987</v>
      </c>
      <c r="G7759" s="2" t="s">
        <v>4029</v>
      </c>
      <c r="H7759" s="14">
        <v>2.78</v>
      </c>
      <c r="I7759" s="2" t="s">
        <v>4761</v>
      </c>
      <c r="J7759" s="2" t="s">
        <v>3942</v>
      </c>
      <c r="K7759" s="2" t="s">
        <v>1452</v>
      </c>
      <c r="L7759" s="2" t="s">
        <v>5221</v>
      </c>
      <c r="M7759" s="2" t="s">
        <v>5221</v>
      </c>
      <c r="N7759" s="2" t="s">
        <v>2317</v>
      </c>
      <c r="O7759" s="14">
        <v>17000</v>
      </c>
      <c r="P7759" s="14">
        <v>98.94</v>
      </c>
      <c r="Q7759" s="14">
        <v>180.2</v>
      </c>
      <c r="R7759" s="14">
        <v>500.96</v>
      </c>
      <c r="S7759" s="2" t="s">
        <v>7208</v>
      </c>
      <c r="T7759" s="2">
        <v>1.34</v>
      </c>
      <c r="U7759" s="2">
        <v>65.7</v>
      </c>
      <c r="V7759" s="2">
        <v>63</v>
      </c>
      <c r="W7759" s="2" t="s">
        <v>7862</v>
      </c>
      <c r="X7759" s="2" t="s">
        <v>190</v>
      </c>
      <c r="Y7759" s="2">
        <v>47260</v>
      </c>
      <c r="Z7759" s="19" t="str">
        <f>HYPERLINK("https://ssdweb.co/ssdweb/hd/Vision360.html?d=941390602&amp;zoomslide=1&amp;z=1941390602&amp;ISCONFIRM=0","VIDEO")</f>
        <v>VIDEO</v>
      </c>
      <c r="AA7759" s="19" t="str">
        <f>HYPERLINK("https://ssdweb.co/ssdweb/CERTH/693519477.pdf","CERTI")</f>
        <v>CERTI</v>
      </c>
    </row>
    <row r="7760" spans="1:27" ht="15" x14ac:dyDescent="0.25">
      <c r="A7760" s="2">
        <v>7755</v>
      </c>
      <c r="B7760" s="39">
        <v>941390221</v>
      </c>
      <c r="C7760" s="28" t="str">
        <f>HYPERLINK("https://pld.live/RapDetail.aspx?STONELIST=941390221","DNA")</f>
        <v>DNA</v>
      </c>
      <c r="D7760" s="18" t="s">
        <v>2694</v>
      </c>
      <c r="E7760" s="18" t="s">
        <v>2186</v>
      </c>
      <c r="F7760" s="2" t="s">
        <v>7987</v>
      </c>
      <c r="G7760" s="2" t="s">
        <v>4029</v>
      </c>
      <c r="H7760" s="14">
        <v>2.73</v>
      </c>
      <c r="I7760" s="2" t="s">
        <v>267</v>
      </c>
      <c r="J7760" s="2" t="s">
        <v>13</v>
      </c>
      <c r="K7760" s="2" t="s">
        <v>1452</v>
      </c>
      <c r="L7760" s="2" t="s">
        <v>5221</v>
      </c>
      <c r="M7760" s="2" t="s">
        <v>5221</v>
      </c>
      <c r="N7760" s="2" t="s">
        <v>2317</v>
      </c>
      <c r="O7760" s="14">
        <v>17500</v>
      </c>
      <c r="P7760" s="14">
        <v>99</v>
      </c>
      <c r="Q7760" s="14">
        <v>175</v>
      </c>
      <c r="R7760" s="14">
        <v>477.75</v>
      </c>
      <c r="S7760" s="2" t="s">
        <v>2514</v>
      </c>
      <c r="T7760" s="2">
        <v>1.31</v>
      </c>
      <c r="U7760" s="2">
        <v>67.5</v>
      </c>
      <c r="V7760" s="2">
        <v>65</v>
      </c>
      <c r="W7760" s="2" t="s">
        <v>7862</v>
      </c>
      <c r="X7760" s="2" t="s">
        <v>190</v>
      </c>
      <c r="Y7760" s="2">
        <v>47775</v>
      </c>
      <c r="Z7760" s="19" t="str">
        <f>HYPERLINK("https://ssdweb.co/ssdweb/hd/Vision360.html?d=941390221&amp;zoomslide=1&amp;z=1941390221&amp;ISCONFIRM=0","VIDEO")</f>
        <v>VIDEO</v>
      </c>
      <c r="AA7760" s="19" t="str">
        <f>HYPERLINK("https://ssdweb.co/ssdweb/CERTH/687591680.pdf","CERTI")</f>
        <v>CERTI</v>
      </c>
    </row>
    <row r="7761" spans="1:27" ht="15" x14ac:dyDescent="0.25">
      <c r="A7761" s="2">
        <v>7756</v>
      </c>
      <c r="B7761" s="39">
        <v>927000520</v>
      </c>
      <c r="C7761" s="28" t="str">
        <f>HYPERLINK("https://pld.live/RapDetail.aspx?STONELIST=927000520","DNA")</f>
        <v>DNA</v>
      </c>
      <c r="D7761" s="18" t="s">
        <v>2694</v>
      </c>
      <c r="E7761" s="18" t="s">
        <v>2186</v>
      </c>
      <c r="F7761" s="2" t="s">
        <v>7987</v>
      </c>
      <c r="G7761" s="2" t="s">
        <v>4029</v>
      </c>
      <c r="H7761" s="14">
        <v>2.72</v>
      </c>
      <c r="I7761" s="2" t="s">
        <v>4761</v>
      </c>
      <c r="J7761" s="2" t="s">
        <v>5144</v>
      </c>
      <c r="K7761" s="2" t="s">
        <v>1452</v>
      </c>
      <c r="L7761" s="2" t="s">
        <v>5221</v>
      </c>
      <c r="M7761" s="2" t="s">
        <v>5221</v>
      </c>
      <c r="N7761" s="2" t="s">
        <v>2317</v>
      </c>
      <c r="O7761" s="14">
        <v>15000</v>
      </c>
      <c r="P7761" s="14">
        <v>99.11</v>
      </c>
      <c r="Q7761" s="14">
        <v>133.5</v>
      </c>
      <c r="R7761" s="14">
        <v>363.12</v>
      </c>
      <c r="S7761" s="2" t="s">
        <v>2566</v>
      </c>
      <c r="T7761" s="2">
        <v>1.28</v>
      </c>
      <c r="U7761" s="2">
        <v>67.599999999999994</v>
      </c>
      <c r="V7761" s="2">
        <v>61</v>
      </c>
      <c r="W7761" s="2" t="s">
        <v>7862</v>
      </c>
      <c r="X7761" s="2" t="s">
        <v>190</v>
      </c>
      <c r="Y7761" s="2">
        <v>40800</v>
      </c>
      <c r="Z7761" s="19" t="str">
        <f>HYPERLINK("https://ssdweb.co/ssdweb/hd/Vision360.html?d=927000520&amp;zoomslide=1&amp;z=1927000520&amp;ISCONFIRM=0","VIDEO")</f>
        <v>VIDEO</v>
      </c>
      <c r="AA7761" s="19" t="str">
        <f>HYPERLINK("https://ssdweb.co/ssdweb/CERTH/660490600.pdf","CERTI")</f>
        <v>CERTI</v>
      </c>
    </row>
    <row r="7762" spans="1:27" ht="15" x14ac:dyDescent="0.25">
      <c r="A7762" s="2">
        <v>7757</v>
      </c>
      <c r="B7762" s="39">
        <v>926540182</v>
      </c>
      <c r="C7762" s="28" t="str">
        <f>HYPERLINK("https://pld.live/RapDetail.aspx?STONELIST=926540182","DNA")</f>
        <v>DNA</v>
      </c>
      <c r="D7762" s="18" t="s">
        <v>2694</v>
      </c>
      <c r="E7762" s="18" t="s">
        <v>2186</v>
      </c>
      <c r="F7762" s="2" t="s">
        <v>7987</v>
      </c>
      <c r="G7762" s="2" t="s">
        <v>4029</v>
      </c>
      <c r="H7762" s="14">
        <v>2.72</v>
      </c>
      <c r="I7762" s="2" t="s">
        <v>6874</v>
      </c>
      <c r="J7762" s="2" t="s">
        <v>13</v>
      </c>
      <c r="K7762" s="2" t="s">
        <v>1452</v>
      </c>
      <c r="L7762" s="2" t="s">
        <v>5221</v>
      </c>
      <c r="M7762" s="2" t="s">
        <v>5221</v>
      </c>
      <c r="N7762" s="2" t="s">
        <v>924</v>
      </c>
      <c r="O7762" s="14">
        <v>4000</v>
      </c>
      <c r="P7762" s="14">
        <v>91.25</v>
      </c>
      <c r="Q7762" s="14">
        <v>350</v>
      </c>
      <c r="R7762" s="14">
        <v>952</v>
      </c>
      <c r="S7762" s="2" t="s">
        <v>2081</v>
      </c>
      <c r="T7762" s="2">
        <v>1.35</v>
      </c>
      <c r="U7762" s="2">
        <v>68</v>
      </c>
      <c r="V7762" s="2">
        <v>65</v>
      </c>
      <c r="W7762" s="2" t="s">
        <v>7862</v>
      </c>
      <c r="X7762" s="2" t="s">
        <v>190</v>
      </c>
      <c r="Y7762" s="2">
        <v>10880</v>
      </c>
      <c r="Z7762" s="19" t="str">
        <f>HYPERLINK("https://ssdweb.co/ssdweb/hd/Vision360.html?d=926540182&amp;zoomslide=1&amp;z=1926540182&amp;ISCONFIRM=0","VIDEO")</f>
        <v>VIDEO</v>
      </c>
      <c r="AA7762" s="19" t="str">
        <f>HYPERLINK("https://ssdweb.co/ssdweb/CERTH/652470575.pdf","CERTI")</f>
        <v>CERTI</v>
      </c>
    </row>
    <row r="7763" spans="1:27" ht="15" x14ac:dyDescent="0.25">
      <c r="A7763" s="2">
        <v>7758</v>
      </c>
      <c r="B7763" s="39">
        <v>926470417</v>
      </c>
      <c r="C7763" s="28" t="str">
        <f>HYPERLINK("https://pld.live/RapDetail.aspx?STONELIST=926470417","DNA")</f>
        <v>DNA</v>
      </c>
      <c r="D7763" s="18" t="s">
        <v>2694</v>
      </c>
      <c r="E7763" s="18" t="s">
        <v>2186</v>
      </c>
      <c r="F7763" s="2" t="s">
        <v>7987</v>
      </c>
      <c r="G7763" s="2" t="s">
        <v>4029</v>
      </c>
      <c r="H7763" s="14">
        <v>2.7</v>
      </c>
      <c r="I7763" s="2" t="s">
        <v>6845</v>
      </c>
      <c r="J7763" s="2" t="s">
        <v>13</v>
      </c>
      <c r="K7763" s="2" t="s">
        <v>1452</v>
      </c>
      <c r="L7763" s="2" t="s">
        <v>5221</v>
      </c>
      <c r="M7763" s="2" t="s">
        <v>5221</v>
      </c>
      <c r="N7763" s="2" t="s">
        <v>2317</v>
      </c>
      <c r="O7763" s="14">
        <v>4200</v>
      </c>
      <c r="P7763" s="14">
        <v>94.05</v>
      </c>
      <c r="Q7763" s="14">
        <v>249.9</v>
      </c>
      <c r="R7763" s="14">
        <v>674.73</v>
      </c>
      <c r="S7763" s="2" t="s">
        <v>7760</v>
      </c>
      <c r="T7763" s="2">
        <v>1.3</v>
      </c>
      <c r="U7763" s="2">
        <v>66.599999999999994</v>
      </c>
      <c r="V7763" s="2">
        <v>63</v>
      </c>
      <c r="W7763" s="2" t="s">
        <v>7862</v>
      </c>
      <c r="X7763" s="2" t="s">
        <v>190</v>
      </c>
      <c r="Y7763" s="2">
        <v>11340</v>
      </c>
      <c r="Z7763" s="19" t="str">
        <f>HYPERLINK("https://ssdweb.co/ssdweb/hd/Vision360.html?d=926470417&amp;zoomslide=1&amp;z=1926470417&amp;ISCONFIRM=0","VIDEO")</f>
        <v>VIDEO</v>
      </c>
      <c r="AA7763" s="19" t="str">
        <f>HYPERLINK("https://ssdweb.co/ssdweb/CERTH/647475670.pdf","CERTI")</f>
        <v>CERTI</v>
      </c>
    </row>
    <row r="7764" spans="1:27" ht="15" x14ac:dyDescent="0.25">
      <c r="A7764" s="2">
        <v>7759</v>
      </c>
      <c r="B7764" s="39">
        <v>831020686</v>
      </c>
      <c r="C7764" s="28" t="str">
        <f>HYPERLINK("https://pld.live/RapDetail.aspx?STONELIST=831020686","DNA")</f>
        <v>DNA</v>
      </c>
      <c r="D7764" s="18" t="s">
        <v>4032</v>
      </c>
      <c r="E7764" s="18" t="s">
        <v>2186</v>
      </c>
      <c r="F7764" s="2" t="s">
        <v>7987</v>
      </c>
      <c r="G7764" s="2" t="s">
        <v>4029</v>
      </c>
      <c r="H7764" s="14">
        <v>2.66</v>
      </c>
      <c r="I7764" s="2" t="s">
        <v>1505</v>
      </c>
      <c r="J7764" s="2" t="s">
        <v>13</v>
      </c>
      <c r="K7764" s="2" t="s">
        <v>1452</v>
      </c>
      <c r="L7764" s="2" t="s">
        <v>5221</v>
      </c>
      <c r="M7764" s="2" t="s">
        <v>5221</v>
      </c>
      <c r="N7764" s="2" t="s">
        <v>2317</v>
      </c>
      <c r="O7764" s="14">
        <v>11500</v>
      </c>
      <c r="P7764" s="14">
        <v>99</v>
      </c>
      <c r="Q7764" s="14">
        <v>115</v>
      </c>
      <c r="R7764" s="14">
        <v>305.89999999999998</v>
      </c>
      <c r="S7764" s="2" t="s">
        <v>3037</v>
      </c>
      <c r="T7764" s="2">
        <v>1.46</v>
      </c>
      <c r="U7764" s="2">
        <v>66.599999999999994</v>
      </c>
      <c r="V7764" s="2">
        <v>65.5</v>
      </c>
      <c r="W7764" s="2" t="s">
        <v>7862</v>
      </c>
      <c r="X7764" s="2" t="s">
        <v>190</v>
      </c>
      <c r="Y7764" s="2">
        <v>30590</v>
      </c>
      <c r="Z7764" s="19" t="str">
        <f>HYPERLINK("https://ssdweb.co/ssdweb/hd/Vision360.html?d=831020686&amp;zoomslide=1&amp;z=1831020686&amp;ISCONFIRM=0","VIDEO")</f>
        <v>VIDEO</v>
      </c>
      <c r="AA7764" s="19" t="str">
        <f>HYPERLINK("https://ssdweb.co/ssdweb/CERTH/557239736.pdf","CERTI")</f>
        <v>CERTI</v>
      </c>
    </row>
    <row r="7765" spans="1:27" ht="15" x14ac:dyDescent="0.25">
      <c r="A7765" s="2">
        <v>7760</v>
      </c>
      <c r="B7765" s="39">
        <v>926470222</v>
      </c>
      <c r="C7765" s="28" t="str">
        <f>HYPERLINK("https://pld.live/RapDetail.aspx?STONELIST=926470222","DNA")</f>
        <v>DNA</v>
      </c>
      <c r="D7765" s="18" t="s">
        <v>4032</v>
      </c>
      <c r="E7765" s="18" t="s">
        <v>2186</v>
      </c>
      <c r="F7765" s="2" t="s">
        <v>7987</v>
      </c>
      <c r="G7765" s="2" t="s">
        <v>4029</v>
      </c>
      <c r="H7765" s="14">
        <v>2.59</v>
      </c>
      <c r="I7765" s="2" t="s">
        <v>6874</v>
      </c>
      <c r="J7765" s="2" t="s">
        <v>13</v>
      </c>
      <c r="K7765" s="2" t="s">
        <v>1452</v>
      </c>
      <c r="L7765" s="2" t="s">
        <v>5221</v>
      </c>
      <c r="M7765" s="2" t="s">
        <v>5221</v>
      </c>
      <c r="N7765" s="2" t="s">
        <v>924</v>
      </c>
      <c r="O7765" s="14">
        <v>4000</v>
      </c>
      <c r="P7765" s="14">
        <v>91</v>
      </c>
      <c r="Q7765" s="14">
        <v>360</v>
      </c>
      <c r="R7765" s="14">
        <v>932.4</v>
      </c>
      <c r="S7765" s="2" t="s">
        <v>5109</v>
      </c>
      <c r="T7765" s="2">
        <v>1.28</v>
      </c>
      <c r="U7765" s="2">
        <v>66</v>
      </c>
      <c r="V7765" s="2">
        <v>64</v>
      </c>
      <c r="W7765" s="2" t="s">
        <v>7862</v>
      </c>
      <c r="X7765" s="2" t="s">
        <v>190</v>
      </c>
      <c r="Y7765" s="2">
        <v>10360</v>
      </c>
      <c r="Z7765" s="19" t="str">
        <f>HYPERLINK("https://ssdweb.co/ssdweb/hd/Vision360.html?d=926470222&amp;zoomslide=1&amp;z=1926470222&amp;ISCONFIRM=0","VIDEO")</f>
        <v>VIDEO</v>
      </c>
      <c r="AA7765" s="19" t="str">
        <f>HYPERLINK("https://ssdweb.co/ssdweb/CERTH/649489070.pdf","CERTI")</f>
        <v>CERTI</v>
      </c>
    </row>
    <row r="7766" spans="1:27" ht="15" x14ac:dyDescent="0.25">
      <c r="A7766" s="2">
        <v>7761</v>
      </c>
      <c r="B7766" s="39">
        <v>925850007</v>
      </c>
      <c r="C7766" s="28" t="str">
        <f>HYPERLINK("https://pld.live/RapDetail.aspx?STONELIST=925850007","DNA")</f>
        <v>DNA</v>
      </c>
      <c r="D7766" s="18" t="s">
        <v>4032</v>
      </c>
      <c r="E7766" s="18" t="s">
        <v>5128</v>
      </c>
      <c r="F7766" s="2" t="s">
        <v>7987</v>
      </c>
      <c r="G7766" s="2" t="s">
        <v>4029</v>
      </c>
      <c r="H7766" s="14">
        <v>2.57</v>
      </c>
      <c r="I7766" s="2" t="s">
        <v>267</v>
      </c>
      <c r="J7766" s="2" t="s">
        <v>7032</v>
      </c>
      <c r="K7766" s="2" t="s">
        <v>1452</v>
      </c>
      <c r="L7766" s="2" t="s">
        <v>5221</v>
      </c>
      <c r="M7766" s="2" t="s">
        <v>5221</v>
      </c>
      <c r="N7766" s="2" t="s">
        <v>2317</v>
      </c>
      <c r="O7766" s="14">
        <v>21500</v>
      </c>
      <c r="P7766" s="14">
        <v>95.6</v>
      </c>
      <c r="Q7766" s="14">
        <v>946</v>
      </c>
      <c r="R7766" s="14">
        <v>2431.2199999999998</v>
      </c>
      <c r="S7766" s="2" t="s">
        <v>2270</v>
      </c>
      <c r="T7766" s="2">
        <v>1.35</v>
      </c>
      <c r="U7766" s="2">
        <v>66.5</v>
      </c>
      <c r="V7766" s="2">
        <v>63</v>
      </c>
      <c r="W7766" s="2" t="s">
        <v>7862</v>
      </c>
      <c r="X7766" s="2" t="s">
        <v>190</v>
      </c>
      <c r="Y7766" s="2">
        <v>55255</v>
      </c>
      <c r="Z7766" s="19" t="str">
        <f>HYPERLINK("https://ssdweb.co/ssdweb/hd/Vision360.html?d=925850007&amp;zoomslide=1&amp;z=1925850007&amp;ISCONFIRM=0","VIDEO")</f>
        <v>VIDEO</v>
      </c>
      <c r="AA7766" s="19" t="str">
        <f>HYPERLINK("https://ssdweb.co/ssdweb/CERTH/625469574.pdf","CERTI")</f>
        <v>CERTI</v>
      </c>
    </row>
    <row r="7767" spans="1:27" ht="15" x14ac:dyDescent="0.25">
      <c r="A7767" s="2">
        <v>7762</v>
      </c>
      <c r="B7767" s="39">
        <v>925700166</v>
      </c>
      <c r="C7767" s="28" t="str">
        <f>HYPERLINK("https://pld.live/RapDetail.aspx?STONELIST=925700166","DNA")</f>
        <v>DNA</v>
      </c>
      <c r="D7767" s="18" t="s">
        <v>5154</v>
      </c>
      <c r="E7767" s="18" t="s">
        <v>2186</v>
      </c>
      <c r="F7767" s="2" t="s">
        <v>7987</v>
      </c>
      <c r="G7767" s="2" t="s">
        <v>4029</v>
      </c>
      <c r="H7767" s="14">
        <v>2.4500000000000002</v>
      </c>
      <c r="I7767" s="2" t="s">
        <v>6874</v>
      </c>
      <c r="J7767" s="2" t="s">
        <v>13</v>
      </c>
      <c r="K7767" s="2" t="s">
        <v>1452</v>
      </c>
      <c r="L7767" s="2" t="s">
        <v>5221</v>
      </c>
      <c r="M7767" s="2" t="s">
        <v>5221</v>
      </c>
      <c r="N7767" s="2" t="s">
        <v>924</v>
      </c>
      <c r="O7767" s="14">
        <v>4300</v>
      </c>
      <c r="P7767" s="14">
        <v>91.86</v>
      </c>
      <c r="Q7767" s="14">
        <v>350.02</v>
      </c>
      <c r="R7767" s="14">
        <v>857.55</v>
      </c>
      <c r="S7767" s="2" t="s">
        <v>4199</v>
      </c>
      <c r="T7767" s="2">
        <v>1.28</v>
      </c>
      <c r="U7767" s="2">
        <v>63.9</v>
      </c>
      <c r="V7767" s="2">
        <v>66</v>
      </c>
      <c r="W7767" s="2" t="s">
        <v>7862</v>
      </c>
      <c r="X7767" s="2" t="s">
        <v>190</v>
      </c>
      <c r="Y7767" s="2">
        <v>10535</v>
      </c>
      <c r="Z7767" s="19" t="str">
        <f>HYPERLINK("https://ssdweb.co/ssdweb/hd/Vision360.html?d=925700166&amp;zoomslide=1&amp;z=1925700166&amp;ISCONFIRM=0","VIDEO")</f>
        <v>VIDEO</v>
      </c>
      <c r="AA7767" s="19" t="str">
        <f>HYPERLINK("https://ssdweb.co/ssdweb/CERTH/629479330.pdf","CERTI")</f>
        <v>CERTI</v>
      </c>
    </row>
    <row r="7768" spans="1:27" ht="15" x14ac:dyDescent="0.25">
      <c r="A7768" s="2">
        <v>7763</v>
      </c>
      <c r="B7768" s="39">
        <v>926930825</v>
      </c>
      <c r="C7768" s="28" t="str">
        <f>HYPERLINK("https://pld.live/RapDetail.aspx?STONELIST=926930825","DNA")</f>
        <v>DNA</v>
      </c>
      <c r="D7768" s="18" t="s">
        <v>5154</v>
      </c>
      <c r="E7768" s="18" t="s">
        <v>2186</v>
      </c>
      <c r="F7768" s="2" t="s">
        <v>7987</v>
      </c>
      <c r="G7768" s="2" t="s">
        <v>4029</v>
      </c>
      <c r="H7768" s="14">
        <v>2.39</v>
      </c>
      <c r="I7768" s="2" t="s">
        <v>4699</v>
      </c>
      <c r="J7768" s="2" t="s">
        <v>3942</v>
      </c>
      <c r="K7768" s="2" t="s">
        <v>1452</v>
      </c>
      <c r="L7768" s="2" t="s">
        <v>5221</v>
      </c>
      <c r="M7768" s="2" t="s">
        <v>5221</v>
      </c>
      <c r="N7768" s="2" t="s">
        <v>2317</v>
      </c>
      <c r="O7768" s="14">
        <v>16000</v>
      </c>
      <c r="P7768" s="14">
        <v>99.08</v>
      </c>
      <c r="Q7768" s="14">
        <v>147.19999999999999</v>
      </c>
      <c r="R7768" s="14">
        <v>351.81</v>
      </c>
      <c r="S7768" s="2" t="s">
        <v>1335</v>
      </c>
      <c r="T7768" s="2">
        <v>1.29</v>
      </c>
      <c r="U7768" s="2">
        <v>67.2</v>
      </c>
      <c r="V7768" s="2">
        <v>66</v>
      </c>
      <c r="W7768" s="2" t="s">
        <v>7862</v>
      </c>
      <c r="X7768" s="2" t="s">
        <v>190</v>
      </c>
      <c r="Y7768" s="2">
        <v>38240</v>
      </c>
      <c r="Z7768" s="19" t="str">
        <f>HYPERLINK("https://ssdweb.co/ssdweb/hd/Vision360.html?d=926930825&amp;zoomslide=1&amp;z=1926930825&amp;ISCONFIRM=0","VIDEO")</f>
        <v>VIDEO</v>
      </c>
      <c r="AA7768" s="19" t="str">
        <f>HYPERLINK("https://ssdweb.co/ssdweb/CERTH/660489663.pdf","CERTI")</f>
        <v>CERTI</v>
      </c>
    </row>
    <row r="7769" spans="1:27" ht="15" x14ac:dyDescent="0.25">
      <c r="A7769" s="2">
        <v>7764</v>
      </c>
      <c r="B7769" s="39">
        <v>926910147</v>
      </c>
      <c r="C7769" s="28" t="str">
        <f>HYPERLINK("https://pld.live/RapDetail.aspx?STONELIST=926910147","DNA")</f>
        <v>DNA</v>
      </c>
      <c r="D7769" s="18" t="s">
        <v>5154</v>
      </c>
      <c r="E7769" s="18" t="s">
        <v>2186</v>
      </c>
      <c r="F7769" s="2" t="s">
        <v>7987</v>
      </c>
      <c r="G7769" s="2" t="s">
        <v>4029</v>
      </c>
      <c r="H7769" s="14">
        <v>2.38</v>
      </c>
      <c r="I7769" s="2" t="s">
        <v>6587</v>
      </c>
      <c r="J7769" s="2" t="s">
        <v>3942</v>
      </c>
      <c r="K7769" s="2" t="s">
        <v>1452</v>
      </c>
      <c r="L7769" s="2" t="s">
        <v>5221</v>
      </c>
      <c r="M7769" s="2" t="s">
        <v>5221</v>
      </c>
      <c r="N7769" s="2" t="s">
        <v>2317</v>
      </c>
      <c r="O7769" s="14">
        <v>15000</v>
      </c>
      <c r="P7769" s="14">
        <v>99.13</v>
      </c>
      <c r="Q7769" s="14">
        <v>130.5</v>
      </c>
      <c r="R7769" s="14">
        <v>310.58999999999997</v>
      </c>
      <c r="S7769" s="2" t="s">
        <v>3674</v>
      </c>
      <c r="T7769" s="2">
        <v>1.33</v>
      </c>
      <c r="U7769" s="2">
        <v>67.3</v>
      </c>
      <c r="V7769" s="2">
        <v>65</v>
      </c>
      <c r="W7769" s="2" t="s">
        <v>7862</v>
      </c>
      <c r="X7769" s="2" t="s">
        <v>190</v>
      </c>
      <c r="Y7769" s="2">
        <v>35700</v>
      </c>
      <c r="Z7769" s="19" t="str">
        <f>HYPERLINK("https://ssdweb.co/ssdweb/hd/Vision360.html?d=926910147&amp;zoomslide=1&amp;z=1926910147&amp;ISCONFIRM=0","VIDEO")</f>
        <v>VIDEO</v>
      </c>
      <c r="AA7769" s="19" t="str">
        <f>HYPERLINK("https://ssdweb.co/ssdweb/CERTH/666408387.pdf","CERTI")</f>
        <v>CERTI</v>
      </c>
    </row>
    <row r="7770" spans="1:27" ht="15" x14ac:dyDescent="0.25">
      <c r="A7770" s="2">
        <v>7765</v>
      </c>
      <c r="B7770" s="39">
        <v>926631333</v>
      </c>
      <c r="C7770" s="28" t="str">
        <f>HYPERLINK("https://pld.live/RapDetail.aspx?STONELIST=926631333","DNA")</f>
        <v>DNA</v>
      </c>
      <c r="D7770" s="18" t="s">
        <v>5154</v>
      </c>
      <c r="E7770" s="18" t="s">
        <v>5128</v>
      </c>
      <c r="F7770" s="2" t="s">
        <v>7987</v>
      </c>
      <c r="G7770" s="2" t="s">
        <v>4029</v>
      </c>
      <c r="H7770" s="14">
        <v>2.36</v>
      </c>
      <c r="I7770" s="2" t="s">
        <v>6587</v>
      </c>
      <c r="J7770" s="2" t="s">
        <v>3942</v>
      </c>
      <c r="K7770" s="2" t="s">
        <v>1452</v>
      </c>
      <c r="L7770" s="2" t="s">
        <v>5221</v>
      </c>
      <c r="M7770" s="2" t="s">
        <v>5221</v>
      </c>
      <c r="N7770" s="2" t="s">
        <v>2317</v>
      </c>
      <c r="O7770" s="14">
        <v>15000</v>
      </c>
      <c r="P7770" s="14">
        <v>99.16</v>
      </c>
      <c r="Q7770" s="14">
        <v>126</v>
      </c>
      <c r="R7770" s="14">
        <v>297.36</v>
      </c>
      <c r="S7770" s="2" t="s">
        <v>5375</v>
      </c>
      <c r="T7770" s="2">
        <v>1.34</v>
      </c>
      <c r="U7770" s="2">
        <v>63.8</v>
      </c>
      <c r="V7770" s="2">
        <v>66</v>
      </c>
      <c r="W7770" s="2" t="s">
        <v>4336</v>
      </c>
      <c r="X7770" s="2" t="s">
        <v>190</v>
      </c>
      <c r="Y7770" s="2">
        <v>35400</v>
      </c>
      <c r="Z7770" s="19" t="str">
        <f>HYPERLINK("https://ssdweb.co/ssdweb/hd/Vision360.html?d=926631333&amp;zoomslide=1&amp;z=1926631333&amp;ISCONFIRM=0","VIDEO")</f>
        <v>VIDEO</v>
      </c>
      <c r="AA7770" s="19" t="str">
        <f>HYPERLINK("https://ssdweb.co/ssdweb/CERTH/649489305.pdf","CERTI")</f>
        <v>CERTI</v>
      </c>
    </row>
    <row r="7771" spans="1:27" ht="15" x14ac:dyDescent="0.25">
      <c r="A7771" s="2">
        <v>7766</v>
      </c>
      <c r="B7771" s="39">
        <v>924930084</v>
      </c>
      <c r="C7771" s="28" t="str">
        <f>HYPERLINK("https://pld.live/RapDetail.aspx?STONELIST=924930084","DNA")</f>
        <v>DNA</v>
      </c>
      <c r="D7771" s="18" t="s">
        <v>5154</v>
      </c>
      <c r="E7771" s="18" t="s">
        <v>2186</v>
      </c>
      <c r="F7771" s="2" t="s">
        <v>7987</v>
      </c>
      <c r="G7771" s="2" t="s">
        <v>4029</v>
      </c>
      <c r="H7771" s="14">
        <v>2.33</v>
      </c>
      <c r="I7771" s="2" t="s">
        <v>1505</v>
      </c>
      <c r="J7771" s="2" t="s">
        <v>5144</v>
      </c>
      <c r="K7771" s="2" t="s">
        <v>1452</v>
      </c>
      <c r="L7771" s="2" t="s">
        <v>5221</v>
      </c>
      <c r="M7771" s="2" t="s">
        <v>5221</v>
      </c>
      <c r="N7771" s="2" t="s">
        <v>2317</v>
      </c>
      <c r="O7771" s="14">
        <v>11000</v>
      </c>
      <c r="P7771" s="14">
        <v>99</v>
      </c>
      <c r="Q7771" s="14">
        <v>110</v>
      </c>
      <c r="R7771" s="14">
        <v>256.3</v>
      </c>
      <c r="S7771" s="2" t="s">
        <v>6131</v>
      </c>
      <c r="T7771" s="2">
        <v>1.29</v>
      </c>
      <c r="U7771" s="2">
        <v>67.900000000000006</v>
      </c>
      <c r="V7771" s="2">
        <v>63</v>
      </c>
      <c r="W7771" s="2" t="s">
        <v>7862</v>
      </c>
      <c r="X7771" s="2" t="s">
        <v>190</v>
      </c>
      <c r="Y7771" s="2">
        <v>25630</v>
      </c>
      <c r="Z7771" s="19" t="str">
        <f>HYPERLINK("https://ssdweb.co/ssdweb/hd/Vision360.html?d=924930084&amp;zoomslide=1&amp;z=1924930084&amp;ISCONFIRM=0","VIDEO")</f>
        <v>VIDEO</v>
      </c>
      <c r="AA7771" s="19" t="str">
        <f>HYPERLINK("https://ssdweb.co/ssdweb/CERTH/602358398.pdf","CERTI")</f>
        <v>CERTI</v>
      </c>
    </row>
    <row r="7772" spans="1:27" ht="15" x14ac:dyDescent="0.25">
      <c r="A7772" s="2">
        <v>7767</v>
      </c>
      <c r="B7772" s="39">
        <v>926980682</v>
      </c>
      <c r="C7772" s="28" t="str">
        <f>HYPERLINK("https://pld.live/RapDetail.aspx?STONELIST=926980682","DNA")</f>
        <v>DNA</v>
      </c>
      <c r="D7772" s="18" t="s">
        <v>3658</v>
      </c>
      <c r="E7772" s="18" t="s">
        <v>2186</v>
      </c>
      <c r="F7772" s="2" t="s">
        <v>7987</v>
      </c>
      <c r="G7772" s="2" t="s">
        <v>4029</v>
      </c>
      <c r="H7772" s="14">
        <v>2.29</v>
      </c>
      <c r="I7772" s="2" t="s">
        <v>4761</v>
      </c>
      <c r="J7772" s="2" t="s">
        <v>6555</v>
      </c>
      <c r="K7772" s="2" t="s">
        <v>1452</v>
      </c>
      <c r="L7772" s="2" t="s">
        <v>5221</v>
      </c>
      <c r="M7772" s="2" t="s">
        <v>5221</v>
      </c>
      <c r="N7772" s="2" t="s">
        <v>2317</v>
      </c>
      <c r="O7772" s="14">
        <v>18500</v>
      </c>
      <c r="P7772" s="14">
        <v>98.71</v>
      </c>
      <c r="Q7772" s="14">
        <v>238.65</v>
      </c>
      <c r="R7772" s="14">
        <v>546.51</v>
      </c>
      <c r="S7772" s="2" t="s">
        <v>1301</v>
      </c>
      <c r="T7772" s="2">
        <v>1.28</v>
      </c>
      <c r="U7772" s="2">
        <v>67.5</v>
      </c>
      <c r="V7772" s="2">
        <v>65</v>
      </c>
      <c r="W7772" s="2" t="s">
        <v>7862</v>
      </c>
      <c r="X7772" s="2" t="s">
        <v>190</v>
      </c>
      <c r="Y7772" s="2">
        <v>42365</v>
      </c>
      <c r="Z7772" s="19" t="str">
        <f>HYPERLINK("https://ssdweb.co/ssdweb/hd/Vision360.html?d=926980682&amp;zoomslide=1&amp;z=1926980682&amp;ISCONFIRM=0","VIDEO")</f>
        <v>VIDEO</v>
      </c>
      <c r="AA7772" s="19" t="str">
        <f>HYPERLINK("https://ssdweb.co/ssdweb/CERTH/660489662.pdf","CERTI")</f>
        <v>CERTI</v>
      </c>
    </row>
    <row r="7773" spans="1:27" ht="15" x14ac:dyDescent="0.25">
      <c r="A7773" s="2">
        <v>7768</v>
      </c>
      <c r="B7773" s="39">
        <v>926540012</v>
      </c>
      <c r="C7773" s="28" t="str">
        <f>HYPERLINK("https://pld.live/RapDetail.aspx?STONELIST=926540012","DNA")</f>
        <v>DNA</v>
      </c>
      <c r="D7773" s="18" t="s">
        <v>3658</v>
      </c>
      <c r="E7773" s="18" t="s">
        <v>2186</v>
      </c>
      <c r="F7773" s="2" t="s">
        <v>7987</v>
      </c>
      <c r="G7773" s="2" t="s">
        <v>4029</v>
      </c>
      <c r="H7773" s="14">
        <v>2.2799999999999998</v>
      </c>
      <c r="I7773" s="2" t="s">
        <v>6874</v>
      </c>
      <c r="J7773" s="2" t="s">
        <v>3942</v>
      </c>
      <c r="K7773" s="2" t="s">
        <v>1452</v>
      </c>
      <c r="L7773" s="2" t="s">
        <v>5221</v>
      </c>
      <c r="M7773" s="2" t="s">
        <v>5221</v>
      </c>
      <c r="N7773" s="2" t="s">
        <v>924</v>
      </c>
      <c r="O7773" s="14">
        <v>4200</v>
      </c>
      <c r="P7773" s="14">
        <v>91.43</v>
      </c>
      <c r="Q7773" s="14">
        <v>359.94</v>
      </c>
      <c r="R7773" s="14">
        <v>820.66</v>
      </c>
      <c r="S7773" s="2" t="s">
        <v>4538</v>
      </c>
      <c r="T7773" s="2">
        <v>1.28</v>
      </c>
      <c r="U7773" s="2">
        <v>67.2</v>
      </c>
      <c r="V7773" s="2">
        <v>67</v>
      </c>
      <c r="W7773" s="2" t="s">
        <v>7862</v>
      </c>
      <c r="X7773" s="2" t="s">
        <v>190</v>
      </c>
      <c r="Y7773" s="2">
        <v>9576</v>
      </c>
      <c r="Z7773" s="19" t="str">
        <f>HYPERLINK("https://ssdweb.co/ssdweb/hd/Vision360.html?d=926540012&amp;zoomslide=1&amp;z=1926540012&amp;ISCONFIRM=0","VIDEO")</f>
        <v>VIDEO</v>
      </c>
      <c r="AA7773" s="19" t="str">
        <f>HYPERLINK("https://ssdweb.co/ssdweb/CERTH/649489069.pdf","CERTI")</f>
        <v>CERTI</v>
      </c>
    </row>
    <row r="7774" spans="1:27" ht="15" x14ac:dyDescent="0.25">
      <c r="A7774" s="2">
        <v>7769</v>
      </c>
      <c r="B7774" s="39">
        <v>926010238</v>
      </c>
      <c r="C7774" s="28" t="str">
        <f>HYPERLINK("https://pld.live/RapDetail.aspx?STONELIST=926010238","DNA")</f>
        <v>DNA</v>
      </c>
      <c r="D7774" s="18" t="s">
        <v>3658</v>
      </c>
      <c r="E7774" s="18" t="s">
        <v>2186</v>
      </c>
      <c r="F7774" s="2" t="s">
        <v>7987</v>
      </c>
      <c r="G7774" s="2" t="s">
        <v>4029</v>
      </c>
      <c r="H7774" s="14">
        <v>2.27</v>
      </c>
      <c r="I7774" s="2" t="s">
        <v>1066</v>
      </c>
      <c r="J7774" s="2" t="s">
        <v>5144</v>
      </c>
      <c r="K7774" s="2" t="s">
        <v>1452</v>
      </c>
      <c r="L7774" s="2" t="s">
        <v>5221</v>
      </c>
      <c r="M7774" s="2" t="s">
        <v>5221</v>
      </c>
      <c r="N7774" s="2" t="s">
        <v>924</v>
      </c>
      <c r="O7774" s="14">
        <v>4100</v>
      </c>
      <c r="P7774" s="14">
        <v>91.71</v>
      </c>
      <c r="Q7774" s="14">
        <v>339.89</v>
      </c>
      <c r="R7774" s="14">
        <v>771.55</v>
      </c>
      <c r="S7774" s="2" t="s">
        <v>7650</v>
      </c>
      <c r="T7774" s="2">
        <v>1.28</v>
      </c>
      <c r="U7774" s="2">
        <v>68.2</v>
      </c>
      <c r="V7774" s="2">
        <v>66</v>
      </c>
      <c r="W7774" s="2" t="s">
        <v>7862</v>
      </c>
      <c r="X7774" s="2" t="s">
        <v>190</v>
      </c>
      <c r="Y7774" s="2">
        <v>9307</v>
      </c>
      <c r="Z7774" s="19" t="str">
        <f>HYPERLINK("https://ssdweb.co/ssdweb/hd/Vision360.html?d=926010238&amp;zoomslide=1&amp;z=1926010238&amp;ISCONFIRM=0","VIDEO")</f>
        <v>VIDEO</v>
      </c>
      <c r="AA7774" s="19" t="str">
        <f>HYPERLINK("https://ssdweb.co/ssdweb/CERTH/635427156.pdf","CERTI")</f>
        <v>CERTI</v>
      </c>
    </row>
    <row r="7775" spans="1:27" ht="15" x14ac:dyDescent="0.25">
      <c r="A7775" s="2">
        <v>7770</v>
      </c>
      <c r="B7775" s="39">
        <v>941390595</v>
      </c>
      <c r="C7775" s="28" t="str">
        <f>HYPERLINK("https://pld.live/RapDetail.aspx?STONELIST=941390595","DNA")</f>
        <v>DNA</v>
      </c>
      <c r="D7775" s="18" t="s">
        <v>3658</v>
      </c>
      <c r="E7775" s="18" t="s">
        <v>2186</v>
      </c>
      <c r="F7775" s="2" t="s">
        <v>7987</v>
      </c>
      <c r="G7775" s="2" t="s">
        <v>4029</v>
      </c>
      <c r="H7775" s="14">
        <v>2.25</v>
      </c>
      <c r="I7775" s="2" t="s">
        <v>4761</v>
      </c>
      <c r="J7775" s="2" t="s">
        <v>3942</v>
      </c>
      <c r="K7775" s="2" t="s">
        <v>1452</v>
      </c>
      <c r="L7775" s="2" t="s">
        <v>5221</v>
      </c>
      <c r="M7775" s="2" t="s">
        <v>5221</v>
      </c>
      <c r="N7775" s="2" t="s">
        <v>2317</v>
      </c>
      <c r="O7775" s="14">
        <v>17000</v>
      </c>
      <c r="P7775" s="14">
        <v>99.06</v>
      </c>
      <c r="Q7775" s="14">
        <v>159.80000000000001</v>
      </c>
      <c r="R7775" s="14">
        <v>359.55</v>
      </c>
      <c r="S7775" s="2" t="s">
        <v>2984</v>
      </c>
      <c r="T7775" s="2">
        <v>1.32</v>
      </c>
      <c r="U7775" s="2">
        <v>65.599999999999994</v>
      </c>
      <c r="V7775" s="2">
        <v>66</v>
      </c>
      <c r="W7775" s="2" t="s">
        <v>7862</v>
      </c>
      <c r="X7775" s="2" t="s">
        <v>190</v>
      </c>
      <c r="Y7775" s="2">
        <v>38250</v>
      </c>
      <c r="Z7775" s="19" t="str">
        <f>HYPERLINK("https://ssdweb.co/ssdweb/hd/Vision360.html?d=941390595&amp;zoomslide=1&amp;z=1941390595&amp;ISCONFIRM=0","VIDEO")</f>
        <v>VIDEO</v>
      </c>
      <c r="AA7775" s="19" t="str">
        <f>HYPERLINK("https://ssdweb.co/ssdweb/CERTH/692534092.pdf","CERTI")</f>
        <v>CERTI</v>
      </c>
    </row>
    <row r="7776" spans="1:27" ht="15" x14ac:dyDescent="0.25">
      <c r="A7776" s="2">
        <v>7771</v>
      </c>
      <c r="B7776" s="39">
        <v>831020692</v>
      </c>
      <c r="C7776" s="28" t="str">
        <f>HYPERLINK("https://pld.live/RapDetail.aspx?STONELIST=831020692","DNA")</f>
        <v>DNA</v>
      </c>
      <c r="D7776" s="18" t="s">
        <v>3658</v>
      </c>
      <c r="E7776" s="18" t="s">
        <v>2186</v>
      </c>
      <c r="F7776" s="2" t="s">
        <v>7987</v>
      </c>
      <c r="G7776" s="2" t="s">
        <v>4029</v>
      </c>
      <c r="H7776" s="14">
        <v>2.14</v>
      </c>
      <c r="I7776" s="2" t="s">
        <v>6587</v>
      </c>
      <c r="J7776" s="2" t="s">
        <v>13</v>
      </c>
      <c r="K7776" s="2" t="s">
        <v>1452</v>
      </c>
      <c r="L7776" s="2" t="s">
        <v>5221</v>
      </c>
      <c r="M7776" s="2" t="s">
        <v>5221</v>
      </c>
      <c r="N7776" s="2" t="s">
        <v>2317</v>
      </c>
      <c r="O7776" s="14">
        <v>14000</v>
      </c>
      <c r="P7776" s="14">
        <v>99.14</v>
      </c>
      <c r="Q7776" s="14">
        <v>120.4</v>
      </c>
      <c r="R7776" s="14">
        <v>257.66000000000003</v>
      </c>
      <c r="S7776" s="2" t="s">
        <v>2325</v>
      </c>
      <c r="T7776" s="2">
        <v>1.4</v>
      </c>
      <c r="U7776" s="2">
        <v>68.099999999999994</v>
      </c>
      <c r="V7776" s="2">
        <v>64.5</v>
      </c>
      <c r="W7776" s="2" t="s">
        <v>7862</v>
      </c>
      <c r="X7776" s="2" t="s">
        <v>190</v>
      </c>
      <c r="Y7776" s="2">
        <v>29960</v>
      </c>
      <c r="Z7776" s="19" t="str">
        <f>HYPERLINK("https://ssdweb.co/ssdweb/hd/Vision360.html?d=831020692&amp;zoomslide=1&amp;z=1831020692&amp;ISCONFIRM=0","VIDEO")</f>
        <v>VIDEO</v>
      </c>
      <c r="AA7776" s="19" t="str">
        <f>HYPERLINK("https://ssdweb.co/ssdweb/CERTH/534236008.pdf","CERTI")</f>
        <v>CERTI</v>
      </c>
    </row>
    <row r="7777" spans="1:27" ht="15" x14ac:dyDescent="0.25">
      <c r="A7777" s="2">
        <v>7772</v>
      </c>
      <c r="B7777" s="39">
        <v>831020664</v>
      </c>
      <c r="C7777" s="28" t="str">
        <f>HYPERLINK("https://pld.live/RapDetail.aspx?STONELIST=831020664","DNA")</f>
        <v>DNA</v>
      </c>
      <c r="D7777" s="18" t="s">
        <v>3658</v>
      </c>
      <c r="E7777" s="18" t="s">
        <v>2186</v>
      </c>
      <c r="F7777" s="2" t="s">
        <v>5597</v>
      </c>
      <c r="G7777" s="2" t="s">
        <v>4029</v>
      </c>
      <c r="H7777" s="14">
        <v>2.1</v>
      </c>
      <c r="I7777" s="2" t="s">
        <v>6587</v>
      </c>
      <c r="J7777" s="2" t="s">
        <v>13</v>
      </c>
      <c r="K7777" s="2" t="s">
        <v>1452</v>
      </c>
      <c r="L7777" s="2" t="s">
        <v>5221</v>
      </c>
      <c r="M7777" s="2" t="s">
        <v>5221</v>
      </c>
      <c r="N7777" s="2" t="s">
        <v>2317</v>
      </c>
      <c r="O7777" s="14">
        <v>14000</v>
      </c>
      <c r="P7777" s="14">
        <v>98.43</v>
      </c>
      <c r="Q7777" s="14">
        <v>219.8</v>
      </c>
      <c r="R7777" s="14">
        <v>461.58</v>
      </c>
      <c r="S7777" s="2" t="s">
        <v>497</v>
      </c>
      <c r="T7777" s="2">
        <v>1.36</v>
      </c>
      <c r="U7777" s="2">
        <v>65.3</v>
      </c>
      <c r="V7777" s="2">
        <v>66</v>
      </c>
      <c r="W7777" s="2" t="s">
        <v>7862</v>
      </c>
      <c r="X7777" s="2" t="s">
        <v>3698</v>
      </c>
      <c r="Y7777" s="2">
        <v>29400</v>
      </c>
      <c r="Z7777" s="19" t="str">
        <f>HYPERLINK("https://ssdweb.co/ssdweb/hd/Vision360.html?d=831020664&amp;zoomslide=1&amp;z=1831020664&amp;ISCONFIRM=0","VIDEO")</f>
        <v>VIDEO</v>
      </c>
      <c r="AA7777" s="19" t="str">
        <f>HYPERLINK("https://ssdweb.co/ssdweb/CERTH/5463348426.pdf","CERTI")</f>
        <v>CERTI</v>
      </c>
    </row>
    <row r="7778" spans="1:27" ht="15" x14ac:dyDescent="0.25">
      <c r="A7778" s="2">
        <v>7773</v>
      </c>
      <c r="B7778" s="39">
        <v>831020691</v>
      </c>
      <c r="C7778" s="28" t="str">
        <f>HYPERLINK("https://pld.live/RapDetail.aspx?STONELIST=831020691","DNA")</f>
        <v>DNA</v>
      </c>
      <c r="D7778" s="18" t="s">
        <v>3658</v>
      </c>
      <c r="E7778" s="18" t="s">
        <v>2186</v>
      </c>
      <c r="F7778" s="2" t="s">
        <v>7987</v>
      </c>
      <c r="G7778" s="2" t="s">
        <v>4029</v>
      </c>
      <c r="H7778" s="14">
        <v>2.0699999999999998</v>
      </c>
      <c r="I7778" s="2" t="s">
        <v>4699</v>
      </c>
      <c r="J7778" s="2" t="s">
        <v>13</v>
      </c>
      <c r="K7778" s="2" t="s">
        <v>1452</v>
      </c>
      <c r="L7778" s="2" t="s">
        <v>5221</v>
      </c>
      <c r="M7778" s="2" t="s">
        <v>5221</v>
      </c>
      <c r="N7778" s="2" t="s">
        <v>2317</v>
      </c>
      <c r="O7778" s="14">
        <v>15000</v>
      </c>
      <c r="P7778" s="14">
        <v>99.15</v>
      </c>
      <c r="Q7778" s="14">
        <v>127.5</v>
      </c>
      <c r="R7778" s="14">
        <v>263.93</v>
      </c>
      <c r="S7778" s="2" t="s">
        <v>2903</v>
      </c>
      <c r="T7778" s="2">
        <v>1.34</v>
      </c>
      <c r="U7778" s="2">
        <v>64.599999999999994</v>
      </c>
      <c r="V7778" s="2">
        <v>66</v>
      </c>
      <c r="W7778" s="2" t="s">
        <v>8016</v>
      </c>
      <c r="X7778" s="2" t="s">
        <v>190</v>
      </c>
      <c r="Y7778" s="2">
        <v>31050</v>
      </c>
      <c r="Z7778" s="19" t="str">
        <f>HYPERLINK("https://ssdweb.co/ssdweb/hd/Vision360.html?d=831020691&amp;zoomslide=1&amp;z=1831020691&amp;ISCONFIRM=0","VIDEO")</f>
        <v>VIDEO</v>
      </c>
      <c r="AA7778" s="19" t="str">
        <f>HYPERLINK("https://ssdweb.co/ssdweb/CERTH/591373194.pdf","CERTI")</f>
        <v>CERTI</v>
      </c>
    </row>
    <row r="7779" spans="1:27" ht="15" x14ac:dyDescent="0.25">
      <c r="A7779" s="2">
        <v>7774</v>
      </c>
      <c r="B7779" s="39">
        <v>926540049</v>
      </c>
      <c r="C7779" s="28" t="str">
        <f>HYPERLINK("https://pld.live/RapDetail.aspx?STONELIST=926540049","DNA")</f>
        <v>DNA</v>
      </c>
      <c r="D7779" s="18" t="s">
        <v>3658</v>
      </c>
      <c r="E7779" s="18" t="s">
        <v>2186</v>
      </c>
      <c r="F7779" s="2" t="s">
        <v>7987</v>
      </c>
      <c r="G7779" s="2" t="s">
        <v>4029</v>
      </c>
      <c r="H7779" s="14">
        <v>2.0699999999999998</v>
      </c>
      <c r="I7779" s="2" t="s">
        <v>1505</v>
      </c>
      <c r="J7779" s="2" t="s">
        <v>3942</v>
      </c>
      <c r="K7779" s="2" t="s">
        <v>1452</v>
      </c>
      <c r="L7779" s="2" t="s">
        <v>5221</v>
      </c>
      <c r="M7779" s="2" t="s">
        <v>5221</v>
      </c>
      <c r="N7779" s="2" t="s">
        <v>2317</v>
      </c>
      <c r="O7779" s="14">
        <v>12000</v>
      </c>
      <c r="P7779" s="14">
        <v>98.98</v>
      </c>
      <c r="Q7779" s="14">
        <v>122.4</v>
      </c>
      <c r="R7779" s="14">
        <v>253.37</v>
      </c>
      <c r="S7779" s="2" t="s">
        <v>889</v>
      </c>
      <c r="T7779" s="2">
        <v>1.3</v>
      </c>
      <c r="U7779" s="2">
        <v>65</v>
      </c>
      <c r="V7779" s="2">
        <v>64</v>
      </c>
      <c r="W7779" s="2" t="s">
        <v>7862</v>
      </c>
      <c r="X7779" s="2" t="s">
        <v>190</v>
      </c>
      <c r="Y7779" s="2">
        <v>24840</v>
      </c>
      <c r="Z7779" s="19" t="str">
        <f>HYPERLINK("https://ssdweb.co/ssdweb/hd/Vision360.html?d=926540049&amp;zoomslide=1&amp;z=1926540049&amp;ISCONFIRM=0","VIDEO")</f>
        <v>VIDEO</v>
      </c>
      <c r="AA7779" s="19" t="str">
        <f>HYPERLINK("https://ssdweb.co/ssdweb/CERTH/660489689.pdf","CERTI")</f>
        <v>CERTI</v>
      </c>
    </row>
    <row r="7780" spans="1:27" ht="15" x14ac:dyDescent="0.25">
      <c r="A7780" s="2">
        <v>7775</v>
      </c>
      <c r="B7780" s="39">
        <v>924940289</v>
      </c>
      <c r="C7780" s="28" t="str">
        <f>HYPERLINK("https://pld.live/RapDetail.aspx?STONELIST=924940289","DNA")</f>
        <v>DNA</v>
      </c>
      <c r="D7780" s="18" t="s">
        <v>3658</v>
      </c>
      <c r="E7780" s="18" t="s">
        <v>2186</v>
      </c>
      <c r="F7780" s="2" t="s">
        <v>7987</v>
      </c>
      <c r="G7780" s="2" t="s">
        <v>4029</v>
      </c>
      <c r="H7780" s="14">
        <v>2.06</v>
      </c>
      <c r="I7780" s="2" t="s">
        <v>1505</v>
      </c>
      <c r="J7780" s="2" t="s">
        <v>5144</v>
      </c>
      <c r="K7780" s="2" t="s">
        <v>1452</v>
      </c>
      <c r="L7780" s="2" t="s">
        <v>5221</v>
      </c>
      <c r="M7780" s="2" t="s">
        <v>5221</v>
      </c>
      <c r="N7780" s="2" t="s">
        <v>2317</v>
      </c>
      <c r="O7780" s="14">
        <v>11000</v>
      </c>
      <c r="P7780" s="14">
        <v>99</v>
      </c>
      <c r="Q7780" s="14">
        <v>110</v>
      </c>
      <c r="R7780" s="14">
        <v>226.6</v>
      </c>
      <c r="S7780" s="2" t="s">
        <v>1656</v>
      </c>
      <c r="T7780" s="2">
        <v>1.34</v>
      </c>
      <c r="U7780" s="2">
        <v>67.400000000000006</v>
      </c>
      <c r="V7780" s="2">
        <v>59</v>
      </c>
      <c r="W7780" s="2" t="s">
        <v>7862</v>
      </c>
      <c r="X7780" s="2" t="s">
        <v>190</v>
      </c>
      <c r="Y7780" s="2">
        <v>22660</v>
      </c>
      <c r="Z7780" s="19" t="str">
        <f>HYPERLINK("https://ssdweb.co/ssdweb/hd/Vision360.html?d=924940289&amp;zoomslide=1&amp;z=1924940289&amp;ISCONFIRM=0","VIDEO")</f>
        <v>VIDEO</v>
      </c>
      <c r="AA7780" s="19" t="str">
        <f>HYPERLINK("https://ssdweb.co/ssdweb/CERTH/605355684.pdf","CERTI")</f>
        <v>CERTI</v>
      </c>
    </row>
    <row r="7781" spans="1:27" ht="15" x14ac:dyDescent="0.25">
      <c r="A7781" s="2">
        <v>7776</v>
      </c>
      <c r="B7781" s="39">
        <v>941120313</v>
      </c>
      <c r="C7781" s="28" t="str">
        <f>HYPERLINK("https://pld.live/RapDetail.aspx?STONELIST=941120313","DNA")</f>
        <v>DNA</v>
      </c>
      <c r="D7781" s="18" t="s">
        <v>3658</v>
      </c>
      <c r="E7781" s="18" t="s">
        <v>2186</v>
      </c>
      <c r="F7781" s="2" t="s">
        <v>7987</v>
      </c>
      <c r="G7781" s="2" t="s">
        <v>4029</v>
      </c>
      <c r="H7781" s="14">
        <v>2.04</v>
      </c>
      <c r="I7781" s="2" t="s">
        <v>4699</v>
      </c>
      <c r="J7781" s="2" t="s">
        <v>5144</v>
      </c>
      <c r="K7781" s="2" t="s">
        <v>1452</v>
      </c>
      <c r="L7781" s="2" t="s">
        <v>5221</v>
      </c>
      <c r="M7781" s="2" t="s">
        <v>5221</v>
      </c>
      <c r="N7781" s="2" t="s">
        <v>2317</v>
      </c>
      <c r="O7781" s="14">
        <v>14000</v>
      </c>
      <c r="P7781" s="14">
        <v>99.07</v>
      </c>
      <c r="Q7781" s="14">
        <v>130.19999999999999</v>
      </c>
      <c r="R7781" s="14">
        <v>265.61</v>
      </c>
      <c r="S7781" s="2" t="s">
        <v>1547</v>
      </c>
      <c r="T7781" s="2">
        <v>1.4</v>
      </c>
      <c r="U7781" s="2">
        <v>63.5</v>
      </c>
      <c r="V7781" s="2">
        <v>65</v>
      </c>
      <c r="W7781" s="2" t="s">
        <v>7862</v>
      </c>
      <c r="X7781" s="2" t="s">
        <v>190</v>
      </c>
      <c r="Y7781" s="2">
        <v>28560</v>
      </c>
      <c r="Z7781" s="19" t="str">
        <f>HYPERLINK("https://ssdweb.co/ssdweb/hd/Vision360.html?d=941120313&amp;zoomslide=1&amp;z=1941120313&amp;ISCONFIRM=0","VIDEO")</f>
        <v>VIDEO</v>
      </c>
      <c r="AA7781" s="19" t="str">
        <f>HYPERLINK("https://ssdweb.co/ssdweb/CERTH/674504119.pdf","CERTI")</f>
        <v>CERTI</v>
      </c>
    </row>
    <row r="7782" spans="1:27" ht="15" x14ac:dyDescent="0.25">
      <c r="A7782" s="2">
        <v>7777</v>
      </c>
      <c r="B7782" s="39">
        <v>924590319</v>
      </c>
      <c r="C7782" s="28" t="str">
        <f>HYPERLINK("https://pld.live/RapDetail.aspx?STONELIST=924590319","DNA")</f>
        <v>DNA</v>
      </c>
      <c r="D7782" s="18" t="s">
        <v>3658</v>
      </c>
      <c r="E7782" s="18" t="s">
        <v>2186</v>
      </c>
      <c r="F7782" s="2" t="s">
        <v>7987</v>
      </c>
      <c r="G7782" s="2" t="s">
        <v>4029</v>
      </c>
      <c r="H7782" s="14">
        <v>2.04</v>
      </c>
      <c r="I7782" s="2" t="s">
        <v>6587</v>
      </c>
      <c r="J7782" s="2" t="s">
        <v>444</v>
      </c>
      <c r="K7782" s="2" t="s">
        <v>1452</v>
      </c>
      <c r="L7782" s="2" t="s">
        <v>5221</v>
      </c>
      <c r="M7782" s="2" t="s">
        <v>5221</v>
      </c>
      <c r="N7782" s="2" t="s">
        <v>2317</v>
      </c>
      <c r="O7782" s="14">
        <v>10700</v>
      </c>
      <c r="P7782" s="14">
        <v>98.97</v>
      </c>
      <c r="Q7782" s="14">
        <v>110.21</v>
      </c>
      <c r="R7782" s="14">
        <v>224.83</v>
      </c>
      <c r="S7782" s="2" t="s">
        <v>1209</v>
      </c>
      <c r="T7782" s="2">
        <v>1.36</v>
      </c>
      <c r="U7782" s="2">
        <v>68</v>
      </c>
      <c r="V7782" s="2">
        <v>65</v>
      </c>
      <c r="W7782" s="2" t="s">
        <v>7862</v>
      </c>
      <c r="X7782" s="2" t="s">
        <v>190</v>
      </c>
      <c r="Y7782" s="2">
        <v>21828</v>
      </c>
      <c r="Z7782" s="19" t="str">
        <f>HYPERLINK("https://ssdweb.co/ssdweb/hd/Vision360.html?d=924590319&amp;zoomslide=1&amp;z=1924590319&amp;ISCONFIRM=0","VIDEO")</f>
        <v>VIDEO</v>
      </c>
      <c r="AA7782" s="19" t="str">
        <f>HYPERLINK("https://ssdweb.co/ssdweb/CERTH/600304729.pdf","CERTI")</f>
        <v>CERTI</v>
      </c>
    </row>
    <row r="7783" spans="1:27" ht="15" x14ac:dyDescent="0.25">
      <c r="A7783" s="2">
        <v>7778</v>
      </c>
      <c r="B7783" s="39">
        <v>926930893</v>
      </c>
      <c r="C7783" s="28" t="str">
        <f>HYPERLINK("https://pld.live/RapDetail.aspx?STONELIST=926930893","DNA")</f>
        <v>DNA</v>
      </c>
      <c r="D7783" s="18" t="s">
        <v>3658</v>
      </c>
      <c r="E7783" s="18" t="s">
        <v>2186</v>
      </c>
      <c r="F7783" s="2" t="s">
        <v>7987</v>
      </c>
      <c r="G7783" s="2" t="s">
        <v>4029</v>
      </c>
      <c r="H7783" s="14">
        <v>2.02</v>
      </c>
      <c r="I7783" s="2" t="s">
        <v>267</v>
      </c>
      <c r="J7783" s="2" t="s">
        <v>6555</v>
      </c>
      <c r="K7783" s="2" t="s">
        <v>1452</v>
      </c>
      <c r="L7783" s="2" t="s">
        <v>5221</v>
      </c>
      <c r="M7783" s="2" t="s">
        <v>5221</v>
      </c>
      <c r="N7783" s="2" t="s">
        <v>2317</v>
      </c>
      <c r="O7783" s="14">
        <v>20000</v>
      </c>
      <c r="P7783" s="14">
        <v>98.69</v>
      </c>
      <c r="Q7783" s="14">
        <v>262</v>
      </c>
      <c r="R7783" s="14">
        <v>529.24</v>
      </c>
      <c r="S7783" s="2" t="s">
        <v>4581</v>
      </c>
      <c r="T7783" s="2">
        <v>1.35</v>
      </c>
      <c r="U7783" s="2">
        <v>65.099999999999994</v>
      </c>
      <c r="V7783" s="2">
        <v>65</v>
      </c>
      <c r="W7783" s="2" t="s">
        <v>7862</v>
      </c>
      <c r="X7783" s="2" t="s">
        <v>190</v>
      </c>
      <c r="Y7783" s="2">
        <v>40400</v>
      </c>
      <c r="Z7783" s="19" t="str">
        <f>HYPERLINK("https://ssdweb.co/ssdweb/hd/Vision360.html?d=926930893&amp;zoomslide=1&amp;z=1926930893&amp;ISCONFIRM=0","VIDEO")</f>
        <v>VIDEO</v>
      </c>
      <c r="AA7783" s="19" t="str">
        <f>HYPERLINK("https://ssdweb.co/ssdweb/CERTH/660440546.pdf","CERTI")</f>
        <v>CERTI</v>
      </c>
    </row>
    <row r="7784" spans="1:27" ht="15" x14ac:dyDescent="0.25">
      <c r="A7784" s="2">
        <v>7779</v>
      </c>
      <c r="B7784" s="39">
        <v>941080551</v>
      </c>
      <c r="C7784" s="28" t="str">
        <f>HYPERLINK("https://pld.live/RapDetail.aspx?STONELIST=941080551","DNA")</f>
        <v>DNA</v>
      </c>
      <c r="D7784" s="18" t="s">
        <v>3658</v>
      </c>
      <c r="E7784" s="18" t="s">
        <v>2186</v>
      </c>
      <c r="F7784" s="2" t="s">
        <v>7987</v>
      </c>
      <c r="G7784" s="2" t="s">
        <v>4029</v>
      </c>
      <c r="H7784" s="14">
        <v>2.02</v>
      </c>
      <c r="I7784" s="2" t="s">
        <v>4699</v>
      </c>
      <c r="J7784" s="2" t="s">
        <v>3942</v>
      </c>
      <c r="K7784" s="2" t="s">
        <v>1452</v>
      </c>
      <c r="L7784" s="2" t="s">
        <v>5221</v>
      </c>
      <c r="M7784" s="2" t="s">
        <v>5221</v>
      </c>
      <c r="N7784" s="2" t="s">
        <v>2317</v>
      </c>
      <c r="O7784" s="14">
        <v>16000</v>
      </c>
      <c r="P7784" s="14">
        <v>99.06</v>
      </c>
      <c r="Q7784" s="14">
        <v>150.4</v>
      </c>
      <c r="R7784" s="14">
        <v>303.81</v>
      </c>
      <c r="S7784" s="2" t="s">
        <v>5040</v>
      </c>
      <c r="T7784" s="2">
        <v>1.36</v>
      </c>
      <c r="U7784" s="2">
        <v>65</v>
      </c>
      <c r="V7784" s="2">
        <v>68</v>
      </c>
      <c r="W7784" s="2" t="s">
        <v>7862</v>
      </c>
      <c r="X7784" s="2" t="s">
        <v>190</v>
      </c>
      <c r="Y7784" s="2">
        <v>32320</v>
      </c>
      <c r="Z7784" s="19" t="str">
        <f>HYPERLINK("https://ssdweb.co/ssdweb/hd/Vision360.html?d=941080551&amp;zoomslide=1&amp;z=1941080551&amp;ISCONFIRM=0","VIDEO")</f>
        <v>VIDEO</v>
      </c>
      <c r="AA7784" s="19" t="str">
        <f>HYPERLINK("https://ssdweb.co/ssdweb/CERTH/671437434.pdf","CERTI")</f>
        <v>CERTI</v>
      </c>
    </row>
    <row r="7785" spans="1:27" ht="15" x14ac:dyDescent="0.25">
      <c r="A7785" s="2">
        <v>7780</v>
      </c>
      <c r="B7785" s="39">
        <v>924590244</v>
      </c>
      <c r="C7785" s="28" t="str">
        <f>HYPERLINK("https://pld.live/RapDetail.aspx?STONELIST=924590244","DNA")</f>
        <v>DNA</v>
      </c>
      <c r="D7785" s="18" t="s">
        <v>3658</v>
      </c>
      <c r="E7785" s="18" t="s">
        <v>2186</v>
      </c>
      <c r="F7785" s="2" t="s">
        <v>7987</v>
      </c>
      <c r="G7785" s="2" t="s">
        <v>4029</v>
      </c>
      <c r="H7785" s="14">
        <v>2.02</v>
      </c>
      <c r="I7785" s="2" t="s">
        <v>4699</v>
      </c>
      <c r="J7785" s="2" t="s">
        <v>444</v>
      </c>
      <c r="K7785" s="2" t="s">
        <v>1452</v>
      </c>
      <c r="L7785" s="2" t="s">
        <v>5221</v>
      </c>
      <c r="M7785" s="2" t="s">
        <v>5221</v>
      </c>
      <c r="N7785" s="2" t="s">
        <v>2317</v>
      </c>
      <c r="O7785" s="14">
        <v>11700</v>
      </c>
      <c r="P7785" s="14">
        <v>98.97</v>
      </c>
      <c r="Q7785" s="14">
        <v>120.51</v>
      </c>
      <c r="R7785" s="14">
        <v>243.43</v>
      </c>
      <c r="S7785" s="2" t="s">
        <v>943</v>
      </c>
      <c r="T7785" s="2">
        <v>1.34</v>
      </c>
      <c r="U7785" s="2">
        <v>66.7</v>
      </c>
      <c r="V7785" s="2">
        <v>64</v>
      </c>
      <c r="W7785" s="2" t="s">
        <v>7862</v>
      </c>
      <c r="X7785" s="2" t="s">
        <v>190</v>
      </c>
      <c r="Y7785" s="2">
        <v>23634</v>
      </c>
      <c r="Z7785" s="19" t="str">
        <f>HYPERLINK("https://ssdweb.co/ssdweb/hd/Vision360.html?d=924590244&amp;zoomslide=1&amp;z=1924590244&amp;ISCONFIRM=0","VIDEO")</f>
        <v>VIDEO</v>
      </c>
      <c r="AA7785" s="19" t="str">
        <f>HYPERLINK("https://ssdweb.co/ssdweb/CERTH/598386178.pdf","CERTI")</f>
        <v>CERTI</v>
      </c>
    </row>
    <row r="7786" spans="1:27" ht="15" x14ac:dyDescent="0.25">
      <c r="A7786" s="2">
        <v>7781</v>
      </c>
      <c r="B7786" s="39">
        <v>941050464</v>
      </c>
      <c r="C7786" s="28" t="str">
        <f>HYPERLINK("https://pld.live/RapDetail.aspx?STONELIST=941050464","DNA")</f>
        <v>DNA</v>
      </c>
      <c r="D7786" s="18" t="s">
        <v>3658</v>
      </c>
      <c r="E7786" s="18" t="s">
        <v>2186</v>
      </c>
      <c r="F7786" s="2" t="s">
        <v>7987</v>
      </c>
      <c r="G7786" s="2" t="s">
        <v>4029</v>
      </c>
      <c r="H7786" s="14">
        <v>2.02</v>
      </c>
      <c r="I7786" s="2" t="s">
        <v>6587</v>
      </c>
      <c r="J7786" s="2" t="s">
        <v>5144</v>
      </c>
      <c r="K7786" s="2" t="s">
        <v>1452</v>
      </c>
      <c r="L7786" s="2" t="s">
        <v>5221</v>
      </c>
      <c r="M7786" s="2" t="s">
        <v>5221</v>
      </c>
      <c r="N7786" s="2" t="s">
        <v>2317</v>
      </c>
      <c r="O7786" s="14">
        <v>13000</v>
      </c>
      <c r="P7786" s="14">
        <v>99.08</v>
      </c>
      <c r="Q7786" s="14">
        <v>119.6</v>
      </c>
      <c r="R7786" s="14">
        <v>241.59</v>
      </c>
      <c r="S7786" s="2" t="s">
        <v>750</v>
      </c>
      <c r="T7786" s="2">
        <v>1.42</v>
      </c>
      <c r="U7786" s="2">
        <v>66.900000000000006</v>
      </c>
      <c r="V7786" s="2">
        <v>65</v>
      </c>
      <c r="W7786" s="2" t="s">
        <v>7862</v>
      </c>
      <c r="X7786" s="2" t="s">
        <v>190</v>
      </c>
      <c r="Y7786" s="2">
        <v>26260</v>
      </c>
      <c r="Z7786" s="19" t="str">
        <f>HYPERLINK("https://ssdweb.co/ssdweb/hd/Vision360.html?d=941050464&amp;zoomslide=1&amp;z=1941050464&amp;ISCONFIRM=0","VIDEO")</f>
        <v>VIDEO</v>
      </c>
      <c r="AA7786" s="19" t="str">
        <f>HYPERLINK("https://ssdweb.co/ssdweb/CERTH/671437431.pdf","CERTI")</f>
        <v>CERTI</v>
      </c>
    </row>
    <row r="7787" spans="1:27" ht="15" x14ac:dyDescent="0.25">
      <c r="A7787" s="2">
        <v>7782</v>
      </c>
      <c r="B7787" s="39">
        <v>924380315</v>
      </c>
      <c r="C7787" s="28" t="str">
        <f>HYPERLINK("https://pld.live/RapDetail.aspx?STONELIST=924380315","DNA")</f>
        <v>DNA</v>
      </c>
      <c r="D7787" s="18" t="s">
        <v>3658</v>
      </c>
      <c r="E7787" s="18" t="s">
        <v>2186</v>
      </c>
      <c r="F7787" s="2" t="s">
        <v>5597</v>
      </c>
      <c r="G7787" s="2" t="s">
        <v>4029</v>
      </c>
      <c r="H7787" s="14">
        <v>2.02</v>
      </c>
      <c r="I7787" s="2" t="s">
        <v>1505</v>
      </c>
      <c r="J7787" s="2" t="s">
        <v>5144</v>
      </c>
      <c r="K7787" s="2" t="s">
        <v>1452</v>
      </c>
      <c r="L7787" s="2" t="s">
        <v>5221</v>
      </c>
      <c r="M7787" s="2" t="s">
        <v>5221</v>
      </c>
      <c r="N7787" s="2" t="s">
        <v>2317</v>
      </c>
      <c r="O7787" s="14">
        <v>11000</v>
      </c>
      <c r="P7787" s="14">
        <v>98.23</v>
      </c>
      <c r="Q7787" s="14">
        <v>194.7</v>
      </c>
      <c r="R7787" s="14">
        <v>393.29</v>
      </c>
      <c r="S7787" s="2" t="s">
        <v>2475</v>
      </c>
      <c r="T7787" s="2">
        <v>1.28</v>
      </c>
      <c r="U7787" s="2">
        <v>67.400000000000006</v>
      </c>
      <c r="V7787" s="2">
        <v>63</v>
      </c>
      <c r="W7787" s="2" t="s">
        <v>7862</v>
      </c>
      <c r="X7787" s="2" t="s">
        <v>3698</v>
      </c>
      <c r="Y7787" s="2">
        <v>22220</v>
      </c>
      <c r="Z7787" s="19" t="str">
        <f>HYPERLINK("https://ssdweb.co/ssdweb/hd/Vision360.html?d=924380315&amp;zoomslide=1&amp;z=1924380315&amp;ISCONFIRM=0","VIDEO")</f>
        <v>VIDEO</v>
      </c>
      <c r="AA7787" s="19" t="str">
        <f>HYPERLINK("https://ssdweb.co/ssdweb/CERTH/1478145370.pdf","CERTI")</f>
        <v>CERTI</v>
      </c>
    </row>
    <row r="7788" spans="1:27" ht="15" x14ac:dyDescent="0.25">
      <c r="A7788" s="2">
        <v>7783</v>
      </c>
      <c r="B7788" s="39">
        <v>941370632</v>
      </c>
      <c r="C7788" s="28" t="str">
        <f>HYPERLINK("https://pld.live/RapDetail.aspx?STONELIST=941370632","DNA")</f>
        <v>DNA</v>
      </c>
      <c r="D7788" s="18" t="s">
        <v>3658</v>
      </c>
      <c r="E7788" s="18" t="s">
        <v>5128</v>
      </c>
      <c r="F7788" s="2" t="s">
        <v>7987</v>
      </c>
      <c r="G7788" s="2" t="s">
        <v>4029</v>
      </c>
      <c r="H7788" s="14">
        <v>2.0099999999999998</v>
      </c>
      <c r="I7788" s="2" t="s">
        <v>267</v>
      </c>
      <c r="J7788" s="2" t="s">
        <v>3942</v>
      </c>
      <c r="K7788" s="2" t="s">
        <v>1452</v>
      </c>
      <c r="L7788" s="2" t="s">
        <v>5221</v>
      </c>
      <c r="M7788" s="2" t="s">
        <v>5221</v>
      </c>
      <c r="N7788" s="2" t="s">
        <v>2317</v>
      </c>
      <c r="O7788" s="14">
        <v>18500</v>
      </c>
      <c r="P7788" s="14">
        <v>99.08</v>
      </c>
      <c r="Q7788" s="14">
        <v>170.2</v>
      </c>
      <c r="R7788" s="14">
        <v>342.1</v>
      </c>
      <c r="S7788" s="2" t="s">
        <v>3721</v>
      </c>
      <c r="T7788" s="2">
        <v>1.29</v>
      </c>
      <c r="U7788" s="2">
        <v>67.900000000000006</v>
      </c>
      <c r="V7788" s="2">
        <v>67</v>
      </c>
      <c r="W7788" s="2" t="s">
        <v>7862</v>
      </c>
      <c r="X7788" s="2" t="s">
        <v>190</v>
      </c>
      <c r="Y7788" s="2">
        <v>37185</v>
      </c>
      <c r="Z7788" s="19" t="str">
        <f>HYPERLINK("https://ssdweb.co/ssdweb/hd/Vision360.html?d=941370632&amp;zoomslide=1&amp;z=1941370632&amp;ISCONFIRM=0","VIDEO")</f>
        <v>VIDEO</v>
      </c>
      <c r="AA7788" s="19" t="str">
        <f>HYPERLINK("https://ssdweb.co/ssdweb/CERTH/694508431.pdf","CERTI")</f>
        <v>CERTI</v>
      </c>
    </row>
    <row r="7789" spans="1:27" ht="15" x14ac:dyDescent="0.25">
      <c r="A7789" s="2">
        <v>7784</v>
      </c>
      <c r="B7789" s="39">
        <v>941050238</v>
      </c>
      <c r="C7789" s="28" t="str">
        <f>HYPERLINK("https://pld.live/RapDetail.aspx?STONELIST=941050238","DNA")</f>
        <v>DNA</v>
      </c>
      <c r="D7789" s="18" t="s">
        <v>3658</v>
      </c>
      <c r="E7789" s="18" t="s">
        <v>2186</v>
      </c>
      <c r="F7789" s="2" t="s">
        <v>7987</v>
      </c>
      <c r="G7789" s="2" t="s">
        <v>4029</v>
      </c>
      <c r="H7789" s="14">
        <v>2.0099999999999998</v>
      </c>
      <c r="I7789" s="2" t="s">
        <v>4699</v>
      </c>
      <c r="J7789" s="2" t="s">
        <v>6555</v>
      </c>
      <c r="K7789" s="2" t="s">
        <v>1452</v>
      </c>
      <c r="L7789" s="2" t="s">
        <v>5221</v>
      </c>
      <c r="M7789" s="2" t="s">
        <v>5221</v>
      </c>
      <c r="N7789" s="2" t="s">
        <v>2317</v>
      </c>
      <c r="O7789" s="14">
        <v>17000</v>
      </c>
      <c r="P7789" s="14">
        <v>98.82</v>
      </c>
      <c r="Q7789" s="14">
        <v>200.6</v>
      </c>
      <c r="R7789" s="14">
        <v>403.21</v>
      </c>
      <c r="S7789" s="2" t="s">
        <v>5012</v>
      </c>
      <c r="T7789" s="2">
        <v>1.38</v>
      </c>
      <c r="U7789" s="2">
        <v>68.2</v>
      </c>
      <c r="V7789" s="2">
        <v>65</v>
      </c>
      <c r="W7789" s="2" t="s">
        <v>7862</v>
      </c>
      <c r="X7789" s="2" t="s">
        <v>190</v>
      </c>
      <c r="Y7789" s="2">
        <v>34170</v>
      </c>
      <c r="Z7789" s="19" t="str">
        <f>HYPERLINK("https://ssdweb.co/ssdweb/hd/Vision360.html?d=941050238&amp;zoomslide=1&amp;z=1941050238&amp;ISCONFIRM=0","VIDEO")</f>
        <v>VIDEO</v>
      </c>
      <c r="AA7789" s="19" t="str">
        <f>HYPERLINK("https://ssdweb.co/ssdweb/CERTH/670445222.pdf","CERTI")</f>
        <v>CERTI</v>
      </c>
    </row>
    <row r="7790" spans="1:27" ht="15" x14ac:dyDescent="0.25">
      <c r="A7790" s="2">
        <v>7785</v>
      </c>
      <c r="B7790" s="39">
        <v>924930054</v>
      </c>
      <c r="C7790" s="28" t="str">
        <f>HYPERLINK("https://pld.live/RapDetail.aspx?STONELIST=924930054","DNA")</f>
        <v>DNA</v>
      </c>
      <c r="D7790" s="18" t="s">
        <v>3658</v>
      </c>
      <c r="E7790" s="18" t="s">
        <v>2186</v>
      </c>
      <c r="F7790" s="2" t="s">
        <v>7987</v>
      </c>
      <c r="G7790" s="2" t="s">
        <v>4029</v>
      </c>
      <c r="H7790" s="14">
        <v>2.0099999999999998</v>
      </c>
      <c r="I7790" s="2" t="s">
        <v>4699</v>
      </c>
      <c r="J7790" s="2" t="s">
        <v>444</v>
      </c>
      <c r="K7790" s="2" t="s">
        <v>1452</v>
      </c>
      <c r="L7790" s="2" t="s">
        <v>5221</v>
      </c>
      <c r="M7790" s="2" t="s">
        <v>5221</v>
      </c>
      <c r="N7790" s="2" t="s">
        <v>2317</v>
      </c>
      <c r="O7790" s="14">
        <v>11700</v>
      </c>
      <c r="P7790" s="14">
        <v>98.97</v>
      </c>
      <c r="Q7790" s="14">
        <v>120.51</v>
      </c>
      <c r="R7790" s="14">
        <v>242.23</v>
      </c>
      <c r="S7790" s="2" t="s">
        <v>7180</v>
      </c>
      <c r="T7790" s="2">
        <v>1.35</v>
      </c>
      <c r="U7790" s="2">
        <v>68.3</v>
      </c>
      <c r="V7790" s="2">
        <v>65</v>
      </c>
      <c r="W7790" s="2" t="s">
        <v>7862</v>
      </c>
      <c r="X7790" s="2" t="s">
        <v>190</v>
      </c>
      <c r="Y7790" s="2">
        <v>23517</v>
      </c>
      <c r="Z7790" s="19" t="str">
        <f>HYPERLINK("https://ssdweb.co/ssdweb/hd/Vision360.html?d=924930054&amp;zoomslide=1&amp;z=1924930054&amp;ISCONFIRM=0","VIDEO")</f>
        <v>VIDEO</v>
      </c>
      <c r="AA7790" s="19" t="str">
        <f>HYPERLINK("https://ssdweb.co/ssdweb/CERTH/602358386.pdf","CERTI")</f>
        <v>CERTI</v>
      </c>
    </row>
    <row r="7791" spans="1:27" ht="15" x14ac:dyDescent="0.25">
      <c r="A7791" s="2">
        <v>7786</v>
      </c>
      <c r="B7791" s="39">
        <v>926380204</v>
      </c>
      <c r="C7791" s="28" t="str">
        <f>HYPERLINK("https://pld.live/RapDetail.aspx?STONELIST=926380204","DNA")</f>
        <v>DNA</v>
      </c>
      <c r="D7791" s="18" t="s">
        <v>3658</v>
      </c>
      <c r="E7791" s="18" t="s">
        <v>2186</v>
      </c>
      <c r="F7791" s="2" t="s">
        <v>7987</v>
      </c>
      <c r="G7791" s="2" t="s">
        <v>4029</v>
      </c>
      <c r="H7791" s="14">
        <v>2</v>
      </c>
      <c r="I7791" s="2" t="s">
        <v>6587</v>
      </c>
      <c r="J7791" s="2" t="s">
        <v>13</v>
      </c>
      <c r="K7791" s="2" t="s">
        <v>1452</v>
      </c>
      <c r="L7791" s="2" t="s">
        <v>5221</v>
      </c>
      <c r="M7791" s="2" t="s">
        <v>5221</v>
      </c>
      <c r="N7791" s="2" t="s">
        <v>2317</v>
      </c>
      <c r="O7791" s="14">
        <v>14000</v>
      </c>
      <c r="P7791" s="14">
        <v>99.12</v>
      </c>
      <c r="Q7791" s="14">
        <v>123.2</v>
      </c>
      <c r="R7791" s="14">
        <v>246.4</v>
      </c>
      <c r="S7791" s="2" t="s">
        <v>4898</v>
      </c>
      <c r="T7791" s="2">
        <v>1.34</v>
      </c>
      <c r="U7791" s="2">
        <v>66.400000000000006</v>
      </c>
      <c r="V7791" s="2">
        <v>66</v>
      </c>
      <c r="W7791" s="2" t="s">
        <v>7862</v>
      </c>
      <c r="X7791" s="2" t="s">
        <v>190</v>
      </c>
      <c r="Y7791" s="2">
        <v>28000</v>
      </c>
      <c r="Z7791" s="19" t="str">
        <f>HYPERLINK("https://ssdweb.co/ssdweb/hd/Vision360.html?d=926380204&amp;zoomslide=1&amp;z=1926380204&amp;ISCONFIRM=0","VIDEO")</f>
        <v>VIDEO</v>
      </c>
      <c r="AA7791" s="19" t="str">
        <f>HYPERLINK("https://ssdweb.co/ssdweb/CERTH/660489704.pdf","CERTI")</f>
        <v>CERTI</v>
      </c>
    </row>
    <row r="7792" spans="1:27" ht="15" x14ac:dyDescent="0.25">
      <c r="A7792" s="2">
        <v>7787</v>
      </c>
      <c r="B7792" s="39">
        <v>924410525</v>
      </c>
      <c r="C7792" s="28" t="str">
        <f>HYPERLINK("https://pld.live/RapDetail.aspx?STONELIST=924410525","DNA")</f>
        <v>DNA</v>
      </c>
      <c r="D7792" s="18" t="s">
        <v>6675</v>
      </c>
      <c r="E7792" s="18" t="s">
        <v>2186</v>
      </c>
      <c r="F7792" s="2" t="s">
        <v>5597</v>
      </c>
      <c r="G7792" s="2" t="s">
        <v>4029</v>
      </c>
      <c r="H7792" s="14">
        <v>1.9</v>
      </c>
      <c r="I7792" s="2" t="s">
        <v>4699</v>
      </c>
      <c r="J7792" s="2" t="s">
        <v>13</v>
      </c>
      <c r="K7792" s="2" t="s">
        <v>1452</v>
      </c>
      <c r="L7792" s="2" t="s">
        <v>5221</v>
      </c>
      <c r="M7792" s="2" t="s">
        <v>5221</v>
      </c>
      <c r="N7792" s="2" t="s">
        <v>2317</v>
      </c>
      <c r="O7792" s="14">
        <v>10200</v>
      </c>
      <c r="P7792" s="14">
        <v>97.99</v>
      </c>
      <c r="Q7792" s="14">
        <v>205.02</v>
      </c>
      <c r="R7792" s="14">
        <v>389.54</v>
      </c>
      <c r="S7792" s="2" t="s">
        <v>1988</v>
      </c>
      <c r="T7792" s="2">
        <v>1.35</v>
      </c>
      <c r="U7792" s="2">
        <v>64.7</v>
      </c>
      <c r="V7792" s="2">
        <v>66</v>
      </c>
      <c r="W7792" s="2" t="s">
        <v>7862</v>
      </c>
      <c r="X7792" s="2" t="s">
        <v>3698</v>
      </c>
      <c r="Y7792" s="2">
        <v>19380</v>
      </c>
      <c r="Z7792" s="19" t="str">
        <f>HYPERLINK("https://ssdweb.co/ssdweb/hd/Vision360.html?d=924410525&amp;zoomslide=1&amp;z=1924410525&amp;ISCONFIRM=0","VIDEO")</f>
        <v>VIDEO</v>
      </c>
      <c r="AA7792" s="19" t="str">
        <f>HYPERLINK("https://ssdweb.co/ssdweb/CERTH/2474329844.pdf","CERTI")</f>
        <v>CERTI</v>
      </c>
    </row>
    <row r="7793" spans="1:27" ht="15" x14ac:dyDescent="0.25">
      <c r="A7793" s="2">
        <v>7788</v>
      </c>
      <c r="B7793" s="39">
        <v>926960798</v>
      </c>
      <c r="C7793" s="28" t="str">
        <f>HYPERLINK("https://pld.live/RapDetail.aspx?STONELIST=926960798","DNA")</f>
        <v>DNA</v>
      </c>
      <c r="D7793" s="18" t="s">
        <v>5313</v>
      </c>
      <c r="E7793" s="18" t="s">
        <v>5128</v>
      </c>
      <c r="F7793" s="2" t="s">
        <v>7987</v>
      </c>
      <c r="G7793" s="2" t="s">
        <v>4029</v>
      </c>
      <c r="H7793" s="14">
        <v>1.87</v>
      </c>
      <c r="I7793" s="2" t="s">
        <v>6587</v>
      </c>
      <c r="J7793" s="2" t="s">
        <v>6555</v>
      </c>
      <c r="K7793" s="2" t="s">
        <v>1452</v>
      </c>
      <c r="L7793" s="2" t="s">
        <v>5221</v>
      </c>
      <c r="M7793" s="2" t="s">
        <v>5221</v>
      </c>
      <c r="N7793" s="2" t="s">
        <v>2317</v>
      </c>
      <c r="O7793" s="14">
        <v>10500</v>
      </c>
      <c r="P7793" s="14">
        <v>98.87</v>
      </c>
      <c r="Q7793" s="14">
        <v>118.65</v>
      </c>
      <c r="R7793" s="14">
        <v>221.88</v>
      </c>
      <c r="S7793" s="2" t="s">
        <v>8004</v>
      </c>
      <c r="T7793" s="2">
        <v>1.28</v>
      </c>
      <c r="U7793" s="2">
        <v>67.5</v>
      </c>
      <c r="V7793" s="2">
        <v>66</v>
      </c>
      <c r="W7793" s="2" t="s">
        <v>4336</v>
      </c>
      <c r="X7793" s="2" t="s">
        <v>190</v>
      </c>
      <c r="Y7793" s="2">
        <v>19635</v>
      </c>
      <c r="Z7793" s="19" t="str">
        <f>HYPERLINK("https://ssdweb.co/ssdweb/hd/Vision360.html?d=926960798&amp;zoomslide=1&amp;z=1926960798&amp;ISCONFIRM=0","VIDEO")</f>
        <v>VIDEO</v>
      </c>
      <c r="AA7793" s="19" t="str">
        <f>HYPERLINK("https://ssdweb.co/ssdweb/CERTH/659436965.pdf","CERTI")</f>
        <v>CERTI</v>
      </c>
    </row>
    <row r="7794" spans="1:27" ht="15" x14ac:dyDescent="0.25">
      <c r="A7794" s="2">
        <v>7789</v>
      </c>
      <c r="B7794" s="39">
        <v>924620066</v>
      </c>
      <c r="C7794" s="28" t="str">
        <f>HYPERLINK("https://pld.live/RapDetail.aspx?STONELIST=924620066","DNA")</f>
        <v>DNA</v>
      </c>
      <c r="D7794" s="18" t="s">
        <v>5313</v>
      </c>
      <c r="E7794" s="18" t="s">
        <v>2186</v>
      </c>
      <c r="F7794" s="2" t="s">
        <v>7987</v>
      </c>
      <c r="G7794" s="2" t="s">
        <v>4029</v>
      </c>
      <c r="H7794" s="14">
        <v>1.87</v>
      </c>
      <c r="I7794" s="2" t="s">
        <v>6845</v>
      </c>
      <c r="J7794" s="2" t="s">
        <v>444</v>
      </c>
      <c r="K7794" s="2" t="s">
        <v>1452</v>
      </c>
      <c r="L7794" s="2" t="s">
        <v>5221</v>
      </c>
      <c r="M7794" s="2" t="s">
        <v>5221</v>
      </c>
      <c r="N7794" s="2" t="s">
        <v>2317</v>
      </c>
      <c r="O7794" s="14">
        <v>2900</v>
      </c>
      <c r="P7794" s="14">
        <v>94.14</v>
      </c>
      <c r="Q7794" s="14">
        <v>169.94</v>
      </c>
      <c r="R7794" s="14">
        <v>317.79000000000002</v>
      </c>
      <c r="S7794" s="2" t="s">
        <v>1713</v>
      </c>
      <c r="T7794" s="2">
        <v>1.27</v>
      </c>
      <c r="U7794" s="2">
        <v>66.3</v>
      </c>
      <c r="V7794" s="2">
        <v>66</v>
      </c>
      <c r="W7794" s="2" t="s">
        <v>7862</v>
      </c>
      <c r="X7794" s="2" t="s">
        <v>190</v>
      </c>
      <c r="Y7794" s="2">
        <v>5423</v>
      </c>
      <c r="Z7794" s="19" t="str">
        <f>HYPERLINK("https://ssdweb.co/ssdweb/hd/Vision360.html?d=924620066&amp;zoomslide=1&amp;z=1924620066&amp;ISCONFIRM=0","VIDEO")</f>
        <v>VIDEO</v>
      </c>
      <c r="AA7794" s="19" t="str">
        <f>HYPERLINK("https://ssdweb.co/ssdweb/CERTH/606328334.pdf","CERTI")</f>
        <v>CERTI</v>
      </c>
    </row>
    <row r="7795" spans="1:27" ht="15" x14ac:dyDescent="0.25">
      <c r="A7795" s="2">
        <v>7790</v>
      </c>
      <c r="B7795" s="39">
        <v>926101487</v>
      </c>
      <c r="C7795" s="28" t="str">
        <f>HYPERLINK("https://pld.live/RapDetail.aspx?STONELIST=926101487","DNA")</f>
        <v>DNA</v>
      </c>
      <c r="D7795" s="18" t="s">
        <v>5313</v>
      </c>
      <c r="E7795" s="18" t="s">
        <v>5128</v>
      </c>
      <c r="F7795" s="2" t="s">
        <v>7987</v>
      </c>
      <c r="G7795" s="2" t="s">
        <v>4029</v>
      </c>
      <c r="H7795" s="14">
        <v>1.82</v>
      </c>
      <c r="I7795" s="2" t="s">
        <v>267</v>
      </c>
      <c r="J7795" s="2" t="s">
        <v>3942</v>
      </c>
      <c r="K7795" s="2" t="s">
        <v>1452</v>
      </c>
      <c r="L7795" s="2" t="s">
        <v>5221</v>
      </c>
      <c r="M7795" s="2" t="s">
        <v>5221</v>
      </c>
      <c r="N7795" s="2" t="s">
        <v>2317</v>
      </c>
      <c r="O7795" s="14">
        <v>12500</v>
      </c>
      <c r="P7795" s="14">
        <v>98.89</v>
      </c>
      <c r="Q7795" s="14">
        <v>138.75</v>
      </c>
      <c r="R7795" s="14">
        <v>252.53</v>
      </c>
      <c r="S7795" s="2" t="s">
        <v>6615</v>
      </c>
      <c r="T7795" s="2">
        <v>1.3</v>
      </c>
      <c r="U7795" s="2">
        <v>66.400000000000006</v>
      </c>
      <c r="V7795" s="2">
        <v>63</v>
      </c>
      <c r="W7795" s="2" t="s">
        <v>7862</v>
      </c>
      <c r="X7795" s="2" t="s">
        <v>190</v>
      </c>
      <c r="Y7795" s="2">
        <v>22750</v>
      </c>
      <c r="Z7795" s="19" t="str">
        <f>HYPERLINK("https://ssdweb.co/ssdweb/hd/Vision360.html?d=926101487&amp;zoomslide=1&amp;z=1926101487&amp;ISCONFIRM=0","VIDEO")</f>
        <v>VIDEO</v>
      </c>
      <c r="AA7795" s="19" t="str">
        <f>HYPERLINK("https://ssdweb.co/ssdweb/CERTH/632403879.pdf","CERTI")</f>
        <v>CERTI</v>
      </c>
    </row>
    <row r="7796" spans="1:27" ht="15" x14ac:dyDescent="0.25">
      <c r="A7796" s="2">
        <v>7791</v>
      </c>
      <c r="B7796" s="39">
        <v>926101506</v>
      </c>
      <c r="C7796" s="28" t="str">
        <f>HYPERLINK("https://pld.live/RapDetail.aspx?STONELIST=926101506","DNA")</f>
        <v>DNA</v>
      </c>
      <c r="D7796" s="18" t="s">
        <v>5313</v>
      </c>
      <c r="E7796" s="18" t="s">
        <v>5128</v>
      </c>
      <c r="F7796" s="2" t="s">
        <v>7987</v>
      </c>
      <c r="G7796" s="2" t="s">
        <v>4029</v>
      </c>
      <c r="H7796" s="14">
        <v>1.82</v>
      </c>
      <c r="I7796" s="2" t="s">
        <v>6587</v>
      </c>
      <c r="J7796" s="2" t="s">
        <v>3942</v>
      </c>
      <c r="K7796" s="2" t="s">
        <v>1452</v>
      </c>
      <c r="L7796" s="2" t="s">
        <v>5221</v>
      </c>
      <c r="M7796" s="2" t="s">
        <v>5221</v>
      </c>
      <c r="N7796" s="2" t="s">
        <v>2317</v>
      </c>
      <c r="O7796" s="14">
        <v>10000</v>
      </c>
      <c r="P7796" s="14">
        <v>99.01</v>
      </c>
      <c r="Q7796" s="14">
        <v>99</v>
      </c>
      <c r="R7796" s="14">
        <v>180.18</v>
      </c>
      <c r="S7796" s="2" t="s">
        <v>1468</v>
      </c>
      <c r="T7796" s="2">
        <v>1.29</v>
      </c>
      <c r="U7796" s="2">
        <v>66.7</v>
      </c>
      <c r="V7796" s="2">
        <v>63</v>
      </c>
      <c r="W7796" s="2" t="s">
        <v>4336</v>
      </c>
      <c r="X7796" s="2" t="s">
        <v>190</v>
      </c>
      <c r="Y7796" s="2">
        <v>18200</v>
      </c>
      <c r="Z7796" s="19" t="str">
        <f>HYPERLINK("https://ssdweb.co/ssdweb/hd/Vision360.html?d=926101506&amp;zoomslide=1&amp;z=1926101506&amp;ISCONFIRM=0","VIDEO")</f>
        <v>VIDEO</v>
      </c>
      <c r="AA7796" s="19" t="str">
        <f>HYPERLINK("https://ssdweb.co/ssdweb/CERTH/632421456.pdf","CERTI")</f>
        <v>CERTI</v>
      </c>
    </row>
    <row r="7797" spans="1:27" ht="15" x14ac:dyDescent="0.25">
      <c r="A7797" s="2">
        <v>7792</v>
      </c>
      <c r="B7797" s="39">
        <v>926050299</v>
      </c>
      <c r="C7797" s="28" t="str">
        <f>HYPERLINK("https://pld.live/RapDetail.aspx?STONELIST=926050299","DNA")</f>
        <v>DNA</v>
      </c>
      <c r="D7797" s="18" t="s">
        <v>5313</v>
      </c>
      <c r="E7797" s="18" t="s">
        <v>2186</v>
      </c>
      <c r="F7797" s="2" t="s">
        <v>7987</v>
      </c>
      <c r="G7797" s="2" t="s">
        <v>4029</v>
      </c>
      <c r="H7797" s="14">
        <v>1.71</v>
      </c>
      <c r="I7797" s="2" t="s">
        <v>4761</v>
      </c>
      <c r="J7797" s="2" t="s">
        <v>5144</v>
      </c>
      <c r="K7797" s="2" t="s">
        <v>1452</v>
      </c>
      <c r="L7797" s="2" t="s">
        <v>5221</v>
      </c>
      <c r="M7797" s="2" t="s">
        <v>5221</v>
      </c>
      <c r="N7797" s="2" t="s">
        <v>2317</v>
      </c>
      <c r="O7797" s="14">
        <v>9300</v>
      </c>
      <c r="P7797" s="14">
        <v>98.81</v>
      </c>
      <c r="Q7797" s="14">
        <v>110.67</v>
      </c>
      <c r="R7797" s="14">
        <v>189.25</v>
      </c>
      <c r="S7797" s="2" t="s">
        <v>6195</v>
      </c>
      <c r="T7797" s="2">
        <v>1.46</v>
      </c>
      <c r="U7797" s="2">
        <v>65.3</v>
      </c>
      <c r="V7797" s="2">
        <v>66</v>
      </c>
      <c r="W7797" s="2" t="s">
        <v>7862</v>
      </c>
      <c r="X7797" s="2" t="s">
        <v>190</v>
      </c>
      <c r="Y7797" s="2">
        <v>15903</v>
      </c>
      <c r="Z7797" s="19" t="str">
        <f>HYPERLINK("https://ssdweb.co/ssdweb/hd/Vision360.html?d=926050299&amp;zoomslide=1&amp;z=1926050299&amp;ISCONFIRM=0","VIDEO")</f>
        <v>VIDEO</v>
      </c>
      <c r="AA7797" s="19" t="str">
        <f>HYPERLINK("https://ssdweb.co/ssdweb/CERTH/632488321.pdf","CERTI")</f>
        <v>CERTI</v>
      </c>
    </row>
    <row r="7798" spans="1:27" ht="15" x14ac:dyDescent="0.25">
      <c r="A7798" s="2">
        <v>7793</v>
      </c>
      <c r="B7798" s="39">
        <v>923380789</v>
      </c>
      <c r="C7798" s="28" t="str">
        <f>HYPERLINK("https://pld.live/RapDetail.aspx?STONELIST=923380789","DNA")</f>
        <v>DNA</v>
      </c>
      <c r="D7798" s="18" t="s">
        <v>5313</v>
      </c>
      <c r="E7798" s="18" t="s">
        <v>2186</v>
      </c>
      <c r="F7798" s="2" t="s">
        <v>7987</v>
      </c>
      <c r="G7798" s="2" t="s">
        <v>4029</v>
      </c>
      <c r="H7798" s="14">
        <v>1.7</v>
      </c>
      <c r="I7798" s="2" t="s">
        <v>3722</v>
      </c>
      <c r="J7798" s="2" t="s">
        <v>5144</v>
      </c>
      <c r="K7798" s="2" t="s">
        <v>1452</v>
      </c>
      <c r="L7798" s="2" t="s">
        <v>5221</v>
      </c>
      <c r="M7798" s="2" t="s">
        <v>5721</v>
      </c>
      <c r="N7798" s="2" t="s">
        <v>2317</v>
      </c>
      <c r="O7798" s="14">
        <v>6300</v>
      </c>
      <c r="P7798" s="14">
        <v>98.7</v>
      </c>
      <c r="Q7798" s="14">
        <v>81.900000000000006</v>
      </c>
      <c r="R7798" s="14">
        <v>139.22999999999999</v>
      </c>
      <c r="S7798" s="2" t="s">
        <v>6427</v>
      </c>
      <c r="T7798" s="2">
        <v>1.47</v>
      </c>
      <c r="U7798" s="2">
        <v>68.5</v>
      </c>
      <c r="V7798" s="2">
        <v>67</v>
      </c>
      <c r="W7798" s="2" t="s">
        <v>7862</v>
      </c>
      <c r="X7798" s="2" t="s">
        <v>190</v>
      </c>
      <c r="Y7798" s="2">
        <v>10710</v>
      </c>
      <c r="Z7798" s="19" t="str">
        <f>HYPERLINK("https://ssdweb.co/ssdweb/hd/Vision360.html?d=923380789&amp;zoomslide=1&amp;z=1923380789&amp;ISCONFIRM=0","VIDEO")</f>
        <v>VIDEO</v>
      </c>
      <c r="AA7798" s="19" t="str">
        <f>HYPERLINK("https://ssdweb.co/ssdweb/CERTH/547249982.pdf","CERTI")</f>
        <v>CERTI</v>
      </c>
    </row>
    <row r="7799" spans="1:27" ht="15" x14ac:dyDescent="0.25">
      <c r="A7799" s="2">
        <v>7794</v>
      </c>
      <c r="B7799" s="39">
        <v>926101165</v>
      </c>
      <c r="C7799" s="28" t="str">
        <f>HYPERLINK("https://pld.live/RapDetail.aspx?STONELIST=926101165","DNA")</f>
        <v>DNA</v>
      </c>
      <c r="D7799" s="18" t="s">
        <v>711</v>
      </c>
      <c r="E7799" s="18" t="s">
        <v>5128</v>
      </c>
      <c r="F7799" s="2" t="s">
        <v>7987</v>
      </c>
      <c r="G7799" s="2" t="s">
        <v>4029</v>
      </c>
      <c r="H7799" s="14">
        <v>1.69</v>
      </c>
      <c r="I7799" s="2" t="s">
        <v>4699</v>
      </c>
      <c r="J7799" s="2" t="s">
        <v>6555</v>
      </c>
      <c r="K7799" s="2" t="s">
        <v>1452</v>
      </c>
      <c r="L7799" s="2" t="s">
        <v>5221</v>
      </c>
      <c r="M7799" s="2" t="s">
        <v>5221</v>
      </c>
      <c r="N7799" s="2" t="s">
        <v>2317</v>
      </c>
      <c r="O7799" s="14">
        <v>11500</v>
      </c>
      <c r="P7799" s="14">
        <v>98.75</v>
      </c>
      <c r="Q7799" s="14">
        <v>143.75</v>
      </c>
      <c r="R7799" s="14">
        <v>242.94</v>
      </c>
      <c r="S7799" s="2" t="s">
        <v>3392</v>
      </c>
      <c r="T7799" s="2">
        <v>1.28</v>
      </c>
      <c r="U7799" s="2">
        <v>67.8</v>
      </c>
      <c r="V7799" s="2">
        <v>65</v>
      </c>
      <c r="W7799" s="2" t="s">
        <v>4336</v>
      </c>
      <c r="X7799" s="2" t="s">
        <v>190</v>
      </c>
      <c r="Y7799" s="2">
        <v>19435</v>
      </c>
      <c r="Z7799" s="19" t="str">
        <f>HYPERLINK("https://ssdweb.co/ssdweb/hd/Vision360.html?d=926101165&amp;zoomslide=1&amp;z=1926101165&amp;ISCONFIRM=0","VIDEO")</f>
        <v>VIDEO</v>
      </c>
      <c r="AA7799" s="19" t="str">
        <f>HYPERLINK("https://ssdweb.co/ssdweb/CERTH/632488464.pdf","CERTI")</f>
        <v>CERTI</v>
      </c>
    </row>
    <row r="7800" spans="1:27" ht="15" x14ac:dyDescent="0.25">
      <c r="A7800" s="2">
        <v>7795</v>
      </c>
      <c r="B7800" s="39">
        <v>924930134</v>
      </c>
      <c r="C7800" s="28" t="str">
        <f>HYPERLINK("https://pld.live/RapDetail.aspx?STONELIST=924930134","DNA")</f>
        <v>DNA</v>
      </c>
      <c r="D7800" s="18" t="s">
        <v>711</v>
      </c>
      <c r="E7800" s="18" t="s">
        <v>2186</v>
      </c>
      <c r="F7800" s="2" t="s">
        <v>7987</v>
      </c>
      <c r="G7800" s="2" t="s">
        <v>4029</v>
      </c>
      <c r="H7800" s="14">
        <v>1.65</v>
      </c>
      <c r="I7800" s="2" t="s">
        <v>3722</v>
      </c>
      <c r="J7800" s="2" t="s">
        <v>3942</v>
      </c>
      <c r="K7800" s="2" t="s">
        <v>1452</v>
      </c>
      <c r="L7800" s="2" t="s">
        <v>5221</v>
      </c>
      <c r="M7800" s="2" t="s">
        <v>5221</v>
      </c>
      <c r="N7800" s="2" t="s">
        <v>2317</v>
      </c>
      <c r="O7800" s="14">
        <v>7200</v>
      </c>
      <c r="P7800" s="14">
        <v>98.72</v>
      </c>
      <c r="Q7800" s="14">
        <v>92.16</v>
      </c>
      <c r="R7800" s="14">
        <v>152.06</v>
      </c>
      <c r="S7800" s="2" t="s">
        <v>7559</v>
      </c>
      <c r="T7800" s="2">
        <v>1.31</v>
      </c>
      <c r="U7800" s="2">
        <v>66.3</v>
      </c>
      <c r="V7800" s="2">
        <v>65</v>
      </c>
      <c r="W7800" s="2" t="s">
        <v>7862</v>
      </c>
      <c r="X7800" s="2" t="s">
        <v>190</v>
      </c>
      <c r="Y7800" s="2">
        <v>11880</v>
      </c>
      <c r="Z7800" s="19" t="str">
        <f>HYPERLINK("https://ssdweb.co/ssdweb/hd/Vision360.html?d=924930134&amp;zoomslide=1&amp;z=1924930134&amp;ISCONFIRM=0","VIDEO")</f>
        <v>VIDEO</v>
      </c>
      <c r="AA7800" s="19" t="str">
        <f>HYPERLINK("https://ssdweb.co/ssdweb/CERTH/602361345.pdf","CERTI")</f>
        <v>CERTI</v>
      </c>
    </row>
    <row r="7801" spans="1:27" ht="15" x14ac:dyDescent="0.25">
      <c r="A7801" s="2">
        <v>7796</v>
      </c>
      <c r="B7801" s="39">
        <v>925551957</v>
      </c>
      <c r="C7801" s="28" t="str">
        <f>HYPERLINK("https://pld.live/RapDetail.aspx?STONELIST=925551957","DNA")</f>
        <v>DNA</v>
      </c>
      <c r="D7801" s="18" t="s">
        <v>711</v>
      </c>
      <c r="E7801" s="18" t="s">
        <v>5128</v>
      </c>
      <c r="F7801" s="2" t="s">
        <v>7987</v>
      </c>
      <c r="G7801" s="2" t="s">
        <v>4029</v>
      </c>
      <c r="H7801" s="14">
        <v>1.63</v>
      </c>
      <c r="I7801" s="2" t="s">
        <v>4699</v>
      </c>
      <c r="J7801" s="2" t="s">
        <v>3942</v>
      </c>
      <c r="K7801" s="2" t="s">
        <v>1452</v>
      </c>
      <c r="L7801" s="2" t="s">
        <v>5221</v>
      </c>
      <c r="M7801" s="2" t="s">
        <v>5221</v>
      </c>
      <c r="N7801" s="2" t="s">
        <v>2317</v>
      </c>
      <c r="O7801" s="14">
        <v>10800</v>
      </c>
      <c r="P7801" s="14">
        <v>98.88</v>
      </c>
      <c r="Q7801" s="14">
        <v>120.96</v>
      </c>
      <c r="R7801" s="14">
        <v>197.16</v>
      </c>
      <c r="S7801" s="2" t="s">
        <v>2641</v>
      </c>
      <c r="T7801" s="2">
        <v>1.28</v>
      </c>
      <c r="U7801" s="2">
        <v>67.599999999999994</v>
      </c>
      <c r="V7801" s="2">
        <v>63</v>
      </c>
      <c r="W7801" s="2" t="s">
        <v>7862</v>
      </c>
      <c r="X7801" s="2" t="s">
        <v>190</v>
      </c>
      <c r="Y7801" s="2">
        <v>17604</v>
      </c>
      <c r="Z7801" s="19" t="str">
        <f>HYPERLINK("https://ssdweb.co/ssdweb/hd/Vision360.html?d=925551957&amp;zoomslide=1&amp;z=1925551957&amp;ISCONFIRM=0","VIDEO")</f>
        <v>VIDEO</v>
      </c>
      <c r="AA7801" s="19" t="str">
        <f>HYPERLINK("https://ssdweb.co/ssdweb/CERTH/621475778.pdf","CERTI")</f>
        <v>CERTI</v>
      </c>
    </row>
    <row r="7802" spans="1:27" ht="15" x14ac:dyDescent="0.25">
      <c r="A7802" s="2">
        <v>7797</v>
      </c>
      <c r="B7802" s="39">
        <v>831010698</v>
      </c>
      <c r="C7802" s="28" t="str">
        <f>HYPERLINK("https://pld.live/RapDetail.aspx?STONELIST=831010698","DNA")</f>
        <v>DNA</v>
      </c>
      <c r="D7802" s="18" t="s">
        <v>711</v>
      </c>
      <c r="E7802" s="18" t="s">
        <v>5128</v>
      </c>
      <c r="F7802" s="2" t="s">
        <v>7987</v>
      </c>
      <c r="G7802" s="2" t="s">
        <v>4029</v>
      </c>
      <c r="H7802" s="14">
        <v>1.6</v>
      </c>
      <c r="I7802" s="2" t="s">
        <v>6587</v>
      </c>
      <c r="J7802" s="2" t="s">
        <v>444</v>
      </c>
      <c r="K7802" s="2" t="s">
        <v>1452</v>
      </c>
      <c r="L7802" s="2" t="s">
        <v>5221</v>
      </c>
      <c r="M7802" s="2" t="s">
        <v>5221</v>
      </c>
      <c r="N7802" s="2" t="s">
        <v>2317</v>
      </c>
      <c r="O7802" s="14">
        <v>6700</v>
      </c>
      <c r="P7802" s="14">
        <v>98.67</v>
      </c>
      <c r="Q7802" s="14">
        <v>89.11</v>
      </c>
      <c r="R7802" s="14">
        <v>142.58000000000001</v>
      </c>
      <c r="S7802" s="2" t="s">
        <v>2740</v>
      </c>
      <c r="T7802" s="2">
        <v>1.29</v>
      </c>
      <c r="U7802" s="2">
        <v>68.2</v>
      </c>
      <c r="V7802" s="2">
        <v>65</v>
      </c>
      <c r="W7802" s="2" t="s">
        <v>6297</v>
      </c>
      <c r="X7802" s="2" t="s">
        <v>190</v>
      </c>
      <c r="Y7802" s="2">
        <v>10720</v>
      </c>
      <c r="Z7802" s="19" t="str">
        <f>HYPERLINK("https://ssdweb.co/ssdweb/hd/Vision360.html?d=831010698&amp;zoomslide=1&amp;z=1831010698&amp;ISCONFIRM=0","VIDEO")</f>
        <v>VIDEO</v>
      </c>
      <c r="AA7802" s="19" t="str">
        <f>HYPERLINK("https://ssdweb.co/ssdweb/CERTH/598379374.pdf","CERTI")</f>
        <v>CERTI</v>
      </c>
    </row>
    <row r="7803" spans="1:27" ht="15" x14ac:dyDescent="0.25">
      <c r="A7803" s="2">
        <v>7798</v>
      </c>
      <c r="B7803" s="39">
        <v>925860728</v>
      </c>
      <c r="C7803" s="28" t="str">
        <f>HYPERLINK("https://pld.live/RapDetail.aspx?STONELIST=925860728","DNA")</f>
        <v>DNA</v>
      </c>
      <c r="D7803" s="18" t="s">
        <v>711</v>
      </c>
      <c r="E7803" s="18" t="s">
        <v>5128</v>
      </c>
      <c r="F7803" s="2" t="s">
        <v>7987</v>
      </c>
      <c r="G7803" s="2" t="s">
        <v>4029</v>
      </c>
      <c r="H7803" s="14">
        <v>1.59</v>
      </c>
      <c r="I7803" s="2" t="s">
        <v>4761</v>
      </c>
      <c r="J7803" s="2" t="s">
        <v>5144</v>
      </c>
      <c r="K7803" s="2" t="s">
        <v>1452</v>
      </c>
      <c r="L7803" s="2" t="s">
        <v>5221</v>
      </c>
      <c r="M7803" s="2" t="s">
        <v>5221</v>
      </c>
      <c r="N7803" s="2" t="s">
        <v>2317</v>
      </c>
      <c r="O7803" s="14">
        <v>9300</v>
      </c>
      <c r="P7803" s="14">
        <v>98.77</v>
      </c>
      <c r="Q7803" s="14">
        <v>114.39</v>
      </c>
      <c r="R7803" s="14">
        <v>181.88</v>
      </c>
      <c r="S7803" s="2" t="s">
        <v>2583</v>
      </c>
      <c r="T7803" s="2">
        <v>1.42</v>
      </c>
      <c r="U7803" s="2">
        <v>65.599999999999994</v>
      </c>
      <c r="V7803" s="2">
        <v>65</v>
      </c>
      <c r="W7803" s="2" t="s">
        <v>7862</v>
      </c>
      <c r="X7803" s="2" t="s">
        <v>190</v>
      </c>
      <c r="Y7803" s="2">
        <v>14787</v>
      </c>
      <c r="Z7803" s="19" t="str">
        <f>HYPERLINK("https://ssdweb.co/ssdweb/hd/Vision360.html?d=925860728&amp;zoomslide=1&amp;z=1925860728&amp;ISCONFIRM=0","VIDEO")</f>
        <v>VIDEO</v>
      </c>
      <c r="AA7803" s="19" t="str">
        <f>HYPERLINK("https://ssdweb.co/ssdweb/CERTH/626427592.pdf","CERTI")</f>
        <v>CERTI</v>
      </c>
    </row>
    <row r="7804" spans="1:27" ht="15" x14ac:dyDescent="0.25">
      <c r="A7804" s="2">
        <v>7799</v>
      </c>
      <c r="B7804" s="39">
        <v>924410545</v>
      </c>
      <c r="C7804" s="28" t="str">
        <f>HYPERLINK("https://pld.live/RapDetail.aspx?STONELIST=924410545","DNA")</f>
        <v>DNA</v>
      </c>
      <c r="D7804" s="18" t="s">
        <v>711</v>
      </c>
      <c r="E7804" s="18" t="s">
        <v>2186</v>
      </c>
      <c r="F7804" s="2" t="s">
        <v>5597</v>
      </c>
      <c r="G7804" s="2" t="s">
        <v>4029</v>
      </c>
      <c r="H7804" s="14">
        <v>1.57</v>
      </c>
      <c r="I7804" s="2" t="s">
        <v>4699</v>
      </c>
      <c r="J7804" s="2" t="s">
        <v>13</v>
      </c>
      <c r="K7804" s="2" t="s">
        <v>1452</v>
      </c>
      <c r="L7804" s="2" t="s">
        <v>5221</v>
      </c>
      <c r="M7804" s="2" t="s">
        <v>5221</v>
      </c>
      <c r="N7804" s="2" t="s">
        <v>2317</v>
      </c>
      <c r="O7804" s="14">
        <v>10200</v>
      </c>
      <c r="P7804" s="14">
        <v>98.04</v>
      </c>
      <c r="Q7804" s="14">
        <v>199.92</v>
      </c>
      <c r="R7804" s="14">
        <v>313.87</v>
      </c>
      <c r="S7804" s="2" t="s">
        <v>5199</v>
      </c>
      <c r="T7804" s="2">
        <v>1.28</v>
      </c>
      <c r="U7804" s="2">
        <v>67.400000000000006</v>
      </c>
      <c r="V7804" s="2">
        <v>67</v>
      </c>
      <c r="W7804" s="2" t="s">
        <v>7862</v>
      </c>
      <c r="X7804" s="2" t="s">
        <v>3698</v>
      </c>
      <c r="Y7804" s="2">
        <v>16014</v>
      </c>
      <c r="Z7804" s="19" t="str">
        <f>HYPERLINK("https://ssdweb.co/ssdweb/hd/Vision360.html?d=924410545&amp;zoomslide=1&amp;z=1924410545&amp;ISCONFIRM=0","VIDEO")</f>
        <v>VIDEO</v>
      </c>
      <c r="AA7804" s="19" t="str">
        <f>HYPERLINK("https://ssdweb.co/ssdweb/CERTH/6472329458.pdf","CERTI")</f>
        <v>CERTI</v>
      </c>
    </row>
    <row r="7805" spans="1:27" ht="15" x14ac:dyDescent="0.25">
      <c r="A7805" s="2">
        <v>7800</v>
      </c>
      <c r="B7805" s="39">
        <v>831020671</v>
      </c>
      <c r="C7805" s="28" t="str">
        <f>HYPERLINK("https://pld.live/RapDetail.aspx?STONELIST=831020671","DNA")</f>
        <v>DNA</v>
      </c>
      <c r="D7805" s="18" t="s">
        <v>711</v>
      </c>
      <c r="E7805" s="18" t="s">
        <v>2186</v>
      </c>
      <c r="F7805" s="2" t="s">
        <v>7987</v>
      </c>
      <c r="G7805" s="2" t="s">
        <v>4029</v>
      </c>
      <c r="H7805" s="14">
        <v>1.57</v>
      </c>
      <c r="I7805" s="2" t="s">
        <v>4699</v>
      </c>
      <c r="J7805" s="2" t="s">
        <v>13</v>
      </c>
      <c r="K7805" s="2" t="s">
        <v>1452</v>
      </c>
      <c r="L7805" s="2" t="s">
        <v>5221</v>
      </c>
      <c r="M7805" s="2" t="s">
        <v>5221</v>
      </c>
      <c r="N7805" s="2" t="s">
        <v>2317</v>
      </c>
      <c r="O7805" s="14">
        <v>10200</v>
      </c>
      <c r="P7805" s="14">
        <v>98.86</v>
      </c>
      <c r="Q7805" s="14">
        <v>116.28</v>
      </c>
      <c r="R7805" s="14">
        <v>182.56</v>
      </c>
      <c r="S7805" s="2" t="s">
        <v>3113</v>
      </c>
      <c r="T7805" s="2">
        <v>1.45</v>
      </c>
      <c r="U7805" s="2">
        <v>65.3</v>
      </c>
      <c r="V7805" s="2">
        <v>66</v>
      </c>
      <c r="W7805" s="2" t="s">
        <v>7862</v>
      </c>
      <c r="X7805" s="2" t="s">
        <v>190</v>
      </c>
      <c r="Y7805" s="2">
        <v>16014</v>
      </c>
      <c r="Z7805" s="19" t="str">
        <f>HYPERLINK("https://ssdweb.co/ssdweb/hd/Vision360.html?d=831020671&amp;zoomslide=1&amp;z=1831020671&amp;ISCONFIRM=0","VIDEO")</f>
        <v>VIDEO</v>
      </c>
      <c r="AA7805" s="19" t="str">
        <f>HYPERLINK("https://ssdweb.co/ssdweb/CERTH/557250451.pdf","CERTI")</f>
        <v>CERTI</v>
      </c>
    </row>
    <row r="7806" spans="1:27" ht="15" x14ac:dyDescent="0.25">
      <c r="A7806" s="2">
        <v>7801</v>
      </c>
      <c r="B7806" s="39">
        <v>831010820</v>
      </c>
      <c r="C7806" s="28" t="str">
        <f>HYPERLINK("https://pld.live/RapDetail.aspx?STONELIST=831010820","DNA")</f>
        <v>DNA</v>
      </c>
      <c r="D7806" s="18" t="s">
        <v>711</v>
      </c>
      <c r="E7806" s="18" t="s">
        <v>5128</v>
      </c>
      <c r="F7806" s="2" t="s">
        <v>7987</v>
      </c>
      <c r="G7806" s="2" t="s">
        <v>4029</v>
      </c>
      <c r="H7806" s="14">
        <v>1.54</v>
      </c>
      <c r="I7806" s="2" t="s">
        <v>267</v>
      </c>
      <c r="J7806" s="2" t="s">
        <v>444</v>
      </c>
      <c r="K7806" s="2" t="s">
        <v>1452</v>
      </c>
      <c r="L7806" s="2" t="s">
        <v>5221</v>
      </c>
      <c r="M7806" s="2" t="s">
        <v>5221</v>
      </c>
      <c r="N7806" s="2" t="s">
        <v>2317</v>
      </c>
      <c r="O7806" s="14">
        <v>8100</v>
      </c>
      <c r="P7806" s="14">
        <v>98.63</v>
      </c>
      <c r="Q7806" s="14">
        <v>110.97</v>
      </c>
      <c r="R7806" s="14">
        <v>170.89</v>
      </c>
      <c r="S7806" s="2" t="s">
        <v>4753</v>
      </c>
      <c r="T7806" s="2">
        <v>1.41</v>
      </c>
      <c r="U7806" s="2">
        <v>67.400000000000006</v>
      </c>
      <c r="V7806" s="2">
        <v>64</v>
      </c>
      <c r="W7806" s="2" t="s">
        <v>7862</v>
      </c>
      <c r="X7806" s="2" t="s">
        <v>190</v>
      </c>
      <c r="Y7806" s="2">
        <v>12474</v>
      </c>
      <c r="Z7806" s="19" t="str">
        <f>HYPERLINK("https://ssdweb.co/ssdweb/hd/Vision360.html?d=831010820&amp;zoomslide=1&amp;z=1831010820&amp;ISCONFIRM=0","VIDEO")</f>
        <v>VIDEO</v>
      </c>
      <c r="AA7806" s="19" t="str">
        <f>HYPERLINK("https://ssdweb.co/ssdweb/CERTH/526270546.pdf","CERTI")</f>
        <v>CERTI</v>
      </c>
    </row>
    <row r="7807" spans="1:27" ht="15" x14ac:dyDescent="0.25">
      <c r="A7807" s="2">
        <v>7802</v>
      </c>
      <c r="B7807" s="39">
        <v>924380500</v>
      </c>
      <c r="C7807" s="28" t="str">
        <f>HYPERLINK("https://pld.live/RapDetail.aspx?STONELIST=924380500","DNA")</f>
        <v>DNA</v>
      </c>
      <c r="D7807" s="18" t="s">
        <v>711</v>
      </c>
      <c r="E7807" s="18" t="s">
        <v>2186</v>
      </c>
      <c r="F7807" s="2" t="s">
        <v>5597</v>
      </c>
      <c r="G7807" s="2" t="s">
        <v>4029</v>
      </c>
      <c r="H7807" s="14">
        <v>1.54</v>
      </c>
      <c r="I7807" s="2" t="s">
        <v>6587</v>
      </c>
      <c r="J7807" s="2" t="s">
        <v>13</v>
      </c>
      <c r="K7807" s="2" t="s">
        <v>1452</v>
      </c>
      <c r="L7807" s="2" t="s">
        <v>5221</v>
      </c>
      <c r="M7807" s="2" t="s">
        <v>5221</v>
      </c>
      <c r="N7807" s="2" t="s">
        <v>2317</v>
      </c>
      <c r="O7807" s="14">
        <v>9300</v>
      </c>
      <c r="P7807" s="14">
        <v>98.01</v>
      </c>
      <c r="Q7807" s="14">
        <v>185.07</v>
      </c>
      <c r="R7807" s="14">
        <v>285.01</v>
      </c>
      <c r="S7807" s="2" t="s">
        <v>2590</v>
      </c>
      <c r="T7807" s="2">
        <v>1.28</v>
      </c>
      <c r="U7807" s="2">
        <v>63.5</v>
      </c>
      <c r="V7807" s="2">
        <v>66</v>
      </c>
      <c r="W7807" s="2" t="s">
        <v>7862</v>
      </c>
      <c r="X7807" s="2" t="s">
        <v>3698</v>
      </c>
      <c r="Y7807" s="2">
        <v>14322</v>
      </c>
      <c r="Z7807" s="19" t="str">
        <f>HYPERLINK("https://ssdweb.co/ssdweb/hd/Vision360.html?d=924380500&amp;zoomslide=1&amp;z=1924380500&amp;ISCONFIRM=0","VIDEO")</f>
        <v>VIDEO</v>
      </c>
      <c r="AA7807" s="19" t="str">
        <f>HYPERLINK("https://ssdweb.co/ssdweb/CERTH/2477313858.pdf","CERTI")</f>
        <v>CERTI</v>
      </c>
    </row>
    <row r="7808" spans="1:27" ht="15" x14ac:dyDescent="0.25">
      <c r="A7808" s="2">
        <v>7803</v>
      </c>
      <c r="B7808" s="39">
        <v>927092204</v>
      </c>
      <c r="C7808" s="28" t="str">
        <f>HYPERLINK("https://pld.live/RapDetail.aspx?STONELIST=927092204","DNA")</f>
        <v>DNA</v>
      </c>
      <c r="D7808" s="18" t="s">
        <v>711</v>
      </c>
      <c r="E7808" s="18" t="s">
        <v>5128</v>
      </c>
      <c r="F7808" s="2" t="s">
        <v>7987</v>
      </c>
      <c r="G7808" s="2" t="s">
        <v>4029</v>
      </c>
      <c r="H7808" s="14">
        <v>1.53</v>
      </c>
      <c r="I7808" s="2" t="s">
        <v>267</v>
      </c>
      <c r="J7808" s="2" t="s">
        <v>6555</v>
      </c>
      <c r="K7808" s="2" t="s">
        <v>1452</v>
      </c>
      <c r="L7808" s="2" t="s">
        <v>5221</v>
      </c>
      <c r="M7808" s="2" t="s">
        <v>5221</v>
      </c>
      <c r="N7808" s="2" t="s">
        <v>2317</v>
      </c>
      <c r="O7808" s="14">
        <v>13200</v>
      </c>
      <c r="P7808" s="14">
        <v>98.65</v>
      </c>
      <c r="Q7808" s="14">
        <v>178.2</v>
      </c>
      <c r="R7808" s="14">
        <v>272.64999999999998</v>
      </c>
      <c r="S7808" s="2" t="s">
        <v>6666</v>
      </c>
      <c r="T7808" s="2">
        <v>1.28</v>
      </c>
      <c r="U7808" s="2">
        <v>67.400000000000006</v>
      </c>
      <c r="V7808" s="2">
        <v>64</v>
      </c>
      <c r="W7808" s="2" t="s">
        <v>7862</v>
      </c>
      <c r="X7808" s="2" t="s">
        <v>190</v>
      </c>
      <c r="Y7808" s="2">
        <v>20196</v>
      </c>
      <c r="Z7808" s="19" t="str">
        <f>HYPERLINK("https://ssdweb.co/ssdweb/hd/Vision360.html?d=927092204&amp;zoomslide=1&amp;z=1927092204&amp;ISCONFIRM=0","VIDEO")</f>
        <v>VIDEO</v>
      </c>
      <c r="AA7808" s="19" t="str">
        <f>HYPERLINK("https://ssdweb.co/ssdweb/CERTH/667408255.pdf","CERTI")</f>
        <v>CERTI</v>
      </c>
    </row>
    <row r="7809" spans="1:27" ht="15" x14ac:dyDescent="0.25">
      <c r="A7809" s="2">
        <v>7804</v>
      </c>
      <c r="B7809" s="39">
        <v>927151515</v>
      </c>
      <c r="C7809" s="28" t="str">
        <f>HYPERLINK("https://pld.live/RapDetail.aspx?STONELIST=927151515","DNA")</f>
        <v>DNA</v>
      </c>
      <c r="D7809" s="18" t="s">
        <v>711</v>
      </c>
      <c r="E7809" s="18" t="s">
        <v>5128</v>
      </c>
      <c r="F7809" s="2" t="s">
        <v>7987</v>
      </c>
      <c r="G7809" s="2" t="s">
        <v>4029</v>
      </c>
      <c r="H7809" s="14">
        <v>1.52</v>
      </c>
      <c r="I7809" s="2" t="s">
        <v>4761</v>
      </c>
      <c r="J7809" s="2" t="s">
        <v>6555</v>
      </c>
      <c r="K7809" s="2" t="s">
        <v>1452</v>
      </c>
      <c r="L7809" s="2" t="s">
        <v>5221</v>
      </c>
      <c r="M7809" s="2" t="s">
        <v>5221</v>
      </c>
      <c r="N7809" s="2" t="s">
        <v>2317</v>
      </c>
      <c r="O7809" s="14">
        <v>12400</v>
      </c>
      <c r="P7809" s="14">
        <v>98.7</v>
      </c>
      <c r="Q7809" s="14">
        <v>161.19999999999999</v>
      </c>
      <c r="R7809" s="14">
        <v>245.02</v>
      </c>
      <c r="S7809" s="2" t="s">
        <v>7617</v>
      </c>
      <c r="T7809" s="2">
        <v>1.39</v>
      </c>
      <c r="U7809" s="2">
        <v>66.900000000000006</v>
      </c>
      <c r="V7809" s="2">
        <v>65</v>
      </c>
      <c r="W7809" s="2" t="s">
        <v>7862</v>
      </c>
      <c r="X7809" s="2" t="s">
        <v>190</v>
      </c>
      <c r="Y7809" s="2">
        <v>18848</v>
      </c>
      <c r="Z7809" s="19" t="str">
        <f>HYPERLINK("https://ssdweb.co/ssdweb/hd/Vision360.html?d=927151515&amp;zoomslide=1&amp;z=1927151515&amp;ISCONFIRM=0","VIDEO")</f>
        <v>VIDEO</v>
      </c>
      <c r="AA7809" s="19" t="str">
        <f>HYPERLINK("https://ssdweb.co/ssdweb/CERTH/668437177.pdf","CERTI")</f>
        <v>CERTI</v>
      </c>
    </row>
    <row r="7810" spans="1:27" ht="15" x14ac:dyDescent="0.25">
      <c r="A7810" s="2">
        <v>7805</v>
      </c>
      <c r="B7810" s="39">
        <v>927151845</v>
      </c>
      <c r="C7810" s="28" t="str">
        <f>HYPERLINK("https://pld.live/RapDetail.aspx?STONELIST=927151845","DNA")</f>
        <v>DNA</v>
      </c>
      <c r="D7810" s="18" t="s">
        <v>711</v>
      </c>
      <c r="E7810" s="18" t="s">
        <v>5128</v>
      </c>
      <c r="F7810" s="2" t="s">
        <v>7987</v>
      </c>
      <c r="G7810" s="2" t="s">
        <v>4029</v>
      </c>
      <c r="H7810" s="14">
        <v>1.52</v>
      </c>
      <c r="I7810" s="2" t="s">
        <v>4761</v>
      </c>
      <c r="J7810" s="2" t="s">
        <v>3942</v>
      </c>
      <c r="K7810" s="2" t="s">
        <v>1452</v>
      </c>
      <c r="L7810" s="2" t="s">
        <v>5221</v>
      </c>
      <c r="M7810" s="2" t="s">
        <v>5221</v>
      </c>
      <c r="N7810" s="2" t="s">
        <v>2317</v>
      </c>
      <c r="O7810" s="14">
        <v>11600</v>
      </c>
      <c r="P7810" s="14">
        <v>98.9</v>
      </c>
      <c r="Q7810" s="14">
        <v>127.6</v>
      </c>
      <c r="R7810" s="14">
        <v>193.95</v>
      </c>
      <c r="S7810" s="2" t="s">
        <v>1605</v>
      </c>
      <c r="T7810" s="2">
        <v>1.29</v>
      </c>
      <c r="U7810" s="2">
        <v>68.2</v>
      </c>
      <c r="V7810" s="2">
        <v>65</v>
      </c>
      <c r="W7810" s="2" t="s">
        <v>7862</v>
      </c>
      <c r="X7810" s="2" t="s">
        <v>190</v>
      </c>
      <c r="Y7810" s="2">
        <v>17632</v>
      </c>
      <c r="Z7810" s="19" t="str">
        <f>HYPERLINK("https://ssdweb.co/ssdweb/hd/Vision360.html?d=927151845&amp;zoomslide=1&amp;z=1927151845&amp;ISCONFIRM=0","VIDEO")</f>
        <v>VIDEO</v>
      </c>
      <c r="AA7810" s="19" t="str">
        <f>HYPERLINK("https://ssdweb.co/ssdweb/CERTH/668447814.pdf","CERTI")</f>
        <v>CERTI</v>
      </c>
    </row>
    <row r="7811" spans="1:27" ht="15" x14ac:dyDescent="0.25">
      <c r="A7811" s="2">
        <v>7806</v>
      </c>
      <c r="B7811" s="39">
        <v>927151764</v>
      </c>
      <c r="C7811" s="28" t="str">
        <f>HYPERLINK("https://pld.live/RapDetail.aspx?STONELIST=927151764","DNA")</f>
        <v>DNA</v>
      </c>
      <c r="D7811" s="18" t="s">
        <v>711</v>
      </c>
      <c r="E7811" s="18" t="s">
        <v>5128</v>
      </c>
      <c r="F7811" s="2" t="s">
        <v>7987</v>
      </c>
      <c r="G7811" s="2" t="s">
        <v>4029</v>
      </c>
      <c r="H7811" s="14">
        <v>1.52</v>
      </c>
      <c r="I7811" s="2" t="s">
        <v>4699</v>
      </c>
      <c r="J7811" s="2" t="s">
        <v>6555</v>
      </c>
      <c r="K7811" s="2" t="s">
        <v>1452</v>
      </c>
      <c r="L7811" s="2" t="s">
        <v>5221</v>
      </c>
      <c r="M7811" s="2" t="s">
        <v>5221</v>
      </c>
      <c r="N7811" s="2" t="s">
        <v>2317</v>
      </c>
      <c r="O7811" s="14">
        <v>11500</v>
      </c>
      <c r="P7811" s="14">
        <v>98.71</v>
      </c>
      <c r="Q7811" s="14">
        <v>148.35</v>
      </c>
      <c r="R7811" s="14">
        <v>225.49</v>
      </c>
      <c r="S7811" s="2" t="s">
        <v>2732</v>
      </c>
      <c r="T7811" s="2">
        <v>1.27</v>
      </c>
      <c r="U7811" s="2">
        <v>67.099999999999994</v>
      </c>
      <c r="V7811" s="2">
        <v>66</v>
      </c>
      <c r="W7811" s="2" t="s">
        <v>7862</v>
      </c>
      <c r="X7811" s="2" t="s">
        <v>190</v>
      </c>
      <c r="Y7811" s="2">
        <v>17480</v>
      </c>
      <c r="Z7811" s="19" t="str">
        <f>HYPERLINK("https://ssdweb.co/ssdweb/hd/Vision360.html?d=927151764&amp;zoomslide=1&amp;z=1927151764&amp;ISCONFIRM=0","VIDEO")</f>
        <v>VIDEO</v>
      </c>
      <c r="AA7811" s="19" t="str">
        <f>HYPERLINK("https://ssdweb.co/ssdweb/CERTH/668447813.pdf","CERTI")</f>
        <v>CERTI</v>
      </c>
    </row>
    <row r="7812" spans="1:27" ht="15" x14ac:dyDescent="0.25">
      <c r="A7812" s="2">
        <v>7807</v>
      </c>
      <c r="B7812" s="39">
        <v>941400462</v>
      </c>
      <c r="C7812" s="28" t="str">
        <f>HYPERLINK("https://pld.live/RapDetail.aspx?STONELIST=941400462","DNA")</f>
        <v>DNA</v>
      </c>
      <c r="D7812" s="18" t="s">
        <v>711</v>
      </c>
      <c r="E7812" s="18" t="s">
        <v>5128</v>
      </c>
      <c r="F7812" s="2" t="s">
        <v>7987</v>
      </c>
      <c r="G7812" s="2" t="s">
        <v>4029</v>
      </c>
      <c r="H7812" s="14">
        <v>1.51</v>
      </c>
      <c r="I7812" s="2" t="s">
        <v>267</v>
      </c>
      <c r="J7812" s="2" t="s">
        <v>6555</v>
      </c>
      <c r="K7812" s="2" t="s">
        <v>1452</v>
      </c>
      <c r="L7812" s="2" t="s">
        <v>5221</v>
      </c>
      <c r="M7812" s="2" t="s">
        <v>5221</v>
      </c>
      <c r="N7812" s="2" t="s">
        <v>2317</v>
      </c>
      <c r="O7812" s="14">
        <v>13200</v>
      </c>
      <c r="P7812" s="14">
        <v>98.64</v>
      </c>
      <c r="Q7812" s="14">
        <v>179.52</v>
      </c>
      <c r="R7812" s="14">
        <v>271.08</v>
      </c>
      <c r="S7812" s="2" t="s">
        <v>1192</v>
      </c>
      <c r="T7812" s="2">
        <v>1.39</v>
      </c>
      <c r="U7812" s="2">
        <v>66.3</v>
      </c>
      <c r="V7812" s="2">
        <v>64</v>
      </c>
      <c r="W7812" s="2" t="s">
        <v>7862</v>
      </c>
      <c r="X7812" s="2" t="s">
        <v>190</v>
      </c>
      <c r="Y7812" s="2">
        <v>19932</v>
      </c>
      <c r="Z7812" s="19" t="str">
        <f>HYPERLINK("https://ssdweb.co/ssdweb/hd/Vision360.html?d=941400462&amp;zoomslide=1&amp;z=1941400462&amp;ISCONFIRM=0","VIDEO")</f>
        <v>VIDEO</v>
      </c>
      <c r="AA7812" s="19" t="str">
        <f>HYPERLINK("https://ssdweb.co/ssdweb/CERTH/687591681.pdf","CERTI")</f>
        <v>CERTI</v>
      </c>
    </row>
    <row r="7813" spans="1:27" ht="15" x14ac:dyDescent="0.25">
      <c r="A7813" s="2">
        <v>7808</v>
      </c>
      <c r="B7813" s="39">
        <v>927092293</v>
      </c>
      <c r="C7813" s="28" t="str">
        <f>HYPERLINK("https://pld.live/RapDetail.aspx?STONELIST=927092293","DNA")</f>
        <v>DNA</v>
      </c>
      <c r="D7813" s="18" t="s">
        <v>711</v>
      </c>
      <c r="E7813" s="18" t="s">
        <v>5128</v>
      </c>
      <c r="F7813" s="2" t="s">
        <v>7987</v>
      </c>
      <c r="G7813" s="2" t="s">
        <v>4029</v>
      </c>
      <c r="H7813" s="14">
        <v>1.51</v>
      </c>
      <c r="I7813" s="2" t="s">
        <v>267</v>
      </c>
      <c r="J7813" s="2" t="s">
        <v>6555</v>
      </c>
      <c r="K7813" s="2" t="s">
        <v>1452</v>
      </c>
      <c r="L7813" s="2" t="s">
        <v>5221</v>
      </c>
      <c r="M7813" s="2" t="s">
        <v>5221</v>
      </c>
      <c r="N7813" s="2" t="s">
        <v>2317</v>
      </c>
      <c r="O7813" s="14">
        <v>13200</v>
      </c>
      <c r="P7813" s="14">
        <v>98.65</v>
      </c>
      <c r="Q7813" s="14">
        <v>178.2</v>
      </c>
      <c r="R7813" s="14">
        <v>269.08</v>
      </c>
      <c r="S7813" s="2" t="s">
        <v>7993</v>
      </c>
      <c r="T7813" s="2">
        <v>1.35</v>
      </c>
      <c r="U7813" s="2">
        <v>65.8</v>
      </c>
      <c r="V7813" s="2">
        <v>65</v>
      </c>
      <c r="W7813" s="2" t="s">
        <v>7862</v>
      </c>
      <c r="X7813" s="2" t="s">
        <v>190</v>
      </c>
      <c r="Y7813" s="2">
        <v>19932</v>
      </c>
      <c r="Z7813" s="19" t="str">
        <f>HYPERLINK("https://ssdweb.co/ssdweb/hd/Vision360.html?d=927092293&amp;zoomslide=1&amp;z=1927092293&amp;ISCONFIRM=0","VIDEO")</f>
        <v>VIDEO</v>
      </c>
      <c r="AA7813" s="19" t="str">
        <f>HYPERLINK("https://ssdweb.co/ssdweb/CERTH/662473899.pdf","CERTI")</f>
        <v>CERTI</v>
      </c>
    </row>
    <row r="7814" spans="1:27" ht="15" x14ac:dyDescent="0.25">
      <c r="A7814" s="2">
        <v>7809</v>
      </c>
      <c r="B7814" s="39">
        <v>925730829</v>
      </c>
      <c r="C7814" s="28" t="str">
        <f>HYPERLINK("https://pld.live/RapDetail.aspx?STONELIST=925730829","DNA")</f>
        <v>DNA</v>
      </c>
      <c r="D7814" s="18" t="s">
        <v>711</v>
      </c>
      <c r="E7814" s="18" t="s">
        <v>5128</v>
      </c>
      <c r="F7814" s="2" t="s">
        <v>7987</v>
      </c>
      <c r="G7814" s="2" t="s">
        <v>4029</v>
      </c>
      <c r="H7814" s="14">
        <v>1.51</v>
      </c>
      <c r="I7814" s="2" t="s">
        <v>267</v>
      </c>
      <c r="J7814" s="2" t="s">
        <v>3942</v>
      </c>
      <c r="K7814" s="2" t="s">
        <v>1452</v>
      </c>
      <c r="L7814" s="2" t="s">
        <v>5221</v>
      </c>
      <c r="M7814" s="2" t="s">
        <v>5221</v>
      </c>
      <c r="N7814" s="2" t="s">
        <v>2317</v>
      </c>
      <c r="O7814" s="14">
        <v>12500</v>
      </c>
      <c r="P7814" s="14">
        <v>98.91</v>
      </c>
      <c r="Q7814" s="14">
        <v>136.25</v>
      </c>
      <c r="R7814" s="14">
        <v>205.74</v>
      </c>
      <c r="S7814" s="2" t="s">
        <v>5021</v>
      </c>
      <c r="T7814" s="2">
        <v>1.45</v>
      </c>
      <c r="U7814" s="2">
        <v>66.400000000000006</v>
      </c>
      <c r="V7814" s="2">
        <v>66</v>
      </c>
      <c r="W7814" s="2" t="s">
        <v>7862</v>
      </c>
      <c r="X7814" s="2" t="s">
        <v>190</v>
      </c>
      <c r="Y7814" s="2">
        <v>18875</v>
      </c>
      <c r="Z7814" s="19" t="str">
        <f>HYPERLINK("https://ssdweb.co/ssdweb/hd/Vision360.html?d=925730829&amp;zoomslide=1&amp;z=1925730829&amp;ISCONFIRM=0","VIDEO")</f>
        <v>VIDEO</v>
      </c>
      <c r="AA7814" s="19" t="str">
        <f>HYPERLINK("https://ssdweb.co/ssdweb/CERTH/623493307.pdf","CERTI")</f>
        <v>CERTI</v>
      </c>
    </row>
    <row r="7815" spans="1:27" ht="15" x14ac:dyDescent="0.25">
      <c r="A7815" s="2">
        <v>7810</v>
      </c>
      <c r="B7815" s="39">
        <v>927140355</v>
      </c>
      <c r="C7815" s="28" t="str">
        <f>HYPERLINK("https://pld.live/RapDetail.aspx?STONELIST=927140355","DNA")</f>
        <v>DNA</v>
      </c>
      <c r="D7815" s="18" t="s">
        <v>711</v>
      </c>
      <c r="E7815" s="18" t="s">
        <v>2186</v>
      </c>
      <c r="F7815" s="2" t="s">
        <v>7987</v>
      </c>
      <c r="G7815" s="2" t="s">
        <v>4029</v>
      </c>
      <c r="H7815" s="14">
        <v>1.51</v>
      </c>
      <c r="I7815" s="2" t="s">
        <v>4761</v>
      </c>
      <c r="J7815" s="2" t="s">
        <v>3942</v>
      </c>
      <c r="K7815" s="2" t="s">
        <v>1452</v>
      </c>
      <c r="L7815" s="2" t="s">
        <v>5221</v>
      </c>
      <c r="M7815" s="2" t="s">
        <v>5221</v>
      </c>
      <c r="N7815" s="2" t="s">
        <v>2317</v>
      </c>
      <c r="O7815" s="14">
        <v>11600</v>
      </c>
      <c r="P7815" s="14">
        <v>98.88</v>
      </c>
      <c r="Q7815" s="14">
        <v>129.91999999999999</v>
      </c>
      <c r="R7815" s="14">
        <v>196.18</v>
      </c>
      <c r="S7815" s="2" t="s">
        <v>4059</v>
      </c>
      <c r="T7815" s="2">
        <v>1.35</v>
      </c>
      <c r="U7815" s="2">
        <v>63.9</v>
      </c>
      <c r="V7815" s="2">
        <v>67</v>
      </c>
      <c r="W7815" s="2" t="s">
        <v>7862</v>
      </c>
      <c r="X7815" s="2" t="s">
        <v>190</v>
      </c>
      <c r="Y7815" s="2">
        <v>17516</v>
      </c>
      <c r="Z7815" s="19" t="str">
        <f>HYPERLINK("https://ssdweb.co/ssdweb/hd/Vision360.html?d=927140355&amp;zoomslide=1&amp;z=1927140355&amp;ISCONFIRM=0","VIDEO")</f>
        <v>VIDEO</v>
      </c>
      <c r="AA7815" s="19" t="str">
        <f>HYPERLINK("https://ssdweb.co/ssdweb/CERTH/669458279.pdf","CERTI")</f>
        <v>CERTI</v>
      </c>
    </row>
    <row r="7816" spans="1:27" ht="15" x14ac:dyDescent="0.25">
      <c r="A7816" s="2">
        <v>7811</v>
      </c>
      <c r="B7816" s="39">
        <v>925370471</v>
      </c>
      <c r="C7816" s="28" t="str">
        <f>HYPERLINK("https://pld.live/RapDetail.aspx?STONELIST=925370471","DNA")</f>
        <v>DNA</v>
      </c>
      <c r="D7816" s="18" t="s">
        <v>711</v>
      </c>
      <c r="E7816" s="18" t="s">
        <v>5128</v>
      </c>
      <c r="F7816" s="2" t="s">
        <v>7987</v>
      </c>
      <c r="G7816" s="2" t="s">
        <v>4029</v>
      </c>
      <c r="H7816" s="14">
        <v>1.51</v>
      </c>
      <c r="I7816" s="2" t="s">
        <v>4761</v>
      </c>
      <c r="J7816" s="2" t="s">
        <v>444</v>
      </c>
      <c r="K7816" s="2" t="s">
        <v>1452</v>
      </c>
      <c r="L7816" s="2" t="s">
        <v>5221</v>
      </c>
      <c r="M7816" s="2" t="s">
        <v>5221</v>
      </c>
      <c r="N7816" s="2" t="s">
        <v>2317</v>
      </c>
      <c r="O7816" s="14">
        <v>7600</v>
      </c>
      <c r="P7816" s="14">
        <v>98.61</v>
      </c>
      <c r="Q7816" s="14">
        <v>105.64</v>
      </c>
      <c r="R7816" s="14">
        <v>159.52000000000001</v>
      </c>
      <c r="S7816" s="2" t="s">
        <v>2310</v>
      </c>
      <c r="T7816" s="2">
        <v>1.35</v>
      </c>
      <c r="U7816" s="2">
        <v>66.400000000000006</v>
      </c>
      <c r="V7816" s="2">
        <v>65</v>
      </c>
      <c r="W7816" s="2" t="s">
        <v>7862</v>
      </c>
      <c r="X7816" s="2" t="s">
        <v>190</v>
      </c>
      <c r="Y7816" s="2">
        <v>11476</v>
      </c>
      <c r="Z7816" s="19" t="str">
        <f>HYPERLINK("https://ssdweb.co/ssdweb/hd/Vision360.html?d=925370471&amp;zoomslide=1&amp;z=1925370471&amp;ISCONFIRM=0","VIDEO")</f>
        <v>VIDEO</v>
      </c>
      <c r="AA7816" s="19" t="str">
        <f>HYPERLINK("https://ssdweb.co/ssdweb/CERTH/621475705.pdf","CERTI")</f>
        <v>CERTI</v>
      </c>
    </row>
    <row r="7817" spans="1:27" ht="15" x14ac:dyDescent="0.25">
      <c r="A7817" s="2">
        <v>7812</v>
      </c>
      <c r="B7817" s="39">
        <v>831010477</v>
      </c>
      <c r="C7817" s="28" t="str">
        <f>HYPERLINK("https://pld.live/RapDetail.aspx?STONELIST=831010477","DNA")</f>
        <v>DNA</v>
      </c>
      <c r="D7817" s="18" t="s">
        <v>711</v>
      </c>
      <c r="E7817" s="18" t="s">
        <v>5128</v>
      </c>
      <c r="F7817" s="2" t="s">
        <v>7987</v>
      </c>
      <c r="G7817" s="2" t="s">
        <v>4029</v>
      </c>
      <c r="H7817" s="14">
        <v>1.5</v>
      </c>
      <c r="I7817" s="2" t="s">
        <v>267</v>
      </c>
      <c r="J7817" s="2" t="s">
        <v>444</v>
      </c>
      <c r="K7817" s="2" t="s">
        <v>1452</v>
      </c>
      <c r="L7817" s="2" t="s">
        <v>5221</v>
      </c>
      <c r="M7817" s="2" t="s">
        <v>5221</v>
      </c>
      <c r="N7817" s="2" t="s">
        <v>2317</v>
      </c>
      <c r="O7817" s="14">
        <v>8100</v>
      </c>
      <c r="P7817" s="14">
        <v>98.63</v>
      </c>
      <c r="Q7817" s="14">
        <v>110.97</v>
      </c>
      <c r="R7817" s="14">
        <v>166.46</v>
      </c>
      <c r="S7817" s="2" t="s">
        <v>6718</v>
      </c>
      <c r="T7817" s="2">
        <v>1.35</v>
      </c>
      <c r="U7817" s="2">
        <v>68.3</v>
      </c>
      <c r="V7817" s="2">
        <v>67</v>
      </c>
      <c r="W7817" s="2" t="s">
        <v>7862</v>
      </c>
      <c r="X7817" s="2" t="s">
        <v>190</v>
      </c>
      <c r="Y7817" s="2">
        <v>12150</v>
      </c>
      <c r="Z7817" s="19" t="str">
        <f>HYPERLINK("https://ssdweb.co/ssdweb/hd/Vision360.html?d=831010477&amp;zoomslide=1&amp;z=1831010477&amp;ISCONFIRM=0","VIDEO")</f>
        <v>VIDEO</v>
      </c>
      <c r="AA7817" s="19" t="str">
        <f>HYPERLINK("https://ssdweb.co/ssdweb/CERTH/551208487.pdf","CERTI")</f>
        <v>CERTI</v>
      </c>
    </row>
    <row r="7818" spans="1:27" ht="15" x14ac:dyDescent="0.25">
      <c r="A7818" s="2">
        <v>7813</v>
      </c>
      <c r="B7818" s="39">
        <v>927152809</v>
      </c>
      <c r="C7818" s="28" t="str">
        <f>HYPERLINK("https://pld.live/RapDetail.aspx?STONELIST=927152809","DNA")</f>
        <v>DNA</v>
      </c>
      <c r="D7818" s="18" t="s">
        <v>711</v>
      </c>
      <c r="E7818" s="18" t="s">
        <v>5128</v>
      </c>
      <c r="F7818" s="2" t="s">
        <v>7987</v>
      </c>
      <c r="G7818" s="2" t="s">
        <v>4029</v>
      </c>
      <c r="H7818" s="14">
        <v>1.5</v>
      </c>
      <c r="I7818" s="2" t="s">
        <v>4761</v>
      </c>
      <c r="J7818" s="2" t="s">
        <v>5144</v>
      </c>
      <c r="K7818" s="2" t="s">
        <v>1452</v>
      </c>
      <c r="L7818" s="2" t="s">
        <v>5221</v>
      </c>
      <c r="M7818" s="2" t="s">
        <v>5221</v>
      </c>
      <c r="N7818" s="2" t="s">
        <v>2317</v>
      </c>
      <c r="O7818" s="14">
        <v>9300</v>
      </c>
      <c r="P7818" s="14">
        <v>98.73</v>
      </c>
      <c r="Q7818" s="14">
        <v>118.11</v>
      </c>
      <c r="R7818" s="14">
        <v>177.17</v>
      </c>
      <c r="S7818" s="2" t="s">
        <v>7205</v>
      </c>
      <c r="T7818" s="2">
        <v>1.27</v>
      </c>
      <c r="U7818" s="2">
        <v>67.7</v>
      </c>
      <c r="V7818" s="2">
        <v>61</v>
      </c>
      <c r="W7818" s="2" t="s">
        <v>7862</v>
      </c>
      <c r="X7818" s="2" t="s">
        <v>190</v>
      </c>
      <c r="Y7818" s="2">
        <v>13950</v>
      </c>
      <c r="Z7818" s="19" t="str">
        <f>HYPERLINK("https://ssdweb.co/ssdweb/hd/Vision360.html?d=927152809&amp;zoomslide=1&amp;z=1927152809&amp;ISCONFIRM=0","VIDEO")</f>
        <v>VIDEO</v>
      </c>
      <c r="AA7818" s="19" t="str">
        <f>HYPERLINK("https://ssdweb.co/ssdweb/CERTH/670445206.pdf","CERTI")</f>
        <v>CERTI</v>
      </c>
    </row>
    <row r="7819" spans="1:27" ht="15" x14ac:dyDescent="0.25">
      <c r="A7819" s="2">
        <v>7814</v>
      </c>
      <c r="B7819" s="39">
        <v>926972089</v>
      </c>
      <c r="C7819" s="28" t="str">
        <f>HYPERLINK("https://pld.live/RapDetail.aspx?STONELIST=926972089","DNA")</f>
        <v>DNA</v>
      </c>
      <c r="D7819" s="18" t="s">
        <v>711</v>
      </c>
      <c r="E7819" s="18" t="s">
        <v>5128</v>
      </c>
      <c r="F7819" s="2" t="s">
        <v>7987</v>
      </c>
      <c r="G7819" s="2" t="s">
        <v>4029</v>
      </c>
      <c r="H7819" s="14">
        <v>1.5</v>
      </c>
      <c r="I7819" s="2" t="s">
        <v>4699</v>
      </c>
      <c r="J7819" s="2" t="s">
        <v>13</v>
      </c>
      <c r="K7819" s="2" t="s">
        <v>1452</v>
      </c>
      <c r="L7819" s="2" t="s">
        <v>5221</v>
      </c>
      <c r="M7819" s="2" t="s">
        <v>5221</v>
      </c>
      <c r="N7819" s="2" t="s">
        <v>2317</v>
      </c>
      <c r="O7819" s="14">
        <v>10200</v>
      </c>
      <c r="P7819" s="14">
        <v>98.86</v>
      </c>
      <c r="Q7819" s="14">
        <v>116.28</v>
      </c>
      <c r="R7819" s="14">
        <v>174.42</v>
      </c>
      <c r="S7819" s="2" t="s">
        <v>2555</v>
      </c>
      <c r="T7819" s="2">
        <v>1.29</v>
      </c>
      <c r="U7819" s="2">
        <v>66.900000000000006</v>
      </c>
      <c r="V7819" s="2">
        <v>66</v>
      </c>
      <c r="W7819" s="2" t="s">
        <v>7862</v>
      </c>
      <c r="X7819" s="2" t="s">
        <v>190</v>
      </c>
      <c r="Y7819" s="2">
        <v>15300</v>
      </c>
      <c r="Z7819" s="19" t="str">
        <f>HYPERLINK("https://ssdweb.co/ssdweb/hd/Vision360.html?d=926972089&amp;zoomslide=1&amp;z=1926972089&amp;ISCONFIRM=0","VIDEO")</f>
        <v>VIDEO</v>
      </c>
      <c r="AA7819" s="19" t="str">
        <f>HYPERLINK("https://ssdweb.co/ssdweb/CERTH/660489660.pdf","CERTI")</f>
        <v>CERTI</v>
      </c>
    </row>
    <row r="7820" spans="1:27" ht="15" x14ac:dyDescent="0.25">
      <c r="A7820" s="2">
        <v>7815</v>
      </c>
      <c r="B7820" s="39">
        <v>926972039</v>
      </c>
      <c r="C7820" s="28" t="str">
        <f>HYPERLINK("https://pld.live/RapDetail.aspx?STONELIST=926972039","DNA")</f>
        <v>DNA</v>
      </c>
      <c r="D7820" s="18" t="s">
        <v>711</v>
      </c>
      <c r="E7820" s="18" t="s">
        <v>5128</v>
      </c>
      <c r="F7820" s="2" t="s">
        <v>7987</v>
      </c>
      <c r="G7820" s="2" t="s">
        <v>4029</v>
      </c>
      <c r="H7820" s="14">
        <v>1.5</v>
      </c>
      <c r="I7820" s="2" t="s">
        <v>4699</v>
      </c>
      <c r="J7820" s="2" t="s">
        <v>13</v>
      </c>
      <c r="K7820" s="2" t="s">
        <v>1452</v>
      </c>
      <c r="L7820" s="2" t="s">
        <v>5221</v>
      </c>
      <c r="M7820" s="2" t="s">
        <v>5221</v>
      </c>
      <c r="N7820" s="2" t="s">
        <v>2317</v>
      </c>
      <c r="O7820" s="14">
        <v>10200</v>
      </c>
      <c r="P7820" s="14">
        <v>98.86</v>
      </c>
      <c r="Q7820" s="14">
        <v>116.28</v>
      </c>
      <c r="R7820" s="14">
        <v>174.42</v>
      </c>
      <c r="S7820" s="2" t="s">
        <v>7661</v>
      </c>
      <c r="T7820" s="2">
        <v>1.29</v>
      </c>
      <c r="U7820" s="2">
        <v>67.2</v>
      </c>
      <c r="V7820" s="2">
        <v>66</v>
      </c>
      <c r="W7820" s="2" t="s">
        <v>7862</v>
      </c>
      <c r="X7820" s="2" t="s">
        <v>190</v>
      </c>
      <c r="Y7820" s="2">
        <v>15300</v>
      </c>
      <c r="Z7820" s="19" t="str">
        <f>HYPERLINK("https://ssdweb.co/ssdweb/hd/Vision360.html?d=926972039&amp;zoomslide=1&amp;z=1926972039&amp;ISCONFIRM=0","VIDEO")</f>
        <v>VIDEO</v>
      </c>
      <c r="AA7820" s="19" t="str">
        <f>HYPERLINK("https://ssdweb.co/ssdweb/CERTH/660440553.pdf","CERTI")</f>
        <v>CERTI</v>
      </c>
    </row>
    <row r="7821" spans="1:27" ht="15" x14ac:dyDescent="0.25">
      <c r="A7821" s="2">
        <v>7816</v>
      </c>
      <c r="B7821" s="39">
        <v>831020181</v>
      </c>
      <c r="C7821" s="28" t="str">
        <f>HYPERLINK("https://pld.live/RapDetail.aspx?STONELIST=831020181","DNA")</f>
        <v>DNA</v>
      </c>
      <c r="D7821" s="18" t="s">
        <v>711</v>
      </c>
      <c r="E7821" s="18" t="s">
        <v>2186</v>
      </c>
      <c r="F7821" s="2" t="s">
        <v>5597</v>
      </c>
      <c r="G7821" s="2" t="s">
        <v>4029</v>
      </c>
      <c r="H7821" s="14">
        <v>1.5</v>
      </c>
      <c r="I7821" s="2" t="s">
        <v>6587</v>
      </c>
      <c r="J7821" s="2" t="s">
        <v>3942</v>
      </c>
      <c r="K7821" s="2" t="s">
        <v>1452</v>
      </c>
      <c r="L7821" s="2" t="s">
        <v>5221</v>
      </c>
      <c r="M7821" s="2" t="s">
        <v>5221</v>
      </c>
      <c r="N7821" s="2" t="s">
        <v>2317</v>
      </c>
      <c r="O7821" s="14">
        <v>10000</v>
      </c>
      <c r="P7821" s="14">
        <v>98.1</v>
      </c>
      <c r="Q7821" s="14">
        <v>190</v>
      </c>
      <c r="R7821" s="14">
        <v>285</v>
      </c>
      <c r="S7821" s="2" t="s">
        <v>6705</v>
      </c>
      <c r="T7821" s="2">
        <v>1.45</v>
      </c>
      <c r="U7821" s="2">
        <v>66.2</v>
      </c>
      <c r="V7821" s="2">
        <v>66</v>
      </c>
      <c r="W7821" s="2" t="s">
        <v>7862</v>
      </c>
      <c r="X7821" s="2" t="s">
        <v>3698</v>
      </c>
      <c r="Y7821" s="2">
        <v>15000</v>
      </c>
      <c r="Z7821" s="19" t="str">
        <f>HYPERLINK("https://ssdweb.co/ssdweb/hd/Vision360.html?d=831020181&amp;zoomslide=1&amp;z=1831020181&amp;ISCONFIRM=0","VIDEO")</f>
        <v>VIDEO</v>
      </c>
      <c r="AA7821" s="19" t="str">
        <f>HYPERLINK("https://ssdweb.co/ssdweb/CERTH/2447204133.pdf","CERTI")</f>
        <v>CERTI</v>
      </c>
    </row>
    <row r="7822" spans="1:27" ht="15" x14ac:dyDescent="0.25">
      <c r="A7822" s="2">
        <v>7817</v>
      </c>
      <c r="B7822" s="39">
        <v>831010819</v>
      </c>
      <c r="C7822" s="28" t="str">
        <f>HYPERLINK("https://pld.live/RapDetail.aspx?STONELIST=831010819","DNA")</f>
        <v>DNA</v>
      </c>
      <c r="D7822" s="18" t="s">
        <v>711</v>
      </c>
      <c r="E7822" s="18" t="s">
        <v>5128</v>
      </c>
      <c r="F7822" s="2" t="s">
        <v>7987</v>
      </c>
      <c r="G7822" s="2" t="s">
        <v>4029</v>
      </c>
      <c r="H7822" s="14">
        <v>1.5</v>
      </c>
      <c r="I7822" s="2" t="s">
        <v>6587</v>
      </c>
      <c r="J7822" s="2" t="s">
        <v>13</v>
      </c>
      <c r="K7822" s="2" t="s">
        <v>1452</v>
      </c>
      <c r="L7822" s="2" t="s">
        <v>5221</v>
      </c>
      <c r="M7822" s="2" t="s">
        <v>5221</v>
      </c>
      <c r="N7822" s="2" t="s">
        <v>2317</v>
      </c>
      <c r="O7822" s="14">
        <v>9300</v>
      </c>
      <c r="P7822" s="14">
        <v>98.83</v>
      </c>
      <c r="Q7822" s="14">
        <v>108.81</v>
      </c>
      <c r="R7822" s="14">
        <v>163.22</v>
      </c>
      <c r="S7822" s="2" t="s">
        <v>3485</v>
      </c>
      <c r="T7822" s="2">
        <v>1.32</v>
      </c>
      <c r="U7822" s="2">
        <v>66.400000000000006</v>
      </c>
      <c r="V7822" s="2">
        <v>64</v>
      </c>
      <c r="W7822" s="2" t="s">
        <v>4336</v>
      </c>
      <c r="X7822" s="2" t="s">
        <v>190</v>
      </c>
      <c r="Y7822" s="2">
        <v>13950</v>
      </c>
      <c r="Z7822" s="19" t="str">
        <f>HYPERLINK("https://ssdweb.co/ssdweb/hd/Vision360.html?d=831010819&amp;zoomslide=1&amp;z=1831010819&amp;ISCONFIRM=0","VIDEO")</f>
        <v>VIDEO</v>
      </c>
      <c r="AA7822" s="19" t="str">
        <f>HYPERLINK("https://ssdweb.co/ssdweb/CERTH/598353301.pdf","CERTI")</f>
        <v>CERTI</v>
      </c>
    </row>
    <row r="7823" spans="1:27" ht="15" x14ac:dyDescent="0.25">
      <c r="A7823" s="2">
        <v>7818</v>
      </c>
      <c r="B7823" s="39">
        <v>924150570</v>
      </c>
      <c r="C7823" s="28" t="str">
        <f>HYPERLINK("https://pld.live/RapDetail.aspx?STONELIST=924150570","DNA")</f>
        <v>DNA</v>
      </c>
      <c r="D7823" s="18" t="s">
        <v>711</v>
      </c>
      <c r="E7823" s="18" t="s">
        <v>2186</v>
      </c>
      <c r="F7823" s="2" t="s">
        <v>5597</v>
      </c>
      <c r="G7823" s="2" t="s">
        <v>4029</v>
      </c>
      <c r="H7823" s="14">
        <v>1.5</v>
      </c>
      <c r="I7823" s="2" t="s">
        <v>1505</v>
      </c>
      <c r="J7823" s="2" t="s">
        <v>5144</v>
      </c>
      <c r="K7823" s="2" t="s">
        <v>1452</v>
      </c>
      <c r="L7823" s="2" t="s">
        <v>5221</v>
      </c>
      <c r="M7823" s="2" t="s">
        <v>5221</v>
      </c>
      <c r="N7823" s="2" t="s">
        <v>2317</v>
      </c>
      <c r="O7823" s="14">
        <v>7100</v>
      </c>
      <c r="P7823" s="14">
        <v>97.46</v>
      </c>
      <c r="Q7823" s="14">
        <v>180.34</v>
      </c>
      <c r="R7823" s="14">
        <v>270.51</v>
      </c>
      <c r="S7823" s="2" t="s">
        <v>7844</v>
      </c>
      <c r="T7823" s="2">
        <v>1.37</v>
      </c>
      <c r="U7823" s="2">
        <v>67.3</v>
      </c>
      <c r="V7823" s="2">
        <v>66</v>
      </c>
      <c r="W7823" s="2" t="s">
        <v>7862</v>
      </c>
      <c r="X7823" s="2" t="s">
        <v>3698</v>
      </c>
      <c r="Y7823" s="2">
        <v>10650</v>
      </c>
      <c r="Z7823" s="19" t="str">
        <f>HYPERLINK("https://ssdweb.co/ssdweb/hd/Vision360.html?d=924150570&amp;zoomslide=1&amp;z=1924150570&amp;ISCONFIRM=0","VIDEO")</f>
        <v>VIDEO</v>
      </c>
      <c r="AA7823" s="19" t="str">
        <f>HYPERLINK("https://ssdweb.co/ssdweb/CERTH/6461395290.pdf","CERTI")</f>
        <v>CERTI</v>
      </c>
    </row>
    <row r="7824" spans="1:27" ht="15" x14ac:dyDescent="0.25">
      <c r="A7824" s="2">
        <v>7819</v>
      </c>
      <c r="B7824" s="39">
        <v>925950833</v>
      </c>
      <c r="C7824" s="28" t="str">
        <f>HYPERLINK("https://pld.live/RapDetail.aspx?STONELIST=925950833","DNA")</f>
        <v>DNA</v>
      </c>
      <c r="D7824" s="18" t="s">
        <v>5281</v>
      </c>
      <c r="E7824" s="18" t="s">
        <v>5128</v>
      </c>
      <c r="F7824" s="2" t="s">
        <v>7987</v>
      </c>
      <c r="G7824" s="2" t="s">
        <v>4029</v>
      </c>
      <c r="H7824" s="14">
        <v>1.49</v>
      </c>
      <c r="I7824" s="2" t="s">
        <v>267</v>
      </c>
      <c r="J7824" s="2" t="s">
        <v>6555</v>
      </c>
      <c r="K7824" s="2" t="s">
        <v>1452</v>
      </c>
      <c r="L7824" s="2" t="s">
        <v>5221</v>
      </c>
      <c r="M7824" s="2" t="s">
        <v>5221</v>
      </c>
      <c r="N7824" s="2" t="s">
        <v>2317</v>
      </c>
      <c r="O7824" s="14">
        <v>8200</v>
      </c>
      <c r="P7824" s="14">
        <v>98.04</v>
      </c>
      <c r="Q7824" s="14">
        <v>160.72</v>
      </c>
      <c r="R7824" s="14">
        <v>239.47</v>
      </c>
      <c r="S7824" s="2" t="s">
        <v>1666</v>
      </c>
      <c r="T7824" s="2">
        <v>1.35</v>
      </c>
      <c r="U7824" s="2">
        <v>65.7</v>
      </c>
      <c r="V7824" s="2">
        <v>64</v>
      </c>
      <c r="W7824" s="2" t="s">
        <v>7862</v>
      </c>
      <c r="X7824" s="2" t="s">
        <v>190</v>
      </c>
      <c r="Y7824" s="2">
        <v>12218</v>
      </c>
      <c r="Z7824" s="19" t="str">
        <f>HYPERLINK("https://ssdweb.co/ssdweb/hd/Vision360.html?d=925950833&amp;zoomslide=1&amp;z=1925950833&amp;ISCONFIRM=0","VIDEO")</f>
        <v>VIDEO</v>
      </c>
      <c r="AA7824" s="19" t="str">
        <f>HYPERLINK("https://ssdweb.co/ssdweb/CERTH/628402015.pdf","CERTI")</f>
        <v>CERTI</v>
      </c>
    </row>
    <row r="7825" spans="1:27" ht="15" x14ac:dyDescent="0.25">
      <c r="A7825" s="2">
        <v>7820</v>
      </c>
      <c r="B7825" s="39">
        <v>925621550</v>
      </c>
      <c r="C7825" s="28" t="str">
        <f>HYPERLINK("https://pld.live/RapDetail.aspx?STONELIST=925621550","DNA")</f>
        <v>DNA</v>
      </c>
      <c r="D7825" s="18" t="s">
        <v>5281</v>
      </c>
      <c r="E7825" s="18" t="s">
        <v>5128</v>
      </c>
      <c r="F7825" s="2" t="s">
        <v>7987</v>
      </c>
      <c r="G7825" s="2" t="s">
        <v>4029</v>
      </c>
      <c r="H7825" s="14">
        <v>1.47</v>
      </c>
      <c r="I7825" s="2" t="s">
        <v>267</v>
      </c>
      <c r="J7825" s="2" t="s">
        <v>5144</v>
      </c>
      <c r="K7825" s="2" t="s">
        <v>1452</v>
      </c>
      <c r="L7825" s="2" t="s">
        <v>5221</v>
      </c>
      <c r="M7825" s="2" t="s">
        <v>5221</v>
      </c>
      <c r="N7825" s="2" t="s">
        <v>2317</v>
      </c>
      <c r="O7825" s="14">
        <v>5700</v>
      </c>
      <c r="P7825" s="14">
        <v>98.14</v>
      </c>
      <c r="Q7825" s="14">
        <v>106.02</v>
      </c>
      <c r="R7825" s="14">
        <v>155.85</v>
      </c>
      <c r="S7825" s="2" t="s">
        <v>5534</v>
      </c>
      <c r="T7825" s="2">
        <v>1.28</v>
      </c>
      <c r="U7825" s="2">
        <v>68</v>
      </c>
      <c r="V7825" s="2">
        <v>65</v>
      </c>
      <c r="W7825" s="2" t="s">
        <v>7862</v>
      </c>
      <c r="X7825" s="2" t="s">
        <v>190</v>
      </c>
      <c r="Y7825" s="2">
        <v>8379</v>
      </c>
      <c r="Z7825" s="19" t="str">
        <f>HYPERLINK("https://ssdweb.co/ssdweb/hd/Vision360.html?d=925621550&amp;zoomslide=1&amp;z=1925621550&amp;ISCONFIRM=0","VIDEO")</f>
        <v>VIDEO</v>
      </c>
      <c r="AA7825" s="19" t="str">
        <f>HYPERLINK("https://ssdweb.co/ssdweb/CERTH/620449083.pdf","CERTI")</f>
        <v>CERTI</v>
      </c>
    </row>
    <row r="7826" spans="1:27" ht="15" x14ac:dyDescent="0.25">
      <c r="A7826" s="2">
        <v>7821</v>
      </c>
      <c r="B7826" s="39">
        <v>926200414</v>
      </c>
      <c r="C7826" s="28" t="str">
        <f>HYPERLINK("https://pld.live/RapDetail.aspx?STONELIST=926200414","DNA")</f>
        <v>DNA</v>
      </c>
      <c r="D7826" s="18" t="s">
        <v>5281</v>
      </c>
      <c r="E7826" s="18" t="s">
        <v>5128</v>
      </c>
      <c r="F7826" s="2" t="s">
        <v>7987</v>
      </c>
      <c r="G7826" s="2" t="s">
        <v>4029</v>
      </c>
      <c r="H7826" s="14">
        <v>1.47</v>
      </c>
      <c r="I7826" s="2" t="s">
        <v>4761</v>
      </c>
      <c r="J7826" s="2" t="s">
        <v>13</v>
      </c>
      <c r="K7826" s="2" t="s">
        <v>1452</v>
      </c>
      <c r="L7826" s="2" t="s">
        <v>5221</v>
      </c>
      <c r="M7826" s="2" t="s">
        <v>5221</v>
      </c>
      <c r="N7826" s="2" t="s">
        <v>2317</v>
      </c>
      <c r="O7826" s="14">
        <v>6200</v>
      </c>
      <c r="P7826" s="14">
        <v>98.31</v>
      </c>
      <c r="Q7826" s="14">
        <v>104.78</v>
      </c>
      <c r="R7826" s="14">
        <v>154.03</v>
      </c>
      <c r="S7826" s="2" t="s">
        <v>3784</v>
      </c>
      <c r="T7826" s="2">
        <v>1.28</v>
      </c>
      <c r="U7826" s="2">
        <v>68.2</v>
      </c>
      <c r="V7826" s="2">
        <v>66</v>
      </c>
      <c r="W7826" s="2" t="s">
        <v>4336</v>
      </c>
      <c r="X7826" s="2" t="s">
        <v>190</v>
      </c>
      <c r="Y7826" s="2">
        <v>9114</v>
      </c>
      <c r="Z7826" s="19" t="str">
        <f>HYPERLINK("https://ssdweb.co/ssdweb/hd/Vision360.html?d=926200414&amp;zoomslide=1&amp;z=1926200414&amp;ISCONFIRM=0","VIDEO")</f>
        <v>VIDEO</v>
      </c>
      <c r="AA7826" s="19" t="str">
        <f>HYPERLINK("https://ssdweb.co/ssdweb/CERTH/634431499.pdf","CERTI")</f>
        <v>CERTI</v>
      </c>
    </row>
    <row r="7827" spans="1:27" ht="15" x14ac:dyDescent="0.25">
      <c r="A7827" s="2">
        <v>7822</v>
      </c>
      <c r="B7827" s="39">
        <v>927070619</v>
      </c>
      <c r="C7827" s="28" t="str">
        <f>HYPERLINK("https://pld.live/RapDetail.aspx?STONELIST=927070619","DNA")</f>
        <v>DNA</v>
      </c>
      <c r="D7827" s="18" t="s">
        <v>5281</v>
      </c>
      <c r="E7827" s="18" t="s">
        <v>2186</v>
      </c>
      <c r="F7827" s="2" t="s">
        <v>7987</v>
      </c>
      <c r="G7827" s="2" t="s">
        <v>4029</v>
      </c>
      <c r="H7827" s="14">
        <v>1.47</v>
      </c>
      <c r="I7827" s="2" t="s">
        <v>4699</v>
      </c>
      <c r="J7827" s="2" t="s">
        <v>13</v>
      </c>
      <c r="K7827" s="2" t="s">
        <v>1452</v>
      </c>
      <c r="L7827" s="2" t="s">
        <v>5221</v>
      </c>
      <c r="M7827" s="2" t="s">
        <v>5221</v>
      </c>
      <c r="N7827" s="2" t="s">
        <v>2317</v>
      </c>
      <c r="O7827" s="14">
        <v>5800</v>
      </c>
      <c r="P7827" s="14">
        <v>98.22</v>
      </c>
      <c r="Q7827" s="14">
        <v>103.24</v>
      </c>
      <c r="R7827" s="14">
        <v>151.76</v>
      </c>
      <c r="S7827" s="2" t="s">
        <v>1912</v>
      </c>
      <c r="T7827" s="2">
        <v>1.35</v>
      </c>
      <c r="U7827" s="2">
        <v>67.3</v>
      </c>
      <c r="V7827" s="2">
        <v>65</v>
      </c>
      <c r="W7827" s="2" t="s">
        <v>7862</v>
      </c>
      <c r="X7827" s="2" t="s">
        <v>190</v>
      </c>
      <c r="Y7827" s="2">
        <v>8526</v>
      </c>
      <c r="Z7827" s="19" t="str">
        <f>HYPERLINK("https://ssdweb.co/ssdweb/hd/Vision360.html?d=927070619&amp;zoomslide=1&amp;z=1927070619&amp;ISCONFIRM=0","VIDEO")</f>
        <v>VIDEO</v>
      </c>
      <c r="AA7827" s="19" t="str">
        <f>HYPERLINK("https://ssdweb.co/ssdweb/CERTH/662473917.pdf","CERTI")</f>
        <v>CERTI</v>
      </c>
    </row>
    <row r="7828" spans="1:27" ht="15" x14ac:dyDescent="0.25">
      <c r="A7828" s="2">
        <v>7823</v>
      </c>
      <c r="B7828" s="39">
        <v>925551815</v>
      </c>
      <c r="C7828" s="28" t="str">
        <f>HYPERLINK("https://pld.live/RapDetail.aspx?STONELIST=925551815","DNA")</f>
        <v>DNA</v>
      </c>
      <c r="D7828" s="18" t="s">
        <v>5281</v>
      </c>
      <c r="E7828" s="18" t="s">
        <v>5128</v>
      </c>
      <c r="F7828" s="2" t="s">
        <v>7987</v>
      </c>
      <c r="G7828" s="2" t="s">
        <v>4029</v>
      </c>
      <c r="H7828" s="14">
        <v>1.46</v>
      </c>
      <c r="I7828" s="2" t="s">
        <v>4699</v>
      </c>
      <c r="J7828" s="2" t="s">
        <v>5144</v>
      </c>
      <c r="K7828" s="2" t="s">
        <v>1452</v>
      </c>
      <c r="L7828" s="2" t="s">
        <v>5221</v>
      </c>
      <c r="M7828" s="2" t="s">
        <v>5221</v>
      </c>
      <c r="N7828" s="2" t="s">
        <v>2317</v>
      </c>
      <c r="O7828" s="14">
        <v>5100</v>
      </c>
      <c r="P7828" s="14">
        <v>98.16</v>
      </c>
      <c r="Q7828" s="14">
        <v>93.84</v>
      </c>
      <c r="R7828" s="14">
        <v>137.01</v>
      </c>
      <c r="S7828" s="2" t="s">
        <v>2709</v>
      </c>
      <c r="T7828" s="2">
        <v>1.35</v>
      </c>
      <c r="U7828" s="2">
        <v>64.400000000000006</v>
      </c>
      <c r="V7828" s="2">
        <v>65</v>
      </c>
      <c r="W7828" s="2" t="s">
        <v>4336</v>
      </c>
      <c r="X7828" s="2" t="s">
        <v>190</v>
      </c>
      <c r="Y7828" s="2">
        <v>7446</v>
      </c>
      <c r="Z7828" s="19" t="str">
        <f>HYPERLINK("https://ssdweb.co/ssdweb/hd/Vision360.html?d=925551815&amp;zoomslide=1&amp;z=1925551815&amp;ISCONFIRM=0","VIDEO")</f>
        <v>VIDEO</v>
      </c>
      <c r="AA7828" s="19" t="str">
        <f>HYPERLINK("https://ssdweb.co/ssdweb/CERTH/619469667.pdf","CERTI")</f>
        <v>CERTI</v>
      </c>
    </row>
    <row r="7829" spans="1:27" ht="15" x14ac:dyDescent="0.25">
      <c r="A7829" s="2">
        <v>7824</v>
      </c>
      <c r="B7829" s="39">
        <v>926200296</v>
      </c>
      <c r="C7829" s="28" t="str">
        <f>HYPERLINK("https://pld.live/RapDetail.aspx?STONELIST=926200296","DNA")</f>
        <v>DNA</v>
      </c>
      <c r="D7829" s="18" t="s">
        <v>5281</v>
      </c>
      <c r="E7829" s="18" t="s">
        <v>5128</v>
      </c>
      <c r="F7829" s="2" t="s">
        <v>7987</v>
      </c>
      <c r="G7829" s="2" t="s">
        <v>4029</v>
      </c>
      <c r="H7829" s="14">
        <v>1.45</v>
      </c>
      <c r="I7829" s="2" t="s">
        <v>267</v>
      </c>
      <c r="J7829" s="2" t="s">
        <v>3942</v>
      </c>
      <c r="K7829" s="2" t="s">
        <v>1452</v>
      </c>
      <c r="L7829" s="2" t="s">
        <v>5221</v>
      </c>
      <c r="M7829" s="2" t="s">
        <v>5221</v>
      </c>
      <c r="N7829" s="2" t="s">
        <v>2317</v>
      </c>
      <c r="O7829" s="14">
        <v>7600</v>
      </c>
      <c r="P7829" s="14">
        <v>98.41</v>
      </c>
      <c r="Q7829" s="14">
        <v>120.84</v>
      </c>
      <c r="R7829" s="14">
        <v>175.22</v>
      </c>
      <c r="S7829" s="2" t="s">
        <v>1599</v>
      </c>
      <c r="T7829" s="2">
        <v>1.35</v>
      </c>
      <c r="U7829" s="2">
        <v>66.2</v>
      </c>
      <c r="V7829" s="2">
        <v>69</v>
      </c>
      <c r="W7829" s="2" t="s">
        <v>7862</v>
      </c>
      <c r="X7829" s="2" t="s">
        <v>190</v>
      </c>
      <c r="Y7829" s="2">
        <v>11020</v>
      </c>
      <c r="Z7829" s="19" t="str">
        <f>HYPERLINK("https://ssdweb.co/ssdweb/hd/Vision360.html?d=926200296&amp;zoomslide=1&amp;z=1926200296&amp;ISCONFIRM=0","VIDEO")</f>
        <v>VIDEO</v>
      </c>
      <c r="AA7829" s="19" t="str">
        <f>HYPERLINK("https://ssdweb.co/ssdweb/CERTH/634472372.pdf","CERTI")</f>
        <v>CERTI</v>
      </c>
    </row>
    <row r="7830" spans="1:27" ht="15" x14ac:dyDescent="0.25">
      <c r="A7830" s="2">
        <v>7825</v>
      </c>
      <c r="B7830" s="39">
        <v>927131198</v>
      </c>
      <c r="C7830" s="28" t="str">
        <f>HYPERLINK("https://pld.live/RapDetail.aspx?STONELIST=927131198","DNA")</f>
        <v>DNA</v>
      </c>
      <c r="D7830" s="18" t="s">
        <v>5281</v>
      </c>
      <c r="E7830" s="18" t="s">
        <v>5128</v>
      </c>
      <c r="F7830" s="2" t="s">
        <v>7987</v>
      </c>
      <c r="G7830" s="2" t="s">
        <v>4029</v>
      </c>
      <c r="H7830" s="14">
        <v>1.45</v>
      </c>
      <c r="I7830" s="2" t="s">
        <v>4761</v>
      </c>
      <c r="J7830" s="2" t="s">
        <v>5144</v>
      </c>
      <c r="K7830" s="2" t="s">
        <v>1452</v>
      </c>
      <c r="L7830" s="2" t="s">
        <v>5221</v>
      </c>
      <c r="M7830" s="2" t="s">
        <v>5221</v>
      </c>
      <c r="N7830" s="2" t="s">
        <v>2317</v>
      </c>
      <c r="O7830" s="14">
        <v>5400</v>
      </c>
      <c r="P7830" s="14">
        <v>98.15</v>
      </c>
      <c r="Q7830" s="14">
        <v>99.9</v>
      </c>
      <c r="R7830" s="14">
        <v>144.86000000000001</v>
      </c>
      <c r="S7830" s="2" t="s">
        <v>4585</v>
      </c>
      <c r="T7830" s="2">
        <v>1.28</v>
      </c>
      <c r="U7830" s="2">
        <v>64.5</v>
      </c>
      <c r="V7830" s="2">
        <v>62</v>
      </c>
      <c r="W7830" s="2" t="s">
        <v>7862</v>
      </c>
      <c r="X7830" s="2" t="s">
        <v>190</v>
      </c>
      <c r="Y7830" s="2">
        <v>7830</v>
      </c>
      <c r="Z7830" s="19" t="str">
        <f>HYPERLINK("https://ssdweb.co/ssdweb/hd/Vision360.html?d=927131198&amp;zoomslide=1&amp;z=1927131198&amp;ISCONFIRM=0","VIDEO")</f>
        <v>VIDEO</v>
      </c>
      <c r="AA7830" s="19" t="str">
        <f>HYPERLINK("https://ssdweb.co/ssdweb/CERTH/668447807.pdf","CERTI")</f>
        <v>CERTI</v>
      </c>
    </row>
    <row r="7831" spans="1:27" ht="15" x14ac:dyDescent="0.25">
      <c r="A7831" s="2">
        <v>7826</v>
      </c>
      <c r="B7831" s="39">
        <v>926200153</v>
      </c>
      <c r="C7831" s="28" t="str">
        <f>HYPERLINK("https://pld.live/RapDetail.aspx?STONELIST=926200153","DNA")</f>
        <v>DNA</v>
      </c>
      <c r="D7831" s="18" t="s">
        <v>5281</v>
      </c>
      <c r="E7831" s="18" t="s">
        <v>5128</v>
      </c>
      <c r="F7831" s="2" t="s">
        <v>7987</v>
      </c>
      <c r="G7831" s="2" t="s">
        <v>4029</v>
      </c>
      <c r="H7831" s="14">
        <v>1.43</v>
      </c>
      <c r="I7831" s="2" t="s">
        <v>4761</v>
      </c>
      <c r="J7831" s="2" t="s">
        <v>3942</v>
      </c>
      <c r="K7831" s="2" t="s">
        <v>1452</v>
      </c>
      <c r="L7831" s="2" t="s">
        <v>5221</v>
      </c>
      <c r="M7831" s="2" t="s">
        <v>5221</v>
      </c>
      <c r="N7831" s="2" t="s">
        <v>2317</v>
      </c>
      <c r="O7831" s="14">
        <v>6900</v>
      </c>
      <c r="P7831" s="14">
        <v>98.35</v>
      </c>
      <c r="Q7831" s="14">
        <v>113.85</v>
      </c>
      <c r="R7831" s="14">
        <v>162.81</v>
      </c>
      <c r="S7831" s="2" t="s">
        <v>2726</v>
      </c>
      <c r="T7831" s="2">
        <v>1.28</v>
      </c>
      <c r="U7831" s="2">
        <v>67.900000000000006</v>
      </c>
      <c r="V7831" s="2">
        <v>66</v>
      </c>
      <c r="W7831" s="2" t="s">
        <v>7862</v>
      </c>
      <c r="X7831" s="2" t="s">
        <v>190</v>
      </c>
      <c r="Y7831" s="2">
        <v>9867</v>
      </c>
      <c r="Z7831" s="19" t="str">
        <f>HYPERLINK("https://ssdweb.co/ssdweb/hd/Vision360.html?d=926200153&amp;zoomslide=1&amp;z=1926200153&amp;ISCONFIRM=0","VIDEO")</f>
        <v>VIDEO</v>
      </c>
      <c r="AA7831" s="19" t="str">
        <f>HYPERLINK("https://ssdweb.co/ssdweb/CERTH/634472305.pdf","CERTI")</f>
        <v>CERTI</v>
      </c>
    </row>
    <row r="7832" spans="1:27" ht="15" x14ac:dyDescent="0.25">
      <c r="A7832" s="2">
        <v>7827</v>
      </c>
      <c r="B7832" s="39">
        <v>925951321</v>
      </c>
      <c r="C7832" s="28" t="str">
        <f>HYPERLINK("https://pld.live/RapDetail.aspx?STONELIST=925951321","DNA")</f>
        <v>DNA</v>
      </c>
      <c r="D7832" s="18" t="s">
        <v>5281</v>
      </c>
      <c r="E7832" s="18" t="s">
        <v>5128</v>
      </c>
      <c r="F7832" s="2" t="s">
        <v>7987</v>
      </c>
      <c r="G7832" s="2" t="s">
        <v>4029</v>
      </c>
      <c r="H7832" s="14">
        <v>1.43</v>
      </c>
      <c r="I7832" s="2" t="s">
        <v>4761</v>
      </c>
      <c r="J7832" s="2" t="s">
        <v>5144</v>
      </c>
      <c r="K7832" s="2" t="s">
        <v>1452</v>
      </c>
      <c r="L7832" s="2" t="s">
        <v>5221</v>
      </c>
      <c r="M7832" s="2" t="s">
        <v>5221</v>
      </c>
      <c r="N7832" s="2" t="s">
        <v>2317</v>
      </c>
      <c r="O7832" s="14">
        <v>5400</v>
      </c>
      <c r="P7832" s="14">
        <v>98.19</v>
      </c>
      <c r="Q7832" s="14">
        <v>97.74</v>
      </c>
      <c r="R7832" s="14">
        <v>139.77000000000001</v>
      </c>
      <c r="S7832" s="2" t="s">
        <v>4415</v>
      </c>
      <c r="T7832" s="2">
        <v>1.28</v>
      </c>
      <c r="U7832" s="2">
        <v>67.900000000000006</v>
      </c>
      <c r="V7832" s="2">
        <v>65</v>
      </c>
      <c r="W7832" s="2" t="s">
        <v>7862</v>
      </c>
      <c r="X7832" s="2" t="s">
        <v>190</v>
      </c>
      <c r="Y7832" s="2">
        <v>7722</v>
      </c>
      <c r="Z7832" s="19" t="str">
        <f>HYPERLINK("https://ssdweb.co/ssdweb/hd/Vision360.html?d=925951321&amp;zoomslide=1&amp;z=1925951321&amp;ISCONFIRM=0","VIDEO")</f>
        <v>VIDEO</v>
      </c>
      <c r="AA7832" s="19" t="str">
        <f>HYPERLINK("https://ssdweb.co/ssdweb/CERTH/630447910.pdf","CERTI")</f>
        <v>CERTI</v>
      </c>
    </row>
    <row r="7833" spans="1:27" ht="15" x14ac:dyDescent="0.25">
      <c r="A7833" s="2">
        <v>7828</v>
      </c>
      <c r="B7833" s="39">
        <v>926972136</v>
      </c>
      <c r="C7833" s="28" t="str">
        <f>HYPERLINK("https://pld.live/RapDetail.aspx?STONELIST=926972136","DNA")</f>
        <v>DNA</v>
      </c>
      <c r="D7833" s="18" t="s">
        <v>5281</v>
      </c>
      <c r="E7833" s="18" t="s">
        <v>5128</v>
      </c>
      <c r="F7833" s="2" t="s">
        <v>7987</v>
      </c>
      <c r="G7833" s="2" t="s">
        <v>4029</v>
      </c>
      <c r="H7833" s="14">
        <v>1.42</v>
      </c>
      <c r="I7833" s="2" t="s">
        <v>4699</v>
      </c>
      <c r="J7833" s="2" t="s">
        <v>13</v>
      </c>
      <c r="K7833" s="2" t="s">
        <v>1452</v>
      </c>
      <c r="L7833" s="2" t="s">
        <v>5221</v>
      </c>
      <c r="M7833" s="2" t="s">
        <v>5221</v>
      </c>
      <c r="N7833" s="2" t="s">
        <v>2317</v>
      </c>
      <c r="O7833" s="14">
        <v>5800</v>
      </c>
      <c r="P7833" s="14">
        <v>98.26</v>
      </c>
      <c r="Q7833" s="14">
        <v>100.92</v>
      </c>
      <c r="R7833" s="14">
        <v>143.31</v>
      </c>
      <c r="S7833" s="2" t="s">
        <v>5435</v>
      </c>
      <c r="T7833" s="2">
        <v>1.29</v>
      </c>
      <c r="U7833" s="2">
        <v>68.2</v>
      </c>
      <c r="V7833" s="2">
        <v>68</v>
      </c>
      <c r="W7833" s="2" t="s">
        <v>7862</v>
      </c>
      <c r="X7833" s="2" t="s">
        <v>190</v>
      </c>
      <c r="Y7833" s="2">
        <v>8236</v>
      </c>
      <c r="Z7833" s="19" t="str">
        <f>HYPERLINK("https://ssdweb.co/ssdweb/hd/Vision360.html?d=926972136&amp;zoomslide=1&amp;z=1926972136&amp;ISCONFIRM=0","VIDEO")</f>
        <v>VIDEO</v>
      </c>
      <c r="AA7833" s="19" t="str">
        <f>HYPERLINK("https://ssdweb.co/ssdweb/CERTH/660440557.pdf","CERTI")</f>
        <v>CERTI</v>
      </c>
    </row>
    <row r="7834" spans="1:27" ht="15" x14ac:dyDescent="0.25">
      <c r="A7834" s="2">
        <v>7829</v>
      </c>
      <c r="B7834" s="39">
        <v>926071753</v>
      </c>
      <c r="C7834" s="28" t="str">
        <f>HYPERLINK("https://pld.live/RapDetail.aspx?STONELIST=926071753","DNA")</f>
        <v>DNA</v>
      </c>
      <c r="D7834" s="18" t="s">
        <v>5281</v>
      </c>
      <c r="E7834" s="18" t="s">
        <v>5128</v>
      </c>
      <c r="F7834" s="2" t="s">
        <v>7987</v>
      </c>
      <c r="G7834" s="2" t="s">
        <v>4029</v>
      </c>
      <c r="H7834" s="14">
        <v>1.42</v>
      </c>
      <c r="I7834" s="2" t="s">
        <v>1505</v>
      </c>
      <c r="J7834" s="2" t="s">
        <v>13</v>
      </c>
      <c r="K7834" s="2" t="s">
        <v>1452</v>
      </c>
      <c r="L7834" s="2" t="s">
        <v>5221</v>
      </c>
      <c r="M7834" s="2" t="s">
        <v>5221</v>
      </c>
      <c r="N7834" s="2" t="s">
        <v>2317</v>
      </c>
      <c r="O7834" s="14">
        <v>4600</v>
      </c>
      <c r="P7834" s="14">
        <v>98.13</v>
      </c>
      <c r="Q7834" s="14">
        <v>86.02</v>
      </c>
      <c r="R7834" s="14">
        <v>122.15</v>
      </c>
      <c r="S7834" s="2" t="s">
        <v>6320</v>
      </c>
      <c r="T7834" s="2">
        <v>1.29</v>
      </c>
      <c r="U7834" s="2">
        <v>68.099999999999994</v>
      </c>
      <c r="V7834" s="2">
        <v>65</v>
      </c>
      <c r="W7834" s="2" t="s">
        <v>7862</v>
      </c>
      <c r="X7834" s="2" t="s">
        <v>190</v>
      </c>
      <c r="Y7834" s="2">
        <v>6532</v>
      </c>
      <c r="Z7834" s="19" t="str">
        <f>HYPERLINK("https://ssdweb.co/ssdweb/hd/Vision360.html?d=926071753&amp;zoomslide=1&amp;z=1926071753&amp;ISCONFIRM=0","VIDEO")</f>
        <v>VIDEO</v>
      </c>
      <c r="AA7834" s="19" t="str">
        <f>HYPERLINK("https://ssdweb.co/ssdweb/CERTH/631463891.pdf","CERTI")</f>
        <v>CERTI</v>
      </c>
    </row>
    <row r="7835" spans="1:27" ht="15" x14ac:dyDescent="0.25">
      <c r="A7835" s="2">
        <v>7830</v>
      </c>
      <c r="B7835" s="39">
        <v>925890464</v>
      </c>
      <c r="C7835" s="28" t="str">
        <f>HYPERLINK("https://pld.live/RapDetail.aspx?STONELIST=925890464","DNA")</f>
        <v>DNA</v>
      </c>
      <c r="D7835" s="18" t="s">
        <v>5281</v>
      </c>
      <c r="E7835" s="18" t="s">
        <v>5128</v>
      </c>
      <c r="F7835" s="2" t="s">
        <v>7987</v>
      </c>
      <c r="G7835" s="2" t="s">
        <v>4029</v>
      </c>
      <c r="H7835" s="14">
        <v>1.41</v>
      </c>
      <c r="I7835" s="2" t="s">
        <v>267</v>
      </c>
      <c r="J7835" s="2" t="s">
        <v>3942</v>
      </c>
      <c r="K7835" s="2" t="s">
        <v>1452</v>
      </c>
      <c r="L7835" s="2" t="s">
        <v>5221</v>
      </c>
      <c r="M7835" s="2" t="s">
        <v>5221</v>
      </c>
      <c r="N7835" s="2" t="s">
        <v>2317</v>
      </c>
      <c r="O7835" s="14">
        <v>7600</v>
      </c>
      <c r="P7835" s="14">
        <v>98.41</v>
      </c>
      <c r="Q7835" s="14">
        <v>120.84</v>
      </c>
      <c r="R7835" s="14">
        <v>170.38</v>
      </c>
      <c r="S7835" s="2" t="s">
        <v>1584</v>
      </c>
      <c r="T7835" s="2">
        <v>1.46</v>
      </c>
      <c r="U7835" s="2">
        <v>65.8</v>
      </c>
      <c r="V7835" s="2">
        <v>63</v>
      </c>
      <c r="W7835" s="2" t="s">
        <v>7862</v>
      </c>
      <c r="X7835" s="2" t="s">
        <v>190</v>
      </c>
      <c r="Y7835" s="2">
        <v>10716</v>
      </c>
      <c r="Z7835" s="19" t="str">
        <f>HYPERLINK("https://ssdweb.co/ssdweb/hd/Vision360.html?d=925890464&amp;zoomslide=1&amp;z=1925890464&amp;ISCONFIRM=0","VIDEO")</f>
        <v>VIDEO</v>
      </c>
      <c r="AA7835" s="19" t="str">
        <f>HYPERLINK("https://ssdweb.co/ssdweb/CERTH/627431766.pdf","CERTI")</f>
        <v>CERTI</v>
      </c>
    </row>
    <row r="7836" spans="1:27" ht="15" x14ac:dyDescent="0.25">
      <c r="A7836" s="2">
        <v>7831</v>
      </c>
      <c r="B7836" s="39">
        <v>925621950</v>
      </c>
      <c r="C7836" s="28" t="str">
        <f>HYPERLINK("https://pld.live/RapDetail.aspx?STONELIST=925621950","DNA")</f>
        <v>DNA</v>
      </c>
      <c r="D7836" s="18" t="s">
        <v>5281</v>
      </c>
      <c r="E7836" s="18" t="s">
        <v>5128</v>
      </c>
      <c r="F7836" s="2" t="s">
        <v>7987</v>
      </c>
      <c r="G7836" s="2" t="s">
        <v>4029</v>
      </c>
      <c r="H7836" s="14">
        <v>1.41</v>
      </c>
      <c r="I7836" s="2" t="s">
        <v>267</v>
      </c>
      <c r="J7836" s="2" t="s">
        <v>3942</v>
      </c>
      <c r="K7836" s="2" t="s">
        <v>1452</v>
      </c>
      <c r="L7836" s="2" t="s">
        <v>5221</v>
      </c>
      <c r="M7836" s="2" t="s">
        <v>5221</v>
      </c>
      <c r="N7836" s="2" t="s">
        <v>2317</v>
      </c>
      <c r="O7836" s="14">
        <v>7600</v>
      </c>
      <c r="P7836" s="14">
        <v>98.41</v>
      </c>
      <c r="Q7836" s="14">
        <v>120.84</v>
      </c>
      <c r="R7836" s="14">
        <v>170.38</v>
      </c>
      <c r="S7836" s="2" t="s">
        <v>2620</v>
      </c>
      <c r="T7836" s="2">
        <v>1.27</v>
      </c>
      <c r="U7836" s="2">
        <v>67.5</v>
      </c>
      <c r="V7836" s="2">
        <v>65</v>
      </c>
      <c r="W7836" s="2" t="s">
        <v>7862</v>
      </c>
      <c r="X7836" s="2" t="s">
        <v>190</v>
      </c>
      <c r="Y7836" s="2">
        <v>10716</v>
      </c>
      <c r="Z7836" s="19" t="str">
        <f>HYPERLINK("https://ssdweb.co/ssdweb/hd/Vision360.html?d=925621950&amp;zoomslide=1&amp;z=1925621950&amp;ISCONFIRM=0","VIDEO")</f>
        <v>VIDEO</v>
      </c>
      <c r="AA7836" s="19" t="str">
        <f>HYPERLINK("https://ssdweb.co/ssdweb/CERTH/623446095.pdf","CERTI")</f>
        <v>CERTI</v>
      </c>
    </row>
    <row r="7837" spans="1:27" ht="15" x14ac:dyDescent="0.25">
      <c r="A7837" s="2">
        <v>7832</v>
      </c>
      <c r="B7837" s="39">
        <v>925551927</v>
      </c>
      <c r="C7837" s="28" t="str">
        <f>HYPERLINK("https://pld.live/RapDetail.aspx?STONELIST=925551927","DNA")</f>
        <v>DNA</v>
      </c>
      <c r="D7837" s="18" t="s">
        <v>5281</v>
      </c>
      <c r="E7837" s="18" t="s">
        <v>5128</v>
      </c>
      <c r="F7837" s="2" t="s">
        <v>7987</v>
      </c>
      <c r="G7837" s="2" t="s">
        <v>4029</v>
      </c>
      <c r="H7837" s="14">
        <v>1.41</v>
      </c>
      <c r="I7837" s="2" t="s">
        <v>4761</v>
      </c>
      <c r="J7837" s="2" t="s">
        <v>5144</v>
      </c>
      <c r="K7837" s="2" t="s">
        <v>1452</v>
      </c>
      <c r="L7837" s="2" t="s">
        <v>5221</v>
      </c>
      <c r="M7837" s="2" t="s">
        <v>5221</v>
      </c>
      <c r="N7837" s="2" t="s">
        <v>2317</v>
      </c>
      <c r="O7837" s="14">
        <v>5400</v>
      </c>
      <c r="P7837" s="14">
        <v>98.19</v>
      </c>
      <c r="Q7837" s="14">
        <v>97.74</v>
      </c>
      <c r="R7837" s="14">
        <v>137.81</v>
      </c>
      <c r="S7837" s="2" t="s">
        <v>1145</v>
      </c>
      <c r="T7837" s="2">
        <v>1.28</v>
      </c>
      <c r="U7837" s="2">
        <v>66.900000000000006</v>
      </c>
      <c r="V7837" s="2">
        <v>64</v>
      </c>
      <c r="W7837" s="2" t="s">
        <v>7862</v>
      </c>
      <c r="X7837" s="2" t="s">
        <v>190</v>
      </c>
      <c r="Y7837" s="2">
        <v>7614</v>
      </c>
      <c r="Z7837" s="19" t="str">
        <f>HYPERLINK("https://ssdweb.co/ssdweb/hd/Vision360.html?d=925551927&amp;zoomslide=1&amp;z=1925551927&amp;ISCONFIRM=0","VIDEO")</f>
        <v>VIDEO</v>
      </c>
      <c r="AA7837" s="19" t="str">
        <f>HYPERLINK("https://ssdweb.co/ssdweb/CERTH/620449089.pdf","CERTI")</f>
        <v>CERTI</v>
      </c>
    </row>
    <row r="7838" spans="1:27" ht="15" x14ac:dyDescent="0.25">
      <c r="A7838" s="2">
        <v>7833</v>
      </c>
      <c r="B7838" s="39">
        <v>925521870</v>
      </c>
      <c r="C7838" s="28" t="str">
        <f>HYPERLINK("https://pld.live/RapDetail.aspx?STONELIST=925521870","DNA")</f>
        <v>DNA</v>
      </c>
      <c r="D7838" s="18" t="s">
        <v>5281</v>
      </c>
      <c r="E7838" s="18" t="s">
        <v>5128</v>
      </c>
      <c r="F7838" s="2" t="s">
        <v>7987</v>
      </c>
      <c r="G7838" s="2" t="s">
        <v>4029</v>
      </c>
      <c r="H7838" s="14">
        <v>1.41</v>
      </c>
      <c r="I7838" s="2" t="s">
        <v>4699</v>
      </c>
      <c r="J7838" s="2" t="s">
        <v>13</v>
      </c>
      <c r="K7838" s="2" t="s">
        <v>1452</v>
      </c>
      <c r="L7838" s="2" t="s">
        <v>5221</v>
      </c>
      <c r="M7838" s="2" t="s">
        <v>5221</v>
      </c>
      <c r="N7838" s="2" t="s">
        <v>2317</v>
      </c>
      <c r="O7838" s="14">
        <v>5800</v>
      </c>
      <c r="P7838" s="14">
        <v>98.26</v>
      </c>
      <c r="Q7838" s="14">
        <v>100.92</v>
      </c>
      <c r="R7838" s="14">
        <v>142.30000000000001</v>
      </c>
      <c r="S7838" s="2" t="s">
        <v>536</v>
      </c>
      <c r="T7838" s="2">
        <v>1.29</v>
      </c>
      <c r="U7838" s="2">
        <v>67.599999999999994</v>
      </c>
      <c r="V7838" s="2">
        <v>63</v>
      </c>
      <c r="W7838" s="2" t="s">
        <v>7862</v>
      </c>
      <c r="X7838" s="2" t="s">
        <v>190</v>
      </c>
      <c r="Y7838" s="2">
        <v>8178</v>
      </c>
      <c r="Z7838" s="19" t="str">
        <f>HYPERLINK("https://ssdweb.co/ssdweb/hd/Vision360.html?d=925521870&amp;zoomslide=1&amp;z=1925521870&amp;ISCONFIRM=0","VIDEO")</f>
        <v>VIDEO</v>
      </c>
      <c r="AA7838" s="19" t="str">
        <f>HYPERLINK("https://ssdweb.co/ssdweb/CERTH/619469731.pdf","CERTI")</f>
        <v>CERTI</v>
      </c>
    </row>
    <row r="7839" spans="1:27" ht="15" x14ac:dyDescent="0.25">
      <c r="A7839" s="2">
        <v>7834</v>
      </c>
      <c r="B7839" s="39">
        <v>926581241</v>
      </c>
      <c r="C7839" s="28" t="str">
        <f>HYPERLINK("https://pld.live/RapDetail.aspx?STONELIST=926581241","DNA")</f>
        <v>DNA</v>
      </c>
      <c r="D7839" s="18" t="s">
        <v>5235</v>
      </c>
      <c r="E7839" s="18" t="s">
        <v>5128</v>
      </c>
      <c r="F7839" s="2" t="s">
        <v>7987</v>
      </c>
      <c r="G7839" s="2" t="s">
        <v>4029</v>
      </c>
      <c r="H7839" s="14">
        <v>1.39</v>
      </c>
      <c r="I7839" s="2" t="s">
        <v>267</v>
      </c>
      <c r="J7839" s="2" t="s">
        <v>13</v>
      </c>
      <c r="K7839" s="2" t="s">
        <v>1452</v>
      </c>
      <c r="L7839" s="2" t="s">
        <v>5221</v>
      </c>
      <c r="M7839" s="2" t="s">
        <v>5221</v>
      </c>
      <c r="N7839" s="2" t="s">
        <v>2317</v>
      </c>
      <c r="O7839" s="14">
        <v>6700</v>
      </c>
      <c r="P7839" s="14">
        <v>98.42</v>
      </c>
      <c r="Q7839" s="14">
        <v>105.86</v>
      </c>
      <c r="R7839" s="14">
        <v>147.15</v>
      </c>
      <c r="S7839" s="2" t="s">
        <v>2429</v>
      </c>
      <c r="T7839" s="2">
        <v>1.32</v>
      </c>
      <c r="U7839" s="2">
        <v>63.8</v>
      </c>
      <c r="V7839" s="2">
        <v>63</v>
      </c>
      <c r="W7839" s="2" t="s">
        <v>7862</v>
      </c>
      <c r="X7839" s="2" t="s">
        <v>190</v>
      </c>
      <c r="Y7839" s="2">
        <v>9313</v>
      </c>
      <c r="Z7839" s="19" t="str">
        <f>HYPERLINK("https://ssdweb.co/ssdweb/hd/Vision360.html?d=926581241&amp;zoomslide=1&amp;z=1926581241&amp;ISCONFIRM=0","VIDEO")</f>
        <v>VIDEO</v>
      </c>
      <c r="AA7839" s="19" t="str">
        <f>HYPERLINK("https://ssdweb.co/ssdweb/CERTH/647424414.pdf","CERTI")</f>
        <v>CERTI</v>
      </c>
    </row>
    <row r="7840" spans="1:27" ht="15" x14ac:dyDescent="0.25">
      <c r="A7840" s="2">
        <v>7835</v>
      </c>
      <c r="B7840" s="39">
        <v>924620096</v>
      </c>
      <c r="C7840" s="28" t="str">
        <f>HYPERLINK("https://pld.live/RapDetail.aspx?STONELIST=924620096","DNA")</f>
        <v>DNA</v>
      </c>
      <c r="D7840" s="18" t="s">
        <v>5235</v>
      </c>
      <c r="E7840" s="18" t="s">
        <v>2186</v>
      </c>
      <c r="F7840" s="2" t="s">
        <v>7987</v>
      </c>
      <c r="G7840" s="2" t="s">
        <v>4029</v>
      </c>
      <c r="H7840" s="14">
        <v>1.36</v>
      </c>
      <c r="I7840" s="2" t="s">
        <v>4699</v>
      </c>
      <c r="J7840" s="2" t="s">
        <v>5144</v>
      </c>
      <c r="K7840" s="2" t="s">
        <v>1452</v>
      </c>
      <c r="L7840" s="2" t="s">
        <v>5221</v>
      </c>
      <c r="M7840" s="2" t="s">
        <v>5221</v>
      </c>
      <c r="N7840" s="2" t="s">
        <v>2317</v>
      </c>
      <c r="O7840" s="14">
        <v>5100</v>
      </c>
      <c r="P7840" s="14">
        <v>98.24</v>
      </c>
      <c r="Q7840" s="14">
        <v>89.76</v>
      </c>
      <c r="R7840" s="14">
        <v>122.07</v>
      </c>
      <c r="S7840" s="2" t="s">
        <v>5350</v>
      </c>
      <c r="T7840" s="2">
        <v>1.34</v>
      </c>
      <c r="U7840" s="2">
        <v>65.5</v>
      </c>
      <c r="V7840" s="2">
        <v>65</v>
      </c>
      <c r="W7840" s="2" t="s">
        <v>7862</v>
      </c>
      <c r="X7840" s="2" t="s">
        <v>190</v>
      </c>
      <c r="Y7840" s="2">
        <v>6936</v>
      </c>
      <c r="Z7840" s="19" t="str">
        <f>HYPERLINK("https://ssdweb.co/ssdweb/hd/Vision360.html?d=924620096&amp;zoomslide=1&amp;z=1924620096&amp;ISCONFIRM=0","VIDEO")</f>
        <v>VIDEO</v>
      </c>
      <c r="AA7840" s="19" t="str">
        <f>HYPERLINK("https://ssdweb.co/ssdweb/CERTH/598378431.pdf","CERTI")</f>
        <v>CERTI</v>
      </c>
    </row>
    <row r="7841" spans="1:27" ht="15" x14ac:dyDescent="0.25">
      <c r="A7841" s="2">
        <v>7836</v>
      </c>
      <c r="B7841" s="39">
        <v>924290101</v>
      </c>
      <c r="C7841" s="28" t="str">
        <f>HYPERLINK("https://pld.live/RapDetail.aspx?STONELIST=924290101","DNA")</f>
        <v>DNA</v>
      </c>
      <c r="D7841" s="18" t="s">
        <v>5235</v>
      </c>
      <c r="E7841" s="18" t="s">
        <v>2186</v>
      </c>
      <c r="F7841" s="2" t="s">
        <v>7987</v>
      </c>
      <c r="G7841" s="2" t="s">
        <v>4029</v>
      </c>
      <c r="H7841" s="14">
        <v>1.35</v>
      </c>
      <c r="I7841" s="2" t="s">
        <v>6587</v>
      </c>
      <c r="J7841" s="2" t="s">
        <v>3942</v>
      </c>
      <c r="K7841" s="2" t="s">
        <v>1452</v>
      </c>
      <c r="L7841" s="2" t="s">
        <v>5221</v>
      </c>
      <c r="M7841" s="2" t="s">
        <v>5221</v>
      </c>
      <c r="N7841" s="2" t="s">
        <v>2317</v>
      </c>
      <c r="O7841" s="14">
        <v>5800</v>
      </c>
      <c r="P7841" s="14">
        <v>98.26</v>
      </c>
      <c r="Q7841" s="14">
        <v>100.92</v>
      </c>
      <c r="R7841" s="14">
        <v>136.24</v>
      </c>
      <c r="S7841" s="2" t="s">
        <v>6004</v>
      </c>
      <c r="T7841" s="2">
        <v>1.46</v>
      </c>
      <c r="U7841" s="2">
        <v>67.3</v>
      </c>
      <c r="V7841" s="2">
        <v>67</v>
      </c>
      <c r="W7841" s="2" t="s">
        <v>7862</v>
      </c>
      <c r="X7841" s="2" t="s">
        <v>190</v>
      </c>
      <c r="Y7841" s="2">
        <v>7830</v>
      </c>
      <c r="Z7841" s="19" t="str">
        <f>HYPERLINK("https://ssdweb.co/ssdweb/hd/Vision360.html?d=924290101&amp;zoomslide=1&amp;z=1924290101&amp;ISCONFIRM=0","VIDEO")</f>
        <v>VIDEO</v>
      </c>
      <c r="AA7841" s="19" t="str">
        <f>HYPERLINK("https://ssdweb.co/ssdweb/CERTH/585318710.pdf","CERTI")</f>
        <v>CERTI</v>
      </c>
    </row>
    <row r="7842" spans="1:27" ht="15" x14ac:dyDescent="0.25">
      <c r="A7842" s="2">
        <v>7837</v>
      </c>
      <c r="B7842" s="39">
        <v>925890654</v>
      </c>
      <c r="C7842" s="28" t="str">
        <f>HYPERLINK("https://pld.live/RapDetail.aspx?STONELIST=925890654","DNA")</f>
        <v>DNA</v>
      </c>
      <c r="D7842" s="18" t="s">
        <v>5235</v>
      </c>
      <c r="E7842" s="18" t="s">
        <v>5128</v>
      </c>
      <c r="F7842" s="2" t="s">
        <v>7987</v>
      </c>
      <c r="G7842" s="2" t="s">
        <v>4029</v>
      </c>
      <c r="H7842" s="14">
        <v>1.32</v>
      </c>
      <c r="I7842" s="2" t="s">
        <v>267</v>
      </c>
      <c r="J7842" s="2" t="s">
        <v>13</v>
      </c>
      <c r="K7842" s="2" t="s">
        <v>1452</v>
      </c>
      <c r="L7842" s="2" t="s">
        <v>5221</v>
      </c>
      <c r="M7842" s="2" t="s">
        <v>5221</v>
      </c>
      <c r="N7842" s="2" t="s">
        <v>2317</v>
      </c>
      <c r="O7842" s="14">
        <v>6700</v>
      </c>
      <c r="P7842" s="14">
        <v>98.42</v>
      </c>
      <c r="Q7842" s="14">
        <v>105.86</v>
      </c>
      <c r="R7842" s="14">
        <v>139.74</v>
      </c>
      <c r="S7842" s="2" t="s">
        <v>2434</v>
      </c>
      <c r="T7842" s="2">
        <v>1.34</v>
      </c>
      <c r="U7842" s="2">
        <v>64.7</v>
      </c>
      <c r="V7842" s="2">
        <v>63</v>
      </c>
      <c r="W7842" s="2" t="s">
        <v>7862</v>
      </c>
      <c r="X7842" s="2" t="s">
        <v>190</v>
      </c>
      <c r="Y7842" s="2">
        <v>8844</v>
      </c>
      <c r="Z7842" s="19" t="str">
        <f>HYPERLINK("https://ssdweb.co/ssdweb/hd/Vision360.html?d=925890654&amp;zoomslide=1&amp;z=1925890654&amp;ISCONFIRM=0","VIDEO")</f>
        <v>VIDEO</v>
      </c>
      <c r="AA7842" s="19" t="str">
        <f>HYPERLINK("https://ssdweb.co/ssdweb/CERTH/629453129.pdf","CERTI")</f>
        <v>CERTI</v>
      </c>
    </row>
    <row r="7843" spans="1:27" ht="15" x14ac:dyDescent="0.25">
      <c r="A7843" s="2">
        <v>7838</v>
      </c>
      <c r="B7843" s="39">
        <v>924920263</v>
      </c>
      <c r="C7843" s="28" t="str">
        <f>HYPERLINK("https://pld.live/RapDetail.aspx?STONELIST=924920263","DNA")</f>
        <v>DNA</v>
      </c>
      <c r="D7843" s="18" t="s">
        <v>5235</v>
      </c>
      <c r="E7843" s="18" t="s">
        <v>2186</v>
      </c>
      <c r="F7843" s="2" t="s">
        <v>7987</v>
      </c>
      <c r="G7843" s="2" t="s">
        <v>4029</v>
      </c>
      <c r="H7843" s="14">
        <v>1.32</v>
      </c>
      <c r="I7843" s="2" t="s">
        <v>4699</v>
      </c>
      <c r="J7843" s="2" t="s">
        <v>13</v>
      </c>
      <c r="K7843" s="2" t="s">
        <v>1452</v>
      </c>
      <c r="L7843" s="2" t="s">
        <v>5221</v>
      </c>
      <c r="M7843" s="2" t="s">
        <v>5221</v>
      </c>
      <c r="N7843" s="2" t="s">
        <v>2317</v>
      </c>
      <c r="O7843" s="14">
        <v>5800</v>
      </c>
      <c r="P7843" s="14">
        <v>98.36</v>
      </c>
      <c r="Q7843" s="14">
        <v>95.12</v>
      </c>
      <c r="R7843" s="14">
        <v>125.56</v>
      </c>
      <c r="S7843" s="2" t="s">
        <v>3918</v>
      </c>
      <c r="T7843" s="2">
        <v>1.35</v>
      </c>
      <c r="U7843" s="2">
        <v>67.2</v>
      </c>
      <c r="V7843" s="2">
        <v>62</v>
      </c>
      <c r="W7843" s="2" t="s">
        <v>7862</v>
      </c>
      <c r="X7843" s="2" t="s">
        <v>190</v>
      </c>
      <c r="Y7843" s="2">
        <v>7656</v>
      </c>
      <c r="Z7843" s="19" t="str">
        <f>HYPERLINK("https://ssdweb.co/ssdweb/hd/Vision360.html?d=924920263&amp;zoomslide=1&amp;z=1924920263&amp;ISCONFIRM=0","VIDEO")</f>
        <v>VIDEO</v>
      </c>
      <c r="AA7843" s="19" t="str">
        <f>HYPERLINK("https://ssdweb.co/ssdweb/CERTH/604379463.pdf","CERTI")</f>
        <v>CERTI</v>
      </c>
    </row>
    <row r="7844" spans="1:27" ht="15" x14ac:dyDescent="0.25">
      <c r="A7844" s="2">
        <v>7839</v>
      </c>
      <c r="B7844" s="39">
        <v>925280350</v>
      </c>
      <c r="C7844" s="28" t="str">
        <f>HYPERLINK("https://pld.live/RapDetail.aspx?STONELIST=925280350","DNA")</f>
        <v>DNA</v>
      </c>
      <c r="D7844" s="18" t="s">
        <v>5235</v>
      </c>
      <c r="E7844" s="18" t="s">
        <v>5128</v>
      </c>
      <c r="F7844" s="2" t="s">
        <v>7987</v>
      </c>
      <c r="G7844" s="2" t="s">
        <v>4029</v>
      </c>
      <c r="H7844" s="14">
        <v>1.26</v>
      </c>
      <c r="I7844" s="2" t="s">
        <v>267</v>
      </c>
      <c r="J7844" s="2" t="s">
        <v>5144</v>
      </c>
      <c r="K7844" s="2" t="s">
        <v>1452</v>
      </c>
      <c r="L7844" s="2" t="s">
        <v>5221</v>
      </c>
      <c r="M7844" s="2" t="s">
        <v>5221</v>
      </c>
      <c r="N7844" s="2" t="s">
        <v>2317</v>
      </c>
      <c r="O7844" s="14">
        <v>5700</v>
      </c>
      <c r="P7844" s="14">
        <v>98.21</v>
      </c>
      <c r="Q7844" s="14">
        <v>102.03</v>
      </c>
      <c r="R7844" s="14">
        <v>128.56</v>
      </c>
      <c r="S7844" s="2" t="s">
        <v>2415</v>
      </c>
      <c r="T7844" s="2">
        <v>1.4</v>
      </c>
      <c r="U7844" s="2">
        <v>66.5</v>
      </c>
      <c r="V7844" s="2">
        <v>62</v>
      </c>
      <c r="W7844" s="2" t="s">
        <v>7862</v>
      </c>
      <c r="X7844" s="2" t="s">
        <v>190</v>
      </c>
      <c r="Y7844" s="2">
        <v>7182</v>
      </c>
      <c r="Z7844" s="19" t="str">
        <f>HYPERLINK("https://ssdweb.co/ssdweb/hd/Vision360.html?d=925280350&amp;zoomslide=1&amp;z=1925280350&amp;ISCONFIRM=0","VIDEO")</f>
        <v>VIDEO</v>
      </c>
      <c r="AA7844" s="19" t="str">
        <f>HYPERLINK("https://ssdweb.co/ssdweb/CERTH/614319495.pdf","CERTI")</f>
        <v>CERTI</v>
      </c>
    </row>
    <row r="7845" spans="1:27" ht="15" x14ac:dyDescent="0.25">
      <c r="A7845" s="2">
        <v>7840</v>
      </c>
      <c r="B7845" s="39">
        <v>926901081</v>
      </c>
      <c r="C7845" s="28" t="str">
        <f>HYPERLINK("https://pld.live/RapDetail.aspx?STONELIST=926901081","DNA")</f>
        <v>DNA</v>
      </c>
      <c r="D7845" s="18" t="s">
        <v>5235</v>
      </c>
      <c r="E7845" s="18" t="s">
        <v>5128</v>
      </c>
      <c r="F7845" s="2" t="s">
        <v>7987</v>
      </c>
      <c r="G7845" s="2" t="s">
        <v>4029</v>
      </c>
      <c r="H7845" s="14">
        <v>1.25</v>
      </c>
      <c r="I7845" s="2" t="s">
        <v>267</v>
      </c>
      <c r="J7845" s="2" t="s">
        <v>3942</v>
      </c>
      <c r="K7845" s="2" t="s">
        <v>1452</v>
      </c>
      <c r="L7845" s="2" t="s">
        <v>5221</v>
      </c>
      <c r="M7845" s="2" t="s">
        <v>5221</v>
      </c>
      <c r="N7845" s="2" t="s">
        <v>2317</v>
      </c>
      <c r="O7845" s="14">
        <v>7600</v>
      </c>
      <c r="P7845" s="14">
        <v>98.47</v>
      </c>
      <c r="Q7845" s="14">
        <v>116.28</v>
      </c>
      <c r="R7845" s="14">
        <v>145.35</v>
      </c>
      <c r="S7845" s="2" t="s">
        <v>414</v>
      </c>
      <c r="T7845" s="2">
        <v>1.29</v>
      </c>
      <c r="U7845" s="2">
        <v>65.7</v>
      </c>
      <c r="V7845" s="2">
        <v>66</v>
      </c>
      <c r="W7845" s="2" t="s">
        <v>7862</v>
      </c>
      <c r="X7845" s="2" t="s">
        <v>190</v>
      </c>
      <c r="Y7845" s="2">
        <v>9500</v>
      </c>
      <c r="Z7845" s="19" t="str">
        <f>HYPERLINK("https://ssdweb.co/ssdweb/hd/Vision360.html?d=926901081&amp;zoomslide=1&amp;z=1926901081&amp;ISCONFIRM=0","VIDEO")</f>
        <v>VIDEO</v>
      </c>
      <c r="AA7845" s="19" t="str">
        <f>HYPERLINK("https://ssdweb.co/ssdweb/CERTH/659414322.pdf","CERTI")</f>
        <v>CERTI</v>
      </c>
    </row>
    <row r="7846" spans="1:27" ht="15" x14ac:dyDescent="0.25">
      <c r="A7846" s="2">
        <v>7841</v>
      </c>
      <c r="B7846" s="39">
        <v>924290292</v>
      </c>
      <c r="C7846" s="28" t="str">
        <f>HYPERLINK("https://pld.live/RapDetail.aspx?STONELIST=924290292","DNA")</f>
        <v>DNA</v>
      </c>
      <c r="D7846" s="18" t="s">
        <v>5235</v>
      </c>
      <c r="E7846" s="18" t="s">
        <v>2186</v>
      </c>
      <c r="F7846" s="2" t="s">
        <v>7987</v>
      </c>
      <c r="G7846" s="2" t="s">
        <v>4029</v>
      </c>
      <c r="H7846" s="14">
        <v>1.25</v>
      </c>
      <c r="I7846" s="2" t="s">
        <v>6587</v>
      </c>
      <c r="J7846" s="2" t="s">
        <v>3942</v>
      </c>
      <c r="K7846" s="2" t="s">
        <v>1452</v>
      </c>
      <c r="L7846" s="2" t="s">
        <v>5221</v>
      </c>
      <c r="M7846" s="2" t="s">
        <v>5221</v>
      </c>
      <c r="N7846" s="2" t="s">
        <v>2317</v>
      </c>
      <c r="O7846" s="14">
        <v>5800</v>
      </c>
      <c r="P7846" s="14">
        <v>98.33</v>
      </c>
      <c r="Q7846" s="14">
        <v>96.86</v>
      </c>
      <c r="R7846" s="14">
        <v>121.08</v>
      </c>
      <c r="S7846" s="2" t="s">
        <v>2379</v>
      </c>
      <c r="T7846" s="2">
        <v>1.45</v>
      </c>
      <c r="U7846" s="2">
        <v>65.2</v>
      </c>
      <c r="V7846" s="2">
        <v>65</v>
      </c>
      <c r="W7846" s="2" t="s">
        <v>8016</v>
      </c>
      <c r="X7846" s="2" t="s">
        <v>190</v>
      </c>
      <c r="Y7846" s="2">
        <v>7250</v>
      </c>
      <c r="Z7846" s="19" t="str">
        <f>HYPERLINK("https://ssdweb.co/ssdweb/hd/Vision360.html?d=924290292&amp;zoomslide=1&amp;z=1924290292&amp;ISCONFIRM=0","VIDEO")</f>
        <v>VIDEO</v>
      </c>
      <c r="AA7846" s="19" t="str">
        <f>HYPERLINK("https://ssdweb.co/ssdweb/CERTH/586373784.pdf","CERTI")</f>
        <v>CERTI</v>
      </c>
    </row>
    <row r="7847" spans="1:27" ht="15" x14ac:dyDescent="0.25">
      <c r="A7847" s="2">
        <v>7842</v>
      </c>
      <c r="B7847" s="39">
        <v>924690187</v>
      </c>
      <c r="C7847" s="28" t="str">
        <f>HYPERLINK("https://pld.live/RapDetail.aspx?STONELIST=924690187","DNA")</f>
        <v>DNA</v>
      </c>
      <c r="D7847" s="18" t="s">
        <v>5235</v>
      </c>
      <c r="E7847" s="18" t="s">
        <v>5128</v>
      </c>
      <c r="F7847" s="2" t="s">
        <v>7987</v>
      </c>
      <c r="G7847" s="2" t="s">
        <v>4029</v>
      </c>
      <c r="H7847" s="14">
        <v>1.24</v>
      </c>
      <c r="I7847" s="2" t="s">
        <v>4699</v>
      </c>
      <c r="J7847" s="2" t="s">
        <v>7032</v>
      </c>
      <c r="K7847" s="2" t="s">
        <v>1452</v>
      </c>
      <c r="L7847" s="2" t="s">
        <v>5221</v>
      </c>
      <c r="M7847" s="2" t="s">
        <v>5221</v>
      </c>
      <c r="N7847" s="2" t="s">
        <v>2317</v>
      </c>
      <c r="O7847" s="14">
        <v>7400</v>
      </c>
      <c r="P7847" s="14">
        <v>97.77</v>
      </c>
      <c r="Q7847" s="14">
        <v>165.02</v>
      </c>
      <c r="R7847" s="14">
        <v>204.62</v>
      </c>
      <c r="S7847" s="2" t="s">
        <v>2682</v>
      </c>
      <c r="T7847" s="2">
        <v>1.35</v>
      </c>
      <c r="U7847" s="2">
        <v>67</v>
      </c>
      <c r="V7847" s="2">
        <v>66</v>
      </c>
      <c r="W7847" s="2" t="s">
        <v>4336</v>
      </c>
      <c r="X7847" s="2" t="s">
        <v>190</v>
      </c>
      <c r="Y7847" s="2">
        <v>9176</v>
      </c>
      <c r="Z7847" s="19" t="str">
        <f>HYPERLINK("https://ssdweb.co/ssdweb/hd/Vision360.html?d=924690187&amp;zoomslide=1&amp;z=1924690187&amp;ISCONFIRM=0","VIDEO")</f>
        <v>VIDEO</v>
      </c>
      <c r="AA7847" s="19" t="str">
        <f>HYPERLINK("https://ssdweb.co/ssdweb/CERTH/598386190.pdf","CERTI")</f>
        <v>CERTI</v>
      </c>
    </row>
    <row r="7848" spans="1:27" ht="15" x14ac:dyDescent="0.25">
      <c r="A7848" s="2">
        <v>7843</v>
      </c>
      <c r="B7848" s="39">
        <v>831010737</v>
      </c>
      <c r="C7848" s="28" t="str">
        <f>HYPERLINK("https://pld.live/RapDetail.aspx?STONELIST=831010737","DNA")</f>
        <v>DNA</v>
      </c>
      <c r="D7848" s="18" t="s">
        <v>5235</v>
      </c>
      <c r="E7848" s="18" t="s">
        <v>5128</v>
      </c>
      <c r="F7848" s="2" t="s">
        <v>7987</v>
      </c>
      <c r="G7848" s="2" t="s">
        <v>4029</v>
      </c>
      <c r="H7848" s="14">
        <v>1.23</v>
      </c>
      <c r="I7848" s="2" t="s">
        <v>267</v>
      </c>
      <c r="J7848" s="2" t="s">
        <v>7032</v>
      </c>
      <c r="K7848" s="2" t="s">
        <v>1452</v>
      </c>
      <c r="L7848" s="2" t="s">
        <v>5221</v>
      </c>
      <c r="M7848" s="2" t="s">
        <v>5221</v>
      </c>
      <c r="N7848" s="2" t="s">
        <v>2317</v>
      </c>
      <c r="O7848" s="14">
        <v>9300</v>
      </c>
      <c r="P7848" s="14">
        <v>97.66</v>
      </c>
      <c r="Q7848" s="14">
        <v>217.62</v>
      </c>
      <c r="R7848" s="14">
        <v>267.67</v>
      </c>
      <c r="S7848" s="2" t="s">
        <v>3242</v>
      </c>
      <c r="T7848" s="2">
        <v>1.28</v>
      </c>
      <c r="U7848" s="2">
        <v>68</v>
      </c>
      <c r="V7848" s="2">
        <v>66</v>
      </c>
      <c r="W7848" s="2" t="s">
        <v>7862</v>
      </c>
      <c r="X7848" s="2" t="s">
        <v>190</v>
      </c>
      <c r="Y7848" s="2">
        <v>11439</v>
      </c>
      <c r="Z7848" s="19" t="str">
        <f>HYPERLINK("https://ssdweb.co/ssdweb/hd/Vision360.html?d=831010737&amp;zoomslide=1&amp;z=1831010737&amp;ISCONFIRM=0","VIDEO")</f>
        <v>VIDEO</v>
      </c>
      <c r="AA7848" s="19" t="str">
        <f>HYPERLINK("https://ssdweb.co/ssdweb/CERTH/628426989.pdf","CERTI")</f>
        <v>CERTI</v>
      </c>
    </row>
    <row r="7849" spans="1:27" ht="15" x14ac:dyDescent="0.25">
      <c r="A7849" s="2">
        <v>7844</v>
      </c>
      <c r="B7849" s="39">
        <v>924290002</v>
      </c>
      <c r="C7849" s="28" t="str">
        <f>HYPERLINK("https://pld.live/RapDetail.aspx?STONELIST=924290002","DNA")</f>
        <v>DNA</v>
      </c>
      <c r="D7849" s="18" t="s">
        <v>5235</v>
      </c>
      <c r="E7849" s="18" t="s">
        <v>2186</v>
      </c>
      <c r="F7849" s="2" t="s">
        <v>7987</v>
      </c>
      <c r="G7849" s="2" t="s">
        <v>4029</v>
      </c>
      <c r="H7849" s="14">
        <v>1.22</v>
      </c>
      <c r="I7849" s="2" t="s">
        <v>5959</v>
      </c>
      <c r="J7849" s="2" t="s">
        <v>13</v>
      </c>
      <c r="K7849" s="2" t="s">
        <v>1452</v>
      </c>
      <c r="L7849" s="2" t="s">
        <v>5221</v>
      </c>
      <c r="M7849" s="2" t="s">
        <v>5221</v>
      </c>
      <c r="N7849" s="2" t="s">
        <v>2317</v>
      </c>
      <c r="O7849" s="14">
        <v>2200</v>
      </c>
      <c r="P7849" s="14">
        <v>89.09</v>
      </c>
      <c r="Q7849" s="14">
        <v>240.02</v>
      </c>
      <c r="R7849" s="14">
        <v>292.82</v>
      </c>
      <c r="S7849" s="2" t="s">
        <v>5506</v>
      </c>
      <c r="T7849" s="2">
        <v>1.36</v>
      </c>
      <c r="U7849" s="2">
        <v>67.5</v>
      </c>
      <c r="V7849" s="2">
        <v>64</v>
      </c>
      <c r="W7849" s="2" t="s">
        <v>7862</v>
      </c>
      <c r="X7849" s="2" t="s">
        <v>190</v>
      </c>
      <c r="Y7849" s="2">
        <v>2684</v>
      </c>
      <c r="Z7849" s="19" t="str">
        <f>HYPERLINK("https://ssdweb.co/ssdweb/hd/Vision360.html?d=924290002&amp;zoomslide=1&amp;z=1924290002&amp;ISCONFIRM=0","VIDEO")</f>
        <v>VIDEO</v>
      </c>
      <c r="AA7849" s="19" t="str">
        <f>HYPERLINK("https://ssdweb.co/ssdweb/CERTH/591363522.pdf","CERTI")</f>
        <v>CERTI</v>
      </c>
    </row>
    <row r="7850" spans="1:27" ht="15" x14ac:dyDescent="0.25">
      <c r="A7850" s="2">
        <v>7845</v>
      </c>
      <c r="B7850" s="39">
        <v>924690186</v>
      </c>
      <c r="C7850" s="28" t="str">
        <f>HYPERLINK("https://pld.live/RapDetail.aspx?STONELIST=924690186","DNA")</f>
        <v>DNA</v>
      </c>
      <c r="D7850" s="18" t="s">
        <v>5235</v>
      </c>
      <c r="E7850" s="18" t="s">
        <v>5128</v>
      </c>
      <c r="F7850" s="2" t="s">
        <v>7987</v>
      </c>
      <c r="G7850" s="2" t="s">
        <v>4029</v>
      </c>
      <c r="H7850" s="14">
        <v>1.2</v>
      </c>
      <c r="I7850" s="2" t="s">
        <v>4699</v>
      </c>
      <c r="J7850" s="2" t="s">
        <v>13</v>
      </c>
      <c r="K7850" s="2" t="s">
        <v>1452</v>
      </c>
      <c r="L7850" s="2" t="s">
        <v>5221</v>
      </c>
      <c r="M7850" s="2" t="s">
        <v>5221</v>
      </c>
      <c r="N7850" s="2" t="s">
        <v>2317</v>
      </c>
      <c r="O7850" s="14">
        <v>5800</v>
      </c>
      <c r="P7850" s="14">
        <v>98.34</v>
      </c>
      <c r="Q7850" s="14">
        <v>96.28</v>
      </c>
      <c r="R7850" s="14">
        <v>115.54</v>
      </c>
      <c r="S7850" s="2" t="s">
        <v>720</v>
      </c>
      <c r="T7850" s="2">
        <v>1.31</v>
      </c>
      <c r="U7850" s="2">
        <v>68.3</v>
      </c>
      <c r="V7850" s="2">
        <v>62</v>
      </c>
      <c r="W7850" s="2" t="s">
        <v>4336</v>
      </c>
      <c r="X7850" s="2" t="s">
        <v>190</v>
      </c>
      <c r="Y7850" s="2">
        <v>6960</v>
      </c>
      <c r="Z7850" s="19" t="str">
        <f>HYPERLINK("https://ssdweb.co/ssdweb/hd/Vision360.html?d=924690186&amp;zoomslide=1&amp;z=1924690186&amp;ISCONFIRM=0","VIDEO")</f>
        <v>VIDEO</v>
      </c>
      <c r="AA7850" s="19" t="str">
        <f>HYPERLINK("https://ssdweb.co/ssdweb/CERTH/598374177.pdf","CERTI")</f>
        <v>CERTI</v>
      </c>
    </row>
    <row r="7851" spans="1:27" ht="15" x14ac:dyDescent="0.25">
      <c r="A7851" s="2">
        <v>7846</v>
      </c>
      <c r="B7851" s="39">
        <v>924150692</v>
      </c>
      <c r="C7851" s="28" t="str">
        <f>HYPERLINK("https://pld.live/RapDetail.aspx?STONELIST=924150692","DNA")</f>
        <v>DNA</v>
      </c>
      <c r="D7851" s="18" t="s">
        <v>3054</v>
      </c>
      <c r="E7851" s="18" t="s">
        <v>2186</v>
      </c>
      <c r="F7851" s="2" t="s">
        <v>7987</v>
      </c>
      <c r="G7851" s="2" t="s">
        <v>4029</v>
      </c>
      <c r="H7851" s="14">
        <v>1.18</v>
      </c>
      <c r="I7851" s="2" t="s">
        <v>1505</v>
      </c>
      <c r="J7851" s="2" t="s">
        <v>13</v>
      </c>
      <c r="K7851" s="2" t="s">
        <v>1452</v>
      </c>
      <c r="L7851" s="2" t="s">
        <v>5221</v>
      </c>
      <c r="M7851" s="2" t="s">
        <v>5221</v>
      </c>
      <c r="N7851" s="2" t="s">
        <v>2317</v>
      </c>
      <c r="O7851" s="14">
        <v>4600</v>
      </c>
      <c r="P7851" s="14">
        <v>98.07</v>
      </c>
      <c r="Q7851" s="14">
        <v>88.78</v>
      </c>
      <c r="R7851" s="14">
        <v>104.76</v>
      </c>
      <c r="S7851" s="2" t="s">
        <v>6743</v>
      </c>
      <c r="T7851" s="2">
        <v>1.35</v>
      </c>
      <c r="U7851" s="2">
        <v>65.2</v>
      </c>
      <c r="V7851" s="2">
        <v>67</v>
      </c>
      <c r="W7851" s="2" t="s">
        <v>7862</v>
      </c>
      <c r="X7851" s="2" t="s">
        <v>190</v>
      </c>
      <c r="Y7851" s="2">
        <v>5428</v>
      </c>
      <c r="Z7851" s="19" t="str">
        <f>HYPERLINK("https://ssdweb.co/ssdweb/hd/Vision360.html?d=924150692&amp;zoomslide=1&amp;z=1924150692&amp;ISCONFIRM=0","VIDEO")</f>
        <v>VIDEO</v>
      </c>
      <c r="AA7851" s="19" t="str">
        <f>HYPERLINK("https://ssdweb.co/ssdweb/CERTH/577305229.pdf","CERTI")</f>
        <v>CERTI</v>
      </c>
    </row>
    <row r="7852" spans="1:27" ht="15" x14ac:dyDescent="0.25">
      <c r="A7852" s="2">
        <v>7847</v>
      </c>
      <c r="B7852" s="39">
        <v>923400161</v>
      </c>
      <c r="C7852" s="28" t="str">
        <f>HYPERLINK("https://pld.live/RapDetail.aspx?STONELIST=923400161","DNA")</f>
        <v>DNA</v>
      </c>
      <c r="D7852" s="18" t="s">
        <v>3054</v>
      </c>
      <c r="E7852" s="18" t="s">
        <v>2186</v>
      </c>
      <c r="F7852" s="2" t="s">
        <v>7987</v>
      </c>
      <c r="G7852" s="2" t="s">
        <v>4029</v>
      </c>
      <c r="H7852" s="14">
        <v>1.17</v>
      </c>
      <c r="I7852" s="2" t="s">
        <v>1505</v>
      </c>
      <c r="J7852" s="2" t="s">
        <v>3942</v>
      </c>
      <c r="K7852" s="2" t="s">
        <v>1452</v>
      </c>
      <c r="L7852" s="2" t="s">
        <v>5221</v>
      </c>
      <c r="M7852" s="2" t="s">
        <v>5221</v>
      </c>
      <c r="N7852" s="2" t="s">
        <v>2317</v>
      </c>
      <c r="O7852" s="14">
        <v>4900</v>
      </c>
      <c r="P7852" s="14">
        <v>98.04</v>
      </c>
      <c r="Q7852" s="14">
        <v>96.04</v>
      </c>
      <c r="R7852" s="14">
        <v>112.37</v>
      </c>
      <c r="S7852" s="2" t="s">
        <v>5714</v>
      </c>
      <c r="T7852" s="2">
        <v>1.49</v>
      </c>
      <c r="U7852" s="2">
        <v>68</v>
      </c>
      <c r="V7852" s="2">
        <v>62</v>
      </c>
      <c r="W7852" s="2" t="s">
        <v>7862</v>
      </c>
      <c r="X7852" s="2" t="s">
        <v>190</v>
      </c>
      <c r="Y7852" s="2">
        <v>5733</v>
      </c>
      <c r="Z7852" s="19" t="str">
        <f>HYPERLINK("https://ssdweb.co/ssdweb/hd/Vision360.html?d=923400161&amp;zoomslide=1&amp;z=1923400161&amp;ISCONFIRM=0","VIDEO")</f>
        <v>VIDEO</v>
      </c>
      <c r="AA7852" s="19" t="str">
        <f>HYPERLINK("https://ssdweb.co/ssdweb/CERTH/544282576.pdf","CERTI")</f>
        <v>CERTI</v>
      </c>
    </row>
    <row r="7853" spans="1:27" ht="15" x14ac:dyDescent="0.25">
      <c r="A7853" s="2">
        <v>7848</v>
      </c>
      <c r="B7853" s="39">
        <v>925721928</v>
      </c>
      <c r="C7853" s="28" t="str">
        <f>HYPERLINK("https://pld.live/RapDetail.aspx?STONELIST=925721928","DNA")</f>
        <v>DNA</v>
      </c>
      <c r="D7853" s="18" t="s">
        <v>3054</v>
      </c>
      <c r="E7853" s="18" t="s">
        <v>5128</v>
      </c>
      <c r="F7853" s="2" t="s">
        <v>7987</v>
      </c>
      <c r="G7853" s="2" t="s">
        <v>4029</v>
      </c>
      <c r="H7853" s="14">
        <v>1.1000000000000001</v>
      </c>
      <c r="I7853" s="2" t="s">
        <v>267</v>
      </c>
      <c r="J7853" s="2" t="s">
        <v>6555</v>
      </c>
      <c r="K7853" s="2" t="s">
        <v>1452</v>
      </c>
      <c r="L7853" s="2" t="s">
        <v>5221</v>
      </c>
      <c r="M7853" s="2" t="s">
        <v>5221</v>
      </c>
      <c r="N7853" s="2" t="s">
        <v>2317</v>
      </c>
      <c r="O7853" s="14">
        <v>8200</v>
      </c>
      <c r="P7853" s="14">
        <v>98.44</v>
      </c>
      <c r="Q7853" s="14">
        <v>127.92</v>
      </c>
      <c r="R7853" s="14">
        <v>140.71</v>
      </c>
      <c r="S7853" s="2" t="s">
        <v>4375</v>
      </c>
      <c r="T7853" s="2">
        <v>1.41</v>
      </c>
      <c r="U7853" s="2">
        <v>66.900000000000006</v>
      </c>
      <c r="V7853" s="2">
        <v>64</v>
      </c>
      <c r="W7853" s="2" t="s">
        <v>7862</v>
      </c>
      <c r="X7853" s="2" t="s">
        <v>190</v>
      </c>
      <c r="Y7853" s="2">
        <v>9020</v>
      </c>
      <c r="Z7853" s="19" t="str">
        <f>HYPERLINK("https://ssdweb.co/ssdweb/hd/Vision360.html?d=925721928&amp;zoomslide=1&amp;z=1925721928&amp;ISCONFIRM=0","VIDEO")</f>
        <v>VIDEO</v>
      </c>
      <c r="AA7853" s="19" t="str">
        <f>HYPERLINK("https://ssdweb.co/ssdweb/CERTH/624420541.pdf","CERTI")</f>
        <v>CERTI</v>
      </c>
    </row>
    <row r="7854" spans="1:27" ht="15" x14ac:dyDescent="0.25">
      <c r="A7854" s="2">
        <v>7849</v>
      </c>
      <c r="B7854" s="39">
        <v>924700207</v>
      </c>
      <c r="C7854" s="28" t="str">
        <f>HYPERLINK("https://pld.live/RapDetail.aspx?STONELIST=924700207","DNA")</f>
        <v>DNA</v>
      </c>
      <c r="D7854" s="18" t="s">
        <v>3054</v>
      </c>
      <c r="E7854" s="18" t="s">
        <v>5128</v>
      </c>
      <c r="F7854" s="2" t="s">
        <v>7987</v>
      </c>
      <c r="G7854" s="2" t="s">
        <v>4029</v>
      </c>
      <c r="H7854" s="14">
        <v>1.1000000000000001</v>
      </c>
      <c r="I7854" s="2" t="s">
        <v>4699</v>
      </c>
      <c r="J7854" s="2" t="s">
        <v>7032</v>
      </c>
      <c r="K7854" s="2" t="s">
        <v>1452</v>
      </c>
      <c r="L7854" s="2" t="s">
        <v>5221</v>
      </c>
      <c r="M7854" s="2" t="s">
        <v>5221</v>
      </c>
      <c r="N7854" s="2" t="s">
        <v>2317</v>
      </c>
      <c r="O7854" s="14">
        <v>7400</v>
      </c>
      <c r="P7854" s="14">
        <v>97.84</v>
      </c>
      <c r="Q7854" s="14">
        <v>159.84</v>
      </c>
      <c r="R7854" s="14">
        <v>175.82</v>
      </c>
      <c r="S7854" s="2" t="s">
        <v>983</v>
      </c>
      <c r="T7854" s="2">
        <v>1.32</v>
      </c>
      <c r="U7854" s="2">
        <v>63.8</v>
      </c>
      <c r="V7854" s="2">
        <v>68</v>
      </c>
      <c r="W7854" s="2" t="s">
        <v>7862</v>
      </c>
      <c r="X7854" s="2" t="s">
        <v>190</v>
      </c>
      <c r="Y7854" s="2">
        <v>8140</v>
      </c>
      <c r="Z7854" s="19" t="str">
        <f>HYPERLINK("https://ssdweb.co/ssdweb/hd/Vision360.html?d=924700207&amp;zoomslide=1&amp;z=1924700207&amp;ISCONFIRM=0","VIDEO")</f>
        <v>VIDEO</v>
      </c>
      <c r="AA7854" s="19" t="str">
        <f>HYPERLINK("https://ssdweb.co/ssdweb/CERTH/602359456.pdf","CERTI")</f>
        <v>CERTI</v>
      </c>
    </row>
    <row r="7855" spans="1:27" ht="15" x14ac:dyDescent="0.25">
      <c r="A7855" s="2">
        <v>7850</v>
      </c>
      <c r="B7855" s="39">
        <v>926470257</v>
      </c>
      <c r="C7855" s="28" t="str">
        <f>HYPERLINK("https://pld.live/RapDetail.aspx?STONELIST=926470257","DNA")</f>
        <v>DNA</v>
      </c>
      <c r="D7855" s="18" t="s">
        <v>3054</v>
      </c>
      <c r="E7855" s="18" t="s">
        <v>2186</v>
      </c>
      <c r="F7855" s="2" t="s">
        <v>7987</v>
      </c>
      <c r="G7855" s="2" t="s">
        <v>4029</v>
      </c>
      <c r="H7855" s="14">
        <v>1.1000000000000001</v>
      </c>
      <c r="I7855" s="2" t="s">
        <v>4699</v>
      </c>
      <c r="J7855" s="2" t="s">
        <v>13</v>
      </c>
      <c r="K7855" s="2" t="s">
        <v>1452</v>
      </c>
      <c r="L7855" s="2" t="s">
        <v>5221</v>
      </c>
      <c r="M7855" s="2" t="s">
        <v>5221</v>
      </c>
      <c r="N7855" s="2" t="s">
        <v>2317</v>
      </c>
      <c r="O7855" s="14">
        <v>5800</v>
      </c>
      <c r="P7855" s="14">
        <v>98.26</v>
      </c>
      <c r="Q7855" s="14">
        <v>100.92</v>
      </c>
      <c r="R7855" s="14">
        <v>111.01</v>
      </c>
      <c r="S7855" s="2" t="s">
        <v>211</v>
      </c>
      <c r="T7855" s="2">
        <v>1.35</v>
      </c>
      <c r="U7855" s="2">
        <v>67.599999999999994</v>
      </c>
      <c r="V7855" s="2">
        <v>66</v>
      </c>
      <c r="W7855" s="2" t="s">
        <v>7862</v>
      </c>
      <c r="X7855" s="2" t="s">
        <v>190</v>
      </c>
      <c r="Y7855" s="2">
        <v>6380</v>
      </c>
      <c r="Z7855" s="19" t="str">
        <f>HYPERLINK("https://ssdweb.co/ssdweb/hd/Vision360.html?d=926470257&amp;zoomslide=1&amp;z=1926470257&amp;ISCONFIRM=0","VIDEO")</f>
        <v>VIDEO</v>
      </c>
      <c r="AA7855" s="19" t="str">
        <f>HYPERLINK("https://ssdweb.co/ssdweb/CERTH/645461705.pdf","CERTI")</f>
        <v>CERTI</v>
      </c>
    </row>
    <row r="7856" spans="1:27" ht="15" x14ac:dyDescent="0.25">
      <c r="A7856" s="2">
        <v>7851</v>
      </c>
      <c r="B7856" s="39">
        <v>924950377</v>
      </c>
      <c r="C7856" s="28" t="str">
        <f>HYPERLINK("https://pld.live/RapDetail.aspx?STONELIST=924950377","DNA")</f>
        <v>DNA</v>
      </c>
      <c r="D7856" s="18" t="s">
        <v>3054</v>
      </c>
      <c r="E7856" s="18" t="s">
        <v>2186</v>
      </c>
      <c r="F7856" s="2" t="s">
        <v>7987</v>
      </c>
      <c r="G7856" s="2" t="s">
        <v>4029</v>
      </c>
      <c r="H7856" s="14">
        <v>1.1000000000000001</v>
      </c>
      <c r="I7856" s="2" t="s">
        <v>4699</v>
      </c>
      <c r="J7856" s="2" t="s">
        <v>13</v>
      </c>
      <c r="K7856" s="2" t="s">
        <v>1452</v>
      </c>
      <c r="L7856" s="2" t="s">
        <v>5221</v>
      </c>
      <c r="M7856" s="2" t="s">
        <v>5221</v>
      </c>
      <c r="N7856" s="2" t="s">
        <v>2317</v>
      </c>
      <c r="O7856" s="14">
        <v>5800</v>
      </c>
      <c r="P7856" s="14">
        <v>98.26</v>
      </c>
      <c r="Q7856" s="14">
        <v>100.92</v>
      </c>
      <c r="R7856" s="14">
        <v>111.01</v>
      </c>
      <c r="S7856" s="2" t="s">
        <v>4658</v>
      </c>
      <c r="T7856" s="2">
        <v>1.35</v>
      </c>
      <c r="U7856" s="2">
        <v>63.7</v>
      </c>
      <c r="V7856" s="2">
        <v>65</v>
      </c>
      <c r="W7856" s="2" t="s">
        <v>7862</v>
      </c>
      <c r="X7856" s="2" t="s">
        <v>190</v>
      </c>
      <c r="Y7856" s="2">
        <v>6380</v>
      </c>
      <c r="Z7856" s="19" t="str">
        <f>HYPERLINK("https://ssdweb.co/ssdweb/hd/Vision360.html?d=924950377&amp;zoomslide=1&amp;z=1924950377&amp;ISCONFIRM=0","VIDEO")</f>
        <v>VIDEO</v>
      </c>
      <c r="AA7856" s="19" t="str">
        <f>HYPERLINK("https://ssdweb.co/ssdweb/CERTH/605355695.pdf","CERTI")</f>
        <v>CERTI</v>
      </c>
    </row>
    <row r="7857" spans="1:27" ht="15" x14ac:dyDescent="0.25">
      <c r="A7857" s="2">
        <v>7852</v>
      </c>
      <c r="B7857" s="39">
        <v>924590224</v>
      </c>
      <c r="C7857" s="28" t="str">
        <f>HYPERLINK("https://pld.live/RapDetail.aspx?STONELIST=924590224","DNA")</f>
        <v>DNA</v>
      </c>
      <c r="D7857" s="18" t="s">
        <v>3054</v>
      </c>
      <c r="E7857" s="18" t="s">
        <v>2186</v>
      </c>
      <c r="F7857" s="2" t="s">
        <v>7987</v>
      </c>
      <c r="G7857" s="2" t="s">
        <v>4029</v>
      </c>
      <c r="H7857" s="14">
        <v>1.1000000000000001</v>
      </c>
      <c r="I7857" s="2" t="s">
        <v>1505</v>
      </c>
      <c r="J7857" s="2" t="s">
        <v>5144</v>
      </c>
      <c r="K7857" s="2" t="s">
        <v>1452</v>
      </c>
      <c r="L7857" s="2" t="s">
        <v>5221</v>
      </c>
      <c r="M7857" s="2" t="s">
        <v>5221</v>
      </c>
      <c r="N7857" s="2" t="s">
        <v>2317</v>
      </c>
      <c r="O7857" s="14">
        <v>4200</v>
      </c>
      <c r="P7857" s="14">
        <v>98</v>
      </c>
      <c r="Q7857" s="14">
        <v>84</v>
      </c>
      <c r="R7857" s="14">
        <v>92.4</v>
      </c>
      <c r="S7857" s="2" t="s">
        <v>642</v>
      </c>
      <c r="T7857" s="2">
        <v>1.45</v>
      </c>
      <c r="U7857" s="2">
        <v>65.599999999999994</v>
      </c>
      <c r="V7857" s="2">
        <v>66</v>
      </c>
      <c r="W7857" s="2" t="s">
        <v>7862</v>
      </c>
      <c r="X7857" s="2" t="s">
        <v>190</v>
      </c>
      <c r="Y7857" s="2">
        <v>4620</v>
      </c>
      <c r="Z7857" s="19" t="str">
        <f>HYPERLINK("https://ssdweb.co/ssdweb/hd/Vision360.html?d=924590224&amp;zoomslide=1&amp;z=1924590224&amp;ISCONFIRM=0","VIDEO")</f>
        <v>VIDEO</v>
      </c>
      <c r="AA7857" s="19" t="str">
        <f>HYPERLINK("https://ssdweb.co/ssdweb/CERTH/598353314.pdf","CERTI")</f>
        <v>CERTI</v>
      </c>
    </row>
    <row r="7858" spans="1:27" ht="15" x14ac:dyDescent="0.25">
      <c r="A7858" s="2">
        <v>7853</v>
      </c>
      <c r="B7858" s="39">
        <v>925300364</v>
      </c>
      <c r="C7858" s="28" t="str">
        <f>HYPERLINK("https://pld.live/RapDetail.aspx?STONELIST=925300364","DNA")</f>
        <v>DNA</v>
      </c>
      <c r="D7858" s="18" t="s">
        <v>3054</v>
      </c>
      <c r="E7858" s="18" t="s">
        <v>5128</v>
      </c>
      <c r="F7858" s="2" t="s">
        <v>7987</v>
      </c>
      <c r="G7858" s="2" t="s">
        <v>4029</v>
      </c>
      <c r="H7858" s="14">
        <v>1.0900000000000001</v>
      </c>
      <c r="I7858" s="2" t="s">
        <v>267</v>
      </c>
      <c r="J7858" s="2" t="s">
        <v>6555</v>
      </c>
      <c r="K7858" s="2" t="s">
        <v>1452</v>
      </c>
      <c r="L7858" s="2" t="s">
        <v>5221</v>
      </c>
      <c r="M7858" s="2" t="s">
        <v>5221</v>
      </c>
      <c r="N7858" s="2" t="s">
        <v>2317</v>
      </c>
      <c r="O7858" s="14">
        <v>8200</v>
      </c>
      <c r="P7858" s="14">
        <v>98.44</v>
      </c>
      <c r="Q7858" s="14">
        <v>127.92</v>
      </c>
      <c r="R7858" s="14">
        <v>139.43</v>
      </c>
      <c r="S7858" s="2" t="s">
        <v>5559</v>
      </c>
      <c r="T7858" s="2">
        <v>1.4</v>
      </c>
      <c r="U7858" s="2">
        <v>67.400000000000006</v>
      </c>
      <c r="V7858" s="2">
        <v>66</v>
      </c>
      <c r="W7858" s="2" t="s">
        <v>7862</v>
      </c>
      <c r="X7858" s="2" t="s">
        <v>190</v>
      </c>
      <c r="Y7858" s="2">
        <v>8938</v>
      </c>
      <c r="Z7858" s="19" t="str">
        <f>HYPERLINK("https://ssdweb.co/ssdweb/hd/Vision360.html?d=925300364&amp;zoomslide=1&amp;z=1925300364&amp;ISCONFIRM=0","VIDEO")</f>
        <v>VIDEO</v>
      </c>
      <c r="AA7858" s="19" t="str">
        <f>HYPERLINK("https://ssdweb.co/ssdweb/CERTH/623412628.pdf","CERTI")</f>
        <v>CERTI</v>
      </c>
    </row>
    <row r="7859" spans="1:27" ht="15" x14ac:dyDescent="0.25">
      <c r="A7859" s="2">
        <v>7854</v>
      </c>
      <c r="B7859" s="39">
        <v>925300362</v>
      </c>
      <c r="C7859" s="28" t="str">
        <f>HYPERLINK("https://pld.live/RapDetail.aspx?STONELIST=925300362","DNA")</f>
        <v>DNA</v>
      </c>
      <c r="D7859" s="18" t="s">
        <v>3054</v>
      </c>
      <c r="E7859" s="18" t="s">
        <v>5128</v>
      </c>
      <c r="F7859" s="2" t="s">
        <v>7987</v>
      </c>
      <c r="G7859" s="2" t="s">
        <v>4029</v>
      </c>
      <c r="H7859" s="14">
        <v>1.0900000000000001</v>
      </c>
      <c r="I7859" s="2" t="s">
        <v>267</v>
      </c>
      <c r="J7859" s="2" t="s">
        <v>3942</v>
      </c>
      <c r="K7859" s="2" t="s">
        <v>1452</v>
      </c>
      <c r="L7859" s="2" t="s">
        <v>5221</v>
      </c>
      <c r="M7859" s="2" t="s">
        <v>5221</v>
      </c>
      <c r="N7859" s="2" t="s">
        <v>2317</v>
      </c>
      <c r="O7859" s="14">
        <v>7600</v>
      </c>
      <c r="P7859" s="14">
        <v>98.54</v>
      </c>
      <c r="Q7859" s="14">
        <v>110.96</v>
      </c>
      <c r="R7859" s="14">
        <v>120.95</v>
      </c>
      <c r="S7859" s="2" t="s">
        <v>2271</v>
      </c>
      <c r="T7859" s="2">
        <v>1.41</v>
      </c>
      <c r="U7859" s="2">
        <v>66.900000000000006</v>
      </c>
      <c r="V7859" s="2">
        <v>69</v>
      </c>
      <c r="W7859" s="2" t="s">
        <v>7862</v>
      </c>
      <c r="X7859" s="2" t="s">
        <v>190</v>
      </c>
      <c r="Y7859" s="2">
        <v>8284</v>
      </c>
      <c r="Z7859" s="19" t="str">
        <f>HYPERLINK("https://ssdweb.co/ssdweb/hd/Vision360.html?d=925300362&amp;zoomslide=1&amp;z=1925300362&amp;ISCONFIRM=0","VIDEO")</f>
        <v>VIDEO</v>
      </c>
      <c r="AA7859" s="19" t="str">
        <f>HYPERLINK("https://ssdweb.co/ssdweb/CERTH/622461188.pdf","CERTI")</f>
        <v>CERTI</v>
      </c>
    </row>
    <row r="7860" spans="1:27" ht="15" x14ac:dyDescent="0.25">
      <c r="A7860" s="2">
        <v>7855</v>
      </c>
      <c r="B7860" s="39">
        <v>925300361</v>
      </c>
      <c r="C7860" s="28" t="str">
        <f>HYPERLINK("https://pld.live/RapDetail.aspx?STONELIST=925300361","DNA")</f>
        <v>DNA</v>
      </c>
      <c r="D7860" s="18" t="s">
        <v>3054</v>
      </c>
      <c r="E7860" s="18" t="s">
        <v>5128</v>
      </c>
      <c r="F7860" s="2" t="s">
        <v>7987</v>
      </c>
      <c r="G7860" s="2" t="s">
        <v>4029</v>
      </c>
      <c r="H7860" s="14">
        <v>1.0900000000000001</v>
      </c>
      <c r="I7860" s="2" t="s">
        <v>267</v>
      </c>
      <c r="J7860" s="2" t="s">
        <v>3942</v>
      </c>
      <c r="K7860" s="2" t="s">
        <v>1452</v>
      </c>
      <c r="L7860" s="2" t="s">
        <v>5221</v>
      </c>
      <c r="M7860" s="2" t="s">
        <v>5221</v>
      </c>
      <c r="N7860" s="2" t="s">
        <v>2317</v>
      </c>
      <c r="O7860" s="14">
        <v>7600</v>
      </c>
      <c r="P7860" s="14">
        <v>98.54</v>
      </c>
      <c r="Q7860" s="14">
        <v>110.96</v>
      </c>
      <c r="R7860" s="14">
        <v>120.95</v>
      </c>
      <c r="S7860" s="2" t="s">
        <v>379</v>
      </c>
      <c r="T7860" s="2">
        <v>1.4</v>
      </c>
      <c r="U7860" s="2">
        <v>67.7</v>
      </c>
      <c r="V7860" s="2">
        <v>65</v>
      </c>
      <c r="W7860" s="2" t="s">
        <v>7862</v>
      </c>
      <c r="X7860" s="2" t="s">
        <v>190</v>
      </c>
      <c r="Y7860" s="2">
        <v>8284</v>
      </c>
      <c r="Z7860" s="19" t="str">
        <f>HYPERLINK("https://ssdweb.co/ssdweb/hd/Vision360.html?d=925300361&amp;zoomslide=1&amp;z=1925300361&amp;ISCONFIRM=0","VIDEO")</f>
        <v>VIDEO</v>
      </c>
      <c r="AA7860" s="19" t="str">
        <f>HYPERLINK("https://ssdweb.co/ssdweb/CERTH/621448141.pdf","CERTI")</f>
        <v>CERTI</v>
      </c>
    </row>
    <row r="7861" spans="1:27" ht="15" x14ac:dyDescent="0.25">
      <c r="A7861" s="2">
        <v>7856</v>
      </c>
      <c r="B7861" s="39">
        <v>925721483</v>
      </c>
      <c r="C7861" s="28" t="str">
        <f>HYPERLINK("https://pld.live/RapDetail.aspx?STONELIST=925721483","DNA")</f>
        <v>DNA</v>
      </c>
      <c r="D7861" s="18" t="s">
        <v>3054</v>
      </c>
      <c r="E7861" s="18" t="s">
        <v>5128</v>
      </c>
      <c r="F7861" s="2" t="s">
        <v>7987</v>
      </c>
      <c r="G7861" s="2" t="s">
        <v>4029</v>
      </c>
      <c r="H7861" s="14">
        <v>1.08</v>
      </c>
      <c r="I7861" s="2" t="s">
        <v>4761</v>
      </c>
      <c r="J7861" s="2" t="s">
        <v>3942</v>
      </c>
      <c r="K7861" s="2" t="s">
        <v>1452</v>
      </c>
      <c r="L7861" s="2" t="s">
        <v>5221</v>
      </c>
      <c r="M7861" s="2" t="s">
        <v>5221</v>
      </c>
      <c r="N7861" s="2" t="s">
        <v>2317</v>
      </c>
      <c r="O7861" s="14">
        <v>6900</v>
      </c>
      <c r="P7861" s="14">
        <v>98.45</v>
      </c>
      <c r="Q7861" s="14">
        <v>106.95</v>
      </c>
      <c r="R7861" s="14">
        <v>115.51</v>
      </c>
      <c r="S7861" s="2" t="s">
        <v>7223</v>
      </c>
      <c r="T7861" s="2">
        <v>1.41</v>
      </c>
      <c r="U7861" s="2">
        <v>67.400000000000006</v>
      </c>
      <c r="V7861" s="2">
        <v>64</v>
      </c>
      <c r="W7861" s="2" t="s">
        <v>7862</v>
      </c>
      <c r="X7861" s="2" t="s">
        <v>190</v>
      </c>
      <c r="Y7861" s="2">
        <v>7452</v>
      </c>
      <c r="Z7861" s="19" t="str">
        <f>HYPERLINK("https://ssdweb.co/ssdweb/hd/Vision360.html?d=925721483&amp;zoomslide=1&amp;z=1925721483&amp;ISCONFIRM=0","VIDEO")</f>
        <v>VIDEO</v>
      </c>
      <c r="AA7861" s="19" t="str">
        <f>HYPERLINK("https://ssdweb.co/ssdweb/CERTH/623449365.pdf","CERTI")</f>
        <v>CERTI</v>
      </c>
    </row>
    <row r="7862" spans="1:27" ht="15" x14ac:dyDescent="0.25">
      <c r="A7862" s="2">
        <v>7857</v>
      </c>
      <c r="B7862" s="39">
        <v>926270771</v>
      </c>
      <c r="C7862" s="28" t="str">
        <f>HYPERLINK("https://pld.live/RapDetail.aspx?STONELIST=926270771","DNA")</f>
        <v>DNA</v>
      </c>
      <c r="D7862" s="18" t="s">
        <v>3054</v>
      </c>
      <c r="E7862" s="18" t="s">
        <v>5128</v>
      </c>
      <c r="F7862" s="2" t="s">
        <v>7987</v>
      </c>
      <c r="G7862" s="2" t="s">
        <v>4029</v>
      </c>
      <c r="H7862" s="14">
        <v>1.05</v>
      </c>
      <c r="I7862" s="2" t="s">
        <v>267</v>
      </c>
      <c r="J7862" s="2" t="s">
        <v>6555</v>
      </c>
      <c r="K7862" s="2" t="s">
        <v>1452</v>
      </c>
      <c r="L7862" s="2" t="s">
        <v>5221</v>
      </c>
      <c r="M7862" s="2" t="s">
        <v>5221</v>
      </c>
      <c r="N7862" s="2" t="s">
        <v>2317</v>
      </c>
      <c r="O7862" s="14">
        <v>8200</v>
      </c>
      <c r="P7862" s="14">
        <v>98.44</v>
      </c>
      <c r="Q7862" s="14">
        <v>127.92</v>
      </c>
      <c r="R7862" s="14">
        <v>134.32</v>
      </c>
      <c r="S7862" s="2" t="s">
        <v>609</v>
      </c>
      <c r="T7862" s="2">
        <v>1.41</v>
      </c>
      <c r="U7862" s="2">
        <v>66.5</v>
      </c>
      <c r="V7862" s="2">
        <v>66</v>
      </c>
      <c r="W7862" s="2" t="s">
        <v>7862</v>
      </c>
      <c r="X7862" s="2" t="s">
        <v>190</v>
      </c>
      <c r="Y7862" s="2">
        <v>8610</v>
      </c>
      <c r="Z7862" s="19" t="str">
        <f>HYPERLINK("https://ssdweb.co/ssdweb/hd/Vision360.html?d=926270771&amp;zoomslide=1&amp;z=1926270771&amp;ISCONFIRM=0","VIDEO")</f>
        <v>VIDEO</v>
      </c>
      <c r="AA7862" s="19" t="str">
        <f>HYPERLINK("https://ssdweb.co/ssdweb/CERTH/638463350.pdf","CERTI")</f>
        <v>CERTI</v>
      </c>
    </row>
    <row r="7863" spans="1:27" ht="15" x14ac:dyDescent="0.25">
      <c r="A7863" s="2">
        <v>7858</v>
      </c>
      <c r="B7863" s="39">
        <v>821126913</v>
      </c>
      <c r="C7863" s="28" t="str">
        <f>HYPERLINK("https://pld.live/RapDetail.aspx?STONELIST=821126913","DNA")</f>
        <v>DNA</v>
      </c>
      <c r="D7863" s="18" t="s">
        <v>3054</v>
      </c>
      <c r="E7863" s="18" t="s">
        <v>5128</v>
      </c>
      <c r="F7863" s="2" t="s">
        <v>7987</v>
      </c>
      <c r="G7863" s="2" t="s">
        <v>4029</v>
      </c>
      <c r="H7863" s="14">
        <v>1.05</v>
      </c>
      <c r="I7863" s="2" t="s">
        <v>267</v>
      </c>
      <c r="J7863" s="2" t="s">
        <v>6555</v>
      </c>
      <c r="K7863" s="2" t="s">
        <v>1452</v>
      </c>
      <c r="L7863" s="2" t="s">
        <v>5221</v>
      </c>
      <c r="M7863" s="2" t="s">
        <v>5221</v>
      </c>
      <c r="N7863" s="2" t="s">
        <v>2317</v>
      </c>
      <c r="O7863" s="14">
        <v>8200</v>
      </c>
      <c r="P7863" s="14">
        <v>98.44</v>
      </c>
      <c r="Q7863" s="14">
        <v>127.92</v>
      </c>
      <c r="R7863" s="14">
        <v>134.32</v>
      </c>
      <c r="S7863" s="2" t="s">
        <v>2562</v>
      </c>
      <c r="T7863" s="2">
        <v>1.32</v>
      </c>
      <c r="U7863" s="2">
        <v>70.2</v>
      </c>
      <c r="V7863" s="2">
        <v>69</v>
      </c>
      <c r="W7863" s="2" t="s">
        <v>7862</v>
      </c>
      <c r="X7863" s="2" t="s">
        <v>190</v>
      </c>
      <c r="Y7863" s="2">
        <v>8610</v>
      </c>
      <c r="Z7863" s="19" t="str">
        <f>HYPERLINK("https://ssdweb.co/ssdweb/hd/Vision360.html?d=821126913&amp;zoomslide=1&amp;z=1821126913&amp;ISCONFIRM=0","VIDEO")</f>
        <v>VIDEO</v>
      </c>
      <c r="AA7863" s="19" t="str">
        <f>HYPERLINK("https://ssdweb.co/ssdweb/CERTH/621410776.pdf","CERTI")</f>
        <v>CERTI</v>
      </c>
    </row>
    <row r="7864" spans="1:27" ht="15" x14ac:dyDescent="0.25">
      <c r="A7864" s="2">
        <v>7859</v>
      </c>
      <c r="B7864" s="39">
        <v>926870878</v>
      </c>
      <c r="C7864" s="28" t="str">
        <f>HYPERLINK("https://pld.live/RapDetail.aspx?STONELIST=926870878","DNA")</f>
        <v>DNA</v>
      </c>
      <c r="D7864" s="18" t="s">
        <v>3054</v>
      </c>
      <c r="E7864" s="18" t="s">
        <v>5128</v>
      </c>
      <c r="F7864" s="2" t="s">
        <v>7987</v>
      </c>
      <c r="G7864" s="2" t="s">
        <v>4029</v>
      </c>
      <c r="H7864" s="14">
        <v>1.05</v>
      </c>
      <c r="I7864" s="2" t="s">
        <v>267</v>
      </c>
      <c r="J7864" s="2" t="s">
        <v>13</v>
      </c>
      <c r="K7864" s="2" t="s">
        <v>1452</v>
      </c>
      <c r="L7864" s="2" t="s">
        <v>5221</v>
      </c>
      <c r="M7864" s="2" t="s">
        <v>5221</v>
      </c>
      <c r="N7864" s="2" t="s">
        <v>2317</v>
      </c>
      <c r="O7864" s="14">
        <v>6700</v>
      </c>
      <c r="P7864" s="14">
        <v>98.42</v>
      </c>
      <c r="Q7864" s="14">
        <v>105.86</v>
      </c>
      <c r="R7864" s="14">
        <v>111.15</v>
      </c>
      <c r="S7864" s="2" t="s">
        <v>5833</v>
      </c>
      <c r="T7864" s="2">
        <v>1.29</v>
      </c>
      <c r="U7864" s="2">
        <v>66.099999999999994</v>
      </c>
      <c r="V7864" s="2">
        <v>63</v>
      </c>
      <c r="W7864" s="2" t="s">
        <v>7862</v>
      </c>
      <c r="X7864" s="2" t="s">
        <v>190</v>
      </c>
      <c r="Y7864" s="2">
        <v>7035</v>
      </c>
      <c r="Z7864" s="19" t="str">
        <f>HYPERLINK("https://ssdweb.co/ssdweb/hd/Vision360.html?d=926870878&amp;zoomslide=1&amp;z=1926870878&amp;ISCONFIRM=0","VIDEO")</f>
        <v>VIDEO</v>
      </c>
      <c r="AA7864" s="19" t="str">
        <f>HYPERLINK("https://ssdweb.co/ssdweb/CERTH/653442495.pdf","CERTI")</f>
        <v>CERTI</v>
      </c>
    </row>
    <row r="7865" spans="1:27" ht="15" x14ac:dyDescent="0.25">
      <c r="A7865" s="2">
        <v>7860</v>
      </c>
      <c r="B7865" s="39">
        <v>821126908</v>
      </c>
      <c r="C7865" s="28" t="str">
        <f>HYPERLINK("https://pld.live/RapDetail.aspx?STONELIST=821126908","DNA")</f>
        <v>DNA</v>
      </c>
      <c r="D7865" s="18" t="s">
        <v>3054</v>
      </c>
      <c r="E7865" s="18" t="s">
        <v>5128</v>
      </c>
      <c r="F7865" s="2" t="s">
        <v>7987</v>
      </c>
      <c r="G7865" s="2" t="s">
        <v>4029</v>
      </c>
      <c r="H7865" s="14">
        <v>1.05</v>
      </c>
      <c r="I7865" s="2" t="s">
        <v>267</v>
      </c>
      <c r="J7865" s="2" t="s">
        <v>13</v>
      </c>
      <c r="K7865" s="2" t="s">
        <v>1452</v>
      </c>
      <c r="L7865" s="2" t="s">
        <v>5221</v>
      </c>
      <c r="M7865" s="2" t="s">
        <v>5221</v>
      </c>
      <c r="N7865" s="2" t="s">
        <v>2317</v>
      </c>
      <c r="O7865" s="14">
        <v>6700</v>
      </c>
      <c r="P7865" s="14">
        <v>98.42</v>
      </c>
      <c r="Q7865" s="14">
        <v>105.86</v>
      </c>
      <c r="R7865" s="14">
        <v>111.15</v>
      </c>
      <c r="S7865" s="2" t="s">
        <v>7294</v>
      </c>
      <c r="T7865" s="2">
        <v>1.45</v>
      </c>
      <c r="U7865" s="2">
        <v>74.5</v>
      </c>
      <c r="V7865" s="2">
        <v>69</v>
      </c>
      <c r="W7865" s="2" t="s">
        <v>7862</v>
      </c>
      <c r="X7865" s="2" t="s">
        <v>190</v>
      </c>
      <c r="Y7865" s="2">
        <v>7035</v>
      </c>
      <c r="Z7865" s="19" t="str">
        <f>HYPERLINK("https://ssdweb.co/ssdweb/hd/Vision360.html?d=821126908&amp;zoomslide=1&amp;z=1821126908&amp;ISCONFIRM=0","VIDEO")</f>
        <v>VIDEO</v>
      </c>
      <c r="AA7865" s="19" t="str">
        <f>HYPERLINK("https://ssdweb.co/ssdweb/CERTH/621410826.pdf","CERTI")</f>
        <v>CERTI</v>
      </c>
    </row>
    <row r="7866" spans="1:27" ht="15" x14ac:dyDescent="0.25">
      <c r="A7866" s="2">
        <v>7861</v>
      </c>
      <c r="B7866" s="39">
        <v>821126888</v>
      </c>
      <c r="C7866" s="28" t="str">
        <f>HYPERLINK("https://pld.live/RapDetail.aspx?STONELIST=821126888","DNA")</f>
        <v>DNA</v>
      </c>
      <c r="D7866" s="18" t="s">
        <v>3054</v>
      </c>
      <c r="E7866" s="18" t="s">
        <v>5128</v>
      </c>
      <c r="F7866" s="2" t="s">
        <v>7987</v>
      </c>
      <c r="G7866" s="2" t="s">
        <v>4029</v>
      </c>
      <c r="H7866" s="14">
        <v>1.05</v>
      </c>
      <c r="I7866" s="2" t="s">
        <v>4761</v>
      </c>
      <c r="J7866" s="2" t="s">
        <v>6555</v>
      </c>
      <c r="K7866" s="2" t="s">
        <v>1452</v>
      </c>
      <c r="L7866" s="2" t="s">
        <v>5221</v>
      </c>
      <c r="M7866" s="2" t="s">
        <v>5221</v>
      </c>
      <c r="N7866" s="2" t="s">
        <v>2317</v>
      </c>
      <c r="O7866" s="14">
        <v>7500</v>
      </c>
      <c r="P7866" s="14">
        <v>98.39</v>
      </c>
      <c r="Q7866" s="14">
        <v>120.75</v>
      </c>
      <c r="R7866" s="14">
        <v>126.79</v>
      </c>
      <c r="S7866" s="2" t="s">
        <v>6185</v>
      </c>
      <c r="T7866" s="2">
        <v>1.37</v>
      </c>
      <c r="U7866" s="2">
        <v>70.5</v>
      </c>
      <c r="V7866" s="2">
        <v>74</v>
      </c>
      <c r="W7866" s="2" t="s">
        <v>7862</v>
      </c>
      <c r="X7866" s="2" t="s">
        <v>190</v>
      </c>
      <c r="Y7866" s="2">
        <v>7875</v>
      </c>
      <c r="Z7866" s="19" t="str">
        <f>HYPERLINK("https://ssdweb.co/ssdweb/hd/Vision360.html?d=821126888&amp;zoomslide=1&amp;z=1821126888&amp;ISCONFIRM=0","VIDEO")</f>
        <v>VIDEO</v>
      </c>
      <c r="AA7866" s="19" t="str">
        <f>HYPERLINK("https://ssdweb.co/ssdweb/CERTH/621410825.pdf","CERTI")</f>
        <v>CERTI</v>
      </c>
    </row>
    <row r="7867" spans="1:27" ht="15" x14ac:dyDescent="0.25">
      <c r="A7867" s="2">
        <v>7862</v>
      </c>
      <c r="B7867" s="39">
        <v>821126906</v>
      </c>
      <c r="C7867" s="28" t="str">
        <f>HYPERLINK("https://pld.live/RapDetail.aspx?STONELIST=821126906","DNA")</f>
        <v>DNA</v>
      </c>
      <c r="D7867" s="18" t="s">
        <v>3054</v>
      </c>
      <c r="E7867" s="18" t="s">
        <v>5128</v>
      </c>
      <c r="F7867" s="2" t="s">
        <v>7987</v>
      </c>
      <c r="G7867" s="2" t="s">
        <v>4029</v>
      </c>
      <c r="H7867" s="14">
        <v>1.05</v>
      </c>
      <c r="I7867" s="2" t="s">
        <v>4761</v>
      </c>
      <c r="J7867" s="2" t="s">
        <v>6555</v>
      </c>
      <c r="K7867" s="2" t="s">
        <v>1452</v>
      </c>
      <c r="L7867" s="2" t="s">
        <v>5221</v>
      </c>
      <c r="M7867" s="2" t="s">
        <v>5221</v>
      </c>
      <c r="N7867" s="2" t="s">
        <v>2317</v>
      </c>
      <c r="O7867" s="14">
        <v>7500</v>
      </c>
      <c r="P7867" s="14">
        <v>98.39</v>
      </c>
      <c r="Q7867" s="14">
        <v>120.75</v>
      </c>
      <c r="R7867" s="14">
        <v>126.79</v>
      </c>
      <c r="S7867" s="2" t="s">
        <v>4513</v>
      </c>
      <c r="T7867" s="2">
        <v>1.39</v>
      </c>
      <c r="U7867" s="2">
        <v>72.8</v>
      </c>
      <c r="V7867" s="2">
        <v>72</v>
      </c>
      <c r="W7867" s="2" t="s">
        <v>7862</v>
      </c>
      <c r="X7867" s="2" t="s">
        <v>190</v>
      </c>
      <c r="Y7867" s="2">
        <v>7875</v>
      </c>
      <c r="Z7867" s="19" t="str">
        <f>HYPERLINK("https://ssdweb.co/ssdweb/hd/Vision360.html?d=821126906&amp;zoomslide=1&amp;z=1821126906&amp;ISCONFIRM=0","VIDEO")</f>
        <v>VIDEO</v>
      </c>
      <c r="AA7867" s="19" t="str">
        <f>HYPERLINK("https://ssdweb.co/ssdweb/CERTH/621410848.pdf","CERTI")</f>
        <v>CERTI</v>
      </c>
    </row>
    <row r="7868" spans="1:27" ht="15" x14ac:dyDescent="0.25">
      <c r="A7868" s="2">
        <v>7863</v>
      </c>
      <c r="B7868" s="39">
        <v>821126886</v>
      </c>
      <c r="C7868" s="28" t="str">
        <f>HYPERLINK("https://pld.live/RapDetail.aspx?STONELIST=821126886","DNA")</f>
        <v>DNA</v>
      </c>
      <c r="D7868" s="18" t="s">
        <v>3054</v>
      </c>
      <c r="E7868" s="18" t="s">
        <v>5128</v>
      </c>
      <c r="F7868" s="2" t="s">
        <v>7987</v>
      </c>
      <c r="G7868" s="2" t="s">
        <v>4029</v>
      </c>
      <c r="H7868" s="14">
        <v>1.05</v>
      </c>
      <c r="I7868" s="2" t="s">
        <v>4761</v>
      </c>
      <c r="J7868" s="2" t="s">
        <v>3942</v>
      </c>
      <c r="K7868" s="2" t="s">
        <v>1452</v>
      </c>
      <c r="L7868" s="2" t="s">
        <v>5221</v>
      </c>
      <c r="M7868" s="2" t="s">
        <v>5221</v>
      </c>
      <c r="N7868" s="2" t="s">
        <v>2317</v>
      </c>
      <c r="O7868" s="14">
        <v>6900</v>
      </c>
      <c r="P7868" s="14">
        <v>98.45</v>
      </c>
      <c r="Q7868" s="14">
        <v>106.95</v>
      </c>
      <c r="R7868" s="14">
        <v>112.3</v>
      </c>
      <c r="S7868" s="2" t="s">
        <v>4793</v>
      </c>
      <c r="T7868" s="2">
        <v>1.36</v>
      </c>
      <c r="U7868" s="2">
        <v>70.900000000000006</v>
      </c>
      <c r="V7868" s="2">
        <v>70</v>
      </c>
      <c r="W7868" s="2" t="s">
        <v>7862</v>
      </c>
      <c r="X7868" s="2" t="s">
        <v>190</v>
      </c>
      <c r="Y7868" s="2">
        <v>7245</v>
      </c>
      <c r="Z7868" s="19" t="str">
        <f>HYPERLINK("https://ssdweb.co/ssdweb/hd/Vision360.html?d=821126886&amp;zoomslide=1&amp;z=1821126886&amp;ISCONFIRM=0","VIDEO")</f>
        <v>VIDEO</v>
      </c>
      <c r="AA7868" s="19" t="str">
        <f>HYPERLINK("https://ssdweb.co/ssdweb/CERTH/621410824.pdf","CERTI")</f>
        <v>CERTI</v>
      </c>
    </row>
    <row r="7869" spans="1:27" ht="15" x14ac:dyDescent="0.25">
      <c r="A7869" s="2">
        <v>7864</v>
      </c>
      <c r="B7869" s="39">
        <v>926790337</v>
      </c>
      <c r="C7869" s="28" t="str">
        <f>HYPERLINK("https://pld.live/RapDetail.aspx?STONELIST=926790337","DNA")</f>
        <v>DNA</v>
      </c>
      <c r="D7869" s="18" t="s">
        <v>3054</v>
      </c>
      <c r="E7869" s="18" t="s">
        <v>2186</v>
      </c>
      <c r="F7869" s="2" t="s">
        <v>7987</v>
      </c>
      <c r="G7869" s="2" t="s">
        <v>4029</v>
      </c>
      <c r="H7869" s="14">
        <v>1.05</v>
      </c>
      <c r="I7869" s="2" t="s">
        <v>4761</v>
      </c>
      <c r="J7869" s="2" t="s">
        <v>13</v>
      </c>
      <c r="K7869" s="2" t="s">
        <v>1452</v>
      </c>
      <c r="L7869" s="2" t="s">
        <v>5221</v>
      </c>
      <c r="M7869" s="2" t="s">
        <v>5221</v>
      </c>
      <c r="N7869" s="2" t="s">
        <v>2317</v>
      </c>
      <c r="O7869" s="14">
        <v>6200</v>
      </c>
      <c r="P7869" s="14">
        <v>98.32</v>
      </c>
      <c r="Q7869" s="14">
        <v>104.16</v>
      </c>
      <c r="R7869" s="14">
        <v>109.37</v>
      </c>
      <c r="S7869" s="2" t="s">
        <v>7091</v>
      </c>
      <c r="T7869" s="2">
        <v>1.33</v>
      </c>
      <c r="U7869" s="2">
        <v>66.3</v>
      </c>
      <c r="V7869" s="2">
        <v>65</v>
      </c>
      <c r="W7869" s="2" t="s">
        <v>7862</v>
      </c>
      <c r="X7869" s="2" t="s">
        <v>190</v>
      </c>
      <c r="Y7869" s="2">
        <v>6510</v>
      </c>
      <c r="Z7869" s="19" t="str">
        <f>HYPERLINK("https://ssdweb.co/ssdweb/hd/Vision360.html?d=926790337&amp;zoomslide=1&amp;z=1926790337&amp;ISCONFIRM=0","VIDEO")</f>
        <v>VIDEO</v>
      </c>
      <c r="AA7869" s="19" t="str">
        <f>HYPERLINK("https://ssdweb.co/ssdweb/CERTH/652442305.pdf","CERTI")</f>
        <v>CERTI</v>
      </c>
    </row>
    <row r="7870" spans="1:27" ht="15" x14ac:dyDescent="0.25">
      <c r="A7870" s="2">
        <v>7865</v>
      </c>
      <c r="B7870" s="39">
        <v>926840619</v>
      </c>
      <c r="C7870" s="28" t="str">
        <f>HYPERLINK("https://pld.live/RapDetail.aspx?STONELIST=926840619","DNA")</f>
        <v>DNA</v>
      </c>
      <c r="D7870" s="18" t="s">
        <v>3054</v>
      </c>
      <c r="E7870" s="18" t="s">
        <v>2186</v>
      </c>
      <c r="F7870" s="2" t="s">
        <v>7987</v>
      </c>
      <c r="G7870" s="2" t="s">
        <v>4029</v>
      </c>
      <c r="H7870" s="14">
        <v>1.04</v>
      </c>
      <c r="I7870" s="2" t="s">
        <v>267</v>
      </c>
      <c r="J7870" s="2" t="s">
        <v>6555</v>
      </c>
      <c r="K7870" s="2" t="s">
        <v>1452</v>
      </c>
      <c r="L7870" s="2" t="s">
        <v>5221</v>
      </c>
      <c r="M7870" s="2" t="s">
        <v>5221</v>
      </c>
      <c r="N7870" s="2" t="s">
        <v>2317</v>
      </c>
      <c r="O7870" s="14">
        <v>8200</v>
      </c>
      <c r="P7870" s="14">
        <v>98.44</v>
      </c>
      <c r="Q7870" s="14">
        <v>127.92</v>
      </c>
      <c r="R7870" s="14">
        <v>133.04</v>
      </c>
      <c r="S7870" s="2" t="s">
        <v>3652</v>
      </c>
      <c r="T7870" s="2">
        <v>1.32</v>
      </c>
      <c r="U7870" s="2">
        <v>66.2</v>
      </c>
      <c r="V7870" s="2">
        <v>66</v>
      </c>
      <c r="W7870" s="2" t="s">
        <v>7862</v>
      </c>
      <c r="X7870" s="2" t="s">
        <v>190</v>
      </c>
      <c r="Y7870" s="2">
        <v>8528</v>
      </c>
      <c r="Z7870" s="19" t="str">
        <f>HYPERLINK("https://ssdweb.co/ssdweb/hd/Vision360.html?d=926840619&amp;zoomslide=1&amp;z=1926840619&amp;ISCONFIRM=0","VIDEO")</f>
        <v>VIDEO</v>
      </c>
      <c r="AA7870" s="19" t="str">
        <f>HYPERLINK("https://ssdweb.co/ssdweb/CERTH/654432315.pdf","CERTI")</f>
        <v>CERTI</v>
      </c>
    </row>
    <row r="7871" spans="1:27" ht="15" x14ac:dyDescent="0.25">
      <c r="A7871" s="2">
        <v>7866</v>
      </c>
      <c r="B7871" s="39">
        <v>926831109</v>
      </c>
      <c r="C7871" s="28" t="str">
        <f>HYPERLINK("https://pld.live/RapDetail.aspx?STONELIST=926831109","DNA")</f>
        <v>DNA</v>
      </c>
      <c r="D7871" s="18" t="s">
        <v>3054</v>
      </c>
      <c r="E7871" s="18" t="s">
        <v>5128</v>
      </c>
      <c r="F7871" s="2" t="s">
        <v>7987</v>
      </c>
      <c r="G7871" s="2" t="s">
        <v>4029</v>
      </c>
      <c r="H7871" s="14">
        <v>1.04</v>
      </c>
      <c r="I7871" s="2" t="s">
        <v>267</v>
      </c>
      <c r="J7871" s="2" t="s">
        <v>6555</v>
      </c>
      <c r="K7871" s="2" t="s">
        <v>1452</v>
      </c>
      <c r="L7871" s="2" t="s">
        <v>5221</v>
      </c>
      <c r="M7871" s="2" t="s">
        <v>5221</v>
      </c>
      <c r="N7871" s="2" t="s">
        <v>2317</v>
      </c>
      <c r="O7871" s="14">
        <v>8200</v>
      </c>
      <c r="P7871" s="14">
        <v>98.44</v>
      </c>
      <c r="Q7871" s="14">
        <v>127.92</v>
      </c>
      <c r="R7871" s="14">
        <v>133.04</v>
      </c>
      <c r="S7871" s="2" t="s">
        <v>5765</v>
      </c>
      <c r="T7871" s="2">
        <v>1.35</v>
      </c>
      <c r="U7871" s="2">
        <v>66.900000000000006</v>
      </c>
      <c r="V7871" s="2">
        <v>65</v>
      </c>
      <c r="W7871" s="2" t="s">
        <v>7862</v>
      </c>
      <c r="X7871" s="2" t="s">
        <v>190</v>
      </c>
      <c r="Y7871" s="2">
        <v>8528</v>
      </c>
      <c r="Z7871" s="19" t="str">
        <f>HYPERLINK("https://ssdweb.co/ssdweb/hd/Vision360.html?d=926831109&amp;zoomslide=1&amp;z=1926831109&amp;ISCONFIRM=0","VIDEO")</f>
        <v>VIDEO</v>
      </c>
      <c r="AA7871" s="19" t="str">
        <f>HYPERLINK("https://ssdweb.co/ssdweb/CERTH/655451812.pdf","CERTI")</f>
        <v>CERTI</v>
      </c>
    </row>
    <row r="7872" spans="1:27" ht="15" x14ac:dyDescent="0.25">
      <c r="A7872" s="2">
        <v>7867</v>
      </c>
      <c r="B7872" s="39">
        <v>926830911</v>
      </c>
      <c r="C7872" s="28" t="str">
        <f>HYPERLINK("https://pld.live/RapDetail.aspx?STONELIST=926830911","DNA")</f>
        <v>DNA</v>
      </c>
      <c r="D7872" s="18" t="s">
        <v>3054</v>
      </c>
      <c r="E7872" s="18" t="s">
        <v>5128</v>
      </c>
      <c r="F7872" s="2" t="s">
        <v>7987</v>
      </c>
      <c r="G7872" s="2" t="s">
        <v>4029</v>
      </c>
      <c r="H7872" s="14">
        <v>1.04</v>
      </c>
      <c r="I7872" s="2" t="s">
        <v>267</v>
      </c>
      <c r="J7872" s="2" t="s">
        <v>3942</v>
      </c>
      <c r="K7872" s="2" t="s">
        <v>1452</v>
      </c>
      <c r="L7872" s="2" t="s">
        <v>5221</v>
      </c>
      <c r="M7872" s="2" t="s">
        <v>5221</v>
      </c>
      <c r="N7872" s="2" t="s">
        <v>2317</v>
      </c>
      <c r="O7872" s="14">
        <v>7600</v>
      </c>
      <c r="P7872" s="14">
        <v>98.54</v>
      </c>
      <c r="Q7872" s="14">
        <v>110.96</v>
      </c>
      <c r="R7872" s="14">
        <v>115.4</v>
      </c>
      <c r="S7872" s="2" t="s">
        <v>2183</v>
      </c>
      <c r="T7872" s="2">
        <v>1.28</v>
      </c>
      <c r="U7872" s="2">
        <v>67.099999999999994</v>
      </c>
      <c r="V7872" s="2">
        <v>64</v>
      </c>
      <c r="W7872" s="2" t="s">
        <v>7862</v>
      </c>
      <c r="X7872" s="2" t="s">
        <v>190</v>
      </c>
      <c r="Y7872" s="2">
        <v>7904</v>
      </c>
      <c r="Z7872" s="19" t="str">
        <f>HYPERLINK("https://ssdweb.co/ssdweb/hd/Vision360.html?d=926830911&amp;zoomslide=1&amp;z=1926830911&amp;ISCONFIRM=0","VIDEO")</f>
        <v>VIDEO</v>
      </c>
      <c r="AA7872" s="19" t="str">
        <f>HYPERLINK("https://ssdweb.co/ssdweb/CERTH/653442515.pdf","CERTI")</f>
        <v>CERTI</v>
      </c>
    </row>
    <row r="7873" spans="1:27" ht="15" x14ac:dyDescent="0.25">
      <c r="A7873" s="2">
        <v>7868</v>
      </c>
      <c r="B7873" s="39">
        <v>926841216</v>
      </c>
      <c r="C7873" s="28" t="str">
        <f>HYPERLINK("https://pld.live/RapDetail.aspx?STONELIST=926841216","DNA")</f>
        <v>DNA</v>
      </c>
      <c r="D7873" s="18" t="s">
        <v>3054</v>
      </c>
      <c r="E7873" s="18" t="s">
        <v>2186</v>
      </c>
      <c r="F7873" s="2" t="s">
        <v>7987</v>
      </c>
      <c r="G7873" s="2" t="s">
        <v>4029</v>
      </c>
      <c r="H7873" s="14">
        <v>1.04</v>
      </c>
      <c r="I7873" s="2" t="s">
        <v>267</v>
      </c>
      <c r="J7873" s="2" t="s">
        <v>3942</v>
      </c>
      <c r="K7873" s="2" t="s">
        <v>1452</v>
      </c>
      <c r="L7873" s="2" t="s">
        <v>5221</v>
      </c>
      <c r="M7873" s="2" t="s">
        <v>5221</v>
      </c>
      <c r="N7873" s="2" t="s">
        <v>2317</v>
      </c>
      <c r="O7873" s="14">
        <v>7600</v>
      </c>
      <c r="P7873" s="14">
        <v>98.54</v>
      </c>
      <c r="Q7873" s="14">
        <v>110.96</v>
      </c>
      <c r="R7873" s="14">
        <v>115.4</v>
      </c>
      <c r="S7873" s="2" t="s">
        <v>5825</v>
      </c>
      <c r="T7873" s="2">
        <v>1.33</v>
      </c>
      <c r="U7873" s="2">
        <v>66.2</v>
      </c>
      <c r="V7873" s="2">
        <v>65</v>
      </c>
      <c r="W7873" s="2" t="s">
        <v>7862</v>
      </c>
      <c r="X7873" s="2" t="s">
        <v>190</v>
      </c>
      <c r="Y7873" s="2">
        <v>7904</v>
      </c>
      <c r="Z7873" s="19" t="str">
        <f>HYPERLINK("https://ssdweb.co/ssdweb/hd/Vision360.html?d=926841216&amp;zoomslide=1&amp;z=1926841216&amp;ISCONFIRM=0","VIDEO")</f>
        <v>VIDEO</v>
      </c>
      <c r="AA7873" s="19" t="str">
        <f>HYPERLINK("https://ssdweb.co/ssdweb/CERTH/656479478.pdf","CERTI")</f>
        <v>CERTI</v>
      </c>
    </row>
    <row r="7874" spans="1:27" ht="15" x14ac:dyDescent="0.25">
      <c r="A7874" s="2">
        <v>7869</v>
      </c>
      <c r="B7874" s="39">
        <v>926830960</v>
      </c>
      <c r="C7874" s="28" t="str">
        <f>HYPERLINK("https://pld.live/RapDetail.aspx?STONELIST=926830960","DNA")</f>
        <v>DNA</v>
      </c>
      <c r="D7874" s="18" t="s">
        <v>3054</v>
      </c>
      <c r="E7874" s="18" t="s">
        <v>5128</v>
      </c>
      <c r="F7874" s="2" t="s">
        <v>7987</v>
      </c>
      <c r="G7874" s="2" t="s">
        <v>4029</v>
      </c>
      <c r="H7874" s="14">
        <v>1.04</v>
      </c>
      <c r="I7874" s="2" t="s">
        <v>267</v>
      </c>
      <c r="J7874" s="2" t="s">
        <v>3942</v>
      </c>
      <c r="K7874" s="2" t="s">
        <v>1452</v>
      </c>
      <c r="L7874" s="2" t="s">
        <v>5221</v>
      </c>
      <c r="M7874" s="2" t="s">
        <v>5221</v>
      </c>
      <c r="N7874" s="2" t="s">
        <v>2317</v>
      </c>
      <c r="O7874" s="14">
        <v>7600</v>
      </c>
      <c r="P7874" s="14">
        <v>98.54</v>
      </c>
      <c r="Q7874" s="14">
        <v>110.96</v>
      </c>
      <c r="R7874" s="14">
        <v>115.4</v>
      </c>
      <c r="S7874" s="2" t="s">
        <v>3761</v>
      </c>
      <c r="T7874" s="2">
        <v>1.35</v>
      </c>
      <c r="U7874" s="2">
        <v>64.400000000000006</v>
      </c>
      <c r="V7874" s="2">
        <v>67</v>
      </c>
      <c r="W7874" s="2" t="s">
        <v>7862</v>
      </c>
      <c r="X7874" s="2" t="s">
        <v>190</v>
      </c>
      <c r="Y7874" s="2">
        <v>7904</v>
      </c>
      <c r="Z7874" s="19" t="str">
        <f>HYPERLINK("https://ssdweb.co/ssdweb/hd/Vision360.html?d=926830960&amp;zoomslide=1&amp;z=1926830960&amp;ISCONFIRM=0","VIDEO")</f>
        <v>VIDEO</v>
      </c>
      <c r="AA7874" s="19" t="str">
        <f>HYPERLINK("https://ssdweb.co/ssdweb/CERTH/654432308.pdf","CERTI")</f>
        <v>CERTI</v>
      </c>
    </row>
    <row r="7875" spans="1:27" ht="15" x14ac:dyDescent="0.25">
      <c r="A7875" s="2">
        <v>7870</v>
      </c>
      <c r="B7875" s="39">
        <v>926841124</v>
      </c>
      <c r="C7875" s="28" t="str">
        <f>HYPERLINK("https://pld.live/RapDetail.aspx?STONELIST=926841124","DNA")</f>
        <v>DNA</v>
      </c>
      <c r="D7875" s="18" t="s">
        <v>3054</v>
      </c>
      <c r="E7875" s="18" t="s">
        <v>2186</v>
      </c>
      <c r="F7875" s="2" t="s">
        <v>7987</v>
      </c>
      <c r="G7875" s="2" t="s">
        <v>4029</v>
      </c>
      <c r="H7875" s="14">
        <v>1.04</v>
      </c>
      <c r="I7875" s="2" t="s">
        <v>267</v>
      </c>
      <c r="J7875" s="2" t="s">
        <v>3942</v>
      </c>
      <c r="K7875" s="2" t="s">
        <v>1452</v>
      </c>
      <c r="L7875" s="2" t="s">
        <v>5221</v>
      </c>
      <c r="M7875" s="2" t="s">
        <v>5221</v>
      </c>
      <c r="N7875" s="2" t="s">
        <v>2317</v>
      </c>
      <c r="O7875" s="14">
        <v>7600</v>
      </c>
      <c r="P7875" s="14">
        <v>98.54</v>
      </c>
      <c r="Q7875" s="14">
        <v>110.96</v>
      </c>
      <c r="R7875" s="14">
        <v>115.4</v>
      </c>
      <c r="S7875" s="2" t="s">
        <v>674</v>
      </c>
      <c r="T7875" s="2">
        <v>1.35</v>
      </c>
      <c r="U7875" s="2">
        <v>66.3</v>
      </c>
      <c r="V7875" s="2">
        <v>64</v>
      </c>
      <c r="W7875" s="2" t="s">
        <v>7862</v>
      </c>
      <c r="X7875" s="2" t="s">
        <v>190</v>
      </c>
      <c r="Y7875" s="2">
        <v>7904</v>
      </c>
      <c r="Z7875" s="19" t="str">
        <f>HYPERLINK("https://ssdweb.co/ssdweb/hd/Vision360.html?d=926841124&amp;zoomslide=1&amp;z=1926841124&amp;ISCONFIRM=0","VIDEO")</f>
        <v>VIDEO</v>
      </c>
      <c r="AA7875" s="19" t="str">
        <f>HYPERLINK("https://ssdweb.co/ssdweb/CERTH/655451829.pdf","CERTI")</f>
        <v>CERTI</v>
      </c>
    </row>
    <row r="7876" spans="1:27" ht="15" x14ac:dyDescent="0.25">
      <c r="A7876" s="2">
        <v>7871</v>
      </c>
      <c r="B7876" s="39">
        <v>821126903</v>
      </c>
      <c r="C7876" s="28" t="str">
        <f>HYPERLINK("https://pld.live/RapDetail.aspx?STONELIST=821126903","DNA")</f>
        <v>DNA</v>
      </c>
      <c r="D7876" s="18" t="s">
        <v>3054</v>
      </c>
      <c r="E7876" s="18" t="s">
        <v>5128</v>
      </c>
      <c r="F7876" s="2" t="s">
        <v>7987</v>
      </c>
      <c r="G7876" s="2" t="s">
        <v>4029</v>
      </c>
      <c r="H7876" s="14">
        <v>1.04</v>
      </c>
      <c r="I7876" s="2" t="s">
        <v>267</v>
      </c>
      <c r="J7876" s="2" t="s">
        <v>3942</v>
      </c>
      <c r="K7876" s="2" t="s">
        <v>1452</v>
      </c>
      <c r="L7876" s="2" t="s">
        <v>5221</v>
      </c>
      <c r="M7876" s="2" t="s">
        <v>5221</v>
      </c>
      <c r="N7876" s="2" t="s">
        <v>2317</v>
      </c>
      <c r="O7876" s="14">
        <v>7600</v>
      </c>
      <c r="P7876" s="14">
        <v>98.54</v>
      </c>
      <c r="Q7876" s="14">
        <v>110.96</v>
      </c>
      <c r="R7876" s="14">
        <v>115.4</v>
      </c>
      <c r="S7876" s="2" t="s">
        <v>3001</v>
      </c>
      <c r="T7876" s="2">
        <v>1.41</v>
      </c>
      <c r="U7876" s="2">
        <v>73.8</v>
      </c>
      <c r="V7876" s="2">
        <v>69</v>
      </c>
      <c r="W7876" s="2" t="s">
        <v>7862</v>
      </c>
      <c r="X7876" s="2" t="s">
        <v>190</v>
      </c>
      <c r="Y7876" s="2">
        <v>7904</v>
      </c>
      <c r="Z7876" s="19" t="str">
        <f>HYPERLINK("https://ssdweb.co/ssdweb/hd/Vision360.html?d=821126903&amp;zoomslide=1&amp;z=1821126903&amp;ISCONFIRM=0","VIDEO")</f>
        <v>VIDEO</v>
      </c>
      <c r="AA7876" s="19" t="str">
        <f>HYPERLINK("https://ssdweb.co/ssdweb/CERTH/621410775.pdf","CERTI")</f>
        <v>CERTI</v>
      </c>
    </row>
    <row r="7877" spans="1:27" ht="15" x14ac:dyDescent="0.25">
      <c r="A7877" s="2">
        <v>7872</v>
      </c>
      <c r="B7877" s="39">
        <v>926790862</v>
      </c>
      <c r="C7877" s="28" t="str">
        <f>HYPERLINK("https://pld.live/RapDetail.aspx?STONELIST=926790862","DNA")</f>
        <v>DNA</v>
      </c>
      <c r="D7877" s="18" t="s">
        <v>3054</v>
      </c>
      <c r="E7877" s="18" t="s">
        <v>2186</v>
      </c>
      <c r="F7877" s="2" t="s">
        <v>7987</v>
      </c>
      <c r="G7877" s="2" t="s">
        <v>4029</v>
      </c>
      <c r="H7877" s="14">
        <v>1.04</v>
      </c>
      <c r="I7877" s="2" t="s">
        <v>267</v>
      </c>
      <c r="J7877" s="2" t="s">
        <v>3942</v>
      </c>
      <c r="K7877" s="2" t="s">
        <v>1452</v>
      </c>
      <c r="L7877" s="2" t="s">
        <v>5221</v>
      </c>
      <c r="M7877" s="2" t="s">
        <v>5221</v>
      </c>
      <c r="N7877" s="2" t="s">
        <v>2317</v>
      </c>
      <c r="O7877" s="14">
        <v>7600</v>
      </c>
      <c r="P7877" s="14">
        <v>98.54</v>
      </c>
      <c r="Q7877" s="14">
        <v>110.96</v>
      </c>
      <c r="R7877" s="14">
        <v>115.4</v>
      </c>
      <c r="S7877" s="2" t="s">
        <v>802</v>
      </c>
      <c r="T7877" s="2">
        <v>1.3</v>
      </c>
      <c r="U7877" s="2">
        <v>67.8</v>
      </c>
      <c r="V7877" s="2">
        <v>64</v>
      </c>
      <c r="W7877" s="2" t="s">
        <v>7862</v>
      </c>
      <c r="X7877" s="2" t="s">
        <v>190</v>
      </c>
      <c r="Y7877" s="2">
        <v>7904</v>
      </c>
      <c r="Z7877" s="19" t="str">
        <f>HYPERLINK("https://ssdweb.co/ssdweb/hd/Vision360.html?d=926790862&amp;zoomslide=1&amp;z=1926790862&amp;ISCONFIRM=0","VIDEO")</f>
        <v>VIDEO</v>
      </c>
      <c r="AA7877" s="19" t="str">
        <f>HYPERLINK("https://ssdweb.co/ssdweb/CERTH/653427309.pdf","CERTI")</f>
        <v>CERTI</v>
      </c>
    </row>
    <row r="7878" spans="1:27" ht="15" x14ac:dyDescent="0.25">
      <c r="A7878" s="2">
        <v>7873</v>
      </c>
      <c r="B7878" s="39">
        <v>926831025</v>
      </c>
      <c r="C7878" s="28" t="str">
        <f>HYPERLINK("https://pld.live/RapDetail.aspx?STONELIST=926831025","DNA")</f>
        <v>DNA</v>
      </c>
      <c r="D7878" s="18" t="s">
        <v>3054</v>
      </c>
      <c r="E7878" s="18" t="s">
        <v>5128</v>
      </c>
      <c r="F7878" s="2" t="s">
        <v>7987</v>
      </c>
      <c r="G7878" s="2" t="s">
        <v>4029</v>
      </c>
      <c r="H7878" s="14">
        <v>1.04</v>
      </c>
      <c r="I7878" s="2" t="s">
        <v>267</v>
      </c>
      <c r="J7878" s="2" t="s">
        <v>3942</v>
      </c>
      <c r="K7878" s="2" t="s">
        <v>1452</v>
      </c>
      <c r="L7878" s="2" t="s">
        <v>5221</v>
      </c>
      <c r="M7878" s="2" t="s">
        <v>5221</v>
      </c>
      <c r="N7878" s="2" t="s">
        <v>2317</v>
      </c>
      <c r="O7878" s="14">
        <v>7600</v>
      </c>
      <c r="P7878" s="14">
        <v>98.54</v>
      </c>
      <c r="Q7878" s="14">
        <v>110.96</v>
      </c>
      <c r="R7878" s="14">
        <v>115.4</v>
      </c>
      <c r="S7878" s="2" t="s">
        <v>2921</v>
      </c>
      <c r="T7878" s="2">
        <v>1.4</v>
      </c>
      <c r="U7878" s="2">
        <v>66.8</v>
      </c>
      <c r="V7878" s="2">
        <v>66</v>
      </c>
      <c r="W7878" s="2" t="s">
        <v>7862</v>
      </c>
      <c r="X7878" s="2" t="s">
        <v>190</v>
      </c>
      <c r="Y7878" s="2">
        <v>7904</v>
      </c>
      <c r="Z7878" s="19" t="str">
        <f>HYPERLINK("https://ssdweb.co/ssdweb/hd/Vision360.html?d=926831025&amp;zoomslide=1&amp;z=1926831025&amp;ISCONFIRM=0","VIDEO")</f>
        <v>VIDEO</v>
      </c>
      <c r="AA7878" s="19" t="str">
        <f>HYPERLINK("https://ssdweb.co/ssdweb/CERTH/654432320.pdf","CERTI")</f>
        <v>CERTI</v>
      </c>
    </row>
    <row r="7879" spans="1:27" ht="15" x14ac:dyDescent="0.25">
      <c r="A7879" s="2">
        <v>7874</v>
      </c>
      <c r="B7879" s="39">
        <v>926841183</v>
      </c>
      <c r="C7879" s="28" t="str">
        <f>HYPERLINK("https://pld.live/RapDetail.aspx?STONELIST=926841183","DNA")</f>
        <v>DNA</v>
      </c>
      <c r="D7879" s="18" t="s">
        <v>3054</v>
      </c>
      <c r="E7879" s="18" t="s">
        <v>2186</v>
      </c>
      <c r="F7879" s="2" t="s">
        <v>7987</v>
      </c>
      <c r="G7879" s="2" t="s">
        <v>4029</v>
      </c>
      <c r="H7879" s="14">
        <v>1.04</v>
      </c>
      <c r="I7879" s="2" t="s">
        <v>267</v>
      </c>
      <c r="J7879" s="2" t="s">
        <v>13</v>
      </c>
      <c r="K7879" s="2" t="s">
        <v>1452</v>
      </c>
      <c r="L7879" s="2" t="s">
        <v>5221</v>
      </c>
      <c r="M7879" s="2" t="s">
        <v>5221</v>
      </c>
      <c r="N7879" s="2" t="s">
        <v>2317</v>
      </c>
      <c r="O7879" s="14">
        <v>6700</v>
      </c>
      <c r="P7879" s="14">
        <v>98.42</v>
      </c>
      <c r="Q7879" s="14">
        <v>105.86</v>
      </c>
      <c r="R7879" s="14">
        <v>110.09</v>
      </c>
      <c r="S7879" s="2" t="s">
        <v>6296</v>
      </c>
      <c r="T7879" s="2">
        <v>1.31</v>
      </c>
      <c r="U7879" s="2">
        <v>65.900000000000006</v>
      </c>
      <c r="V7879" s="2">
        <v>68</v>
      </c>
      <c r="W7879" s="2" t="s">
        <v>7862</v>
      </c>
      <c r="X7879" s="2" t="s">
        <v>190</v>
      </c>
      <c r="Y7879" s="2">
        <v>6968</v>
      </c>
      <c r="Z7879" s="19" t="str">
        <f>HYPERLINK("https://ssdweb.co/ssdweb/hd/Vision360.html?d=926841183&amp;zoomslide=1&amp;z=1926841183&amp;ISCONFIRM=0","VIDEO")</f>
        <v>VIDEO</v>
      </c>
      <c r="AA7879" s="19" t="str">
        <f>HYPERLINK("https://ssdweb.co/ssdweb/CERTH/659414309.pdf","CERTI")</f>
        <v>CERTI</v>
      </c>
    </row>
    <row r="7880" spans="1:27" ht="15" x14ac:dyDescent="0.25">
      <c r="A7880" s="2">
        <v>7875</v>
      </c>
      <c r="B7880" s="39">
        <v>926900932</v>
      </c>
      <c r="C7880" s="28" t="str">
        <f>HYPERLINK("https://pld.live/RapDetail.aspx?STONELIST=926900932","DNA")</f>
        <v>DNA</v>
      </c>
      <c r="D7880" s="18" t="s">
        <v>3054</v>
      </c>
      <c r="E7880" s="18" t="s">
        <v>5128</v>
      </c>
      <c r="F7880" s="2" t="s">
        <v>7987</v>
      </c>
      <c r="G7880" s="2" t="s">
        <v>4029</v>
      </c>
      <c r="H7880" s="14">
        <v>1.04</v>
      </c>
      <c r="I7880" s="2" t="s">
        <v>267</v>
      </c>
      <c r="J7880" s="2" t="s">
        <v>13</v>
      </c>
      <c r="K7880" s="2" t="s">
        <v>1452</v>
      </c>
      <c r="L7880" s="2" t="s">
        <v>5221</v>
      </c>
      <c r="M7880" s="2" t="s">
        <v>5221</v>
      </c>
      <c r="N7880" s="2" t="s">
        <v>2317</v>
      </c>
      <c r="O7880" s="14">
        <v>6700</v>
      </c>
      <c r="P7880" s="14">
        <v>98.42</v>
      </c>
      <c r="Q7880" s="14">
        <v>105.86</v>
      </c>
      <c r="R7880" s="14">
        <v>110.09</v>
      </c>
      <c r="S7880" s="2" t="s">
        <v>348</v>
      </c>
      <c r="T7880" s="2">
        <v>1.29</v>
      </c>
      <c r="U7880" s="2">
        <v>66.599999999999994</v>
      </c>
      <c r="V7880" s="2">
        <v>67</v>
      </c>
      <c r="W7880" s="2" t="s">
        <v>7862</v>
      </c>
      <c r="X7880" s="2" t="s">
        <v>190</v>
      </c>
      <c r="Y7880" s="2">
        <v>6968</v>
      </c>
      <c r="Z7880" s="19" t="str">
        <f>HYPERLINK("https://ssdweb.co/ssdweb/hd/Vision360.html?d=926900932&amp;zoomslide=1&amp;z=1926900932&amp;ISCONFIRM=0","VIDEO")</f>
        <v>VIDEO</v>
      </c>
      <c r="AA7880" s="19" t="str">
        <f>HYPERLINK("https://ssdweb.co/ssdweb/CERTH/655451760.pdf","CERTI")</f>
        <v>CERTI</v>
      </c>
    </row>
    <row r="7881" spans="1:27" ht="15" x14ac:dyDescent="0.25">
      <c r="A7881" s="2">
        <v>7876</v>
      </c>
      <c r="B7881" s="39">
        <v>926830912</v>
      </c>
      <c r="C7881" s="28" t="str">
        <f>HYPERLINK("https://pld.live/RapDetail.aspx?STONELIST=926830912","DNA")</f>
        <v>DNA</v>
      </c>
      <c r="D7881" s="18" t="s">
        <v>3054</v>
      </c>
      <c r="E7881" s="18" t="s">
        <v>5128</v>
      </c>
      <c r="F7881" s="2" t="s">
        <v>7987</v>
      </c>
      <c r="G7881" s="2" t="s">
        <v>4029</v>
      </c>
      <c r="H7881" s="14">
        <v>1.04</v>
      </c>
      <c r="I7881" s="2" t="s">
        <v>4761</v>
      </c>
      <c r="J7881" s="2" t="s">
        <v>3942</v>
      </c>
      <c r="K7881" s="2" t="s">
        <v>1452</v>
      </c>
      <c r="L7881" s="2" t="s">
        <v>5221</v>
      </c>
      <c r="M7881" s="2" t="s">
        <v>5221</v>
      </c>
      <c r="N7881" s="2" t="s">
        <v>2317</v>
      </c>
      <c r="O7881" s="14">
        <v>6900</v>
      </c>
      <c r="P7881" s="14">
        <v>98.45</v>
      </c>
      <c r="Q7881" s="14">
        <v>106.95</v>
      </c>
      <c r="R7881" s="14">
        <v>111.23</v>
      </c>
      <c r="S7881" s="2" t="s">
        <v>7001</v>
      </c>
      <c r="T7881" s="2">
        <v>1.35</v>
      </c>
      <c r="U7881" s="2">
        <v>67.2</v>
      </c>
      <c r="V7881" s="2">
        <v>64</v>
      </c>
      <c r="W7881" s="2" t="s">
        <v>7862</v>
      </c>
      <c r="X7881" s="2" t="s">
        <v>190</v>
      </c>
      <c r="Y7881" s="2">
        <v>7176</v>
      </c>
      <c r="Z7881" s="19" t="str">
        <f>HYPERLINK("https://ssdweb.co/ssdweb/hd/Vision360.html?d=926830912&amp;zoomslide=1&amp;z=1926830912&amp;ISCONFIRM=0","VIDEO")</f>
        <v>VIDEO</v>
      </c>
      <c r="AA7881" s="19" t="str">
        <f>HYPERLINK("https://ssdweb.co/ssdweb/CERTH/653442499.pdf","CERTI")</f>
        <v>CERTI</v>
      </c>
    </row>
    <row r="7882" spans="1:27" ht="15" x14ac:dyDescent="0.25">
      <c r="A7882" s="2">
        <v>7877</v>
      </c>
      <c r="B7882" s="39">
        <v>926870829</v>
      </c>
      <c r="C7882" s="28" t="str">
        <f>HYPERLINK("https://pld.live/RapDetail.aspx?STONELIST=926870829","DNA")</f>
        <v>DNA</v>
      </c>
      <c r="D7882" s="18" t="s">
        <v>3054</v>
      </c>
      <c r="E7882" s="18" t="s">
        <v>5128</v>
      </c>
      <c r="F7882" s="2" t="s">
        <v>7987</v>
      </c>
      <c r="G7882" s="2" t="s">
        <v>4029</v>
      </c>
      <c r="H7882" s="14">
        <v>1.04</v>
      </c>
      <c r="I7882" s="2" t="s">
        <v>4761</v>
      </c>
      <c r="J7882" s="2" t="s">
        <v>5144</v>
      </c>
      <c r="K7882" s="2" t="s">
        <v>1452</v>
      </c>
      <c r="L7882" s="2" t="s">
        <v>5221</v>
      </c>
      <c r="M7882" s="2" t="s">
        <v>5221</v>
      </c>
      <c r="N7882" s="2" t="s">
        <v>2317</v>
      </c>
      <c r="O7882" s="14">
        <v>5400</v>
      </c>
      <c r="P7882" s="14">
        <v>98.17</v>
      </c>
      <c r="Q7882" s="14">
        <v>98.82</v>
      </c>
      <c r="R7882" s="14">
        <v>102.77</v>
      </c>
      <c r="S7882" s="2" t="s">
        <v>580</v>
      </c>
      <c r="T7882" s="2">
        <v>1.28</v>
      </c>
      <c r="U7882" s="2">
        <v>67.099999999999994</v>
      </c>
      <c r="V7882" s="2">
        <v>66</v>
      </c>
      <c r="W7882" s="2" t="s">
        <v>7862</v>
      </c>
      <c r="X7882" s="2" t="s">
        <v>190</v>
      </c>
      <c r="Y7882" s="2">
        <v>5616</v>
      </c>
      <c r="Z7882" s="19" t="str">
        <f>HYPERLINK("https://ssdweb.co/ssdweb/hd/Vision360.html?d=926870829&amp;zoomslide=1&amp;z=1926870829&amp;ISCONFIRM=0","VIDEO")</f>
        <v>VIDEO</v>
      </c>
      <c r="AA7882" s="19" t="str">
        <f>HYPERLINK("https://ssdweb.co/ssdweb/CERTH/653427298.pdf","CERTI")</f>
        <v>CERTI</v>
      </c>
    </row>
    <row r="7883" spans="1:27" ht="15" x14ac:dyDescent="0.25">
      <c r="A7883" s="2">
        <v>7878</v>
      </c>
      <c r="B7883" s="39">
        <v>821113609</v>
      </c>
      <c r="C7883" s="28" t="str">
        <f>HYPERLINK("https://pld.live/RapDetail.aspx?STONELIST=821113609","DNA")</f>
        <v>DNA</v>
      </c>
      <c r="D7883" s="18" t="s">
        <v>3054</v>
      </c>
      <c r="E7883" s="18" t="s">
        <v>2186</v>
      </c>
      <c r="F7883" s="2" t="s">
        <v>7987</v>
      </c>
      <c r="G7883" s="2" t="s">
        <v>4029</v>
      </c>
      <c r="H7883" s="14">
        <v>1.04</v>
      </c>
      <c r="I7883" s="2" t="s">
        <v>4699</v>
      </c>
      <c r="J7883" s="2" t="s">
        <v>5144</v>
      </c>
      <c r="K7883" s="2" t="s">
        <v>1452</v>
      </c>
      <c r="L7883" s="2" t="s">
        <v>5221</v>
      </c>
      <c r="M7883" s="2" t="s">
        <v>5221</v>
      </c>
      <c r="N7883" s="2" t="s">
        <v>2317</v>
      </c>
      <c r="O7883" s="14">
        <v>5100</v>
      </c>
      <c r="P7883" s="14">
        <v>98.12</v>
      </c>
      <c r="Q7883" s="14">
        <v>95.88</v>
      </c>
      <c r="R7883" s="14">
        <v>99.72</v>
      </c>
      <c r="S7883" s="2" t="s">
        <v>5189</v>
      </c>
      <c r="T7883" s="2">
        <v>1.4</v>
      </c>
      <c r="U7883" s="2">
        <v>67.7</v>
      </c>
      <c r="V7883" s="2">
        <v>67</v>
      </c>
      <c r="W7883" s="2" t="s">
        <v>7862</v>
      </c>
      <c r="X7883" s="2" t="s">
        <v>190</v>
      </c>
      <c r="Y7883" s="2">
        <v>5304</v>
      </c>
      <c r="Z7883" s="19" t="str">
        <f>HYPERLINK("https://ssdweb.co/ssdweb/hd/Vision360.html?d=821113609&amp;zoomslide=1&amp;z=1821113609&amp;ISCONFIRM=0","VIDEO")</f>
        <v>VIDEO</v>
      </c>
      <c r="AA7883" s="19" t="str">
        <f>HYPERLINK("https://ssdweb.co/ssdweb/CERTH/607330623.pdf","CERTI")</f>
        <v>CERTI</v>
      </c>
    </row>
    <row r="7884" spans="1:27" ht="15" x14ac:dyDescent="0.25">
      <c r="A7884" s="2">
        <v>7879</v>
      </c>
      <c r="B7884" s="39">
        <v>923820564</v>
      </c>
      <c r="C7884" s="28" t="str">
        <f>HYPERLINK("https://pld.live/RapDetail.aspx?STONELIST=923820564","DNA")</f>
        <v>DNA</v>
      </c>
      <c r="D7884" s="18" t="s">
        <v>3054</v>
      </c>
      <c r="E7884" s="18" t="s">
        <v>2186</v>
      </c>
      <c r="F7884" s="2" t="s">
        <v>7987</v>
      </c>
      <c r="G7884" s="2" t="s">
        <v>4029</v>
      </c>
      <c r="H7884" s="14">
        <v>1.04</v>
      </c>
      <c r="I7884" s="2" t="s">
        <v>6587</v>
      </c>
      <c r="J7884" s="2" t="s">
        <v>3942</v>
      </c>
      <c r="K7884" s="2" t="s">
        <v>1452</v>
      </c>
      <c r="L7884" s="2" t="s">
        <v>5221</v>
      </c>
      <c r="M7884" s="2" t="s">
        <v>5221</v>
      </c>
      <c r="N7884" s="2" t="s">
        <v>2317</v>
      </c>
      <c r="O7884" s="14">
        <v>5800</v>
      </c>
      <c r="P7884" s="14">
        <v>98.28</v>
      </c>
      <c r="Q7884" s="14">
        <v>99.76</v>
      </c>
      <c r="R7884" s="14">
        <v>103.75</v>
      </c>
      <c r="S7884" s="2" t="s">
        <v>6556</v>
      </c>
      <c r="T7884" s="2">
        <v>1.29</v>
      </c>
      <c r="U7884" s="2">
        <v>67.3</v>
      </c>
      <c r="V7884" s="2">
        <v>62.5</v>
      </c>
      <c r="W7884" s="2" t="s">
        <v>7862</v>
      </c>
      <c r="X7884" s="2" t="s">
        <v>190</v>
      </c>
      <c r="Y7884" s="2">
        <v>6032</v>
      </c>
      <c r="Z7884" s="19" t="str">
        <f>HYPERLINK("https://ssdweb.co/ssdweb/hd/Vision360.html?d=923820564&amp;zoomslide=1&amp;z=1923820564&amp;ISCONFIRM=0","VIDEO")</f>
        <v>VIDEO</v>
      </c>
      <c r="AA7884" s="19" t="str">
        <f>HYPERLINK("https://ssdweb.co/ssdweb/CERTH/569323284.pdf","CERTI")</f>
        <v>CERTI</v>
      </c>
    </row>
    <row r="7885" spans="1:27" ht="15" x14ac:dyDescent="0.25">
      <c r="A7885" s="2">
        <v>7880</v>
      </c>
      <c r="B7885" s="39">
        <v>927130511</v>
      </c>
      <c r="C7885" s="28" t="str">
        <f>HYPERLINK("https://pld.live/RapDetail.aspx?STONELIST=927130511","DNA")</f>
        <v>DNA</v>
      </c>
      <c r="D7885" s="18" t="s">
        <v>3054</v>
      </c>
      <c r="E7885" s="18" t="s">
        <v>5128</v>
      </c>
      <c r="F7885" s="2" t="s">
        <v>7987</v>
      </c>
      <c r="G7885" s="2" t="s">
        <v>4029</v>
      </c>
      <c r="H7885" s="14">
        <v>1.03</v>
      </c>
      <c r="I7885" s="2" t="s">
        <v>267</v>
      </c>
      <c r="J7885" s="2" t="s">
        <v>3942</v>
      </c>
      <c r="K7885" s="2" t="s">
        <v>1452</v>
      </c>
      <c r="L7885" s="2" t="s">
        <v>5221</v>
      </c>
      <c r="M7885" s="2" t="s">
        <v>5221</v>
      </c>
      <c r="N7885" s="2" t="s">
        <v>2317</v>
      </c>
      <c r="O7885" s="14">
        <v>7600</v>
      </c>
      <c r="P7885" s="14">
        <v>98.51</v>
      </c>
      <c r="Q7885" s="14">
        <v>113.24</v>
      </c>
      <c r="R7885" s="14">
        <v>116.64</v>
      </c>
      <c r="S7885" s="2" t="s">
        <v>6581</v>
      </c>
      <c r="T7885" s="2">
        <v>1.31</v>
      </c>
      <c r="U7885" s="2">
        <v>67.400000000000006</v>
      </c>
      <c r="V7885" s="2">
        <v>64</v>
      </c>
      <c r="W7885" s="2" t="s">
        <v>7862</v>
      </c>
      <c r="X7885" s="2" t="s">
        <v>190</v>
      </c>
      <c r="Y7885" s="2">
        <v>7828</v>
      </c>
      <c r="Z7885" s="19" t="str">
        <f>HYPERLINK("https://ssdweb.co/ssdweb/hd/Vision360.html?d=927130511&amp;zoomslide=1&amp;z=1927130511&amp;ISCONFIRM=0","VIDEO")</f>
        <v>VIDEO</v>
      </c>
      <c r="AA7885" s="19" t="str">
        <f>HYPERLINK("https://ssdweb.co/ssdweb/CERTH/662473869.pdf","CERTI")</f>
        <v>CERTI</v>
      </c>
    </row>
    <row r="7886" spans="1:27" ht="15" x14ac:dyDescent="0.25">
      <c r="A7886" s="2">
        <v>7881</v>
      </c>
      <c r="B7886" s="39">
        <v>941021266</v>
      </c>
      <c r="C7886" s="28" t="str">
        <f>HYPERLINK("https://pld.live/RapDetail.aspx?STONELIST=941021266","DNA")</f>
        <v>DNA</v>
      </c>
      <c r="D7886" s="18" t="s">
        <v>3054</v>
      </c>
      <c r="E7886" s="18" t="s">
        <v>5128</v>
      </c>
      <c r="F7886" s="2" t="s">
        <v>7987</v>
      </c>
      <c r="G7886" s="2" t="s">
        <v>4029</v>
      </c>
      <c r="H7886" s="14">
        <v>1.03</v>
      </c>
      <c r="I7886" s="2" t="s">
        <v>267</v>
      </c>
      <c r="J7886" s="2" t="s">
        <v>13</v>
      </c>
      <c r="K7886" s="2" t="s">
        <v>1452</v>
      </c>
      <c r="L7886" s="2" t="s">
        <v>5221</v>
      </c>
      <c r="M7886" s="2" t="s">
        <v>5221</v>
      </c>
      <c r="N7886" s="2" t="s">
        <v>2317</v>
      </c>
      <c r="O7886" s="14">
        <v>6700</v>
      </c>
      <c r="P7886" s="14">
        <v>98.39</v>
      </c>
      <c r="Q7886" s="14">
        <v>107.87</v>
      </c>
      <c r="R7886" s="14">
        <v>111.11</v>
      </c>
      <c r="S7886" s="2" t="s">
        <v>5870</v>
      </c>
      <c r="T7886" s="2">
        <v>1.3</v>
      </c>
      <c r="U7886" s="2">
        <v>67.5</v>
      </c>
      <c r="V7886" s="2">
        <v>67</v>
      </c>
      <c r="W7886" s="2" t="s">
        <v>7862</v>
      </c>
      <c r="X7886" s="2" t="s">
        <v>190</v>
      </c>
      <c r="Y7886" s="2">
        <v>6901</v>
      </c>
      <c r="Z7886" s="19" t="str">
        <f>HYPERLINK("https://ssdweb.co/ssdweb/hd/Vision360.html?d=941021266&amp;zoomslide=1&amp;z=1941021266&amp;ISCONFIRM=0","VIDEO")</f>
        <v>VIDEO</v>
      </c>
      <c r="AA7886" s="19" t="str">
        <f>HYPERLINK("https://ssdweb.co/ssdweb/CERTH/668477332.pdf","CERTI")</f>
        <v>CERTI</v>
      </c>
    </row>
    <row r="7887" spans="1:27" ht="15" x14ac:dyDescent="0.25">
      <c r="A7887" s="2">
        <v>7882</v>
      </c>
      <c r="B7887" s="39">
        <v>927152456</v>
      </c>
      <c r="C7887" s="28" t="str">
        <f>HYPERLINK("https://pld.live/RapDetail.aspx?STONELIST=927152456","DNA")</f>
        <v>DNA</v>
      </c>
      <c r="D7887" s="18" t="s">
        <v>3054</v>
      </c>
      <c r="E7887" s="18" t="s">
        <v>5128</v>
      </c>
      <c r="F7887" s="2" t="s">
        <v>7987</v>
      </c>
      <c r="G7887" s="2" t="s">
        <v>4029</v>
      </c>
      <c r="H7887" s="14">
        <v>1.03</v>
      </c>
      <c r="I7887" s="2" t="s">
        <v>267</v>
      </c>
      <c r="J7887" s="2" t="s">
        <v>13</v>
      </c>
      <c r="K7887" s="2" t="s">
        <v>1452</v>
      </c>
      <c r="L7887" s="2" t="s">
        <v>5221</v>
      </c>
      <c r="M7887" s="2" t="s">
        <v>5221</v>
      </c>
      <c r="N7887" s="2" t="s">
        <v>2317</v>
      </c>
      <c r="O7887" s="14">
        <v>6700</v>
      </c>
      <c r="P7887" s="14">
        <v>98.36</v>
      </c>
      <c r="Q7887" s="14">
        <v>109.88</v>
      </c>
      <c r="R7887" s="14">
        <v>113.18</v>
      </c>
      <c r="S7887" s="2" t="s">
        <v>2332</v>
      </c>
      <c r="T7887" s="2">
        <v>1.35</v>
      </c>
      <c r="U7887" s="2">
        <v>64.900000000000006</v>
      </c>
      <c r="V7887" s="2">
        <v>67</v>
      </c>
      <c r="W7887" s="2" t="s">
        <v>7862</v>
      </c>
      <c r="X7887" s="2" t="s">
        <v>190</v>
      </c>
      <c r="Y7887" s="2">
        <v>6901</v>
      </c>
      <c r="Z7887" s="19" t="str">
        <f>HYPERLINK("https://ssdweb.co/ssdweb/hd/Vision360.html?d=927152456&amp;zoomslide=1&amp;z=1927152456&amp;ISCONFIRM=0","VIDEO")</f>
        <v>VIDEO</v>
      </c>
      <c r="AA7887" s="19" t="str">
        <f>HYPERLINK("https://ssdweb.co/ssdweb/CERTH/669458282.pdf","CERTI")</f>
        <v>CERTI</v>
      </c>
    </row>
    <row r="7888" spans="1:27" ht="15" x14ac:dyDescent="0.25">
      <c r="A7888" s="2">
        <v>7883</v>
      </c>
      <c r="B7888" s="39">
        <v>926841276</v>
      </c>
      <c r="C7888" s="28" t="str">
        <f>HYPERLINK("https://pld.live/RapDetail.aspx?STONELIST=926841276","DNA")</f>
        <v>DNA</v>
      </c>
      <c r="D7888" s="18" t="s">
        <v>3054</v>
      </c>
      <c r="E7888" s="18" t="s">
        <v>2186</v>
      </c>
      <c r="F7888" s="2" t="s">
        <v>7987</v>
      </c>
      <c r="G7888" s="2" t="s">
        <v>4029</v>
      </c>
      <c r="H7888" s="14">
        <v>1.03</v>
      </c>
      <c r="I7888" s="2" t="s">
        <v>4761</v>
      </c>
      <c r="J7888" s="2" t="s">
        <v>6555</v>
      </c>
      <c r="K7888" s="2" t="s">
        <v>1452</v>
      </c>
      <c r="L7888" s="2" t="s">
        <v>5221</v>
      </c>
      <c r="M7888" s="2" t="s">
        <v>5221</v>
      </c>
      <c r="N7888" s="2" t="s">
        <v>2317</v>
      </c>
      <c r="O7888" s="14">
        <v>7500</v>
      </c>
      <c r="P7888" s="14">
        <v>98.39</v>
      </c>
      <c r="Q7888" s="14">
        <v>120.75</v>
      </c>
      <c r="R7888" s="14">
        <v>124.37</v>
      </c>
      <c r="S7888" s="2" t="s">
        <v>6008</v>
      </c>
      <c r="T7888" s="2">
        <v>1.3</v>
      </c>
      <c r="U7888" s="2">
        <v>64.400000000000006</v>
      </c>
      <c r="V7888" s="2">
        <v>67</v>
      </c>
      <c r="W7888" s="2" t="s">
        <v>7862</v>
      </c>
      <c r="X7888" s="2" t="s">
        <v>190</v>
      </c>
      <c r="Y7888" s="2">
        <v>7725</v>
      </c>
      <c r="Z7888" s="19" t="str">
        <f>HYPERLINK("https://ssdweb.co/ssdweb/hd/Vision360.html?d=926841276&amp;zoomslide=1&amp;z=1926841276&amp;ISCONFIRM=0","VIDEO")</f>
        <v>VIDEO</v>
      </c>
      <c r="AA7888" s="19" t="str">
        <f>HYPERLINK("https://ssdweb.co/ssdweb/CERTH/656485761.pdf","CERTI")</f>
        <v>CERTI</v>
      </c>
    </row>
    <row r="7889" spans="1:27" ht="15" x14ac:dyDescent="0.25">
      <c r="A7889" s="2">
        <v>7884</v>
      </c>
      <c r="B7889" s="39">
        <v>926270831</v>
      </c>
      <c r="C7889" s="28" t="str">
        <f>HYPERLINK("https://pld.live/RapDetail.aspx?STONELIST=926270831","DNA")</f>
        <v>DNA</v>
      </c>
      <c r="D7889" s="18" t="s">
        <v>3054</v>
      </c>
      <c r="E7889" s="18" t="s">
        <v>5128</v>
      </c>
      <c r="F7889" s="2" t="s">
        <v>7987</v>
      </c>
      <c r="G7889" s="2" t="s">
        <v>4029</v>
      </c>
      <c r="H7889" s="14">
        <v>1.03</v>
      </c>
      <c r="I7889" s="2" t="s">
        <v>4761</v>
      </c>
      <c r="J7889" s="2" t="s">
        <v>3942</v>
      </c>
      <c r="K7889" s="2" t="s">
        <v>1452</v>
      </c>
      <c r="L7889" s="2" t="s">
        <v>5221</v>
      </c>
      <c r="M7889" s="2" t="s">
        <v>5221</v>
      </c>
      <c r="N7889" s="2" t="s">
        <v>2317</v>
      </c>
      <c r="O7889" s="14">
        <v>6900</v>
      </c>
      <c r="P7889" s="14">
        <v>98.45</v>
      </c>
      <c r="Q7889" s="14">
        <v>106.95</v>
      </c>
      <c r="R7889" s="14">
        <v>110.16</v>
      </c>
      <c r="S7889" s="2" t="s">
        <v>4134</v>
      </c>
      <c r="T7889" s="2">
        <v>1.35</v>
      </c>
      <c r="U7889" s="2">
        <v>68.400000000000006</v>
      </c>
      <c r="V7889" s="2">
        <v>65</v>
      </c>
      <c r="W7889" s="2" t="s">
        <v>7862</v>
      </c>
      <c r="X7889" s="2" t="s">
        <v>190</v>
      </c>
      <c r="Y7889" s="2">
        <v>7107</v>
      </c>
      <c r="Z7889" s="19" t="str">
        <f>HYPERLINK("https://ssdweb.co/ssdweb/hd/Vision360.html?d=926270831&amp;zoomslide=1&amp;z=1926270831&amp;ISCONFIRM=0","VIDEO")</f>
        <v>VIDEO</v>
      </c>
      <c r="AA7889" s="19" t="str">
        <f>HYPERLINK("https://ssdweb.co/ssdweb/CERTH/639406120.pdf","CERTI")</f>
        <v>CERTI</v>
      </c>
    </row>
    <row r="7890" spans="1:27" ht="15" x14ac:dyDescent="0.25">
      <c r="A7890" s="2">
        <v>7885</v>
      </c>
      <c r="B7890" s="39">
        <v>926291366</v>
      </c>
      <c r="C7890" s="28" t="str">
        <f>HYPERLINK("https://pld.live/RapDetail.aspx?STONELIST=926291366","DNA")</f>
        <v>DNA</v>
      </c>
      <c r="D7890" s="18" t="s">
        <v>3054</v>
      </c>
      <c r="E7890" s="18" t="s">
        <v>5128</v>
      </c>
      <c r="F7890" s="2" t="s">
        <v>7987</v>
      </c>
      <c r="G7890" s="2" t="s">
        <v>4029</v>
      </c>
      <c r="H7890" s="14">
        <v>1.03</v>
      </c>
      <c r="I7890" s="2" t="s">
        <v>4761</v>
      </c>
      <c r="J7890" s="2" t="s">
        <v>3942</v>
      </c>
      <c r="K7890" s="2" t="s">
        <v>1452</v>
      </c>
      <c r="L7890" s="2" t="s">
        <v>5221</v>
      </c>
      <c r="M7890" s="2" t="s">
        <v>5221</v>
      </c>
      <c r="N7890" s="2" t="s">
        <v>2317</v>
      </c>
      <c r="O7890" s="14">
        <v>6900</v>
      </c>
      <c r="P7890" s="14">
        <v>98.45</v>
      </c>
      <c r="Q7890" s="14">
        <v>106.95</v>
      </c>
      <c r="R7890" s="14">
        <v>110.16</v>
      </c>
      <c r="S7890" s="2" t="s">
        <v>7472</v>
      </c>
      <c r="T7890" s="2">
        <v>1.35</v>
      </c>
      <c r="U7890" s="2">
        <v>68.8</v>
      </c>
      <c r="V7890" s="2">
        <v>65</v>
      </c>
      <c r="W7890" s="2" t="s">
        <v>7862</v>
      </c>
      <c r="X7890" s="2" t="s">
        <v>190</v>
      </c>
      <c r="Y7890" s="2">
        <v>7107</v>
      </c>
      <c r="Z7890" s="19" t="str">
        <f>HYPERLINK("https://ssdweb.co/ssdweb/hd/Vision360.html?d=926291366&amp;zoomslide=1&amp;z=1926291366&amp;ISCONFIRM=0","VIDEO")</f>
        <v>VIDEO</v>
      </c>
      <c r="AA7890" s="19" t="str">
        <f>HYPERLINK("https://ssdweb.co/ssdweb/CERTH/639406105.pdf","CERTI")</f>
        <v>CERTI</v>
      </c>
    </row>
    <row r="7891" spans="1:27" ht="15" x14ac:dyDescent="0.25">
      <c r="A7891" s="2">
        <v>7886</v>
      </c>
      <c r="B7891" s="39">
        <v>927131201</v>
      </c>
      <c r="C7891" s="28" t="str">
        <f>HYPERLINK("https://pld.live/RapDetail.aspx?STONELIST=927131201","DNA")</f>
        <v>DNA</v>
      </c>
      <c r="D7891" s="18" t="s">
        <v>3054</v>
      </c>
      <c r="E7891" s="18" t="s">
        <v>5128</v>
      </c>
      <c r="F7891" s="2" t="s">
        <v>7987</v>
      </c>
      <c r="G7891" s="2" t="s">
        <v>4029</v>
      </c>
      <c r="H7891" s="14">
        <v>1.03</v>
      </c>
      <c r="I7891" s="2" t="s">
        <v>4761</v>
      </c>
      <c r="J7891" s="2" t="s">
        <v>3942</v>
      </c>
      <c r="K7891" s="2" t="s">
        <v>1452</v>
      </c>
      <c r="L7891" s="2" t="s">
        <v>5221</v>
      </c>
      <c r="M7891" s="2" t="s">
        <v>5221</v>
      </c>
      <c r="N7891" s="2" t="s">
        <v>2317</v>
      </c>
      <c r="O7891" s="14">
        <v>6900</v>
      </c>
      <c r="P7891" s="14">
        <v>98.42</v>
      </c>
      <c r="Q7891" s="14">
        <v>109.02</v>
      </c>
      <c r="R7891" s="14">
        <v>112.29</v>
      </c>
      <c r="S7891" s="2" t="s">
        <v>4331</v>
      </c>
      <c r="T7891" s="2">
        <v>1.42</v>
      </c>
      <c r="U7891" s="2">
        <v>67.3</v>
      </c>
      <c r="V7891" s="2">
        <v>65</v>
      </c>
      <c r="W7891" s="2" t="s">
        <v>7862</v>
      </c>
      <c r="X7891" s="2" t="s">
        <v>190</v>
      </c>
      <c r="Y7891" s="2">
        <v>7107</v>
      </c>
      <c r="Z7891" s="19" t="str">
        <f>HYPERLINK("https://ssdweb.co/ssdweb/hd/Vision360.html?d=927131201&amp;zoomslide=1&amp;z=1927131201&amp;ISCONFIRM=0","VIDEO")</f>
        <v>VIDEO</v>
      </c>
      <c r="AA7891" s="19" t="str">
        <f>HYPERLINK("https://ssdweb.co/ssdweb/CERTH/668447808.pdf","CERTI")</f>
        <v>CERTI</v>
      </c>
    </row>
    <row r="7892" spans="1:27" ht="15" x14ac:dyDescent="0.25">
      <c r="A7892" s="2">
        <v>7887</v>
      </c>
      <c r="B7892" s="39">
        <v>924410355</v>
      </c>
      <c r="C7892" s="28" t="str">
        <f>HYPERLINK("https://pld.live/RapDetail.aspx?STONELIST=924410355","DNA")</f>
        <v>DNA</v>
      </c>
      <c r="D7892" s="18" t="s">
        <v>3054</v>
      </c>
      <c r="E7892" s="18" t="s">
        <v>2186</v>
      </c>
      <c r="F7892" s="2" t="s">
        <v>5597</v>
      </c>
      <c r="G7892" s="2" t="s">
        <v>4029</v>
      </c>
      <c r="H7892" s="14">
        <v>1.03</v>
      </c>
      <c r="I7892" s="2" t="s">
        <v>4761</v>
      </c>
      <c r="J7892" s="2" t="s">
        <v>13</v>
      </c>
      <c r="K7892" s="2" t="s">
        <v>1452</v>
      </c>
      <c r="L7892" s="2" t="s">
        <v>5221</v>
      </c>
      <c r="M7892" s="2" t="s">
        <v>5721</v>
      </c>
      <c r="N7892" s="2" t="s">
        <v>2317</v>
      </c>
      <c r="O7892" s="14">
        <v>6200</v>
      </c>
      <c r="P7892" s="14">
        <v>97.02</v>
      </c>
      <c r="Q7892" s="14">
        <v>184.76</v>
      </c>
      <c r="R7892" s="14">
        <v>190.3</v>
      </c>
      <c r="S7892" s="2" t="s">
        <v>84</v>
      </c>
      <c r="T7892" s="2">
        <v>1.35</v>
      </c>
      <c r="U7892" s="2">
        <v>64.2</v>
      </c>
      <c r="V7892" s="2">
        <v>65</v>
      </c>
      <c r="W7892" s="2" t="s">
        <v>7862</v>
      </c>
      <c r="X7892" s="2" t="s">
        <v>3698</v>
      </c>
      <c r="Y7892" s="2">
        <v>6386</v>
      </c>
      <c r="Z7892" s="19" t="str">
        <f>HYPERLINK("https://ssdweb.co/ssdweb/hd/Vision360.html?d=924410355&amp;zoomslide=1&amp;z=1924410355&amp;ISCONFIRM=0","VIDEO")</f>
        <v>VIDEO</v>
      </c>
      <c r="AA7892" s="19" t="str">
        <f>HYPERLINK("https://ssdweb.co/ssdweb/CERTH/1478259152.pdf","CERTI")</f>
        <v>CERTI</v>
      </c>
    </row>
    <row r="7893" spans="1:27" ht="15" x14ac:dyDescent="0.25">
      <c r="A7893" s="2">
        <v>7888</v>
      </c>
      <c r="B7893" s="39">
        <v>941070525</v>
      </c>
      <c r="C7893" s="28" t="str">
        <f>HYPERLINK("https://pld.live/RapDetail.aspx?STONELIST=941070525","DNA")</f>
        <v>DNA</v>
      </c>
      <c r="D7893" s="18" t="s">
        <v>3054</v>
      </c>
      <c r="E7893" s="18" t="s">
        <v>5128</v>
      </c>
      <c r="F7893" s="2" t="s">
        <v>7987</v>
      </c>
      <c r="G7893" s="2" t="s">
        <v>4029</v>
      </c>
      <c r="H7893" s="14">
        <v>1.02</v>
      </c>
      <c r="I7893" s="2" t="s">
        <v>267</v>
      </c>
      <c r="J7893" s="2" t="s">
        <v>7032</v>
      </c>
      <c r="K7893" s="2" t="s">
        <v>1452</v>
      </c>
      <c r="L7893" s="2" t="s">
        <v>5221</v>
      </c>
      <c r="M7893" s="2" t="s">
        <v>5221</v>
      </c>
      <c r="N7893" s="2" t="s">
        <v>2317</v>
      </c>
      <c r="O7893" s="14">
        <v>9300</v>
      </c>
      <c r="P7893" s="14">
        <v>97.74</v>
      </c>
      <c r="Q7893" s="14">
        <v>210.18</v>
      </c>
      <c r="R7893" s="14">
        <v>214.38</v>
      </c>
      <c r="S7893" s="2" t="s">
        <v>1836</v>
      </c>
      <c r="T7893" s="2">
        <v>1.29</v>
      </c>
      <c r="U7893" s="2">
        <v>67.3</v>
      </c>
      <c r="V7893" s="2">
        <v>66</v>
      </c>
      <c r="W7893" s="2" t="s">
        <v>7862</v>
      </c>
      <c r="X7893" s="2" t="s">
        <v>190</v>
      </c>
      <c r="Y7893" s="2">
        <v>9486</v>
      </c>
      <c r="Z7893" s="19" t="str">
        <f>HYPERLINK("https://ssdweb.co/ssdweb/hd/Vision360.html?d=941070525&amp;zoomslide=1&amp;z=1941070525&amp;ISCONFIRM=0","VIDEO")</f>
        <v>VIDEO</v>
      </c>
      <c r="AA7893" s="19" t="str">
        <f>HYPERLINK("https://ssdweb.co/ssdweb/CERTH/669458246.pdf","CERTI")</f>
        <v>CERTI</v>
      </c>
    </row>
    <row r="7894" spans="1:27" ht="15" x14ac:dyDescent="0.25">
      <c r="A7894" s="2">
        <v>7889</v>
      </c>
      <c r="B7894" s="39">
        <v>927092316</v>
      </c>
      <c r="C7894" s="28" t="str">
        <f>HYPERLINK("https://pld.live/RapDetail.aspx?STONELIST=927092316","DNA")</f>
        <v>DNA</v>
      </c>
      <c r="D7894" s="18" t="s">
        <v>3054</v>
      </c>
      <c r="E7894" s="18" t="s">
        <v>5128</v>
      </c>
      <c r="F7894" s="2" t="s">
        <v>7987</v>
      </c>
      <c r="G7894" s="2" t="s">
        <v>4029</v>
      </c>
      <c r="H7894" s="14">
        <v>1.02</v>
      </c>
      <c r="I7894" s="2" t="s">
        <v>267</v>
      </c>
      <c r="J7894" s="2" t="s">
        <v>7032</v>
      </c>
      <c r="K7894" s="2" t="s">
        <v>1452</v>
      </c>
      <c r="L7894" s="2" t="s">
        <v>5221</v>
      </c>
      <c r="M7894" s="2" t="s">
        <v>5221</v>
      </c>
      <c r="N7894" s="2" t="s">
        <v>2317</v>
      </c>
      <c r="O7894" s="14">
        <v>9300</v>
      </c>
      <c r="P7894" s="14">
        <v>97.74</v>
      </c>
      <c r="Q7894" s="14">
        <v>210.18</v>
      </c>
      <c r="R7894" s="14">
        <v>214.38</v>
      </c>
      <c r="S7894" s="2" t="s">
        <v>459</v>
      </c>
      <c r="T7894" s="2">
        <v>1.29</v>
      </c>
      <c r="U7894" s="2">
        <v>67.400000000000006</v>
      </c>
      <c r="V7894" s="2">
        <v>64</v>
      </c>
      <c r="W7894" s="2" t="s">
        <v>7862</v>
      </c>
      <c r="X7894" s="2" t="s">
        <v>190</v>
      </c>
      <c r="Y7894" s="2">
        <v>9486</v>
      </c>
      <c r="Z7894" s="19" t="str">
        <f>HYPERLINK("https://ssdweb.co/ssdweb/hd/Vision360.html?d=927092316&amp;zoomslide=1&amp;z=1927092316&amp;ISCONFIRM=0","VIDEO")</f>
        <v>VIDEO</v>
      </c>
      <c r="AA7894" s="19" t="str">
        <f>HYPERLINK("https://ssdweb.co/ssdweb/CERTH/662473901.pdf","CERTI")</f>
        <v>CERTI</v>
      </c>
    </row>
    <row r="7895" spans="1:27" ht="15" x14ac:dyDescent="0.25">
      <c r="A7895" s="2">
        <v>7890</v>
      </c>
      <c r="B7895" s="39">
        <v>927130837</v>
      </c>
      <c r="C7895" s="28" t="str">
        <f>HYPERLINK("https://pld.live/RapDetail.aspx?STONELIST=927130837","DNA")</f>
        <v>DNA</v>
      </c>
      <c r="D7895" s="18" t="s">
        <v>3054</v>
      </c>
      <c r="E7895" s="18" t="s">
        <v>5128</v>
      </c>
      <c r="F7895" s="2" t="s">
        <v>7987</v>
      </c>
      <c r="G7895" s="2" t="s">
        <v>4029</v>
      </c>
      <c r="H7895" s="14">
        <v>1.02</v>
      </c>
      <c r="I7895" s="2" t="s">
        <v>267</v>
      </c>
      <c r="J7895" s="2" t="s">
        <v>7032</v>
      </c>
      <c r="K7895" s="2" t="s">
        <v>1452</v>
      </c>
      <c r="L7895" s="2" t="s">
        <v>5221</v>
      </c>
      <c r="M7895" s="2" t="s">
        <v>5221</v>
      </c>
      <c r="N7895" s="2" t="s">
        <v>2317</v>
      </c>
      <c r="O7895" s="14">
        <v>9300</v>
      </c>
      <c r="P7895" s="14">
        <v>97.74</v>
      </c>
      <c r="Q7895" s="14">
        <v>210.18</v>
      </c>
      <c r="R7895" s="14">
        <v>214.38</v>
      </c>
      <c r="S7895" s="2" t="s">
        <v>4462</v>
      </c>
      <c r="T7895" s="2">
        <v>1.31</v>
      </c>
      <c r="U7895" s="2">
        <v>63.6</v>
      </c>
      <c r="V7895" s="2">
        <v>64</v>
      </c>
      <c r="W7895" s="2" t="s">
        <v>7862</v>
      </c>
      <c r="X7895" s="2" t="s">
        <v>190</v>
      </c>
      <c r="Y7895" s="2">
        <v>9486</v>
      </c>
      <c r="Z7895" s="19" t="str">
        <f>HYPERLINK("https://ssdweb.co/ssdweb/hd/Vision360.html?d=927130837&amp;zoomslide=1&amp;z=1927130837&amp;ISCONFIRM=0","VIDEO")</f>
        <v>VIDEO</v>
      </c>
      <c r="AA7895" s="19" t="str">
        <f>HYPERLINK("https://ssdweb.co/ssdweb/CERTH/668437174.pdf","CERTI")</f>
        <v>CERTI</v>
      </c>
    </row>
    <row r="7896" spans="1:27" ht="15" x14ac:dyDescent="0.25">
      <c r="A7896" s="2">
        <v>7891</v>
      </c>
      <c r="B7896" s="39">
        <v>926870900</v>
      </c>
      <c r="C7896" s="28" t="str">
        <f>HYPERLINK("https://pld.live/RapDetail.aspx?STONELIST=926870900","DNA")</f>
        <v>DNA</v>
      </c>
      <c r="D7896" s="18" t="s">
        <v>3054</v>
      </c>
      <c r="E7896" s="18" t="s">
        <v>5128</v>
      </c>
      <c r="F7896" s="2" t="s">
        <v>7987</v>
      </c>
      <c r="G7896" s="2" t="s">
        <v>4029</v>
      </c>
      <c r="H7896" s="14">
        <v>1.02</v>
      </c>
      <c r="I7896" s="2" t="s">
        <v>267</v>
      </c>
      <c r="J7896" s="2" t="s">
        <v>6555</v>
      </c>
      <c r="K7896" s="2" t="s">
        <v>1452</v>
      </c>
      <c r="L7896" s="2" t="s">
        <v>5221</v>
      </c>
      <c r="M7896" s="2" t="s">
        <v>5221</v>
      </c>
      <c r="N7896" s="2" t="s">
        <v>2317</v>
      </c>
      <c r="O7896" s="14">
        <v>8200</v>
      </c>
      <c r="P7896" s="14">
        <v>98.44</v>
      </c>
      <c r="Q7896" s="14">
        <v>127.92</v>
      </c>
      <c r="R7896" s="14">
        <v>130.47999999999999</v>
      </c>
      <c r="S7896" s="2" t="s">
        <v>716</v>
      </c>
      <c r="T7896" s="2">
        <v>1.29</v>
      </c>
      <c r="U7896" s="2">
        <v>67.7</v>
      </c>
      <c r="V7896" s="2">
        <v>65</v>
      </c>
      <c r="W7896" s="2" t="s">
        <v>7862</v>
      </c>
      <c r="X7896" s="2" t="s">
        <v>190</v>
      </c>
      <c r="Y7896" s="2">
        <v>8364</v>
      </c>
      <c r="Z7896" s="19" t="str">
        <f>HYPERLINK("https://ssdweb.co/ssdweb/hd/Vision360.html?d=926870900&amp;zoomslide=1&amp;z=1926870900&amp;ISCONFIRM=0","VIDEO")</f>
        <v>VIDEO</v>
      </c>
      <c r="AA7896" s="19" t="str">
        <f>HYPERLINK("https://ssdweb.co/ssdweb/CERTH/654432331.pdf","CERTI")</f>
        <v>CERTI</v>
      </c>
    </row>
    <row r="7897" spans="1:27" ht="15" x14ac:dyDescent="0.25">
      <c r="A7897" s="2">
        <v>7892</v>
      </c>
      <c r="B7897" s="39">
        <v>926900777</v>
      </c>
      <c r="C7897" s="28" t="str">
        <f>HYPERLINK("https://pld.live/RapDetail.aspx?STONELIST=926900777","DNA")</f>
        <v>DNA</v>
      </c>
      <c r="D7897" s="18" t="s">
        <v>3054</v>
      </c>
      <c r="E7897" s="18" t="s">
        <v>5128</v>
      </c>
      <c r="F7897" s="2" t="s">
        <v>7987</v>
      </c>
      <c r="G7897" s="2" t="s">
        <v>4029</v>
      </c>
      <c r="H7897" s="14">
        <v>1.02</v>
      </c>
      <c r="I7897" s="2" t="s">
        <v>267</v>
      </c>
      <c r="J7897" s="2" t="s">
        <v>6555</v>
      </c>
      <c r="K7897" s="2" t="s">
        <v>1452</v>
      </c>
      <c r="L7897" s="2" t="s">
        <v>5221</v>
      </c>
      <c r="M7897" s="2" t="s">
        <v>5221</v>
      </c>
      <c r="N7897" s="2" t="s">
        <v>2317</v>
      </c>
      <c r="O7897" s="14">
        <v>8200</v>
      </c>
      <c r="P7897" s="14">
        <v>98.44</v>
      </c>
      <c r="Q7897" s="14">
        <v>127.92</v>
      </c>
      <c r="R7897" s="14">
        <v>130.47999999999999</v>
      </c>
      <c r="S7897" s="2" t="s">
        <v>5474</v>
      </c>
      <c r="T7897" s="2">
        <v>1.35</v>
      </c>
      <c r="U7897" s="2">
        <v>65</v>
      </c>
      <c r="V7897" s="2">
        <v>65</v>
      </c>
      <c r="W7897" s="2" t="s">
        <v>7862</v>
      </c>
      <c r="X7897" s="2" t="s">
        <v>190</v>
      </c>
      <c r="Y7897" s="2">
        <v>8364</v>
      </c>
      <c r="Z7897" s="19" t="str">
        <f>HYPERLINK("https://ssdweb.co/ssdweb/hd/Vision360.html?d=926900777&amp;zoomslide=1&amp;z=1926900777&amp;ISCONFIRM=0","VIDEO")</f>
        <v>VIDEO</v>
      </c>
      <c r="AA7897" s="19" t="str">
        <f>HYPERLINK("https://ssdweb.co/ssdweb/CERTH/655451727.pdf","CERTI")</f>
        <v>CERTI</v>
      </c>
    </row>
    <row r="7898" spans="1:27" ht="15" x14ac:dyDescent="0.25">
      <c r="A7898" s="2">
        <v>7893</v>
      </c>
      <c r="B7898" s="39">
        <v>941070869</v>
      </c>
      <c r="C7898" s="28" t="str">
        <f>HYPERLINK("https://pld.live/RapDetail.aspx?STONELIST=941070869","DNA")</f>
        <v>DNA</v>
      </c>
      <c r="D7898" s="18" t="s">
        <v>3054</v>
      </c>
      <c r="E7898" s="18" t="s">
        <v>5128</v>
      </c>
      <c r="F7898" s="2" t="s">
        <v>7987</v>
      </c>
      <c r="G7898" s="2" t="s">
        <v>4029</v>
      </c>
      <c r="H7898" s="14">
        <v>1.02</v>
      </c>
      <c r="I7898" s="2" t="s">
        <v>267</v>
      </c>
      <c r="J7898" s="2" t="s">
        <v>6555</v>
      </c>
      <c r="K7898" s="2" t="s">
        <v>1452</v>
      </c>
      <c r="L7898" s="2" t="s">
        <v>5221</v>
      </c>
      <c r="M7898" s="2" t="s">
        <v>5221</v>
      </c>
      <c r="N7898" s="2" t="s">
        <v>2317</v>
      </c>
      <c r="O7898" s="14">
        <v>8200</v>
      </c>
      <c r="P7898" s="14">
        <v>98.39</v>
      </c>
      <c r="Q7898" s="14">
        <v>132.02000000000001</v>
      </c>
      <c r="R7898" s="14">
        <v>134.66</v>
      </c>
      <c r="S7898" s="2" t="s">
        <v>1830</v>
      </c>
      <c r="T7898" s="2">
        <v>1.28</v>
      </c>
      <c r="U7898" s="2">
        <v>66.5</v>
      </c>
      <c r="V7898" s="2">
        <v>64</v>
      </c>
      <c r="W7898" s="2" t="s">
        <v>7862</v>
      </c>
      <c r="X7898" s="2" t="s">
        <v>190</v>
      </c>
      <c r="Y7898" s="2">
        <v>8364</v>
      </c>
      <c r="Z7898" s="19" t="str">
        <f>HYPERLINK("https://ssdweb.co/ssdweb/hd/Vision360.html?d=941070869&amp;zoomslide=1&amp;z=1941070869&amp;ISCONFIRM=0","VIDEO")</f>
        <v>VIDEO</v>
      </c>
      <c r="AA7898" s="19" t="str">
        <f>HYPERLINK("https://ssdweb.co/ssdweb/CERTH/670445228.pdf","CERTI")</f>
        <v>CERTI</v>
      </c>
    </row>
    <row r="7899" spans="1:27" ht="15" x14ac:dyDescent="0.25">
      <c r="A7899" s="2">
        <v>7894</v>
      </c>
      <c r="B7899" s="39">
        <v>941070922</v>
      </c>
      <c r="C7899" s="28" t="str">
        <f>HYPERLINK("https://pld.live/RapDetail.aspx?STONELIST=941070922","DNA")</f>
        <v>DNA</v>
      </c>
      <c r="D7899" s="18" t="s">
        <v>3054</v>
      </c>
      <c r="E7899" s="18" t="s">
        <v>5128</v>
      </c>
      <c r="F7899" s="2" t="s">
        <v>7987</v>
      </c>
      <c r="G7899" s="2" t="s">
        <v>4029</v>
      </c>
      <c r="H7899" s="14">
        <v>1.02</v>
      </c>
      <c r="I7899" s="2" t="s">
        <v>267</v>
      </c>
      <c r="J7899" s="2" t="s">
        <v>6555</v>
      </c>
      <c r="K7899" s="2" t="s">
        <v>1452</v>
      </c>
      <c r="L7899" s="2" t="s">
        <v>5221</v>
      </c>
      <c r="M7899" s="2" t="s">
        <v>5221</v>
      </c>
      <c r="N7899" s="2" t="s">
        <v>2317</v>
      </c>
      <c r="O7899" s="14">
        <v>8200</v>
      </c>
      <c r="P7899" s="14">
        <v>98.39</v>
      </c>
      <c r="Q7899" s="14">
        <v>132.02000000000001</v>
      </c>
      <c r="R7899" s="14">
        <v>134.66</v>
      </c>
      <c r="S7899" s="2" t="s">
        <v>1520</v>
      </c>
      <c r="T7899" s="2">
        <v>1.33</v>
      </c>
      <c r="U7899" s="2">
        <v>67.900000000000006</v>
      </c>
      <c r="V7899" s="2">
        <v>64</v>
      </c>
      <c r="W7899" s="2" t="s">
        <v>7862</v>
      </c>
      <c r="X7899" s="2" t="s">
        <v>190</v>
      </c>
      <c r="Y7899" s="2">
        <v>8364</v>
      </c>
      <c r="Z7899" s="19" t="str">
        <f>HYPERLINK("https://ssdweb.co/ssdweb/hd/Vision360.html?d=941070922&amp;zoomslide=1&amp;z=1941070922&amp;ISCONFIRM=0","VIDEO")</f>
        <v>VIDEO</v>
      </c>
      <c r="AA7899" s="19" t="str">
        <f>HYPERLINK("https://ssdweb.co/ssdweb/CERTH/670445229.pdf","CERTI")</f>
        <v>CERTI</v>
      </c>
    </row>
    <row r="7900" spans="1:27" ht="15" x14ac:dyDescent="0.25">
      <c r="A7900" s="2">
        <v>7895</v>
      </c>
      <c r="B7900" s="39">
        <v>941021652</v>
      </c>
      <c r="C7900" s="28" t="str">
        <f>HYPERLINK("https://pld.live/RapDetail.aspx?STONELIST=941021652","DNA")</f>
        <v>DNA</v>
      </c>
      <c r="D7900" s="18" t="s">
        <v>3054</v>
      </c>
      <c r="E7900" s="18" t="s">
        <v>5128</v>
      </c>
      <c r="F7900" s="2" t="s">
        <v>7987</v>
      </c>
      <c r="G7900" s="2" t="s">
        <v>4029</v>
      </c>
      <c r="H7900" s="14">
        <v>1.02</v>
      </c>
      <c r="I7900" s="2" t="s">
        <v>267</v>
      </c>
      <c r="J7900" s="2" t="s">
        <v>6555</v>
      </c>
      <c r="K7900" s="2" t="s">
        <v>1452</v>
      </c>
      <c r="L7900" s="2" t="s">
        <v>5221</v>
      </c>
      <c r="M7900" s="2" t="s">
        <v>5221</v>
      </c>
      <c r="N7900" s="2" t="s">
        <v>2317</v>
      </c>
      <c r="O7900" s="14">
        <v>8200</v>
      </c>
      <c r="P7900" s="14">
        <v>98.39</v>
      </c>
      <c r="Q7900" s="14">
        <v>132.02000000000001</v>
      </c>
      <c r="R7900" s="14">
        <v>134.66</v>
      </c>
      <c r="S7900" s="2" t="s">
        <v>181</v>
      </c>
      <c r="T7900" s="2">
        <v>1.35</v>
      </c>
      <c r="U7900" s="2">
        <v>66.900000000000006</v>
      </c>
      <c r="V7900" s="2">
        <v>65</v>
      </c>
      <c r="W7900" s="2" t="s">
        <v>7862</v>
      </c>
      <c r="X7900" s="2" t="s">
        <v>190</v>
      </c>
      <c r="Y7900" s="2">
        <v>8364</v>
      </c>
      <c r="Z7900" s="19" t="str">
        <f>HYPERLINK("https://ssdweb.co/ssdweb/hd/Vision360.html?d=941021652&amp;zoomslide=1&amp;z=1941021652&amp;ISCONFIRM=0","VIDEO")</f>
        <v>VIDEO</v>
      </c>
      <c r="AA7900" s="19" t="str">
        <f>HYPERLINK("https://ssdweb.co/ssdweb/CERTH/669458235.pdf","CERTI")</f>
        <v>CERTI</v>
      </c>
    </row>
    <row r="7901" spans="1:27" ht="15" x14ac:dyDescent="0.25">
      <c r="A7901" s="2">
        <v>7896</v>
      </c>
      <c r="B7901" s="39">
        <v>927092357</v>
      </c>
      <c r="C7901" s="28" t="str">
        <f>HYPERLINK("https://pld.live/RapDetail.aspx?STONELIST=927092357","DNA")</f>
        <v>DNA</v>
      </c>
      <c r="D7901" s="18" t="s">
        <v>3054</v>
      </c>
      <c r="E7901" s="18" t="s">
        <v>5128</v>
      </c>
      <c r="F7901" s="2" t="s">
        <v>7987</v>
      </c>
      <c r="G7901" s="2" t="s">
        <v>4029</v>
      </c>
      <c r="H7901" s="14">
        <v>1.02</v>
      </c>
      <c r="I7901" s="2" t="s">
        <v>267</v>
      </c>
      <c r="J7901" s="2" t="s">
        <v>6555</v>
      </c>
      <c r="K7901" s="2" t="s">
        <v>1452</v>
      </c>
      <c r="L7901" s="2" t="s">
        <v>5221</v>
      </c>
      <c r="M7901" s="2" t="s">
        <v>5221</v>
      </c>
      <c r="N7901" s="2" t="s">
        <v>2317</v>
      </c>
      <c r="O7901" s="14">
        <v>8200</v>
      </c>
      <c r="P7901" s="14">
        <v>98.41</v>
      </c>
      <c r="Q7901" s="14">
        <v>130.38</v>
      </c>
      <c r="R7901" s="14">
        <v>132.99</v>
      </c>
      <c r="S7901" s="2" t="s">
        <v>997</v>
      </c>
      <c r="T7901" s="2">
        <v>1.3</v>
      </c>
      <c r="U7901" s="2">
        <v>65.7</v>
      </c>
      <c r="V7901" s="2">
        <v>65</v>
      </c>
      <c r="W7901" s="2" t="s">
        <v>7862</v>
      </c>
      <c r="X7901" s="2" t="s">
        <v>190</v>
      </c>
      <c r="Y7901" s="2">
        <v>8364</v>
      </c>
      <c r="Z7901" s="19" t="str">
        <f>HYPERLINK("https://ssdweb.co/ssdweb/hd/Vision360.html?d=927092357&amp;zoomslide=1&amp;z=1927092357&amp;ISCONFIRM=0","VIDEO")</f>
        <v>VIDEO</v>
      </c>
      <c r="AA7901" s="19" t="str">
        <f>HYPERLINK("https://ssdweb.co/ssdweb/CERTH/668437151.pdf","CERTI")</f>
        <v>CERTI</v>
      </c>
    </row>
    <row r="7902" spans="1:27" ht="15" x14ac:dyDescent="0.25">
      <c r="A7902" s="2">
        <v>7897</v>
      </c>
      <c r="B7902" s="39">
        <v>927151959</v>
      </c>
      <c r="C7902" s="28" t="str">
        <f>HYPERLINK("https://pld.live/RapDetail.aspx?STONELIST=927151959","DNA")</f>
        <v>DNA</v>
      </c>
      <c r="D7902" s="18" t="s">
        <v>3054</v>
      </c>
      <c r="E7902" s="18" t="s">
        <v>5128</v>
      </c>
      <c r="F7902" s="2" t="s">
        <v>7987</v>
      </c>
      <c r="G7902" s="2" t="s">
        <v>4029</v>
      </c>
      <c r="H7902" s="14">
        <v>1.02</v>
      </c>
      <c r="I7902" s="2" t="s">
        <v>267</v>
      </c>
      <c r="J7902" s="2" t="s">
        <v>6555</v>
      </c>
      <c r="K7902" s="2" t="s">
        <v>1452</v>
      </c>
      <c r="L7902" s="2" t="s">
        <v>5221</v>
      </c>
      <c r="M7902" s="2" t="s">
        <v>5221</v>
      </c>
      <c r="N7902" s="2" t="s">
        <v>2317</v>
      </c>
      <c r="O7902" s="14">
        <v>8200</v>
      </c>
      <c r="P7902" s="14">
        <v>98.41</v>
      </c>
      <c r="Q7902" s="14">
        <v>130.38</v>
      </c>
      <c r="R7902" s="14">
        <v>132.99</v>
      </c>
      <c r="S7902" s="2" t="s">
        <v>4359</v>
      </c>
      <c r="T7902" s="2">
        <v>1.36</v>
      </c>
      <c r="U7902" s="2">
        <v>64.7</v>
      </c>
      <c r="V7902" s="2">
        <v>67</v>
      </c>
      <c r="W7902" s="2" t="s">
        <v>7862</v>
      </c>
      <c r="X7902" s="2" t="s">
        <v>190</v>
      </c>
      <c r="Y7902" s="2">
        <v>8364</v>
      </c>
      <c r="Z7902" s="19" t="str">
        <f>HYPERLINK("https://ssdweb.co/ssdweb/hd/Vision360.html?d=927151959&amp;zoomslide=1&amp;z=1927151959&amp;ISCONFIRM=0","VIDEO")</f>
        <v>VIDEO</v>
      </c>
      <c r="AA7902" s="19" t="str">
        <f>HYPERLINK("https://ssdweb.co/ssdweb/CERTH/668477323.pdf","CERTI")</f>
        <v>CERTI</v>
      </c>
    </row>
    <row r="7903" spans="1:27" ht="15" x14ac:dyDescent="0.25">
      <c r="A7903" s="2">
        <v>7898</v>
      </c>
      <c r="B7903" s="39">
        <v>926580112</v>
      </c>
      <c r="C7903" s="28" t="str">
        <f>HYPERLINK("https://pld.live/RapDetail.aspx?STONELIST=926580112","DNA")</f>
        <v>DNA</v>
      </c>
      <c r="D7903" s="18" t="s">
        <v>3054</v>
      </c>
      <c r="E7903" s="18" t="s">
        <v>5128</v>
      </c>
      <c r="F7903" s="2" t="s">
        <v>7987</v>
      </c>
      <c r="G7903" s="2" t="s">
        <v>4029</v>
      </c>
      <c r="H7903" s="14">
        <v>1.02</v>
      </c>
      <c r="I7903" s="2" t="s">
        <v>267</v>
      </c>
      <c r="J7903" s="2" t="s">
        <v>3942</v>
      </c>
      <c r="K7903" s="2" t="s">
        <v>1452</v>
      </c>
      <c r="L7903" s="2" t="s">
        <v>5221</v>
      </c>
      <c r="M7903" s="2" t="s">
        <v>5221</v>
      </c>
      <c r="N7903" s="2" t="s">
        <v>2317</v>
      </c>
      <c r="O7903" s="14">
        <v>7600</v>
      </c>
      <c r="P7903" s="14">
        <v>98.54</v>
      </c>
      <c r="Q7903" s="14">
        <v>110.96</v>
      </c>
      <c r="R7903" s="14">
        <v>113.18</v>
      </c>
      <c r="S7903" s="2" t="s">
        <v>2482</v>
      </c>
      <c r="T7903" s="2">
        <v>1.31</v>
      </c>
      <c r="U7903" s="2">
        <v>66.900000000000006</v>
      </c>
      <c r="V7903" s="2">
        <v>66</v>
      </c>
      <c r="W7903" s="2" t="s">
        <v>7862</v>
      </c>
      <c r="X7903" s="2" t="s">
        <v>190</v>
      </c>
      <c r="Y7903" s="2">
        <v>7752</v>
      </c>
      <c r="Z7903" s="19" t="str">
        <f>HYPERLINK("https://ssdweb.co/ssdweb/hd/Vision360.html?d=926580112&amp;zoomslide=1&amp;z=1926580112&amp;ISCONFIRM=0","VIDEO")</f>
        <v>VIDEO</v>
      </c>
      <c r="AA7903" s="19" t="str">
        <f>HYPERLINK("https://ssdweb.co/ssdweb/CERTH/646472684.pdf","CERTI")</f>
        <v>CERTI</v>
      </c>
    </row>
    <row r="7904" spans="1:27" ht="15" x14ac:dyDescent="0.25">
      <c r="A7904" s="2">
        <v>7899</v>
      </c>
      <c r="B7904" s="39">
        <v>926901057</v>
      </c>
      <c r="C7904" s="28" t="str">
        <f>HYPERLINK("https://pld.live/RapDetail.aspx?STONELIST=926901057","DNA")</f>
        <v>DNA</v>
      </c>
      <c r="D7904" s="18" t="s">
        <v>3054</v>
      </c>
      <c r="E7904" s="18" t="s">
        <v>5128</v>
      </c>
      <c r="F7904" s="2" t="s">
        <v>7987</v>
      </c>
      <c r="G7904" s="2" t="s">
        <v>4029</v>
      </c>
      <c r="H7904" s="14">
        <v>1.02</v>
      </c>
      <c r="I7904" s="2" t="s">
        <v>267</v>
      </c>
      <c r="J7904" s="2" t="s">
        <v>3942</v>
      </c>
      <c r="K7904" s="2" t="s">
        <v>1452</v>
      </c>
      <c r="L7904" s="2" t="s">
        <v>5221</v>
      </c>
      <c r="M7904" s="2" t="s">
        <v>5221</v>
      </c>
      <c r="N7904" s="2" t="s">
        <v>2317</v>
      </c>
      <c r="O7904" s="14">
        <v>7600</v>
      </c>
      <c r="P7904" s="14">
        <v>98.54</v>
      </c>
      <c r="Q7904" s="14">
        <v>110.96</v>
      </c>
      <c r="R7904" s="14">
        <v>113.18</v>
      </c>
      <c r="S7904" s="2" t="s">
        <v>2008</v>
      </c>
      <c r="T7904" s="2">
        <v>1.33</v>
      </c>
      <c r="U7904" s="2">
        <v>63.7</v>
      </c>
      <c r="V7904" s="2">
        <v>64</v>
      </c>
      <c r="W7904" s="2" t="s">
        <v>7862</v>
      </c>
      <c r="X7904" s="2" t="s">
        <v>190</v>
      </c>
      <c r="Y7904" s="2">
        <v>7752</v>
      </c>
      <c r="Z7904" s="19" t="str">
        <f>HYPERLINK("https://ssdweb.co/ssdweb/hd/Vision360.html?d=926901057&amp;zoomslide=1&amp;z=1926901057&amp;ISCONFIRM=0","VIDEO")</f>
        <v>VIDEO</v>
      </c>
      <c r="AA7904" s="19" t="str">
        <f>HYPERLINK("https://ssdweb.co/ssdweb/CERTH/659414319.pdf","CERTI")</f>
        <v>CERTI</v>
      </c>
    </row>
    <row r="7905" spans="1:27" ht="15" x14ac:dyDescent="0.25">
      <c r="A7905" s="2">
        <v>7900</v>
      </c>
      <c r="B7905" s="39">
        <v>926841123</v>
      </c>
      <c r="C7905" s="28" t="str">
        <f>HYPERLINK("https://pld.live/RapDetail.aspx?STONELIST=926841123","DNA")</f>
        <v>DNA</v>
      </c>
      <c r="D7905" s="18" t="s">
        <v>3054</v>
      </c>
      <c r="E7905" s="18" t="s">
        <v>2186</v>
      </c>
      <c r="F7905" s="2" t="s">
        <v>7987</v>
      </c>
      <c r="G7905" s="2" t="s">
        <v>4029</v>
      </c>
      <c r="H7905" s="14">
        <v>1.02</v>
      </c>
      <c r="I7905" s="2" t="s">
        <v>267</v>
      </c>
      <c r="J7905" s="2" t="s">
        <v>3942</v>
      </c>
      <c r="K7905" s="2" t="s">
        <v>1452</v>
      </c>
      <c r="L7905" s="2" t="s">
        <v>5221</v>
      </c>
      <c r="M7905" s="2" t="s">
        <v>5221</v>
      </c>
      <c r="N7905" s="2" t="s">
        <v>2317</v>
      </c>
      <c r="O7905" s="14">
        <v>7600</v>
      </c>
      <c r="P7905" s="14">
        <v>98.54</v>
      </c>
      <c r="Q7905" s="14">
        <v>110.96</v>
      </c>
      <c r="R7905" s="14">
        <v>113.18</v>
      </c>
      <c r="S7905" s="2" t="s">
        <v>4362</v>
      </c>
      <c r="T7905" s="2">
        <v>1.35</v>
      </c>
      <c r="U7905" s="2">
        <v>67.3</v>
      </c>
      <c r="V7905" s="2">
        <v>65</v>
      </c>
      <c r="W7905" s="2" t="s">
        <v>7862</v>
      </c>
      <c r="X7905" s="2" t="s">
        <v>190</v>
      </c>
      <c r="Y7905" s="2">
        <v>7752</v>
      </c>
      <c r="Z7905" s="19" t="str">
        <f>HYPERLINK("https://ssdweb.co/ssdweb/hd/Vision360.html?d=926841123&amp;zoomslide=1&amp;z=1926841123&amp;ISCONFIRM=0","VIDEO")</f>
        <v>VIDEO</v>
      </c>
      <c r="AA7905" s="19" t="str">
        <f>HYPERLINK("https://ssdweb.co/ssdweb/CERTH/655451769.pdf","CERTI")</f>
        <v>CERTI</v>
      </c>
    </row>
    <row r="7906" spans="1:27" ht="15" x14ac:dyDescent="0.25">
      <c r="A7906" s="2">
        <v>7901</v>
      </c>
      <c r="B7906" s="39">
        <v>926841195</v>
      </c>
      <c r="C7906" s="28" t="str">
        <f>HYPERLINK("https://pld.live/RapDetail.aspx?STONELIST=926841195","DNA")</f>
        <v>DNA</v>
      </c>
      <c r="D7906" s="18" t="s">
        <v>3054</v>
      </c>
      <c r="E7906" s="18" t="s">
        <v>2186</v>
      </c>
      <c r="F7906" s="2" t="s">
        <v>7987</v>
      </c>
      <c r="G7906" s="2" t="s">
        <v>4029</v>
      </c>
      <c r="H7906" s="14">
        <v>1.02</v>
      </c>
      <c r="I7906" s="2" t="s">
        <v>267</v>
      </c>
      <c r="J7906" s="2" t="s">
        <v>3942</v>
      </c>
      <c r="K7906" s="2" t="s">
        <v>1452</v>
      </c>
      <c r="L7906" s="2" t="s">
        <v>5221</v>
      </c>
      <c r="M7906" s="2" t="s">
        <v>5221</v>
      </c>
      <c r="N7906" s="2" t="s">
        <v>2317</v>
      </c>
      <c r="O7906" s="14">
        <v>7600</v>
      </c>
      <c r="P7906" s="14">
        <v>98.54</v>
      </c>
      <c r="Q7906" s="14">
        <v>110.96</v>
      </c>
      <c r="R7906" s="14">
        <v>113.18</v>
      </c>
      <c r="S7906" s="2" t="s">
        <v>1921</v>
      </c>
      <c r="T7906" s="2">
        <v>1.35</v>
      </c>
      <c r="U7906" s="2">
        <v>66.8</v>
      </c>
      <c r="V7906" s="2">
        <v>67</v>
      </c>
      <c r="W7906" s="2" t="s">
        <v>7862</v>
      </c>
      <c r="X7906" s="2" t="s">
        <v>190</v>
      </c>
      <c r="Y7906" s="2">
        <v>7752</v>
      </c>
      <c r="Z7906" s="19" t="str">
        <f>HYPERLINK("https://ssdweb.co/ssdweb/hd/Vision360.html?d=926841195&amp;zoomslide=1&amp;z=1926841195&amp;ISCONFIRM=0","VIDEO")</f>
        <v>VIDEO</v>
      </c>
      <c r="AA7906" s="19" t="str">
        <f>HYPERLINK("https://ssdweb.co/ssdweb/CERTH/656479479.pdf","CERTI")</f>
        <v>CERTI</v>
      </c>
    </row>
    <row r="7907" spans="1:27" ht="15" x14ac:dyDescent="0.25">
      <c r="A7907" s="2">
        <v>7902</v>
      </c>
      <c r="B7907" s="39">
        <v>926921355</v>
      </c>
      <c r="C7907" s="28" t="str">
        <f>HYPERLINK("https://pld.live/RapDetail.aspx?STONELIST=926921355","DNA")</f>
        <v>DNA</v>
      </c>
      <c r="D7907" s="18" t="s">
        <v>3054</v>
      </c>
      <c r="E7907" s="18" t="s">
        <v>2186</v>
      </c>
      <c r="F7907" s="2" t="s">
        <v>7987</v>
      </c>
      <c r="G7907" s="2" t="s">
        <v>4029</v>
      </c>
      <c r="H7907" s="14">
        <v>1.02</v>
      </c>
      <c r="I7907" s="2" t="s">
        <v>267</v>
      </c>
      <c r="J7907" s="2" t="s">
        <v>3942</v>
      </c>
      <c r="K7907" s="2" t="s">
        <v>1452</v>
      </c>
      <c r="L7907" s="2" t="s">
        <v>5221</v>
      </c>
      <c r="M7907" s="2" t="s">
        <v>5221</v>
      </c>
      <c r="N7907" s="2" t="s">
        <v>2317</v>
      </c>
      <c r="O7907" s="14">
        <v>7600</v>
      </c>
      <c r="P7907" s="14">
        <v>98.54</v>
      </c>
      <c r="Q7907" s="14">
        <v>110.96</v>
      </c>
      <c r="R7907" s="14">
        <v>113.18</v>
      </c>
      <c r="S7907" s="2" t="s">
        <v>366</v>
      </c>
      <c r="T7907" s="2">
        <v>1.29</v>
      </c>
      <c r="U7907" s="2">
        <v>67</v>
      </c>
      <c r="V7907" s="2">
        <v>66</v>
      </c>
      <c r="W7907" s="2" t="s">
        <v>7862</v>
      </c>
      <c r="X7907" s="2" t="s">
        <v>190</v>
      </c>
      <c r="Y7907" s="2">
        <v>7752</v>
      </c>
      <c r="Z7907" s="19" t="str">
        <f>HYPERLINK("https://ssdweb.co/ssdweb/hd/Vision360.html?d=926921355&amp;zoomslide=1&amp;z=1926921355&amp;ISCONFIRM=0","VIDEO")</f>
        <v>VIDEO</v>
      </c>
      <c r="AA7907" s="19" t="str">
        <f>HYPERLINK("https://ssdweb.co/ssdweb/CERTH/659437007.pdf","CERTI")</f>
        <v>CERTI</v>
      </c>
    </row>
    <row r="7908" spans="1:27" ht="15" x14ac:dyDescent="0.25">
      <c r="A7908" s="2">
        <v>7903</v>
      </c>
      <c r="B7908" s="39">
        <v>926921433</v>
      </c>
      <c r="C7908" s="28" t="str">
        <f>HYPERLINK("https://pld.live/RapDetail.aspx?STONELIST=926921433","DNA")</f>
        <v>DNA</v>
      </c>
      <c r="D7908" s="18" t="s">
        <v>3054</v>
      </c>
      <c r="E7908" s="18" t="s">
        <v>2186</v>
      </c>
      <c r="F7908" s="2" t="s">
        <v>7987</v>
      </c>
      <c r="G7908" s="2" t="s">
        <v>4029</v>
      </c>
      <c r="H7908" s="14">
        <v>1.02</v>
      </c>
      <c r="I7908" s="2" t="s">
        <v>267</v>
      </c>
      <c r="J7908" s="2" t="s">
        <v>3942</v>
      </c>
      <c r="K7908" s="2" t="s">
        <v>1452</v>
      </c>
      <c r="L7908" s="2" t="s">
        <v>5221</v>
      </c>
      <c r="M7908" s="2" t="s">
        <v>5221</v>
      </c>
      <c r="N7908" s="2" t="s">
        <v>2317</v>
      </c>
      <c r="O7908" s="14">
        <v>7600</v>
      </c>
      <c r="P7908" s="14">
        <v>98.54</v>
      </c>
      <c r="Q7908" s="14">
        <v>110.96</v>
      </c>
      <c r="R7908" s="14">
        <v>113.18</v>
      </c>
      <c r="S7908" s="2" t="s">
        <v>7006</v>
      </c>
      <c r="T7908" s="2">
        <v>1.35</v>
      </c>
      <c r="U7908" s="2">
        <v>67</v>
      </c>
      <c r="V7908" s="2">
        <v>66</v>
      </c>
      <c r="W7908" s="2" t="s">
        <v>7862</v>
      </c>
      <c r="X7908" s="2" t="s">
        <v>190</v>
      </c>
      <c r="Y7908" s="2">
        <v>7752</v>
      </c>
      <c r="Z7908" s="19" t="str">
        <f>HYPERLINK("https://ssdweb.co/ssdweb/hd/Vision360.html?d=926921433&amp;zoomslide=1&amp;z=1926921433&amp;ISCONFIRM=0","VIDEO")</f>
        <v>VIDEO</v>
      </c>
      <c r="AA7908" s="19" t="str">
        <f>HYPERLINK("https://ssdweb.co/ssdweb/CERTH/660440544.pdf","CERTI")</f>
        <v>CERTI</v>
      </c>
    </row>
    <row r="7909" spans="1:27" ht="15" x14ac:dyDescent="0.25">
      <c r="A7909" s="2">
        <v>7904</v>
      </c>
      <c r="B7909" s="39">
        <v>926810638</v>
      </c>
      <c r="C7909" s="28" t="str">
        <f>HYPERLINK("https://pld.live/RapDetail.aspx?STONELIST=926810638","DNA")</f>
        <v>DNA</v>
      </c>
      <c r="D7909" s="18" t="s">
        <v>3054</v>
      </c>
      <c r="E7909" s="18" t="s">
        <v>5128</v>
      </c>
      <c r="F7909" s="2" t="s">
        <v>7987</v>
      </c>
      <c r="G7909" s="2" t="s">
        <v>4029</v>
      </c>
      <c r="H7909" s="14">
        <v>1.02</v>
      </c>
      <c r="I7909" s="2" t="s">
        <v>267</v>
      </c>
      <c r="J7909" s="2" t="s">
        <v>3942</v>
      </c>
      <c r="K7909" s="2" t="s">
        <v>1452</v>
      </c>
      <c r="L7909" s="2" t="s">
        <v>5221</v>
      </c>
      <c r="M7909" s="2" t="s">
        <v>5221</v>
      </c>
      <c r="N7909" s="2" t="s">
        <v>2317</v>
      </c>
      <c r="O7909" s="14">
        <v>7600</v>
      </c>
      <c r="P7909" s="14">
        <v>98.54</v>
      </c>
      <c r="Q7909" s="14">
        <v>110.96</v>
      </c>
      <c r="R7909" s="14">
        <v>113.18</v>
      </c>
      <c r="S7909" s="2" t="s">
        <v>1078</v>
      </c>
      <c r="T7909" s="2">
        <v>1.34</v>
      </c>
      <c r="U7909" s="2">
        <v>64.8</v>
      </c>
      <c r="V7909" s="2">
        <v>66</v>
      </c>
      <c r="W7909" s="2" t="s">
        <v>7862</v>
      </c>
      <c r="X7909" s="2" t="s">
        <v>190</v>
      </c>
      <c r="Y7909" s="2">
        <v>7752</v>
      </c>
      <c r="Z7909" s="19" t="str">
        <f>HYPERLINK("https://ssdweb.co/ssdweb/hd/Vision360.html?d=926810638&amp;zoomslide=1&amp;z=1926810638&amp;ISCONFIRM=0","VIDEO")</f>
        <v>VIDEO</v>
      </c>
      <c r="AA7909" s="19" t="str">
        <f>HYPERLINK("https://ssdweb.co/ssdweb/CERTH/652442363.pdf","CERTI")</f>
        <v>CERTI</v>
      </c>
    </row>
    <row r="7910" spans="1:27" ht="15" x14ac:dyDescent="0.25">
      <c r="A7910" s="2">
        <v>7905</v>
      </c>
      <c r="B7910" s="39">
        <v>927130796</v>
      </c>
      <c r="C7910" s="28" t="str">
        <f>HYPERLINK("https://pld.live/RapDetail.aspx?STONELIST=927130796","DNA")</f>
        <v>DNA</v>
      </c>
      <c r="D7910" s="18" t="s">
        <v>3054</v>
      </c>
      <c r="E7910" s="18" t="s">
        <v>5128</v>
      </c>
      <c r="F7910" s="2" t="s">
        <v>7987</v>
      </c>
      <c r="G7910" s="2" t="s">
        <v>4029</v>
      </c>
      <c r="H7910" s="14">
        <v>1.02</v>
      </c>
      <c r="I7910" s="2" t="s">
        <v>267</v>
      </c>
      <c r="J7910" s="2" t="s">
        <v>3942</v>
      </c>
      <c r="K7910" s="2" t="s">
        <v>1452</v>
      </c>
      <c r="L7910" s="2" t="s">
        <v>5221</v>
      </c>
      <c r="M7910" s="2" t="s">
        <v>5221</v>
      </c>
      <c r="N7910" s="2" t="s">
        <v>2317</v>
      </c>
      <c r="O7910" s="14">
        <v>7600</v>
      </c>
      <c r="P7910" s="14">
        <v>98.51</v>
      </c>
      <c r="Q7910" s="14">
        <v>113.24</v>
      </c>
      <c r="R7910" s="14">
        <v>115.5</v>
      </c>
      <c r="S7910" s="2" t="s">
        <v>1758</v>
      </c>
      <c r="T7910" s="2">
        <v>1.32</v>
      </c>
      <c r="U7910" s="2">
        <v>66.599999999999994</v>
      </c>
      <c r="V7910" s="2">
        <v>65</v>
      </c>
      <c r="W7910" s="2" t="s">
        <v>7862</v>
      </c>
      <c r="X7910" s="2" t="s">
        <v>190</v>
      </c>
      <c r="Y7910" s="2">
        <v>7752</v>
      </c>
      <c r="Z7910" s="19" t="str">
        <f>HYPERLINK("https://ssdweb.co/ssdweb/hd/Vision360.html?d=927130796&amp;zoomslide=1&amp;z=1927130796&amp;ISCONFIRM=0","VIDEO")</f>
        <v>VIDEO</v>
      </c>
      <c r="AA7910" s="19" t="str">
        <f>HYPERLINK("https://ssdweb.co/ssdweb/CERTH/668437173.pdf","CERTI")</f>
        <v>CERTI</v>
      </c>
    </row>
    <row r="7911" spans="1:27" ht="15" x14ac:dyDescent="0.25">
      <c r="A7911" s="2">
        <v>7906</v>
      </c>
      <c r="B7911" s="39">
        <v>927150498</v>
      </c>
      <c r="C7911" s="28" t="str">
        <f>HYPERLINK("https://pld.live/RapDetail.aspx?STONELIST=927150498","DNA")</f>
        <v>DNA</v>
      </c>
      <c r="D7911" s="18" t="s">
        <v>3054</v>
      </c>
      <c r="E7911" s="18" t="s">
        <v>5128</v>
      </c>
      <c r="F7911" s="2" t="s">
        <v>7987</v>
      </c>
      <c r="G7911" s="2" t="s">
        <v>4029</v>
      </c>
      <c r="H7911" s="14">
        <v>1.02</v>
      </c>
      <c r="I7911" s="2" t="s">
        <v>267</v>
      </c>
      <c r="J7911" s="2" t="s">
        <v>3942</v>
      </c>
      <c r="K7911" s="2" t="s">
        <v>1452</v>
      </c>
      <c r="L7911" s="2" t="s">
        <v>5221</v>
      </c>
      <c r="M7911" s="2" t="s">
        <v>5221</v>
      </c>
      <c r="N7911" s="2" t="s">
        <v>2317</v>
      </c>
      <c r="O7911" s="14">
        <v>7600</v>
      </c>
      <c r="P7911" s="14">
        <v>98.51</v>
      </c>
      <c r="Q7911" s="14">
        <v>113.24</v>
      </c>
      <c r="R7911" s="14">
        <v>115.5</v>
      </c>
      <c r="S7911" s="2" t="s">
        <v>6000</v>
      </c>
      <c r="T7911" s="2">
        <v>1.35</v>
      </c>
      <c r="U7911" s="2">
        <v>66.099999999999994</v>
      </c>
      <c r="V7911" s="2">
        <v>65</v>
      </c>
      <c r="W7911" s="2" t="s">
        <v>7862</v>
      </c>
      <c r="X7911" s="2" t="s">
        <v>190</v>
      </c>
      <c r="Y7911" s="2">
        <v>7752</v>
      </c>
      <c r="Z7911" s="19" t="str">
        <f>HYPERLINK("https://ssdweb.co/ssdweb/hd/Vision360.html?d=927150498&amp;zoomslide=1&amp;z=1927150498&amp;ISCONFIRM=0","VIDEO")</f>
        <v>VIDEO</v>
      </c>
      <c r="AA7911" s="19" t="str">
        <f>HYPERLINK("https://ssdweb.co/ssdweb/CERTH/668446627.pdf","CERTI")</f>
        <v>CERTI</v>
      </c>
    </row>
    <row r="7912" spans="1:27" ht="15" x14ac:dyDescent="0.25">
      <c r="A7912" s="2">
        <v>7907</v>
      </c>
      <c r="B7912" s="39">
        <v>941070748</v>
      </c>
      <c r="C7912" s="28" t="str">
        <f>HYPERLINK("https://pld.live/RapDetail.aspx?STONELIST=941070748","DNA")</f>
        <v>DNA</v>
      </c>
      <c r="D7912" s="18" t="s">
        <v>3054</v>
      </c>
      <c r="E7912" s="18" t="s">
        <v>5128</v>
      </c>
      <c r="F7912" s="2" t="s">
        <v>7987</v>
      </c>
      <c r="G7912" s="2" t="s">
        <v>4029</v>
      </c>
      <c r="H7912" s="14">
        <v>1.02</v>
      </c>
      <c r="I7912" s="2" t="s">
        <v>267</v>
      </c>
      <c r="J7912" s="2" t="s">
        <v>3942</v>
      </c>
      <c r="K7912" s="2" t="s">
        <v>1452</v>
      </c>
      <c r="L7912" s="2" t="s">
        <v>5221</v>
      </c>
      <c r="M7912" s="2" t="s">
        <v>5221</v>
      </c>
      <c r="N7912" s="2" t="s">
        <v>2317</v>
      </c>
      <c r="O7912" s="14">
        <v>7600</v>
      </c>
      <c r="P7912" s="14">
        <v>98.49</v>
      </c>
      <c r="Q7912" s="14">
        <v>114.76</v>
      </c>
      <c r="R7912" s="14">
        <v>117.06</v>
      </c>
      <c r="S7912" s="2" t="s">
        <v>1687</v>
      </c>
      <c r="T7912" s="2">
        <v>1.31</v>
      </c>
      <c r="U7912" s="2">
        <v>65.7</v>
      </c>
      <c r="V7912" s="2">
        <v>67</v>
      </c>
      <c r="W7912" s="2" t="s">
        <v>7862</v>
      </c>
      <c r="X7912" s="2" t="s">
        <v>190</v>
      </c>
      <c r="Y7912" s="2">
        <v>7752</v>
      </c>
      <c r="Z7912" s="19" t="str">
        <f>HYPERLINK("https://ssdweb.co/ssdweb/hd/Vision360.html?d=941070748&amp;zoomslide=1&amp;z=1941070748&amp;ISCONFIRM=0","VIDEO")</f>
        <v>VIDEO</v>
      </c>
      <c r="AA7912" s="19" t="str">
        <f>HYPERLINK("https://ssdweb.co/ssdweb/CERTH/670445226.pdf","CERTI")</f>
        <v>CERTI</v>
      </c>
    </row>
    <row r="7913" spans="1:27" ht="15" x14ac:dyDescent="0.25">
      <c r="A7913" s="2">
        <v>7908</v>
      </c>
      <c r="B7913" s="39">
        <v>927130289</v>
      </c>
      <c r="C7913" s="28" t="str">
        <f>HYPERLINK("https://pld.live/RapDetail.aspx?STONELIST=927130289","DNA")</f>
        <v>DNA</v>
      </c>
      <c r="D7913" s="18" t="s">
        <v>3054</v>
      </c>
      <c r="E7913" s="18" t="s">
        <v>5128</v>
      </c>
      <c r="F7913" s="2" t="s">
        <v>7987</v>
      </c>
      <c r="G7913" s="2" t="s">
        <v>4029</v>
      </c>
      <c r="H7913" s="14">
        <v>1.02</v>
      </c>
      <c r="I7913" s="2" t="s">
        <v>267</v>
      </c>
      <c r="J7913" s="2" t="s">
        <v>3942</v>
      </c>
      <c r="K7913" s="2" t="s">
        <v>1452</v>
      </c>
      <c r="L7913" s="2" t="s">
        <v>5221</v>
      </c>
      <c r="M7913" s="2" t="s">
        <v>5221</v>
      </c>
      <c r="N7913" s="2" t="s">
        <v>2317</v>
      </c>
      <c r="O7913" s="14">
        <v>7600</v>
      </c>
      <c r="P7913" s="14">
        <v>98.51</v>
      </c>
      <c r="Q7913" s="14">
        <v>113.24</v>
      </c>
      <c r="R7913" s="14">
        <v>115.5</v>
      </c>
      <c r="S7913" s="2" t="s">
        <v>5942</v>
      </c>
      <c r="T7913" s="2">
        <v>1.29</v>
      </c>
      <c r="U7913" s="2">
        <v>67.400000000000006</v>
      </c>
      <c r="V7913" s="2">
        <v>66</v>
      </c>
      <c r="W7913" s="2" t="s">
        <v>7862</v>
      </c>
      <c r="X7913" s="2" t="s">
        <v>190</v>
      </c>
      <c r="Y7913" s="2">
        <v>7752</v>
      </c>
      <c r="Z7913" s="19" t="str">
        <f>HYPERLINK("https://ssdweb.co/ssdweb/hd/Vision360.html?d=927130289&amp;zoomslide=1&amp;z=1927130289&amp;ISCONFIRM=0","VIDEO")</f>
        <v>VIDEO</v>
      </c>
      <c r="AA7913" s="19" t="str">
        <f>HYPERLINK("https://ssdweb.co/ssdweb/CERTH/667408268.pdf","CERTI")</f>
        <v>CERTI</v>
      </c>
    </row>
    <row r="7914" spans="1:27" ht="15" x14ac:dyDescent="0.25">
      <c r="A7914" s="2">
        <v>7909</v>
      </c>
      <c r="B7914" s="39">
        <v>927152621</v>
      </c>
      <c r="C7914" s="28" t="str">
        <f>HYPERLINK("https://pld.live/RapDetail.aspx?STONELIST=927152621","DNA")</f>
        <v>DNA</v>
      </c>
      <c r="D7914" s="18" t="s">
        <v>3054</v>
      </c>
      <c r="E7914" s="18" t="s">
        <v>5128</v>
      </c>
      <c r="F7914" s="2" t="s">
        <v>7987</v>
      </c>
      <c r="G7914" s="2" t="s">
        <v>4029</v>
      </c>
      <c r="H7914" s="14">
        <v>1.02</v>
      </c>
      <c r="I7914" s="2" t="s">
        <v>267</v>
      </c>
      <c r="J7914" s="2" t="s">
        <v>3942</v>
      </c>
      <c r="K7914" s="2" t="s">
        <v>1452</v>
      </c>
      <c r="L7914" s="2" t="s">
        <v>5221</v>
      </c>
      <c r="M7914" s="2" t="s">
        <v>5221</v>
      </c>
      <c r="N7914" s="2" t="s">
        <v>2317</v>
      </c>
      <c r="O7914" s="14">
        <v>7600</v>
      </c>
      <c r="P7914" s="14">
        <v>98.49</v>
      </c>
      <c r="Q7914" s="14">
        <v>114.76</v>
      </c>
      <c r="R7914" s="14">
        <v>117.06</v>
      </c>
      <c r="S7914" s="2" t="s">
        <v>4846</v>
      </c>
      <c r="T7914" s="2">
        <v>1.35</v>
      </c>
      <c r="U7914" s="2">
        <v>68</v>
      </c>
      <c r="V7914" s="2">
        <v>67</v>
      </c>
      <c r="W7914" s="2" t="s">
        <v>7862</v>
      </c>
      <c r="X7914" s="2" t="s">
        <v>190</v>
      </c>
      <c r="Y7914" s="2">
        <v>7752</v>
      </c>
      <c r="Z7914" s="19" t="str">
        <f>HYPERLINK("https://ssdweb.co/ssdweb/hd/Vision360.html?d=927152621&amp;zoomslide=1&amp;z=1927152621&amp;ISCONFIRM=0","VIDEO")</f>
        <v>VIDEO</v>
      </c>
      <c r="AA7914" s="19" t="str">
        <f>HYPERLINK("https://ssdweb.co/ssdweb/CERTH/669458226.pdf","CERTI")</f>
        <v>CERTI</v>
      </c>
    </row>
    <row r="7915" spans="1:27" ht="15" x14ac:dyDescent="0.25">
      <c r="A7915" s="2">
        <v>7910</v>
      </c>
      <c r="B7915" s="39">
        <v>927052482</v>
      </c>
      <c r="C7915" s="28" t="str">
        <f>HYPERLINK("https://pld.live/RapDetail.aspx?STONELIST=927052482","DNA")</f>
        <v>DNA</v>
      </c>
      <c r="D7915" s="18" t="s">
        <v>3054</v>
      </c>
      <c r="E7915" s="18" t="s">
        <v>5128</v>
      </c>
      <c r="F7915" s="2" t="s">
        <v>7987</v>
      </c>
      <c r="G7915" s="2" t="s">
        <v>4029</v>
      </c>
      <c r="H7915" s="14">
        <v>1.02</v>
      </c>
      <c r="I7915" s="2" t="s">
        <v>267</v>
      </c>
      <c r="J7915" s="2" t="s">
        <v>3942</v>
      </c>
      <c r="K7915" s="2" t="s">
        <v>1452</v>
      </c>
      <c r="L7915" s="2" t="s">
        <v>5221</v>
      </c>
      <c r="M7915" s="2" t="s">
        <v>5221</v>
      </c>
      <c r="N7915" s="2" t="s">
        <v>2317</v>
      </c>
      <c r="O7915" s="14">
        <v>7600</v>
      </c>
      <c r="P7915" s="14">
        <v>98.51</v>
      </c>
      <c r="Q7915" s="14">
        <v>113.24</v>
      </c>
      <c r="R7915" s="14">
        <v>115.5</v>
      </c>
      <c r="S7915" s="2" t="s">
        <v>1084</v>
      </c>
      <c r="T7915" s="2">
        <v>1.32</v>
      </c>
      <c r="U7915" s="2">
        <v>65.5</v>
      </c>
      <c r="V7915" s="2">
        <v>65</v>
      </c>
      <c r="W7915" s="2" t="s">
        <v>7862</v>
      </c>
      <c r="X7915" s="2" t="s">
        <v>190</v>
      </c>
      <c r="Y7915" s="2">
        <v>7752</v>
      </c>
      <c r="Z7915" s="19" t="str">
        <f>HYPERLINK("https://ssdweb.co/ssdweb/hd/Vision360.html?d=927052482&amp;zoomslide=1&amp;z=1927052482&amp;ISCONFIRM=0","VIDEO")</f>
        <v>VIDEO</v>
      </c>
      <c r="AA7915" s="19" t="str">
        <f>HYPERLINK("https://ssdweb.co/ssdweb/CERTH/666419925.pdf","CERTI")</f>
        <v>CERTI</v>
      </c>
    </row>
    <row r="7916" spans="1:27" ht="15" x14ac:dyDescent="0.25">
      <c r="A7916" s="2">
        <v>7911</v>
      </c>
      <c r="B7916" s="39">
        <v>941020790</v>
      </c>
      <c r="C7916" s="28" t="str">
        <f>HYPERLINK("https://pld.live/RapDetail.aspx?STONELIST=941020790","DNA")</f>
        <v>DNA</v>
      </c>
      <c r="D7916" s="18" t="s">
        <v>3054</v>
      </c>
      <c r="E7916" s="18" t="s">
        <v>5128</v>
      </c>
      <c r="F7916" s="2" t="s">
        <v>7987</v>
      </c>
      <c r="G7916" s="2" t="s">
        <v>4029</v>
      </c>
      <c r="H7916" s="14">
        <v>1.02</v>
      </c>
      <c r="I7916" s="2" t="s">
        <v>267</v>
      </c>
      <c r="J7916" s="2" t="s">
        <v>3942</v>
      </c>
      <c r="K7916" s="2" t="s">
        <v>1452</v>
      </c>
      <c r="L7916" s="2" t="s">
        <v>5221</v>
      </c>
      <c r="M7916" s="2" t="s">
        <v>5221</v>
      </c>
      <c r="N7916" s="2" t="s">
        <v>2317</v>
      </c>
      <c r="O7916" s="14">
        <v>7600</v>
      </c>
      <c r="P7916" s="14">
        <v>98.51</v>
      </c>
      <c r="Q7916" s="14">
        <v>113.24</v>
      </c>
      <c r="R7916" s="14">
        <v>115.5</v>
      </c>
      <c r="S7916" s="2" t="s">
        <v>7154</v>
      </c>
      <c r="T7916" s="2">
        <v>1.32</v>
      </c>
      <c r="U7916" s="2">
        <v>66.900000000000006</v>
      </c>
      <c r="V7916" s="2">
        <v>68</v>
      </c>
      <c r="W7916" s="2" t="s">
        <v>7862</v>
      </c>
      <c r="X7916" s="2" t="s">
        <v>190</v>
      </c>
      <c r="Y7916" s="2">
        <v>7752</v>
      </c>
      <c r="Z7916" s="19" t="str">
        <f>HYPERLINK("https://ssdweb.co/ssdweb/hd/Vision360.html?d=941020790&amp;zoomslide=1&amp;z=1941020790&amp;ISCONFIRM=0","VIDEO")</f>
        <v>VIDEO</v>
      </c>
      <c r="AA7916" s="19" t="str">
        <f>HYPERLINK("https://ssdweb.co/ssdweb/CERTH/668447819.pdf","CERTI")</f>
        <v>CERTI</v>
      </c>
    </row>
    <row r="7917" spans="1:27" ht="15" x14ac:dyDescent="0.25">
      <c r="A7917" s="2">
        <v>7912</v>
      </c>
      <c r="B7917" s="39">
        <v>941020748</v>
      </c>
      <c r="C7917" s="28" t="str">
        <f>HYPERLINK("https://pld.live/RapDetail.aspx?STONELIST=941020748","DNA")</f>
        <v>DNA</v>
      </c>
      <c r="D7917" s="18" t="s">
        <v>3054</v>
      </c>
      <c r="E7917" s="18" t="s">
        <v>5128</v>
      </c>
      <c r="F7917" s="2" t="s">
        <v>7987</v>
      </c>
      <c r="G7917" s="2" t="s">
        <v>4029</v>
      </c>
      <c r="H7917" s="14">
        <v>1.02</v>
      </c>
      <c r="I7917" s="2" t="s">
        <v>267</v>
      </c>
      <c r="J7917" s="2" t="s">
        <v>3942</v>
      </c>
      <c r="K7917" s="2" t="s">
        <v>1452</v>
      </c>
      <c r="L7917" s="2" t="s">
        <v>5221</v>
      </c>
      <c r="M7917" s="2" t="s">
        <v>5221</v>
      </c>
      <c r="N7917" s="2" t="s">
        <v>2317</v>
      </c>
      <c r="O7917" s="14">
        <v>7600</v>
      </c>
      <c r="P7917" s="14">
        <v>98.51</v>
      </c>
      <c r="Q7917" s="14">
        <v>113.24</v>
      </c>
      <c r="R7917" s="14">
        <v>115.5</v>
      </c>
      <c r="S7917" s="2" t="s">
        <v>2068</v>
      </c>
      <c r="T7917" s="2">
        <v>1.35</v>
      </c>
      <c r="U7917" s="2">
        <v>67.8</v>
      </c>
      <c r="V7917" s="2">
        <v>66</v>
      </c>
      <c r="W7917" s="2" t="s">
        <v>7862</v>
      </c>
      <c r="X7917" s="2" t="s">
        <v>190</v>
      </c>
      <c r="Y7917" s="2">
        <v>7752</v>
      </c>
      <c r="Z7917" s="19" t="str">
        <f>HYPERLINK("https://ssdweb.co/ssdweb/hd/Vision360.html?d=941020748&amp;zoomslide=1&amp;z=1941020748&amp;ISCONFIRM=0","VIDEO")</f>
        <v>VIDEO</v>
      </c>
      <c r="AA7917" s="19" t="str">
        <f>HYPERLINK("https://ssdweb.co/ssdweb/CERTH/668447818.pdf","CERTI")</f>
        <v>CERTI</v>
      </c>
    </row>
    <row r="7918" spans="1:27" ht="15" x14ac:dyDescent="0.25">
      <c r="A7918" s="2">
        <v>7913</v>
      </c>
      <c r="B7918" s="39">
        <v>927092356</v>
      </c>
      <c r="C7918" s="28" t="str">
        <f>HYPERLINK("https://pld.live/RapDetail.aspx?STONELIST=927092356","DNA")</f>
        <v>DNA</v>
      </c>
      <c r="D7918" s="18" t="s">
        <v>3054</v>
      </c>
      <c r="E7918" s="18" t="s">
        <v>5128</v>
      </c>
      <c r="F7918" s="2" t="s">
        <v>7987</v>
      </c>
      <c r="G7918" s="2" t="s">
        <v>4029</v>
      </c>
      <c r="H7918" s="14">
        <v>1.02</v>
      </c>
      <c r="I7918" s="2" t="s">
        <v>267</v>
      </c>
      <c r="J7918" s="2" t="s">
        <v>3942</v>
      </c>
      <c r="K7918" s="2" t="s">
        <v>1452</v>
      </c>
      <c r="L7918" s="2" t="s">
        <v>5221</v>
      </c>
      <c r="M7918" s="2" t="s">
        <v>5221</v>
      </c>
      <c r="N7918" s="2" t="s">
        <v>2317</v>
      </c>
      <c r="O7918" s="14">
        <v>7600</v>
      </c>
      <c r="P7918" s="14">
        <v>98.51</v>
      </c>
      <c r="Q7918" s="14">
        <v>113.24</v>
      </c>
      <c r="R7918" s="14">
        <v>115.5</v>
      </c>
      <c r="S7918" s="2" t="s">
        <v>407</v>
      </c>
      <c r="T7918" s="2">
        <v>1.28</v>
      </c>
      <c r="U7918" s="2">
        <v>66.900000000000006</v>
      </c>
      <c r="V7918" s="2">
        <v>66</v>
      </c>
      <c r="W7918" s="2" t="s">
        <v>7862</v>
      </c>
      <c r="X7918" s="2" t="s">
        <v>190</v>
      </c>
      <c r="Y7918" s="2">
        <v>7752</v>
      </c>
      <c r="Z7918" s="19" t="str">
        <f>HYPERLINK("https://ssdweb.co/ssdweb/hd/Vision360.html?d=927092356&amp;zoomslide=1&amp;z=1927092356&amp;ISCONFIRM=0","VIDEO")</f>
        <v>VIDEO</v>
      </c>
      <c r="AA7918" s="19" t="str">
        <f>HYPERLINK("https://ssdweb.co/ssdweb/CERTH/668437150.pdf","CERTI")</f>
        <v>CERTI</v>
      </c>
    </row>
    <row r="7919" spans="1:27" ht="15" x14ac:dyDescent="0.25">
      <c r="A7919" s="2">
        <v>7914</v>
      </c>
      <c r="B7919" s="39">
        <v>926901088</v>
      </c>
      <c r="C7919" s="28" t="str">
        <f>HYPERLINK("https://pld.live/RapDetail.aspx?STONELIST=926901088","DNA")</f>
        <v>DNA</v>
      </c>
      <c r="D7919" s="18" t="s">
        <v>3054</v>
      </c>
      <c r="E7919" s="18" t="s">
        <v>5128</v>
      </c>
      <c r="F7919" s="2" t="s">
        <v>7987</v>
      </c>
      <c r="G7919" s="2" t="s">
        <v>4029</v>
      </c>
      <c r="H7919" s="14">
        <v>1.02</v>
      </c>
      <c r="I7919" s="2" t="s">
        <v>267</v>
      </c>
      <c r="J7919" s="2" t="s">
        <v>13</v>
      </c>
      <c r="K7919" s="2" t="s">
        <v>1452</v>
      </c>
      <c r="L7919" s="2" t="s">
        <v>5221</v>
      </c>
      <c r="M7919" s="2" t="s">
        <v>5221</v>
      </c>
      <c r="N7919" s="2" t="s">
        <v>2317</v>
      </c>
      <c r="O7919" s="14">
        <v>6700</v>
      </c>
      <c r="P7919" s="14">
        <v>98.42</v>
      </c>
      <c r="Q7919" s="14">
        <v>105.86</v>
      </c>
      <c r="R7919" s="14">
        <v>107.98</v>
      </c>
      <c r="S7919" s="2" t="s">
        <v>6346</v>
      </c>
      <c r="T7919" s="2">
        <v>1.36</v>
      </c>
      <c r="U7919" s="2">
        <v>65.2</v>
      </c>
      <c r="V7919" s="2">
        <v>66</v>
      </c>
      <c r="W7919" s="2" t="s">
        <v>7862</v>
      </c>
      <c r="X7919" s="2" t="s">
        <v>190</v>
      </c>
      <c r="Y7919" s="2">
        <v>6834</v>
      </c>
      <c r="Z7919" s="19" t="str">
        <f>HYPERLINK("https://ssdweb.co/ssdweb/hd/Vision360.html?d=926901088&amp;zoomslide=1&amp;z=1926901088&amp;ISCONFIRM=0","VIDEO")</f>
        <v>VIDEO</v>
      </c>
      <c r="AA7919" s="19" t="str">
        <f>HYPERLINK("https://ssdweb.co/ssdweb/CERTH/659414324.pdf","CERTI")</f>
        <v>CERTI</v>
      </c>
    </row>
    <row r="7920" spans="1:27" ht="15" x14ac:dyDescent="0.25">
      <c r="A7920" s="2">
        <v>7915</v>
      </c>
      <c r="B7920" s="39">
        <v>926840857</v>
      </c>
      <c r="C7920" s="28" t="str">
        <f>HYPERLINK("https://pld.live/RapDetail.aspx?STONELIST=926840857","DNA")</f>
        <v>DNA</v>
      </c>
      <c r="D7920" s="18" t="s">
        <v>3054</v>
      </c>
      <c r="E7920" s="18" t="s">
        <v>2186</v>
      </c>
      <c r="F7920" s="2" t="s">
        <v>7987</v>
      </c>
      <c r="G7920" s="2" t="s">
        <v>4029</v>
      </c>
      <c r="H7920" s="14">
        <v>1.02</v>
      </c>
      <c r="I7920" s="2" t="s">
        <v>267</v>
      </c>
      <c r="J7920" s="2" t="s">
        <v>13</v>
      </c>
      <c r="K7920" s="2" t="s">
        <v>1452</v>
      </c>
      <c r="L7920" s="2" t="s">
        <v>5221</v>
      </c>
      <c r="M7920" s="2" t="s">
        <v>5221</v>
      </c>
      <c r="N7920" s="2" t="s">
        <v>2317</v>
      </c>
      <c r="O7920" s="14">
        <v>6700</v>
      </c>
      <c r="P7920" s="14">
        <v>98.42</v>
      </c>
      <c r="Q7920" s="14">
        <v>105.86</v>
      </c>
      <c r="R7920" s="14">
        <v>107.98</v>
      </c>
      <c r="S7920" s="2" t="s">
        <v>4564</v>
      </c>
      <c r="T7920" s="2">
        <v>1.31</v>
      </c>
      <c r="U7920" s="2">
        <v>67.400000000000006</v>
      </c>
      <c r="V7920" s="2">
        <v>62</v>
      </c>
      <c r="W7920" s="2" t="s">
        <v>7862</v>
      </c>
      <c r="X7920" s="2" t="s">
        <v>190</v>
      </c>
      <c r="Y7920" s="2">
        <v>6834</v>
      </c>
      <c r="Z7920" s="19" t="str">
        <f>HYPERLINK("https://ssdweb.co/ssdweb/hd/Vision360.html?d=926840857&amp;zoomslide=1&amp;z=1926840857&amp;ISCONFIRM=0","VIDEO")</f>
        <v>VIDEO</v>
      </c>
      <c r="AA7920" s="19" t="str">
        <f>HYPERLINK("https://ssdweb.co/ssdweb/CERTH/655451841.pdf","CERTI")</f>
        <v>CERTI</v>
      </c>
    </row>
    <row r="7921" spans="1:27" ht="15" x14ac:dyDescent="0.25">
      <c r="A7921" s="2">
        <v>7916</v>
      </c>
      <c r="B7921" s="39">
        <v>926750639</v>
      </c>
      <c r="C7921" s="28" t="str">
        <f>HYPERLINK("https://pld.live/RapDetail.aspx?STONELIST=926750639","DNA")</f>
        <v>DNA</v>
      </c>
      <c r="D7921" s="18" t="s">
        <v>3054</v>
      </c>
      <c r="E7921" s="18" t="s">
        <v>5128</v>
      </c>
      <c r="F7921" s="2" t="s">
        <v>7987</v>
      </c>
      <c r="G7921" s="2" t="s">
        <v>4029</v>
      </c>
      <c r="H7921" s="14">
        <v>1.02</v>
      </c>
      <c r="I7921" s="2" t="s">
        <v>267</v>
      </c>
      <c r="J7921" s="2" t="s">
        <v>13</v>
      </c>
      <c r="K7921" s="2" t="s">
        <v>1452</v>
      </c>
      <c r="L7921" s="2" t="s">
        <v>5221</v>
      </c>
      <c r="M7921" s="2" t="s">
        <v>5221</v>
      </c>
      <c r="N7921" s="2" t="s">
        <v>2317</v>
      </c>
      <c r="O7921" s="14">
        <v>6700</v>
      </c>
      <c r="P7921" s="14">
        <v>98.42</v>
      </c>
      <c r="Q7921" s="14">
        <v>105.86</v>
      </c>
      <c r="R7921" s="14">
        <v>107.98</v>
      </c>
      <c r="S7921" s="2" t="s">
        <v>6573</v>
      </c>
      <c r="T7921" s="2">
        <v>1.3</v>
      </c>
      <c r="U7921" s="2">
        <v>66.900000000000006</v>
      </c>
      <c r="V7921" s="2">
        <v>66</v>
      </c>
      <c r="W7921" s="2" t="s">
        <v>7862</v>
      </c>
      <c r="X7921" s="2" t="s">
        <v>190</v>
      </c>
      <c r="Y7921" s="2">
        <v>6834</v>
      </c>
      <c r="Z7921" s="19" t="str">
        <f>HYPERLINK("https://ssdweb.co/ssdweb/hd/Vision360.html?d=926750639&amp;zoomslide=1&amp;z=1926750639&amp;ISCONFIRM=0","VIDEO")</f>
        <v>VIDEO</v>
      </c>
      <c r="AA7921" s="19" t="str">
        <f>HYPERLINK("https://ssdweb.co/ssdweb/CERTH/651466226.pdf","CERTI")</f>
        <v>CERTI</v>
      </c>
    </row>
    <row r="7922" spans="1:27" ht="15" x14ac:dyDescent="0.25">
      <c r="A7922" s="2">
        <v>7917</v>
      </c>
      <c r="B7922" s="39">
        <v>926810718</v>
      </c>
      <c r="C7922" s="28" t="str">
        <f>HYPERLINK("https://pld.live/RapDetail.aspx?STONELIST=926810718","DNA")</f>
        <v>DNA</v>
      </c>
      <c r="D7922" s="18" t="s">
        <v>3054</v>
      </c>
      <c r="E7922" s="18" t="s">
        <v>5128</v>
      </c>
      <c r="F7922" s="2" t="s">
        <v>7987</v>
      </c>
      <c r="G7922" s="2" t="s">
        <v>4029</v>
      </c>
      <c r="H7922" s="14">
        <v>1.02</v>
      </c>
      <c r="I7922" s="2" t="s">
        <v>267</v>
      </c>
      <c r="J7922" s="2" t="s">
        <v>13</v>
      </c>
      <c r="K7922" s="2" t="s">
        <v>1452</v>
      </c>
      <c r="L7922" s="2" t="s">
        <v>5221</v>
      </c>
      <c r="M7922" s="2" t="s">
        <v>5221</v>
      </c>
      <c r="N7922" s="2" t="s">
        <v>2317</v>
      </c>
      <c r="O7922" s="14">
        <v>6700</v>
      </c>
      <c r="P7922" s="14">
        <v>98.42</v>
      </c>
      <c r="Q7922" s="14">
        <v>105.86</v>
      </c>
      <c r="R7922" s="14">
        <v>107.98</v>
      </c>
      <c r="S7922" s="2" t="s">
        <v>5738</v>
      </c>
      <c r="T7922" s="2">
        <v>1.28</v>
      </c>
      <c r="U7922" s="2">
        <v>64.900000000000006</v>
      </c>
      <c r="V7922" s="2">
        <v>65</v>
      </c>
      <c r="W7922" s="2" t="s">
        <v>7862</v>
      </c>
      <c r="X7922" s="2" t="s">
        <v>190</v>
      </c>
      <c r="Y7922" s="2">
        <v>6834</v>
      </c>
      <c r="Z7922" s="19" t="str">
        <f>HYPERLINK("https://ssdweb.co/ssdweb/hd/Vision360.html?d=926810718&amp;zoomslide=1&amp;z=1926810718&amp;ISCONFIRM=0","VIDEO")</f>
        <v>VIDEO</v>
      </c>
      <c r="AA7922" s="19" t="str">
        <f>HYPERLINK("https://ssdweb.co/ssdweb/CERTH/653427317.pdf","CERTI")</f>
        <v>CERTI</v>
      </c>
    </row>
    <row r="7923" spans="1:27" ht="15" x14ac:dyDescent="0.25">
      <c r="A7923" s="2">
        <v>7918</v>
      </c>
      <c r="B7923" s="39">
        <v>927140270</v>
      </c>
      <c r="C7923" s="28" t="str">
        <f>HYPERLINK("https://pld.live/RapDetail.aspx?STONELIST=927140270","DNA")</f>
        <v>DNA</v>
      </c>
      <c r="D7923" s="18" t="s">
        <v>3054</v>
      </c>
      <c r="E7923" s="18" t="s">
        <v>2186</v>
      </c>
      <c r="F7923" s="2" t="s">
        <v>7987</v>
      </c>
      <c r="G7923" s="2" t="s">
        <v>4029</v>
      </c>
      <c r="H7923" s="14">
        <v>1.02</v>
      </c>
      <c r="I7923" s="2" t="s">
        <v>267</v>
      </c>
      <c r="J7923" s="2" t="s">
        <v>13</v>
      </c>
      <c r="K7923" s="2" t="s">
        <v>1452</v>
      </c>
      <c r="L7923" s="2" t="s">
        <v>5221</v>
      </c>
      <c r="M7923" s="2" t="s">
        <v>5221</v>
      </c>
      <c r="N7923" s="2" t="s">
        <v>2317</v>
      </c>
      <c r="O7923" s="14">
        <v>6700</v>
      </c>
      <c r="P7923" s="14">
        <v>98.36</v>
      </c>
      <c r="Q7923" s="14">
        <v>109.88</v>
      </c>
      <c r="R7923" s="14">
        <v>112.08</v>
      </c>
      <c r="S7923" s="2" t="s">
        <v>6416</v>
      </c>
      <c r="T7923" s="2">
        <v>1.35</v>
      </c>
      <c r="U7923" s="2">
        <v>66.3</v>
      </c>
      <c r="V7923" s="2">
        <v>67</v>
      </c>
      <c r="W7923" s="2" t="s">
        <v>7862</v>
      </c>
      <c r="X7923" s="2" t="s">
        <v>190</v>
      </c>
      <c r="Y7923" s="2">
        <v>6834</v>
      </c>
      <c r="Z7923" s="19" t="str">
        <f>HYPERLINK("https://ssdweb.co/ssdweb/hd/Vision360.html?d=927140270&amp;zoomslide=1&amp;z=1927140270&amp;ISCONFIRM=0","VIDEO")</f>
        <v>VIDEO</v>
      </c>
      <c r="AA7923" s="19" t="str">
        <f>HYPERLINK("https://ssdweb.co/ssdweb/CERTH/669458218.pdf","CERTI")</f>
        <v>CERTI</v>
      </c>
    </row>
    <row r="7924" spans="1:27" ht="15" x14ac:dyDescent="0.25">
      <c r="A7924" s="2">
        <v>7919</v>
      </c>
      <c r="B7924" s="39">
        <v>926870944</v>
      </c>
      <c r="C7924" s="28" t="str">
        <f>HYPERLINK("https://pld.live/RapDetail.aspx?STONELIST=926870944","DNA")</f>
        <v>DNA</v>
      </c>
      <c r="D7924" s="18" t="s">
        <v>3054</v>
      </c>
      <c r="E7924" s="18" t="s">
        <v>5128</v>
      </c>
      <c r="F7924" s="2" t="s">
        <v>7987</v>
      </c>
      <c r="G7924" s="2" t="s">
        <v>4029</v>
      </c>
      <c r="H7924" s="14">
        <v>1.02</v>
      </c>
      <c r="I7924" s="2" t="s">
        <v>267</v>
      </c>
      <c r="J7924" s="2" t="s">
        <v>5144</v>
      </c>
      <c r="K7924" s="2" t="s">
        <v>1452</v>
      </c>
      <c r="L7924" s="2" t="s">
        <v>5221</v>
      </c>
      <c r="M7924" s="2" t="s">
        <v>5221</v>
      </c>
      <c r="N7924" s="2" t="s">
        <v>2317</v>
      </c>
      <c r="O7924" s="14">
        <v>5700</v>
      </c>
      <c r="P7924" s="14">
        <v>98.21</v>
      </c>
      <c r="Q7924" s="14">
        <v>102.03</v>
      </c>
      <c r="R7924" s="14">
        <v>104.07</v>
      </c>
      <c r="S7924" s="2" t="s">
        <v>7681</v>
      </c>
      <c r="T7924" s="2">
        <v>1.28</v>
      </c>
      <c r="U7924" s="2">
        <v>68</v>
      </c>
      <c r="V7924" s="2">
        <v>65</v>
      </c>
      <c r="W7924" s="2" t="s">
        <v>7862</v>
      </c>
      <c r="X7924" s="2" t="s">
        <v>190</v>
      </c>
      <c r="Y7924" s="2">
        <v>5814</v>
      </c>
      <c r="Z7924" s="19" t="str">
        <f>HYPERLINK("https://ssdweb.co/ssdweb/hd/Vision360.html?d=926870944&amp;zoomslide=1&amp;z=1926870944&amp;ISCONFIRM=0","VIDEO")</f>
        <v>VIDEO</v>
      </c>
      <c r="AA7924" s="19" t="str">
        <f>HYPERLINK("https://ssdweb.co/ssdweb/CERTH/654432328.pdf","CERTI")</f>
        <v>CERTI</v>
      </c>
    </row>
    <row r="7925" spans="1:27" ht="15" x14ac:dyDescent="0.25">
      <c r="A7925" s="2">
        <v>7920</v>
      </c>
      <c r="B7925" s="39">
        <v>926830958</v>
      </c>
      <c r="C7925" s="28" t="str">
        <f>HYPERLINK("https://pld.live/RapDetail.aspx?STONELIST=926830958","DNA")</f>
        <v>DNA</v>
      </c>
      <c r="D7925" s="18" t="s">
        <v>3054</v>
      </c>
      <c r="E7925" s="18" t="s">
        <v>5128</v>
      </c>
      <c r="F7925" s="2" t="s">
        <v>7987</v>
      </c>
      <c r="G7925" s="2" t="s">
        <v>4029</v>
      </c>
      <c r="H7925" s="14">
        <v>1.02</v>
      </c>
      <c r="I7925" s="2" t="s">
        <v>4761</v>
      </c>
      <c r="J7925" s="2" t="s">
        <v>7032</v>
      </c>
      <c r="K7925" s="2" t="s">
        <v>1452</v>
      </c>
      <c r="L7925" s="2" t="s">
        <v>5221</v>
      </c>
      <c r="M7925" s="2" t="s">
        <v>5221</v>
      </c>
      <c r="N7925" s="2" t="s">
        <v>2317</v>
      </c>
      <c r="O7925" s="14">
        <v>8200</v>
      </c>
      <c r="P7925" s="14">
        <v>97.68</v>
      </c>
      <c r="Q7925" s="14">
        <v>190.24</v>
      </c>
      <c r="R7925" s="14">
        <v>194.04</v>
      </c>
      <c r="S7925" s="2" t="s">
        <v>230</v>
      </c>
      <c r="T7925" s="2">
        <v>1.32</v>
      </c>
      <c r="U7925" s="2">
        <v>65.900000000000006</v>
      </c>
      <c r="V7925" s="2">
        <v>62</v>
      </c>
      <c r="W7925" s="2" t="s">
        <v>7862</v>
      </c>
      <c r="X7925" s="2" t="s">
        <v>190</v>
      </c>
      <c r="Y7925" s="2">
        <v>8364</v>
      </c>
      <c r="Z7925" s="19" t="str">
        <f>HYPERLINK("https://ssdweb.co/ssdweb/hd/Vision360.html?d=926830958&amp;zoomslide=1&amp;z=1926830958&amp;ISCONFIRM=0","VIDEO")</f>
        <v>VIDEO</v>
      </c>
      <c r="AA7925" s="19" t="str">
        <f>HYPERLINK("https://ssdweb.co/ssdweb/CERTH/653442496.pdf","CERTI")</f>
        <v>CERTI</v>
      </c>
    </row>
    <row r="7926" spans="1:27" ht="15" x14ac:dyDescent="0.25">
      <c r="A7926" s="2">
        <v>7921</v>
      </c>
      <c r="B7926" s="39">
        <v>926311333</v>
      </c>
      <c r="C7926" s="28" t="str">
        <f>HYPERLINK("https://pld.live/RapDetail.aspx?STONELIST=926311333","DNA")</f>
        <v>DNA</v>
      </c>
      <c r="D7926" s="18" t="s">
        <v>3054</v>
      </c>
      <c r="E7926" s="18" t="s">
        <v>5128</v>
      </c>
      <c r="F7926" s="2" t="s">
        <v>7987</v>
      </c>
      <c r="G7926" s="2" t="s">
        <v>4029</v>
      </c>
      <c r="H7926" s="14">
        <v>1.02</v>
      </c>
      <c r="I7926" s="2" t="s">
        <v>4761</v>
      </c>
      <c r="J7926" s="2" t="s">
        <v>7032</v>
      </c>
      <c r="K7926" s="2" t="s">
        <v>1452</v>
      </c>
      <c r="L7926" s="2" t="s">
        <v>5221</v>
      </c>
      <c r="M7926" s="2" t="s">
        <v>5221</v>
      </c>
      <c r="N7926" s="2" t="s">
        <v>2317</v>
      </c>
      <c r="O7926" s="14">
        <v>8200</v>
      </c>
      <c r="P7926" s="14">
        <v>97.68</v>
      </c>
      <c r="Q7926" s="14">
        <v>190.24</v>
      </c>
      <c r="R7926" s="14">
        <v>194.04</v>
      </c>
      <c r="S7926" s="2" t="s">
        <v>7170</v>
      </c>
      <c r="T7926" s="2">
        <v>1.28</v>
      </c>
      <c r="U7926" s="2">
        <v>67.2</v>
      </c>
      <c r="V7926" s="2">
        <v>65</v>
      </c>
      <c r="W7926" s="2" t="s">
        <v>7862</v>
      </c>
      <c r="X7926" s="2" t="s">
        <v>190</v>
      </c>
      <c r="Y7926" s="2">
        <v>8364</v>
      </c>
      <c r="Z7926" s="19" t="str">
        <f>HYPERLINK("https://ssdweb.co/ssdweb/hd/Vision360.html?d=926311333&amp;zoomslide=1&amp;z=1926311333&amp;ISCONFIRM=0","VIDEO")</f>
        <v>VIDEO</v>
      </c>
      <c r="AA7926" s="19" t="str">
        <f>HYPERLINK("https://ssdweb.co/ssdweb/CERTH/642443331.pdf","CERTI")</f>
        <v>CERTI</v>
      </c>
    </row>
    <row r="7927" spans="1:27" ht="15" x14ac:dyDescent="0.25">
      <c r="A7927" s="2">
        <v>7922</v>
      </c>
      <c r="B7927" s="39">
        <v>926621089</v>
      </c>
      <c r="C7927" s="28" t="str">
        <f>HYPERLINK("https://pld.live/RapDetail.aspx?STONELIST=926621089","DNA")</f>
        <v>DNA</v>
      </c>
      <c r="D7927" s="18" t="s">
        <v>3054</v>
      </c>
      <c r="E7927" s="18" t="s">
        <v>5128</v>
      </c>
      <c r="F7927" s="2" t="s">
        <v>7987</v>
      </c>
      <c r="G7927" s="2" t="s">
        <v>4029</v>
      </c>
      <c r="H7927" s="14">
        <v>1.02</v>
      </c>
      <c r="I7927" s="2" t="s">
        <v>4761</v>
      </c>
      <c r="J7927" s="2" t="s">
        <v>6555</v>
      </c>
      <c r="K7927" s="2" t="s">
        <v>1452</v>
      </c>
      <c r="L7927" s="2" t="s">
        <v>5221</v>
      </c>
      <c r="M7927" s="2" t="s">
        <v>5221</v>
      </c>
      <c r="N7927" s="2" t="s">
        <v>2317</v>
      </c>
      <c r="O7927" s="14">
        <v>7500</v>
      </c>
      <c r="P7927" s="14">
        <v>98.39</v>
      </c>
      <c r="Q7927" s="14">
        <v>120.75</v>
      </c>
      <c r="R7927" s="14">
        <v>123.17</v>
      </c>
      <c r="S7927" s="2" t="s">
        <v>3381</v>
      </c>
      <c r="T7927" s="2">
        <v>1.29</v>
      </c>
      <c r="U7927" s="2">
        <v>68.099999999999994</v>
      </c>
      <c r="V7927" s="2">
        <v>62</v>
      </c>
      <c r="W7927" s="2" t="s">
        <v>7862</v>
      </c>
      <c r="X7927" s="2" t="s">
        <v>190</v>
      </c>
      <c r="Y7927" s="2">
        <v>7650</v>
      </c>
      <c r="Z7927" s="19" t="str">
        <f>HYPERLINK("https://ssdweb.co/ssdweb/hd/Vision360.html?d=926621089&amp;zoomslide=1&amp;z=1926621089&amp;ISCONFIRM=0","VIDEO")</f>
        <v>VIDEO</v>
      </c>
      <c r="AA7927" s="19" t="str">
        <f>HYPERLINK("https://ssdweb.co/ssdweb/CERTH/647475482.pdf","CERTI")</f>
        <v>CERTI</v>
      </c>
    </row>
    <row r="7928" spans="1:27" ht="15" x14ac:dyDescent="0.25">
      <c r="A7928" s="2">
        <v>7923</v>
      </c>
      <c r="B7928" s="39">
        <v>926310835</v>
      </c>
      <c r="C7928" s="28" t="str">
        <f>HYPERLINK("https://pld.live/RapDetail.aspx?STONELIST=926310835","DNA")</f>
        <v>DNA</v>
      </c>
      <c r="D7928" s="18" t="s">
        <v>3054</v>
      </c>
      <c r="E7928" s="18" t="s">
        <v>5128</v>
      </c>
      <c r="F7928" s="2" t="s">
        <v>7987</v>
      </c>
      <c r="G7928" s="2" t="s">
        <v>4029</v>
      </c>
      <c r="H7928" s="14">
        <v>1.02</v>
      </c>
      <c r="I7928" s="2" t="s">
        <v>4761</v>
      </c>
      <c r="J7928" s="2" t="s">
        <v>6555</v>
      </c>
      <c r="K7928" s="2" t="s">
        <v>1452</v>
      </c>
      <c r="L7928" s="2" t="s">
        <v>5221</v>
      </c>
      <c r="M7928" s="2" t="s">
        <v>5221</v>
      </c>
      <c r="N7928" s="2" t="s">
        <v>2317</v>
      </c>
      <c r="O7928" s="14">
        <v>7500</v>
      </c>
      <c r="P7928" s="14">
        <v>98.39</v>
      </c>
      <c r="Q7928" s="14">
        <v>120.75</v>
      </c>
      <c r="R7928" s="14">
        <v>123.17</v>
      </c>
      <c r="S7928" s="2" t="s">
        <v>5535</v>
      </c>
      <c r="T7928" s="2">
        <v>1.35</v>
      </c>
      <c r="U7928" s="2">
        <v>68.599999999999994</v>
      </c>
      <c r="V7928" s="2">
        <v>63</v>
      </c>
      <c r="W7928" s="2" t="s">
        <v>7862</v>
      </c>
      <c r="X7928" s="2" t="s">
        <v>190</v>
      </c>
      <c r="Y7928" s="2">
        <v>7650</v>
      </c>
      <c r="Z7928" s="19" t="str">
        <f>HYPERLINK("https://ssdweb.co/ssdweb/hd/Vision360.html?d=926310835&amp;zoomslide=1&amp;z=1926310835&amp;ISCONFIRM=0","VIDEO")</f>
        <v>VIDEO</v>
      </c>
      <c r="AA7928" s="19" t="str">
        <f>HYPERLINK("https://ssdweb.co/ssdweb/CERTH/639413269.pdf","CERTI")</f>
        <v>CERTI</v>
      </c>
    </row>
    <row r="7929" spans="1:27" ht="15" x14ac:dyDescent="0.25">
      <c r="A7929" s="2">
        <v>7924</v>
      </c>
      <c r="B7929" s="39">
        <v>941040511</v>
      </c>
      <c r="C7929" s="28" t="str">
        <f>HYPERLINK("https://pld.live/RapDetail.aspx?STONELIST=941040511","DNA")</f>
        <v>DNA</v>
      </c>
      <c r="D7929" s="18" t="s">
        <v>3054</v>
      </c>
      <c r="E7929" s="18" t="s">
        <v>5128</v>
      </c>
      <c r="F7929" s="2" t="s">
        <v>7987</v>
      </c>
      <c r="G7929" s="2" t="s">
        <v>4029</v>
      </c>
      <c r="H7929" s="14">
        <v>1.02</v>
      </c>
      <c r="I7929" s="2" t="s">
        <v>4761</v>
      </c>
      <c r="J7929" s="2" t="s">
        <v>6555</v>
      </c>
      <c r="K7929" s="2" t="s">
        <v>1452</v>
      </c>
      <c r="L7929" s="2" t="s">
        <v>5221</v>
      </c>
      <c r="M7929" s="2" t="s">
        <v>5221</v>
      </c>
      <c r="N7929" s="2" t="s">
        <v>2317</v>
      </c>
      <c r="O7929" s="14">
        <v>7500</v>
      </c>
      <c r="P7929" s="14">
        <v>98.36</v>
      </c>
      <c r="Q7929" s="14">
        <v>123</v>
      </c>
      <c r="R7929" s="14">
        <v>125.46</v>
      </c>
      <c r="S7929" s="2" t="s">
        <v>6078</v>
      </c>
      <c r="T7929" s="2">
        <v>1.28</v>
      </c>
      <c r="U7929" s="2">
        <v>66.400000000000006</v>
      </c>
      <c r="V7929" s="2">
        <v>64</v>
      </c>
      <c r="W7929" s="2" t="s">
        <v>4336</v>
      </c>
      <c r="X7929" s="2" t="s">
        <v>190</v>
      </c>
      <c r="Y7929" s="2">
        <v>7650</v>
      </c>
      <c r="Z7929" s="19" t="str">
        <f>HYPERLINK("https://ssdweb.co/ssdweb/hd/Vision360.html?d=941040511&amp;zoomslide=1&amp;z=1941040511&amp;ISCONFIRM=0","VIDEO")</f>
        <v>VIDEO</v>
      </c>
      <c r="AA7929" s="19" t="str">
        <f>HYPERLINK("https://ssdweb.co/ssdweb/CERTH/669458236.pdf","CERTI")</f>
        <v>CERTI</v>
      </c>
    </row>
    <row r="7930" spans="1:27" ht="15" x14ac:dyDescent="0.25">
      <c r="A7930" s="2">
        <v>7925</v>
      </c>
      <c r="B7930" s="39">
        <v>927151314</v>
      </c>
      <c r="C7930" s="28" t="str">
        <f>HYPERLINK("https://pld.live/RapDetail.aspx?STONELIST=927151314","DNA")</f>
        <v>DNA</v>
      </c>
      <c r="D7930" s="18" t="s">
        <v>3054</v>
      </c>
      <c r="E7930" s="18" t="s">
        <v>5128</v>
      </c>
      <c r="F7930" s="2" t="s">
        <v>7987</v>
      </c>
      <c r="G7930" s="2" t="s">
        <v>4029</v>
      </c>
      <c r="H7930" s="14">
        <v>1.02</v>
      </c>
      <c r="I7930" s="2" t="s">
        <v>4761</v>
      </c>
      <c r="J7930" s="2" t="s">
        <v>6555</v>
      </c>
      <c r="K7930" s="2" t="s">
        <v>1452</v>
      </c>
      <c r="L7930" s="2" t="s">
        <v>5221</v>
      </c>
      <c r="M7930" s="2" t="s">
        <v>5221</v>
      </c>
      <c r="N7930" s="2" t="s">
        <v>2317</v>
      </c>
      <c r="O7930" s="14">
        <v>7500</v>
      </c>
      <c r="P7930" s="14">
        <v>98.36</v>
      </c>
      <c r="Q7930" s="14">
        <v>123</v>
      </c>
      <c r="R7930" s="14">
        <v>125.46</v>
      </c>
      <c r="S7930" s="2" t="s">
        <v>5179</v>
      </c>
      <c r="T7930" s="2">
        <v>1.28</v>
      </c>
      <c r="U7930" s="2">
        <v>67.8</v>
      </c>
      <c r="V7930" s="2">
        <v>66</v>
      </c>
      <c r="W7930" s="2" t="s">
        <v>7862</v>
      </c>
      <c r="X7930" s="2" t="s">
        <v>190</v>
      </c>
      <c r="Y7930" s="2">
        <v>7650</v>
      </c>
      <c r="Z7930" s="19" t="str">
        <f>HYPERLINK("https://ssdweb.co/ssdweb/hd/Vision360.html?d=927151314&amp;zoomslide=1&amp;z=1927151314&amp;ISCONFIRM=0","VIDEO")</f>
        <v>VIDEO</v>
      </c>
      <c r="AA7930" s="19" t="str">
        <f>HYPERLINK("https://ssdweb.co/ssdweb/CERTH/668437178.pdf","CERTI")</f>
        <v>CERTI</v>
      </c>
    </row>
    <row r="7931" spans="1:27" ht="15" x14ac:dyDescent="0.25">
      <c r="A7931" s="2">
        <v>7926</v>
      </c>
      <c r="B7931" s="39">
        <v>927152562</v>
      </c>
      <c r="C7931" s="28" t="str">
        <f>HYPERLINK("https://pld.live/RapDetail.aspx?STONELIST=927152562","DNA")</f>
        <v>DNA</v>
      </c>
      <c r="D7931" s="18" t="s">
        <v>3054</v>
      </c>
      <c r="E7931" s="18" t="s">
        <v>5128</v>
      </c>
      <c r="F7931" s="2" t="s">
        <v>7987</v>
      </c>
      <c r="G7931" s="2" t="s">
        <v>4029</v>
      </c>
      <c r="H7931" s="14">
        <v>1.02</v>
      </c>
      <c r="I7931" s="2" t="s">
        <v>4761</v>
      </c>
      <c r="J7931" s="2" t="s">
        <v>6555</v>
      </c>
      <c r="K7931" s="2" t="s">
        <v>1452</v>
      </c>
      <c r="L7931" s="2" t="s">
        <v>5221</v>
      </c>
      <c r="M7931" s="2" t="s">
        <v>5221</v>
      </c>
      <c r="N7931" s="2" t="s">
        <v>2317</v>
      </c>
      <c r="O7931" s="14">
        <v>7500</v>
      </c>
      <c r="P7931" s="14">
        <v>98.33</v>
      </c>
      <c r="Q7931" s="14">
        <v>125.25</v>
      </c>
      <c r="R7931" s="14">
        <v>127.76</v>
      </c>
      <c r="S7931" s="2" t="s">
        <v>2248</v>
      </c>
      <c r="T7931" s="2">
        <v>1.35</v>
      </c>
      <c r="U7931" s="2">
        <v>64.2</v>
      </c>
      <c r="V7931" s="2">
        <v>68</v>
      </c>
      <c r="W7931" s="2" t="s">
        <v>7862</v>
      </c>
      <c r="X7931" s="2" t="s">
        <v>190</v>
      </c>
      <c r="Y7931" s="2">
        <v>7650</v>
      </c>
      <c r="Z7931" s="19" t="str">
        <f>HYPERLINK("https://ssdweb.co/ssdweb/hd/Vision360.html?d=927152562&amp;zoomslide=1&amp;z=1927152562&amp;ISCONFIRM=0","VIDEO")</f>
        <v>VIDEO</v>
      </c>
      <c r="AA7931" s="19" t="str">
        <f>HYPERLINK("https://ssdweb.co/ssdweb/CERTH/669458286.pdf","CERTI")</f>
        <v>CERTI</v>
      </c>
    </row>
    <row r="7932" spans="1:27" ht="15" x14ac:dyDescent="0.25">
      <c r="A7932" s="2">
        <v>7927</v>
      </c>
      <c r="B7932" s="39">
        <v>926841153</v>
      </c>
      <c r="C7932" s="28" t="str">
        <f>HYPERLINK("https://pld.live/RapDetail.aspx?STONELIST=926841153","DNA")</f>
        <v>DNA</v>
      </c>
      <c r="D7932" s="18" t="s">
        <v>3054</v>
      </c>
      <c r="E7932" s="18" t="s">
        <v>2186</v>
      </c>
      <c r="F7932" s="2" t="s">
        <v>7987</v>
      </c>
      <c r="G7932" s="2" t="s">
        <v>4029</v>
      </c>
      <c r="H7932" s="14">
        <v>1.02</v>
      </c>
      <c r="I7932" s="2" t="s">
        <v>4761</v>
      </c>
      <c r="J7932" s="2" t="s">
        <v>3942</v>
      </c>
      <c r="K7932" s="2" t="s">
        <v>1452</v>
      </c>
      <c r="L7932" s="2" t="s">
        <v>5221</v>
      </c>
      <c r="M7932" s="2" t="s">
        <v>5221</v>
      </c>
      <c r="N7932" s="2" t="s">
        <v>2317</v>
      </c>
      <c r="O7932" s="14">
        <v>6900</v>
      </c>
      <c r="P7932" s="14">
        <v>98.45</v>
      </c>
      <c r="Q7932" s="14">
        <v>106.95</v>
      </c>
      <c r="R7932" s="14">
        <v>109.09</v>
      </c>
      <c r="S7932" s="2" t="s">
        <v>1860</v>
      </c>
      <c r="T7932" s="2">
        <v>1.33</v>
      </c>
      <c r="U7932" s="2">
        <v>66.8</v>
      </c>
      <c r="V7932" s="2">
        <v>64</v>
      </c>
      <c r="W7932" s="2" t="s">
        <v>7862</v>
      </c>
      <c r="X7932" s="2" t="s">
        <v>190</v>
      </c>
      <c r="Y7932" s="2">
        <v>7038</v>
      </c>
      <c r="Z7932" s="19" t="str">
        <f>HYPERLINK("https://ssdweb.co/ssdweb/hd/Vision360.html?d=926841153&amp;zoomslide=1&amp;z=1926841153&amp;ISCONFIRM=0","VIDEO")</f>
        <v>VIDEO</v>
      </c>
      <c r="AA7932" s="19" t="str">
        <f>HYPERLINK("https://ssdweb.co/ssdweb/CERTH/655451836.pdf","CERTI")</f>
        <v>CERTI</v>
      </c>
    </row>
    <row r="7933" spans="1:27" ht="15" x14ac:dyDescent="0.25">
      <c r="A7933" s="2">
        <v>7928</v>
      </c>
      <c r="B7933" s="39">
        <v>926841063</v>
      </c>
      <c r="C7933" s="28" t="str">
        <f>HYPERLINK("https://pld.live/RapDetail.aspx?STONELIST=926841063","DNA")</f>
        <v>DNA</v>
      </c>
      <c r="D7933" s="18" t="s">
        <v>3054</v>
      </c>
      <c r="E7933" s="18" t="s">
        <v>2186</v>
      </c>
      <c r="F7933" s="2" t="s">
        <v>7987</v>
      </c>
      <c r="G7933" s="2" t="s">
        <v>4029</v>
      </c>
      <c r="H7933" s="14">
        <v>1.02</v>
      </c>
      <c r="I7933" s="2" t="s">
        <v>4761</v>
      </c>
      <c r="J7933" s="2" t="s">
        <v>3942</v>
      </c>
      <c r="K7933" s="2" t="s">
        <v>1452</v>
      </c>
      <c r="L7933" s="2" t="s">
        <v>5221</v>
      </c>
      <c r="M7933" s="2" t="s">
        <v>5221</v>
      </c>
      <c r="N7933" s="2" t="s">
        <v>2317</v>
      </c>
      <c r="O7933" s="14">
        <v>6900</v>
      </c>
      <c r="P7933" s="14">
        <v>98.45</v>
      </c>
      <c r="Q7933" s="14">
        <v>106.95</v>
      </c>
      <c r="R7933" s="14">
        <v>109.09</v>
      </c>
      <c r="S7933" s="2" t="s">
        <v>6259</v>
      </c>
      <c r="T7933" s="2">
        <v>1.28</v>
      </c>
      <c r="U7933" s="2">
        <v>67.3</v>
      </c>
      <c r="V7933" s="2">
        <v>65</v>
      </c>
      <c r="W7933" s="2" t="s">
        <v>7862</v>
      </c>
      <c r="X7933" s="2" t="s">
        <v>190</v>
      </c>
      <c r="Y7933" s="2">
        <v>7038</v>
      </c>
      <c r="Z7933" s="19" t="str">
        <f>HYPERLINK("https://ssdweb.co/ssdweb/hd/Vision360.html?d=926841063&amp;zoomslide=1&amp;z=1926841063&amp;ISCONFIRM=0","VIDEO")</f>
        <v>VIDEO</v>
      </c>
      <c r="AA7933" s="19" t="str">
        <f>HYPERLINK("https://ssdweb.co/ssdweb/CERTH/655451729.pdf","CERTI")</f>
        <v>CERTI</v>
      </c>
    </row>
    <row r="7934" spans="1:27" ht="15" x14ac:dyDescent="0.25">
      <c r="A7934" s="2">
        <v>7929</v>
      </c>
      <c r="B7934" s="39">
        <v>926840614</v>
      </c>
      <c r="C7934" s="28" t="str">
        <f>HYPERLINK("https://pld.live/RapDetail.aspx?STONELIST=926840614","DNA")</f>
        <v>DNA</v>
      </c>
      <c r="D7934" s="18" t="s">
        <v>3054</v>
      </c>
      <c r="E7934" s="18" t="s">
        <v>2186</v>
      </c>
      <c r="F7934" s="2" t="s">
        <v>7987</v>
      </c>
      <c r="G7934" s="2" t="s">
        <v>4029</v>
      </c>
      <c r="H7934" s="14">
        <v>1.02</v>
      </c>
      <c r="I7934" s="2" t="s">
        <v>4761</v>
      </c>
      <c r="J7934" s="2" t="s">
        <v>3942</v>
      </c>
      <c r="K7934" s="2" t="s">
        <v>1452</v>
      </c>
      <c r="L7934" s="2" t="s">
        <v>5221</v>
      </c>
      <c r="M7934" s="2" t="s">
        <v>5221</v>
      </c>
      <c r="N7934" s="2" t="s">
        <v>2317</v>
      </c>
      <c r="O7934" s="14">
        <v>6900</v>
      </c>
      <c r="P7934" s="14">
        <v>98.45</v>
      </c>
      <c r="Q7934" s="14">
        <v>106.95</v>
      </c>
      <c r="R7934" s="14">
        <v>109.09</v>
      </c>
      <c r="S7934" s="2" t="s">
        <v>7253</v>
      </c>
      <c r="T7934" s="2">
        <v>1.32</v>
      </c>
      <c r="U7934" s="2">
        <v>66.900000000000006</v>
      </c>
      <c r="V7934" s="2">
        <v>66</v>
      </c>
      <c r="W7934" s="2" t="s">
        <v>7862</v>
      </c>
      <c r="X7934" s="2" t="s">
        <v>190</v>
      </c>
      <c r="Y7934" s="2">
        <v>7038</v>
      </c>
      <c r="Z7934" s="19" t="str">
        <f>HYPERLINK("https://ssdweb.co/ssdweb/hd/Vision360.html?d=926840614&amp;zoomslide=1&amp;z=1926840614&amp;ISCONFIRM=0","VIDEO")</f>
        <v>VIDEO</v>
      </c>
      <c r="AA7934" s="19" t="str">
        <f>HYPERLINK("https://ssdweb.co/ssdweb/CERTH/654432316.pdf","CERTI")</f>
        <v>CERTI</v>
      </c>
    </row>
    <row r="7935" spans="1:27" ht="15" x14ac:dyDescent="0.25">
      <c r="A7935" s="2">
        <v>7930</v>
      </c>
      <c r="B7935" s="39">
        <v>926830884</v>
      </c>
      <c r="C7935" s="28" t="str">
        <f>HYPERLINK("https://pld.live/RapDetail.aspx?STONELIST=926830884","DNA")</f>
        <v>DNA</v>
      </c>
      <c r="D7935" s="18" t="s">
        <v>3054</v>
      </c>
      <c r="E7935" s="18" t="s">
        <v>5128</v>
      </c>
      <c r="F7935" s="2" t="s">
        <v>7987</v>
      </c>
      <c r="G7935" s="2" t="s">
        <v>4029</v>
      </c>
      <c r="H7935" s="14">
        <v>1.02</v>
      </c>
      <c r="I7935" s="2" t="s">
        <v>4761</v>
      </c>
      <c r="J7935" s="2" t="s">
        <v>3942</v>
      </c>
      <c r="K7935" s="2" t="s">
        <v>1452</v>
      </c>
      <c r="L7935" s="2" t="s">
        <v>5221</v>
      </c>
      <c r="M7935" s="2" t="s">
        <v>5221</v>
      </c>
      <c r="N7935" s="2" t="s">
        <v>2317</v>
      </c>
      <c r="O7935" s="14">
        <v>6900</v>
      </c>
      <c r="P7935" s="14">
        <v>98.45</v>
      </c>
      <c r="Q7935" s="14">
        <v>106.95</v>
      </c>
      <c r="R7935" s="14">
        <v>109.09</v>
      </c>
      <c r="S7935" s="2" t="s">
        <v>6015</v>
      </c>
      <c r="T7935" s="2">
        <v>1.35</v>
      </c>
      <c r="U7935" s="2">
        <v>65.900000000000006</v>
      </c>
      <c r="V7935" s="2">
        <v>65</v>
      </c>
      <c r="W7935" s="2" t="s">
        <v>7862</v>
      </c>
      <c r="X7935" s="2" t="s">
        <v>190</v>
      </c>
      <c r="Y7935" s="2">
        <v>7038</v>
      </c>
      <c r="Z7935" s="19" t="str">
        <f>HYPERLINK("https://ssdweb.co/ssdweb/hd/Vision360.html?d=926830884&amp;zoomslide=1&amp;z=1926830884&amp;ISCONFIRM=0","VIDEO")</f>
        <v>VIDEO</v>
      </c>
      <c r="AA7935" s="19" t="str">
        <f>HYPERLINK("https://ssdweb.co/ssdweb/CERTH/653427310.pdf","CERTI")</f>
        <v>CERTI</v>
      </c>
    </row>
    <row r="7936" spans="1:27" ht="15" x14ac:dyDescent="0.25">
      <c r="A7936" s="2">
        <v>7931</v>
      </c>
      <c r="B7936" s="39">
        <v>926921383</v>
      </c>
      <c r="C7936" s="28" t="str">
        <f>HYPERLINK("https://pld.live/RapDetail.aspx?STONELIST=926921383","DNA")</f>
        <v>DNA</v>
      </c>
      <c r="D7936" s="18" t="s">
        <v>3054</v>
      </c>
      <c r="E7936" s="18" t="s">
        <v>2186</v>
      </c>
      <c r="F7936" s="2" t="s">
        <v>7987</v>
      </c>
      <c r="G7936" s="2" t="s">
        <v>4029</v>
      </c>
      <c r="H7936" s="14">
        <v>1.02</v>
      </c>
      <c r="I7936" s="2" t="s">
        <v>4761</v>
      </c>
      <c r="J7936" s="2" t="s">
        <v>3942</v>
      </c>
      <c r="K7936" s="2" t="s">
        <v>1452</v>
      </c>
      <c r="L7936" s="2" t="s">
        <v>5221</v>
      </c>
      <c r="M7936" s="2" t="s">
        <v>5221</v>
      </c>
      <c r="N7936" s="2" t="s">
        <v>2317</v>
      </c>
      <c r="O7936" s="14">
        <v>6900</v>
      </c>
      <c r="P7936" s="14">
        <v>98.45</v>
      </c>
      <c r="Q7936" s="14">
        <v>106.95</v>
      </c>
      <c r="R7936" s="14">
        <v>109.09</v>
      </c>
      <c r="S7936" s="2" t="s">
        <v>1923</v>
      </c>
      <c r="T7936" s="2">
        <v>1.34</v>
      </c>
      <c r="U7936" s="2">
        <v>66.7</v>
      </c>
      <c r="V7936" s="2">
        <v>65</v>
      </c>
      <c r="W7936" s="2" t="s">
        <v>7862</v>
      </c>
      <c r="X7936" s="2" t="s">
        <v>190</v>
      </c>
      <c r="Y7936" s="2">
        <v>7038</v>
      </c>
      <c r="Z7936" s="19" t="str">
        <f>HYPERLINK("https://ssdweb.co/ssdweb/hd/Vision360.html?d=926921383&amp;zoomslide=1&amp;z=1926921383&amp;ISCONFIRM=0","VIDEO")</f>
        <v>VIDEO</v>
      </c>
      <c r="AA7936" s="19" t="str">
        <f>HYPERLINK("https://ssdweb.co/ssdweb/CERTH/659437003.pdf","CERTI")</f>
        <v>CERTI</v>
      </c>
    </row>
    <row r="7937" spans="1:27" ht="15" x14ac:dyDescent="0.25">
      <c r="A7937" s="2">
        <v>7932</v>
      </c>
      <c r="B7937" s="39">
        <v>926921384</v>
      </c>
      <c r="C7937" s="28" t="str">
        <f>HYPERLINK("https://pld.live/RapDetail.aspx?STONELIST=926921384","DNA")</f>
        <v>DNA</v>
      </c>
      <c r="D7937" s="18" t="s">
        <v>3054</v>
      </c>
      <c r="E7937" s="18" t="s">
        <v>2186</v>
      </c>
      <c r="F7937" s="2" t="s">
        <v>7987</v>
      </c>
      <c r="G7937" s="2" t="s">
        <v>4029</v>
      </c>
      <c r="H7937" s="14">
        <v>1.02</v>
      </c>
      <c r="I7937" s="2" t="s">
        <v>4761</v>
      </c>
      <c r="J7937" s="2" t="s">
        <v>3942</v>
      </c>
      <c r="K7937" s="2" t="s">
        <v>1452</v>
      </c>
      <c r="L7937" s="2" t="s">
        <v>5221</v>
      </c>
      <c r="M7937" s="2" t="s">
        <v>5221</v>
      </c>
      <c r="N7937" s="2" t="s">
        <v>2317</v>
      </c>
      <c r="O7937" s="14">
        <v>6900</v>
      </c>
      <c r="P7937" s="14">
        <v>98.45</v>
      </c>
      <c r="Q7937" s="14">
        <v>106.95</v>
      </c>
      <c r="R7937" s="14">
        <v>109.09</v>
      </c>
      <c r="S7937" s="2" t="s">
        <v>42</v>
      </c>
      <c r="T7937" s="2">
        <v>1.3</v>
      </c>
      <c r="U7937" s="2">
        <v>65.099999999999994</v>
      </c>
      <c r="V7937" s="2">
        <v>66</v>
      </c>
      <c r="W7937" s="2" t="s">
        <v>7862</v>
      </c>
      <c r="X7937" s="2" t="s">
        <v>190</v>
      </c>
      <c r="Y7937" s="2">
        <v>7038</v>
      </c>
      <c r="Z7937" s="19" t="str">
        <f>HYPERLINK("https://ssdweb.co/ssdweb/hd/Vision360.html?d=926921384&amp;zoomslide=1&amp;z=1926921384&amp;ISCONFIRM=0","VIDEO")</f>
        <v>VIDEO</v>
      </c>
      <c r="AA7937" s="19" t="str">
        <f>HYPERLINK("https://ssdweb.co/ssdweb/CERTH/659436973.pdf","CERTI")</f>
        <v>CERTI</v>
      </c>
    </row>
    <row r="7938" spans="1:27" ht="15" x14ac:dyDescent="0.25">
      <c r="A7938" s="2">
        <v>7933</v>
      </c>
      <c r="B7938" s="39">
        <v>926790347</v>
      </c>
      <c r="C7938" s="28" t="str">
        <f>HYPERLINK("https://pld.live/RapDetail.aspx?STONELIST=926790347","DNA")</f>
        <v>DNA</v>
      </c>
      <c r="D7938" s="18" t="s">
        <v>3054</v>
      </c>
      <c r="E7938" s="18" t="s">
        <v>2186</v>
      </c>
      <c r="F7938" s="2" t="s">
        <v>7987</v>
      </c>
      <c r="G7938" s="2" t="s">
        <v>4029</v>
      </c>
      <c r="H7938" s="14">
        <v>1.02</v>
      </c>
      <c r="I7938" s="2" t="s">
        <v>4761</v>
      </c>
      <c r="J7938" s="2" t="s">
        <v>3942</v>
      </c>
      <c r="K7938" s="2" t="s">
        <v>1452</v>
      </c>
      <c r="L7938" s="2" t="s">
        <v>5221</v>
      </c>
      <c r="M7938" s="2" t="s">
        <v>5221</v>
      </c>
      <c r="N7938" s="2" t="s">
        <v>2317</v>
      </c>
      <c r="O7938" s="14">
        <v>6900</v>
      </c>
      <c r="P7938" s="14">
        <v>98.45</v>
      </c>
      <c r="Q7938" s="14">
        <v>106.95</v>
      </c>
      <c r="R7938" s="14">
        <v>109.09</v>
      </c>
      <c r="S7938" s="2" t="s">
        <v>2350</v>
      </c>
      <c r="T7938" s="2">
        <v>1.28</v>
      </c>
      <c r="U7938" s="2">
        <v>67.900000000000006</v>
      </c>
      <c r="V7938" s="2">
        <v>63</v>
      </c>
      <c r="W7938" s="2" t="s">
        <v>7862</v>
      </c>
      <c r="X7938" s="2" t="s">
        <v>190</v>
      </c>
      <c r="Y7938" s="2">
        <v>7038</v>
      </c>
      <c r="Z7938" s="19" t="str">
        <f>HYPERLINK("https://ssdweb.co/ssdweb/hd/Vision360.html?d=926790347&amp;zoomslide=1&amp;z=1926790347&amp;ISCONFIRM=0","VIDEO")</f>
        <v>VIDEO</v>
      </c>
      <c r="AA7938" s="19" t="str">
        <f>HYPERLINK("https://ssdweb.co/ssdweb/CERTH/652442307.pdf","CERTI")</f>
        <v>CERTI</v>
      </c>
    </row>
    <row r="7939" spans="1:27" ht="15" x14ac:dyDescent="0.25">
      <c r="A7939" s="2">
        <v>7934</v>
      </c>
      <c r="B7939" s="39">
        <v>926250085</v>
      </c>
      <c r="C7939" s="28" t="str">
        <f>HYPERLINK("https://pld.live/RapDetail.aspx?STONELIST=926250085","DNA")</f>
        <v>DNA</v>
      </c>
      <c r="D7939" s="18" t="s">
        <v>3054</v>
      </c>
      <c r="E7939" s="18" t="s">
        <v>5128</v>
      </c>
      <c r="F7939" s="2" t="s">
        <v>7987</v>
      </c>
      <c r="G7939" s="2" t="s">
        <v>4029</v>
      </c>
      <c r="H7939" s="14">
        <v>1.02</v>
      </c>
      <c r="I7939" s="2" t="s">
        <v>4761</v>
      </c>
      <c r="J7939" s="2" t="s">
        <v>3942</v>
      </c>
      <c r="K7939" s="2" t="s">
        <v>1452</v>
      </c>
      <c r="L7939" s="2" t="s">
        <v>5221</v>
      </c>
      <c r="M7939" s="2" t="s">
        <v>5221</v>
      </c>
      <c r="N7939" s="2" t="s">
        <v>2317</v>
      </c>
      <c r="O7939" s="14">
        <v>6900</v>
      </c>
      <c r="P7939" s="14">
        <v>98.45</v>
      </c>
      <c r="Q7939" s="14">
        <v>106.95</v>
      </c>
      <c r="R7939" s="14">
        <v>109.09</v>
      </c>
      <c r="S7939" s="2" t="s">
        <v>1439</v>
      </c>
      <c r="T7939" s="2">
        <v>1.35</v>
      </c>
      <c r="U7939" s="2">
        <v>63.6</v>
      </c>
      <c r="V7939" s="2">
        <v>61</v>
      </c>
      <c r="W7939" s="2" t="s">
        <v>7862</v>
      </c>
      <c r="X7939" s="2" t="s">
        <v>190</v>
      </c>
      <c r="Y7939" s="2">
        <v>7038</v>
      </c>
      <c r="Z7939" s="19" t="str">
        <f>HYPERLINK("https://ssdweb.co/ssdweb/hd/Vision360.html?d=926250085&amp;zoomslide=1&amp;z=1926250085&amp;ISCONFIRM=0","VIDEO")</f>
        <v>VIDEO</v>
      </c>
      <c r="AA7939" s="19" t="str">
        <f>HYPERLINK("https://ssdweb.co/ssdweb/CERTH/635426950.pdf","CERTI")</f>
        <v>CERTI</v>
      </c>
    </row>
    <row r="7940" spans="1:27" ht="15" x14ac:dyDescent="0.25">
      <c r="A7940" s="2">
        <v>7935</v>
      </c>
      <c r="B7940" s="39">
        <v>926900970</v>
      </c>
      <c r="C7940" s="28" t="str">
        <f>HYPERLINK("https://pld.live/RapDetail.aspx?STONELIST=926900970","DNA")</f>
        <v>DNA</v>
      </c>
      <c r="D7940" s="18" t="s">
        <v>3054</v>
      </c>
      <c r="E7940" s="18" t="s">
        <v>5128</v>
      </c>
      <c r="F7940" s="2" t="s">
        <v>7987</v>
      </c>
      <c r="G7940" s="2" t="s">
        <v>4029</v>
      </c>
      <c r="H7940" s="14">
        <v>1.02</v>
      </c>
      <c r="I7940" s="2" t="s">
        <v>4761</v>
      </c>
      <c r="J7940" s="2" t="s">
        <v>3942</v>
      </c>
      <c r="K7940" s="2" t="s">
        <v>1452</v>
      </c>
      <c r="L7940" s="2" t="s">
        <v>5221</v>
      </c>
      <c r="M7940" s="2" t="s">
        <v>5221</v>
      </c>
      <c r="N7940" s="2" t="s">
        <v>2317</v>
      </c>
      <c r="O7940" s="14">
        <v>6900</v>
      </c>
      <c r="P7940" s="14">
        <v>98.45</v>
      </c>
      <c r="Q7940" s="14">
        <v>106.95</v>
      </c>
      <c r="R7940" s="14">
        <v>109.09</v>
      </c>
      <c r="S7940" s="2" t="s">
        <v>5736</v>
      </c>
      <c r="T7940" s="2">
        <v>1.36</v>
      </c>
      <c r="U7940" s="2">
        <v>65.3</v>
      </c>
      <c r="V7940" s="2">
        <v>65</v>
      </c>
      <c r="W7940" s="2" t="s">
        <v>7862</v>
      </c>
      <c r="X7940" s="2" t="s">
        <v>190</v>
      </c>
      <c r="Y7940" s="2">
        <v>7038</v>
      </c>
      <c r="Z7940" s="19" t="str">
        <f>HYPERLINK("https://ssdweb.co/ssdweb/hd/Vision360.html?d=926900970&amp;zoomslide=1&amp;z=1926900970&amp;ISCONFIRM=0","VIDEO")</f>
        <v>VIDEO</v>
      </c>
      <c r="AA7940" s="19" t="str">
        <f>HYPERLINK("https://ssdweb.co/ssdweb/CERTH/656479449.pdf","CERTI")</f>
        <v>CERTI</v>
      </c>
    </row>
    <row r="7941" spans="1:27" ht="15" x14ac:dyDescent="0.25">
      <c r="A7941" s="2">
        <v>7936</v>
      </c>
      <c r="B7941" s="39">
        <v>926270787</v>
      </c>
      <c r="C7941" s="28" t="str">
        <f>HYPERLINK("https://pld.live/RapDetail.aspx?STONELIST=926270787","DNA")</f>
        <v>DNA</v>
      </c>
      <c r="D7941" s="18" t="s">
        <v>3054</v>
      </c>
      <c r="E7941" s="18" t="s">
        <v>5128</v>
      </c>
      <c r="F7941" s="2" t="s">
        <v>7987</v>
      </c>
      <c r="G7941" s="2" t="s">
        <v>4029</v>
      </c>
      <c r="H7941" s="14">
        <v>1.02</v>
      </c>
      <c r="I7941" s="2" t="s">
        <v>4761</v>
      </c>
      <c r="J7941" s="2" t="s">
        <v>3942</v>
      </c>
      <c r="K7941" s="2" t="s">
        <v>1452</v>
      </c>
      <c r="L7941" s="2" t="s">
        <v>5221</v>
      </c>
      <c r="M7941" s="2" t="s">
        <v>5221</v>
      </c>
      <c r="N7941" s="2" t="s">
        <v>2317</v>
      </c>
      <c r="O7941" s="14">
        <v>6900</v>
      </c>
      <c r="P7941" s="14">
        <v>98.45</v>
      </c>
      <c r="Q7941" s="14">
        <v>106.95</v>
      </c>
      <c r="R7941" s="14">
        <v>109.09</v>
      </c>
      <c r="S7941" s="2" t="s">
        <v>1071</v>
      </c>
      <c r="T7941" s="2">
        <v>1.35</v>
      </c>
      <c r="U7941" s="2">
        <v>69.2</v>
      </c>
      <c r="V7941" s="2">
        <v>68</v>
      </c>
      <c r="W7941" s="2" t="s">
        <v>7862</v>
      </c>
      <c r="X7941" s="2" t="s">
        <v>190</v>
      </c>
      <c r="Y7941" s="2">
        <v>7038</v>
      </c>
      <c r="Z7941" s="19" t="str">
        <f>HYPERLINK("https://ssdweb.co/ssdweb/hd/Vision360.html?d=926270787&amp;zoomslide=1&amp;z=1926270787&amp;ISCONFIRM=0","VIDEO")</f>
        <v>VIDEO</v>
      </c>
      <c r="AA7941" s="19" t="str">
        <f>HYPERLINK("https://ssdweb.co/ssdweb/CERTH/638463384.pdf","CERTI")</f>
        <v>CERTI</v>
      </c>
    </row>
    <row r="7942" spans="1:27" ht="15" x14ac:dyDescent="0.25">
      <c r="A7942" s="2">
        <v>7937</v>
      </c>
      <c r="B7942" s="39">
        <v>926901049</v>
      </c>
      <c r="C7942" s="28" t="str">
        <f>HYPERLINK("https://pld.live/RapDetail.aspx?STONELIST=926901049","DNA")</f>
        <v>DNA</v>
      </c>
      <c r="D7942" s="18" t="s">
        <v>3054</v>
      </c>
      <c r="E7942" s="18" t="s">
        <v>5128</v>
      </c>
      <c r="F7942" s="2" t="s">
        <v>7987</v>
      </c>
      <c r="G7942" s="2" t="s">
        <v>4029</v>
      </c>
      <c r="H7942" s="14">
        <v>1.02</v>
      </c>
      <c r="I7942" s="2" t="s">
        <v>4761</v>
      </c>
      <c r="J7942" s="2" t="s">
        <v>3942</v>
      </c>
      <c r="K7942" s="2" t="s">
        <v>1452</v>
      </c>
      <c r="L7942" s="2" t="s">
        <v>5221</v>
      </c>
      <c r="M7942" s="2" t="s">
        <v>5221</v>
      </c>
      <c r="N7942" s="2" t="s">
        <v>2317</v>
      </c>
      <c r="O7942" s="14">
        <v>6900</v>
      </c>
      <c r="P7942" s="14">
        <v>98.45</v>
      </c>
      <c r="Q7942" s="14">
        <v>106.95</v>
      </c>
      <c r="R7942" s="14">
        <v>109.09</v>
      </c>
      <c r="S7942" s="2" t="s">
        <v>562</v>
      </c>
      <c r="T7942" s="2">
        <v>1.33</v>
      </c>
      <c r="U7942" s="2">
        <v>67.3</v>
      </c>
      <c r="V7942" s="2">
        <v>64</v>
      </c>
      <c r="W7942" s="2" t="s">
        <v>7862</v>
      </c>
      <c r="X7942" s="2" t="s">
        <v>190</v>
      </c>
      <c r="Y7942" s="2">
        <v>7038</v>
      </c>
      <c r="Z7942" s="19" t="str">
        <f>HYPERLINK("https://ssdweb.co/ssdweb/hd/Vision360.html?d=926901049&amp;zoomslide=1&amp;z=1926901049&amp;ISCONFIRM=0","VIDEO")</f>
        <v>VIDEO</v>
      </c>
      <c r="AA7942" s="19" t="str">
        <f>HYPERLINK("https://ssdweb.co/ssdweb/CERTH/659414318.pdf","CERTI")</f>
        <v>CERTI</v>
      </c>
    </row>
    <row r="7943" spans="1:27" ht="15" x14ac:dyDescent="0.25">
      <c r="A7943" s="2">
        <v>7938</v>
      </c>
      <c r="B7943" s="39">
        <v>927150373</v>
      </c>
      <c r="C7943" s="28" t="str">
        <f>HYPERLINK("https://pld.live/RapDetail.aspx?STONELIST=927150373","DNA")</f>
        <v>DNA</v>
      </c>
      <c r="D7943" s="18" t="s">
        <v>3054</v>
      </c>
      <c r="E7943" s="18" t="s">
        <v>5128</v>
      </c>
      <c r="F7943" s="2" t="s">
        <v>7987</v>
      </c>
      <c r="G7943" s="2" t="s">
        <v>4029</v>
      </c>
      <c r="H7943" s="14">
        <v>1.02</v>
      </c>
      <c r="I7943" s="2" t="s">
        <v>4761</v>
      </c>
      <c r="J7943" s="2" t="s">
        <v>3942</v>
      </c>
      <c r="K7943" s="2" t="s">
        <v>1452</v>
      </c>
      <c r="L7943" s="2" t="s">
        <v>5221</v>
      </c>
      <c r="M7943" s="2" t="s">
        <v>5221</v>
      </c>
      <c r="N7943" s="2" t="s">
        <v>2317</v>
      </c>
      <c r="O7943" s="14">
        <v>6900</v>
      </c>
      <c r="P7943" s="14">
        <v>98.42</v>
      </c>
      <c r="Q7943" s="14">
        <v>109.02</v>
      </c>
      <c r="R7943" s="14">
        <v>111.2</v>
      </c>
      <c r="S7943" s="2" t="s">
        <v>4102</v>
      </c>
      <c r="T7943" s="2">
        <v>1.34</v>
      </c>
      <c r="U7943" s="2">
        <v>67.8</v>
      </c>
      <c r="V7943" s="2">
        <v>65</v>
      </c>
      <c r="W7943" s="2" t="s">
        <v>7862</v>
      </c>
      <c r="X7943" s="2" t="s">
        <v>190</v>
      </c>
      <c r="Y7943" s="2">
        <v>7038</v>
      </c>
      <c r="Z7943" s="19" t="str">
        <f>HYPERLINK("https://ssdweb.co/ssdweb/hd/Vision360.html?d=927150373&amp;zoomslide=1&amp;z=1927150373&amp;ISCONFIRM=0","VIDEO")</f>
        <v>VIDEO</v>
      </c>
      <c r="AA7943" s="19" t="str">
        <f>HYPERLINK("https://ssdweb.co/ssdweb/CERTH/667433068.pdf","CERTI")</f>
        <v>CERTI</v>
      </c>
    </row>
    <row r="7944" spans="1:27" ht="15" x14ac:dyDescent="0.25">
      <c r="A7944" s="2">
        <v>7939</v>
      </c>
      <c r="B7944" s="39">
        <v>941040129</v>
      </c>
      <c r="C7944" s="28" t="str">
        <f>HYPERLINK("https://pld.live/RapDetail.aspx?STONELIST=941040129","DNA")</f>
        <v>DNA</v>
      </c>
      <c r="D7944" s="18" t="s">
        <v>3054</v>
      </c>
      <c r="E7944" s="18" t="s">
        <v>5128</v>
      </c>
      <c r="F7944" s="2" t="s">
        <v>7987</v>
      </c>
      <c r="G7944" s="2" t="s">
        <v>4029</v>
      </c>
      <c r="H7944" s="14">
        <v>1.02</v>
      </c>
      <c r="I7944" s="2" t="s">
        <v>4761</v>
      </c>
      <c r="J7944" s="2" t="s">
        <v>3942</v>
      </c>
      <c r="K7944" s="2" t="s">
        <v>1452</v>
      </c>
      <c r="L7944" s="2" t="s">
        <v>5221</v>
      </c>
      <c r="M7944" s="2" t="s">
        <v>5221</v>
      </c>
      <c r="N7944" s="2" t="s">
        <v>2317</v>
      </c>
      <c r="O7944" s="14">
        <v>6900</v>
      </c>
      <c r="P7944" s="14">
        <v>98.42</v>
      </c>
      <c r="Q7944" s="14">
        <v>109.02</v>
      </c>
      <c r="R7944" s="14">
        <v>111.2</v>
      </c>
      <c r="S7944" s="2" t="s">
        <v>6259</v>
      </c>
      <c r="T7944" s="2">
        <v>1.28</v>
      </c>
      <c r="U7944" s="2">
        <v>67.3</v>
      </c>
      <c r="V7944" s="2">
        <v>67</v>
      </c>
      <c r="W7944" s="2" t="s">
        <v>7862</v>
      </c>
      <c r="X7944" s="2" t="s">
        <v>190</v>
      </c>
      <c r="Y7944" s="2">
        <v>7038</v>
      </c>
      <c r="Z7944" s="19" t="str">
        <f>HYPERLINK("https://ssdweb.co/ssdweb/hd/Vision360.html?d=941040129&amp;zoomslide=1&amp;z=1941040129&amp;ISCONFIRM=0","VIDEO")</f>
        <v>VIDEO</v>
      </c>
      <c r="AA7944" s="19" t="str">
        <f>HYPERLINK("https://ssdweb.co/ssdweb/CERTH/668477343.pdf","CERTI")</f>
        <v>CERTI</v>
      </c>
    </row>
    <row r="7945" spans="1:27" ht="15" x14ac:dyDescent="0.25">
      <c r="A7945" s="2">
        <v>7940</v>
      </c>
      <c r="B7945" s="39">
        <v>927151164</v>
      </c>
      <c r="C7945" s="28" t="str">
        <f>HYPERLINK("https://pld.live/RapDetail.aspx?STONELIST=927151164","DNA")</f>
        <v>DNA</v>
      </c>
      <c r="D7945" s="18" t="s">
        <v>3054</v>
      </c>
      <c r="E7945" s="18" t="s">
        <v>5128</v>
      </c>
      <c r="F7945" s="2" t="s">
        <v>7987</v>
      </c>
      <c r="G7945" s="2" t="s">
        <v>4029</v>
      </c>
      <c r="H7945" s="14">
        <v>1.02</v>
      </c>
      <c r="I7945" s="2" t="s">
        <v>4761</v>
      </c>
      <c r="J7945" s="2" t="s">
        <v>3942</v>
      </c>
      <c r="K7945" s="2" t="s">
        <v>1452</v>
      </c>
      <c r="L7945" s="2" t="s">
        <v>5221</v>
      </c>
      <c r="M7945" s="2" t="s">
        <v>5221</v>
      </c>
      <c r="N7945" s="2" t="s">
        <v>2317</v>
      </c>
      <c r="O7945" s="14">
        <v>6900</v>
      </c>
      <c r="P7945" s="14">
        <v>98.42</v>
      </c>
      <c r="Q7945" s="14">
        <v>109.02</v>
      </c>
      <c r="R7945" s="14">
        <v>111.2</v>
      </c>
      <c r="S7945" s="2" t="s">
        <v>3371</v>
      </c>
      <c r="T7945" s="2">
        <v>1.3</v>
      </c>
      <c r="U7945" s="2">
        <v>67</v>
      </c>
      <c r="V7945" s="2">
        <v>67</v>
      </c>
      <c r="W7945" s="2" t="s">
        <v>7862</v>
      </c>
      <c r="X7945" s="2" t="s">
        <v>190</v>
      </c>
      <c r="Y7945" s="2">
        <v>7038</v>
      </c>
      <c r="Z7945" s="19" t="str">
        <f>HYPERLINK("https://ssdweb.co/ssdweb/hd/Vision360.html?d=927151164&amp;zoomslide=1&amp;z=1927151164&amp;ISCONFIRM=0","VIDEO")</f>
        <v>VIDEO</v>
      </c>
      <c r="AA7945" s="19" t="str">
        <f>HYPERLINK("https://ssdweb.co/ssdweb/CERTH/668446601.pdf","CERTI")</f>
        <v>CERTI</v>
      </c>
    </row>
    <row r="7946" spans="1:27" ht="15" x14ac:dyDescent="0.25">
      <c r="A7946" s="2">
        <v>7941</v>
      </c>
      <c r="B7946" s="39">
        <v>927130424</v>
      </c>
      <c r="C7946" s="28" t="str">
        <f>HYPERLINK("https://pld.live/RapDetail.aspx?STONELIST=927130424","DNA")</f>
        <v>DNA</v>
      </c>
      <c r="D7946" s="18" t="s">
        <v>3054</v>
      </c>
      <c r="E7946" s="18" t="s">
        <v>5128</v>
      </c>
      <c r="F7946" s="2" t="s">
        <v>7987</v>
      </c>
      <c r="G7946" s="2" t="s">
        <v>4029</v>
      </c>
      <c r="H7946" s="14">
        <v>1.02</v>
      </c>
      <c r="I7946" s="2" t="s">
        <v>4761</v>
      </c>
      <c r="J7946" s="2" t="s">
        <v>3942</v>
      </c>
      <c r="K7946" s="2" t="s">
        <v>1452</v>
      </c>
      <c r="L7946" s="2" t="s">
        <v>5221</v>
      </c>
      <c r="M7946" s="2" t="s">
        <v>5221</v>
      </c>
      <c r="N7946" s="2" t="s">
        <v>2317</v>
      </c>
      <c r="O7946" s="14">
        <v>6900</v>
      </c>
      <c r="P7946" s="14">
        <v>98.42</v>
      </c>
      <c r="Q7946" s="14">
        <v>109.02</v>
      </c>
      <c r="R7946" s="14">
        <v>111.2</v>
      </c>
      <c r="S7946" s="2" t="s">
        <v>1404</v>
      </c>
      <c r="T7946" s="2">
        <v>1.34</v>
      </c>
      <c r="U7946" s="2">
        <v>66.3</v>
      </c>
      <c r="V7946" s="2">
        <v>67</v>
      </c>
      <c r="W7946" s="2" t="s">
        <v>7862</v>
      </c>
      <c r="X7946" s="2" t="s">
        <v>190</v>
      </c>
      <c r="Y7946" s="2">
        <v>7038</v>
      </c>
      <c r="Z7946" s="19" t="str">
        <f>HYPERLINK("https://ssdweb.co/ssdweb/hd/Vision360.html?d=927130424&amp;zoomslide=1&amp;z=1927130424&amp;ISCONFIRM=0","VIDEO")</f>
        <v>VIDEO</v>
      </c>
      <c r="AA7946" s="19" t="str">
        <f>HYPERLINK("https://ssdweb.co/ssdweb/CERTH/662473909.pdf","CERTI")</f>
        <v>CERTI</v>
      </c>
    </row>
    <row r="7947" spans="1:27" ht="15" x14ac:dyDescent="0.25">
      <c r="A7947" s="2">
        <v>7942</v>
      </c>
      <c r="B7947" s="39">
        <v>927130427</v>
      </c>
      <c r="C7947" s="28" t="str">
        <f>HYPERLINK("https://pld.live/RapDetail.aspx?STONELIST=927130427","DNA")</f>
        <v>DNA</v>
      </c>
      <c r="D7947" s="18" t="s">
        <v>3054</v>
      </c>
      <c r="E7947" s="18" t="s">
        <v>5128</v>
      </c>
      <c r="F7947" s="2" t="s">
        <v>7987</v>
      </c>
      <c r="G7947" s="2" t="s">
        <v>4029</v>
      </c>
      <c r="H7947" s="14">
        <v>1.02</v>
      </c>
      <c r="I7947" s="2" t="s">
        <v>4761</v>
      </c>
      <c r="J7947" s="2" t="s">
        <v>3942</v>
      </c>
      <c r="K7947" s="2" t="s">
        <v>1452</v>
      </c>
      <c r="L7947" s="2" t="s">
        <v>5221</v>
      </c>
      <c r="M7947" s="2" t="s">
        <v>5221</v>
      </c>
      <c r="N7947" s="2" t="s">
        <v>2317</v>
      </c>
      <c r="O7947" s="14">
        <v>6900</v>
      </c>
      <c r="P7947" s="14">
        <v>98.42</v>
      </c>
      <c r="Q7947" s="14">
        <v>109.02</v>
      </c>
      <c r="R7947" s="14">
        <v>111.2</v>
      </c>
      <c r="S7947" s="2" t="s">
        <v>2144</v>
      </c>
      <c r="T7947" s="2">
        <v>1.36</v>
      </c>
      <c r="U7947" s="2">
        <v>64.2</v>
      </c>
      <c r="V7947" s="2">
        <v>67</v>
      </c>
      <c r="W7947" s="2" t="s">
        <v>7862</v>
      </c>
      <c r="X7947" s="2" t="s">
        <v>190</v>
      </c>
      <c r="Y7947" s="2">
        <v>7038</v>
      </c>
      <c r="Z7947" s="19" t="str">
        <f>HYPERLINK("https://ssdweb.co/ssdweb/hd/Vision360.html?d=927130427&amp;zoomslide=1&amp;z=1927130427&amp;ISCONFIRM=0","VIDEO")</f>
        <v>VIDEO</v>
      </c>
      <c r="AA7947" s="19" t="str">
        <f>HYPERLINK("https://ssdweb.co/ssdweb/CERTH/667433064.pdf","CERTI")</f>
        <v>CERTI</v>
      </c>
    </row>
    <row r="7948" spans="1:27" ht="15" x14ac:dyDescent="0.25">
      <c r="A7948" s="2">
        <v>7943</v>
      </c>
      <c r="B7948" s="39">
        <v>927151875</v>
      </c>
      <c r="C7948" s="28" t="str">
        <f>HYPERLINK("https://pld.live/RapDetail.aspx?STONELIST=927151875","DNA")</f>
        <v>DNA</v>
      </c>
      <c r="D7948" s="18" t="s">
        <v>3054</v>
      </c>
      <c r="E7948" s="18" t="s">
        <v>5128</v>
      </c>
      <c r="F7948" s="2" t="s">
        <v>7987</v>
      </c>
      <c r="G7948" s="2" t="s">
        <v>4029</v>
      </c>
      <c r="H7948" s="14">
        <v>1.02</v>
      </c>
      <c r="I7948" s="2" t="s">
        <v>4761</v>
      </c>
      <c r="J7948" s="2" t="s">
        <v>3942</v>
      </c>
      <c r="K7948" s="2" t="s">
        <v>1452</v>
      </c>
      <c r="L7948" s="2" t="s">
        <v>5221</v>
      </c>
      <c r="M7948" s="2" t="s">
        <v>5221</v>
      </c>
      <c r="N7948" s="2" t="s">
        <v>2317</v>
      </c>
      <c r="O7948" s="14">
        <v>6900</v>
      </c>
      <c r="P7948" s="14">
        <v>98.42</v>
      </c>
      <c r="Q7948" s="14">
        <v>109.02</v>
      </c>
      <c r="R7948" s="14">
        <v>111.2</v>
      </c>
      <c r="S7948" s="2" t="s">
        <v>2185</v>
      </c>
      <c r="T7948" s="2">
        <v>1.41</v>
      </c>
      <c r="U7948" s="2">
        <v>66.599999999999994</v>
      </c>
      <c r="V7948" s="2">
        <v>66</v>
      </c>
      <c r="W7948" s="2" t="s">
        <v>7862</v>
      </c>
      <c r="X7948" s="2" t="s">
        <v>190</v>
      </c>
      <c r="Y7948" s="2">
        <v>7038</v>
      </c>
      <c r="Z7948" s="19" t="str">
        <f>HYPERLINK("https://ssdweb.co/ssdweb/hd/Vision360.html?d=927151875&amp;zoomslide=1&amp;z=1927151875&amp;ISCONFIRM=0","VIDEO")</f>
        <v>VIDEO</v>
      </c>
      <c r="AA7948" s="19" t="str">
        <f>HYPERLINK("https://ssdweb.co/ssdweb/CERTH/668447815.pdf","CERTI")</f>
        <v>CERTI</v>
      </c>
    </row>
    <row r="7949" spans="1:27" ht="15" x14ac:dyDescent="0.25">
      <c r="A7949" s="2">
        <v>7944</v>
      </c>
      <c r="B7949" s="39">
        <v>927130716</v>
      </c>
      <c r="C7949" s="28" t="str">
        <f>HYPERLINK("https://pld.live/RapDetail.aspx?STONELIST=927130716","DNA")</f>
        <v>DNA</v>
      </c>
      <c r="D7949" s="18" t="s">
        <v>3054</v>
      </c>
      <c r="E7949" s="18" t="s">
        <v>5128</v>
      </c>
      <c r="F7949" s="2" t="s">
        <v>7987</v>
      </c>
      <c r="G7949" s="2" t="s">
        <v>4029</v>
      </c>
      <c r="H7949" s="14">
        <v>1.02</v>
      </c>
      <c r="I7949" s="2" t="s">
        <v>4761</v>
      </c>
      <c r="J7949" s="2" t="s">
        <v>3942</v>
      </c>
      <c r="K7949" s="2" t="s">
        <v>1452</v>
      </c>
      <c r="L7949" s="2" t="s">
        <v>5221</v>
      </c>
      <c r="M7949" s="2" t="s">
        <v>5221</v>
      </c>
      <c r="N7949" s="2" t="s">
        <v>2317</v>
      </c>
      <c r="O7949" s="14">
        <v>6900</v>
      </c>
      <c r="P7949" s="14">
        <v>98.42</v>
      </c>
      <c r="Q7949" s="14">
        <v>109.02</v>
      </c>
      <c r="R7949" s="14">
        <v>111.2</v>
      </c>
      <c r="S7949" s="2" t="s">
        <v>6945</v>
      </c>
      <c r="T7949" s="2">
        <v>1.3</v>
      </c>
      <c r="U7949" s="2">
        <v>64.599999999999994</v>
      </c>
      <c r="V7949" s="2">
        <v>62</v>
      </c>
      <c r="W7949" s="2" t="s">
        <v>7862</v>
      </c>
      <c r="X7949" s="2" t="s">
        <v>190</v>
      </c>
      <c r="Y7949" s="2">
        <v>7038</v>
      </c>
      <c r="Z7949" s="19" t="str">
        <f>HYPERLINK("https://ssdweb.co/ssdweb/hd/Vision360.html?d=927130716&amp;zoomslide=1&amp;z=1927130716&amp;ISCONFIRM=0","VIDEO")</f>
        <v>VIDEO</v>
      </c>
      <c r="AA7949" s="19" t="str">
        <f>HYPERLINK("https://ssdweb.co/ssdweb/CERTH/662473871.pdf","CERTI")</f>
        <v>CERTI</v>
      </c>
    </row>
    <row r="7950" spans="1:27" ht="15" x14ac:dyDescent="0.25">
      <c r="A7950" s="2">
        <v>7945</v>
      </c>
      <c r="B7950" s="39">
        <v>927052480</v>
      </c>
      <c r="C7950" s="28" t="str">
        <f>HYPERLINK("https://pld.live/RapDetail.aspx?STONELIST=927052480","DNA")</f>
        <v>DNA</v>
      </c>
      <c r="D7950" s="18" t="s">
        <v>3054</v>
      </c>
      <c r="E7950" s="18" t="s">
        <v>5128</v>
      </c>
      <c r="F7950" s="2" t="s">
        <v>7987</v>
      </c>
      <c r="G7950" s="2" t="s">
        <v>4029</v>
      </c>
      <c r="H7950" s="14">
        <v>1.02</v>
      </c>
      <c r="I7950" s="2" t="s">
        <v>4761</v>
      </c>
      <c r="J7950" s="2" t="s">
        <v>3942</v>
      </c>
      <c r="K7950" s="2" t="s">
        <v>1452</v>
      </c>
      <c r="L7950" s="2" t="s">
        <v>5221</v>
      </c>
      <c r="M7950" s="2" t="s">
        <v>5221</v>
      </c>
      <c r="N7950" s="2" t="s">
        <v>2317</v>
      </c>
      <c r="O7950" s="14">
        <v>6900</v>
      </c>
      <c r="P7950" s="14">
        <v>98.42</v>
      </c>
      <c r="Q7950" s="14">
        <v>109.02</v>
      </c>
      <c r="R7950" s="14">
        <v>111.2</v>
      </c>
      <c r="S7950" s="2" t="s">
        <v>1294</v>
      </c>
      <c r="T7950" s="2">
        <v>1.35</v>
      </c>
      <c r="U7950" s="2">
        <v>68.2</v>
      </c>
      <c r="V7950" s="2">
        <v>62</v>
      </c>
      <c r="W7950" s="2" t="s">
        <v>7862</v>
      </c>
      <c r="X7950" s="2" t="s">
        <v>190</v>
      </c>
      <c r="Y7950" s="2">
        <v>7038</v>
      </c>
      <c r="Z7950" s="19" t="str">
        <f>HYPERLINK("https://ssdweb.co/ssdweb/hd/Vision360.html?d=927052480&amp;zoomslide=1&amp;z=1927052480&amp;ISCONFIRM=0","VIDEO")</f>
        <v>VIDEO</v>
      </c>
      <c r="AA7950" s="19" t="str">
        <f>HYPERLINK("https://ssdweb.co/ssdweb/CERTH/666419924.pdf","CERTI")</f>
        <v>CERTI</v>
      </c>
    </row>
    <row r="7951" spans="1:27" ht="15" x14ac:dyDescent="0.25">
      <c r="A7951" s="2">
        <v>7946</v>
      </c>
      <c r="B7951" s="39">
        <v>941070923</v>
      </c>
      <c r="C7951" s="28" t="str">
        <f>HYPERLINK("https://pld.live/RapDetail.aspx?STONELIST=941070923","DNA")</f>
        <v>DNA</v>
      </c>
      <c r="D7951" s="18" t="s">
        <v>3054</v>
      </c>
      <c r="E7951" s="18" t="s">
        <v>5128</v>
      </c>
      <c r="F7951" s="2" t="s">
        <v>7987</v>
      </c>
      <c r="G7951" s="2" t="s">
        <v>4029</v>
      </c>
      <c r="H7951" s="14">
        <v>1.02</v>
      </c>
      <c r="I7951" s="2" t="s">
        <v>4761</v>
      </c>
      <c r="J7951" s="2" t="s">
        <v>3942</v>
      </c>
      <c r="K7951" s="2" t="s">
        <v>1452</v>
      </c>
      <c r="L7951" s="2" t="s">
        <v>5221</v>
      </c>
      <c r="M7951" s="2" t="s">
        <v>5221</v>
      </c>
      <c r="N7951" s="2" t="s">
        <v>2317</v>
      </c>
      <c r="O7951" s="14">
        <v>6900</v>
      </c>
      <c r="P7951" s="14">
        <v>98.39</v>
      </c>
      <c r="Q7951" s="14">
        <v>111.09</v>
      </c>
      <c r="R7951" s="14">
        <v>113.31</v>
      </c>
      <c r="S7951" s="2" t="s">
        <v>3062</v>
      </c>
      <c r="T7951" s="2">
        <v>1.34</v>
      </c>
      <c r="U7951" s="2">
        <v>66.8</v>
      </c>
      <c r="V7951" s="2">
        <v>66</v>
      </c>
      <c r="W7951" s="2" t="s">
        <v>7862</v>
      </c>
      <c r="X7951" s="2" t="s">
        <v>190</v>
      </c>
      <c r="Y7951" s="2">
        <v>7038</v>
      </c>
      <c r="Z7951" s="19" t="str">
        <f>HYPERLINK("https://ssdweb.co/ssdweb/hd/Vision360.html?d=941070923&amp;zoomslide=1&amp;z=1941070923&amp;ISCONFIRM=0","VIDEO")</f>
        <v>VIDEO</v>
      </c>
      <c r="AA7951" s="19" t="str">
        <f>HYPERLINK("https://ssdweb.co/ssdweb/CERTH/670445230.pdf","CERTI")</f>
        <v>CERTI</v>
      </c>
    </row>
    <row r="7952" spans="1:27" ht="15" x14ac:dyDescent="0.25">
      <c r="A7952" s="2">
        <v>7947</v>
      </c>
      <c r="B7952" s="39">
        <v>926921395</v>
      </c>
      <c r="C7952" s="28" t="str">
        <f>HYPERLINK("https://pld.live/RapDetail.aspx?STONELIST=926921395","DNA")</f>
        <v>DNA</v>
      </c>
      <c r="D7952" s="18" t="s">
        <v>3054</v>
      </c>
      <c r="E7952" s="18" t="s">
        <v>2186</v>
      </c>
      <c r="F7952" s="2" t="s">
        <v>7987</v>
      </c>
      <c r="G7952" s="2" t="s">
        <v>4029</v>
      </c>
      <c r="H7952" s="14">
        <v>1.02</v>
      </c>
      <c r="I7952" s="2" t="s">
        <v>4761</v>
      </c>
      <c r="J7952" s="2" t="s">
        <v>13</v>
      </c>
      <c r="K7952" s="2" t="s">
        <v>1452</v>
      </c>
      <c r="L7952" s="2" t="s">
        <v>5221</v>
      </c>
      <c r="M7952" s="2" t="s">
        <v>5221</v>
      </c>
      <c r="N7952" s="2" t="s">
        <v>2317</v>
      </c>
      <c r="O7952" s="14">
        <v>6200</v>
      </c>
      <c r="P7952" s="14">
        <v>98.32</v>
      </c>
      <c r="Q7952" s="14">
        <v>104.16</v>
      </c>
      <c r="R7952" s="14">
        <v>106.24</v>
      </c>
      <c r="S7952" s="2" t="s">
        <v>2044</v>
      </c>
      <c r="T7952" s="2">
        <v>1.35</v>
      </c>
      <c r="U7952" s="2">
        <v>66.3</v>
      </c>
      <c r="V7952" s="2">
        <v>67</v>
      </c>
      <c r="W7952" s="2" t="s">
        <v>7862</v>
      </c>
      <c r="X7952" s="2" t="s">
        <v>190</v>
      </c>
      <c r="Y7952" s="2">
        <v>6324</v>
      </c>
      <c r="Z7952" s="19" t="str">
        <f>HYPERLINK("https://ssdweb.co/ssdweb/hd/Vision360.html?d=926921395&amp;zoomslide=1&amp;z=1926921395&amp;ISCONFIRM=0","VIDEO")</f>
        <v>VIDEO</v>
      </c>
      <c r="AA7952" s="19" t="str">
        <f>HYPERLINK("https://ssdweb.co/ssdweb/CERTH/659436974.pdf","CERTI")</f>
        <v>CERTI</v>
      </c>
    </row>
    <row r="7953" spans="1:27" ht="15" x14ac:dyDescent="0.25">
      <c r="A7953" s="2">
        <v>7948</v>
      </c>
      <c r="B7953" s="39">
        <v>926921388</v>
      </c>
      <c r="C7953" s="28" t="str">
        <f>HYPERLINK("https://pld.live/RapDetail.aspx?STONELIST=926921388","DNA")</f>
        <v>DNA</v>
      </c>
      <c r="D7953" s="18" t="s">
        <v>3054</v>
      </c>
      <c r="E7953" s="18" t="s">
        <v>2186</v>
      </c>
      <c r="F7953" s="2" t="s">
        <v>7987</v>
      </c>
      <c r="G7953" s="2" t="s">
        <v>4029</v>
      </c>
      <c r="H7953" s="14">
        <v>1.02</v>
      </c>
      <c r="I7953" s="2" t="s">
        <v>4761</v>
      </c>
      <c r="J7953" s="2" t="s">
        <v>13</v>
      </c>
      <c r="K7953" s="2" t="s">
        <v>1452</v>
      </c>
      <c r="L7953" s="2" t="s">
        <v>5221</v>
      </c>
      <c r="M7953" s="2" t="s">
        <v>5221</v>
      </c>
      <c r="N7953" s="2" t="s">
        <v>2317</v>
      </c>
      <c r="O7953" s="14">
        <v>6200</v>
      </c>
      <c r="P7953" s="14">
        <v>98.32</v>
      </c>
      <c r="Q7953" s="14">
        <v>104.16</v>
      </c>
      <c r="R7953" s="14">
        <v>106.24</v>
      </c>
      <c r="S7953" s="2" t="s">
        <v>682</v>
      </c>
      <c r="T7953" s="2">
        <v>1.35</v>
      </c>
      <c r="U7953" s="2">
        <v>67.599999999999994</v>
      </c>
      <c r="V7953" s="2">
        <v>65</v>
      </c>
      <c r="W7953" s="2" t="s">
        <v>7862</v>
      </c>
      <c r="X7953" s="2" t="s">
        <v>190</v>
      </c>
      <c r="Y7953" s="2">
        <v>6324</v>
      </c>
      <c r="Z7953" s="19" t="str">
        <f>HYPERLINK("https://ssdweb.co/ssdweb/hd/Vision360.html?d=926921388&amp;zoomslide=1&amp;z=1926921388&amp;ISCONFIRM=0","VIDEO")</f>
        <v>VIDEO</v>
      </c>
      <c r="AA7953" s="19" t="str">
        <f>HYPERLINK("https://ssdweb.co/ssdweb/CERTH/659436972.pdf","CERTI")</f>
        <v>CERTI</v>
      </c>
    </row>
    <row r="7954" spans="1:27" ht="15" x14ac:dyDescent="0.25">
      <c r="A7954" s="2">
        <v>7949</v>
      </c>
      <c r="B7954" s="39">
        <v>926900803</v>
      </c>
      <c r="C7954" s="28" t="str">
        <f>HYPERLINK("https://pld.live/RapDetail.aspx?STONELIST=926900803","DNA")</f>
        <v>DNA</v>
      </c>
      <c r="D7954" s="18" t="s">
        <v>3054</v>
      </c>
      <c r="E7954" s="18" t="s">
        <v>5128</v>
      </c>
      <c r="F7954" s="2" t="s">
        <v>7987</v>
      </c>
      <c r="G7954" s="2" t="s">
        <v>4029</v>
      </c>
      <c r="H7954" s="14">
        <v>1.02</v>
      </c>
      <c r="I7954" s="2" t="s">
        <v>4761</v>
      </c>
      <c r="J7954" s="2" t="s">
        <v>13</v>
      </c>
      <c r="K7954" s="2" t="s">
        <v>1452</v>
      </c>
      <c r="L7954" s="2" t="s">
        <v>5221</v>
      </c>
      <c r="M7954" s="2" t="s">
        <v>5221</v>
      </c>
      <c r="N7954" s="2" t="s">
        <v>2317</v>
      </c>
      <c r="O7954" s="14">
        <v>6200</v>
      </c>
      <c r="P7954" s="14">
        <v>98.32</v>
      </c>
      <c r="Q7954" s="14">
        <v>104.16</v>
      </c>
      <c r="R7954" s="14">
        <v>106.24</v>
      </c>
      <c r="S7954" s="2" t="s">
        <v>1642</v>
      </c>
      <c r="T7954" s="2">
        <v>1.29</v>
      </c>
      <c r="U7954" s="2">
        <v>67</v>
      </c>
      <c r="V7954" s="2">
        <v>65</v>
      </c>
      <c r="W7954" s="2" t="s">
        <v>7862</v>
      </c>
      <c r="X7954" s="2" t="s">
        <v>190</v>
      </c>
      <c r="Y7954" s="2">
        <v>6324</v>
      </c>
      <c r="Z7954" s="19" t="str">
        <f>HYPERLINK("https://ssdweb.co/ssdweb/hd/Vision360.html?d=926900803&amp;zoomslide=1&amp;z=1926900803&amp;ISCONFIRM=0","VIDEO")</f>
        <v>VIDEO</v>
      </c>
      <c r="AA7954" s="19" t="str">
        <f>HYPERLINK("https://ssdweb.co/ssdweb/CERTH/655451833.pdf","CERTI")</f>
        <v>CERTI</v>
      </c>
    </row>
    <row r="7955" spans="1:27" ht="15" x14ac:dyDescent="0.25">
      <c r="A7955" s="2">
        <v>7950</v>
      </c>
      <c r="B7955" s="39">
        <v>927052497</v>
      </c>
      <c r="C7955" s="28" t="str">
        <f>HYPERLINK("https://pld.live/RapDetail.aspx?STONELIST=927052497","DNA")</f>
        <v>DNA</v>
      </c>
      <c r="D7955" s="18" t="s">
        <v>3054</v>
      </c>
      <c r="E7955" s="18" t="s">
        <v>5128</v>
      </c>
      <c r="F7955" s="2" t="s">
        <v>7987</v>
      </c>
      <c r="G7955" s="2" t="s">
        <v>4029</v>
      </c>
      <c r="H7955" s="14">
        <v>1.02</v>
      </c>
      <c r="I7955" s="2" t="s">
        <v>4761</v>
      </c>
      <c r="J7955" s="2" t="s">
        <v>13</v>
      </c>
      <c r="K7955" s="2" t="s">
        <v>1452</v>
      </c>
      <c r="L7955" s="2" t="s">
        <v>5221</v>
      </c>
      <c r="M7955" s="2" t="s">
        <v>5221</v>
      </c>
      <c r="N7955" s="2" t="s">
        <v>2317</v>
      </c>
      <c r="O7955" s="14">
        <v>6200</v>
      </c>
      <c r="P7955" s="14">
        <v>98.29</v>
      </c>
      <c r="Q7955" s="14">
        <v>106.02</v>
      </c>
      <c r="R7955" s="14">
        <v>108.14</v>
      </c>
      <c r="S7955" s="2" t="s">
        <v>5183</v>
      </c>
      <c r="T7955" s="2">
        <v>1.36</v>
      </c>
      <c r="U7955" s="2">
        <v>67.8</v>
      </c>
      <c r="V7955" s="2">
        <v>67</v>
      </c>
      <c r="W7955" s="2" t="s">
        <v>7862</v>
      </c>
      <c r="X7955" s="2" t="s">
        <v>190</v>
      </c>
      <c r="Y7955" s="2">
        <v>6324</v>
      </c>
      <c r="Z7955" s="19" t="str">
        <f>HYPERLINK("https://ssdweb.co/ssdweb/hd/Vision360.html?d=927052497&amp;zoomslide=1&amp;z=1927052497&amp;ISCONFIRM=0","VIDEO")</f>
        <v>VIDEO</v>
      </c>
      <c r="AA7955" s="19" t="str">
        <f>HYPERLINK("https://ssdweb.co/ssdweb/CERTH/667408302.pdf","CERTI")</f>
        <v>CERTI</v>
      </c>
    </row>
    <row r="7956" spans="1:27" ht="15" x14ac:dyDescent="0.25">
      <c r="A7956" s="2">
        <v>7951</v>
      </c>
      <c r="B7956" s="39">
        <v>941070097</v>
      </c>
      <c r="C7956" s="28" t="str">
        <f>HYPERLINK("https://pld.live/RapDetail.aspx?STONELIST=941070097","DNA")</f>
        <v>DNA</v>
      </c>
      <c r="D7956" s="18" t="s">
        <v>3054</v>
      </c>
      <c r="E7956" s="18" t="s">
        <v>5128</v>
      </c>
      <c r="F7956" s="2" t="s">
        <v>7987</v>
      </c>
      <c r="G7956" s="2" t="s">
        <v>4029</v>
      </c>
      <c r="H7956" s="14">
        <v>1.02</v>
      </c>
      <c r="I7956" s="2" t="s">
        <v>4761</v>
      </c>
      <c r="J7956" s="2" t="s">
        <v>13</v>
      </c>
      <c r="K7956" s="2" t="s">
        <v>1452</v>
      </c>
      <c r="L7956" s="2" t="s">
        <v>5221</v>
      </c>
      <c r="M7956" s="2" t="s">
        <v>5221</v>
      </c>
      <c r="N7956" s="2" t="s">
        <v>2317</v>
      </c>
      <c r="O7956" s="14">
        <v>6200</v>
      </c>
      <c r="P7956" s="14">
        <v>98.26</v>
      </c>
      <c r="Q7956" s="14">
        <v>107.88</v>
      </c>
      <c r="R7956" s="14">
        <v>110.04</v>
      </c>
      <c r="S7956" s="2" t="s">
        <v>6862</v>
      </c>
      <c r="T7956" s="2">
        <v>1.4</v>
      </c>
      <c r="U7956" s="2">
        <v>67.599999999999994</v>
      </c>
      <c r="V7956" s="2">
        <v>63</v>
      </c>
      <c r="W7956" s="2" t="s">
        <v>7862</v>
      </c>
      <c r="X7956" s="2" t="s">
        <v>190</v>
      </c>
      <c r="Y7956" s="2">
        <v>6324</v>
      </c>
      <c r="Z7956" s="19" t="str">
        <f>HYPERLINK("https://ssdweb.co/ssdweb/hd/Vision360.html?d=941070097&amp;zoomslide=1&amp;z=1941070097&amp;ISCONFIRM=0","VIDEO")</f>
        <v>VIDEO</v>
      </c>
      <c r="AA7956" s="19" t="str">
        <f>HYPERLINK("https://ssdweb.co/ssdweb/CERTH/669458241.pdf","CERTI")</f>
        <v>CERTI</v>
      </c>
    </row>
    <row r="7957" spans="1:27" ht="15" x14ac:dyDescent="0.25">
      <c r="A7957" s="2">
        <v>7952</v>
      </c>
      <c r="B7957" s="39">
        <v>941020796</v>
      </c>
      <c r="C7957" s="28" t="str">
        <f>HYPERLINK("https://pld.live/RapDetail.aspx?STONELIST=941020796","DNA")</f>
        <v>DNA</v>
      </c>
      <c r="D7957" s="18" t="s">
        <v>3054</v>
      </c>
      <c r="E7957" s="18" t="s">
        <v>5128</v>
      </c>
      <c r="F7957" s="2" t="s">
        <v>7987</v>
      </c>
      <c r="G7957" s="2" t="s">
        <v>4029</v>
      </c>
      <c r="H7957" s="14">
        <v>1.02</v>
      </c>
      <c r="I7957" s="2" t="s">
        <v>4761</v>
      </c>
      <c r="J7957" s="2" t="s">
        <v>13</v>
      </c>
      <c r="K7957" s="2" t="s">
        <v>1452</v>
      </c>
      <c r="L7957" s="2" t="s">
        <v>5221</v>
      </c>
      <c r="M7957" s="2" t="s">
        <v>5221</v>
      </c>
      <c r="N7957" s="2" t="s">
        <v>2317</v>
      </c>
      <c r="O7957" s="14">
        <v>6200</v>
      </c>
      <c r="P7957" s="14">
        <v>98.29</v>
      </c>
      <c r="Q7957" s="14">
        <v>106.02</v>
      </c>
      <c r="R7957" s="14">
        <v>108.14</v>
      </c>
      <c r="S7957" s="2" t="s">
        <v>4866</v>
      </c>
      <c r="T7957" s="2">
        <v>1.3</v>
      </c>
      <c r="U7957" s="2">
        <v>67.3</v>
      </c>
      <c r="V7957" s="2">
        <v>64</v>
      </c>
      <c r="W7957" s="2" t="s">
        <v>7862</v>
      </c>
      <c r="X7957" s="2" t="s">
        <v>190</v>
      </c>
      <c r="Y7957" s="2">
        <v>6324</v>
      </c>
      <c r="Z7957" s="19" t="str">
        <f>HYPERLINK("https://ssdweb.co/ssdweb/hd/Vision360.html?d=941020796&amp;zoomslide=1&amp;z=1941020796&amp;ISCONFIRM=0","VIDEO")</f>
        <v>VIDEO</v>
      </c>
      <c r="AA7957" s="19" t="str">
        <f>HYPERLINK("https://ssdweb.co/ssdweb/CERTH/668447820.pdf","CERTI")</f>
        <v>CERTI</v>
      </c>
    </row>
    <row r="7958" spans="1:27" ht="15" x14ac:dyDescent="0.25">
      <c r="A7958" s="2">
        <v>7953</v>
      </c>
      <c r="B7958" s="39">
        <v>927130754</v>
      </c>
      <c r="C7958" s="28" t="str">
        <f>HYPERLINK("https://pld.live/RapDetail.aspx?STONELIST=927130754","DNA")</f>
        <v>DNA</v>
      </c>
      <c r="D7958" s="18" t="s">
        <v>3054</v>
      </c>
      <c r="E7958" s="18" t="s">
        <v>5128</v>
      </c>
      <c r="F7958" s="2" t="s">
        <v>7987</v>
      </c>
      <c r="G7958" s="2" t="s">
        <v>4029</v>
      </c>
      <c r="H7958" s="14">
        <v>1.02</v>
      </c>
      <c r="I7958" s="2" t="s">
        <v>4761</v>
      </c>
      <c r="J7958" s="2" t="s">
        <v>13</v>
      </c>
      <c r="K7958" s="2" t="s">
        <v>1452</v>
      </c>
      <c r="L7958" s="2" t="s">
        <v>5221</v>
      </c>
      <c r="M7958" s="2" t="s">
        <v>5221</v>
      </c>
      <c r="N7958" s="2" t="s">
        <v>2317</v>
      </c>
      <c r="O7958" s="14">
        <v>6200</v>
      </c>
      <c r="P7958" s="14">
        <v>98.29</v>
      </c>
      <c r="Q7958" s="14">
        <v>106.02</v>
      </c>
      <c r="R7958" s="14">
        <v>108.14</v>
      </c>
      <c r="S7958" s="2" t="s">
        <v>6546</v>
      </c>
      <c r="T7958" s="2">
        <v>1.46</v>
      </c>
      <c r="U7958" s="2">
        <v>65.400000000000006</v>
      </c>
      <c r="V7958" s="2">
        <v>66</v>
      </c>
      <c r="W7958" s="2" t="s">
        <v>7862</v>
      </c>
      <c r="X7958" s="2" t="s">
        <v>190</v>
      </c>
      <c r="Y7958" s="2">
        <v>6324</v>
      </c>
      <c r="Z7958" s="19" t="str">
        <f>HYPERLINK("https://ssdweb.co/ssdweb/hd/Vision360.html?d=927130754&amp;zoomslide=1&amp;z=1927130754&amp;ISCONFIRM=0","VIDEO")</f>
        <v>VIDEO</v>
      </c>
      <c r="AA7958" s="19" t="str">
        <f>HYPERLINK("https://ssdweb.co/ssdweb/CERTH/668437172.pdf","CERTI")</f>
        <v>CERTI</v>
      </c>
    </row>
    <row r="7959" spans="1:27" ht="15" x14ac:dyDescent="0.25">
      <c r="A7959" s="2">
        <v>7954</v>
      </c>
      <c r="B7959" s="39">
        <v>941070770</v>
      </c>
      <c r="C7959" s="28" t="str">
        <f>HYPERLINK("https://pld.live/RapDetail.aspx?STONELIST=941070770","DNA")</f>
        <v>DNA</v>
      </c>
      <c r="D7959" s="18" t="s">
        <v>3054</v>
      </c>
      <c r="E7959" s="18" t="s">
        <v>5128</v>
      </c>
      <c r="F7959" s="2" t="s">
        <v>7987</v>
      </c>
      <c r="G7959" s="2" t="s">
        <v>4029</v>
      </c>
      <c r="H7959" s="14">
        <v>1.02</v>
      </c>
      <c r="I7959" s="2" t="s">
        <v>4761</v>
      </c>
      <c r="J7959" s="2" t="s">
        <v>13</v>
      </c>
      <c r="K7959" s="2" t="s">
        <v>1452</v>
      </c>
      <c r="L7959" s="2" t="s">
        <v>5221</v>
      </c>
      <c r="M7959" s="2" t="s">
        <v>5221</v>
      </c>
      <c r="N7959" s="2" t="s">
        <v>2317</v>
      </c>
      <c r="O7959" s="14">
        <v>6200</v>
      </c>
      <c r="P7959" s="14">
        <v>98.29</v>
      </c>
      <c r="Q7959" s="14">
        <v>106.02</v>
      </c>
      <c r="R7959" s="14">
        <v>108.14</v>
      </c>
      <c r="S7959" s="2" t="s">
        <v>3215</v>
      </c>
      <c r="T7959" s="2">
        <v>1.35</v>
      </c>
      <c r="U7959" s="2">
        <v>67.5</v>
      </c>
      <c r="V7959" s="2">
        <v>67</v>
      </c>
      <c r="W7959" s="2" t="s">
        <v>4336</v>
      </c>
      <c r="X7959" s="2" t="s">
        <v>190</v>
      </c>
      <c r="Y7959" s="2">
        <v>6324</v>
      </c>
      <c r="Z7959" s="19" t="str">
        <f>HYPERLINK("https://ssdweb.co/ssdweb/hd/Vision360.html?d=941070770&amp;zoomslide=1&amp;z=1941070770&amp;ISCONFIRM=0","VIDEO")</f>
        <v>VIDEO</v>
      </c>
      <c r="AA7959" s="19" t="str">
        <f>HYPERLINK("https://ssdweb.co/ssdweb/CERTH/670445227.pdf","CERTI")</f>
        <v>CERTI</v>
      </c>
    </row>
    <row r="7960" spans="1:27" ht="15" x14ac:dyDescent="0.25">
      <c r="A7960" s="2">
        <v>7955</v>
      </c>
      <c r="B7960" s="39">
        <v>927092320</v>
      </c>
      <c r="C7960" s="28" t="str">
        <f>HYPERLINK("https://pld.live/RapDetail.aspx?STONELIST=927092320","DNA")</f>
        <v>DNA</v>
      </c>
      <c r="D7960" s="18" t="s">
        <v>3054</v>
      </c>
      <c r="E7960" s="18" t="s">
        <v>5128</v>
      </c>
      <c r="F7960" s="2" t="s">
        <v>7987</v>
      </c>
      <c r="G7960" s="2" t="s">
        <v>4029</v>
      </c>
      <c r="H7960" s="14">
        <v>1.02</v>
      </c>
      <c r="I7960" s="2" t="s">
        <v>4699</v>
      </c>
      <c r="J7960" s="2" t="s">
        <v>6555</v>
      </c>
      <c r="K7960" s="2" t="s">
        <v>1452</v>
      </c>
      <c r="L7960" s="2" t="s">
        <v>5221</v>
      </c>
      <c r="M7960" s="2" t="s">
        <v>5221</v>
      </c>
      <c r="N7960" s="2" t="s">
        <v>2317</v>
      </c>
      <c r="O7960" s="14">
        <v>6800</v>
      </c>
      <c r="P7960" s="14">
        <v>98.26</v>
      </c>
      <c r="Q7960" s="14">
        <v>118.32</v>
      </c>
      <c r="R7960" s="14">
        <v>120.69</v>
      </c>
      <c r="S7960" s="2" t="s">
        <v>4612</v>
      </c>
      <c r="T7960" s="2">
        <v>1.32</v>
      </c>
      <c r="U7960" s="2">
        <v>65</v>
      </c>
      <c r="V7960" s="2">
        <v>65</v>
      </c>
      <c r="W7960" s="2" t="s">
        <v>7862</v>
      </c>
      <c r="X7960" s="2" t="s">
        <v>190</v>
      </c>
      <c r="Y7960" s="2">
        <v>6936</v>
      </c>
      <c r="Z7960" s="19" t="str">
        <f>HYPERLINK("https://ssdweb.co/ssdweb/hd/Vision360.html?d=927092320&amp;zoomslide=1&amp;z=1927092320&amp;ISCONFIRM=0","VIDEO")</f>
        <v>VIDEO</v>
      </c>
      <c r="AA7960" s="19" t="str">
        <f>HYPERLINK("https://ssdweb.co/ssdweb/CERTH/662473902.pdf","CERTI")</f>
        <v>CERTI</v>
      </c>
    </row>
    <row r="7961" spans="1:27" ht="15" x14ac:dyDescent="0.25">
      <c r="A7961" s="2">
        <v>7956</v>
      </c>
      <c r="B7961" s="39">
        <v>927140030</v>
      </c>
      <c r="C7961" s="28" t="str">
        <f>HYPERLINK("https://pld.live/RapDetail.aspx?STONELIST=927140030","DNA")</f>
        <v>DNA</v>
      </c>
      <c r="D7961" s="18" t="s">
        <v>3054</v>
      </c>
      <c r="E7961" s="18" t="s">
        <v>2186</v>
      </c>
      <c r="F7961" s="2" t="s">
        <v>7987</v>
      </c>
      <c r="G7961" s="2" t="s">
        <v>4029</v>
      </c>
      <c r="H7961" s="14">
        <v>1.02</v>
      </c>
      <c r="I7961" s="2" t="s">
        <v>4699</v>
      </c>
      <c r="J7961" s="2" t="s">
        <v>3942</v>
      </c>
      <c r="K7961" s="2" t="s">
        <v>1452</v>
      </c>
      <c r="L7961" s="2" t="s">
        <v>5221</v>
      </c>
      <c r="M7961" s="2" t="s">
        <v>5221</v>
      </c>
      <c r="N7961" s="2" t="s">
        <v>2317</v>
      </c>
      <c r="O7961" s="14">
        <v>6400</v>
      </c>
      <c r="P7961" s="14">
        <v>98.33</v>
      </c>
      <c r="Q7961" s="14">
        <v>106.88</v>
      </c>
      <c r="R7961" s="14">
        <v>109.02</v>
      </c>
      <c r="S7961" s="2" t="s">
        <v>6935</v>
      </c>
      <c r="T7961" s="2">
        <v>1.35</v>
      </c>
      <c r="U7961" s="2">
        <v>63.7</v>
      </c>
      <c r="V7961" s="2">
        <v>66</v>
      </c>
      <c r="W7961" s="2" t="s">
        <v>7862</v>
      </c>
      <c r="X7961" s="2" t="s">
        <v>190</v>
      </c>
      <c r="Y7961" s="2">
        <v>6528</v>
      </c>
      <c r="Z7961" s="19" t="str">
        <f>HYPERLINK("https://ssdweb.co/ssdweb/hd/Vision360.html?d=927140030&amp;zoomslide=1&amp;z=1927140030&amp;ISCONFIRM=0","VIDEO")</f>
        <v>VIDEO</v>
      </c>
      <c r="AA7961" s="19" t="str">
        <f>HYPERLINK("https://ssdweb.co/ssdweb/CERTH/668437176.pdf","CERTI")</f>
        <v>CERTI</v>
      </c>
    </row>
    <row r="7962" spans="1:27" ht="15" x14ac:dyDescent="0.25">
      <c r="A7962" s="2">
        <v>7957</v>
      </c>
      <c r="B7962" s="39">
        <v>941070401</v>
      </c>
      <c r="C7962" s="28" t="str">
        <f>HYPERLINK("https://pld.live/RapDetail.aspx?STONELIST=941070401","DNA")</f>
        <v>DNA</v>
      </c>
      <c r="D7962" s="18" t="s">
        <v>3054</v>
      </c>
      <c r="E7962" s="18" t="s">
        <v>5128</v>
      </c>
      <c r="F7962" s="2" t="s">
        <v>7987</v>
      </c>
      <c r="G7962" s="2" t="s">
        <v>4029</v>
      </c>
      <c r="H7962" s="14">
        <v>1.02</v>
      </c>
      <c r="I7962" s="2" t="s">
        <v>4699</v>
      </c>
      <c r="J7962" s="2" t="s">
        <v>3942</v>
      </c>
      <c r="K7962" s="2" t="s">
        <v>1452</v>
      </c>
      <c r="L7962" s="2" t="s">
        <v>5221</v>
      </c>
      <c r="M7962" s="2" t="s">
        <v>5221</v>
      </c>
      <c r="N7962" s="2" t="s">
        <v>2317</v>
      </c>
      <c r="O7962" s="14">
        <v>6400</v>
      </c>
      <c r="P7962" s="14">
        <v>98.3</v>
      </c>
      <c r="Q7962" s="14">
        <v>108.8</v>
      </c>
      <c r="R7962" s="14">
        <v>110.98</v>
      </c>
      <c r="S7962" s="2" t="s">
        <v>5858</v>
      </c>
      <c r="T7962" s="2">
        <v>1.29</v>
      </c>
      <c r="U7962" s="2">
        <v>65.7</v>
      </c>
      <c r="V7962" s="2">
        <v>65</v>
      </c>
      <c r="W7962" s="2" t="s">
        <v>7862</v>
      </c>
      <c r="X7962" s="2" t="s">
        <v>190</v>
      </c>
      <c r="Y7962" s="2">
        <v>6528</v>
      </c>
      <c r="Z7962" s="19" t="str">
        <f>HYPERLINK("https://ssdweb.co/ssdweb/hd/Vision360.html?d=941070401&amp;zoomslide=1&amp;z=1941070401&amp;ISCONFIRM=0","VIDEO")</f>
        <v>VIDEO</v>
      </c>
      <c r="AA7962" s="19" t="str">
        <f>HYPERLINK("https://ssdweb.co/ssdweb/CERTH/669458245.pdf","CERTI")</f>
        <v>CERTI</v>
      </c>
    </row>
    <row r="7963" spans="1:27" ht="15" x14ac:dyDescent="0.25">
      <c r="A7963" s="2">
        <v>7958</v>
      </c>
      <c r="B7963" s="39">
        <v>831020717</v>
      </c>
      <c r="C7963" s="28" t="str">
        <f>HYPERLINK("https://pld.live/RapDetail.aspx?STONELIST=831020717","DNA")</f>
        <v>DNA</v>
      </c>
      <c r="D7963" s="18" t="s">
        <v>3054</v>
      </c>
      <c r="E7963" s="18" t="s">
        <v>2186</v>
      </c>
      <c r="F7963" s="2" t="s">
        <v>7987</v>
      </c>
      <c r="G7963" s="2" t="s">
        <v>4029</v>
      </c>
      <c r="H7963" s="14">
        <v>1.02</v>
      </c>
      <c r="I7963" s="2" t="s">
        <v>4699</v>
      </c>
      <c r="J7963" s="2" t="s">
        <v>13</v>
      </c>
      <c r="K7963" s="2" t="s">
        <v>1452</v>
      </c>
      <c r="L7963" s="2" t="s">
        <v>5221</v>
      </c>
      <c r="M7963" s="2" t="s">
        <v>5221</v>
      </c>
      <c r="N7963" s="2" t="s">
        <v>2317</v>
      </c>
      <c r="O7963" s="14">
        <v>5800</v>
      </c>
      <c r="P7963" s="14">
        <v>98.26</v>
      </c>
      <c r="Q7963" s="14">
        <v>100.92</v>
      </c>
      <c r="R7963" s="14">
        <v>102.94</v>
      </c>
      <c r="S7963" s="2" t="s">
        <v>4215</v>
      </c>
      <c r="T7963" s="2">
        <v>1.48</v>
      </c>
      <c r="U7963" s="2">
        <v>66.900000000000006</v>
      </c>
      <c r="V7963" s="2">
        <v>65</v>
      </c>
      <c r="W7963" s="2" t="s">
        <v>7862</v>
      </c>
      <c r="X7963" s="2" t="s">
        <v>190</v>
      </c>
      <c r="Y7963" s="2">
        <v>5916</v>
      </c>
      <c r="Z7963" s="19" t="str">
        <f>HYPERLINK("https://ssdweb.co/ssdweb/hd/Vision360.html?d=831020717&amp;zoomslide=1&amp;z=1831020717&amp;ISCONFIRM=0","VIDEO")</f>
        <v>VIDEO</v>
      </c>
      <c r="AA7963" s="19" t="str">
        <f>HYPERLINK("https://ssdweb.co/ssdweb/CERTH/602361279.pdf","CERTI")</f>
        <v>CERTI</v>
      </c>
    </row>
    <row r="7964" spans="1:27" ht="15" x14ac:dyDescent="0.25">
      <c r="A7964" s="2">
        <v>7959</v>
      </c>
      <c r="B7964" s="39">
        <v>926810619</v>
      </c>
      <c r="C7964" s="28" t="str">
        <f>HYPERLINK("https://pld.live/RapDetail.aspx?STONELIST=926810619","DNA")</f>
        <v>DNA</v>
      </c>
      <c r="D7964" s="18" t="s">
        <v>3054</v>
      </c>
      <c r="E7964" s="18" t="s">
        <v>5128</v>
      </c>
      <c r="F7964" s="2" t="s">
        <v>7987</v>
      </c>
      <c r="G7964" s="2" t="s">
        <v>4029</v>
      </c>
      <c r="H7964" s="14">
        <v>1.01</v>
      </c>
      <c r="I7964" s="2" t="s">
        <v>267</v>
      </c>
      <c r="J7964" s="2" t="s">
        <v>6555</v>
      </c>
      <c r="K7964" s="2" t="s">
        <v>1452</v>
      </c>
      <c r="L7964" s="2" t="s">
        <v>5221</v>
      </c>
      <c r="M7964" s="2" t="s">
        <v>5221</v>
      </c>
      <c r="N7964" s="2" t="s">
        <v>2317</v>
      </c>
      <c r="O7964" s="14">
        <v>8200</v>
      </c>
      <c r="P7964" s="14">
        <v>98.44</v>
      </c>
      <c r="Q7964" s="14">
        <v>127.92</v>
      </c>
      <c r="R7964" s="14">
        <v>129.19999999999999</v>
      </c>
      <c r="S7964" s="2" t="s">
        <v>2569</v>
      </c>
      <c r="T7964" s="2">
        <v>1.35</v>
      </c>
      <c r="U7964" s="2">
        <v>67.7</v>
      </c>
      <c r="V7964" s="2">
        <v>66</v>
      </c>
      <c r="W7964" s="2" t="s">
        <v>7862</v>
      </c>
      <c r="X7964" s="2" t="s">
        <v>190</v>
      </c>
      <c r="Y7964" s="2">
        <v>8282</v>
      </c>
      <c r="Z7964" s="19" t="str">
        <f>HYPERLINK("https://ssdweb.co/ssdweb/hd/Vision360.html?d=926810619&amp;zoomslide=1&amp;z=1926810619&amp;ISCONFIRM=0","VIDEO")</f>
        <v>VIDEO</v>
      </c>
      <c r="AA7964" s="19" t="str">
        <f>HYPERLINK("https://ssdweb.co/ssdweb/CERTH/652442361.pdf","CERTI")</f>
        <v>CERTI</v>
      </c>
    </row>
    <row r="7965" spans="1:27" ht="15" x14ac:dyDescent="0.25">
      <c r="A7965" s="2">
        <v>7960</v>
      </c>
      <c r="B7965" s="39">
        <v>926740859</v>
      </c>
      <c r="C7965" s="28" t="str">
        <f>HYPERLINK("https://pld.live/RapDetail.aspx?STONELIST=926740859","DNA")</f>
        <v>DNA</v>
      </c>
      <c r="D7965" s="18" t="s">
        <v>3054</v>
      </c>
      <c r="E7965" s="18" t="s">
        <v>5128</v>
      </c>
      <c r="F7965" s="2" t="s">
        <v>7987</v>
      </c>
      <c r="G7965" s="2" t="s">
        <v>4029</v>
      </c>
      <c r="H7965" s="14">
        <v>1.01</v>
      </c>
      <c r="I7965" s="2" t="s">
        <v>267</v>
      </c>
      <c r="J7965" s="2" t="s">
        <v>6555</v>
      </c>
      <c r="K7965" s="2" t="s">
        <v>1452</v>
      </c>
      <c r="L7965" s="2" t="s">
        <v>5221</v>
      </c>
      <c r="M7965" s="2" t="s">
        <v>5221</v>
      </c>
      <c r="N7965" s="2" t="s">
        <v>2317</v>
      </c>
      <c r="O7965" s="14">
        <v>8200</v>
      </c>
      <c r="P7965" s="14">
        <v>98.44</v>
      </c>
      <c r="Q7965" s="14">
        <v>127.92</v>
      </c>
      <c r="R7965" s="14">
        <v>129.19999999999999</v>
      </c>
      <c r="S7965" s="2" t="s">
        <v>1170</v>
      </c>
      <c r="T7965" s="2">
        <v>1.39</v>
      </c>
      <c r="U7965" s="2">
        <v>67.3</v>
      </c>
      <c r="V7965" s="2">
        <v>66</v>
      </c>
      <c r="W7965" s="2" t="s">
        <v>7862</v>
      </c>
      <c r="X7965" s="2" t="s">
        <v>190</v>
      </c>
      <c r="Y7965" s="2">
        <v>8282</v>
      </c>
      <c r="Z7965" s="19" t="str">
        <f>HYPERLINK("https://ssdweb.co/ssdweb/hd/Vision360.html?d=926740859&amp;zoomslide=1&amp;z=1926740859&amp;ISCONFIRM=0","VIDEO")</f>
        <v>VIDEO</v>
      </c>
      <c r="AA7965" s="19" t="str">
        <f>HYPERLINK("https://ssdweb.co/ssdweb/CERTH/651401195.pdf","CERTI")</f>
        <v>CERTI</v>
      </c>
    </row>
    <row r="7966" spans="1:27" ht="15" x14ac:dyDescent="0.25">
      <c r="A7966" s="2">
        <v>7961</v>
      </c>
      <c r="B7966" s="39">
        <v>926871021</v>
      </c>
      <c r="C7966" s="28" t="str">
        <f>HYPERLINK("https://pld.live/RapDetail.aspx?STONELIST=926871021","DNA")</f>
        <v>DNA</v>
      </c>
      <c r="D7966" s="18" t="s">
        <v>3054</v>
      </c>
      <c r="E7966" s="18" t="s">
        <v>5128</v>
      </c>
      <c r="F7966" s="2" t="s">
        <v>7987</v>
      </c>
      <c r="G7966" s="2" t="s">
        <v>4029</v>
      </c>
      <c r="H7966" s="14">
        <v>1.01</v>
      </c>
      <c r="I7966" s="2" t="s">
        <v>267</v>
      </c>
      <c r="J7966" s="2" t="s">
        <v>3942</v>
      </c>
      <c r="K7966" s="2" t="s">
        <v>1452</v>
      </c>
      <c r="L7966" s="2" t="s">
        <v>5221</v>
      </c>
      <c r="M7966" s="2" t="s">
        <v>5221</v>
      </c>
      <c r="N7966" s="2" t="s">
        <v>2317</v>
      </c>
      <c r="O7966" s="14">
        <v>7600</v>
      </c>
      <c r="P7966" s="14">
        <v>98.54</v>
      </c>
      <c r="Q7966" s="14">
        <v>110.96</v>
      </c>
      <c r="R7966" s="14">
        <v>112.07</v>
      </c>
      <c r="S7966" s="2" t="s">
        <v>1097</v>
      </c>
      <c r="T7966" s="2">
        <v>1.29</v>
      </c>
      <c r="U7966" s="2">
        <v>68</v>
      </c>
      <c r="V7966" s="2">
        <v>61</v>
      </c>
      <c r="W7966" s="2" t="s">
        <v>7862</v>
      </c>
      <c r="X7966" s="2" t="s">
        <v>190</v>
      </c>
      <c r="Y7966" s="2">
        <v>7676</v>
      </c>
      <c r="Z7966" s="19" t="str">
        <f>HYPERLINK("https://ssdweb.co/ssdweb/hd/Vision360.html?d=926871021&amp;zoomslide=1&amp;z=1926871021&amp;ISCONFIRM=0","VIDEO")</f>
        <v>VIDEO</v>
      </c>
      <c r="AA7966" s="19" t="str">
        <f>HYPERLINK("https://ssdweb.co/ssdweb/CERTH/654432342.pdf","CERTI")</f>
        <v>CERTI</v>
      </c>
    </row>
    <row r="7967" spans="1:27" ht="15" x14ac:dyDescent="0.25">
      <c r="A7967" s="2">
        <v>7962</v>
      </c>
      <c r="B7967" s="39">
        <v>926291348</v>
      </c>
      <c r="C7967" s="28" t="str">
        <f>HYPERLINK("https://pld.live/RapDetail.aspx?STONELIST=926291348","DNA")</f>
        <v>DNA</v>
      </c>
      <c r="D7967" s="18" t="s">
        <v>3054</v>
      </c>
      <c r="E7967" s="18" t="s">
        <v>5128</v>
      </c>
      <c r="F7967" s="2" t="s">
        <v>7987</v>
      </c>
      <c r="G7967" s="2" t="s">
        <v>4029</v>
      </c>
      <c r="H7967" s="14">
        <v>1.01</v>
      </c>
      <c r="I7967" s="2" t="s">
        <v>267</v>
      </c>
      <c r="J7967" s="2" t="s">
        <v>3942</v>
      </c>
      <c r="K7967" s="2" t="s">
        <v>1452</v>
      </c>
      <c r="L7967" s="2" t="s">
        <v>5221</v>
      </c>
      <c r="M7967" s="2" t="s">
        <v>5221</v>
      </c>
      <c r="N7967" s="2" t="s">
        <v>2317</v>
      </c>
      <c r="O7967" s="14">
        <v>7600</v>
      </c>
      <c r="P7967" s="14">
        <v>98.54</v>
      </c>
      <c r="Q7967" s="14">
        <v>110.96</v>
      </c>
      <c r="R7967" s="14">
        <v>112.07</v>
      </c>
      <c r="S7967" s="2" t="s">
        <v>151</v>
      </c>
      <c r="T7967" s="2">
        <v>1.4</v>
      </c>
      <c r="U7967" s="2">
        <v>67.5</v>
      </c>
      <c r="V7967" s="2">
        <v>61</v>
      </c>
      <c r="W7967" s="2" t="s">
        <v>7862</v>
      </c>
      <c r="X7967" s="2" t="s">
        <v>190</v>
      </c>
      <c r="Y7967" s="2">
        <v>7676</v>
      </c>
      <c r="Z7967" s="19" t="str">
        <f>HYPERLINK("https://ssdweb.co/ssdweb/hd/Vision360.html?d=926291348&amp;zoomslide=1&amp;z=1926291348&amp;ISCONFIRM=0","VIDEO")</f>
        <v>VIDEO</v>
      </c>
      <c r="AA7967" s="19" t="str">
        <f>HYPERLINK("https://ssdweb.co/ssdweb/CERTH/639406106.pdf","CERTI")</f>
        <v>CERTI</v>
      </c>
    </row>
    <row r="7968" spans="1:27" ht="15" x14ac:dyDescent="0.25">
      <c r="A7968" s="2">
        <v>7963</v>
      </c>
      <c r="B7968" s="39">
        <v>941070055</v>
      </c>
      <c r="C7968" s="28" t="str">
        <f>HYPERLINK("https://pld.live/RapDetail.aspx?STONELIST=941070055","DNA")</f>
        <v>DNA</v>
      </c>
      <c r="D7968" s="18" t="s">
        <v>3054</v>
      </c>
      <c r="E7968" s="18" t="s">
        <v>5128</v>
      </c>
      <c r="F7968" s="2" t="s">
        <v>7987</v>
      </c>
      <c r="G7968" s="2" t="s">
        <v>4029</v>
      </c>
      <c r="H7968" s="14">
        <v>1.01</v>
      </c>
      <c r="I7968" s="2" t="s">
        <v>267</v>
      </c>
      <c r="J7968" s="2" t="s">
        <v>3942</v>
      </c>
      <c r="K7968" s="2" t="s">
        <v>1452</v>
      </c>
      <c r="L7968" s="2" t="s">
        <v>5221</v>
      </c>
      <c r="M7968" s="2" t="s">
        <v>5221</v>
      </c>
      <c r="N7968" s="2" t="s">
        <v>2317</v>
      </c>
      <c r="O7968" s="14">
        <v>7600</v>
      </c>
      <c r="P7968" s="14">
        <v>98.49</v>
      </c>
      <c r="Q7968" s="14">
        <v>114.76</v>
      </c>
      <c r="R7968" s="14">
        <v>115.91</v>
      </c>
      <c r="S7968" s="2" t="s">
        <v>1017</v>
      </c>
      <c r="T7968" s="2">
        <v>1.29</v>
      </c>
      <c r="U7968" s="2">
        <v>65.8</v>
      </c>
      <c r="V7968" s="2">
        <v>62</v>
      </c>
      <c r="W7968" s="2" t="s">
        <v>7862</v>
      </c>
      <c r="X7968" s="2" t="s">
        <v>190</v>
      </c>
      <c r="Y7968" s="2">
        <v>7676</v>
      </c>
      <c r="Z7968" s="19" t="str">
        <f>HYPERLINK("https://ssdweb.co/ssdweb/hd/Vision360.html?d=941070055&amp;zoomslide=1&amp;z=1941070055&amp;ISCONFIRM=0","VIDEO")</f>
        <v>VIDEO</v>
      </c>
      <c r="AA7968" s="19" t="str">
        <f>HYPERLINK("https://ssdweb.co/ssdweb/CERTH/669458240.pdf","CERTI")</f>
        <v>CERTI</v>
      </c>
    </row>
    <row r="7969" spans="1:27" ht="15" x14ac:dyDescent="0.25">
      <c r="A7969" s="2">
        <v>7964</v>
      </c>
      <c r="B7969" s="39">
        <v>941070273</v>
      </c>
      <c r="C7969" s="28" t="str">
        <f>HYPERLINK("https://pld.live/RapDetail.aspx?STONELIST=941070273","DNA")</f>
        <v>DNA</v>
      </c>
      <c r="D7969" s="18" t="s">
        <v>3054</v>
      </c>
      <c r="E7969" s="18" t="s">
        <v>5128</v>
      </c>
      <c r="F7969" s="2" t="s">
        <v>7987</v>
      </c>
      <c r="G7969" s="2" t="s">
        <v>4029</v>
      </c>
      <c r="H7969" s="14">
        <v>1.01</v>
      </c>
      <c r="I7969" s="2" t="s">
        <v>267</v>
      </c>
      <c r="J7969" s="2" t="s">
        <v>3942</v>
      </c>
      <c r="K7969" s="2" t="s">
        <v>1452</v>
      </c>
      <c r="L7969" s="2" t="s">
        <v>5221</v>
      </c>
      <c r="M7969" s="2" t="s">
        <v>5221</v>
      </c>
      <c r="N7969" s="2" t="s">
        <v>2317</v>
      </c>
      <c r="O7969" s="14">
        <v>7600</v>
      </c>
      <c r="P7969" s="14">
        <v>98.49</v>
      </c>
      <c r="Q7969" s="14">
        <v>114.76</v>
      </c>
      <c r="R7969" s="14">
        <v>115.91</v>
      </c>
      <c r="S7969" s="2" t="s">
        <v>7665</v>
      </c>
      <c r="T7969" s="2">
        <v>1.29</v>
      </c>
      <c r="U7969" s="2">
        <v>68</v>
      </c>
      <c r="V7969" s="2">
        <v>66</v>
      </c>
      <c r="W7969" s="2" t="s">
        <v>7862</v>
      </c>
      <c r="X7969" s="2" t="s">
        <v>190</v>
      </c>
      <c r="Y7969" s="2">
        <v>7676</v>
      </c>
      <c r="Z7969" s="19" t="str">
        <f>HYPERLINK("https://ssdweb.co/ssdweb/hd/Vision360.html?d=941070273&amp;zoomslide=1&amp;z=1941070273&amp;ISCONFIRM=0","VIDEO")</f>
        <v>VIDEO</v>
      </c>
      <c r="AA7969" s="19" t="str">
        <f>HYPERLINK("https://ssdweb.co/ssdweb/CERTH/669458244.pdf","CERTI")</f>
        <v>CERTI</v>
      </c>
    </row>
    <row r="7970" spans="1:27" ht="15" x14ac:dyDescent="0.25">
      <c r="A7970" s="2">
        <v>7965</v>
      </c>
      <c r="B7970" s="39">
        <v>941070528</v>
      </c>
      <c r="C7970" s="28" t="str">
        <f>HYPERLINK("https://pld.live/RapDetail.aspx?STONELIST=941070528","DNA")</f>
        <v>DNA</v>
      </c>
      <c r="D7970" s="18" t="s">
        <v>3054</v>
      </c>
      <c r="E7970" s="18" t="s">
        <v>5128</v>
      </c>
      <c r="F7970" s="2" t="s">
        <v>7987</v>
      </c>
      <c r="G7970" s="2" t="s">
        <v>4029</v>
      </c>
      <c r="H7970" s="14">
        <v>1.01</v>
      </c>
      <c r="I7970" s="2" t="s">
        <v>267</v>
      </c>
      <c r="J7970" s="2" t="s">
        <v>3942</v>
      </c>
      <c r="K7970" s="2" t="s">
        <v>1452</v>
      </c>
      <c r="L7970" s="2" t="s">
        <v>5221</v>
      </c>
      <c r="M7970" s="2" t="s">
        <v>5221</v>
      </c>
      <c r="N7970" s="2" t="s">
        <v>2317</v>
      </c>
      <c r="O7970" s="14">
        <v>7600</v>
      </c>
      <c r="P7970" s="14">
        <v>98.49</v>
      </c>
      <c r="Q7970" s="14">
        <v>114.76</v>
      </c>
      <c r="R7970" s="14">
        <v>115.91</v>
      </c>
      <c r="S7970" s="2" t="s">
        <v>7633</v>
      </c>
      <c r="T7970" s="2">
        <v>1.37</v>
      </c>
      <c r="U7970" s="2">
        <v>67.8</v>
      </c>
      <c r="V7970" s="2">
        <v>63</v>
      </c>
      <c r="W7970" s="2" t="s">
        <v>7862</v>
      </c>
      <c r="X7970" s="2" t="s">
        <v>190</v>
      </c>
      <c r="Y7970" s="2">
        <v>7676</v>
      </c>
      <c r="Z7970" s="19" t="str">
        <f>HYPERLINK("https://ssdweb.co/ssdweb/hd/Vision360.html?d=941070528&amp;zoomslide=1&amp;z=1941070528&amp;ISCONFIRM=0","VIDEO")</f>
        <v>VIDEO</v>
      </c>
      <c r="AA7970" s="19" t="str">
        <f>HYPERLINK("https://ssdweb.co/ssdweb/CERTH/669458248.pdf","CERTI")</f>
        <v>CERTI</v>
      </c>
    </row>
    <row r="7971" spans="1:27" ht="15" x14ac:dyDescent="0.25">
      <c r="A7971" s="2">
        <v>7966</v>
      </c>
      <c r="B7971" s="39">
        <v>926760973</v>
      </c>
      <c r="C7971" s="28" t="str">
        <f>HYPERLINK("https://pld.live/RapDetail.aspx?STONELIST=926760973","DNA")</f>
        <v>DNA</v>
      </c>
      <c r="D7971" s="18" t="s">
        <v>3054</v>
      </c>
      <c r="E7971" s="18" t="s">
        <v>5128</v>
      </c>
      <c r="F7971" s="2" t="s">
        <v>7987</v>
      </c>
      <c r="G7971" s="2" t="s">
        <v>4029</v>
      </c>
      <c r="H7971" s="14">
        <v>1.01</v>
      </c>
      <c r="I7971" s="2" t="s">
        <v>267</v>
      </c>
      <c r="J7971" s="2" t="s">
        <v>13</v>
      </c>
      <c r="K7971" s="2" t="s">
        <v>1452</v>
      </c>
      <c r="L7971" s="2" t="s">
        <v>5221</v>
      </c>
      <c r="M7971" s="2" t="s">
        <v>5221</v>
      </c>
      <c r="N7971" s="2" t="s">
        <v>2317</v>
      </c>
      <c r="O7971" s="14">
        <v>6700</v>
      </c>
      <c r="P7971" s="14">
        <v>98.42</v>
      </c>
      <c r="Q7971" s="14">
        <v>105.86</v>
      </c>
      <c r="R7971" s="14">
        <v>106.92</v>
      </c>
      <c r="S7971" s="2" t="s">
        <v>6260</v>
      </c>
      <c r="T7971" s="2">
        <v>1.32</v>
      </c>
      <c r="U7971" s="2">
        <v>67.599999999999994</v>
      </c>
      <c r="V7971" s="2">
        <v>64</v>
      </c>
      <c r="W7971" s="2" t="s">
        <v>7862</v>
      </c>
      <c r="X7971" s="2" t="s">
        <v>190</v>
      </c>
      <c r="Y7971" s="2">
        <v>6767</v>
      </c>
      <c r="Z7971" s="19" t="str">
        <f>HYPERLINK("https://ssdweb.co/ssdweb/hd/Vision360.html?d=926760973&amp;zoomslide=1&amp;z=1926760973&amp;ISCONFIRM=0","VIDEO")</f>
        <v>VIDEO</v>
      </c>
      <c r="AA7971" s="19" t="str">
        <f>HYPERLINK("https://ssdweb.co/ssdweb/CERTH/651401194.pdf","CERTI")</f>
        <v>CERTI</v>
      </c>
    </row>
    <row r="7972" spans="1:27" ht="15" x14ac:dyDescent="0.25">
      <c r="A7972" s="2">
        <v>7967</v>
      </c>
      <c r="B7972" s="39">
        <v>926750823</v>
      </c>
      <c r="C7972" s="28" t="str">
        <f>HYPERLINK("https://pld.live/RapDetail.aspx?STONELIST=926750823","DNA")</f>
        <v>DNA</v>
      </c>
      <c r="D7972" s="18" t="s">
        <v>3054</v>
      </c>
      <c r="E7972" s="18" t="s">
        <v>5128</v>
      </c>
      <c r="F7972" s="2" t="s">
        <v>7987</v>
      </c>
      <c r="G7972" s="2" t="s">
        <v>4029</v>
      </c>
      <c r="H7972" s="14">
        <v>1.01</v>
      </c>
      <c r="I7972" s="2" t="s">
        <v>267</v>
      </c>
      <c r="J7972" s="2" t="s">
        <v>13</v>
      </c>
      <c r="K7972" s="2" t="s">
        <v>1452</v>
      </c>
      <c r="L7972" s="2" t="s">
        <v>5221</v>
      </c>
      <c r="M7972" s="2" t="s">
        <v>5221</v>
      </c>
      <c r="N7972" s="2" t="s">
        <v>2317</v>
      </c>
      <c r="O7972" s="14">
        <v>6700</v>
      </c>
      <c r="P7972" s="14">
        <v>98.42</v>
      </c>
      <c r="Q7972" s="14">
        <v>105.86</v>
      </c>
      <c r="R7972" s="14">
        <v>106.92</v>
      </c>
      <c r="S7972" s="2" t="s">
        <v>2597</v>
      </c>
      <c r="T7972" s="2">
        <v>1.29</v>
      </c>
      <c r="U7972" s="2">
        <v>67.7</v>
      </c>
      <c r="V7972" s="2">
        <v>68</v>
      </c>
      <c r="W7972" s="2" t="s">
        <v>7862</v>
      </c>
      <c r="X7972" s="2" t="s">
        <v>190</v>
      </c>
      <c r="Y7972" s="2">
        <v>6767</v>
      </c>
      <c r="Z7972" s="19" t="str">
        <f>HYPERLINK("https://ssdweb.co/ssdweb/hd/Vision360.html?d=926750823&amp;zoomslide=1&amp;z=1926750823&amp;ISCONFIRM=0","VIDEO")</f>
        <v>VIDEO</v>
      </c>
      <c r="AA7972" s="19" t="str">
        <f>HYPERLINK("https://ssdweb.co/ssdweb/CERTH/651466283.pdf","CERTI")</f>
        <v>CERTI</v>
      </c>
    </row>
    <row r="7973" spans="1:27" ht="15" x14ac:dyDescent="0.25">
      <c r="A7973" s="2">
        <v>7968</v>
      </c>
      <c r="B7973" s="39">
        <v>926870881</v>
      </c>
      <c r="C7973" s="28" t="str">
        <f>HYPERLINK("https://pld.live/RapDetail.aspx?STONELIST=926870881","DNA")</f>
        <v>DNA</v>
      </c>
      <c r="D7973" s="18" t="s">
        <v>3054</v>
      </c>
      <c r="E7973" s="18" t="s">
        <v>5128</v>
      </c>
      <c r="F7973" s="2" t="s">
        <v>7987</v>
      </c>
      <c r="G7973" s="2" t="s">
        <v>4029</v>
      </c>
      <c r="H7973" s="14">
        <v>1.01</v>
      </c>
      <c r="I7973" s="2" t="s">
        <v>267</v>
      </c>
      <c r="J7973" s="2" t="s">
        <v>13</v>
      </c>
      <c r="K7973" s="2" t="s">
        <v>1452</v>
      </c>
      <c r="L7973" s="2" t="s">
        <v>5221</v>
      </c>
      <c r="M7973" s="2" t="s">
        <v>5221</v>
      </c>
      <c r="N7973" s="2" t="s">
        <v>2317</v>
      </c>
      <c r="O7973" s="14">
        <v>6700</v>
      </c>
      <c r="P7973" s="14">
        <v>98.42</v>
      </c>
      <c r="Q7973" s="14">
        <v>105.86</v>
      </c>
      <c r="R7973" s="14">
        <v>106.92</v>
      </c>
      <c r="S7973" s="2" t="s">
        <v>3647</v>
      </c>
      <c r="T7973" s="2">
        <v>1.32</v>
      </c>
      <c r="U7973" s="2">
        <v>68</v>
      </c>
      <c r="V7973" s="2">
        <v>62</v>
      </c>
      <c r="W7973" s="2" t="s">
        <v>7862</v>
      </c>
      <c r="X7973" s="2" t="s">
        <v>190</v>
      </c>
      <c r="Y7973" s="2">
        <v>6767</v>
      </c>
      <c r="Z7973" s="19" t="str">
        <f>HYPERLINK("https://ssdweb.co/ssdweb/hd/Vision360.html?d=926870881&amp;zoomslide=1&amp;z=1926870881&amp;ISCONFIRM=0","VIDEO")</f>
        <v>VIDEO</v>
      </c>
      <c r="AA7973" s="19" t="str">
        <f>HYPERLINK("https://ssdweb.co/ssdweb/CERTH/654432333.pdf","CERTI")</f>
        <v>CERTI</v>
      </c>
    </row>
    <row r="7974" spans="1:27" ht="15" x14ac:dyDescent="0.25">
      <c r="A7974" s="2">
        <v>7969</v>
      </c>
      <c r="B7974" s="39">
        <v>941430726</v>
      </c>
      <c r="C7974" s="28" t="str">
        <f>HYPERLINK("https://pld.live/RapDetail.aspx?STONELIST=941430726","DNA")</f>
        <v>DNA</v>
      </c>
      <c r="D7974" s="18" t="s">
        <v>3054</v>
      </c>
      <c r="E7974" s="18" t="s">
        <v>5128</v>
      </c>
      <c r="F7974" s="2" t="s">
        <v>7987</v>
      </c>
      <c r="G7974" s="2" t="s">
        <v>4029</v>
      </c>
      <c r="H7974" s="14">
        <v>1.01</v>
      </c>
      <c r="I7974" s="2" t="s">
        <v>267</v>
      </c>
      <c r="J7974" s="2" t="s">
        <v>5144</v>
      </c>
      <c r="K7974" s="2" t="s">
        <v>1452</v>
      </c>
      <c r="L7974" s="2" t="s">
        <v>5221</v>
      </c>
      <c r="M7974" s="2" t="s">
        <v>5221</v>
      </c>
      <c r="N7974" s="2" t="s">
        <v>2317</v>
      </c>
      <c r="O7974" s="14">
        <v>5700</v>
      </c>
      <c r="P7974" s="14">
        <v>98.14</v>
      </c>
      <c r="Q7974" s="14">
        <v>106.02</v>
      </c>
      <c r="R7974" s="14">
        <v>107.08</v>
      </c>
      <c r="S7974" s="2" t="s">
        <v>3850</v>
      </c>
      <c r="T7974" s="2">
        <v>1.28</v>
      </c>
      <c r="U7974" s="2">
        <v>66</v>
      </c>
      <c r="V7974" s="2">
        <v>63</v>
      </c>
      <c r="W7974" s="2" t="s">
        <v>7862</v>
      </c>
      <c r="X7974" s="2" t="s">
        <v>190</v>
      </c>
      <c r="Y7974" s="2">
        <v>5757</v>
      </c>
      <c r="Z7974" s="19" t="str">
        <f>HYPERLINK("https://ssdweb.co/ssdweb/hd/Vision360.html?d=941430726&amp;zoomslide=1&amp;z=1941430726&amp;ISCONFIRM=0","VIDEO")</f>
        <v>VIDEO</v>
      </c>
      <c r="AA7974" s="19" t="str">
        <f>HYPERLINK("https://ssdweb.co/ssdweb/CERTH/691552672.pdf","CERTI")</f>
        <v>CERTI</v>
      </c>
    </row>
    <row r="7975" spans="1:27" ht="15" x14ac:dyDescent="0.25">
      <c r="A7975" s="2">
        <v>7970</v>
      </c>
      <c r="B7975" s="39">
        <v>926841344</v>
      </c>
      <c r="C7975" s="28" t="str">
        <f>HYPERLINK("https://pld.live/RapDetail.aspx?STONELIST=926841344","DNA")</f>
        <v>DNA</v>
      </c>
      <c r="D7975" s="18" t="s">
        <v>3054</v>
      </c>
      <c r="E7975" s="18" t="s">
        <v>2186</v>
      </c>
      <c r="F7975" s="2" t="s">
        <v>7987</v>
      </c>
      <c r="G7975" s="2" t="s">
        <v>4029</v>
      </c>
      <c r="H7975" s="14">
        <v>1.01</v>
      </c>
      <c r="I7975" s="2" t="s">
        <v>4761</v>
      </c>
      <c r="J7975" s="2" t="s">
        <v>3942</v>
      </c>
      <c r="K7975" s="2" t="s">
        <v>1452</v>
      </c>
      <c r="L7975" s="2" t="s">
        <v>5221</v>
      </c>
      <c r="M7975" s="2" t="s">
        <v>5221</v>
      </c>
      <c r="N7975" s="2" t="s">
        <v>2317</v>
      </c>
      <c r="O7975" s="14">
        <v>6900</v>
      </c>
      <c r="P7975" s="14">
        <v>98.45</v>
      </c>
      <c r="Q7975" s="14">
        <v>106.95</v>
      </c>
      <c r="R7975" s="14">
        <v>108.02</v>
      </c>
      <c r="S7975" s="2" t="s">
        <v>3448</v>
      </c>
      <c r="T7975" s="2">
        <v>1.34</v>
      </c>
      <c r="U7975" s="2">
        <v>67.5</v>
      </c>
      <c r="V7975" s="2">
        <v>67</v>
      </c>
      <c r="W7975" s="2" t="s">
        <v>7862</v>
      </c>
      <c r="X7975" s="2" t="s">
        <v>190</v>
      </c>
      <c r="Y7975" s="2">
        <v>6969</v>
      </c>
      <c r="Z7975" s="19" t="str">
        <f>HYPERLINK("https://ssdweb.co/ssdweb/hd/Vision360.html?d=926841344&amp;zoomslide=1&amp;z=1926841344&amp;ISCONFIRM=0","VIDEO")</f>
        <v>VIDEO</v>
      </c>
      <c r="AA7975" s="19" t="str">
        <f>HYPERLINK("https://ssdweb.co/ssdweb/CERTH/659414315.pdf","CERTI")</f>
        <v>CERTI</v>
      </c>
    </row>
    <row r="7976" spans="1:27" ht="15" x14ac:dyDescent="0.25">
      <c r="A7976" s="2">
        <v>7971</v>
      </c>
      <c r="B7976" s="39">
        <v>927092137</v>
      </c>
      <c r="C7976" s="28" t="str">
        <f>HYPERLINK("https://pld.live/RapDetail.aspx?STONELIST=927092137","DNA")</f>
        <v>DNA</v>
      </c>
      <c r="D7976" s="18" t="s">
        <v>3054</v>
      </c>
      <c r="E7976" s="18" t="s">
        <v>5128</v>
      </c>
      <c r="F7976" s="2" t="s">
        <v>7987</v>
      </c>
      <c r="G7976" s="2" t="s">
        <v>4029</v>
      </c>
      <c r="H7976" s="14">
        <v>1.01</v>
      </c>
      <c r="I7976" s="2" t="s">
        <v>4761</v>
      </c>
      <c r="J7976" s="2" t="s">
        <v>3942</v>
      </c>
      <c r="K7976" s="2" t="s">
        <v>1452</v>
      </c>
      <c r="L7976" s="2" t="s">
        <v>5221</v>
      </c>
      <c r="M7976" s="2" t="s">
        <v>5221</v>
      </c>
      <c r="N7976" s="2" t="s">
        <v>2317</v>
      </c>
      <c r="O7976" s="14">
        <v>6900</v>
      </c>
      <c r="P7976" s="14">
        <v>98.42</v>
      </c>
      <c r="Q7976" s="14">
        <v>109.02</v>
      </c>
      <c r="R7976" s="14">
        <v>110.11</v>
      </c>
      <c r="S7976" s="2" t="s">
        <v>8033</v>
      </c>
      <c r="T7976" s="2">
        <v>1.36</v>
      </c>
      <c r="U7976" s="2">
        <v>63.8</v>
      </c>
      <c r="V7976" s="2">
        <v>67</v>
      </c>
      <c r="W7976" s="2" t="s">
        <v>7862</v>
      </c>
      <c r="X7976" s="2" t="s">
        <v>190</v>
      </c>
      <c r="Y7976" s="2">
        <v>6969</v>
      </c>
      <c r="Z7976" s="19" t="str">
        <f>HYPERLINK("https://ssdweb.co/ssdweb/hd/Vision360.html?d=927092137&amp;zoomslide=1&amp;z=1927092137&amp;ISCONFIRM=0","VIDEO")</f>
        <v>VIDEO</v>
      </c>
      <c r="AA7976" s="19" t="str">
        <f>HYPERLINK("https://ssdweb.co/ssdweb/CERTH/665453174.pdf","CERTI")</f>
        <v>CERTI</v>
      </c>
    </row>
    <row r="7977" spans="1:27" ht="15" x14ac:dyDescent="0.25">
      <c r="A7977" s="2">
        <v>7972</v>
      </c>
      <c r="B7977" s="39">
        <v>941040514</v>
      </c>
      <c r="C7977" s="28" t="str">
        <f>HYPERLINK("https://pld.live/RapDetail.aspx?STONELIST=941040514","DNA")</f>
        <v>DNA</v>
      </c>
      <c r="D7977" s="18" t="s">
        <v>3054</v>
      </c>
      <c r="E7977" s="18" t="s">
        <v>5128</v>
      </c>
      <c r="F7977" s="2" t="s">
        <v>7987</v>
      </c>
      <c r="G7977" s="2" t="s">
        <v>4029</v>
      </c>
      <c r="H7977" s="14">
        <v>1.01</v>
      </c>
      <c r="I7977" s="2" t="s">
        <v>4761</v>
      </c>
      <c r="J7977" s="2" t="s">
        <v>13</v>
      </c>
      <c r="K7977" s="2" t="s">
        <v>1452</v>
      </c>
      <c r="L7977" s="2" t="s">
        <v>5221</v>
      </c>
      <c r="M7977" s="2" t="s">
        <v>5221</v>
      </c>
      <c r="N7977" s="2" t="s">
        <v>2317</v>
      </c>
      <c r="O7977" s="14">
        <v>6200</v>
      </c>
      <c r="P7977" s="14">
        <v>98.26</v>
      </c>
      <c r="Q7977" s="14">
        <v>107.88</v>
      </c>
      <c r="R7977" s="14">
        <v>108.96</v>
      </c>
      <c r="S7977" s="2" t="s">
        <v>1518</v>
      </c>
      <c r="T7977" s="2">
        <v>1.36</v>
      </c>
      <c r="U7977" s="2">
        <v>65.2</v>
      </c>
      <c r="V7977" s="2">
        <v>63</v>
      </c>
      <c r="W7977" s="2" t="s">
        <v>7862</v>
      </c>
      <c r="X7977" s="2" t="s">
        <v>190</v>
      </c>
      <c r="Y7977" s="2">
        <v>6262</v>
      </c>
      <c r="Z7977" s="19" t="str">
        <f>HYPERLINK("https://ssdweb.co/ssdweb/hd/Vision360.html?d=941040514&amp;zoomslide=1&amp;z=1941040514&amp;ISCONFIRM=0","VIDEO")</f>
        <v>VIDEO</v>
      </c>
      <c r="AA7977" s="19" t="str">
        <f>HYPERLINK("https://ssdweb.co/ssdweb/CERTH/669458237.pdf","CERTI")</f>
        <v>CERTI</v>
      </c>
    </row>
    <row r="7978" spans="1:27" ht="15" x14ac:dyDescent="0.25">
      <c r="A7978" s="2">
        <v>7973</v>
      </c>
      <c r="B7978" s="39">
        <v>927140064</v>
      </c>
      <c r="C7978" s="28" t="str">
        <f>HYPERLINK("https://pld.live/RapDetail.aspx?STONELIST=927140064","DNA")</f>
        <v>DNA</v>
      </c>
      <c r="D7978" s="18" t="s">
        <v>3054</v>
      </c>
      <c r="E7978" s="18" t="s">
        <v>2186</v>
      </c>
      <c r="F7978" s="2" t="s">
        <v>7987</v>
      </c>
      <c r="G7978" s="2" t="s">
        <v>4029</v>
      </c>
      <c r="H7978" s="14">
        <v>1.01</v>
      </c>
      <c r="I7978" s="2" t="s">
        <v>4699</v>
      </c>
      <c r="J7978" s="2" t="s">
        <v>3942</v>
      </c>
      <c r="K7978" s="2" t="s">
        <v>1452</v>
      </c>
      <c r="L7978" s="2" t="s">
        <v>5221</v>
      </c>
      <c r="M7978" s="2" t="s">
        <v>5221</v>
      </c>
      <c r="N7978" s="2" t="s">
        <v>2317</v>
      </c>
      <c r="O7978" s="14">
        <v>6400</v>
      </c>
      <c r="P7978" s="14">
        <v>98.33</v>
      </c>
      <c r="Q7978" s="14">
        <v>106.88</v>
      </c>
      <c r="R7978" s="14">
        <v>107.95</v>
      </c>
      <c r="S7978" s="2" t="s">
        <v>4858</v>
      </c>
      <c r="T7978" s="2">
        <v>1.36</v>
      </c>
      <c r="U7978" s="2">
        <v>64.099999999999994</v>
      </c>
      <c r="V7978" s="2">
        <v>67</v>
      </c>
      <c r="W7978" s="2" t="s">
        <v>7862</v>
      </c>
      <c r="X7978" s="2" t="s">
        <v>190</v>
      </c>
      <c r="Y7978" s="2">
        <v>6464</v>
      </c>
      <c r="Z7978" s="19" t="str">
        <f>HYPERLINK("https://ssdweb.co/ssdweb/hd/Vision360.html?d=927140064&amp;zoomslide=1&amp;z=1927140064&amp;ISCONFIRM=0","VIDEO")</f>
        <v>VIDEO</v>
      </c>
      <c r="AA7978" s="19" t="str">
        <f>HYPERLINK("https://ssdweb.co/ssdweb/CERTH/668477341.pdf","CERTI")</f>
        <v>CERTI</v>
      </c>
    </row>
    <row r="7979" spans="1:27" ht="15" x14ac:dyDescent="0.25">
      <c r="A7979" s="2">
        <v>7974</v>
      </c>
      <c r="B7979" s="39">
        <v>924780165</v>
      </c>
      <c r="C7979" s="28" t="str">
        <f>HYPERLINK("https://pld.live/RapDetail.aspx?STONELIST=924780165","DNA")</f>
        <v>DNA</v>
      </c>
      <c r="D7979" s="18" t="s">
        <v>3054</v>
      </c>
      <c r="E7979" s="18" t="s">
        <v>2186</v>
      </c>
      <c r="F7979" s="2" t="s">
        <v>7987</v>
      </c>
      <c r="G7979" s="2" t="s">
        <v>4029</v>
      </c>
      <c r="H7979" s="14">
        <v>1.01</v>
      </c>
      <c r="I7979" s="2" t="s">
        <v>6587</v>
      </c>
      <c r="J7979" s="2" t="s">
        <v>3942</v>
      </c>
      <c r="K7979" s="2" t="s">
        <v>1452</v>
      </c>
      <c r="L7979" s="2" t="s">
        <v>5221</v>
      </c>
      <c r="M7979" s="2" t="s">
        <v>5221</v>
      </c>
      <c r="N7979" s="2" t="s">
        <v>2317</v>
      </c>
      <c r="O7979" s="14">
        <v>5800</v>
      </c>
      <c r="P7979" s="14">
        <v>98.28</v>
      </c>
      <c r="Q7979" s="14">
        <v>99.76</v>
      </c>
      <c r="R7979" s="14">
        <v>100.76</v>
      </c>
      <c r="S7979" s="2" t="s">
        <v>5603</v>
      </c>
      <c r="T7979" s="2">
        <v>1.31</v>
      </c>
      <c r="U7979" s="2">
        <v>67.7</v>
      </c>
      <c r="V7979" s="2">
        <v>64</v>
      </c>
      <c r="W7979" s="2" t="s">
        <v>7862</v>
      </c>
      <c r="X7979" s="2" t="s">
        <v>190</v>
      </c>
      <c r="Y7979" s="2">
        <v>5858</v>
      </c>
      <c r="Z7979" s="19" t="str">
        <f>HYPERLINK("https://ssdweb.co/ssdweb/hd/Vision360.html?d=924780165&amp;zoomslide=1&amp;z=1924780165&amp;ISCONFIRM=0","VIDEO")</f>
        <v>VIDEO</v>
      </c>
      <c r="AA7979" s="19" t="str">
        <f>HYPERLINK("https://ssdweb.co/ssdweb/CERTH/600385202.pdf","CERTI")</f>
        <v>CERTI</v>
      </c>
    </row>
    <row r="7980" spans="1:27" ht="15" x14ac:dyDescent="0.25">
      <c r="A7980" s="2">
        <v>7975</v>
      </c>
      <c r="B7980" s="39">
        <v>923700393</v>
      </c>
      <c r="C7980" s="28" t="str">
        <f>HYPERLINK("https://pld.live/RapDetail.aspx?STONELIST=923700393","DNA")</f>
        <v>DNA</v>
      </c>
      <c r="D7980" s="18" t="s">
        <v>3054</v>
      </c>
      <c r="E7980" s="18" t="s">
        <v>2186</v>
      </c>
      <c r="F7980" s="2" t="s">
        <v>7987</v>
      </c>
      <c r="G7980" s="2" t="s">
        <v>4029</v>
      </c>
      <c r="H7980" s="14">
        <v>1.01</v>
      </c>
      <c r="I7980" s="2" t="s">
        <v>6587</v>
      </c>
      <c r="J7980" s="2" t="s">
        <v>3942</v>
      </c>
      <c r="K7980" s="2" t="s">
        <v>1452</v>
      </c>
      <c r="L7980" s="2" t="s">
        <v>5221</v>
      </c>
      <c r="M7980" s="2" t="s">
        <v>5221</v>
      </c>
      <c r="N7980" s="2" t="s">
        <v>2317</v>
      </c>
      <c r="O7980" s="14">
        <v>5800</v>
      </c>
      <c r="P7980" s="14">
        <v>98.28</v>
      </c>
      <c r="Q7980" s="14">
        <v>99.76</v>
      </c>
      <c r="R7980" s="14">
        <v>100.76</v>
      </c>
      <c r="S7980" s="2" t="s">
        <v>5376</v>
      </c>
      <c r="T7980" s="2">
        <v>1.28</v>
      </c>
      <c r="U7980" s="2">
        <v>68.099999999999994</v>
      </c>
      <c r="V7980" s="2">
        <v>66</v>
      </c>
      <c r="W7980" s="2" t="s">
        <v>7862</v>
      </c>
      <c r="X7980" s="2" t="s">
        <v>190</v>
      </c>
      <c r="Y7980" s="2">
        <v>5858</v>
      </c>
      <c r="Z7980" s="19" t="str">
        <f>HYPERLINK("https://ssdweb.co/ssdweb/hd/Vision360.html?d=923700393&amp;zoomslide=1&amp;z=1923700393&amp;ISCONFIRM=0","VIDEO")</f>
        <v>VIDEO</v>
      </c>
      <c r="AA7980" s="19" t="str">
        <f>HYPERLINK("https://ssdweb.co/ssdweb/CERTH/566398123.pdf","CERTI")</f>
        <v>CERTI</v>
      </c>
    </row>
    <row r="7981" spans="1:27" ht="15" x14ac:dyDescent="0.25">
      <c r="A7981" s="2">
        <v>7976</v>
      </c>
      <c r="B7981" s="39">
        <v>927140061</v>
      </c>
      <c r="C7981" s="28" t="str">
        <f>HYPERLINK("https://pld.live/RapDetail.aspx?STONELIST=927140061","DNA")</f>
        <v>DNA</v>
      </c>
      <c r="D7981" s="18" t="s">
        <v>3054</v>
      </c>
      <c r="E7981" s="18" t="s">
        <v>2186</v>
      </c>
      <c r="F7981" s="2" t="s">
        <v>7987</v>
      </c>
      <c r="G7981" s="2" t="s">
        <v>4029</v>
      </c>
      <c r="H7981" s="14">
        <v>1.01</v>
      </c>
      <c r="I7981" s="2" t="s">
        <v>6587</v>
      </c>
      <c r="J7981" s="2" t="s">
        <v>13</v>
      </c>
      <c r="K7981" s="2" t="s">
        <v>1452</v>
      </c>
      <c r="L7981" s="2" t="s">
        <v>5221</v>
      </c>
      <c r="M7981" s="2" t="s">
        <v>5221</v>
      </c>
      <c r="N7981" s="2" t="s">
        <v>2317</v>
      </c>
      <c r="O7981" s="14">
        <v>5400</v>
      </c>
      <c r="P7981" s="14">
        <v>98.2</v>
      </c>
      <c r="Q7981" s="14">
        <v>97.2</v>
      </c>
      <c r="R7981" s="14">
        <v>98.17</v>
      </c>
      <c r="S7981" s="2" t="s">
        <v>7518</v>
      </c>
      <c r="T7981" s="2">
        <v>1.35</v>
      </c>
      <c r="U7981" s="2">
        <v>67.7</v>
      </c>
      <c r="V7981" s="2">
        <v>68</v>
      </c>
      <c r="W7981" s="2" t="s">
        <v>7862</v>
      </c>
      <c r="X7981" s="2" t="s">
        <v>190</v>
      </c>
      <c r="Y7981" s="2">
        <v>5454</v>
      </c>
      <c r="Z7981" s="19" t="str">
        <f>HYPERLINK("https://ssdweb.co/ssdweb/hd/Vision360.html?d=927140061&amp;zoomslide=1&amp;z=1927140061&amp;ISCONFIRM=0","VIDEO")</f>
        <v>VIDEO</v>
      </c>
      <c r="AA7981" s="19" t="str">
        <f>HYPERLINK("https://ssdweb.co/ssdweb/CERTH/668447812.pdf","CERTI")</f>
        <v>CERTI</v>
      </c>
    </row>
    <row r="7982" spans="1:27" ht="15" x14ac:dyDescent="0.25">
      <c r="A7982" s="2">
        <v>7977</v>
      </c>
      <c r="B7982" s="39">
        <v>927152002</v>
      </c>
      <c r="C7982" s="28" t="str">
        <f>HYPERLINK("https://pld.live/RapDetail.aspx?STONELIST=927152002","DNA")</f>
        <v>DNA</v>
      </c>
      <c r="D7982" s="18" t="s">
        <v>3054</v>
      </c>
      <c r="E7982" s="18" t="s">
        <v>5128</v>
      </c>
      <c r="F7982" s="2" t="s">
        <v>7987</v>
      </c>
      <c r="G7982" s="2" t="s">
        <v>4029</v>
      </c>
      <c r="H7982" s="14">
        <v>1</v>
      </c>
      <c r="I7982" s="2" t="s">
        <v>267</v>
      </c>
      <c r="J7982" s="2" t="s">
        <v>3942</v>
      </c>
      <c r="K7982" s="2" t="s">
        <v>1452</v>
      </c>
      <c r="L7982" s="2" t="s">
        <v>5221</v>
      </c>
      <c r="M7982" s="2" t="s">
        <v>5221</v>
      </c>
      <c r="N7982" s="2" t="s">
        <v>2317</v>
      </c>
      <c r="O7982" s="14">
        <v>7600</v>
      </c>
      <c r="P7982" s="14">
        <v>98.51</v>
      </c>
      <c r="Q7982" s="14">
        <v>113.24</v>
      </c>
      <c r="R7982" s="14">
        <v>113.24</v>
      </c>
      <c r="S7982" s="2" t="s">
        <v>5553</v>
      </c>
      <c r="T7982" s="2">
        <v>1.29</v>
      </c>
      <c r="U7982" s="2">
        <v>66.099999999999994</v>
      </c>
      <c r="V7982" s="2">
        <v>63</v>
      </c>
      <c r="W7982" s="2" t="s">
        <v>7862</v>
      </c>
      <c r="X7982" s="2" t="s">
        <v>190</v>
      </c>
      <c r="Y7982" s="2">
        <v>7600</v>
      </c>
      <c r="Z7982" s="19" t="str">
        <f>HYPERLINK("https://ssdweb.co/ssdweb/hd/Vision360.html?d=927152002&amp;zoomslide=1&amp;z=1927152002&amp;ISCONFIRM=0","VIDEO")</f>
        <v>VIDEO</v>
      </c>
      <c r="AA7982" s="19" t="str">
        <f>HYPERLINK("https://ssdweb.co/ssdweb/CERTH/668477326.pdf","CERTI")</f>
        <v>CERTI</v>
      </c>
    </row>
    <row r="7983" spans="1:27" ht="15" x14ac:dyDescent="0.25">
      <c r="A7983" s="2">
        <v>7978</v>
      </c>
      <c r="B7983" s="39">
        <v>927151988</v>
      </c>
      <c r="C7983" s="28" t="str">
        <f>HYPERLINK("https://pld.live/RapDetail.aspx?STONELIST=927151988","DNA")</f>
        <v>DNA</v>
      </c>
      <c r="D7983" s="18" t="s">
        <v>3054</v>
      </c>
      <c r="E7983" s="18" t="s">
        <v>5128</v>
      </c>
      <c r="F7983" s="2" t="s">
        <v>7987</v>
      </c>
      <c r="G7983" s="2" t="s">
        <v>4029</v>
      </c>
      <c r="H7983" s="14">
        <v>1</v>
      </c>
      <c r="I7983" s="2" t="s">
        <v>267</v>
      </c>
      <c r="J7983" s="2" t="s">
        <v>3942</v>
      </c>
      <c r="K7983" s="2" t="s">
        <v>1452</v>
      </c>
      <c r="L7983" s="2" t="s">
        <v>5221</v>
      </c>
      <c r="M7983" s="2" t="s">
        <v>5221</v>
      </c>
      <c r="N7983" s="2" t="s">
        <v>2317</v>
      </c>
      <c r="O7983" s="14">
        <v>7600</v>
      </c>
      <c r="P7983" s="14">
        <v>98.51</v>
      </c>
      <c r="Q7983" s="14">
        <v>113.24</v>
      </c>
      <c r="R7983" s="14">
        <v>113.24</v>
      </c>
      <c r="S7983" s="2" t="s">
        <v>4136</v>
      </c>
      <c r="T7983" s="2">
        <v>1.32</v>
      </c>
      <c r="U7983" s="2">
        <v>64.900000000000006</v>
      </c>
      <c r="V7983" s="2">
        <v>59</v>
      </c>
      <c r="W7983" s="2" t="s">
        <v>7862</v>
      </c>
      <c r="X7983" s="2" t="s">
        <v>190</v>
      </c>
      <c r="Y7983" s="2">
        <v>7600</v>
      </c>
      <c r="Z7983" s="19" t="str">
        <f>HYPERLINK("https://ssdweb.co/ssdweb/hd/Vision360.html?d=927151988&amp;zoomslide=1&amp;z=1927151988&amp;ISCONFIRM=0","VIDEO")</f>
        <v>VIDEO</v>
      </c>
      <c r="AA7983" s="19" t="str">
        <f>HYPERLINK("https://ssdweb.co/ssdweb/CERTH/668477324.pdf","CERTI")</f>
        <v>CERTI</v>
      </c>
    </row>
    <row r="7984" spans="1:27" ht="15" x14ac:dyDescent="0.25">
      <c r="A7984" s="2">
        <v>7979</v>
      </c>
      <c r="B7984" s="39">
        <v>941020711</v>
      </c>
      <c r="C7984" s="28" t="str">
        <f>HYPERLINK("https://pld.live/RapDetail.aspx?STONELIST=941020711","DNA")</f>
        <v>DNA</v>
      </c>
      <c r="D7984" s="18" t="s">
        <v>3054</v>
      </c>
      <c r="E7984" s="18" t="s">
        <v>5128</v>
      </c>
      <c r="F7984" s="2" t="s">
        <v>7987</v>
      </c>
      <c r="G7984" s="2" t="s">
        <v>4029</v>
      </c>
      <c r="H7984" s="14">
        <v>1</v>
      </c>
      <c r="I7984" s="2" t="s">
        <v>267</v>
      </c>
      <c r="J7984" s="2" t="s">
        <v>3942</v>
      </c>
      <c r="K7984" s="2" t="s">
        <v>1452</v>
      </c>
      <c r="L7984" s="2" t="s">
        <v>5221</v>
      </c>
      <c r="M7984" s="2" t="s">
        <v>5221</v>
      </c>
      <c r="N7984" s="2" t="s">
        <v>2317</v>
      </c>
      <c r="O7984" s="14">
        <v>7600</v>
      </c>
      <c r="P7984" s="14">
        <v>98.51</v>
      </c>
      <c r="Q7984" s="14">
        <v>113.24</v>
      </c>
      <c r="R7984" s="14">
        <v>113.24</v>
      </c>
      <c r="S7984" s="2" t="s">
        <v>1904</v>
      </c>
      <c r="T7984" s="2">
        <v>1.31</v>
      </c>
      <c r="U7984" s="2">
        <v>67.5</v>
      </c>
      <c r="V7984" s="2">
        <v>66</v>
      </c>
      <c r="W7984" s="2" t="s">
        <v>7862</v>
      </c>
      <c r="X7984" s="2" t="s">
        <v>190</v>
      </c>
      <c r="Y7984" s="2">
        <v>7600</v>
      </c>
      <c r="Z7984" s="19" t="str">
        <f>HYPERLINK("https://ssdweb.co/ssdweb/hd/Vision360.html?d=941020711&amp;zoomslide=1&amp;z=1941020711&amp;ISCONFIRM=0","VIDEO")</f>
        <v>VIDEO</v>
      </c>
      <c r="AA7984" s="19" t="str">
        <f>HYPERLINK("https://ssdweb.co/ssdweb/CERTH/668447817.pdf","CERTI")</f>
        <v>CERTI</v>
      </c>
    </row>
    <row r="7985" spans="1:27" ht="15" x14ac:dyDescent="0.25">
      <c r="A7985" s="2">
        <v>7980</v>
      </c>
      <c r="B7985" s="39">
        <v>927052459</v>
      </c>
      <c r="C7985" s="28" t="str">
        <f>HYPERLINK("https://pld.live/RapDetail.aspx?STONELIST=927052459","DNA")</f>
        <v>DNA</v>
      </c>
      <c r="D7985" s="18" t="s">
        <v>3054</v>
      </c>
      <c r="E7985" s="18" t="s">
        <v>5128</v>
      </c>
      <c r="F7985" s="2" t="s">
        <v>7987</v>
      </c>
      <c r="G7985" s="2" t="s">
        <v>4029</v>
      </c>
      <c r="H7985" s="14">
        <v>1</v>
      </c>
      <c r="I7985" s="2" t="s">
        <v>267</v>
      </c>
      <c r="J7985" s="2" t="s">
        <v>3942</v>
      </c>
      <c r="K7985" s="2" t="s">
        <v>1452</v>
      </c>
      <c r="L7985" s="2" t="s">
        <v>5221</v>
      </c>
      <c r="M7985" s="2" t="s">
        <v>5221</v>
      </c>
      <c r="N7985" s="2" t="s">
        <v>2317</v>
      </c>
      <c r="O7985" s="14">
        <v>7600</v>
      </c>
      <c r="P7985" s="14">
        <v>98.51</v>
      </c>
      <c r="Q7985" s="14">
        <v>113.24</v>
      </c>
      <c r="R7985" s="14">
        <v>113.24</v>
      </c>
      <c r="S7985" s="2" t="s">
        <v>7150</v>
      </c>
      <c r="T7985" s="2">
        <v>1.35</v>
      </c>
      <c r="U7985" s="2">
        <v>65.8</v>
      </c>
      <c r="V7985" s="2">
        <v>63</v>
      </c>
      <c r="W7985" s="2" t="s">
        <v>7862</v>
      </c>
      <c r="X7985" s="2" t="s">
        <v>190</v>
      </c>
      <c r="Y7985" s="2">
        <v>7600</v>
      </c>
      <c r="Z7985" s="19" t="str">
        <f>HYPERLINK("https://ssdweb.co/ssdweb/hd/Vision360.html?d=927052459&amp;zoomslide=1&amp;z=1927052459&amp;ISCONFIRM=0","VIDEO")</f>
        <v>VIDEO</v>
      </c>
      <c r="AA7985" s="19" t="str">
        <f>HYPERLINK("https://ssdweb.co/ssdweb/CERTH/665453165.pdf","CERTI")</f>
        <v>CERTI</v>
      </c>
    </row>
    <row r="7986" spans="1:27" ht="15" x14ac:dyDescent="0.25">
      <c r="A7986" s="2">
        <v>7981</v>
      </c>
      <c r="B7986" s="39">
        <v>926871120</v>
      </c>
      <c r="C7986" s="28" t="str">
        <f>HYPERLINK("https://pld.live/RapDetail.aspx?STONELIST=926871120","DNA")</f>
        <v>DNA</v>
      </c>
      <c r="D7986" s="18" t="s">
        <v>3054</v>
      </c>
      <c r="E7986" s="18" t="s">
        <v>5128</v>
      </c>
      <c r="F7986" s="2" t="s">
        <v>5597</v>
      </c>
      <c r="G7986" s="2" t="s">
        <v>4029</v>
      </c>
      <c r="H7986" s="14">
        <v>1</v>
      </c>
      <c r="I7986" s="2" t="s">
        <v>267</v>
      </c>
      <c r="J7986" s="2" t="s">
        <v>3942</v>
      </c>
      <c r="K7986" s="2" t="s">
        <v>1452</v>
      </c>
      <c r="L7986" s="2" t="s">
        <v>5221</v>
      </c>
      <c r="M7986" s="2" t="s">
        <v>5721</v>
      </c>
      <c r="N7986" s="2" t="s">
        <v>2317</v>
      </c>
      <c r="O7986" s="14">
        <v>7600</v>
      </c>
      <c r="P7986" s="14">
        <v>97.43</v>
      </c>
      <c r="Q7986" s="14">
        <v>195.32</v>
      </c>
      <c r="R7986" s="14">
        <v>195.32</v>
      </c>
      <c r="S7986" s="2" t="s">
        <v>191</v>
      </c>
      <c r="T7986" s="2">
        <v>1.4</v>
      </c>
      <c r="U7986" s="2">
        <v>67.7</v>
      </c>
      <c r="V7986" s="2">
        <v>65</v>
      </c>
      <c r="W7986" s="2" t="s">
        <v>7862</v>
      </c>
      <c r="X7986" s="2" t="s">
        <v>3698</v>
      </c>
      <c r="Y7986" s="2">
        <v>7600</v>
      </c>
      <c r="Z7986" s="19" t="str">
        <f>HYPERLINK("https://ssdweb.co/ssdweb/hd/Vision360.html?d=926871120&amp;zoomslide=1&amp;z=1926871120&amp;ISCONFIRM=0","VIDEO")</f>
        <v>VIDEO</v>
      </c>
      <c r="AA7986" s="19" t="str">
        <f>HYPERLINK("https://ssdweb.co/ssdweb/CERTH/1505630179.pdf","CERTI")</f>
        <v>CERTI</v>
      </c>
    </row>
    <row r="7987" spans="1:27" ht="15" x14ac:dyDescent="0.25">
      <c r="A7987" s="2">
        <v>7982</v>
      </c>
      <c r="B7987" s="39">
        <v>926921398</v>
      </c>
      <c r="C7987" s="28" t="str">
        <f>HYPERLINK("https://pld.live/RapDetail.aspx?STONELIST=926921398","DNA")</f>
        <v>DNA</v>
      </c>
      <c r="D7987" s="18" t="s">
        <v>3054</v>
      </c>
      <c r="E7987" s="18" t="s">
        <v>2186</v>
      </c>
      <c r="F7987" s="2" t="s">
        <v>7987</v>
      </c>
      <c r="G7987" s="2" t="s">
        <v>4029</v>
      </c>
      <c r="H7987" s="14">
        <v>1</v>
      </c>
      <c r="I7987" s="2" t="s">
        <v>267</v>
      </c>
      <c r="J7987" s="2" t="s">
        <v>13</v>
      </c>
      <c r="K7987" s="2" t="s">
        <v>1452</v>
      </c>
      <c r="L7987" s="2" t="s">
        <v>5221</v>
      </c>
      <c r="M7987" s="2" t="s">
        <v>5221</v>
      </c>
      <c r="N7987" s="2" t="s">
        <v>2317</v>
      </c>
      <c r="O7987" s="14">
        <v>6700</v>
      </c>
      <c r="P7987" s="14">
        <v>98.42</v>
      </c>
      <c r="Q7987" s="14">
        <v>105.86</v>
      </c>
      <c r="R7987" s="14">
        <v>105.86</v>
      </c>
      <c r="S7987" s="2" t="s">
        <v>3712</v>
      </c>
      <c r="T7987" s="2">
        <v>1.33</v>
      </c>
      <c r="U7987" s="2">
        <v>67.099999999999994</v>
      </c>
      <c r="V7987" s="2">
        <v>66</v>
      </c>
      <c r="W7987" s="2" t="s">
        <v>7862</v>
      </c>
      <c r="X7987" s="2" t="s">
        <v>190</v>
      </c>
      <c r="Y7987" s="2">
        <v>6700</v>
      </c>
      <c r="Z7987" s="19" t="str">
        <f>HYPERLINK("https://ssdweb.co/ssdweb/hd/Vision360.html?d=926921398&amp;zoomslide=1&amp;z=1926921398&amp;ISCONFIRM=0","VIDEO")</f>
        <v>VIDEO</v>
      </c>
      <c r="AA7987" s="19" t="str">
        <f>HYPERLINK("https://ssdweb.co/ssdweb/CERTH/659436975.pdf","CERTI")</f>
        <v>CERTI</v>
      </c>
    </row>
    <row r="7988" spans="1:27" ht="15" x14ac:dyDescent="0.25">
      <c r="A7988" s="2">
        <v>7983</v>
      </c>
      <c r="B7988" s="39">
        <v>927130426</v>
      </c>
      <c r="C7988" s="28" t="str">
        <f>HYPERLINK("https://pld.live/RapDetail.aspx?STONELIST=927130426","DNA")</f>
        <v>DNA</v>
      </c>
      <c r="D7988" s="18" t="s">
        <v>3054</v>
      </c>
      <c r="E7988" s="18" t="s">
        <v>5128</v>
      </c>
      <c r="F7988" s="2" t="s">
        <v>7987</v>
      </c>
      <c r="G7988" s="2" t="s">
        <v>4029</v>
      </c>
      <c r="H7988" s="14">
        <v>1</v>
      </c>
      <c r="I7988" s="2" t="s">
        <v>267</v>
      </c>
      <c r="J7988" s="2" t="s">
        <v>13</v>
      </c>
      <c r="K7988" s="2" t="s">
        <v>1452</v>
      </c>
      <c r="L7988" s="2" t="s">
        <v>5221</v>
      </c>
      <c r="M7988" s="2" t="s">
        <v>5221</v>
      </c>
      <c r="N7988" s="2" t="s">
        <v>2317</v>
      </c>
      <c r="O7988" s="14">
        <v>6700</v>
      </c>
      <c r="P7988" s="14">
        <v>98.39</v>
      </c>
      <c r="Q7988" s="14">
        <v>107.87</v>
      </c>
      <c r="R7988" s="14">
        <v>107.87</v>
      </c>
      <c r="S7988" s="2" t="s">
        <v>1710</v>
      </c>
      <c r="T7988" s="2">
        <v>1.3</v>
      </c>
      <c r="U7988" s="2">
        <v>67.900000000000006</v>
      </c>
      <c r="V7988" s="2">
        <v>66</v>
      </c>
      <c r="W7988" s="2" t="s">
        <v>7862</v>
      </c>
      <c r="X7988" s="2" t="s">
        <v>190</v>
      </c>
      <c r="Y7988" s="2">
        <v>6700</v>
      </c>
      <c r="Z7988" s="19" t="str">
        <f>HYPERLINK("https://ssdweb.co/ssdweb/hd/Vision360.html?d=927130426&amp;zoomslide=1&amp;z=1927130426&amp;ISCONFIRM=0","VIDEO")</f>
        <v>VIDEO</v>
      </c>
      <c r="AA7988" s="19" t="str">
        <f>HYPERLINK("https://ssdweb.co/ssdweb/CERTH/667433063.pdf","CERTI")</f>
        <v>CERTI</v>
      </c>
    </row>
    <row r="7989" spans="1:27" ht="15" x14ac:dyDescent="0.25">
      <c r="A7989" s="2">
        <v>7984</v>
      </c>
      <c r="B7989" s="39">
        <v>941070526</v>
      </c>
      <c r="C7989" s="28" t="str">
        <f>HYPERLINK("https://pld.live/RapDetail.aspx?STONELIST=941070526","DNA")</f>
        <v>DNA</v>
      </c>
      <c r="D7989" s="18" t="s">
        <v>3054</v>
      </c>
      <c r="E7989" s="18" t="s">
        <v>5128</v>
      </c>
      <c r="F7989" s="2" t="s">
        <v>7987</v>
      </c>
      <c r="G7989" s="2" t="s">
        <v>4029</v>
      </c>
      <c r="H7989" s="14">
        <v>1</v>
      </c>
      <c r="I7989" s="2" t="s">
        <v>267</v>
      </c>
      <c r="J7989" s="2" t="s">
        <v>13</v>
      </c>
      <c r="K7989" s="2" t="s">
        <v>1452</v>
      </c>
      <c r="L7989" s="2" t="s">
        <v>5221</v>
      </c>
      <c r="M7989" s="2" t="s">
        <v>5221</v>
      </c>
      <c r="N7989" s="2" t="s">
        <v>2317</v>
      </c>
      <c r="O7989" s="14">
        <v>6700</v>
      </c>
      <c r="P7989" s="14">
        <v>98.36</v>
      </c>
      <c r="Q7989" s="14">
        <v>109.88</v>
      </c>
      <c r="R7989" s="14">
        <v>109.88</v>
      </c>
      <c r="S7989" s="2" t="s">
        <v>7197</v>
      </c>
      <c r="T7989" s="2">
        <v>1.28</v>
      </c>
      <c r="U7989" s="2">
        <v>66</v>
      </c>
      <c r="V7989" s="2">
        <v>65</v>
      </c>
      <c r="W7989" s="2" t="s">
        <v>7862</v>
      </c>
      <c r="X7989" s="2" t="s">
        <v>190</v>
      </c>
      <c r="Y7989" s="2">
        <v>6700</v>
      </c>
      <c r="Z7989" s="19" t="str">
        <f>HYPERLINK("https://ssdweb.co/ssdweb/hd/Vision360.html?d=941070526&amp;zoomslide=1&amp;z=1941070526&amp;ISCONFIRM=0","VIDEO")</f>
        <v>VIDEO</v>
      </c>
      <c r="AA7989" s="19" t="str">
        <f>HYPERLINK("https://ssdweb.co/ssdweb/CERTH/669458247.pdf","CERTI")</f>
        <v>CERTI</v>
      </c>
    </row>
    <row r="7990" spans="1:27" ht="15" x14ac:dyDescent="0.25">
      <c r="A7990" s="2">
        <v>7985</v>
      </c>
      <c r="B7990" s="39">
        <v>926831123</v>
      </c>
      <c r="C7990" s="28" t="str">
        <f>HYPERLINK("https://pld.live/RapDetail.aspx?STONELIST=926831123","DNA")</f>
        <v>DNA</v>
      </c>
      <c r="D7990" s="18" t="s">
        <v>3054</v>
      </c>
      <c r="E7990" s="18" t="s">
        <v>5128</v>
      </c>
      <c r="F7990" s="2" t="s">
        <v>7987</v>
      </c>
      <c r="G7990" s="2" t="s">
        <v>4029</v>
      </c>
      <c r="H7990" s="14">
        <v>1</v>
      </c>
      <c r="I7990" s="2" t="s">
        <v>4761</v>
      </c>
      <c r="J7990" s="2" t="s">
        <v>3942</v>
      </c>
      <c r="K7990" s="2" t="s">
        <v>1452</v>
      </c>
      <c r="L7990" s="2" t="s">
        <v>5221</v>
      </c>
      <c r="M7990" s="2" t="s">
        <v>5221</v>
      </c>
      <c r="N7990" s="2" t="s">
        <v>2317</v>
      </c>
      <c r="O7990" s="14">
        <v>6900</v>
      </c>
      <c r="P7990" s="14">
        <v>98.45</v>
      </c>
      <c r="Q7990" s="14">
        <v>106.95</v>
      </c>
      <c r="R7990" s="14">
        <v>106.95</v>
      </c>
      <c r="S7990" s="2" t="s">
        <v>1515</v>
      </c>
      <c r="T7990" s="2">
        <v>1.35</v>
      </c>
      <c r="U7990" s="2">
        <v>66.5</v>
      </c>
      <c r="V7990" s="2">
        <v>67</v>
      </c>
      <c r="W7990" s="2" t="s">
        <v>7862</v>
      </c>
      <c r="X7990" s="2" t="s">
        <v>190</v>
      </c>
      <c r="Y7990" s="2">
        <v>6900</v>
      </c>
      <c r="Z7990" s="19" t="str">
        <f>HYPERLINK("https://ssdweb.co/ssdweb/hd/Vision360.html?d=926831123&amp;zoomslide=1&amp;z=1926831123&amp;ISCONFIRM=0","VIDEO")</f>
        <v>VIDEO</v>
      </c>
      <c r="AA7990" s="19" t="str">
        <f>HYPERLINK("https://ssdweb.co/ssdweb/CERTH/655451716.pdf","CERTI")</f>
        <v>CERTI</v>
      </c>
    </row>
    <row r="7991" spans="1:27" ht="15" x14ac:dyDescent="0.25">
      <c r="A7991" s="2">
        <v>7986</v>
      </c>
      <c r="B7991" s="39">
        <v>927152026</v>
      </c>
      <c r="C7991" s="28" t="str">
        <f>HYPERLINK("https://pld.live/RapDetail.aspx?STONELIST=927152026","DNA")</f>
        <v>DNA</v>
      </c>
      <c r="D7991" s="18" t="s">
        <v>3054</v>
      </c>
      <c r="E7991" s="18" t="s">
        <v>5128</v>
      </c>
      <c r="F7991" s="2" t="s">
        <v>7987</v>
      </c>
      <c r="G7991" s="2" t="s">
        <v>4029</v>
      </c>
      <c r="H7991" s="14">
        <v>1</v>
      </c>
      <c r="I7991" s="2" t="s">
        <v>4761</v>
      </c>
      <c r="J7991" s="2" t="s">
        <v>3942</v>
      </c>
      <c r="K7991" s="2" t="s">
        <v>1452</v>
      </c>
      <c r="L7991" s="2" t="s">
        <v>5221</v>
      </c>
      <c r="M7991" s="2" t="s">
        <v>5221</v>
      </c>
      <c r="N7991" s="2" t="s">
        <v>2317</v>
      </c>
      <c r="O7991" s="14">
        <v>6900</v>
      </c>
      <c r="P7991" s="14">
        <v>98.42</v>
      </c>
      <c r="Q7991" s="14">
        <v>109.02</v>
      </c>
      <c r="R7991" s="14">
        <v>109.02</v>
      </c>
      <c r="S7991" s="2" t="s">
        <v>8011</v>
      </c>
      <c r="T7991" s="2">
        <v>1.29</v>
      </c>
      <c r="U7991" s="2">
        <v>67</v>
      </c>
      <c r="V7991" s="2">
        <v>63</v>
      </c>
      <c r="W7991" s="2" t="s">
        <v>7862</v>
      </c>
      <c r="X7991" s="2" t="s">
        <v>190</v>
      </c>
      <c r="Y7991" s="2">
        <v>6900</v>
      </c>
      <c r="Z7991" s="19" t="str">
        <f>HYPERLINK("https://ssdweb.co/ssdweb/hd/Vision360.html?d=927152026&amp;zoomslide=1&amp;z=1927152026&amp;ISCONFIRM=0","VIDEO")</f>
        <v>VIDEO</v>
      </c>
      <c r="AA7991" s="19" t="str">
        <f>HYPERLINK("https://ssdweb.co/ssdweb/CERTH/668477328.pdf","CERTI")</f>
        <v>CERTI</v>
      </c>
    </row>
    <row r="7992" spans="1:27" ht="15" x14ac:dyDescent="0.25">
      <c r="A7992" s="2">
        <v>7987</v>
      </c>
      <c r="B7992" s="39">
        <v>941040676</v>
      </c>
      <c r="C7992" s="28" t="str">
        <f>HYPERLINK("https://pld.live/RapDetail.aspx?STONELIST=941040676","DNA")</f>
        <v>DNA</v>
      </c>
      <c r="D7992" s="18" t="s">
        <v>3054</v>
      </c>
      <c r="E7992" s="18" t="s">
        <v>5128</v>
      </c>
      <c r="F7992" s="2" t="s">
        <v>7987</v>
      </c>
      <c r="G7992" s="2" t="s">
        <v>4029</v>
      </c>
      <c r="H7992" s="14">
        <v>1</v>
      </c>
      <c r="I7992" s="2" t="s">
        <v>4761</v>
      </c>
      <c r="J7992" s="2" t="s">
        <v>13</v>
      </c>
      <c r="K7992" s="2" t="s">
        <v>1452</v>
      </c>
      <c r="L7992" s="2" t="s">
        <v>5221</v>
      </c>
      <c r="M7992" s="2" t="s">
        <v>5221</v>
      </c>
      <c r="N7992" s="2" t="s">
        <v>2317</v>
      </c>
      <c r="O7992" s="14">
        <v>6200</v>
      </c>
      <c r="P7992" s="14">
        <v>98.26</v>
      </c>
      <c r="Q7992" s="14">
        <v>107.88</v>
      </c>
      <c r="R7992" s="14">
        <v>107.88</v>
      </c>
      <c r="S7992" s="2" t="s">
        <v>3450</v>
      </c>
      <c r="T7992" s="2">
        <v>1.34</v>
      </c>
      <c r="U7992" s="2">
        <v>64.099999999999994</v>
      </c>
      <c r="V7992" s="2">
        <v>66</v>
      </c>
      <c r="W7992" s="2" t="s">
        <v>7862</v>
      </c>
      <c r="X7992" s="2" t="s">
        <v>190</v>
      </c>
      <c r="Y7992" s="2">
        <v>6200</v>
      </c>
      <c r="Z7992" s="19" t="str">
        <f>HYPERLINK("https://ssdweb.co/ssdweb/hd/Vision360.html?d=941040676&amp;zoomslide=1&amp;z=1941040676&amp;ISCONFIRM=0","VIDEO")</f>
        <v>VIDEO</v>
      </c>
      <c r="AA7992" s="19" t="str">
        <f>HYPERLINK("https://ssdweb.co/ssdweb/CERTH/670445210.pdf","CERTI")</f>
        <v>CERTI</v>
      </c>
    </row>
    <row r="7993" spans="1:27" ht="15" x14ac:dyDescent="0.25">
      <c r="A7993" s="2">
        <v>7988</v>
      </c>
      <c r="B7993" s="39">
        <v>927140011</v>
      </c>
      <c r="C7993" s="28" t="str">
        <f>HYPERLINK("https://pld.live/RapDetail.aspx?STONELIST=927140011","DNA")</f>
        <v>DNA</v>
      </c>
      <c r="D7993" s="18" t="s">
        <v>3054</v>
      </c>
      <c r="E7993" s="18" t="s">
        <v>2186</v>
      </c>
      <c r="F7993" s="2" t="s">
        <v>7987</v>
      </c>
      <c r="G7993" s="2" t="s">
        <v>4029</v>
      </c>
      <c r="H7993" s="14">
        <v>1</v>
      </c>
      <c r="I7993" s="2" t="s">
        <v>4761</v>
      </c>
      <c r="J7993" s="2" t="s">
        <v>13</v>
      </c>
      <c r="K7993" s="2" t="s">
        <v>1452</v>
      </c>
      <c r="L7993" s="2" t="s">
        <v>5221</v>
      </c>
      <c r="M7993" s="2" t="s">
        <v>5221</v>
      </c>
      <c r="N7993" s="2" t="s">
        <v>2317</v>
      </c>
      <c r="O7993" s="14">
        <v>6200</v>
      </c>
      <c r="P7993" s="14">
        <v>98.29</v>
      </c>
      <c r="Q7993" s="14">
        <v>106.02</v>
      </c>
      <c r="R7993" s="14">
        <v>106.02</v>
      </c>
      <c r="S7993" s="2" t="s">
        <v>2712</v>
      </c>
      <c r="T7993" s="2">
        <v>1.34</v>
      </c>
      <c r="U7993" s="2">
        <v>67.599999999999994</v>
      </c>
      <c r="V7993" s="2">
        <v>67</v>
      </c>
      <c r="W7993" s="2" t="s">
        <v>7862</v>
      </c>
      <c r="X7993" s="2" t="s">
        <v>190</v>
      </c>
      <c r="Y7993" s="2">
        <v>6200</v>
      </c>
      <c r="Z7993" s="19" t="str">
        <f>HYPERLINK("https://ssdweb.co/ssdweb/hd/Vision360.html?d=927140011&amp;zoomslide=1&amp;z=1927140011&amp;ISCONFIRM=0","VIDEO")</f>
        <v>VIDEO</v>
      </c>
      <c r="AA7993" s="19" t="str">
        <f>HYPERLINK("https://ssdweb.co/ssdweb/CERTH/662473872.pdf","CERTI")</f>
        <v>CERTI</v>
      </c>
    </row>
    <row r="7994" spans="1:27" ht="15" x14ac:dyDescent="0.25">
      <c r="A7994" s="2">
        <v>7989</v>
      </c>
      <c r="B7994" s="39">
        <v>926900988</v>
      </c>
      <c r="C7994" s="28" t="str">
        <f>HYPERLINK("https://pld.live/RapDetail.aspx?STONELIST=926900988","DNA")</f>
        <v>DNA</v>
      </c>
      <c r="D7994" s="18" t="s">
        <v>3054</v>
      </c>
      <c r="E7994" s="18" t="s">
        <v>5128</v>
      </c>
      <c r="F7994" s="2" t="s">
        <v>5597</v>
      </c>
      <c r="G7994" s="2" t="s">
        <v>4029</v>
      </c>
      <c r="H7994" s="14">
        <v>1</v>
      </c>
      <c r="I7994" s="2" t="s">
        <v>4761</v>
      </c>
      <c r="J7994" s="2" t="s">
        <v>13</v>
      </c>
      <c r="K7994" s="2" t="s">
        <v>1452</v>
      </c>
      <c r="L7994" s="2" t="s">
        <v>5221</v>
      </c>
      <c r="M7994" s="2" t="s">
        <v>5721</v>
      </c>
      <c r="N7994" s="2" t="s">
        <v>2317</v>
      </c>
      <c r="O7994" s="14">
        <v>6200</v>
      </c>
      <c r="P7994" s="14">
        <v>97.02</v>
      </c>
      <c r="Q7994" s="14">
        <v>184.76</v>
      </c>
      <c r="R7994" s="14">
        <v>184.76</v>
      </c>
      <c r="S7994" s="2" t="s">
        <v>7414</v>
      </c>
      <c r="T7994" s="2">
        <v>1.35</v>
      </c>
      <c r="U7994" s="2">
        <v>67.5</v>
      </c>
      <c r="V7994" s="2">
        <v>60</v>
      </c>
      <c r="W7994" s="2" t="s">
        <v>7862</v>
      </c>
      <c r="X7994" s="2" t="s">
        <v>3698</v>
      </c>
      <c r="Y7994" s="2">
        <v>6200</v>
      </c>
      <c r="Z7994" s="19" t="str">
        <f>HYPERLINK("https://ssdweb.co/ssdweb/hd/Vision360.html?d=926900988&amp;zoomslide=1&amp;z=1926900988&amp;ISCONFIRM=0","VIDEO")</f>
        <v>VIDEO</v>
      </c>
      <c r="AA7994" s="19" t="str">
        <f>HYPERLINK("https://ssdweb.co/ssdweb/CERTH/5506656377.pdf","CERTI")</f>
        <v>CERTI</v>
      </c>
    </row>
    <row r="7995" spans="1:27" ht="15" x14ac:dyDescent="0.25">
      <c r="A7995" s="2">
        <v>7990</v>
      </c>
      <c r="B7995" s="39">
        <v>923690449</v>
      </c>
      <c r="C7995" s="28" t="str">
        <f>HYPERLINK("https://pld.live/RapDetail.aspx?STONELIST=923690449","DNA")</f>
        <v>DNA</v>
      </c>
      <c r="D7995" s="18" t="s">
        <v>4121</v>
      </c>
      <c r="E7995" s="18" t="s">
        <v>5128</v>
      </c>
      <c r="F7995" s="2" t="s">
        <v>7987</v>
      </c>
      <c r="G7995" s="2" t="s">
        <v>4029</v>
      </c>
      <c r="H7995" s="14">
        <v>0.97</v>
      </c>
      <c r="I7995" s="2" t="s">
        <v>4761</v>
      </c>
      <c r="J7995" s="2" t="s">
        <v>444</v>
      </c>
      <c r="K7995" s="2" t="s">
        <v>1452</v>
      </c>
      <c r="L7995" s="2" t="s">
        <v>5221</v>
      </c>
      <c r="M7995" s="2" t="s">
        <v>5221</v>
      </c>
      <c r="N7995" s="2" t="s">
        <v>2317</v>
      </c>
      <c r="O7995" s="14">
        <v>3500</v>
      </c>
      <c r="P7995" s="14">
        <v>97.26</v>
      </c>
      <c r="Q7995" s="14">
        <v>95.9</v>
      </c>
      <c r="R7995" s="14">
        <v>93.02</v>
      </c>
      <c r="S7995" s="2" t="s">
        <v>2677</v>
      </c>
      <c r="T7995" s="2">
        <v>1.4</v>
      </c>
      <c r="U7995" s="2">
        <v>65.5</v>
      </c>
      <c r="V7995" s="2">
        <v>66</v>
      </c>
      <c r="W7995" s="2" t="s">
        <v>7862</v>
      </c>
      <c r="X7995" s="2" t="s">
        <v>190</v>
      </c>
      <c r="Y7995" s="2">
        <v>3395</v>
      </c>
      <c r="Z7995" s="19" t="str">
        <f>HYPERLINK("https://ssdweb.co/ssdweb/hd/Vision360.html?d=923690449&amp;zoomslide=1&amp;z=1923690449&amp;ISCONFIRM=0","VIDEO")</f>
        <v>VIDEO</v>
      </c>
      <c r="AA7995" s="19" t="str">
        <f>HYPERLINK("https://ssdweb.co/ssdweb/CERTH/563299102.pdf","CERTI")</f>
        <v>CERTI</v>
      </c>
    </row>
    <row r="7996" spans="1:27" ht="15" x14ac:dyDescent="0.25">
      <c r="A7996" s="2">
        <v>7991</v>
      </c>
      <c r="B7996" s="39">
        <v>924900109</v>
      </c>
      <c r="C7996" s="28" t="str">
        <f>HYPERLINK("https://pld.live/RapDetail.aspx?STONELIST=924900109","DNA")</f>
        <v>DNA</v>
      </c>
      <c r="D7996" s="18" t="s">
        <v>4121</v>
      </c>
      <c r="E7996" s="18" t="s">
        <v>5128</v>
      </c>
      <c r="F7996" s="2" t="s">
        <v>7987</v>
      </c>
      <c r="G7996" s="2" t="s">
        <v>4029</v>
      </c>
      <c r="H7996" s="14">
        <v>0.95</v>
      </c>
      <c r="I7996" s="2" t="s">
        <v>4761</v>
      </c>
      <c r="J7996" s="2" t="s">
        <v>444</v>
      </c>
      <c r="K7996" s="2" t="s">
        <v>1452</v>
      </c>
      <c r="L7996" s="2" t="s">
        <v>5221</v>
      </c>
      <c r="M7996" s="2" t="s">
        <v>5221</v>
      </c>
      <c r="N7996" s="2" t="s">
        <v>2317</v>
      </c>
      <c r="O7996" s="14">
        <v>3500</v>
      </c>
      <c r="P7996" s="14">
        <v>97.26</v>
      </c>
      <c r="Q7996" s="14">
        <v>95.9</v>
      </c>
      <c r="R7996" s="14">
        <v>91.11</v>
      </c>
      <c r="S7996" s="2" t="s">
        <v>1065</v>
      </c>
      <c r="T7996" s="2">
        <v>1.38</v>
      </c>
      <c r="U7996" s="2">
        <v>68.900000000000006</v>
      </c>
      <c r="V7996" s="2">
        <v>65</v>
      </c>
      <c r="W7996" s="2" t="s">
        <v>7862</v>
      </c>
      <c r="X7996" s="2" t="s">
        <v>190</v>
      </c>
      <c r="Y7996" s="2">
        <v>3325</v>
      </c>
      <c r="Z7996" s="19" t="str">
        <f>HYPERLINK("https://ssdweb.co/ssdweb/hd/Vision360.html?d=924900109&amp;zoomslide=1&amp;z=1924900109&amp;ISCONFIRM=0","VIDEO")</f>
        <v>VIDEO</v>
      </c>
      <c r="AA7996" s="19" t="str">
        <f>HYPERLINK("https://ssdweb.co/ssdweb/CERTH/602315902.pdf","CERTI")</f>
        <v>CERTI</v>
      </c>
    </row>
    <row r="7997" spans="1:27" ht="15" x14ac:dyDescent="0.25">
      <c r="A7997" s="2">
        <v>7992</v>
      </c>
      <c r="B7997" s="39">
        <v>926110364</v>
      </c>
      <c r="C7997" s="28" t="str">
        <f>HYPERLINK("https://pld.live/RapDetail.aspx?STONELIST=926110364","DNA")</f>
        <v>DNA</v>
      </c>
      <c r="D7997" s="18" t="s">
        <v>2990</v>
      </c>
      <c r="E7997" s="18" t="s">
        <v>5128</v>
      </c>
      <c r="F7997" s="2" t="s">
        <v>7987</v>
      </c>
      <c r="G7997" s="2" t="s">
        <v>4029</v>
      </c>
      <c r="H7997" s="14">
        <v>0.94</v>
      </c>
      <c r="I7997" s="2" t="s">
        <v>267</v>
      </c>
      <c r="J7997" s="2" t="s">
        <v>7032</v>
      </c>
      <c r="K7997" s="2" t="s">
        <v>1452</v>
      </c>
      <c r="L7997" s="2" t="s">
        <v>5221</v>
      </c>
      <c r="M7997" s="2" t="s">
        <v>5221</v>
      </c>
      <c r="N7997" s="2" t="s">
        <v>2317</v>
      </c>
      <c r="O7997" s="14">
        <v>6700</v>
      </c>
      <c r="P7997" s="14">
        <v>97.01</v>
      </c>
      <c r="Q7997" s="14">
        <v>200.33</v>
      </c>
      <c r="R7997" s="14">
        <v>188.31</v>
      </c>
      <c r="S7997" s="2" t="s">
        <v>2114</v>
      </c>
      <c r="T7997" s="2">
        <v>1.3</v>
      </c>
      <c r="U7997" s="2">
        <v>68.099999999999994</v>
      </c>
      <c r="V7997" s="2">
        <v>61</v>
      </c>
      <c r="W7997" s="2" t="s">
        <v>7862</v>
      </c>
      <c r="X7997" s="2" t="s">
        <v>190</v>
      </c>
      <c r="Y7997" s="2">
        <v>6298</v>
      </c>
      <c r="Z7997" s="19" t="str">
        <f>HYPERLINK("https://ssdweb.co/ssdweb/hd/Vision360.html?d=926110364&amp;zoomslide=1&amp;z=1926110364&amp;ISCONFIRM=0","VIDEO")</f>
        <v>VIDEO</v>
      </c>
      <c r="AA7997" s="19" t="str">
        <f>HYPERLINK("https://ssdweb.co/ssdweb/CERTH/632421384.pdf","CERTI")</f>
        <v>CERTI</v>
      </c>
    </row>
    <row r="7998" spans="1:27" ht="15" x14ac:dyDescent="0.25">
      <c r="A7998" s="2">
        <v>7993</v>
      </c>
      <c r="B7998" s="39">
        <v>926921419</v>
      </c>
      <c r="C7998" s="28" t="str">
        <f>HYPERLINK("https://pld.live/RapDetail.aspx?STONELIST=926921419","DNA")</f>
        <v>DNA</v>
      </c>
      <c r="D7998" s="18" t="s">
        <v>2990</v>
      </c>
      <c r="E7998" s="18" t="s">
        <v>2186</v>
      </c>
      <c r="F7998" s="2" t="s">
        <v>7987</v>
      </c>
      <c r="G7998" s="2" t="s">
        <v>4029</v>
      </c>
      <c r="H7998" s="14">
        <v>0.93</v>
      </c>
      <c r="I7998" s="2" t="s">
        <v>267</v>
      </c>
      <c r="J7998" s="2" t="s">
        <v>5144</v>
      </c>
      <c r="K7998" s="2" t="s">
        <v>1452</v>
      </c>
      <c r="L7998" s="2" t="s">
        <v>5221</v>
      </c>
      <c r="M7998" s="2" t="s">
        <v>5221</v>
      </c>
      <c r="N7998" s="2" t="s">
        <v>2317</v>
      </c>
      <c r="O7998" s="14">
        <v>4400</v>
      </c>
      <c r="P7998" s="14">
        <v>97.7</v>
      </c>
      <c r="Q7998" s="14">
        <v>101.2</v>
      </c>
      <c r="R7998" s="14">
        <v>94.12</v>
      </c>
      <c r="S7998" s="2" t="s">
        <v>2859</v>
      </c>
      <c r="T7998" s="2">
        <v>1.35</v>
      </c>
      <c r="U7998" s="2">
        <v>68.099999999999994</v>
      </c>
      <c r="V7998" s="2">
        <v>64</v>
      </c>
      <c r="W7998" s="2" t="s">
        <v>7862</v>
      </c>
      <c r="X7998" s="2" t="s">
        <v>190</v>
      </c>
      <c r="Y7998" s="2">
        <v>4092</v>
      </c>
      <c r="Z7998" s="19" t="str">
        <f>HYPERLINK("https://ssdweb.co/ssdweb/hd/Vision360.html?d=926921419&amp;zoomslide=1&amp;z=1926921419&amp;ISCONFIRM=0","VIDEO")</f>
        <v>VIDEO</v>
      </c>
      <c r="AA7998" s="19" t="str">
        <f>HYPERLINK("https://ssdweb.co/ssdweb/CERTH/660440445.pdf","CERTI")</f>
        <v>CERTI</v>
      </c>
    </row>
    <row r="7999" spans="1:27" ht="15" x14ac:dyDescent="0.25">
      <c r="A7999" s="2">
        <v>7994</v>
      </c>
      <c r="B7999" s="39">
        <v>941421245</v>
      </c>
      <c r="C7999" s="28" t="str">
        <f>HYPERLINK("https://pld.live/RapDetail.aspx?STONELIST=941421245","DNA")</f>
        <v>DNA</v>
      </c>
      <c r="D7999" s="18" t="s">
        <v>2990</v>
      </c>
      <c r="E7999" s="18" t="s">
        <v>5128</v>
      </c>
      <c r="F7999" s="2" t="s">
        <v>7987</v>
      </c>
      <c r="G7999" s="2" t="s">
        <v>4029</v>
      </c>
      <c r="H7999" s="14">
        <v>0.93</v>
      </c>
      <c r="I7999" s="2" t="s">
        <v>4761</v>
      </c>
      <c r="J7999" s="2" t="s">
        <v>6555</v>
      </c>
      <c r="K7999" s="2" t="s">
        <v>1452</v>
      </c>
      <c r="L7999" s="2" t="s">
        <v>5221</v>
      </c>
      <c r="M7999" s="2" t="s">
        <v>5221</v>
      </c>
      <c r="N7999" s="2" t="s">
        <v>2317</v>
      </c>
      <c r="O7999" s="14">
        <v>5700</v>
      </c>
      <c r="P7999" s="14">
        <v>97.81</v>
      </c>
      <c r="Q7999" s="14">
        <v>124.83</v>
      </c>
      <c r="R7999" s="14">
        <v>116.09</v>
      </c>
      <c r="S7999" s="2" t="s">
        <v>7816</v>
      </c>
      <c r="T7999" s="2">
        <v>1.44</v>
      </c>
      <c r="U7999" s="2">
        <v>65.400000000000006</v>
      </c>
      <c r="V7999" s="2">
        <v>65</v>
      </c>
      <c r="W7999" s="2" t="s">
        <v>7862</v>
      </c>
      <c r="X7999" s="2" t="s">
        <v>190</v>
      </c>
      <c r="Y7999" s="2">
        <v>5301</v>
      </c>
      <c r="Z7999" s="19" t="str">
        <f>HYPERLINK("https://ssdweb.co/ssdweb/hd/Vision360.html?d=941421245&amp;zoomslide=1&amp;z=1941421245&amp;ISCONFIRM=0","VIDEO")</f>
        <v>VIDEO</v>
      </c>
      <c r="AA7999" s="19" t="str">
        <f>HYPERLINK("https://ssdweb.co/ssdweb/CERTH/692534023.pdf","CERTI")</f>
        <v>CERTI</v>
      </c>
    </row>
    <row r="8000" spans="1:27" ht="15" x14ac:dyDescent="0.25">
      <c r="A8000" s="2">
        <v>7995</v>
      </c>
      <c r="B8000" s="39">
        <v>926580073</v>
      </c>
      <c r="C8000" s="28" t="str">
        <f>HYPERLINK("https://pld.live/RapDetail.aspx?STONELIST=926580073","DNA")</f>
        <v>DNA</v>
      </c>
      <c r="D8000" s="18" t="s">
        <v>2990</v>
      </c>
      <c r="E8000" s="18" t="s">
        <v>5128</v>
      </c>
      <c r="F8000" s="2" t="s">
        <v>7987</v>
      </c>
      <c r="G8000" s="2" t="s">
        <v>4029</v>
      </c>
      <c r="H8000" s="14">
        <v>0.93</v>
      </c>
      <c r="I8000" s="2" t="s">
        <v>4761</v>
      </c>
      <c r="J8000" s="2" t="s">
        <v>5144</v>
      </c>
      <c r="K8000" s="2" t="s">
        <v>1452</v>
      </c>
      <c r="L8000" s="2" t="s">
        <v>5221</v>
      </c>
      <c r="M8000" s="2" t="s">
        <v>5221</v>
      </c>
      <c r="N8000" s="2" t="s">
        <v>2317</v>
      </c>
      <c r="O8000" s="14">
        <v>4200</v>
      </c>
      <c r="P8000" s="14">
        <v>97.71</v>
      </c>
      <c r="Q8000" s="14">
        <v>96.18</v>
      </c>
      <c r="R8000" s="14">
        <v>89.45</v>
      </c>
      <c r="S8000" s="2" t="s">
        <v>85</v>
      </c>
      <c r="T8000" s="2">
        <v>1.34</v>
      </c>
      <c r="U8000" s="2">
        <v>64.3</v>
      </c>
      <c r="V8000" s="2">
        <v>67</v>
      </c>
      <c r="W8000" s="2" t="s">
        <v>4336</v>
      </c>
      <c r="X8000" s="2" t="s">
        <v>190</v>
      </c>
      <c r="Y8000" s="2">
        <v>3906</v>
      </c>
      <c r="Z8000" s="19" t="str">
        <f>HYPERLINK("https://ssdweb.co/ssdweb/hd/Vision360.html?d=926580073&amp;zoomslide=1&amp;z=1926580073&amp;ISCONFIRM=0","VIDEO")</f>
        <v>VIDEO</v>
      </c>
      <c r="AA8000" s="19" t="str">
        <f>HYPERLINK("https://ssdweb.co/ssdweb/CERTH/645461651.pdf","CERTI")</f>
        <v>CERTI</v>
      </c>
    </row>
    <row r="8001" spans="1:27" ht="15" x14ac:dyDescent="0.25">
      <c r="A8001" s="2">
        <v>7996</v>
      </c>
      <c r="B8001" s="39">
        <v>926580230</v>
      </c>
      <c r="C8001" s="28" t="str">
        <f>HYPERLINK("https://pld.live/RapDetail.aspx?STONELIST=926580230","DNA")</f>
        <v>DNA</v>
      </c>
      <c r="D8001" s="18" t="s">
        <v>2990</v>
      </c>
      <c r="E8001" s="18" t="s">
        <v>5128</v>
      </c>
      <c r="F8001" s="2" t="s">
        <v>7987</v>
      </c>
      <c r="G8001" s="2" t="s">
        <v>4029</v>
      </c>
      <c r="H8001" s="14">
        <v>0.92</v>
      </c>
      <c r="I8001" s="2" t="s">
        <v>267</v>
      </c>
      <c r="J8001" s="2" t="s">
        <v>6555</v>
      </c>
      <c r="K8001" s="2" t="s">
        <v>1452</v>
      </c>
      <c r="L8001" s="2" t="s">
        <v>5221</v>
      </c>
      <c r="M8001" s="2" t="s">
        <v>5221</v>
      </c>
      <c r="N8001" s="2" t="s">
        <v>2317</v>
      </c>
      <c r="O8001" s="14">
        <v>6300</v>
      </c>
      <c r="P8001" s="14">
        <v>98</v>
      </c>
      <c r="Q8001" s="14">
        <v>126</v>
      </c>
      <c r="R8001" s="14">
        <v>115.92</v>
      </c>
      <c r="S8001" s="2" t="s">
        <v>3258</v>
      </c>
      <c r="T8001" s="2">
        <v>1.35</v>
      </c>
      <c r="U8001" s="2">
        <v>66.599999999999994</v>
      </c>
      <c r="V8001" s="2">
        <v>63</v>
      </c>
      <c r="W8001" s="2" t="s">
        <v>7862</v>
      </c>
      <c r="X8001" s="2" t="s">
        <v>190</v>
      </c>
      <c r="Y8001" s="2">
        <v>5796</v>
      </c>
      <c r="Z8001" s="19" t="str">
        <f>HYPERLINK("https://ssdweb.co/ssdweb/hd/Vision360.html?d=926580230&amp;zoomslide=1&amp;z=1926580230&amp;ISCONFIRM=0","VIDEO")</f>
        <v>VIDEO</v>
      </c>
      <c r="AA8001" s="19" t="str">
        <f>HYPERLINK("https://ssdweb.co/ssdweb/CERTH/645461633.pdf","CERTI")</f>
        <v>CERTI</v>
      </c>
    </row>
    <row r="8002" spans="1:27" ht="15" x14ac:dyDescent="0.25">
      <c r="A8002" s="2">
        <v>7997</v>
      </c>
      <c r="B8002" s="39">
        <v>941380303</v>
      </c>
      <c r="C8002" s="28" t="str">
        <f>HYPERLINK("https://pld.live/RapDetail.aspx?STONELIST=941380303","DNA")</f>
        <v>DNA</v>
      </c>
      <c r="D8002" s="18" t="s">
        <v>2990</v>
      </c>
      <c r="E8002" s="18" t="s">
        <v>2186</v>
      </c>
      <c r="F8002" s="2" t="s">
        <v>7987</v>
      </c>
      <c r="G8002" s="2" t="s">
        <v>4029</v>
      </c>
      <c r="H8002" s="14">
        <v>0.92</v>
      </c>
      <c r="I8002" s="2" t="s">
        <v>267</v>
      </c>
      <c r="J8002" s="2" t="s">
        <v>3942</v>
      </c>
      <c r="K8002" s="2" t="s">
        <v>1452</v>
      </c>
      <c r="L8002" s="2" t="s">
        <v>5221</v>
      </c>
      <c r="M8002" s="2" t="s">
        <v>5221</v>
      </c>
      <c r="N8002" s="2" t="s">
        <v>2317</v>
      </c>
      <c r="O8002" s="14">
        <v>5600</v>
      </c>
      <c r="P8002" s="14">
        <v>97.98</v>
      </c>
      <c r="Q8002" s="14">
        <v>113.12</v>
      </c>
      <c r="R8002" s="14">
        <v>104.07</v>
      </c>
      <c r="S8002" s="2" t="s">
        <v>1541</v>
      </c>
      <c r="T8002" s="2">
        <v>1.38</v>
      </c>
      <c r="U8002" s="2">
        <v>67.3</v>
      </c>
      <c r="V8002" s="2">
        <v>65</v>
      </c>
      <c r="W8002" s="2" t="s">
        <v>7862</v>
      </c>
      <c r="X8002" s="2" t="s">
        <v>190</v>
      </c>
      <c r="Y8002" s="2">
        <v>5152</v>
      </c>
      <c r="Z8002" s="19" t="str">
        <f>HYPERLINK("https://ssdweb.co/ssdweb/hd/Vision360.html?d=941380303&amp;zoomslide=1&amp;z=1941380303&amp;ISCONFIRM=0","VIDEO")</f>
        <v>VIDEO</v>
      </c>
      <c r="AA8002" s="19" t="str">
        <f>HYPERLINK("https://ssdweb.co/ssdweb/CERTH/692505656.pdf","CERTI")</f>
        <v>CERTI</v>
      </c>
    </row>
    <row r="8003" spans="1:27" ht="15" x14ac:dyDescent="0.25">
      <c r="A8003" s="2">
        <v>7998</v>
      </c>
      <c r="B8003" s="39">
        <v>926110845</v>
      </c>
      <c r="C8003" s="28" t="str">
        <f>HYPERLINK("https://pld.live/RapDetail.aspx?STONELIST=926110845","DNA")</f>
        <v>DNA</v>
      </c>
      <c r="D8003" s="18" t="s">
        <v>2990</v>
      </c>
      <c r="E8003" s="18" t="s">
        <v>5128</v>
      </c>
      <c r="F8003" s="2" t="s">
        <v>7987</v>
      </c>
      <c r="G8003" s="2" t="s">
        <v>4029</v>
      </c>
      <c r="H8003" s="14">
        <v>0.91</v>
      </c>
      <c r="I8003" s="2" t="s">
        <v>267</v>
      </c>
      <c r="J8003" s="2" t="s">
        <v>5144</v>
      </c>
      <c r="K8003" s="2" t="s">
        <v>1452</v>
      </c>
      <c r="L8003" s="2" t="s">
        <v>5221</v>
      </c>
      <c r="M8003" s="2" t="s">
        <v>5221</v>
      </c>
      <c r="N8003" s="2" t="s">
        <v>2317</v>
      </c>
      <c r="O8003" s="14">
        <v>4400</v>
      </c>
      <c r="P8003" s="14">
        <v>97.7</v>
      </c>
      <c r="Q8003" s="14">
        <v>101.2</v>
      </c>
      <c r="R8003" s="14">
        <v>92.09</v>
      </c>
      <c r="S8003" s="2" t="s">
        <v>7588</v>
      </c>
      <c r="T8003" s="2">
        <v>1.28</v>
      </c>
      <c r="U8003" s="2">
        <v>66.900000000000006</v>
      </c>
      <c r="V8003" s="2">
        <v>62</v>
      </c>
      <c r="W8003" s="2" t="s">
        <v>7862</v>
      </c>
      <c r="X8003" s="2" t="s">
        <v>190</v>
      </c>
      <c r="Y8003" s="2">
        <v>4004</v>
      </c>
      <c r="Z8003" s="19" t="str">
        <f>HYPERLINK("https://ssdweb.co/ssdweb/hd/Vision360.html?d=926110845&amp;zoomslide=1&amp;z=1926110845&amp;ISCONFIRM=0","VIDEO")</f>
        <v>VIDEO</v>
      </c>
      <c r="AA8003" s="19" t="str">
        <f>HYPERLINK("https://ssdweb.co/ssdweb/CERTH/632421403.pdf","CERTI")</f>
        <v>CERTI</v>
      </c>
    </row>
    <row r="8004" spans="1:27" ht="15" x14ac:dyDescent="0.25">
      <c r="A8004" s="2">
        <v>7999</v>
      </c>
      <c r="B8004" s="39">
        <v>926690747</v>
      </c>
      <c r="C8004" s="28" t="str">
        <f>HYPERLINK("https://pld.live/RapDetail.aspx?STONELIST=926690747","DNA")</f>
        <v>DNA</v>
      </c>
      <c r="D8004" s="18" t="s">
        <v>2990</v>
      </c>
      <c r="E8004" s="18" t="s">
        <v>5128</v>
      </c>
      <c r="F8004" s="2" t="s">
        <v>7987</v>
      </c>
      <c r="G8004" s="2" t="s">
        <v>4029</v>
      </c>
      <c r="H8004" s="14">
        <v>0.9</v>
      </c>
      <c r="I8004" s="2" t="s">
        <v>267</v>
      </c>
      <c r="J8004" s="2" t="s">
        <v>3942</v>
      </c>
      <c r="K8004" s="2" t="s">
        <v>1452</v>
      </c>
      <c r="L8004" s="2" t="s">
        <v>5221</v>
      </c>
      <c r="M8004" s="2" t="s">
        <v>5221</v>
      </c>
      <c r="N8004" s="2" t="s">
        <v>2317</v>
      </c>
      <c r="O8004" s="14">
        <v>5600</v>
      </c>
      <c r="P8004" s="14">
        <v>98.05</v>
      </c>
      <c r="Q8004" s="14">
        <v>109.2</v>
      </c>
      <c r="R8004" s="14">
        <v>98.28</v>
      </c>
      <c r="S8004" s="2" t="s">
        <v>440</v>
      </c>
      <c r="T8004" s="2">
        <v>1.28</v>
      </c>
      <c r="U8004" s="2">
        <v>66.5</v>
      </c>
      <c r="V8004" s="2">
        <v>67</v>
      </c>
      <c r="W8004" s="2" t="s">
        <v>7862</v>
      </c>
      <c r="X8004" s="2" t="s">
        <v>190</v>
      </c>
      <c r="Y8004" s="2">
        <v>5040</v>
      </c>
      <c r="Z8004" s="19" t="str">
        <f>HYPERLINK("https://ssdweb.co/ssdweb/hd/Vision360.html?d=926690747&amp;zoomslide=1&amp;z=1926690747&amp;ISCONFIRM=0","VIDEO")</f>
        <v>VIDEO</v>
      </c>
      <c r="AA8004" s="19" t="str">
        <f>HYPERLINK("https://ssdweb.co/ssdweb/CERTH/649416437.pdf","CERTI")</f>
        <v>CERTI</v>
      </c>
    </row>
    <row r="8005" spans="1:27" ht="15" x14ac:dyDescent="0.25">
      <c r="A8005" s="2">
        <v>8000</v>
      </c>
      <c r="B8005" s="39">
        <v>923420292</v>
      </c>
      <c r="C8005" s="28" t="str">
        <f>HYPERLINK("https://pld.live/RapDetail.aspx?STONELIST=923420292","DNA")</f>
        <v>DNA</v>
      </c>
      <c r="D8005" s="18" t="s">
        <v>2990</v>
      </c>
      <c r="E8005" s="18" t="s">
        <v>5128</v>
      </c>
      <c r="F8005" s="2" t="s">
        <v>7987</v>
      </c>
      <c r="G8005" s="2" t="s">
        <v>4029</v>
      </c>
      <c r="H8005" s="14">
        <v>0.9</v>
      </c>
      <c r="I8005" s="2" t="s">
        <v>267</v>
      </c>
      <c r="J8005" s="2" t="s">
        <v>5144</v>
      </c>
      <c r="K8005" s="2" t="s">
        <v>1452</v>
      </c>
      <c r="L8005" s="2" t="s">
        <v>5221</v>
      </c>
      <c r="M8005" s="2" t="s">
        <v>5221</v>
      </c>
      <c r="N8005" s="2" t="s">
        <v>2317</v>
      </c>
      <c r="O8005" s="14">
        <v>4400</v>
      </c>
      <c r="P8005" s="14">
        <v>97.7</v>
      </c>
      <c r="Q8005" s="14">
        <v>101.2</v>
      </c>
      <c r="R8005" s="14">
        <v>91.08</v>
      </c>
      <c r="S8005" s="2" t="s">
        <v>3961</v>
      </c>
      <c r="T8005" s="2">
        <v>1.49</v>
      </c>
      <c r="U8005" s="2">
        <v>64.900000000000006</v>
      </c>
      <c r="V8005" s="2">
        <v>64.5</v>
      </c>
      <c r="W8005" s="2" t="s">
        <v>7862</v>
      </c>
      <c r="X8005" s="2" t="s">
        <v>190</v>
      </c>
      <c r="Y8005" s="2">
        <v>3960</v>
      </c>
      <c r="Z8005" s="19" t="str">
        <f>HYPERLINK("https://ssdweb.co/ssdweb/hd/Vision360.html?d=923420292&amp;zoomslide=1&amp;z=1923420292&amp;ISCONFIRM=0","VIDEO")</f>
        <v>VIDEO</v>
      </c>
      <c r="AA8005" s="19" t="str">
        <f>HYPERLINK("https://ssdweb.co/ssdweb/CERTH/546218052.pdf","CERTI")</f>
        <v>CERTI</v>
      </c>
    </row>
    <row r="8006" spans="1:27" ht="15" x14ac:dyDescent="0.25">
      <c r="A8006" s="2">
        <v>8001</v>
      </c>
      <c r="B8006" s="39">
        <v>923660306</v>
      </c>
      <c r="C8006" s="28" t="str">
        <f>HYPERLINK("https://pld.live/RapDetail.aspx?STONELIST=923660306","DNA")</f>
        <v>DNA</v>
      </c>
      <c r="D8006" s="18" t="s">
        <v>2990</v>
      </c>
      <c r="E8006" s="18" t="s">
        <v>5128</v>
      </c>
      <c r="F8006" s="2" t="s">
        <v>7987</v>
      </c>
      <c r="G8006" s="2" t="s">
        <v>4029</v>
      </c>
      <c r="H8006" s="14">
        <v>0.9</v>
      </c>
      <c r="I8006" s="2" t="s">
        <v>6587</v>
      </c>
      <c r="J8006" s="2" t="s">
        <v>3942</v>
      </c>
      <c r="K8006" s="2" t="s">
        <v>1452</v>
      </c>
      <c r="L8006" s="2" t="s">
        <v>5221</v>
      </c>
      <c r="M8006" s="2" t="s">
        <v>5221</v>
      </c>
      <c r="N8006" s="2" t="s">
        <v>2317</v>
      </c>
      <c r="O8006" s="14">
        <v>4600</v>
      </c>
      <c r="P8006" s="14">
        <v>97.91</v>
      </c>
      <c r="Q8006" s="14">
        <v>96.14</v>
      </c>
      <c r="R8006" s="14">
        <v>86.53</v>
      </c>
      <c r="S8006" s="2" t="s">
        <v>324</v>
      </c>
      <c r="T8006" s="2">
        <v>1.36</v>
      </c>
      <c r="U8006" s="2">
        <v>66.2</v>
      </c>
      <c r="V8006" s="2">
        <v>64.5</v>
      </c>
      <c r="W8006" s="2" t="s">
        <v>6297</v>
      </c>
      <c r="X8006" s="2" t="s">
        <v>190</v>
      </c>
      <c r="Y8006" s="2">
        <v>4140</v>
      </c>
      <c r="Z8006" s="19" t="str">
        <f>HYPERLINK("https://ssdweb.co/ssdweb/hd/Vision360.html?d=923660306&amp;zoomslide=1&amp;z=1923660306&amp;ISCONFIRM=0","VIDEO")</f>
        <v>VIDEO</v>
      </c>
      <c r="AA8006" s="19" t="str">
        <f>HYPERLINK("https://ssdweb.co/ssdweb/CERTH/571303046.pdf","CERTI")</f>
        <v>CERTI</v>
      </c>
    </row>
    <row r="8007" spans="1:27" ht="15" x14ac:dyDescent="0.25">
      <c r="A8007" s="2">
        <v>8002</v>
      </c>
      <c r="B8007" s="39">
        <v>925900304</v>
      </c>
      <c r="C8007" s="28" t="str">
        <f>HYPERLINK("https://pld.live/RapDetail.aspx?STONELIST=925900304","DNA")</f>
        <v>DNA</v>
      </c>
      <c r="D8007" s="18" t="s">
        <v>5715</v>
      </c>
      <c r="E8007" s="18" t="s">
        <v>5128</v>
      </c>
      <c r="F8007" s="2" t="s">
        <v>7987</v>
      </c>
      <c r="G8007" s="2" t="s">
        <v>4029</v>
      </c>
      <c r="H8007" s="14">
        <v>0.89</v>
      </c>
      <c r="I8007" s="2" t="s">
        <v>267</v>
      </c>
      <c r="J8007" s="2" t="s">
        <v>5144</v>
      </c>
      <c r="K8007" s="2" t="s">
        <v>1452</v>
      </c>
      <c r="L8007" s="2" t="s">
        <v>5221</v>
      </c>
      <c r="M8007" s="2" t="s">
        <v>5221</v>
      </c>
      <c r="N8007" s="2" t="s">
        <v>2317</v>
      </c>
      <c r="O8007" s="14">
        <v>3400</v>
      </c>
      <c r="P8007" s="14">
        <v>96.65</v>
      </c>
      <c r="Q8007" s="14">
        <v>113.9</v>
      </c>
      <c r="R8007" s="14">
        <v>101.37</v>
      </c>
      <c r="S8007" s="2" t="s">
        <v>5717</v>
      </c>
      <c r="T8007" s="2">
        <v>1.28</v>
      </c>
      <c r="U8007" s="2">
        <v>67</v>
      </c>
      <c r="V8007" s="2">
        <v>61</v>
      </c>
      <c r="W8007" s="2" t="s">
        <v>7862</v>
      </c>
      <c r="X8007" s="2" t="s">
        <v>190</v>
      </c>
      <c r="Y8007" s="2">
        <v>3026</v>
      </c>
      <c r="Z8007" s="19" t="str">
        <f>HYPERLINK("https://ssdweb.co/ssdweb/hd/Vision360.html?d=925900304&amp;zoomslide=1&amp;z=1925900304&amp;ISCONFIRM=0","VIDEO")</f>
        <v>VIDEO</v>
      </c>
      <c r="AA8007" s="19" t="str">
        <f>HYPERLINK("https://ssdweb.co/ssdweb/CERTH/627471499.pdf","CERTI")</f>
        <v>CERTI</v>
      </c>
    </row>
    <row r="8008" spans="1:27" ht="15" x14ac:dyDescent="0.25">
      <c r="A8008" s="2">
        <v>8003</v>
      </c>
      <c r="B8008" s="39">
        <v>925900447</v>
      </c>
      <c r="C8008" s="28" t="str">
        <f>HYPERLINK("https://pld.live/RapDetail.aspx?STONELIST=925900447","DNA")</f>
        <v>DNA</v>
      </c>
      <c r="D8008" s="18" t="s">
        <v>5715</v>
      </c>
      <c r="E8008" s="18" t="s">
        <v>5128</v>
      </c>
      <c r="F8008" s="2" t="s">
        <v>7987</v>
      </c>
      <c r="G8008" s="2" t="s">
        <v>4029</v>
      </c>
      <c r="H8008" s="14">
        <v>0.88</v>
      </c>
      <c r="I8008" s="2" t="s">
        <v>267</v>
      </c>
      <c r="J8008" s="2" t="s">
        <v>3942</v>
      </c>
      <c r="K8008" s="2" t="s">
        <v>1452</v>
      </c>
      <c r="L8008" s="2" t="s">
        <v>5221</v>
      </c>
      <c r="M8008" s="2" t="s">
        <v>5221</v>
      </c>
      <c r="N8008" s="2" t="s">
        <v>2317</v>
      </c>
      <c r="O8008" s="14">
        <v>4000</v>
      </c>
      <c r="P8008" s="14">
        <v>96.9</v>
      </c>
      <c r="Q8008" s="14">
        <v>124</v>
      </c>
      <c r="R8008" s="14">
        <v>109.12</v>
      </c>
      <c r="S8008" s="2" t="s">
        <v>3623</v>
      </c>
      <c r="T8008" s="2">
        <v>1.29</v>
      </c>
      <c r="U8008" s="2">
        <v>66.900000000000006</v>
      </c>
      <c r="V8008" s="2">
        <v>62</v>
      </c>
      <c r="W8008" s="2" t="s">
        <v>7862</v>
      </c>
      <c r="X8008" s="2" t="s">
        <v>190</v>
      </c>
      <c r="Y8008" s="2">
        <v>3520</v>
      </c>
      <c r="Z8008" s="19" t="str">
        <f>HYPERLINK("https://ssdweb.co/ssdweb/hd/Vision360.html?d=925900447&amp;zoomslide=1&amp;z=1925900447&amp;ISCONFIRM=0","VIDEO")</f>
        <v>VIDEO</v>
      </c>
      <c r="AA8008" s="19" t="str">
        <f>HYPERLINK("https://ssdweb.co/ssdweb/CERTH/627427273.pdf","CERTI")</f>
        <v>CERTI</v>
      </c>
    </row>
    <row r="8009" spans="1:27" ht="15" x14ac:dyDescent="0.25">
      <c r="A8009" s="2">
        <v>8004</v>
      </c>
      <c r="B8009" s="39">
        <v>926110373</v>
      </c>
      <c r="C8009" s="28" t="str">
        <f>HYPERLINK("https://pld.live/RapDetail.aspx?STONELIST=926110373","DNA")</f>
        <v>DNA</v>
      </c>
      <c r="D8009" s="18" t="s">
        <v>5715</v>
      </c>
      <c r="E8009" s="18" t="s">
        <v>5128</v>
      </c>
      <c r="F8009" s="2" t="s">
        <v>7987</v>
      </c>
      <c r="G8009" s="2" t="s">
        <v>4029</v>
      </c>
      <c r="H8009" s="14">
        <v>0.88</v>
      </c>
      <c r="I8009" s="2" t="s">
        <v>267</v>
      </c>
      <c r="J8009" s="2" t="s">
        <v>13</v>
      </c>
      <c r="K8009" s="2" t="s">
        <v>1452</v>
      </c>
      <c r="L8009" s="2" t="s">
        <v>5221</v>
      </c>
      <c r="M8009" s="2" t="s">
        <v>5221</v>
      </c>
      <c r="N8009" s="2" t="s">
        <v>2317</v>
      </c>
      <c r="O8009" s="14">
        <v>3700</v>
      </c>
      <c r="P8009" s="14">
        <v>96.73</v>
      </c>
      <c r="Q8009" s="14">
        <v>120.99</v>
      </c>
      <c r="R8009" s="14">
        <v>106.47</v>
      </c>
      <c r="S8009" s="2" t="s">
        <v>1474</v>
      </c>
      <c r="T8009" s="2">
        <v>1.46</v>
      </c>
      <c r="U8009" s="2">
        <v>65.3</v>
      </c>
      <c r="V8009" s="2">
        <v>65</v>
      </c>
      <c r="W8009" s="2" t="s">
        <v>7862</v>
      </c>
      <c r="X8009" s="2" t="s">
        <v>190</v>
      </c>
      <c r="Y8009" s="2">
        <v>3256</v>
      </c>
      <c r="Z8009" s="19" t="str">
        <f>HYPERLINK("https://ssdweb.co/ssdweb/hd/Vision360.html?d=926110373&amp;zoomslide=1&amp;z=1926110373&amp;ISCONFIRM=0","VIDEO")</f>
        <v>VIDEO</v>
      </c>
      <c r="AA8009" s="19" t="str">
        <f>HYPERLINK("https://ssdweb.co/ssdweb/CERTH/632421397.pdf","CERTI")</f>
        <v>CERTI</v>
      </c>
    </row>
    <row r="8010" spans="1:27" ht="15" x14ac:dyDescent="0.25">
      <c r="A8010" s="2">
        <v>8005</v>
      </c>
      <c r="B8010" s="39">
        <v>925900410</v>
      </c>
      <c r="C8010" s="28" t="str">
        <f>HYPERLINK("https://pld.live/RapDetail.aspx?STONELIST=925900410","DNA")</f>
        <v>DNA</v>
      </c>
      <c r="D8010" s="18" t="s">
        <v>5715</v>
      </c>
      <c r="E8010" s="18" t="s">
        <v>5128</v>
      </c>
      <c r="F8010" s="2" t="s">
        <v>7987</v>
      </c>
      <c r="G8010" s="2" t="s">
        <v>4029</v>
      </c>
      <c r="H8010" s="14">
        <v>0.87</v>
      </c>
      <c r="I8010" s="2" t="s">
        <v>267</v>
      </c>
      <c r="J8010" s="2" t="s">
        <v>6555</v>
      </c>
      <c r="K8010" s="2" t="s">
        <v>1452</v>
      </c>
      <c r="L8010" s="2" t="s">
        <v>5221</v>
      </c>
      <c r="M8010" s="2" t="s">
        <v>5221</v>
      </c>
      <c r="N8010" s="2" t="s">
        <v>2317</v>
      </c>
      <c r="O8010" s="14">
        <v>4300</v>
      </c>
      <c r="P8010" s="14">
        <v>96.65</v>
      </c>
      <c r="Q8010" s="14">
        <v>144.05000000000001</v>
      </c>
      <c r="R8010" s="14">
        <v>125.32</v>
      </c>
      <c r="S8010" s="2" t="s">
        <v>4384</v>
      </c>
      <c r="T8010" s="2">
        <v>1.28</v>
      </c>
      <c r="U8010" s="2">
        <v>68</v>
      </c>
      <c r="V8010" s="2">
        <v>67</v>
      </c>
      <c r="W8010" s="2" t="s">
        <v>7862</v>
      </c>
      <c r="X8010" s="2" t="s">
        <v>190</v>
      </c>
      <c r="Y8010" s="2">
        <v>3741</v>
      </c>
      <c r="Z8010" s="19" t="str">
        <f>HYPERLINK("https://ssdweb.co/ssdweb/hd/Vision360.html?d=925900410&amp;zoomslide=1&amp;z=1925900410&amp;ISCONFIRM=0","VIDEO")</f>
        <v>VIDEO</v>
      </c>
      <c r="AA8010" s="19" t="str">
        <f>HYPERLINK("https://ssdweb.co/ssdweb/CERTH/627431710.pdf","CERTI")</f>
        <v>CERTI</v>
      </c>
    </row>
    <row r="8011" spans="1:27" ht="15" x14ac:dyDescent="0.25">
      <c r="A8011" s="2">
        <v>8006</v>
      </c>
      <c r="B8011" s="39">
        <v>926110867</v>
      </c>
      <c r="C8011" s="28" t="str">
        <f>HYPERLINK("https://pld.live/RapDetail.aspx?STONELIST=926110867","DNA")</f>
        <v>DNA</v>
      </c>
      <c r="D8011" s="18" t="s">
        <v>5715</v>
      </c>
      <c r="E8011" s="18" t="s">
        <v>5128</v>
      </c>
      <c r="F8011" s="2" t="s">
        <v>7987</v>
      </c>
      <c r="G8011" s="2" t="s">
        <v>4029</v>
      </c>
      <c r="H8011" s="14">
        <v>0.85</v>
      </c>
      <c r="I8011" s="2" t="s">
        <v>267</v>
      </c>
      <c r="J8011" s="2" t="s">
        <v>6555</v>
      </c>
      <c r="K8011" s="2" t="s">
        <v>1452</v>
      </c>
      <c r="L8011" s="2" t="s">
        <v>5221</v>
      </c>
      <c r="M8011" s="2" t="s">
        <v>5221</v>
      </c>
      <c r="N8011" s="2" t="s">
        <v>2317</v>
      </c>
      <c r="O8011" s="14">
        <v>4300</v>
      </c>
      <c r="P8011" s="14">
        <v>96.6</v>
      </c>
      <c r="Q8011" s="14">
        <v>146.19999999999999</v>
      </c>
      <c r="R8011" s="14">
        <v>124.27</v>
      </c>
      <c r="S8011" s="2" t="s">
        <v>5006</v>
      </c>
      <c r="T8011" s="2">
        <v>1.36</v>
      </c>
      <c r="U8011" s="2">
        <v>64.5</v>
      </c>
      <c r="V8011" s="2">
        <v>61</v>
      </c>
      <c r="W8011" s="2" t="s">
        <v>7862</v>
      </c>
      <c r="X8011" s="2" t="s">
        <v>190</v>
      </c>
      <c r="Y8011" s="2">
        <v>3655</v>
      </c>
      <c r="Z8011" s="19" t="str">
        <f>HYPERLINK("https://ssdweb.co/ssdweb/hd/Vision360.html?d=926110867&amp;zoomslide=1&amp;z=1926110867&amp;ISCONFIRM=0","VIDEO")</f>
        <v>VIDEO</v>
      </c>
      <c r="AA8011" s="19" t="str">
        <f>HYPERLINK("https://ssdweb.co/ssdweb/CERTH/632449421.pdf","CERTI")</f>
        <v>CERTI</v>
      </c>
    </row>
    <row r="8012" spans="1:27" ht="15" x14ac:dyDescent="0.25">
      <c r="A8012" s="2">
        <v>8007</v>
      </c>
      <c r="B8012" s="39">
        <v>926110367</v>
      </c>
      <c r="C8012" s="28" t="str">
        <f>HYPERLINK("https://pld.live/RapDetail.aspx?STONELIST=926110367","DNA")</f>
        <v>DNA</v>
      </c>
      <c r="D8012" s="18" t="s">
        <v>5715</v>
      </c>
      <c r="E8012" s="18" t="s">
        <v>5128</v>
      </c>
      <c r="F8012" s="2" t="s">
        <v>7987</v>
      </c>
      <c r="G8012" s="2" t="s">
        <v>4029</v>
      </c>
      <c r="H8012" s="14">
        <v>0.84</v>
      </c>
      <c r="I8012" s="2" t="s">
        <v>267</v>
      </c>
      <c r="J8012" s="2" t="s">
        <v>3942</v>
      </c>
      <c r="K8012" s="2" t="s">
        <v>1452</v>
      </c>
      <c r="L8012" s="2" t="s">
        <v>5221</v>
      </c>
      <c r="M8012" s="2" t="s">
        <v>5221</v>
      </c>
      <c r="N8012" s="2" t="s">
        <v>2317</v>
      </c>
      <c r="O8012" s="14">
        <v>4000</v>
      </c>
      <c r="P8012" s="14">
        <v>96.85</v>
      </c>
      <c r="Q8012" s="14">
        <v>126</v>
      </c>
      <c r="R8012" s="14">
        <v>105.84</v>
      </c>
      <c r="S8012" s="2" t="s">
        <v>5408</v>
      </c>
      <c r="T8012" s="2">
        <v>1.3</v>
      </c>
      <c r="U8012" s="2">
        <v>68.099999999999994</v>
      </c>
      <c r="V8012" s="2">
        <v>64</v>
      </c>
      <c r="W8012" s="2" t="s">
        <v>7862</v>
      </c>
      <c r="X8012" s="2" t="s">
        <v>190</v>
      </c>
      <c r="Y8012" s="2">
        <v>3360</v>
      </c>
      <c r="Z8012" s="19" t="str">
        <f>HYPERLINK("https://ssdweb.co/ssdweb/hd/Vision360.html?d=926110367&amp;zoomslide=1&amp;z=1926110367&amp;ISCONFIRM=0","VIDEO")</f>
        <v>VIDEO</v>
      </c>
      <c r="AA8012" s="19" t="str">
        <f>HYPERLINK("https://ssdweb.co/ssdweb/CERTH/632421385.pdf","CERTI")</f>
        <v>CERTI</v>
      </c>
    </row>
    <row r="8013" spans="1:27" ht="15" x14ac:dyDescent="0.25">
      <c r="A8013" s="2">
        <v>8008</v>
      </c>
      <c r="B8013" s="39">
        <v>925900337</v>
      </c>
      <c r="C8013" s="28" t="str">
        <f>HYPERLINK("https://pld.live/RapDetail.aspx?STONELIST=925900337","DNA")</f>
        <v>DNA</v>
      </c>
      <c r="D8013" s="18" t="s">
        <v>5715</v>
      </c>
      <c r="E8013" s="18" t="s">
        <v>5128</v>
      </c>
      <c r="F8013" s="2" t="s">
        <v>7987</v>
      </c>
      <c r="G8013" s="2" t="s">
        <v>4029</v>
      </c>
      <c r="H8013" s="14">
        <v>0.83</v>
      </c>
      <c r="I8013" s="2" t="s">
        <v>4761</v>
      </c>
      <c r="J8013" s="2" t="s">
        <v>3942</v>
      </c>
      <c r="K8013" s="2" t="s">
        <v>1452</v>
      </c>
      <c r="L8013" s="2" t="s">
        <v>5221</v>
      </c>
      <c r="M8013" s="2" t="s">
        <v>5221</v>
      </c>
      <c r="N8013" s="2" t="s">
        <v>2317</v>
      </c>
      <c r="O8013" s="14">
        <v>3800</v>
      </c>
      <c r="P8013" s="14">
        <v>96.82</v>
      </c>
      <c r="Q8013" s="14">
        <v>120.84</v>
      </c>
      <c r="R8013" s="14">
        <v>100.3</v>
      </c>
      <c r="S8013" s="2" t="s">
        <v>231</v>
      </c>
      <c r="T8013" s="2">
        <v>1.28</v>
      </c>
      <c r="U8013" s="2">
        <v>66.400000000000006</v>
      </c>
      <c r="V8013" s="2">
        <v>66</v>
      </c>
      <c r="W8013" s="2" t="s">
        <v>7862</v>
      </c>
      <c r="X8013" s="2" t="s">
        <v>190</v>
      </c>
      <c r="Y8013" s="2">
        <v>3154</v>
      </c>
      <c r="Z8013" s="19" t="str">
        <f>HYPERLINK("https://ssdweb.co/ssdweb/hd/Vision360.html?d=925900337&amp;zoomslide=1&amp;z=1925900337&amp;ISCONFIRM=0","VIDEO")</f>
        <v>VIDEO</v>
      </c>
      <c r="AA8013" s="19" t="str">
        <f>HYPERLINK("https://ssdweb.co/ssdweb/CERTH/627496953.pdf","CERTI")</f>
        <v>CERTI</v>
      </c>
    </row>
    <row r="8014" spans="1:27" ht="15" x14ac:dyDescent="0.25">
      <c r="A8014" s="2">
        <v>8009</v>
      </c>
      <c r="B8014" s="39">
        <v>925900343</v>
      </c>
      <c r="C8014" s="28" t="str">
        <f>HYPERLINK("https://pld.live/RapDetail.aspx?STONELIST=925900343","DNA")</f>
        <v>DNA</v>
      </c>
      <c r="D8014" s="18" t="s">
        <v>5715</v>
      </c>
      <c r="E8014" s="18" t="s">
        <v>5128</v>
      </c>
      <c r="F8014" s="2" t="s">
        <v>7987</v>
      </c>
      <c r="G8014" s="2" t="s">
        <v>4029</v>
      </c>
      <c r="H8014" s="14">
        <v>0.83</v>
      </c>
      <c r="I8014" s="2" t="s">
        <v>4761</v>
      </c>
      <c r="J8014" s="2" t="s">
        <v>13</v>
      </c>
      <c r="K8014" s="2" t="s">
        <v>1452</v>
      </c>
      <c r="L8014" s="2" t="s">
        <v>5221</v>
      </c>
      <c r="M8014" s="2" t="s">
        <v>5221</v>
      </c>
      <c r="N8014" s="2" t="s">
        <v>2317</v>
      </c>
      <c r="O8014" s="14">
        <v>3500</v>
      </c>
      <c r="P8014" s="14">
        <v>96.74</v>
      </c>
      <c r="Q8014" s="14">
        <v>114.1</v>
      </c>
      <c r="R8014" s="14">
        <v>94.7</v>
      </c>
      <c r="S8014" s="2" t="s">
        <v>2091</v>
      </c>
      <c r="T8014" s="2">
        <v>1.29</v>
      </c>
      <c r="U8014" s="2">
        <v>67.400000000000006</v>
      </c>
      <c r="V8014" s="2">
        <v>65</v>
      </c>
      <c r="W8014" s="2" t="s">
        <v>7862</v>
      </c>
      <c r="X8014" s="2" t="s">
        <v>190</v>
      </c>
      <c r="Y8014" s="2">
        <v>2905</v>
      </c>
      <c r="Z8014" s="19" t="str">
        <f>HYPERLINK("https://ssdweb.co/ssdweb/hd/Vision360.html?d=925900343&amp;zoomslide=1&amp;z=1925900343&amp;ISCONFIRM=0","VIDEO")</f>
        <v>VIDEO</v>
      </c>
      <c r="AA8014" s="19" t="str">
        <f>HYPERLINK("https://ssdweb.co/ssdweb/CERTH/627415068.pdf","CERTI")</f>
        <v>CERTI</v>
      </c>
    </row>
    <row r="8015" spans="1:27" ht="15" x14ac:dyDescent="0.25">
      <c r="A8015" s="2">
        <v>8010</v>
      </c>
      <c r="B8015" s="39">
        <v>925900482</v>
      </c>
      <c r="C8015" s="28" t="str">
        <f>HYPERLINK("https://pld.live/RapDetail.aspx?STONELIST=925900482","DNA")</f>
        <v>DNA</v>
      </c>
      <c r="D8015" s="18" t="s">
        <v>5715</v>
      </c>
      <c r="E8015" s="18" t="s">
        <v>5128</v>
      </c>
      <c r="F8015" s="2" t="s">
        <v>7987</v>
      </c>
      <c r="G8015" s="2" t="s">
        <v>4029</v>
      </c>
      <c r="H8015" s="14">
        <v>0.81</v>
      </c>
      <c r="I8015" s="2" t="s">
        <v>267</v>
      </c>
      <c r="J8015" s="2" t="s">
        <v>3942</v>
      </c>
      <c r="K8015" s="2" t="s">
        <v>1452</v>
      </c>
      <c r="L8015" s="2" t="s">
        <v>5221</v>
      </c>
      <c r="M8015" s="2" t="s">
        <v>5221</v>
      </c>
      <c r="N8015" s="2" t="s">
        <v>2317</v>
      </c>
      <c r="O8015" s="14">
        <v>4000</v>
      </c>
      <c r="P8015" s="14">
        <v>96.9</v>
      </c>
      <c r="Q8015" s="14">
        <v>124</v>
      </c>
      <c r="R8015" s="14">
        <v>100.44</v>
      </c>
      <c r="S8015" s="2" t="s">
        <v>1320</v>
      </c>
      <c r="T8015" s="2">
        <v>1.3</v>
      </c>
      <c r="U8015" s="2">
        <v>67.599999999999994</v>
      </c>
      <c r="V8015" s="2">
        <v>62</v>
      </c>
      <c r="W8015" s="2" t="s">
        <v>7862</v>
      </c>
      <c r="X8015" s="2" t="s">
        <v>190</v>
      </c>
      <c r="Y8015" s="2">
        <v>3240</v>
      </c>
      <c r="Z8015" s="19" t="str">
        <f>HYPERLINK("https://ssdweb.co/ssdweb/hd/Vision360.html?d=925900482&amp;zoomslide=1&amp;z=1925900482&amp;ISCONFIRM=0","VIDEO")</f>
        <v>VIDEO</v>
      </c>
      <c r="AA8015" s="19" t="str">
        <f>HYPERLINK("https://ssdweb.co/ssdweb/CERTH/627427313.pdf","CERTI")</f>
        <v>CERTI</v>
      </c>
    </row>
    <row r="8016" spans="1:27" ht="15" x14ac:dyDescent="0.25">
      <c r="A8016" s="2">
        <v>8011</v>
      </c>
      <c r="B8016" s="39">
        <v>925670217</v>
      </c>
      <c r="C8016" s="28" t="str">
        <f>HYPERLINK("https://pld.live/RapDetail.aspx?STONELIST=925670217","DNA")</f>
        <v>DNA</v>
      </c>
      <c r="D8016" s="18" t="s">
        <v>5715</v>
      </c>
      <c r="E8016" s="18" t="s">
        <v>2186</v>
      </c>
      <c r="F8016" s="2" t="s">
        <v>7987</v>
      </c>
      <c r="G8016" s="2" t="s">
        <v>4029</v>
      </c>
      <c r="H8016" s="14">
        <v>0.81</v>
      </c>
      <c r="I8016" s="2" t="s">
        <v>6587</v>
      </c>
      <c r="J8016" s="2" t="s">
        <v>13</v>
      </c>
      <c r="K8016" s="2" t="s">
        <v>1452</v>
      </c>
      <c r="L8016" s="2" t="s">
        <v>5221</v>
      </c>
      <c r="M8016" s="2" t="s">
        <v>5221</v>
      </c>
      <c r="N8016" s="2" t="s">
        <v>2317</v>
      </c>
      <c r="O8016" s="14">
        <v>3100</v>
      </c>
      <c r="P8016" s="14">
        <v>96.45</v>
      </c>
      <c r="Q8016" s="14">
        <v>110.05</v>
      </c>
      <c r="R8016" s="14">
        <v>89.14</v>
      </c>
      <c r="S8016" s="2" t="s">
        <v>4447</v>
      </c>
      <c r="T8016" s="2">
        <v>1.3</v>
      </c>
      <c r="U8016" s="2">
        <v>64.599999999999994</v>
      </c>
      <c r="V8016" s="2">
        <v>67</v>
      </c>
      <c r="W8016" s="2" t="s">
        <v>7862</v>
      </c>
      <c r="X8016" s="2" t="s">
        <v>190</v>
      </c>
      <c r="Y8016" s="2">
        <v>2511</v>
      </c>
      <c r="Z8016" s="19" t="str">
        <f>HYPERLINK("https://ssdweb.co/ssdweb/hd/Vision360.html?d=925670217&amp;zoomslide=1&amp;z=1925670217&amp;ISCONFIRM=0","VIDEO")</f>
        <v>VIDEO</v>
      </c>
      <c r="AA8016" s="19" t="str">
        <f>HYPERLINK("https://ssdweb.co/ssdweb/CERTH/626457177.pdf","CERTI")</f>
        <v>CERTI</v>
      </c>
    </row>
    <row r="8017" spans="1:27" ht="15" x14ac:dyDescent="0.25">
      <c r="A8017" s="2">
        <v>8012</v>
      </c>
      <c r="B8017" s="39">
        <v>925750665</v>
      </c>
      <c r="C8017" s="28" t="str">
        <f>HYPERLINK("https://pld.live/RapDetail.aspx?STONELIST=925750665","DNA")</f>
        <v>DNA</v>
      </c>
      <c r="D8017" s="18" t="s">
        <v>5715</v>
      </c>
      <c r="E8017" s="18" t="s">
        <v>5128</v>
      </c>
      <c r="F8017" s="2" t="s">
        <v>7987</v>
      </c>
      <c r="G8017" s="2" t="s">
        <v>4029</v>
      </c>
      <c r="H8017" s="14">
        <v>0.8</v>
      </c>
      <c r="I8017" s="2" t="s">
        <v>267</v>
      </c>
      <c r="J8017" s="2" t="s">
        <v>6555</v>
      </c>
      <c r="K8017" s="2" t="s">
        <v>1452</v>
      </c>
      <c r="L8017" s="2" t="s">
        <v>5221</v>
      </c>
      <c r="M8017" s="2" t="s">
        <v>5221</v>
      </c>
      <c r="N8017" s="2" t="s">
        <v>2317</v>
      </c>
      <c r="O8017" s="14">
        <v>4300</v>
      </c>
      <c r="P8017" s="14">
        <v>96.65</v>
      </c>
      <c r="Q8017" s="14">
        <v>144.05000000000001</v>
      </c>
      <c r="R8017" s="14">
        <v>115.24</v>
      </c>
      <c r="S8017" s="2" t="s">
        <v>7839</v>
      </c>
      <c r="T8017" s="2">
        <v>1.29</v>
      </c>
      <c r="U8017" s="2">
        <v>68</v>
      </c>
      <c r="V8017" s="2">
        <v>68</v>
      </c>
      <c r="W8017" s="2" t="s">
        <v>7862</v>
      </c>
      <c r="X8017" s="2" t="s">
        <v>190</v>
      </c>
      <c r="Y8017" s="2">
        <v>3440</v>
      </c>
      <c r="Z8017" s="19" t="str">
        <f>HYPERLINK("https://ssdweb.co/ssdweb/hd/Vision360.html?d=925750665&amp;zoomslide=1&amp;z=1925750665&amp;ISCONFIRM=0","VIDEO")</f>
        <v>VIDEO</v>
      </c>
      <c r="AA8017" s="19" t="str">
        <f>HYPERLINK("https://ssdweb.co/ssdweb/CERTH/625432109.pdf","CERTI")</f>
        <v>CERTI</v>
      </c>
    </row>
    <row r="8018" spans="1:27" ht="15" x14ac:dyDescent="0.25">
      <c r="A8018" s="2">
        <v>8013</v>
      </c>
      <c r="B8018" s="39">
        <v>925900271</v>
      </c>
      <c r="C8018" s="28" t="str">
        <f>HYPERLINK("https://pld.live/RapDetail.aspx?STONELIST=925900271","DNA")</f>
        <v>DNA</v>
      </c>
      <c r="D8018" s="18" t="s">
        <v>5715</v>
      </c>
      <c r="E8018" s="18" t="s">
        <v>5128</v>
      </c>
      <c r="F8018" s="2" t="s">
        <v>7987</v>
      </c>
      <c r="G8018" s="2" t="s">
        <v>4029</v>
      </c>
      <c r="H8018" s="14">
        <v>0.8</v>
      </c>
      <c r="I8018" s="2" t="s">
        <v>267</v>
      </c>
      <c r="J8018" s="2" t="s">
        <v>3942</v>
      </c>
      <c r="K8018" s="2" t="s">
        <v>1452</v>
      </c>
      <c r="L8018" s="2" t="s">
        <v>5221</v>
      </c>
      <c r="M8018" s="2" t="s">
        <v>5221</v>
      </c>
      <c r="N8018" s="2" t="s">
        <v>2317</v>
      </c>
      <c r="O8018" s="14">
        <v>4000</v>
      </c>
      <c r="P8018" s="14">
        <v>96.9</v>
      </c>
      <c r="Q8018" s="14">
        <v>124</v>
      </c>
      <c r="R8018" s="14">
        <v>99.2</v>
      </c>
      <c r="S8018" s="2" t="s">
        <v>6332</v>
      </c>
      <c r="T8018" s="2">
        <v>1.3</v>
      </c>
      <c r="U8018" s="2">
        <v>68.3</v>
      </c>
      <c r="V8018" s="2">
        <v>64</v>
      </c>
      <c r="W8018" s="2" t="s">
        <v>7862</v>
      </c>
      <c r="X8018" s="2" t="s">
        <v>190</v>
      </c>
      <c r="Y8018" s="2">
        <v>3200</v>
      </c>
      <c r="Z8018" s="19" t="str">
        <f>HYPERLINK("https://ssdweb.co/ssdweb/hd/Vision360.html?d=925900271&amp;zoomslide=1&amp;z=1925900271&amp;ISCONFIRM=0","VIDEO")</f>
        <v>VIDEO</v>
      </c>
      <c r="AA8018" s="19" t="str">
        <f>HYPERLINK("https://ssdweb.co/ssdweb/CERTH/627473115.pdf","CERTI")</f>
        <v>CERTI</v>
      </c>
    </row>
    <row r="8019" spans="1:27" ht="15" x14ac:dyDescent="0.25">
      <c r="A8019" s="2">
        <v>8014</v>
      </c>
      <c r="B8019" s="39">
        <v>925570097</v>
      </c>
      <c r="C8019" s="28" t="str">
        <f>HYPERLINK("https://pld.live/RapDetail.aspx?STONELIST=925570097","DNA")</f>
        <v>DNA</v>
      </c>
      <c r="D8019" s="18" t="s">
        <v>5847</v>
      </c>
      <c r="E8019" s="18" t="s">
        <v>2186</v>
      </c>
      <c r="F8019" s="2" t="s">
        <v>7987</v>
      </c>
      <c r="G8019" s="2" t="s">
        <v>4029</v>
      </c>
      <c r="H8019" s="14">
        <v>0.77</v>
      </c>
      <c r="I8019" s="2" t="s">
        <v>4699</v>
      </c>
      <c r="J8019" s="2" t="s">
        <v>13</v>
      </c>
      <c r="K8019" s="2" t="s">
        <v>1452</v>
      </c>
      <c r="L8019" s="2" t="s">
        <v>5221</v>
      </c>
      <c r="M8019" s="2" t="s">
        <v>5221</v>
      </c>
      <c r="N8019" s="2" t="s">
        <v>2317</v>
      </c>
      <c r="O8019" s="14">
        <v>3300</v>
      </c>
      <c r="P8019" s="14">
        <v>96.39</v>
      </c>
      <c r="Q8019" s="14">
        <v>119.13</v>
      </c>
      <c r="R8019" s="14">
        <v>91.73</v>
      </c>
      <c r="S8019" s="2" t="s">
        <v>5697</v>
      </c>
      <c r="T8019" s="2">
        <v>1.28</v>
      </c>
      <c r="U8019" s="2">
        <v>67.900000000000006</v>
      </c>
      <c r="V8019" s="2">
        <v>66</v>
      </c>
      <c r="W8019" s="2" t="s">
        <v>7862</v>
      </c>
      <c r="X8019" s="2" t="s">
        <v>190</v>
      </c>
      <c r="Y8019" s="2">
        <v>2541</v>
      </c>
      <c r="Z8019" s="19" t="str">
        <f>HYPERLINK("https://ssdweb.co/ssdweb/hd/Vision360.html?d=925570097&amp;zoomslide=1&amp;z=1925570097&amp;ISCONFIRM=0","VIDEO")</f>
        <v>VIDEO</v>
      </c>
      <c r="AA8019" s="19" t="str">
        <f>HYPERLINK("https://ssdweb.co/ssdweb/CERTH/622499758.pdf","CERTI")</f>
        <v>CERTI</v>
      </c>
    </row>
    <row r="8020" spans="1:27" ht="15" x14ac:dyDescent="0.25">
      <c r="A8020" s="2">
        <v>8015</v>
      </c>
      <c r="B8020" s="39">
        <v>926440736</v>
      </c>
      <c r="C8020" s="28" t="str">
        <f>HYPERLINK("https://pld.live/RapDetail.aspx?STONELIST=926440736","DNA")</f>
        <v>DNA</v>
      </c>
      <c r="D8020" s="18" t="s">
        <v>5847</v>
      </c>
      <c r="E8020" s="18" t="s">
        <v>5128</v>
      </c>
      <c r="F8020" s="2" t="s">
        <v>7987</v>
      </c>
      <c r="G8020" s="2" t="s">
        <v>4029</v>
      </c>
      <c r="H8020" s="14">
        <v>0.75</v>
      </c>
      <c r="I8020" s="2" t="s">
        <v>267</v>
      </c>
      <c r="J8020" s="2" t="s">
        <v>3942</v>
      </c>
      <c r="K8020" s="2" t="s">
        <v>1452</v>
      </c>
      <c r="L8020" s="2" t="s">
        <v>5721</v>
      </c>
      <c r="M8020" s="2" t="s">
        <v>5221</v>
      </c>
      <c r="N8020" s="2" t="s">
        <v>2317</v>
      </c>
      <c r="O8020" s="14">
        <v>4000</v>
      </c>
      <c r="P8020" s="14">
        <v>96.65</v>
      </c>
      <c r="Q8020" s="14">
        <v>134</v>
      </c>
      <c r="R8020" s="14">
        <v>100.5</v>
      </c>
      <c r="S8020" s="2" t="s">
        <v>7998</v>
      </c>
      <c r="T8020" s="2">
        <v>1.33</v>
      </c>
      <c r="U8020" s="2">
        <v>64.099999999999994</v>
      </c>
      <c r="V8020" s="2">
        <v>64</v>
      </c>
      <c r="W8020" s="2" t="s">
        <v>7862</v>
      </c>
      <c r="X8020" s="2" t="s">
        <v>190</v>
      </c>
      <c r="Y8020" s="2">
        <v>3000</v>
      </c>
      <c r="Z8020" s="19" t="str">
        <f>HYPERLINK("https://ssdweb.co/ssdweb/hd/Vision360.html?d=926440736&amp;zoomslide=1&amp;z=1926440736&amp;ISCONFIRM=0","VIDEO")</f>
        <v>VIDEO</v>
      </c>
      <c r="AA8020" s="19" t="str">
        <f>HYPERLINK("https://ssdweb.co/ssdweb/CERTH/642460609.pdf","CERTI")</f>
        <v>CERTI</v>
      </c>
    </row>
    <row r="8021" spans="1:27" ht="15" x14ac:dyDescent="0.25">
      <c r="A8021" s="2">
        <v>8016</v>
      </c>
      <c r="B8021" s="39">
        <v>925502734</v>
      </c>
      <c r="C8021" s="28" t="str">
        <f>HYPERLINK("https://pld.live/RapDetail.aspx?STONELIST=925502734","DNA")</f>
        <v>DNA</v>
      </c>
      <c r="D8021" s="18" t="s">
        <v>5847</v>
      </c>
      <c r="E8021" s="18" t="s">
        <v>5128</v>
      </c>
      <c r="F8021" s="2" t="s">
        <v>7987</v>
      </c>
      <c r="G8021" s="2" t="s">
        <v>4029</v>
      </c>
      <c r="H8021" s="14">
        <v>0.73</v>
      </c>
      <c r="I8021" s="2" t="s">
        <v>267</v>
      </c>
      <c r="J8021" s="2" t="s">
        <v>3942</v>
      </c>
      <c r="K8021" s="2" t="s">
        <v>1452</v>
      </c>
      <c r="L8021" s="2" t="s">
        <v>5221</v>
      </c>
      <c r="M8021" s="2" t="s">
        <v>5221</v>
      </c>
      <c r="N8021" s="2" t="s">
        <v>2317</v>
      </c>
      <c r="O8021" s="14">
        <v>4000</v>
      </c>
      <c r="P8021" s="14">
        <v>96.65</v>
      </c>
      <c r="Q8021" s="14">
        <v>134</v>
      </c>
      <c r="R8021" s="14">
        <v>97.82</v>
      </c>
      <c r="S8021" s="2" t="s">
        <v>207</v>
      </c>
      <c r="T8021" s="2">
        <v>1.32</v>
      </c>
      <c r="U8021" s="2">
        <v>67.3</v>
      </c>
      <c r="V8021" s="2">
        <v>67</v>
      </c>
      <c r="W8021" s="2" t="s">
        <v>7862</v>
      </c>
      <c r="X8021" s="2" t="s">
        <v>190</v>
      </c>
      <c r="Y8021" s="2">
        <v>2920</v>
      </c>
      <c r="Z8021" s="19" t="str">
        <f>HYPERLINK("https://ssdweb.co/ssdweb/hd/Vision360.html?d=925502734&amp;zoomslide=1&amp;z=1925502734&amp;ISCONFIRM=0","VIDEO")</f>
        <v>VIDEO</v>
      </c>
      <c r="AA8021" s="19" t="str">
        <f>HYPERLINK("https://ssdweb.co/ssdweb/CERTH/622499788.pdf","CERTI")</f>
        <v>CERTI</v>
      </c>
    </row>
    <row r="8022" spans="1:27" ht="15" x14ac:dyDescent="0.25">
      <c r="A8022" s="2">
        <v>8017</v>
      </c>
      <c r="B8022" s="39">
        <v>926460777</v>
      </c>
      <c r="C8022" s="28" t="str">
        <f>HYPERLINK("https://pld.live/RapDetail.aspx?STONELIST=926460777","DNA")</f>
        <v>DNA</v>
      </c>
      <c r="D8022" s="18" t="s">
        <v>5847</v>
      </c>
      <c r="E8022" s="18" t="s">
        <v>5128</v>
      </c>
      <c r="F8022" s="2" t="s">
        <v>7987</v>
      </c>
      <c r="G8022" s="2" t="s">
        <v>4029</v>
      </c>
      <c r="H8022" s="14">
        <v>0.73</v>
      </c>
      <c r="I8022" s="2" t="s">
        <v>4761</v>
      </c>
      <c r="J8022" s="2" t="s">
        <v>3942</v>
      </c>
      <c r="K8022" s="2" t="s">
        <v>1452</v>
      </c>
      <c r="L8022" s="2" t="s">
        <v>5221</v>
      </c>
      <c r="M8022" s="2" t="s">
        <v>5221</v>
      </c>
      <c r="N8022" s="2" t="s">
        <v>2317</v>
      </c>
      <c r="O8022" s="14">
        <v>3800</v>
      </c>
      <c r="P8022" s="14">
        <v>96.5</v>
      </c>
      <c r="Q8022" s="14">
        <v>133</v>
      </c>
      <c r="R8022" s="14">
        <v>97.09</v>
      </c>
      <c r="S8022" s="2" t="s">
        <v>6525</v>
      </c>
      <c r="T8022" s="2">
        <v>1.3</v>
      </c>
      <c r="U8022" s="2">
        <v>67.7</v>
      </c>
      <c r="V8022" s="2">
        <v>65</v>
      </c>
      <c r="W8022" s="2" t="s">
        <v>7862</v>
      </c>
      <c r="X8022" s="2" t="s">
        <v>190</v>
      </c>
      <c r="Y8022" s="2">
        <v>2774</v>
      </c>
      <c r="Z8022" s="19" t="str">
        <f>HYPERLINK("https://ssdweb.co/ssdweb/hd/Vision360.html?d=926460777&amp;zoomslide=1&amp;z=1926460777&amp;ISCONFIRM=0","VIDEO")</f>
        <v>VIDEO</v>
      </c>
      <c r="AA8022" s="19" t="str">
        <f>HYPERLINK("https://ssdweb.co/ssdweb/CERTH/648487055.pdf","CERTI")</f>
        <v>CERTI</v>
      </c>
    </row>
    <row r="8023" spans="1:27" ht="15" x14ac:dyDescent="0.25">
      <c r="A8023" s="2">
        <v>8018</v>
      </c>
      <c r="B8023" s="39">
        <v>926460662</v>
      </c>
      <c r="C8023" s="28" t="str">
        <f>HYPERLINK("https://pld.live/RapDetail.aspx?STONELIST=926460662","DNA")</f>
        <v>DNA</v>
      </c>
      <c r="D8023" s="18" t="s">
        <v>5847</v>
      </c>
      <c r="E8023" s="18" t="s">
        <v>5128</v>
      </c>
      <c r="F8023" s="2" t="s">
        <v>7987</v>
      </c>
      <c r="G8023" s="2" t="s">
        <v>4029</v>
      </c>
      <c r="H8023" s="14">
        <v>0.72</v>
      </c>
      <c r="I8023" s="2" t="s">
        <v>267</v>
      </c>
      <c r="J8023" s="2" t="s">
        <v>3942</v>
      </c>
      <c r="K8023" s="2" t="s">
        <v>1452</v>
      </c>
      <c r="L8023" s="2" t="s">
        <v>5221</v>
      </c>
      <c r="M8023" s="2" t="s">
        <v>5221</v>
      </c>
      <c r="N8023" s="2" t="s">
        <v>2317</v>
      </c>
      <c r="O8023" s="14">
        <v>4000</v>
      </c>
      <c r="P8023" s="14">
        <v>96.55</v>
      </c>
      <c r="Q8023" s="14">
        <v>138</v>
      </c>
      <c r="R8023" s="14">
        <v>99.36</v>
      </c>
      <c r="S8023" s="2" t="s">
        <v>3775</v>
      </c>
      <c r="T8023" s="2">
        <v>1.33</v>
      </c>
      <c r="U8023" s="2">
        <v>64.3</v>
      </c>
      <c r="V8023" s="2">
        <v>62</v>
      </c>
      <c r="W8023" s="2" t="s">
        <v>7862</v>
      </c>
      <c r="X8023" s="2" t="s">
        <v>190</v>
      </c>
      <c r="Y8023" s="2">
        <v>2880</v>
      </c>
      <c r="Z8023" s="19" t="str">
        <f>HYPERLINK("https://ssdweb.co/ssdweb/hd/Vision360.html?d=926460662&amp;zoomslide=1&amp;z=1926460662&amp;ISCONFIRM=0","VIDEO")</f>
        <v>VIDEO</v>
      </c>
      <c r="AA8023" s="19" t="str">
        <f>HYPERLINK("https://ssdweb.co/ssdweb/CERTH/642497658.pdf","CERTI")</f>
        <v>CERTI</v>
      </c>
    </row>
    <row r="8024" spans="1:27" ht="15" x14ac:dyDescent="0.25">
      <c r="A8024" s="2">
        <v>8019</v>
      </c>
      <c r="B8024" s="39">
        <v>926110670</v>
      </c>
      <c r="C8024" s="28" t="str">
        <f>HYPERLINK("https://pld.live/RapDetail.aspx?STONELIST=926110670","DNA")</f>
        <v>DNA</v>
      </c>
      <c r="D8024" s="18" t="s">
        <v>5847</v>
      </c>
      <c r="E8024" s="18" t="s">
        <v>5128</v>
      </c>
      <c r="F8024" s="2" t="s">
        <v>7987</v>
      </c>
      <c r="G8024" s="2" t="s">
        <v>4029</v>
      </c>
      <c r="H8024" s="14">
        <v>0.72</v>
      </c>
      <c r="I8024" s="2" t="s">
        <v>267</v>
      </c>
      <c r="J8024" s="2" t="s">
        <v>3942</v>
      </c>
      <c r="K8024" s="2" t="s">
        <v>1452</v>
      </c>
      <c r="L8024" s="2" t="s">
        <v>5221</v>
      </c>
      <c r="M8024" s="2" t="s">
        <v>5721</v>
      </c>
      <c r="N8024" s="2" t="s">
        <v>2317</v>
      </c>
      <c r="O8024" s="14">
        <v>4000</v>
      </c>
      <c r="P8024" s="14">
        <v>96.65</v>
      </c>
      <c r="Q8024" s="14">
        <v>134</v>
      </c>
      <c r="R8024" s="14">
        <v>96.48</v>
      </c>
      <c r="S8024" s="2" t="s">
        <v>1149</v>
      </c>
      <c r="T8024" s="2">
        <v>1.46</v>
      </c>
      <c r="U8024" s="2">
        <v>66.599999999999994</v>
      </c>
      <c r="V8024" s="2">
        <v>66</v>
      </c>
      <c r="W8024" s="2" t="s">
        <v>7862</v>
      </c>
      <c r="X8024" s="2" t="s">
        <v>190</v>
      </c>
      <c r="Y8024" s="2">
        <v>2880</v>
      </c>
      <c r="Z8024" s="19" t="str">
        <f>HYPERLINK("https://ssdweb.co/ssdweb/hd/Vision360.html?d=926110670&amp;zoomslide=1&amp;z=1926110670&amp;ISCONFIRM=0","VIDEO")</f>
        <v>VIDEO</v>
      </c>
      <c r="AA8024" s="19" t="str">
        <f>HYPERLINK("https://ssdweb.co/ssdweb/CERTH/632421398.pdf","CERTI")</f>
        <v>CERTI</v>
      </c>
    </row>
    <row r="8025" spans="1:27" ht="15" x14ac:dyDescent="0.25">
      <c r="A8025" s="2">
        <v>8020</v>
      </c>
      <c r="B8025" s="39">
        <v>926460552</v>
      </c>
      <c r="C8025" s="28" t="str">
        <f>HYPERLINK("https://pld.live/RapDetail.aspx?STONELIST=926460552","DNA")</f>
        <v>DNA</v>
      </c>
      <c r="D8025" s="18" t="s">
        <v>5847</v>
      </c>
      <c r="E8025" s="18" t="s">
        <v>5128</v>
      </c>
      <c r="F8025" s="2" t="s">
        <v>7987</v>
      </c>
      <c r="G8025" s="2" t="s">
        <v>4029</v>
      </c>
      <c r="H8025" s="14">
        <v>0.71</v>
      </c>
      <c r="I8025" s="2" t="s">
        <v>267</v>
      </c>
      <c r="J8025" s="2" t="s">
        <v>3942</v>
      </c>
      <c r="K8025" s="2" t="s">
        <v>1452</v>
      </c>
      <c r="L8025" s="2" t="s">
        <v>5221</v>
      </c>
      <c r="M8025" s="2" t="s">
        <v>5221</v>
      </c>
      <c r="N8025" s="2" t="s">
        <v>2317</v>
      </c>
      <c r="O8025" s="14">
        <v>4000</v>
      </c>
      <c r="P8025" s="14">
        <v>96.6</v>
      </c>
      <c r="Q8025" s="14">
        <v>136</v>
      </c>
      <c r="R8025" s="14">
        <v>96.56</v>
      </c>
      <c r="S8025" s="2" t="s">
        <v>2410</v>
      </c>
      <c r="T8025" s="2">
        <v>1.29</v>
      </c>
      <c r="U8025" s="2">
        <v>67.599999999999994</v>
      </c>
      <c r="V8025" s="2">
        <v>65</v>
      </c>
      <c r="W8025" s="2" t="s">
        <v>7862</v>
      </c>
      <c r="X8025" s="2" t="s">
        <v>190</v>
      </c>
      <c r="Y8025" s="2">
        <v>2840</v>
      </c>
      <c r="Z8025" s="19" t="str">
        <f>HYPERLINK("https://ssdweb.co/ssdweb/hd/Vision360.html?d=926460552&amp;zoomslide=1&amp;z=1926460552&amp;ISCONFIRM=0","VIDEO")</f>
        <v>VIDEO</v>
      </c>
      <c r="AA8025" s="19" t="str">
        <f>HYPERLINK("https://ssdweb.co/ssdweb/CERTH/642460610.pdf","CERTI")</f>
        <v>CERTI</v>
      </c>
    </row>
    <row r="8026" spans="1:27" ht="15" x14ac:dyDescent="0.25">
      <c r="A8026" s="2">
        <v>8021</v>
      </c>
      <c r="B8026" s="39">
        <v>925610481</v>
      </c>
      <c r="C8026" s="28" t="str">
        <f>HYPERLINK("https://pld.live/RapDetail.aspx?STONELIST=925610481","DNA")</f>
        <v>DNA</v>
      </c>
      <c r="D8026" s="18" t="s">
        <v>5847</v>
      </c>
      <c r="E8026" s="18" t="s">
        <v>2186</v>
      </c>
      <c r="F8026" s="2" t="s">
        <v>7987</v>
      </c>
      <c r="G8026" s="2" t="s">
        <v>4029</v>
      </c>
      <c r="H8026" s="14">
        <v>0.7</v>
      </c>
      <c r="I8026" s="2" t="s">
        <v>267</v>
      </c>
      <c r="J8026" s="2" t="s">
        <v>3942</v>
      </c>
      <c r="K8026" s="2" t="s">
        <v>1452</v>
      </c>
      <c r="L8026" s="2" t="s">
        <v>5221</v>
      </c>
      <c r="M8026" s="2" t="s">
        <v>5221</v>
      </c>
      <c r="N8026" s="2" t="s">
        <v>2317</v>
      </c>
      <c r="O8026" s="14">
        <v>4000</v>
      </c>
      <c r="P8026" s="14">
        <v>96.65</v>
      </c>
      <c r="Q8026" s="14">
        <v>134</v>
      </c>
      <c r="R8026" s="14">
        <v>93.8</v>
      </c>
      <c r="S8026" s="2" t="s">
        <v>2763</v>
      </c>
      <c r="T8026" s="2">
        <v>1.35</v>
      </c>
      <c r="U8026" s="2">
        <v>63.8</v>
      </c>
      <c r="V8026" s="2">
        <v>65</v>
      </c>
      <c r="W8026" s="2" t="s">
        <v>7862</v>
      </c>
      <c r="X8026" s="2" t="s">
        <v>190</v>
      </c>
      <c r="Y8026" s="2">
        <v>2800</v>
      </c>
      <c r="Z8026" s="19" t="str">
        <f>HYPERLINK("https://ssdweb.co/ssdweb/hd/Vision360.html?d=925610481&amp;zoomslide=1&amp;z=1925610481&amp;ISCONFIRM=0","VIDEO")</f>
        <v>VIDEO</v>
      </c>
      <c r="AA8026" s="19" t="str">
        <f>HYPERLINK("https://ssdweb.co/ssdweb/CERTH/624420387.pdf","CERTI")</f>
        <v>CERTI</v>
      </c>
    </row>
    <row r="8027" spans="1:27" ht="15" x14ac:dyDescent="0.25">
      <c r="A8027" s="2">
        <v>8022</v>
      </c>
      <c r="B8027" s="39">
        <v>925510212</v>
      </c>
      <c r="C8027" s="28" t="str">
        <f>HYPERLINK("https://pld.live/RapDetail.aspx?STONELIST=925510212","DNA")</f>
        <v>DNA</v>
      </c>
      <c r="D8027" s="18" t="s">
        <v>1924</v>
      </c>
      <c r="E8027" s="18" t="s">
        <v>2186</v>
      </c>
      <c r="F8027" s="2" t="s">
        <v>7987</v>
      </c>
      <c r="G8027" s="2" t="s">
        <v>4029</v>
      </c>
      <c r="H8027" s="14">
        <v>0.69</v>
      </c>
      <c r="I8027" s="2" t="s">
        <v>267</v>
      </c>
      <c r="J8027" s="2" t="s">
        <v>3942</v>
      </c>
      <c r="K8027" s="2" t="s">
        <v>1452</v>
      </c>
      <c r="L8027" s="2" t="s">
        <v>5221</v>
      </c>
      <c r="M8027" s="2" t="s">
        <v>5221</v>
      </c>
      <c r="N8027" s="2" t="s">
        <v>2317</v>
      </c>
      <c r="O8027" s="14">
        <v>2800</v>
      </c>
      <c r="P8027" s="14">
        <v>95.14</v>
      </c>
      <c r="Q8027" s="14">
        <v>136.08000000000001</v>
      </c>
      <c r="R8027" s="14">
        <v>93.9</v>
      </c>
      <c r="S8027" s="2" t="s">
        <v>6474</v>
      </c>
      <c r="T8027" s="2">
        <v>1.43</v>
      </c>
      <c r="U8027" s="2">
        <v>66.3</v>
      </c>
      <c r="V8027" s="2">
        <v>62</v>
      </c>
      <c r="W8027" s="2" t="s">
        <v>7862</v>
      </c>
      <c r="X8027" s="2" t="s">
        <v>190</v>
      </c>
      <c r="Y8027" s="2">
        <v>1932</v>
      </c>
      <c r="Z8027" s="19" t="str">
        <f>HYPERLINK("https://ssdweb.co/ssdweb/hd/Vision360.html?d=925510212&amp;zoomslide=1&amp;z=1925510212&amp;ISCONFIRM=0","VIDEO")</f>
        <v>VIDEO</v>
      </c>
      <c r="AA8027" s="19" t="str">
        <f>HYPERLINK("https://ssdweb.co/ssdweb/CERTH/622499756.pdf","CERTI")</f>
        <v>CERTI</v>
      </c>
    </row>
    <row r="8028" spans="1:27" ht="15" x14ac:dyDescent="0.25">
      <c r="A8028" s="2">
        <v>8023</v>
      </c>
      <c r="B8028" s="39">
        <v>925502732</v>
      </c>
      <c r="C8028" s="28" t="str">
        <f>HYPERLINK("https://pld.live/RapDetail.aspx?STONELIST=925502732","DNA")</f>
        <v>DNA</v>
      </c>
      <c r="D8028" s="18" t="s">
        <v>1924</v>
      </c>
      <c r="E8028" s="18" t="s">
        <v>5128</v>
      </c>
      <c r="F8028" s="2" t="s">
        <v>7987</v>
      </c>
      <c r="G8028" s="2" t="s">
        <v>4029</v>
      </c>
      <c r="H8028" s="14">
        <v>0.68</v>
      </c>
      <c r="I8028" s="2" t="s">
        <v>267</v>
      </c>
      <c r="J8028" s="2" t="s">
        <v>13</v>
      </c>
      <c r="K8028" s="2" t="s">
        <v>1452</v>
      </c>
      <c r="L8028" s="2" t="s">
        <v>5221</v>
      </c>
      <c r="M8028" s="2" t="s">
        <v>5221</v>
      </c>
      <c r="N8028" s="2" t="s">
        <v>2317</v>
      </c>
      <c r="O8028" s="14">
        <v>2600</v>
      </c>
      <c r="P8028" s="14">
        <v>95.04</v>
      </c>
      <c r="Q8028" s="14">
        <v>128.96</v>
      </c>
      <c r="R8028" s="14">
        <v>87.69</v>
      </c>
      <c r="S8028" s="2" t="s">
        <v>178</v>
      </c>
      <c r="T8028" s="2">
        <v>1.29</v>
      </c>
      <c r="U8028" s="2">
        <v>64.900000000000006</v>
      </c>
      <c r="V8028" s="2">
        <v>65</v>
      </c>
      <c r="W8028" s="2" t="s">
        <v>7862</v>
      </c>
      <c r="X8028" s="2" t="s">
        <v>190</v>
      </c>
      <c r="Y8028" s="2">
        <v>1768</v>
      </c>
      <c r="Z8028" s="19" t="str">
        <f>HYPERLINK("https://ssdweb.co/ssdweb/hd/Vision360.html?d=925502732&amp;zoomslide=1&amp;z=1925502732&amp;ISCONFIRM=0","VIDEO")</f>
        <v>VIDEO</v>
      </c>
      <c r="AA8028" s="19" t="str">
        <f>HYPERLINK("https://ssdweb.co/ssdweb/CERTH/622499745.pdf","CERTI")</f>
        <v>CERTI</v>
      </c>
    </row>
    <row r="8029" spans="1:27" ht="15" x14ac:dyDescent="0.25">
      <c r="A8029" s="2">
        <v>8024</v>
      </c>
      <c r="B8029" s="39">
        <v>925510210</v>
      </c>
      <c r="C8029" s="28" t="str">
        <f>HYPERLINK("https://pld.live/RapDetail.aspx?STONELIST=925510210","DNA")</f>
        <v>DNA</v>
      </c>
      <c r="D8029" s="18" t="s">
        <v>1924</v>
      </c>
      <c r="E8029" s="18" t="s">
        <v>2186</v>
      </c>
      <c r="F8029" s="2" t="s">
        <v>7987</v>
      </c>
      <c r="G8029" s="2" t="s">
        <v>4029</v>
      </c>
      <c r="H8029" s="14">
        <v>0.67</v>
      </c>
      <c r="I8029" s="2" t="s">
        <v>267</v>
      </c>
      <c r="J8029" s="2" t="s">
        <v>13</v>
      </c>
      <c r="K8029" s="2" t="s">
        <v>1452</v>
      </c>
      <c r="L8029" s="2" t="s">
        <v>5221</v>
      </c>
      <c r="M8029" s="2" t="s">
        <v>5221</v>
      </c>
      <c r="N8029" s="2" t="s">
        <v>2317</v>
      </c>
      <c r="O8029" s="14">
        <v>2600</v>
      </c>
      <c r="P8029" s="14">
        <v>95.04</v>
      </c>
      <c r="Q8029" s="14">
        <v>128.96</v>
      </c>
      <c r="R8029" s="14">
        <v>86.4</v>
      </c>
      <c r="S8029" s="2" t="s">
        <v>2905</v>
      </c>
      <c r="T8029" s="2">
        <v>1.46</v>
      </c>
      <c r="U8029" s="2">
        <v>67.7</v>
      </c>
      <c r="V8029" s="2">
        <v>63</v>
      </c>
      <c r="W8029" s="2" t="s">
        <v>7862</v>
      </c>
      <c r="X8029" s="2" t="s">
        <v>190</v>
      </c>
      <c r="Y8029" s="2">
        <v>1742</v>
      </c>
      <c r="Z8029" s="19" t="str">
        <f>HYPERLINK("https://ssdweb.co/ssdweb/hd/Vision360.html?d=925510210&amp;zoomslide=1&amp;z=1925510210&amp;ISCONFIRM=0","VIDEO")</f>
        <v>VIDEO</v>
      </c>
      <c r="AA8029" s="19" t="str">
        <f>HYPERLINK("https://ssdweb.co/ssdweb/CERTH/622461103.pdf","CERTI")</f>
        <v>CERTI</v>
      </c>
    </row>
    <row r="8030" spans="1:27" ht="15" x14ac:dyDescent="0.25">
      <c r="A8030" s="2">
        <v>8025</v>
      </c>
      <c r="B8030" s="39">
        <v>925530247</v>
      </c>
      <c r="C8030" s="28" t="str">
        <f>HYPERLINK("https://pld.live/RapDetail.aspx?STONELIST=925530247","DNA")</f>
        <v>DNA</v>
      </c>
      <c r="D8030" s="18" t="s">
        <v>1924</v>
      </c>
      <c r="E8030" s="18" t="s">
        <v>2186</v>
      </c>
      <c r="F8030" s="2" t="s">
        <v>7987</v>
      </c>
      <c r="G8030" s="2" t="s">
        <v>4029</v>
      </c>
      <c r="H8030" s="14">
        <v>0.66</v>
      </c>
      <c r="I8030" s="2" t="s">
        <v>267</v>
      </c>
      <c r="J8030" s="2" t="s">
        <v>13</v>
      </c>
      <c r="K8030" s="2" t="s">
        <v>1452</v>
      </c>
      <c r="L8030" s="2" t="s">
        <v>5221</v>
      </c>
      <c r="M8030" s="2" t="s">
        <v>5221</v>
      </c>
      <c r="N8030" s="2" t="s">
        <v>2317</v>
      </c>
      <c r="O8030" s="14">
        <v>2600</v>
      </c>
      <c r="P8030" s="14">
        <v>95.04</v>
      </c>
      <c r="Q8030" s="14">
        <v>128.96</v>
      </c>
      <c r="R8030" s="14">
        <v>85.11</v>
      </c>
      <c r="S8030" s="2" t="s">
        <v>7171</v>
      </c>
      <c r="T8030" s="2">
        <v>1.41</v>
      </c>
      <c r="U8030" s="2">
        <v>67.099999999999994</v>
      </c>
      <c r="V8030" s="2">
        <v>66</v>
      </c>
      <c r="W8030" s="2" t="s">
        <v>7862</v>
      </c>
      <c r="X8030" s="2" t="s">
        <v>190</v>
      </c>
      <c r="Y8030" s="2">
        <v>1716</v>
      </c>
      <c r="Z8030" s="19" t="str">
        <f>HYPERLINK("https://ssdweb.co/ssdweb/hd/Vision360.html?d=925530247&amp;zoomslide=1&amp;z=1925530247&amp;ISCONFIRM=0","VIDEO")</f>
        <v>VIDEO</v>
      </c>
      <c r="AA8030" s="19" t="str">
        <f>HYPERLINK("https://ssdweb.co/ssdweb/CERTH/621448069.pdf","CERTI")</f>
        <v>CERTI</v>
      </c>
    </row>
    <row r="8031" spans="1:27" ht="15" x14ac:dyDescent="0.25">
      <c r="A8031" s="2">
        <v>8026</v>
      </c>
      <c r="B8031" s="39">
        <v>925750501</v>
      </c>
      <c r="C8031" s="28" t="str">
        <f>HYPERLINK("https://pld.live/RapDetail.aspx?STONELIST=925750501","DNA")</f>
        <v>DNA</v>
      </c>
      <c r="D8031" s="18" t="s">
        <v>1924</v>
      </c>
      <c r="E8031" s="18" t="s">
        <v>5128</v>
      </c>
      <c r="F8031" s="2" t="s">
        <v>7987</v>
      </c>
      <c r="G8031" s="2" t="s">
        <v>4029</v>
      </c>
      <c r="H8031" s="14">
        <v>0.65</v>
      </c>
      <c r="I8031" s="2" t="s">
        <v>267</v>
      </c>
      <c r="J8031" s="2" t="s">
        <v>7032</v>
      </c>
      <c r="K8031" s="2" t="s">
        <v>1452</v>
      </c>
      <c r="L8031" s="2" t="s">
        <v>5221</v>
      </c>
      <c r="M8031" s="2" t="s">
        <v>5221</v>
      </c>
      <c r="N8031" s="2" t="s">
        <v>2317</v>
      </c>
      <c r="O8031" s="14">
        <v>3300</v>
      </c>
      <c r="P8031" s="14">
        <v>93.82</v>
      </c>
      <c r="Q8031" s="14">
        <v>203.94</v>
      </c>
      <c r="R8031" s="14">
        <v>132.56</v>
      </c>
      <c r="S8031" s="2" t="s">
        <v>7109</v>
      </c>
      <c r="T8031" s="2">
        <v>1.29</v>
      </c>
      <c r="U8031" s="2">
        <v>67.099999999999994</v>
      </c>
      <c r="V8031" s="2">
        <v>62</v>
      </c>
      <c r="W8031" s="2" t="s">
        <v>7862</v>
      </c>
      <c r="X8031" s="2" t="s">
        <v>190</v>
      </c>
      <c r="Y8031" s="2">
        <v>2145</v>
      </c>
      <c r="Z8031" s="19" t="str">
        <f>HYPERLINK("https://ssdweb.co/ssdweb/hd/Vision360.html?d=925750501&amp;zoomslide=1&amp;z=1925750501&amp;ISCONFIRM=0","VIDEO")</f>
        <v>VIDEO</v>
      </c>
      <c r="AA8031" s="19" t="str">
        <f>HYPERLINK("https://ssdweb.co/ssdweb/CERTH/623449223.pdf","CERTI")</f>
        <v>CERTI</v>
      </c>
    </row>
    <row r="8032" spans="1:27" ht="15" x14ac:dyDescent="0.25">
      <c r="A8032" s="2">
        <v>8027</v>
      </c>
      <c r="B8032" s="39">
        <v>925750610</v>
      </c>
      <c r="C8032" s="28" t="str">
        <f>HYPERLINK("https://pld.live/RapDetail.aspx?STONELIST=925750610","DNA")</f>
        <v>DNA</v>
      </c>
      <c r="D8032" s="18" t="s">
        <v>1924</v>
      </c>
      <c r="E8032" s="18" t="s">
        <v>5128</v>
      </c>
      <c r="F8032" s="2" t="s">
        <v>7987</v>
      </c>
      <c r="G8032" s="2" t="s">
        <v>4029</v>
      </c>
      <c r="H8032" s="14">
        <v>0.62</v>
      </c>
      <c r="I8032" s="2" t="s">
        <v>267</v>
      </c>
      <c r="J8032" s="2" t="s">
        <v>3942</v>
      </c>
      <c r="K8032" s="2" t="s">
        <v>1452</v>
      </c>
      <c r="L8032" s="2" t="s">
        <v>5221</v>
      </c>
      <c r="M8032" s="2" t="s">
        <v>5221</v>
      </c>
      <c r="N8032" s="2" t="s">
        <v>2317</v>
      </c>
      <c r="O8032" s="14">
        <v>2800</v>
      </c>
      <c r="P8032" s="14">
        <v>95.14</v>
      </c>
      <c r="Q8032" s="14">
        <v>136.08000000000001</v>
      </c>
      <c r="R8032" s="14">
        <v>84.37</v>
      </c>
      <c r="S8032" s="2" t="s">
        <v>806</v>
      </c>
      <c r="T8032" s="2">
        <v>1.4</v>
      </c>
      <c r="U8032" s="2">
        <v>67.8</v>
      </c>
      <c r="V8032" s="2">
        <v>66</v>
      </c>
      <c r="W8032" s="2" t="s">
        <v>7862</v>
      </c>
      <c r="X8032" s="2" t="s">
        <v>190</v>
      </c>
      <c r="Y8032" s="2">
        <v>1736</v>
      </c>
      <c r="Z8032" s="19" t="str">
        <f>HYPERLINK("https://ssdweb.co/ssdweb/hd/Vision360.html?d=925750610&amp;zoomslide=1&amp;z=1925750610&amp;ISCONFIRM=0","VIDEO")</f>
        <v>VIDEO</v>
      </c>
      <c r="AA8032" s="19" t="str">
        <f>HYPERLINK("https://ssdweb.co/ssdweb/CERTH/624420398.pdf","CERTI")</f>
        <v>CERTI</v>
      </c>
    </row>
    <row r="8033" spans="1:27" ht="15" x14ac:dyDescent="0.25">
      <c r="A8033" s="2">
        <v>8028</v>
      </c>
      <c r="B8033" s="39">
        <v>925760106</v>
      </c>
      <c r="C8033" s="28" t="str">
        <f>HYPERLINK("https://pld.live/RapDetail.aspx?STONELIST=925760106","DNA")</f>
        <v>DNA</v>
      </c>
      <c r="D8033" s="18" t="s">
        <v>1924</v>
      </c>
      <c r="E8033" s="18" t="s">
        <v>5128</v>
      </c>
      <c r="F8033" s="2" t="s">
        <v>7987</v>
      </c>
      <c r="G8033" s="2" t="s">
        <v>4029</v>
      </c>
      <c r="H8033" s="14">
        <v>0.61</v>
      </c>
      <c r="I8033" s="2" t="s">
        <v>267</v>
      </c>
      <c r="J8033" s="2" t="s">
        <v>6555</v>
      </c>
      <c r="K8033" s="2" t="s">
        <v>1452</v>
      </c>
      <c r="L8033" s="2" t="s">
        <v>5221</v>
      </c>
      <c r="M8033" s="2" t="s">
        <v>5221</v>
      </c>
      <c r="N8033" s="2" t="s">
        <v>2317</v>
      </c>
      <c r="O8033" s="14">
        <v>3000</v>
      </c>
      <c r="P8033" s="14">
        <v>94.53</v>
      </c>
      <c r="Q8033" s="14">
        <v>164.1</v>
      </c>
      <c r="R8033" s="14">
        <v>100.1</v>
      </c>
      <c r="S8033" s="2" t="s">
        <v>7241</v>
      </c>
      <c r="T8033" s="2">
        <v>1.4</v>
      </c>
      <c r="U8033" s="2">
        <v>67.5</v>
      </c>
      <c r="V8033" s="2">
        <v>63</v>
      </c>
      <c r="W8033" s="2" t="s">
        <v>7862</v>
      </c>
      <c r="X8033" s="2" t="s">
        <v>190</v>
      </c>
      <c r="Y8033" s="2">
        <v>1830</v>
      </c>
      <c r="Z8033" s="19" t="str">
        <f>HYPERLINK("https://ssdweb.co/ssdweb/hd/Vision360.html?d=925760106&amp;zoomslide=1&amp;z=1925760106&amp;ISCONFIRM=0","VIDEO")</f>
        <v>VIDEO</v>
      </c>
      <c r="AA8033" s="19" t="str">
        <f>HYPERLINK("https://ssdweb.co/ssdweb/CERTH/624499537.pdf","CERTI")</f>
        <v>CERTI</v>
      </c>
    </row>
    <row r="8034" spans="1:27" ht="15" x14ac:dyDescent="0.25">
      <c r="A8034" s="2">
        <v>8029</v>
      </c>
      <c r="B8034" s="39">
        <v>925750555</v>
      </c>
      <c r="C8034" s="28" t="str">
        <f>HYPERLINK("https://pld.live/RapDetail.aspx?STONELIST=925750555","DNA")</f>
        <v>DNA</v>
      </c>
      <c r="D8034" s="18" t="s">
        <v>1924</v>
      </c>
      <c r="E8034" s="18" t="s">
        <v>5128</v>
      </c>
      <c r="F8034" s="2" t="s">
        <v>7987</v>
      </c>
      <c r="G8034" s="2" t="s">
        <v>4029</v>
      </c>
      <c r="H8034" s="14">
        <v>0.61</v>
      </c>
      <c r="I8034" s="2" t="s">
        <v>267</v>
      </c>
      <c r="J8034" s="2" t="s">
        <v>13</v>
      </c>
      <c r="K8034" s="2" t="s">
        <v>1452</v>
      </c>
      <c r="L8034" s="2" t="s">
        <v>5221</v>
      </c>
      <c r="M8034" s="2" t="s">
        <v>5221</v>
      </c>
      <c r="N8034" s="2" t="s">
        <v>2317</v>
      </c>
      <c r="O8034" s="14">
        <v>2600</v>
      </c>
      <c r="P8034" s="14">
        <v>95.04</v>
      </c>
      <c r="Q8034" s="14">
        <v>128.96</v>
      </c>
      <c r="R8034" s="14">
        <v>78.67</v>
      </c>
      <c r="S8034" s="2" t="s">
        <v>7145</v>
      </c>
      <c r="T8034" s="2">
        <v>1.41</v>
      </c>
      <c r="U8034" s="2">
        <v>67.599999999999994</v>
      </c>
      <c r="V8034" s="2">
        <v>68</v>
      </c>
      <c r="W8034" s="2" t="s">
        <v>7862</v>
      </c>
      <c r="X8034" s="2" t="s">
        <v>190</v>
      </c>
      <c r="Y8034" s="2">
        <v>1586</v>
      </c>
      <c r="Z8034" s="19" t="str">
        <f>HYPERLINK("https://ssdweb.co/ssdweb/hd/Vision360.html?d=925750555&amp;zoomslide=1&amp;z=1925750555&amp;ISCONFIRM=0","VIDEO")</f>
        <v>VIDEO</v>
      </c>
      <c r="AA8034" s="19" t="str">
        <f>HYPERLINK("https://ssdweb.co/ssdweb/CERTH/623492911.pdf","CERTI")</f>
        <v>CERTI</v>
      </c>
    </row>
    <row r="8035" spans="1:27" ht="15" x14ac:dyDescent="0.25">
      <c r="A8035" s="2">
        <v>8030</v>
      </c>
      <c r="B8035" s="39">
        <v>925750618</v>
      </c>
      <c r="C8035" s="28" t="str">
        <f>HYPERLINK("https://pld.live/RapDetail.aspx?STONELIST=925750618","DNA")</f>
        <v>DNA</v>
      </c>
      <c r="D8035" s="18" t="s">
        <v>1924</v>
      </c>
      <c r="E8035" s="18" t="s">
        <v>5128</v>
      </c>
      <c r="F8035" s="2" t="s">
        <v>7987</v>
      </c>
      <c r="G8035" s="2" t="s">
        <v>4029</v>
      </c>
      <c r="H8035" s="14">
        <v>0.6</v>
      </c>
      <c r="I8035" s="2" t="s">
        <v>267</v>
      </c>
      <c r="J8035" s="2" t="s">
        <v>3942</v>
      </c>
      <c r="K8035" s="2" t="s">
        <v>1452</v>
      </c>
      <c r="L8035" s="2" t="s">
        <v>5221</v>
      </c>
      <c r="M8035" s="2" t="s">
        <v>5221</v>
      </c>
      <c r="N8035" s="2" t="s">
        <v>2317</v>
      </c>
      <c r="O8035" s="14">
        <v>2800</v>
      </c>
      <c r="P8035" s="14">
        <v>95.14</v>
      </c>
      <c r="Q8035" s="14">
        <v>136.08000000000001</v>
      </c>
      <c r="R8035" s="14">
        <v>81.650000000000006</v>
      </c>
      <c r="S8035" s="2" t="s">
        <v>6326</v>
      </c>
      <c r="T8035" s="2">
        <v>1.41</v>
      </c>
      <c r="U8035" s="2">
        <v>67.5</v>
      </c>
      <c r="V8035" s="2">
        <v>65</v>
      </c>
      <c r="W8035" s="2" t="s">
        <v>7862</v>
      </c>
      <c r="X8035" s="2" t="s">
        <v>190</v>
      </c>
      <c r="Y8035" s="2">
        <v>1680</v>
      </c>
      <c r="Z8035" s="19" t="str">
        <f>HYPERLINK("https://ssdweb.co/ssdweb/hd/Vision360.html?d=925750618&amp;zoomslide=1&amp;z=1925750618&amp;ISCONFIRM=0","VIDEO")</f>
        <v>VIDEO</v>
      </c>
      <c r="AA8035" s="19" t="str">
        <f>HYPERLINK("https://ssdweb.co/ssdweb/CERTH/624440015.pdf","CERTI")</f>
        <v>CERTI</v>
      </c>
    </row>
    <row r="8036" spans="1:27" ht="15" x14ac:dyDescent="0.25">
      <c r="A8036" s="2">
        <v>8031</v>
      </c>
      <c r="B8036" s="39">
        <v>925870549</v>
      </c>
      <c r="C8036" s="28" t="str">
        <f>HYPERLINK("https://pld.live/RapDetail.aspx?STONELIST=925870549","DNA")</f>
        <v>DNA</v>
      </c>
      <c r="D8036" s="18" t="s">
        <v>5466</v>
      </c>
      <c r="E8036" s="18" t="s">
        <v>5128</v>
      </c>
      <c r="F8036" s="2" t="s">
        <v>7987</v>
      </c>
      <c r="G8036" s="2" t="s">
        <v>4029</v>
      </c>
      <c r="H8036" s="14">
        <v>0.57999999999999996</v>
      </c>
      <c r="I8036" s="2" t="s">
        <v>267</v>
      </c>
      <c r="J8036" s="2" t="s">
        <v>3942</v>
      </c>
      <c r="K8036" s="2" t="s">
        <v>1452</v>
      </c>
      <c r="L8036" s="2" t="s">
        <v>5221</v>
      </c>
      <c r="M8036" s="2" t="s">
        <v>5221</v>
      </c>
      <c r="N8036" s="2" t="s">
        <v>2317</v>
      </c>
      <c r="O8036" s="14">
        <v>2800</v>
      </c>
      <c r="P8036" s="14">
        <v>94.68</v>
      </c>
      <c r="Q8036" s="14">
        <v>148.96</v>
      </c>
      <c r="R8036" s="14">
        <v>86.4</v>
      </c>
      <c r="S8036" s="2" t="s">
        <v>1623</v>
      </c>
      <c r="T8036" s="2">
        <v>1.32</v>
      </c>
      <c r="U8036" s="2">
        <v>67.900000000000006</v>
      </c>
      <c r="V8036" s="2">
        <v>65</v>
      </c>
      <c r="W8036" s="2" t="s">
        <v>7862</v>
      </c>
      <c r="X8036" s="2" t="s">
        <v>190</v>
      </c>
      <c r="Y8036" s="2">
        <v>1624</v>
      </c>
      <c r="Z8036" s="19" t="str">
        <f>HYPERLINK("https://ssdweb.co/ssdweb/hd/Vision360.html?d=925870549&amp;zoomslide=1&amp;z=1925870549&amp;ISCONFIRM=0","VIDEO")</f>
        <v>VIDEO</v>
      </c>
      <c r="AA8036" s="19" t="str">
        <f>HYPERLINK("https://ssdweb.co/ssdweb/CERTH/627497000.pdf","CERTI")</f>
        <v>CERTI</v>
      </c>
    </row>
    <row r="8037" spans="1:27" ht="15" x14ac:dyDescent="0.25">
      <c r="A8037" s="2">
        <v>8032</v>
      </c>
      <c r="B8037" s="39">
        <v>925870561</v>
      </c>
      <c r="C8037" s="28" t="str">
        <f>HYPERLINK("https://pld.live/RapDetail.aspx?STONELIST=925870561","DNA")</f>
        <v>DNA</v>
      </c>
      <c r="D8037" s="18" t="s">
        <v>5466</v>
      </c>
      <c r="E8037" s="18" t="s">
        <v>5128</v>
      </c>
      <c r="F8037" s="2" t="s">
        <v>7987</v>
      </c>
      <c r="G8037" s="2" t="s">
        <v>4029</v>
      </c>
      <c r="H8037" s="14">
        <v>0.56999999999999995</v>
      </c>
      <c r="I8037" s="2" t="s">
        <v>267</v>
      </c>
      <c r="J8037" s="2" t="s">
        <v>6555</v>
      </c>
      <c r="K8037" s="2" t="s">
        <v>1452</v>
      </c>
      <c r="L8037" s="2" t="s">
        <v>5221</v>
      </c>
      <c r="M8037" s="2" t="s">
        <v>5221</v>
      </c>
      <c r="N8037" s="2" t="s">
        <v>2317</v>
      </c>
      <c r="O8037" s="14">
        <v>3000</v>
      </c>
      <c r="P8037" s="14">
        <v>94.2</v>
      </c>
      <c r="Q8037" s="14">
        <v>174</v>
      </c>
      <c r="R8037" s="14">
        <v>99.18</v>
      </c>
      <c r="S8037" s="2" t="s">
        <v>4515</v>
      </c>
      <c r="T8037" s="2">
        <v>1.28</v>
      </c>
      <c r="U8037" s="2">
        <v>67.599999999999994</v>
      </c>
      <c r="V8037" s="2">
        <v>64</v>
      </c>
      <c r="W8037" s="2" t="s">
        <v>7862</v>
      </c>
      <c r="X8037" s="2" t="s">
        <v>190</v>
      </c>
      <c r="Y8037" s="2">
        <v>1710</v>
      </c>
      <c r="Z8037" s="19" t="str">
        <f>HYPERLINK("https://ssdweb.co/ssdweb/hd/Vision360.html?d=925870561&amp;zoomslide=1&amp;z=1925870561&amp;ISCONFIRM=0","VIDEO")</f>
        <v>VIDEO</v>
      </c>
      <c r="AA8037" s="19" t="str">
        <f>HYPERLINK("https://ssdweb.co/ssdweb/CERTH/627415097.pdf","CERTI")</f>
        <v>CERTI</v>
      </c>
    </row>
    <row r="8038" spans="1:27" ht="15" x14ac:dyDescent="0.25">
      <c r="A8038" s="2">
        <v>8033</v>
      </c>
      <c r="B8038" s="39">
        <v>925870574</v>
      </c>
      <c r="C8038" s="28" t="str">
        <f>HYPERLINK("https://pld.live/RapDetail.aspx?STONELIST=925870574","DNA")</f>
        <v>DNA</v>
      </c>
      <c r="D8038" s="18" t="s">
        <v>5466</v>
      </c>
      <c r="E8038" s="18" t="s">
        <v>5128</v>
      </c>
      <c r="F8038" s="2" t="s">
        <v>7987</v>
      </c>
      <c r="G8038" s="2" t="s">
        <v>4029</v>
      </c>
      <c r="H8038" s="14">
        <v>0.56999999999999995</v>
      </c>
      <c r="I8038" s="2" t="s">
        <v>267</v>
      </c>
      <c r="J8038" s="2" t="s">
        <v>3942</v>
      </c>
      <c r="K8038" s="2" t="s">
        <v>1452</v>
      </c>
      <c r="L8038" s="2" t="s">
        <v>5221</v>
      </c>
      <c r="M8038" s="2" t="s">
        <v>5221</v>
      </c>
      <c r="N8038" s="2" t="s">
        <v>2317</v>
      </c>
      <c r="O8038" s="14">
        <v>2800</v>
      </c>
      <c r="P8038" s="14">
        <v>94.68</v>
      </c>
      <c r="Q8038" s="14">
        <v>148.96</v>
      </c>
      <c r="R8038" s="14">
        <v>84.91</v>
      </c>
      <c r="S8038" s="2" t="s">
        <v>1673</v>
      </c>
      <c r="T8038" s="2">
        <v>1.28</v>
      </c>
      <c r="U8038" s="2">
        <v>66.5</v>
      </c>
      <c r="V8038" s="2">
        <v>60</v>
      </c>
      <c r="W8038" s="2" t="s">
        <v>7862</v>
      </c>
      <c r="X8038" s="2" t="s">
        <v>190</v>
      </c>
      <c r="Y8038" s="2">
        <v>1596</v>
      </c>
      <c r="Z8038" s="19" t="str">
        <f>HYPERLINK("https://ssdweb.co/ssdweb/hd/Vision360.html?d=925870574&amp;zoomslide=1&amp;z=1925870574&amp;ISCONFIRM=0","VIDEO")</f>
        <v>VIDEO</v>
      </c>
      <c r="AA8038" s="19" t="str">
        <f>HYPERLINK("https://ssdweb.co/ssdweb/CERTH/627427296.pdf","CERTI")</f>
        <v>CERTI</v>
      </c>
    </row>
    <row r="8039" spans="1:27" ht="15" x14ac:dyDescent="0.25">
      <c r="A8039" s="2">
        <v>8034</v>
      </c>
      <c r="B8039" s="39">
        <v>925780810</v>
      </c>
      <c r="C8039" s="28" t="str">
        <f>HYPERLINK("https://pld.live/RapDetail.aspx?STONELIST=925780810","DNA")</f>
        <v>DNA</v>
      </c>
      <c r="D8039" s="18" t="s">
        <v>5466</v>
      </c>
      <c r="E8039" s="18" t="s">
        <v>5128</v>
      </c>
      <c r="F8039" s="2" t="s">
        <v>7987</v>
      </c>
      <c r="G8039" s="2" t="s">
        <v>4029</v>
      </c>
      <c r="H8039" s="14">
        <v>0.56999999999999995</v>
      </c>
      <c r="I8039" s="2" t="s">
        <v>267</v>
      </c>
      <c r="J8039" s="2" t="s">
        <v>3942</v>
      </c>
      <c r="K8039" s="2" t="s">
        <v>1452</v>
      </c>
      <c r="L8039" s="2" t="s">
        <v>5221</v>
      </c>
      <c r="M8039" s="2" t="s">
        <v>5221</v>
      </c>
      <c r="N8039" s="2" t="s">
        <v>2317</v>
      </c>
      <c r="O8039" s="14">
        <v>2800</v>
      </c>
      <c r="P8039" s="14">
        <v>94.68</v>
      </c>
      <c r="Q8039" s="14">
        <v>148.96</v>
      </c>
      <c r="R8039" s="14">
        <v>84.91</v>
      </c>
      <c r="S8039" s="2" t="s">
        <v>7655</v>
      </c>
      <c r="T8039" s="2">
        <v>1.28</v>
      </c>
      <c r="U8039" s="2">
        <v>68.2</v>
      </c>
      <c r="V8039" s="2">
        <v>64</v>
      </c>
      <c r="W8039" s="2" t="s">
        <v>7862</v>
      </c>
      <c r="X8039" s="2" t="s">
        <v>190</v>
      </c>
      <c r="Y8039" s="2">
        <v>1596</v>
      </c>
      <c r="Z8039" s="19" t="str">
        <f>HYPERLINK("https://ssdweb.co/ssdweb/hd/Vision360.html?d=925780810&amp;zoomslide=1&amp;z=1925780810&amp;ISCONFIRM=0","VIDEO")</f>
        <v>VIDEO</v>
      </c>
      <c r="AA8039" s="19" t="str">
        <f>HYPERLINK("https://ssdweb.co/ssdweb/CERTH/626457148.pdf","CERTI")</f>
        <v>CERTI</v>
      </c>
    </row>
    <row r="8040" spans="1:27" ht="15" x14ac:dyDescent="0.25">
      <c r="A8040" s="2">
        <v>8035</v>
      </c>
      <c r="B8040" s="39">
        <v>925721003</v>
      </c>
      <c r="C8040" s="28" t="str">
        <f>HYPERLINK("https://pld.live/RapDetail.aspx?STONELIST=925721003","DNA")</f>
        <v>DNA</v>
      </c>
      <c r="D8040" s="18" t="s">
        <v>5466</v>
      </c>
      <c r="E8040" s="18" t="s">
        <v>5128</v>
      </c>
      <c r="F8040" s="2" t="s">
        <v>7987</v>
      </c>
      <c r="G8040" s="2" t="s">
        <v>4029</v>
      </c>
      <c r="H8040" s="14">
        <v>0.56000000000000005</v>
      </c>
      <c r="I8040" s="2" t="s">
        <v>4761</v>
      </c>
      <c r="J8040" s="2" t="s">
        <v>3942</v>
      </c>
      <c r="K8040" s="2" t="s">
        <v>1452</v>
      </c>
      <c r="L8040" s="2" t="s">
        <v>5221</v>
      </c>
      <c r="M8040" s="2" t="s">
        <v>5221</v>
      </c>
      <c r="N8040" s="2" t="s">
        <v>2317</v>
      </c>
      <c r="O8040" s="14">
        <v>2600</v>
      </c>
      <c r="P8040" s="14">
        <v>94.58</v>
      </c>
      <c r="Q8040" s="14">
        <v>140.91999999999999</v>
      </c>
      <c r="R8040" s="14">
        <v>78.92</v>
      </c>
      <c r="S8040" s="2" t="s">
        <v>5598</v>
      </c>
      <c r="T8040" s="2">
        <v>1.28</v>
      </c>
      <c r="U8040" s="2">
        <v>67.7</v>
      </c>
      <c r="V8040" s="2">
        <v>65</v>
      </c>
      <c r="W8040" s="2" t="s">
        <v>7862</v>
      </c>
      <c r="X8040" s="2" t="s">
        <v>190</v>
      </c>
      <c r="Y8040" s="2">
        <v>1456</v>
      </c>
      <c r="Z8040" s="19" t="str">
        <f>HYPERLINK("https://ssdweb.co/ssdweb/hd/Vision360.html?d=925721003&amp;zoomslide=1&amp;z=1925721003&amp;ISCONFIRM=0","VIDEO")</f>
        <v>VIDEO</v>
      </c>
      <c r="AA8040" s="19" t="str">
        <f>HYPERLINK("https://ssdweb.co/ssdweb/CERTH/622499835.pdf","CERTI")</f>
        <v>CERTI</v>
      </c>
    </row>
    <row r="8041" spans="1:27" ht="15" x14ac:dyDescent="0.25">
      <c r="A8041" s="2">
        <v>8036</v>
      </c>
      <c r="B8041" s="39">
        <v>924370147</v>
      </c>
      <c r="C8041" s="28" t="str">
        <f>HYPERLINK("https://pld.live/RapDetail.aspx?STONELIST=924370147","DNA")</f>
        <v>DNA</v>
      </c>
      <c r="D8041" s="18" t="s">
        <v>5466</v>
      </c>
      <c r="E8041" s="18" t="s">
        <v>5128</v>
      </c>
      <c r="F8041" s="2" t="s">
        <v>7987</v>
      </c>
      <c r="G8041" s="2" t="s">
        <v>4029</v>
      </c>
      <c r="H8041" s="14">
        <v>0.51</v>
      </c>
      <c r="I8041" s="2" t="s">
        <v>267</v>
      </c>
      <c r="J8041" s="2" t="s">
        <v>7032</v>
      </c>
      <c r="K8041" s="2" t="s">
        <v>1452</v>
      </c>
      <c r="L8041" s="2" t="s">
        <v>5221</v>
      </c>
      <c r="M8041" s="2" t="s">
        <v>5221</v>
      </c>
      <c r="N8041" s="2" t="s">
        <v>2317</v>
      </c>
      <c r="O8041" s="14">
        <v>3300</v>
      </c>
      <c r="P8041" s="14">
        <v>93.67</v>
      </c>
      <c r="Q8041" s="14">
        <v>208.89</v>
      </c>
      <c r="R8041" s="14">
        <v>106.53</v>
      </c>
      <c r="S8041" s="2" t="s">
        <v>7257</v>
      </c>
      <c r="T8041" s="2">
        <v>1.38</v>
      </c>
      <c r="U8041" s="2">
        <v>67.7</v>
      </c>
      <c r="V8041" s="2">
        <v>62</v>
      </c>
      <c r="W8041" s="2" t="s">
        <v>7862</v>
      </c>
      <c r="X8041" s="2" t="s">
        <v>190</v>
      </c>
      <c r="Y8041" s="2">
        <v>1683</v>
      </c>
      <c r="Z8041" s="19" t="str">
        <f>HYPERLINK("https://ssdweb.co/ssdweb/hd/Vision360.html?d=924370147&amp;zoomslide=1&amp;z=1924370147&amp;ISCONFIRM=0","VIDEO")</f>
        <v>VIDEO</v>
      </c>
      <c r="AA8041" s="19" t="str">
        <f>HYPERLINK("https://ssdweb.co/ssdweb/CERTH/587397803.pdf","CERTI")</f>
        <v>CERTI</v>
      </c>
    </row>
    <row r="8042" spans="1:27" ht="15" x14ac:dyDescent="0.25">
      <c r="A8042" s="2">
        <v>8037</v>
      </c>
      <c r="B8042" s="39">
        <v>925502733</v>
      </c>
      <c r="C8042" s="28" t="str">
        <f>HYPERLINK("https://pld.live/RapDetail.aspx?STONELIST=925502733","DNA")</f>
        <v>DNA</v>
      </c>
      <c r="D8042" s="18" t="s">
        <v>5466</v>
      </c>
      <c r="E8042" s="18" t="s">
        <v>5128</v>
      </c>
      <c r="F8042" s="2" t="s">
        <v>7987</v>
      </c>
      <c r="G8042" s="2" t="s">
        <v>4029</v>
      </c>
      <c r="H8042" s="14">
        <v>0.51</v>
      </c>
      <c r="I8042" s="2" t="s">
        <v>267</v>
      </c>
      <c r="J8042" s="2" t="s">
        <v>6555</v>
      </c>
      <c r="K8042" s="2" t="s">
        <v>1452</v>
      </c>
      <c r="L8042" s="2" t="s">
        <v>5221</v>
      </c>
      <c r="M8042" s="2" t="s">
        <v>5221</v>
      </c>
      <c r="N8042" s="2" t="s">
        <v>2317</v>
      </c>
      <c r="O8042" s="14">
        <v>3000</v>
      </c>
      <c r="P8042" s="14">
        <v>94.2</v>
      </c>
      <c r="Q8042" s="14">
        <v>174</v>
      </c>
      <c r="R8042" s="14">
        <v>88.74</v>
      </c>
      <c r="S8042" s="2" t="s">
        <v>6574</v>
      </c>
      <c r="T8042" s="2">
        <v>1.48</v>
      </c>
      <c r="U8042" s="2">
        <v>65.099999999999994</v>
      </c>
      <c r="V8042" s="2">
        <v>66</v>
      </c>
      <c r="W8042" s="2" t="s">
        <v>7862</v>
      </c>
      <c r="X8042" s="2" t="s">
        <v>190</v>
      </c>
      <c r="Y8042" s="2">
        <v>1530</v>
      </c>
      <c r="Z8042" s="19" t="str">
        <f>HYPERLINK("https://ssdweb.co/ssdweb/hd/Vision360.html?d=925502733&amp;zoomslide=1&amp;z=1925502733&amp;ISCONFIRM=0","VIDEO")</f>
        <v>VIDEO</v>
      </c>
      <c r="AA8042" s="19" t="str">
        <f>HYPERLINK("https://ssdweb.co/ssdweb/CERTH/622499740.pdf","CERTI")</f>
        <v>CERTI</v>
      </c>
    </row>
    <row r="8043" spans="1:27" ht="15" x14ac:dyDescent="0.25">
      <c r="A8043" s="2">
        <v>8038</v>
      </c>
      <c r="B8043" s="39">
        <v>923380332</v>
      </c>
      <c r="C8043" s="28" t="str">
        <f>HYPERLINK("https://pld.live/RapDetail.aspx?STONELIST=923380332","DNA")</f>
        <v>DNA</v>
      </c>
      <c r="D8043" s="18" t="s">
        <v>2694</v>
      </c>
      <c r="E8043" s="18" t="s">
        <v>2186</v>
      </c>
      <c r="F8043" s="2" t="s">
        <v>7987</v>
      </c>
      <c r="G8043" s="2" t="s">
        <v>1459</v>
      </c>
      <c r="H8043" s="14">
        <v>2.76</v>
      </c>
      <c r="I8043" s="2" t="s">
        <v>6587</v>
      </c>
      <c r="J8043" s="2" t="s">
        <v>13</v>
      </c>
      <c r="K8043" s="2" t="s">
        <v>1452</v>
      </c>
      <c r="L8043" s="2" t="s">
        <v>5221</v>
      </c>
      <c r="M8043" s="2" t="s">
        <v>5221</v>
      </c>
      <c r="N8043" s="2" t="s">
        <v>2317</v>
      </c>
      <c r="O8043" s="14">
        <v>14000</v>
      </c>
      <c r="P8043" s="14">
        <v>98.89</v>
      </c>
      <c r="Q8043" s="14">
        <v>155.4</v>
      </c>
      <c r="R8043" s="14">
        <v>428.9</v>
      </c>
      <c r="S8043" s="2" t="s">
        <v>6329</v>
      </c>
      <c r="T8043" s="2">
        <v>1.1399999999999999</v>
      </c>
      <c r="U8043" s="2">
        <v>61.8</v>
      </c>
      <c r="V8043" s="2">
        <v>68.5</v>
      </c>
      <c r="W8043" s="2" t="s">
        <v>7862</v>
      </c>
      <c r="X8043" s="2" t="s">
        <v>2524</v>
      </c>
      <c r="Y8043" s="2">
        <v>38640</v>
      </c>
      <c r="Z8043" s="19" t="str">
        <f>HYPERLINK("https://ssdweb.co/ssdweb/hd/Vision360.html?d=923380332&amp;zoomslide=1&amp;z=1923380332&amp;ISCONFIRM=0","VIDEO")</f>
        <v>VIDEO</v>
      </c>
      <c r="AA8043" s="19" t="str">
        <f>HYPERLINK("https://ssdweb.co/ssdweb/CERTH/544282607.pdf","CERTI")</f>
        <v>CERTI</v>
      </c>
    </row>
    <row r="8044" spans="1:27" ht="15" x14ac:dyDescent="0.25">
      <c r="A8044" s="2">
        <v>8039</v>
      </c>
      <c r="B8044" s="39">
        <v>923520463</v>
      </c>
      <c r="C8044" s="28" t="str">
        <f>HYPERLINK("https://pld.live/RapDetail.aspx?STONELIST=923520463","DNA")</f>
        <v>DNA</v>
      </c>
      <c r="D8044" s="18" t="s">
        <v>5154</v>
      </c>
      <c r="E8044" s="18" t="s">
        <v>5128</v>
      </c>
      <c r="F8044" s="2" t="s">
        <v>7987</v>
      </c>
      <c r="G8044" s="2" t="s">
        <v>1459</v>
      </c>
      <c r="H8044" s="14">
        <v>2.4900000000000002</v>
      </c>
      <c r="I8044" s="2" t="s">
        <v>267</v>
      </c>
      <c r="J8044" s="2" t="s">
        <v>5144</v>
      </c>
      <c r="K8044" s="2" t="s">
        <v>1452</v>
      </c>
      <c r="L8044" s="2" t="s">
        <v>5221</v>
      </c>
      <c r="M8044" s="2" t="s">
        <v>5221</v>
      </c>
      <c r="N8044" s="2" t="s">
        <v>2317</v>
      </c>
      <c r="O8044" s="14">
        <v>16000</v>
      </c>
      <c r="P8044" s="14">
        <v>98.97</v>
      </c>
      <c r="Q8044" s="14">
        <v>164.8</v>
      </c>
      <c r="R8044" s="14">
        <v>410.35</v>
      </c>
      <c r="S8044" s="2" t="s">
        <v>1239</v>
      </c>
      <c r="T8044" s="2">
        <v>1.1499999999999999</v>
      </c>
      <c r="U8044" s="2">
        <v>59.4</v>
      </c>
      <c r="V8044" s="2">
        <v>66.5</v>
      </c>
      <c r="W8044" s="2" t="s">
        <v>7862</v>
      </c>
      <c r="X8044" s="2" t="s">
        <v>2524</v>
      </c>
      <c r="Y8044" s="2">
        <v>39840</v>
      </c>
      <c r="Z8044" s="19" t="str">
        <f>HYPERLINK("https://ssdweb.co/ssdweb/hd/Vision360.html?d=923520463&amp;zoomslide=1&amp;z=1923520463&amp;ISCONFIRM=0","VIDEO")</f>
        <v>VIDEO</v>
      </c>
      <c r="AA8044" s="19" t="str">
        <f>HYPERLINK("https://ssdweb.co/ssdweb/CERTH/560203278.pdf","CERTI")</f>
        <v>CERTI</v>
      </c>
    </row>
    <row r="8045" spans="1:27" ht="15" x14ac:dyDescent="0.25">
      <c r="A8045" s="2">
        <v>8040</v>
      </c>
      <c r="B8045" s="39">
        <v>923380726</v>
      </c>
      <c r="C8045" s="28" t="str">
        <f>HYPERLINK("https://pld.live/RapDetail.aspx?STONELIST=923380726","DNA")</f>
        <v>DNA</v>
      </c>
      <c r="D8045" s="18" t="s">
        <v>5154</v>
      </c>
      <c r="E8045" s="18" t="s">
        <v>2186</v>
      </c>
      <c r="F8045" s="2" t="s">
        <v>7987</v>
      </c>
      <c r="G8045" s="2" t="s">
        <v>1459</v>
      </c>
      <c r="H8045" s="14">
        <v>2.42</v>
      </c>
      <c r="I8045" s="2" t="s">
        <v>6587</v>
      </c>
      <c r="J8045" s="2" t="s">
        <v>5144</v>
      </c>
      <c r="K8045" s="2" t="s">
        <v>1452</v>
      </c>
      <c r="L8045" s="2" t="s">
        <v>5221</v>
      </c>
      <c r="M8045" s="2" t="s">
        <v>5221</v>
      </c>
      <c r="N8045" s="2" t="s">
        <v>2317</v>
      </c>
      <c r="O8045" s="14">
        <v>13000</v>
      </c>
      <c r="P8045" s="14">
        <v>98.88</v>
      </c>
      <c r="Q8045" s="14">
        <v>145.6</v>
      </c>
      <c r="R8045" s="14">
        <v>352.35</v>
      </c>
      <c r="S8045" s="2" t="s">
        <v>7021</v>
      </c>
      <c r="T8045" s="2">
        <v>1.1499999999999999</v>
      </c>
      <c r="U8045" s="2">
        <v>62.8</v>
      </c>
      <c r="V8045" s="2">
        <v>58</v>
      </c>
      <c r="W8045" s="2" t="s">
        <v>7862</v>
      </c>
      <c r="X8045" s="2" t="s">
        <v>2524</v>
      </c>
      <c r="Y8045" s="2">
        <v>31460</v>
      </c>
      <c r="Z8045" s="19" t="str">
        <f>HYPERLINK("https://ssdweb.co/ssdweb/hd/Vision360.html?d=923380726&amp;zoomslide=1&amp;z=1923380726&amp;ISCONFIRM=0","VIDEO")</f>
        <v>VIDEO</v>
      </c>
      <c r="AA8045" s="19" t="str">
        <f>HYPERLINK("https://ssdweb.co/ssdweb/CERTH/546232403.pdf","CERTI")</f>
        <v>CERTI</v>
      </c>
    </row>
    <row r="8046" spans="1:27" ht="15" x14ac:dyDescent="0.25">
      <c r="A8046" s="2">
        <v>8041</v>
      </c>
      <c r="B8046" s="39">
        <v>923520459</v>
      </c>
      <c r="C8046" s="28" t="str">
        <f>HYPERLINK("https://pld.live/RapDetail.aspx?STONELIST=923520459","DNA")</f>
        <v>DNA</v>
      </c>
      <c r="D8046" s="18" t="s">
        <v>5154</v>
      </c>
      <c r="E8046" s="18" t="s">
        <v>5128</v>
      </c>
      <c r="F8046" s="2" t="s">
        <v>7987</v>
      </c>
      <c r="G8046" s="2" t="s">
        <v>1459</v>
      </c>
      <c r="H8046" s="14">
        <v>2.4</v>
      </c>
      <c r="I8046" s="2" t="s">
        <v>267</v>
      </c>
      <c r="J8046" s="2" t="s">
        <v>6555</v>
      </c>
      <c r="K8046" s="2" t="s">
        <v>1452</v>
      </c>
      <c r="L8046" s="2" t="s">
        <v>5221</v>
      </c>
      <c r="M8046" s="2" t="s">
        <v>5221</v>
      </c>
      <c r="N8046" s="2" t="s">
        <v>2317</v>
      </c>
      <c r="O8046" s="14">
        <v>20000</v>
      </c>
      <c r="P8046" s="14">
        <v>98.43</v>
      </c>
      <c r="Q8046" s="14">
        <v>314</v>
      </c>
      <c r="R8046" s="14">
        <v>753.6</v>
      </c>
      <c r="S8046" s="2" t="s">
        <v>6778</v>
      </c>
      <c r="T8046" s="2">
        <v>1.1499999999999999</v>
      </c>
      <c r="U8046" s="2">
        <v>58.3</v>
      </c>
      <c r="V8046" s="2">
        <v>63.5</v>
      </c>
      <c r="W8046" s="2" t="s">
        <v>7862</v>
      </c>
      <c r="X8046" s="2" t="s">
        <v>2524</v>
      </c>
      <c r="Y8046" s="2">
        <v>48000</v>
      </c>
      <c r="Z8046" s="19" t="str">
        <f>HYPERLINK("https://ssdweb.co/ssdweb/hd/Vision360.html?d=923520459&amp;zoomslide=1&amp;z=1923520459&amp;ISCONFIRM=0","VIDEO")</f>
        <v>VIDEO</v>
      </c>
      <c r="AA8046" s="19" t="str">
        <f>HYPERLINK("https://ssdweb.co/ssdweb/CERTH/560203275.pdf","CERTI")</f>
        <v>CERTI</v>
      </c>
    </row>
    <row r="8047" spans="1:27" ht="15" x14ac:dyDescent="0.25">
      <c r="A8047" s="2">
        <v>8042</v>
      </c>
      <c r="B8047" s="39">
        <v>923520471</v>
      </c>
      <c r="C8047" s="28" t="str">
        <f>HYPERLINK("https://pld.live/RapDetail.aspx?STONELIST=923520471","DNA")</f>
        <v>DNA</v>
      </c>
      <c r="D8047" s="18" t="s">
        <v>5154</v>
      </c>
      <c r="E8047" s="18" t="s">
        <v>5128</v>
      </c>
      <c r="F8047" s="2" t="s">
        <v>7987</v>
      </c>
      <c r="G8047" s="2" t="s">
        <v>1459</v>
      </c>
      <c r="H8047" s="14">
        <v>2.31</v>
      </c>
      <c r="I8047" s="2" t="s">
        <v>267</v>
      </c>
      <c r="J8047" s="2" t="s">
        <v>3942</v>
      </c>
      <c r="K8047" s="2" t="s">
        <v>1452</v>
      </c>
      <c r="L8047" s="2" t="s">
        <v>5221</v>
      </c>
      <c r="M8047" s="2" t="s">
        <v>5221</v>
      </c>
      <c r="N8047" s="2" t="s">
        <v>2317</v>
      </c>
      <c r="O8047" s="14">
        <v>18500</v>
      </c>
      <c r="P8047" s="14">
        <v>98.89</v>
      </c>
      <c r="Q8047" s="14">
        <v>205.35</v>
      </c>
      <c r="R8047" s="14">
        <v>474.36</v>
      </c>
      <c r="S8047" s="2" t="s">
        <v>371</v>
      </c>
      <c r="T8047" s="2">
        <v>1.1499999999999999</v>
      </c>
      <c r="U8047" s="2">
        <v>57</v>
      </c>
      <c r="V8047" s="2">
        <v>64.5</v>
      </c>
      <c r="W8047" s="2" t="s">
        <v>7862</v>
      </c>
      <c r="X8047" s="2" t="s">
        <v>2524</v>
      </c>
      <c r="Y8047" s="2">
        <v>42735</v>
      </c>
      <c r="Z8047" s="19" t="str">
        <f>HYPERLINK("https://ssdweb.co/ssdweb/hd/Vision360.html?d=923520471&amp;zoomslide=1&amp;z=1923520471&amp;ISCONFIRM=0","VIDEO")</f>
        <v>VIDEO</v>
      </c>
      <c r="AA8047" s="19" t="str">
        <f>HYPERLINK("https://ssdweb.co/ssdweb/CERTH/560235764.pdf","CERTI")</f>
        <v>CERTI</v>
      </c>
    </row>
    <row r="8048" spans="1:27" ht="15" x14ac:dyDescent="0.25">
      <c r="A8048" s="2">
        <v>8043</v>
      </c>
      <c r="B8048" s="39">
        <v>923380748</v>
      </c>
      <c r="C8048" s="28" t="str">
        <f>HYPERLINK("https://pld.live/RapDetail.aspx?STONELIST=923380748","DNA")</f>
        <v>DNA</v>
      </c>
      <c r="D8048" s="18" t="s">
        <v>3658</v>
      </c>
      <c r="E8048" s="18" t="s">
        <v>2186</v>
      </c>
      <c r="F8048" s="2" t="s">
        <v>7987</v>
      </c>
      <c r="G8048" s="2" t="s">
        <v>1459</v>
      </c>
      <c r="H8048" s="14">
        <v>2.29</v>
      </c>
      <c r="I8048" s="2" t="s">
        <v>1505</v>
      </c>
      <c r="J8048" s="2" t="s">
        <v>5144</v>
      </c>
      <c r="K8048" s="2" t="s">
        <v>1452</v>
      </c>
      <c r="L8048" s="2" t="s">
        <v>5221</v>
      </c>
      <c r="M8048" s="2" t="s">
        <v>5221</v>
      </c>
      <c r="N8048" s="2" t="s">
        <v>2317</v>
      </c>
      <c r="O8048" s="14">
        <v>11000</v>
      </c>
      <c r="P8048" s="14">
        <v>98.73</v>
      </c>
      <c r="Q8048" s="14">
        <v>139.69999999999999</v>
      </c>
      <c r="R8048" s="14">
        <v>319.91000000000003</v>
      </c>
      <c r="S8048" s="2" t="s">
        <v>4256</v>
      </c>
      <c r="T8048" s="2">
        <v>1.1499999999999999</v>
      </c>
      <c r="U8048" s="2">
        <v>58.1</v>
      </c>
      <c r="V8048" s="2">
        <v>68</v>
      </c>
      <c r="W8048" s="2" t="s">
        <v>7862</v>
      </c>
      <c r="X8048" s="2" t="s">
        <v>2524</v>
      </c>
      <c r="Y8048" s="2">
        <v>25190</v>
      </c>
      <c r="Z8048" s="19" t="str">
        <f>HYPERLINK("https://ssdweb.co/ssdweb/hd/Vision360.html?d=923380748&amp;zoomslide=1&amp;z=1923380748&amp;ISCONFIRM=0","VIDEO")</f>
        <v>VIDEO</v>
      </c>
      <c r="AA8048" s="19" t="str">
        <f>HYPERLINK("https://ssdweb.co/ssdweb/CERTH/546232382.pdf","CERTI")</f>
        <v>CERTI</v>
      </c>
    </row>
    <row r="8049" spans="1:27" ht="15" x14ac:dyDescent="0.25">
      <c r="A8049" s="2">
        <v>8044</v>
      </c>
      <c r="B8049" s="39">
        <v>923520468</v>
      </c>
      <c r="C8049" s="28" t="str">
        <f>HYPERLINK("https://pld.live/RapDetail.aspx?STONELIST=923520468","DNA")</f>
        <v>DNA</v>
      </c>
      <c r="D8049" s="18" t="s">
        <v>3658</v>
      </c>
      <c r="E8049" s="18" t="s">
        <v>5128</v>
      </c>
      <c r="F8049" s="2" t="s">
        <v>7987</v>
      </c>
      <c r="G8049" s="2" t="s">
        <v>1459</v>
      </c>
      <c r="H8049" s="14">
        <v>2.21</v>
      </c>
      <c r="I8049" s="2" t="s">
        <v>267</v>
      </c>
      <c r="J8049" s="2" t="s">
        <v>6555</v>
      </c>
      <c r="K8049" s="2" t="s">
        <v>1452</v>
      </c>
      <c r="L8049" s="2" t="s">
        <v>5221</v>
      </c>
      <c r="M8049" s="2" t="s">
        <v>5221</v>
      </c>
      <c r="N8049" s="2" t="s">
        <v>2317</v>
      </c>
      <c r="O8049" s="14">
        <v>20000</v>
      </c>
      <c r="P8049" s="14">
        <v>98.43</v>
      </c>
      <c r="Q8049" s="14">
        <v>314</v>
      </c>
      <c r="R8049" s="14">
        <v>693.94</v>
      </c>
      <c r="S8049" s="2" t="s">
        <v>4015</v>
      </c>
      <c r="T8049" s="2">
        <v>1.1599999999999999</v>
      </c>
      <c r="U8049" s="2">
        <v>62.6</v>
      </c>
      <c r="V8049" s="2">
        <v>65.5</v>
      </c>
      <c r="W8049" s="2" t="s">
        <v>7862</v>
      </c>
      <c r="X8049" s="2" t="s">
        <v>2524</v>
      </c>
      <c r="Y8049" s="2">
        <v>44200</v>
      </c>
      <c r="Z8049" s="19" t="str">
        <f>HYPERLINK("https://ssdweb.co/ssdweb/hd/Vision360.html?d=923520468&amp;zoomslide=1&amp;z=1923520468&amp;ISCONFIRM=0","VIDEO")</f>
        <v>VIDEO</v>
      </c>
      <c r="AA8049" s="19" t="str">
        <f>HYPERLINK("https://ssdweb.co/ssdweb/CERTH/560233932.pdf","CERTI")</f>
        <v>CERTI</v>
      </c>
    </row>
    <row r="8050" spans="1:27" ht="15" x14ac:dyDescent="0.25">
      <c r="A8050" s="2">
        <v>8045</v>
      </c>
      <c r="B8050" s="39">
        <v>926040884</v>
      </c>
      <c r="C8050" s="28" t="str">
        <f>HYPERLINK("https://pld.live/RapDetail.aspx?STONELIST=926040884","DNA")</f>
        <v>DNA</v>
      </c>
      <c r="D8050" s="18" t="s">
        <v>3658</v>
      </c>
      <c r="E8050" s="18" t="s">
        <v>5128</v>
      </c>
      <c r="F8050" s="2" t="s">
        <v>7987</v>
      </c>
      <c r="G8050" s="2" t="s">
        <v>1459</v>
      </c>
      <c r="H8050" s="14">
        <v>2.2000000000000002</v>
      </c>
      <c r="I8050" s="2" t="s">
        <v>267</v>
      </c>
      <c r="J8050" s="2" t="s">
        <v>3942</v>
      </c>
      <c r="K8050" s="2" t="s">
        <v>1452</v>
      </c>
      <c r="L8050" s="2" t="s">
        <v>5221</v>
      </c>
      <c r="M8050" s="2" t="s">
        <v>5221</v>
      </c>
      <c r="N8050" s="2" t="s">
        <v>2317</v>
      </c>
      <c r="O8050" s="14">
        <v>18500</v>
      </c>
      <c r="P8050" s="14">
        <v>98.89</v>
      </c>
      <c r="Q8050" s="14">
        <v>205.35</v>
      </c>
      <c r="R8050" s="14">
        <v>451.77</v>
      </c>
      <c r="S8050" s="2" t="s">
        <v>5710</v>
      </c>
      <c r="T8050" s="2">
        <v>1.17</v>
      </c>
      <c r="U8050" s="2">
        <v>62.7</v>
      </c>
      <c r="V8050" s="2">
        <v>61</v>
      </c>
      <c r="W8050" s="2" t="s">
        <v>7862</v>
      </c>
      <c r="X8050" s="2" t="s">
        <v>2524</v>
      </c>
      <c r="Y8050" s="2">
        <v>40700</v>
      </c>
      <c r="Z8050" s="19" t="str">
        <f>HYPERLINK("https://ssdweb.co/ssdweb/hd/Vision360.html?d=926040884&amp;zoomslide=1&amp;z=1926040884&amp;ISCONFIRM=0","VIDEO")</f>
        <v>VIDEO</v>
      </c>
      <c r="AA8050" s="19" t="str">
        <f>HYPERLINK("https://ssdweb.co/ssdweb/CERTH/630447894.pdf","CERTI")</f>
        <v>CERTI</v>
      </c>
    </row>
    <row r="8051" spans="1:27" ht="15" x14ac:dyDescent="0.25">
      <c r="A8051" s="2">
        <v>8046</v>
      </c>
      <c r="B8051" s="39">
        <v>922770001</v>
      </c>
      <c r="C8051" s="28" t="str">
        <f>HYPERLINK("https://pld.live/RapDetail.aspx?STONELIST=922770001","DNA")</f>
        <v>DNA</v>
      </c>
      <c r="D8051" s="18" t="s">
        <v>3658</v>
      </c>
      <c r="E8051" s="18" t="s">
        <v>5128</v>
      </c>
      <c r="F8051" s="2" t="s">
        <v>7987</v>
      </c>
      <c r="G8051" s="2" t="s">
        <v>1459</v>
      </c>
      <c r="H8051" s="14">
        <v>2.15</v>
      </c>
      <c r="I8051" s="2" t="s">
        <v>267</v>
      </c>
      <c r="J8051" s="2" t="s">
        <v>5144</v>
      </c>
      <c r="K8051" s="2" t="s">
        <v>1452</v>
      </c>
      <c r="L8051" s="2" t="s">
        <v>5221</v>
      </c>
      <c r="M8051" s="2" t="s">
        <v>5221</v>
      </c>
      <c r="N8051" s="2" t="s">
        <v>2317</v>
      </c>
      <c r="O8051" s="14">
        <v>16000</v>
      </c>
      <c r="P8051" s="14">
        <v>98.97</v>
      </c>
      <c r="Q8051" s="14">
        <v>164.8</v>
      </c>
      <c r="R8051" s="14">
        <v>354.32</v>
      </c>
      <c r="S8051" s="2" t="s">
        <v>2862</v>
      </c>
      <c r="T8051" s="2">
        <v>1.1499999999999999</v>
      </c>
      <c r="U8051" s="2">
        <v>60.3</v>
      </c>
      <c r="V8051" s="2">
        <v>62</v>
      </c>
      <c r="W8051" s="2" t="s">
        <v>7862</v>
      </c>
      <c r="X8051" s="2" t="s">
        <v>2524</v>
      </c>
      <c r="Y8051" s="2">
        <v>34400</v>
      </c>
      <c r="Z8051" s="19" t="str">
        <f>HYPERLINK("https://ssdweb.co/ssdweb/hd/Vision360.html?d=922770001&amp;zoomslide=1&amp;z=1922770001&amp;ISCONFIRM=0","VIDEO")</f>
        <v>VIDEO</v>
      </c>
      <c r="AA8051" s="19" t="str">
        <f>HYPERLINK("https://ssdweb.co/ssdweb/CERTH/526270800.pdf","CERTI")</f>
        <v>CERTI</v>
      </c>
    </row>
    <row r="8052" spans="1:27" ht="15" x14ac:dyDescent="0.25">
      <c r="A8052" s="2">
        <v>8047</v>
      </c>
      <c r="B8052" s="39">
        <v>926100620</v>
      </c>
      <c r="C8052" s="28" t="str">
        <f>HYPERLINK("https://pld.live/RapDetail.aspx?STONELIST=926100620","DNA")</f>
        <v>DNA</v>
      </c>
      <c r="D8052" s="18" t="s">
        <v>3658</v>
      </c>
      <c r="E8052" s="18" t="s">
        <v>5128</v>
      </c>
      <c r="F8052" s="2" t="s">
        <v>7987</v>
      </c>
      <c r="G8052" s="2" t="s">
        <v>1459</v>
      </c>
      <c r="H8052" s="14">
        <v>2.15</v>
      </c>
      <c r="I8052" s="2" t="s">
        <v>4761</v>
      </c>
      <c r="J8052" s="2" t="s">
        <v>13</v>
      </c>
      <c r="K8052" s="2" t="s">
        <v>1452</v>
      </c>
      <c r="L8052" s="2" t="s">
        <v>5221</v>
      </c>
      <c r="M8052" s="2" t="s">
        <v>5221</v>
      </c>
      <c r="N8052" s="2" t="s">
        <v>2317</v>
      </c>
      <c r="O8052" s="14">
        <v>16000</v>
      </c>
      <c r="P8052" s="14">
        <v>98.97</v>
      </c>
      <c r="Q8052" s="14">
        <v>164.8</v>
      </c>
      <c r="R8052" s="14">
        <v>354.32</v>
      </c>
      <c r="S8052" s="2" t="s">
        <v>6098</v>
      </c>
      <c r="T8052" s="2">
        <v>1.17</v>
      </c>
      <c r="U8052" s="2">
        <v>65.099999999999994</v>
      </c>
      <c r="V8052" s="2">
        <v>65</v>
      </c>
      <c r="W8052" s="2" t="s">
        <v>7862</v>
      </c>
      <c r="X8052" s="2" t="s">
        <v>2524</v>
      </c>
      <c r="Y8052" s="2">
        <v>34400</v>
      </c>
      <c r="Z8052" s="19" t="str">
        <f>HYPERLINK("https://ssdweb.co/ssdweb/hd/Vision360.html?d=926100620&amp;zoomslide=1&amp;z=1926100620&amp;ISCONFIRM=0","VIDEO")</f>
        <v>VIDEO</v>
      </c>
      <c r="AA8052" s="19" t="str">
        <f>HYPERLINK("https://ssdweb.co/ssdweb/CERTH/631430354.pdf","CERTI")</f>
        <v>CERTI</v>
      </c>
    </row>
    <row r="8053" spans="1:27" ht="15" x14ac:dyDescent="0.25">
      <c r="A8053" s="2">
        <v>8048</v>
      </c>
      <c r="B8053" s="39">
        <v>923520440</v>
      </c>
      <c r="C8053" s="28" t="str">
        <f>HYPERLINK("https://pld.live/RapDetail.aspx?STONELIST=923520440","DNA")</f>
        <v>DNA</v>
      </c>
      <c r="D8053" s="18" t="s">
        <v>3658</v>
      </c>
      <c r="E8053" s="18" t="s">
        <v>5128</v>
      </c>
      <c r="F8053" s="2" t="s">
        <v>7987</v>
      </c>
      <c r="G8053" s="2" t="s">
        <v>1459</v>
      </c>
      <c r="H8053" s="14">
        <v>2.11</v>
      </c>
      <c r="I8053" s="2" t="s">
        <v>267</v>
      </c>
      <c r="J8053" s="2" t="s">
        <v>5144</v>
      </c>
      <c r="K8053" s="2" t="s">
        <v>1452</v>
      </c>
      <c r="L8053" s="2" t="s">
        <v>5221</v>
      </c>
      <c r="M8053" s="2" t="s">
        <v>5221</v>
      </c>
      <c r="N8053" s="2" t="s">
        <v>2317</v>
      </c>
      <c r="O8053" s="14">
        <v>16000</v>
      </c>
      <c r="P8053" s="14">
        <v>98.97</v>
      </c>
      <c r="Q8053" s="14">
        <v>164.8</v>
      </c>
      <c r="R8053" s="14">
        <v>347.73</v>
      </c>
      <c r="S8053" s="2" t="s">
        <v>6010</v>
      </c>
      <c r="T8053" s="2">
        <v>1.1599999999999999</v>
      </c>
      <c r="U8053" s="2">
        <v>60.8</v>
      </c>
      <c r="V8053" s="2">
        <v>64.5</v>
      </c>
      <c r="W8053" s="2" t="s">
        <v>7862</v>
      </c>
      <c r="X8053" s="2" t="s">
        <v>2524</v>
      </c>
      <c r="Y8053" s="2">
        <v>33760</v>
      </c>
      <c r="Z8053" s="19" t="str">
        <f>HYPERLINK("https://ssdweb.co/ssdweb/hd/Vision360.html?d=923520440&amp;zoomslide=1&amp;z=1923520440&amp;ISCONFIRM=0","VIDEO")</f>
        <v>VIDEO</v>
      </c>
      <c r="AA8053" s="19" t="str">
        <f>HYPERLINK("https://ssdweb.co/ssdweb/CERTH/559273311.pdf","CERTI")</f>
        <v>CERTI</v>
      </c>
    </row>
    <row r="8054" spans="1:27" ht="15" x14ac:dyDescent="0.25">
      <c r="A8054" s="2">
        <v>8049</v>
      </c>
      <c r="B8054" s="39">
        <v>926020650</v>
      </c>
      <c r="C8054" s="28" t="str">
        <f>HYPERLINK("https://pld.live/RapDetail.aspx?STONELIST=926020650","DNA")</f>
        <v>DNA</v>
      </c>
      <c r="D8054" s="18" t="s">
        <v>3658</v>
      </c>
      <c r="E8054" s="18" t="s">
        <v>5128</v>
      </c>
      <c r="F8054" s="2" t="s">
        <v>5597</v>
      </c>
      <c r="G8054" s="2" t="s">
        <v>1459</v>
      </c>
      <c r="H8054" s="14">
        <v>2.1</v>
      </c>
      <c r="I8054" s="2" t="s">
        <v>267</v>
      </c>
      <c r="J8054" s="2" t="s">
        <v>6555</v>
      </c>
      <c r="K8054" s="2" t="s">
        <v>1452</v>
      </c>
      <c r="L8054" s="2" t="s">
        <v>5221</v>
      </c>
      <c r="M8054" s="2" t="s">
        <v>5221</v>
      </c>
      <c r="N8054" s="2" t="s">
        <v>2317</v>
      </c>
      <c r="O8054" s="14">
        <v>20000</v>
      </c>
      <c r="P8054" s="14">
        <v>97.53</v>
      </c>
      <c r="Q8054" s="14">
        <v>494</v>
      </c>
      <c r="R8054" s="14">
        <v>1037.4000000000001</v>
      </c>
      <c r="S8054" s="2" t="s">
        <v>6732</v>
      </c>
      <c r="T8054" s="2">
        <v>1.1499999999999999</v>
      </c>
      <c r="U8054" s="2">
        <v>63.5</v>
      </c>
      <c r="V8054" s="2">
        <v>60</v>
      </c>
      <c r="W8054" s="2" t="s">
        <v>7862</v>
      </c>
      <c r="X8054" s="2" t="s">
        <v>2524</v>
      </c>
      <c r="Y8054" s="2">
        <v>42000</v>
      </c>
      <c r="Z8054" s="19" t="str">
        <f>HYPERLINK("https://ssdweb.co/ssdweb/hd/Vision360.html?d=926020650&amp;zoomslide=1&amp;z=1926020650&amp;ISCONFIRM=0","VIDEO")</f>
        <v>VIDEO</v>
      </c>
      <c r="AA8054" s="19" t="str">
        <f>HYPERLINK("https://ssdweb.co/ssdweb/CERTH/6491141602.pdf","CERTI")</f>
        <v>CERTI</v>
      </c>
    </row>
    <row r="8055" spans="1:27" ht="15" x14ac:dyDescent="0.25">
      <c r="A8055" s="2">
        <v>8050</v>
      </c>
      <c r="B8055" s="39">
        <v>923520444</v>
      </c>
      <c r="C8055" s="28" t="str">
        <f>HYPERLINK("https://pld.live/RapDetail.aspx?STONELIST=923520444","DNA")</f>
        <v>DNA</v>
      </c>
      <c r="D8055" s="18" t="s">
        <v>3658</v>
      </c>
      <c r="E8055" s="18" t="s">
        <v>5128</v>
      </c>
      <c r="F8055" s="2" t="s">
        <v>7987</v>
      </c>
      <c r="G8055" s="2" t="s">
        <v>1459</v>
      </c>
      <c r="H8055" s="14">
        <v>2.1</v>
      </c>
      <c r="I8055" s="2" t="s">
        <v>267</v>
      </c>
      <c r="J8055" s="2" t="s">
        <v>13</v>
      </c>
      <c r="K8055" s="2" t="s">
        <v>1452</v>
      </c>
      <c r="L8055" s="2" t="s">
        <v>5221</v>
      </c>
      <c r="M8055" s="2" t="s">
        <v>5221</v>
      </c>
      <c r="N8055" s="2" t="s">
        <v>2317</v>
      </c>
      <c r="O8055" s="14">
        <v>17500</v>
      </c>
      <c r="P8055" s="14">
        <v>98.94</v>
      </c>
      <c r="Q8055" s="14">
        <v>185.5</v>
      </c>
      <c r="R8055" s="14">
        <v>389.55</v>
      </c>
      <c r="S8055" s="2" t="s">
        <v>4775</v>
      </c>
      <c r="T8055" s="2">
        <v>1.1499999999999999</v>
      </c>
      <c r="U8055" s="2">
        <v>60.3</v>
      </c>
      <c r="V8055" s="2">
        <v>61.5</v>
      </c>
      <c r="W8055" s="2" t="s">
        <v>7862</v>
      </c>
      <c r="X8055" s="2" t="s">
        <v>2524</v>
      </c>
      <c r="Y8055" s="2">
        <v>36750</v>
      </c>
      <c r="Z8055" s="19" t="str">
        <f>HYPERLINK("https://ssdweb.co/ssdweb/hd/Vision360.html?d=923520444&amp;zoomslide=1&amp;z=1923520444&amp;ISCONFIRM=0","VIDEO")</f>
        <v>VIDEO</v>
      </c>
      <c r="AA8055" s="19" t="str">
        <f>HYPERLINK("https://ssdweb.co/ssdweb/CERTH/559272828.pdf","CERTI")</f>
        <v>CERTI</v>
      </c>
    </row>
    <row r="8056" spans="1:27" ht="15" x14ac:dyDescent="0.25">
      <c r="A8056" s="2">
        <v>8051</v>
      </c>
      <c r="B8056" s="39">
        <v>926170148</v>
      </c>
      <c r="C8056" s="28" t="str">
        <f>HYPERLINK("https://pld.live/RapDetail.aspx?STONELIST=926170148","DNA")</f>
        <v>DNA</v>
      </c>
      <c r="D8056" s="18" t="s">
        <v>3658</v>
      </c>
      <c r="E8056" s="18" t="s">
        <v>5128</v>
      </c>
      <c r="F8056" s="2" t="s">
        <v>7987</v>
      </c>
      <c r="G8056" s="2" t="s">
        <v>1459</v>
      </c>
      <c r="H8056" s="14">
        <v>2.1</v>
      </c>
      <c r="I8056" s="2" t="s">
        <v>267</v>
      </c>
      <c r="J8056" s="2" t="s">
        <v>13</v>
      </c>
      <c r="K8056" s="2" t="s">
        <v>1452</v>
      </c>
      <c r="L8056" s="2" t="s">
        <v>5221</v>
      </c>
      <c r="M8056" s="2" t="s">
        <v>5221</v>
      </c>
      <c r="N8056" s="2" t="s">
        <v>2317</v>
      </c>
      <c r="O8056" s="14">
        <v>17500</v>
      </c>
      <c r="P8056" s="14">
        <v>98.94</v>
      </c>
      <c r="Q8056" s="14">
        <v>185.5</v>
      </c>
      <c r="R8056" s="14">
        <v>389.55</v>
      </c>
      <c r="S8056" s="2" t="s">
        <v>6912</v>
      </c>
      <c r="T8056" s="2">
        <v>1.1499999999999999</v>
      </c>
      <c r="U8056" s="2">
        <v>58</v>
      </c>
      <c r="V8056" s="2">
        <v>66</v>
      </c>
      <c r="W8056" s="2" t="s">
        <v>7862</v>
      </c>
      <c r="X8056" s="2" t="s">
        <v>2524</v>
      </c>
      <c r="Y8056" s="2">
        <v>36750</v>
      </c>
      <c r="Z8056" s="19" t="str">
        <f>HYPERLINK("https://ssdweb.co/ssdweb/hd/Vision360.html?d=926170148&amp;zoomslide=1&amp;z=1926170148&amp;ISCONFIRM=0","VIDEO")</f>
        <v>VIDEO</v>
      </c>
      <c r="AA8056" s="19" t="str">
        <f>HYPERLINK("https://ssdweb.co/ssdweb/CERTH/632449636.pdf","CERTI")</f>
        <v>CERTI</v>
      </c>
    </row>
    <row r="8057" spans="1:27" ht="15" x14ac:dyDescent="0.25">
      <c r="A8057" s="2">
        <v>8052</v>
      </c>
      <c r="B8057" s="39">
        <v>831010731</v>
      </c>
      <c r="C8057" s="28" t="str">
        <f>HYPERLINK("https://pld.live/RapDetail.aspx?STONELIST=831010731","DNA")</f>
        <v>DNA</v>
      </c>
      <c r="D8057" s="18" t="s">
        <v>3658</v>
      </c>
      <c r="E8057" s="18" t="s">
        <v>5128</v>
      </c>
      <c r="F8057" s="2" t="s">
        <v>7987</v>
      </c>
      <c r="G8057" s="2" t="s">
        <v>1459</v>
      </c>
      <c r="H8057" s="14">
        <v>2.1</v>
      </c>
      <c r="I8057" s="2" t="s">
        <v>4699</v>
      </c>
      <c r="J8057" s="2" t="s">
        <v>3942</v>
      </c>
      <c r="K8057" s="2" t="s">
        <v>1452</v>
      </c>
      <c r="L8057" s="2" t="s">
        <v>5221</v>
      </c>
      <c r="M8057" s="2" t="s">
        <v>5221</v>
      </c>
      <c r="N8057" s="2" t="s">
        <v>2317</v>
      </c>
      <c r="O8057" s="14">
        <v>16000</v>
      </c>
      <c r="P8057" s="14">
        <v>98.97</v>
      </c>
      <c r="Q8057" s="14">
        <v>164.8</v>
      </c>
      <c r="R8057" s="14">
        <v>346.08</v>
      </c>
      <c r="S8057" s="2" t="s">
        <v>5428</v>
      </c>
      <c r="T8057" s="2">
        <v>1.1599999999999999</v>
      </c>
      <c r="U8057" s="2">
        <v>60.8</v>
      </c>
      <c r="V8057" s="2">
        <v>66</v>
      </c>
      <c r="W8057" s="2" t="s">
        <v>7862</v>
      </c>
      <c r="X8057" s="2" t="s">
        <v>2524</v>
      </c>
      <c r="Y8057" s="2">
        <v>33600</v>
      </c>
      <c r="Z8057" s="19" t="str">
        <f>HYPERLINK("https://ssdweb.co/ssdweb/hd/Vision360.html?d=831010731&amp;zoomslide=1&amp;z=1831010731&amp;ISCONFIRM=0","VIDEO")</f>
        <v>VIDEO</v>
      </c>
      <c r="AA8057" s="19" t="str">
        <f>HYPERLINK("https://ssdweb.co/ssdweb/CERTH/630447898.pdf","CERTI")</f>
        <v>CERTI</v>
      </c>
    </row>
    <row r="8058" spans="1:27" ht="15" x14ac:dyDescent="0.25">
      <c r="A8058" s="2">
        <v>8053</v>
      </c>
      <c r="B8058" s="39">
        <v>926040712</v>
      </c>
      <c r="C8058" s="28" t="str">
        <f>HYPERLINK("https://pld.live/RapDetail.aspx?STONELIST=926040712","DNA")</f>
        <v>DNA</v>
      </c>
      <c r="D8058" s="18" t="s">
        <v>3658</v>
      </c>
      <c r="E8058" s="18" t="s">
        <v>5128</v>
      </c>
      <c r="F8058" s="2" t="s">
        <v>7987</v>
      </c>
      <c r="G8058" s="2" t="s">
        <v>1459</v>
      </c>
      <c r="H8058" s="14">
        <v>2.09</v>
      </c>
      <c r="I8058" s="2" t="s">
        <v>4761</v>
      </c>
      <c r="J8058" s="2" t="s">
        <v>3942</v>
      </c>
      <c r="K8058" s="2" t="s">
        <v>1452</v>
      </c>
      <c r="L8058" s="2" t="s">
        <v>5221</v>
      </c>
      <c r="M8058" s="2" t="s">
        <v>5221</v>
      </c>
      <c r="N8058" s="2" t="s">
        <v>2317</v>
      </c>
      <c r="O8058" s="14">
        <v>17000</v>
      </c>
      <c r="P8058" s="14">
        <v>98.97</v>
      </c>
      <c r="Q8058" s="14">
        <v>175.1</v>
      </c>
      <c r="R8058" s="14">
        <v>365.96</v>
      </c>
      <c r="S8058" s="2" t="s">
        <v>4030</v>
      </c>
      <c r="T8058" s="2">
        <v>1.1499999999999999</v>
      </c>
      <c r="U8058" s="2">
        <v>59.4</v>
      </c>
      <c r="V8058" s="2">
        <v>65</v>
      </c>
      <c r="W8058" s="2" t="s">
        <v>7862</v>
      </c>
      <c r="X8058" s="2" t="s">
        <v>2524</v>
      </c>
      <c r="Y8058" s="2">
        <v>35530</v>
      </c>
      <c r="Z8058" s="19" t="str">
        <f>HYPERLINK("https://ssdweb.co/ssdweb/hd/Vision360.html?d=926040712&amp;zoomslide=1&amp;z=1926040712&amp;ISCONFIRM=0","VIDEO")</f>
        <v>VIDEO</v>
      </c>
      <c r="AA8058" s="19" t="str">
        <f>HYPERLINK("https://ssdweb.co/ssdweb/CERTH/629497458.pdf","CERTI")</f>
        <v>CERTI</v>
      </c>
    </row>
    <row r="8059" spans="1:27" ht="15" x14ac:dyDescent="0.25">
      <c r="A8059" s="2">
        <v>8054</v>
      </c>
      <c r="B8059" s="39">
        <v>926170435</v>
      </c>
      <c r="C8059" s="28" t="str">
        <f>HYPERLINK("https://pld.live/RapDetail.aspx?STONELIST=926170435","DNA")</f>
        <v>DNA</v>
      </c>
      <c r="D8059" s="18" t="s">
        <v>3658</v>
      </c>
      <c r="E8059" s="18" t="s">
        <v>5128</v>
      </c>
      <c r="F8059" s="2" t="s">
        <v>7987</v>
      </c>
      <c r="G8059" s="2" t="s">
        <v>1459</v>
      </c>
      <c r="H8059" s="14">
        <v>2.08</v>
      </c>
      <c r="I8059" s="2" t="s">
        <v>267</v>
      </c>
      <c r="J8059" s="2" t="s">
        <v>3942</v>
      </c>
      <c r="K8059" s="2" t="s">
        <v>1452</v>
      </c>
      <c r="L8059" s="2" t="s">
        <v>5221</v>
      </c>
      <c r="M8059" s="2" t="s">
        <v>5221</v>
      </c>
      <c r="N8059" s="2" t="s">
        <v>2317</v>
      </c>
      <c r="O8059" s="14">
        <v>18500</v>
      </c>
      <c r="P8059" s="14">
        <v>98.89</v>
      </c>
      <c r="Q8059" s="14">
        <v>205.35</v>
      </c>
      <c r="R8059" s="14">
        <v>427.13</v>
      </c>
      <c r="S8059" s="2" t="s">
        <v>419</v>
      </c>
      <c r="T8059" s="2">
        <v>1.1599999999999999</v>
      </c>
      <c r="U8059" s="2">
        <v>61.3</v>
      </c>
      <c r="V8059" s="2">
        <v>65</v>
      </c>
      <c r="W8059" s="2" t="s">
        <v>7862</v>
      </c>
      <c r="X8059" s="2" t="s">
        <v>2524</v>
      </c>
      <c r="Y8059" s="2">
        <v>38480</v>
      </c>
      <c r="Z8059" s="19" t="str">
        <f>HYPERLINK("https://ssdweb.co/ssdweb/hd/Vision360.html?d=926170435&amp;zoomslide=1&amp;z=1926170435&amp;ISCONFIRM=0","VIDEO")</f>
        <v>VIDEO</v>
      </c>
      <c r="AA8059" s="19" t="str">
        <f>HYPERLINK("https://ssdweb.co/ssdweb/CERTH/633474081.pdf","CERTI")</f>
        <v>CERTI</v>
      </c>
    </row>
    <row r="8060" spans="1:27" ht="15" x14ac:dyDescent="0.25">
      <c r="A8060" s="2">
        <v>8055</v>
      </c>
      <c r="B8060" s="39">
        <v>925961078</v>
      </c>
      <c r="C8060" s="28" t="str">
        <f>HYPERLINK("https://pld.live/RapDetail.aspx?STONELIST=925961078","DNA")</f>
        <v>DNA</v>
      </c>
      <c r="D8060" s="18" t="s">
        <v>3658</v>
      </c>
      <c r="E8060" s="18" t="s">
        <v>5128</v>
      </c>
      <c r="F8060" s="2" t="s">
        <v>7987</v>
      </c>
      <c r="G8060" s="2" t="s">
        <v>1459</v>
      </c>
      <c r="H8060" s="14">
        <v>2.08</v>
      </c>
      <c r="I8060" s="2" t="s">
        <v>267</v>
      </c>
      <c r="J8060" s="2" t="s">
        <v>13</v>
      </c>
      <c r="K8060" s="2" t="s">
        <v>1452</v>
      </c>
      <c r="L8060" s="2" t="s">
        <v>5221</v>
      </c>
      <c r="M8060" s="2" t="s">
        <v>5221</v>
      </c>
      <c r="N8060" s="2" t="s">
        <v>2317</v>
      </c>
      <c r="O8060" s="14">
        <v>17500</v>
      </c>
      <c r="P8060" s="14">
        <v>98.94</v>
      </c>
      <c r="Q8060" s="14">
        <v>185.5</v>
      </c>
      <c r="R8060" s="14">
        <v>385.84</v>
      </c>
      <c r="S8060" s="2" t="s">
        <v>7840</v>
      </c>
      <c r="T8060" s="2">
        <v>1.1599999999999999</v>
      </c>
      <c r="U8060" s="2">
        <v>62.7</v>
      </c>
      <c r="V8060" s="2">
        <v>66</v>
      </c>
      <c r="W8060" s="2" t="s">
        <v>7862</v>
      </c>
      <c r="X8060" s="2" t="s">
        <v>2524</v>
      </c>
      <c r="Y8060" s="2">
        <v>36400</v>
      </c>
      <c r="Z8060" s="19" t="str">
        <f>HYPERLINK("https://ssdweb.co/ssdweb/hd/Vision360.html?d=925961078&amp;zoomslide=1&amp;z=1925961078&amp;ISCONFIRM=0","VIDEO")</f>
        <v>VIDEO</v>
      </c>
      <c r="AA8060" s="19" t="str">
        <f>HYPERLINK("https://ssdweb.co/ssdweb/CERTH/629453292.pdf","CERTI")</f>
        <v>CERTI</v>
      </c>
    </row>
    <row r="8061" spans="1:27" ht="15" x14ac:dyDescent="0.25">
      <c r="A8061" s="2">
        <v>8056</v>
      </c>
      <c r="B8061" s="39">
        <v>926350166</v>
      </c>
      <c r="C8061" s="28" t="str">
        <f>HYPERLINK("https://pld.live/RapDetail.aspx?STONELIST=926350166","DNA")</f>
        <v>DNA</v>
      </c>
      <c r="D8061" s="18" t="s">
        <v>3658</v>
      </c>
      <c r="E8061" s="18" t="s">
        <v>5128</v>
      </c>
      <c r="F8061" s="2" t="s">
        <v>7987</v>
      </c>
      <c r="G8061" s="2" t="s">
        <v>1459</v>
      </c>
      <c r="H8061" s="14">
        <v>2.0699999999999998</v>
      </c>
      <c r="I8061" s="2" t="s">
        <v>267</v>
      </c>
      <c r="J8061" s="2" t="s">
        <v>13</v>
      </c>
      <c r="K8061" s="2" t="s">
        <v>1452</v>
      </c>
      <c r="L8061" s="2" t="s">
        <v>5221</v>
      </c>
      <c r="M8061" s="2" t="s">
        <v>5221</v>
      </c>
      <c r="N8061" s="2" t="s">
        <v>2317</v>
      </c>
      <c r="O8061" s="14">
        <v>17500</v>
      </c>
      <c r="P8061" s="14">
        <v>98.93</v>
      </c>
      <c r="Q8061" s="14">
        <v>187.25</v>
      </c>
      <c r="R8061" s="14">
        <v>387.61</v>
      </c>
      <c r="S8061" s="2" t="s">
        <v>8077</v>
      </c>
      <c r="T8061" s="2">
        <v>1.1399999999999999</v>
      </c>
      <c r="U8061" s="2">
        <v>61</v>
      </c>
      <c r="V8061" s="2">
        <v>68</v>
      </c>
      <c r="W8061" s="2" t="s">
        <v>7862</v>
      </c>
      <c r="X8061" s="2" t="s">
        <v>2524</v>
      </c>
      <c r="Y8061" s="2">
        <v>36225</v>
      </c>
      <c r="Z8061" s="19" t="str">
        <f>HYPERLINK("https://ssdweb.co/ssdweb/hd/Vision360.html?d=926350166&amp;zoomslide=1&amp;z=1926350166&amp;ISCONFIRM=0","VIDEO")</f>
        <v>VIDEO</v>
      </c>
      <c r="AA8061" s="19" t="str">
        <f>HYPERLINK("https://ssdweb.co/ssdweb/CERTH/644490486.pdf","CERTI")</f>
        <v>CERTI</v>
      </c>
    </row>
    <row r="8062" spans="1:27" ht="15" x14ac:dyDescent="0.25">
      <c r="A8062" s="2">
        <v>8057</v>
      </c>
      <c r="B8062" s="39">
        <v>926100887</v>
      </c>
      <c r="C8062" s="28" t="str">
        <f>HYPERLINK("https://pld.live/RapDetail.aspx?STONELIST=926100887","DNA")</f>
        <v>DNA</v>
      </c>
      <c r="D8062" s="18" t="s">
        <v>3658</v>
      </c>
      <c r="E8062" s="18" t="s">
        <v>5128</v>
      </c>
      <c r="F8062" s="2" t="s">
        <v>7987</v>
      </c>
      <c r="G8062" s="2" t="s">
        <v>1459</v>
      </c>
      <c r="H8062" s="14">
        <v>2.06</v>
      </c>
      <c r="I8062" s="2" t="s">
        <v>267</v>
      </c>
      <c r="J8062" s="2" t="s">
        <v>6555</v>
      </c>
      <c r="K8062" s="2" t="s">
        <v>1452</v>
      </c>
      <c r="L8062" s="2" t="s">
        <v>5221</v>
      </c>
      <c r="M8062" s="2" t="s">
        <v>5221</v>
      </c>
      <c r="N8062" s="2" t="s">
        <v>2317</v>
      </c>
      <c r="O8062" s="14">
        <v>20000</v>
      </c>
      <c r="P8062" s="14">
        <v>98.43</v>
      </c>
      <c r="Q8062" s="14">
        <v>314</v>
      </c>
      <c r="R8062" s="14">
        <v>646.84</v>
      </c>
      <c r="S8062" s="2" t="s">
        <v>1175</v>
      </c>
      <c r="T8062" s="2">
        <v>1.1499999999999999</v>
      </c>
      <c r="U8062" s="2">
        <v>58.7</v>
      </c>
      <c r="V8062" s="2">
        <v>67</v>
      </c>
      <c r="W8062" s="2" t="s">
        <v>7862</v>
      </c>
      <c r="X8062" s="2" t="s">
        <v>2524</v>
      </c>
      <c r="Y8062" s="2">
        <v>41200</v>
      </c>
      <c r="Z8062" s="19" t="str">
        <f>HYPERLINK("https://ssdweb.co/ssdweb/hd/Vision360.html?d=926100887&amp;zoomslide=1&amp;z=1926100887&amp;ISCONFIRM=0","VIDEO")</f>
        <v>VIDEO</v>
      </c>
      <c r="AA8062" s="19" t="str">
        <f>HYPERLINK("https://ssdweb.co/ssdweb/CERTH/631464304.pdf","CERTI")</f>
        <v>CERTI</v>
      </c>
    </row>
    <row r="8063" spans="1:27" ht="15" x14ac:dyDescent="0.25">
      <c r="A8063" s="2">
        <v>8058</v>
      </c>
      <c r="B8063" s="39">
        <v>926100950</v>
      </c>
      <c r="C8063" s="28" t="str">
        <f>HYPERLINK("https://pld.live/RapDetail.aspx?STONELIST=926100950","DNA")</f>
        <v>DNA</v>
      </c>
      <c r="D8063" s="18" t="s">
        <v>3658</v>
      </c>
      <c r="E8063" s="18" t="s">
        <v>5128</v>
      </c>
      <c r="F8063" s="2" t="s">
        <v>7987</v>
      </c>
      <c r="G8063" s="2" t="s">
        <v>1459</v>
      </c>
      <c r="H8063" s="14">
        <v>2.06</v>
      </c>
      <c r="I8063" s="2" t="s">
        <v>4761</v>
      </c>
      <c r="J8063" s="2" t="s">
        <v>13</v>
      </c>
      <c r="K8063" s="2" t="s">
        <v>1452</v>
      </c>
      <c r="L8063" s="2" t="s">
        <v>5221</v>
      </c>
      <c r="M8063" s="2" t="s">
        <v>5221</v>
      </c>
      <c r="N8063" s="2" t="s">
        <v>2317</v>
      </c>
      <c r="O8063" s="14">
        <v>16000</v>
      </c>
      <c r="P8063" s="14">
        <v>98.97</v>
      </c>
      <c r="Q8063" s="14">
        <v>164.8</v>
      </c>
      <c r="R8063" s="14">
        <v>339.49</v>
      </c>
      <c r="S8063" s="2" t="s">
        <v>2660</v>
      </c>
      <c r="T8063" s="2">
        <v>1.1499999999999999</v>
      </c>
      <c r="U8063" s="2">
        <v>62.1</v>
      </c>
      <c r="V8063" s="2">
        <v>64</v>
      </c>
      <c r="W8063" s="2" t="s">
        <v>7862</v>
      </c>
      <c r="X8063" s="2" t="s">
        <v>2524</v>
      </c>
      <c r="Y8063" s="2">
        <v>32960</v>
      </c>
      <c r="Z8063" s="19" t="str">
        <f>HYPERLINK("https://ssdweb.co/ssdweb/hd/Vision360.html?d=926100950&amp;zoomslide=1&amp;z=1926100950&amp;ISCONFIRM=0","VIDEO")</f>
        <v>VIDEO</v>
      </c>
      <c r="AA8063" s="19" t="str">
        <f>HYPERLINK("https://ssdweb.co/ssdweb/CERTH/632488328.pdf","CERTI")</f>
        <v>CERTI</v>
      </c>
    </row>
    <row r="8064" spans="1:27" ht="15" x14ac:dyDescent="0.25">
      <c r="A8064" s="2">
        <v>8059</v>
      </c>
      <c r="B8064" s="39">
        <v>925951080</v>
      </c>
      <c r="C8064" s="28" t="str">
        <f>HYPERLINK("https://pld.live/RapDetail.aspx?STONELIST=925951080","DNA")</f>
        <v>DNA</v>
      </c>
      <c r="D8064" s="18" t="s">
        <v>3658</v>
      </c>
      <c r="E8064" s="18" t="s">
        <v>5128</v>
      </c>
      <c r="F8064" s="2" t="s">
        <v>7987</v>
      </c>
      <c r="G8064" s="2" t="s">
        <v>1459</v>
      </c>
      <c r="H8064" s="14">
        <v>2.0499999999999998</v>
      </c>
      <c r="I8064" s="2" t="s">
        <v>267</v>
      </c>
      <c r="J8064" s="2" t="s">
        <v>6555</v>
      </c>
      <c r="K8064" s="2" t="s">
        <v>1452</v>
      </c>
      <c r="L8064" s="2" t="s">
        <v>5221</v>
      </c>
      <c r="M8064" s="2" t="s">
        <v>5221</v>
      </c>
      <c r="N8064" s="2" t="s">
        <v>2317</v>
      </c>
      <c r="O8064" s="14">
        <v>20000</v>
      </c>
      <c r="P8064" s="14">
        <v>98.43</v>
      </c>
      <c r="Q8064" s="14">
        <v>314</v>
      </c>
      <c r="R8064" s="14">
        <v>643.70000000000005</v>
      </c>
      <c r="S8064" s="2" t="s">
        <v>4093</v>
      </c>
      <c r="T8064" s="2">
        <v>1.1599999999999999</v>
      </c>
      <c r="U8064" s="2">
        <v>62.6</v>
      </c>
      <c r="V8064" s="2">
        <v>65</v>
      </c>
      <c r="W8064" s="2" t="s">
        <v>7862</v>
      </c>
      <c r="X8064" s="2" t="s">
        <v>2524</v>
      </c>
      <c r="Y8064" s="2">
        <v>41000</v>
      </c>
      <c r="Z8064" s="19" t="str">
        <f>HYPERLINK("https://ssdweb.co/ssdweb/hd/Vision360.html?d=925951080&amp;zoomslide=1&amp;z=1925951080&amp;ISCONFIRM=0","VIDEO")</f>
        <v>VIDEO</v>
      </c>
      <c r="AA8064" s="19" t="str">
        <f>HYPERLINK("https://ssdweb.co/ssdweb/CERTH/628427039.pdf","CERTI")</f>
        <v>CERTI</v>
      </c>
    </row>
    <row r="8065" spans="1:27" ht="15" x14ac:dyDescent="0.25">
      <c r="A8065" s="2">
        <v>8060</v>
      </c>
      <c r="B8065" s="39">
        <v>925971198</v>
      </c>
      <c r="C8065" s="28" t="str">
        <f>HYPERLINK("https://pld.live/RapDetail.aspx?STONELIST=925971198","DNA")</f>
        <v>DNA</v>
      </c>
      <c r="D8065" s="18" t="s">
        <v>3658</v>
      </c>
      <c r="E8065" s="18" t="s">
        <v>5128</v>
      </c>
      <c r="F8065" s="2" t="s">
        <v>7987</v>
      </c>
      <c r="G8065" s="2" t="s">
        <v>1459</v>
      </c>
      <c r="H8065" s="14">
        <v>2.0499999999999998</v>
      </c>
      <c r="I8065" s="2" t="s">
        <v>267</v>
      </c>
      <c r="J8065" s="2" t="s">
        <v>5144</v>
      </c>
      <c r="K8065" s="2" t="s">
        <v>1452</v>
      </c>
      <c r="L8065" s="2" t="s">
        <v>5221</v>
      </c>
      <c r="M8065" s="2" t="s">
        <v>5221</v>
      </c>
      <c r="N8065" s="2" t="s">
        <v>2317</v>
      </c>
      <c r="O8065" s="14">
        <v>16000</v>
      </c>
      <c r="P8065" s="14">
        <v>98.97</v>
      </c>
      <c r="Q8065" s="14">
        <v>164.8</v>
      </c>
      <c r="R8065" s="14">
        <v>337.84</v>
      </c>
      <c r="S8065" s="2" t="s">
        <v>4273</v>
      </c>
      <c r="T8065" s="2">
        <v>1.1599999999999999</v>
      </c>
      <c r="U8065" s="2">
        <v>62.7</v>
      </c>
      <c r="V8065" s="2">
        <v>60</v>
      </c>
      <c r="W8065" s="2" t="s">
        <v>7862</v>
      </c>
      <c r="X8065" s="2" t="s">
        <v>2524</v>
      </c>
      <c r="Y8065" s="2">
        <v>32800</v>
      </c>
      <c r="Z8065" s="19" t="str">
        <f>HYPERLINK("https://ssdweb.co/ssdweb/hd/Vision360.html?d=925971198&amp;zoomslide=1&amp;z=1925971198&amp;ISCONFIRM=0","VIDEO")</f>
        <v>VIDEO</v>
      </c>
      <c r="AA8065" s="19" t="str">
        <f>HYPERLINK("https://ssdweb.co/ssdweb/CERTH/629478979.pdf","CERTI")</f>
        <v>CERTI</v>
      </c>
    </row>
    <row r="8066" spans="1:27" ht="15" x14ac:dyDescent="0.25">
      <c r="A8066" s="2">
        <v>8061</v>
      </c>
      <c r="B8066" s="39">
        <v>926100891</v>
      </c>
      <c r="C8066" s="28" t="str">
        <f>HYPERLINK("https://pld.live/RapDetail.aspx?STONELIST=926100891","DNA")</f>
        <v>DNA</v>
      </c>
      <c r="D8066" s="18" t="s">
        <v>3658</v>
      </c>
      <c r="E8066" s="18" t="s">
        <v>5128</v>
      </c>
      <c r="F8066" s="2" t="s">
        <v>7987</v>
      </c>
      <c r="G8066" s="2" t="s">
        <v>1459</v>
      </c>
      <c r="H8066" s="14">
        <v>2.0499999999999998</v>
      </c>
      <c r="I8066" s="2" t="s">
        <v>4761</v>
      </c>
      <c r="J8066" s="2" t="s">
        <v>3942</v>
      </c>
      <c r="K8066" s="2" t="s">
        <v>1452</v>
      </c>
      <c r="L8066" s="2" t="s">
        <v>5221</v>
      </c>
      <c r="M8066" s="2" t="s">
        <v>5221</v>
      </c>
      <c r="N8066" s="2" t="s">
        <v>2317</v>
      </c>
      <c r="O8066" s="14">
        <v>17000</v>
      </c>
      <c r="P8066" s="14">
        <v>98.97</v>
      </c>
      <c r="Q8066" s="14">
        <v>175.1</v>
      </c>
      <c r="R8066" s="14">
        <v>358.96</v>
      </c>
      <c r="S8066" s="2" t="s">
        <v>1537</v>
      </c>
      <c r="T8066" s="2">
        <v>1.1499999999999999</v>
      </c>
      <c r="U8066" s="2">
        <v>58.4</v>
      </c>
      <c r="V8066" s="2">
        <v>63</v>
      </c>
      <c r="W8066" s="2" t="s">
        <v>7862</v>
      </c>
      <c r="X8066" s="2" t="s">
        <v>2524</v>
      </c>
      <c r="Y8066" s="2">
        <v>34850</v>
      </c>
      <c r="Z8066" s="19" t="str">
        <f>HYPERLINK("https://ssdweb.co/ssdweb/hd/Vision360.html?d=926100891&amp;zoomslide=1&amp;z=1926100891&amp;ISCONFIRM=0","VIDEO")</f>
        <v>VIDEO</v>
      </c>
      <c r="AA8066" s="19" t="str">
        <f>HYPERLINK("https://ssdweb.co/ssdweb/CERTH/631464308.pdf","CERTI")</f>
        <v>CERTI</v>
      </c>
    </row>
    <row r="8067" spans="1:27" ht="15" x14ac:dyDescent="0.25">
      <c r="A8067" s="2">
        <v>8062</v>
      </c>
      <c r="B8067" s="39">
        <v>926170739</v>
      </c>
      <c r="C8067" s="28" t="str">
        <f>HYPERLINK("https://pld.live/RapDetail.aspx?STONELIST=926170739","DNA")</f>
        <v>DNA</v>
      </c>
      <c r="D8067" s="18" t="s">
        <v>3658</v>
      </c>
      <c r="E8067" s="18" t="s">
        <v>5128</v>
      </c>
      <c r="F8067" s="2" t="s">
        <v>7987</v>
      </c>
      <c r="G8067" s="2" t="s">
        <v>1459</v>
      </c>
      <c r="H8067" s="14">
        <v>2.0499999999999998</v>
      </c>
      <c r="I8067" s="2" t="s">
        <v>4761</v>
      </c>
      <c r="J8067" s="2" t="s">
        <v>13</v>
      </c>
      <c r="K8067" s="2" t="s">
        <v>1452</v>
      </c>
      <c r="L8067" s="2" t="s">
        <v>5221</v>
      </c>
      <c r="M8067" s="2" t="s">
        <v>5221</v>
      </c>
      <c r="N8067" s="2" t="s">
        <v>2317</v>
      </c>
      <c r="O8067" s="14">
        <v>16000</v>
      </c>
      <c r="P8067" s="14">
        <v>98.97</v>
      </c>
      <c r="Q8067" s="14">
        <v>164.8</v>
      </c>
      <c r="R8067" s="14">
        <v>337.84</v>
      </c>
      <c r="S8067" s="2" t="s">
        <v>196</v>
      </c>
      <c r="T8067" s="2">
        <v>1.1499999999999999</v>
      </c>
      <c r="U8067" s="2">
        <v>62.9</v>
      </c>
      <c r="V8067" s="2">
        <v>66</v>
      </c>
      <c r="W8067" s="2" t="s">
        <v>7862</v>
      </c>
      <c r="X8067" s="2" t="s">
        <v>2524</v>
      </c>
      <c r="Y8067" s="2">
        <v>32800</v>
      </c>
      <c r="Z8067" s="19" t="str">
        <f>HYPERLINK("https://ssdweb.co/ssdweb/hd/Vision360.html?d=926170739&amp;zoomslide=1&amp;z=1926170739&amp;ISCONFIRM=0","VIDEO")</f>
        <v>VIDEO</v>
      </c>
      <c r="AA8067" s="19" t="str">
        <f>HYPERLINK("https://ssdweb.co/ssdweb/CERTH/633490557.pdf","CERTI")</f>
        <v>CERTI</v>
      </c>
    </row>
    <row r="8068" spans="1:27" ht="15" x14ac:dyDescent="0.25">
      <c r="A8068" s="2">
        <v>8063</v>
      </c>
      <c r="B8068" s="39">
        <v>923540511</v>
      </c>
      <c r="C8068" s="28" t="str">
        <f>HYPERLINK("https://pld.live/RapDetail.aspx?STONELIST=923540511","DNA")</f>
        <v>DNA</v>
      </c>
      <c r="D8068" s="18" t="s">
        <v>3658</v>
      </c>
      <c r="E8068" s="18" t="s">
        <v>5128</v>
      </c>
      <c r="F8068" s="2" t="s">
        <v>7987</v>
      </c>
      <c r="G8068" s="2" t="s">
        <v>1459</v>
      </c>
      <c r="H8068" s="14">
        <v>2.04</v>
      </c>
      <c r="I8068" s="2" t="s">
        <v>267</v>
      </c>
      <c r="J8068" s="2" t="s">
        <v>13</v>
      </c>
      <c r="K8068" s="2" t="s">
        <v>1452</v>
      </c>
      <c r="L8068" s="2" t="s">
        <v>5221</v>
      </c>
      <c r="M8068" s="2" t="s">
        <v>5221</v>
      </c>
      <c r="N8068" s="2" t="s">
        <v>2317</v>
      </c>
      <c r="O8068" s="14">
        <v>17500</v>
      </c>
      <c r="P8068" s="14">
        <v>98.94</v>
      </c>
      <c r="Q8068" s="14">
        <v>185.5</v>
      </c>
      <c r="R8068" s="14">
        <v>378.42</v>
      </c>
      <c r="S8068" s="2" t="s">
        <v>2491</v>
      </c>
      <c r="T8068" s="2">
        <v>1.1599999999999999</v>
      </c>
      <c r="U8068" s="2">
        <v>63.5</v>
      </c>
      <c r="V8068" s="2">
        <v>64</v>
      </c>
      <c r="W8068" s="2" t="s">
        <v>7862</v>
      </c>
      <c r="X8068" s="2" t="s">
        <v>2524</v>
      </c>
      <c r="Y8068" s="2">
        <v>35700</v>
      </c>
      <c r="Z8068" s="19" t="str">
        <f>HYPERLINK("https://ssdweb.co/ssdweb/hd/Vision360.html?d=923540511&amp;zoomslide=1&amp;z=1923540511&amp;ISCONFIRM=0","VIDEO")</f>
        <v>VIDEO</v>
      </c>
      <c r="AA8068" s="19" t="str">
        <f>HYPERLINK("https://ssdweb.co/ssdweb/CERTH/560233929.pdf","CERTI")</f>
        <v>CERTI</v>
      </c>
    </row>
    <row r="8069" spans="1:27" ht="15" x14ac:dyDescent="0.25">
      <c r="A8069" s="2">
        <v>8064</v>
      </c>
      <c r="B8069" s="39">
        <v>926200173</v>
      </c>
      <c r="C8069" s="28" t="str">
        <f>HYPERLINK("https://pld.live/RapDetail.aspx?STONELIST=926200173","DNA")</f>
        <v>DNA</v>
      </c>
      <c r="D8069" s="18" t="s">
        <v>3658</v>
      </c>
      <c r="E8069" s="18" t="s">
        <v>5128</v>
      </c>
      <c r="F8069" s="2" t="s">
        <v>7987</v>
      </c>
      <c r="G8069" s="2" t="s">
        <v>1459</v>
      </c>
      <c r="H8069" s="14">
        <v>2.04</v>
      </c>
      <c r="I8069" s="2" t="s">
        <v>267</v>
      </c>
      <c r="J8069" s="2" t="s">
        <v>13</v>
      </c>
      <c r="K8069" s="2" t="s">
        <v>1452</v>
      </c>
      <c r="L8069" s="2" t="s">
        <v>5221</v>
      </c>
      <c r="M8069" s="2" t="s">
        <v>5221</v>
      </c>
      <c r="N8069" s="2" t="s">
        <v>2317</v>
      </c>
      <c r="O8069" s="14">
        <v>17500</v>
      </c>
      <c r="P8069" s="14">
        <v>98.94</v>
      </c>
      <c r="Q8069" s="14">
        <v>185.5</v>
      </c>
      <c r="R8069" s="14">
        <v>378.42</v>
      </c>
      <c r="S8069" s="2" t="s">
        <v>73</v>
      </c>
      <c r="T8069" s="2">
        <v>1.1499999999999999</v>
      </c>
      <c r="U8069" s="2">
        <v>57.9</v>
      </c>
      <c r="V8069" s="2">
        <v>67</v>
      </c>
      <c r="W8069" s="2" t="s">
        <v>7862</v>
      </c>
      <c r="X8069" s="2" t="s">
        <v>2524</v>
      </c>
      <c r="Y8069" s="2">
        <v>35700</v>
      </c>
      <c r="Z8069" s="19" t="str">
        <f>HYPERLINK("https://ssdweb.co/ssdweb/hd/Vision360.html?d=926200173&amp;zoomslide=1&amp;z=1926200173&amp;ISCONFIRM=0","VIDEO")</f>
        <v>VIDEO</v>
      </c>
      <c r="AA8069" s="19" t="str">
        <f>HYPERLINK("https://ssdweb.co/ssdweb/CERTH/634472307.pdf","CERTI")</f>
        <v>CERTI</v>
      </c>
    </row>
    <row r="8070" spans="1:27" ht="15" x14ac:dyDescent="0.25">
      <c r="A8070" s="2">
        <v>8065</v>
      </c>
      <c r="B8070" s="39">
        <v>926100565</v>
      </c>
      <c r="C8070" s="28" t="str">
        <f>HYPERLINK("https://pld.live/RapDetail.aspx?STONELIST=926100565","DNA")</f>
        <v>DNA</v>
      </c>
      <c r="D8070" s="18" t="s">
        <v>3658</v>
      </c>
      <c r="E8070" s="18" t="s">
        <v>5128</v>
      </c>
      <c r="F8070" s="2" t="s">
        <v>7987</v>
      </c>
      <c r="G8070" s="2" t="s">
        <v>1459</v>
      </c>
      <c r="H8070" s="14">
        <v>2.04</v>
      </c>
      <c r="I8070" s="2" t="s">
        <v>267</v>
      </c>
      <c r="J8070" s="2" t="s">
        <v>13</v>
      </c>
      <c r="K8070" s="2" t="s">
        <v>1452</v>
      </c>
      <c r="L8070" s="2" t="s">
        <v>5221</v>
      </c>
      <c r="M8070" s="2" t="s">
        <v>5221</v>
      </c>
      <c r="N8070" s="2" t="s">
        <v>2317</v>
      </c>
      <c r="O8070" s="14">
        <v>17500</v>
      </c>
      <c r="P8070" s="14">
        <v>98.94</v>
      </c>
      <c r="Q8070" s="14">
        <v>185.5</v>
      </c>
      <c r="R8070" s="14">
        <v>378.42</v>
      </c>
      <c r="S8070" s="2" t="s">
        <v>2683</v>
      </c>
      <c r="T8070" s="2">
        <v>1.1599999999999999</v>
      </c>
      <c r="U8070" s="2">
        <v>62.8</v>
      </c>
      <c r="V8070" s="2">
        <v>67</v>
      </c>
      <c r="W8070" s="2" t="s">
        <v>7862</v>
      </c>
      <c r="X8070" s="2" t="s">
        <v>2524</v>
      </c>
      <c r="Y8070" s="2">
        <v>35700</v>
      </c>
      <c r="Z8070" s="19" t="str">
        <f>HYPERLINK("https://ssdweb.co/ssdweb/hd/Vision360.html?d=926100565&amp;zoomslide=1&amp;z=1926100565&amp;ISCONFIRM=0","VIDEO")</f>
        <v>VIDEO</v>
      </c>
      <c r="AA8070" s="19" t="str">
        <f>HYPERLINK("https://ssdweb.co/ssdweb/CERTH/631430078.pdf","CERTI")</f>
        <v>CERTI</v>
      </c>
    </row>
    <row r="8071" spans="1:27" ht="15" x14ac:dyDescent="0.25">
      <c r="A8071" s="2">
        <v>8066</v>
      </c>
      <c r="B8071" s="39">
        <v>925950930</v>
      </c>
      <c r="C8071" s="28" t="str">
        <f>HYPERLINK("https://pld.live/RapDetail.aspx?STONELIST=925950930","DNA")</f>
        <v>DNA</v>
      </c>
      <c r="D8071" s="18" t="s">
        <v>3658</v>
      </c>
      <c r="E8071" s="18" t="s">
        <v>5128</v>
      </c>
      <c r="F8071" s="2" t="s">
        <v>7987</v>
      </c>
      <c r="G8071" s="2" t="s">
        <v>1459</v>
      </c>
      <c r="H8071" s="14">
        <v>2.04</v>
      </c>
      <c r="I8071" s="2" t="s">
        <v>4761</v>
      </c>
      <c r="J8071" s="2" t="s">
        <v>3942</v>
      </c>
      <c r="K8071" s="2" t="s">
        <v>1452</v>
      </c>
      <c r="L8071" s="2" t="s">
        <v>5221</v>
      </c>
      <c r="M8071" s="2" t="s">
        <v>5221</v>
      </c>
      <c r="N8071" s="2" t="s">
        <v>2317</v>
      </c>
      <c r="O8071" s="14">
        <v>17000</v>
      </c>
      <c r="P8071" s="14">
        <v>98.97</v>
      </c>
      <c r="Q8071" s="14">
        <v>175.1</v>
      </c>
      <c r="R8071" s="14">
        <v>357.2</v>
      </c>
      <c r="S8071" s="2" t="s">
        <v>1766</v>
      </c>
      <c r="T8071" s="2">
        <v>1.1499999999999999</v>
      </c>
      <c r="U8071" s="2">
        <v>58.4</v>
      </c>
      <c r="V8071" s="2">
        <v>65</v>
      </c>
      <c r="W8071" s="2" t="s">
        <v>7862</v>
      </c>
      <c r="X8071" s="2" t="s">
        <v>2524</v>
      </c>
      <c r="Y8071" s="2">
        <v>34680</v>
      </c>
      <c r="Z8071" s="19" t="str">
        <f>HYPERLINK("https://ssdweb.co/ssdweb/hd/Vision360.html?d=925950930&amp;zoomslide=1&amp;z=1925950930&amp;ISCONFIRM=0","VIDEO")</f>
        <v>VIDEO</v>
      </c>
      <c r="AA8071" s="19" t="str">
        <f>HYPERLINK("https://ssdweb.co/ssdweb/CERTH/628426964.pdf","CERTI")</f>
        <v>CERTI</v>
      </c>
    </row>
    <row r="8072" spans="1:27" ht="15" x14ac:dyDescent="0.25">
      <c r="A8072" s="2">
        <v>8067</v>
      </c>
      <c r="B8072" s="39">
        <v>926100894</v>
      </c>
      <c r="C8072" s="28" t="str">
        <f>HYPERLINK("https://pld.live/RapDetail.aspx?STONELIST=926100894","DNA")</f>
        <v>DNA</v>
      </c>
      <c r="D8072" s="18" t="s">
        <v>3658</v>
      </c>
      <c r="E8072" s="18" t="s">
        <v>5128</v>
      </c>
      <c r="F8072" s="2" t="s">
        <v>7987</v>
      </c>
      <c r="G8072" s="2" t="s">
        <v>1459</v>
      </c>
      <c r="H8072" s="14">
        <v>2.04</v>
      </c>
      <c r="I8072" s="2" t="s">
        <v>4699</v>
      </c>
      <c r="J8072" s="2" t="s">
        <v>6555</v>
      </c>
      <c r="K8072" s="2" t="s">
        <v>1452</v>
      </c>
      <c r="L8072" s="2" t="s">
        <v>5221</v>
      </c>
      <c r="M8072" s="2" t="s">
        <v>5221</v>
      </c>
      <c r="N8072" s="2" t="s">
        <v>2317</v>
      </c>
      <c r="O8072" s="14">
        <v>17000</v>
      </c>
      <c r="P8072" s="14">
        <v>98.39</v>
      </c>
      <c r="Q8072" s="14">
        <v>273.7</v>
      </c>
      <c r="R8072" s="14">
        <v>558.35</v>
      </c>
      <c r="S8072" s="2" t="s">
        <v>1968</v>
      </c>
      <c r="T8072" s="2">
        <v>1.1499999999999999</v>
      </c>
      <c r="U8072" s="2">
        <v>62.3</v>
      </c>
      <c r="V8072" s="2">
        <v>68</v>
      </c>
      <c r="W8072" s="2" t="s">
        <v>4336</v>
      </c>
      <c r="X8072" s="2" t="s">
        <v>2524</v>
      </c>
      <c r="Y8072" s="2">
        <v>34680</v>
      </c>
      <c r="Z8072" s="19" t="str">
        <f>HYPERLINK("https://ssdweb.co/ssdweb/hd/Vision360.html?d=926100894&amp;zoomslide=1&amp;z=1926100894&amp;ISCONFIRM=0","VIDEO")</f>
        <v>VIDEO</v>
      </c>
      <c r="AA8072" s="19" t="str">
        <f>HYPERLINK("https://ssdweb.co/ssdweb/CERTH/631464291.pdf","CERTI")</f>
        <v>CERTI</v>
      </c>
    </row>
    <row r="8073" spans="1:27" ht="15" x14ac:dyDescent="0.25">
      <c r="A8073" s="2">
        <v>8068</v>
      </c>
      <c r="B8073" s="39">
        <v>926170630</v>
      </c>
      <c r="C8073" s="28" t="str">
        <f>HYPERLINK("https://pld.live/RapDetail.aspx?STONELIST=926170630","DNA")</f>
        <v>DNA</v>
      </c>
      <c r="D8073" s="18" t="s">
        <v>3658</v>
      </c>
      <c r="E8073" s="18" t="s">
        <v>5128</v>
      </c>
      <c r="F8073" s="2" t="s">
        <v>7987</v>
      </c>
      <c r="G8073" s="2" t="s">
        <v>1459</v>
      </c>
      <c r="H8073" s="14">
        <v>2.0299999999999998</v>
      </c>
      <c r="I8073" s="2" t="s">
        <v>267</v>
      </c>
      <c r="J8073" s="2" t="s">
        <v>3942</v>
      </c>
      <c r="K8073" s="2" t="s">
        <v>1452</v>
      </c>
      <c r="L8073" s="2" t="s">
        <v>5221</v>
      </c>
      <c r="M8073" s="2" t="s">
        <v>5221</v>
      </c>
      <c r="N8073" s="2" t="s">
        <v>2317</v>
      </c>
      <c r="O8073" s="14">
        <v>18500</v>
      </c>
      <c r="P8073" s="14">
        <v>98.89</v>
      </c>
      <c r="Q8073" s="14">
        <v>205.35</v>
      </c>
      <c r="R8073" s="14">
        <v>416.86</v>
      </c>
      <c r="S8073" s="2" t="s">
        <v>5941</v>
      </c>
      <c r="T8073" s="2">
        <v>1.1599999999999999</v>
      </c>
      <c r="U8073" s="2">
        <v>60.6</v>
      </c>
      <c r="V8073" s="2">
        <v>62</v>
      </c>
      <c r="W8073" s="2" t="s">
        <v>7862</v>
      </c>
      <c r="X8073" s="2" t="s">
        <v>2524</v>
      </c>
      <c r="Y8073" s="2">
        <v>37555</v>
      </c>
      <c r="Z8073" s="19" t="str">
        <f>HYPERLINK("https://ssdweb.co/ssdweb/hd/Vision360.html?d=926170630&amp;zoomslide=1&amp;z=1926170630&amp;ISCONFIRM=0","VIDEO")</f>
        <v>VIDEO</v>
      </c>
      <c r="AA8073" s="19" t="str">
        <f>HYPERLINK("https://ssdweb.co/ssdweb/CERTH/633474107.pdf","CERTI")</f>
        <v>CERTI</v>
      </c>
    </row>
    <row r="8074" spans="1:27" ht="15" x14ac:dyDescent="0.25">
      <c r="A8074" s="2">
        <v>8069</v>
      </c>
      <c r="B8074" s="39">
        <v>926100125</v>
      </c>
      <c r="C8074" s="28" t="str">
        <f>HYPERLINK("https://pld.live/RapDetail.aspx?STONELIST=926100125","DNA")</f>
        <v>DNA</v>
      </c>
      <c r="D8074" s="18" t="s">
        <v>3658</v>
      </c>
      <c r="E8074" s="18" t="s">
        <v>5128</v>
      </c>
      <c r="F8074" s="2" t="s">
        <v>7987</v>
      </c>
      <c r="G8074" s="2" t="s">
        <v>1459</v>
      </c>
      <c r="H8074" s="14">
        <v>2.0299999999999998</v>
      </c>
      <c r="I8074" s="2" t="s">
        <v>267</v>
      </c>
      <c r="J8074" s="2" t="s">
        <v>3942</v>
      </c>
      <c r="K8074" s="2" t="s">
        <v>1452</v>
      </c>
      <c r="L8074" s="2" t="s">
        <v>5221</v>
      </c>
      <c r="M8074" s="2" t="s">
        <v>5221</v>
      </c>
      <c r="N8074" s="2" t="s">
        <v>2317</v>
      </c>
      <c r="O8074" s="14">
        <v>18500</v>
      </c>
      <c r="P8074" s="14">
        <v>98.89</v>
      </c>
      <c r="Q8074" s="14">
        <v>205.35</v>
      </c>
      <c r="R8074" s="14">
        <v>416.86</v>
      </c>
      <c r="S8074" s="2" t="s">
        <v>3219</v>
      </c>
      <c r="T8074" s="2">
        <v>1.1599999999999999</v>
      </c>
      <c r="U8074" s="2">
        <v>62.6</v>
      </c>
      <c r="V8074" s="2">
        <v>65</v>
      </c>
      <c r="W8074" s="2" t="s">
        <v>7862</v>
      </c>
      <c r="X8074" s="2" t="s">
        <v>2524</v>
      </c>
      <c r="Y8074" s="2">
        <v>37555</v>
      </c>
      <c r="Z8074" s="19" t="str">
        <f>HYPERLINK("https://ssdweb.co/ssdweb/hd/Vision360.html?d=926100125&amp;zoomslide=1&amp;z=1926100125&amp;ISCONFIRM=0","VIDEO")</f>
        <v>VIDEO</v>
      </c>
      <c r="AA8074" s="19" t="str">
        <f>HYPERLINK("https://ssdweb.co/ssdweb/CERTH/631404555.pdf","CERTI")</f>
        <v>CERTI</v>
      </c>
    </row>
    <row r="8075" spans="1:27" ht="15" x14ac:dyDescent="0.25">
      <c r="A8075" s="2">
        <v>8070</v>
      </c>
      <c r="B8075" s="39">
        <v>926400424</v>
      </c>
      <c r="C8075" s="28" t="str">
        <f>HYPERLINK("https://pld.live/RapDetail.aspx?STONELIST=926400424","DNA")</f>
        <v>DNA</v>
      </c>
      <c r="D8075" s="18" t="s">
        <v>3658</v>
      </c>
      <c r="E8075" s="18" t="s">
        <v>5128</v>
      </c>
      <c r="F8075" s="2" t="s">
        <v>7987</v>
      </c>
      <c r="G8075" s="2" t="s">
        <v>1459</v>
      </c>
      <c r="H8075" s="14">
        <v>2.0299999999999998</v>
      </c>
      <c r="I8075" s="2" t="s">
        <v>4761</v>
      </c>
      <c r="J8075" s="2" t="s">
        <v>3942</v>
      </c>
      <c r="K8075" s="2" t="s">
        <v>1452</v>
      </c>
      <c r="L8075" s="2" t="s">
        <v>5221</v>
      </c>
      <c r="M8075" s="2" t="s">
        <v>5221</v>
      </c>
      <c r="N8075" s="2" t="s">
        <v>2317</v>
      </c>
      <c r="O8075" s="14">
        <v>17000</v>
      </c>
      <c r="P8075" s="14">
        <v>98.96</v>
      </c>
      <c r="Q8075" s="14">
        <v>176.8</v>
      </c>
      <c r="R8075" s="14">
        <v>358.9</v>
      </c>
      <c r="S8075" s="2" t="s">
        <v>8126</v>
      </c>
      <c r="T8075" s="2">
        <v>1.1599999999999999</v>
      </c>
      <c r="U8075" s="2">
        <v>61</v>
      </c>
      <c r="V8075" s="2">
        <v>62</v>
      </c>
      <c r="W8075" s="2" t="s">
        <v>4336</v>
      </c>
      <c r="X8075" s="2" t="s">
        <v>2524</v>
      </c>
      <c r="Y8075" s="2">
        <v>34510</v>
      </c>
      <c r="Z8075" s="19" t="str">
        <f>HYPERLINK("https://ssdweb.co/ssdweb/hd/Vision360.html?d=926400424&amp;zoomslide=1&amp;z=1926400424&amp;ISCONFIRM=0","VIDEO")</f>
        <v>VIDEO</v>
      </c>
      <c r="AA8075" s="19" t="str">
        <f>HYPERLINK("https://ssdweb.co/ssdweb/CERTH/644490491.pdf","CERTI")</f>
        <v>CERTI</v>
      </c>
    </row>
    <row r="8076" spans="1:27" ht="15" x14ac:dyDescent="0.25">
      <c r="A8076" s="2">
        <v>8071</v>
      </c>
      <c r="B8076" s="39">
        <v>926400514</v>
      </c>
      <c r="C8076" s="28" t="str">
        <f>HYPERLINK("https://pld.live/RapDetail.aspx?STONELIST=926400514","DNA")</f>
        <v>DNA</v>
      </c>
      <c r="D8076" s="18" t="s">
        <v>3658</v>
      </c>
      <c r="E8076" s="18" t="s">
        <v>5128</v>
      </c>
      <c r="F8076" s="2" t="s">
        <v>7987</v>
      </c>
      <c r="G8076" s="2" t="s">
        <v>1459</v>
      </c>
      <c r="H8076" s="14">
        <v>2.0299999999999998</v>
      </c>
      <c r="I8076" s="2" t="s">
        <v>4761</v>
      </c>
      <c r="J8076" s="2" t="s">
        <v>13</v>
      </c>
      <c r="K8076" s="2" t="s">
        <v>1452</v>
      </c>
      <c r="L8076" s="2" t="s">
        <v>5221</v>
      </c>
      <c r="M8076" s="2" t="s">
        <v>5221</v>
      </c>
      <c r="N8076" s="2" t="s">
        <v>2317</v>
      </c>
      <c r="O8076" s="14">
        <v>16000</v>
      </c>
      <c r="P8076" s="14">
        <v>98.95</v>
      </c>
      <c r="Q8076" s="14">
        <v>168</v>
      </c>
      <c r="R8076" s="14">
        <v>341.04</v>
      </c>
      <c r="S8076" s="2" t="s">
        <v>287</v>
      </c>
      <c r="T8076" s="2">
        <v>1.1499999999999999</v>
      </c>
      <c r="U8076" s="2">
        <v>57.6</v>
      </c>
      <c r="V8076" s="2">
        <v>67</v>
      </c>
      <c r="W8076" s="2" t="s">
        <v>7862</v>
      </c>
      <c r="X8076" s="2" t="s">
        <v>2524</v>
      </c>
      <c r="Y8076" s="2">
        <v>32480</v>
      </c>
      <c r="Z8076" s="19" t="str">
        <f>HYPERLINK("https://ssdweb.co/ssdweb/hd/Vision360.html?d=926400514&amp;zoomslide=1&amp;z=1926400514&amp;ISCONFIRM=0","VIDEO")</f>
        <v>VIDEO</v>
      </c>
      <c r="AA8076" s="19" t="str">
        <f>HYPERLINK("https://ssdweb.co/ssdweb/CERTH/644490492.pdf","CERTI")</f>
        <v>CERTI</v>
      </c>
    </row>
    <row r="8077" spans="1:27" ht="15" x14ac:dyDescent="0.25">
      <c r="A8077" s="2">
        <v>8072</v>
      </c>
      <c r="B8077" s="39">
        <v>925980965</v>
      </c>
      <c r="C8077" s="28" t="str">
        <f>HYPERLINK("https://pld.live/RapDetail.aspx?STONELIST=925980965","DNA")</f>
        <v>DNA</v>
      </c>
      <c r="D8077" s="18" t="s">
        <v>3658</v>
      </c>
      <c r="E8077" s="18" t="s">
        <v>5128</v>
      </c>
      <c r="F8077" s="2" t="s">
        <v>7987</v>
      </c>
      <c r="G8077" s="2" t="s">
        <v>1459</v>
      </c>
      <c r="H8077" s="14">
        <v>2.02</v>
      </c>
      <c r="I8077" s="2" t="s">
        <v>267</v>
      </c>
      <c r="J8077" s="2" t="s">
        <v>6555</v>
      </c>
      <c r="K8077" s="2" t="s">
        <v>1452</v>
      </c>
      <c r="L8077" s="2" t="s">
        <v>5221</v>
      </c>
      <c r="M8077" s="2" t="s">
        <v>5221</v>
      </c>
      <c r="N8077" s="2" t="s">
        <v>2317</v>
      </c>
      <c r="O8077" s="14">
        <v>20000</v>
      </c>
      <c r="P8077" s="14">
        <v>98.43</v>
      </c>
      <c r="Q8077" s="14">
        <v>314</v>
      </c>
      <c r="R8077" s="14">
        <v>634.28</v>
      </c>
      <c r="S8077" s="2" t="s">
        <v>7421</v>
      </c>
      <c r="T8077" s="2">
        <v>1.1599999999999999</v>
      </c>
      <c r="U8077" s="2">
        <v>60.8</v>
      </c>
      <c r="V8077" s="2">
        <v>62</v>
      </c>
      <c r="W8077" s="2" t="s">
        <v>7862</v>
      </c>
      <c r="X8077" s="2" t="s">
        <v>2524</v>
      </c>
      <c r="Y8077" s="2">
        <v>40400</v>
      </c>
      <c r="Z8077" s="19" t="str">
        <f>HYPERLINK("https://ssdweb.co/ssdweb/hd/Vision360.html?d=925980965&amp;zoomslide=1&amp;z=1925980965&amp;ISCONFIRM=0","VIDEO")</f>
        <v>VIDEO</v>
      </c>
      <c r="AA8077" s="19" t="str">
        <f>HYPERLINK("https://ssdweb.co/ssdweb/CERTH/629453329.pdf","CERTI")</f>
        <v>CERTI</v>
      </c>
    </row>
    <row r="8078" spans="1:27" ht="15" x14ac:dyDescent="0.25">
      <c r="A8078" s="2">
        <v>8073</v>
      </c>
      <c r="B8078" s="39">
        <v>926041137</v>
      </c>
      <c r="C8078" s="28" t="str">
        <f>HYPERLINK("https://pld.live/RapDetail.aspx?STONELIST=926041137","DNA")</f>
        <v>DNA</v>
      </c>
      <c r="D8078" s="18" t="s">
        <v>3658</v>
      </c>
      <c r="E8078" s="18" t="s">
        <v>5128</v>
      </c>
      <c r="F8078" s="2" t="s">
        <v>7987</v>
      </c>
      <c r="G8078" s="2" t="s">
        <v>1459</v>
      </c>
      <c r="H8078" s="14">
        <v>2.02</v>
      </c>
      <c r="I8078" s="2" t="s">
        <v>267</v>
      </c>
      <c r="J8078" s="2" t="s">
        <v>6555</v>
      </c>
      <c r="K8078" s="2" t="s">
        <v>1452</v>
      </c>
      <c r="L8078" s="2" t="s">
        <v>5221</v>
      </c>
      <c r="M8078" s="2" t="s">
        <v>5221</v>
      </c>
      <c r="N8078" s="2" t="s">
        <v>2317</v>
      </c>
      <c r="O8078" s="14">
        <v>20000</v>
      </c>
      <c r="P8078" s="14">
        <v>98.43</v>
      </c>
      <c r="Q8078" s="14">
        <v>314</v>
      </c>
      <c r="R8078" s="14">
        <v>634.28</v>
      </c>
      <c r="S8078" s="2" t="s">
        <v>5594</v>
      </c>
      <c r="T8078" s="2">
        <v>1.1599999999999999</v>
      </c>
      <c r="U8078" s="2">
        <v>62</v>
      </c>
      <c r="V8078" s="2">
        <v>66</v>
      </c>
      <c r="W8078" s="2" t="s">
        <v>7862</v>
      </c>
      <c r="X8078" s="2" t="s">
        <v>2524</v>
      </c>
      <c r="Y8078" s="2">
        <v>40400</v>
      </c>
      <c r="Z8078" s="19" t="str">
        <f>HYPERLINK("https://ssdweb.co/ssdweb/hd/Vision360.html?d=926041137&amp;zoomslide=1&amp;z=1926041137&amp;ISCONFIRM=0","VIDEO")</f>
        <v>VIDEO</v>
      </c>
      <c r="AA8078" s="19" t="str">
        <f>HYPERLINK("https://ssdweb.co/ssdweb/CERTH/631404508.pdf","CERTI")</f>
        <v>CERTI</v>
      </c>
    </row>
    <row r="8079" spans="1:27" ht="15" x14ac:dyDescent="0.25">
      <c r="A8079" s="2">
        <v>8074</v>
      </c>
      <c r="B8079" s="39">
        <v>922770003</v>
      </c>
      <c r="C8079" s="28" t="str">
        <f>HYPERLINK("https://pld.live/RapDetail.aspx?STONELIST=922770003","DNA")</f>
        <v>DNA</v>
      </c>
      <c r="D8079" s="18" t="s">
        <v>3658</v>
      </c>
      <c r="E8079" s="18" t="s">
        <v>5128</v>
      </c>
      <c r="F8079" s="2" t="s">
        <v>7987</v>
      </c>
      <c r="G8079" s="2" t="s">
        <v>1459</v>
      </c>
      <c r="H8079" s="14">
        <v>2.0099999999999998</v>
      </c>
      <c r="I8079" s="2" t="s">
        <v>267</v>
      </c>
      <c r="J8079" s="2" t="s">
        <v>5144</v>
      </c>
      <c r="K8079" s="2" t="s">
        <v>1452</v>
      </c>
      <c r="L8079" s="2" t="s">
        <v>5221</v>
      </c>
      <c r="M8079" s="2" t="s">
        <v>5221</v>
      </c>
      <c r="N8079" s="2" t="s">
        <v>2317</v>
      </c>
      <c r="O8079" s="14">
        <v>16000</v>
      </c>
      <c r="P8079" s="14">
        <v>98.97</v>
      </c>
      <c r="Q8079" s="14">
        <v>164.8</v>
      </c>
      <c r="R8079" s="14">
        <v>331.25</v>
      </c>
      <c r="S8079" s="2" t="s">
        <v>1033</v>
      </c>
      <c r="T8079" s="2">
        <v>1.1499999999999999</v>
      </c>
      <c r="U8079" s="2">
        <v>59.2</v>
      </c>
      <c r="V8079" s="2">
        <v>70.5</v>
      </c>
      <c r="W8079" s="2" t="s">
        <v>7862</v>
      </c>
      <c r="X8079" s="2" t="s">
        <v>2524</v>
      </c>
      <c r="Y8079" s="2">
        <v>32160</v>
      </c>
      <c r="Z8079" s="19" t="str">
        <f>HYPERLINK("https://ssdweb.co/ssdweb/hd/Vision360.html?d=922770003&amp;zoomslide=1&amp;z=1922770003&amp;ISCONFIRM=0","VIDEO")</f>
        <v>VIDEO</v>
      </c>
      <c r="AA8079" s="19" t="str">
        <f>HYPERLINK("https://ssdweb.co/ssdweb/CERTH/526270821.pdf","CERTI")</f>
        <v>CERTI</v>
      </c>
    </row>
    <row r="8080" spans="1:27" ht="15" x14ac:dyDescent="0.25">
      <c r="A8080" s="2">
        <v>8075</v>
      </c>
      <c r="B8080" s="39">
        <v>926171281</v>
      </c>
      <c r="C8080" s="28" t="str">
        <f>HYPERLINK("https://pld.live/RapDetail.aspx?STONELIST=926171281","DNA")</f>
        <v>DNA</v>
      </c>
      <c r="D8080" s="18" t="s">
        <v>3658</v>
      </c>
      <c r="E8080" s="18" t="s">
        <v>5128</v>
      </c>
      <c r="F8080" s="2" t="s">
        <v>7987</v>
      </c>
      <c r="G8080" s="2" t="s">
        <v>1459</v>
      </c>
      <c r="H8080" s="14">
        <v>2.0099999999999998</v>
      </c>
      <c r="I8080" s="2" t="s">
        <v>267</v>
      </c>
      <c r="J8080" s="2" t="s">
        <v>5144</v>
      </c>
      <c r="K8080" s="2" t="s">
        <v>1452</v>
      </c>
      <c r="L8080" s="2" t="s">
        <v>5221</v>
      </c>
      <c r="M8080" s="2" t="s">
        <v>5221</v>
      </c>
      <c r="N8080" s="2" t="s">
        <v>2317</v>
      </c>
      <c r="O8080" s="14">
        <v>16000</v>
      </c>
      <c r="P8080" s="14">
        <v>98.97</v>
      </c>
      <c r="Q8080" s="14">
        <v>164.8</v>
      </c>
      <c r="R8080" s="14">
        <v>331.25</v>
      </c>
      <c r="S8080" s="2" t="s">
        <v>5261</v>
      </c>
      <c r="T8080" s="2">
        <v>1.1599999999999999</v>
      </c>
      <c r="U8080" s="2">
        <v>64.3</v>
      </c>
      <c r="V8080" s="2">
        <v>61</v>
      </c>
      <c r="W8080" s="2" t="s">
        <v>7862</v>
      </c>
      <c r="X8080" s="2" t="s">
        <v>2524</v>
      </c>
      <c r="Y8080" s="2">
        <v>32160</v>
      </c>
      <c r="Z8080" s="19" t="str">
        <f>HYPERLINK("https://ssdweb.co/ssdweb/hd/Vision360.html?d=926171281&amp;zoomslide=1&amp;z=1926171281&amp;ISCONFIRM=0","VIDEO")</f>
        <v>VIDEO</v>
      </c>
      <c r="AA8080" s="19" t="str">
        <f>HYPERLINK("https://ssdweb.co/ssdweb/CERTH/634431435.pdf","CERTI")</f>
        <v>CERTI</v>
      </c>
    </row>
    <row r="8081" spans="1:27" ht="15" x14ac:dyDescent="0.25">
      <c r="A8081" s="2">
        <v>8076</v>
      </c>
      <c r="B8081" s="39">
        <v>925980774</v>
      </c>
      <c r="C8081" s="28" t="str">
        <f>HYPERLINK("https://pld.live/RapDetail.aspx?STONELIST=925980774","DNA")</f>
        <v>DNA</v>
      </c>
      <c r="D8081" s="18" t="s">
        <v>3658</v>
      </c>
      <c r="E8081" s="18" t="s">
        <v>5128</v>
      </c>
      <c r="F8081" s="2" t="s">
        <v>7987</v>
      </c>
      <c r="G8081" s="2" t="s">
        <v>1459</v>
      </c>
      <c r="H8081" s="14">
        <v>2.0099999999999998</v>
      </c>
      <c r="I8081" s="2" t="s">
        <v>4761</v>
      </c>
      <c r="J8081" s="2" t="s">
        <v>3942</v>
      </c>
      <c r="K8081" s="2" t="s">
        <v>1452</v>
      </c>
      <c r="L8081" s="2" t="s">
        <v>5221</v>
      </c>
      <c r="M8081" s="2" t="s">
        <v>5221</v>
      </c>
      <c r="N8081" s="2" t="s">
        <v>2317</v>
      </c>
      <c r="O8081" s="14">
        <v>17000</v>
      </c>
      <c r="P8081" s="14">
        <v>98.98</v>
      </c>
      <c r="Q8081" s="14">
        <v>173.4</v>
      </c>
      <c r="R8081" s="14">
        <v>348.53</v>
      </c>
      <c r="S8081" s="2" t="s">
        <v>4986</v>
      </c>
      <c r="T8081" s="2">
        <v>1.1499999999999999</v>
      </c>
      <c r="U8081" s="2">
        <v>61.7</v>
      </c>
      <c r="V8081" s="2">
        <v>65</v>
      </c>
      <c r="W8081" s="2" t="s">
        <v>4336</v>
      </c>
      <c r="X8081" s="2" t="s">
        <v>2524</v>
      </c>
      <c r="Y8081" s="2">
        <v>34170</v>
      </c>
      <c r="Z8081" s="19" t="str">
        <f>HYPERLINK("https://ssdweb.co/ssdweb/hd/Vision360.html?d=925980774&amp;zoomslide=1&amp;z=1925980774&amp;ISCONFIRM=0","VIDEO")</f>
        <v>VIDEO</v>
      </c>
      <c r="AA8081" s="19" t="str">
        <f>HYPERLINK("https://ssdweb.co/ssdweb/CERTH/629453250.pdf","CERTI")</f>
        <v>CERTI</v>
      </c>
    </row>
    <row r="8082" spans="1:27" ht="15" x14ac:dyDescent="0.25">
      <c r="A8082" s="2">
        <v>8077</v>
      </c>
      <c r="B8082" s="39">
        <v>926171469</v>
      </c>
      <c r="C8082" s="28" t="str">
        <f>HYPERLINK("https://pld.live/RapDetail.aspx?STONELIST=926171469","DNA")</f>
        <v>DNA</v>
      </c>
      <c r="D8082" s="18" t="s">
        <v>3658</v>
      </c>
      <c r="E8082" s="18" t="s">
        <v>5128</v>
      </c>
      <c r="F8082" s="2" t="s">
        <v>7987</v>
      </c>
      <c r="G8082" s="2" t="s">
        <v>1459</v>
      </c>
      <c r="H8082" s="14">
        <v>2</v>
      </c>
      <c r="I8082" s="2" t="s">
        <v>4761</v>
      </c>
      <c r="J8082" s="2" t="s">
        <v>3942</v>
      </c>
      <c r="K8082" s="2" t="s">
        <v>1452</v>
      </c>
      <c r="L8082" s="2" t="s">
        <v>5221</v>
      </c>
      <c r="M8082" s="2" t="s">
        <v>5221</v>
      </c>
      <c r="N8082" s="2" t="s">
        <v>2317</v>
      </c>
      <c r="O8082" s="14">
        <v>17000</v>
      </c>
      <c r="P8082" s="14">
        <v>98.97</v>
      </c>
      <c r="Q8082" s="14">
        <v>175.1</v>
      </c>
      <c r="R8082" s="14">
        <v>350.2</v>
      </c>
      <c r="S8082" s="2" t="s">
        <v>4047</v>
      </c>
      <c r="T8082" s="2">
        <v>1.1599999999999999</v>
      </c>
      <c r="U8082" s="2">
        <v>61.1</v>
      </c>
      <c r="V8082" s="2">
        <v>65</v>
      </c>
      <c r="W8082" s="2" t="s">
        <v>7862</v>
      </c>
      <c r="X8082" s="2" t="s">
        <v>2524</v>
      </c>
      <c r="Y8082" s="2">
        <v>34000</v>
      </c>
      <c r="Z8082" s="19" t="str">
        <f>HYPERLINK("https://ssdweb.co/ssdweb/hd/Vision360.html?d=926171469&amp;zoomslide=1&amp;z=1926171469&amp;ISCONFIRM=0","VIDEO")</f>
        <v>VIDEO</v>
      </c>
      <c r="AA8082" s="19" t="str">
        <f>HYPERLINK("https://ssdweb.co/ssdweb/CERTH/635423899.pdf","CERTI")</f>
        <v>CERTI</v>
      </c>
    </row>
    <row r="8083" spans="1:27" ht="15" x14ac:dyDescent="0.25">
      <c r="A8083" s="2">
        <v>8078</v>
      </c>
      <c r="B8083" s="39">
        <v>926070307</v>
      </c>
      <c r="C8083" s="28" t="str">
        <f>HYPERLINK("https://pld.live/RapDetail.aspx?STONELIST=926070307","DNA")</f>
        <v>DNA</v>
      </c>
      <c r="D8083" s="18" t="s">
        <v>6675</v>
      </c>
      <c r="E8083" s="18" t="s">
        <v>5128</v>
      </c>
      <c r="F8083" s="2" t="s">
        <v>7987</v>
      </c>
      <c r="G8083" s="2" t="s">
        <v>1459</v>
      </c>
      <c r="H8083" s="14">
        <v>1.99</v>
      </c>
      <c r="I8083" s="2" t="s">
        <v>267</v>
      </c>
      <c r="J8083" s="2" t="s">
        <v>13</v>
      </c>
      <c r="K8083" s="2" t="s">
        <v>1452</v>
      </c>
      <c r="L8083" s="2" t="s">
        <v>5221</v>
      </c>
      <c r="M8083" s="2" t="s">
        <v>5221</v>
      </c>
      <c r="N8083" s="2" t="s">
        <v>2317</v>
      </c>
      <c r="O8083" s="14">
        <v>11600</v>
      </c>
      <c r="P8083" s="14">
        <v>98.44</v>
      </c>
      <c r="Q8083" s="14">
        <v>180.96</v>
      </c>
      <c r="R8083" s="14">
        <v>360.11</v>
      </c>
      <c r="S8083" s="2" t="s">
        <v>3973</v>
      </c>
      <c r="T8083" s="2">
        <v>1.1499999999999999</v>
      </c>
      <c r="U8083" s="2">
        <v>62.2</v>
      </c>
      <c r="V8083" s="2">
        <v>66</v>
      </c>
      <c r="W8083" s="2" t="s">
        <v>7862</v>
      </c>
      <c r="X8083" s="2" t="s">
        <v>2524</v>
      </c>
      <c r="Y8083" s="2">
        <v>23084</v>
      </c>
      <c r="Z8083" s="19" t="str">
        <f>HYPERLINK("https://ssdweb.co/ssdweb/hd/Vision360.html?d=926070307&amp;zoomslide=1&amp;z=1926070307&amp;ISCONFIRM=0","VIDEO")</f>
        <v>VIDEO</v>
      </c>
      <c r="AA8083" s="19" t="str">
        <f>HYPERLINK("https://ssdweb.co/ssdweb/CERTH/630447777.pdf","CERTI")</f>
        <v>CERTI</v>
      </c>
    </row>
    <row r="8084" spans="1:27" ht="15" x14ac:dyDescent="0.25">
      <c r="A8084" s="2">
        <v>8079</v>
      </c>
      <c r="B8084" s="39">
        <v>923520474</v>
      </c>
      <c r="C8084" s="28" t="str">
        <f>HYPERLINK("https://pld.live/RapDetail.aspx?STONELIST=923520474","DNA")</f>
        <v>DNA</v>
      </c>
      <c r="D8084" s="18" t="s">
        <v>5313</v>
      </c>
      <c r="E8084" s="18" t="s">
        <v>5128</v>
      </c>
      <c r="F8084" s="2" t="s">
        <v>5597</v>
      </c>
      <c r="G8084" s="2" t="s">
        <v>1459</v>
      </c>
      <c r="H8084" s="14">
        <v>1.72</v>
      </c>
      <c r="I8084" s="2" t="s">
        <v>4761</v>
      </c>
      <c r="J8084" s="2" t="s">
        <v>6555</v>
      </c>
      <c r="K8084" s="2" t="s">
        <v>1452</v>
      </c>
      <c r="L8084" s="2" t="s">
        <v>5221</v>
      </c>
      <c r="M8084" s="2" t="s">
        <v>5221</v>
      </c>
      <c r="N8084" s="2" t="s">
        <v>2317</v>
      </c>
      <c r="O8084" s="14">
        <v>12400</v>
      </c>
      <c r="P8084" s="14">
        <v>97.54</v>
      </c>
      <c r="Q8084" s="14">
        <v>305.04000000000002</v>
      </c>
      <c r="R8084" s="14">
        <v>524.66999999999996</v>
      </c>
      <c r="S8084" s="2" t="s">
        <v>1740</v>
      </c>
      <c r="T8084" s="2">
        <v>1.1599999999999999</v>
      </c>
      <c r="U8084" s="2">
        <v>59.5</v>
      </c>
      <c r="V8084" s="2">
        <v>64</v>
      </c>
      <c r="W8084" s="2" t="s">
        <v>7862</v>
      </c>
      <c r="X8084" s="2" t="s">
        <v>2524</v>
      </c>
      <c r="Y8084" s="2">
        <v>21328</v>
      </c>
      <c r="Z8084" s="19" t="str">
        <f>HYPERLINK("https://ssdweb.co/ssdweb/hd/Vision360.html?d=923520474&amp;zoomslide=1&amp;z=1923520474&amp;ISCONFIRM=0","VIDEO")</f>
        <v>VIDEO</v>
      </c>
      <c r="AA8084" s="19" t="str">
        <f>HYPERLINK("https://ssdweb.co/ssdweb/CERTH/6452450154.pdf","CERTI")</f>
        <v>CERTI</v>
      </c>
    </row>
    <row r="8085" spans="1:27" ht="15" x14ac:dyDescent="0.25">
      <c r="A8085" s="2">
        <v>8080</v>
      </c>
      <c r="B8085" s="39">
        <v>925960966</v>
      </c>
      <c r="C8085" s="28" t="str">
        <f>HYPERLINK("https://pld.live/RapDetail.aspx?STONELIST=925960966","DNA")</f>
        <v>DNA</v>
      </c>
      <c r="D8085" s="18" t="s">
        <v>711</v>
      </c>
      <c r="E8085" s="18" t="s">
        <v>5128</v>
      </c>
      <c r="F8085" s="2" t="s">
        <v>7987</v>
      </c>
      <c r="G8085" s="2" t="s">
        <v>1459</v>
      </c>
      <c r="H8085" s="14">
        <v>1.65</v>
      </c>
      <c r="I8085" s="2" t="s">
        <v>267</v>
      </c>
      <c r="J8085" s="2" t="s">
        <v>13</v>
      </c>
      <c r="K8085" s="2" t="s">
        <v>1452</v>
      </c>
      <c r="L8085" s="2" t="s">
        <v>5221</v>
      </c>
      <c r="M8085" s="2" t="s">
        <v>5221</v>
      </c>
      <c r="N8085" s="2" t="s">
        <v>2317</v>
      </c>
      <c r="O8085" s="14">
        <v>11600</v>
      </c>
      <c r="P8085" s="14">
        <v>98.48</v>
      </c>
      <c r="Q8085" s="14">
        <v>176.32</v>
      </c>
      <c r="R8085" s="14">
        <v>290.93</v>
      </c>
      <c r="S8085" s="2" t="s">
        <v>3599</v>
      </c>
      <c r="T8085" s="2">
        <v>1.1599999999999999</v>
      </c>
      <c r="U8085" s="2">
        <v>57.5</v>
      </c>
      <c r="V8085" s="2">
        <v>63</v>
      </c>
      <c r="W8085" s="2" t="s">
        <v>7862</v>
      </c>
      <c r="X8085" s="2" t="s">
        <v>2524</v>
      </c>
      <c r="Y8085" s="2">
        <v>19140</v>
      </c>
      <c r="Z8085" s="19" t="str">
        <f>HYPERLINK("https://ssdweb.co/ssdweb/hd/Vision360.html?d=925960966&amp;zoomslide=1&amp;z=1925960966&amp;ISCONFIRM=0","VIDEO")</f>
        <v>VIDEO</v>
      </c>
      <c r="AA8085" s="19" t="str">
        <f>HYPERLINK("https://ssdweb.co/ssdweb/CERTH/628427029.pdf","CERTI")</f>
        <v>CERTI</v>
      </c>
    </row>
    <row r="8086" spans="1:27" ht="15" x14ac:dyDescent="0.25">
      <c r="A8086" s="2">
        <v>8081</v>
      </c>
      <c r="B8086" s="39">
        <v>926071608</v>
      </c>
      <c r="C8086" s="28" t="str">
        <f>HYPERLINK("https://pld.live/RapDetail.aspx?STONELIST=926071608","DNA")</f>
        <v>DNA</v>
      </c>
      <c r="D8086" s="18" t="s">
        <v>711</v>
      </c>
      <c r="E8086" s="18" t="s">
        <v>5128</v>
      </c>
      <c r="F8086" s="2" t="s">
        <v>7987</v>
      </c>
      <c r="G8086" s="2" t="s">
        <v>1459</v>
      </c>
      <c r="H8086" s="14">
        <v>1.62</v>
      </c>
      <c r="I8086" s="2" t="s">
        <v>4761</v>
      </c>
      <c r="J8086" s="2" t="s">
        <v>13</v>
      </c>
      <c r="K8086" s="2" t="s">
        <v>1452</v>
      </c>
      <c r="L8086" s="2" t="s">
        <v>5221</v>
      </c>
      <c r="M8086" s="2" t="s">
        <v>5221</v>
      </c>
      <c r="N8086" s="2" t="s">
        <v>2317</v>
      </c>
      <c r="O8086" s="14">
        <v>10800</v>
      </c>
      <c r="P8086" s="14">
        <v>98.57</v>
      </c>
      <c r="Q8086" s="14">
        <v>154.44</v>
      </c>
      <c r="R8086" s="14">
        <v>250.19</v>
      </c>
      <c r="S8086" s="2" t="s">
        <v>7552</v>
      </c>
      <c r="T8086" s="2">
        <v>1.1499999999999999</v>
      </c>
      <c r="U8086" s="2">
        <v>62.5</v>
      </c>
      <c r="V8086" s="2">
        <v>65</v>
      </c>
      <c r="W8086" s="2" t="s">
        <v>4336</v>
      </c>
      <c r="X8086" s="2" t="s">
        <v>2524</v>
      </c>
      <c r="Y8086" s="2">
        <v>17496</v>
      </c>
      <c r="Z8086" s="19" t="str">
        <f>HYPERLINK("https://ssdweb.co/ssdweb/hd/Vision360.html?d=926071608&amp;zoomslide=1&amp;z=1926071608&amp;ISCONFIRM=0","VIDEO")</f>
        <v>VIDEO</v>
      </c>
      <c r="AA8086" s="19" t="str">
        <f>HYPERLINK("https://ssdweb.co/ssdweb/CERTH/631430407.pdf","CERTI")</f>
        <v>CERTI</v>
      </c>
    </row>
    <row r="8087" spans="1:27" ht="15" x14ac:dyDescent="0.25">
      <c r="A8087" s="2">
        <v>8082</v>
      </c>
      <c r="B8087" s="39">
        <v>923540520</v>
      </c>
      <c r="C8087" s="28" t="str">
        <f>HYPERLINK("https://pld.live/RapDetail.aspx?STONELIST=923540520","DNA")</f>
        <v>DNA</v>
      </c>
      <c r="D8087" s="18" t="s">
        <v>711</v>
      </c>
      <c r="E8087" s="18" t="s">
        <v>5128</v>
      </c>
      <c r="F8087" s="2" t="s">
        <v>5597</v>
      </c>
      <c r="G8087" s="2" t="s">
        <v>1459</v>
      </c>
      <c r="H8087" s="14">
        <v>1.58</v>
      </c>
      <c r="I8087" s="2" t="s">
        <v>267</v>
      </c>
      <c r="J8087" s="2" t="s">
        <v>6555</v>
      </c>
      <c r="K8087" s="2" t="s">
        <v>1452</v>
      </c>
      <c r="L8087" s="2" t="s">
        <v>5221</v>
      </c>
      <c r="M8087" s="2" t="s">
        <v>5221</v>
      </c>
      <c r="N8087" s="2" t="s">
        <v>2317</v>
      </c>
      <c r="O8087" s="14">
        <v>13200</v>
      </c>
      <c r="P8087" s="14">
        <v>97.61</v>
      </c>
      <c r="Q8087" s="14">
        <v>315.48</v>
      </c>
      <c r="R8087" s="14">
        <v>498.46</v>
      </c>
      <c r="S8087" s="2" t="s">
        <v>5605</v>
      </c>
      <c r="T8087" s="2">
        <v>1.1499999999999999</v>
      </c>
      <c r="U8087" s="2">
        <v>59.7</v>
      </c>
      <c r="V8087" s="2">
        <v>66</v>
      </c>
      <c r="W8087" s="2" t="s">
        <v>7862</v>
      </c>
      <c r="X8087" s="2" t="s">
        <v>2524</v>
      </c>
      <c r="Y8087" s="2">
        <v>20856</v>
      </c>
      <c r="Z8087" s="19" t="str">
        <f>HYPERLINK("https://ssdweb.co/ssdweb/hd/Vision360.html?d=923540520&amp;zoomslide=1&amp;z=1923540520&amp;ISCONFIRM=0","VIDEO")</f>
        <v>VIDEO</v>
      </c>
      <c r="AA8087" s="19" t="str">
        <f>HYPERLINK("https://ssdweb.co/ssdweb/CERTH/2454450172.pdf","CERTI")</f>
        <v>CERTI</v>
      </c>
    </row>
    <row r="8088" spans="1:27" ht="15" x14ac:dyDescent="0.25">
      <c r="A8088" s="2">
        <v>8083</v>
      </c>
      <c r="B8088" s="39">
        <v>923600450</v>
      </c>
      <c r="C8088" s="28" t="str">
        <f>HYPERLINK("https://pld.live/RapDetail.aspx?STONELIST=923600450","DNA")</f>
        <v>DNA</v>
      </c>
      <c r="D8088" s="18" t="s">
        <v>711</v>
      </c>
      <c r="E8088" s="18" t="s">
        <v>5128</v>
      </c>
      <c r="F8088" s="2" t="s">
        <v>7987</v>
      </c>
      <c r="G8088" s="2" t="s">
        <v>1459</v>
      </c>
      <c r="H8088" s="14">
        <v>1.55</v>
      </c>
      <c r="I8088" s="2" t="s">
        <v>267</v>
      </c>
      <c r="J8088" s="2" t="s">
        <v>2613</v>
      </c>
      <c r="K8088" s="2" t="s">
        <v>1452</v>
      </c>
      <c r="L8088" s="2" t="s">
        <v>5221</v>
      </c>
      <c r="M8088" s="2" t="s">
        <v>5221</v>
      </c>
      <c r="N8088" s="2" t="s">
        <v>2317</v>
      </c>
      <c r="O8088" s="14">
        <v>6700</v>
      </c>
      <c r="P8088" s="14">
        <v>98.12</v>
      </c>
      <c r="Q8088" s="14">
        <v>125.96</v>
      </c>
      <c r="R8088" s="14">
        <v>195.24</v>
      </c>
      <c r="S8088" s="2" t="s">
        <v>6700</v>
      </c>
      <c r="T8088" s="2">
        <v>1.1599999999999999</v>
      </c>
      <c r="U8088" s="2">
        <v>61.8</v>
      </c>
      <c r="V8088" s="2">
        <v>68.5</v>
      </c>
      <c r="W8088" s="2" t="s">
        <v>7862</v>
      </c>
      <c r="X8088" s="2" t="s">
        <v>2524</v>
      </c>
      <c r="Y8088" s="2">
        <v>10385</v>
      </c>
      <c r="Z8088" s="19" t="str">
        <f>HYPERLINK("https://ssdweb.co/ssdweb/hd/Vision360.html?d=923600450&amp;zoomslide=1&amp;z=1923600450&amp;ISCONFIRM=0","VIDEO")</f>
        <v>VIDEO</v>
      </c>
      <c r="AA8088" s="19" t="str">
        <f>HYPERLINK("https://ssdweb.co/ssdweb/CERTH/559284753.pdf","CERTI")</f>
        <v>CERTI</v>
      </c>
    </row>
    <row r="8089" spans="1:27" ht="15" x14ac:dyDescent="0.25">
      <c r="A8089" s="2">
        <v>8084</v>
      </c>
      <c r="B8089" s="39">
        <v>923490358</v>
      </c>
      <c r="C8089" s="28" t="str">
        <f>HYPERLINK("https://pld.live/RapDetail.aspx?STONELIST=923490358","DNA")</f>
        <v>DNA</v>
      </c>
      <c r="D8089" s="18" t="s">
        <v>711</v>
      </c>
      <c r="E8089" s="18" t="s">
        <v>5128</v>
      </c>
      <c r="F8089" s="2" t="s">
        <v>7987</v>
      </c>
      <c r="G8089" s="2" t="s">
        <v>1459</v>
      </c>
      <c r="H8089" s="14">
        <v>1.55</v>
      </c>
      <c r="I8089" s="2" t="s">
        <v>4761</v>
      </c>
      <c r="J8089" s="2" t="s">
        <v>7032</v>
      </c>
      <c r="K8089" s="2" t="s">
        <v>1452</v>
      </c>
      <c r="L8089" s="2" t="s">
        <v>5221</v>
      </c>
      <c r="M8089" s="2" t="s">
        <v>5221</v>
      </c>
      <c r="N8089" s="2" t="s">
        <v>2317</v>
      </c>
      <c r="O8089" s="14">
        <v>13200</v>
      </c>
      <c r="P8089" s="14">
        <v>96.29</v>
      </c>
      <c r="Q8089" s="14">
        <v>489.72</v>
      </c>
      <c r="R8089" s="14">
        <v>759.07</v>
      </c>
      <c r="S8089" s="2" t="s">
        <v>7136</v>
      </c>
      <c r="T8089" s="2">
        <v>1.1399999999999999</v>
      </c>
      <c r="U8089" s="2">
        <v>61.4</v>
      </c>
      <c r="V8089" s="2">
        <v>69.5</v>
      </c>
      <c r="W8089" s="2" t="s">
        <v>7862</v>
      </c>
      <c r="X8089" s="2" t="s">
        <v>2524</v>
      </c>
      <c r="Y8089" s="2">
        <v>20460</v>
      </c>
      <c r="Z8089" s="19" t="str">
        <f>HYPERLINK("https://ssdweb.co/ssdweb/hd/Vision360.html?d=923490358&amp;zoomslide=1&amp;z=1923490358&amp;ISCONFIRM=0","VIDEO")</f>
        <v>VIDEO</v>
      </c>
      <c r="AA8089" s="19" t="str">
        <f>HYPERLINK("https://ssdweb.co/ssdweb/CERTH/549299471.pdf","CERTI")</f>
        <v>CERTI</v>
      </c>
    </row>
    <row r="8090" spans="1:27" ht="15" x14ac:dyDescent="0.25">
      <c r="A8090" s="2">
        <v>8085</v>
      </c>
      <c r="B8090" s="39">
        <v>925300334</v>
      </c>
      <c r="C8090" s="28" t="str">
        <f>HYPERLINK("https://pld.live/RapDetail.aspx?STONELIST=925300334","DNA")</f>
        <v>DNA</v>
      </c>
      <c r="D8090" s="18" t="s">
        <v>711</v>
      </c>
      <c r="E8090" s="18" t="s">
        <v>5128</v>
      </c>
      <c r="F8090" s="2" t="s">
        <v>5597</v>
      </c>
      <c r="G8090" s="2" t="s">
        <v>1459</v>
      </c>
      <c r="H8090" s="14">
        <v>1.54</v>
      </c>
      <c r="I8090" s="2" t="s">
        <v>267</v>
      </c>
      <c r="J8090" s="2" t="s">
        <v>6555</v>
      </c>
      <c r="K8090" s="2" t="s">
        <v>1452</v>
      </c>
      <c r="L8090" s="2" t="s">
        <v>5221</v>
      </c>
      <c r="M8090" s="2" t="s">
        <v>5221</v>
      </c>
      <c r="N8090" s="2" t="s">
        <v>2317</v>
      </c>
      <c r="O8090" s="14">
        <v>13200</v>
      </c>
      <c r="P8090" s="14">
        <v>97.61</v>
      </c>
      <c r="Q8090" s="14">
        <v>315.48</v>
      </c>
      <c r="R8090" s="14">
        <v>485.84</v>
      </c>
      <c r="S8090" s="2" t="s">
        <v>4875</v>
      </c>
      <c r="T8090" s="2">
        <v>1.1599999999999999</v>
      </c>
      <c r="U8090" s="2">
        <v>62.5</v>
      </c>
      <c r="V8090" s="2">
        <v>63</v>
      </c>
      <c r="W8090" s="2" t="s">
        <v>7862</v>
      </c>
      <c r="X8090" s="2" t="s">
        <v>2524</v>
      </c>
      <c r="Y8090" s="2">
        <v>20328</v>
      </c>
      <c r="Z8090" s="19" t="str">
        <f>HYPERLINK("https://ssdweb.co/ssdweb/hd/Vision360.html?d=925300334&amp;zoomslide=1&amp;z=1925300334&amp;ISCONFIRM=0","VIDEO")</f>
        <v>VIDEO</v>
      </c>
      <c r="AA8090" s="19" t="str">
        <f>HYPERLINK("https://ssdweb.co/ssdweb/CERTH/1483487656.pdf","CERTI")</f>
        <v>CERTI</v>
      </c>
    </row>
    <row r="8091" spans="1:27" ht="15" x14ac:dyDescent="0.25">
      <c r="A8091" s="2">
        <v>8086</v>
      </c>
      <c r="B8091" s="39">
        <v>926740427</v>
      </c>
      <c r="C8091" s="28" t="str">
        <f>HYPERLINK("https://pld.live/RapDetail.aspx?STONELIST=926740427","DNA")</f>
        <v>DNA</v>
      </c>
      <c r="D8091" s="18" t="s">
        <v>711</v>
      </c>
      <c r="E8091" s="18" t="s">
        <v>5128</v>
      </c>
      <c r="F8091" s="2" t="s">
        <v>7987</v>
      </c>
      <c r="G8091" s="2" t="s">
        <v>1459</v>
      </c>
      <c r="H8091" s="14">
        <v>1.54</v>
      </c>
      <c r="I8091" s="2" t="s">
        <v>4761</v>
      </c>
      <c r="J8091" s="2" t="s">
        <v>5144</v>
      </c>
      <c r="K8091" s="2" t="s">
        <v>1452</v>
      </c>
      <c r="L8091" s="2" t="s">
        <v>5221</v>
      </c>
      <c r="M8091" s="2" t="s">
        <v>5221</v>
      </c>
      <c r="N8091" s="2" t="s">
        <v>2317</v>
      </c>
      <c r="O8091" s="14">
        <v>9300</v>
      </c>
      <c r="P8091" s="14">
        <v>98.35</v>
      </c>
      <c r="Q8091" s="14">
        <v>153.44999999999999</v>
      </c>
      <c r="R8091" s="14">
        <v>236.31</v>
      </c>
      <c r="S8091" s="2" t="s">
        <v>5091</v>
      </c>
      <c r="T8091" s="2">
        <v>1.1599999999999999</v>
      </c>
      <c r="U8091" s="2">
        <v>60.4</v>
      </c>
      <c r="V8091" s="2">
        <v>64</v>
      </c>
      <c r="W8091" s="2" t="s">
        <v>7862</v>
      </c>
      <c r="X8091" s="2" t="s">
        <v>2524</v>
      </c>
      <c r="Y8091" s="2">
        <v>14322</v>
      </c>
      <c r="Z8091" s="19" t="str">
        <f>HYPERLINK("https://ssdweb.co/ssdweb/hd/Vision360.html?d=926740427&amp;zoomslide=1&amp;z=1926740427&amp;ISCONFIRM=0","VIDEO")</f>
        <v>VIDEO</v>
      </c>
      <c r="AA8091" s="19" t="str">
        <f>HYPERLINK("https://ssdweb.co/ssdweb/CERTH/668437140.pdf","CERTI")</f>
        <v>CERTI</v>
      </c>
    </row>
    <row r="8092" spans="1:27" ht="15" x14ac:dyDescent="0.25">
      <c r="A8092" s="2">
        <v>8087</v>
      </c>
      <c r="B8092" s="39">
        <v>927050116</v>
      </c>
      <c r="C8092" s="28" t="str">
        <f>HYPERLINK("https://pld.live/RapDetail.aspx?STONELIST=927050116","DNA")</f>
        <v>DNA</v>
      </c>
      <c r="D8092" s="18" t="s">
        <v>711</v>
      </c>
      <c r="E8092" s="18" t="s">
        <v>5128</v>
      </c>
      <c r="F8092" s="2" t="s">
        <v>7987</v>
      </c>
      <c r="G8092" s="2" t="s">
        <v>1459</v>
      </c>
      <c r="H8092" s="14">
        <v>1.53</v>
      </c>
      <c r="I8092" s="2" t="s">
        <v>4761</v>
      </c>
      <c r="J8092" s="2" t="s">
        <v>13</v>
      </c>
      <c r="K8092" s="2" t="s">
        <v>1452</v>
      </c>
      <c r="L8092" s="2" t="s">
        <v>5221</v>
      </c>
      <c r="M8092" s="2" t="s">
        <v>5221</v>
      </c>
      <c r="N8092" s="2" t="s">
        <v>2317</v>
      </c>
      <c r="O8092" s="14">
        <v>10800</v>
      </c>
      <c r="P8092" s="14">
        <v>98.52</v>
      </c>
      <c r="Q8092" s="14">
        <v>159.84</v>
      </c>
      <c r="R8092" s="14">
        <v>244.56</v>
      </c>
      <c r="S8092" s="2" t="s">
        <v>7254</v>
      </c>
      <c r="T8092" s="2">
        <v>1.1599999999999999</v>
      </c>
      <c r="U8092" s="2">
        <v>66.099999999999994</v>
      </c>
      <c r="V8092" s="2">
        <v>73</v>
      </c>
      <c r="W8092" s="2" t="s">
        <v>7862</v>
      </c>
      <c r="X8092" s="2" t="s">
        <v>1234</v>
      </c>
      <c r="Y8092" s="2">
        <v>16524</v>
      </c>
      <c r="Z8092" s="19" t="str">
        <f>HYPERLINK("https://ssdweb.co/ssdweb/hd/Vision360.html?d=927050116&amp;zoomslide=1&amp;z=1927050116&amp;ISCONFIRM=0","VIDEO")</f>
        <v>VIDEO</v>
      </c>
      <c r="AA8092" s="19" t="str">
        <f>HYPERLINK("https://ssdweb.co/ssdweb/CERTH/694508429.pdf","CERTI")</f>
        <v>CERTI</v>
      </c>
    </row>
    <row r="8093" spans="1:27" ht="15" x14ac:dyDescent="0.25">
      <c r="A8093" s="2">
        <v>8088</v>
      </c>
      <c r="B8093" s="39">
        <v>926930873</v>
      </c>
      <c r="C8093" s="28" t="str">
        <f>HYPERLINK("https://pld.live/RapDetail.aspx?STONELIST=926930873","DNA")</f>
        <v>DNA</v>
      </c>
      <c r="D8093" s="18" t="s">
        <v>711</v>
      </c>
      <c r="E8093" s="18" t="s">
        <v>2186</v>
      </c>
      <c r="F8093" s="2" t="s">
        <v>7987</v>
      </c>
      <c r="G8093" s="2" t="s">
        <v>1459</v>
      </c>
      <c r="H8093" s="14">
        <v>1.53</v>
      </c>
      <c r="I8093" s="2" t="s">
        <v>4699</v>
      </c>
      <c r="J8093" s="2" t="s">
        <v>3942</v>
      </c>
      <c r="K8093" s="2" t="s">
        <v>1452</v>
      </c>
      <c r="L8093" s="2" t="s">
        <v>5221</v>
      </c>
      <c r="M8093" s="2" t="s">
        <v>5221</v>
      </c>
      <c r="N8093" s="2" t="s">
        <v>2317</v>
      </c>
      <c r="O8093" s="14">
        <v>10800</v>
      </c>
      <c r="P8093" s="14">
        <v>98.33</v>
      </c>
      <c r="Q8093" s="14">
        <v>180.36</v>
      </c>
      <c r="R8093" s="14">
        <v>275.95</v>
      </c>
      <c r="S8093" s="2" t="s">
        <v>5743</v>
      </c>
      <c r="T8093" s="2">
        <v>1.17</v>
      </c>
      <c r="U8093" s="2">
        <v>66.599999999999994</v>
      </c>
      <c r="V8093" s="2">
        <v>65</v>
      </c>
      <c r="W8093" s="2" t="s">
        <v>7862</v>
      </c>
      <c r="X8093" s="2" t="s">
        <v>1234</v>
      </c>
      <c r="Y8093" s="2">
        <v>16524</v>
      </c>
      <c r="Z8093" s="19" t="str">
        <f>HYPERLINK("https://ssdweb.co/ssdweb/hd/Vision360.html?d=926930873&amp;zoomslide=1&amp;z=1926930873&amp;ISCONFIRM=0","VIDEO")</f>
        <v>VIDEO</v>
      </c>
      <c r="AA8093" s="19" t="str">
        <f>HYPERLINK("https://ssdweb.co/ssdweb/CERTH/694508428.pdf","CERTI")</f>
        <v>CERTI</v>
      </c>
    </row>
    <row r="8094" spans="1:27" ht="15" x14ac:dyDescent="0.25">
      <c r="A8094" s="2">
        <v>8089</v>
      </c>
      <c r="B8094" s="39">
        <v>926830937</v>
      </c>
      <c r="C8094" s="28" t="str">
        <f>HYPERLINK("https://pld.live/RapDetail.aspx?STONELIST=926830937","DNA")</f>
        <v>DNA</v>
      </c>
      <c r="D8094" s="18" t="s">
        <v>711</v>
      </c>
      <c r="E8094" s="18" t="s">
        <v>5128</v>
      </c>
      <c r="F8094" s="2" t="s">
        <v>7987</v>
      </c>
      <c r="G8094" s="2" t="s">
        <v>1459</v>
      </c>
      <c r="H8094" s="14">
        <v>1.52</v>
      </c>
      <c r="I8094" s="2" t="s">
        <v>4699</v>
      </c>
      <c r="J8094" s="2" t="s">
        <v>3942</v>
      </c>
      <c r="K8094" s="2" t="s">
        <v>1452</v>
      </c>
      <c r="L8094" s="2" t="s">
        <v>5221</v>
      </c>
      <c r="M8094" s="2" t="s">
        <v>5221</v>
      </c>
      <c r="N8094" s="2" t="s">
        <v>2317</v>
      </c>
      <c r="O8094" s="14">
        <v>10800</v>
      </c>
      <c r="P8094" s="14">
        <v>98.33</v>
      </c>
      <c r="Q8094" s="14">
        <v>180.36</v>
      </c>
      <c r="R8094" s="14">
        <v>274.14999999999998</v>
      </c>
      <c r="S8094" s="2" t="s">
        <v>3231</v>
      </c>
      <c r="T8094" s="2">
        <v>1.1499999999999999</v>
      </c>
      <c r="U8094" s="2">
        <v>61.5</v>
      </c>
      <c r="V8094" s="2">
        <v>64</v>
      </c>
      <c r="W8094" s="2" t="s">
        <v>7862</v>
      </c>
      <c r="X8094" s="2" t="s">
        <v>2524</v>
      </c>
      <c r="Y8094" s="2">
        <v>16416</v>
      </c>
      <c r="Z8094" s="19" t="str">
        <f>HYPERLINK("https://ssdweb.co/ssdweb/hd/Vision360.html?d=926830937&amp;zoomslide=1&amp;z=1926830937&amp;ISCONFIRM=0","VIDEO")</f>
        <v>VIDEO</v>
      </c>
      <c r="AA8094" s="19" t="str">
        <f>HYPERLINK("https://ssdweb.co/ssdweb/CERTH/694508425.pdf","CERTI")</f>
        <v>CERTI</v>
      </c>
    </row>
    <row r="8095" spans="1:27" ht="15" x14ac:dyDescent="0.25">
      <c r="A8095" s="2">
        <v>8090</v>
      </c>
      <c r="B8095" s="39">
        <v>927152828</v>
      </c>
      <c r="C8095" s="28" t="str">
        <f>HYPERLINK("https://pld.live/RapDetail.aspx?STONELIST=927152828","DNA")</f>
        <v>DNA</v>
      </c>
      <c r="D8095" s="18" t="s">
        <v>711</v>
      </c>
      <c r="E8095" s="18" t="s">
        <v>5128</v>
      </c>
      <c r="F8095" s="2" t="s">
        <v>7987</v>
      </c>
      <c r="G8095" s="2" t="s">
        <v>1459</v>
      </c>
      <c r="H8095" s="14">
        <v>1.52</v>
      </c>
      <c r="I8095" s="2" t="s">
        <v>4699</v>
      </c>
      <c r="J8095" s="2" t="s">
        <v>3942</v>
      </c>
      <c r="K8095" s="2" t="s">
        <v>1452</v>
      </c>
      <c r="L8095" s="2" t="s">
        <v>5221</v>
      </c>
      <c r="M8095" s="2" t="s">
        <v>5221</v>
      </c>
      <c r="N8095" s="2" t="s">
        <v>2317</v>
      </c>
      <c r="O8095" s="14">
        <v>10800</v>
      </c>
      <c r="P8095" s="14">
        <v>98.33</v>
      </c>
      <c r="Q8095" s="14">
        <v>180.36</v>
      </c>
      <c r="R8095" s="14">
        <v>274.14999999999998</v>
      </c>
      <c r="S8095" s="2" t="s">
        <v>2145</v>
      </c>
      <c r="T8095" s="2">
        <v>1.1599999999999999</v>
      </c>
      <c r="U8095" s="2">
        <v>59.8</v>
      </c>
      <c r="V8095" s="2">
        <v>65</v>
      </c>
      <c r="W8095" s="2" t="s">
        <v>7862</v>
      </c>
      <c r="X8095" s="2" t="s">
        <v>2524</v>
      </c>
      <c r="Y8095" s="2">
        <v>16416</v>
      </c>
      <c r="Z8095" s="19" t="str">
        <f>HYPERLINK("https://ssdweb.co/ssdweb/hd/Vision360.html?d=927152828&amp;zoomslide=1&amp;z=1927152828&amp;ISCONFIRM=0","VIDEO")</f>
        <v>VIDEO</v>
      </c>
      <c r="AA8095" s="19" t="str">
        <f>HYPERLINK("https://ssdweb.co/ssdweb/CERTH/675504666.pdf","CERTI")</f>
        <v>CERTI</v>
      </c>
    </row>
    <row r="8096" spans="1:27" ht="15" x14ac:dyDescent="0.25">
      <c r="A8096" s="2">
        <v>8091</v>
      </c>
      <c r="B8096" s="39">
        <v>926740652</v>
      </c>
      <c r="C8096" s="28" t="str">
        <f>HYPERLINK("https://pld.live/RapDetail.aspx?STONELIST=926740652","DNA")</f>
        <v>DNA</v>
      </c>
      <c r="D8096" s="18" t="s">
        <v>711</v>
      </c>
      <c r="E8096" s="18" t="s">
        <v>5128</v>
      </c>
      <c r="F8096" s="2" t="s">
        <v>7987</v>
      </c>
      <c r="G8096" s="2" t="s">
        <v>1459</v>
      </c>
      <c r="H8096" s="14">
        <v>1.51</v>
      </c>
      <c r="I8096" s="2" t="s">
        <v>4761</v>
      </c>
      <c r="J8096" s="2" t="s">
        <v>6555</v>
      </c>
      <c r="K8096" s="2" t="s">
        <v>1452</v>
      </c>
      <c r="L8096" s="2" t="s">
        <v>5221</v>
      </c>
      <c r="M8096" s="2" t="s">
        <v>5221</v>
      </c>
      <c r="N8096" s="2" t="s">
        <v>2317</v>
      </c>
      <c r="O8096" s="14">
        <v>12400</v>
      </c>
      <c r="P8096" s="14">
        <v>98.23</v>
      </c>
      <c r="Q8096" s="14">
        <v>219.48</v>
      </c>
      <c r="R8096" s="14">
        <v>331.41</v>
      </c>
      <c r="S8096" s="2" t="s">
        <v>6768</v>
      </c>
      <c r="T8096" s="2">
        <v>1.1499999999999999</v>
      </c>
      <c r="U8096" s="2">
        <v>59.8</v>
      </c>
      <c r="V8096" s="2">
        <v>67</v>
      </c>
      <c r="W8096" s="2" t="s">
        <v>7862</v>
      </c>
      <c r="X8096" s="2" t="s">
        <v>2524</v>
      </c>
      <c r="Y8096" s="2">
        <v>18724</v>
      </c>
      <c r="Z8096" s="19" t="str">
        <f>HYPERLINK("https://ssdweb.co/ssdweb/hd/Vision360.html?d=926740652&amp;zoomslide=1&amp;z=1926740652&amp;ISCONFIRM=0","VIDEO")</f>
        <v>VIDEO</v>
      </c>
      <c r="AA8096" s="19" t="str">
        <f>HYPERLINK("https://ssdweb.co/ssdweb/CERTH/668437141.pdf","CERTI")</f>
        <v>CERTI</v>
      </c>
    </row>
    <row r="8097" spans="1:27" ht="15" x14ac:dyDescent="0.25">
      <c r="A8097" s="2">
        <v>8092</v>
      </c>
      <c r="B8097" s="39">
        <v>927132323</v>
      </c>
      <c r="C8097" s="28" t="str">
        <f>HYPERLINK("https://pld.live/RapDetail.aspx?STONELIST=927132323","DNA")</f>
        <v>DNA</v>
      </c>
      <c r="D8097" s="18" t="s">
        <v>711</v>
      </c>
      <c r="E8097" s="18" t="s">
        <v>5128</v>
      </c>
      <c r="F8097" s="2" t="s">
        <v>7987</v>
      </c>
      <c r="G8097" s="2" t="s">
        <v>1459</v>
      </c>
      <c r="H8097" s="14">
        <v>1.51</v>
      </c>
      <c r="I8097" s="2" t="s">
        <v>4761</v>
      </c>
      <c r="J8097" s="2" t="s">
        <v>13</v>
      </c>
      <c r="K8097" s="2" t="s">
        <v>1452</v>
      </c>
      <c r="L8097" s="2" t="s">
        <v>5221</v>
      </c>
      <c r="M8097" s="2" t="s">
        <v>5221</v>
      </c>
      <c r="N8097" s="2" t="s">
        <v>2317</v>
      </c>
      <c r="O8097" s="14">
        <v>10800</v>
      </c>
      <c r="P8097" s="14">
        <v>98.52</v>
      </c>
      <c r="Q8097" s="14">
        <v>159.84</v>
      </c>
      <c r="R8097" s="14">
        <v>241.36</v>
      </c>
      <c r="S8097" s="2" t="s">
        <v>6138</v>
      </c>
      <c r="T8097" s="2">
        <v>1.1499999999999999</v>
      </c>
      <c r="U8097" s="2">
        <v>66.5</v>
      </c>
      <c r="V8097" s="2">
        <v>69</v>
      </c>
      <c r="W8097" s="2" t="s">
        <v>7862</v>
      </c>
      <c r="X8097" s="2" t="s">
        <v>2524</v>
      </c>
      <c r="Y8097" s="2">
        <v>16308</v>
      </c>
      <c r="Z8097" s="19" t="str">
        <f>HYPERLINK("https://ssdweb.co/ssdweb/hd/Vision360.html?d=927132323&amp;zoomslide=1&amp;z=1927132323&amp;ISCONFIRM=0","VIDEO")</f>
        <v>VIDEO</v>
      </c>
      <c r="AA8097" s="19" t="str">
        <f>HYPERLINK("https://ssdweb.co/ssdweb/CERTH/694508430.pdf","CERTI")</f>
        <v>CERTI</v>
      </c>
    </row>
    <row r="8098" spans="1:27" ht="15" x14ac:dyDescent="0.25">
      <c r="A8098" s="2">
        <v>8093</v>
      </c>
      <c r="B8098" s="39">
        <v>925621945</v>
      </c>
      <c r="C8098" s="28" t="str">
        <f>HYPERLINK("https://pld.live/RapDetail.aspx?STONELIST=925621945","DNA")</f>
        <v>DNA</v>
      </c>
      <c r="D8098" s="18" t="s">
        <v>3054</v>
      </c>
      <c r="E8098" s="18" t="s">
        <v>5128</v>
      </c>
      <c r="F8098" s="2" t="s">
        <v>7987</v>
      </c>
      <c r="G8098" s="2" t="s">
        <v>1459</v>
      </c>
      <c r="H8098" s="14">
        <v>1.1100000000000001</v>
      </c>
      <c r="I8098" s="2" t="s">
        <v>267</v>
      </c>
      <c r="J8098" s="2" t="s">
        <v>6555</v>
      </c>
      <c r="K8098" s="2" t="s">
        <v>1452</v>
      </c>
      <c r="L8098" s="2" t="s">
        <v>5221</v>
      </c>
      <c r="M8098" s="2" t="s">
        <v>5221</v>
      </c>
      <c r="N8098" s="2" t="s">
        <v>2317</v>
      </c>
      <c r="O8098" s="14">
        <v>8200</v>
      </c>
      <c r="P8098" s="14">
        <v>97.68</v>
      </c>
      <c r="Q8098" s="14">
        <v>190.24</v>
      </c>
      <c r="R8098" s="14">
        <v>211.17</v>
      </c>
      <c r="S8098" s="2" t="s">
        <v>1636</v>
      </c>
      <c r="T8098" s="2">
        <v>1.1599999999999999</v>
      </c>
      <c r="U8098" s="2">
        <v>63.1</v>
      </c>
      <c r="V8098" s="2">
        <v>63</v>
      </c>
      <c r="W8098" s="2" t="s">
        <v>7862</v>
      </c>
      <c r="X8098" s="2" t="s">
        <v>2524</v>
      </c>
      <c r="Y8098" s="2">
        <v>9102</v>
      </c>
      <c r="Z8098" s="19" t="str">
        <f>HYPERLINK("https://ssdweb.co/ssdweb/hd/Vision360.html?d=925621945&amp;zoomslide=1&amp;z=1925621945&amp;ISCONFIRM=0","VIDEO")</f>
        <v>VIDEO</v>
      </c>
      <c r="AA8098" s="19" t="str">
        <f>HYPERLINK("https://ssdweb.co/ssdweb/CERTH/623449361.pdf","CERTI")</f>
        <v>CERTI</v>
      </c>
    </row>
    <row r="8099" spans="1:27" ht="15" x14ac:dyDescent="0.25">
      <c r="A8099" s="2">
        <v>8094</v>
      </c>
      <c r="B8099" s="39">
        <v>925621948</v>
      </c>
      <c r="C8099" s="28" t="str">
        <f>HYPERLINK("https://pld.live/RapDetail.aspx?STONELIST=925621948","DNA")</f>
        <v>DNA</v>
      </c>
      <c r="D8099" s="18" t="s">
        <v>3054</v>
      </c>
      <c r="E8099" s="18" t="s">
        <v>5128</v>
      </c>
      <c r="F8099" s="2" t="s">
        <v>7987</v>
      </c>
      <c r="G8099" s="2" t="s">
        <v>1459</v>
      </c>
      <c r="H8099" s="14">
        <v>1.1100000000000001</v>
      </c>
      <c r="I8099" s="2" t="s">
        <v>267</v>
      </c>
      <c r="J8099" s="2" t="s">
        <v>3942</v>
      </c>
      <c r="K8099" s="2" t="s">
        <v>1452</v>
      </c>
      <c r="L8099" s="2" t="s">
        <v>5221</v>
      </c>
      <c r="M8099" s="2" t="s">
        <v>5221</v>
      </c>
      <c r="N8099" s="2" t="s">
        <v>2317</v>
      </c>
      <c r="O8099" s="14">
        <v>7600</v>
      </c>
      <c r="P8099" s="14">
        <v>97.88</v>
      </c>
      <c r="Q8099" s="14">
        <v>161.12</v>
      </c>
      <c r="R8099" s="14">
        <v>178.84</v>
      </c>
      <c r="S8099" s="2" t="s">
        <v>2306</v>
      </c>
      <c r="T8099" s="2">
        <v>1.1599999999999999</v>
      </c>
      <c r="U8099" s="2">
        <v>56.9</v>
      </c>
      <c r="V8099" s="2">
        <v>60</v>
      </c>
      <c r="W8099" s="2" t="s">
        <v>7862</v>
      </c>
      <c r="X8099" s="2" t="s">
        <v>2524</v>
      </c>
      <c r="Y8099" s="2">
        <v>8436</v>
      </c>
      <c r="Z8099" s="19" t="str">
        <f>HYPERLINK("https://ssdweb.co/ssdweb/hd/Vision360.html?d=925621948&amp;zoomslide=1&amp;z=1925621948&amp;ISCONFIRM=0","VIDEO")</f>
        <v>VIDEO</v>
      </c>
      <c r="AA8099" s="19" t="str">
        <f>HYPERLINK("https://ssdweb.co/ssdweb/CERTH/623446093.pdf","CERTI")</f>
        <v>CERTI</v>
      </c>
    </row>
    <row r="8100" spans="1:27" ht="15" x14ac:dyDescent="0.25">
      <c r="A8100" s="2">
        <v>8095</v>
      </c>
      <c r="B8100" s="39">
        <v>925621951</v>
      </c>
      <c r="C8100" s="28" t="str">
        <f>HYPERLINK("https://pld.live/RapDetail.aspx?STONELIST=925621951","DNA")</f>
        <v>DNA</v>
      </c>
      <c r="D8100" s="18" t="s">
        <v>3054</v>
      </c>
      <c r="E8100" s="18" t="s">
        <v>5128</v>
      </c>
      <c r="F8100" s="2" t="s">
        <v>7987</v>
      </c>
      <c r="G8100" s="2" t="s">
        <v>1459</v>
      </c>
      <c r="H8100" s="14">
        <v>1.1100000000000001</v>
      </c>
      <c r="I8100" s="2" t="s">
        <v>4699</v>
      </c>
      <c r="J8100" s="2" t="s">
        <v>3942</v>
      </c>
      <c r="K8100" s="2" t="s">
        <v>1452</v>
      </c>
      <c r="L8100" s="2" t="s">
        <v>5221</v>
      </c>
      <c r="M8100" s="2" t="s">
        <v>5221</v>
      </c>
      <c r="N8100" s="2" t="s">
        <v>2317</v>
      </c>
      <c r="O8100" s="14">
        <v>6400</v>
      </c>
      <c r="P8100" s="14">
        <v>97.63</v>
      </c>
      <c r="Q8100" s="14">
        <v>151.68</v>
      </c>
      <c r="R8100" s="14">
        <v>168.36</v>
      </c>
      <c r="S8100" s="2" t="s">
        <v>3142</v>
      </c>
      <c r="T8100" s="2">
        <v>0.86</v>
      </c>
      <c r="U8100" s="2">
        <v>55.1</v>
      </c>
      <c r="V8100" s="2">
        <v>67</v>
      </c>
      <c r="W8100" s="2" t="s">
        <v>4336</v>
      </c>
      <c r="X8100" s="2" t="s">
        <v>2524</v>
      </c>
      <c r="Y8100" s="2">
        <v>7104</v>
      </c>
      <c r="Z8100" s="19" t="str">
        <f>HYPERLINK("https://ssdweb.co/ssdweb/hd/Vision360.html?d=925621951&amp;zoomslide=1&amp;z=1925621951&amp;ISCONFIRM=0","VIDEO")</f>
        <v>VIDEO</v>
      </c>
      <c r="AA8100" s="19" t="str">
        <f>HYPERLINK("https://ssdweb.co/ssdweb/CERTH/623446096.pdf","CERTI")</f>
        <v>CERTI</v>
      </c>
    </row>
    <row r="8101" spans="1:27" ht="15" x14ac:dyDescent="0.25">
      <c r="A8101" s="2">
        <v>8096</v>
      </c>
      <c r="B8101" s="39">
        <v>925621778</v>
      </c>
      <c r="C8101" s="28" t="str">
        <f>HYPERLINK("https://pld.live/RapDetail.aspx?STONELIST=925621778","DNA")</f>
        <v>DNA</v>
      </c>
      <c r="D8101" s="18" t="s">
        <v>3054</v>
      </c>
      <c r="E8101" s="18" t="s">
        <v>5128</v>
      </c>
      <c r="F8101" s="2" t="s">
        <v>7987</v>
      </c>
      <c r="G8101" s="2" t="s">
        <v>1459</v>
      </c>
      <c r="H8101" s="14">
        <v>1.1000000000000001</v>
      </c>
      <c r="I8101" s="2" t="s">
        <v>267</v>
      </c>
      <c r="J8101" s="2" t="s">
        <v>6555</v>
      </c>
      <c r="K8101" s="2" t="s">
        <v>1452</v>
      </c>
      <c r="L8101" s="2" t="s">
        <v>5221</v>
      </c>
      <c r="M8101" s="2" t="s">
        <v>5221</v>
      </c>
      <c r="N8101" s="2" t="s">
        <v>2317</v>
      </c>
      <c r="O8101" s="14">
        <v>8200</v>
      </c>
      <c r="P8101" s="14">
        <v>97.68</v>
      </c>
      <c r="Q8101" s="14">
        <v>190.24</v>
      </c>
      <c r="R8101" s="14">
        <v>209.26</v>
      </c>
      <c r="S8101" s="2" t="s">
        <v>4437</v>
      </c>
      <c r="T8101" s="2">
        <v>1.18</v>
      </c>
      <c r="U8101" s="2">
        <v>61.5</v>
      </c>
      <c r="V8101" s="2">
        <v>65</v>
      </c>
      <c r="W8101" s="2" t="s">
        <v>7862</v>
      </c>
      <c r="X8101" s="2" t="s">
        <v>2524</v>
      </c>
      <c r="Y8101" s="2">
        <v>9020</v>
      </c>
      <c r="Z8101" s="19" t="str">
        <f>HYPERLINK("https://ssdweb.co/ssdweb/hd/Vision360.html?d=925621778&amp;zoomslide=1&amp;z=1925621778&amp;ISCONFIRM=0","VIDEO")</f>
        <v>VIDEO</v>
      </c>
      <c r="AA8101" s="19" t="str">
        <f>HYPERLINK("https://ssdweb.co/ssdweb/CERTH/621420354.pdf","CERTI")</f>
        <v>CERTI</v>
      </c>
    </row>
    <row r="8102" spans="1:27" ht="15" x14ac:dyDescent="0.25">
      <c r="A8102" s="2">
        <v>8097</v>
      </c>
      <c r="B8102" s="39">
        <v>925621925</v>
      </c>
      <c r="C8102" s="28" t="str">
        <f>HYPERLINK("https://pld.live/RapDetail.aspx?STONELIST=925621925","DNA")</f>
        <v>DNA</v>
      </c>
      <c r="D8102" s="18" t="s">
        <v>3054</v>
      </c>
      <c r="E8102" s="18" t="s">
        <v>5128</v>
      </c>
      <c r="F8102" s="2" t="s">
        <v>7987</v>
      </c>
      <c r="G8102" s="2" t="s">
        <v>1459</v>
      </c>
      <c r="H8102" s="14">
        <v>1.1000000000000001</v>
      </c>
      <c r="I8102" s="2" t="s">
        <v>267</v>
      </c>
      <c r="J8102" s="2" t="s">
        <v>6555</v>
      </c>
      <c r="K8102" s="2" t="s">
        <v>1452</v>
      </c>
      <c r="L8102" s="2" t="s">
        <v>5221</v>
      </c>
      <c r="M8102" s="2" t="s">
        <v>5221</v>
      </c>
      <c r="N8102" s="2" t="s">
        <v>2317</v>
      </c>
      <c r="O8102" s="14">
        <v>8200</v>
      </c>
      <c r="P8102" s="14">
        <v>97.68</v>
      </c>
      <c r="Q8102" s="14">
        <v>190.24</v>
      </c>
      <c r="R8102" s="14">
        <v>209.26</v>
      </c>
      <c r="S8102" s="2" t="s">
        <v>4917</v>
      </c>
      <c r="T8102" s="2">
        <v>1.1499999999999999</v>
      </c>
      <c r="U8102" s="2">
        <v>60.1</v>
      </c>
      <c r="V8102" s="2">
        <v>75</v>
      </c>
      <c r="W8102" s="2" t="s">
        <v>7862</v>
      </c>
      <c r="X8102" s="2" t="s">
        <v>2524</v>
      </c>
      <c r="Y8102" s="2">
        <v>9020</v>
      </c>
      <c r="Z8102" s="19" t="str">
        <f>HYPERLINK("https://ssdweb.co/ssdweb/hd/Vision360.html?d=925621925&amp;zoomslide=1&amp;z=1925621925&amp;ISCONFIRM=0","VIDEO")</f>
        <v>VIDEO</v>
      </c>
      <c r="AA8102" s="19" t="str">
        <f>HYPERLINK("https://ssdweb.co/ssdweb/CERTH/623412590.pdf","CERTI")</f>
        <v>CERTI</v>
      </c>
    </row>
    <row r="8103" spans="1:27" ht="15" x14ac:dyDescent="0.25">
      <c r="A8103" s="2">
        <v>8098</v>
      </c>
      <c r="B8103" s="39">
        <v>925721529</v>
      </c>
      <c r="C8103" s="28" t="str">
        <f>HYPERLINK("https://pld.live/RapDetail.aspx?STONELIST=925721529","DNA")</f>
        <v>DNA</v>
      </c>
      <c r="D8103" s="18" t="s">
        <v>3054</v>
      </c>
      <c r="E8103" s="18" t="s">
        <v>5128</v>
      </c>
      <c r="F8103" s="2" t="s">
        <v>7987</v>
      </c>
      <c r="G8103" s="2" t="s">
        <v>1459</v>
      </c>
      <c r="H8103" s="14">
        <v>1.1000000000000001</v>
      </c>
      <c r="I8103" s="2" t="s">
        <v>267</v>
      </c>
      <c r="J8103" s="2" t="s">
        <v>3942</v>
      </c>
      <c r="K8103" s="2" t="s">
        <v>1452</v>
      </c>
      <c r="L8103" s="2" t="s">
        <v>5221</v>
      </c>
      <c r="M8103" s="2" t="s">
        <v>5221</v>
      </c>
      <c r="N8103" s="2" t="s">
        <v>2317</v>
      </c>
      <c r="O8103" s="14">
        <v>7600</v>
      </c>
      <c r="P8103" s="14">
        <v>97.88</v>
      </c>
      <c r="Q8103" s="14">
        <v>161.12</v>
      </c>
      <c r="R8103" s="14">
        <v>177.23</v>
      </c>
      <c r="S8103" s="2" t="s">
        <v>4876</v>
      </c>
      <c r="T8103" s="2">
        <v>0.87</v>
      </c>
      <c r="U8103" s="2">
        <v>56.6</v>
      </c>
      <c r="V8103" s="2">
        <v>68</v>
      </c>
      <c r="W8103" s="2" t="s">
        <v>7862</v>
      </c>
      <c r="X8103" s="2" t="s">
        <v>2524</v>
      </c>
      <c r="Y8103" s="2">
        <v>8360</v>
      </c>
      <c r="Z8103" s="19" t="str">
        <f>HYPERLINK("https://ssdweb.co/ssdweb/hd/Vision360.html?d=925721529&amp;zoomslide=1&amp;z=1925721529&amp;ISCONFIRM=0","VIDEO")</f>
        <v>VIDEO</v>
      </c>
      <c r="AA8103" s="19" t="str">
        <f>HYPERLINK("https://ssdweb.co/ssdweb/CERTH/623446173.pdf","CERTI")</f>
        <v>CERTI</v>
      </c>
    </row>
    <row r="8104" spans="1:27" ht="15" x14ac:dyDescent="0.25">
      <c r="A8104" s="2">
        <v>8099</v>
      </c>
      <c r="B8104" s="39">
        <v>926020774</v>
      </c>
      <c r="C8104" s="28" t="str">
        <f>HYPERLINK("https://pld.live/RapDetail.aspx?STONELIST=926020774","DNA")</f>
        <v>DNA</v>
      </c>
      <c r="D8104" s="18" t="s">
        <v>3054</v>
      </c>
      <c r="E8104" s="18" t="s">
        <v>5128</v>
      </c>
      <c r="F8104" s="2" t="s">
        <v>7987</v>
      </c>
      <c r="G8104" s="2" t="s">
        <v>1459</v>
      </c>
      <c r="H8104" s="14">
        <v>1.1000000000000001</v>
      </c>
      <c r="I8104" s="2" t="s">
        <v>267</v>
      </c>
      <c r="J8104" s="2" t="s">
        <v>3942</v>
      </c>
      <c r="K8104" s="2" t="s">
        <v>1452</v>
      </c>
      <c r="L8104" s="2" t="s">
        <v>5221</v>
      </c>
      <c r="M8104" s="2" t="s">
        <v>5221</v>
      </c>
      <c r="N8104" s="2" t="s">
        <v>2317</v>
      </c>
      <c r="O8104" s="14">
        <v>7600</v>
      </c>
      <c r="P8104" s="14">
        <v>97.88</v>
      </c>
      <c r="Q8104" s="14">
        <v>161.12</v>
      </c>
      <c r="R8104" s="14">
        <v>177.23</v>
      </c>
      <c r="S8104" s="2" t="s">
        <v>7922</v>
      </c>
      <c r="T8104" s="2">
        <v>1.1599999999999999</v>
      </c>
      <c r="U8104" s="2">
        <v>56.9</v>
      </c>
      <c r="V8104" s="2">
        <v>66</v>
      </c>
      <c r="W8104" s="2" t="s">
        <v>7862</v>
      </c>
      <c r="X8104" s="2" t="s">
        <v>2524</v>
      </c>
      <c r="Y8104" s="2">
        <v>8360</v>
      </c>
      <c r="Z8104" s="19" t="str">
        <f>HYPERLINK("https://ssdweb.co/ssdweb/hd/Vision360.html?d=926020774&amp;zoomslide=1&amp;z=1926020774&amp;ISCONFIRM=0","VIDEO")</f>
        <v>VIDEO</v>
      </c>
      <c r="AA8104" s="19" t="str">
        <f>HYPERLINK("https://ssdweb.co/ssdweb/CERTH/631404571.pdf","CERTI")</f>
        <v>CERTI</v>
      </c>
    </row>
    <row r="8105" spans="1:27" ht="15" x14ac:dyDescent="0.25">
      <c r="A8105" s="2">
        <v>8100</v>
      </c>
      <c r="B8105" s="39">
        <v>925621741</v>
      </c>
      <c r="C8105" s="28" t="str">
        <f>HYPERLINK("https://pld.live/RapDetail.aspx?STONELIST=925621741","DNA")</f>
        <v>DNA</v>
      </c>
      <c r="D8105" s="18" t="s">
        <v>3054</v>
      </c>
      <c r="E8105" s="18" t="s">
        <v>5128</v>
      </c>
      <c r="F8105" s="2" t="s">
        <v>7987</v>
      </c>
      <c r="G8105" s="2" t="s">
        <v>1459</v>
      </c>
      <c r="H8105" s="14">
        <v>1.1000000000000001</v>
      </c>
      <c r="I8105" s="2" t="s">
        <v>267</v>
      </c>
      <c r="J8105" s="2" t="s">
        <v>13</v>
      </c>
      <c r="K8105" s="2" t="s">
        <v>1452</v>
      </c>
      <c r="L8105" s="2" t="s">
        <v>5221</v>
      </c>
      <c r="M8105" s="2" t="s">
        <v>5221</v>
      </c>
      <c r="N8105" s="2" t="s">
        <v>2317</v>
      </c>
      <c r="O8105" s="14">
        <v>6700</v>
      </c>
      <c r="P8105" s="14">
        <v>97.73</v>
      </c>
      <c r="Q8105" s="14">
        <v>152.09</v>
      </c>
      <c r="R8105" s="14">
        <v>167.3</v>
      </c>
      <c r="S8105" s="2" t="s">
        <v>2327</v>
      </c>
      <c r="T8105" s="2">
        <v>1.1499999999999999</v>
      </c>
      <c r="U8105" s="2">
        <v>58.9</v>
      </c>
      <c r="V8105" s="2">
        <v>63</v>
      </c>
      <c r="W8105" s="2" t="s">
        <v>7862</v>
      </c>
      <c r="X8105" s="2" t="s">
        <v>2524</v>
      </c>
      <c r="Y8105" s="2">
        <v>7370</v>
      </c>
      <c r="Z8105" s="19" t="str">
        <f>HYPERLINK("https://ssdweb.co/ssdweb/hd/Vision360.html?d=925621741&amp;zoomslide=1&amp;z=1925621741&amp;ISCONFIRM=0","VIDEO")</f>
        <v>VIDEO</v>
      </c>
      <c r="AA8105" s="19" t="str">
        <f>HYPERLINK("https://ssdweb.co/ssdweb/CERTH/621496753.pdf","CERTI")</f>
        <v>CERTI</v>
      </c>
    </row>
    <row r="8106" spans="1:27" ht="15" x14ac:dyDescent="0.25">
      <c r="A8106" s="2">
        <v>8101</v>
      </c>
      <c r="B8106" s="39">
        <v>925721727</v>
      </c>
      <c r="C8106" s="28" t="str">
        <f>HYPERLINK("https://pld.live/RapDetail.aspx?STONELIST=925721727","DNA")</f>
        <v>DNA</v>
      </c>
      <c r="D8106" s="18" t="s">
        <v>3054</v>
      </c>
      <c r="E8106" s="18" t="s">
        <v>5128</v>
      </c>
      <c r="F8106" s="2" t="s">
        <v>7987</v>
      </c>
      <c r="G8106" s="2" t="s">
        <v>1459</v>
      </c>
      <c r="H8106" s="14">
        <v>1.1000000000000001</v>
      </c>
      <c r="I8106" s="2" t="s">
        <v>267</v>
      </c>
      <c r="J8106" s="2" t="s">
        <v>13</v>
      </c>
      <c r="K8106" s="2" t="s">
        <v>1452</v>
      </c>
      <c r="L8106" s="2" t="s">
        <v>5221</v>
      </c>
      <c r="M8106" s="2" t="s">
        <v>5221</v>
      </c>
      <c r="N8106" s="2" t="s">
        <v>2317</v>
      </c>
      <c r="O8106" s="14">
        <v>6700</v>
      </c>
      <c r="P8106" s="14">
        <v>97.73</v>
      </c>
      <c r="Q8106" s="14">
        <v>152.09</v>
      </c>
      <c r="R8106" s="14">
        <v>167.3</v>
      </c>
      <c r="S8106" s="2" t="s">
        <v>5681</v>
      </c>
      <c r="T8106" s="2">
        <v>0.86</v>
      </c>
      <c r="U8106" s="2">
        <v>52.1</v>
      </c>
      <c r="V8106" s="2">
        <v>65</v>
      </c>
      <c r="W8106" s="2" t="s">
        <v>7862</v>
      </c>
      <c r="X8106" s="2" t="s">
        <v>2524</v>
      </c>
      <c r="Y8106" s="2">
        <v>7370</v>
      </c>
      <c r="Z8106" s="19" t="str">
        <f>HYPERLINK("https://ssdweb.co/ssdweb/hd/Vision360.html?d=925721727&amp;zoomslide=1&amp;z=1925721727&amp;ISCONFIRM=0","VIDEO")</f>
        <v>VIDEO</v>
      </c>
      <c r="AA8106" s="19" t="str">
        <f>HYPERLINK("https://ssdweb.co/ssdweb/CERTH/623493334.pdf","CERTI")</f>
        <v>CERTI</v>
      </c>
    </row>
    <row r="8107" spans="1:27" ht="15" x14ac:dyDescent="0.25">
      <c r="A8107" s="2">
        <v>8102</v>
      </c>
      <c r="B8107" s="39">
        <v>831010657</v>
      </c>
      <c r="C8107" s="28" t="str">
        <f>HYPERLINK("https://pld.live/RapDetail.aspx?STONELIST=831010657","DNA")</f>
        <v>DNA</v>
      </c>
      <c r="D8107" s="18" t="s">
        <v>3054</v>
      </c>
      <c r="E8107" s="18" t="s">
        <v>5128</v>
      </c>
      <c r="F8107" s="2" t="s">
        <v>7987</v>
      </c>
      <c r="G8107" s="2" t="s">
        <v>1459</v>
      </c>
      <c r="H8107" s="14">
        <v>1.1000000000000001</v>
      </c>
      <c r="I8107" s="2" t="s">
        <v>4761</v>
      </c>
      <c r="J8107" s="2" t="s">
        <v>3942</v>
      </c>
      <c r="K8107" s="2" t="s">
        <v>1452</v>
      </c>
      <c r="L8107" s="2" t="s">
        <v>5221</v>
      </c>
      <c r="M8107" s="2" t="s">
        <v>5221</v>
      </c>
      <c r="N8107" s="2" t="s">
        <v>2317</v>
      </c>
      <c r="O8107" s="14">
        <v>6900</v>
      </c>
      <c r="P8107" s="14">
        <v>97.71</v>
      </c>
      <c r="Q8107" s="14">
        <v>158.01</v>
      </c>
      <c r="R8107" s="14">
        <v>173.81</v>
      </c>
      <c r="S8107" s="2" t="s">
        <v>5220</v>
      </c>
      <c r="T8107" s="2">
        <v>1.1499999999999999</v>
      </c>
      <c r="U8107" s="2">
        <v>57.2</v>
      </c>
      <c r="V8107" s="2">
        <v>67</v>
      </c>
      <c r="W8107" s="2" t="s">
        <v>7862</v>
      </c>
      <c r="X8107" s="2" t="s">
        <v>2524</v>
      </c>
      <c r="Y8107" s="2">
        <v>7590</v>
      </c>
      <c r="Z8107" s="19" t="str">
        <f>HYPERLINK("https://ssdweb.co/ssdweb/hd/Vision360.html?d=831010657&amp;zoomslide=1&amp;z=1831010657&amp;ISCONFIRM=0","VIDEO")</f>
        <v>VIDEO</v>
      </c>
      <c r="AA8107" s="19" t="str">
        <f>HYPERLINK("https://ssdweb.co/ssdweb/CERTH/621420356.pdf","CERTI")</f>
        <v>CERTI</v>
      </c>
    </row>
    <row r="8108" spans="1:27" ht="15" x14ac:dyDescent="0.25">
      <c r="A8108" s="2">
        <v>8103</v>
      </c>
      <c r="B8108" s="39">
        <v>925621655</v>
      </c>
      <c r="C8108" s="28" t="str">
        <f>HYPERLINK("https://pld.live/RapDetail.aspx?STONELIST=925621655","DNA")</f>
        <v>DNA</v>
      </c>
      <c r="D8108" s="18" t="s">
        <v>3054</v>
      </c>
      <c r="E8108" s="18" t="s">
        <v>5128</v>
      </c>
      <c r="F8108" s="2" t="s">
        <v>7987</v>
      </c>
      <c r="G8108" s="2" t="s">
        <v>1459</v>
      </c>
      <c r="H8108" s="14">
        <v>1.1000000000000001</v>
      </c>
      <c r="I8108" s="2" t="s">
        <v>4761</v>
      </c>
      <c r="J8108" s="2" t="s">
        <v>3942</v>
      </c>
      <c r="K8108" s="2" t="s">
        <v>1452</v>
      </c>
      <c r="L8108" s="2" t="s">
        <v>5221</v>
      </c>
      <c r="M8108" s="2" t="s">
        <v>5221</v>
      </c>
      <c r="N8108" s="2" t="s">
        <v>2317</v>
      </c>
      <c r="O8108" s="14">
        <v>6900</v>
      </c>
      <c r="P8108" s="14">
        <v>97.71</v>
      </c>
      <c r="Q8108" s="14">
        <v>158.01</v>
      </c>
      <c r="R8108" s="14">
        <v>173.81</v>
      </c>
      <c r="S8108" s="2" t="s">
        <v>7100</v>
      </c>
      <c r="T8108" s="2">
        <v>1.1499999999999999</v>
      </c>
      <c r="U8108" s="2">
        <v>62.5</v>
      </c>
      <c r="V8108" s="2">
        <v>66</v>
      </c>
      <c r="W8108" s="2" t="s">
        <v>7862</v>
      </c>
      <c r="X8108" s="2" t="s">
        <v>2524</v>
      </c>
      <c r="Y8108" s="2">
        <v>7590</v>
      </c>
      <c r="Z8108" s="19" t="str">
        <f>HYPERLINK("https://ssdweb.co/ssdweb/hd/Vision360.html?d=925621655&amp;zoomslide=1&amp;z=1925621655&amp;ISCONFIRM=0","VIDEO")</f>
        <v>VIDEO</v>
      </c>
      <c r="AA8108" s="19" t="str">
        <f>HYPERLINK("https://ssdweb.co/ssdweb/CERTH/621475750.pdf","CERTI")</f>
        <v>CERTI</v>
      </c>
    </row>
    <row r="8109" spans="1:27" ht="15" x14ac:dyDescent="0.25">
      <c r="A8109" s="2">
        <v>8104</v>
      </c>
      <c r="B8109" s="39">
        <v>925721789</v>
      </c>
      <c r="C8109" s="28" t="str">
        <f>HYPERLINK("https://pld.live/RapDetail.aspx?STONELIST=925721789","DNA")</f>
        <v>DNA</v>
      </c>
      <c r="D8109" s="18" t="s">
        <v>3054</v>
      </c>
      <c r="E8109" s="18" t="s">
        <v>5128</v>
      </c>
      <c r="F8109" s="2" t="s">
        <v>7987</v>
      </c>
      <c r="G8109" s="2" t="s">
        <v>1459</v>
      </c>
      <c r="H8109" s="14">
        <v>1.0900000000000001</v>
      </c>
      <c r="I8109" s="2" t="s">
        <v>267</v>
      </c>
      <c r="J8109" s="2" t="s">
        <v>6555</v>
      </c>
      <c r="K8109" s="2" t="s">
        <v>1452</v>
      </c>
      <c r="L8109" s="2" t="s">
        <v>5221</v>
      </c>
      <c r="M8109" s="2" t="s">
        <v>5221</v>
      </c>
      <c r="N8109" s="2" t="s">
        <v>2317</v>
      </c>
      <c r="O8109" s="14">
        <v>8200</v>
      </c>
      <c r="P8109" s="14">
        <v>97.68</v>
      </c>
      <c r="Q8109" s="14">
        <v>190.24</v>
      </c>
      <c r="R8109" s="14">
        <v>207.36</v>
      </c>
      <c r="S8109" s="2" t="s">
        <v>4643</v>
      </c>
      <c r="T8109" s="2">
        <v>1.17</v>
      </c>
      <c r="U8109" s="2">
        <v>57.6</v>
      </c>
      <c r="V8109" s="2">
        <v>65</v>
      </c>
      <c r="W8109" s="2" t="s">
        <v>7862</v>
      </c>
      <c r="X8109" s="2" t="s">
        <v>2524</v>
      </c>
      <c r="Y8109" s="2">
        <v>8938</v>
      </c>
      <c r="Z8109" s="19" t="str">
        <f>HYPERLINK("https://ssdweb.co/ssdweb/hd/Vision360.html?d=925721789&amp;zoomslide=1&amp;z=1925721789&amp;ISCONFIRM=0","VIDEO")</f>
        <v>VIDEO</v>
      </c>
      <c r="AA8109" s="19" t="str">
        <f>HYPERLINK("https://ssdweb.co/ssdweb/CERTH/624499660.pdf","CERTI")</f>
        <v>CERTI</v>
      </c>
    </row>
    <row r="8110" spans="1:27" ht="15" x14ac:dyDescent="0.25">
      <c r="A8110" s="2">
        <v>8105</v>
      </c>
      <c r="B8110" s="39">
        <v>925621952</v>
      </c>
      <c r="C8110" s="28" t="str">
        <f>HYPERLINK("https://pld.live/RapDetail.aspx?STONELIST=925621952","DNA")</f>
        <v>DNA</v>
      </c>
      <c r="D8110" s="18" t="s">
        <v>3054</v>
      </c>
      <c r="E8110" s="18" t="s">
        <v>5128</v>
      </c>
      <c r="F8110" s="2" t="s">
        <v>7987</v>
      </c>
      <c r="G8110" s="2" t="s">
        <v>1459</v>
      </c>
      <c r="H8110" s="14">
        <v>1.08</v>
      </c>
      <c r="I8110" s="2" t="s">
        <v>267</v>
      </c>
      <c r="J8110" s="2" t="s">
        <v>3942</v>
      </c>
      <c r="K8110" s="2" t="s">
        <v>1452</v>
      </c>
      <c r="L8110" s="2" t="s">
        <v>5221</v>
      </c>
      <c r="M8110" s="2" t="s">
        <v>5221</v>
      </c>
      <c r="N8110" s="2" t="s">
        <v>2317</v>
      </c>
      <c r="O8110" s="14">
        <v>7600</v>
      </c>
      <c r="P8110" s="14">
        <v>97.88</v>
      </c>
      <c r="Q8110" s="14">
        <v>161.12</v>
      </c>
      <c r="R8110" s="14">
        <v>174.01</v>
      </c>
      <c r="S8110" s="2" t="s">
        <v>6586</v>
      </c>
      <c r="T8110" s="2">
        <v>0.87</v>
      </c>
      <c r="U8110" s="2">
        <v>54</v>
      </c>
      <c r="V8110" s="2">
        <v>66</v>
      </c>
      <c r="W8110" s="2" t="s">
        <v>7862</v>
      </c>
      <c r="X8110" s="2" t="s">
        <v>2524</v>
      </c>
      <c r="Y8110" s="2">
        <v>8208</v>
      </c>
      <c r="Z8110" s="19" t="str">
        <f>HYPERLINK("https://ssdweb.co/ssdweb/hd/Vision360.html?d=925621952&amp;zoomslide=1&amp;z=1925621952&amp;ISCONFIRM=0","VIDEO")</f>
        <v>VIDEO</v>
      </c>
      <c r="AA8110" s="19" t="str">
        <f>HYPERLINK("https://ssdweb.co/ssdweb/CERTH/623493264.pdf","CERTI")</f>
        <v>CERTI</v>
      </c>
    </row>
    <row r="8111" spans="1:27" ht="15" x14ac:dyDescent="0.25">
      <c r="A8111" s="2">
        <v>8106</v>
      </c>
      <c r="B8111" s="39">
        <v>925721754</v>
      </c>
      <c r="C8111" s="28" t="str">
        <f>HYPERLINK("https://pld.live/RapDetail.aspx?STONELIST=925721754","DNA")</f>
        <v>DNA</v>
      </c>
      <c r="D8111" s="18" t="s">
        <v>3054</v>
      </c>
      <c r="E8111" s="18" t="s">
        <v>5128</v>
      </c>
      <c r="F8111" s="2" t="s">
        <v>5597</v>
      </c>
      <c r="G8111" s="2" t="s">
        <v>1459</v>
      </c>
      <c r="H8111" s="14">
        <v>1.08</v>
      </c>
      <c r="I8111" s="2" t="s">
        <v>267</v>
      </c>
      <c r="J8111" s="2" t="s">
        <v>13</v>
      </c>
      <c r="K8111" s="2" t="s">
        <v>1452</v>
      </c>
      <c r="L8111" s="2" t="s">
        <v>5221</v>
      </c>
      <c r="M8111" s="2" t="s">
        <v>5221</v>
      </c>
      <c r="N8111" s="2" t="s">
        <v>2317</v>
      </c>
      <c r="O8111" s="14">
        <v>6700</v>
      </c>
      <c r="P8111" s="14">
        <v>96.72</v>
      </c>
      <c r="Q8111" s="14">
        <v>219.76</v>
      </c>
      <c r="R8111" s="14">
        <v>237.34</v>
      </c>
      <c r="S8111" s="2" t="s">
        <v>7173</v>
      </c>
      <c r="T8111" s="2">
        <v>1.1599999999999999</v>
      </c>
      <c r="U8111" s="2">
        <v>57.6</v>
      </c>
      <c r="V8111" s="2">
        <v>67</v>
      </c>
      <c r="W8111" s="2" t="s">
        <v>7862</v>
      </c>
      <c r="X8111" s="2" t="s">
        <v>2524</v>
      </c>
      <c r="Y8111" s="2">
        <v>7236</v>
      </c>
      <c r="Z8111" s="19" t="str">
        <f>HYPERLINK("https://ssdweb.co/ssdweb/hd/Vision360.html?d=925721754&amp;zoomslide=1&amp;z=1925721754&amp;ISCONFIRM=0","VIDEO")</f>
        <v>VIDEO</v>
      </c>
      <c r="AA8111" s="19" t="str">
        <f>HYPERLINK("https://ssdweb.co/ssdweb/CERTH/5486719649.pdf","CERTI")</f>
        <v>CERTI</v>
      </c>
    </row>
    <row r="8112" spans="1:27" ht="15" x14ac:dyDescent="0.25">
      <c r="A8112" s="2">
        <v>8107</v>
      </c>
      <c r="B8112" s="39">
        <v>926210578</v>
      </c>
      <c r="C8112" s="28" t="str">
        <f>HYPERLINK("https://pld.live/RapDetail.aspx?STONELIST=926210578","DNA")</f>
        <v>DNA</v>
      </c>
      <c r="D8112" s="18" t="s">
        <v>3054</v>
      </c>
      <c r="E8112" s="18" t="s">
        <v>5128</v>
      </c>
      <c r="F8112" s="2" t="s">
        <v>7987</v>
      </c>
      <c r="G8112" s="2" t="s">
        <v>1459</v>
      </c>
      <c r="H8112" s="14">
        <v>1.08</v>
      </c>
      <c r="I8112" s="2" t="s">
        <v>4761</v>
      </c>
      <c r="J8112" s="2" t="s">
        <v>13</v>
      </c>
      <c r="K8112" s="2" t="s">
        <v>1452</v>
      </c>
      <c r="L8112" s="2" t="s">
        <v>5221</v>
      </c>
      <c r="M8112" s="2" t="s">
        <v>5221</v>
      </c>
      <c r="N8112" s="2" t="s">
        <v>2317</v>
      </c>
      <c r="O8112" s="14">
        <v>6200</v>
      </c>
      <c r="P8112" s="14">
        <v>97.58</v>
      </c>
      <c r="Q8112" s="14">
        <v>150.04</v>
      </c>
      <c r="R8112" s="14">
        <v>162.04</v>
      </c>
      <c r="S8112" s="2" t="s">
        <v>2149</v>
      </c>
      <c r="T8112" s="2">
        <v>1.1599999999999999</v>
      </c>
      <c r="U8112" s="2">
        <v>59.8</v>
      </c>
      <c r="V8112" s="2">
        <v>67</v>
      </c>
      <c r="W8112" s="2" t="s">
        <v>7862</v>
      </c>
      <c r="X8112" s="2" t="s">
        <v>2524</v>
      </c>
      <c r="Y8112" s="2">
        <v>6696</v>
      </c>
      <c r="Z8112" s="19" t="str">
        <f>HYPERLINK("https://ssdweb.co/ssdweb/hd/Vision360.html?d=926210578&amp;zoomslide=1&amp;z=1926210578&amp;ISCONFIRM=0","VIDEO")</f>
        <v>VIDEO</v>
      </c>
      <c r="AA8112" s="19" t="str">
        <f>HYPERLINK("https://ssdweb.co/ssdweb/CERTH/635426994.pdf","CERTI")</f>
        <v>CERTI</v>
      </c>
    </row>
    <row r="8113" spans="1:27" ht="15" x14ac:dyDescent="0.25">
      <c r="A8113" s="2">
        <v>8108</v>
      </c>
      <c r="B8113" s="39">
        <v>926110328</v>
      </c>
      <c r="C8113" s="28" t="str">
        <f>HYPERLINK("https://pld.live/RapDetail.aspx?STONELIST=926110328","DNA")</f>
        <v>DNA</v>
      </c>
      <c r="D8113" s="18" t="s">
        <v>3054</v>
      </c>
      <c r="E8113" s="18" t="s">
        <v>5128</v>
      </c>
      <c r="F8113" s="2" t="s">
        <v>7987</v>
      </c>
      <c r="G8113" s="2" t="s">
        <v>1459</v>
      </c>
      <c r="H8113" s="14">
        <v>1.07</v>
      </c>
      <c r="I8113" s="2" t="s">
        <v>4761</v>
      </c>
      <c r="J8113" s="2" t="s">
        <v>3942</v>
      </c>
      <c r="K8113" s="2" t="s">
        <v>1452</v>
      </c>
      <c r="L8113" s="2" t="s">
        <v>5221</v>
      </c>
      <c r="M8113" s="2" t="s">
        <v>5221</v>
      </c>
      <c r="N8113" s="2" t="s">
        <v>2317</v>
      </c>
      <c r="O8113" s="14">
        <v>6900</v>
      </c>
      <c r="P8113" s="14">
        <v>97.71</v>
      </c>
      <c r="Q8113" s="14">
        <v>158.01</v>
      </c>
      <c r="R8113" s="14">
        <v>169.07</v>
      </c>
      <c r="S8113" s="2" t="s">
        <v>1722</v>
      </c>
      <c r="T8113" s="2">
        <v>1.1499999999999999</v>
      </c>
      <c r="U8113" s="2">
        <v>56.6</v>
      </c>
      <c r="V8113" s="2">
        <v>69</v>
      </c>
      <c r="W8113" s="2" t="s">
        <v>7862</v>
      </c>
      <c r="X8113" s="2" t="s">
        <v>2524</v>
      </c>
      <c r="Y8113" s="2">
        <v>7383</v>
      </c>
      <c r="Z8113" s="19" t="str">
        <f>HYPERLINK("https://ssdweb.co/ssdweb/hd/Vision360.html?d=926110328&amp;zoomslide=1&amp;z=1926110328&amp;ISCONFIRM=0","VIDEO")</f>
        <v>VIDEO</v>
      </c>
      <c r="AA8113" s="19" t="str">
        <f>HYPERLINK("https://ssdweb.co/ssdweb/CERTH/632488502.pdf","CERTI")</f>
        <v>CERTI</v>
      </c>
    </row>
    <row r="8114" spans="1:27" ht="15" x14ac:dyDescent="0.25">
      <c r="A8114" s="2">
        <v>8109</v>
      </c>
      <c r="B8114" s="39">
        <v>925721737</v>
      </c>
      <c r="C8114" s="28" t="str">
        <f>HYPERLINK("https://pld.live/RapDetail.aspx?STONELIST=925721737","DNA")</f>
        <v>DNA</v>
      </c>
      <c r="D8114" s="18" t="s">
        <v>3054</v>
      </c>
      <c r="E8114" s="18" t="s">
        <v>5128</v>
      </c>
      <c r="F8114" s="2" t="s">
        <v>7987</v>
      </c>
      <c r="G8114" s="2" t="s">
        <v>1459</v>
      </c>
      <c r="H8114" s="14">
        <v>1.07</v>
      </c>
      <c r="I8114" s="2" t="s">
        <v>4761</v>
      </c>
      <c r="J8114" s="2" t="s">
        <v>3942</v>
      </c>
      <c r="K8114" s="2" t="s">
        <v>1452</v>
      </c>
      <c r="L8114" s="2" t="s">
        <v>5221</v>
      </c>
      <c r="M8114" s="2" t="s">
        <v>5221</v>
      </c>
      <c r="N8114" s="2" t="s">
        <v>2317</v>
      </c>
      <c r="O8114" s="14">
        <v>6900</v>
      </c>
      <c r="P8114" s="14">
        <v>97.74</v>
      </c>
      <c r="Q8114" s="14">
        <v>155.94</v>
      </c>
      <c r="R8114" s="14">
        <v>166.86</v>
      </c>
      <c r="S8114" s="2" t="s">
        <v>7945</v>
      </c>
      <c r="T8114" s="2">
        <v>1.1499999999999999</v>
      </c>
      <c r="U8114" s="2">
        <v>58.8</v>
      </c>
      <c r="V8114" s="2">
        <v>65</v>
      </c>
      <c r="W8114" s="2" t="s">
        <v>4336</v>
      </c>
      <c r="X8114" s="2" t="s">
        <v>2524</v>
      </c>
      <c r="Y8114" s="2">
        <v>7383</v>
      </c>
      <c r="Z8114" s="19" t="str">
        <f>HYPERLINK("https://ssdweb.co/ssdweb/hd/Vision360.html?d=925721737&amp;zoomslide=1&amp;z=1925721737&amp;ISCONFIRM=0","VIDEO")</f>
        <v>VIDEO</v>
      </c>
      <c r="AA8114" s="19" t="str">
        <f>HYPERLINK("https://ssdweb.co/ssdweb/CERTH/624499687.pdf","CERTI")</f>
        <v>CERTI</v>
      </c>
    </row>
    <row r="8115" spans="1:27" ht="15" x14ac:dyDescent="0.25">
      <c r="A8115" s="2">
        <v>8110</v>
      </c>
      <c r="B8115" s="39">
        <v>925951235</v>
      </c>
      <c r="C8115" s="28" t="str">
        <f>HYPERLINK("https://pld.live/RapDetail.aspx?STONELIST=925951235","DNA")</f>
        <v>DNA</v>
      </c>
      <c r="D8115" s="18" t="s">
        <v>3054</v>
      </c>
      <c r="E8115" s="18" t="s">
        <v>5128</v>
      </c>
      <c r="F8115" s="2" t="s">
        <v>7987</v>
      </c>
      <c r="G8115" s="2" t="s">
        <v>1459</v>
      </c>
      <c r="H8115" s="14">
        <v>1.05</v>
      </c>
      <c r="I8115" s="2" t="s">
        <v>267</v>
      </c>
      <c r="J8115" s="2" t="s">
        <v>6555</v>
      </c>
      <c r="K8115" s="2" t="s">
        <v>1452</v>
      </c>
      <c r="L8115" s="2" t="s">
        <v>5221</v>
      </c>
      <c r="M8115" s="2" t="s">
        <v>5221</v>
      </c>
      <c r="N8115" s="2" t="s">
        <v>2317</v>
      </c>
      <c r="O8115" s="14">
        <v>8200</v>
      </c>
      <c r="P8115" s="14">
        <v>97.68</v>
      </c>
      <c r="Q8115" s="14">
        <v>190.24</v>
      </c>
      <c r="R8115" s="14">
        <v>199.75</v>
      </c>
      <c r="S8115" s="2" t="s">
        <v>1204</v>
      </c>
      <c r="T8115" s="2">
        <v>1.1499999999999999</v>
      </c>
      <c r="U8115" s="2">
        <v>58.4</v>
      </c>
      <c r="V8115" s="2">
        <v>68</v>
      </c>
      <c r="W8115" s="2" t="s">
        <v>7862</v>
      </c>
      <c r="X8115" s="2" t="s">
        <v>2524</v>
      </c>
      <c r="Y8115" s="2">
        <v>8610</v>
      </c>
      <c r="Z8115" s="19" t="str">
        <f>HYPERLINK("https://ssdweb.co/ssdweb/hd/Vision360.html?d=925951235&amp;zoomslide=1&amp;z=1925951235&amp;ISCONFIRM=0","VIDEO")</f>
        <v>VIDEO</v>
      </c>
      <c r="AA8115" s="19" t="str">
        <f>HYPERLINK("https://ssdweb.co/ssdweb/CERTH/629453096.pdf","CERTI")</f>
        <v>CERTI</v>
      </c>
    </row>
    <row r="8116" spans="1:27" ht="15" x14ac:dyDescent="0.25">
      <c r="A8116" s="2">
        <v>8111</v>
      </c>
      <c r="B8116" s="39">
        <v>926110674</v>
      </c>
      <c r="C8116" s="28" t="str">
        <f>HYPERLINK("https://pld.live/RapDetail.aspx?STONELIST=926110674","DNA")</f>
        <v>DNA</v>
      </c>
      <c r="D8116" s="18" t="s">
        <v>3054</v>
      </c>
      <c r="E8116" s="18" t="s">
        <v>5128</v>
      </c>
      <c r="F8116" s="2" t="s">
        <v>7987</v>
      </c>
      <c r="G8116" s="2" t="s">
        <v>1459</v>
      </c>
      <c r="H8116" s="14">
        <v>1.05</v>
      </c>
      <c r="I8116" s="2" t="s">
        <v>267</v>
      </c>
      <c r="J8116" s="2" t="s">
        <v>13</v>
      </c>
      <c r="K8116" s="2" t="s">
        <v>1452</v>
      </c>
      <c r="L8116" s="2" t="s">
        <v>5221</v>
      </c>
      <c r="M8116" s="2" t="s">
        <v>5221</v>
      </c>
      <c r="N8116" s="2" t="s">
        <v>2317</v>
      </c>
      <c r="O8116" s="14">
        <v>6700</v>
      </c>
      <c r="P8116" s="14">
        <v>97.73</v>
      </c>
      <c r="Q8116" s="14">
        <v>152.09</v>
      </c>
      <c r="R8116" s="14">
        <v>159.69</v>
      </c>
      <c r="S8116" s="2" t="s">
        <v>6182</v>
      </c>
      <c r="T8116" s="2">
        <v>1.1499999999999999</v>
      </c>
      <c r="U8116" s="2">
        <v>61.8</v>
      </c>
      <c r="V8116" s="2">
        <v>61</v>
      </c>
      <c r="W8116" s="2" t="s">
        <v>7862</v>
      </c>
      <c r="X8116" s="2" t="s">
        <v>2524</v>
      </c>
      <c r="Y8116" s="2">
        <v>7035</v>
      </c>
      <c r="Z8116" s="19" t="str">
        <f>HYPERLINK("https://ssdweb.co/ssdweb/hd/Vision360.html?d=926110674&amp;zoomslide=1&amp;z=1926110674&amp;ISCONFIRM=0","VIDEO")</f>
        <v>VIDEO</v>
      </c>
      <c r="AA8116" s="19" t="str">
        <f>HYPERLINK("https://ssdweb.co/ssdweb/CERTH/632403884.pdf","CERTI")</f>
        <v>CERTI</v>
      </c>
    </row>
    <row r="8117" spans="1:27" ht="15" x14ac:dyDescent="0.25">
      <c r="A8117" s="2">
        <v>8112</v>
      </c>
      <c r="B8117" s="39">
        <v>926110290</v>
      </c>
      <c r="C8117" s="28" t="str">
        <f>HYPERLINK("https://pld.live/RapDetail.aspx?STONELIST=926110290","DNA")</f>
        <v>DNA</v>
      </c>
      <c r="D8117" s="18" t="s">
        <v>3054</v>
      </c>
      <c r="E8117" s="18" t="s">
        <v>5128</v>
      </c>
      <c r="F8117" s="2" t="s">
        <v>7987</v>
      </c>
      <c r="G8117" s="2" t="s">
        <v>1459</v>
      </c>
      <c r="H8117" s="14">
        <v>1.04</v>
      </c>
      <c r="I8117" s="2" t="s">
        <v>267</v>
      </c>
      <c r="J8117" s="2" t="s">
        <v>13</v>
      </c>
      <c r="K8117" s="2" t="s">
        <v>1452</v>
      </c>
      <c r="L8117" s="2" t="s">
        <v>5221</v>
      </c>
      <c r="M8117" s="2" t="s">
        <v>5221</v>
      </c>
      <c r="N8117" s="2" t="s">
        <v>2317</v>
      </c>
      <c r="O8117" s="14">
        <v>6700</v>
      </c>
      <c r="P8117" s="14">
        <v>97.73</v>
      </c>
      <c r="Q8117" s="14">
        <v>152.09</v>
      </c>
      <c r="R8117" s="14">
        <v>158.16999999999999</v>
      </c>
      <c r="S8117" s="2" t="s">
        <v>5336</v>
      </c>
      <c r="T8117" s="2">
        <v>1.1499999999999999</v>
      </c>
      <c r="U8117" s="2">
        <v>56.7</v>
      </c>
      <c r="V8117" s="2">
        <v>69</v>
      </c>
      <c r="W8117" s="2" t="s">
        <v>7862</v>
      </c>
      <c r="X8117" s="2" t="s">
        <v>2524</v>
      </c>
      <c r="Y8117" s="2">
        <v>6968</v>
      </c>
      <c r="Z8117" s="19" t="str">
        <f>HYPERLINK("https://ssdweb.co/ssdweb/hd/Vision360.html?d=926110290&amp;zoomslide=1&amp;z=1926110290&amp;ISCONFIRM=0","VIDEO")</f>
        <v>VIDEO</v>
      </c>
      <c r="AA8117" s="19" t="str">
        <f>HYPERLINK("https://ssdweb.co/ssdweb/CERTH/632488453.pdf","CERTI")</f>
        <v>CERTI</v>
      </c>
    </row>
    <row r="8118" spans="1:27" ht="15" x14ac:dyDescent="0.25">
      <c r="A8118" s="2">
        <v>8113</v>
      </c>
      <c r="B8118" s="39">
        <v>926110158</v>
      </c>
      <c r="C8118" s="28" t="str">
        <f>HYPERLINK("https://pld.live/RapDetail.aspx?STONELIST=926110158","DNA")</f>
        <v>DNA</v>
      </c>
      <c r="D8118" s="18" t="s">
        <v>3054</v>
      </c>
      <c r="E8118" s="18" t="s">
        <v>5128</v>
      </c>
      <c r="F8118" s="2" t="s">
        <v>7987</v>
      </c>
      <c r="G8118" s="2" t="s">
        <v>1459</v>
      </c>
      <c r="H8118" s="14">
        <v>1.04</v>
      </c>
      <c r="I8118" s="2" t="s">
        <v>267</v>
      </c>
      <c r="J8118" s="2" t="s">
        <v>13</v>
      </c>
      <c r="K8118" s="2" t="s">
        <v>1452</v>
      </c>
      <c r="L8118" s="2" t="s">
        <v>5221</v>
      </c>
      <c r="M8118" s="2" t="s">
        <v>5221</v>
      </c>
      <c r="N8118" s="2" t="s">
        <v>2317</v>
      </c>
      <c r="O8118" s="14">
        <v>6700</v>
      </c>
      <c r="P8118" s="14">
        <v>97.73</v>
      </c>
      <c r="Q8118" s="14">
        <v>152.09</v>
      </c>
      <c r="R8118" s="14">
        <v>158.16999999999999</v>
      </c>
      <c r="S8118" s="2" t="s">
        <v>3849</v>
      </c>
      <c r="T8118" s="2">
        <v>1.1499999999999999</v>
      </c>
      <c r="U8118" s="2">
        <v>60.8</v>
      </c>
      <c r="V8118" s="2">
        <v>67</v>
      </c>
      <c r="W8118" s="2" t="s">
        <v>7862</v>
      </c>
      <c r="X8118" s="2" t="s">
        <v>2524</v>
      </c>
      <c r="Y8118" s="2">
        <v>6968</v>
      </c>
      <c r="Z8118" s="19" t="str">
        <f>HYPERLINK("https://ssdweb.co/ssdweb/hd/Vision360.html?d=926110158&amp;zoomslide=1&amp;z=1926110158&amp;ISCONFIRM=0","VIDEO")</f>
        <v>VIDEO</v>
      </c>
      <c r="AA8118" s="19" t="str">
        <f>HYPERLINK("https://ssdweb.co/ssdweb/CERTH/632488278.pdf","CERTI")</f>
        <v>CERTI</v>
      </c>
    </row>
    <row r="8119" spans="1:27" ht="15" x14ac:dyDescent="0.25">
      <c r="A8119" s="2">
        <v>8114</v>
      </c>
      <c r="B8119" s="39">
        <v>926620946</v>
      </c>
      <c r="C8119" s="28" t="str">
        <f>HYPERLINK("https://pld.live/RapDetail.aspx?STONELIST=926620946","DNA")</f>
        <v>DNA</v>
      </c>
      <c r="D8119" s="18" t="s">
        <v>3054</v>
      </c>
      <c r="E8119" s="18" t="s">
        <v>5128</v>
      </c>
      <c r="F8119" s="2" t="s">
        <v>7987</v>
      </c>
      <c r="G8119" s="2" t="s">
        <v>1459</v>
      </c>
      <c r="H8119" s="14">
        <v>1.04</v>
      </c>
      <c r="I8119" s="2" t="s">
        <v>4761</v>
      </c>
      <c r="J8119" s="2" t="s">
        <v>3942</v>
      </c>
      <c r="K8119" s="2" t="s">
        <v>1452</v>
      </c>
      <c r="L8119" s="2" t="s">
        <v>5221</v>
      </c>
      <c r="M8119" s="2" t="s">
        <v>5221</v>
      </c>
      <c r="N8119" s="2" t="s">
        <v>2317</v>
      </c>
      <c r="O8119" s="14">
        <v>6900</v>
      </c>
      <c r="P8119" s="14">
        <v>97.71</v>
      </c>
      <c r="Q8119" s="14">
        <v>158.01</v>
      </c>
      <c r="R8119" s="14">
        <v>164.33</v>
      </c>
      <c r="S8119" s="2" t="s">
        <v>1749</v>
      </c>
      <c r="T8119" s="2">
        <v>1.1499999999999999</v>
      </c>
      <c r="U8119" s="2">
        <v>63.7</v>
      </c>
      <c r="V8119" s="2">
        <v>65</v>
      </c>
      <c r="W8119" s="2" t="s">
        <v>7862</v>
      </c>
      <c r="X8119" s="2" t="s">
        <v>2524</v>
      </c>
      <c r="Y8119" s="2">
        <v>7176</v>
      </c>
      <c r="Z8119" s="19" t="str">
        <f>HYPERLINK("https://ssdweb.co/ssdweb/hd/Vision360.html?d=926620946&amp;zoomslide=1&amp;z=1926620946&amp;ISCONFIRM=0","VIDEO")</f>
        <v>VIDEO</v>
      </c>
      <c r="AA8119" s="19" t="str">
        <f>HYPERLINK("https://ssdweb.co/ssdweb/CERTH/647424290.pdf","CERTI")</f>
        <v>CERTI</v>
      </c>
    </row>
    <row r="8120" spans="1:27" ht="15" x14ac:dyDescent="0.25">
      <c r="A8120" s="2">
        <v>8115</v>
      </c>
      <c r="B8120" s="39">
        <v>926620869</v>
      </c>
      <c r="C8120" s="28" t="str">
        <f>HYPERLINK("https://pld.live/RapDetail.aspx?STONELIST=926620869","DNA")</f>
        <v>DNA</v>
      </c>
      <c r="D8120" s="18" t="s">
        <v>3054</v>
      </c>
      <c r="E8120" s="18" t="s">
        <v>5128</v>
      </c>
      <c r="F8120" s="2" t="s">
        <v>7987</v>
      </c>
      <c r="G8120" s="2" t="s">
        <v>1459</v>
      </c>
      <c r="H8120" s="14">
        <v>1.04</v>
      </c>
      <c r="I8120" s="2" t="s">
        <v>4761</v>
      </c>
      <c r="J8120" s="2" t="s">
        <v>13</v>
      </c>
      <c r="K8120" s="2" t="s">
        <v>1452</v>
      </c>
      <c r="L8120" s="2" t="s">
        <v>5221</v>
      </c>
      <c r="M8120" s="2" t="s">
        <v>5221</v>
      </c>
      <c r="N8120" s="2" t="s">
        <v>2317</v>
      </c>
      <c r="O8120" s="14">
        <v>6200</v>
      </c>
      <c r="P8120" s="14">
        <v>97.58</v>
      </c>
      <c r="Q8120" s="14">
        <v>150.04</v>
      </c>
      <c r="R8120" s="14">
        <v>156.04</v>
      </c>
      <c r="S8120" s="2" t="s">
        <v>200</v>
      </c>
      <c r="T8120" s="2">
        <v>1.1599999999999999</v>
      </c>
      <c r="U8120" s="2">
        <v>58.7</v>
      </c>
      <c r="V8120" s="2">
        <v>63</v>
      </c>
      <c r="W8120" s="2" t="s">
        <v>7862</v>
      </c>
      <c r="X8120" s="2" t="s">
        <v>2524</v>
      </c>
      <c r="Y8120" s="2">
        <v>6448</v>
      </c>
      <c r="Z8120" s="19" t="str">
        <f>HYPERLINK("https://ssdweb.co/ssdweb/hd/Vision360.html?d=926620869&amp;zoomslide=1&amp;z=1926620869&amp;ISCONFIRM=0","VIDEO")</f>
        <v>VIDEO</v>
      </c>
      <c r="AA8120" s="19" t="str">
        <f>HYPERLINK("https://ssdweb.co/ssdweb/CERTH/646472702.pdf","CERTI")</f>
        <v>CERTI</v>
      </c>
    </row>
    <row r="8121" spans="1:27" ht="15" x14ac:dyDescent="0.25">
      <c r="A8121" s="2">
        <v>8116</v>
      </c>
      <c r="B8121" s="39">
        <v>926210577</v>
      </c>
      <c r="C8121" s="28" t="str">
        <f>HYPERLINK("https://pld.live/RapDetail.aspx?STONELIST=926210577","DNA")</f>
        <v>DNA</v>
      </c>
      <c r="D8121" s="18" t="s">
        <v>3054</v>
      </c>
      <c r="E8121" s="18" t="s">
        <v>5128</v>
      </c>
      <c r="F8121" s="2" t="s">
        <v>7987</v>
      </c>
      <c r="G8121" s="2" t="s">
        <v>1459</v>
      </c>
      <c r="H8121" s="14">
        <v>1.04</v>
      </c>
      <c r="I8121" s="2" t="s">
        <v>4761</v>
      </c>
      <c r="J8121" s="2" t="s">
        <v>13</v>
      </c>
      <c r="K8121" s="2" t="s">
        <v>1452</v>
      </c>
      <c r="L8121" s="2" t="s">
        <v>5221</v>
      </c>
      <c r="M8121" s="2" t="s">
        <v>5221</v>
      </c>
      <c r="N8121" s="2" t="s">
        <v>2317</v>
      </c>
      <c r="O8121" s="14">
        <v>6200</v>
      </c>
      <c r="P8121" s="14">
        <v>97.58</v>
      </c>
      <c r="Q8121" s="14">
        <v>150.04</v>
      </c>
      <c r="R8121" s="14">
        <v>156.04</v>
      </c>
      <c r="S8121" s="2" t="s">
        <v>4075</v>
      </c>
      <c r="T8121" s="2">
        <v>1.1599999999999999</v>
      </c>
      <c r="U8121" s="2">
        <v>61.8</v>
      </c>
      <c r="V8121" s="2">
        <v>63</v>
      </c>
      <c r="W8121" s="2" t="s">
        <v>7862</v>
      </c>
      <c r="X8121" s="2" t="s">
        <v>2524</v>
      </c>
      <c r="Y8121" s="2">
        <v>6448</v>
      </c>
      <c r="Z8121" s="19" t="str">
        <f>HYPERLINK("https://ssdweb.co/ssdweb/hd/Vision360.html?d=926210577&amp;zoomslide=1&amp;z=1926210577&amp;ISCONFIRM=0","VIDEO")</f>
        <v>VIDEO</v>
      </c>
      <c r="AA8121" s="19" t="str">
        <f>HYPERLINK("https://ssdweb.co/ssdweb/CERTH/635426992.pdf","CERTI")</f>
        <v>CERTI</v>
      </c>
    </row>
    <row r="8122" spans="1:27" ht="15" x14ac:dyDescent="0.25">
      <c r="A8122" s="2">
        <v>8117</v>
      </c>
      <c r="B8122" s="39">
        <v>926110862</v>
      </c>
      <c r="C8122" s="28" t="str">
        <f>HYPERLINK("https://pld.live/RapDetail.aspx?STONELIST=926110862","DNA")</f>
        <v>DNA</v>
      </c>
      <c r="D8122" s="18" t="s">
        <v>3054</v>
      </c>
      <c r="E8122" s="18" t="s">
        <v>5128</v>
      </c>
      <c r="F8122" s="2" t="s">
        <v>7987</v>
      </c>
      <c r="G8122" s="2" t="s">
        <v>1459</v>
      </c>
      <c r="H8122" s="14">
        <v>1.04</v>
      </c>
      <c r="I8122" s="2" t="s">
        <v>4761</v>
      </c>
      <c r="J8122" s="2" t="s">
        <v>13</v>
      </c>
      <c r="K8122" s="2" t="s">
        <v>1452</v>
      </c>
      <c r="L8122" s="2" t="s">
        <v>5221</v>
      </c>
      <c r="M8122" s="2" t="s">
        <v>5221</v>
      </c>
      <c r="N8122" s="2" t="s">
        <v>2317</v>
      </c>
      <c r="O8122" s="14">
        <v>6200</v>
      </c>
      <c r="P8122" s="14">
        <v>97.58</v>
      </c>
      <c r="Q8122" s="14">
        <v>150.04</v>
      </c>
      <c r="R8122" s="14">
        <v>156.04</v>
      </c>
      <c r="S8122" s="2" t="s">
        <v>3327</v>
      </c>
      <c r="T8122" s="2">
        <v>1.1599999999999999</v>
      </c>
      <c r="U8122" s="2">
        <v>60.2</v>
      </c>
      <c r="V8122" s="2">
        <v>69</v>
      </c>
      <c r="W8122" s="2" t="s">
        <v>7862</v>
      </c>
      <c r="X8122" s="2" t="s">
        <v>2524</v>
      </c>
      <c r="Y8122" s="2">
        <v>6448</v>
      </c>
      <c r="Z8122" s="19" t="str">
        <f>HYPERLINK("https://ssdweb.co/ssdweb/hd/Vision360.html?d=926110862&amp;zoomslide=1&amp;z=1926110862&amp;ISCONFIRM=0","VIDEO")</f>
        <v>VIDEO</v>
      </c>
      <c r="AA8122" s="19" t="str">
        <f>HYPERLINK("https://ssdweb.co/ssdweb/CERTH/632449609.pdf","CERTI")</f>
        <v>CERTI</v>
      </c>
    </row>
    <row r="8123" spans="1:27" ht="15" x14ac:dyDescent="0.25">
      <c r="A8123" s="2">
        <v>8118</v>
      </c>
      <c r="B8123" s="39">
        <v>923580455</v>
      </c>
      <c r="C8123" s="28" t="str">
        <f>HYPERLINK("https://pld.live/RapDetail.aspx?STONELIST=923580455","DNA")</f>
        <v>DNA</v>
      </c>
      <c r="D8123" s="18" t="s">
        <v>3054</v>
      </c>
      <c r="E8123" s="18" t="s">
        <v>5128</v>
      </c>
      <c r="F8123" s="2" t="s">
        <v>7987</v>
      </c>
      <c r="G8123" s="2" t="s">
        <v>1459</v>
      </c>
      <c r="H8123" s="14">
        <v>1.03</v>
      </c>
      <c r="I8123" s="2" t="s">
        <v>267</v>
      </c>
      <c r="J8123" s="2" t="s">
        <v>7032</v>
      </c>
      <c r="K8123" s="2" t="s">
        <v>1452</v>
      </c>
      <c r="L8123" s="2" t="s">
        <v>5221</v>
      </c>
      <c r="M8123" s="2" t="s">
        <v>5221</v>
      </c>
      <c r="N8123" s="2" t="s">
        <v>2317</v>
      </c>
      <c r="O8123" s="14">
        <v>9300</v>
      </c>
      <c r="P8123" s="14">
        <v>96.61</v>
      </c>
      <c r="Q8123" s="14">
        <v>315.27</v>
      </c>
      <c r="R8123" s="14">
        <v>324.73</v>
      </c>
      <c r="S8123" s="2" t="s">
        <v>3298</v>
      </c>
      <c r="T8123" s="2">
        <v>1.1599999999999999</v>
      </c>
      <c r="U8123" s="2">
        <v>61.1</v>
      </c>
      <c r="V8123" s="2">
        <v>65.5</v>
      </c>
      <c r="W8123" s="2" t="s">
        <v>7862</v>
      </c>
      <c r="X8123" s="2" t="s">
        <v>2524</v>
      </c>
      <c r="Y8123" s="2">
        <v>9579</v>
      </c>
      <c r="Z8123" s="19" t="str">
        <f>HYPERLINK("https://ssdweb.co/ssdweb/hd/Vision360.html?d=923580455&amp;zoomslide=1&amp;z=1923580455&amp;ISCONFIRM=0","VIDEO")</f>
        <v>VIDEO</v>
      </c>
      <c r="AA8123" s="19" t="str">
        <f>HYPERLINK("https://ssdweb.co/ssdweb/CERTH/555266925.pdf","CERTI")</f>
        <v>CERTI</v>
      </c>
    </row>
    <row r="8124" spans="1:27" ht="15" x14ac:dyDescent="0.25">
      <c r="A8124" s="2">
        <v>8119</v>
      </c>
      <c r="B8124" s="39">
        <v>924880262</v>
      </c>
      <c r="C8124" s="28" t="str">
        <f>HYPERLINK("https://pld.live/RapDetail.aspx?STONELIST=924880262","DNA")</f>
        <v>DNA</v>
      </c>
      <c r="D8124" s="18" t="s">
        <v>3054</v>
      </c>
      <c r="E8124" s="18" t="s">
        <v>5128</v>
      </c>
      <c r="F8124" s="2" t="s">
        <v>5597</v>
      </c>
      <c r="G8124" s="2" t="s">
        <v>1459</v>
      </c>
      <c r="H8124" s="14">
        <v>1.03</v>
      </c>
      <c r="I8124" s="2" t="s">
        <v>267</v>
      </c>
      <c r="J8124" s="2" t="s">
        <v>3942</v>
      </c>
      <c r="K8124" s="2" t="s">
        <v>1452</v>
      </c>
      <c r="L8124" s="2" t="s">
        <v>5221</v>
      </c>
      <c r="M8124" s="2" t="s">
        <v>5221</v>
      </c>
      <c r="N8124" s="2" t="s">
        <v>2317</v>
      </c>
      <c r="O8124" s="14">
        <v>7600</v>
      </c>
      <c r="P8124" s="14">
        <v>96.97</v>
      </c>
      <c r="Q8124" s="14">
        <v>230.28</v>
      </c>
      <c r="R8124" s="14">
        <v>237.19</v>
      </c>
      <c r="S8124" s="2" t="s">
        <v>8051</v>
      </c>
      <c r="T8124" s="2">
        <v>1.1599999999999999</v>
      </c>
      <c r="U8124" s="2">
        <v>59.9</v>
      </c>
      <c r="V8124" s="2">
        <v>64</v>
      </c>
      <c r="W8124" s="2" t="s">
        <v>7862</v>
      </c>
      <c r="X8124" s="2" t="s">
        <v>2524</v>
      </c>
      <c r="Y8124" s="2">
        <v>7828</v>
      </c>
      <c r="Z8124" s="19" t="str">
        <f>HYPERLINK("https://ssdweb.co/ssdweb/hd/Vision360.html?d=924880262&amp;zoomslide=1&amp;z=1924880262&amp;ISCONFIRM=0","VIDEO")</f>
        <v>VIDEO</v>
      </c>
      <c r="AA8124" s="19" t="str">
        <f>HYPERLINK("https://ssdweb.co/ssdweb/CERTH/2476798269.pdf","CERTI")</f>
        <v>CERTI</v>
      </c>
    </row>
    <row r="8125" spans="1:27" ht="15" x14ac:dyDescent="0.25">
      <c r="A8125" s="2">
        <v>8120</v>
      </c>
      <c r="B8125" s="39">
        <v>926110471</v>
      </c>
      <c r="C8125" s="28" t="str">
        <f>HYPERLINK("https://pld.live/RapDetail.aspx?STONELIST=926110471","DNA")</f>
        <v>DNA</v>
      </c>
      <c r="D8125" s="18" t="s">
        <v>3054</v>
      </c>
      <c r="E8125" s="18" t="s">
        <v>5128</v>
      </c>
      <c r="F8125" s="2" t="s">
        <v>7987</v>
      </c>
      <c r="G8125" s="2" t="s">
        <v>1459</v>
      </c>
      <c r="H8125" s="14">
        <v>1.03</v>
      </c>
      <c r="I8125" s="2" t="s">
        <v>267</v>
      </c>
      <c r="J8125" s="2" t="s">
        <v>3942</v>
      </c>
      <c r="K8125" s="2" t="s">
        <v>1452</v>
      </c>
      <c r="L8125" s="2" t="s">
        <v>5221</v>
      </c>
      <c r="M8125" s="2" t="s">
        <v>5221</v>
      </c>
      <c r="N8125" s="2" t="s">
        <v>2317</v>
      </c>
      <c r="O8125" s="14">
        <v>7600</v>
      </c>
      <c r="P8125" s="14">
        <v>97.88</v>
      </c>
      <c r="Q8125" s="14">
        <v>161.12</v>
      </c>
      <c r="R8125" s="14">
        <v>165.95</v>
      </c>
      <c r="S8125" s="2" t="s">
        <v>2190</v>
      </c>
      <c r="T8125" s="2">
        <v>1.1599999999999999</v>
      </c>
      <c r="U8125" s="2">
        <v>62.5</v>
      </c>
      <c r="V8125" s="2">
        <v>66</v>
      </c>
      <c r="W8125" s="2" t="s">
        <v>7862</v>
      </c>
      <c r="X8125" s="2" t="s">
        <v>2524</v>
      </c>
      <c r="Y8125" s="2">
        <v>7828</v>
      </c>
      <c r="Z8125" s="19" t="str">
        <f>HYPERLINK("https://ssdweb.co/ssdweb/hd/Vision360.html?d=926110471&amp;zoomslide=1&amp;z=1926110471&amp;ISCONFIRM=0","VIDEO")</f>
        <v>VIDEO</v>
      </c>
      <c r="AA8125" s="19" t="str">
        <f>HYPERLINK("https://ssdweb.co/ssdweb/CERTH/632421521.pdf","CERTI")</f>
        <v>CERTI</v>
      </c>
    </row>
    <row r="8126" spans="1:27" ht="15" x14ac:dyDescent="0.25">
      <c r="A8126" s="2">
        <v>8121</v>
      </c>
      <c r="B8126" s="39">
        <v>926110296</v>
      </c>
      <c r="C8126" s="28" t="str">
        <f>HYPERLINK("https://pld.live/RapDetail.aspx?STONELIST=926110296","DNA")</f>
        <v>DNA</v>
      </c>
      <c r="D8126" s="18" t="s">
        <v>3054</v>
      </c>
      <c r="E8126" s="18" t="s">
        <v>5128</v>
      </c>
      <c r="F8126" s="2" t="s">
        <v>7987</v>
      </c>
      <c r="G8126" s="2" t="s">
        <v>1459</v>
      </c>
      <c r="H8126" s="14">
        <v>1.03</v>
      </c>
      <c r="I8126" s="2" t="s">
        <v>267</v>
      </c>
      <c r="J8126" s="2" t="s">
        <v>13</v>
      </c>
      <c r="K8126" s="2" t="s">
        <v>1452</v>
      </c>
      <c r="L8126" s="2" t="s">
        <v>5221</v>
      </c>
      <c r="M8126" s="2" t="s">
        <v>5221</v>
      </c>
      <c r="N8126" s="2" t="s">
        <v>2317</v>
      </c>
      <c r="O8126" s="14">
        <v>6700</v>
      </c>
      <c r="P8126" s="14">
        <v>97.73</v>
      </c>
      <c r="Q8126" s="14">
        <v>152.09</v>
      </c>
      <c r="R8126" s="14">
        <v>156.65</v>
      </c>
      <c r="S8126" s="2" t="s">
        <v>2424</v>
      </c>
      <c r="T8126" s="2">
        <v>1.1499999999999999</v>
      </c>
      <c r="U8126" s="2">
        <v>56.9</v>
      </c>
      <c r="V8126" s="2">
        <v>61</v>
      </c>
      <c r="W8126" s="2" t="s">
        <v>7862</v>
      </c>
      <c r="X8126" s="2" t="s">
        <v>2524</v>
      </c>
      <c r="Y8126" s="2">
        <v>6901</v>
      </c>
      <c r="Z8126" s="19" t="str">
        <f>HYPERLINK("https://ssdweb.co/ssdweb/hd/Vision360.html?d=926110296&amp;zoomslide=1&amp;z=1926110296&amp;ISCONFIRM=0","VIDEO")</f>
        <v>VIDEO</v>
      </c>
      <c r="AA8126" s="19" t="str">
        <f>HYPERLINK("https://ssdweb.co/ssdweb/CERTH/632488498.pdf","CERTI")</f>
        <v>CERTI</v>
      </c>
    </row>
    <row r="8127" spans="1:27" ht="15" x14ac:dyDescent="0.25">
      <c r="A8127" s="2">
        <v>8122</v>
      </c>
      <c r="B8127" s="39">
        <v>924580387</v>
      </c>
      <c r="C8127" s="28" t="str">
        <f>HYPERLINK("https://pld.live/RapDetail.aspx?STONELIST=924580387","DNA")</f>
        <v>DNA</v>
      </c>
      <c r="D8127" s="18" t="s">
        <v>3054</v>
      </c>
      <c r="E8127" s="18" t="s">
        <v>5128</v>
      </c>
      <c r="F8127" s="2" t="s">
        <v>7987</v>
      </c>
      <c r="G8127" s="2" t="s">
        <v>1459</v>
      </c>
      <c r="H8127" s="14">
        <v>1.03</v>
      </c>
      <c r="I8127" s="2" t="s">
        <v>4761</v>
      </c>
      <c r="J8127" s="2" t="s">
        <v>6555</v>
      </c>
      <c r="K8127" s="2" t="s">
        <v>1452</v>
      </c>
      <c r="L8127" s="2" t="s">
        <v>5221</v>
      </c>
      <c r="M8127" s="2" t="s">
        <v>5221</v>
      </c>
      <c r="N8127" s="2" t="s">
        <v>2317</v>
      </c>
      <c r="O8127" s="14">
        <v>7500</v>
      </c>
      <c r="P8127" s="14">
        <v>97.65</v>
      </c>
      <c r="Q8127" s="14">
        <v>176.25</v>
      </c>
      <c r="R8127" s="14">
        <v>181.54</v>
      </c>
      <c r="S8127" s="2" t="s">
        <v>3776</v>
      </c>
      <c r="T8127" s="2">
        <v>1.1599999999999999</v>
      </c>
      <c r="U8127" s="2">
        <v>57.5</v>
      </c>
      <c r="V8127" s="2">
        <v>66</v>
      </c>
      <c r="W8127" s="2" t="s">
        <v>7862</v>
      </c>
      <c r="X8127" s="2" t="s">
        <v>1234</v>
      </c>
      <c r="Y8127" s="2">
        <v>7725</v>
      </c>
      <c r="Z8127" s="19" t="str">
        <f>HYPERLINK("https://ssdweb.co/ssdweb/hd/Vision360.html?d=924580387&amp;zoomslide=1&amp;z=1924580387&amp;ISCONFIRM=0","VIDEO")</f>
        <v>VIDEO</v>
      </c>
      <c r="AA8127" s="19" t="str">
        <f>HYPERLINK("https://ssdweb.co/ssdweb/CERTH/600304606.pdf","CERTI")</f>
        <v>CERTI</v>
      </c>
    </row>
    <row r="8128" spans="1:27" ht="15" x14ac:dyDescent="0.25">
      <c r="A8128" s="2">
        <v>8123</v>
      </c>
      <c r="B8128" s="39">
        <v>926110134</v>
      </c>
      <c r="C8128" s="28" t="str">
        <f>HYPERLINK("https://pld.live/RapDetail.aspx?STONELIST=926110134","DNA")</f>
        <v>DNA</v>
      </c>
      <c r="D8128" s="18" t="s">
        <v>3054</v>
      </c>
      <c r="E8128" s="18" t="s">
        <v>5128</v>
      </c>
      <c r="F8128" s="2" t="s">
        <v>7987</v>
      </c>
      <c r="G8128" s="2" t="s">
        <v>1459</v>
      </c>
      <c r="H8128" s="14">
        <v>1.03</v>
      </c>
      <c r="I8128" s="2" t="s">
        <v>4761</v>
      </c>
      <c r="J8128" s="2" t="s">
        <v>3942</v>
      </c>
      <c r="K8128" s="2" t="s">
        <v>1452</v>
      </c>
      <c r="L8128" s="2" t="s">
        <v>5221</v>
      </c>
      <c r="M8128" s="2" t="s">
        <v>5221</v>
      </c>
      <c r="N8128" s="2" t="s">
        <v>2317</v>
      </c>
      <c r="O8128" s="14">
        <v>6900</v>
      </c>
      <c r="P8128" s="14">
        <v>97.71</v>
      </c>
      <c r="Q8128" s="14">
        <v>158.01</v>
      </c>
      <c r="R8128" s="14">
        <v>162.75</v>
      </c>
      <c r="S8128" s="2" t="s">
        <v>1327</v>
      </c>
      <c r="T8128" s="2">
        <v>1.1399999999999999</v>
      </c>
      <c r="U8128" s="2">
        <v>60.1</v>
      </c>
      <c r="V8128" s="2">
        <v>67</v>
      </c>
      <c r="W8128" s="2" t="s">
        <v>7862</v>
      </c>
      <c r="X8128" s="2" t="s">
        <v>2524</v>
      </c>
      <c r="Y8128" s="2">
        <v>7107</v>
      </c>
      <c r="Z8128" s="19" t="str">
        <f>HYPERLINK("https://ssdweb.co/ssdweb/hd/Vision360.html?d=926110134&amp;zoomslide=1&amp;z=1926110134&amp;ISCONFIRM=0","VIDEO")</f>
        <v>VIDEO</v>
      </c>
      <c r="AA8128" s="19" t="str">
        <f>HYPERLINK("https://ssdweb.co/ssdweb/CERTH/631464163.pdf","CERTI")</f>
        <v>CERTI</v>
      </c>
    </row>
    <row r="8129" spans="1:27" ht="15" x14ac:dyDescent="0.25">
      <c r="A8129" s="2">
        <v>8124</v>
      </c>
      <c r="B8129" s="39">
        <v>925621909</v>
      </c>
      <c r="C8129" s="28" t="str">
        <f>HYPERLINK("https://pld.live/RapDetail.aspx?STONELIST=925621909","DNA")</f>
        <v>DNA</v>
      </c>
      <c r="D8129" s="18" t="s">
        <v>3054</v>
      </c>
      <c r="E8129" s="18" t="s">
        <v>5128</v>
      </c>
      <c r="F8129" s="2" t="s">
        <v>7987</v>
      </c>
      <c r="G8129" s="2" t="s">
        <v>1459</v>
      </c>
      <c r="H8129" s="14">
        <v>1.03</v>
      </c>
      <c r="I8129" s="2" t="s">
        <v>4699</v>
      </c>
      <c r="J8129" s="2" t="s">
        <v>6555</v>
      </c>
      <c r="K8129" s="2" t="s">
        <v>1452</v>
      </c>
      <c r="L8129" s="2" t="s">
        <v>5221</v>
      </c>
      <c r="M8129" s="2" t="s">
        <v>5221</v>
      </c>
      <c r="N8129" s="2" t="s">
        <v>2317</v>
      </c>
      <c r="O8129" s="14">
        <v>6800</v>
      </c>
      <c r="P8129" s="14">
        <v>97.56</v>
      </c>
      <c r="Q8129" s="14">
        <v>165.92</v>
      </c>
      <c r="R8129" s="14">
        <v>170.9</v>
      </c>
      <c r="S8129" s="2" t="s">
        <v>7577</v>
      </c>
      <c r="T8129" s="2">
        <v>1.1599999999999999</v>
      </c>
      <c r="U8129" s="2">
        <v>59.1</v>
      </c>
      <c r="V8129" s="2">
        <v>61</v>
      </c>
      <c r="W8129" s="2" t="s">
        <v>7862</v>
      </c>
      <c r="X8129" s="2" t="s">
        <v>2524</v>
      </c>
      <c r="Y8129" s="2">
        <v>7004</v>
      </c>
      <c r="Z8129" s="19" t="str">
        <f>HYPERLINK("https://ssdweb.co/ssdweb/hd/Vision360.html?d=925621909&amp;zoomslide=1&amp;z=1925621909&amp;ISCONFIRM=0","VIDEO")</f>
        <v>VIDEO</v>
      </c>
      <c r="AA8129" s="19" t="str">
        <f>HYPERLINK("https://ssdweb.co/ssdweb/CERTH/623412612.pdf","CERTI")</f>
        <v>CERTI</v>
      </c>
    </row>
    <row r="8130" spans="1:27" ht="15" x14ac:dyDescent="0.25">
      <c r="A8130" s="2">
        <v>8125</v>
      </c>
      <c r="B8130" s="39">
        <v>926520111</v>
      </c>
      <c r="C8130" s="28" t="str">
        <f>HYPERLINK("https://pld.live/RapDetail.aspx?STONELIST=926520111","DNA")</f>
        <v>DNA</v>
      </c>
      <c r="D8130" s="18" t="s">
        <v>3054</v>
      </c>
      <c r="E8130" s="18" t="s">
        <v>5128</v>
      </c>
      <c r="F8130" s="2" t="s">
        <v>7987</v>
      </c>
      <c r="G8130" s="2" t="s">
        <v>1459</v>
      </c>
      <c r="H8130" s="14">
        <v>1.02</v>
      </c>
      <c r="I8130" s="2" t="s">
        <v>267</v>
      </c>
      <c r="J8130" s="2" t="s">
        <v>13</v>
      </c>
      <c r="K8130" s="2" t="s">
        <v>1452</v>
      </c>
      <c r="L8130" s="2" t="s">
        <v>5221</v>
      </c>
      <c r="M8130" s="2" t="s">
        <v>5221</v>
      </c>
      <c r="N8130" s="2" t="s">
        <v>2317</v>
      </c>
      <c r="O8130" s="14">
        <v>6700</v>
      </c>
      <c r="P8130" s="14">
        <v>97.73</v>
      </c>
      <c r="Q8130" s="14">
        <v>152.09</v>
      </c>
      <c r="R8130" s="14">
        <v>155.13</v>
      </c>
      <c r="S8130" s="2" t="s">
        <v>8042</v>
      </c>
      <c r="T8130" s="2">
        <v>1.1299999999999999</v>
      </c>
      <c r="U8130" s="2">
        <v>59.3</v>
      </c>
      <c r="V8130" s="2">
        <v>68</v>
      </c>
      <c r="W8130" s="2" t="s">
        <v>7862</v>
      </c>
      <c r="X8130" s="2" t="s">
        <v>2524</v>
      </c>
      <c r="Y8130" s="2">
        <v>6834</v>
      </c>
      <c r="Z8130" s="19" t="str">
        <f>HYPERLINK("https://ssdweb.co/ssdweb/hd/Vision360.html?d=926520111&amp;zoomslide=1&amp;z=1926520111&amp;ISCONFIRM=0","VIDEO")</f>
        <v>VIDEO</v>
      </c>
      <c r="AA8130" s="19" t="str">
        <f>HYPERLINK("https://ssdweb.co/ssdweb/CERTH/644490493.pdf","CERTI")</f>
        <v>CERTI</v>
      </c>
    </row>
    <row r="8131" spans="1:27" ht="15" x14ac:dyDescent="0.25">
      <c r="A8131" s="2">
        <v>8126</v>
      </c>
      <c r="B8131" s="39">
        <v>926580091</v>
      </c>
      <c r="C8131" s="28" t="str">
        <f>HYPERLINK("https://pld.live/RapDetail.aspx?STONELIST=926580091","DNA")</f>
        <v>DNA</v>
      </c>
      <c r="D8131" s="18" t="s">
        <v>3054</v>
      </c>
      <c r="E8131" s="18" t="s">
        <v>5128</v>
      </c>
      <c r="F8131" s="2" t="s">
        <v>7987</v>
      </c>
      <c r="G8131" s="2" t="s">
        <v>1459</v>
      </c>
      <c r="H8131" s="14">
        <v>1.02</v>
      </c>
      <c r="I8131" s="2" t="s">
        <v>267</v>
      </c>
      <c r="J8131" s="2" t="s">
        <v>5144</v>
      </c>
      <c r="K8131" s="2" t="s">
        <v>1452</v>
      </c>
      <c r="L8131" s="2" t="s">
        <v>5221</v>
      </c>
      <c r="M8131" s="2" t="s">
        <v>5221</v>
      </c>
      <c r="N8131" s="2" t="s">
        <v>2317</v>
      </c>
      <c r="O8131" s="14">
        <v>5700</v>
      </c>
      <c r="P8131" s="14">
        <v>97.4</v>
      </c>
      <c r="Q8131" s="14">
        <v>148.19999999999999</v>
      </c>
      <c r="R8131" s="14">
        <v>151.16</v>
      </c>
      <c r="S8131" s="2" t="s">
        <v>3958</v>
      </c>
      <c r="T8131" s="2">
        <v>1.1499999999999999</v>
      </c>
      <c r="U8131" s="2">
        <v>56.7</v>
      </c>
      <c r="V8131" s="2">
        <v>64</v>
      </c>
      <c r="W8131" s="2" t="s">
        <v>7862</v>
      </c>
      <c r="X8131" s="2" t="s">
        <v>2524</v>
      </c>
      <c r="Y8131" s="2">
        <v>5814</v>
      </c>
      <c r="Z8131" s="19" t="str">
        <f>HYPERLINK("https://ssdweb.co/ssdweb/hd/Vision360.html?d=926580091&amp;zoomslide=1&amp;z=1926580091&amp;ISCONFIRM=0","VIDEO")</f>
        <v>VIDEO</v>
      </c>
      <c r="AA8131" s="19" t="str">
        <f>HYPERLINK("https://ssdweb.co/ssdweb/CERTH/645461706.pdf","CERTI")</f>
        <v>CERTI</v>
      </c>
    </row>
    <row r="8132" spans="1:27" ht="15" x14ac:dyDescent="0.25">
      <c r="A8132" s="2">
        <v>8127</v>
      </c>
      <c r="B8132" s="39">
        <v>926110149</v>
      </c>
      <c r="C8132" s="28" t="str">
        <f>HYPERLINK("https://pld.live/RapDetail.aspx?STONELIST=926110149","DNA")</f>
        <v>DNA</v>
      </c>
      <c r="D8132" s="18" t="s">
        <v>3054</v>
      </c>
      <c r="E8132" s="18" t="s">
        <v>5128</v>
      </c>
      <c r="F8132" s="2" t="s">
        <v>7987</v>
      </c>
      <c r="G8132" s="2" t="s">
        <v>1459</v>
      </c>
      <c r="H8132" s="14">
        <v>1.02</v>
      </c>
      <c r="I8132" s="2" t="s">
        <v>4761</v>
      </c>
      <c r="J8132" s="2" t="s">
        <v>6555</v>
      </c>
      <c r="K8132" s="2" t="s">
        <v>1452</v>
      </c>
      <c r="L8132" s="2" t="s">
        <v>5221</v>
      </c>
      <c r="M8132" s="2" t="s">
        <v>5221</v>
      </c>
      <c r="N8132" s="2" t="s">
        <v>2317</v>
      </c>
      <c r="O8132" s="14">
        <v>7500</v>
      </c>
      <c r="P8132" s="14">
        <v>97.65</v>
      </c>
      <c r="Q8132" s="14">
        <v>176.25</v>
      </c>
      <c r="R8132" s="14">
        <v>179.78</v>
      </c>
      <c r="S8132" s="2" t="s">
        <v>1499</v>
      </c>
      <c r="T8132" s="2">
        <v>1.1599999999999999</v>
      </c>
      <c r="U8132" s="2">
        <v>57.3</v>
      </c>
      <c r="V8132" s="2">
        <v>67</v>
      </c>
      <c r="W8132" s="2" t="s">
        <v>7862</v>
      </c>
      <c r="X8132" s="2" t="s">
        <v>2524</v>
      </c>
      <c r="Y8132" s="2">
        <v>7650</v>
      </c>
      <c r="Z8132" s="19" t="str">
        <f>HYPERLINK("https://ssdweb.co/ssdweb/hd/Vision360.html?d=926110149&amp;zoomslide=1&amp;z=1926110149&amp;ISCONFIRM=0","VIDEO")</f>
        <v>VIDEO</v>
      </c>
      <c r="AA8132" s="19" t="str">
        <f>HYPERLINK("https://ssdweb.co/ssdweb/CERTH/632488369.pdf","CERTI")</f>
        <v>CERTI</v>
      </c>
    </row>
    <row r="8133" spans="1:27" ht="15" x14ac:dyDescent="0.25">
      <c r="A8133" s="2">
        <v>8128</v>
      </c>
      <c r="B8133" s="39">
        <v>926210609</v>
      </c>
      <c r="C8133" s="28" t="str">
        <f>HYPERLINK("https://pld.live/RapDetail.aspx?STONELIST=926210609","DNA")</f>
        <v>DNA</v>
      </c>
      <c r="D8133" s="18" t="s">
        <v>3054</v>
      </c>
      <c r="E8133" s="18" t="s">
        <v>5128</v>
      </c>
      <c r="F8133" s="2" t="s">
        <v>7987</v>
      </c>
      <c r="G8133" s="2" t="s">
        <v>1459</v>
      </c>
      <c r="H8133" s="14">
        <v>1.02</v>
      </c>
      <c r="I8133" s="2" t="s">
        <v>4761</v>
      </c>
      <c r="J8133" s="2" t="s">
        <v>3942</v>
      </c>
      <c r="K8133" s="2" t="s">
        <v>1452</v>
      </c>
      <c r="L8133" s="2" t="s">
        <v>5221</v>
      </c>
      <c r="M8133" s="2" t="s">
        <v>5221</v>
      </c>
      <c r="N8133" s="2" t="s">
        <v>2317</v>
      </c>
      <c r="O8133" s="14">
        <v>6900</v>
      </c>
      <c r="P8133" s="14">
        <v>97.71</v>
      </c>
      <c r="Q8133" s="14">
        <v>158.01</v>
      </c>
      <c r="R8133" s="14">
        <v>161.16999999999999</v>
      </c>
      <c r="S8133" s="2" t="s">
        <v>1929</v>
      </c>
      <c r="T8133" s="2">
        <v>1.1599999999999999</v>
      </c>
      <c r="U8133" s="2">
        <v>60.9</v>
      </c>
      <c r="V8133" s="2">
        <v>61</v>
      </c>
      <c r="W8133" s="2" t="s">
        <v>7862</v>
      </c>
      <c r="X8133" s="2" t="s">
        <v>2524</v>
      </c>
      <c r="Y8133" s="2">
        <v>7038</v>
      </c>
      <c r="Z8133" s="19" t="str">
        <f>HYPERLINK("https://ssdweb.co/ssdweb/hd/Vision360.html?d=926210609&amp;zoomslide=1&amp;z=1926210609&amp;ISCONFIRM=0","VIDEO")</f>
        <v>VIDEO</v>
      </c>
      <c r="AA8133" s="19" t="str">
        <f>HYPERLINK("https://ssdweb.co/ssdweb/CERTH/635427005.pdf","CERTI")</f>
        <v>CERTI</v>
      </c>
    </row>
    <row r="8134" spans="1:27" ht="15" x14ac:dyDescent="0.25">
      <c r="A8134" s="2">
        <v>8129</v>
      </c>
      <c r="B8134" s="39">
        <v>927132336</v>
      </c>
      <c r="C8134" s="28" t="str">
        <f>HYPERLINK("https://pld.live/RapDetail.aspx?STONELIST=927132336","DNA")</f>
        <v>DNA</v>
      </c>
      <c r="D8134" s="18" t="s">
        <v>3054</v>
      </c>
      <c r="E8134" s="18" t="s">
        <v>5128</v>
      </c>
      <c r="F8134" s="2" t="s">
        <v>7987</v>
      </c>
      <c r="G8134" s="2" t="s">
        <v>1459</v>
      </c>
      <c r="H8134" s="14">
        <v>1.02</v>
      </c>
      <c r="I8134" s="2" t="s">
        <v>4761</v>
      </c>
      <c r="J8134" s="2" t="s">
        <v>3942</v>
      </c>
      <c r="K8134" s="2" t="s">
        <v>1452</v>
      </c>
      <c r="L8134" s="2" t="s">
        <v>5221</v>
      </c>
      <c r="M8134" s="2" t="s">
        <v>5221</v>
      </c>
      <c r="N8134" s="2" t="s">
        <v>2317</v>
      </c>
      <c r="O8134" s="14">
        <v>6900</v>
      </c>
      <c r="P8134" s="14">
        <v>97.65</v>
      </c>
      <c r="Q8134" s="14">
        <v>162.15</v>
      </c>
      <c r="R8134" s="14">
        <v>165.39</v>
      </c>
      <c r="S8134" s="2" t="s">
        <v>7676</v>
      </c>
      <c r="T8134" s="2">
        <v>1.1399999999999999</v>
      </c>
      <c r="U8134" s="2">
        <v>56.9</v>
      </c>
      <c r="V8134" s="2">
        <v>68</v>
      </c>
      <c r="W8134" s="2" t="s">
        <v>7862</v>
      </c>
      <c r="X8134" s="2" t="s">
        <v>2524</v>
      </c>
      <c r="Y8134" s="2">
        <v>7038</v>
      </c>
      <c r="Z8134" s="19" t="str">
        <f>HYPERLINK("https://ssdweb.co/ssdweb/hd/Vision360.html?d=927132336&amp;zoomslide=1&amp;z=1927132336&amp;ISCONFIRM=0","VIDEO")</f>
        <v>VIDEO</v>
      </c>
      <c r="AA8134" s="19" t="str">
        <f>HYPERLINK("https://ssdweb.co/ssdweb/CERTH/675504709.pdf","CERTI")</f>
        <v>CERTI</v>
      </c>
    </row>
    <row r="8135" spans="1:27" ht="15" x14ac:dyDescent="0.25">
      <c r="A8135" s="2">
        <v>8130</v>
      </c>
      <c r="B8135" s="39">
        <v>927132189</v>
      </c>
      <c r="C8135" s="28" t="str">
        <f>HYPERLINK("https://pld.live/RapDetail.aspx?STONELIST=927132189","DNA")</f>
        <v>DNA</v>
      </c>
      <c r="D8135" s="18" t="s">
        <v>3054</v>
      </c>
      <c r="E8135" s="18" t="s">
        <v>5128</v>
      </c>
      <c r="F8135" s="2" t="s">
        <v>7987</v>
      </c>
      <c r="G8135" s="2" t="s">
        <v>1459</v>
      </c>
      <c r="H8135" s="14">
        <v>1.02</v>
      </c>
      <c r="I8135" s="2" t="s">
        <v>4761</v>
      </c>
      <c r="J8135" s="2" t="s">
        <v>13</v>
      </c>
      <c r="K8135" s="2" t="s">
        <v>1452</v>
      </c>
      <c r="L8135" s="2" t="s">
        <v>5221</v>
      </c>
      <c r="M8135" s="2" t="s">
        <v>5221</v>
      </c>
      <c r="N8135" s="2" t="s">
        <v>2317</v>
      </c>
      <c r="O8135" s="14">
        <v>6200</v>
      </c>
      <c r="P8135" s="14">
        <v>97.52</v>
      </c>
      <c r="Q8135" s="14">
        <v>153.76</v>
      </c>
      <c r="R8135" s="14">
        <v>156.84</v>
      </c>
      <c r="S8135" s="2" t="s">
        <v>2472</v>
      </c>
      <c r="T8135" s="2">
        <v>1.17</v>
      </c>
      <c r="U8135" s="2">
        <v>60.2</v>
      </c>
      <c r="V8135" s="2">
        <v>64</v>
      </c>
      <c r="W8135" s="2" t="s">
        <v>7862</v>
      </c>
      <c r="X8135" s="2" t="s">
        <v>2524</v>
      </c>
      <c r="Y8135" s="2">
        <v>6324</v>
      </c>
      <c r="Z8135" s="19" t="str">
        <f>HYPERLINK("https://ssdweb.co/ssdweb/hd/Vision360.html?d=927132189&amp;zoomslide=1&amp;z=1927132189&amp;ISCONFIRM=0","VIDEO")</f>
        <v>VIDEO</v>
      </c>
      <c r="AA8135" s="19" t="str">
        <f>HYPERLINK("https://ssdweb.co/ssdweb/CERTH/675504708.pdf","CERTI")</f>
        <v>CERTI</v>
      </c>
    </row>
    <row r="8136" spans="1:27" ht="15" x14ac:dyDescent="0.25">
      <c r="A8136" s="2">
        <v>8131</v>
      </c>
      <c r="B8136" s="39">
        <v>926520180</v>
      </c>
      <c r="C8136" s="28" t="str">
        <f>HYPERLINK("https://pld.live/RapDetail.aspx?STONELIST=926520180","DNA")</f>
        <v>DNA</v>
      </c>
      <c r="D8136" s="18" t="s">
        <v>3054</v>
      </c>
      <c r="E8136" s="18" t="s">
        <v>5128</v>
      </c>
      <c r="F8136" s="2" t="s">
        <v>7987</v>
      </c>
      <c r="G8136" s="2" t="s">
        <v>1459</v>
      </c>
      <c r="H8136" s="14">
        <v>1.01</v>
      </c>
      <c r="I8136" s="2" t="s">
        <v>267</v>
      </c>
      <c r="J8136" s="2" t="s">
        <v>7032</v>
      </c>
      <c r="K8136" s="2" t="s">
        <v>1452</v>
      </c>
      <c r="L8136" s="2" t="s">
        <v>5221</v>
      </c>
      <c r="M8136" s="2" t="s">
        <v>5221</v>
      </c>
      <c r="N8136" s="2" t="s">
        <v>2317</v>
      </c>
      <c r="O8136" s="14">
        <v>9300</v>
      </c>
      <c r="P8136" s="14">
        <v>96.61</v>
      </c>
      <c r="Q8136" s="14">
        <v>315.27</v>
      </c>
      <c r="R8136" s="14">
        <v>318.42</v>
      </c>
      <c r="S8136" s="2" t="s">
        <v>7328</v>
      </c>
      <c r="T8136" s="2">
        <v>1.1599999999999999</v>
      </c>
      <c r="U8136" s="2">
        <v>58.1</v>
      </c>
      <c r="V8136" s="2">
        <v>67</v>
      </c>
      <c r="W8136" s="2" t="s">
        <v>7862</v>
      </c>
      <c r="X8136" s="2" t="s">
        <v>2524</v>
      </c>
      <c r="Y8136" s="2">
        <v>9393</v>
      </c>
      <c r="Z8136" s="19" t="str">
        <f>HYPERLINK("https://ssdweb.co/ssdweb/hd/Vision360.html?d=926520180&amp;zoomslide=1&amp;z=1926520180&amp;ISCONFIRM=0","VIDEO")</f>
        <v>VIDEO</v>
      </c>
      <c r="AA8136" s="19" t="str">
        <f>HYPERLINK("https://ssdweb.co/ssdweb/CERTH/645461699.pdf","CERTI")</f>
        <v>CERTI</v>
      </c>
    </row>
    <row r="8137" spans="1:27" ht="15" x14ac:dyDescent="0.25">
      <c r="A8137" s="2">
        <v>8132</v>
      </c>
      <c r="B8137" s="39">
        <v>926270842</v>
      </c>
      <c r="C8137" s="28" t="str">
        <f>HYPERLINK("https://pld.live/RapDetail.aspx?STONELIST=926270842","DNA")</f>
        <v>DNA</v>
      </c>
      <c r="D8137" s="18" t="s">
        <v>3054</v>
      </c>
      <c r="E8137" s="18" t="s">
        <v>5128</v>
      </c>
      <c r="F8137" s="2" t="s">
        <v>7987</v>
      </c>
      <c r="G8137" s="2" t="s">
        <v>1459</v>
      </c>
      <c r="H8137" s="14">
        <v>1.01</v>
      </c>
      <c r="I8137" s="2" t="s">
        <v>267</v>
      </c>
      <c r="J8137" s="2" t="s">
        <v>3942</v>
      </c>
      <c r="K8137" s="2" t="s">
        <v>1452</v>
      </c>
      <c r="L8137" s="2" t="s">
        <v>5221</v>
      </c>
      <c r="M8137" s="2" t="s">
        <v>5221</v>
      </c>
      <c r="N8137" s="2" t="s">
        <v>2317</v>
      </c>
      <c r="O8137" s="14">
        <v>7600</v>
      </c>
      <c r="P8137" s="14">
        <v>97.88</v>
      </c>
      <c r="Q8137" s="14">
        <v>161.12</v>
      </c>
      <c r="R8137" s="14">
        <v>162.72999999999999</v>
      </c>
      <c r="S8137" s="2" t="s">
        <v>7771</v>
      </c>
      <c r="T8137" s="2">
        <v>1.17</v>
      </c>
      <c r="U8137" s="2">
        <v>59.7</v>
      </c>
      <c r="V8137" s="2">
        <v>64</v>
      </c>
      <c r="W8137" s="2" t="s">
        <v>7862</v>
      </c>
      <c r="X8137" s="2" t="s">
        <v>2524</v>
      </c>
      <c r="Y8137" s="2">
        <v>7676</v>
      </c>
      <c r="Z8137" s="19" t="str">
        <f>HYPERLINK("https://ssdweb.co/ssdweb/hd/Vision360.html?d=926270842&amp;zoomslide=1&amp;z=1926270842&amp;ISCONFIRM=0","VIDEO")</f>
        <v>VIDEO</v>
      </c>
      <c r="AA8137" s="19" t="str">
        <f>HYPERLINK("https://ssdweb.co/ssdweb/CERTH/639406118.pdf","CERTI")</f>
        <v>CERTI</v>
      </c>
    </row>
    <row r="8138" spans="1:27" ht="15" x14ac:dyDescent="0.25">
      <c r="A8138" s="2">
        <v>8133</v>
      </c>
      <c r="B8138" s="39">
        <v>926750361</v>
      </c>
      <c r="C8138" s="28" t="str">
        <f>HYPERLINK("https://pld.live/RapDetail.aspx?STONELIST=926750361","DNA")</f>
        <v>DNA</v>
      </c>
      <c r="D8138" s="18" t="s">
        <v>3054</v>
      </c>
      <c r="E8138" s="18" t="s">
        <v>5128</v>
      </c>
      <c r="F8138" s="2" t="s">
        <v>7987</v>
      </c>
      <c r="G8138" s="2" t="s">
        <v>1459</v>
      </c>
      <c r="H8138" s="14">
        <v>1.01</v>
      </c>
      <c r="I8138" s="2" t="s">
        <v>267</v>
      </c>
      <c r="J8138" s="2" t="s">
        <v>13</v>
      </c>
      <c r="K8138" s="2" t="s">
        <v>1452</v>
      </c>
      <c r="L8138" s="2" t="s">
        <v>5221</v>
      </c>
      <c r="M8138" s="2" t="s">
        <v>5221</v>
      </c>
      <c r="N8138" s="2" t="s">
        <v>2317</v>
      </c>
      <c r="O8138" s="14">
        <v>6700</v>
      </c>
      <c r="P8138" s="14">
        <v>97.67</v>
      </c>
      <c r="Q8138" s="14">
        <v>156.11000000000001</v>
      </c>
      <c r="R8138" s="14">
        <v>157.66999999999999</v>
      </c>
      <c r="S8138" s="2" t="s">
        <v>3012</v>
      </c>
      <c r="T8138" s="2">
        <v>1.1499999999999999</v>
      </c>
      <c r="U8138" s="2">
        <v>56.6</v>
      </c>
      <c r="V8138" s="2">
        <v>71</v>
      </c>
      <c r="W8138" s="2" t="s">
        <v>7862</v>
      </c>
      <c r="X8138" s="2" t="s">
        <v>2524</v>
      </c>
      <c r="Y8138" s="2">
        <v>6767</v>
      </c>
      <c r="Z8138" s="19" t="str">
        <f>HYPERLINK("https://ssdweb.co/ssdweb/hd/Vision360.html?d=926750361&amp;zoomslide=1&amp;z=1926750361&amp;ISCONFIRM=0","VIDEO")</f>
        <v>VIDEO</v>
      </c>
      <c r="AA8138" s="19" t="str">
        <f>HYPERLINK("https://ssdweb.co/ssdweb/CERTH/670484376.pdf","CERTI")</f>
        <v>CERTI</v>
      </c>
    </row>
    <row r="8139" spans="1:27" ht="15" x14ac:dyDescent="0.25">
      <c r="A8139" s="2">
        <v>8134</v>
      </c>
      <c r="B8139" s="39">
        <v>925621957</v>
      </c>
      <c r="C8139" s="28" t="str">
        <f>HYPERLINK("https://pld.live/RapDetail.aspx?STONELIST=925621957","DNA")</f>
        <v>DNA</v>
      </c>
      <c r="D8139" s="18" t="s">
        <v>3054</v>
      </c>
      <c r="E8139" s="18" t="s">
        <v>5128</v>
      </c>
      <c r="F8139" s="2" t="s">
        <v>5597</v>
      </c>
      <c r="G8139" s="2" t="s">
        <v>1459</v>
      </c>
      <c r="H8139" s="14">
        <v>1.01</v>
      </c>
      <c r="I8139" s="2" t="s">
        <v>267</v>
      </c>
      <c r="J8139" s="2" t="s">
        <v>13</v>
      </c>
      <c r="K8139" s="2" t="s">
        <v>1452</v>
      </c>
      <c r="L8139" s="2" t="s">
        <v>5221</v>
      </c>
      <c r="M8139" s="2" t="s">
        <v>5221</v>
      </c>
      <c r="N8139" s="2" t="s">
        <v>2317</v>
      </c>
      <c r="O8139" s="14">
        <v>6700</v>
      </c>
      <c r="P8139" s="14">
        <v>96.72</v>
      </c>
      <c r="Q8139" s="14">
        <v>219.76</v>
      </c>
      <c r="R8139" s="14">
        <v>221.96</v>
      </c>
      <c r="S8139" s="2" t="s">
        <v>2591</v>
      </c>
      <c r="T8139" s="2">
        <v>1.1499999999999999</v>
      </c>
      <c r="U8139" s="2">
        <v>60.2</v>
      </c>
      <c r="V8139" s="2">
        <v>68</v>
      </c>
      <c r="W8139" s="2" t="s">
        <v>7862</v>
      </c>
      <c r="X8139" s="2" t="s">
        <v>2524</v>
      </c>
      <c r="Y8139" s="2">
        <v>6767</v>
      </c>
      <c r="Z8139" s="19" t="str">
        <f>HYPERLINK("https://ssdweb.co/ssdweb/hd/Vision360.html?d=925621957&amp;zoomslide=1&amp;z=1925621957&amp;ISCONFIRM=0","VIDEO")</f>
        <v>VIDEO</v>
      </c>
      <c r="AA8139" s="19" t="str">
        <f>HYPERLINK("https://ssdweb.co/ssdweb/CERTH/7488719664.pdf","CERTI")</f>
        <v>CERTI</v>
      </c>
    </row>
    <row r="8140" spans="1:27" ht="15" x14ac:dyDescent="0.25">
      <c r="A8140" s="2">
        <v>8135</v>
      </c>
      <c r="B8140" s="39">
        <v>926110394</v>
      </c>
      <c r="C8140" s="28" t="str">
        <f>HYPERLINK("https://pld.live/RapDetail.aspx?STONELIST=926110394","DNA")</f>
        <v>DNA</v>
      </c>
      <c r="D8140" s="18" t="s">
        <v>3054</v>
      </c>
      <c r="E8140" s="18" t="s">
        <v>5128</v>
      </c>
      <c r="F8140" s="2" t="s">
        <v>7987</v>
      </c>
      <c r="G8140" s="2" t="s">
        <v>1459</v>
      </c>
      <c r="H8140" s="14">
        <v>1</v>
      </c>
      <c r="I8140" s="2" t="s">
        <v>4761</v>
      </c>
      <c r="J8140" s="2" t="s">
        <v>6555</v>
      </c>
      <c r="K8140" s="2" t="s">
        <v>1452</v>
      </c>
      <c r="L8140" s="2" t="s">
        <v>5221</v>
      </c>
      <c r="M8140" s="2" t="s">
        <v>5221</v>
      </c>
      <c r="N8140" s="2" t="s">
        <v>2317</v>
      </c>
      <c r="O8140" s="14">
        <v>7500</v>
      </c>
      <c r="P8140" s="14">
        <v>97.65</v>
      </c>
      <c r="Q8140" s="14">
        <v>176.25</v>
      </c>
      <c r="R8140" s="14">
        <v>176.25</v>
      </c>
      <c r="S8140" s="2" t="s">
        <v>2992</v>
      </c>
      <c r="T8140" s="2">
        <v>1.1599999999999999</v>
      </c>
      <c r="U8140" s="2">
        <v>62.3</v>
      </c>
      <c r="V8140" s="2">
        <v>68</v>
      </c>
      <c r="W8140" s="2" t="s">
        <v>7862</v>
      </c>
      <c r="X8140" s="2" t="s">
        <v>2524</v>
      </c>
      <c r="Y8140" s="2">
        <v>7500</v>
      </c>
      <c r="Z8140" s="19" t="str">
        <f>HYPERLINK("https://ssdweb.co/ssdweb/hd/Vision360.html?d=926110394&amp;zoomslide=1&amp;z=1926110394&amp;ISCONFIRM=0","VIDEO")</f>
        <v>VIDEO</v>
      </c>
      <c r="AA8140" s="19" t="str">
        <f>HYPERLINK("https://ssdweb.co/ssdweb/CERTH/632421546.pdf","CERTI")</f>
        <v>CERTI</v>
      </c>
    </row>
    <row r="8141" spans="1:27" ht="15" x14ac:dyDescent="0.25">
      <c r="A8141" s="2">
        <v>8136</v>
      </c>
      <c r="B8141" s="39">
        <v>924350581</v>
      </c>
      <c r="C8141" s="28" t="str">
        <f>HYPERLINK("https://pld.live/RapDetail.aspx?STONELIST=924350581","DNA")</f>
        <v>DNA</v>
      </c>
      <c r="D8141" s="18" t="s">
        <v>3054</v>
      </c>
      <c r="E8141" s="18" t="s">
        <v>2186</v>
      </c>
      <c r="F8141" s="2" t="s">
        <v>7987</v>
      </c>
      <c r="G8141" s="2" t="s">
        <v>3632</v>
      </c>
      <c r="H8141" s="14">
        <v>1.1000000000000001</v>
      </c>
      <c r="I8141" s="2" t="s">
        <v>4761</v>
      </c>
      <c r="J8141" s="2" t="s">
        <v>3942</v>
      </c>
      <c r="K8141" s="2" t="s">
        <v>1452</v>
      </c>
      <c r="L8141" s="2" t="s">
        <v>5221</v>
      </c>
      <c r="M8141" s="2" t="s">
        <v>5221</v>
      </c>
      <c r="N8141" s="2" t="s">
        <v>2317</v>
      </c>
      <c r="O8141" s="14">
        <v>6900</v>
      </c>
      <c r="P8141" s="14">
        <v>97.06</v>
      </c>
      <c r="Q8141" s="14">
        <v>202.86</v>
      </c>
      <c r="R8141" s="14">
        <v>223.15</v>
      </c>
      <c r="S8141" s="2" t="s">
        <v>2092</v>
      </c>
      <c r="T8141" s="2">
        <v>0.97</v>
      </c>
      <c r="U8141" s="2">
        <v>53.7</v>
      </c>
      <c r="V8141" s="2">
        <v>66</v>
      </c>
      <c r="W8141" s="2" t="s">
        <v>7862</v>
      </c>
      <c r="X8141" s="2" t="s">
        <v>4731</v>
      </c>
      <c r="Y8141" s="2">
        <v>7590</v>
      </c>
      <c r="Z8141" s="19" t="str">
        <f>HYPERLINK("https://ssdweb.co/ssdweb/hd/Vision360.html?d=924350581&amp;zoomslide=1&amp;z=1924350581&amp;ISCONFIRM=0","VIDEO")</f>
        <v>VIDEO</v>
      </c>
      <c r="AA8141" s="19" t="str">
        <f>HYPERLINK("https://ssdweb.co/ssdweb/CERTH/589393839.pdf","CERTI")</f>
        <v>CERTI</v>
      </c>
    </row>
    <row r="8142" spans="1:27" ht="15" x14ac:dyDescent="0.25">
      <c r="A8142" s="2">
        <v>8137</v>
      </c>
      <c r="B8142" s="39">
        <v>926101505</v>
      </c>
      <c r="C8142" s="28" t="str">
        <f>HYPERLINK("https://pld.live/RapDetail.aspx?STONELIST=926101505","DNA")</f>
        <v>DNA</v>
      </c>
      <c r="D8142" s="18" t="s">
        <v>3054</v>
      </c>
      <c r="E8142" s="18" t="s">
        <v>5128</v>
      </c>
      <c r="F8142" s="2" t="s">
        <v>7987</v>
      </c>
      <c r="G8142" s="2" t="s">
        <v>3632</v>
      </c>
      <c r="H8142" s="14">
        <v>1.03</v>
      </c>
      <c r="I8142" s="2" t="s">
        <v>267</v>
      </c>
      <c r="J8142" s="2" t="s">
        <v>3942</v>
      </c>
      <c r="K8142" s="2" t="s">
        <v>1452</v>
      </c>
      <c r="L8142" s="2" t="s">
        <v>5221</v>
      </c>
      <c r="M8142" s="2" t="s">
        <v>5221</v>
      </c>
      <c r="N8142" s="2" t="s">
        <v>2317</v>
      </c>
      <c r="O8142" s="14">
        <v>7600</v>
      </c>
      <c r="P8142" s="14">
        <v>97.22</v>
      </c>
      <c r="Q8142" s="14">
        <v>211.28</v>
      </c>
      <c r="R8142" s="14">
        <v>217.62</v>
      </c>
      <c r="S8142" s="2" t="s">
        <v>6247</v>
      </c>
      <c r="T8142" s="2">
        <v>0.98</v>
      </c>
      <c r="U8142" s="2">
        <v>52.8</v>
      </c>
      <c r="V8142" s="2">
        <v>64</v>
      </c>
      <c r="W8142" s="2" t="s">
        <v>7862</v>
      </c>
      <c r="X8142" s="2" t="s">
        <v>4731</v>
      </c>
      <c r="Y8142" s="2">
        <v>7828</v>
      </c>
      <c r="Z8142" s="19" t="str">
        <f>HYPERLINK("https://ssdweb.co/ssdweb/hd/Vision360.html?d=926101505&amp;zoomslide=1&amp;z=1926101505&amp;ISCONFIRM=0","VIDEO")</f>
        <v>VIDEO</v>
      </c>
      <c r="AA8142" s="19" t="str">
        <f>HYPERLINK("https://ssdweb.co/ssdweb/CERTH/632421455.pdf","CERTI")</f>
        <v>CERTI</v>
      </c>
    </row>
    <row r="8143" spans="1:27" ht="15" x14ac:dyDescent="0.25">
      <c r="A8143" s="2">
        <v>8138</v>
      </c>
      <c r="B8143" s="39">
        <v>941160581</v>
      </c>
      <c r="C8143" s="28" t="str">
        <f>HYPERLINK("https://pld.live/RapDetail.aspx?STONELIST=941160581","DNA")</f>
        <v>DNA</v>
      </c>
      <c r="D8143" s="18" t="s">
        <v>3054</v>
      </c>
      <c r="E8143" s="18" t="s">
        <v>5128</v>
      </c>
      <c r="F8143" s="2" t="s">
        <v>7987</v>
      </c>
      <c r="G8143" s="2" t="s">
        <v>3632</v>
      </c>
      <c r="H8143" s="14">
        <v>1.02</v>
      </c>
      <c r="I8143" s="2" t="s">
        <v>267</v>
      </c>
      <c r="J8143" s="2" t="s">
        <v>7032</v>
      </c>
      <c r="K8143" s="2" t="s">
        <v>1452</v>
      </c>
      <c r="L8143" s="2" t="s">
        <v>5221</v>
      </c>
      <c r="M8143" s="2" t="s">
        <v>5221</v>
      </c>
      <c r="N8143" s="2" t="s">
        <v>2317</v>
      </c>
      <c r="O8143" s="14">
        <v>9300</v>
      </c>
      <c r="P8143" s="14">
        <v>96.24</v>
      </c>
      <c r="Q8143" s="14">
        <v>349.68</v>
      </c>
      <c r="R8143" s="14">
        <v>356.67</v>
      </c>
      <c r="S8143" s="2" t="s">
        <v>5337</v>
      </c>
      <c r="T8143" s="2">
        <v>0.98</v>
      </c>
      <c r="U8143" s="2">
        <v>51.2</v>
      </c>
      <c r="V8143" s="2">
        <v>64</v>
      </c>
      <c r="W8143" s="2" t="s">
        <v>7862</v>
      </c>
      <c r="X8143" s="2" t="s">
        <v>4731</v>
      </c>
      <c r="Y8143" s="2">
        <v>9486</v>
      </c>
      <c r="Z8143" s="19" t="str">
        <f>HYPERLINK("https://ssdweb.co/ssdweb/hd/Vision360.html?d=941160581&amp;zoomslide=1&amp;z=1941160581&amp;ISCONFIRM=0","VIDEO")</f>
        <v>VIDEO</v>
      </c>
      <c r="AA8143" s="19" t="str">
        <f>HYPERLINK("https://ssdweb.co/ssdweb/CERTH/675504727.pdf","CERTI")</f>
        <v>CERTI</v>
      </c>
    </row>
    <row r="8144" spans="1:27" ht="15" x14ac:dyDescent="0.25">
      <c r="A8144" s="2">
        <v>8139</v>
      </c>
      <c r="B8144" s="39">
        <v>925621962</v>
      </c>
      <c r="C8144" s="28" t="str">
        <f>HYPERLINK("https://pld.live/RapDetail.aspx?STONELIST=925621962","DNA")</f>
        <v>DNA</v>
      </c>
      <c r="D8144" s="18" t="s">
        <v>3054</v>
      </c>
      <c r="E8144" s="18" t="s">
        <v>5128</v>
      </c>
      <c r="F8144" s="2" t="s">
        <v>5597</v>
      </c>
      <c r="G8144" s="2" t="s">
        <v>3632</v>
      </c>
      <c r="H8144" s="14">
        <v>1.02</v>
      </c>
      <c r="I8144" s="2" t="s">
        <v>267</v>
      </c>
      <c r="J8144" s="2" t="s">
        <v>6555</v>
      </c>
      <c r="K8144" s="2" t="s">
        <v>1452</v>
      </c>
      <c r="L8144" s="2" t="s">
        <v>5221</v>
      </c>
      <c r="M8144" s="2" t="s">
        <v>5221</v>
      </c>
      <c r="N8144" s="2" t="s">
        <v>2317</v>
      </c>
      <c r="O8144" s="14">
        <v>8200</v>
      </c>
      <c r="P8144" s="14">
        <v>95.85</v>
      </c>
      <c r="Q8144" s="14">
        <v>340.3</v>
      </c>
      <c r="R8144" s="14">
        <v>347.11</v>
      </c>
      <c r="S8144" s="2" t="s">
        <v>3523</v>
      </c>
      <c r="T8144" s="2">
        <v>0.98</v>
      </c>
      <c r="U8144" s="2">
        <v>53.1</v>
      </c>
      <c r="V8144" s="2">
        <v>63</v>
      </c>
      <c r="W8144" s="2" t="s">
        <v>7862</v>
      </c>
      <c r="X8144" s="2" t="s">
        <v>8001</v>
      </c>
      <c r="Y8144" s="2">
        <v>8364</v>
      </c>
      <c r="Z8144" s="19" t="str">
        <f>HYPERLINK("https://ssdweb.co/ssdweb/hd/Vision360.html?d=925621962&amp;zoomslide=1&amp;z=1925621962&amp;ISCONFIRM=0","VIDEO")</f>
        <v>VIDEO</v>
      </c>
      <c r="AA8144" s="19" t="str">
        <f>HYPERLINK("https://ssdweb.co/ssdweb/CERTH/2484719567.pdf","CERTI")</f>
        <v>CERTI</v>
      </c>
    </row>
    <row r="8145" spans="1:27" ht="15" x14ac:dyDescent="0.25">
      <c r="A8145" s="2">
        <v>8140</v>
      </c>
      <c r="B8145" s="39">
        <v>941160628</v>
      </c>
      <c r="C8145" s="28" t="str">
        <f>HYPERLINK("https://pld.live/RapDetail.aspx?STONELIST=941160628","DNA")</f>
        <v>DNA</v>
      </c>
      <c r="D8145" s="18" t="s">
        <v>3054</v>
      </c>
      <c r="E8145" s="18" t="s">
        <v>5128</v>
      </c>
      <c r="F8145" s="2" t="s">
        <v>7987</v>
      </c>
      <c r="G8145" s="2" t="s">
        <v>3632</v>
      </c>
      <c r="H8145" s="14">
        <v>1.02</v>
      </c>
      <c r="I8145" s="2" t="s">
        <v>267</v>
      </c>
      <c r="J8145" s="2" t="s">
        <v>3942</v>
      </c>
      <c r="K8145" s="2" t="s">
        <v>1452</v>
      </c>
      <c r="L8145" s="2" t="s">
        <v>5221</v>
      </c>
      <c r="M8145" s="2" t="s">
        <v>5221</v>
      </c>
      <c r="N8145" s="2" t="s">
        <v>2317</v>
      </c>
      <c r="O8145" s="14">
        <v>7600</v>
      </c>
      <c r="P8145" s="14">
        <v>97.17</v>
      </c>
      <c r="Q8145" s="14">
        <v>215.08</v>
      </c>
      <c r="R8145" s="14">
        <v>219.38</v>
      </c>
      <c r="S8145" s="2" t="s">
        <v>7238</v>
      </c>
      <c r="T8145" s="2">
        <v>0.98</v>
      </c>
      <c r="U8145" s="2">
        <v>55.5</v>
      </c>
      <c r="V8145" s="2">
        <v>62</v>
      </c>
      <c r="W8145" s="2" t="s">
        <v>7862</v>
      </c>
      <c r="X8145" s="2" t="s">
        <v>4731</v>
      </c>
      <c r="Y8145" s="2">
        <v>7752</v>
      </c>
      <c r="Z8145" s="19" t="str">
        <f>HYPERLINK("https://ssdweb.co/ssdweb/hd/Vision360.html?d=941160628&amp;zoomslide=1&amp;z=1941160628&amp;ISCONFIRM=0","VIDEO")</f>
        <v>VIDEO</v>
      </c>
      <c r="AA8145" s="19" t="str">
        <f>HYPERLINK("https://ssdweb.co/ssdweb/CERTH/675596545.pdf","CERTI")</f>
        <v>CERTI</v>
      </c>
    </row>
    <row r="8146" spans="1:27" ht="15" x14ac:dyDescent="0.25">
      <c r="A8146" s="2">
        <v>8141</v>
      </c>
      <c r="B8146" s="39">
        <v>941160520</v>
      </c>
      <c r="C8146" s="28" t="str">
        <f>HYPERLINK("https://pld.live/RapDetail.aspx?STONELIST=941160520","DNA")</f>
        <v>DNA</v>
      </c>
      <c r="D8146" s="18" t="s">
        <v>3054</v>
      </c>
      <c r="E8146" s="18" t="s">
        <v>5128</v>
      </c>
      <c r="F8146" s="2" t="s">
        <v>7987</v>
      </c>
      <c r="G8146" s="2" t="s">
        <v>3632</v>
      </c>
      <c r="H8146" s="14">
        <v>1.02</v>
      </c>
      <c r="I8146" s="2" t="s">
        <v>267</v>
      </c>
      <c r="J8146" s="2" t="s">
        <v>13</v>
      </c>
      <c r="K8146" s="2" t="s">
        <v>1452</v>
      </c>
      <c r="L8146" s="2" t="s">
        <v>5221</v>
      </c>
      <c r="M8146" s="2" t="s">
        <v>5221</v>
      </c>
      <c r="N8146" s="2" t="s">
        <v>2317</v>
      </c>
      <c r="O8146" s="14">
        <v>6700</v>
      </c>
      <c r="P8146" s="14">
        <v>97.01</v>
      </c>
      <c r="Q8146" s="14">
        <v>200.33</v>
      </c>
      <c r="R8146" s="14">
        <v>204.34</v>
      </c>
      <c r="S8146" s="2" t="s">
        <v>3143</v>
      </c>
      <c r="T8146" s="2">
        <v>0.97</v>
      </c>
      <c r="U8146" s="2">
        <v>55.8</v>
      </c>
      <c r="V8146" s="2">
        <v>60</v>
      </c>
      <c r="W8146" s="2" t="s">
        <v>7862</v>
      </c>
      <c r="X8146" s="2" t="s">
        <v>4731</v>
      </c>
      <c r="Y8146" s="2">
        <v>6834</v>
      </c>
      <c r="Z8146" s="19" t="str">
        <f>HYPERLINK("https://ssdweb.co/ssdweb/hd/Vision360.html?d=941160520&amp;zoomslide=1&amp;z=1941160520&amp;ISCONFIRM=0","VIDEO")</f>
        <v>VIDEO</v>
      </c>
      <c r="AA8146" s="19" t="str">
        <f>HYPERLINK("https://ssdweb.co/ssdweb/CERTH/674532612.pdf","CERTI")</f>
        <v>CERTI</v>
      </c>
    </row>
    <row r="8147" spans="1:27" ht="15" x14ac:dyDescent="0.25">
      <c r="A8147" s="2">
        <v>8142</v>
      </c>
      <c r="B8147" s="39">
        <v>941190403</v>
      </c>
      <c r="C8147" s="28" t="str">
        <f>HYPERLINK("https://pld.live/RapDetail.aspx?STONELIST=941190403","DNA")</f>
        <v>DNA</v>
      </c>
      <c r="D8147" s="18" t="s">
        <v>3054</v>
      </c>
      <c r="E8147" s="18" t="s">
        <v>5128</v>
      </c>
      <c r="F8147" s="2" t="s">
        <v>7987</v>
      </c>
      <c r="G8147" s="2" t="s">
        <v>3632</v>
      </c>
      <c r="H8147" s="14">
        <v>1.02</v>
      </c>
      <c r="I8147" s="2" t="s">
        <v>267</v>
      </c>
      <c r="J8147" s="2" t="s">
        <v>13</v>
      </c>
      <c r="K8147" s="2" t="s">
        <v>1452</v>
      </c>
      <c r="L8147" s="2" t="s">
        <v>5221</v>
      </c>
      <c r="M8147" s="2" t="s">
        <v>5221</v>
      </c>
      <c r="N8147" s="2" t="s">
        <v>2317</v>
      </c>
      <c r="O8147" s="14">
        <v>6700</v>
      </c>
      <c r="P8147" s="14">
        <v>97.01</v>
      </c>
      <c r="Q8147" s="14">
        <v>200.33</v>
      </c>
      <c r="R8147" s="14">
        <v>204.34</v>
      </c>
      <c r="S8147" s="2" t="s">
        <v>8</v>
      </c>
      <c r="T8147" s="2">
        <v>1.01</v>
      </c>
      <c r="U8147" s="2">
        <v>55.5</v>
      </c>
      <c r="V8147" s="2">
        <v>64</v>
      </c>
      <c r="W8147" s="2" t="s">
        <v>7862</v>
      </c>
      <c r="X8147" s="2" t="s">
        <v>4731</v>
      </c>
      <c r="Y8147" s="2">
        <v>6834</v>
      </c>
      <c r="Z8147" s="19" t="str">
        <f>HYPERLINK("https://ssdweb.co/ssdweb/hd/Vision360.html?d=941190403&amp;zoomslide=1&amp;z=1941190403&amp;ISCONFIRM=0","VIDEO")</f>
        <v>VIDEO</v>
      </c>
      <c r="AA8147" s="19" t="str">
        <f>HYPERLINK("https://ssdweb.co/ssdweb/CERTH/677510569.pdf","CERTI")</f>
        <v>CERTI</v>
      </c>
    </row>
    <row r="8148" spans="1:27" ht="15" x14ac:dyDescent="0.25">
      <c r="A8148" s="2">
        <v>8143</v>
      </c>
      <c r="B8148" s="39">
        <v>927140428</v>
      </c>
      <c r="C8148" s="28" t="str">
        <f>HYPERLINK("https://pld.live/RapDetail.aspx?STONELIST=927140428","DNA")</f>
        <v>DNA</v>
      </c>
      <c r="D8148" s="18" t="s">
        <v>3054</v>
      </c>
      <c r="E8148" s="18" t="s">
        <v>2186</v>
      </c>
      <c r="F8148" s="2" t="s">
        <v>7987</v>
      </c>
      <c r="G8148" s="2" t="s">
        <v>3632</v>
      </c>
      <c r="H8148" s="14">
        <v>1.02</v>
      </c>
      <c r="I8148" s="2" t="s">
        <v>267</v>
      </c>
      <c r="J8148" s="2" t="s">
        <v>13</v>
      </c>
      <c r="K8148" s="2" t="s">
        <v>1452</v>
      </c>
      <c r="L8148" s="2" t="s">
        <v>5221</v>
      </c>
      <c r="M8148" s="2" t="s">
        <v>5221</v>
      </c>
      <c r="N8148" s="2" t="s">
        <v>2317</v>
      </c>
      <c r="O8148" s="14">
        <v>6700</v>
      </c>
      <c r="P8148" s="14">
        <v>97.01</v>
      </c>
      <c r="Q8148" s="14">
        <v>200.33</v>
      </c>
      <c r="R8148" s="14">
        <v>204.34</v>
      </c>
      <c r="S8148" s="2" t="s">
        <v>1742</v>
      </c>
      <c r="T8148" s="2">
        <v>0.96</v>
      </c>
      <c r="U8148" s="2">
        <v>56.4</v>
      </c>
      <c r="V8148" s="2">
        <v>70</v>
      </c>
      <c r="W8148" s="2" t="s">
        <v>7862</v>
      </c>
      <c r="X8148" s="2" t="s">
        <v>4731</v>
      </c>
      <c r="Y8148" s="2">
        <v>6834</v>
      </c>
      <c r="Z8148" s="19" t="str">
        <f>HYPERLINK("https://ssdweb.co/ssdweb/hd/Vision360.html?d=927140428&amp;zoomslide=1&amp;z=1927140428&amp;ISCONFIRM=0","VIDEO")</f>
        <v>VIDEO</v>
      </c>
      <c r="AA8148" s="19" t="str">
        <f>HYPERLINK("https://ssdweb.co/ssdweb/CERTH/674504072.pdf","CERTI")</f>
        <v>CERTI</v>
      </c>
    </row>
    <row r="8149" spans="1:27" ht="15" x14ac:dyDescent="0.25">
      <c r="A8149" s="2">
        <v>8144</v>
      </c>
      <c r="B8149" s="39">
        <v>927140438</v>
      </c>
      <c r="C8149" s="28" t="str">
        <f>HYPERLINK("https://pld.live/RapDetail.aspx?STONELIST=927140438","DNA")</f>
        <v>DNA</v>
      </c>
      <c r="D8149" s="18" t="s">
        <v>3054</v>
      </c>
      <c r="E8149" s="18" t="s">
        <v>2186</v>
      </c>
      <c r="F8149" s="2" t="s">
        <v>7987</v>
      </c>
      <c r="G8149" s="2" t="s">
        <v>3632</v>
      </c>
      <c r="H8149" s="14">
        <v>1.02</v>
      </c>
      <c r="I8149" s="2" t="s">
        <v>4761</v>
      </c>
      <c r="J8149" s="2" t="s">
        <v>13</v>
      </c>
      <c r="K8149" s="2" t="s">
        <v>1452</v>
      </c>
      <c r="L8149" s="2" t="s">
        <v>5221</v>
      </c>
      <c r="M8149" s="2" t="s">
        <v>5221</v>
      </c>
      <c r="N8149" s="2" t="s">
        <v>2317</v>
      </c>
      <c r="O8149" s="14">
        <v>6200</v>
      </c>
      <c r="P8149" s="14">
        <v>96.94</v>
      </c>
      <c r="Q8149" s="14">
        <v>189.72</v>
      </c>
      <c r="R8149" s="14">
        <v>193.51</v>
      </c>
      <c r="S8149" s="2" t="s">
        <v>6039</v>
      </c>
      <c r="T8149" s="2">
        <v>0.96</v>
      </c>
      <c r="U8149" s="2">
        <v>56.3</v>
      </c>
      <c r="V8149" s="2">
        <v>60</v>
      </c>
      <c r="W8149" s="2" t="s">
        <v>7862</v>
      </c>
      <c r="X8149" s="2" t="s">
        <v>4731</v>
      </c>
      <c r="Y8149" s="2">
        <v>6324</v>
      </c>
      <c r="Z8149" s="19" t="str">
        <f>HYPERLINK("https://ssdweb.co/ssdweb/hd/Vision360.html?d=927140438&amp;zoomslide=1&amp;z=1927140438&amp;ISCONFIRM=0","VIDEO")</f>
        <v>VIDEO</v>
      </c>
      <c r="AA8149" s="19" t="str">
        <f>HYPERLINK("https://ssdweb.co/ssdweb/CERTH/674532517.pdf","CERTI")</f>
        <v>CERTI</v>
      </c>
    </row>
    <row r="8150" spans="1:27" ht="15" x14ac:dyDescent="0.25">
      <c r="A8150" s="2">
        <v>8145</v>
      </c>
      <c r="B8150" s="39">
        <v>927140432</v>
      </c>
      <c r="C8150" s="28" t="str">
        <f>HYPERLINK("https://pld.live/RapDetail.aspx?STONELIST=927140432","DNA")</f>
        <v>DNA</v>
      </c>
      <c r="D8150" s="18" t="s">
        <v>3054</v>
      </c>
      <c r="E8150" s="18" t="s">
        <v>2186</v>
      </c>
      <c r="F8150" s="2" t="s">
        <v>7987</v>
      </c>
      <c r="G8150" s="2" t="s">
        <v>3632</v>
      </c>
      <c r="H8150" s="14">
        <v>1.02</v>
      </c>
      <c r="I8150" s="2" t="s">
        <v>4761</v>
      </c>
      <c r="J8150" s="2" t="s">
        <v>5144</v>
      </c>
      <c r="K8150" s="2" t="s">
        <v>1452</v>
      </c>
      <c r="L8150" s="2" t="s">
        <v>5221</v>
      </c>
      <c r="M8150" s="2" t="s">
        <v>5221</v>
      </c>
      <c r="N8150" s="2" t="s">
        <v>2317</v>
      </c>
      <c r="O8150" s="14">
        <v>5400</v>
      </c>
      <c r="P8150" s="14">
        <v>96.76</v>
      </c>
      <c r="Q8150" s="14">
        <v>174.96</v>
      </c>
      <c r="R8150" s="14">
        <v>178.46</v>
      </c>
      <c r="S8150" s="2" t="s">
        <v>1235</v>
      </c>
      <c r="T8150" s="2">
        <v>0.97</v>
      </c>
      <c r="U8150" s="2">
        <v>49.8</v>
      </c>
      <c r="V8150" s="2">
        <v>67</v>
      </c>
      <c r="W8150" s="2" t="s">
        <v>7862</v>
      </c>
      <c r="X8150" s="2" t="s">
        <v>4731</v>
      </c>
      <c r="Y8150" s="2">
        <v>5508</v>
      </c>
      <c r="Z8150" s="19" t="str">
        <f>HYPERLINK("https://ssdweb.co/ssdweb/hd/Vision360.html?d=927140432&amp;zoomslide=1&amp;z=1927140432&amp;ISCONFIRM=0","VIDEO")</f>
        <v>VIDEO</v>
      </c>
      <c r="AA8150" s="19" t="str">
        <f>HYPERLINK("https://ssdweb.co/ssdweb/CERTH/674532519.pdf","CERTI")</f>
        <v>CERTI</v>
      </c>
    </row>
    <row r="8151" spans="1:27" ht="15" x14ac:dyDescent="0.25">
      <c r="A8151" s="2">
        <v>8146</v>
      </c>
      <c r="B8151" s="39">
        <v>941160645</v>
      </c>
      <c r="C8151" s="28" t="str">
        <f>HYPERLINK("https://pld.live/RapDetail.aspx?STONELIST=941160645","DNA")</f>
        <v>DNA</v>
      </c>
      <c r="D8151" s="18" t="s">
        <v>3054</v>
      </c>
      <c r="E8151" s="18" t="s">
        <v>5128</v>
      </c>
      <c r="F8151" s="2" t="s">
        <v>7987</v>
      </c>
      <c r="G8151" s="2" t="s">
        <v>3632</v>
      </c>
      <c r="H8151" s="14">
        <v>1.02</v>
      </c>
      <c r="I8151" s="2" t="s">
        <v>4699</v>
      </c>
      <c r="J8151" s="2" t="s">
        <v>3942</v>
      </c>
      <c r="K8151" s="2" t="s">
        <v>1452</v>
      </c>
      <c r="L8151" s="2" t="s">
        <v>5221</v>
      </c>
      <c r="M8151" s="2" t="s">
        <v>5221</v>
      </c>
      <c r="N8151" s="2" t="s">
        <v>2317</v>
      </c>
      <c r="O8151" s="14">
        <v>6400</v>
      </c>
      <c r="P8151" s="14">
        <v>96.97</v>
      </c>
      <c r="Q8151" s="14">
        <v>193.92</v>
      </c>
      <c r="R8151" s="14">
        <v>197.8</v>
      </c>
      <c r="S8151" s="2" t="s">
        <v>6029</v>
      </c>
      <c r="T8151" s="2">
        <v>0.96</v>
      </c>
      <c r="U8151" s="2">
        <v>53.7</v>
      </c>
      <c r="V8151" s="2">
        <v>63</v>
      </c>
      <c r="W8151" s="2" t="s">
        <v>7862</v>
      </c>
      <c r="X8151" s="2" t="s">
        <v>4731</v>
      </c>
      <c r="Y8151" s="2">
        <v>6528</v>
      </c>
      <c r="Z8151" s="19" t="str">
        <f>HYPERLINK("https://ssdweb.co/ssdweb/hd/Vision360.html?d=941160645&amp;zoomslide=1&amp;z=1941160645&amp;ISCONFIRM=0","VIDEO")</f>
        <v>VIDEO</v>
      </c>
      <c r="AA8151" s="19" t="str">
        <f>HYPERLINK("https://ssdweb.co/ssdweb/CERTH/677510543.pdf","CERTI")</f>
        <v>CERTI</v>
      </c>
    </row>
    <row r="8152" spans="1:27" ht="15" x14ac:dyDescent="0.25">
      <c r="A8152" s="2">
        <v>8147</v>
      </c>
      <c r="B8152" s="39">
        <v>941160540</v>
      </c>
      <c r="C8152" s="28" t="str">
        <f>HYPERLINK("https://pld.live/RapDetail.aspx?STONELIST=941160540","DNA")</f>
        <v>DNA</v>
      </c>
      <c r="D8152" s="18" t="s">
        <v>3054</v>
      </c>
      <c r="E8152" s="18" t="s">
        <v>5128</v>
      </c>
      <c r="F8152" s="2" t="s">
        <v>7987</v>
      </c>
      <c r="G8152" s="2" t="s">
        <v>3632</v>
      </c>
      <c r="H8152" s="14">
        <v>1.01</v>
      </c>
      <c r="I8152" s="2" t="s">
        <v>267</v>
      </c>
      <c r="J8152" s="2" t="s">
        <v>3942</v>
      </c>
      <c r="K8152" s="2" t="s">
        <v>1452</v>
      </c>
      <c r="L8152" s="2" t="s">
        <v>5221</v>
      </c>
      <c r="M8152" s="2" t="s">
        <v>5221</v>
      </c>
      <c r="N8152" s="2" t="s">
        <v>2317</v>
      </c>
      <c r="O8152" s="14">
        <v>7600</v>
      </c>
      <c r="P8152" s="14">
        <v>97.17</v>
      </c>
      <c r="Q8152" s="14">
        <v>215.08</v>
      </c>
      <c r="R8152" s="14">
        <v>217.23</v>
      </c>
      <c r="S8152" s="2" t="s">
        <v>3351</v>
      </c>
      <c r="T8152" s="2">
        <v>0.97</v>
      </c>
      <c r="U8152" s="2">
        <v>51.7</v>
      </c>
      <c r="V8152" s="2">
        <v>54</v>
      </c>
      <c r="W8152" s="2" t="s">
        <v>7862</v>
      </c>
      <c r="X8152" s="2" t="s">
        <v>4731</v>
      </c>
      <c r="Y8152" s="2">
        <v>7676</v>
      </c>
      <c r="Z8152" s="19" t="str">
        <f>HYPERLINK("https://ssdweb.co/ssdweb/hd/Vision360.html?d=941160540&amp;zoomslide=1&amp;z=1941160540&amp;ISCONFIRM=0","VIDEO")</f>
        <v>VIDEO</v>
      </c>
      <c r="AA8152" s="19" t="str">
        <f>HYPERLINK("https://ssdweb.co/ssdweb/CERTH/674532615.pdf","CERTI")</f>
        <v>CERTI</v>
      </c>
    </row>
    <row r="8153" spans="1:27" ht="15" x14ac:dyDescent="0.25">
      <c r="A8153" s="2">
        <v>8148</v>
      </c>
      <c r="B8153" s="39">
        <v>941190460</v>
      </c>
      <c r="C8153" s="28" t="str">
        <f>HYPERLINK("https://pld.live/RapDetail.aspx?STONELIST=941190460","DNA")</f>
        <v>DNA</v>
      </c>
      <c r="D8153" s="18" t="s">
        <v>3054</v>
      </c>
      <c r="E8153" s="18" t="s">
        <v>5128</v>
      </c>
      <c r="F8153" s="2" t="s">
        <v>7987</v>
      </c>
      <c r="G8153" s="2" t="s">
        <v>3632</v>
      </c>
      <c r="H8153" s="14">
        <v>1.01</v>
      </c>
      <c r="I8153" s="2" t="s">
        <v>267</v>
      </c>
      <c r="J8153" s="2" t="s">
        <v>3942</v>
      </c>
      <c r="K8153" s="2" t="s">
        <v>1452</v>
      </c>
      <c r="L8153" s="2" t="s">
        <v>5221</v>
      </c>
      <c r="M8153" s="2" t="s">
        <v>5721</v>
      </c>
      <c r="N8153" s="2" t="s">
        <v>2317</v>
      </c>
      <c r="O8153" s="14">
        <v>7600</v>
      </c>
      <c r="P8153" s="14">
        <v>97.2</v>
      </c>
      <c r="Q8153" s="14">
        <v>212.8</v>
      </c>
      <c r="R8153" s="14">
        <v>214.93</v>
      </c>
      <c r="S8153" s="2" t="s">
        <v>4429</v>
      </c>
      <c r="T8153" s="2">
        <v>0.97</v>
      </c>
      <c r="U8153" s="2">
        <v>52.2</v>
      </c>
      <c r="V8153" s="2">
        <v>55</v>
      </c>
      <c r="W8153" s="2" t="s">
        <v>7862</v>
      </c>
      <c r="X8153" s="2" t="s">
        <v>4731</v>
      </c>
      <c r="Y8153" s="2">
        <v>7676</v>
      </c>
      <c r="Z8153" s="19" t="str">
        <f>HYPERLINK("https://ssdweb.co/ssdweb/hd/Vision360.html?d=941190460&amp;zoomslide=1&amp;z=1941190460&amp;ISCONFIRM=0","VIDEO")</f>
        <v>VIDEO</v>
      </c>
      <c r="AA8153" s="19" t="str">
        <f>HYPERLINK("https://ssdweb.co/ssdweb/CERTH/677510590.pdf","CERTI")</f>
        <v>CERTI</v>
      </c>
    </row>
    <row r="8154" spans="1:27" ht="15" x14ac:dyDescent="0.25">
      <c r="A8154" s="2">
        <v>8149</v>
      </c>
      <c r="B8154" s="39">
        <v>941160627</v>
      </c>
      <c r="C8154" s="28" t="str">
        <f>HYPERLINK("https://pld.live/RapDetail.aspx?STONELIST=941160627","DNA")</f>
        <v>DNA</v>
      </c>
      <c r="D8154" s="18" t="s">
        <v>3054</v>
      </c>
      <c r="E8154" s="18" t="s">
        <v>5128</v>
      </c>
      <c r="F8154" s="2" t="s">
        <v>7987</v>
      </c>
      <c r="G8154" s="2" t="s">
        <v>3632</v>
      </c>
      <c r="H8154" s="14">
        <v>1.01</v>
      </c>
      <c r="I8154" s="2" t="s">
        <v>267</v>
      </c>
      <c r="J8154" s="2" t="s">
        <v>13</v>
      </c>
      <c r="K8154" s="2" t="s">
        <v>1452</v>
      </c>
      <c r="L8154" s="2" t="s">
        <v>5221</v>
      </c>
      <c r="M8154" s="2" t="s">
        <v>5221</v>
      </c>
      <c r="N8154" s="2" t="s">
        <v>2317</v>
      </c>
      <c r="O8154" s="14">
        <v>6700</v>
      </c>
      <c r="P8154" s="14">
        <v>97.01</v>
      </c>
      <c r="Q8154" s="14">
        <v>200.33</v>
      </c>
      <c r="R8154" s="14">
        <v>202.33</v>
      </c>
      <c r="S8154" s="2" t="s">
        <v>5479</v>
      </c>
      <c r="T8154" s="2">
        <v>0.97</v>
      </c>
      <c r="U8154" s="2">
        <v>55.2</v>
      </c>
      <c r="V8154" s="2">
        <v>62</v>
      </c>
      <c r="W8154" s="2" t="s">
        <v>7862</v>
      </c>
      <c r="X8154" s="2" t="s">
        <v>4731</v>
      </c>
      <c r="Y8154" s="2">
        <v>6767</v>
      </c>
      <c r="Z8154" s="19" t="str">
        <f>HYPERLINK("https://ssdweb.co/ssdweb/hd/Vision360.html?d=941160627&amp;zoomslide=1&amp;z=1941160627&amp;ISCONFIRM=0","VIDEO")</f>
        <v>VIDEO</v>
      </c>
      <c r="AA8154" s="19" t="str">
        <f>HYPERLINK("https://ssdweb.co/ssdweb/CERTH/675596621.pdf","CERTI")</f>
        <v>CERTI</v>
      </c>
    </row>
    <row r="8155" spans="1:27" ht="15" x14ac:dyDescent="0.25">
      <c r="A8155" s="2">
        <v>8150</v>
      </c>
      <c r="B8155" s="39">
        <v>927140411</v>
      </c>
      <c r="C8155" s="28" t="str">
        <f>HYPERLINK("https://pld.live/RapDetail.aspx?STONELIST=927140411","DNA")</f>
        <v>DNA</v>
      </c>
      <c r="D8155" s="18" t="s">
        <v>3054</v>
      </c>
      <c r="E8155" s="18" t="s">
        <v>2186</v>
      </c>
      <c r="F8155" s="2" t="s">
        <v>7987</v>
      </c>
      <c r="G8155" s="2" t="s">
        <v>3632</v>
      </c>
      <c r="H8155" s="14">
        <v>1.01</v>
      </c>
      <c r="I8155" s="2" t="s">
        <v>267</v>
      </c>
      <c r="J8155" s="2" t="s">
        <v>13</v>
      </c>
      <c r="K8155" s="2" t="s">
        <v>1452</v>
      </c>
      <c r="L8155" s="2" t="s">
        <v>5221</v>
      </c>
      <c r="M8155" s="2" t="s">
        <v>5221</v>
      </c>
      <c r="N8155" s="2" t="s">
        <v>2317</v>
      </c>
      <c r="O8155" s="14">
        <v>6700</v>
      </c>
      <c r="P8155" s="14">
        <v>97.01</v>
      </c>
      <c r="Q8155" s="14">
        <v>200.33</v>
      </c>
      <c r="R8155" s="14">
        <v>202.33</v>
      </c>
      <c r="S8155" s="2" t="s">
        <v>743</v>
      </c>
      <c r="T8155" s="2">
        <v>0.98</v>
      </c>
      <c r="U8155" s="2">
        <v>49.7</v>
      </c>
      <c r="V8155" s="2">
        <v>57</v>
      </c>
      <c r="W8155" s="2" t="s">
        <v>7862</v>
      </c>
      <c r="X8155" s="2" t="s">
        <v>4731</v>
      </c>
      <c r="Y8155" s="2">
        <v>6767</v>
      </c>
      <c r="Z8155" s="19" t="str">
        <f>HYPERLINK("https://ssdweb.co/ssdweb/hd/Vision360.html?d=927140411&amp;zoomslide=1&amp;z=1927140411&amp;ISCONFIRM=0","VIDEO")</f>
        <v>VIDEO</v>
      </c>
      <c r="AA8155" s="19" t="str">
        <f>HYPERLINK("https://ssdweb.co/ssdweb/CERTH/671477222.pdf","CERTI")</f>
        <v>CERTI</v>
      </c>
    </row>
    <row r="8156" spans="1:27" ht="15" x14ac:dyDescent="0.25">
      <c r="A8156" s="2">
        <v>8151</v>
      </c>
      <c r="B8156" s="39">
        <v>927140440</v>
      </c>
      <c r="C8156" s="28" t="str">
        <f>HYPERLINK("https://pld.live/RapDetail.aspx?STONELIST=927140440","DNA")</f>
        <v>DNA</v>
      </c>
      <c r="D8156" s="18" t="s">
        <v>3054</v>
      </c>
      <c r="E8156" s="18" t="s">
        <v>2186</v>
      </c>
      <c r="F8156" s="2" t="s">
        <v>7987</v>
      </c>
      <c r="G8156" s="2" t="s">
        <v>3632</v>
      </c>
      <c r="H8156" s="14">
        <v>1.01</v>
      </c>
      <c r="I8156" s="2" t="s">
        <v>267</v>
      </c>
      <c r="J8156" s="2" t="s">
        <v>13</v>
      </c>
      <c r="K8156" s="2" t="s">
        <v>1452</v>
      </c>
      <c r="L8156" s="2" t="s">
        <v>5221</v>
      </c>
      <c r="M8156" s="2" t="s">
        <v>5221</v>
      </c>
      <c r="N8156" s="2" t="s">
        <v>2317</v>
      </c>
      <c r="O8156" s="14">
        <v>6700</v>
      </c>
      <c r="P8156" s="14">
        <v>97.01</v>
      </c>
      <c r="Q8156" s="14">
        <v>200.33</v>
      </c>
      <c r="R8156" s="14">
        <v>202.33</v>
      </c>
      <c r="S8156" s="2" t="s">
        <v>3540</v>
      </c>
      <c r="T8156" s="2">
        <v>0.94</v>
      </c>
      <c r="U8156" s="2">
        <v>48.8</v>
      </c>
      <c r="V8156" s="2">
        <v>67</v>
      </c>
      <c r="W8156" s="2" t="s">
        <v>7862</v>
      </c>
      <c r="X8156" s="2" t="s">
        <v>4731</v>
      </c>
      <c r="Y8156" s="2">
        <v>6767</v>
      </c>
      <c r="Z8156" s="19" t="str">
        <f>HYPERLINK("https://ssdweb.co/ssdweb/hd/Vision360.html?d=927140440&amp;zoomslide=1&amp;z=1927140440&amp;ISCONFIRM=0","VIDEO")</f>
        <v>VIDEO</v>
      </c>
      <c r="AA8156" s="19" t="str">
        <f>HYPERLINK("https://ssdweb.co/ssdweb/CERTH/674532532.pdf","CERTI")</f>
        <v>CERTI</v>
      </c>
    </row>
    <row r="8157" spans="1:27" ht="15" x14ac:dyDescent="0.25">
      <c r="A8157" s="2">
        <v>8152</v>
      </c>
      <c r="B8157" s="39">
        <v>927140431</v>
      </c>
      <c r="C8157" s="28" t="str">
        <f>HYPERLINK("https://pld.live/RapDetail.aspx?STONELIST=927140431","DNA")</f>
        <v>DNA</v>
      </c>
      <c r="D8157" s="18" t="s">
        <v>3054</v>
      </c>
      <c r="E8157" s="18" t="s">
        <v>2186</v>
      </c>
      <c r="F8157" s="2" t="s">
        <v>7987</v>
      </c>
      <c r="G8157" s="2" t="s">
        <v>3632</v>
      </c>
      <c r="H8157" s="14">
        <v>1</v>
      </c>
      <c r="I8157" s="2" t="s">
        <v>267</v>
      </c>
      <c r="J8157" s="2" t="s">
        <v>13</v>
      </c>
      <c r="K8157" s="2" t="s">
        <v>1452</v>
      </c>
      <c r="L8157" s="2" t="s">
        <v>5221</v>
      </c>
      <c r="M8157" s="2" t="s">
        <v>5221</v>
      </c>
      <c r="N8157" s="2" t="s">
        <v>2317</v>
      </c>
      <c r="O8157" s="14">
        <v>6700</v>
      </c>
      <c r="P8157" s="14">
        <v>97.01</v>
      </c>
      <c r="Q8157" s="14">
        <v>200.33</v>
      </c>
      <c r="R8157" s="14">
        <v>200.33</v>
      </c>
      <c r="S8157" s="2" t="s">
        <v>2290</v>
      </c>
      <c r="T8157" s="2">
        <v>0.96</v>
      </c>
      <c r="U8157" s="2">
        <v>50.2</v>
      </c>
      <c r="V8157" s="2">
        <v>64</v>
      </c>
      <c r="W8157" s="2" t="s">
        <v>7862</v>
      </c>
      <c r="X8157" s="2" t="s">
        <v>4731</v>
      </c>
      <c r="Y8157" s="2">
        <v>6700</v>
      </c>
      <c r="Z8157" s="19" t="str">
        <f>HYPERLINK("https://ssdweb.co/ssdweb/hd/Vision360.html?d=927140431&amp;zoomslide=1&amp;z=1927140431&amp;ISCONFIRM=0","VIDEO")</f>
        <v>VIDEO</v>
      </c>
      <c r="AA8157" s="19" t="str">
        <f>HYPERLINK("https://ssdweb.co/ssdweb/CERTH/674543275.pdf","CERTI")</f>
        <v>CERTI</v>
      </c>
    </row>
    <row r="8158" spans="1:27" ht="15" x14ac:dyDescent="0.25">
      <c r="A8158" s="2">
        <v>8153</v>
      </c>
      <c r="B8158" s="39">
        <v>927140436</v>
      </c>
      <c r="C8158" s="28" t="str">
        <f>HYPERLINK("https://pld.live/RapDetail.aspx?STONELIST=927140436","DNA")</f>
        <v>DNA</v>
      </c>
      <c r="D8158" s="18" t="s">
        <v>3054</v>
      </c>
      <c r="E8158" s="18" t="s">
        <v>2186</v>
      </c>
      <c r="F8158" s="2" t="s">
        <v>7987</v>
      </c>
      <c r="G8158" s="2" t="s">
        <v>3632</v>
      </c>
      <c r="H8158" s="14">
        <v>1</v>
      </c>
      <c r="I8158" s="2" t="s">
        <v>4761</v>
      </c>
      <c r="J8158" s="2" t="s">
        <v>13</v>
      </c>
      <c r="K8158" s="2" t="s">
        <v>1452</v>
      </c>
      <c r="L8158" s="2" t="s">
        <v>5221</v>
      </c>
      <c r="M8158" s="2" t="s">
        <v>5221</v>
      </c>
      <c r="N8158" s="2" t="s">
        <v>2317</v>
      </c>
      <c r="O8158" s="14">
        <v>6200</v>
      </c>
      <c r="P8158" s="14">
        <v>96.94</v>
      </c>
      <c r="Q8158" s="14">
        <v>189.72</v>
      </c>
      <c r="R8158" s="14">
        <v>189.72</v>
      </c>
      <c r="S8158" s="2" t="s">
        <v>4783</v>
      </c>
      <c r="T8158" s="2">
        <v>0.99</v>
      </c>
      <c r="U8158" s="2">
        <v>53.8</v>
      </c>
      <c r="V8158" s="2">
        <v>57</v>
      </c>
      <c r="W8158" s="2" t="s">
        <v>7862</v>
      </c>
      <c r="X8158" s="2" t="s">
        <v>4731</v>
      </c>
      <c r="Y8158" s="2">
        <v>6200</v>
      </c>
      <c r="Z8158" s="19" t="str">
        <f>HYPERLINK("https://ssdweb.co/ssdweb/hd/Vision360.html?d=927140436&amp;zoomslide=1&amp;z=1927140436&amp;ISCONFIRM=0","VIDEO")</f>
        <v>VIDEO</v>
      </c>
      <c r="AA8158" s="19" t="str">
        <f>HYPERLINK("https://ssdweb.co/ssdweb/CERTH/674532518.pdf","CERTI")</f>
        <v>CERTI</v>
      </c>
    </row>
    <row r="8159" spans="1:27" ht="15" x14ac:dyDescent="0.25">
      <c r="A8159" s="2">
        <v>8154</v>
      </c>
      <c r="B8159" s="39">
        <v>925950094</v>
      </c>
      <c r="C8159" s="28" t="str">
        <f>HYPERLINK("https://pld.live/RapDetail.aspx?STONELIST=925950094","DNA")</f>
        <v>DNA</v>
      </c>
      <c r="D8159" s="18" t="s">
        <v>5235</v>
      </c>
      <c r="E8159" s="18" t="s">
        <v>5128</v>
      </c>
      <c r="F8159" s="2" t="s">
        <v>7987</v>
      </c>
      <c r="G8159" s="2" t="s">
        <v>7733</v>
      </c>
      <c r="H8159" s="14">
        <v>1.37</v>
      </c>
      <c r="I8159" s="2" t="s">
        <v>267</v>
      </c>
      <c r="J8159" s="2" t="s">
        <v>3942</v>
      </c>
      <c r="K8159" s="2" t="s">
        <v>1452</v>
      </c>
      <c r="L8159" s="2" t="s">
        <v>5721</v>
      </c>
      <c r="M8159" s="2" t="s">
        <v>5721</v>
      </c>
      <c r="N8159" s="2" t="s">
        <v>2317</v>
      </c>
      <c r="O8159" s="14">
        <v>7600</v>
      </c>
      <c r="P8159" s="14">
        <v>95.53</v>
      </c>
      <c r="Q8159" s="14">
        <v>339.72</v>
      </c>
      <c r="R8159" s="14">
        <v>465.42</v>
      </c>
      <c r="S8159" s="2" t="s">
        <v>4867</v>
      </c>
      <c r="T8159" s="2">
        <v>1.34</v>
      </c>
      <c r="U8159" s="2">
        <v>58.1</v>
      </c>
      <c r="V8159" s="2">
        <v>69</v>
      </c>
      <c r="W8159" s="2" t="s">
        <v>7862</v>
      </c>
      <c r="X8159" s="2" t="s">
        <v>1930</v>
      </c>
      <c r="Y8159" s="2">
        <v>10412</v>
      </c>
      <c r="Z8159" s="19" t="str">
        <f>HYPERLINK("https://ssdweb.co/ssdweb/hd/Vision360.html?d=925950094&amp;zoomslide=1&amp;z=1925950094&amp;ISCONFIRM=0","VIDEO")</f>
        <v>VIDEO</v>
      </c>
      <c r="AA8159" s="19" t="str">
        <f>HYPERLINK("https://ssdweb.co/ssdweb/CERTH/627471601.pdf","CERTI")</f>
        <v>CERTI</v>
      </c>
    </row>
    <row r="8160" spans="1:27" ht="15" x14ac:dyDescent="0.25">
      <c r="A8160" s="2">
        <v>8155</v>
      </c>
      <c r="B8160" s="39">
        <v>831020550</v>
      </c>
      <c r="C8160" s="28" t="str">
        <f>HYPERLINK("https://pld.live/RapDetail.aspx?STONELIST=831020550","DNA")</f>
        <v>DNA</v>
      </c>
      <c r="D8160" s="18" t="s">
        <v>2694</v>
      </c>
      <c r="E8160" s="18" t="s">
        <v>2186</v>
      </c>
      <c r="F8160" s="2" t="s">
        <v>5597</v>
      </c>
      <c r="G8160" s="2" t="s">
        <v>1435</v>
      </c>
      <c r="H8160" s="14">
        <v>2.84</v>
      </c>
      <c r="I8160" s="2" t="s">
        <v>6587</v>
      </c>
      <c r="J8160" s="2" t="s">
        <v>13</v>
      </c>
      <c r="K8160" s="2" t="s">
        <v>1452</v>
      </c>
      <c r="L8160" s="2" t="s">
        <v>5221</v>
      </c>
      <c r="M8160" s="2" t="s">
        <v>5221</v>
      </c>
      <c r="N8160" s="2" t="s">
        <v>2317</v>
      </c>
      <c r="O8160" s="14">
        <v>14000</v>
      </c>
      <c r="P8160" s="14">
        <v>98.43</v>
      </c>
      <c r="Q8160" s="14">
        <v>219.8</v>
      </c>
      <c r="R8160" s="14">
        <v>624.23</v>
      </c>
      <c r="S8160" s="2" t="s">
        <v>7755</v>
      </c>
      <c r="T8160" s="2">
        <v>1</v>
      </c>
      <c r="U8160" s="2">
        <v>70.8</v>
      </c>
      <c r="V8160" s="2">
        <v>51</v>
      </c>
      <c r="W8160" s="2" t="s">
        <v>7862</v>
      </c>
      <c r="X8160" s="2" t="s">
        <v>3851</v>
      </c>
      <c r="Y8160" s="2">
        <v>39760</v>
      </c>
      <c r="Z8160" s="19" t="str">
        <f>HYPERLINK("https://ssdweb.co/ssdweb/hd/Vision360.html?d=831020550&amp;zoomslide=1&amp;z=1831020550&amp;ISCONFIRM=0","VIDEO")</f>
        <v>VIDEO</v>
      </c>
      <c r="AA8160" s="19" t="str">
        <f>HYPERLINK("https://ssdweb.co/ssdweb/CERTH/2476083133.pdf","CERTI")</f>
        <v>CERTI</v>
      </c>
    </row>
    <row r="8161" spans="1:27" ht="15" x14ac:dyDescent="0.25">
      <c r="A8161" s="2">
        <v>8156</v>
      </c>
      <c r="B8161" s="39">
        <v>924350183</v>
      </c>
      <c r="C8161" s="28" t="str">
        <f>HYPERLINK("https://pld.live/RapDetail.aspx?STONELIST=924350183","DNA")</f>
        <v>DNA</v>
      </c>
      <c r="D8161" s="18" t="s">
        <v>4032</v>
      </c>
      <c r="E8161" s="18" t="s">
        <v>2186</v>
      </c>
      <c r="F8161" s="2" t="s">
        <v>5597</v>
      </c>
      <c r="G8161" s="2" t="s">
        <v>1435</v>
      </c>
      <c r="H8161" s="14">
        <v>2.61</v>
      </c>
      <c r="I8161" s="2" t="s">
        <v>1505</v>
      </c>
      <c r="J8161" s="2" t="s">
        <v>13</v>
      </c>
      <c r="K8161" s="2" t="s">
        <v>1452</v>
      </c>
      <c r="L8161" s="2" t="s">
        <v>5221</v>
      </c>
      <c r="M8161" s="2" t="s">
        <v>5221</v>
      </c>
      <c r="N8161" s="2" t="s">
        <v>2317</v>
      </c>
      <c r="O8161" s="14">
        <v>11500</v>
      </c>
      <c r="P8161" s="14">
        <v>98.13</v>
      </c>
      <c r="Q8161" s="14">
        <v>215.05</v>
      </c>
      <c r="R8161" s="14">
        <v>561.28</v>
      </c>
      <c r="S8161" s="2" t="s">
        <v>3018</v>
      </c>
      <c r="T8161" s="2">
        <v>1</v>
      </c>
      <c r="U8161" s="2">
        <v>69.5</v>
      </c>
      <c r="V8161" s="2">
        <v>56</v>
      </c>
      <c r="W8161" s="2" t="s">
        <v>7862</v>
      </c>
      <c r="X8161" s="2" t="s">
        <v>3851</v>
      </c>
      <c r="Y8161" s="2">
        <v>30015</v>
      </c>
      <c r="Z8161" s="19" t="str">
        <f>HYPERLINK("https://ssdweb.co/ssdweb/hd/Vision360.html?d=924350183&amp;zoomslide=1&amp;z=1924350183&amp;ISCONFIRM=0","VIDEO")</f>
        <v>VIDEO</v>
      </c>
      <c r="AA8161" s="19" t="str">
        <f>HYPERLINK("https://ssdweb.co/ssdweb/CERTH/5473083102.pdf","CERTI")</f>
        <v>CERTI</v>
      </c>
    </row>
    <row r="8162" spans="1:27" ht="15" x14ac:dyDescent="0.25">
      <c r="A8162" s="2">
        <v>8157</v>
      </c>
      <c r="B8162" s="39">
        <v>924350078</v>
      </c>
      <c r="C8162" s="28" t="str">
        <f>HYPERLINK("https://pld.live/RapDetail.aspx?STONELIST=924350078","DNA")</f>
        <v>DNA</v>
      </c>
      <c r="D8162" s="18" t="s">
        <v>3658</v>
      </c>
      <c r="E8162" s="18" t="s">
        <v>2186</v>
      </c>
      <c r="F8162" s="2" t="s">
        <v>5597</v>
      </c>
      <c r="G8162" s="2" t="s">
        <v>1435</v>
      </c>
      <c r="H8162" s="14">
        <v>2.08</v>
      </c>
      <c r="I8162" s="2" t="s">
        <v>4699</v>
      </c>
      <c r="J8162" s="2" t="s">
        <v>13</v>
      </c>
      <c r="K8162" s="2" t="s">
        <v>1452</v>
      </c>
      <c r="L8162" s="2" t="s">
        <v>5221</v>
      </c>
      <c r="M8162" s="2" t="s">
        <v>5721</v>
      </c>
      <c r="N8162" s="2" t="s">
        <v>2317</v>
      </c>
      <c r="O8162" s="14">
        <v>15000</v>
      </c>
      <c r="P8162" s="14">
        <v>98.55</v>
      </c>
      <c r="Q8162" s="14">
        <v>217.5</v>
      </c>
      <c r="R8162" s="14">
        <v>452.4</v>
      </c>
      <c r="S8162" s="2" t="s">
        <v>7304</v>
      </c>
      <c r="T8162" s="2">
        <v>1</v>
      </c>
      <c r="U8162" s="2">
        <v>70.7</v>
      </c>
      <c r="V8162" s="2">
        <v>58</v>
      </c>
      <c r="W8162" s="2" t="s">
        <v>7862</v>
      </c>
      <c r="X8162" s="2" t="s">
        <v>3851</v>
      </c>
      <c r="Y8162" s="2">
        <v>31200</v>
      </c>
      <c r="Z8162" s="19" t="str">
        <f>HYPERLINK("https://ssdweb.co/ssdweb/hd/Vision360.html?d=924350078&amp;zoomslide=1&amp;z=1924350078&amp;ISCONFIRM=0","VIDEO")</f>
        <v>VIDEO</v>
      </c>
      <c r="AA8162" s="19" t="str">
        <f>HYPERLINK("https://ssdweb.co/ssdweb/CERTH/2476083212.pdf","CERTI")</f>
        <v>CERTI</v>
      </c>
    </row>
    <row r="8163" spans="1:27" ht="15" x14ac:dyDescent="0.25">
      <c r="A8163" s="2">
        <v>8158</v>
      </c>
      <c r="B8163" s="39">
        <v>924210107</v>
      </c>
      <c r="C8163" s="28" t="str">
        <f>HYPERLINK("https://pld.live/RapDetail.aspx?STONELIST=924210107","DNA")</f>
        <v>DNA</v>
      </c>
      <c r="D8163" s="18" t="s">
        <v>6675</v>
      </c>
      <c r="E8163" s="18" t="s">
        <v>2186</v>
      </c>
      <c r="F8163" s="2" t="s">
        <v>5597</v>
      </c>
      <c r="G8163" s="2" t="s">
        <v>1435</v>
      </c>
      <c r="H8163" s="14">
        <v>1.91</v>
      </c>
      <c r="I8163" s="2" t="s">
        <v>4761</v>
      </c>
      <c r="J8163" s="2" t="s">
        <v>3942</v>
      </c>
      <c r="K8163" s="2" t="s">
        <v>1452</v>
      </c>
      <c r="L8163" s="2" t="s">
        <v>5221</v>
      </c>
      <c r="M8163" s="2" t="s">
        <v>5721</v>
      </c>
      <c r="N8163" s="2" t="s">
        <v>2317</v>
      </c>
      <c r="O8163" s="14">
        <v>11600</v>
      </c>
      <c r="P8163" s="14">
        <v>98.19</v>
      </c>
      <c r="Q8163" s="14">
        <v>209.96</v>
      </c>
      <c r="R8163" s="14">
        <v>401.02</v>
      </c>
      <c r="S8163" s="2" t="s">
        <v>3966</v>
      </c>
      <c r="T8163" s="2">
        <v>1</v>
      </c>
      <c r="U8163" s="2">
        <v>68.900000000000006</v>
      </c>
      <c r="V8163" s="2">
        <v>56</v>
      </c>
      <c r="W8163" s="2" t="s">
        <v>7862</v>
      </c>
      <c r="X8163" s="2" t="s">
        <v>3851</v>
      </c>
      <c r="Y8163" s="2">
        <v>22156</v>
      </c>
      <c r="Z8163" s="19" t="str">
        <f>HYPERLINK("https://ssdweb.co/ssdweb/hd/Vision360.html?d=924210107&amp;zoomslide=1&amp;z=1924210107&amp;ISCONFIRM=0","VIDEO")</f>
        <v>VIDEO</v>
      </c>
      <c r="AA8163" s="19" t="str">
        <f>HYPERLINK("https://ssdweb.co/ssdweb/CERTH/2477079253.pdf","CERTI")</f>
        <v>CERTI</v>
      </c>
    </row>
    <row r="8164" spans="1:27" ht="15" x14ac:dyDescent="0.25">
      <c r="A8164" s="2">
        <v>8159</v>
      </c>
      <c r="B8164" s="39">
        <v>926580025</v>
      </c>
      <c r="C8164" s="28" t="str">
        <f>HYPERLINK("https://pld.live/RapDetail.aspx?STONELIST=926580025","DNA")</f>
        <v>DNA</v>
      </c>
      <c r="D8164" s="18" t="s">
        <v>5313</v>
      </c>
      <c r="E8164" s="18" t="s">
        <v>5128</v>
      </c>
      <c r="F8164" s="2" t="s">
        <v>7987</v>
      </c>
      <c r="G8164" s="2" t="s">
        <v>1435</v>
      </c>
      <c r="H8164" s="14">
        <v>1.84</v>
      </c>
      <c r="I8164" s="2" t="s">
        <v>4761</v>
      </c>
      <c r="J8164" s="2" t="s">
        <v>3942</v>
      </c>
      <c r="K8164" s="2" t="s">
        <v>1452</v>
      </c>
      <c r="L8164" s="2" t="s">
        <v>5221</v>
      </c>
      <c r="M8164" s="2" t="s">
        <v>5221</v>
      </c>
      <c r="N8164" s="2" t="s">
        <v>2317</v>
      </c>
      <c r="O8164" s="14">
        <v>11600</v>
      </c>
      <c r="P8164" s="14">
        <v>98.89</v>
      </c>
      <c r="Q8164" s="14">
        <v>128.76</v>
      </c>
      <c r="R8164" s="14">
        <v>236.92</v>
      </c>
      <c r="S8164" s="2" t="s">
        <v>5556</v>
      </c>
      <c r="T8164" s="2">
        <v>1.01</v>
      </c>
      <c r="U8164" s="2">
        <v>68.5</v>
      </c>
      <c r="V8164" s="2">
        <v>56</v>
      </c>
      <c r="W8164" s="2" t="s">
        <v>7862</v>
      </c>
      <c r="X8164" s="2" t="s">
        <v>5985</v>
      </c>
      <c r="Y8164" s="2">
        <v>21344</v>
      </c>
      <c r="Z8164" s="19" t="str">
        <f>HYPERLINK("https://ssdweb.co/ssdweb/hd/Vision360.html?d=926580025&amp;zoomslide=1&amp;z=1926580025&amp;ISCONFIRM=0","VIDEO")</f>
        <v>VIDEO</v>
      </c>
      <c r="AA8164" s="19" t="str">
        <f>HYPERLINK("https://ssdweb.co/ssdweb/CERTH/645490426.pdf","CERTI")</f>
        <v>CERTI</v>
      </c>
    </row>
    <row r="8165" spans="1:27" ht="15" x14ac:dyDescent="0.25">
      <c r="A8165" s="2">
        <v>8160</v>
      </c>
      <c r="B8165" s="39">
        <v>924760095</v>
      </c>
      <c r="C8165" s="28" t="str">
        <f>HYPERLINK("https://pld.live/RapDetail.aspx?STONELIST=924760095","DNA")</f>
        <v>DNA</v>
      </c>
      <c r="D8165" s="18" t="s">
        <v>711</v>
      </c>
      <c r="E8165" s="18" t="s">
        <v>5128</v>
      </c>
      <c r="F8165" s="2" t="s">
        <v>7987</v>
      </c>
      <c r="G8165" s="2" t="s">
        <v>1435</v>
      </c>
      <c r="H8165" s="14">
        <v>1.51</v>
      </c>
      <c r="I8165" s="2" t="s">
        <v>4761</v>
      </c>
      <c r="J8165" s="2" t="s">
        <v>5144</v>
      </c>
      <c r="K8165" s="2" t="s">
        <v>1452</v>
      </c>
      <c r="L8165" s="2" t="s">
        <v>5221</v>
      </c>
      <c r="M8165" s="2" t="s">
        <v>5221</v>
      </c>
      <c r="N8165" s="2" t="s">
        <v>2317</v>
      </c>
      <c r="O8165" s="14">
        <v>9300</v>
      </c>
      <c r="P8165" s="14">
        <v>98.78</v>
      </c>
      <c r="Q8165" s="14">
        <v>113.46</v>
      </c>
      <c r="R8165" s="14">
        <v>171.32</v>
      </c>
      <c r="S8165" s="2" t="s">
        <v>5300</v>
      </c>
      <c r="T8165" s="2">
        <v>1</v>
      </c>
      <c r="U8165" s="2">
        <v>71.900000000000006</v>
      </c>
      <c r="V8165" s="2">
        <v>52</v>
      </c>
      <c r="W8165" s="2" t="s">
        <v>7862</v>
      </c>
      <c r="X8165" s="2" t="s">
        <v>7670</v>
      </c>
      <c r="Y8165" s="2">
        <v>14043</v>
      </c>
      <c r="Z8165" s="19" t="str">
        <f>HYPERLINK("https://ssdweb.co/ssdweb/hd/Vision360.html?d=924760095&amp;zoomslide=1&amp;z=1924760095&amp;ISCONFIRM=0","VIDEO")</f>
        <v>VIDEO</v>
      </c>
      <c r="AA8165" s="19" t="str">
        <f>HYPERLINK("https://ssdweb.co/ssdweb/CERTH/600304666.pdf","CERTI")</f>
        <v>CERTI</v>
      </c>
    </row>
    <row r="8166" spans="1:27" ht="15" x14ac:dyDescent="0.25">
      <c r="A8166" s="2">
        <v>8161</v>
      </c>
      <c r="B8166" s="39">
        <v>924350073</v>
      </c>
      <c r="C8166" s="28" t="str">
        <f>HYPERLINK("https://pld.live/RapDetail.aspx?STONELIST=924350073","DNA")</f>
        <v>DNA</v>
      </c>
      <c r="D8166" s="18" t="s">
        <v>711</v>
      </c>
      <c r="E8166" s="18" t="s">
        <v>2186</v>
      </c>
      <c r="F8166" s="2" t="s">
        <v>5597</v>
      </c>
      <c r="G8166" s="2" t="s">
        <v>1435</v>
      </c>
      <c r="H8166" s="14">
        <v>1.5</v>
      </c>
      <c r="I8166" s="2" t="s">
        <v>4699</v>
      </c>
      <c r="J8166" s="2" t="s">
        <v>13</v>
      </c>
      <c r="K8166" s="2" t="s">
        <v>1452</v>
      </c>
      <c r="L8166" s="2" t="s">
        <v>5221</v>
      </c>
      <c r="M8166" s="2" t="s">
        <v>5721</v>
      </c>
      <c r="N8166" s="2" t="s">
        <v>2317</v>
      </c>
      <c r="O8166" s="14">
        <v>10200</v>
      </c>
      <c r="P8166" s="14">
        <v>98.09</v>
      </c>
      <c r="Q8166" s="14">
        <v>194.82</v>
      </c>
      <c r="R8166" s="14">
        <v>292.23</v>
      </c>
      <c r="S8166" s="2" t="s">
        <v>2146</v>
      </c>
      <c r="T8166" s="2">
        <v>1.01</v>
      </c>
      <c r="U8166" s="2">
        <v>68.599999999999994</v>
      </c>
      <c r="V8166" s="2">
        <v>59</v>
      </c>
      <c r="W8166" s="2" t="s">
        <v>7862</v>
      </c>
      <c r="X8166" s="2" t="s">
        <v>3851</v>
      </c>
      <c r="Y8166" s="2">
        <v>15300</v>
      </c>
      <c r="Z8166" s="19" t="str">
        <f>HYPERLINK("https://ssdweb.co/ssdweb/hd/Vision360.html?d=924350073&amp;zoomslide=1&amp;z=1924350073&amp;ISCONFIRM=0","VIDEO")</f>
        <v>VIDEO</v>
      </c>
      <c r="AA8166" s="19" t="str">
        <f>HYPERLINK("https://ssdweb.co/ssdweb/CERTH/1473079180.pdf","CERTI")</f>
        <v>CERTI</v>
      </c>
    </row>
    <row r="8167" spans="1:27" ht="15" x14ac:dyDescent="0.25">
      <c r="A8167" s="2">
        <v>8162</v>
      </c>
      <c r="B8167" s="39">
        <v>924330101</v>
      </c>
      <c r="C8167" s="28" t="str">
        <f>HYPERLINK("https://pld.live/RapDetail.aspx?STONELIST=924330101","DNA")</f>
        <v>DNA</v>
      </c>
      <c r="D8167" s="18" t="s">
        <v>5466</v>
      </c>
      <c r="E8167" s="18" t="s">
        <v>5128</v>
      </c>
      <c r="F8167" s="2" t="s">
        <v>5597</v>
      </c>
      <c r="G8167" s="2" t="s">
        <v>1435</v>
      </c>
      <c r="H8167" s="14">
        <v>0.53</v>
      </c>
      <c r="I8167" s="2" t="s">
        <v>267</v>
      </c>
      <c r="J8167" s="2" t="s">
        <v>13</v>
      </c>
      <c r="K8167" s="2" t="s">
        <v>1452</v>
      </c>
      <c r="L8167" s="2" t="s">
        <v>5221</v>
      </c>
      <c r="M8167" s="2" t="s">
        <v>5721</v>
      </c>
      <c r="N8167" s="2" t="s">
        <v>2317</v>
      </c>
      <c r="O8167" s="14">
        <v>2600</v>
      </c>
      <c r="P8167" s="14">
        <v>90.77</v>
      </c>
      <c r="Q8167" s="14">
        <v>239.98</v>
      </c>
      <c r="R8167" s="14">
        <v>127.19</v>
      </c>
      <c r="S8167" s="2" t="s">
        <v>6779</v>
      </c>
      <c r="T8167" s="2">
        <v>1.01</v>
      </c>
      <c r="U8167" s="2">
        <v>69.7</v>
      </c>
      <c r="V8167" s="2">
        <v>52</v>
      </c>
      <c r="W8167" s="2" t="s">
        <v>7862</v>
      </c>
      <c r="X8167" s="2" t="s">
        <v>3851</v>
      </c>
      <c r="Y8167" s="2">
        <v>1378</v>
      </c>
      <c r="Z8167" s="19" t="str">
        <f>HYPERLINK("https://ssdweb.co/ssdweb/hd/Vision360.html?d=924330101&amp;zoomslide=1&amp;z=1924330101&amp;ISCONFIRM=0","VIDEO")</f>
        <v>VIDEO</v>
      </c>
      <c r="AA8167" s="19" t="str">
        <f>HYPERLINK("https://ssdweb.co/ssdweb/CERTH/6472076887.pdf","CERTI")</f>
        <v>CERTI</v>
      </c>
    </row>
    <row r="8168" spans="1:27" ht="15" x14ac:dyDescent="0.25">
      <c r="A8168" s="2">
        <v>8163</v>
      </c>
      <c r="B8168" s="39">
        <v>831010735</v>
      </c>
      <c r="C8168" s="28" t="str">
        <f>HYPERLINK("https://pld.live/RapDetail.aspx?STONELIST=831010735","DNA")</f>
        <v>DNA</v>
      </c>
      <c r="D8168" s="18" t="s">
        <v>5466</v>
      </c>
      <c r="E8168" s="18" t="s">
        <v>5128</v>
      </c>
      <c r="F8168" s="2" t="s">
        <v>5597</v>
      </c>
      <c r="G8168" s="2" t="s">
        <v>1435</v>
      </c>
      <c r="H8168" s="14">
        <v>0.52</v>
      </c>
      <c r="I8168" s="2" t="s">
        <v>267</v>
      </c>
      <c r="J8168" s="2" t="s">
        <v>3942</v>
      </c>
      <c r="K8168" s="2" t="s">
        <v>1452</v>
      </c>
      <c r="L8168" s="2" t="s">
        <v>5221</v>
      </c>
      <c r="M8168" s="2" t="s">
        <v>5721</v>
      </c>
      <c r="N8168" s="2" t="s">
        <v>2317</v>
      </c>
      <c r="O8168" s="14">
        <v>2800</v>
      </c>
      <c r="P8168" s="14">
        <v>91.07</v>
      </c>
      <c r="Q8168" s="14">
        <v>250.04</v>
      </c>
      <c r="R8168" s="14">
        <v>130.02000000000001</v>
      </c>
      <c r="S8168" s="2" t="s">
        <v>1390</v>
      </c>
      <c r="T8168" s="2">
        <v>1</v>
      </c>
      <c r="U8168" s="2">
        <v>68.400000000000006</v>
      </c>
      <c r="V8168" s="2">
        <v>54</v>
      </c>
      <c r="W8168" s="2" t="s">
        <v>7862</v>
      </c>
      <c r="X8168" s="2" t="s">
        <v>3851</v>
      </c>
      <c r="Y8168" s="2">
        <v>1456</v>
      </c>
      <c r="Z8168" s="19" t="str">
        <f>HYPERLINK("https://ssdweb.co/ssdweb/hd/Vision360.html?d=831010735&amp;zoomslide=1&amp;z=1831010735&amp;ISCONFIRM=0","VIDEO")</f>
        <v>VIDEO</v>
      </c>
      <c r="AA8168" s="19" t="str">
        <f>HYPERLINK("https://ssdweb.co/ssdweb/CERTH/6472076599.pdf","CERTI")</f>
        <v>CERTI</v>
      </c>
    </row>
    <row r="8169" spans="1:27" ht="15" x14ac:dyDescent="0.25">
      <c r="A8169" s="2">
        <v>8164</v>
      </c>
      <c r="B8169" s="39">
        <v>924510226</v>
      </c>
      <c r="C8169" s="28" t="str">
        <f>HYPERLINK("https://pld.live/RapDetail.aspx?STONELIST=924510226","DNA")</f>
        <v>DNA</v>
      </c>
      <c r="D8169" s="18" t="s">
        <v>3174</v>
      </c>
      <c r="E8169" s="18" t="s">
        <v>2186</v>
      </c>
      <c r="F8169" s="2" t="s">
        <v>7987</v>
      </c>
      <c r="G8169" s="2" t="s">
        <v>529</v>
      </c>
      <c r="H8169" s="14">
        <v>5.26</v>
      </c>
      <c r="I8169" s="2" t="s">
        <v>1066</v>
      </c>
      <c r="J8169" s="2" t="s">
        <v>5144</v>
      </c>
      <c r="K8169" s="2" t="s">
        <v>1452</v>
      </c>
      <c r="L8169" s="2" t="s">
        <v>5221</v>
      </c>
      <c r="M8169" s="2" t="s">
        <v>5221</v>
      </c>
      <c r="N8169" s="2" t="s">
        <v>924</v>
      </c>
      <c r="O8169" s="14">
        <v>9000</v>
      </c>
      <c r="P8169" s="14">
        <v>96</v>
      </c>
      <c r="Q8169" s="14">
        <v>360</v>
      </c>
      <c r="R8169" s="14">
        <v>1893.6</v>
      </c>
      <c r="S8169" s="2" t="s">
        <v>8089</v>
      </c>
      <c r="T8169" s="2">
        <v>1.23</v>
      </c>
      <c r="U8169" s="2">
        <v>65.900000000000006</v>
      </c>
      <c r="V8169" s="2">
        <v>63</v>
      </c>
      <c r="W8169" s="2" t="s">
        <v>7862</v>
      </c>
      <c r="X8169" s="2" t="s">
        <v>3851</v>
      </c>
      <c r="Y8169" s="2">
        <v>47340</v>
      </c>
      <c r="Z8169" s="19" t="str">
        <f>HYPERLINK("https://ssdweb.co/ssdweb/hd/Vision360.html?d=924510226&amp;zoomslide=1&amp;z=1924510226&amp;ISCONFIRM=0","VIDEO")</f>
        <v>VIDEO</v>
      </c>
      <c r="AA8169" s="19" t="str">
        <f>HYPERLINK("https://ssdweb.co/ssdweb/CERTH/651454585.pdf","CERTI")</f>
        <v>CERTI</v>
      </c>
    </row>
    <row r="8170" spans="1:27" ht="15" x14ac:dyDescent="0.25">
      <c r="A8170" s="2">
        <v>8165</v>
      </c>
      <c r="B8170" s="39">
        <v>831020629</v>
      </c>
      <c r="C8170" s="28" t="str">
        <f>HYPERLINK("https://pld.live/RapDetail.aspx?STONELIST=831020629","DNA")</f>
        <v>DNA</v>
      </c>
      <c r="D8170" s="18" t="s">
        <v>6469</v>
      </c>
      <c r="E8170" s="18" t="s">
        <v>2186</v>
      </c>
      <c r="F8170" s="2" t="s">
        <v>7987</v>
      </c>
      <c r="G8170" s="2" t="s">
        <v>529</v>
      </c>
      <c r="H8170" s="14">
        <v>3.41</v>
      </c>
      <c r="I8170" s="2" t="s">
        <v>4761</v>
      </c>
      <c r="J8170" s="2" t="s">
        <v>13</v>
      </c>
      <c r="K8170" s="2" t="s">
        <v>1452</v>
      </c>
      <c r="L8170" s="2" t="s">
        <v>5221</v>
      </c>
      <c r="M8170" s="2" t="s">
        <v>5221</v>
      </c>
      <c r="N8170" s="2" t="s">
        <v>2317</v>
      </c>
      <c r="O8170" s="14">
        <v>27500</v>
      </c>
      <c r="P8170" s="14">
        <v>99.45</v>
      </c>
      <c r="Q8170" s="14">
        <v>151.25</v>
      </c>
      <c r="R8170" s="14">
        <v>515.76</v>
      </c>
      <c r="S8170" s="2" t="s">
        <v>4189</v>
      </c>
      <c r="T8170" s="2">
        <v>1.33</v>
      </c>
      <c r="U8170" s="2">
        <v>66.3</v>
      </c>
      <c r="V8170" s="2">
        <v>62</v>
      </c>
      <c r="W8170" s="2" t="s">
        <v>7862</v>
      </c>
      <c r="X8170" s="2" t="s">
        <v>3851</v>
      </c>
      <c r="Y8170" s="2">
        <v>93775</v>
      </c>
      <c r="Z8170" s="19" t="str">
        <f>HYPERLINK("https://ssdweb.co/ssdweb/hd/Vision360.html?d=831020629&amp;zoomslide=1&amp;z=1831020629&amp;ISCONFIRM=0","VIDEO")</f>
        <v>VIDEO</v>
      </c>
      <c r="AA8170" s="19" t="str">
        <f>HYPERLINK("https://ssdweb.co/ssdweb/CERTH/598316309.pdf","CERTI")</f>
        <v>CERTI</v>
      </c>
    </row>
    <row r="8171" spans="1:27" ht="15" x14ac:dyDescent="0.25">
      <c r="A8171" s="2">
        <v>8166</v>
      </c>
      <c r="B8171" s="39">
        <v>924450031</v>
      </c>
      <c r="C8171" s="28" t="str">
        <f>HYPERLINK("https://pld.live/RapDetail.aspx?STONELIST=924450031","DNA")</f>
        <v>DNA</v>
      </c>
      <c r="D8171" s="18" t="s">
        <v>4563</v>
      </c>
      <c r="E8171" s="18" t="s">
        <v>2186</v>
      </c>
      <c r="F8171" s="2" t="s">
        <v>5597</v>
      </c>
      <c r="G8171" s="2" t="s">
        <v>529</v>
      </c>
      <c r="H8171" s="14">
        <v>3.27</v>
      </c>
      <c r="I8171" s="2" t="s">
        <v>4761</v>
      </c>
      <c r="J8171" s="2" t="s">
        <v>3942</v>
      </c>
      <c r="K8171" s="2" t="s">
        <v>1452</v>
      </c>
      <c r="L8171" s="2" t="s">
        <v>5221</v>
      </c>
      <c r="M8171" s="2" t="s">
        <v>5221</v>
      </c>
      <c r="N8171" s="2" t="s">
        <v>2317</v>
      </c>
      <c r="O8171" s="14">
        <v>29500</v>
      </c>
      <c r="P8171" s="14">
        <v>98.83</v>
      </c>
      <c r="Q8171" s="14">
        <v>345.15</v>
      </c>
      <c r="R8171" s="14">
        <v>1128.6400000000001</v>
      </c>
      <c r="S8171" s="2" t="s">
        <v>7663</v>
      </c>
      <c r="T8171" s="2">
        <v>1.34</v>
      </c>
      <c r="U8171" s="2">
        <v>65.8</v>
      </c>
      <c r="V8171" s="2">
        <v>63</v>
      </c>
      <c r="W8171" s="2" t="s">
        <v>7862</v>
      </c>
      <c r="X8171" s="2" t="s">
        <v>7053</v>
      </c>
      <c r="Y8171" s="2">
        <v>96465</v>
      </c>
      <c r="Z8171" s="19" t="str">
        <f>HYPERLINK("https://ssdweb.co/ssdweb/hd/Vision360.html?d=924450031&amp;zoomslide=1&amp;z=1924450031&amp;ISCONFIRM=0","VIDEO")</f>
        <v>VIDEO</v>
      </c>
      <c r="AA8171" s="19" t="str">
        <f>HYPERLINK("https://ssdweb.co/ssdweb/CERTH/6472261849.pdf","CERTI")</f>
        <v>CERTI</v>
      </c>
    </row>
    <row r="8172" spans="1:27" ht="15" x14ac:dyDescent="0.25">
      <c r="A8172" s="2">
        <v>8167</v>
      </c>
      <c r="B8172" s="39">
        <v>924430095</v>
      </c>
      <c r="C8172" s="28" t="str">
        <f>HYPERLINK("https://pld.live/RapDetail.aspx?STONELIST=924430095","DNA")</f>
        <v>DNA</v>
      </c>
      <c r="D8172" s="18" t="s">
        <v>4563</v>
      </c>
      <c r="E8172" s="18" t="s">
        <v>2186</v>
      </c>
      <c r="F8172" s="2" t="s">
        <v>5597</v>
      </c>
      <c r="G8172" s="2" t="s">
        <v>529</v>
      </c>
      <c r="H8172" s="14">
        <v>3.09</v>
      </c>
      <c r="I8172" s="2" t="s">
        <v>4761</v>
      </c>
      <c r="J8172" s="2" t="s">
        <v>13</v>
      </c>
      <c r="K8172" s="2" t="s">
        <v>1452</v>
      </c>
      <c r="L8172" s="2" t="s">
        <v>5221</v>
      </c>
      <c r="M8172" s="2" t="s">
        <v>5221</v>
      </c>
      <c r="N8172" s="2" t="s">
        <v>2317</v>
      </c>
      <c r="O8172" s="14">
        <v>27500</v>
      </c>
      <c r="P8172" s="14">
        <v>98.89</v>
      </c>
      <c r="Q8172" s="14">
        <v>305.25</v>
      </c>
      <c r="R8172" s="14">
        <v>943.22</v>
      </c>
      <c r="S8172" s="2" t="s">
        <v>695</v>
      </c>
      <c r="T8172" s="2">
        <v>1.49</v>
      </c>
      <c r="U8172" s="2">
        <v>66</v>
      </c>
      <c r="V8172" s="2">
        <v>64</v>
      </c>
      <c r="W8172" s="2" t="s">
        <v>7862</v>
      </c>
      <c r="X8172" s="2" t="s">
        <v>7053</v>
      </c>
      <c r="Y8172" s="2">
        <v>84975</v>
      </c>
      <c r="Z8172" s="19" t="str">
        <f>HYPERLINK("https://ssdweb.co/ssdweb/hd/Vision360.html?d=924430095&amp;zoomslide=1&amp;z=1924430095&amp;ISCONFIRM=0","VIDEO")</f>
        <v>VIDEO</v>
      </c>
      <c r="AA8172" s="19" t="str">
        <f>HYPERLINK("https://ssdweb.co/ssdweb/CERTH/7476259186.pdf","CERTI")</f>
        <v>CERTI</v>
      </c>
    </row>
    <row r="8173" spans="1:27" ht="15" x14ac:dyDescent="0.25">
      <c r="A8173" s="2">
        <v>8168</v>
      </c>
      <c r="B8173" s="39">
        <v>924430185</v>
      </c>
      <c r="C8173" s="28" t="str">
        <f>HYPERLINK("https://pld.live/RapDetail.aspx?STONELIST=924430185","DNA")</f>
        <v>DNA</v>
      </c>
      <c r="D8173" s="18" t="s">
        <v>4563</v>
      </c>
      <c r="E8173" s="18" t="s">
        <v>2186</v>
      </c>
      <c r="F8173" s="2" t="s">
        <v>7987</v>
      </c>
      <c r="G8173" s="2" t="s">
        <v>529</v>
      </c>
      <c r="H8173" s="14">
        <v>3.02</v>
      </c>
      <c r="I8173" s="2" t="s">
        <v>6587</v>
      </c>
      <c r="J8173" s="2" t="s">
        <v>13</v>
      </c>
      <c r="K8173" s="2" t="s">
        <v>1452</v>
      </c>
      <c r="L8173" s="2" t="s">
        <v>5221</v>
      </c>
      <c r="M8173" s="2" t="s">
        <v>5221</v>
      </c>
      <c r="N8173" s="2" t="s">
        <v>2317</v>
      </c>
      <c r="O8173" s="14">
        <v>22500</v>
      </c>
      <c r="P8173" s="14">
        <v>99.4</v>
      </c>
      <c r="Q8173" s="14">
        <v>135</v>
      </c>
      <c r="R8173" s="14">
        <v>407.7</v>
      </c>
      <c r="S8173" s="2" t="s">
        <v>7899</v>
      </c>
      <c r="T8173" s="2">
        <v>1.37</v>
      </c>
      <c r="U8173" s="2">
        <v>67.3</v>
      </c>
      <c r="V8173" s="2">
        <v>61</v>
      </c>
      <c r="W8173" s="2" t="s">
        <v>8016</v>
      </c>
      <c r="X8173" s="2" t="s">
        <v>3851</v>
      </c>
      <c r="Y8173" s="2">
        <v>67950</v>
      </c>
      <c r="Z8173" s="19" t="str">
        <f>HYPERLINK("https://ssdweb.co/ssdweb/hd/Vision360.html?d=924430185&amp;zoomslide=1&amp;z=1924430185&amp;ISCONFIRM=0","VIDEO")</f>
        <v>VIDEO</v>
      </c>
      <c r="AA8173" s="19" t="str">
        <f>HYPERLINK("https://ssdweb.co/ssdweb/CERTH/598375594.pdf","CERTI")</f>
        <v>CERTI</v>
      </c>
    </row>
    <row r="8174" spans="1:27" ht="15" x14ac:dyDescent="0.25">
      <c r="A8174" s="2">
        <v>8169</v>
      </c>
      <c r="B8174" s="39">
        <v>831020718</v>
      </c>
      <c r="C8174" s="28" t="str">
        <f>HYPERLINK("https://pld.live/RapDetail.aspx?STONELIST=831020718","DNA")</f>
        <v>DNA</v>
      </c>
      <c r="D8174" s="18" t="s">
        <v>3658</v>
      </c>
      <c r="E8174" s="18" t="s">
        <v>2186</v>
      </c>
      <c r="F8174" s="2" t="s">
        <v>5597</v>
      </c>
      <c r="G8174" s="2" t="s">
        <v>529</v>
      </c>
      <c r="H8174" s="14">
        <v>2.02</v>
      </c>
      <c r="I8174" s="2" t="s">
        <v>6587</v>
      </c>
      <c r="J8174" s="2" t="s">
        <v>3942</v>
      </c>
      <c r="K8174" s="2" t="s">
        <v>1452</v>
      </c>
      <c r="L8174" s="2" t="s">
        <v>5221</v>
      </c>
      <c r="M8174" s="2" t="s">
        <v>5221</v>
      </c>
      <c r="N8174" s="2" t="s">
        <v>2317</v>
      </c>
      <c r="O8174" s="14">
        <v>15000</v>
      </c>
      <c r="P8174" s="14">
        <v>98.57</v>
      </c>
      <c r="Q8174" s="14">
        <v>214.5</v>
      </c>
      <c r="R8174" s="14">
        <v>433.29</v>
      </c>
      <c r="S8174" s="2" t="s">
        <v>63</v>
      </c>
      <c r="T8174" s="2">
        <v>1.34</v>
      </c>
      <c r="U8174" s="2">
        <v>65.900000000000006</v>
      </c>
      <c r="V8174" s="2">
        <v>63</v>
      </c>
      <c r="W8174" s="2" t="s">
        <v>7862</v>
      </c>
      <c r="X8174" s="2" t="s">
        <v>7053</v>
      </c>
      <c r="Y8174" s="2">
        <v>30300</v>
      </c>
      <c r="Z8174" s="19" t="str">
        <f>HYPERLINK("https://ssdweb.co/ssdweb/hd/Vision360.html?d=831020718&amp;zoomslide=1&amp;z=1831020718&amp;ISCONFIRM=0","VIDEO")</f>
        <v>VIDEO</v>
      </c>
      <c r="AA8174" s="19" t="str">
        <f>HYPERLINK("https://ssdweb.co/ssdweb/CERTH/1473311692.pdf","CERTI")</f>
        <v>CERTI</v>
      </c>
    </row>
    <row r="8175" spans="1:27" ht="15" x14ac:dyDescent="0.25">
      <c r="A8175" s="2">
        <v>8170</v>
      </c>
      <c r="B8175" s="39">
        <v>924410816</v>
      </c>
      <c r="C8175" s="28" t="str">
        <f>HYPERLINK("https://pld.live/RapDetail.aspx?STONELIST=924410816","DNA")</f>
        <v>DNA</v>
      </c>
      <c r="D8175" s="18" t="s">
        <v>711</v>
      </c>
      <c r="E8175" s="18" t="s">
        <v>2186</v>
      </c>
      <c r="F8175" s="2" t="s">
        <v>7987</v>
      </c>
      <c r="G8175" s="2" t="s">
        <v>529</v>
      </c>
      <c r="H8175" s="14">
        <v>1.61</v>
      </c>
      <c r="I8175" s="2" t="s">
        <v>6587</v>
      </c>
      <c r="J8175" s="2" t="s">
        <v>13</v>
      </c>
      <c r="K8175" s="2" t="s">
        <v>1452</v>
      </c>
      <c r="L8175" s="2" t="s">
        <v>5221</v>
      </c>
      <c r="M8175" s="2" t="s">
        <v>5221</v>
      </c>
      <c r="N8175" s="2" t="s">
        <v>2317</v>
      </c>
      <c r="O8175" s="14">
        <v>9300</v>
      </c>
      <c r="P8175" s="14">
        <v>98.81</v>
      </c>
      <c r="Q8175" s="14">
        <v>110.67</v>
      </c>
      <c r="R8175" s="14">
        <v>178.18</v>
      </c>
      <c r="S8175" s="2" t="s">
        <v>2393</v>
      </c>
      <c r="T8175" s="2">
        <v>1.35</v>
      </c>
      <c r="U8175" s="2">
        <v>65.900000000000006</v>
      </c>
      <c r="V8175" s="2">
        <v>64</v>
      </c>
      <c r="W8175" s="2" t="s">
        <v>7862</v>
      </c>
      <c r="X8175" s="2" t="s">
        <v>3851</v>
      </c>
      <c r="Y8175" s="2">
        <v>14973</v>
      </c>
      <c r="Z8175" s="19" t="str">
        <f>HYPERLINK("https://ssdweb.co/ssdweb/hd/Vision360.html?d=924410816&amp;zoomslide=1&amp;z=1924410816&amp;ISCONFIRM=0","VIDEO")</f>
        <v>VIDEO</v>
      </c>
      <c r="AA8175" s="19" t="str">
        <f>HYPERLINK("https://ssdweb.co/ssdweb/CERTH/597387030.pdf","CERTI")</f>
        <v>CERTI</v>
      </c>
    </row>
    <row r="8176" spans="1:27" ht="15" x14ac:dyDescent="0.25">
      <c r="A8176" s="2">
        <v>8171</v>
      </c>
      <c r="B8176" s="39">
        <v>924750472</v>
      </c>
      <c r="C8176" s="28" t="str">
        <f>HYPERLINK("https://pld.live/RapDetail.aspx?STONELIST=924750472","DNA")</f>
        <v>DNA</v>
      </c>
      <c r="D8176" s="18" t="s">
        <v>711</v>
      </c>
      <c r="E8176" s="18" t="s">
        <v>5128</v>
      </c>
      <c r="F8176" s="2" t="s">
        <v>7987</v>
      </c>
      <c r="G8176" s="2" t="s">
        <v>529</v>
      </c>
      <c r="H8176" s="14">
        <v>1.58</v>
      </c>
      <c r="I8176" s="2" t="s">
        <v>1505</v>
      </c>
      <c r="J8176" s="2" t="s">
        <v>13</v>
      </c>
      <c r="K8176" s="2" t="s">
        <v>1452</v>
      </c>
      <c r="L8176" s="2" t="s">
        <v>5221</v>
      </c>
      <c r="M8176" s="2" t="s">
        <v>5221</v>
      </c>
      <c r="N8176" s="2" t="s">
        <v>2317</v>
      </c>
      <c r="O8176" s="14">
        <v>7900</v>
      </c>
      <c r="P8176" s="14">
        <v>98.73</v>
      </c>
      <c r="Q8176" s="14">
        <v>100.33</v>
      </c>
      <c r="R8176" s="14">
        <v>158.52000000000001</v>
      </c>
      <c r="S8176" s="2" t="s">
        <v>278</v>
      </c>
      <c r="T8176" s="2">
        <v>1.29</v>
      </c>
      <c r="U8176" s="2">
        <v>66.900000000000006</v>
      </c>
      <c r="V8176" s="2">
        <v>61</v>
      </c>
      <c r="W8176" s="2" t="s">
        <v>6297</v>
      </c>
      <c r="X8176" s="2" t="s">
        <v>3851</v>
      </c>
      <c r="Y8176" s="2">
        <v>12482</v>
      </c>
      <c r="Z8176" s="19" t="str">
        <f>HYPERLINK("https://ssdweb.co/ssdweb/hd/Vision360.html?d=924750472&amp;zoomslide=1&amp;z=1924750472&amp;ISCONFIRM=0","VIDEO")</f>
        <v>VIDEO</v>
      </c>
      <c r="AA8176" s="19" t="str">
        <f>HYPERLINK("https://ssdweb.co/ssdweb/CERTH/605305666.pdf","CERTI")</f>
        <v>CERTI</v>
      </c>
    </row>
    <row r="8177" spans="1:27" ht="15" x14ac:dyDescent="0.25">
      <c r="A8177" s="2">
        <v>8172</v>
      </c>
      <c r="B8177" s="39">
        <v>925290566</v>
      </c>
      <c r="C8177" s="28" t="str">
        <f>HYPERLINK("https://pld.live/RapDetail.aspx?STONELIST=925290566","DNA")</f>
        <v>DNA</v>
      </c>
      <c r="D8177" s="18" t="s">
        <v>711</v>
      </c>
      <c r="E8177" s="18" t="s">
        <v>5128</v>
      </c>
      <c r="F8177" s="2" t="s">
        <v>7987</v>
      </c>
      <c r="G8177" s="2" t="s">
        <v>529</v>
      </c>
      <c r="H8177" s="14">
        <v>1.55</v>
      </c>
      <c r="I8177" s="2" t="s">
        <v>4761</v>
      </c>
      <c r="J8177" s="2" t="s">
        <v>13</v>
      </c>
      <c r="K8177" s="2" t="s">
        <v>1452</v>
      </c>
      <c r="L8177" s="2" t="s">
        <v>5221</v>
      </c>
      <c r="M8177" s="2" t="s">
        <v>5221</v>
      </c>
      <c r="N8177" s="2" t="s">
        <v>2317</v>
      </c>
      <c r="O8177" s="14">
        <v>10800</v>
      </c>
      <c r="P8177" s="14">
        <v>98.92</v>
      </c>
      <c r="Q8177" s="14">
        <v>116.64</v>
      </c>
      <c r="R8177" s="14">
        <v>180.79</v>
      </c>
      <c r="S8177" s="2" t="s">
        <v>115</v>
      </c>
      <c r="T8177" s="2">
        <v>1.24</v>
      </c>
      <c r="U8177" s="2">
        <v>67.400000000000006</v>
      </c>
      <c r="V8177" s="2">
        <v>61</v>
      </c>
      <c r="W8177" s="2" t="s">
        <v>7862</v>
      </c>
      <c r="X8177" s="2" t="s">
        <v>3851</v>
      </c>
      <c r="Y8177" s="2">
        <v>16740</v>
      </c>
      <c r="Z8177" s="19" t="str">
        <f>HYPERLINK("https://ssdweb.co/ssdweb/hd/Vision360.html?d=925290566&amp;zoomslide=1&amp;z=1925290566&amp;ISCONFIRM=0","VIDEO")</f>
        <v>VIDEO</v>
      </c>
      <c r="AA8177" s="19" t="str">
        <f>HYPERLINK("https://ssdweb.co/ssdweb/CERTH/620448881.pdf","CERTI")</f>
        <v>CERTI</v>
      </c>
    </row>
    <row r="8178" spans="1:27" ht="15" x14ac:dyDescent="0.25">
      <c r="A8178" s="2">
        <v>8173</v>
      </c>
      <c r="B8178" s="39">
        <v>925270557</v>
      </c>
      <c r="C8178" s="28" t="str">
        <f>HYPERLINK("https://pld.live/RapDetail.aspx?STONELIST=925270557","DNA")</f>
        <v>DNA</v>
      </c>
      <c r="D8178" s="18" t="s">
        <v>711</v>
      </c>
      <c r="E8178" s="18" t="s">
        <v>5128</v>
      </c>
      <c r="F8178" s="2" t="s">
        <v>7987</v>
      </c>
      <c r="G8178" s="2" t="s">
        <v>529</v>
      </c>
      <c r="H8178" s="14">
        <v>1.51</v>
      </c>
      <c r="I8178" s="2" t="s">
        <v>267</v>
      </c>
      <c r="J8178" s="2" t="s">
        <v>3942</v>
      </c>
      <c r="K8178" s="2" t="s">
        <v>1452</v>
      </c>
      <c r="L8178" s="2" t="s">
        <v>5221</v>
      </c>
      <c r="M8178" s="2" t="s">
        <v>5221</v>
      </c>
      <c r="N8178" s="2" t="s">
        <v>2317</v>
      </c>
      <c r="O8178" s="14">
        <v>12500</v>
      </c>
      <c r="P8178" s="14">
        <v>99.03</v>
      </c>
      <c r="Q8178" s="14">
        <v>121.25</v>
      </c>
      <c r="R8178" s="14">
        <v>183.09</v>
      </c>
      <c r="S8178" s="2" t="s">
        <v>3442</v>
      </c>
      <c r="T8178" s="2">
        <v>1.22</v>
      </c>
      <c r="U8178" s="2">
        <v>67.099999999999994</v>
      </c>
      <c r="V8178" s="2">
        <v>64</v>
      </c>
      <c r="W8178" s="2" t="s">
        <v>7862</v>
      </c>
      <c r="X8178" s="2" t="s">
        <v>3851</v>
      </c>
      <c r="Y8178" s="2">
        <v>18875</v>
      </c>
      <c r="Z8178" s="19" t="str">
        <f>HYPERLINK("https://ssdweb.co/ssdweb/hd/Vision360.html?d=925270557&amp;zoomslide=1&amp;z=1925270557&amp;ISCONFIRM=0","VIDEO")</f>
        <v>VIDEO</v>
      </c>
      <c r="AA8178" s="19" t="str">
        <f>HYPERLINK("https://ssdweb.co/ssdweb/CERTH/620403206.pdf","CERTI")</f>
        <v>CERTI</v>
      </c>
    </row>
    <row r="8179" spans="1:27" ht="15" x14ac:dyDescent="0.25">
      <c r="A8179" s="2">
        <v>8174</v>
      </c>
      <c r="B8179" s="39">
        <v>924420302</v>
      </c>
      <c r="C8179" s="28" t="str">
        <f>HYPERLINK("https://pld.live/RapDetail.aspx?STONELIST=924420302","DNA")</f>
        <v>DNA</v>
      </c>
      <c r="D8179" s="18" t="s">
        <v>5235</v>
      </c>
      <c r="E8179" s="18" t="s">
        <v>5128</v>
      </c>
      <c r="F8179" s="2" t="s">
        <v>5597</v>
      </c>
      <c r="G8179" s="2" t="s">
        <v>529</v>
      </c>
      <c r="H8179" s="14">
        <v>1.2</v>
      </c>
      <c r="I8179" s="2" t="s">
        <v>267</v>
      </c>
      <c r="J8179" s="2" t="s">
        <v>5144</v>
      </c>
      <c r="K8179" s="2" t="s">
        <v>1452</v>
      </c>
      <c r="L8179" s="2" t="s">
        <v>5221</v>
      </c>
      <c r="M8179" s="2" t="s">
        <v>5721</v>
      </c>
      <c r="N8179" s="2" t="s">
        <v>2317</v>
      </c>
      <c r="O8179" s="14">
        <v>5700</v>
      </c>
      <c r="P8179" s="14">
        <v>97</v>
      </c>
      <c r="Q8179" s="14">
        <v>171</v>
      </c>
      <c r="R8179" s="14">
        <v>205.2</v>
      </c>
      <c r="S8179" s="2" t="s">
        <v>3489</v>
      </c>
      <c r="T8179" s="2">
        <v>1.33</v>
      </c>
      <c r="U8179" s="2">
        <v>66.3</v>
      </c>
      <c r="V8179" s="2">
        <v>63</v>
      </c>
      <c r="W8179" s="2" t="s">
        <v>7862</v>
      </c>
      <c r="X8179" s="2" t="s">
        <v>7053</v>
      </c>
      <c r="Y8179" s="2">
        <v>6840</v>
      </c>
      <c r="Z8179" s="19" t="str">
        <f>HYPERLINK("https://ssdweb.co/ssdweb/hd/Vision360.html?d=924420302&amp;zoomslide=1&amp;z=1924420302&amp;ISCONFIRM=0","VIDEO")</f>
        <v>VIDEO</v>
      </c>
      <c r="AA8179" s="19" t="str">
        <f>HYPERLINK("https://ssdweb.co/ssdweb/CERTH/3475261861.pdf","CERTI")</f>
        <v>CERTI</v>
      </c>
    </row>
    <row r="8180" spans="1:27" ht="15" x14ac:dyDescent="0.25">
      <c r="A8180" s="2">
        <v>8175</v>
      </c>
      <c r="B8180" s="39">
        <v>924410847</v>
      </c>
      <c r="C8180" s="28" t="str">
        <f>HYPERLINK("https://pld.live/RapDetail.aspx?STONELIST=924410847","DNA")</f>
        <v>DNA</v>
      </c>
      <c r="D8180" s="18" t="s">
        <v>3054</v>
      </c>
      <c r="E8180" s="18" t="s">
        <v>2186</v>
      </c>
      <c r="F8180" s="2" t="s">
        <v>7987</v>
      </c>
      <c r="G8180" s="2" t="s">
        <v>529</v>
      </c>
      <c r="H8180" s="14">
        <v>1.1000000000000001</v>
      </c>
      <c r="I8180" s="2" t="s">
        <v>4699</v>
      </c>
      <c r="J8180" s="2" t="s">
        <v>13</v>
      </c>
      <c r="K8180" s="2" t="s">
        <v>1452</v>
      </c>
      <c r="L8180" s="2" t="s">
        <v>5221</v>
      </c>
      <c r="M8180" s="2" t="s">
        <v>5221</v>
      </c>
      <c r="N8180" s="2" t="s">
        <v>2317</v>
      </c>
      <c r="O8180" s="14">
        <v>5800</v>
      </c>
      <c r="P8180" s="14">
        <v>98.21</v>
      </c>
      <c r="Q8180" s="14">
        <v>103.82</v>
      </c>
      <c r="R8180" s="14">
        <v>114.2</v>
      </c>
      <c r="S8180" s="2" t="s">
        <v>5248</v>
      </c>
      <c r="T8180" s="2">
        <v>1.34</v>
      </c>
      <c r="U8180" s="2">
        <v>65.599999999999994</v>
      </c>
      <c r="V8180" s="2">
        <v>59</v>
      </c>
      <c r="W8180" s="2" t="s">
        <v>7862</v>
      </c>
      <c r="X8180" s="2" t="s">
        <v>3851</v>
      </c>
      <c r="Y8180" s="2">
        <v>6380</v>
      </c>
      <c r="Z8180" s="19" t="str">
        <f>HYPERLINK("https://ssdweb.co/ssdweb/hd/Vision360.html?d=924410847&amp;zoomslide=1&amp;z=1924410847&amp;ISCONFIRM=0","VIDEO")</f>
        <v>VIDEO</v>
      </c>
      <c r="AA8180" s="19" t="str">
        <f>HYPERLINK("https://ssdweb.co/ssdweb/CERTH/598373912.pdf","CERTI")</f>
        <v>CERTI</v>
      </c>
    </row>
    <row r="8181" spans="1:27" ht="15" x14ac:dyDescent="0.25">
      <c r="A8181" s="2">
        <v>8176</v>
      </c>
      <c r="B8181" s="39">
        <v>924410822</v>
      </c>
      <c r="C8181" s="28" t="str">
        <f>HYPERLINK("https://pld.live/RapDetail.aspx?STONELIST=924410822","DNA")</f>
        <v>DNA</v>
      </c>
      <c r="D8181" s="18" t="s">
        <v>3054</v>
      </c>
      <c r="E8181" s="18" t="s">
        <v>2186</v>
      </c>
      <c r="F8181" s="2" t="s">
        <v>7987</v>
      </c>
      <c r="G8181" s="2" t="s">
        <v>529</v>
      </c>
      <c r="H8181" s="14">
        <v>1.0900000000000001</v>
      </c>
      <c r="I8181" s="2" t="s">
        <v>4699</v>
      </c>
      <c r="J8181" s="2" t="s">
        <v>13</v>
      </c>
      <c r="K8181" s="2" t="s">
        <v>1452</v>
      </c>
      <c r="L8181" s="2" t="s">
        <v>5221</v>
      </c>
      <c r="M8181" s="2" t="s">
        <v>5221</v>
      </c>
      <c r="N8181" s="2" t="s">
        <v>2317</v>
      </c>
      <c r="O8181" s="14">
        <v>5800</v>
      </c>
      <c r="P8181" s="14">
        <v>98.21</v>
      </c>
      <c r="Q8181" s="14">
        <v>103.82</v>
      </c>
      <c r="R8181" s="14">
        <v>113.16</v>
      </c>
      <c r="S8181" s="2" t="s">
        <v>3855</v>
      </c>
      <c r="T8181" s="2">
        <v>1.34</v>
      </c>
      <c r="U8181" s="2">
        <v>67.5</v>
      </c>
      <c r="V8181" s="2">
        <v>61</v>
      </c>
      <c r="W8181" s="2" t="s">
        <v>8016</v>
      </c>
      <c r="X8181" s="2" t="s">
        <v>3851</v>
      </c>
      <c r="Y8181" s="2">
        <v>6322</v>
      </c>
      <c r="Z8181" s="19" t="str">
        <f>HYPERLINK("https://ssdweb.co/ssdweb/hd/Vision360.html?d=924410822&amp;zoomslide=1&amp;z=1924410822&amp;ISCONFIRM=0","VIDEO")</f>
        <v>VIDEO</v>
      </c>
      <c r="AA8181" s="19" t="str">
        <f>HYPERLINK("https://ssdweb.co/ssdweb/CERTH/598312871.pdf","CERTI")</f>
        <v>CERTI</v>
      </c>
    </row>
    <row r="8182" spans="1:27" ht="15" x14ac:dyDescent="0.25">
      <c r="A8182" s="2">
        <v>8177</v>
      </c>
      <c r="B8182" s="39">
        <v>924410785</v>
      </c>
      <c r="C8182" s="28" t="str">
        <f>HYPERLINK("https://pld.live/RapDetail.aspx?STONELIST=924410785","DNA")</f>
        <v>DNA</v>
      </c>
      <c r="D8182" s="18" t="s">
        <v>3054</v>
      </c>
      <c r="E8182" s="18" t="s">
        <v>2186</v>
      </c>
      <c r="F8182" s="2" t="s">
        <v>7987</v>
      </c>
      <c r="G8182" s="2" t="s">
        <v>529</v>
      </c>
      <c r="H8182" s="14">
        <v>1.08</v>
      </c>
      <c r="I8182" s="2" t="s">
        <v>4761</v>
      </c>
      <c r="J8182" s="2" t="s">
        <v>13</v>
      </c>
      <c r="K8182" s="2" t="s">
        <v>1452</v>
      </c>
      <c r="L8182" s="2" t="s">
        <v>5221</v>
      </c>
      <c r="M8182" s="2" t="s">
        <v>5221</v>
      </c>
      <c r="N8182" s="2" t="s">
        <v>2317</v>
      </c>
      <c r="O8182" s="14">
        <v>6200</v>
      </c>
      <c r="P8182" s="14">
        <v>98.27</v>
      </c>
      <c r="Q8182" s="14">
        <v>107.26</v>
      </c>
      <c r="R8182" s="14">
        <v>115.84</v>
      </c>
      <c r="S8182" s="2" t="s">
        <v>3899</v>
      </c>
      <c r="T8182" s="2">
        <v>1.31</v>
      </c>
      <c r="U8182" s="2">
        <v>66.2</v>
      </c>
      <c r="V8182" s="2">
        <v>62</v>
      </c>
      <c r="W8182" s="2" t="s">
        <v>7862</v>
      </c>
      <c r="X8182" s="2" t="s">
        <v>3851</v>
      </c>
      <c r="Y8182" s="2">
        <v>6696</v>
      </c>
      <c r="Z8182" s="19" t="str">
        <f>HYPERLINK("https://ssdweb.co/ssdweb/hd/Vision360.html?d=924410785&amp;zoomslide=1&amp;z=1924410785&amp;ISCONFIRM=0","VIDEO")</f>
        <v>VIDEO</v>
      </c>
      <c r="AA8182" s="19" t="str">
        <f>HYPERLINK("https://ssdweb.co/ssdweb/CERTH/597360023.pdf","CERTI")</f>
        <v>CERTI</v>
      </c>
    </row>
    <row r="8183" spans="1:27" ht="15" x14ac:dyDescent="0.25">
      <c r="A8183" s="2">
        <v>8178</v>
      </c>
      <c r="B8183" s="39">
        <v>924410832</v>
      </c>
      <c r="C8183" s="28" t="str">
        <f>HYPERLINK("https://pld.live/RapDetail.aspx?STONELIST=924410832","DNA")</f>
        <v>DNA</v>
      </c>
      <c r="D8183" s="18" t="s">
        <v>3054</v>
      </c>
      <c r="E8183" s="18" t="s">
        <v>2186</v>
      </c>
      <c r="F8183" s="2" t="s">
        <v>7987</v>
      </c>
      <c r="G8183" s="2" t="s">
        <v>529</v>
      </c>
      <c r="H8183" s="14">
        <v>1.06</v>
      </c>
      <c r="I8183" s="2" t="s">
        <v>4699</v>
      </c>
      <c r="J8183" s="2" t="s">
        <v>13</v>
      </c>
      <c r="K8183" s="2" t="s">
        <v>1452</v>
      </c>
      <c r="L8183" s="2" t="s">
        <v>5221</v>
      </c>
      <c r="M8183" s="2" t="s">
        <v>5221</v>
      </c>
      <c r="N8183" s="2" t="s">
        <v>2317</v>
      </c>
      <c r="O8183" s="14">
        <v>5800</v>
      </c>
      <c r="P8183" s="14">
        <v>98.21</v>
      </c>
      <c r="Q8183" s="14">
        <v>103.82</v>
      </c>
      <c r="R8183" s="14">
        <v>110.05</v>
      </c>
      <c r="S8183" s="2" t="s">
        <v>1217</v>
      </c>
      <c r="T8183" s="2">
        <v>1.39</v>
      </c>
      <c r="U8183" s="2">
        <v>65.2</v>
      </c>
      <c r="V8183" s="2">
        <v>61</v>
      </c>
      <c r="W8183" s="2" t="s">
        <v>7862</v>
      </c>
      <c r="X8183" s="2" t="s">
        <v>3851</v>
      </c>
      <c r="Y8183" s="2">
        <v>6148</v>
      </c>
      <c r="Z8183" s="19" t="str">
        <f>HYPERLINK("https://ssdweb.co/ssdweb/hd/Vision360.html?d=924410832&amp;zoomslide=1&amp;z=1924410832&amp;ISCONFIRM=0","VIDEO")</f>
        <v>VIDEO</v>
      </c>
      <c r="AA8183" s="19" t="str">
        <f>HYPERLINK("https://ssdweb.co/ssdweb/CERTH/598316354.pdf","CERTI")</f>
        <v>CERTI</v>
      </c>
    </row>
    <row r="8184" spans="1:27" ht="15" x14ac:dyDescent="0.25">
      <c r="A8184" s="2">
        <v>8179</v>
      </c>
      <c r="B8184" s="39">
        <v>924420067</v>
      </c>
      <c r="C8184" s="28" t="str">
        <f>HYPERLINK("https://pld.live/RapDetail.aspx?STONELIST=924420067","DNA")</f>
        <v>DNA</v>
      </c>
      <c r="D8184" s="18" t="s">
        <v>3054</v>
      </c>
      <c r="E8184" s="18" t="s">
        <v>5128</v>
      </c>
      <c r="F8184" s="2" t="s">
        <v>7987</v>
      </c>
      <c r="G8184" s="2" t="s">
        <v>529</v>
      </c>
      <c r="H8184" s="14">
        <v>1.04</v>
      </c>
      <c r="I8184" s="2" t="s">
        <v>4761</v>
      </c>
      <c r="J8184" s="2" t="s">
        <v>6555</v>
      </c>
      <c r="K8184" s="2" t="s">
        <v>1452</v>
      </c>
      <c r="L8184" s="2" t="s">
        <v>5221</v>
      </c>
      <c r="M8184" s="2" t="s">
        <v>5221</v>
      </c>
      <c r="N8184" s="2" t="s">
        <v>2317</v>
      </c>
      <c r="O8184" s="14">
        <v>7500</v>
      </c>
      <c r="P8184" s="14">
        <v>98.11</v>
      </c>
      <c r="Q8184" s="14">
        <v>141.75</v>
      </c>
      <c r="R8184" s="14">
        <v>147.41999999999999</v>
      </c>
      <c r="S8184" s="2" t="s">
        <v>4400</v>
      </c>
      <c r="T8184" s="2">
        <v>1.22</v>
      </c>
      <c r="U8184" s="2">
        <v>66</v>
      </c>
      <c r="V8184" s="2">
        <v>61</v>
      </c>
      <c r="W8184" s="2" t="s">
        <v>7862</v>
      </c>
      <c r="X8184" s="2" t="s">
        <v>3851</v>
      </c>
      <c r="Y8184" s="2">
        <v>7800</v>
      </c>
      <c r="Z8184" s="19" t="str">
        <f>HYPERLINK("https://ssdweb.co/ssdweb/hd/Vision360.html?d=924420067&amp;zoomslide=1&amp;z=1924420067&amp;ISCONFIRM=0","VIDEO")</f>
        <v>VIDEO</v>
      </c>
      <c r="AA8184" s="19" t="str">
        <f>HYPERLINK("https://ssdweb.co/ssdweb/CERTH/589396749.pdf","CERTI")</f>
        <v>CERTI</v>
      </c>
    </row>
    <row r="8185" spans="1:27" ht="15" x14ac:dyDescent="0.25">
      <c r="A8185" s="2">
        <v>8180</v>
      </c>
      <c r="B8185" s="39">
        <v>924900114</v>
      </c>
      <c r="C8185" s="28" t="str">
        <f>HYPERLINK("https://pld.live/RapDetail.aspx?STONELIST=924900114","DNA")</f>
        <v>DNA</v>
      </c>
      <c r="D8185" s="18" t="s">
        <v>3054</v>
      </c>
      <c r="E8185" s="18" t="s">
        <v>5128</v>
      </c>
      <c r="F8185" s="2" t="s">
        <v>7987</v>
      </c>
      <c r="G8185" s="2" t="s">
        <v>529</v>
      </c>
      <c r="H8185" s="14">
        <v>1.03</v>
      </c>
      <c r="I8185" s="2" t="s">
        <v>4761</v>
      </c>
      <c r="J8185" s="2" t="s">
        <v>5144</v>
      </c>
      <c r="K8185" s="2" t="s">
        <v>1452</v>
      </c>
      <c r="L8185" s="2" t="s">
        <v>5221</v>
      </c>
      <c r="M8185" s="2" t="s">
        <v>5221</v>
      </c>
      <c r="N8185" s="2" t="s">
        <v>2317</v>
      </c>
      <c r="O8185" s="14">
        <v>5400</v>
      </c>
      <c r="P8185" s="14">
        <v>98.07</v>
      </c>
      <c r="Q8185" s="14">
        <v>104.22</v>
      </c>
      <c r="R8185" s="14">
        <v>107.35</v>
      </c>
      <c r="S8185" s="2" t="s">
        <v>6933</v>
      </c>
      <c r="T8185" s="2">
        <v>1.21</v>
      </c>
      <c r="U8185" s="2">
        <v>66.7</v>
      </c>
      <c r="V8185" s="2">
        <v>64</v>
      </c>
      <c r="W8185" s="2" t="s">
        <v>7862</v>
      </c>
      <c r="X8185" s="2" t="s">
        <v>3851</v>
      </c>
      <c r="Y8185" s="2">
        <v>5562</v>
      </c>
      <c r="Z8185" s="19" t="str">
        <f>HYPERLINK("https://ssdweb.co/ssdweb/hd/Vision360.html?d=924900114&amp;zoomslide=1&amp;z=1924900114&amp;ISCONFIRM=0","VIDEO")</f>
        <v>VIDEO</v>
      </c>
      <c r="AA8185" s="19" t="str">
        <f>HYPERLINK("https://ssdweb.co/ssdweb/CERTH/602359437.pdf","CERTI")</f>
        <v>CERTI</v>
      </c>
    </row>
    <row r="8186" spans="1:27" ht="15" x14ac:dyDescent="0.25">
      <c r="A8186" s="2">
        <v>8181</v>
      </c>
      <c r="B8186" s="39">
        <v>924440117</v>
      </c>
      <c r="C8186" s="28" t="str">
        <f>HYPERLINK("https://pld.live/RapDetail.aspx?STONELIST=924440117","DNA")</f>
        <v>DNA</v>
      </c>
      <c r="D8186" s="18" t="s">
        <v>3054</v>
      </c>
      <c r="E8186" s="18" t="s">
        <v>5128</v>
      </c>
      <c r="F8186" s="2" t="s">
        <v>5597</v>
      </c>
      <c r="G8186" s="2" t="s">
        <v>529</v>
      </c>
      <c r="H8186" s="14">
        <v>1.03</v>
      </c>
      <c r="I8186" s="2" t="s">
        <v>4699</v>
      </c>
      <c r="J8186" s="2" t="s">
        <v>13</v>
      </c>
      <c r="K8186" s="2" t="s">
        <v>1452</v>
      </c>
      <c r="L8186" s="2" t="s">
        <v>5221</v>
      </c>
      <c r="M8186" s="2" t="s">
        <v>5221</v>
      </c>
      <c r="N8186" s="2" t="s">
        <v>2317</v>
      </c>
      <c r="O8186" s="14">
        <v>5800</v>
      </c>
      <c r="P8186" s="14">
        <v>97.12</v>
      </c>
      <c r="Q8186" s="14">
        <v>167.04</v>
      </c>
      <c r="R8186" s="14">
        <v>172.05</v>
      </c>
      <c r="S8186" s="2" t="s">
        <v>4636</v>
      </c>
      <c r="T8186" s="2">
        <v>1.22</v>
      </c>
      <c r="U8186" s="2">
        <v>66.599999999999994</v>
      </c>
      <c r="V8186" s="2">
        <v>65</v>
      </c>
      <c r="W8186" s="2" t="s">
        <v>7862</v>
      </c>
      <c r="X8186" s="2" t="s">
        <v>7053</v>
      </c>
      <c r="Y8186" s="2">
        <v>5974</v>
      </c>
      <c r="Z8186" s="19" t="str">
        <f>HYPERLINK("https://ssdweb.co/ssdweb/hd/Vision360.html?d=924440117&amp;zoomslide=1&amp;z=1924440117&amp;ISCONFIRM=0","VIDEO")</f>
        <v>VIDEO</v>
      </c>
      <c r="AA8186" s="19" t="str">
        <f>HYPERLINK("https://ssdweb.co/ssdweb/CERTH/7471313864.pdf","CERTI")</f>
        <v>CERTI</v>
      </c>
    </row>
    <row r="8187" spans="1:27" ht="15" x14ac:dyDescent="0.25">
      <c r="A8187" s="2">
        <v>8182</v>
      </c>
      <c r="B8187" s="39">
        <v>924440158</v>
      </c>
      <c r="C8187" s="28" t="str">
        <f>HYPERLINK("https://pld.live/RapDetail.aspx?STONELIST=924440158","DNA")</f>
        <v>DNA</v>
      </c>
      <c r="D8187" s="18" t="s">
        <v>3054</v>
      </c>
      <c r="E8187" s="18" t="s">
        <v>5128</v>
      </c>
      <c r="F8187" s="2" t="s">
        <v>5597</v>
      </c>
      <c r="G8187" s="2" t="s">
        <v>529</v>
      </c>
      <c r="H8187" s="14">
        <v>1.02</v>
      </c>
      <c r="I8187" s="2" t="s">
        <v>267</v>
      </c>
      <c r="J8187" s="2" t="s">
        <v>3942</v>
      </c>
      <c r="K8187" s="2" t="s">
        <v>1452</v>
      </c>
      <c r="L8187" s="2" t="s">
        <v>5221</v>
      </c>
      <c r="M8187" s="2" t="s">
        <v>5721</v>
      </c>
      <c r="N8187" s="2" t="s">
        <v>2317</v>
      </c>
      <c r="O8187" s="14">
        <v>7600</v>
      </c>
      <c r="P8187" s="14">
        <v>97.59</v>
      </c>
      <c r="Q8187" s="14">
        <v>183.16</v>
      </c>
      <c r="R8187" s="14">
        <v>186.82</v>
      </c>
      <c r="S8187" s="2" t="s">
        <v>6773</v>
      </c>
      <c r="T8187" s="2">
        <v>1.25</v>
      </c>
      <c r="U8187" s="2">
        <v>64.7</v>
      </c>
      <c r="V8187" s="2">
        <v>62</v>
      </c>
      <c r="W8187" s="2" t="s">
        <v>7862</v>
      </c>
      <c r="X8187" s="2" t="s">
        <v>7053</v>
      </c>
      <c r="Y8187" s="2">
        <v>7752</v>
      </c>
      <c r="Z8187" s="19" t="str">
        <f>HYPERLINK("https://ssdweb.co/ssdweb/hd/Vision360.html?d=924440158&amp;zoomslide=1&amp;z=1924440158&amp;ISCONFIRM=0","VIDEO")</f>
        <v>VIDEO</v>
      </c>
      <c r="AA8187" s="19" t="str">
        <f>HYPERLINK("https://ssdweb.co/ssdweb/CERTH/6471520499.pdf","CERTI")</f>
        <v>CERTI</v>
      </c>
    </row>
    <row r="8188" spans="1:27" ht="15" x14ac:dyDescent="0.25">
      <c r="A8188" s="2">
        <v>8183</v>
      </c>
      <c r="B8188" s="39">
        <v>831010323</v>
      </c>
      <c r="C8188" s="28" t="str">
        <f>HYPERLINK("https://pld.live/RapDetail.aspx?STONELIST=831010323","DNA")</f>
        <v>DNA</v>
      </c>
      <c r="D8188" s="18" t="s">
        <v>3054</v>
      </c>
      <c r="E8188" s="18" t="s">
        <v>5128</v>
      </c>
      <c r="F8188" s="2" t="s">
        <v>7987</v>
      </c>
      <c r="G8188" s="2" t="s">
        <v>529</v>
      </c>
      <c r="H8188" s="14">
        <v>1.02</v>
      </c>
      <c r="I8188" s="2" t="s">
        <v>4761</v>
      </c>
      <c r="J8188" s="2" t="s">
        <v>7032</v>
      </c>
      <c r="K8188" s="2" t="s">
        <v>1452</v>
      </c>
      <c r="L8188" s="2" t="s">
        <v>5221</v>
      </c>
      <c r="M8188" s="2" t="s">
        <v>5221</v>
      </c>
      <c r="N8188" s="2" t="s">
        <v>2317</v>
      </c>
      <c r="O8188" s="14">
        <v>8200</v>
      </c>
      <c r="P8188" s="14">
        <v>97.05</v>
      </c>
      <c r="Q8188" s="14">
        <v>241.9</v>
      </c>
      <c r="R8188" s="14">
        <v>246.74</v>
      </c>
      <c r="S8188" s="2" t="s">
        <v>5085</v>
      </c>
      <c r="T8188" s="2">
        <v>1.35</v>
      </c>
      <c r="U8188" s="2">
        <v>65.7</v>
      </c>
      <c r="V8188" s="2">
        <v>62</v>
      </c>
      <c r="W8188" s="2" t="s">
        <v>7862</v>
      </c>
      <c r="X8188" s="2" t="s">
        <v>3851</v>
      </c>
      <c r="Y8188" s="2">
        <v>8364</v>
      </c>
      <c r="Z8188" s="19" t="str">
        <f>HYPERLINK("https://ssdweb.co/ssdweb/hd/Vision360.html?d=831010323&amp;zoomslide=1&amp;z=1831010323&amp;ISCONFIRM=0","VIDEO")</f>
        <v>VIDEO</v>
      </c>
      <c r="AA8188" s="19" t="str">
        <f>HYPERLINK("https://ssdweb.co/ssdweb/CERTH/598386188.pdf","CERTI")</f>
        <v>CERTI</v>
      </c>
    </row>
    <row r="8189" spans="1:27" ht="15" x14ac:dyDescent="0.25">
      <c r="A8189" s="2">
        <v>8184</v>
      </c>
      <c r="B8189" s="39">
        <v>924440157</v>
      </c>
      <c r="C8189" s="28" t="str">
        <f>HYPERLINK("https://pld.live/RapDetail.aspx?STONELIST=924440157","DNA")</f>
        <v>DNA</v>
      </c>
      <c r="D8189" s="18" t="s">
        <v>3054</v>
      </c>
      <c r="E8189" s="18" t="s">
        <v>5128</v>
      </c>
      <c r="F8189" s="2" t="s">
        <v>7987</v>
      </c>
      <c r="G8189" s="2" t="s">
        <v>529</v>
      </c>
      <c r="H8189" s="14">
        <v>1.02</v>
      </c>
      <c r="I8189" s="2" t="s">
        <v>4761</v>
      </c>
      <c r="J8189" s="2" t="s">
        <v>5144</v>
      </c>
      <c r="K8189" s="2" t="s">
        <v>1452</v>
      </c>
      <c r="L8189" s="2" t="s">
        <v>5221</v>
      </c>
      <c r="M8189" s="2" t="s">
        <v>5221</v>
      </c>
      <c r="N8189" s="2" t="s">
        <v>2317</v>
      </c>
      <c r="O8189" s="14">
        <v>5400</v>
      </c>
      <c r="P8189" s="14">
        <v>98.07</v>
      </c>
      <c r="Q8189" s="14">
        <v>104.22</v>
      </c>
      <c r="R8189" s="14">
        <v>106.3</v>
      </c>
      <c r="S8189" s="2" t="s">
        <v>5901</v>
      </c>
      <c r="T8189" s="2">
        <v>1.31</v>
      </c>
      <c r="U8189" s="2">
        <v>64.599999999999994</v>
      </c>
      <c r="V8189" s="2">
        <v>64</v>
      </c>
      <c r="W8189" s="2" t="s">
        <v>7862</v>
      </c>
      <c r="X8189" s="2" t="s">
        <v>3851</v>
      </c>
      <c r="Y8189" s="2">
        <v>5508</v>
      </c>
      <c r="Z8189" s="19" t="str">
        <f>HYPERLINK("https://ssdweb.co/ssdweb/hd/Vision360.html?d=924440157&amp;zoomslide=1&amp;z=1924440157&amp;ISCONFIRM=0","VIDEO")</f>
        <v>VIDEO</v>
      </c>
      <c r="AA8189" s="19" t="str">
        <f>HYPERLINK("https://ssdweb.co/ssdweb/CERTH/598312876.pdf","CERTI")</f>
        <v>CERTI</v>
      </c>
    </row>
    <row r="8190" spans="1:27" ht="15" x14ac:dyDescent="0.25">
      <c r="A8190" s="2">
        <v>8185</v>
      </c>
      <c r="B8190" s="39">
        <v>924410817</v>
      </c>
      <c r="C8190" s="28" t="str">
        <f>HYPERLINK("https://pld.live/RapDetail.aspx?STONELIST=924410817","DNA")</f>
        <v>DNA</v>
      </c>
      <c r="D8190" s="18" t="s">
        <v>3054</v>
      </c>
      <c r="E8190" s="18" t="s">
        <v>2186</v>
      </c>
      <c r="F8190" s="2" t="s">
        <v>7987</v>
      </c>
      <c r="G8190" s="2" t="s">
        <v>529</v>
      </c>
      <c r="H8190" s="14">
        <v>1.02</v>
      </c>
      <c r="I8190" s="2" t="s">
        <v>6587</v>
      </c>
      <c r="J8190" s="2" t="s">
        <v>13</v>
      </c>
      <c r="K8190" s="2" t="s">
        <v>1452</v>
      </c>
      <c r="L8190" s="2" t="s">
        <v>5221</v>
      </c>
      <c r="M8190" s="2" t="s">
        <v>5221</v>
      </c>
      <c r="N8190" s="2" t="s">
        <v>2317</v>
      </c>
      <c r="O8190" s="14">
        <v>5400</v>
      </c>
      <c r="P8190" s="14">
        <v>98.11</v>
      </c>
      <c r="Q8190" s="14">
        <v>102.06</v>
      </c>
      <c r="R8190" s="14">
        <v>104.1</v>
      </c>
      <c r="S8190" s="2" t="s">
        <v>530</v>
      </c>
      <c r="T8190" s="2">
        <v>1.34</v>
      </c>
      <c r="U8190" s="2">
        <v>64.400000000000006</v>
      </c>
      <c r="V8190" s="2">
        <v>60</v>
      </c>
      <c r="W8190" s="2" t="s">
        <v>7862</v>
      </c>
      <c r="X8190" s="2" t="s">
        <v>3851</v>
      </c>
      <c r="Y8190" s="2">
        <v>5508</v>
      </c>
      <c r="Z8190" s="19" t="str">
        <f>HYPERLINK("https://ssdweb.co/ssdweb/hd/Vision360.html?d=924410817&amp;zoomslide=1&amp;z=1924410817&amp;ISCONFIRM=0","VIDEO")</f>
        <v>VIDEO</v>
      </c>
      <c r="AA8190" s="19" t="str">
        <f>HYPERLINK("https://ssdweb.co/ssdweb/CERTH/597389606.pdf","CERTI")</f>
        <v>CERTI</v>
      </c>
    </row>
    <row r="8191" spans="1:27" ht="15" x14ac:dyDescent="0.25">
      <c r="A8191" s="2">
        <v>8186</v>
      </c>
      <c r="B8191" s="39">
        <v>924560001</v>
      </c>
      <c r="C8191" s="28" t="str">
        <f>HYPERLINK("https://pld.live/RapDetail.aspx?STONELIST=924560001","DNA")</f>
        <v>DNA</v>
      </c>
      <c r="D8191" s="18" t="s">
        <v>5847</v>
      </c>
      <c r="E8191" s="18" t="s">
        <v>5128</v>
      </c>
      <c r="F8191" s="2" t="s">
        <v>7987</v>
      </c>
      <c r="G8191" s="2" t="s">
        <v>5411</v>
      </c>
      <c r="H8191" s="14">
        <v>0.77</v>
      </c>
      <c r="I8191" s="2" t="s">
        <v>4761</v>
      </c>
      <c r="J8191" s="2" t="s">
        <v>13</v>
      </c>
      <c r="K8191" s="2" t="s">
        <v>1452</v>
      </c>
      <c r="L8191" s="2" t="s">
        <v>5221</v>
      </c>
      <c r="M8191" s="2" t="s">
        <v>5221</v>
      </c>
      <c r="N8191" s="2" t="s">
        <v>2317</v>
      </c>
      <c r="O8191" s="14">
        <v>3500</v>
      </c>
      <c r="P8191" s="14">
        <v>94</v>
      </c>
      <c r="Q8191" s="14">
        <v>210</v>
      </c>
      <c r="R8191" s="14">
        <v>161.69999999999999</v>
      </c>
      <c r="S8191" s="2" t="s">
        <v>1764</v>
      </c>
      <c r="T8191" s="2">
        <v>0.99</v>
      </c>
      <c r="U8191" s="2">
        <v>50.9</v>
      </c>
      <c r="V8191" s="2">
        <v>63</v>
      </c>
      <c r="W8191" s="2" t="s">
        <v>7862</v>
      </c>
      <c r="X8191" s="2" t="s">
        <v>6885</v>
      </c>
      <c r="Y8191" s="2">
        <v>2695</v>
      </c>
      <c r="Z8191" s="19" t="str">
        <f>HYPERLINK("https://ssdweb.co/ssdweb/hd/Vision360.html?d=924560001&amp;zoomslide=1&amp;z=1924560001&amp;ISCONFIRM=0","VIDEO")</f>
        <v>VIDEO</v>
      </c>
      <c r="AA8191" s="19" t="str">
        <f>HYPERLINK("https://ssdweb.co/ssdweb/CERTH/591373725.pdf","CERTI")</f>
        <v>CERTI</v>
      </c>
    </row>
    <row r="8192" spans="1:27" ht="15" x14ac:dyDescent="0.25">
      <c r="A8192" s="2">
        <v>8187</v>
      </c>
      <c r="B8192" s="39">
        <v>924560436</v>
      </c>
      <c r="C8192" s="28" t="str">
        <f>HYPERLINK("https://pld.live/RapDetail.aspx?STONELIST=924560436","DNA")</f>
        <v>DNA</v>
      </c>
      <c r="D8192" s="18" t="s">
        <v>5466</v>
      </c>
      <c r="E8192" s="18" t="s">
        <v>5128</v>
      </c>
      <c r="F8192" s="2" t="s">
        <v>7987</v>
      </c>
      <c r="G8192" s="2" t="s">
        <v>7003</v>
      </c>
      <c r="H8192" s="14">
        <v>0.51</v>
      </c>
      <c r="I8192" s="2" t="s">
        <v>267</v>
      </c>
      <c r="J8192" s="2" t="s">
        <v>6555</v>
      </c>
      <c r="K8192" s="2" t="s">
        <v>1452</v>
      </c>
      <c r="L8192" s="2" t="s">
        <v>5221</v>
      </c>
      <c r="M8192" s="2" t="s">
        <v>5221</v>
      </c>
      <c r="N8192" s="2" t="s">
        <v>2317</v>
      </c>
      <c r="O8192" s="14">
        <v>4600</v>
      </c>
      <c r="P8192" s="14">
        <v>96.3</v>
      </c>
      <c r="Q8192" s="14">
        <v>170.2</v>
      </c>
      <c r="R8192" s="14">
        <v>86.8</v>
      </c>
      <c r="S8192" s="2" t="s">
        <v>5036</v>
      </c>
      <c r="T8192" s="2">
        <v>1</v>
      </c>
      <c r="U8192" s="2">
        <v>61.2</v>
      </c>
      <c r="V8192" s="2">
        <v>59</v>
      </c>
      <c r="W8192" s="2" t="s">
        <v>7862</v>
      </c>
      <c r="X8192" s="2" t="s">
        <v>5159</v>
      </c>
      <c r="Y8192" s="2">
        <v>2346</v>
      </c>
      <c r="Z8192" s="19" t="str">
        <f>HYPERLINK("https://ssdweb.co/ssdweb/hd/Vision360.html?d=924560436&amp;zoomslide=1&amp;z=1924560436&amp;ISCONFIRM=0","VIDEO")</f>
        <v>VIDEO</v>
      </c>
      <c r="AA8192" s="19" t="str">
        <f>HYPERLINK("https://ssdweb.co/ssdweb/CERTH/595368073.pdf","CERTI")</f>
        <v>CERTI</v>
      </c>
    </row>
    <row r="8193" spans="1:27" ht="15" x14ac:dyDescent="0.25">
      <c r="A8193" s="2">
        <v>8188</v>
      </c>
      <c r="B8193" s="39">
        <v>925660237</v>
      </c>
      <c r="C8193" s="28" t="str">
        <f>HYPERLINK("https://pld.live/RapDetail.aspx?STONELIST=925660237","DNA")</f>
        <v>DNA</v>
      </c>
      <c r="D8193" s="18" t="s">
        <v>3658</v>
      </c>
      <c r="E8193" s="18" t="s">
        <v>2186</v>
      </c>
      <c r="F8193" s="2" t="s">
        <v>7987</v>
      </c>
      <c r="G8193" s="2" t="s">
        <v>6227</v>
      </c>
      <c r="H8193" s="14">
        <v>2.14</v>
      </c>
      <c r="I8193" s="2" t="s">
        <v>4699</v>
      </c>
      <c r="J8193" s="2" t="s">
        <v>3942</v>
      </c>
      <c r="K8193" s="2" t="s">
        <v>1452</v>
      </c>
      <c r="L8193" s="2" t="s">
        <v>5721</v>
      </c>
      <c r="M8193" s="2" t="s">
        <v>5721</v>
      </c>
      <c r="N8193" s="2" t="s">
        <v>2317</v>
      </c>
      <c r="O8193" s="14">
        <v>16000</v>
      </c>
      <c r="P8193" s="14">
        <v>97.13</v>
      </c>
      <c r="Q8193" s="14">
        <v>459.2</v>
      </c>
      <c r="R8193" s="14">
        <v>982.69</v>
      </c>
      <c r="S8193" s="2" t="s">
        <v>3239</v>
      </c>
      <c r="T8193" s="2">
        <v>0.98</v>
      </c>
      <c r="U8193" s="2">
        <v>0</v>
      </c>
      <c r="V8193" s="2">
        <v>0</v>
      </c>
      <c r="W8193" s="2" t="s">
        <v>7862</v>
      </c>
      <c r="X8193" s="2" t="s">
        <v>2291</v>
      </c>
      <c r="Y8193" s="2">
        <v>34240</v>
      </c>
      <c r="Z8193" s="19" t="str">
        <f>HYPERLINK("https://ssdweb.co/ssdweb/hd/Vision360.html?d=925660237&amp;zoomslide=1&amp;z=1925660237&amp;ISCONFIRM=0","VIDEO")</f>
        <v>VIDEO</v>
      </c>
      <c r="AA8193" s="19" t="str">
        <f>HYPERLINK("https://ssdweb.co/ssdweb/CERTH/626466242.pdf","CERTI")</f>
        <v>CERTI</v>
      </c>
    </row>
    <row r="8194" spans="1:27" ht="15" x14ac:dyDescent="0.25">
      <c r="A8194" s="2">
        <v>8189</v>
      </c>
      <c r="B8194" s="39">
        <v>925660238</v>
      </c>
      <c r="C8194" s="28" t="str">
        <f>HYPERLINK("https://pld.live/RapDetail.aspx?STONELIST=925660238","DNA")</f>
        <v>DNA</v>
      </c>
      <c r="D8194" s="18" t="s">
        <v>3658</v>
      </c>
      <c r="E8194" s="18" t="s">
        <v>2186</v>
      </c>
      <c r="F8194" s="2" t="s">
        <v>7987</v>
      </c>
      <c r="G8194" s="2" t="s">
        <v>6227</v>
      </c>
      <c r="H8194" s="14">
        <v>2.13</v>
      </c>
      <c r="I8194" s="2" t="s">
        <v>4699</v>
      </c>
      <c r="J8194" s="2" t="s">
        <v>13</v>
      </c>
      <c r="K8194" s="2" t="s">
        <v>1452</v>
      </c>
      <c r="L8194" s="2" t="s">
        <v>5721</v>
      </c>
      <c r="M8194" s="2" t="s">
        <v>5221</v>
      </c>
      <c r="N8194" s="2" t="s">
        <v>2317</v>
      </c>
      <c r="O8194" s="14">
        <v>15000</v>
      </c>
      <c r="P8194" s="14">
        <v>96.93</v>
      </c>
      <c r="Q8194" s="14">
        <v>460.5</v>
      </c>
      <c r="R8194" s="14">
        <v>980.87</v>
      </c>
      <c r="S8194" s="2" t="s">
        <v>7131</v>
      </c>
      <c r="T8194" s="2">
        <v>0.97</v>
      </c>
      <c r="U8194" s="2">
        <v>0</v>
      </c>
      <c r="V8194" s="2">
        <v>0</v>
      </c>
      <c r="W8194" s="2" t="s">
        <v>7862</v>
      </c>
      <c r="X8194" s="2" t="s">
        <v>2291</v>
      </c>
      <c r="Y8194" s="2">
        <v>31950</v>
      </c>
      <c r="Z8194" s="19" t="str">
        <f>HYPERLINK("https://ssdweb.co/ssdweb/hd/Vision360.html?d=925660238&amp;zoomslide=1&amp;z=1925660238&amp;ISCONFIRM=0","VIDEO")</f>
        <v>VIDEO</v>
      </c>
      <c r="AA8194" s="19" t="str">
        <f>HYPERLINK("https://ssdweb.co/ssdweb/CERTH/626466243.pdf","CERTI")</f>
        <v>CERTI</v>
      </c>
    </row>
    <row r="8195" spans="1:27" ht="15" x14ac:dyDescent="0.25">
      <c r="A8195" s="2">
        <v>8190</v>
      </c>
      <c r="B8195" s="39">
        <v>925660240</v>
      </c>
      <c r="C8195" s="28" t="str">
        <f>HYPERLINK("https://pld.live/RapDetail.aspx?STONELIST=925660240","DNA")</f>
        <v>DNA</v>
      </c>
      <c r="D8195" s="18" t="s">
        <v>711</v>
      </c>
      <c r="E8195" s="18" t="s">
        <v>2186</v>
      </c>
      <c r="F8195" s="2" t="s">
        <v>7987</v>
      </c>
      <c r="G8195" s="2" t="s">
        <v>6227</v>
      </c>
      <c r="H8195" s="14">
        <v>1.64</v>
      </c>
      <c r="I8195" s="2" t="s">
        <v>4761</v>
      </c>
      <c r="J8195" s="2" t="s">
        <v>3942</v>
      </c>
      <c r="K8195" s="2" t="s">
        <v>1452</v>
      </c>
      <c r="L8195" s="2" t="s">
        <v>5721</v>
      </c>
      <c r="M8195" s="2" t="s">
        <v>5721</v>
      </c>
      <c r="N8195" s="2" t="s">
        <v>2317</v>
      </c>
      <c r="O8195" s="14">
        <v>11600</v>
      </c>
      <c r="P8195" s="14">
        <v>96.21</v>
      </c>
      <c r="Q8195" s="14">
        <v>439.64</v>
      </c>
      <c r="R8195" s="14">
        <v>721.01</v>
      </c>
      <c r="S8195" s="2" t="s">
        <v>3921</v>
      </c>
      <c r="T8195" s="2">
        <v>0.95</v>
      </c>
      <c r="U8195" s="2">
        <v>0</v>
      </c>
      <c r="V8195" s="2">
        <v>0</v>
      </c>
      <c r="W8195" s="2" t="s">
        <v>7862</v>
      </c>
      <c r="X8195" s="2" t="s">
        <v>2291</v>
      </c>
      <c r="Y8195" s="2">
        <v>19024</v>
      </c>
      <c r="Z8195" s="19" t="str">
        <f>HYPERLINK("https://ssdweb.co/ssdweb/hd/Vision360.html?d=925660240&amp;zoomslide=1&amp;z=1925660240&amp;ISCONFIRM=0","VIDEO")</f>
        <v>VIDEO</v>
      </c>
      <c r="AA8195" s="19" t="str">
        <f>HYPERLINK("https://ssdweb.co/ssdweb/CERTH/626466245.pdf","CERTI")</f>
        <v>CERTI</v>
      </c>
    </row>
    <row r="8196" spans="1:27" ht="15" x14ac:dyDescent="0.25">
      <c r="A8196" s="2">
        <v>8191</v>
      </c>
      <c r="B8196" s="39">
        <v>925660239</v>
      </c>
      <c r="C8196" s="28" t="str">
        <f>HYPERLINK("https://pld.live/RapDetail.aspx?STONELIST=925660239","DNA")</f>
        <v>DNA</v>
      </c>
      <c r="D8196" s="18" t="s">
        <v>711</v>
      </c>
      <c r="E8196" s="18" t="s">
        <v>2186</v>
      </c>
      <c r="F8196" s="2" t="s">
        <v>7987</v>
      </c>
      <c r="G8196" s="2" t="s">
        <v>6227</v>
      </c>
      <c r="H8196" s="14">
        <v>1.64</v>
      </c>
      <c r="I8196" s="2" t="s">
        <v>4699</v>
      </c>
      <c r="J8196" s="2" t="s">
        <v>13</v>
      </c>
      <c r="K8196" s="2" t="s">
        <v>1452</v>
      </c>
      <c r="L8196" s="2" t="s">
        <v>5721</v>
      </c>
      <c r="M8196" s="2" t="s">
        <v>5721</v>
      </c>
      <c r="N8196" s="2" t="s">
        <v>2317</v>
      </c>
      <c r="O8196" s="14">
        <v>10200</v>
      </c>
      <c r="P8196" s="14">
        <v>95.83</v>
      </c>
      <c r="Q8196" s="14">
        <v>425.34</v>
      </c>
      <c r="R8196" s="14">
        <v>697.56</v>
      </c>
      <c r="S8196" s="2" t="s">
        <v>968</v>
      </c>
      <c r="T8196" s="2">
        <v>0.99</v>
      </c>
      <c r="U8196" s="2">
        <v>0</v>
      </c>
      <c r="V8196" s="2">
        <v>0</v>
      </c>
      <c r="W8196" s="2" t="s">
        <v>7862</v>
      </c>
      <c r="X8196" s="2" t="s">
        <v>2291</v>
      </c>
      <c r="Y8196" s="2">
        <v>16728</v>
      </c>
      <c r="Z8196" s="19" t="str">
        <f>HYPERLINK("https://ssdweb.co/ssdweb/hd/Vision360.html?d=925660239&amp;zoomslide=1&amp;z=1925660239&amp;ISCONFIRM=0","VIDEO")</f>
        <v>VIDEO</v>
      </c>
      <c r="AA8196" s="19" t="str">
        <f>HYPERLINK("https://ssdweb.co/ssdweb/CERTH/626466244.pdf","CERTI")</f>
        <v>CERTI</v>
      </c>
    </row>
    <row r="8197" spans="1:27" ht="15" x14ac:dyDescent="0.25">
      <c r="A8197" s="2">
        <v>8192</v>
      </c>
      <c r="B8197" s="39">
        <v>925722135</v>
      </c>
      <c r="C8197" s="28" t="str">
        <f>HYPERLINK("https://pld.live/RapDetail.aspx?STONELIST=925722135","DNA")</f>
        <v>DNA</v>
      </c>
      <c r="D8197" s="18" t="s">
        <v>3054</v>
      </c>
      <c r="E8197" s="18" t="s">
        <v>5128</v>
      </c>
      <c r="F8197" s="2" t="s">
        <v>7987</v>
      </c>
      <c r="G8197" s="2" t="s">
        <v>6227</v>
      </c>
      <c r="H8197" s="14">
        <v>1.1399999999999999</v>
      </c>
      <c r="I8197" s="2" t="s">
        <v>267</v>
      </c>
      <c r="J8197" s="2" t="s">
        <v>3942</v>
      </c>
      <c r="K8197" s="2" t="s">
        <v>1452</v>
      </c>
      <c r="L8197" s="2" t="s">
        <v>5721</v>
      </c>
      <c r="M8197" s="2" t="s">
        <v>5221</v>
      </c>
      <c r="N8197" s="2" t="s">
        <v>2317</v>
      </c>
      <c r="O8197" s="14">
        <v>7600</v>
      </c>
      <c r="P8197" s="14">
        <v>94.74</v>
      </c>
      <c r="Q8197" s="14">
        <v>399.76</v>
      </c>
      <c r="R8197" s="14">
        <v>455.73</v>
      </c>
      <c r="S8197" s="2" t="s">
        <v>4020</v>
      </c>
      <c r="T8197" s="2">
        <v>0.98</v>
      </c>
      <c r="U8197" s="2">
        <v>0</v>
      </c>
      <c r="V8197" s="2">
        <v>0</v>
      </c>
      <c r="W8197" s="2" t="s">
        <v>7862</v>
      </c>
      <c r="X8197" s="2" t="s">
        <v>2291</v>
      </c>
      <c r="Y8197" s="2">
        <v>8664</v>
      </c>
      <c r="Z8197" s="19" t="str">
        <f>HYPERLINK("https://ssdweb.co/ssdweb/hd/Vision360.html?d=925722135&amp;zoomslide=1&amp;z=1925722135&amp;ISCONFIRM=0","VIDEO")</f>
        <v>VIDEO</v>
      </c>
      <c r="AA8197" s="19" t="str">
        <f>HYPERLINK("https://ssdweb.co/ssdweb/CERTH/626466326.pdf","CERTI")</f>
        <v>CERTI</v>
      </c>
    </row>
    <row r="8198" spans="1:27" ht="15" x14ac:dyDescent="0.25">
      <c r="A8198" s="2">
        <v>8193</v>
      </c>
      <c r="B8198" s="39">
        <v>925722133</v>
      </c>
      <c r="C8198" s="28" t="str">
        <f>HYPERLINK("https://pld.live/RapDetail.aspx?STONELIST=925722133","DNA")</f>
        <v>DNA</v>
      </c>
      <c r="D8198" s="18" t="s">
        <v>3054</v>
      </c>
      <c r="E8198" s="18" t="s">
        <v>5128</v>
      </c>
      <c r="F8198" s="2" t="s">
        <v>7987</v>
      </c>
      <c r="G8198" s="2" t="s">
        <v>6227</v>
      </c>
      <c r="H8198" s="14">
        <v>1.1299999999999999</v>
      </c>
      <c r="I8198" s="2" t="s">
        <v>267</v>
      </c>
      <c r="J8198" s="2" t="s">
        <v>13</v>
      </c>
      <c r="K8198" s="2" t="s">
        <v>1452</v>
      </c>
      <c r="L8198" s="2" t="s">
        <v>5721</v>
      </c>
      <c r="M8198" s="2" t="s">
        <v>5221</v>
      </c>
      <c r="N8198" s="2" t="s">
        <v>2317</v>
      </c>
      <c r="O8198" s="14">
        <v>6700</v>
      </c>
      <c r="P8198" s="14">
        <v>94.18</v>
      </c>
      <c r="Q8198" s="14">
        <v>389.94</v>
      </c>
      <c r="R8198" s="14">
        <v>440.63</v>
      </c>
      <c r="S8198" s="2" t="s">
        <v>7372</v>
      </c>
      <c r="T8198" s="2">
        <v>0.97</v>
      </c>
      <c r="U8198" s="2">
        <v>0</v>
      </c>
      <c r="V8198" s="2">
        <v>0</v>
      </c>
      <c r="W8198" s="2" t="s">
        <v>7862</v>
      </c>
      <c r="X8198" s="2" t="s">
        <v>2291</v>
      </c>
      <c r="Y8198" s="2">
        <v>7571</v>
      </c>
      <c r="Z8198" s="19" t="str">
        <f>HYPERLINK("https://ssdweb.co/ssdweb/hd/Vision360.html?d=925722133&amp;zoomslide=1&amp;z=1925722133&amp;ISCONFIRM=0","VIDEO")</f>
        <v>VIDEO</v>
      </c>
      <c r="AA8198" s="19" t="str">
        <f>HYPERLINK("https://ssdweb.co/ssdweb/CERTH/626466330.pdf","CERTI")</f>
        <v>CERTI</v>
      </c>
    </row>
    <row r="8199" spans="1:27" ht="15" x14ac:dyDescent="0.25">
      <c r="A8199" s="2">
        <v>8194</v>
      </c>
      <c r="B8199" s="39">
        <v>926360339</v>
      </c>
      <c r="C8199" s="28" t="str">
        <f>HYPERLINK("https://pld.live/RapDetail.aspx?STONELIST=926360339","DNA")</f>
        <v>DNA</v>
      </c>
      <c r="D8199" s="18" t="s">
        <v>3658</v>
      </c>
      <c r="E8199" s="18" t="s">
        <v>2186</v>
      </c>
      <c r="F8199" s="2" t="s">
        <v>7987</v>
      </c>
      <c r="G8199" s="2" t="s">
        <v>266</v>
      </c>
      <c r="H8199" s="14">
        <v>2.1</v>
      </c>
      <c r="I8199" s="2" t="s">
        <v>6587</v>
      </c>
      <c r="J8199" s="2" t="s">
        <v>13</v>
      </c>
      <c r="K8199" s="2" t="s">
        <v>1452</v>
      </c>
      <c r="L8199" s="2" t="s">
        <v>5221</v>
      </c>
      <c r="M8199" s="2" t="s">
        <v>5221</v>
      </c>
      <c r="N8199" s="2" t="s">
        <v>2317</v>
      </c>
      <c r="O8199" s="14">
        <v>14000</v>
      </c>
      <c r="P8199" s="14">
        <v>97.29</v>
      </c>
      <c r="Q8199" s="14">
        <v>379.4</v>
      </c>
      <c r="R8199" s="14">
        <v>796.74</v>
      </c>
      <c r="S8199" s="2" t="s">
        <v>1287</v>
      </c>
      <c r="T8199" s="2">
        <v>2.02</v>
      </c>
      <c r="U8199" s="2">
        <v>62.3</v>
      </c>
      <c r="V8199" s="2">
        <v>62</v>
      </c>
      <c r="W8199" s="2" t="s">
        <v>8016</v>
      </c>
      <c r="X8199" s="2" t="s">
        <v>3869</v>
      </c>
      <c r="Y8199" s="2">
        <v>29400</v>
      </c>
      <c r="Z8199" s="19" t="str">
        <f>HYPERLINK("https://ssdweb.co/ssdweb/hd/Vision360.html?d=926360339&amp;zoomslide=1&amp;z=1926360339&amp;ISCONFIRM=0","VIDEO")</f>
        <v>VIDEO</v>
      </c>
      <c r="AA8199" s="19" t="str">
        <f>HYPERLINK("https://ssdweb.co/ssdweb/CERTH/642460625.pdf","CERTI")</f>
        <v>CERTI</v>
      </c>
    </row>
    <row r="8200" spans="1:27" ht="15" x14ac:dyDescent="0.25">
      <c r="A8200" s="2">
        <v>8195</v>
      </c>
      <c r="B8200" s="39">
        <v>926820141</v>
      </c>
      <c r="C8200" s="28" t="str">
        <f>HYPERLINK("https://pld.live/RapDetail.aspx?STONELIST=926820141","DNA")</f>
        <v>DNA</v>
      </c>
      <c r="D8200" s="18" t="s">
        <v>38</v>
      </c>
      <c r="E8200" s="18" t="s">
        <v>2186</v>
      </c>
      <c r="F8200" s="2" t="s">
        <v>7987</v>
      </c>
      <c r="G8200" s="2" t="s">
        <v>2048</v>
      </c>
      <c r="H8200" s="14">
        <v>15.2</v>
      </c>
      <c r="I8200" s="2" t="s">
        <v>4761</v>
      </c>
      <c r="J8200" s="2" t="s">
        <v>3942</v>
      </c>
      <c r="K8200" s="2" t="s">
        <v>1452</v>
      </c>
      <c r="L8200" s="2" t="s">
        <v>5221</v>
      </c>
      <c r="M8200" s="2" t="s">
        <v>5221</v>
      </c>
      <c r="N8200" s="2" t="s">
        <v>2317</v>
      </c>
      <c r="O8200" s="14">
        <v>90500</v>
      </c>
      <c r="P8200" s="14">
        <v>99.23</v>
      </c>
      <c r="Q8200" s="14">
        <v>696.85</v>
      </c>
      <c r="R8200" s="14">
        <v>10592.12</v>
      </c>
      <c r="S8200" s="2" t="s">
        <v>5223</v>
      </c>
      <c r="T8200" s="2">
        <v>1.02</v>
      </c>
      <c r="U8200" s="2">
        <v>66.8</v>
      </c>
      <c r="V8200" s="2">
        <v>62</v>
      </c>
      <c r="W8200" s="2" t="s">
        <v>7862</v>
      </c>
      <c r="X8200" s="2" t="s">
        <v>7670</v>
      </c>
      <c r="Y8200" s="2">
        <v>1375600</v>
      </c>
      <c r="Z8200" s="19" t="str">
        <f>HYPERLINK("https://ssdweb.co/ssdweb/hd/Vision360.html?d=926820141&amp;zoomslide=1&amp;z=1926820141&amp;ISCONFIRM=0","VIDEO")</f>
        <v>VIDEO</v>
      </c>
      <c r="AA8200" s="19" t="str">
        <f>HYPERLINK("https://ssdweb.co/ssdweb/CERTH/669458688.pdf","CERTI")</f>
        <v>CERTI</v>
      </c>
    </row>
    <row r="8201" spans="1:27" ht="15" x14ac:dyDescent="0.25">
      <c r="A8201" s="2">
        <v>8196</v>
      </c>
      <c r="B8201" s="39">
        <v>926820126</v>
      </c>
      <c r="C8201" s="28" t="str">
        <f>HYPERLINK("https://pld.live/RapDetail.aspx?STONELIST=926820126","DNA")</f>
        <v>DNA</v>
      </c>
      <c r="D8201" s="18" t="s">
        <v>38</v>
      </c>
      <c r="E8201" s="18" t="s">
        <v>2186</v>
      </c>
      <c r="F8201" s="2" t="s">
        <v>7987</v>
      </c>
      <c r="G8201" s="2" t="s">
        <v>2048</v>
      </c>
      <c r="H8201" s="14">
        <v>12.04</v>
      </c>
      <c r="I8201" s="2" t="s">
        <v>4699</v>
      </c>
      <c r="J8201" s="2" t="s">
        <v>3942</v>
      </c>
      <c r="K8201" s="2" t="s">
        <v>1452</v>
      </c>
      <c r="L8201" s="2" t="s">
        <v>5221</v>
      </c>
      <c r="M8201" s="2" t="s">
        <v>5221</v>
      </c>
      <c r="N8201" s="2" t="s">
        <v>2317</v>
      </c>
      <c r="O8201" s="14">
        <v>83500</v>
      </c>
      <c r="P8201" s="14">
        <v>99.46</v>
      </c>
      <c r="Q8201" s="14">
        <v>450.9</v>
      </c>
      <c r="R8201" s="14">
        <v>5428.84</v>
      </c>
      <c r="S8201" s="2" t="s">
        <v>5975</v>
      </c>
      <c r="T8201" s="2">
        <v>1.03</v>
      </c>
      <c r="U8201" s="2">
        <v>66.2</v>
      </c>
      <c r="V8201" s="2">
        <v>61</v>
      </c>
      <c r="W8201" s="2" t="s">
        <v>7862</v>
      </c>
      <c r="X8201" s="2" t="s">
        <v>7670</v>
      </c>
      <c r="Y8201" s="2">
        <v>1005340</v>
      </c>
      <c r="Z8201" s="19" t="str">
        <f>HYPERLINK("https://ssdweb.co/ssdweb/hd/Vision360.html?d=926820126&amp;zoomslide=1&amp;z=1926820126&amp;ISCONFIRM=0","VIDEO")</f>
        <v>VIDEO</v>
      </c>
      <c r="AA8201" s="19" t="str">
        <f>HYPERLINK("https://ssdweb.co/ssdweb/CERTH/665453228.pdf","CERTI")</f>
        <v>CERTI</v>
      </c>
    </row>
    <row r="8202" spans="1:27" ht="15" x14ac:dyDescent="0.25">
      <c r="A8202" s="2">
        <v>8197</v>
      </c>
      <c r="B8202" s="39">
        <v>924870007</v>
      </c>
      <c r="C8202" s="28" t="str">
        <f>HYPERLINK("https://pld.live/RapDetail.aspx?STONELIST=924870007","DNA")</f>
        <v>DNA</v>
      </c>
      <c r="D8202" s="18" t="s">
        <v>38</v>
      </c>
      <c r="E8202" s="18" t="s">
        <v>2186</v>
      </c>
      <c r="F8202" s="2" t="s">
        <v>7987</v>
      </c>
      <c r="G8202" s="2" t="s">
        <v>2048</v>
      </c>
      <c r="H8202" s="14">
        <v>11.51</v>
      </c>
      <c r="I8202" s="2" t="s">
        <v>4761</v>
      </c>
      <c r="J8202" s="2" t="s">
        <v>13</v>
      </c>
      <c r="K8202" s="2" t="s">
        <v>1452</v>
      </c>
      <c r="L8202" s="2" t="s">
        <v>5221</v>
      </c>
      <c r="M8202" s="2" t="s">
        <v>5221</v>
      </c>
      <c r="N8202" s="2" t="s">
        <v>2317</v>
      </c>
      <c r="O8202" s="14">
        <v>83500</v>
      </c>
      <c r="P8202" s="14">
        <v>99.52</v>
      </c>
      <c r="Q8202" s="14">
        <v>400.8</v>
      </c>
      <c r="R8202" s="14">
        <v>4613.21</v>
      </c>
      <c r="S8202" s="2" t="s">
        <v>7761</v>
      </c>
      <c r="T8202" s="2">
        <v>1.01</v>
      </c>
      <c r="U8202" s="2">
        <v>67.2</v>
      </c>
      <c r="V8202" s="2">
        <v>65</v>
      </c>
      <c r="W8202" s="2" t="s">
        <v>7862</v>
      </c>
      <c r="X8202" s="2" t="s">
        <v>7670</v>
      </c>
      <c r="Y8202" s="2">
        <v>961085</v>
      </c>
      <c r="Z8202" s="19" t="str">
        <f>HYPERLINK("https://ssdweb.co/ssdweb/hd/Vision360.html?d=924870007&amp;zoomslide=1&amp;z=1924870007&amp;ISCONFIRM=0","VIDEO")</f>
        <v>VIDEO</v>
      </c>
      <c r="AA8202" s="19" t="str">
        <f>HYPERLINK("https://ssdweb.co/ssdweb/CERTH/601392259.pdf","CERTI")</f>
        <v>CERTI</v>
      </c>
    </row>
    <row r="8203" spans="1:27" ht="15" x14ac:dyDescent="0.25">
      <c r="A8203" s="2">
        <v>8198</v>
      </c>
      <c r="B8203" s="39">
        <v>924890020</v>
      </c>
      <c r="C8203" s="28" t="str">
        <f>HYPERLINK("https://pld.live/RapDetail.aspx?STONELIST=924890020","DNA")</f>
        <v>DNA</v>
      </c>
      <c r="D8203" s="18" t="s">
        <v>3174</v>
      </c>
      <c r="E8203" s="18" t="s">
        <v>2186</v>
      </c>
      <c r="F8203" s="2" t="s">
        <v>7987</v>
      </c>
      <c r="G8203" s="2" t="s">
        <v>2048</v>
      </c>
      <c r="H8203" s="14">
        <v>5.4</v>
      </c>
      <c r="I8203" s="2" t="s">
        <v>1112</v>
      </c>
      <c r="J8203" s="2" t="s">
        <v>5144</v>
      </c>
      <c r="K8203" s="2" t="s">
        <v>1452</v>
      </c>
      <c r="L8203" s="2" t="s">
        <v>5221</v>
      </c>
      <c r="M8203" s="2" t="s">
        <v>5221</v>
      </c>
      <c r="N8203" s="2" t="s">
        <v>924</v>
      </c>
      <c r="O8203" s="14">
        <v>9000</v>
      </c>
      <c r="P8203" s="14">
        <v>96.33</v>
      </c>
      <c r="Q8203" s="14">
        <v>330.3</v>
      </c>
      <c r="R8203" s="14">
        <v>1783.62</v>
      </c>
      <c r="S8203" s="2" t="s">
        <v>5990</v>
      </c>
      <c r="T8203" s="2">
        <v>1.02</v>
      </c>
      <c r="U8203" s="2">
        <v>67.3</v>
      </c>
      <c r="V8203" s="2">
        <v>61</v>
      </c>
      <c r="W8203" s="2" t="s">
        <v>7862</v>
      </c>
      <c r="X8203" s="2" t="s">
        <v>7670</v>
      </c>
      <c r="Y8203" s="2">
        <v>48600</v>
      </c>
      <c r="Z8203" s="19" t="str">
        <f>HYPERLINK("https://ssdweb.co/ssdweb/hd/Vision360.html?d=924890020&amp;zoomslide=1&amp;z=1924890020&amp;ISCONFIRM=0","VIDEO")</f>
        <v>VIDEO</v>
      </c>
      <c r="AA8203" s="19" t="str">
        <f>HYPERLINK("https://ssdweb.co/ssdweb/CERTH/603352426.pdf","CERTI")</f>
        <v>CERTI</v>
      </c>
    </row>
    <row r="8204" spans="1:27" ht="15" x14ac:dyDescent="0.25">
      <c r="A8204" s="2">
        <v>8199</v>
      </c>
      <c r="B8204" s="39">
        <v>925320058</v>
      </c>
      <c r="C8204" s="28" t="str">
        <f>HYPERLINK("https://pld.live/RapDetail.aspx?STONELIST=925320058","DNA")</f>
        <v>DNA</v>
      </c>
      <c r="D8204" s="18" t="s">
        <v>3174</v>
      </c>
      <c r="E8204" s="18" t="s">
        <v>2186</v>
      </c>
      <c r="F8204" s="2" t="s">
        <v>7987</v>
      </c>
      <c r="G8204" s="2" t="s">
        <v>2048</v>
      </c>
      <c r="H8204" s="14">
        <v>5.24</v>
      </c>
      <c r="I8204" s="2" t="s">
        <v>6587</v>
      </c>
      <c r="J8204" s="2" t="s">
        <v>13</v>
      </c>
      <c r="K8204" s="2" t="s">
        <v>1452</v>
      </c>
      <c r="L8204" s="2" t="s">
        <v>5221</v>
      </c>
      <c r="M8204" s="2" t="s">
        <v>5221</v>
      </c>
      <c r="N8204" s="2" t="s">
        <v>2317</v>
      </c>
      <c r="O8204" s="14">
        <v>42500</v>
      </c>
      <c r="P8204" s="14">
        <v>99.64</v>
      </c>
      <c r="Q8204" s="14">
        <v>153</v>
      </c>
      <c r="R8204" s="14">
        <v>801.72</v>
      </c>
      <c r="S8204" s="2" t="s">
        <v>7327</v>
      </c>
      <c r="T8204" s="2">
        <v>1.02</v>
      </c>
      <c r="U8204" s="2">
        <v>66.8</v>
      </c>
      <c r="V8204" s="2">
        <v>64</v>
      </c>
      <c r="W8204" s="2" t="s">
        <v>7862</v>
      </c>
      <c r="X8204" s="2" t="s">
        <v>7670</v>
      </c>
      <c r="Y8204" s="2">
        <v>222700</v>
      </c>
      <c r="Z8204" s="19" t="str">
        <f>HYPERLINK("https://ssdweb.co/ssdweb/hd/Vision360.html?d=925320058&amp;zoomslide=1&amp;z=1925320058&amp;ISCONFIRM=0","VIDEO")</f>
        <v>VIDEO</v>
      </c>
      <c r="AA8204" s="19" t="str">
        <f>HYPERLINK("https://ssdweb.co/ssdweb/CERTH/621475823.pdf","CERTI")</f>
        <v>CERTI</v>
      </c>
    </row>
    <row r="8205" spans="1:27" ht="15" x14ac:dyDescent="0.25">
      <c r="A8205" s="2">
        <v>8200</v>
      </c>
      <c r="B8205" s="39">
        <v>925880316</v>
      </c>
      <c r="C8205" s="28" t="str">
        <f>HYPERLINK("https://pld.live/RapDetail.aspx?STONELIST=925880316","DNA")</f>
        <v>DNA</v>
      </c>
      <c r="D8205" s="18" t="s">
        <v>3174</v>
      </c>
      <c r="E8205" s="18" t="s">
        <v>2186</v>
      </c>
      <c r="F8205" s="2" t="s">
        <v>7987</v>
      </c>
      <c r="G8205" s="2" t="s">
        <v>2048</v>
      </c>
      <c r="H8205" s="14">
        <v>5.04</v>
      </c>
      <c r="I8205" s="2" t="s">
        <v>4761</v>
      </c>
      <c r="J8205" s="2" t="s">
        <v>13</v>
      </c>
      <c r="K8205" s="2" t="s">
        <v>1452</v>
      </c>
      <c r="L8205" s="2" t="s">
        <v>5221</v>
      </c>
      <c r="M8205" s="2" t="s">
        <v>5221</v>
      </c>
      <c r="N8205" s="2" t="s">
        <v>2317</v>
      </c>
      <c r="O8205" s="14">
        <v>52500</v>
      </c>
      <c r="P8205" s="14">
        <v>99.67</v>
      </c>
      <c r="Q8205" s="14">
        <v>173.25</v>
      </c>
      <c r="R8205" s="14">
        <v>873.18</v>
      </c>
      <c r="S8205" s="2" t="s">
        <v>521</v>
      </c>
      <c r="T8205" s="2">
        <v>1</v>
      </c>
      <c r="U8205" s="2">
        <v>66.7</v>
      </c>
      <c r="V8205" s="2">
        <v>65</v>
      </c>
      <c r="W8205" s="2" t="s">
        <v>7862</v>
      </c>
      <c r="X8205" s="2" t="s">
        <v>7670</v>
      </c>
      <c r="Y8205" s="2">
        <v>264600</v>
      </c>
      <c r="Z8205" s="19" t="str">
        <f>HYPERLINK("https://ssdweb.co/ssdweb/hd/Vision360.html?d=925880316&amp;zoomslide=1&amp;z=1925880316&amp;ISCONFIRM=0","VIDEO")</f>
        <v>VIDEO</v>
      </c>
      <c r="AA8205" s="19" t="str">
        <f>HYPERLINK("https://ssdweb.co/ssdweb/CERTH/631430441.pdf","CERTI")</f>
        <v>CERTI</v>
      </c>
    </row>
    <row r="8206" spans="1:27" ht="15" x14ac:dyDescent="0.25">
      <c r="A8206" s="2">
        <v>8201</v>
      </c>
      <c r="B8206" s="39">
        <v>925880322</v>
      </c>
      <c r="C8206" s="28" t="str">
        <f>HYPERLINK("https://pld.live/RapDetail.aspx?STONELIST=925880322","DNA")</f>
        <v>DNA</v>
      </c>
      <c r="D8206" s="18" t="s">
        <v>3134</v>
      </c>
      <c r="E8206" s="18" t="s">
        <v>2186</v>
      </c>
      <c r="F8206" s="2" t="s">
        <v>7987</v>
      </c>
      <c r="G8206" s="2" t="s">
        <v>2048</v>
      </c>
      <c r="H8206" s="14">
        <v>4.04</v>
      </c>
      <c r="I8206" s="2" t="s">
        <v>4761</v>
      </c>
      <c r="J8206" s="2" t="s">
        <v>3942</v>
      </c>
      <c r="K8206" s="2" t="s">
        <v>1452</v>
      </c>
      <c r="L8206" s="2" t="s">
        <v>5221</v>
      </c>
      <c r="M8206" s="2" t="s">
        <v>5221</v>
      </c>
      <c r="N8206" s="2" t="s">
        <v>2317</v>
      </c>
      <c r="O8206" s="14">
        <v>40000</v>
      </c>
      <c r="P8206" s="14">
        <v>99.55</v>
      </c>
      <c r="Q8206" s="14">
        <v>180</v>
      </c>
      <c r="R8206" s="14">
        <v>727.2</v>
      </c>
      <c r="S8206" s="2" t="s">
        <v>1471</v>
      </c>
      <c r="T8206" s="2">
        <v>1.02</v>
      </c>
      <c r="U8206" s="2">
        <v>67.2</v>
      </c>
      <c r="V8206" s="2">
        <v>60</v>
      </c>
      <c r="W8206" s="2" t="s">
        <v>7862</v>
      </c>
      <c r="X8206" s="2" t="s">
        <v>7670</v>
      </c>
      <c r="Y8206" s="2">
        <v>161600</v>
      </c>
      <c r="Z8206" s="19" t="str">
        <f>HYPERLINK("https://ssdweb.co/ssdweb/hd/Vision360.html?d=925880322&amp;zoomslide=1&amp;z=1925880322&amp;ISCONFIRM=0","VIDEO")</f>
        <v>VIDEO</v>
      </c>
      <c r="AA8206" s="19" t="str">
        <f>HYPERLINK("https://ssdweb.co/ssdweb/CERTH/631464397.pdf","CERTI")</f>
        <v>CERTI</v>
      </c>
    </row>
    <row r="8207" spans="1:27" ht="15" x14ac:dyDescent="0.25">
      <c r="A8207" s="2">
        <v>8202</v>
      </c>
      <c r="B8207" s="39">
        <v>924590291</v>
      </c>
      <c r="C8207" s="28" t="str">
        <f>HYPERLINK("https://pld.live/RapDetail.aspx?STONELIST=924590291","DNA")</f>
        <v>DNA</v>
      </c>
      <c r="D8207" s="18" t="s">
        <v>4563</v>
      </c>
      <c r="E8207" s="18" t="s">
        <v>2186</v>
      </c>
      <c r="F8207" s="2" t="s">
        <v>7987</v>
      </c>
      <c r="G8207" s="2" t="s">
        <v>2048</v>
      </c>
      <c r="H8207" s="14">
        <v>3.22</v>
      </c>
      <c r="I8207" s="2" t="s">
        <v>4699</v>
      </c>
      <c r="J8207" s="2" t="s">
        <v>444</v>
      </c>
      <c r="K8207" s="2" t="s">
        <v>1452</v>
      </c>
      <c r="L8207" s="2" t="s">
        <v>5221</v>
      </c>
      <c r="M8207" s="2" t="s">
        <v>5221</v>
      </c>
      <c r="N8207" s="2" t="s">
        <v>2317</v>
      </c>
      <c r="O8207" s="14">
        <v>19500</v>
      </c>
      <c r="P8207" s="14">
        <v>99.36</v>
      </c>
      <c r="Q8207" s="14">
        <v>124.8</v>
      </c>
      <c r="R8207" s="14">
        <v>401.86</v>
      </c>
      <c r="S8207" s="2" t="s">
        <v>4597</v>
      </c>
      <c r="T8207" s="2">
        <v>1.02</v>
      </c>
      <c r="U8207" s="2">
        <v>65.5</v>
      </c>
      <c r="V8207" s="2">
        <v>64</v>
      </c>
      <c r="W8207" s="2" t="s">
        <v>7862</v>
      </c>
      <c r="X8207" s="2" t="s">
        <v>7670</v>
      </c>
      <c r="Y8207" s="2">
        <v>62790</v>
      </c>
      <c r="Z8207" s="19" t="str">
        <f>HYPERLINK("https://ssdweb.co/ssdweb/hd/Vision360.html?d=924590291&amp;zoomslide=1&amp;z=1924590291&amp;ISCONFIRM=0","VIDEO")</f>
        <v>VIDEO</v>
      </c>
      <c r="AA8207" s="19" t="str">
        <f>HYPERLINK("https://ssdweb.co/ssdweb/CERTH/600344386.pdf","CERTI")</f>
        <v>CERTI</v>
      </c>
    </row>
    <row r="8208" spans="1:27" ht="15" x14ac:dyDescent="0.25">
      <c r="A8208" s="2">
        <v>8203</v>
      </c>
      <c r="B8208" s="39">
        <v>926930924</v>
      </c>
      <c r="C8208" s="28" t="str">
        <f>HYPERLINK("https://pld.live/RapDetail.aspx?STONELIST=926930924","DNA")</f>
        <v>DNA</v>
      </c>
      <c r="D8208" s="18" t="s">
        <v>4563</v>
      </c>
      <c r="E8208" s="18" t="s">
        <v>2186</v>
      </c>
      <c r="F8208" s="2" t="s">
        <v>7987</v>
      </c>
      <c r="G8208" s="2" t="s">
        <v>2048</v>
      </c>
      <c r="H8208" s="14">
        <v>3.22</v>
      </c>
      <c r="I8208" s="2" t="s">
        <v>6587</v>
      </c>
      <c r="J8208" s="2" t="s">
        <v>3942</v>
      </c>
      <c r="K8208" s="2" t="s">
        <v>1452</v>
      </c>
      <c r="L8208" s="2" t="s">
        <v>5221</v>
      </c>
      <c r="M8208" s="2" t="s">
        <v>5221</v>
      </c>
      <c r="N8208" s="2" t="s">
        <v>2317</v>
      </c>
      <c r="O8208" s="14">
        <v>24500</v>
      </c>
      <c r="P8208" s="14">
        <v>99.37</v>
      </c>
      <c r="Q8208" s="14">
        <v>154.35</v>
      </c>
      <c r="R8208" s="14">
        <v>497.01</v>
      </c>
      <c r="S8208" s="2" t="s">
        <v>6082</v>
      </c>
      <c r="T8208" s="2">
        <v>1.01</v>
      </c>
      <c r="U8208" s="2">
        <v>67.8</v>
      </c>
      <c r="V8208" s="2">
        <v>61</v>
      </c>
      <c r="W8208" s="2" t="s">
        <v>7862</v>
      </c>
      <c r="X8208" s="2" t="s">
        <v>7670</v>
      </c>
      <c r="Y8208" s="2">
        <v>78890</v>
      </c>
      <c r="Z8208" s="19" t="str">
        <f>HYPERLINK("https://ssdweb.co/ssdweb/hd/Vision360.html?d=926930924&amp;zoomslide=1&amp;z=1926930924&amp;ISCONFIRM=0","VIDEO")</f>
        <v>VIDEO</v>
      </c>
      <c r="AA8208" s="19" t="str">
        <f>HYPERLINK("https://ssdweb.co/ssdweb/CERTH/660490622.pdf","CERTI")</f>
        <v>CERTI</v>
      </c>
    </row>
    <row r="8209" spans="1:27" ht="15" x14ac:dyDescent="0.25">
      <c r="A8209" s="2">
        <v>8204</v>
      </c>
      <c r="B8209" s="39">
        <v>925010207</v>
      </c>
      <c r="C8209" s="28" t="str">
        <f>HYPERLINK("https://pld.live/RapDetail.aspx?STONELIST=925010207","DNA")</f>
        <v>DNA</v>
      </c>
      <c r="D8209" s="18" t="s">
        <v>4563</v>
      </c>
      <c r="E8209" s="18" t="s">
        <v>2186</v>
      </c>
      <c r="F8209" s="2" t="s">
        <v>7987</v>
      </c>
      <c r="G8209" s="2" t="s">
        <v>2048</v>
      </c>
      <c r="H8209" s="14">
        <v>3.1</v>
      </c>
      <c r="I8209" s="2" t="s">
        <v>4761</v>
      </c>
      <c r="J8209" s="2" t="s">
        <v>13</v>
      </c>
      <c r="K8209" s="2" t="s">
        <v>1452</v>
      </c>
      <c r="L8209" s="2" t="s">
        <v>5221</v>
      </c>
      <c r="M8209" s="2" t="s">
        <v>5221</v>
      </c>
      <c r="N8209" s="2" t="s">
        <v>2317</v>
      </c>
      <c r="O8209" s="14">
        <v>27500</v>
      </c>
      <c r="P8209" s="14">
        <v>99.45</v>
      </c>
      <c r="Q8209" s="14">
        <v>151.25</v>
      </c>
      <c r="R8209" s="14">
        <v>468.88</v>
      </c>
      <c r="S8209" s="2" t="s">
        <v>3519</v>
      </c>
      <c r="T8209" s="2">
        <v>1.02</v>
      </c>
      <c r="U8209" s="2">
        <v>66.7</v>
      </c>
      <c r="V8209" s="2">
        <v>61</v>
      </c>
      <c r="W8209" s="2" t="s">
        <v>7862</v>
      </c>
      <c r="X8209" s="2" t="s">
        <v>7670</v>
      </c>
      <c r="Y8209" s="2">
        <v>85250</v>
      </c>
      <c r="Z8209" s="19" t="str">
        <f>HYPERLINK("https://ssdweb.co/ssdweb/hd/Vision360.html?d=925010207&amp;zoomslide=1&amp;z=1925010207&amp;ISCONFIRM=0","VIDEO")</f>
        <v>VIDEO</v>
      </c>
      <c r="AA8209" s="19" t="str">
        <f>HYPERLINK("https://ssdweb.co/ssdweb/CERTH/607398247.pdf","CERTI")</f>
        <v>CERTI</v>
      </c>
    </row>
    <row r="8210" spans="1:27" ht="15" x14ac:dyDescent="0.25">
      <c r="A8210" s="2">
        <v>8205</v>
      </c>
      <c r="B8210" s="39">
        <v>925660174</v>
      </c>
      <c r="C8210" s="28" t="str">
        <f>HYPERLINK("https://pld.live/RapDetail.aspx?STONELIST=925660174","DNA")</f>
        <v>DNA</v>
      </c>
      <c r="D8210" s="18" t="s">
        <v>4563</v>
      </c>
      <c r="E8210" s="18" t="s">
        <v>2186</v>
      </c>
      <c r="F8210" s="2" t="s">
        <v>7987</v>
      </c>
      <c r="G8210" s="2" t="s">
        <v>2048</v>
      </c>
      <c r="H8210" s="14">
        <v>3.1</v>
      </c>
      <c r="I8210" s="2" t="s">
        <v>1505</v>
      </c>
      <c r="J8210" s="2" t="s">
        <v>13</v>
      </c>
      <c r="K8210" s="2" t="s">
        <v>1452</v>
      </c>
      <c r="L8210" s="2" t="s">
        <v>5221</v>
      </c>
      <c r="M8210" s="2" t="s">
        <v>5221</v>
      </c>
      <c r="N8210" s="2" t="s">
        <v>2317</v>
      </c>
      <c r="O8210" s="14">
        <v>19500</v>
      </c>
      <c r="P8210" s="14">
        <v>99.39</v>
      </c>
      <c r="Q8210" s="14">
        <v>118.95</v>
      </c>
      <c r="R8210" s="14">
        <v>368.75</v>
      </c>
      <c r="S8210" s="2" t="s">
        <v>5286</v>
      </c>
      <c r="T8210" s="2">
        <v>1.02</v>
      </c>
      <c r="U8210" s="2">
        <v>66.900000000000006</v>
      </c>
      <c r="V8210" s="2">
        <v>59</v>
      </c>
      <c r="W8210" s="2" t="s">
        <v>8016</v>
      </c>
      <c r="X8210" s="2" t="s">
        <v>7670</v>
      </c>
      <c r="Y8210" s="2">
        <v>60450</v>
      </c>
      <c r="Z8210" s="19" t="str">
        <f>HYPERLINK("https://ssdweb.co/ssdweb/hd/Vision360.html?d=925660174&amp;zoomslide=1&amp;z=1925660174&amp;ISCONFIRM=0","VIDEO")</f>
        <v>VIDEO</v>
      </c>
      <c r="AA8210" s="19" t="str">
        <f>HYPERLINK("https://ssdweb.co/ssdweb/CERTH/624440177.pdf","CERTI")</f>
        <v>CERTI</v>
      </c>
    </row>
    <row r="8211" spans="1:27" ht="15" x14ac:dyDescent="0.25">
      <c r="A8211" s="2">
        <v>8206</v>
      </c>
      <c r="B8211" s="39">
        <v>924590273</v>
      </c>
      <c r="C8211" s="28" t="str">
        <f>HYPERLINK("https://pld.live/RapDetail.aspx?STONELIST=924590273","DNA")</f>
        <v>DNA</v>
      </c>
      <c r="D8211" s="18" t="s">
        <v>4563</v>
      </c>
      <c r="E8211" s="18" t="s">
        <v>2186</v>
      </c>
      <c r="F8211" s="2" t="s">
        <v>7987</v>
      </c>
      <c r="G8211" s="2" t="s">
        <v>2048</v>
      </c>
      <c r="H8211" s="14">
        <v>3.07</v>
      </c>
      <c r="I8211" s="2" t="s">
        <v>6845</v>
      </c>
      <c r="J8211" s="2" t="s">
        <v>13</v>
      </c>
      <c r="K8211" s="2" t="s">
        <v>1452</v>
      </c>
      <c r="L8211" s="2" t="s">
        <v>5221</v>
      </c>
      <c r="M8211" s="2" t="s">
        <v>5221</v>
      </c>
      <c r="N8211" s="2" t="s">
        <v>2317</v>
      </c>
      <c r="O8211" s="14">
        <v>5700</v>
      </c>
      <c r="P8211" s="14">
        <v>96.32</v>
      </c>
      <c r="Q8211" s="14">
        <v>209.76</v>
      </c>
      <c r="R8211" s="14">
        <v>643.96</v>
      </c>
      <c r="S8211" s="2" t="s">
        <v>7176</v>
      </c>
      <c r="T8211" s="2">
        <v>1.02</v>
      </c>
      <c r="U8211" s="2">
        <v>65.900000000000006</v>
      </c>
      <c r="V8211" s="2">
        <v>63</v>
      </c>
      <c r="W8211" s="2" t="s">
        <v>7862</v>
      </c>
      <c r="X8211" s="2" t="s">
        <v>7670</v>
      </c>
      <c r="Y8211" s="2">
        <v>17499</v>
      </c>
      <c r="Z8211" s="19" t="str">
        <f>HYPERLINK("https://ssdweb.co/ssdweb/hd/Vision360.html?d=924590273&amp;zoomslide=1&amp;z=1924590273&amp;ISCONFIRM=0","VIDEO")</f>
        <v>VIDEO</v>
      </c>
      <c r="AA8211" s="19" t="str">
        <f>HYPERLINK("https://ssdweb.co/ssdweb/CERTH/606328338.pdf","CERTI")</f>
        <v>CERTI</v>
      </c>
    </row>
    <row r="8212" spans="1:27" ht="15" x14ac:dyDescent="0.25">
      <c r="A8212" s="2">
        <v>8207</v>
      </c>
      <c r="B8212" s="39">
        <v>926910623</v>
      </c>
      <c r="C8212" s="28" t="str">
        <f>HYPERLINK("https://pld.live/RapDetail.aspx?STONELIST=926910623","DNA")</f>
        <v>DNA</v>
      </c>
      <c r="D8212" s="18" t="s">
        <v>4563</v>
      </c>
      <c r="E8212" s="18" t="s">
        <v>2186</v>
      </c>
      <c r="F8212" s="2" t="s">
        <v>7987</v>
      </c>
      <c r="G8212" s="2" t="s">
        <v>2048</v>
      </c>
      <c r="H8212" s="14">
        <v>3.04</v>
      </c>
      <c r="I8212" s="2" t="s">
        <v>4699</v>
      </c>
      <c r="J8212" s="2" t="s">
        <v>5144</v>
      </c>
      <c r="K8212" s="2" t="s">
        <v>1452</v>
      </c>
      <c r="L8212" s="2" t="s">
        <v>5221</v>
      </c>
      <c r="M8212" s="2" t="s">
        <v>5221</v>
      </c>
      <c r="N8212" s="2" t="s">
        <v>2317</v>
      </c>
      <c r="O8212" s="14">
        <v>22500</v>
      </c>
      <c r="P8212" s="14">
        <v>99.38</v>
      </c>
      <c r="Q8212" s="14">
        <v>139.5</v>
      </c>
      <c r="R8212" s="14">
        <v>424.08</v>
      </c>
      <c r="S8212" s="2" t="s">
        <v>7519</v>
      </c>
      <c r="T8212" s="2">
        <v>1.01</v>
      </c>
      <c r="U8212" s="2">
        <v>67.400000000000006</v>
      </c>
      <c r="V8212" s="2">
        <v>59</v>
      </c>
      <c r="W8212" s="2" t="s">
        <v>7862</v>
      </c>
      <c r="X8212" s="2" t="s">
        <v>7670</v>
      </c>
      <c r="Y8212" s="2">
        <v>68400</v>
      </c>
      <c r="Z8212" s="19" t="str">
        <f>HYPERLINK("https://ssdweb.co/ssdweb/hd/Vision360.html?d=926910623&amp;zoomslide=1&amp;z=1926910623&amp;ISCONFIRM=0","VIDEO")</f>
        <v>VIDEO</v>
      </c>
      <c r="AA8212" s="19" t="str">
        <f>HYPERLINK("https://ssdweb.co/ssdweb/CERTH/665453220.pdf","CERTI")</f>
        <v>CERTI</v>
      </c>
    </row>
    <row r="8213" spans="1:27" ht="15" x14ac:dyDescent="0.25">
      <c r="A8213" s="2">
        <v>8208</v>
      </c>
      <c r="B8213" s="39">
        <v>925010211</v>
      </c>
      <c r="C8213" s="28" t="str">
        <f>HYPERLINK("https://pld.live/RapDetail.aspx?STONELIST=925010211","DNA")</f>
        <v>DNA</v>
      </c>
      <c r="D8213" s="18" t="s">
        <v>4563</v>
      </c>
      <c r="E8213" s="18" t="s">
        <v>2186</v>
      </c>
      <c r="F8213" s="2" t="s">
        <v>7987</v>
      </c>
      <c r="G8213" s="2" t="s">
        <v>2048</v>
      </c>
      <c r="H8213" s="14">
        <v>3.03</v>
      </c>
      <c r="I8213" s="2" t="s">
        <v>267</v>
      </c>
      <c r="J8213" s="2" t="s">
        <v>13</v>
      </c>
      <c r="K8213" s="2" t="s">
        <v>1452</v>
      </c>
      <c r="L8213" s="2" t="s">
        <v>5221</v>
      </c>
      <c r="M8213" s="2" t="s">
        <v>5221</v>
      </c>
      <c r="N8213" s="2" t="s">
        <v>2317</v>
      </c>
      <c r="O8213" s="14">
        <v>30000</v>
      </c>
      <c r="P8213" s="14">
        <v>99.42</v>
      </c>
      <c r="Q8213" s="14">
        <v>174</v>
      </c>
      <c r="R8213" s="14">
        <v>527.22</v>
      </c>
      <c r="S8213" s="2" t="s">
        <v>6796</v>
      </c>
      <c r="T8213" s="2">
        <v>1.02</v>
      </c>
      <c r="U8213" s="2">
        <v>66.900000000000006</v>
      </c>
      <c r="V8213" s="2">
        <v>59</v>
      </c>
      <c r="W8213" s="2" t="s">
        <v>7862</v>
      </c>
      <c r="X8213" s="2" t="s">
        <v>7670</v>
      </c>
      <c r="Y8213" s="2">
        <v>90900</v>
      </c>
      <c r="Z8213" s="19" t="str">
        <f>HYPERLINK("https://ssdweb.co/ssdweb/hd/Vision360.html?d=925010211&amp;zoomslide=1&amp;z=1925010211&amp;ISCONFIRM=0","VIDEO")</f>
        <v>VIDEO</v>
      </c>
      <c r="AA8213" s="19" t="str">
        <f>HYPERLINK("https://ssdweb.co/ssdweb/CERTH/607332627.pdf","CERTI")</f>
        <v>CERTI</v>
      </c>
    </row>
    <row r="8214" spans="1:27" ht="15" x14ac:dyDescent="0.25">
      <c r="A8214" s="2">
        <v>8209</v>
      </c>
      <c r="B8214" s="39">
        <v>925010223</v>
      </c>
      <c r="C8214" s="28" t="str">
        <f>HYPERLINK("https://pld.live/RapDetail.aspx?STONELIST=925010223","DNA")</f>
        <v>DNA</v>
      </c>
      <c r="D8214" s="18" t="s">
        <v>4563</v>
      </c>
      <c r="E8214" s="18" t="s">
        <v>2186</v>
      </c>
      <c r="F8214" s="2" t="s">
        <v>7987</v>
      </c>
      <c r="G8214" s="2" t="s">
        <v>2048</v>
      </c>
      <c r="H8214" s="14">
        <v>3.01</v>
      </c>
      <c r="I8214" s="2" t="s">
        <v>4761</v>
      </c>
      <c r="J8214" s="2" t="s">
        <v>13</v>
      </c>
      <c r="K8214" s="2" t="s">
        <v>1452</v>
      </c>
      <c r="L8214" s="2" t="s">
        <v>5221</v>
      </c>
      <c r="M8214" s="2" t="s">
        <v>5221</v>
      </c>
      <c r="N8214" s="2" t="s">
        <v>2317</v>
      </c>
      <c r="O8214" s="14">
        <v>27500</v>
      </c>
      <c r="P8214" s="14">
        <v>99.45</v>
      </c>
      <c r="Q8214" s="14">
        <v>151.25</v>
      </c>
      <c r="R8214" s="14">
        <v>455.26</v>
      </c>
      <c r="S8214" s="2" t="s">
        <v>3144</v>
      </c>
      <c r="T8214" s="2">
        <v>1.02</v>
      </c>
      <c r="U8214" s="2">
        <v>66.5</v>
      </c>
      <c r="V8214" s="2">
        <v>64</v>
      </c>
      <c r="W8214" s="2" t="s">
        <v>7862</v>
      </c>
      <c r="X8214" s="2" t="s">
        <v>7670</v>
      </c>
      <c r="Y8214" s="2">
        <v>82775</v>
      </c>
      <c r="Z8214" s="19" t="str">
        <f>HYPERLINK("https://ssdweb.co/ssdweb/hd/Vision360.html?d=925010223&amp;zoomslide=1&amp;z=1925010223&amp;ISCONFIRM=0","VIDEO")</f>
        <v>VIDEO</v>
      </c>
      <c r="AA8214" s="19" t="str">
        <f>HYPERLINK("https://ssdweb.co/ssdweb/CERTH/610341128.pdf","CERTI")</f>
        <v>CERTI</v>
      </c>
    </row>
    <row r="8215" spans="1:27" ht="15" x14ac:dyDescent="0.25">
      <c r="A8215" s="2">
        <v>8210</v>
      </c>
      <c r="B8215" s="39">
        <v>925670202</v>
      </c>
      <c r="C8215" s="28" t="str">
        <f>HYPERLINK("https://pld.live/RapDetail.aspx?STONELIST=925670202","DNA")</f>
        <v>DNA</v>
      </c>
      <c r="D8215" s="18" t="s">
        <v>4563</v>
      </c>
      <c r="E8215" s="18" t="s">
        <v>2186</v>
      </c>
      <c r="F8215" s="2" t="s">
        <v>7987</v>
      </c>
      <c r="G8215" s="2" t="s">
        <v>2048</v>
      </c>
      <c r="H8215" s="14">
        <v>3.01</v>
      </c>
      <c r="I8215" s="2" t="s">
        <v>6587</v>
      </c>
      <c r="J8215" s="2" t="s">
        <v>5144</v>
      </c>
      <c r="K8215" s="2" t="s">
        <v>1452</v>
      </c>
      <c r="L8215" s="2" t="s">
        <v>5221</v>
      </c>
      <c r="M8215" s="2" t="s">
        <v>5221</v>
      </c>
      <c r="N8215" s="2" t="s">
        <v>2317</v>
      </c>
      <c r="O8215" s="14">
        <v>20500</v>
      </c>
      <c r="P8215" s="14">
        <v>99.38</v>
      </c>
      <c r="Q8215" s="14">
        <v>127.1</v>
      </c>
      <c r="R8215" s="14">
        <v>382.57</v>
      </c>
      <c r="S8215" s="2" t="s">
        <v>1133</v>
      </c>
      <c r="T8215" s="2">
        <v>1.03</v>
      </c>
      <c r="U8215" s="2">
        <v>65.900000000000006</v>
      </c>
      <c r="V8215" s="2">
        <v>63</v>
      </c>
      <c r="W8215" s="2" t="s">
        <v>8016</v>
      </c>
      <c r="X8215" s="2" t="s">
        <v>7670</v>
      </c>
      <c r="Y8215" s="2">
        <v>61705</v>
      </c>
      <c r="Z8215" s="19" t="str">
        <f>HYPERLINK("https://ssdweb.co/ssdweb/hd/Vision360.html?d=925670202&amp;zoomslide=1&amp;z=1925670202&amp;ISCONFIRM=0","VIDEO")</f>
        <v>VIDEO</v>
      </c>
      <c r="AA8215" s="19" t="str">
        <f>HYPERLINK("https://ssdweb.co/ssdweb/CERTH/625432395.pdf","CERTI")</f>
        <v>CERTI</v>
      </c>
    </row>
    <row r="8216" spans="1:27" ht="15" x14ac:dyDescent="0.25">
      <c r="A8216" s="2">
        <v>8211</v>
      </c>
      <c r="B8216" s="39">
        <v>925020223</v>
      </c>
      <c r="C8216" s="28" t="str">
        <f>HYPERLINK("https://pld.live/RapDetail.aspx?STONELIST=925020223","DNA")</f>
        <v>DNA</v>
      </c>
      <c r="D8216" s="18" t="s">
        <v>4563</v>
      </c>
      <c r="E8216" s="18" t="s">
        <v>2186</v>
      </c>
      <c r="F8216" s="2" t="s">
        <v>7987</v>
      </c>
      <c r="G8216" s="2" t="s">
        <v>2048</v>
      </c>
      <c r="H8216" s="14">
        <v>3</v>
      </c>
      <c r="I8216" s="2" t="s">
        <v>4761</v>
      </c>
      <c r="J8216" s="2" t="s">
        <v>13</v>
      </c>
      <c r="K8216" s="2" t="s">
        <v>1452</v>
      </c>
      <c r="L8216" s="2" t="s">
        <v>5221</v>
      </c>
      <c r="M8216" s="2" t="s">
        <v>5221</v>
      </c>
      <c r="N8216" s="2" t="s">
        <v>2317</v>
      </c>
      <c r="O8216" s="14">
        <v>27500</v>
      </c>
      <c r="P8216" s="14">
        <v>99.45</v>
      </c>
      <c r="Q8216" s="14">
        <v>151.25</v>
      </c>
      <c r="R8216" s="14">
        <v>453.75</v>
      </c>
      <c r="S8216" s="2" t="s">
        <v>3166</v>
      </c>
      <c r="T8216" s="2">
        <v>1.04</v>
      </c>
      <c r="U8216" s="2">
        <v>65.8</v>
      </c>
      <c r="V8216" s="2">
        <v>63</v>
      </c>
      <c r="W8216" s="2" t="s">
        <v>7862</v>
      </c>
      <c r="X8216" s="2" t="s">
        <v>7670</v>
      </c>
      <c r="Y8216" s="2">
        <v>82500</v>
      </c>
      <c r="Z8216" s="19" t="str">
        <f>HYPERLINK("https://ssdweb.co/ssdweb/hd/Vision360.html?d=925020223&amp;zoomslide=1&amp;z=1925020223&amp;ISCONFIRM=0","VIDEO")</f>
        <v>VIDEO</v>
      </c>
      <c r="AA8216" s="19" t="str">
        <f>HYPERLINK("https://ssdweb.co/ssdweb/CERTH/614336830.pdf","CERTI")</f>
        <v>CERTI</v>
      </c>
    </row>
    <row r="8217" spans="1:27" ht="15" x14ac:dyDescent="0.25">
      <c r="A8217" s="2">
        <v>8212</v>
      </c>
      <c r="B8217" s="39">
        <v>926930925</v>
      </c>
      <c r="C8217" s="28" t="str">
        <f>HYPERLINK("https://pld.live/RapDetail.aspx?STONELIST=926930925","DNA")</f>
        <v>DNA</v>
      </c>
      <c r="D8217" s="18" t="s">
        <v>4563</v>
      </c>
      <c r="E8217" s="18" t="s">
        <v>2186</v>
      </c>
      <c r="F8217" s="2" t="s">
        <v>7987</v>
      </c>
      <c r="G8217" s="2" t="s">
        <v>2048</v>
      </c>
      <c r="H8217" s="14">
        <v>3</v>
      </c>
      <c r="I8217" s="2" t="s">
        <v>6587</v>
      </c>
      <c r="J8217" s="2" t="s">
        <v>3942</v>
      </c>
      <c r="K8217" s="2" t="s">
        <v>1452</v>
      </c>
      <c r="L8217" s="2" t="s">
        <v>5221</v>
      </c>
      <c r="M8217" s="2" t="s">
        <v>5221</v>
      </c>
      <c r="N8217" s="2" t="s">
        <v>2317</v>
      </c>
      <c r="O8217" s="14">
        <v>24500</v>
      </c>
      <c r="P8217" s="14">
        <v>99.37</v>
      </c>
      <c r="Q8217" s="14">
        <v>154.35</v>
      </c>
      <c r="R8217" s="14">
        <v>463.05</v>
      </c>
      <c r="S8217" s="2" t="s">
        <v>6171</v>
      </c>
      <c r="T8217" s="2">
        <v>1.02</v>
      </c>
      <c r="U8217" s="2">
        <v>67.3</v>
      </c>
      <c r="V8217" s="2">
        <v>61</v>
      </c>
      <c r="W8217" s="2" t="s">
        <v>7862</v>
      </c>
      <c r="X8217" s="2" t="s">
        <v>7670</v>
      </c>
      <c r="Y8217" s="2">
        <v>73500</v>
      </c>
      <c r="Z8217" s="19" t="str">
        <f>HYPERLINK("https://ssdweb.co/ssdweb/hd/Vision360.html?d=926930925&amp;zoomslide=1&amp;z=1926930925&amp;ISCONFIRM=0","VIDEO")</f>
        <v>VIDEO</v>
      </c>
      <c r="AA8217" s="19" t="str">
        <f>HYPERLINK("https://ssdweb.co/ssdweb/CERTH/660490620.pdf","CERTI")</f>
        <v>CERTI</v>
      </c>
    </row>
    <row r="8218" spans="1:27" ht="15" x14ac:dyDescent="0.25">
      <c r="A8218" s="2">
        <v>8213</v>
      </c>
      <c r="B8218" s="39">
        <v>925640066</v>
      </c>
      <c r="C8218" s="28" t="str">
        <f>HYPERLINK("https://pld.live/RapDetail.aspx?STONELIST=925640066","DNA")</f>
        <v>DNA</v>
      </c>
      <c r="D8218" s="18" t="s">
        <v>2694</v>
      </c>
      <c r="E8218" s="18" t="s">
        <v>2186</v>
      </c>
      <c r="F8218" s="2" t="s">
        <v>7987</v>
      </c>
      <c r="G8218" s="2" t="s">
        <v>2048</v>
      </c>
      <c r="H8218" s="14">
        <v>2.87</v>
      </c>
      <c r="I8218" s="2" t="s">
        <v>6587</v>
      </c>
      <c r="J8218" s="2" t="s">
        <v>3942</v>
      </c>
      <c r="K8218" s="2" t="s">
        <v>1452</v>
      </c>
      <c r="L8218" s="2" t="s">
        <v>5221</v>
      </c>
      <c r="M8218" s="2" t="s">
        <v>5221</v>
      </c>
      <c r="N8218" s="2" t="s">
        <v>2317</v>
      </c>
      <c r="O8218" s="14">
        <v>15000</v>
      </c>
      <c r="P8218" s="14">
        <v>99.18</v>
      </c>
      <c r="Q8218" s="14">
        <v>123</v>
      </c>
      <c r="R8218" s="14">
        <v>353.01</v>
      </c>
      <c r="S8218" s="2" t="s">
        <v>4968</v>
      </c>
      <c r="T8218" s="2">
        <v>1.02</v>
      </c>
      <c r="U8218" s="2">
        <v>66.3</v>
      </c>
      <c r="V8218" s="2">
        <v>63</v>
      </c>
      <c r="W8218" s="2" t="s">
        <v>8016</v>
      </c>
      <c r="X8218" s="2" t="s">
        <v>7670</v>
      </c>
      <c r="Y8218" s="2">
        <v>43050</v>
      </c>
      <c r="Z8218" s="19" t="str">
        <f>HYPERLINK("https://ssdweb.co/ssdweb/hd/Vision360.html?d=925640066&amp;zoomslide=1&amp;z=1925640066&amp;ISCONFIRM=0","VIDEO")</f>
        <v>VIDEO</v>
      </c>
      <c r="AA8218" s="19" t="str">
        <f>HYPERLINK("https://ssdweb.co/ssdweb/CERTH/624499640.pdf","CERTI")</f>
        <v>CERTI</v>
      </c>
    </row>
    <row r="8219" spans="1:27" ht="15" x14ac:dyDescent="0.25">
      <c r="A8219" s="2">
        <v>8214</v>
      </c>
      <c r="B8219" s="39">
        <v>925961361</v>
      </c>
      <c r="C8219" s="28" t="str">
        <f>HYPERLINK("https://pld.live/RapDetail.aspx?STONELIST=925961361","DNA")</f>
        <v>DNA</v>
      </c>
      <c r="D8219" s="18" t="s">
        <v>3658</v>
      </c>
      <c r="E8219" s="18" t="s">
        <v>5128</v>
      </c>
      <c r="F8219" s="2" t="s">
        <v>7987</v>
      </c>
      <c r="G8219" s="2" t="s">
        <v>2048</v>
      </c>
      <c r="H8219" s="14">
        <v>2.08</v>
      </c>
      <c r="I8219" s="2" t="s">
        <v>4699</v>
      </c>
      <c r="J8219" s="2" t="s">
        <v>13</v>
      </c>
      <c r="K8219" s="2" t="s">
        <v>1452</v>
      </c>
      <c r="L8219" s="2" t="s">
        <v>5221</v>
      </c>
      <c r="M8219" s="2" t="s">
        <v>5221</v>
      </c>
      <c r="N8219" s="2" t="s">
        <v>2317</v>
      </c>
      <c r="O8219" s="14">
        <v>15000</v>
      </c>
      <c r="P8219" s="14">
        <v>99.2</v>
      </c>
      <c r="Q8219" s="14">
        <v>120</v>
      </c>
      <c r="R8219" s="14">
        <v>249.6</v>
      </c>
      <c r="S8219" s="2" t="s">
        <v>235</v>
      </c>
      <c r="T8219" s="2">
        <v>1</v>
      </c>
      <c r="U8219" s="2">
        <v>68.2</v>
      </c>
      <c r="V8219" s="2">
        <v>64</v>
      </c>
      <c r="W8219" s="2" t="s">
        <v>7862</v>
      </c>
      <c r="X8219" s="2" t="s">
        <v>7670</v>
      </c>
      <c r="Y8219" s="2">
        <v>31200</v>
      </c>
      <c r="Z8219" s="19" t="str">
        <f>HYPERLINK("https://ssdweb.co/ssdweb/hd/Vision360.html?d=925961361&amp;zoomslide=1&amp;z=1925961361&amp;ISCONFIRM=0","VIDEO")</f>
        <v>VIDEO</v>
      </c>
      <c r="AA8219" s="19" t="str">
        <f>HYPERLINK("https://ssdweb.co/ssdweb/CERTH/630447734.pdf","CERTI")</f>
        <v>CERTI</v>
      </c>
    </row>
    <row r="8220" spans="1:27" ht="15" x14ac:dyDescent="0.25">
      <c r="A8220" s="2">
        <v>8215</v>
      </c>
      <c r="B8220" s="39">
        <v>831010499</v>
      </c>
      <c r="C8220" s="28" t="str">
        <f>HYPERLINK("https://pld.live/RapDetail.aspx?STONELIST=831010499","DNA")</f>
        <v>DNA</v>
      </c>
      <c r="D8220" s="18" t="s">
        <v>3658</v>
      </c>
      <c r="E8220" s="18" t="s">
        <v>5128</v>
      </c>
      <c r="F8220" s="2" t="s">
        <v>7987</v>
      </c>
      <c r="G8220" s="2" t="s">
        <v>2048</v>
      </c>
      <c r="H8220" s="14">
        <v>2.0699999999999998</v>
      </c>
      <c r="I8220" s="2" t="s">
        <v>4761</v>
      </c>
      <c r="J8220" s="2" t="s">
        <v>3942</v>
      </c>
      <c r="K8220" s="2" t="s">
        <v>1452</v>
      </c>
      <c r="L8220" s="2" t="s">
        <v>5221</v>
      </c>
      <c r="M8220" s="2" t="s">
        <v>5221</v>
      </c>
      <c r="N8220" s="2" t="s">
        <v>2317</v>
      </c>
      <c r="O8220" s="14">
        <v>17000</v>
      </c>
      <c r="P8220" s="14">
        <v>99.12</v>
      </c>
      <c r="Q8220" s="14">
        <v>149.6</v>
      </c>
      <c r="R8220" s="14">
        <v>309.67</v>
      </c>
      <c r="S8220" s="2" t="s">
        <v>4243</v>
      </c>
      <c r="T8220" s="2">
        <v>1.02</v>
      </c>
      <c r="U8220" s="2">
        <v>66.5</v>
      </c>
      <c r="V8220" s="2">
        <v>61</v>
      </c>
      <c r="W8220" s="2" t="s">
        <v>7862</v>
      </c>
      <c r="X8220" s="2" t="s">
        <v>7670</v>
      </c>
      <c r="Y8220" s="2">
        <v>35190</v>
      </c>
      <c r="Z8220" s="19" t="str">
        <f>HYPERLINK("https://ssdweb.co/ssdweb/hd/Vision360.html?d=831010499&amp;zoomslide=1&amp;z=1831010499&amp;ISCONFIRM=0","VIDEO")</f>
        <v>VIDEO</v>
      </c>
      <c r="AA8220" s="19" t="str">
        <f>HYPERLINK("https://ssdweb.co/ssdweb/CERTH/627474768.pdf","CERTI")</f>
        <v>CERTI</v>
      </c>
    </row>
    <row r="8221" spans="1:27" ht="15" x14ac:dyDescent="0.25">
      <c r="A8221" s="2">
        <v>8216</v>
      </c>
      <c r="B8221" s="39">
        <v>926171034</v>
      </c>
      <c r="C8221" s="28" t="str">
        <f>HYPERLINK("https://pld.live/RapDetail.aspx?STONELIST=926171034","DNA")</f>
        <v>DNA</v>
      </c>
      <c r="D8221" s="18" t="s">
        <v>3658</v>
      </c>
      <c r="E8221" s="18" t="s">
        <v>5128</v>
      </c>
      <c r="F8221" s="2" t="s">
        <v>7987</v>
      </c>
      <c r="G8221" s="2" t="s">
        <v>2048</v>
      </c>
      <c r="H8221" s="14">
        <v>2.06</v>
      </c>
      <c r="I8221" s="2" t="s">
        <v>267</v>
      </c>
      <c r="J8221" s="2" t="s">
        <v>5144</v>
      </c>
      <c r="K8221" s="2" t="s">
        <v>1452</v>
      </c>
      <c r="L8221" s="2" t="s">
        <v>5221</v>
      </c>
      <c r="M8221" s="2" t="s">
        <v>5221</v>
      </c>
      <c r="N8221" s="2" t="s">
        <v>2317</v>
      </c>
      <c r="O8221" s="14">
        <v>16000</v>
      </c>
      <c r="P8221" s="14">
        <v>99.13</v>
      </c>
      <c r="Q8221" s="14">
        <v>139.19999999999999</v>
      </c>
      <c r="R8221" s="14">
        <v>286.75</v>
      </c>
      <c r="S8221" s="2" t="s">
        <v>7479</v>
      </c>
      <c r="T8221" s="2">
        <v>1.02</v>
      </c>
      <c r="U8221" s="2">
        <v>68</v>
      </c>
      <c r="V8221" s="2">
        <v>64</v>
      </c>
      <c r="W8221" s="2" t="s">
        <v>7862</v>
      </c>
      <c r="X8221" s="2" t="s">
        <v>7670</v>
      </c>
      <c r="Y8221" s="2">
        <v>32960</v>
      </c>
      <c r="Z8221" s="19" t="str">
        <f>HYPERLINK("https://ssdweb.co/ssdweb/hd/Vision360.html?d=926171034&amp;zoomslide=1&amp;z=1926171034&amp;ISCONFIRM=0","VIDEO")</f>
        <v>VIDEO</v>
      </c>
      <c r="AA8221" s="19" t="str">
        <f>HYPERLINK("https://ssdweb.co/ssdweb/CERTH/633431977.pdf","CERTI")</f>
        <v>CERTI</v>
      </c>
    </row>
    <row r="8222" spans="1:27" ht="15" x14ac:dyDescent="0.25">
      <c r="A8222" s="2">
        <v>8217</v>
      </c>
      <c r="B8222" s="39">
        <v>925771143</v>
      </c>
      <c r="C8222" s="28" t="str">
        <f>HYPERLINK("https://pld.live/RapDetail.aspx?STONELIST=925771143","DNA")</f>
        <v>DNA</v>
      </c>
      <c r="D8222" s="18" t="s">
        <v>3658</v>
      </c>
      <c r="E8222" s="18" t="s">
        <v>5128</v>
      </c>
      <c r="F8222" s="2" t="s">
        <v>7987</v>
      </c>
      <c r="G8222" s="2" t="s">
        <v>2048</v>
      </c>
      <c r="H8222" s="14">
        <v>2.06</v>
      </c>
      <c r="I8222" s="2" t="s">
        <v>4699</v>
      </c>
      <c r="J8222" s="2" t="s">
        <v>13</v>
      </c>
      <c r="K8222" s="2" t="s">
        <v>1452</v>
      </c>
      <c r="L8222" s="2" t="s">
        <v>5221</v>
      </c>
      <c r="M8222" s="2" t="s">
        <v>5221</v>
      </c>
      <c r="N8222" s="2" t="s">
        <v>2317</v>
      </c>
      <c r="O8222" s="14">
        <v>15000</v>
      </c>
      <c r="P8222" s="14">
        <v>99.21</v>
      </c>
      <c r="Q8222" s="14">
        <v>118.5</v>
      </c>
      <c r="R8222" s="14">
        <v>244.11</v>
      </c>
      <c r="S8222" s="2" t="s">
        <v>1772</v>
      </c>
      <c r="T8222" s="2">
        <v>1.02</v>
      </c>
      <c r="U8222" s="2">
        <v>66.5</v>
      </c>
      <c r="V8222" s="2">
        <v>61</v>
      </c>
      <c r="W8222" s="2" t="s">
        <v>4336</v>
      </c>
      <c r="X8222" s="2" t="s">
        <v>7670</v>
      </c>
      <c r="Y8222" s="2">
        <v>30900</v>
      </c>
      <c r="Z8222" s="19" t="str">
        <f>HYPERLINK("https://ssdweb.co/ssdweb/hd/Vision360.html?d=925771143&amp;zoomslide=1&amp;z=1925771143&amp;ISCONFIRM=0","VIDEO")</f>
        <v>VIDEO</v>
      </c>
      <c r="AA8222" s="19" t="str">
        <f>HYPERLINK("https://ssdweb.co/ssdweb/CERTH/626457264.pdf","CERTI")</f>
        <v>CERTI</v>
      </c>
    </row>
    <row r="8223" spans="1:27" ht="15" x14ac:dyDescent="0.25">
      <c r="A8223" s="2">
        <v>8218</v>
      </c>
      <c r="B8223" s="39">
        <v>925300351</v>
      </c>
      <c r="C8223" s="28" t="str">
        <f>HYPERLINK("https://pld.live/RapDetail.aspx?STONELIST=925300351","DNA")</f>
        <v>DNA</v>
      </c>
      <c r="D8223" s="18" t="s">
        <v>3658</v>
      </c>
      <c r="E8223" s="18" t="s">
        <v>5128</v>
      </c>
      <c r="F8223" s="2" t="s">
        <v>7987</v>
      </c>
      <c r="G8223" s="2" t="s">
        <v>2048</v>
      </c>
      <c r="H8223" s="14">
        <v>2.0499999999999998</v>
      </c>
      <c r="I8223" s="2" t="s">
        <v>267</v>
      </c>
      <c r="J8223" s="2" t="s">
        <v>3942</v>
      </c>
      <c r="K8223" s="2" t="s">
        <v>1452</v>
      </c>
      <c r="L8223" s="2" t="s">
        <v>5221</v>
      </c>
      <c r="M8223" s="2" t="s">
        <v>5221</v>
      </c>
      <c r="N8223" s="2" t="s">
        <v>2317</v>
      </c>
      <c r="O8223" s="14">
        <v>18500</v>
      </c>
      <c r="P8223" s="14">
        <v>99.11</v>
      </c>
      <c r="Q8223" s="14">
        <v>164.65</v>
      </c>
      <c r="R8223" s="14">
        <v>337.53</v>
      </c>
      <c r="S8223" s="2" t="s">
        <v>4325</v>
      </c>
      <c r="T8223" s="2">
        <v>1.03</v>
      </c>
      <c r="U8223" s="2">
        <v>67.400000000000006</v>
      </c>
      <c r="V8223" s="2">
        <v>63</v>
      </c>
      <c r="W8223" s="2" t="s">
        <v>7862</v>
      </c>
      <c r="X8223" s="2" t="s">
        <v>7670</v>
      </c>
      <c r="Y8223" s="2">
        <v>37925</v>
      </c>
      <c r="Z8223" s="19" t="str">
        <f>HYPERLINK("https://ssdweb.co/ssdweb/hd/Vision360.html?d=925300351&amp;zoomslide=1&amp;z=1925300351&amp;ISCONFIRM=0","VIDEO")</f>
        <v>VIDEO</v>
      </c>
      <c r="AA8223" s="19" t="str">
        <f>HYPERLINK("https://ssdweb.co/ssdweb/CERTH/620448999.pdf","CERTI")</f>
        <v>CERTI</v>
      </c>
    </row>
    <row r="8224" spans="1:27" ht="15" x14ac:dyDescent="0.25">
      <c r="A8224" s="2">
        <v>8219</v>
      </c>
      <c r="B8224" s="39">
        <v>924590297</v>
      </c>
      <c r="C8224" s="28" t="str">
        <f>HYPERLINK("https://pld.live/RapDetail.aspx?STONELIST=924590297","DNA")</f>
        <v>DNA</v>
      </c>
      <c r="D8224" s="18" t="s">
        <v>3658</v>
      </c>
      <c r="E8224" s="18" t="s">
        <v>2186</v>
      </c>
      <c r="F8224" s="2" t="s">
        <v>5597</v>
      </c>
      <c r="G8224" s="2" t="s">
        <v>2048</v>
      </c>
      <c r="H8224" s="14">
        <v>2.04</v>
      </c>
      <c r="I8224" s="2" t="s">
        <v>6587</v>
      </c>
      <c r="J8224" s="2" t="s">
        <v>444</v>
      </c>
      <c r="K8224" s="2" t="s">
        <v>1452</v>
      </c>
      <c r="L8224" s="2" t="s">
        <v>5221</v>
      </c>
      <c r="M8224" s="2" t="s">
        <v>5221</v>
      </c>
      <c r="N8224" s="2" t="s">
        <v>2317</v>
      </c>
      <c r="O8224" s="14">
        <v>10700</v>
      </c>
      <c r="P8224" s="14">
        <v>98.08</v>
      </c>
      <c r="Q8224" s="14">
        <v>205.44</v>
      </c>
      <c r="R8224" s="14">
        <v>419.1</v>
      </c>
      <c r="S8224" s="2" t="s">
        <v>5919</v>
      </c>
      <c r="T8224" s="2">
        <v>1.02</v>
      </c>
      <c r="U8224" s="2">
        <v>67.400000000000006</v>
      </c>
      <c r="V8224" s="2">
        <v>62</v>
      </c>
      <c r="W8224" s="2" t="s">
        <v>7862</v>
      </c>
      <c r="X8224" s="2" t="s">
        <v>7053</v>
      </c>
      <c r="Y8224" s="2">
        <v>21828</v>
      </c>
      <c r="Z8224" s="19" t="str">
        <f>HYPERLINK("https://ssdweb.co/ssdweb/hd/Vision360.html?d=924590297&amp;zoomslide=1&amp;z=1924590297&amp;ISCONFIRM=0","VIDEO")</f>
        <v>VIDEO</v>
      </c>
      <c r="AA8224" s="19" t="str">
        <f>HYPERLINK("https://ssdweb.co/ssdweb/CERTH/2476667978.pdf","CERTI")</f>
        <v>CERTI</v>
      </c>
    </row>
    <row r="8225" spans="1:27" ht="15" x14ac:dyDescent="0.25">
      <c r="A8225" s="2">
        <v>8220</v>
      </c>
      <c r="B8225" s="39">
        <v>925731642</v>
      </c>
      <c r="C8225" s="28" t="str">
        <f>HYPERLINK("https://pld.live/RapDetail.aspx?STONELIST=925731642","DNA")</f>
        <v>DNA</v>
      </c>
      <c r="D8225" s="18" t="s">
        <v>3658</v>
      </c>
      <c r="E8225" s="18" t="s">
        <v>5128</v>
      </c>
      <c r="F8225" s="2" t="s">
        <v>7987</v>
      </c>
      <c r="G8225" s="2" t="s">
        <v>2048</v>
      </c>
      <c r="H8225" s="14">
        <v>2.02</v>
      </c>
      <c r="I8225" s="2" t="s">
        <v>4761</v>
      </c>
      <c r="J8225" s="2" t="s">
        <v>3942</v>
      </c>
      <c r="K8225" s="2" t="s">
        <v>1452</v>
      </c>
      <c r="L8225" s="2" t="s">
        <v>5221</v>
      </c>
      <c r="M8225" s="2" t="s">
        <v>5221</v>
      </c>
      <c r="N8225" s="2" t="s">
        <v>2317</v>
      </c>
      <c r="O8225" s="14">
        <v>17000</v>
      </c>
      <c r="P8225" s="14">
        <v>99.12</v>
      </c>
      <c r="Q8225" s="14">
        <v>149.6</v>
      </c>
      <c r="R8225" s="14">
        <v>302.19</v>
      </c>
      <c r="S8225" s="2" t="s">
        <v>5659</v>
      </c>
      <c r="T8225" s="2">
        <v>1.01</v>
      </c>
      <c r="U8225" s="2">
        <v>66.599999999999994</v>
      </c>
      <c r="V8225" s="2">
        <v>62</v>
      </c>
      <c r="W8225" s="2" t="s">
        <v>7862</v>
      </c>
      <c r="X8225" s="2" t="s">
        <v>7670</v>
      </c>
      <c r="Y8225" s="2">
        <v>34340</v>
      </c>
      <c r="Z8225" s="19" t="str">
        <f>HYPERLINK("https://ssdweb.co/ssdweb/hd/Vision360.html?d=925731642&amp;zoomslide=1&amp;z=1925731642&amp;ISCONFIRM=0","VIDEO")</f>
        <v>VIDEO</v>
      </c>
      <c r="AA8225" s="19" t="str">
        <f>HYPERLINK("https://ssdweb.co/ssdweb/CERTH/626457379.pdf","CERTI")</f>
        <v>CERTI</v>
      </c>
    </row>
    <row r="8226" spans="1:27" ht="15" x14ac:dyDescent="0.25">
      <c r="A8226" s="2">
        <v>8221</v>
      </c>
      <c r="B8226" s="39">
        <v>925732127</v>
      </c>
      <c r="C8226" s="28" t="str">
        <f>HYPERLINK("https://pld.live/RapDetail.aspx?STONELIST=925732127","DNA")</f>
        <v>DNA</v>
      </c>
      <c r="D8226" s="18" t="s">
        <v>3658</v>
      </c>
      <c r="E8226" s="18" t="s">
        <v>5128</v>
      </c>
      <c r="F8226" s="2" t="s">
        <v>7987</v>
      </c>
      <c r="G8226" s="2" t="s">
        <v>2048</v>
      </c>
      <c r="H8226" s="14">
        <v>2.0099999999999998</v>
      </c>
      <c r="I8226" s="2" t="s">
        <v>4761</v>
      </c>
      <c r="J8226" s="2" t="s">
        <v>13</v>
      </c>
      <c r="K8226" s="2" t="s">
        <v>1452</v>
      </c>
      <c r="L8226" s="2" t="s">
        <v>5221</v>
      </c>
      <c r="M8226" s="2" t="s">
        <v>5221</v>
      </c>
      <c r="N8226" s="2" t="s">
        <v>2317</v>
      </c>
      <c r="O8226" s="14">
        <v>16000</v>
      </c>
      <c r="P8226" s="14">
        <v>99.22</v>
      </c>
      <c r="Q8226" s="14">
        <v>124.8</v>
      </c>
      <c r="R8226" s="14">
        <v>250.85</v>
      </c>
      <c r="S8226" s="2" t="s">
        <v>2622</v>
      </c>
      <c r="T8226" s="2">
        <v>1.02</v>
      </c>
      <c r="U8226" s="2">
        <v>68.099999999999994</v>
      </c>
      <c r="V8226" s="2">
        <v>64</v>
      </c>
      <c r="W8226" s="2" t="s">
        <v>7862</v>
      </c>
      <c r="X8226" s="2" t="s">
        <v>7670</v>
      </c>
      <c r="Y8226" s="2">
        <v>32160</v>
      </c>
      <c r="Z8226" s="19" t="str">
        <f>HYPERLINK("https://ssdweb.co/ssdweb/hd/Vision360.html?d=925732127&amp;zoomslide=1&amp;z=1925732127&amp;ISCONFIRM=0","VIDEO")</f>
        <v>VIDEO</v>
      </c>
      <c r="AA8226" s="19" t="str">
        <f>HYPERLINK("https://ssdweb.co/ssdweb/CERTH/626457359.pdf","CERTI")</f>
        <v>CERTI</v>
      </c>
    </row>
    <row r="8227" spans="1:27" ht="15" x14ac:dyDescent="0.25">
      <c r="A8227" s="2">
        <v>8222</v>
      </c>
      <c r="B8227" s="39">
        <v>925180249</v>
      </c>
      <c r="C8227" s="28" t="str">
        <f>HYPERLINK("https://pld.live/RapDetail.aspx?STONELIST=925180249","DNA")</f>
        <v>DNA</v>
      </c>
      <c r="D8227" s="18" t="s">
        <v>3658</v>
      </c>
      <c r="E8227" s="18" t="s">
        <v>5128</v>
      </c>
      <c r="F8227" s="2" t="s">
        <v>7987</v>
      </c>
      <c r="G8227" s="2" t="s">
        <v>2048</v>
      </c>
      <c r="H8227" s="14">
        <v>2</v>
      </c>
      <c r="I8227" s="2" t="s">
        <v>4761</v>
      </c>
      <c r="J8227" s="2" t="s">
        <v>5144</v>
      </c>
      <c r="K8227" s="2" t="s">
        <v>1452</v>
      </c>
      <c r="L8227" s="2" t="s">
        <v>5221</v>
      </c>
      <c r="M8227" s="2" t="s">
        <v>5221</v>
      </c>
      <c r="N8227" s="2" t="s">
        <v>2317</v>
      </c>
      <c r="O8227" s="14">
        <v>15000</v>
      </c>
      <c r="P8227" s="14">
        <v>99.2</v>
      </c>
      <c r="Q8227" s="14">
        <v>120</v>
      </c>
      <c r="R8227" s="14">
        <v>240</v>
      </c>
      <c r="S8227" s="2" t="s">
        <v>4806</v>
      </c>
      <c r="T8227" s="2">
        <v>1.02</v>
      </c>
      <c r="U8227" s="2">
        <v>66.5</v>
      </c>
      <c r="V8227" s="2">
        <v>60</v>
      </c>
      <c r="W8227" s="2" t="s">
        <v>7862</v>
      </c>
      <c r="X8227" s="2" t="s">
        <v>7670</v>
      </c>
      <c r="Y8227" s="2">
        <v>30000</v>
      </c>
      <c r="Z8227" s="19" t="str">
        <f>HYPERLINK("https://ssdweb.co/ssdweb/hd/Vision360.html?d=925180249&amp;zoomslide=1&amp;z=1925180249&amp;ISCONFIRM=0","VIDEO")</f>
        <v>VIDEO</v>
      </c>
      <c r="AA8227" s="19" t="str">
        <f>HYPERLINK("https://ssdweb.co/ssdweb/CERTH/618480972.pdf","CERTI")</f>
        <v>CERTI</v>
      </c>
    </row>
    <row r="8228" spans="1:27" ht="15" x14ac:dyDescent="0.25">
      <c r="A8228" s="2">
        <v>8223</v>
      </c>
      <c r="B8228" s="39">
        <v>925771355</v>
      </c>
      <c r="C8228" s="28" t="str">
        <f>HYPERLINK("https://pld.live/RapDetail.aspx?STONELIST=925771355","DNA")</f>
        <v>DNA</v>
      </c>
      <c r="D8228" s="18" t="s">
        <v>6675</v>
      </c>
      <c r="E8228" s="18" t="s">
        <v>5128</v>
      </c>
      <c r="F8228" s="2" t="s">
        <v>7987</v>
      </c>
      <c r="G8228" s="2" t="s">
        <v>2048</v>
      </c>
      <c r="H8228" s="14">
        <v>1.98</v>
      </c>
      <c r="I8228" s="2" t="s">
        <v>4699</v>
      </c>
      <c r="J8228" s="2" t="s">
        <v>13</v>
      </c>
      <c r="K8228" s="2" t="s">
        <v>1452</v>
      </c>
      <c r="L8228" s="2" t="s">
        <v>5221</v>
      </c>
      <c r="M8228" s="2" t="s">
        <v>5221</v>
      </c>
      <c r="N8228" s="2" t="s">
        <v>2317</v>
      </c>
      <c r="O8228" s="14">
        <v>10200</v>
      </c>
      <c r="P8228" s="14">
        <v>98.92</v>
      </c>
      <c r="Q8228" s="14">
        <v>110.16</v>
      </c>
      <c r="R8228" s="14">
        <v>218.12</v>
      </c>
      <c r="S8228" s="2" t="s">
        <v>7248</v>
      </c>
      <c r="T8228" s="2">
        <v>1.03</v>
      </c>
      <c r="U8228" s="2">
        <v>66.900000000000006</v>
      </c>
      <c r="V8228" s="2">
        <v>63</v>
      </c>
      <c r="W8228" s="2" t="s">
        <v>7862</v>
      </c>
      <c r="X8228" s="2" t="s">
        <v>7670</v>
      </c>
      <c r="Y8228" s="2">
        <v>20196</v>
      </c>
      <c r="Z8228" s="19" t="str">
        <f>HYPERLINK("https://ssdweb.co/ssdweb/hd/Vision360.html?d=925771355&amp;zoomslide=1&amp;z=1925771355&amp;ISCONFIRM=0","VIDEO")</f>
        <v>VIDEO</v>
      </c>
      <c r="AA8228" s="19" t="str">
        <f>HYPERLINK("https://ssdweb.co/ssdweb/CERTH/627431863.pdf","CERTI")</f>
        <v>CERTI</v>
      </c>
    </row>
    <row r="8229" spans="1:27" ht="15" x14ac:dyDescent="0.25">
      <c r="A8229" s="2">
        <v>8224</v>
      </c>
      <c r="B8229" s="39">
        <v>925771278</v>
      </c>
      <c r="C8229" s="28" t="str">
        <f>HYPERLINK("https://pld.live/RapDetail.aspx?STONELIST=925771278","DNA")</f>
        <v>DNA</v>
      </c>
      <c r="D8229" s="18" t="s">
        <v>6675</v>
      </c>
      <c r="E8229" s="18" t="s">
        <v>5128</v>
      </c>
      <c r="F8229" s="2" t="s">
        <v>7987</v>
      </c>
      <c r="G8229" s="2" t="s">
        <v>2048</v>
      </c>
      <c r="H8229" s="14">
        <v>1.93</v>
      </c>
      <c r="I8229" s="2" t="s">
        <v>4761</v>
      </c>
      <c r="J8229" s="2" t="s">
        <v>13</v>
      </c>
      <c r="K8229" s="2" t="s">
        <v>1452</v>
      </c>
      <c r="L8229" s="2" t="s">
        <v>5221</v>
      </c>
      <c r="M8229" s="2" t="s">
        <v>5221</v>
      </c>
      <c r="N8229" s="2" t="s">
        <v>2317</v>
      </c>
      <c r="O8229" s="14">
        <v>10800</v>
      </c>
      <c r="P8229" s="14">
        <v>98.94</v>
      </c>
      <c r="Q8229" s="14">
        <v>114.48</v>
      </c>
      <c r="R8229" s="14">
        <v>220.95</v>
      </c>
      <c r="S8229" s="2" t="s">
        <v>6369</v>
      </c>
      <c r="T8229" s="2">
        <v>1.03</v>
      </c>
      <c r="U8229" s="2">
        <v>66.2</v>
      </c>
      <c r="V8229" s="2">
        <v>59</v>
      </c>
      <c r="W8229" s="2" t="s">
        <v>7862</v>
      </c>
      <c r="X8229" s="2" t="s">
        <v>7670</v>
      </c>
      <c r="Y8229" s="2">
        <v>20844</v>
      </c>
      <c r="Z8229" s="19" t="str">
        <f>HYPERLINK("https://ssdweb.co/ssdweb/hd/Vision360.html?d=925771278&amp;zoomslide=1&amp;z=1925771278&amp;ISCONFIRM=0","VIDEO")</f>
        <v>VIDEO</v>
      </c>
      <c r="AA8229" s="19" t="str">
        <f>HYPERLINK("https://ssdweb.co/ssdweb/CERTH/626427617.pdf","CERTI")</f>
        <v>CERTI</v>
      </c>
    </row>
    <row r="8230" spans="1:27" ht="15" x14ac:dyDescent="0.25">
      <c r="A8230" s="2">
        <v>8225</v>
      </c>
      <c r="B8230" s="39">
        <v>925771340</v>
      </c>
      <c r="C8230" s="28" t="str">
        <f>HYPERLINK("https://pld.live/RapDetail.aspx?STONELIST=925771340","DNA")</f>
        <v>DNA</v>
      </c>
      <c r="D8230" s="18" t="s">
        <v>5313</v>
      </c>
      <c r="E8230" s="18" t="s">
        <v>5128</v>
      </c>
      <c r="F8230" s="2" t="s">
        <v>7987</v>
      </c>
      <c r="G8230" s="2" t="s">
        <v>2048</v>
      </c>
      <c r="H8230" s="14">
        <v>1.81</v>
      </c>
      <c r="I8230" s="2" t="s">
        <v>267</v>
      </c>
      <c r="J8230" s="2" t="s">
        <v>13</v>
      </c>
      <c r="K8230" s="2" t="s">
        <v>1452</v>
      </c>
      <c r="L8230" s="2" t="s">
        <v>5221</v>
      </c>
      <c r="M8230" s="2" t="s">
        <v>5221</v>
      </c>
      <c r="N8230" s="2" t="s">
        <v>2317</v>
      </c>
      <c r="O8230" s="14">
        <v>11600</v>
      </c>
      <c r="P8230" s="14">
        <v>98.92</v>
      </c>
      <c r="Q8230" s="14">
        <v>125.28</v>
      </c>
      <c r="R8230" s="14">
        <v>226.76</v>
      </c>
      <c r="S8230" s="2" t="s">
        <v>2871</v>
      </c>
      <c r="T8230" s="2">
        <v>1.02</v>
      </c>
      <c r="U8230" s="2">
        <v>66.900000000000006</v>
      </c>
      <c r="V8230" s="2">
        <v>56</v>
      </c>
      <c r="W8230" s="2" t="s">
        <v>7862</v>
      </c>
      <c r="X8230" s="2" t="s">
        <v>7670</v>
      </c>
      <c r="Y8230" s="2">
        <v>20996</v>
      </c>
      <c r="Z8230" s="19" t="str">
        <f>HYPERLINK("https://ssdweb.co/ssdweb/hd/Vision360.html?d=925771340&amp;zoomslide=1&amp;z=1925771340&amp;ISCONFIRM=0","VIDEO")</f>
        <v>VIDEO</v>
      </c>
      <c r="AA8230" s="19" t="str">
        <f>HYPERLINK("https://ssdweb.co/ssdweb/CERTH/627474779.pdf","CERTI")</f>
        <v>CERTI</v>
      </c>
    </row>
    <row r="8231" spans="1:27" ht="15" x14ac:dyDescent="0.25">
      <c r="A8231" s="2">
        <v>8226</v>
      </c>
      <c r="B8231" s="39">
        <v>925971333</v>
      </c>
      <c r="C8231" s="28" t="str">
        <f>HYPERLINK("https://pld.live/RapDetail.aspx?STONELIST=925971333","DNA")</f>
        <v>DNA</v>
      </c>
      <c r="D8231" s="18" t="s">
        <v>5313</v>
      </c>
      <c r="E8231" s="18" t="s">
        <v>5128</v>
      </c>
      <c r="F8231" s="2" t="s">
        <v>7987</v>
      </c>
      <c r="G8231" s="2" t="s">
        <v>2048</v>
      </c>
      <c r="H8231" s="14">
        <v>1.77</v>
      </c>
      <c r="I8231" s="2" t="s">
        <v>267</v>
      </c>
      <c r="J8231" s="2" t="s">
        <v>13</v>
      </c>
      <c r="K8231" s="2" t="s">
        <v>1452</v>
      </c>
      <c r="L8231" s="2" t="s">
        <v>5221</v>
      </c>
      <c r="M8231" s="2" t="s">
        <v>5221</v>
      </c>
      <c r="N8231" s="2" t="s">
        <v>2317</v>
      </c>
      <c r="O8231" s="14">
        <v>11600</v>
      </c>
      <c r="P8231" s="14">
        <v>98.88</v>
      </c>
      <c r="Q8231" s="14">
        <v>129.91999999999999</v>
      </c>
      <c r="R8231" s="14">
        <v>229.96</v>
      </c>
      <c r="S8231" s="2" t="s">
        <v>5379</v>
      </c>
      <c r="T8231" s="2">
        <v>1.02</v>
      </c>
      <c r="U8231" s="2">
        <v>67.599999999999994</v>
      </c>
      <c r="V8231" s="2">
        <v>62</v>
      </c>
      <c r="W8231" s="2" t="s">
        <v>7862</v>
      </c>
      <c r="X8231" s="2" t="s">
        <v>7670</v>
      </c>
      <c r="Y8231" s="2">
        <v>20532</v>
      </c>
      <c r="Z8231" s="19" t="str">
        <f>HYPERLINK("https://ssdweb.co/ssdweb/hd/Vision360.html?d=925971333&amp;zoomslide=1&amp;z=1925971333&amp;ISCONFIRM=0","VIDEO")</f>
        <v>VIDEO</v>
      </c>
      <c r="AA8231" s="19" t="str">
        <f>HYPERLINK("https://ssdweb.co/ssdweb/CERTH/631464065.pdf","CERTI")</f>
        <v>CERTI</v>
      </c>
    </row>
    <row r="8232" spans="1:27" ht="15" x14ac:dyDescent="0.25">
      <c r="A8232" s="2">
        <v>8227</v>
      </c>
      <c r="B8232" s="39">
        <v>926100951</v>
      </c>
      <c r="C8232" s="28" t="str">
        <f>HYPERLINK("https://pld.live/RapDetail.aspx?STONELIST=926100951","DNA")</f>
        <v>DNA</v>
      </c>
      <c r="D8232" s="18" t="s">
        <v>711</v>
      </c>
      <c r="E8232" s="18" t="s">
        <v>5128</v>
      </c>
      <c r="F8232" s="2" t="s">
        <v>7987</v>
      </c>
      <c r="G8232" s="2" t="s">
        <v>2048</v>
      </c>
      <c r="H8232" s="14">
        <v>1.67</v>
      </c>
      <c r="I8232" s="2" t="s">
        <v>267</v>
      </c>
      <c r="J8232" s="2" t="s">
        <v>13</v>
      </c>
      <c r="K8232" s="2" t="s">
        <v>1452</v>
      </c>
      <c r="L8232" s="2" t="s">
        <v>5221</v>
      </c>
      <c r="M8232" s="2" t="s">
        <v>5221</v>
      </c>
      <c r="N8232" s="2" t="s">
        <v>2317</v>
      </c>
      <c r="O8232" s="14">
        <v>11600</v>
      </c>
      <c r="P8232" s="14">
        <v>98.96</v>
      </c>
      <c r="Q8232" s="14">
        <v>120.64</v>
      </c>
      <c r="R8232" s="14">
        <v>201.47</v>
      </c>
      <c r="S8232" s="2" t="s">
        <v>6798</v>
      </c>
      <c r="T8232" s="2">
        <v>1.01</v>
      </c>
      <c r="U8232" s="2">
        <v>66.5</v>
      </c>
      <c r="V8232" s="2">
        <v>61</v>
      </c>
      <c r="W8232" s="2" t="s">
        <v>7862</v>
      </c>
      <c r="X8232" s="2" t="s">
        <v>7670</v>
      </c>
      <c r="Y8232" s="2">
        <v>19372</v>
      </c>
      <c r="Z8232" s="19" t="str">
        <f>HYPERLINK("https://ssdweb.co/ssdweb/hd/Vision360.html?d=926100951&amp;zoomslide=1&amp;z=1926100951&amp;ISCONFIRM=0","VIDEO")</f>
        <v>VIDEO</v>
      </c>
      <c r="AA8232" s="19" t="str">
        <f>HYPERLINK("https://ssdweb.co/ssdweb/CERTH/632488329.pdf","CERTI")</f>
        <v>CERTI</v>
      </c>
    </row>
    <row r="8233" spans="1:27" ht="15" x14ac:dyDescent="0.25">
      <c r="A8233" s="2">
        <v>8228</v>
      </c>
      <c r="B8233" s="39">
        <v>925140338</v>
      </c>
      <c r="C8233" s="28" t="str">
        <f>HYPERLINK("https://pld.live/RapDetail.aspx?STONELIST=925140338","DNA")</f>
        <v>DNA</v>
      </c>
      <c r="D8233" s="18" t="s">
        <v>711</v>
      </c>
      <c r="E8233" s="18" t="s">
        <v>5128</v>
      </c>
      <c r="F8233" s="2" t="s">
        <v>7987</v>
      </c>
      <c r="G8233" s="2" t="s">
        <v>2048</v>
      </c>
      <c r="H8233" s="14">
        <v>1.56</v>
      </c>
      <c r="I8233" s="2" t="s">
        <v>4761</v>
      </c>
      <c r="J8233" s="2" t="s">
        <v>13</v>
      </c>
      <c r="K8233" s="2" t="s">
        <v>1452</v>
      </c>
      <c r="L8233" s="2" t="s">
        <v>5221</v>
      </c>
      <c r="M8233" s="2" t="s">
        <v>5221</v>
      </c>
      <c r="N8233" s="2" t="s">
        <v>2317</v>
      </c>
      <c r="O8233" s="14">
        <v>10800</v>
      </c>
      <c r="P8233" s="14">
        <v>98.92</v>
      </c>
      <c r="Q8233" s="14">
        <v>116.64</v>
      </c>
      <c r="R8233" s="14">
        <v>181.96</v>
      </c>
      <c r="S8233" s="2" t="s">
        <v>6048</v>
      </c>
      <c r="T8233" s="2">
        <v>1.03</v>
      </c>
      <c r="U8233" s="2">
        <v>67.400000000000006</v>
      </c>
      <c r="V8233" s="2">
        <v>60</v>
      </c>
      <c r="W8233" s="2" t="s">
        <v>7862</v>
      </c>
      <c r="X8233" s="2" t="s">
        <v>7670</v>
      </c>
      <c r="Y8233" s="2">
        <v>16848</v>
      </c>
      <c r="Z8233" s="19" t="str">
        <f>HYPERLINK("https://ssdweb.co/ssdweb/hd/Vision360.html?d=925140338&amp;zoomslide=1&amp;z=1925140338&amp;ISCONFIRM=0","VIDEO")</f>
        <v>VIDEO</v>
      </c>
      <c r="AA8233" s="19" t="str">
        <f>HYPERLINK("https://ssdweb.co/ssdweb/CERTH/618480981.pdf","CERTI")</f>
        <v>CERTI</v>
      </c>
    </row>
    <row r="8234" spans="1:27" ht="15" x14ac:dyDescent="0.25">
      <c r="A8234" s="2">
        <v>8229</v>
      </c>
      <c r="B8234" s="39">
        <v>926071814</v>
      </c>
      <c r="C8234" s="28" t="str">
        <f>HYPERLINK("https://pld.live/RapDetail.aspx?STONELIST=926071814","DNA")</f>
        <v>DNA</v>
      </c>
      <c r="D8234" s="18" t="s">
        <v>711</v>
      </c>
      <c r="E8234" s="18" t="s">
        <v>5128</v>
      </c>
      <c r="F8234" s="2" t="s">
        <v>7987</v>
      </c>
      <c r="G8234" s="2" t="s">
        <v>2048</v>
      </c>
      <c r="H8234" s="14">
        <v>1.55</v>
      </c>
      <c r="I8234" s="2" t="s">
        <v>267</v>
      </c>
      <c r="J8234" s="2" t="s">
        <v>3942</v>
      </c>
      <c r="K8234" s="2" t="s">
        <v>1452</v>
      </c>
      <c r="L8234" s="2" t="s">
        <v>5221</v>
      </c>
      <c r="M8234" s="2" t="s">
        <v>5221</v>
      </c>
      <c r="N8234" s="2" t="s">
        <v>2317</v>
      </c>
      <c r="O8234" s="14">
        <v>12500</v>
      </c>
      <c r="P8234" s="14">
        <v>99.02</v>
      </c>
      <c r="Q8234" s="14">
        <v>122.5</v>
      </c>
      <c r="R8234" s="14">
        <v>189.88</v>
      </c>
      <c r="S8234" s="2" t="s">
        <v>2884</v>
      </c>
      <c r="T8234" s="2">
        <v>1.01</v>
      </c>
      <c r="U8234" s="2">
        <v>67.3</v>
      </c>
      <c r="V8234" s="2">
        <v>59</v>
      </c>
      <c r="W8234" s="2" t="s">
        <v>7862</v>
      </c>
      <c r="X8234" s="2" t="s">
        <v>7670</v>
      </c>
      <c r="Y8234" s="2">
        <v>19375</v>
      </c>
      <c r="Z8234" s="19" t="str">
        <f>HYPERLINK("https://ssdweb.co/ssdweb/hd/Vision360.html?d=926071814&amp;zoomslide=1&amp;z=1926071814&amp;ISCONFIRM=0","VIDEO")</f>
        <v>VIDEO</v>
      </c>
      <c r="AA8234" s="19" t="str">
        <f>HYPERLINK("https://ssdweb.co/ssdweb/CERTH/631464054.pdf","CERTI")</f>
        <v>CERTI</v>
      </c>
    </row>
    <row r="8235" spans="1:27" ht="15" x14ac:dyDescent="0.25">
      <c r="A8235" s="2">
        <v>8230</v>
      </c>
      <c r="B8235" s="39">
        <v>925300328</v>
      </c>
      <c r="C8235" s="28" t="str">
        <f>HYPERLINK("https://pld.live/RapDetail.aspx?STONELIST=925300328","DNA")</f>
        <v>DNA</v>
      </c>
      <c r="D8235" s="18" t="s">
        <v>711</v>
      </c>
      <c r="E8235" s="18" t="s">
        <v>5128</v>
      </c>
      <c r="F8235" s="2" t="s">
        <v>7987</v>
      </c>
      <c r="G8235" s="2" t="s">
        <v>2048</v>
      </c>
      <c r="H8235" s="14">
        <v>1.55</v>
      </c>
      <c r="I8235" s="2" t="s">
        <v>4761</v>
      </c>
      <c r="J8235" s="2" t="s">
        <v>444</v>
      </c>
      <c r="K8235" s="2" t="s">
        <v>1452</v>
      </c>
      <c r="L8235" s="2" t="s">
        <v>5221</v>
      </c>
      <c r="M8235" s="2" t="s">
        <v>5221</v>
      </c>
      <c r="N8235" s="2" t="s">
        <v>2317</v>
      </c>
      <c r="O8235" s="14">
        <v>7600</v>
      </c>
      <c r="P8235" s="14">
        <v>98.57</v>
      </c>
      <c r="Q8235" s="14">
        <v>108.68</v>
      </c>
      <c r="R8235" s="14">
        <v>168.45</v>
      </c>
      <c r="S8235" s="2" t="s">
        <v>3466</v>
      </c>
      <c r="T8235" s="2">
        <v>1.02</v>
      </c>
      <c r="U8235" s="2">
        <v>67.8</v>
      </c>
      <c r="V8235" s="2">
        <v>61</v>
      </c>
      <c r="W8235" s="2" t="s">
        <v>7862</v>
      </c>
      <c r="X8235" s="2" t="s">
        <v>7670</v>
      </c>
      <c r="Y8235" s="2">
        <v>11780</v>
      </c>
      <c r="Z8235" s="19" t="str">
        <f>HYPERLINK("https://ssdweb.co/ssdweb/hd/Vision360.html?d=925300328&amp;zoomslide=1&amp;z=1925300328&amp;ISCONFIRM=0","VIDEO")</f>
        <v>VIDEO</v>
      </c>
      <c r="AA8235" s="19" t="str">
        <f>HYPERLINK("https://ssdweb.co/ssdweb/CERTH/619453409.pdf","CERTI")</f>
        <v>CERTI</v>
      </c>
    </row>
    <row r="8236" spans="1:27" ht="15" x14ac:dyDescent="0.25">
      <c r="A8236" s="2">
        <v>8231</v>
      </c>
      <c r="B8236" s="39">
        <v>925180256</v>
      </c>
      <c r="C8236" s="28" t="str">
        <f>HYPERLINK("https://pld.live/RapDetail.aspx?STONELIST=925180256","DNA")</f>
        <v>DNA</v>
      </c>
      <c r="D8236" s="18" t="s">
        <v>711</v>
      </c>
      <c r="E8236" s="18" t="s">
        <v>5128</v>
      </c>
      <c r="F8236" s="2" t="s">
        <v>7987</v>
      </c>
      <c r="G8236" s="2" t="s">
        <v>2048</v>
      </c>
      <c r="H8236" s="14">
        <v>1.53</v>
      </c>
      <c r="I8236" s="2" t="s">
        <v>267</v>
      </c>
      <c r="J8236" s="2" t="s">
        <v>13</v>
      </c>
      <c r="K8236" s="2" t="s">
        <v>1452</v>
      </c>
      <c r="L8236" s="2" t="s">
        <v>5221</v>
      </c>
      <c r="M8236" s="2" t="s">
        <v>5221</v>
      </c>
      <c r="N8236" s="2" t="s">
        <v>2317</v>
      </c>
      <c r="O8236" s="14">
        <v>11600</v>
      </c>
      <c r="P8236" s="14">
        <v>98.97</v>
      </c>
      <c r="Q8236" s="14">
        <v>119.48</v>
      </c>
      <c r="R8236" s="14">
        <v>182.8</v>
      </c>
      <c r="S8236" s="2" t="s">
        <v>4907</v>
      </c>
      <c r="T8236" s="2">
        <v>1.02</v>
      </c>
      <c r="U8236" s="2">
        <v>68</v>
      </c>
      <c r="V8236" s="2">
        <v>62</v>
      </c>
      <c r="W8236" s="2" t="s">
        <v>7862</v>
      </c>
      <c r="X8236" s="2" t="s">
        <v>7670</v>
      </c>
      <c r="Y8236" s="2">
        <v>17748</v>
      </c>
      <c r="Z8236" s="19" t="str">
        <f>HYPERLINK("https://ssdweb.co/ssdweb/hd/Vision360.html?d=925180256&amp;zoomslide=1&amp;z=1925180256&amp;ISCONFIRM=0","VIDEO")</f>
        <v>VIDEO</v>
      </c>
      <c r="AA8236" s="19" t="str">
        <f>HYPERLINK("https://ssdweb.co/ssdweb/CERTH/619453392.pdf","CERTI")</f>
        <v>CERTI</v>
      </c>
    </row>
    <row r="8237" spans="1:27" ht="15" x14ac:dyDescent="0.25">
      <c r="A8237" s="2">
        <v>8232</v>
      </c>
      <c r="B8237" s="39">
        <v>925861872</v>
      </c>
      <c r="C8237" s="28" t="str">
        <f>HYPERLINK("https://pld.live/RapDetail.aspx?STONELIST=925861872","DNA")</f>
        <v>DNA</v>
      </c>
      <c r="D8237" s="18" t="s">
        <v>711</v>
      </c>
      <c r="E8237" s="18" t="s">
        <v>5128</v>
      </c>
      <c r="F8237" s="2" t="s">
        <v>7987</v>
      </c>
      <c r="G8237" s="2" t="s">
        <v>2048</v>
      </c>
      <c r="H8237" s="14">
        <v>1.52</v>
      </c>
      <c r="I8237" s="2" t="s">
        <v>267</v>
      </c>
      <c r="J8237" s="2" t="s">
        <v>3942</v>
      </c>
      <c r="K8237" s="2" t="s">
        <v>1452</v>
      </c>
      <c r="L8237" s="2" t="s">
        <v>5221</v>
      </c>
      <c r="M8237" s="2" t="s">
        <v>5221</v>
      </c>
      <c r="N8237" s="2" t="s">
        <v>2317</v>
      </c>
      <c r="O8237" s="14">
        <v>12500</v>
      </c>
      <c r="P8237" s="14">
        <v>99.03</v>
      </c>
      <c r="Q8237" s="14">
        <v>121.25</v>
      </c>
      <c r="R8237" s="14">
        <v>184.3</v>
      </c>
      <c r="S8237" s="2" t="s">
        <v>3866</v>
      </c>
      <c r="T8237" s="2">
        <v>1.01</v>
      </c>
      <c r="U8237" s="2">
        <v>68.2</v>
      </c>
      <c r="V8237" s="2">
        <v>62</v>
      </c>
      <c r="W8237" s="2" t="s">
        <v>7862</v>
      </c>
      <c r="X8237" s="2" t="s">
        <v>7670</v>
      </c>
      <c r="Y8237" s="2">
        <v>19000</v>
      </c>
      <c r="Z8237" s="19" t="str">
        <f>HYPERLINK("https://ssdweb.co/ssdweb/hd/Vision360.html?d=925861872&amp;zoomslide=1&amp;z=1925861872&amp;ISCONFIRM=0","VIDEO")</f>
        <v>VIDEO</v>
      </c>
      <c r="AA8237" s="19" t="str">
        <f>HYPERLINK("https://ssdweb.co/ssdweb/CERTH/627410492.pdf","CERTI")</f>
        <v>CERTI</v>
      </c>
    </row>
    <row r="8238" spans="1:27" ht="15" x14ac:dyDescent="0.25">
      <c r="A8238" s="2">
        <v>8233</v>
      </c>
      <c r="B8238" s="39">
        <v>924610413</v>
      </c>
      <c r="C8238" s="28" t="str">
        <f>HYPERLINK("https://pld.live/RapDetail.aspx?STONELIST=924610413","DNA")</f>
        <v>DNA</v>
      </c>
      <c r="D8238" s="18" t="s">
        <v>711</v>
      </c>
      <c r="E8238" s="18" t="s">
        <v>5128</v>
      </c>
      <c r="F8238" s="2" t="s">
        <v>5597</v>
      </c>
      <c r="G8238" s="2" t="s">
        <v>2048</v>
      </c>
      <c r="H8238" s="14">
        <v>1.52</v>
      </c>
      <c r="I8238" s="2" t="s">
        <v>267</v>
      </c>
      <c r="J8238" s="2" t="s">
        <v>3942</v>
      </c>
      <c r="K8238" s="2" t="s">
        <v>1452</v>
      </c>
      <c r="L8238" s="2" t="s">
        <v>5221</v>
      </c>
      <c r="M8238" s="2" t="s">
        <v>5221</v>
      </c>
      <c r="N8238" s="2" t="s">
        <v>2317</v>
      </c>
      <c r="O8238" s="14">
        <v>12500</v>
      </c>
      <c r="P8238" s="14">
        <v>98.32</v>
      </c>
      <c r="Q8238" s="14">
        <v>210</v>
      </c>
      <c r="R8238" s="14">
        <v>319.2</v>
      </c>
      <c r="S8238" s="2" t="s">
        <v>3048</v>
      </c>
      <c r="T8238" s="2">
        <v>1.04</v>
      </c>
      <c r="U8238" s="2">
        <v>67.099999999999994</v>
      </c>
      <c r="V8238" s="2">
        <v>64</v>
      </c>
      <c r="W8238" s="2" t="s">
        <v>7862</v>
      </c>
      <c r="X8238" s="2" t="s">
        <v>7053</v>
      </c>
      <c r="Y8238" s="2">
        <v>19000</v>
      </c>
      <c r="Z8238" s="19" t="str">
        <f>HYPERLINK("https://ssdweb.co/ssdweb/hd/Vision360.html?d=924610413&amp;zoomslide=1&amp;z=1924610413&amp;ISCONFIRM=0","VIDEO")</f>
        <v>VIDEO</v>
      </c>
      <c r="AA8238" s="19" t="str">
        <f>HYPERLINK("https://ssdweb.co/ssdweb/CERTH/2477588883.pdf","CERTI")</f>
        <v>CERTI</v>
      </c>
    </row>
    <row r="8239" spans="1:27" ht="15" x14ac:dyDescent="0.25">
      <c r="A8239" s="2">
        <v>8234</v>
      </c>
      <c r="B8239" s="39">
        <v>925801932</v>
      </c>
      <c r="C8239" s="28" t="str">
        <f>HYPERLINK("https://pld.live/RapDetail.aspx?STONELIST=925801932","DNA")</f>
        <v>DNA</v>
      </c>
      <c r="D8239" s="18" t="s">
        <v>711</v>
      </c>
      <c r="E8239" s="18" t="s">
        <v>5128</v>
      </c>
      <c r="F8239" s="2" t="s">
        <v>7987</v>
      </c>
      <c r="G8239" s="2" t="s">
        <v>2048</v>
      </c>
      <c r="H8239" s="14">
        <v>1.52</v>
      </c>
      <c r="I8239" s="2" t="s">
        <v>267</v>
      </c>
      <c r="J8239" s="2" t="s">
        <v>3942</v>
      </c>
      <c r="K8239" s="2" t="s">
        <v>1452</v>
      </c>
      <c r="L8239" s="2" t="s">
        <v>5221</v>
      </c>
      <c r="M8239" s="2" t="s">
        <v>5221</v>
      </c>
      <c r="N8239" s="2" t="s">
        <v>2317</v>
      </c>
      <c r="O8239" s="14">
        <v>12500</v>
      </c>
      <c r="P8239" s="14">
        <v>99</v>
      </c>
      <c r="Q8239" s="14">
        <v>125</v>
      </c>
      <c r="R8239" s="14">
        <v>190</v>
      </c>
      <c r="S8239" s="2" t="s">
        <v>3633</v>
      </c>
      <c r="T8239" s="2">
        <v>1.01</v>
      </c>
      <c r="U8239" s="2">
        <v>66</v>
      </c>
      <c r="V8239" s="2">
        <v>61</v>
      </c>
      <c r="W8239" s="2" t="s">
        <v>7862</v>
      </c>
      <c r="X8239" s="2" t="s">
        <v>7670</v>
      </c>
      <c r="Y8239" s="2">
        <v>19000</v>
      </c>
      <c r="Z8239" s="19" t="str">
        <f>HYPERLINK("https://ssdweb.co/ssdweb/hd/Vision360.html?d=925801932&amp;zoomslide=1&amp;z=1925801932&amp;ISCONFIRM=0","VIDEO")</f>
        <v>VIDEO</v>
      </c>
      <c r="AA8239" s="19" t="str">
        <f>HYPERLINK("https://ssdweb.co/ssdweb/CERTH/627474785.pdf","CERTI")</f>
        <v>CERTI</v>
      </c>
    </row>
    <row r="8240" spans="1:27" ht="15" x14ac:dyDescent="0.25">
      <c r="A8240" s="2">
        <v>8235</v>
      </c>
      <c r="B8240" s="39">
        <v>925180253</v>
      </c>
      <c r="C8240" s="28" t="str">
        <f>HYPERLINK("https://pld.live/RapDetail.aspx?STONELIST=925180253","DNA")</f>
        <v>DNA</v>
      </c>
      <c r="D8240" s="18" t="s">
        <v>711</v>
      </c>
      <c r="E8240" s="18" t="s">
        <v>5128</v>
      </c>
      <c r="F8240" s="2" t="s">
        <v>7987</v>
      </c>
      <c r="G8240" s="2" t="s">
        <v>2048</v>
      </c>
      <c r="H8240" s="14">
        <v>1.52</v>
      </c>
      <c r="I8240" s="2" t="s">
        <v>267</v>
      </c>
      <c r="J8240" s="2" t="s">
        <v>13</v>
      </c>
      <c r="K8240" s="2" t="s">
        <v>1452</v>
      </c>
      <c r="L8240" s="2" t="s">
        <v>5221</v>
      </c>
      <c r="M8240" s="2" t="s">
        <v>5221</v>
      </c>
      <c r="N8240" s="2" t="s">
        <v>2317</v>
      </c>
      <c r="O8240" s="14">
        <v>11600</v>
      </c>
      <c r="P8240" s="14">
        <v>98.97</v>
      </c>
      <c r="Q8240" s="14">
        <v>119.48</v>
      </c>
      <c r="R8240" s="14">
        <v>181.61</v>
      </c>
      <c r="S8240" s="2" t="s">
        <v>7</v>
      </c>
      <c r="T8240" s="2">
        <v>1</v>
      </c>
      <c r="U8240" s="2">
        <v>67.5</v>
      </c>
      <c r="V8240" s="2">
        <v>59</v>
      </c>
      <c r="W8240" s="2" t="s">
        <v>7862</v>
      </c>
      <c r="X8240" s="2" t="s">
        <v>7670</v>
      </c>
      <c r="Y8240" s="2">
        <v>17632</v>
      </c>
      <c r="Z8240" s="19" t="str">
        <f>HYPERLINK("https://ssdweb.co/ssdweb/hd/Vision360.html?d=925180253&amp;zoomslide=1&amp;z=1925180253&amp;ISCONFIRM=0","VIDEO")</f>
        <v>VIDEO</v>
      </c>
      <c r="AA8240" s="19" t="str">
        <f>HYPERLINK("https://ssdweb.co/ssdweb/CERTH/619427248.pdf","CERTI")</f>
        <v>CERTI</v>
      </c>
    </row>
    <row r="8241" spans="1:27" ht="15" x14ac:dyDescent="0.25">
      <c r="A8241" s="2">
        <v>8236</v>
      </c>
      <c r="B8241" s="39">
        <v>925801379</v>
      </c>
      <c r="C8241" s="28" t="str">
        <f>HYPERLINK("https://pld.live/RapDetail.aspx?STONELIST=925801379","DNA")</f>
        <v>DNA</v>
      </c>
      <c r="D8241" s="18" t="s">
        <v>711</v>
      </c>
      <c r="E8241" s="18" t="s">
        <v>5128</v>
      </c>
      <c r="F8241" s="2" t="s">
        <v>7987</v>
      </c>
      <c r="G8241" s="2" t="s">
        <v>2048</v>
      </c>
      <c r="H8241" s="14">
        <v>1.51</v>
      </c>
      <c r="I8241" s="2" t="s">
        <v>267</v>
      </c>
      <c r="J8241" s="2" t="s">
        <v>3942</v>
      </c>
      <c r="K8241" s="2" t="s">
        <v>1452</v>
      </c>
      <c r="L8241" s="2" t="s">
        <v>5221</v>
      </c>
      <c r="M8241" s="2" t="s">
        <v>5221</v>
      </c>
      <c r="N8241" s="2" t="s">
        <v>2317</v>
      </c>
      <c r="O8241" s="14">
        <v>12500</v>
      </c>
      <c r="P8241" s="14">
        <v>99.03</v>
      </c>
      <c r="Q8241" s="14">
        <v>121.25</v>
      </c>
      <c r="R8241" s="14">
        <v>183.09</v>
      </c>
      <c r="S8241" s="2" t="s">
        <v>6926</v>
      </c>
      <c r="T8241" s="2">
        <v>1.02</v>
      </c>
      <c r="U8241" s="2">
        <v>66.5</v>
      </c>
      <c r="V8241" s="2">
        <v>61</v>
      </c>
      <c r="W8241" s="2" t="s">
        <v>7862</v>
      </c>
      <c r="X8241" s="2" t="s">
        <v>7670</v>
      </c>
      <c r="Y8241" s="2">
        <v>18875</v>
      </c>
      <c r="Z8241" s="19" t="str">
        <f>HYPERLINK("https://ssdweb.co/ssdweb/hd/Vision360.html?d=925801379&amp;zoomslide=1&amp;z=1925801379&amp;ISCONFIRM=0","VIDEO")</f>
        <v>VIDEO</v>
      </c>
      <c r="AA8241" s="19" t="str">
        <f>HYPERLINK("https://ssdweb.co/ssdweb/CERTH/626466287.pdf","CERTI")</f>
        <v>CERTI</v>
      </c>
    </row>
    <row r="8242" spans="1:27" ht="15" x14ac:dyDescent="0.25">
      <c r="A8242" s="2">
        <v>8237</v>
      </c>
      <c r="B8242" s="39">
        <v>925801908</v>
      </c>
      <c r="C8242" s="28" t="str">
        <f>HYPERLINK("https://pld.live/RapDetail.aspx?STONELIST=925801908","DNA")</f>
        <v>DNA</v>
      </c>
      <c r="D8242" s="18" t="s">
        <v>711</v>
      </c>
      <c r="E8242" s="18" t="s">
        <v>5128</v>
      </c>
      <c r="F8242" s="2" t="s">
        <v>7987</v>
      </c>
      <c r="G8242" s="2" t="s">
        <v>2048</v>
      </c>
      <c r="H8242" s="14">
        <v>1.51</v>
      </c>
      <c r="I8242" s="2" t="s">
        <v>267</v>
      </c>
      <c r="J8242" s="2" t="s">
        <v>3942</v>
      </c>
      <c r="K8242" s="2" t="s">
        <v>1452</v>
      </c>
      <c r="L8242" s="2" t="s">
        <v>5221</v>
      </c>
      <c r="M8242" s="2" t="s">
        <v>5221</v>
      </c>
      <c r="N8242" s="2" t="s">
        <v>2317</v>
      </c>
      <c r="O8242" s="14">
        <v>12500</v>
      </c>
      <c r="P8242" s="14">
        <v>99.03</v>
      </c>
      <c r="Q8242" s="14">
        <v>121.25</v>
      </c>
      <c r="R8242" s="14">
        <v>183.09</v>
      </c>
      <c r="S8242" s="2" t="s">
        <v>5708</v>
      </c>
      <c r="T8242" s="2">
        <v>1.03</v>
      </c>
      <c r="U8242" s="2">
        <v>67.8</v>
      </c>
      <c r="V8242" s="2">
        <v>61</v>
      </c>
      <c r="W8242" s="2" t="s">
        <v>7862</v>
      </c>
      <c r="X8242" s="2" t="s">
        <v>7670</v>
      </c>
      <c r="Y8242" s="2">
        <v>18875</v>
      </c>
      <c r="Z8242" s="19" t="str">
        <f>HYPERLINK("https://ssdweb.co/ssdweb/hd/Vision360.html?d=925801908&amp;zoomslide=1&amp;z=1925801908&amp;ISCONFIRM=0","VIDEO")</f>
        <v>VIDEO</v>
      </c>
      <c r="AA8242" s="19" t="str">
        <f>HYPERLINK("https://ssdweb.co/ssdweb/CERTH/627473237.pdf","CERTI")</f>
        <v>CERTI</v>
      </c>
    </row>
    <row r="8243" spans="1:27" ht="15" x14ac:dyDescent="0.25">
      <c r="A8243" s="2">
        <v>8238</v>
      </c>
      <c r="B8243" s="39">
        <v>925300346</v>
      </c>
      <c r="C8243" s="28" t="str">
        <f>HYPERLINK("https://pld.live/RapDetail.aspx?STONELIST=925300346","DNA")</f>
        <v>DNA</v>
      </c>
      <c r="D8243" s="18" t="s">
        <v>711</v>
      </c>
      <c r="E8243" s="18" t="s">
        <v>5128</v>
      </c>
      <c r="F8243" s="2" t="s">
        <v>7987</v>
      </c>
      <c r="G8243" s="2" t="s">
        <v>2048</v>
      </c>
      <c r="H8243" s="14">
        <v>1.51</v>
      </c>
      <c r="I8243" s="2" t="s">
        <v>4761</v>
      </c>
      <c r="J8243" s="2" t="s">
        <v>3942</v>
      </c>
      <c r="K8243" s="2" t="s">
        <v>1452</v>
      </c>
      <c r="L8243" s="2" t="s">
        <v>5221</v>
      </c>
      <c r="M8243" s="2" t="s">
        <v>5221</v>
      </c>
      <c r="N8243" s="2" t="s">
        <v>2317</v>
      </c>
      <c r="O8243" s="14">
        <v>11600</v>
      </c>
      <c r="P8243" s="14">
        <v>98.97</v>
      </c>
      <c r="Q8243" s="14">
        <v>119.48</v>
      </c>
      <c r="R8243" s="14">
        <v>180.41</v>
      </c>
      <c r="S8243" s="2" t="s">
        <v>5615</v>
      </c>
      <c r="T8243" s="2">
        <v>1.04</v>
      </c>
      <c r="U8243" s="2">
        <v>68.5</v>
      </c>
      <c r="V8243" s="2">
        <v>61</v>
      </c>
      <c r="W8243" s="2" t="s">
        <v>7862</v>
      </c>
      <c r="X8243" s="2" t="s">
        <v>7670</v>
      </c>
      <c r="Y8243" s="2">
        <v>17516</v>
      </c>
      <c r="Z8243" s="19" t="str">
        <f>HYPERLINK("https://ssdweb.co/ssdweb/hd/Vision360.html?d=925300346&amp;zoomslide=1&amp;z=1925300346&amp;ISCONFIRM=0","VIDEO")</f>
        <v>VIDEO</v>
      </c>
      <c r="AA8243" s="19" t="str">
        <f>HYPERLINK("https://ssdweb.co/ssdweb/CERTH/620403209.pdf","CERTI")</f>
        <v>CERTI</v>
      </c>
    </row>
    <row r="8244" spans="1:27" ht="15" x14ac:dyDescent="0.25">
      <c r="A8244" s="2">
        <v>8239</v>
      </c>
      <c r="B8244" s="39">
        <v>925300338</v>
      </c>
      <c r="C8244" s="28" t="str">
        <f>HYPERLINK("https://pld.live/RapDetail.aspx?STONELIST=925300338","DNA")</f>
        <v>DNA</v>
      </c>
      <c r="D8244" s="18" t="s">
        <v>711</v>
      </c>
      <c r="E8244" s="18" t="s">
        <v>5128</v>
      </c>
      <c r="F8244" s="2" t="s">
        <v>7987</v>
      </c>
      <c r="G8244" s="2" t="s">
        <v>2048</v>
      </c>
      <c r="H8244" s="14">
        <v>1.51</v>
      </c>
      <c r="I8244" s="2" t="s">
        <v>4761</v>
      </c>
      <c r="J8244" s="2" t="s">
        <v>5144</v>
      </c>
      <c r="K8244" s="2" t="s">
        <v>1452</v>
      </c>
      <c r="L8244" s="2" t="s">
        <v>5221</v>
      </c>
      <c r="M8244" s="2" t="s">
        <v>5221</v>
      </c>
      <c r="N8244" s="2" t="s">
        <v>2317</v>
      </c>
      <c r="O8244" s="14">
        <v>9300</v>
      </c>
      <c r="P8244" s="14">
        <v>98.78</v>
      </c>
      <c r="Q8244" s="14">
        <v>113.46</v>
      </c>
      <c r="R8244" s="14">
        <v>171.32</v>
      </c>
      <c r="S8244" s="2" t="s">
        <v>3466</v>
      </c>
      <c r="T8244" s="2">
        <v>1.02</v>
      </c>
      <c r="U8244" s="2">
        <v>67.8</v>
      </c>
      <c r="V8244" s="2">
        <v>62</v>
      </c>
      <c r="W8244" s="2" t="s">
        <v>7862</v>
      </c>
      <c r="X8244" s="2" t="s">
        <v>7670</v>
      </c>
      <c r="Y8244" s="2">
        <v>14043</v>
      </c>
      <c r="Z8244" s="19" t="str">
        <f>HYPERLINK("https://ssdweb.co/ssdweb/hd/Vision360.html?d=925300338&amp;zoomslide=1&amp;z=1925300338&amp;ISCONFIRM=0","VIDEO")</f>
        <v>VIDEO</v>
      </c>
      <c r="AA8244" s="19" t="str">
        <f>HYPERLINK("https://ssdweb.co/ssdweb/CERTH/619469709.pdf","CERTI")</f>
        <v>CERTI</v>
      </c>
    </row>
    <row r="8245" spans="1:27" ht="15" x14ac:dyDescent="0.25">
      <c r="A8245" s="2">
        <v>8240</v>
      </c>
      <c r="B8245" s="39">
        <v>925732113</v>
      </c>
      <c r="C8245" s="28" t="str">
        <f>HYPERLINK("https://pld.live/RapDetail.aspx?STONELIST=925732113","DNA")</f>
        <v>DNA</v>
      </c>
      <c r="D8245" s="18" t="s">
        <v>711</v>
      </c>
      <c r="E8245" s="18" t="s">
        <v>5128</v>
      </c>
      <c r="F8245" s="2" t="s">
        <v>7987</v>
      </c>
      <c r="G8245" s="2" t="s">
        <v>2048</v>
      </c>
      <c r="H8245" s="14">
        <v>1.5</v>
      </c>
      <c r="I8245" s="2" t="s">
        <v>267</v>
      </c>
      <c r="J8245" s="2" t="s">
        <v>3942</v>
      </c>
      <c r="K8245" s="2" t="s">
        <v>1452</v>
      </c>
      <c r="L8245" s="2" t="s">
        <v>5221</v>
      </c>
      <c r="M8245" s="2" t="s">
        <v>5221</v>
      </c>
      <c r="N8245" s="2" t="s">
        <v>2317</v>
      </c>
      <c r="O8245" s="14">
        <v>12500</v>
      </c>
      <c r="P8245" s="14">
        <v>99.03</v>
      </c>
      <c r="Q8245" s="14">
        <v>121.25</v>
      </c>
      <c r="R8245" s="14">
        <v>181.88</v>
      </c>
      <c r="S8245" s="2" t="s">
        <v>5068</v>
      </c>
      <c r="T8245" s="2">
        <v>1.01</v>
      </c>
      <c r="U8245" s="2">
        <v>66.900000000000006</v>
      </c>
      <c r="V8245" s="2">
        <v>60</v>
      </c>
      <c r="W8245" s="2" t="s">
        <v>7862</v>
      </c>
      <c r="X8245" s="2" t="s">
        <v>7670</v>
      </c>
      <c r="Y8245" s="2">
        <v>18750</v>
      </c>
      <c r="Z8245" s="19" t="str">
        <f>HYPERLINK("https://ssdweb.co/ssdweb/hd/Vision360.html?d=925732113&amp;zoomslide=1&amp;z=1925732113&amp;ISCONFIRM=0","VIDEO")</f>
        <v>VIDEO</v>
      </c>
      <c r="AA8245" s="19" t="str">
        <f>HYPERLINK("https://ssdweb.co/ssdweb/CERTH/626457354.pdf","CERTI")</f>
        <v>CERTI</v>
      </c>
    </row>
    <row r="8246" spans="1:27" ht="15" x14ac:dyDescent="0.25">
      <c r="A8246" s="2">
        <v>8241</v>
      </c>
      <c r="B8246" s="39">
        <v>925731959</v>
      </c>
      <c r="C8246" s="28" t="str">
        <f>HYPERLINK("https://pld.live/RapDetail.aspx?STONELIST=925731959","DNA")</f>
        <v>DNA</v>
      </c>
      <c r="D8246" s="18" t="s">
        <v>711</v>
      </c>
      <c r="E8246" s="18" t="s">
        <v>5128</v>
      </c>
      <c r="F8246" s="2" t="s">
        <v>7987</v>
      </c>
      <c r="G8246" s="2" t="s">
        <v>2048</v>
      </c>
      <c r="H8246" s="14">
        <v>1.5</v>
      </c>
      <c r="I8246" s="2" t="s">
        <v>267</v>
      </c>
      <c r="J8246" s="2" t="s">
        <v>3942</v>
      </c>
      <c r="K8246" s="2" t="s">
        <v>1452</v>
      </c>
      <c r="L8246" s="2" t="s">
        <v>5221</v>
      </c>
      <c r="M8246" s="2" t="s">
        <v>5221</v>
      </c>
      <c r="N8246" s="2" t="s">
        <v>2317</v>
      </c>
      <c r="O8246" s="14">
        <v>12500</v>
      </c>
      <c r="P8246" s="14">
        <v>99.03</v>
      </c>
      <c r="Q8246" s="14">
        <v>121.25</v>
      </c>
      <c r="R8246" s="14">
        <v>181.88</v>
      </c>
      <c r="S8246" s="2" t="s">
        <v>3739</v>
      </c>
      <c r="T8246" s="2">
        <v>1.01</v>
      </c>
      <c r="U8246" s="2">
        <v>68.5</v>
      </c>
      <c r="V8246" s="2">
        <v>62</v>
      </c>
      <c r="W8246" s="2" t="s">
        <v>7862</v>
      </c>
      <c r="X8246" s="2" t="s">
        <v>7670</v>
      </c>
      <c r="Y8246" s="2">
        <v>18750</v>
      </c>
      <c r="Z8246" s="19" t="str">
        <f>HYPERLINK("https://ssdweb.co/ssdweb/hd/Vision360.html?d=925731959&amp;zoomslide=1&amp;z=1925731959&amp;ISCONFIRM=0","VIDEO")</f>
        <v>VIDEO</v>
      </c>
      <c r="AA8246" s="19" t="str">
        <f>HYPERLINK("https://ssdweb.co/ssdweb/CERTH/625432328.pdf","CERTI")</f>
        <v>CERTI</v>
      </c>
    </row>
    <row r="8247" spans="1:27" ht="15" x14ac:dyDescent="0.25">
      <c r="A8247" s="2">
        <v>8242</v>
      </c>
      <c r="B8247" s="39">
        <v>925732133</v>
      </c>
      <c r="C8247" s="28" t="str">
        <f>HYPERLINK("https://pld.live/RapDetail.aspx?STONELIST=925732133","DNA")</f>
        <v>DNA</v>
      </c>
      <c r="D8247" s="18" t="s">
        <v>711</v>
      </c>
      <c r="E8247" s="18" t="s">
        <v>5128</v>
      </c>
      <c r="F8247" s="2" t="s">
        <v>7987</v>
      </c>
      <c r="G8247" s="2" t="s">
        <v>2048</v>
      </c>
      <c r="H8247" s="14">
        <v>1.5</v>
      </c>
      <c r="I8247" s="2" t="s">
        <v>267</v>
      </c>
      <c r="J8247" s="2" t="s">
        <v>13</v>
      </c>
      <c r="K8247" s="2" t="s">
        <v>1452</v>
      </c>
      <c r="L8247" s="2" t="s">
        <v>5221</v>
      </c>
      <c r="M8247" s="2" t="s">
        <v>5221</v>
      </c>
      <c r="N8247" s="2" t="s">
        <v>2317</v>
      </c>
      <c r="O8247" s="14">
        <v>11600</v>
      </c>
      <c r="P8247" s="14">
        <v>98.97</v>
      </c>
      <c r="Q8247" s="14">
        <v>119.48</v>
      </c>
      <c r="R8247" s="14">
        <v>179.22</v>
      </c>
      <c r="S8247" s="2" t="s">
        <v>5310</v>
      </c>
      <c r="T8247" s="2">
        <v>1.03</v>
      </c>
      <c r="U8247" s="2">
        <v>65.900000000000006</v>
      </c>
      <c r="V8247" s="2">
        <v>63</v>
      </c>
      <c r="W8247" s="2" t="s">
        <v>7862</v>
      </c>
      <c r="X8247" s="2" t="s">
        <v>7670</v>
      </c>
      <c r="Y8247" s="2">
        <v>17400</v>
      </c>
      <c r="Z8247" s="19" t="str">
        <f>HYPERLINK("https://ssdweb.co/ssdweb/hd/Vision360.html?d=925732133&amp;zoomslide=1&amp;z=1925732133&amp;ISCONFIRM=0","VIDEO")</f>
        <v>VIDEO</v>
      </c>
      <c r="AA8247" s="19" t="str">
        <f>HYPERLINK("https://ssdweb.co/ssdweb/CERTH/626457433.pdf","CERTI")</f>
        <v>CERTI</v>
      </c>
    </row>
    <row r="8248" spans="1:27" ht="15" x14ac:dyDescent="0.25">
      <c r="A8248" s="2">
        <v>8243</v>
      </c>
      <c r="B8248" s="39">
        <v>925160028</v>
      </c>
      <c r="C8248" s="28" t="str">
        <f>HYPERLINK("https://pld.live/RapDetail.aspx?STONELIST=925160028","DNA")</f>
        <v>DNA</v>
      </c>
      <c r="D8248" s="18" t="s">
        <v>711</v>
      </c>
      <c r="E8248" s="18" t="s">
        <v>5128</v>
      </c>
      <c r="F8248" s="2" t="s">
        <v>7987</v>
      </c>
      <c r="G8248" s="2" t="s">
        <v>2048</v>
      </c>
      <c r="H8248" s="14">
        <v>1.5</v>
      </c>
      <c r="I8248" s="2" t="s">
        <v>267</v>
      </c>
      <c r="J8248" s="2" t="s">
        <v>13</v>
      </c>
      <c r="K8248" s="2" t="s">
        <v>1452</v>
      </c>
      <c r="L8248" s="2" t="s">
        <v>5221</v>
      </c>
      <c r="M8248" s="2" t="s">
        <v>5221</v>
      </c>
      <c r="N8248" s="2" t="s">
        <v>2317</v>
      </c>
      <c r="O8248" s="14">
        <v>11600</v>
      </c>
      <c r="P8248" s="14">
        <v>98.97</v>
      </c>
      <c r="Q8248" s="14">
        <v>119.48</v>
      </c>
      <c r="R8248" s="14">
        <v>179.22</v>
      </c>
      <c r="S8248" s="2" t="s">
        <v>775</v>
      </c>
      <c r="T8248" s="2">
        <v>1.04</v>
      </c>
      <c r="U8248" s="2">
        <v>67.400000000000006</v>
      </c>
      <c r="V8248" s="2">
        <v>61</v>
      </c>
      <c r="W8248" s="2" t="s">
        <v>7862</v>
      </c>
      <c r="X8248" s="2" t="s">
        <v>7670</v>
      </c>
      <c r="Y8248" s="2">
        <v>17400</v>
      </c>
      <c r="Z8248" s="19" t="str">
        <f>HYPERLINK("https://ssdweb.co/ssdweb/hd/Vision360.html?d=925160028&amp;zoomslide=1&amp;z=1925160028&amp;ISCONFIRM=0","VIDEO")</f>
        <v>VIDEO</v>
      </c>
      <c r="AA8248" s="19" t="str">
        <f>HYPERLINK("https://ssdweb.co/ssdweb/CERTH/619424148.pdf","CERTI")</f>
        <v>CERTI</v>
      </c>
    </row>
    <row r="8249" spans="1:27" ht="15" x14ac:dyDescent="0.25">
      <c r="A8249" s="2">
        <v>8244</v>
      </c>
      <c r="B8249" s="39">
        <v>925732159</v>
      </c>
      <c r="C8249" s="28" t="str">
        <f>HYPERLINK("https://pld.live/RapDetail.aspx?STONELIST=925732159","DNA")</f>
        <v>DNA</v>
      </c>
      <c r="D8249" s="18" t="s">
        <v>5281</v>
      </c>
      <c r="E8249" s="18" t="s">
        <v>5128</v>
      </c>
      <c r="F8249" s="2" t="s">
        <v>7987</v>
      </c>
      <c r="G8249" s="2" t="s">
        <v>2048</v>
      </c>
      <c r="H8249" s="14">
        <v>1.47</v>
      </c>
      <c r="I8249" s="2" t="s">
        <v>267</v>
      </c>
      <c r="J8249" s="2" t="s">
        <v>13</v>
      </c>
      <c r="K8249" s="2" t="s">
        <v>1452</v>
      </c>
      <c r="L8249" s="2" t="s">
        <v>5221</v>
      </c>
      <c r="M8249" s="2" t="s">
        <v>5221</v>
      </c>
      <c r="N8249" s="2" t="s">
        <v>2317</v>
      </c>
      <c r="O8249" s="14">
        <v>6700</v>
      </c>
      <c r="P8249" s="14">
        <v>98.27</v>
      </c>
      <c r="Q8249" s="14">
        <v>115.91</v>
      </c>
      <c r="R8249" s="14">
        <v>170.39</v>
      </c>
      <c r="S8249" s="2" t="s">
        <v>6228</v>
      </c>
      <c r="T8249" s="2">
        <v>1.02</v>
      </c>
      <c r="U8249" s="2">
        <v>65.8</v>
      </c>
      <c r="V8249" s="2">
        <v>62</v>
      </c>
      <c r="W8249" s="2" t="s">
        <v>7862</v>
      </c>
      <c r="X8249" s="2" t="s">
        <v>7670</v>
      </c>
      <c r="Y8249" s="2">
        <v>9849</v>
      </c>
      <c r="Z8249" s="19" t="str">
        <f>HYPERLINK("https://ssdweb.co/ssdweb/hd/Vision360.html?d=925732159&amp;zoomslide=1&amp;z=1925732159&amp;ISCONFIRM=0","VIDEO")</f>
        <v>VIDEO</v>
      </c>
      <c r="AA8249" s="19" t="str">
        <f>HYPERLINK("https://ssdweb.co/ssdweb/CERTH/626457293.pdf","CERTI")</f>
        <v>CERTI</v>
      </c>
    </row>
    <row r="8250" spans="1:27" ht="15" x14ac:dyDescent="0.25">
      <c r="A8250" s="2">
        <v>8245</v>
      </c>
      <c r="B8250" s="39">
        <v>925721931</v>
      </c>
      <c r="C8250" s="28" t="str">
        <f>HYPERLINK("https://pld.live/RapDetail.aspx?STONELIST=925721931","DNA")</f>
        <v>DNA</v>
      </c>
      <c r="D8250" s="18" t="s">
        <v>5281</v>
      </c>
      <c r="E8250" s="18" t="s">
        <v>5128</v>
      </c>
      <c r="F8250" s="2" t="s">
        <v>7987</v>
      </c>
      <c r="G8250" s="2" t="s">
        <v>2048</v>
      </c>
      <c r="H8250" s="14">
        <v>1.47</v>
      </c>
      <c r="I8250" s="2" t="s">
        <v>4761</v>
      </c>
      <c r="J8250" s="2" t="s">
        <v>5144</v>
      </c>
      <c r="K8250" s="2" t="s">
        <v>1452</v>
      </c>
      <c r="L8250" s="2" t="s">
        <v>5221</v>
      </c>
      <c r="M8250" s="2" t="s">
        <v>5221</v>
      </c>
      <c r="N8250" s="2" t="s">
        <v>2317</v>
      </c>
      <c r="O8250" s="14">
        <v>5400</v>
      </c>
      <c r="P8250" s="14">
        <v>98.04</v>
      </c>
      <c r="Q8250" s="14">
        <v>105.84</v>
      </c>
      <c r="R8250" s="14">
        <v>155.58000000000001</v>
      </c>
      <c r="S8250" s="2" t="s">
        <v>6276</v>
      </c>
      <c r="T8250" s="2">
        <v>1.02</v>
      </c>
      <c r="U8250" s="2">
        <v>68</v>
      </c>
      <c r="V8250" s="2">
        <v>60</v>
      </c>
      <c r="W8250" s="2" t="s">
        <v>7862</v>
      </c>
      <c r="X8250" s="2" t="s">
        <v>7670</v>
      </c>
      <c r="Y8250" s="2">
        <v>7938</v>
      </c>
      <c r="Z8250" s="19" t="str">
        <f>HYPERLINK("https://ssdweb.co/ssdweb/hd/Vision360.html?d=925721931&amp;zoomslide=1&amp;z=1925721931&amp;ISCONFIRM=0","VIDEO")</f>
        <v>VIDEO</v>
      </c>
      <c r="AA8250" s="19" t="str">
        <f>HYPERLINK("https://ssdweb.co/ssdweb/CERTH/624420542.pdf","CERTI")</f>
        <v>CERTI</v>
      </c>
    </row>
    <row r="8251" spans="1:27" ht="15" x14ac:dyDescent="0.25">
      <c r="A8251" s="2">
        <v>8246</v>
      </c>
      <c r="B8251" s="39">
        <v>925961356</v>
      </c>
      <c r="C8251" s="28" t="str">
        <f>HYPERLINK("https://pld.live/RapDetail.aspx?STONELIST=925961356","DNA")</f>
        <v>DNA</v>
      </c>
      <c r="D8251" s="18" t="s">
        <v>3054</v>
      </c>
      <c r="E8251" s="18" t="s">
        <v>5128</v>
      </c>
      <c r="F8251" s="2" t="s">
        <v>7987</v>
      </c>
      <c r="G8251" s="2" t="s">
        <v>2048</v>
      </c>
      <c r="H8251" s="14">
        <v>1.1000000000000001</v>
      </c>
      <c r="I8251" s="2" t="s">
        <v>267</v>
      </c>
      <c r="J8251" s="2" t="s">
        <v>3942</v>
      </c>
      <c r="K8251" s="2" t="s">
        <v>1452</v>
      </c>
      <c r="L8251" s="2" t="s">
        <v>5221</v>
      </c>
      <c r="M8251" s="2" t="s">
        <v>5221</v>
      </c>
      <c r="N8251" s="2" t="s">
        <v>2317</v>
      </c>
      <c r="O8251" s="14">
        <v>7600</v>
      </c>
      <c r="P8251" s="14">
        <v>98.5</v>
      </c>
      <c r="Q8251" s="14">
        <v>114</v>
      </c>
      <c r="R8251" s="14">
        <v>125.4</v>
      </c>
      <c r="S8251" s="2" t="s">
        <v>4326</v>
      </c>
      <c r="T8251" s="2">
        <v>1.01</v>
      </c>
      <c r="U8251" s="2">
        <v>66.900000000000006</v>
      </c>
      <c r="V8251" s="2">
        <v>62</v>
      </c>
      <c r="W8251" s="2" t="s">
        <v>7862</v>
      </c>
      <c r="X8251" s="2" t="s">
        <v>7670</v>
      </c>
      <c r="Y8251" s="2">
        <v>8360</v>
      </c>
      <c r="Z8251" s="19" t="str">
        <f>HYPERLINK("https://ssdweb.co/ssdweb/hd/Vision360.html?d=925961356&amp;zoomslide=1&amp;z=1925961356&amp;ISCONFIRM=0","VIDEO")</f>
        <v>VIDEO</v>
      </c>
      <c r="AA8251" s="19" t="str">
        <f>HYPERLINK("https://ssdweb.co/ssdweb/CERTH/629497410.pdf","CERTI")</f>
        <v>CERTI</v>
      </c>
    </row>
    <row r="8252" spans="1:27" ht="15" x14ac:dyDescent="0.25">
      <c r="A8252" s="2">
        <v>8247</v>
      </c>
      <c r="B8252" s="39">
        <v>925721758</v>
      </c>
      <c r="C8252" s="28" t="str">
        <f>HYPERLINK("https://pld.live/RapDetail.aspx?STONELIST=925721758","DNA")</f>
        <v>DNA</v>
      </c>
      <c r="D8252" s="18" t="s">
        <v>3054</v>
      </c>
      <c r="E8252" s="18" t="s">
        <v>5128</v>
      </c>
      <c r="F8252" s="2" t="s">
        <v>7987</v>
      </c>
      <c r="G8252" s="2" t="s">
        <v>2048</v>
      </c>
      <c r="H8252" s="14">
        <v>1.1000000000000001</v>
      </c>
      <c r="I8252" s="2" t="s">
        <v>267</v>
      </c>
      <c r="J8252" s="2" t="s">
        <v>13</v>
      </c>
      <c r="K8252" s="2" t="s">
        <v>1452</v>
      </c>
      <c r="L8252" s="2" t="s">
        <v>5221</v>
      </c>
      <c r="M8252" s="2" t="s">
        <v>5221</v>
      </c>
      <c r="N8252" s="2" t="s">
        <v>2317</v>
      </c>
      <c r="O8252" s="14">
        <v>6700</v>
      </c>
      <c r="P8252" s="14">
        <v>98.36</v>
      </c>
      <c r="Q8252" s="14">
        <v>109.88</v>
      </c>
      <c r="R8252" s="14">
        <v>120.87</v>
      </c>
      <c r="S8252" s="2" t="s">
        <v>7859</v>
      </c>
      <c r="T8252" s="2">
        <v>1.01</v>
      </c>
      <c r="U8252" s="2">
        <v>66.400000000000006</v>
      </c>
      <c r="V8252" s="2">
        <v>59</v>
      </c>
      <c r="W8252" s="2" t="s">
        <v>7862</v>
      </c>
      <c r="X8252" s="2" t="s">
        <v>7670</v>
      </c>
      <c r="Y8252" s="2">
        <v>7370</v>
      </c>
      <c r="Z8252" s="19" t="str">
        <f>HYPERLINK("https://ssdweb.co/ssdweb/hd/Vision360.html?d=925721758&amp;zoomslide=1&amp;z=1925721758&amp;ISCONFIRM=0","VIDEO")</f>
        <v>VIDEO</v>
      </c>
      <c r="AA8252" s="19" t="str">
        <f>HYPERLINK("https://ssdweb.co/ssdweb/CERTH/624499695.pdf","CERTI")</f>
        <v>CERTI</v>
      </c>
    </row>
    <row r="8253" spans="1:27" ht="15" x14ac:dyDescent="0.25">
      <c r="A8253" s="2">
        <v>8248</v>
      </c>
      <c r="B8253" s="39">
        <v>925731635</v>
      </c>
      <c r="C8253" s="28" t="str">
        <f>HYPERLINK("https://pld.live/RapDetail.aspx?STONELIST=925731635","DNA")</f>
        <v>DNA</v>
      </c>
      <c r="D8253" s="18" t="s">
        <v>3054</v>
      </c>
      <c r="E8253" s="18" t="s">
        <v>5128</v>
      </c>
      <c r="F8253" s="2" t="s">
        <v>7987</v>
      </c>
      <c r="G8253" s="2" t="s">
        <v>2048</v>
      </c>
      <c r="H8253" s="14">
        <v>1.0900000000000001</v>
      </c>
      <c r="I8253" s="2" t="s">
        <v>267</v>
      </c>
      <c r="J8253" s="2" t="s">
        <v>3942</v>
      </c>
      <c r="K8253" s="2" t="s">
        <v>1452</v>
      </c>
      <c r="L8253" s="2" t="s">
        <v>5221</v>
      </c>
      <c r="M8253" s="2" t="s">
        <v>5221</v>
      </c>
      <c r="N8253" s="2" t="s">
        <v>2317</v>
      </c>
      <c r="O8253" s="14">
        <v>7600</v>
      </c>
      <c r="P8253" s="14">
        <v>98.53</v>
      </c>
      <c r="Q8253" s="14">
        <v>111.72</v>
      </c>
      <c r="R8253" s="14">
        <v>121.77</v>
      </c>
      <c r="S8253" s="2" t="s">
        <v>2249</v>
      </c>
      <c r="T8253" s="2">
        <v>1.02</v>
      </c>
      <c r="U8253" s="2">
        <v>66.900000000000006</v>
      </c>
      <c r="V8253" s="2">
        <v>63</v>
      </c>
      <c r="W8253" s="2" t="s">
        <v>7862</v>
      </c>
      <c r="X8253" s="2" t="s">
        <v>7670</v>
      </c>
      <c r="Y8253" s="2">
        <v>8284</v>
      </c>
      <c r="Z8253" s="19" t="str">
        <f>HYPERLINK("https://ssdweb.co/ssdweb/hd/Vision360.html?d=925731635&amp;zoomslide=1&amp;z=1925731635&amp;ISCONFIRM=0","VIDEO")</f>
        <v>VIDEO</v>
      </c>
      <c r="AA8253" s="19" t="str">
        <f>HYPERLINK("https://ssdweb.co/ssdweb/CERTH/626457378.pdf","CERTI")</f>
        <v>CERTI</v>
      </c>
    </row>
    <row r="8254" spans="1:27" ht="15" x14ac:dyDescent="0.25">
      <c r="A8254" s="2">
        <v>8249</v>
      </c>
      <c r="B8254" s="39">
        <v>925140254</v>
      </c>
      <c r="C8254" s="28" t="str">
        <f>HYPERLINK("https://pld.live/RapDetail.aspx?STONELIST=925140254","DNA")</f>
        <v>DNA</v>
      </c>
      <c r="D8254" s="18" t="s">
        <v>3054</v>
      </c>
      <c r="E8254" s="18" t="s">
        <v>5128</v>
      </c>
      <c r="F8254" s="2" t="s">
        <v>5597</v>
      </c>
      <c r="G8254" s="2" t="s">
        <v>2048</v>
      </c>
      <c r="H8254" s="14">
        <v>1.07</v>
      </c>
      <c r="I8254" s="2" t="s">
        <v>4761</v>
      </c>
      <c r="J8254" s="2" t="s">
        <v>6555</v>
      </c>
      <c r="K8254" s="2" t="s">
        <v>1452</v>
      </c>
      <c r="L8254" s="2" t="s">
        <v>5221</v>
      </c>
      <c r="M8254" s="2" t="s">
        <v>5721</v>
      </c>
      <c r="N8254" s="2" t="s">
        <v>2317</v>
      </c>
      <c r="O8254" s="14">
        <v>7500</v>
      </c>
      <c r="P8254" s="14">
        <v>97.2</v>
      </c>
      <c r="Q8254" s="14">
        <v>210</v>
      </c>
      <c r="R8254" s="14">
        <v>224.7</v>
      </c>
      <c r="S8254" s="2" t="s">
        <v>4547</v>
      </c>
      <c r="T8254" s="2">
        <v>1</v>
      </c>
      <c r="U8254" s="2">
        <v>67.099999999999994</v>
      </c>
      <c r="V8254" s="2">
        <v>59</v>
      </c>
      <c r="W8254" s="2" t="s">
        <v>7862</v>
      </c>
      <c r="X8254" s="2" t="s">
        <v>7053</v>
      </c>
      <c r="Y8254" s="2">
        <v>8025</v>
      </c>
      <c r="Z8254" s="19" t="str">
        <f>HYPERLINK("https://ssdweb.co/ssdweb/hd/Vision360.html?d=925140254&amp;zoomslide=1&amp;z=1925140254&amp;ISCONFIRM=0","VIDEO")</f>
        <v>VIDEO</v>
      </c>
      <c r="AA8254" s="19" t="str">
        <f>HYPERLINK("https://ssdweb.co/ssdweb/CERTH/6482187320.pdf","CERTI")</f>
        <v>CERTI</v>
      </c>
    </row>
    <row r="8255" spans="1:27" ht="15" x14ac:dyDescent="0.25">
      <c r="A8255" s="2">
        <v>8250</v>
      </c>
      <c r="B8255" s="39">
        <v>925150166</v>
      </c>
      <c r="C8255" s="28" t="str">
        <f>HYPERLINK("https://pld.live/RapDetail.aspx?STONELIST=925150166","DNA")</f>
        <v>DNA</v>
      </c>
      <c r="D8255" s="18" t="s">
        <v>3054</v>
      </c>
      <c r="E8255" s="18" t="s">
        <v>5128</v>
      </c>
      <c r="F8255" s="2" t="s">
        <v>7987</v>
      </c>
      <c r="G8255" s="2" t="s">
        <v>2048</v>
      </c>
      <c r="H8255" s="14">
        <v>1.06</v>
      </c>
      <c r="I8255" s="2" t="s">
        <v>4699</v>
      </c>
      <c r="J8255" s="2" t="s">
        <v>3942</v>
      </c>
      <c r="K8255" s="2" t="s">
        <v>1452</v>
      </c>
      <c r="L8255" s="2" t="s">
        <v>5221</v>
      </c>
      <c r="M8255" s="2" t="s">
        <v>5221</v>
      </c>
      <c r="N8255" s="2" t="s">
        <v>2317</v>
      </c>
      <c r="O8255" s="14">
        <v>6400</v>
      </c>
      <c r="P8255" s="14">
        <v>98.33</v>
      </c>
      <c r="Q8255" s="14">
        <v>106.88</v>
      </c>
      <c r="R8255" s="14">
        <v>113.29</v>
      </c>
      <c r="S8255" s="2" t="s">
        <v>5513</v>
      </c>
      <c r="T8255" s="2">
        <v>1.01</v>
      </c>
      <c r="U8255" s="2">
        <v>68.2</v>
      </c>
      <c r="V8255" s="2">
        <v>62</v>
      </c>
      <c r="W8255" s="2" t="s">
        <v>4336</v>
      </c>
      <c r="X8255" s="2" t="s">
        <v>7670</v>
      </c>
      <c r="Y8255" s="2">
        <v>6784</v>
      </c>
      <c r="Z8255" s="19" t="str">
        <f>HYPERLINK("https://ssdweb.co/ssdweb/hd/Vision360.html?d=925150166&amp;zoomslide=1&amp;z=1925150166&amp;ISCONFIRM=0","VIDEO")</f>
        <v>VIDEO</v>
      </c>
      <c r="AA8255" s="19" t="str">
        <f>HYPERLINK("https://ssdweb.co/ssdweb/CERTH/619424146.pdf","CERTI")</f>
        <v>CERTI</v>
      </c>
    </row>
    <row r="8256" spans="1:27" ht="15" x14ac:dyDescent="0.25">
      <c r="A8256" s="2">
        <v>8251</v>
      </c>
      <c r="B8256" s="39">
        <v>925080617</v>
      </c>
      <c r="C8256" s="28" t="str">
        <f>HYPERLINK("https://pld.live/RapDetail.aspx?STONELIST=925080617","DNA")</f>
        <v>DNA</v>
      </c>
      <c r="D8256" s="18" t="s">
        <v>3054</v>
      </c>
      <c r="E8256" s="18" t="s">
        <v>5128</v>
      </c>
      <c r="F8256" s="2" t="s">
        <v>7987</v>
      </c>
      <c r="G8256" s="2" t="s">
        <v>2048</v>
      </c>
      <c r="H8256" s="14">
        <v>1.05</v>
      </c>
      <c r="I8256" s="2" t="s">
        <v>267</v>
      </c>
      <c r="J8256" s="2" t="s">
        <v>13</v>
      </c>
      <c r="K8256" s="2" t="s">
        <v>1452</v>
      </c>
      <c r="L8256" s="2" t="s">
        <v>5221</v>
      </c>
      <c r="M8256" s="2" t="s">
        <v>5221</v>
      </c>
      <c r="N8256" s="2" t="s">
        <v>2317</v>
      </c>
      <c r="O8256" s="14">
        <v>6700</v>
      </c>
      <c r="P8256" s="14">
        <v>98.36</v>
      </c>
      <c r="Q8256" s="14">
        <v>109.88</v>
      </c>
      <c r="R8256" s="14">
        <v>115.37</v>
      </c>
      <c r="S8256" s="2" t="s">
        <v>3780</v>
      </c>
      <c r="T8256" s="2">
        <v>1.03</v>
      </c>
      <c r="U8256" s="2">
        <v>67.599999999999994</v>
      </c>
      <c r="V8256" s="2">
        <v>59</v>
      </c>
      <c r="W8256" s="2" t="s">
        <v>7862</v>
      </c>
      <c r="X8256" s="2" t="s">
        <v>7670</v>
      </c>
      <c r="Y8256" s="2">
        <v>7035</v>
      </c>
      <c r="Z8256" s="19" t="str">
        <f>HYPERLINK("https://ssdweb.co/ssdweb/hd/Vision360.html?d=925080617&amp;zoomslide=1&amp;z=1925080617&amp;ISCONFIRM=0","VIDEO")</f>
        <v>VIDEO</v>
      </c>
      <c r="AA8256" s="19" t="str">
        <f>HYPERLINK("https://ssdweb.co/ssdweb/CERTH/619427276.pdf","CERTI")</f>
        <v>CERTI</v>
      </c>
    </row>
    <row r="8257" spans="1:27" ht="15" x14ac:dyDescent="0.25">
      <c r="A8257" s="2">
        <v>8252</v>
      </c>
      <c r="B8257" s="39">
        <v>924900118</v>
      </c>
      <c r="C8257" s="28" t="str">
        <f>HYPERLINK("https://pld.live/RapDetail.aspx?STONELIST=924900118","DNA")</f>
        <v>DNA</v>
      </c>
      <c r="D8257" s="18" t="s">
        <v>3054</v>
      </c>
      <c r="E8257" s="18" t="s">
        <v>5128</v>
      </c>
      <c r="F8257" s="2" t="s">
        <v>5597</v>
      </c>
      <c r="G8257" s="2" t="s">
        <v>2048</v>
      </c>
      <c r="H8257" s="14">
        <v>1.05</v>
      </c>
      <c r="I8257" s="2" t="s">
        <v>267</v>
      </c>
      <c r="J8257" s="2" t="s">
        <v>5144</v>
      </c>
      <c r="K8257" s="2" t="s">
        <v>1452</v>
      </c>
      <c r="L8257" s="2" t="s">
        <v>5221</v>
      </c>
      <c r="M8257" s="2" t="s">
        <v>5721</v>
      </c>
      <c r="N8257" s="2" t="s">
        <v>2317</v>
      </c>
      <c r="O8257" s="14">
        <v>5700</v>
      </c>
      <c r="P8257" s="14">
        <v>97.02</v>
      </c>
      <c r="Q8257" s="14">
        <v>169.86</v>
      </c>
      <c r="R8257" s="14">
        <v>178.35</v>
      </c>
      <c r="S8257" s="2" t="s">
        <v>1037</v>
      </c>
      <c r="T8257" s="2">
        <v>1.03</v>
      </c>
      <c r="U8257" s="2">
        <v>67.5</v>
      </c>
      <c r="V8257" s="2">
        <v>60</v>
      </c>
      <c r="W8257" s="2" t="s">
        <v>7862</v>
      </c>
      <c r="X8257" s="2" t="s">
        <v>7053</v>
      </c>
      <c r="Y8257" s="2">
        <v>5985</v>
      </c>
      <c r="Z8257" s="19" t="str">
        <f>HYPERLINK("https://ssdweb.co/ssdweb/hd/Vision360.html?d=924900118&amp;zoomslide=1&amp;z=1924900118&amp;ISCONFIRM=0","VIDEO")</f>
        <v>VIDEO</v>
      </c>
      <c r="AA8257" s="19" t="str">
        <f>HYPERLINK("https://ssdweb.co/ssdweb/CERTH/5473783963.pdf","CERTI")</f>
        <v>CERTI</v>
      </c>
    </row>
    <row r="8258" spans="1:27" ht="15" x14ac:dyDescent="0.25">
      <c r="A8258" s="2">
        <v>8253</v>
      </c>
      <c r="B8258" s="39">
        <v>926311382</v>
      </c>
      <c r="C8258" s="28" t="str">
        <f>HYPERLINK("https://pld.live/RapDetail.aspx?STONELIST=926311382","DNA")</f>
        <v>DNA</v>
      </c>
      <c r="D8258" s="18" t="s">
        <v>3054</v>
      </c>
      <c r="E8258" s="18" t="s">
        <v>5128</v>
      </c>
      <c r="F8258" s="2" t="s">
        <v>7987</v>
      </c>
      <c r="G8258" s="2" t="s">
        <v>2048</v>
      </c>
      <c r="H8258" s="14">
        <v>1.04</v>
      </c>
      <c r="I8258" s="2" t="s">
        <v>267</v>
      </c>
      <c r="J8258" s="2" t="s">
        <v>13</v>
      </c>
      <c r="K8258" s="2" t="s">
        <v>1452</v>
      </c>
      <c r="L8258" s="2" t="s">
        <v>5221</v>
      </c>
      <c r="M8258" s="2" t="s">
        <v>5221</v>
      </c>
      <c r="N8258" s="2" t="s">
        <v>2317</v>
      </c>
      <c r="O8258" s="14">
        <v>6700</v>
      </c>
      <c r="P8258" s="14">
        <v>98.33</v>
      </c>
      <c r="Q8258" s="14">
        <v>111.89</v>
      </c>
      <c r="R8258" s="14">
        <v>116.37</v>
      </c>
      <c r="S8258" s="2" t="s">
        <v>7990</v>
      </c>
      <c r="T8258" s="2">
        <v>1.03</v>
      </c>
      <c r="U8258" s="2">
        <v>67.2</v>
      </c>
      <c r="V8258" s="2">
        <v>62</v>
      </c>
      <c r="W8258" s="2" t="s">
        <v>7862</v>
      </c>
      <c r="X8258" s="2" t="s">
        <v>7670</v>
      </c>
      <c r="Y8258" s="2">
        <v>6968</v>
      </c>
      <c r="Z8258" s="19" t="str">
        <f>HYPERLINK("https://ssdweb.co/ssdweb/hd/Vision360.html?d=926311382&amp;zoomslide=1&amp;z=1926311382&amp;ISCONFIRM=0","VIDEO")</f>
        <v>VIDEO</v>
      </c>
      <c r="AA8258" s="19" t="str">
        <f>HYPERLINK("https://ssdweb.co/ssdweb/CERTH/644472497.pdf","CERTI")</f>
        <v>CERTI</v>
      </c>
    </row>
    <row r="8259" spans="1:27" ht="15" x14ac:dyDescent="0.25">
      <c r="A8259" s="2">
        <v>8254</v>
      </c>
      <c r="B8259" s="39">
        <v>925140346</v>
      </c>
      <c r="C8259" s="28" t="str">
        <f>HYPERLINK("https://pld.live/RapDetail.aspx?STONELIST=925140346","DNA")</f>
        <v>DNA</v>
      </c>
      <c r="D8259" s="18" t="s">
        <v>3054</v>
      </c>
      <c r="E8259" s="18" t="s">
        <v>5128</v>
      </c>
      <c r="F8259" s="2" t="s">
        <v>7987</v>
      </c>
      <c r="G8259" s="2" t="s">
        <v>2048</v>
      </c>
      <c r="H8259" s="14">
        <v>1.02</v>
      </c>
      <c r="I8259" s="2" t="s">
        <v>4761</v>
      </c>
      <c r="J8259" s="2" t="s">
        <v>3942</v>
      </c>
      <c r="K8259" s="2" t="s">
        <v>1452</v>
      </c>
      <c r="L8259" s="2" t="s">
        <v>5221</v>
      </c>
      <c r="M8259" s="2" t="s">
        <v>5221</v>
      </c>
      <c r="N8259" s="2" t="s">
        <v>2317</v>
      </c>
      <c r="O8259" s="14">
        <v>6900</v>
      </c>
      <c r="P8259" s="14">
        <v>98.42</v>
      </c>
      <c r="Q8259" s="14">
        <v>109.02</v>
      </c>
      <c r="R8259" s="14">
        <v>111.2</v>
      </c>
      <c r="S8259" s="2" t="s">
        <v>3959</v>
      </c>
      <c r="T8259" s="2">
        <v>1.02</v>
      </c>
      <c r="U8259" s="2">
        <v>67.5</v>
      </c>
      <c r="V8259" s="2">
        <v>61</v>
      </c>
      <c r="W8259" s="2" t="s">
        <v>7862</v>
      </c>
      <c r="X8259" s="2" t="s">
        <v>7670</v>
      </c>
      <c r="Y8259" s="2">
        <v>7038</v>
      </c>
      <c r="Z8259" s="19" t="str">
        <f>HYPERLINK("https://ssdweb.co/ssdweb/hd/Vision360.html?d=925140346&amp;zoomslide=1&amp;z=1925140346&amp;ISCONFIRM=0","VIDEO")</f>
        <v>VIDEO</v>
      </c>
      <c r="AA8259" s="19" t="str">
        <f>HYPERLINK("https://ssdweb.co/ssdweb/CERTH/619427281.pdf","CERTI")</f>
        <v>CERTI</v>
      </c>
    </row>
    <row r="8260" spans="1:27" ht="15" x14ac:dyDescent="0.25">
      <c r="A8260" s="2">
        <v>8255</v>
      </c>
      <c r="B8260" s="39">
        <v>926250071</v>
      </c>
      <c r="C8260" s="28" t="str">
        <f>HYPERLINK("https://pld.live/RapDetail.aspx?STONELIST=926250071","DNA")</f>
        <v>DNA</v>
      </c>
      <c r="D8260" s="18" t="s">
        <v>3054</v>
      </c>
      <c r="E8260" s="18" t="s">
        <v>5128</v>
      </c>
      <c r="F8260" s="2" t="s">
        <v>7987</v>
      </c>
      <c r="G8260" s="2" t="s">
        <v>2048</v>
      </c>
      <c r="H8260" s="14">
        <v>1.02</v>
      </c>
      <c r="I8260" s="2" t="s">
        <v>4761</v>
      </c>
      <c r="J8260" s="2" t="s">
        <v>13</v>
      </c>
      <c r="K8260" s="2" t="s">
        <v>1452</v>
      </c>
      <c r="L8260" s="2" t="s">
        <v>5221</v>
      </c>
      <c r="M8260" s="2" t="s">
        <v>5221</v>
      </c>
      <c r="N8260" s="2" t="s">
        <v>2317</v>
      </c>
      <c r="O8260" s="14">
        <v>6200</v>
      </c>
      <c r="P8260" s="14">
        <v>98.24</v>
      </c>
      <c r="Q8260" s="14">
        <v>109.12</v>
      </c>
      <c r="R8260" s="14">
        <v>111.3</v>
      </c>
      <c r="S8260" s="2" t="s">
        <v>7308</v>
      </c>
      <c r="T8260" s="2">
        <v>1.03</v>
      </c>
      <c r="U8260" s="2">
        <v>68.400000000000006</v>
      </c>
      <c r="V8260" s="2">
        <v>62</v>
      </c>
      <c r="W8260" s="2" t="s">
        <v>7862</v>
      </c>
      <c r="X8260" s="2" t="s">
        <v>7670</v>
      </c>
      <c r="Y8260" s="2">
        <v>6324</v>
      </c>
      <c r="Z8260" s="19" t="str">
        <f>HYPERLINK("https://ssdweb.co/ssdweb/hd/Vision360.html?d=926250071&amp;zoomslide=1&amp;z=1926250071&amp;ISCONFIRM=0","VIDEO")</f>
        <v>VIDEO</v>
      </c>
      <c r="AA8260" s="19" t="str">
        <f>HYPERLINK("https://ssdweb.co/ssdweb/CERTH/635423972.pdf","CERTI")</f>
        <v>CERTI</v>
      </c>
    </row>
    <row r="8261" spans="1:27" ht="15" x14ac:dyDescent="0.25">
      <c r="A8261" s="2">
        <v>8256</v>
      </c>
      <c r="B8261" s="39">
        <v>925080630</v>
      </c>
      <c r="C8261" s="28" t="str">
        <f>HYPERLINK("https://pld.live/RapDetail.aspx?STONELIST=925080630","DNA")</f>
        <v>DNA</v>
      </c>
      <c r="D8261" s="18" t="s">
        <v>3054</v>
      </c>
      <c r="E8261" s="18" t="s">
        <v>5128</v>
      </c>
      <c r="F8261" s="2" t="s">
        <v>7987</v>
      </c>
      <c r="G8261" s="2" t="s">
        <v>2048</v>
      </c>
      <c r="H8261" s="14">
        <v>1.02</v>
      </c>
      <c r="I8261" s="2" t="s">
        <v>4761</v>
      </c>
      <c r="J8261" s="2" t="s">
        <v>13</v>
      </c>
      <c r="K8261" s="2" t="s">
        <v>1452</v>
      </c>
      <c r="L8261" s="2" t="s">
        <v>5221</v>
      </c>
      <c r="M8261" s="2" t="s">
        <v>5221</v>
      </c>
      <c r="N8261" s="2" t="s">
        <v>2317</v>
      </c>
      <c r="O8261" s="14">
        <v>6200</v>
      </c>
      <c r="P8261" s="14">
        <v>98.27</v>
      </c>
      <c r="Q8261" s="14">
        <v>107.26</v>
      </c>
      <c r="R8261" s="14">
        <v>109.41</v>
      </c>
      <c r="S8261" s="2" t="s">
        <v>122</v>
      </c>
      <c r="T8261" s="2">
        <v>1.02</v>
      </c>
      <c r="U8261" s="2">
        <v>67.099999999999994</v>
      </c>
      <c r="V8261" s="2">
        <v>59</v>
      </c>
      <c r="W8261" s="2" t="s">
        <v>7862</v>
      </c>
      <c r="X8261" s="2" t="s">
        <v>7670</v>
      </c>
      <c r="Y8261" s="2">
        <v>6324</v>
      </c>
      <c r="Z8261" s="19" t="str">
        <f>HYPERLINK("https://ssdweb.co/ssdweb/hd/Vision360.html?d=925080630&amp;zoomslide=1&amp;z=1925080630&amp;ISCONFIRM=0","VIDEO")</f>
        <v>VIDEO</v>
      </c>
      <c r="AA8261" s="19" t="str">
        <f>HYPERLINK("https://ssdweb.co/ssdweb/CERTH/620469767.pdf","CERTI")</f>
        <v>CERTI</v>
      </c>
    </row>
    <row r="8262" spans="1:27" ht="15" x14ac:dyDescent="0.25">
      <c r="A8262" s="2">
        <v>8257</v>
      </c>
      <c r="B8262" s="39">
        <v>926111027</v>
      </c>
      <c r="C8262" s="28" t="str">
        <f>HYPERLINK("https://pld.live/RapDetail.aspx?STONELIST=926111027","DNA")</f>
        <v>DNA</v>
      </c>
      <c r="D8262" s="18" t="s">
        <v>3054</v>
      </c>
      <c r="E8262" s="18" t="s">
        <v>5128</v>
      </c>
      <c r="F8262" s="2" t="s">
        <v>7987</v>
      </c>
      <c r="G8262" s="2" t="s">
        <v>2048</v>
      </c>
      <c r="H8262" s="14">
        <v>1.01</v>
      </c>
      <c r="I8262" s="2" t="s">
        <v>4761</v>
      </c>
      <c r="J8262" s="2" t="s">
        <v>6555</v>
      </c>
      <c r="K8262" s="2" t="s">
        <v>1452</v>
      </c>
      <c r="L8262" s="2" t="s">
        <v>5221</v>
      </c>
      <c r="M8262" s="2" t="s">
        <v>5221</v>
      </c>
      <c r="N8262" s="2" t="s">
        <v>2317</v>
      </c>
      <c r="O8262" s="14">
        <v>7500</v>
      </c>
      <c r="P8262" s="14">
        <v>98.08</v>
      </c>
      <c r="Q8262" s="14">
        <v>144</v>
      </c>
      <c r="R8262" s="14">
        <v>145.44</v>
      </c>
      <c r="S8262" s="2" t="s">
        <v>5709</v>
      </c>
      <c r="T8262" s="2">
        <v>1.01</v>
      </c>
      <c r="U8262" s="2">
        <v>66.8</v>
      </c>
      <c r="V8262" s="2">
        <v>61</v>
      </c>
      <c r="W8262" s="2" t="s">
        <v>7862</v>
      </c>
      <c r="X8262" s="2" t="s">
        <v>7670</v>
      </c>
      <c r="Y8262" s="2">
        <v>7575</v>
      </c>
      <c r="Z8262" s="19" t="str">
        <f>HYPERLINK("https://ssdweb.co/ssdweb/hd/Vision360.html?d=926111027&amp;zoomslide=1&amp;z=1926111027&amp;ISCONFIRM=0","VIDEO")</f>
        <v>VIDEO</v>
      </c>
      <c r="AA8262" s="19" t="str">
        <f>HYPERLINK("https://ssdweb.co/ssdweb/CERTH/632449582.pdf","CERTI")</f>
        <v>CERTI</v>
      </c>
    </row>
    <row r="8263" spans="1:27" ht="15" x14ac:dyDescent="0.25">
      <c r="A8263" s="2">
        <v>8258</v>
      </c>
      <c r="B8263" s="39">
        <v>926291367</v>
      </c>
      <c r="C8263" s="28" t="str">
        <f>HYPERLINK("https://pld.live/RapDetail.aspx?STONELIST=926291367","DNA")</f>
        <v>DNA</v>
      </c>
      <c r="D8263" s="18" t="s">
        <v>3054</v>
      </c>
      <c r="E8263" s="18" t="s">
        <v>5128</v>
      </c>
      <c r="F8263" s="2" t="s">
        <v>7987</v>
      </c>
      <c r="G8263" s="2" t="s">
        <v>2048</v>
      </c>
      <c r="H8263" s="14">
        <v>1.01</v>
      </c>
      <c r="I8263" s="2" t="s">
        <v>4761</v>
      </c>
      <c r="J8263" s="2" t="s">
        <v>13</v>
      </c>
      <c r="K8263" s="2" t="s">
        <v>1452</v>
      </c>
      <c r="L8263" s="2" t="s">
        <v>5221</v>
      </c>
      <c r="M8263" s="2" t="s">
        <v>5221</v>
      </c>
      <c r="N8263" s="2" t="s">
        <v>2317</v>
      </c>
      <c r="O8263" s="14">
        <v>6200</v>
      </c>
      <c r="P8263" s="14">
        <v>98.24</v>
      </c>
      <c r="Q8263" s="14">
        <v>109.12</v>
      </c>
      <c r="R8263" s="14">
        <v>110.21</v>
      </c>
      <c r="S8263" s="2" t="s">
        <v>836</v>
      </c>
      <c r="T8263" s="2">
        <v>1.03</v>
      </c>
      <c r="U8263" s="2">
        <v>66.099999999999994</v>
      </c>
      <c r="V8263" s="2">
        <v>61</v>
      </c>
      <c r="W8263" s="2" t="s">
        <v>7862</v>
      </c>
      <c r="X8263" s="2" t="s">
        <v>7670</v>
      </c>
      <c r="Y8263" s="2">
        <v>6262</v>
      </c>
      <c r="Z8263" s="19" t="str">
        <f>HYPERLINK("https://ssdweb.co/ssdweb/hd/Vision360.html?d=926291367&amp;zoomslide=1&amp;z=1926291367&amp;ISCONFIRM=0","VIDEO")</f>
        <v>VIDEO</v>
      </c>
      <c r="AA8263" s="19" t="str">
        <f>HYPERLINK("https://ssdweb.co/ssdweb/CERTH/639406114.pdf","CERTI")</f>
        <v>CERTI</v>
      </c>
    </row>
    <row r="8264" spans="1:27" ht="15" x14ac:dyDescent="0.25">
      <c r="A8264" s="2">
        <v>8259</v>
      </c>
      <c r="B8264" s="39">
        <v>831010766</v>
      </c>
      <c r="C8264" s="28" t="str">
        <f>HYPERLINK("https://pld.live/RapDetail.aspx?STONELIST=831010766","DNA")</f>
        <v>DNA</v>
      </c>
      <c r="D8264" s="18" t="s">
        <v>3054</v>
      </c>
      <c r="E8264" s="18" t="s">
        <v>5128</v>
      </c>
      <c r="F8264" s="2" t="s">
        <v>7987</v>
      </c>
      <c r="G8264" s="2" t="s">
        <v>2048</v>
      </c>
      <c r="H8264" s="14">
        <v>1.01</v>
      </c>
      <c r="I8264" s="2" t="s">
        <v>4761</v>
      </c>
      <c r="J8264" s="2" t="s">
        <v>5144</v>
      </c>
      <c r="K8264" s="2" t="s">
        <v>1452</v>
      </c>
      <c r="L8264" s="2" t="s">
        <v>5221</v>
      </c>
      <c r="M8264" s="2" t="s">
        <v>5221</v>
      </c>
      <c r="N8264" s="2" t="s">
        <v>2317</v>
      </c>
      <c r="O8264" s="14">
        <v>5400</v>
      </c>
      <c r="P8264" s="14">
        <v>98.04</v>
      </c>
      <c r="Q8264" s="14">
        <v>105.84</v>
      </c>
      <c r="R8264" s="14">
        <v>106.9</v>
      </c>
      <c r="S8264" s="2" t="s">
        <v>3589</v>
      </c>
      <c r="T8264" s="2">
        <v>1.04</v>
      </c>
      <c r="U8264" s="2">
        <v>65.599999999999994</v>
      </c>
      <c r="V8264" s="2">
        <v>60</v>
      </c>
      <c r="W8264" s="2" t="s">
        <v>7862</v>
      </c>
      <c r="X8264" s="2" t="s">
        <v>7670</v>
      </c>
      <c r="Y8264" s="2">
        <v>5454</v>
      </c>
      <c r="Z8264" s="19" t="str">
        <f>HYPERLINK("https://ssdweb.co/ssdweb/hd/Vision360.html?d=831010766&amp;zoomslide=1&amp;z=1831010766&amp;ISCONFIRM=0","VIDEO")</f>
        <v>VIDEO</v>
      </c>
      <c r="AA8264" s="19" t="str">
        <f>HYPERLINK("https://ssdweb.co/ssdweb/CERTH/639406103.pdf","CERTI")</f>
        <v>CERTI</v>
      </c>
    </row>
    <row r="8265" spans="1:27" ht="15" x14ac:dyDescent="0.25">
      <c r="A8265" s="2">
        <v>8260</v>
      </c>
      <c r="B8265" s="39">
        <v>925030454</v>
      </c>
      <c r="C8265" s="28" t="str">
        <f>HYPERLINK("https://pld.live/RapDetail.aspx?STONELIST=925030454","DNA")</f>
        <v>DNA</v>
      </c>
      <c r="D8265" s="18" t="s">
        <v>3054</v>
      </c>
      <c r="E8265" s="18" t="s">
        <v>5128</v>
      </c>
      <c r="F8265" s="2" t="s">
        <v>7987</v>
      </c>
      <c r="G8265" s="2" t="s">
        <v>2048</v>
      </c>
      <c r="H8265" s="14">
        <v>1</v>
      </c>
      <c r="I8265" s="2" t="s">
        <v>267</v>
      </c>
      <c r="J8265" s="2" t="s">
        <v>13</v>
      </c>
      <c r="K8265" s="2" t="s">
        <v>1452</v>
      </c>
      <c r="L8265" s="2" t="s">
        <v>5221</v>
      </c>
      <c r="M8265" s="2" t="s">
        <v>5221</v>
      </c>
      <c r="N8265" s="2" t="s">
        <v>2317</v>
      </c>
      <c r="O8265" s="14">
        <v>6700</v>
      </c>
      <c r="P8265" s="14">
        <v>98.36</v>
      </c>
      <c r="Q8265" s="14">
        <v>109.88</v>
      </c>
      <c r="R8265" s="14">
        <v>109.88</v>
      </c>
      <c r="S8265" s="2" t="s">
        <v>2706</v>
      </c>
      <c r="T8265" s="2">
        <v>1.03</v>
      </c>
      <c r="U8265" s="2">
        <v>66.599999999999994</v>
      </c>
      <c r="V8265" s="2">
        <v>61</v>
      </c>
      <c r="W8265" s="2" t="s">
        <v>7862</v>
      </c>
      <c r="X8265" s="2" t="s">
        <v>7670</v>
      </c>
      <c r="Y8265" s="2">
        <v>6700</v>
      </c>
      <c r="Z8265" s="19" t="str">
        <f>HYPERLINK("https://ssdweb.co/ssdweb/hd/Vision360.html?d=925030454&amp;zoomslide=1&amp;z=1925030454&amp;ISCONFIRM=0","VIDEO")</f>
        <v>VIDEO</v>
      </c>
      <c r="AA8265" s="19" t="str">
        <f>HYPERLINK("https://ssdweb.co/ssdweb/CERTH/619453356.pdf","CERTI")</f>
        <v>CERTI</v>
      </c>
    </row>
    <row r="8266" spans="1:27" ht="15" x14ac:dyDescent="0.25">
      <c r="A8266" s="2">
        <v>8261</v>
      </c>
      <c r="B8266" s="39">
        <v>925080620</v>
      </c>
      <c r="C8266" s="28" t="str">
        <f>HYPERLINK("https://pld.live/RapDetail.aspx?STONELIST=925080620","DNA")</f>
        <v>DNA</v>
      </c>
      <c r="D8266" s="18" t="s">
        <v>3054</v>
      </c>
      <c r="E8266" s="18" t="s">
        <v>5128</v>
      </c>
      <c r="F8266" s="2" t="s">
        <v>7987</v>
      </c>
      <c r="G8266" s="2" t="s">
        <v>2048</v>
      </c>
      <c r="H8266" s="14">
        <v>1</v>
      </c>
      <c r="I8266" s="2" t="s">
        <v>267</v>
      </c>
      <c r="J8266" s="2" t="s">
        <v>13</v>
      </c>
      <c r="K8266" s="2" t="s">
        <v>1452</v>
      </c>
      <c r="L8266" s="2" t="s">
        <v>5221</v>
      </c>
      <c r="M8266" s="2" t="s">
        <v>5221</v>
      </c>
      <c r="N8266" s="2" t="s">
        <v>2317</v>
      </c>
      <c r="O8266" s="14">
        <v>6700</v>
      </c>
      <c r="P8266" s="14">
        <v>98.36</v>
      </c>
      <c r="Q8266" s="14">
        <v>109.88</v>
      </c>
      <c r="R8266" s="14">
        <v>109.88</v>
      </c>
      <c r="S8266" s="2" t="s">
        <v>5994</v>
      </c>
      <c r="T8266" s="2">
        <v>1.04</v>
      </c>
      <c r="U8266" s="2">
        <v>65.3</v>
      </c>
      <c r="V8266" s="2">
        <v>59</v>
      </c>
      <c r="W8266" s="2" t="s">
        <v>7862</v>
      </c>
      <c r="X8266" s="2" t="s">
        <v>7670</v>
      </c>
      <c r="Y8266" s="2">
        <v>6700</v>
      </c>
      <c r="Z8266" s="19" t="str">
        <f>HYPERLINK("https://ssdweb.co/ssdweb/hd/Vision360.html?d=925080620&amp;zoomslide=1&amp;z=1925080620&amp;ISCONFIRM=0","VIDEO")</f>
        <v>VIDEO</v>
      </c>
      <c r="AA8266" s="19" t="str">
        <f>HYPERLINK("https://ssdweb.co/ssdweb/CERTH/619453359.pdf","CERTI")</f>
        <v>CERTI</v>
      </c>
    </row>
  </sheetData>
  <autoFilter ref="A5:AA8266" xr:uid="{00000000-0001-0000-0000-000000000000}"/>
  <mergeCells count="4">
    <mergeCell ref="Q1:R1"/>
    <mergeCell ref="O1:P1"/>
    <mergeCell ref="M1:N1"/>
    <mergeCell ref="A1:C4"/>
  </mergeCells>
  <hyperlinks>
    <hyperlink ref="C6" r:id="rId1" display="https://pld.live/RapDetail.aspx?STONELIST=926780058&amp;ISCONFIRM=0" xr:uid="{326DB079-2F7F-4CA5-8280-B04031E031E6}"/>
    <hyperlink ref="C7" r:id="rId2" display="https://pld.live/RapDetail.aspx?STONELIST=924360019&amp;ISCONFIRM=0" xr:uid="{C03180B8-5BAC-42D9-9EA1-DC13317BA000}"/>
    <hyperlink ref="C8" r:id="rId3" display="https://pld.live/RapDetail.aspx?STONELIST=923910006&amp;ISCONFIRM=0" xr:uid="{89ACE43A-3DC6-4510-A2A1-B51A2F86CBF5}"/>
    <hyperlink ref="C9" r:id="rId4" display="https://pld.live/RapDetail.aspx?STONELIST=923830001&amp;ISCONFIRM=0" xr:uid="{5D096897-6D99-4424-97B2-771C26C2DBE7}"/>
    <hyperlink ref="C10" r:id="rId5" display="https://pld.live/RapDetail.aspx?STONELIST=923830005&amp;ISCONFIRM=0" xr:uid="{69A77678-1F60-499F-B735-D3356F0BAA17}"/>
    <hyperlink ref="C11" r:id="rId6" display="https://pld.live/RapDetail.aspx?STONELIST=924500061&amp;ISCONFIRM=0" xr:uid="{9D254285-F44A-4F00-BAF2-3A5D7D2B3819}"/>
    <hyperlink ref="C12" r:id="rId7" display="https://pld.live/RapDetail.aspx?STONELIST=831020742&amp;ISCONFIRM=0" xr:uid="{AEE21095-6B52-4014-A504-A7E47BB93B9D}"/>
    <hyperlink ref="C13" r:id="rId8" display="https://pld.live/RapDetail.aspx?STONELIST=924530001&amp;ISCONFIRM=0" xr:uid="{132BBD99-622F-4235-8262-32B15D765163}"/>
    <hyperlink ref="C14" r:id="rId9" display="https://pld.live/RapDetail.aspx?STONELIST=927120014&amp;ISCONFIRM=0" xr:uid="{EF118C6E-BE78-420E-836F-435DDBFB9371}"/>
    <hyperlink ref="C15" r:id="rId10" display="https://pld.live/RapDetail.aspx?STONELIST=831020425&amp;ISCONFIRM=0" xr:uid="{2F1C3006-5E92-4556-BA67-E106018BC5C6}"/>
    <hyperlink ref="C16" r:id="rId11" display="https://pld.live/RapDetail.aspx?STONELIST=925400033&amp;ISCONFIRM=0" xr:uid="{320DA46E-CA90-471A-BEA0-0FCE09574E71}"/>
    <hyperlink ref="C17" r:id="rId12" display="https://pld.live/RapDetail.aspx?STONELIST=924500010&amp;ISCONFIRM=0" xr:uid="{8CAF1806-8565-4524-A7AC-CB4B5D0E773A}"/>
    <hyperlink ref="C18" r:id="rId13" display="https://pld.live/RapDetail.aspx?STONELIST=924530061&amp;ISCONFIRM=0" xr:uid="{243D7936-C830-4C6E-9972-5FFE19BDDE53}"/>
    <hyperlink ref="C19" r:id="rId14" display="https://pld.live/RapDetail.aspx?STONELIST=925400022&amp;ISCONFIRM=0" xr:uid="{846B6E73-08BB-4D53-934C-5D3FE53160CE}"/>
    <hyperlink ref="C20" r:id="rId15" display="https://pld.live/RapDetail.aspx?STONELIST=831020673&amp;ISCONFIRM=0" xr:uid="{159F5A6D-1B7F-4A03-93DA-7CB2279E9EE5}"/>
    <hyperlink ref="C21" r:id="rId16" display="https://pld.live/RapDetail.aspx?STONELIST=941330505&amp;ISCONFIRM=0" xr:uid="{4F915C29-A6CD-4790-80A9-74A8003DF3E6}"/>
    <hyperlink ref="C22" r:id="rId17" display="https://pld.live/RapDetail.aspx?STONELIST=941330479&amp;ISCONFIRM=0" xr:uid="{B981B344-4CDE-4A94-A788-0AFB177DC9BE}"/>
    <hyperlink ref="C23" r:id="rId18" display="https://pld.live/RapDetail.aspx?STONELIST=941330348&amp;ISCONFIRM=0" xr:uid="{6B791BFF-0407-4E79-96D2-B1BE9F3E98E2}"/>
    <hyperlink ref="C24" r:id="rId19" display="https://pld.live/RapDetail.aspx?STONELIST=941330349&amp;ISCONFIRM=0" xr:uid="{7D0BF774-FBC9-4E05-910E-5D5EE15778A8}"/>
    <hyperlink ref="C25" r:id="rId20" display="https://pld.live/RapDetail.aspx?STONELIST=941330408&amp;ISCONFIRM=0" xr:uid="{71868CED-B980-4872-B2D2-5DE0E7A4C099}"/>
    <hyperlink ref="C26" r:id="rId21" display="https://pld.live/RapDetail.aspx?STONELIST=926410456&amp;ISCONFIRM=0" xr:uid="{58499D2F-14A1-4054-80A5-E9729EA5244A}"/>
    <hyperlink ref="C27" r:id="rId22" display="https://pld.live/RapDetail.aspx?STONELIST=9413800531&amp;ISCONFIRM=0" xr:uid="{447CC416-B19C-4AB3-B4CA-D5BBDDE4B88E}"/>
    <hyperlink ref="C28" r:id="rId23" display="https://pld.live/RapDetail.aspx?STONELIST=941330542&amp;ISCONFIRM=0" xr:uid="{68A3E544-89C2-4F31-8003-12C9B219C04D}"/>
    <hyperlink ref="C29" r:id="rId24" display="https://pld.live/RapDetail.aspx?STONELIST=941330537&amp;ISCONFIRM=0" xr:uid="{D3019DCE-1EFF-42B3-A505-F8C0BAC18547}"/>
    <hyperlink ref="C30" r:id="rId25" display="https://pld.live/RapDetail.aspx?STONELIST=941330531&amp;ISCONFIRM=0" xr:uid="{4A1B2E97-E15F-4585-B818-1208CA8CBBC3}"/>
    <hyperlink ref="C31" r:id="rId26" display="https://pld.live/RapDetail.aspx?STONELIST=941330308&amp;ISCONFIRM=0" xr:uid="{A40F48C6-0454-40A2-8776-A7D587BC6BB3}"/>
    <hyperlink ref="C32" r:id="rId27" display="https://pld.live/RapDetail.aspx?STONELIST=941330337&amp;ISCONFIRM=0" xr:uid="{11D1D130-A629-4F44-8578-CCB22EC871EF}"/>
    <hyperlink ref="C33" r:id="rId28" display="https://pld.live/RapDetail.aspx?STONELIST=941330381&amp;ISCONFIRM=0" xr:uid="{C55ACCD9-1D46-4F11-9A19-A16A0CBBCAEC}"/>
    <hyperlink ref="C34" r:id="rId29" display="https://pld.live/RapDetail.aspx?STONELIST=941330378&amp;ISCONFIRM=0" xr:uid="{617D6363-4CEE-4FA9-A779-D231AAD63D4F}"/>
    <hyperlink ref="C35" r:id="rId30" display="https://pld.live/RapDetail.aspx?STONELIST=941330483&amp;ISCONFIRM=0" xr:uid="{DA8D0862-5E7C-4B3C-AF83-2B2C41F2B429}"/>
    <hyperlink ref="C36" r:id="rId31" display="https://pld.live/RapDetail.aspx?STONELIST=941330607&amp;ISCONFIRM=0" xr:uid="{70237AD9-EF20-47DA-B21F-A8314750A9AA}"/>
    <hyperlink ref="C37" r:id="rId32" display="https://pld.live/RapDetail.aspx?STONELIST=941330548&amp;ISCONFIRM=0" xr:uid="{5A3A7BD8-4385-4387-B579-56B71341710D}"/>
    <hyperlink ref="C38" r:id="rId33" display="https://pld.live/RapDetail.aspx?STONELIST=941330527&amp;ISCONFIRM=0" xr:uid="{165E3221-FC38-4765-89B9-A294B1B73C54}"/>
    <hyperlink ref="C39" r:id="rId34" display="https://pld.live/RapDetail.aspx?STONELIST=941330547&amp;ISCONFIRM=0" xr:uid="{66DC5DF1-D3F4-47B0-AF93-AD459523A648}"/>
    <hyperlink ref="C40" r:id="rId35" display="https://pld.live/RapDetail.aspx?STONELIST=941330481&amp;ISCONFIRM=0" xr:uid="{1EC60C6F-A858-4375-A219-E204F441BC6E}"/>
    <hyperlink ref="C41" r:id="rId36" display="https://pld.live/RapDetail.aspx?STONELIST=941330543&amp;ISCONFIRM=0" xr:uid="{6D4337F0-2FCC-4541-8458-0D94E7002817}"/>
    <hyperlink ref="C42" r:id="rId37" display="https://pld.live/RapDetail.aspx?STONELIST=941330528&amp;ISCONFIRM=0" xr:uid="{17E803BE-B927-4FA9-868A-04CF5F86AB48}"/>
    <hyperlink ref="C43" r:id="rId38" display="https://pld.live/RapDetail.aspx?STONELIST=924890011&amp;ISCONFIRM=0" xr:uid="{274D4FDC-0CCC-4C23-9D48-4CBD94147FE3}"/>
    <hyperlink ref="C44" r:id="rId39" display="https://pld.live/RapDetail.aspx?STONELIST=926860088&amp;ISCONFIRM=0" xr:uid="{645A8792-EB11-4012-ABB3-E509F4A667E2}"/>
    <hyperlink ref="C45" r:id="rId40" display="https://pld.live/RapDetail.aspx?STONELIST=926860103&amp;ISCONFIRM=0" xr:uid="{854F8CC5-AD61-40D3-994F-758DF22D1C0F}"/>
    <hyperlink ref="C46" r:id="rId41" display="https://pld.live/RapDetail.aspx?STONELIST=926600049&amp;ISCONFIRM=0" xr:uid="{7E5C762A-8A0F-47DE-8100-9BF16FFC6547}"/>
    <hyperlink ref="C47" r:id="rId42" display="https://pld.live/RapDetail.aspx?STONELIST=941330391&amp;ISCONFIRM=0" xr:uid="{5D433083-8ABF-4F18-8A29-9BFF1CB3EEDD}"/>
    <hyperlink ref="C48" r:id="rId43" display="https://pld.live/RapDetail.aspx?STONELIST=831020576&amp;ISCONFIRM=0" xr:uid="{B1BFC117-0209-407F-AEBD-55BD01451478}"/>
    <hyperlink ref="C49" r:id="rId44" display="https://pld.live/RapDetail.aspx?STONELIST=831020702&amp;ISCONFIRM=0" xr:uid="{B64259DB-F885-4B9D-AC84-93481E314B67}"/>
    <hyperlink ref="C50" r:id="rId45" display="https://pld.live/RapDetail.aspx?STONELIST=922790087&amp;ISCONFIRM=0" xr:uid="{647B934F-8AEC-4F7F-9B1D-DB74456801A8}"/>
    <hyperlink ref="C51" r:id="rId46" display="https://pld.live/RapDetail.aspx?STONELIST=925410037&amp;ISCONFIRM=0" xr:uid="{BD31C7CC-307E-47D8-99AC-768CB490CDFC}"/>
    <hyperlink ref="C52" r:id="rId47" display="https://pld.live/RapDetail.aspx?STONELIST=926010100&amp;ISCONFIRM=0" xr:uid="{9828BE29-C739-4525-82A7-5D8C47DC3B8E}"/>
    <hyperlink ref="C53" r:id="rId48" display="https://pld.live/RapDetail.aspx?STONELIST=831020574&amp;ISCONFIRM=0" xr:uid="{0D53E469-E782-494D-B29D-F1335C81D825}"/>
    <hyperlink ref="C54" r:id="rId49" display="https://pld.live/RapDetail.aspx?STONELIST=926150127&amp;ISCONFIRM=0" xr:uid="{65D874AC-B7B3-4360-948F-D72AFB80870E}"/>
    <hyperlink ref="C55" r:id="rId50" display="https://pld.live/RapDetail.aspx?STONELIST=925710129&amp;ISCONFIRM=0" xr:uid="{77BCB2B8-1051-441C-96E9-C7F278A1E228}"/>
    <hyperlink ref="C56" r:id="rId51" display="https://pld.live/RapDetail.aspx?STONELIST=924510062&amp;ISCONFIRM=0" xr:uid="{5913C80F-D437-44CB-A478-E84261FEBDC5}"/>
    <hyperlink ref="C57" r:id="rId52" display="https://pld.live/RapDetail.aspx?STONELIST=831020741&amp;ISCONFIRM=0" xr:uid="{48D67726-0CE9-4514-8021-0E93EF85E3B4}"/>
    <hyperlink ref="C58" r:id="rId53" display="https://pld.live/RapDetail.aspx?STONELIST=926860074&amp;ISCONFIRM=0" xr:uid="{C1CE45BF-8833-4447-8B5B-8C1AECC9CEF2}"/>
    <hyperlink ref="C59" r:id="rId54" display="https://pld.live/RapDetail.aspx?STONELIST=925410036&amp;ISCONFIRM=0" xr:uid="{11B96F81-F4D4-4A53-A7F3-E1474A219AC7}"/>
    <hyperlink ref="C60" r:id="rId55" display="https://pld.live/RapDetail.aspx?STONELIST=926010169&amp;ISCONFIRM=0" xr:uid="{8EDF0C9E-50D7-4E69-8C0B-B0FA8063BA45}"/>
    <hyperlink ref="C61" r:id="rId56" display="https://pld.live/RapDetail.aspx?STONELIST=926010120&amp;ISCONFIRM=0" xr:uid="{17A8AD6A-F6D9-445E-86E7-A2FCA225E562}"/>
    <hyperlink ref="C62" r:id="rId57" display="https://pld.live/RapDetail.aspx?STONELIST=926150119&amp;ISCONFIRM=0" xr:uid="{71582C46-D2DF-42F8-ADD9-3DCD167C681D}"/>
    <hyperlink ref="C63" r:id="rId58" display="https://pld.live/RapDetail.aspx?STONELIST=925690196&amp;ISCONFIRM=0" xr:uid="{2B43A700-0A54-4D01-9137-70A6368FADF5}"/>
    <hyperlink ref="C64" r:id="rId59" display="https://pld.live/RapDetail.aspx?STONELIST=926860081&amp;ISCONFIRM=0" xr:uid="{4056072E-214A-4AF9-9358-A6164114A00A}"/>
    <hyperlink ref="C65" r:id="rId60" display="https://pld.live/RapDetail.aspx?STONELIST=941390374&amp;ISCONFIRM=0" xr:uid="{527E64C5-3463-4F16-8B95-398E17A696DD}"/>
    <hyperlink ref="C66" r:id="rId61" display="https://pld.live/RapDetail.aspx?STONELIST=941390459&amp;ISCONFIRM=0" xr:uid="{1F3ACB5C-D2E0-4954-B992-17430D74069C}"/>
    <hyperlink ref="C67" r:id="rId62" display="https://pld.live/RapDetail.aspx?STONELIST=941390338&amp;ISCONFIRM=0" xr:uid="{8C6739F9-CCFE-4CE8-A876-634BFDB64328}"/>
    <hyperlink ref="C68" r:id="rId63" display="https://pld.live/RapDetail.aspx?STONELIST=941390330&amp;ISCONFIRM=0" xr:uid="{78942713-E93F-4A45-A3A3-301CCB49008A}"/>
    <hyperlink ref="C69" r:id="rId64" display="https://pld.live/RapDetail.aspx?STONELIST=941390348&amp;ISCONFIRM=0" xr:uid="{D6D44567-526B-4F39-A1B2-3157A5F085D1}"/>
    <hyperlink ref="C70" r:id="rId65" display="https://pld.live/RapDetail.aspx?STONELIST=941390446&amp;ISCONFIRM=0" xr:uid="{3EBEFD5B-BD57-4359-BBDA-2BE564F7575A}"/>
    <hyperlink ref="C71" r:id="rId66" display="https://pld.live/RapDetail.aspx?STONELIST=927110020&amp;ISCONFIRM=0" xr:uid="{1ECDC164-FF66-40C5-B515-C982E0E56DB7}"/>
    <hyperlink ref="C72" r:id="rId67" display="https://pld.live/RapDetail.aspx?STONELIST=926860063&amp;ISCONFIRM=0" xr:uid="{CB35EB94-5AEA-43B8-9895-9A3408D0A1D5}"/>
    <hyperlink ref="C73" r:id="rId68" display="https://pld.live/RapDetail.aspx?STONELIST=821115883&amp;ISCONFIRM=0" xr:uid="{16F01A55-B0BC-4F7C-8469-2D7C440B9E01}"/>
    <hyperlink ref="C74" r:id="rId69" display="https://pld.live/RapDetail.aspx?STONELIST=925570082&amp;ISCONFIRM=0" xr:uid="{58D12E0C-9DFD-4D74-A2F7-A6100FF97749}"/>
    <hyperlink ref="C75" r:id="rId70" display="https://pld.live/RapDetail.aspx?STONELIST=926010281&amp;ISCONFIRM=0" xr:uid="{FEA00181-A28C-484F-AB85-73AB5D6A4990}"/>
    <hyperlink ref="C76" r:id="rId71" display="https://pld.live/RapDetail.aspx?STONELIST=926410152&amp;ISCONFIRM=0" xr:uid="{191D2434-0AF1-42AD-8DEF-67CE6EAAAEEC}"/>
    <hyperlink ref="C77" r:id="rId72" display="https://pld.live/RapDetail.aspx?STONELIST=831020569&amp;ISCONFIRM=0" xr:uid="{B1E29032-5043-4EB4-AD0B-75D2B886FDF4}"/>
    <hyperlink ref="C78" r:id="rId73" display="https://pld.live/RapDetail.aspx?STONELIST=9414500275&amp;ISCONFIRM=0" xr:uid="{4ADF0F44-8ECF-41E3-8247-5763A42B7002}"/>
    <hyperlink ref="C79" r:id="rId74" display="https://pld.live/RapDetail.aspx?STONELIST=926860100&amp;ISCONFIRM=0" xr:uid="{6FDC0407-EBA0-4044-8D91-412A28382093}"/>
    <hyperlink ref="C80" r:id="rId75" display="https://pld.live/RapDetail.aspx?STONELIST=831020668&amp;ISCONFIRM=0" xr:uid="{8BFD95CD-C29C-4DC3-B2E1-6B5395AE9F40}"/>
    <hyperlink ref="C81" r:id="rId76" display="https://pld.live/RapDetail.aspx?STONELIST=831020672&amp;ISCONFIRM=0" xr:uid="{EF271522-2236-4EE6-845B-D30AD92F56D0}"/>
    <hyperlink ref="C82" r:id="rId77" display="https://pld.live/RapDetail.aspx?STONELIST=831020730&amp;ISCONFIRM=0" xr:uid="{D81F9758-1C7F-4A97-801C-E9C4FB916CA5}"/>
    <hyperlink ref="C83" r:id="rId78" display="https://pld.live/RapDetail.aspx?STONELIST=831020683&amp;ISCONFIRM=0" xr:uid="{6530B193-AEDA-46B3-913A-6FEA23BD276C}"/>
    <hyperlink ref="C84" r:id="rId79" display="https://pld.live/RapDetail.aspx?STONELIST=925580057&amp;ISCONFIRM=0" xr:uid="{437F1F71-E25F-4AEF-AF8F-456EA075D293}"/>
    <hyperlink ref="C85" r:id="rId80" display="https://pld.live/RapDetail.aspx?STONELIST=925630244&amp;ISCONFIRM=0" xr:uid="{FB49DA05-15D5-4019-B8A0-589F5F7DD38F}"/>
    <hyperlink ref="C86" r:id="rId81" display="https://pld.live/RapDetail.aspx?STONELIST=926560232&amp;ISCONFIRM=0" xr:uid="{C9A40320-220B-47A6-AEFA-4A1D5068CE5D}"/>
    <hyperlink ref="C87" r:id="rId82" display="https://pld.live/RapDetail.aspx?STONELIST=926540046&amp;ISCONFIRM=0" xr:uid="{D87C7FE5-ACEA-47F9-AD7E-3DB7FD08658D}"/>
    <hyperlink ref="C88" r:id="rId83" display="https://pld.live/RapDetail.aspx?STONELIST=926420306&amp;ISCONFIRM=0" xr:uid="{F8EE66A1-51F9-4DAA-BBFC-B5DBD78BD2DF}"/>
    <hyperlink ref="C89" r:id="rId84" display="https://pld.live/RapDetail.aspx?STONELIST=924300604&amp;ISCONFIRM=0" xr:uid="{AF2D245D-D6E8-4671-97A4-6791926D00DB}"/>
    <hyperlink ref="C90" r:id="rId85" display="https://pld.live/RapDetail.aspx?STONELIST=925630060&amp;ISCONFIRM=0" xr:uid="{14BBAFE2-E4F4-4919-A70F-189A92EBECDE}"/>
    <hyperlink ref="C91" r:id="rId86" display="https://pld.live/RapDetail.aspx?STONELIST=925340015&amp;ISCONFIRM=0" xr:uid="{1460165E-95DC-4665-A2EA-15BA271A3694}"/>
    <hyperlink ref="C92" r:id="rId87" display="https://pld.live/RapDetail.aspx?STONELIST=831020005&amp;ISCONFIRM=0" xr:uid="{9B703FC1-31C6-425B-B26F-32F67E593756}"/>
    <hyperlink ref="C93" r:id="rId88" display="https://pld.live/RapDetail.aspx?STONELIST=941180046&amp;ISCONFIRM=0" xr:uid="{08DD01BC-81FF-4B29-8DBF-A89E0DAF3DB9}"/>
    <hyperlink ref="C94" r:id="rId89" display="https://pld.live/RapDetail.aspx?STONELIST=831020701&amp;ISCONFIRM=0" xr:uid="{7531A77F-3C02-4E2B-860D-37DB75DD866E}"/>
    <hyperlink ref="C95" r:id="rId90" display="https://pld.live/RapDetail.aspx?STONELIST=924490016&amp;ISCONFIRM=0" xr:uid="{3E864298-4BED-4C22-9D2C-38DBB32619EA}"/>
    <hyperlink ref="C96" r:id="rId91" display="https://pld.live/RapDetail.aspx?STONELIST=831020667&amp;ISCONFIRM=0" xr:uid="{36CC8BE8-DB7C-43C5-B365-669194D4C6FB}"/>
    <hyperlink ref="C97" r:id="rId92" display="https://pld.live/RapDetail.aspx?STONELIST=923740256&amp;ISCONFIRM=0" xr:uid="{76AE0C9E-7627-489E-9465-78C9B8DC1EE3}"/>
    <hyperlink ref="C98" r:id="rId93" display="https://pld.live/RapDetail.aspx?STONELIST=923740179&amp;ISCONFIRM=0" xr:uid="{B7A28FD1-2501-489E-915D-6992B2835037}"/>
    <hyperlink ref="C99" r:id="rId94" display="https://pld.live/RapDetail.aspx?STONELIST=926010167&amp;ISCONFIRM=0" xr:uid="{97D3F228-4E6D-44FD-B7EE-2C7D5081D46B}"/>
    <hyperlink ref="C100" r:id="rId95" display="https://pld.live/RapDetail.aspx?STONELIST=831020666&amp;ISCONFIRM=0" xr:uid="{21875808-612B-41F2-B9A4-00C37C3D8E12}"/>
    <hyperlink ref="C101" r:id="rId96" display="https://pld.live/RapDetail.aspx?STONELIST=926410185&amp;ISCONFIRM=0" xr:uid="{B4C8EAFA-EDA4-44A3-B8E6-6DE1D1EA1E68}"/>
    <hyperlink ref="C102" r:id="rId97" display="https://pld.live/RapDetail.aspx?STONELIST=926450484&amp;ISCONFIRM=0" xr:uid="{10CE4B52-1A86-4B9A-AF32-954A2C26B825}"/>
    <hyperlink ref="C103" r:id="rId98" display="https://pld.live/RapDetail.aspx?STONELIST=926410229&amp;ISCONFIRM=0" xr:uid="{C1D2C769-A79E-4A78-8D75-6FEA6C7BD9C9}"/>
    <hyperlink ref="C104" r:id="rId99" display="https://pld.live/RapDetail.aspx?STONELIST=926010085&amp;ISCONFIRM=0" xr:uid="{FB434075-A4E8-4EAB-B87E-70954C87A200}"/>
    <hyperlink ref="C105" r:id="rId100" display="https://pld.live/RapDetail.aspx?STONELIST=925660141&amp;ISCONFIRM=0" xr:uid="{7B0DE3DE-4182-495B-861D-26AC6ECE5B9C}"/>
    <hyperlink ref="C106" r:id="rId101" display="https://pld.live/RapDetail.aspx?STONELIST=831020553&amp;ISCONFIRM=0" xr:uid="{E7A9ABD8-9C37-47CC-84DD-AEB53C3C11C7}"/>
    <hyperlink ref="C107" r:id="rId102" display="https://pld.live/RapDetail.aspx?STONELIST=924190581&amp;ISCONFIRM=0" xr:uid="{EBE2CA23-D1BE-4C76-9309-B22A5732F7E2}"/>
    <hyperlink ref="C108" r:id="rId103" display="https://pld.live/RapDetail.aspx?STONELIST=925700150&amp;ISCONFIRM=0" xr:uid="{02D71134-B61C-4BD1-BCA1-03CDE388FF93}"/>
    <hyperlink ref="C109" r:id="rId104" display="https://pld.live/RapDetail.aspx?STONELIST=926010049&amp;ISCONFIRM=0" xr:uid="{75667360-524E-4377-90FC-62E9F82DE276}"/>
    <hyperlink ref="C110" r:id="rId105" display="https://pld.live/RapDetail.aspx?STONELIST=831020626&amp;ISCONFIRM=0" xr:uid="{0ED81BFB-8010-4EDD-BCA9-6B72E989349F}"/>
    <hyperlink ref="C111" r:id="rId106" display="https://pld.live/RapDetail.aspx?STONELIST=831020561&amp;ISCONFIRM=0" xr:uid="{6DE19FBF-7430-435B-9991-0E40E502A602}"/>
    <hyperlink ref="C112" r:id="rId107" display="https://pld.live/RapDetail.aspx?STONELIST=926930880&amp;ISCONFIRM=0" xr:uid="{70B1EEC3-B5EA-4716-B2B8-4049F27BF946}"/>
    <hyperlink ref="C113" r:id="rId108" display="https://pld.live/RapDetail.aspx?STONELIST=831020623&amp;ISCONFIRM=0" xr:uid="{5D74420E-0079-4A24-A0DC-7837FFF72B63}"/>
    <hyperlink ref="C114" r:id="rId109" display="https://pld.live/RapDetail.aspx?STONELIST=925700153&amp;ISCONFIRM=0" xr:uid="{601A5D18-8016-434E-B07B-75B8C9AB2C12}"/>
    <hyperlink ref="C115" r:id="rId110" display="https://pld.live/RapDetail.aspx?STONELIST=925680133&amp;ISCONFIRM=0" xr:uid="{40EF506A-07F4-4004-AC1E-C6B2142BCB74}"/>
    <hyperlink ref="C116" r:id="rId111" display="https://pld.live/RapDetail.aspx?STONELIST=927010725&amp;ISCONFIRM=0" xr:uid="{AEAA25FF-4124-4A6F-BDEE-C9E572857B9C}"/>
    <hyperlink ref="C117" r:id="rId112" display="https://pld.live/RapDetail.aspx?STONELIST=831020624&amp;ISCONFIRM=0" xr:uid="{10E827C2-E2C2-4309-94F8-F535301CCE63}"/>
    <hyperlink ref="C118" r:id="rId113" display="https://pld.live/RapDetail.aspx?STONELIST=926860003&amp;ISCONFIRM=0" xr:uid="{317331C8-CE7C-442F-B3F8-ADF7C6A4E7C9}"/>
    <hyperlink ref="C119" r:id="rId114" display="https://pld.live/RapDetail.aspx?STONELIST=924250444&amp;ISCONFIRM=0" xr:uid="{73538306-243A-4FD7-8AC5-7C04CA24421B}"/>
    <hyperlink ref="C120" r:id="rId115" display="https://pld.live/RapDetail.aspx?STONELIST=926540221&amp;ISCONFIRM=0" xr:uid="{DAB1D185-DA6F-4D86-A8FF-844FFAA48420}"/>
    <hyperlink ref="C121" r:id="rId116" display="https://pld.live/RapDetail.aspx?STONELIST=926540137&amp;ISCONFIRM=0" xr:uid="{0C5FFDA9-A564-4C6A-936B-AFC1EB77F648}"/>
    <hyperlink ref="C122" r:id="rId117" display="https://pld.live/RapDetail.aspx?STONELIST=926540121&amp;ISCONFIRM=0" xr:uid="{BB65D7A2-776E-4F3C-9689-5F9D99497342}"/>
    <hyperlink ref="C123" r:id="rId118" display="https://pld.live/RapDetail.aspx?STONELIST=926540214&amp;ISCONFIRM=0" xr:uid="{D9ACCDAF-0259-4123-B049-F326D2E9F366}"/>
    <hyperlink ref="C124" r:id="rId119" display="https://pld.live/RapDetail.aspx?STONELIST=941390174&amp;ISCONFIRM=0" xr:uid="{71306D77-658A-4D28-AE6C-89E8CF995322}"/>
    <hyperlink ref="C125" r:id="rId120" display="https://pld.live/RapDetail.aspx?STONELIST=941230612&amp;ISCONFIRM=0" xr:uid="{88D4725D-1D1C-4A6B-A2E2-BD7E46EDBE14}"/>
    <hyperlink ref="C126" r:id="rId121" display="https://pld.live/RapDetail.aspx?STONELIST=941050455&amp;ISCONFIRM=0" xr:uid="{A9D6F945-17F9-422D-8896-149BAB70D719}"/>
    <hyperlink ref="C127" r:id="rId122" display="https://pld.live/RapDetail.aspx?STONELIST=926980697&amp;ISCONFIRM=0" xr:uid="{9565A56E-7156-4BEC-BFF7-A97C1759EAB8}"/>
    <hyperlink ref="C128" r:id="rId123" display="https://pld.live/RapDetail.aspx?STONELIST=941200213&amp;ISCONFIRM=0" xr:uid="{E058D1C8-10C2-485D-BEFA-4A0ED5D784D5}"/>
    <hyperlink ref="C129" r:id="rId124" display="https://pld.live/RapDetail.aspx?STONELIST=941130261&amp;ISCONFIRM=0" xr:uid="{F92D6A29-7304-493E-A084-C112BBD3997E}"/>
    <hyperlink ref="C130" r:id="rId125" display="https://pld.live/RapDetail.aspx?STONELIST=941100466&amp;ISCONFIRM=0" xr:uid="{314E34FC-8D1C-4A62-9BC2-3CD09DEC9B7D}"/>
    <hyperlink ref="C131" r:id="rId126" display="https://pld.live/RapDetail.aspx?STONELIST=926410264&amp;ISCONFIRM=0" xr:uid="{51A40303-2FA2-4612-B067-725A34635CC4}"/>
    <hyperlink ref="C132" r:id="rId127" display="https://pld.live/RapDetail.aspx?STONELIST=926410263&amp;ISCONFIRM=0" xr:uid="{B7ABF52C-9881-41FE-985C-1E89B45543EB}"/>
    <hyperlink ref="C133" r:id="rId128" display="https://pld.live/RapDetail.aspx?STONELIST=923720170&amp;ISCONFIRM=0" xr:uid="{C45D4F3F-DB3C-46C6-96FA-7F21FE966D0A}"/>
    <hyperlink ref="C134" r:id="rId129" display="https://pld.live/RapDetail.aspx?STONELIST=831020411&amp;ISCONFIRM=0" xr:uid="{8C078686-62A7-4DC0-A5AE-02144B83865C}"/>
    <hyperlink ref="C135" r:id="rId130" display="https://pld.live/RapDetail.aspx?STONELIST=925400030&amp;ISCONFIRM=0" xr:uid="{D591BE03-4A6D-419F-8999-A8D2444DFDC9}"/>
    <hyperlink ref="C136" r:id="rId131" display="https://pld.live/RapDetail.aspx?STONELIST=926540126&amp;ISCONFIRM=0" xr:uid="{B237DA3F-3382-4597-A59B-CC5898D203C3}"/>
    <hyperlink ref="C137" r:id="rId132" display="https://pld.live/RapDetail.aspx?STONELIST=941220144&amp;ISCONFIRM=0" xr:uid="{F4EF710E-28B7-42E0-A4ED-87050F198BC3}"/>
    <hyperlink ref="C138" r:id="rId133" display="https://pld.live/RapDetail.aspx?STONELIST=941050466&amp;ISCONFIRM=0" xr:uid="{A19AE982-791E-42F1-9C9C-2CDA522F4DFB}"/>
    <hyperlink ref="C139" r:id="rId134" display="https://pld.live/RapDetail.aspx?STONELIST=941460041&amp;ISCONFIRM=0" xr:uid="{8D700FDD-8F0C-412A-A2EE-873E0772425F}"/>
    <hyperlink ref="C140" r:id="rId135" display="https://pld.live/RapDetail.aspx?STONELIST=941450139&amp;ISCONFIRM=0" xr:uid="{603C93C5-82AB-4C05-A217-0E6AEA2996B4}"/>
    <hyperlink ref="C141" r:id="rId136" display="https://pld.live/RapDetail.aspx?STONELIST=941050129&amp;ISCONFIRM=0" xr:uid="{D94F59F9-861D-4B12-A4BE-00CC0BD4EFE5}"/>
    <hyperlink ref="C142" r:id="rId137" display="https://pld.live/RapDetail.aspx?STONELIST=926980658&amp;ISCONFIRM=0" xr:uid="{AF51DFB4-F9C6-477D-BD67-7C3A5EB617B8}"/>
    <hyperlink ref="C143" r:id="rId138" display="https://pld.live/RapDetail.aspx?STONELIST=941150039&amp;ISCONFIRM=0" xr:uid="{0F9F86CE-C145-4FD4-B541-EE4272B5A0BF}"/>
    <hyperlink ref="C144" r:id="rId139" display="https://pld.live/RapDetail.aspx?STONELIST=941150062&amp;ISCONFIRM=0" xr:uid="{EC154E44-2312-4AC0-95A7-5C3CF8014C23}"/>
    <hyperlink ref="C145" r:id="rId140" display="https://pld.live/RapDetail.aspx?STONELIST=941390336&amp;ISCONFIRM=0" xr:uid="{BBAC34BF-7294-4D21-B21F-15A3B746B2C7}"/>
    <hyperlink ref="C146" r:id="rId141" display="https://pld.live/RapDetail.aspx?STONELIST=941130247&amp;ISCONFIRM=0" xr:uid="{8AEAA500-3D1A-4A61-B5B8-78DC3271254B}"/>
    <hyperlink ref="C147" r:id="rId142" display="https://pld.live/RapDetail.aspx?STONELIST=941120557&amp;ISCONFIRM=0" xr:uid="{3E34BA5C-E7FF-4A43-81E7-A85CF148A25C}"/>
    <hyperlink ref="C148" r:id="rId143" display="https://pld.live/RapDetail.aspx?STONELIST=941120358&amp;ISCONFIRM=0" xr:uid="{45DD8DAB-9062-4A8E-AE3B-C2BDAA3E26D5}"/>
    <hyperlink ref="C149" r:id="rId144" display="https://pld.live/RapDetail.aspx?STONELIST=941050563&amp;ISCONFIRM=0" xr:uid="{EF153F27-2243-4DB7-8B54-7C4AC6853469}"/>
    <hyperlink ref="C150" r:id="rId145" display="https://pld.live/RapDetail.aspx?STONELIST=926980643&amp;ISCONFIRM=0" xr:uid="{7A09F97B-A066-41D4-B234-8849FDBA4280}"/>
    <hyperlink ref="C151" r:id="rId146" display="https://pld.live/RapDetail.aspx?STONELIST=927070615&amp;ISCONFIRM=0" xr:uid="{C9EC04F1-BD40-4F0D-8134-B404EB0AD747}"/>
    <hyperlink ref="C152" r:id="rId147" display="https://pld.live/RapDetail.aspx?STONELIST=941100464&amp;ISCONFIRM=0" xr:uid="{8CE566A2-7C95-4EF0-B5E0-DC2CD78CD6F0}"/>
    <hyperlink ref="C153" r:id="rId148" display="https://pld.live/RapDetail.aspx?STONELIST=927070538&amp;ISCONFIRM=0" xr:uid="{F6489302-8F95-4C87-8042-023E20DD9836}"/>
    <hyperlink ref="C154" r:id="rId149" display="https://pld.live/RapDetail.aspx?STONELIST=927020645&amp;ISCONFIRM=0" xr:uid="{C269904C-58D2-486F-91E3-28E10C1C1EAE}"/>
    <hyperlink ref="C155" r:id="rId150" display="https://pld.live/RapDetail.aspx?STONELIST=941050416&amp;ISCONFIRM=0" xr:uid="{64D6629B-3C10-4B7E-9EFF-90F8D557D864}"/>
    <hyperlink ref="C156" r:id="rId151" display="https://pld.live/RapDetail.aspx?STONELIST=941050465&amp;ISCONFIRM=0" xr:uid="{FB880501-8808-4C33-9AE5-5988015272F2}"/>
    <hyperlink ref="C157" r:id="rId152" display="https://pld.live/RapDetail.aspx?STONELIST=926930790&amp;ISCONFIRM=0" xr:uid="{B6F938CC-AA25-4418-8065-E8B710AA3E73}"/>
    <hyperlink ref="C158" r:id="rId153" display="https://pld.live/RapDetail.aspx?STONELIST=941100465&amp;ISCONFIRM=0" xr:uid="{BE9E8EF6-A93A-4EC9-8D01-FA9505256170}"/>
    <hyperlink ref="C159" r:id="rId154" display="https://pld.live/RapDetail.aspx?STONELIST=941050302&amp;ISCONFIRM=0" xr:uid="{69E4D512-91CF-49F0-BB01-4D4569EDC4B7}"/>
    <hyperlink ref="C160" r:id="rId155" display="https://pld.live/RapDetail.aspx?STONELIST=941080558&amp;ISCONFIRM=0" xr:uid="{DE5EB93B-5202-4FB9-9944-9E72508E2AE0}"/>
    <hyperlink ref="C161" r:id="rId156" display="https://pld.live/RapDetail.aspx?STONELIST=941050566&amp;ISCONFIRM=0" xr:uid="{ED70AD00-A57E-4BF2-8390-EA53F6035DCA}"/>
    <hyperlink ref="C162" r:id="rId157" display="https://pld.live/RapDetail.aspx?STONELIST=941130291&amp;ISCONFIRM=0" xr:uid="{E0BE86F6-015E-4FC5-B19F-4AD12642B936}"/>
    <hyperlink ref="C163" r:id="rId158" display="https://pld.live/RapDetail.aspx?STONELIST=941110164&amp;ISCONFIRM=0" xr:uid="{16AAB59A-F894-4263-B72B-6235C555C4AA}"/>
    <hyperlink ref="C164" r:id="rId159" display="https://pld.live/RapDetail.aspx?STONELIST=941110196&amp;ISCONFIRM=0" xr:uid="{0F88358B-65CF-4AAD-A05C-C15708B05481}"/>
    <hyperlink ref="C165" r:id="rId160" display="https://pld.live/RapDetail.aspx?STONELIST=941050552&amp;ISCONFIRM=0" xr:uid="{F4BC72D9-80A9-48CE-B0E2-7A25A49B39F1}"/>
    <hyperlink ref="C166" r:id="rId161" display="https://pld.live/RapDetail.aspx?STONELIST=927120031&amp;ISCONFIRM=0" xr:uid="{FEA41100-E5AF-4C3E-86AB-B719E46213B7}"/>
    <hyperlink ref="C167" r:id="rId162" display="https://pld.live/RapDetail.aspx?STONELIST=926450555&amp;ISCONFIRM=0" xr:uid="{32031EAC-00B7-473E-809E-86370AA220B4}"/>
    <hyperlink ref="C168" r:id="rId163" display="https://pld.live/RapDetail.aspx?STONELIST=925690171&amp;ISCONFIRM=0" xr:uid="{D041DB05-89A0-49FA-9837-0856F97EA3A2}"/>
    <hyperlink ref="C169" r:id="rId164" display="https://pld.live/RapDetail.aspx?STONELIST=941380413&amp;ISCONFIRM=0" xr:uid="{AAEB3C71-68E7-49F4-92FC-60564A2D1E27}"/>
    <hyperlink ref="C170" r:id="rId165" display="https://pld.live/RapDetail.aspx?STONELIST=926930930&amp;ISCONFIRM=0" xr:uid="{EFAA6857-B0F8-4761-8CAD-A20A2B2D291C}"/>
    <hyperlink ref="C171" r:id="rId166" display="https://pld.live/RapDetail.aspx?STONELIST=927000582&amp;ISCONFIRM=0" xr:uid="{65A66BA6-78E1-444C-BF26-8B284B39BA99}"/>
    <hyperlink ref="C172" r:id="rId167" display="https://pld.live/RapDetail.aspx?STONELIST=941200240&amp;ISCONFIRM=0" xr:uid="{51185CA1-8DC3-48F2-8B83-2304FFF565A6}"/>
    <hyperlink ref="C173" r:id="rId168" display="https://pld.live/RapDetail.aspx?STONELIST=941080755&amp;ISCONFIRM=0" xr:uid="{CAD76A3C-103A-4248-BEE6-CA718CA0AF79}"/>
    <hyperlink ref="C174" r:id="rId169" display="https://pld.live/RapDetail.aspx?STONELIST=941050163&amp;ISCONFIRM=0" xr:uid="{633035AD-45BF-4343-BA0C-0C1F180F62B7}"/>
    <hyperlink ref="C175" r:id="rId170" display="https://pld.live/RapDetail.aspx?STONELIST=927070614&amp;ISCONFIRM=0" xr:uid="{203D1578-B2E4-471C-98BE-7D65DC496D3D}"/>
    <hyperlink ref="C176" r:id="rId171" display="https://pld.live/RapDetail.aspx?STONELIST=941050445&amp;ISCONFIRM=0" xr:uid="{30E6E757-2ECD-4E07-9930-D7BEDAB9605E}"/>
    <hyperlink ref="C177" r:id="rId172" display="https://pld.live/RapDetail.aspx?STONELIST=941050184&amp;ISCONFIRM=0" xr:uid="{AECC36DD-30A6-4CC9-925C-8674C8A2DA6B}"/>
    <hyperlink ref="C178" r:id="rId173" display="https://pld.live/RapDetail.aspx?STONELIST=941050507&amp;ISCONFIRM=0" xr:uid="{45D7C68A-4AB9-4A31-9365-4C3A55348D73}"/>
    <hyperlink ref="C179" r:id="rId174" display="https://pld.live/RapDetail.aspx?STONELIST=927070634&amp;ISCONFIRM=0" xr:uid="{9520070E-D54D-4ACA-8F8F-E88BBD001457}"/>
    <hyperlink ref="C180" r:id="rId175" display="https://pld.live/RapDetail.aspx?STONELIST=941120435&amp;ISCONFIRM=0" xr:uid="{B11FC5AE-7673-45F1-BAF4-3B7BB3DAFDFD}"/>
    <hyperlink ref="C181" r:id="rId176" display="https://pld.live/RapDetail.aspx?STONELIST=941060409&amp;ISCONFIRM=0" xr:uid="{C27A6B12-F525-491E-9671-E55ADC7F3D18}"/>
    <hyperlink ref="C182" r:id="rId177" display="https://pld.live/RapDetail.aspx?STONELIST=941090559&amp;ISCONFIRM=0" xr:uid="{10D2858C-058E-463C-A6AF-E15D12308AFC}"/>
    <hyperlink ref="C183" r:id="rId178" display="https://pld.live/RapDetail.aspx?STONELIST=941130292&amp;ISCONFIRM=0" xr:uid="{1F5EE466-9D6C-48D8-B02A-C1DF1A8C91D1}"/>
    <hyperlink ref="C184" r:id="rId179" display="https://pld.live/RapDetail.aspx?STONELIST=926380219&amp;ISCONFIRM=0" xr:uid="{DF10D42C-ECCE-484B-AF29-0EDD799C759D}"/>
    <hyperlink ref="C185" r:id="rId180" display="https://pld.live/RapDetail.aspx?STONELIST=821117261&amp;ISCONFIRM=0" xr:uid="{7723944C-3528-4E49-B824-AC0094AE2BFD}"/>
    <hyperlink ref="C186" r:id="rId181" display="https://pld.live/RapDetail.aspx?STONELIST=927020572&amp;ISCONFIRM=0" xr:uid="{671010CC-C744-4C2A-9DAE-F8EFDC06EBE7}"/>
    <hyperlink ref="C187" r:id="rId182" display="https://pld.live/RapDetail.aspx?STONELIST=926930822&amp;ISCONFIRM=0" xr:uid="{0C6960B2-8A9B-4B75-8AB2-5973C88656BF}"/>
    <hyperlink ref="C188" r:id="rId183" display="https://pld.live/RapDetail.aspx?STONELIST=927080709&amp;ISCONFIRM=0" xr:uid="{16AEB524-EAF5-4616-ACB8-3C1658452521}"/>
    <hyperlink ref="C189" r:id="rId184" display="https://pld.live/RapDetail.aspx?STONELIST=926930889&amp;ISCONFIRM=0" xr:uid="{8C647226-8505-424B-ABC8-78D633E5546D}"/>
    <hyperlink ref="C190" r:id="rId185" display="https://pld.live/RapDetail.aspx?STONELIST=941050583&amp;ISCONFIRM=0" xr:uid="{EFF76215-DB29-49E1-88BA-23F745C8AE02}"/>
    <hyperlink ref="C191" r:id="rId186" display="https://pld.live/RapDetail.aspx?STONELIST=941130400&amp;ISCONFIRM=0" xr:uid="{EA499CD3-A226-41CD-94A4-0ACBCF21D812}"/>
    <hyperlink ref="C192" r:id="rId187" display="https://pld.live/RapDetail.aspx?STONELIST=941050164&amp;ISCONFIRM=0" xr:uid="{FBD542A3-A36C-4B32-8BC8-C8649A5D6DDA}"/>
    <hyperlink ref="C193" r:id="rId188" display="https://pld.live/RapDetail.aspx?STONELIST=831020682&amp;ISCONFIRM=0" xr:uid="{C2DE0C6D-3A1C-4ADF-88DA-FD9FE9A7DAC8}"/>
    <hyperlink ref="C194" r:id="rId189" display="https://pld.live/RapDetail.aspx?STONELIST=926910621&amp;ISCONFIRM=0" xr:uid="{364699BF-C82F-4FA8-9D62-E44D6209E173}"/>
    <hyperlink ref="C195" r:id="rId190" display="https://pld.live/RapDetail.aspx?STONELIST=926470296&amp;ISCONFIRM=0" xr:uid="{A929F7ED-DF9F-4B17-B6D1-1761F4798456}"/>
    <hyperlink ref="C196" r:id="rId191" display="https://pld.live/RapDetail.aspx?STONELIST=924250344&amp;ISCONFIRM=0" xr:uid="{4B0B6D19-F05F-4D33-9E8D-ED28FF70437C}"/>
    <hyperlink ref="C197" r:id="rId192" display="https://pld.live/RapDetail.aspx?STONELIST=831020622&amp;ISCONFIRM=0" xr:uid="{C7741D67-3041-40E4-9CCB-2299AF4E3800}"/>
    <hyperlink ref="C198" r:id="rId193" display="https://pld.live/RapDetail.aspx?STONELIST=941220612&amp;ISCONFIRM=0" xr:uid="{BB0AD394-A73D-4DD4-BA2C-2D67E27F9809}"/>
    <hyperlink ref="C199" r:id="rId194" display="https://pld.live/RapDetail.aspx?STONELIST=9414500342&amp;ISCONFIRM=0" xr:uid="{BAD148C5-0724-48F8-AC94-BF90F46343DE}"/>
    <hyperlink ref="C200" r:id="rId195" display="https://pld.live/RapDetail.aspx?STONELIST=927000517&amp;ISCONFIRM=0" xr:uid="{6B7BBE77-238E-41CC-A5B6-8B45399050C4}"/>
    <hyperlink ref="C201" r:id="rId196" display="https://pld.live/RapDetail.aspx?STONELIST=926380305&amp;ISCONFIRM=0" xr:uid="{7CE91945-8C24-4374-8FBD-FE04DE224985}"/>
    <hyperlink ref="C202" r:id="rId197" display="https://pld.live/RapDetail.aspx?STONELIST=831020549&amp;ISCONFIRM=0" xr:uid="{0C4AA678-95ED-44B1-A7EB-4C11809B9824}"/>
    <hyperlink ref="C203" r:id="rId198" display="https://pld.live/RapDetail.aspx?STONELIST=831020407&amp;ISCONFIRM=0" xr:uid="{C1460E4B-4296-4845-8FCE-2131C1B05646}"/>
    <hyperlink ref="C204" r:id="rId199" display="https://pld.live/RapDetail.aspx?STONELIST=941310054&amp;ISCONFIRM=0" xr:uid="{C53D6E8D-7E8C-473D-8D92-5D8F3A2FBD60}"/>
    <hyperlink ref="C205" r:id="rId200" display="https://pld.live/RapDetail.aspx?STONELIST=924350041&amp;ISCONFIRM=0" xr:uid="{9A564F65-8581-4ECB-9AC7-139024D69BD7}"/>
    <hyperlink ref="C206" r:id="rId201" display="https://pld.live/RapDetail.aspx?STONELIST=925010022&amp;ISCONFIRM=0" xr:uid="{71A9DF7C-188F-46B4-825C-83292BA42F94}"/>
    <hyperlink ref="C207" r:id="rId202" display="https://pld.live/RapDetail.aspx?STONELIST=926450549&amp;ISCONFIRM=0" xr:uid="{EAF35B9D-8EBA-4B7D-831A-166FCAC0A312}"/>
    <hyperlink ref="C208" r:id="rId203" display="https://pld.live/RapDetail.aspx?STONELIST=924250455&amp;ISCONFIRM=0" xr:uid="{575DA2BB-80A4-44CD-B9E2-87D691239A71}"/>
    <hyperlink ref="C209" r:id="rId204" display="https://pld.live/RapDetail.aspx?STONELIST=941360342&amp;ISCONFIRM=0" xr:uid="{54A85A8B-2929-4B26-8FA6-A5B3B638BD69}"/>
    <hyperlink ref="C210" r:id="rId205" display="https://pld.live/RapDetail.aspx?STONELIST=925560017&amp;ISCONFIRM=0" xr:uid="{25D67649-8229-48F4-B090-090F51A71169}"/>
    <hyperlink ref="C211" r:id="rId206" display="https://pld.live/RapDetail.aspx?STONELIST=924250685&amp;ISCONFIRM=0" xr:uid="{2C8FE9D8-3534-40AB-899B-F2F7221E5698}"/>
    <hyperlink ref="C212" r:id="rId207" display="https://pld.live/RapDetail.aspx?STONELIST=831020620&amp;ISCONFIRM=0" xr:uid="{606746FC-10B0-46DA-97C0-AD273CD447EF}"/>
    <hyperlink ref="C213" r:id="rId208" display="https://pld.live/RapDetail.aspx?STONELIST=831020621&amp;ISCONFIRM=0" xr:uid="{560E9BA2-E3AF-43F8-AD31-1F247510022F}"/>
    <hyperlink ref="C214" r:id="rId209" display="https://pld.live/RapDetail.aspx?STONELIST=924300602&amp;ISCONFIRM=0" xr:uid="{2A262139-A1D4-45DC-82A9-B08E44C18DE4}"/>
    <hyperlink ref="C215" r:id="rId210" display="https://pld.live/RapDetail.aspx?STONELIST=924190602&amp;ISCONFIRM=0" xr:uid="{B089DA05-9AF9-41FC-8C0D-643C3D231203}"/>
    <hyperlink ref="C216" r:id="rId211" display="https://pld.live/RapDetail.aspx?STONELIST=926380299&amp;ISCONFIRM=0" xr:uid="{E97E96A9-046E-460A-B39E-617BC7B69E75}"/>
    <hyperlink ref="C217" r:id="rId212" display="https://pld.live/RapDetail.aspx?STONELIST=926360224&amp;ISCONFIRM=0" xr:uid="{1D1E01E2-1099-4FCE-9F54-5A057698EA27}"/>
    <hyperlink ref="C218" r:id="rId213" display="https://pld.live/RapDetail.aspx?STONELIST=831020681&amp;ISCONFIRM=0" xr:uid="{138F889C-DA45-4168-A9E4-06BA6F515F7E}"/>
    <hyperlink ref="C219" r:id="rId214" display="https://pld.live/RapDetail.aspx?STONELIST=925560031&amp;ISCONFIRM=0" xr:uid="{1E52D138-224A-48CF-A096-8FFF68EDC6DA}"/>
    <hyperlink ref="C220" r:id="rId215" display="https://pld.live/RapDetail.aspx?STONELIST=831020680&amp;ISCONFIRM=0" xr:uid="{CA2185A3-25BE-4F44-9B96-678B1459A1EB}"/>
    <hyperlink ref="C221" r:id="rId216" display="https://pld.live/RapDetail.aspx?STONELIST=831020714&amp;ISCONFIRM=0" xr:uid="{1599BBB1-6DD6-4FBF-B97C-358E240FB921}"/>
    <hyperlink ref="C222" r:id="rId217" display="https://pld.live/RapDetail.aspx?STONELIST=926450491&amp;ISCONFIRM=0" xr:uid="{91FF16E3-708D-479A-97EA-337E38B765C2}"/>
    <hyperlink ref="C223" r:id="rId218" display="https://pld.live/RapDetail.aspx?STONELIST=924190344&amp;ISCONFIRM=0" xr:uid="{DFA9D409-483C-4015-BAFB-CCD2387BEA58}"/>
    <hyperlink ref="C224" r:id="rId219" display="https://pld.live/RapDetail.aspx?STONELIST=831020713&amp;ISCONFIRM=0" xr:uid="{B0F16C19-B79E-4F9C-9A35-5A66E1A71472}"/>
    <hyperlink ref="C225" r:id="rId220" display="https://pld.live/RapDetail.aspx?STONELIST=831020663&amp;ISCONFIRM=0" xr:uid="{5C35EF43-EA31-42B1-9BE4-504B39FDAFBA}"/>
    <hyperlink ref="C226" r:id="rId221" display="https://pld.live/RapDetail.aspx?STONELIST=941380380&amp;ISCONFIRM=0" xr:uid="{AEF2F0EF-497B-47E0-9F00-7DE4FE886B5B}"/>
    <hyperlink ref="C227" r:id="rId222" display="https://pld.live/RapDetail.aspx?STONELIST=941200221&amp;ISCONFIRM=0" xr:uid="{6C2CA157-E6F1-45A1-88EB-D1B772E0B032}"/>
    <hyperlink ref="C228" r:id="rId223" display="https://pld.live/RapDetail.aspx?STONELIST=925590015&amp;ISCONFIRM=0" xr:uid="{2B1B91FA-DB44-4CD1-B51F-7C59DC780324}"/>
    <hyperlink ref="C229" r:id="rId224" display="https://pld.live/RapDetail.aspx?STONELIST=941400482&amp;ISCONFIRM=0" xr:uid="{959C1AF6-E5F4-48EE-96EB-DD2C1D403776}"/>
    <hyperlink ref="C230" r:id="rId225" display="https://pld.live/RapDetail.aspx?STONELIST=926050314&amp;ISCONFIRM=0" xr:uid="{091ADA04-3F13-4D91-96FF-9EDF93F6B964}"/>
    <hyperlink ref="C231" r:id="rId226" display="https://pld.live/RapDetail.aspx?STONELIST=941431250&amp;ISCONFIRM=0" xr:uid="{2D2CB7D8-8C70-4410-A07B-036005075928}"/>
    <hyperlink ref="C232" r:id="rId227" display="https://pld.live/RapDetail.aspx?STONELIST=941250494&amp;ISCONFIRM=0" xr:uid="{FF2567F1-A8F1-412B-B234-EBC99733F4E1}"/>
    <hyperlink ref="C233" r:id="rId228" display="https://pld.live/RapDetail.aspx?STONELIST=941420684&amp;ISCONFIRM=0" xr:uid="{4E4C79B9-CDB5-48E7-B55D-DEA438773AB9}"/>
    <hyperlink ref="C234" r:id="rId229" display="https://pld.live/RapDetail.aspx?STONELIST=831020712&amp;ISCONFIRM=0" xr:uid="{BE386141-8C9C-4680-87EF-20421435E04E}"/>
    <hyperlink ref="C235" r:id="rId230" display="https://pld.live/RapDetail.aspx?STONELIST=941400261&amp;ISCONFIRM=0" xr:uid="{5D541E8F-6F92-4313-B74B-92D9BDE25FC4}"/>
    <hyperlink ref="C236" r:id="rId231" display="https://pld.live/RapDetail.aspx?STONELIST=831020023&amp;ISCONFIRM=0" xr:uid="{CCBBDB2E-A3A1-4797-A16E-221C03746D00}"/>
    <hyperlink ref="C237" r:id="rId232" display="https://pld.live/RapDetail.aspx?STONELIST=941400397&amp;ISCONFIRM=0" xr:uid="{8C643B73-1AC7-4A44-A3C5-D663FBEF1F07}"/>
    <hyperlink ref="C238" r:id="rId233" display="https://pld.live/RapDetail.aspx?STONELIST=831020711&amp;ISCONFIRM=0" xr:uid="{F9DE473B-FDF5-4972-A5B0-BECA1B004663}"/>
    <hyperlink ref="C239" r:id="rId234" display="https://pld.live/RapDetail.aspx?STONELIST=926010182&amp;ISCONFIRM=0" xr:uid="{FB6A1A1F-7B47-4E7F-89C7-4AB991B9C829}"/>
    <hyperlink ref="C240" r:id="rId235" display="https://pld.live/RapDetail.aspx?STONELIST=923290263&amp;ISCONFIRM=0" xr:uid="{39ACC8B4-118F-4DD3-98AA-EE88801CB9FE}"/>
    <hyperlink ref="C241" r:id="rId236" display="https://pld.live/RapDetail.aspx?STONELIST=941400533&amp;ISCONFIRM=0" xr:uid="{B5C01230-2B0C-4703-8392-F74815043539}"/>
    <hyperlink ref="C242" r:id="rId237" display="https://pld.live/RapDetail.aspx?STONELIST=925000070&amp;ISCONFIRM=0" xr:uid="{EC961097-21BB-4452-88B1-9136F1CF43AB}"/>
    <hyperlink ref="C243" r:id="rId238" display="https://pld.live/RapDetail.aspx?STONELIST=926560307&amp;ISCONFIRM=0" xr:uid="{0159499B-B80F-40F4-9C32-75688C6F0CBB}"/>
    <hyperlink ref="C244" r:id="rId239" display="https://pld.live/RapDetail.aspx?STONELIST=924350018&amp;ISCONFIRM=0" xr:uid="{6C89E5F0-E71A-4819-A87A-E1A0BB7FF7C3}"/>
    <hyperlink ref="C245" r:id="rId240" display="https://pld.live/RapDetail.aspx?STONELIST=924190541&amp;ISCONFIRM=0" xr:uid="{1B82AF2B-BD44-4501-BCC8-D27573CACD75}"/>
    <hyperlink ref="C246" r:id="rId241" display="https://pld.live/RapDetail.aspx?STONELIST=925680181&amp;ISCONFIRM=0" xr:uid="{B70EF3B4-BCFC-4D26-9060-E202F1AB926F}"/>
    <hyperlink ref="C247" r:id="rId242" display="https://pld.live/RapDetail.aspx?STONELIST=924730132&amp;ISCONFIRM=0" xr:uid="{1A07B46A-585C-4D89-B7D7-B229C74D315B}"/>
    <hyperlink ref="C248" r:id="rId243" display="https://pld.live/RapDetail.aspx?STONELIST=925360304&amp;ISCONFIRM=0" xr:uid="{25F64590-4729-4D3D-886B-AB29C7BE1463}"/>
    <hyperlink ref="C249" r:id="rId244" display="https://pld.live/RapDetail.aspx?STONELIST=924250499&amp;ISCONFIRM=0" xr:uid="{FD7C3522-861B-4072-9F74-2F1BCCD54D60}"/>
    <hyperlink ref="C250" r:id="rId245" display="https://pld.live/RapDetail.aspx?STONELIST=924830090&amp;ISCONFIRM=0" xr:uid="{FC941FA8-7E5B-460E-B94E-D7D8F0EBB8D5}"/>
    <hyperlink ref="C251" r:id="rId246" display="https://pld.live/RapDetail.aspx?STONELIST=924480014&amp;ISCONFIRM=0" xr:uid="{0A8D3C6A-D52E-4116-9698-A6B6D44D3EF4}"/>
    <hyperlink ref="C252" r:id="rId247" display="https://pld.live/RapDetail.aspx?STONELIST=924190665&amp;ISCONFIRM=0" xr:uid="{A8D55FFE-CEA0-4BC4-869A-DE9A5ACAF2D4}"/>
    <hyperlink ref="C253" r:id="rId248" display="https://pld.live/RapDetail.aspx?STONELIST=923350465&amp;ISCONFIRM=0" xr:uid="{B9972350-0DDA-4D1B-9ADC-195746320770}"/>
    <hyperlink ref="C254" r:id="rId249" display="https://pld.live/RapDetail.aspx?STONELIST=831020399&amp;ISCONFIRM=0" xr:uid="{B37F8639-4639-4907-B09A-0B0ECD3639BB}"/>
    <hyperlink ref="C255" r:id="rId250" display="https://pld.live/RapDetail.aspx?STONELIST=831020539&amp;ISCONFIRM=0" xr:uid="{14600B35-115E-4BFB-B17C-4FF9F9547BF8}"/>
    <hyperlink ref="C256" r:id="rId251" display="https://pld.live/RapDetail.aspx?STONELIST=831020679&amp;ISCONFIRM=0" xr:uid="{6D397744-8635-41D8-89E9-463A288C88EA}"/>
    <hyperlink ref="C257" r:id="rId252" display="https://pld.live/RapDetail.aspx?STONELIST=924250443&amp;ISCONFIRM=0" xr:uid="{87F12F51-25B1-4C43-9FB3-7F62922FBA06}"/>
    <hyperlink ref="C258" r:id="rId253" display="https://pld.live/RapDetail.aspx?STONELIST=923750214&amp;ISCONFIRM=0" xr:uid="{D7BBDC3C-A5E7-45C9-B0B2-68D064290D06}"/>
    <hyperlink ref="C259" r:id="rId254" display="https://pld.live/RapDetail.aspx?STONELIST=925920812&amp;ISCONFIRM=0" xr:uid="{77DF6733-4D52-4F29-BAE1-0F7F28D1EADD}"/>
    <hyperlink ref="C260" r:id="rId255" display="https://pld.live/RapDetail.aspx?STONELIST=924300566&amp;ISCONFIRM=0" xr:uid="{922C657F-E28D-4046-9AEB-5E5BAF97CF2C}"/>
    <hyperlink ref="C261" r:id="rId256" display="https://pld.live/RapDetail.aspx?STONELIST=924380457&amp;ISCONFIRM=0" xr:uid="{E77297C3-168A-4B22-B4CF-A1DECB779753}"/>
    <hyperlink ref="C262" r:id="rId257" display="https://pld.live/RapDetail.aspx?STONELIST=925000125&amp;ISCONFIRM=0" xr:uid="{F423CF66-C04A-43C2-BEE2-DE62F2E44E35}"/>
    <hyperlink ref="C263" r:id="rId258" display="https://pld.live/RapDetail.aspx?STONELIST=831020699&amp;ISCONFIRM=0" xr:uid="{26F20C43-00C1-4ADA-81DC-391501D4AC36}"/>
    <hyperlink ref="C264" r:id="rId259" display="https://pld.live/RapDetail.aspx?STONELIST=831010814&amp;ISCONFIRM=0" xr:uid="{0250D3C0-074F-4B2C-ABBF-31D1682FBA2C}"/>
    <hyperlink ref="C265" r:id="rId260" display="https://pld.live/RapDetail.aspx?STONELIST=925000130&amp;ISCONFIRM=0" xr:uid="{EF6D3B20-A3E6-4E01-80D6-AE1B87CE73D1}"/>
    <hyperlink ref="C266" r:id="rId261" display="https://pld.live/RapDetail.aspx?STONELIST=925770420&amp;ISCONFIRM=0" xr:uid="{5C380957-53D1-43CA-BEFD-27CBCEF0BC6D}"/>
    <hyperlink ref="C267" r:id="rId262" display="https://pld.live/RapDetail.aspx?STONELIST=924250412&amp;ISCONFIRM=0" xr:uid="{E294EC44-9D1E-4F93-A777-8D48D66CD1A7}"/>
    <hyperlink ref="C268" r:id="rId263" display="https://pld.live/RapDetail.aspx?STONELIST=831010643&amp;ISCONFIRM=0" xr:uid="{C39CD82D-66B8-46E0-819E-88ED57E02534}"/>
    <hyperlink ref="C269" r:id="rId264" display="https://pld.live/RapDetail.aspx?STONELIST=926560308&amp;ISCONFIRM=0" xr:uid="{E15D34B2-2AA3-4016-9046-B1A89408B66F}"/>
    <hyperlink ref="C270" r:id="rId265" display="https://pld.live/RapDetail.aspx?STONELIST=924350042&amp;ISCONFIRM=0" xr:uid="{9613D445-4409-457C-BD3E-1E05EC687271}"/>
    <hyperlink ref="C271" r:id="rId266" display="https://pld.live/RapDetail.aspx?STONELIST=925070065&amp;ISCONFIRM=0" xr:uid="{BE1E5AF4-DA8D-4D80-8BF6-B603EB9743D6}"/>
    <hyperlink ref="C272" r:id="rId267" display="https://pld.live/RapDetail.aspx?STONELIST=925541843&amp;ISCONFIRM=0" xr:uid="{6EC5E5A7-4D82-44BB-8698-4282F5128C6F}"/>
    <hyperlink ref="C273" r:id="rId268" display="https://pld.live/RapDetail.aspx?STONELIST=925070046&amp;ISCONFIRM=0" xr:uid="{C0945548-18D1-4F3E-ADF7-8797DF6A9262}"/>
    <hyperlink ref="C274" r:id="rId269" display="https://pld.live/RapDetail.aspx?STONELIST=831020039&amp;ISCONFIRM=0" xr:uid="{7719BB9F-EE84-4A36-8447-E060A2A645E5}"/>
    <hyperlink ref="C275" r:id="rId270" display="https://pld.live/RapDetail.aspx?STONELIST=925730490&amp;ISCONFIRM=0" xr:uid="{78A8364E-1CFE-42FB-8002-582ACAA8A8C6}"/>
    <hyperlink ref="C276" r:id="rId271" display="https://pld.live/RapDetail.aspx?STONELIST=831010787&amp;ISCONFIRM=0" xr:uid="{493F2651-3AEB-4420-B00F-BA165FFC7325}"/>
    <hyperlink ref="C277" r:id="rId272" display="https://pld.live/RapDetail.aspx?STONELIST=831010700&amp;ISCONFIRM=0" xr:uid="{34A14832-B3B5-43F8-BE44-376A46144562}"/>
    <hyperlink ref="C278" r:id="rId273" display="https://pld.live/RapDetail.aspx?STONELIST=925000109&amp;ISCONFIRM=0" xr:uid="{9CD2115D-D1FE-40DB-B15E-6F9504A6339C}"/>
    <hyperlink ref="C279" r:id="rId274" display="https://pld.live/RapDetail.aspx?STONELIST=831020616&amp;ISCONFIRM=0" xr:uid="{DCB5FB53-63D2-4C81-AA1F-1C8B72CD538F}"/>
    <hyperlink ref="C280" r:id="rId275" display="https://pld.live/RapDetail.aspx?STONELIST=924190435&amp;ISCONFIRM=0" xr:uid="{600E86E9-FBAD-4183-92DC-7CB122384011}"/>
    <hyperlink ref="C281" r:id="rId276" display="https://pld.live/RapDetail.aspx?STONELIST=925560046&amp;ISCONFIRM=0" xr:uid="{4F9D29E0-5508-484B-93D6-ACE466F2788C}"/>
    <hyperlink ref="C282" r:id="rId277" display="https://pld.live/RapDetail.aspx?STONELIST=925960973&amp;ISCONFIRM=0" xr:uid="{A1FF898E-B021-4912-9D5E-99550E48C173}"/>
    <hyperlink ref="C283" r:id="rId278" display="https://pld.live/RapDetail.aspx?STONELIST=831020389&amp;ISCONFIRM=0" xr:uid="{0E8539C8-FDA7-4CBE-8285-8EC36241D25A}"/>
    <hyperlink ref="C284" r:id="rId279" display="https://pld.live/RapDetail.aspx?STONELIST=924190441&amp;ISCONFIRM=0" xr:uid="{F25C233A-ACCA-422B-BE8B-9A60CA28643B}"/>
    <hyperlink ref="C285" r:id="rId280" display="https://pld.live/RapDetail.aspx?STONELIST=831020729&amp;ISCONFIRM=0" xr:uid="{BEADE422-F4FA-47C8-991A-58FAB7849EA7}"/>
    <hyperlink ref="C286" r:id="rId281" display="https://pld.live/RapDetail.aspx?STONELIST=925000030&amp;ISCONFIRM=0" xr:uid="{AEB1EC28-5062-4CA9-B0CA-4AE96F2691DA}"/>
    <hyperlink ref="C287" r:id="rId282" display="https://pld.live/RapDetail.aspx?STONELIST=924800081&amp;ISCONFIRM=0" xr:uid="{642329AF-CCBD-42D2-B73A-4EF318CBB6EE}"/>
    <hyperlink ref="C288" r:id="rId283" display="https://pld.live/RapDetail.aspx?STONELIST=831020697&amp;ISCONFIRM=0" xr:uid="{3A2DA660-E9BE-4064-97D8-B446677BA874}"/>
    <hyperlink ref="C289" r:id="rId284" display="https://pld.live/RapDetail.aspx?STONELIST=831020698&amp;ISCONFIRM=0" xr:uid="{D903BDDD-81A2-4D55-8FA4-8CC4032D56C7}"/>
    <hyperlink ref="C290" r:id="rId285" display="https://pld.live/RapDetail.aspx?STONELIST=925971222&amp;ISCONFIRM=0" xr:uid="{58385BDD-C91F-4A6C-A931-4F9350060E5E}"/>
    <hyperlink ref="C291" r:id="rId286" display="https://pld.live/RapDetail.aspx?STONELIST=831020277&amp;ISCONFIRM=0" xr:uid="{4122AA8F-223D-400E-AE6B-830D6038467F}"/>
    <hyperlink ref="C292" r:id="rId287" display="https://pld.live/RapDetail.aspx?STONELIST=926930722&amp;ISCONFIRM=0" xr:uid="{BEA6BC33-AD16-4019-8752-FCDF5BC9D541}"/>
    <hyperlink ref="C293" r:id="rId288" display="https://pld.live/RapDetail.aspx?STONELIST=831010833&amp;ISCONFIRM=0" xr:uid="{BC61D850-62BE-4903-BED8-3ABEC3899786}"/>
    <hyperlink ref="C294" r:id="rId289" display="https://pld.live/RapDetail.aspx?STONELIST=941360373&amp;ISCONFIRM=0" xr:uid="{359D1497-249C-486A-89E8-89EBC0519D8D}"/>
    <hyperlink ref="C295" r:id="rId290" display="https://pld.live/RapDetail.aspx?STONELIST=831010701&amp;ISCONFIRM=0" xr:uid="{44CCF5E6-4AF4-4410-87D8-40EEE5A7A191}"/>
    <hyperlink ref="C296" r:id="rId291" display="https://pld.live/RapDetail.aspx?STONELIST=925501213&amp;ISCONFIRM=0" xr:uid="{81E46A1E-828F-48D4-B86A-BABD4291AB3D}"/>
    <hyperlink ref="C297" r:id="rId292" display="https://pld.live/RapDetail.aspx?STONELIST=925981138&amp;ISCONFIRM=0" xr:uid="{A99E25F4-FC04-4809-98FA-9B0F0786B3D2}"/>
    <hyperlink ref="C298" r:id="rId293" display="https://pld.live/RapDetail.aspx?STONELIST=831020710&amp;ISCONFIRM=0" xr:uid="{C40CB0DE-2135-4C0F-8E1D-4EB53C26DED9}"/>
    <hyperlink ref="C299" r:id="rId294" display="https://pld.live/RapDetail.aspx?STONELIST=924660101&amp;ISCONFIRM=0" xr:uid="{B643A8AA-AB9B-4385-B303-2B0A779D9149}"/>
    <hyperlink ref="C300" r:id="rId295" display="https://pld.live/RapDetail.aspx?STONELIST=927010686&amp;ISCONFIRM=0" xr:uid="{515E36CA-0EC2-4520-A35E-944B43834BF0}"/>
    <hyperlink ref="C301" r:id="rId296" display="https://pld.live/RapDetail.aspx?STONELIST=925310033&amp;ISCONFIRM=0" xr:uid="{B634AD5D-8DE6-495C-AC51-3661C4D0E364}"/>
    <hyperlink ref="C302" r:id="rId297" display="https://pld.live/RapDetail.aspx?STONELIST=927010713&amp;ISCONFIRM=0" xr:uid="{8DF95225-27A3-4B41-8FC1-3231B3D21270}"/>
    <hyperlink ref="C303" r:id="rId298" display="https://pld.live/RapDetail.aspx?STONELIST=941360360&amp;ISCONFIRM=0" xr:uid="{7F4D1414-20DE-4F03-9477-B5CC874C4C05}"/>
    <hyperlink ref="C304" r:id="rId299" display="https://pld.live/RapDetail.aspx?STONELIST=925850519&amp;ISCONFIRM=0" xr:uid="{920D72EA-5B25-4CB1-9F65-1E206D8DE80B}"/>
    <hyperlink ref="C305" r:id="rId300" display="https://pld.live/RapDetail.aspx?STONELIST=925360231&amp;ISCONFIRM=0" xr:uid="{6F2A5069-8750-4C9E-911B-7BE4D07C6BAF}"/>
    <hyperlink ref="C306" r:id="rId301" display="https://pld.live/RapDetail.aspx?STONELIST=821115888&amp;ISCONFIRM=0" xr:uid="{3CBFB085-CC6C-406C-B12D-03BA18BC73A9}"/>
    <hyperlink ref="C307" r:id="rId302" display="https://pld.live/RapDetail.aspx?STONELIST=926540069&amp;ISCONFIRM=0" xr:uid="{D68066A5-B34E-4D3D-AB22-8AAE4416A0CD}"/>
    <hyperlink ref="C308" r:id="rId303" display="https://pld.live/RapDetail.aspx?STONELIST=941400472&amp;ISCONFIRM=0" xr:uid="{C3AB39B9-2E34-4568-B392-164BE0D2E59E}"/>
    <hyperlink ref="C309" r:id="rId304" display="https://pld.live/RapDetail.aspx?STONELIST=941430230&amp;ISCONFIRM=0" xr:uid="{9CBB837E-4B4B-4D63-8DAD-09D9BABD8CC1}"/>
    <hyperlink ref="C310" r:id="rId305" display="https://pld.live/RapDetail.aspx?STONELIST=941420559&amp;ISCONFIRM=0" xr:uid="{BC64D681-1244-4AEC-A670-4810654CA33A}"/>
    <hyperlink ref="C311" r:id="rId306" display="https://pld.live/RapDetail.aspx?STONELIST=941400429&amp;ISCONFIRM=0" xr:uid="{3BC17087-8F0A-41A0-812A-00224BDD301D}"/>
    <hyperlink ref="C312" r:id="rId307" display="https://pld.live/RapDetail.aspx?STONELIST=9415200005&amp;ISCONFIRM=0" xr:uid="{3A74A086-8743-456E-9985-7A578FD8FC68}"/>
    <hyperlink ref="C313" r:id="rId308" display="https://pld.live/RapDetail.aspx?STONELIST=941400469&amp;ISCONFIRM=0" xr:uid="{E83E6CCE-C5E0-4881-80C5-A0F9610D4168}"/>
    <hyperlink ref="C314" r:id="rId309" display="https://pld.live/RapDetail.aspx?STONELIST=941400415&amp;ISCONFIRM=0" xr:uid="{92C3E264-A719-4813-B94B-1D49650A8946}"/>
    <hyperlink ref="C315" r:id="rId310" display="https://pld.live/RapDetail.aspx?STONELIST=941400341&amp;ISCONFIRM=0" xr:uid="{CEE0DE38-55D3-452D-93D2-52F066000CD2}"/>
    <hyperlink ref="C316" r:id="rId311" display="https://pld.live/RapDetail.aspx?STONELIST=941400304&amp;ISCONFIRM=0" xr:uid="{7C98BA54-A175-459B-AF32-AF4D8C646326}"/>
    <hyperlink ref="C317" r:id="rId312" display="https://pld.live/RapDetail.aspx?STONELIST=941430411&amp;ISCONFIRM=0" xr:uid="{59A76708-7110-4CC5-9E5F-AD6AC582338B}"/>
    <hyperlink ref="C318" r:id="rId313" display="https://pld.live/RapDetail.aspx?STONELIST=941420389&amp;ISCONFIRM=0" xr:uid="{E78DF575-9DB1-4F98-B586-1CF241FCB853}"/>
    <hyperlink ref="C319" r:id="rId314" display="https://pld.live/RapDetail.aspx?STONELIST=927000557&amp;ISCONFIRM=0" xr:uid="{E0E7E284-89E8-49C5-B9AA-C30DE037D726}"/>
    <hyperlink ref="C320" r:id="rId315" display="https://pld.live/RapDetail.aspx?STONELIST=941390199&amp;ISCONFIRM=0" xr:uid="{F611BA60-F121-42B0-9F44-F0524172A06C}"/>
    <hyperlink ref="C321" r:id="rId316" display="https://pld.live/RapDetail.aspx?STONELIST=941390097&amp;ISCONFIRM=0" xr:uid="{FFC6B546-9D25-49F5-B226-064EA3BB6BE6}"/>
    <hyperlink ref="C322" r:id="rId317" display="https://pld.live/RapDetail.aspx?STONELIST=941450090&amp;ISCONFIRM=0" xr:uid="{65C0605F-87F9-4B91-88C6-5674A21682AC}"/>
    <hyperlink ref="C323" r:id="rId318" display="https://pld.live/RapDetail.aspx?STONELIST=941420955&amp;ISCONFIRM=0" xr:uid="{8F2066B6-4DB7-4A97-82A3-876B81D1029C}"/>
    <hyperlink ref="C324" r:id="rId319" display="https://pld.live/RapDetail.aspx?STONELIST=941390263&amp;ISCONFIRM=0" xr:uid="{DD8FEDA3-5483-4611-8053-2B64E3EC2175}"/>
    <hyperlink ref="C325" r:id="rId320" display="https://pld.live/RapDetail.aspx?STONELIST=941390250&amp;ISCONFIRM=0" xr:uid="{F6E6C255-A1F0-4B65-AC25-41DB2482D82D}"/>
    <hyperlink ref="C326" r:id="rId321" display="https://pld.live/RapDetail.aspx?STONELIST=941430593&amp;ISCONFIRM=0" xr:uid="{5E45BCE6-BCED-4E4E-B4E3-E1FD2F1E4492}"/>
    <hyperlink ref="C327" r:id="rId322" display="https://pld.live/RapDetail.aspx?STONELIST=941430462&amp;ISCONFIRM=0" xr:uid="{15CEA9BD-C5B1-4C2D-943B-D6B4A0FF2BA4}"/>
    <hyperlink ref="C328" r:id="rId323" display="https://pld.live/RapDetail.aspx?STONELIST=941400116&amp;ISCONFIRM=0" xr:uid="{CB3278E3-6940-4090-887C-A0987EB78B76}"/>
    <hyperlink ref="C329" r:id="rId324" display="https://pld.live/RapDetail.aspx?STONELIST=941400231&amp;ISCONFIRM=0" xr:uid="{B4A24635-3021-45CB-9307-900F34BF0117}"/>
    <hyperlink ref="C330" r:id="rId325" display="https://pld.live/RapDetail.aspx?STONELIST=941390157&amp;ISCONFIRM=0" xr:uid="{77B6F367-834D-4E1A-AC4B-729917175BFD}"/>
    <hyperlink ref="C331" r:id="rId326" display="https://pld.live/RapDetail.aspx?STONELIST=941430412&amp;ISCONFIRM=0" xr:uid="{93A75C22-79A8-4E83-9414-AB5E516E86D4}"/>
    <hyperlink ref="C332" r:id="rId327" display="https://pld.live/RapDetail.aspx?STONELIST=941400286&amp;ISCONFIRM=0" xr:uid="{CEEFBBE4-2483-450B-B09D-319A6BB4148B}"/>
    <hyperlink ref="C333" r:id="rId328" display="https://pld.live/RapDetail.aspx?STONELIST=941420662&amp;ISCONFIRM=0" xr:uid="{F58152DB-049A-4391-A015-DD1364FABA99}"/>
    <hyperlink ref="C334" r:id="rId329" display="https://pld.live/RapDetail.aspx?STONELIST=941390201&amp;ISCONFIRM=0" xr:uid="{B7E692CE-84F8-4E0A-A9DA-24412A5052D3}"/>
    <hyperlink ref="C335" r:id="rId330" display="https://pld.live/RapDetail.aspx?STONELIST=941400423&amp;ISCONFIRM=0" xr:uid="{138943BF-2197-4548-B07F-DABCE4EF00B3}"/>
    <hyperlink ref="C336" r:id="rId331" display="https://pld.live/RapDetail.aspx?STONELIST=941400421&amp;ISCONFIRM=0" xr:uid="{F8402B96-6CF3-4862-95F7-0CF655C310A3}"/>
    <hyperlink ref="C337" r:id="rId332" display="https://pld.live/RapDetail.aspx?STONELIST=926910506&amp;ISCONFIRM=0" xr:uid="{32465DFD-4523-416E-9917-6ACA284A15C8}"/>
    <hyperlink ref="C338" r:id="rId333" display="https://pld.live/RapDetail.aspx?STONELIST=941431263&amp;ISCONFIRM=0" xr:uid="{E1460B76-9A65-42BC-B69F-0BF383149DA3}"/>
    <hyperlink ref="C339" r:id="rId334" display="https://pld.live/RapDetail.aspx?STONELIST=941110083&amp;ISCONFIRM=0" xr:uid="{7240D761-F560-49E1-8E54-698457E59438}"/>
    <hyperlink ref="C340" r:id="rId335" display="https://pld.live/RapDetail.aspx?STONELIST=941380307&amp;ISCONFIRM=0" xr:uid="{C0F9389F-D0E7-4740-BCCF-2CD12ECA0F56}"/>
    <hyperlink ref="C341" r:id="rId336" display="https://pld.live/RapDetail.aspx?STONELIST=941400470&amp;ISCONFIRM=0" xr:uid="{8AEAB222-EE7C-4F2A-85EC-51188E9259E0}"/>
    <hyperlink ref="C342" r:id="rId337" display="https://pld.live/RapDetail.aspx?STONELIST=941360358&amp;ISCONFIRM=0" xr:uid="{2F552D9D-D20C-4355-8EAC-A5D209C8EDFE}"/>
    <hyperlink ref="C343" r:id="rId338" display="https://pld.live/RapDetail.aspx?STONELIST=941420950&amp;ISCONFIRM=0" xr:uid="{85B4CF4D-EC9C-483F-B5CD-3ACC81C2A851}"/>
    <hyperlink ref="C344" r:id="rId339" display="https://pld.live/RapDetail.aspx?STONELIST=941120547&amp;ISCONFIRM=0" xr:uid="{26292980-07E4-4318-9571-EE9F8B576A17}"/>
    <hyperlink ref="C345" r:id="rId340" display="https://pld.live/RapDetail.aspx?STONELIST=941400233&amp;ISCONFIRM=0" xr:uid="{C6CAE437-22B5-45FC-B2A3-F9D814819A2F}"/>
    <hyperlink ref="C346" r:id="rId341" display="https://pld.live/RapDetail.aspx?STONELIST=821130343&amp;ISCONFIRM=0" xr:uid="{FD00FCD1-A828-41E2-A9C0-01D41113118E}"/>
    <hyperlink ref="C347" r:id="rId342" display="https://pld.live/RapDetail.aspx?STONELIST=821130324&amp;ISCONFIRM=0" xr:uid="{94B66312-FF00-4746-A7D4-ADBAEA6D1840}"/>
    <hyperlink ref="C348" r:id="rId343" display="https://pld.live/RapDetail.aspx?STONELIST=831010832&amp;ISCONFIRM=0" xr:uid="{CD33DC1B-587D-4B1C-8C30-D1A628FC9A75}"/>
    <hyperlink ref="C349" r:id="rId344" display="https://pld.live/RapDetail.aspx?STONELIST=941400342&amp;ISCONFIRM=0" xr:uid="{7C6F4216-6FF5-4FB9-9049-6FD021BD144D}"/>
    <hyperlink ref="C350" r:id="rId345" display="https://pld.live/RapDetail.aspx?STONELIST=941120312&amp;ISCONFIRM=0" xr:uid="{E19F2DC1-156F-45B0-A1C2-1C9C3C14B1E9}"/>
    <hyperlink ref="C351" r:id="rId346" display="https://pld.live/RapDetail.aspx?STONELIST=926960797&amp;ISCONFIRM=0" xr:uid="{26EF9810-5BC6-49D2-B5CF-E75E02CB70B3}"/>
    <hyperlink ref="C352" r:id="rId347" display="https://pld.live/RapDetail.aspx?STONELIST=941110115&amp;ISCONFIRM=0" xr:uid="{0C1B40F5-0C28-4193-927E-CC13F2DD4E85}"/>
    <hyperlink ref="C353" r:id="rId348" display="https://pld.live/RapDetail.aspx?STONELIST=941080478&amp;ISCONFIRM=0" xr:uid="{CA8F2B16-1987-4120-8157-FA14F5846961}"/>
    <hyperlink ref="C354" r:id="rId349" display="https://pld.live/RapDetail.aspx?STONELIST=821130332&amp;ISCONFIRM=0" xr:uid="{A54BABF7-697B-4E61-8B67-62B2913E6D1D}"/>
    <hyperlink ref="C355" r:id="rId350" display="https://pld.live/RapDetail.aspx?STONELIST=831020662&amp;ISCONFIRM=0" xr:uid="{852FDFC0-BAE4-4D7B-BAC8-D898FCE635D2}"/>
    <hyperlink ref="C356" r:id="rId351" display="https://pld.live/RapDetail.aspx?STONELIST=831020709&amp;ISCONFIRM=0" xr:uid="{8424401F-7B49-4007-AEA3-1D2F457BA3F3}"/>
    <hyperlink ref="C357" r:id="rId352" display="https://pld.live/RapDetail.aspx?STONELIST=927170001&amp;ISCONFIRM=0" xr:uid="{51BFE52B-FEC0-4750-BFD2-A0CD7E7B49F0}"/>
    <hyperlink ref="C358" r:id="rId353" display="https://pld.live/RapDetail.aspx?STONELIST=941400363&amp;ISCONFIRM=0" xr:uid="{8B77ED7D-E4A8-4343-8865-29BBF631D840}"/>
    <hyperlink ref="C359" r:id="rId354" display="https://pld.live/RapDetail.aspx?STONELIST=831010813&amp;ISCONFIRM=0" xr:uid="{865B5F7A-6BC7-4820-8DED-0E9EA345052D}"/>
    <hyperlink ref="C360" r:id="rId355" display="https://pld.live/RapDetail.aspx?STONELIST=941400422&amp;ISCONFIRM=0" xr:uid="{C6BCE072-CBA4-4854-92E7-F0AF8A65146D}"/>
    <hyperlink ref="C361" r:id="rId356" display="https://pld.live/RapDetail.aspx?STONELIST=941110084&amp;ISCONFIRM=0" xr:uid="{E7F02EE8-6316-4333-938B-E648D656C808}"/>
    <hyperlink ref="C362" r:id="rId357" display="https://pld.live/RapDetail.aspx?STONELIST=941421267&amp;ISCONFIRM=0" xr:uid="{0C000A2E-41C4-4503-B7D3-202D905152CA}"/>
    <hyperlink ref="C363" r:id="rId358" display="https://pld.live/RapDetail.aspx?STONELIST=941400328&amp;ISCONFIRM=0" xr:uid="{6FA13707-9CAB-4ED9-B608-6602F6EA2E6E}"/>
    <hyperlink ref="C364" r:id="rId359" display="https://pld.live/RapDetail.aspx?STONELIST=925310287&amp;ISCONFIRM=0" xr:uid="{42434ADD-7232-409B-9A42-CCB6B46405C7}"/>
    <hyperlink ref="C365" r:id="rId360" display="https://pld.live/RapDetail.aspx?STONELIST=926960730&amp;ISCONFIRM=0" xr:uid="{98A9591A-973D-4F86-AC61-8FE239C3E1F7}"/>
    <hyperlink ref="C366" r:id="rId361" display="https://pld.live/RapDetail.aspx?STONELIST=9414500410&amp;ISCONFIRM=0" xr:uid="{76C392B4-79C6-4E56-8481-B498DE5C85A1}"/>
    <hyperlink ref="C367" r:id="rId362" display="https://pld.live/RapDetail.aspx?STONELIST=821130323&amp;ISCONFIRM=0" xr:uid="{03F4B822-FC98-4F75-9C50-447D01020586}"/>
    <hyperlink ref="C368" r:id="rId363" display="https://pld.live/RapDetail.aspx?STONELIST=925310007&amp;ISCONFIRM=0" xr:uid="{E23B66B0-3370-4610-B6B0-6153E1C4948D}"/>
    <hyperlink ref="C369" r:id="rId364" display="https://pld.live/RapDetail.aspx?STONELIST=941421238&amp;ISCONFIRM=0" xr:uid="{EA9B8566-D809-4CC7-BA31-657CC236372B}"/>
    <hyperlink ref="C370" r:id="rId365" display="https://pld.live/RapDetail.aspx?STONELIST=941431165&amp;ISCONFIRM=0" xr:uid="{BAD1ECE1-E207-40E4-A2D5-F77ACBF01C94}"/>
    <hyperlink ref="C371" r:id="rId366" display="https://pld.live/RapDetail.aspx?STONELIST=821130290&amp;ISCONFIRM=0" xr:uid="{3A45EDA0-F7F7-45EA-A3C1-A98D2D1BC71A}"/>
    <hyperlink ref="C372" r:id="rId367" display="https://pld.live/RapDetail.aspx?STONELIST=941420951&amp;ISCONFIRM=0" xr:uid="{FACC5FF9-7B61-41BF-A7A0-7B0420411F6E}"/>
    <hyperlink ref="C373" r:id="rId368" display="https://pld.live/RapDetail.aspx?STONELIST=831010812&amp;ISCONFIRM=0" xr:uid="{95B50DEE-1E8B-48A5-A116-6C4587B489F6}"/>
    <hyperlink ref="C374" r:id="rId369" display="https://pld.live/RapDetail.aspx?STONELIST=941420917&amp;ISCONFIRM=0" xr:uid="{6F4272DA-9F92-4FD2-8468-DADDF7938C7E}"/>
    <hyperlink ref="C375" r:id="rId370" display="https://pld.live/RapDetail.aspx?STONELIST=926470161&amp;ISCONFIRM=0" xr:uid="{E6CB29B5-A3A3-48A6-8673-58F854FAB610}"/>
    <hyperlink ref="C376" r:id="rId371" display="https://pld.live/RapDetail.aspx?STONELIST=941431166&amp;ISCONFIRM=0" xr:uid="{1D7340E4-FBE9-40BE-A2CC-67BF86545531}"/>
    <hyperlink ref="C377" r:id="rId372" display="https://pld.live/RapDetail.aspx?STONELIST=941390370&amp;ISCONFIRM=0" xr:uid="{37449FDC-3EB8-463F-A471-87BB6CA81EC6}"/>
    <hyperlink ref="C378" r:id="rId373" display="https://pld.live/RapDetail.aspx?STONELIST=821130334&amp;ISCONFIRM=0" xr:uid="{90276B01-E6B8-40E8-A061-D9CD8FF6661E}"/>
    <hyperlink ref="C379" r:id="rId374" display="https://pld.live/RapDetail.aspx?STONELIST=925861871&amp;ISCONFIRM=0" xr:uid="{F32AE681-F2D6-4D4F-B330-39AE3513B76F}"/>
    <hyperlink ref="C380" r:id="rId375" display="https://pld.live/RapDetail.aspx?STONELIST=941360345&amp;ISCONFIRM=0" xr:uid="{9D0299A7-0E8F-47FE-82FF-4824F317088B}"/>
    <hyperlink ref="C381" r:id="rId376" display="https://pld.live/RapDetail.aspx?STONELIST=941400463&amp;ISCONFIRM=0" xr:uid="{084CCC11-7811-45D3-A302-C33DDB72DDE1}"/>
    <hyperlink ref="C382" r:id="rId377" display="https://pld.live/RapDetail.aspx?STONELIST=821130345&amp;ISCONFIRM=0" xr:uid="{6B96B8AF-3C35-4E63-919B-64C01EAE71CB}"/>
    <hyperlink ref="C383" r:id="rId378" display="https://pld.live/RapDetail.aspx?STONELIST=941400494&amp;ISCONFIRM=0" xr:uid="{6BAC7FDB-982B-431A-9F84-A78AD2079D7A}"/>
    <hyperlink ref="C384" r:id="rId379" display="https://pld.live/RapDetail.aspx?STONELIST=941150099&amp;ISCONFIRM=0" xr:uid="{1FD6E2C6-8E96-4510-B9C1-312CE9B26C30}"/>
    <hyperlink ref="C385" r:id="rId380" display="https://pld.live/RapDetail.aspx?STONELIST=926020668&amp;ISCONFIRM=0" xr:uid="{67E478AD-FFB1-4A16-8584-F348F9E3ADD8}"/>
    <hyperlink ref="C386" r:id="rId381" display="https://pld.live/RapDetail.aspx?STONELIST=941110572&amp;ISCONFIRM=0" xr:uid="{30A7F26E-52D9-4FE0-A9AC-4ED7E8942814}"/>
    <hyperlink ref="C387" r:id="rId382" display="https://pld.live/RapDetail.aspx?STONELIST=925921054&amp;ISCONFIRM=0" xr:uid="{27E4271F-D058-4DD6-B174-E9FEC6762F59}"/>
    <hyperlink ref="C388" r:id="rId383" display="https://pld.live/RapDetail.aspx?STONELIST=831020612&amp;ISCONFIRM=0" xr:uid="{3C7337F9-34A7-4A52-A3AB-79011A54EBE3}"/>
    <hyperlink ref="C389" r:id="rId384" display="https://pld.live/RapDetail.aspx?STONELIST=831010752&amp;ISCONFIRM=0" xr:uid="{861431D1-4E61-4146-915C-3AA7B2AC18BC}"/>
    <hyperlink ref="C390" r:id="rId385" display="https://pld.live/RapDetail.aspx?STONELIST=925951091&amp;ISCONFIRM=0" xr:uid="{23885229-7810-41CF-891E-A422BDC61821}"/>
    <hyperlink ref="C391" r:id="rId386" display="https://pld.live/RapDetail.aspx?STONELIST=941360461&amp;ISCONFIRM=0" xr:uid="{0CB83764-A833-4ABC-813D-2B0277683FE6}"/>
    <hyperlink ref="C392" r:id="rId387" display="https://pld.live/RapDetail.aspx?STONELIST=925110183&amp;ISCONFIRM=0" xr:uid="{3FDD18E4-2FEC-4FCC-ACEF-192E00C497A5}"/>
    <hyperlink ref="C393" r:id="rId388" display="https://pld.live/RapDetail.aspx?STONELIST=925550922&amp;ISCONFIRM=0" xr:uid="{67EDD863-23DB-4AD4-B00B-E13E3B650104}"/>
    <hyperlink ref="C394" r:id="rId389" display="https://pld.live/RapDetail.aspx?STONELIST=831020508&amp;ISCONFIRM=0" xr:uid="{95631600-93E8-4E05-A8F9-FBB9538A829E}"/>
    <hyperlink ref="C395" r:id="rId390" display="https://pld.live/RapDetail.aspx?STONELIST=831020510&amp;ISCONFIRM=0" xr:uid="{391F7BC5-0EB8-456D-AD79-6417DEADE1B4}"/>
    <hyperlink ref="C396" r:id="rId391" display="https://pld.live/RapDetail.aspx?STONELIST=831010631&amp;ISCONFIRM=0" xr:uid="{E3E992CC-4FEF-4F47-88A6-7131705843B4}"/>
    <hyperlink ref="C397" r:id="rId392" display="https://pld.live/RapDetail.aspx?STONELIST=925960926&amp;ISCONFIRM=0" xr:uid="{271E9DD9-D313-4FC1-A091-E3D6A2339121}"/>
    <hyperlink ref="C398" r:id="rId393" display="https://pld.live/RapDetail.aspx?STONELIST=925851270&amp;ISCONFIRM=0" xr:uid="{B30F17D7-F608-4E18-BCFA-CB1FBC1B5C23}"/>
    <hyperlink ref="C399" r:id="rId394" display="https://pld.live/RapDetail.aspx?STONELIST=925951282&amp;ISCONFIRM=0" xr:uid="{21E6AF95-4961-4F9D-8FFE-F6185B9570C1}"/>
    <hyperlink ref="C400" r:id="rId395" display="https://pld.live/RapDetail.aspx?STONELIST=925981087&amp;ISCONFIRM=0" xr:uid="{B40E3E53-63F3-455E-982F-5866DCBEB8CB}"/>
    <hyperlink ref="C401" r:id="rId396" display="https://pld.live/RapDetail.aspx?STONELIST=925310247&amp;ISCONFIRM=0" xr:uid="{311BF786-0513-4570-A67A-1F70CCC02BC1}"/>
    <hyperlink ref="C402" r:id="rId397" display="https://pld.live/RapDetail.aspx?STONELIST=925000176&amp;ISCONFIRM=0" xr:uid="{C2259DF6-8795-4788-A9BF-DF5E1CCB1ACE}"/>
    <hyperlink ref="C403" r:id="rId398" display="https://pld.live/RapDetail.aspx?STONELIST=925310307&amp;ISCONFIRM=0" xr:uid="{3CD92258-87C5-48D7-A745-8D26CCB203EB}"/>
    <hyperlink ref="C404" r:id="rId399" display="https://pld.live/RapDetail.aspx?STONELIST=925951252&amp;ISCONFIRM=0" xr:uid="{E76CA387-8249-4627-9885-B519381FCDB9}"/>
    <hyperlink ref="C405" r:id="rId400" display="https://pld.live/RapDetail.aspx?STONELIST=831020611&amp;ISCONFIRM=0" xr:uid="{969D491A-FC8A-4297-AD03-2D34A02B087E}"/>
    <hyperlink ref="C406" r:id="rId401" display="https://pld.live/RapDetail.aspx?STONELIST=831020506&amp;ISCONFIRM=0" xr:uid="{8618CFCB-F554-4DF2-B459-41F0711592EB}"/>
    <hyperlink ref="C407" r:id="rId402" display="https://pld.live/RapDetail.aspx?STONELIST=941340073&amp;ISCONFIRM=0" xr:uid="{A25F04B6-B7A3-42AF-868D-78F8A3D175BD}"/>
    <hyperlink ref="C408" r:id="rId403" display="https://pld.live/RapDetail.aspx?STONELIST=925240026&amp;ISCONFIRM=0" xr:uid="{0CB1E476-0BC5-4B81-906C-C34E3DAB744B}"/>
    <hyperlink ref="C409" r:id="rId404" display="https://pld.live/RapDetail.aspx?STONELIST=925730747&amp;ISCONFIRM=0" xr:uid="{B2C0C25A-5A25-4492-B08D-66A9C49C46B4}"/>
    <hyperlink ref="C410" r:id="rId405" display="https://pld.live/RapDetail.aspx?STONELIST=925731432&amp;ISCONFIRM=0" xr:uid="{503B3C14-D606-4DD0-8895-0BC68698BF63}"/>
    <hyperlink ref="C411" r:id="rId406" display="https://pld.live/RapDetail.aspx?STONELIST=925861526&amp;ISCONFIRM=0" xr:uid="{85E4FFB9-D013-4528-870E-98C4144A9FDF}"/>
    <hyperlink ref="C412" r:id="rId407" display="https://pld.live/RapDetail.aspx?STONELIST=925541722&amp;ISCONFIRM=0" xr:uid="{30B49F59-C631-4F80-B733-A9D4E258E969}"/>
    <hyperlink ref="C413" r:id="rId408" display="https://pld.live/RapDetail.aspx?STONELIST=831010843&amp;ISCONFIRM=0" xr:uid="{3A9B299B-A14F-4CA0-80FD-115FEF7C4371}"/>
    <hyperlink ref="C414" r:id="rId409" display="https://pld.live/RapDetail.aspx?STONELIST=831020665&amp;ISCONFIRM=0" xr:uid="{A5C4BDDD-CD8E-405B-AFAF-61B804A25F89}"/>
    <hyperlink ref="C415" r:id="rId410" display="https://pld.live/RapDetail.aspx?STONELIST=925180071&amp;ISCONFIRM=0" xr:uid="{EAD096D8-DEE0-41BD-932F-179644865172}"/>
    <hyperlink ref="C416" r:id="rId411" display="https://pld.live/RapDetail.aspx?STONELIST=925951088&amp;ISCONFIRM=0" xr:uid="{A0A3A56A-8AF5-4410-AE1B-620414D62C3A}"/>
    <hyperlink ref="C417" r:id="rId412" display="https://pld.live/RapDetail.aspx?STONELIST=924830152&amp;ISCONFIRM=0" xr:uid="{4C49183B-24BF-425E-AECA-05A13E5AEB04}"/>
    <hyperlink ref="C418" r:id="rId413" display="https://pld.live/RapDetail.aspx?STONELIST=925951079&amp;ISCONFIRM=0" xr:uid="{27E7B42C-C9D7-414B-BD0F-579C203B2D86}"/>
    <hyperlink ref="C419" r:id="rId414" display="https://pld.live/RapDetail.aspx?STONELIST=925800965&amp;ISCONFIRM=0" xr:uid="{146C65A9-A4F2-4212-AF74-07C6160AA588}"/>
    <hyperlink ref="C420" r:id="rId415" display="https://pld.live/RapDetail.aspx?STONELIST=925851229&amp;ISCONFIRM=0" xr:uid="{4F0B8DCA-1667-404C-A5EF-04869A2B4301}"/>
    <hyperlink ref="C421" r:id="rId416" display="https://pld.live/RapDetail.aspx?STONELIST=925300123&amp;ISCONFIRM=0" xr:uid="{DE50801D-FE98-420A-9850-5D6316B1E08E}"/>
    <hyperlink ref="C422" r:id="rId417" display="https://pld.live/RapDetail.aspx?STONELIST=831020734&amp;ISCONFIRM=0" xr:uid="{4228F5B5-6123-4EBD-B99D-54102A423028}"/>
    <hyperlink ref="C423" r:id="rId418" display="https://pld.live/RapDetail.aspx?STONELIST=925720369&amp;ISCONFIRM=0" xr:uid="{B90BF226-9D9B-464C-8A57-E40DE3FE433C}"/>
    <hyperlink ref="C424" r:id="rId419" display="https://pld.live/RapDetail.aspx?STONELIST=925120323&amp;ISCONFIRM=0" xr:uid="{0D435698-484B-487F-9BCF-46A5A69F9FA4}"/>
    <hyperlink ref="C425" r:id="rId420" display="https://pld.live/RapDetail.aspx?STONELIST=925961061&amp;ISCONFIRM=0" xr:uid="{B55818E7-D7F5-491F-98BC-C4ECC443E18F}"/>
    <hyperlink ref="C426" r:id="rId421" display="https://pld.live/RapDetail.aspx?STONELIST=925861790&amp;ISCONFIRM=0" xr:uid="{F4D520F7-35DD-403D-8757-B7F8D3C4BEFE}"/>
    <hyperlink ref="C427" r:id="rId422" display="https://pld.live/RapDetail.aspx?STONELIST=924390253&amp;ISCONFIRM=0" xr:uid="{55E5C62F-DD1E-4028-B651-2B8FC6802A32}"/>
    <hyperlink ref="C428" r:id="rId423" display="https://pld.live/RapDetail.aspx?STONELIST=831020504&amp;ISCONFIRM=0" xr:uid="{1C210653-1D15-4925-8916-2427063D4D86}"/>
    <hyperlink ref="C429" r:id="rId424" display="https://pld.live/RapDetail.aspx?STONELIST=925861202&amp;ISCONFIRM=0" xr:uid="{6945B77C-BA18-402B-9DA3-1930F210B11F}"/>
    <hyperlink ref="C430" r:id="rId425" display="https://pld.live/RapDetail.aspx?STONELIST=925951127&amp;ISCONFIRM=0" xr:uid="{22474A7F-5349-4A5B-A7D8-3697E2F3FAE7}"/>
    <hyperlink ref="C431" r:id="rId426" display="https://pld.live/RapDetail.aspx?STONELIST=831020678&amp;ISCONFIRM=0" xr:uid="{A8B935A3-CDB1-4273-B752-FB5501E8C6E8}"/>
    <hyperlink ref="C432" r:id="rId427" display="https://pld.live/RapDetail.aspx?STONELIST=831010824&amp;ISCONFIRM=0" xr:uid="{28C96950-7AC4-4498-9B11-F557B2A799CF}"/>
    <hyperlink ref="C433" r:id="rId428" display="https://pld.live/RapDetail.aspx?STONELIST=831010629&amp;ISCONFIRM=0" xr:uid="{1F9643FA-612F-47C9-9052-0B124722885D}"/>
    <hyperlink ref="C434" r:id="rId429" display="https://pld.live/RapDetail.aspx?STONELIST=924700082&amp;ISCONFIRM=0" xr:uid="{B12DA908-9BB3-4962-9DEF-C8C94FFF40FA}"/>
    <hyperlink ref="C435" r:id="rId430" display="https://pld.live/RapDetail.aspx?STONELIST=925440040&amp;ISCONFIRM=0" xr:uid="{13137C68-7879-470B-A832-7FA67FD10D51}"/>
    <hyperlink ref="C436" r:id="rId431" display="https://pld.live/RapDetail.aspx?STONELIST=925520903&amp;ISCONFIRM=0" xr:uid="{AB77280C-8488-4E9B-8451-6941BDCF8967}"/>
    <hyperlink ref="C437" r:id="rId432" display="https://pld.live/RapDetail.aspx?STONELIST=925620956&amp;ISCONFIRM=0" xr:uid="{FF78B8D1-B742-4C2D-9353-407D23142780}"/>
    <hyperlink ref="C438" r:id="rId433" display="https://pld.live/RapDetail.aspx?STONELIST=926071779&amp;ISCONFIRM=0" xr:uid="{5BAE0D05-37FB-4153-BE22-B55F0075E87D}"/>
    <hyperlink ref="C439" r:id="rId434" display="https://pld.live/RapDetail.aspx?STONELIST=926041232&amp;ISCONFIRM=0" xr:uid="{764FD14E-B94A-4872-9F26-F607ACCCC890}"/>
    <hyperlink ref="C440" r:id="rId435" display="https://pld.live/RapDetail.aspx?STONELIST=926201169&amp;ISCONFIRM=0" xr:uid="{B39C3AF8-AAB8-4BD1-9E31-261AE726E778}"/>
    <hyperlink ref="C441" r:id="rId436" display="https://pld.live/RapDetail.aspx?STONELIST=831010618&amp;ISCONFIRM=0" xr:uid="{244BFAA7-5213-4D0E-8D8B-7583ADF6852D}"/>
    <hyperlink ref="C442" r:id="rId437" display="https://pld.live/RapDetail.aspx?STONELIST=831010622&amp;ISCONFIRM=0" xr:uid="{23D91774-0694-495E-B013-27F53EEE3BBF}"/>
    <hyperlink ref="C443" r:id="rId438" display="https://pld.live/RapDetail.aspx?STONELIST=831010623&amp;ISCONFIRM=0" xr:uid="{A88D2B72-A7F2-4CCA-8510-D0FFA3AE0297}"/>
    <hyperlink ref="C444" r:id="rId439" display="https://pld.live/RapDetail.aspx?STONELIST=925801750&amp;ISCONFIRM=0" xr:uid="{4175F514-D851-4F7F-BEBE-29C394FA77CD}"/>
    <hyperlink ref="C445" r:id="rId440" display="https://pld.live/RapDetail.aspx?STONELIST=831010831&amp;ISCONFIRM=0" xr:uid="{B44AC036-01DF-494A-9B8B-9286010E4C3A}"/>
    <hyperlink ref="C446" r:id="rId441" display="https://pld.live/RapDetail.aspx?STONELIST=926041279&amp;ISCONFIRM=0" xr:uid="{1FA170B3-A5C3-4A22-BF86-7164034509A5}"/>
    <hyperlink ref="C447" r:id="rId442" display="https://pld.live/RapDetail.aspx?STONELIST=924700172&amp;ISCONFIRM=0" xr:uid="{F660018A-C20D-4D22-A33C-F800314255F0}"/>
    <hyperlink ref="C448" r:id="rId443" display="https://pld.live/RapDetail.aspx?STONELIST=831010007&amp;ISCONFIRM=0" xr:uid="{9368967A-9E16-4065-A3D1-5DCA61DB7F8A}"/>
    <hyperlink ref="C449" r:id="rId444" display="https://pld.live/RapDetail.aspx?STONELIST=925542398&amp;ISCONFIRM=0" xr:uid="{5CD1E8EB-5E97-43F0-9AEE-FB14CFEC63DA}"/>
    <hyperlink ref="C450" r:id="rId445" display="https://pld.live/RapDetail.aspx?STONELIST=831010830&amp;ISCONFIRM=0" xr:uid="{7074BD93-D965-44E6-AF3F-833AAAE3E747}"/>
    <hyperlink ref="C451" r:id="rId446" display="https://pld.live/RapDetail.aspx?STONELIST=925560077&amp;ISCONFIRM=0" xr:uid="{07D40408-6E2C-4182-A7F2-2C83518B79C9}"/>
    <hyperlink ref="C452" r:id="rId447" display="https://pld.live/RapDetail.aspx?STONELIST=925621525&amp;ISCONFIRM=0" xr:uid="{E13AC71F-59F9-416A-A8C6-3C8431B5A625}"/>
    <hyperlink ref="C453" r:id="rId448" display="https://pld.live/RapDetail.aspx?STONELIST=926100925&amp;ISCONFIRM=0" xr:uid="{91A216E7-21F1-41D0-BC05-8D01E2B308E3}"/>
    <hyperlink ref="C454" r:id="rId449" display="https://pld.live/RapDetail.aspx?STONELIST=926101371&amp;ISCONFIRM=0" xr:uid="{543FFED6-670B-463B-83B3-D67100642E89}"/>
    <hyperlink ref="C455" r:id="rId450" display="https://pld.live/RapDetail.aspx?STONELIST=831010602&amp;ISCONFIRM=0" xr:uid="{236EDFFC-8522-46EB-BFC4-0E667106546F}"/>
    <hyperlink ref="C456" r:id="rId451" display="https://pld.live/RapDetail.aspx?STONELIST=925971224&amp;ISCONFIRM=0" xr:uid="{8555D4AF-1BE1-4674-81D7-38DE5FDECCDE}"/>
    <hyperlink ref="C457" r:id="rId452" display="https://pld.live/RapDetail.aspx?STONELIST=925540674&amp;ISCONFIRM=0" xr:uid="{5B993F44-C1C0-4F3C-A1F1-14A3CC2875AD}"/>
    <hyperlink ref="C458" r:id="rId453" display="https://pld.live/RapDetail.aspx?STONELIST=925521314&amp;ISCONFIRM=0" xr:uid="{49332739-2302-4617-8A91-8BA5E986D3BB}"/>
    <hyperlink ref="C459" r:id="rId454" display="https://pld.live/RapDetail.aspx?STONELIST=925950896&amp;ISCONFIRM=0" xr:uid="{4148CEA9-6DDF-475F-B277-5E84BD57401E}"/>
    <hyperlink ref="C460" r:id="rId455" display="https://pld.live/RapDetail.aspx?STONELIST=927070573&amp;ISCONFIRM=0" xr:uid="{E53DAF1F-81E6-4A8C-B13A-30CF5197278B}"/>
    <hyperlink ref="C461" r:id="rId456" display="https://pld.live/RapDetail.aspx?STONELIST=925300027&amp;ISCONFIRM=0" xr:uid="{32B18C48-C9FD-4935-8BD0-FD1BF06557E9}"/>
    <hyperlink ref="C462" r:id="rId457" display="https://pld.live/RapDetail.aspx?STONELIST=925360258&amp;ISCONFIRM=0" xr:uid="{9B1D6D7A-72EE-421A-8229-3C50C413A9D3}"/>
    <hyperlink ref="C463" r:id="rId458" display="https://pld.live/RapDetail.aspx?STONELIST=926040841&amp;ISCONFIRM=0" xr:uid="{75F4F8DD-7EF9-4F10-9B84-105F7F9FD62E}"/>
    <hyperlink ref="C464" r:id="rId459" display="https://pld.live/RapDetail.aspx?STONELIST=926020666&amp;ISCONFIRM=0" xr:uid="{A13C7000-985E-41F9-882F-B08B86CB7713}"/>
    <hyperlink ref="C465" r:id="rId460" display="https://pld.live/RapDetail.aspx?STONELIST=925270081&amp;ISCONFIRM=0" xr:uid="{C272226F-F0CF-4A51-B0B8-221D09954602}"/>
    <hyperlink ref="C466" r:id="rId461" display="https://pld.live/RapDetail.aspx?STONELIST=925551488&amp;ISCONFIRM=0" xr:uid="{0B6FE20B-9C8F-42A9-9D0F-6594AB4F7360}"/>
    <hyperlink ref="C467" r:id="rId462" display="https://pld.live/RapDetail.aspx?STONELIST=924760113&amp;ISCONFIRM=0" xr:uid="{9737DF77-BEC3-434E-86E2-98C0DE0F40D1}"/>
    <hyperlink ref="C468" r:id="rId463" display="https://pld.live/RapDetail.aspx?STONELIST=831010612&amp;ISCONFIRM=0" xr:uid="{6D360838-15E7-4277-86CB-0105D19E2E20}"/>
    <hyperlink ref="C469" r:id="rId464" display="https://pld.live/RapDetail.aspx?STONELIST=925920858&amp;ISCONFIRM=0" xr:uid="{CA207544-18A7-4EB8-81CD-287A9D6B0320}"/>
    <hyperlink ref="C470" r:id="rId465" display="https://pld.live/RapDetail.aspx?STONELIST=925961209&amp;ISCONFIRM=0" xr:uid="{E50DD803-5A21-4453-BAFA-B909A0691FD9}"/>
    <hyperlink ref="C471" r:id="rId466" display="https://pld.live/RapDetail.aspx?STONELIST=925961265&amp;ISCONFIRM=0" xr:uid="{9F355C73-6F1F-4067-9222-EE719D936BA7}"/>
    <hyperlink ref="C472" r:id="rId467" display="https://pld.live/RapDetail.aspx?STONELIST=926400549&amp;ISCONFIRM=0" xr:uid="{5FB8D20C-A874-45CE-9E99-4EA207E6E810}"/>
    <hyperlink ref="C473" r:id="rId468" display="https://pld.live/RapDetail.aspx?STONELIST=925721478&amp;ISCONFIRM=0" xr:uid="{4A016666-5F86-4676-9AAC-9593B79CC90D}"/>
    <hyperlink ref="C474" r:id="rId469" display="https://pld.live/RapDetail.aspx?STONELIST=925520660&amp;ISCONFIRM=0" xr:uid="{159E665A-EB19-4565-83CE-882531596B14}"/>
    <hyperlink ref="C475" r:id="rId470" display="https://pld.live/RapDetail.aspx?STONELIST=926100930&amp;ISCONFIRM=0" xr:uid="{5BA06E73-05D5-4F67-8256-111F07F1CE2A}"/>
    <hyperlink ref="C476" r:id="rId471" display="https://pld.live/RapDetail.aspx?STONELIST=925861281&amp;ISCONFIRM=0" xr:uid="{542A7F09-9BF7-44ED-B1FF-C30AD811ABA9}"/>
    <hyperlink ref="C477" r:id="rId472" display="https://pld.live/RapDetail.aspx?STONELIST=925270283&amp;ISCONFIRM=0" xr:uid="{EE628E5E-4751-4728-86FB-33F9280E3D79}"/>
    <hyperlink ref="C478" r:id="rId473" display="https://pld.live/RapDetail.aspx?STONELIST=926041291&amp;ISCONFIRM=0" xr:uid="{BCA52640-E30F-4A5F-B640-33E8794E0774}"/>
    <hyperlink ref="C479" r:id="rId474" display="https://pld.live/RapDetail.aspx?STONELIST=925520410&amp;ISCONFIRM=0" xr:uid="{7C1FCF5E-7F89-40E8-94F7-4484528B5827}"/>
    <hyperlink ref="C480" r:id="rId475" display="https://pld.live/RapDetail.aspx?STONELIST=926201101&amp;ISCONFIRM=0" xr:uid="{AC0E9AA7-A2A8-433A-A889-BA17EEA2509E}"/>
    <hyperlink ref="C481" r:id="rId476" display="https://pld.live/RapDetail.aspx?STONELIST=924700111&amp;ISCONFIRM=0" xr:uid="{C134EB72-E134-4E6C-825D-2E9DC9143076}"/>
    <hyperlink ref="C482" r:id="rId477" display="https://pld.live/RapDetail.aspx?STONELIST=926020675&amp;ISCONFIRM=0" xr:uid="{EE44F15A-60A3-4DAD-91C4-A3F7A7ED222B}"/>
    <hyperlink ref="C483" r:id="rId478" display="https://pld.live/RapDetail.aspx?STONELIST=925310313&amp;ISCONFIRM=0" xr:uid="{D349ED60-4C18-48C8-BFA6-EB93DA548939}"/>
    <hyperlink ref="C484" r:id="rId479" display="https://pld.live/RapDetail.aspx?STONELIST=925621372&amp;ISCONFIRM=0" xr:uid="{2EB0FE60-47ED-4CC7-9390-699C5C23C3F8}"/>
    <hyperlink ref="C485" r:id="rId480" display="https://pld.live/RapDetail.aspx?STONELIST=925801211&amp;ISCONFIRM=0" xr:uid="{2BE83B32-502E-4E7D-BE81-238A48642018}"/>
    <hyperlink ref="C486" r:id="rId481" display="https://pld.live/RapDetail.aspx?STONELIST=925920996&amp;ISCONFIRM=0" xr:uid="{49D2527C-A316-425C-B191-70170C46DD9E}"/>
    <hyperlink ref="C487" r:id="rId482" display="https://pld.live/RapDetail.aspx?STONELIST=925621377&amp;ISCONFIRM=0" xr:uid="{6957E9F7-DA71-430F-BC58-8DEEABDF317B}"/>
    <hyperlink ref="C488" r:id="rId483" display="https://pld.live/RapDetail.aspx?STONELIST=925180117&amp;ISCONFIRM=0" xr:uid="{3F6161A6-96A3-4F85-9436-B91E365C71CD}"/>
    <hyperlink ref="C489" r:id="rId484" display="https://pld.live/RapDetail.aspx?STONELIST=926900708&amp;ISCONFIRM=0" xr:uid="{A2610929-68D4-463C-A6B6-A992C3C4D2EB}"/>
    <hyperlink ref="C490" r:id="rId485" display="https://pld.live/RapDetail.aspx?STONELIST=831020733&amp;ISCONFIRM=0" xr:uid="{4AC882A8-0176-46DF-8795-AB870476378D}"/>
    <hyperlink ref="C491" r:id="rId486" display="https://pld.live/RapDetail.aspx?STONELIST=925621524&amp;ISCONFIRM=0" xr:uid="{19E9748B-FADE-43EB-A89F-B31458FB320D}"/>
    <hyperlink ref="C492" r:id="rId487" display="https://pld.live/RapDetail.aspx?STONELIST=925721648&amp;ISCONFIRM=0" xr:uid="{C8D8CF42-E5B9-47D1-991E-125C9CA0275E}"/>
    <hyperlink ref="C493" r:id="rId488" display="https://pld.live/RapDetail.aspx?STONELIST=924760060&amp;ISCONFIRM=0" xr:uid="{51ED0558-A17A-4A12-ABCB-D42986A1B4D9}"/>
    <hyperlink ref="C494" r:id="rId489" display="https://pld.live/RapDetail.aspx?STONELIST=941370239&amp;ISCONFIRM=0" xr:uid="{54CA2816-835E-485D-A4E1-85848D7C5221}"/>
    <hyperlink ref="C495" r:id="rId490" display="https://pld.live/RapDetail.aspx?STONELIST=831010809&amp;ISCONFIRM=0" xr:uid="{BD0299F6-B1E4-430B-90EB-F11F1E406D76}"/>
    <hyperlink ref="C496" r:id="rId491" display="https://pld.live/RapDetail.aspx?STONELIST=941280036&amp;ISCONFIRM=0" xr:uid="{F3F311B2-034B-4957-AE8A-9346557FC1CD}"/>
    <hyperlink ref="C497" r:id="rId492" display="https://pld.live/RapDetail.aspx?STONELIST=925862004&amp;ISCONFIRM=0" xr:uid="{1CED33F5-F5C5-42FF-BF79-6B42F0D6F7A5}"/>
    <hyperlink ref="C498" r:id="rId493" display="https://pld.live/RapDetail.aspx?STONELIST=925801083&amp;ISCONFIRM=0" xr:uid="{F2CB3892-D5A7-4570-B2D7-F093181F2111}"/>
    <hyperlink ref="C499" r:id="rId494" display="https://pld.live/RapDetail.aspx?STONELIST=925961264&amp;ISCONFIRM=0" xr:uid="{3E95C5B5-8E96-47B2-B2F6-EE79B3138254}"/>
    <hyperlink ref="C500" r:id="rId495" display="https://pld.live/RapDetail.aspx?STONELIST=925360155&amp;ISCONFIRM=0" xr:uid="{A5B12CD4-6395-499F-88C3-B69D2A5F6B81}"/>
    <hyperlink ref="C501" r:id="rId496" display="https://pld.live/RapDetail.aspx?STONELIST=926071759&amp;ISCONFIRM=0" xr:uid="{263861A5-8C0E-45F5-9410-9334829FE8F0}"/>
    <hyperlink ref="C502" r:id="rId497" display="https://pld.live/RapDetail.aspx?STONELIST=925951250&amp;ISCONFIRM=0" xr:uid="{DDB0C7E9-D760-4B82-A855-05AFB2373728}"/>
    <hyperlink ref="C503" r:id="rId498" display="https://pld.live/RapDetail.aspx?STONELIST=925270184&amp;ISCONFIRM=0" xr:uid="{C76ADD35-847F-41F6-BCD6-4104D7F1BA41}"/>
    <hyperlink ref="C504" r:id="rId499" display="https://pld.live/RapDetail.aspx?STONELIST=925961352&amp;ISCONFIRM=0" xr:uid="{64F802EF-F7AE-4BAD-A8FE-1DBA81674C44}"/>
    <hyperlink ref="C505" r:id="rId500" display="https://pld.live/RapDetail.aspx?STONELIST=926020657&amp;ISCONFIRM=0" xr:uid="{8A63EFD2-F088-4007-9BF7-49C24E6F7CA0}"/>
    <hyperlink ref="C506" r:id="rId501" display="https://pld.live/RapDetail.aspx?STONELIST=925920903&amp;ISCONFIRM=0" xr:uid="{3E785CF7-107C-4138-80B4-7666F0DAB393}"/>
    <hyperlink ref="C507" r:id="rId502" display="https://pld.live/RapDetail.aspx?STONELIST=925861272&amp;ISCONFIRM=0" xr:uid="{6D396F33-50FE-4AD1-BEA9-354361C08CC7}"/>
    <hyperlink ref="C508" r:id="rId503" display="https://pld.live/RapDetail.aspx?STONELIST=925770493&amp;ISCONFIRM=0" xr:uid="{1B004C8D-E182-4A70-8C4F-83590DEF2973}"/>
    <hyperlink ref="C509" r:id="rId504" display="https://pld.live/RapDetail.aspx?STONELIST=925971230&amp;ISCONFIRM=0" xr:uid="{65549E54-9760-4C57-B63B-9B6352C734EA}"/>
    <hyperlink ref="C510" r:id="rId505" display="https://pld.live/RapDetail.aspx?STONELIST=925230041&amp;ISCONFIRM=0" xr:uid="{059F60E2-BCFD-491F-BB9E-233397CC4E36}"/>
    <hyperlink ref="C511" r:id="rId506" display="https://pld.live/RapDetail.aspx?STONELIST=925621749&amp;ISCONFIRM=0" xr:uid="{E161212F-41B2-450F-A4F1-21E2D1714461}"/>
    <hyperlink ref="C512" r:id="rId507" display="https://pld.live/RapDetail.aspx?STONELIST=926020652&amp;ISCONFIRM=0" xr:uid="{6332A593-743C-4458-A5C9-1A8EEBA29F12}"/>
    <hyperlink ref="C513" r:id="rId508" display="https://pld.live/RapDetail.aspx?STONELIST=831010610&amp;ISCONFIRM=0" xr:uid="{2E7565D7-4E6C-4B97-8194-DDB2F19C7583}"/>
    <hyperlink ref="C514" r:id="rId509" display="https://pld.live/RapDetail.aspx?STONELIST=926171629&amp;ISCONFIRM=0" xr:uid="{BA56D070-0594-44F1-A677-6946549B7504}"/>
    <hyperlink ref="C515" r:id="rId510" display="https://pld.live/RapDetail.aspx?STONELIST=925190060&amp;ISCONFIRM=0" xr:uid="{34B56E39-9647-4768-A796-AC684DC23C07}"/>
    <hyperlink ref="C516" r:id="rId511" display="https://pld.live/RapDetail.aspx?STONELIST=925890582&amp;ISCONFIRM=0" xr:uid="{DD99819E-1101-4AE3-85E1-CC22301C5C56}"/>
    <hyperlink ref="C517" r:id="rId512" display="https://pld.live/RapDetail.aspx?STONELIST=925951187&amp;ISCONFIRM=0" xr:uid="{16BB9389-FCD5-40B4-BF83-AAC85C2BB3BC}"/>
    <hyperlink ref="C518" r:id="rId513" display="https://pld.live/RapDetail.aspx?STONELIST=926071923&amp;ISCONFIRM=0" xr:uid="{67393535-9626-479C-8D47-54BC8EF23548}"/>
    <hyperlink ref="C519" r:id="rId514" display="https://pld.live/RapDetail.aspx?STONELIST=926101114&amp;ISCONFIRM=0" xr:uid="{C913F75F-727C-4AED-8AA0-9F34F5530263}"/>
    <hyperlink ref="C520" r:id="rId515" display="https://pld.live/RapDetail.aspx?STONELIST=926171649&amp;ISCONFIRM=0" xr:uid="{BD946A39-9789-4600-AEBD-D871A728855E}"/>
    <hyperlink ref="C521" r:id="rId516" display="https://pld.live/RapDetail.aspx?STONELIST=926171589&amp;ISCONFIRM=0" xr:uid="{47288950-B3DA-40D0-B851-8D1F2904DDC7}"/>
    <hyperlink ref="C522" r:id="rId517" display="https://pld.live/RapDetail.aspx?STONELIST=925801682&amp;ISCONFIRM=0" xr:uid="{F4BB50A7-4CCA-4BA3-A54E-122EDA5A0FF7}"/>
    <hyperlink ref="C523" r:id="rId518" display="https://pld.live/RapDetail.aspx?STONELIST=941400281&amp;ISCONFIRM=0" xr:uid="{92C8CDFC-BA1B-4BAD-B2A5-388848B8F8F0}"/>
    <hyperlink ref="C524" r:id="rId519" display="https://pld.live/RapDetail.aspx?STONELIST=925520055&amp;ISCONFIRM=0" xr:uid="{A66F259E-D4B3-4CD2-892C-C421D73BFC36}"/>
    <hyperlink ref="C525" r:id="rId520" display="https://pld.live/RapDetail.aspx?STONELIST=941190210&amp;ISCONFIRM=0" xr:uid="{8148CA42-58B0-429E-BE87-617011ACFC1A}"/>
    <hyperlink ref="C526" r:id="rId521" display="https://pld.live/RapDetail.aspx?STONELIST=925621378&amp;ISCONFIRM=0" xr:uid="{8786E4DB-0512-4BDB-AB36-98556D9B8D6C}"/>
    <hyperlink ref="C527" r:id="rId522" display="https://pld.live/RapDetail.aspx?STONELIST=924700024&amp;ISCONFIRM=0" xr:uid="{7089121C-117B-4EB3-89F3-1E719DCA643E}"/>
    <hyperlink ref="C528" r:id="rId523" display="https://pld.live/RapDetail.aspx?STONELIST=941400414&amp;ISCONFIRM=0" xr:uid="{9D2A25D6-75AE-4627-9879-2C851080559B}"/>
    <hyperlink ref="C529" r:id="rId524" display="https://pld.live/RapDetail.aspx?STONELIST=926040840&amp;ISCONFIRM=0" xr:uid="{794F9871-3574-45CF-810B-25B3B2B35541}"/>
    <hyperlink ref="C530" r:id="rId525" display="https://pld.live/RapDetail.aspx?STONELIST=927130122&amp;ISCONFIRM=0" xr:uid="{C5684108-3DA7-4B26-BD95-8BB3F1DD7D90}"/>
    <hyperlink ref="C531" r:id="rId526" display="https://pld.live/RapDetail.aspx?STONELIST=941400465&amp;ISCONFIRM=0" xr:uid="{A9B94370-75B5-4E8D-9DBB-1BA27EBCEEA7}"/>
    <hyperlink ref="C532" r:id="rId527" display="https://pld.live/RapDetail.aspx?STONELIST=941400206&amp;ISCONFIRM=0" xr:uid="{B9DA6BF4-8512-45FB-ACC8-04A7E86AD63F}"/>
    <hyperlink ref="C533" r:id="rId528" display="https://pld.live/RapDetail.aspx?STONELIST=941400164&amp;ISCONFIRM=0" xr:uid="{B314D5BD-3403-4135-BB37-1B32F72BEE34}"/>
    <hyperlink ref="C534" r:id="rId529" display="https://pld.live/RapDetail.aspx?STONELIST=941400263&amp;ISCONFIRM=0" xr:uid="{29985774-745F-43D9-B5E5-A18905272712}"/>
    <hyperlink ref="C535" r:id="rId530" display="https://pld.live/RapDetail.aspx?STONELIST=941400290&amp;ISCONFIRM=0" xr:uid="{427FB8AA-E0C9-49B3-8C7A-8FBB6A1B8BA4}"/>
    <hyperlink ref="C536" r:id="rId531" display="https://pld.live/RapDetail.aspx?STONELIST=941400343&amp;ISCONFIRM=0" xr:uid="{62BE2272-A197-4A20-BE43-D609F2B28F32}"/>
    <hyperlink ref="C537" r:id="rId532" display="https://pld.live/RapDetail.aspx?STONELIST=941190370&amp;ISCONFIRM=0" xr:uid="{54A4DA57-60B0-4312-A6D8-5184FA1C707C}"/>
    <hyperlink ref="C538" r:id="rId533" display="https://pld.live/RapDetail.aspx?STONELIST=925720298&amp;ISCONFIRM=0" xr:uid="{885C9AB7-1F6E-4BC4-BB61-7284B493009A}"/>
    <hyperlink ref="C539" r:id="rId534" display="https://pld.live/RapDetail.aspx?STONELIST=925270083&amp;ISCONFIRM=0" xr:uid="{988620DA-43A7-4B31-8042-1C53A8E2110A}"/>
    <hyperlink ref="C540" r:id="rId535" display="https://pld.live/RapDetail.aspx?STONELIST=941190457&amp;ISCONFIRM=0" xr:uid="{73B892F9-A3E9-4E0D-8501-3978E5E75365}"/>
    <hyperlink ref="C541" r:id="rId536" display="https://pld.live/RapDetail.aspx?STONELIST=941400480&amp;ISCONFIRM=0" xr:uid="{876B0681-DD8B-4B89-8A1B-BA5B6BD602E3}"/>
    <hyperlink ref="C542" r:id="rId537" display="https://pld.live/RapDetail.aspx?STONELIST=926960694&amp;ISCONFIRM=0" xr:uid="{09235340-FF1E-4A5E-A001-92EBDCB46779}"/>
    <hyperlink ref="C543" r:id="rId538" display="https://pld.live/RapDetail.aspx?STONELIST=925620566&amp;ISCONFIRM=0" xr:uid="{F98FDC7A-54EF-47B0-987A-2C69A0750770}"/>
    <hyperlink ref="C544" r:id="rId539" display="https://pld.live/RapDetail.aspx?STONELIST=927052029&amp;ISCONFIRM=0" xr:uid="{79F1FB80-199C-4932-9C63-4F4B06A63541}"/>
    <hyperlink ref="C545" r:id="rId540" display="https://pld.live/RapDetail.aspx?STONELIST=941400280&amp;ISCONFIRM=0" xr:uid="{D2EC9417-5309-4D1A-96D1-B2E1354BE815}"/>
    <hyperlink ref="C546" r:id="rId541" display="https://pld.live/RapDetail.aspx?STONELIST=941400120&amp;ISCONFIRM=0" xr:uid="{DA5EF8F6-BED3-4179-8212-31F9E07D4949}"/>
    <hyperlink ref="C547" r:id="rId542" display="https://pld.live/RapDetail.aspx?STONELIST=926201173&amp;ISCONFIRM=0" xr:uid="{5627F1D8-AE6B-4C6F-94B0-267D44672F47}"/>
    <hyperlink ref="C548" r:id="rId543" display="https://pld.live/RapDetail.aspx?STONELIST=941400230&amp;ISCONFIRM=0" xr:uid="{64A4423E-706D-4D0D-8089-1E30E56EE3C6}"/>
    <hyperlink ref="C549" r:id="rId544" display="https://pld.live/RapDetail.aspx?STONELIST=941400264&amp;ISCONFIRM=0" xr:uid="{9E91C3FD-7601-45E0-AE27-D2700F9408D7}"/>
    <hyperlink ref="C550" r:id="rId545" display="https://pld.live/RapDetail.aspx?STONELIST=941400358&amp;ISCONFIRM=0" xr:uid="{E824A9E7-9AEF-43E1-9D86-CCFEF7646DFC}"/>
    <hyperlink ref="C551" r:id="rId546" display="https://pld.live/RapDetail.aspx?STONELIST=941160161&amp;ISCONFIRM=0" xr:uid="{E4422846-67E9-4DFB-9C13-1464922D9498}"/>
    <hyperlink ref="C552" r:id="rId547" display="https://pld.live/RapDetail.aspx?STONELIST=927051773&amp;ISCONFIRM=0" xr:uid="{90FE643D-9C8A-4C40-989E-B32CC27E4094}"/>
    <hyperlink ref="C553" r:id="rId548" display="https://pld.live/RapDetail.aspx?STONELIST=924700057&amp;ISCONFIRM=0" xr:uid="{ED351E16-3A20-4A29-AAAD-44E8E7C89733}"/>
    <hyperlink ref="C554" r:id="rId549" display="https://pld.live/RapDetail.aspx?STONELIST=941400289&amp;ISCONFIRM=0" xr:uid="{3E988430-6AF9-48BF-98DC-F7754A0ABA30}"/>
    <hyperlink ref="C555" r:id="rId550" display="https://pld.live/RapDetail.aspx?STONELIST=9414301333&amp;ISCONFIRM=0" xr:uid="{3B116AB0-2399-4F1B-B9ED-91939CED57F8}"/>
    <hyperlink ref="C556" r:id="rId551" display="https://pld.live/RapDetail.aspx?STONELIST=924730084&amp;ISCONFIRM=0" xr:uid="{A4D7DD3F-243A-4444-BEAB-9B86A6BE71A9}"/>
    <hyperlink ref="C557" r:id="rId552" display="https://pld.live/RapDetail.aspx?STONELIST=927130204&amp;ISCONFIRM=0" xr:uid="{85006C27-04E7-45CD-8DD4-4AE6B74C7EBC}"/>
    <hyperlink ref="C558" r:id="rId553" display="https://pld.live/RapDetail.aspx?STONELIST=941400478&amp;ISCONFIRM=0" xr:uid="{9382101F-C8D1-4989-9DA2-81A987B41F00}"/>
    <hyperlink ref="C559" r:id="rId554" display="https://pld.live/RapDetail.aspx?STONELIST=926201175&amp;ISCONFIRM=0" xr:uid="{AED1DC59-79D2-4533-ABCD-275C9FE35109}"/>
    <hyperlink ref="C560" r:id="rId555" display="https://pld.live/RapDetail.aspx?STONELIST=926630907&amp;ISCONFIRM=0" xr:uid="{FB3BD9A1-DC79-4635-80DB-67475BCF2E31}"/>
    <hyperlink ref="C561" r:id="rId556" display="https://pld.live/RapDetail.aspx?STONELIST=926201165&amp;ISCONFIRM=0" xr:uid="{5BF329D7-2AFF-437A-BA5A-0260A26FBA39}"/>
    <hyperlink ref="C562" r:id="rId557" display="https://pld.live/RapDetail.aspx?STONELIST=926101603&amp;ISCONFIRM=0" xr:uid="{3FD37271-8C4D-4376-8A99-FB17CD18E8FE}"/>
    <hyperlink ref="C563" r:id="rId558" display="https://pld.live/RapDetail.aspx?STONELIST=926171655&amp;ISCONFIRM=0" xr:uid="{54D681AC-6BEF-47A7-8DC7-D70E9AFA3777}"/>
    <hyperlink ref="C564" r:id="rId559" display="https://pld.live/RapDetail.aspx?STONELIST=926400541&amp;ISCONFIRM=0" xr:uid="{C07A8BE6-6E83-4D6A-B845-C0BB8D6320DD}"/>
    <hyperlink ref="C565" r:id="rId560" display="https://pld.live/RapDetail.aspx?STONELIST=925300048&amp;ISCONFIRM=0" xr:uid="{DD1CA015-5AE4-41BD-B90D-E5DC2D599FC3}"/>
    <hyperlink ref="C566" r:id="rId561" display="https://pld.live/RapDetail.aspx?STONELIST=941360299&amp;ISCONFIRM=0" xr:uid="{B65858F3-2688-45A2-9DE5-25E3D6832B52}"/>
    <hyperlink ref="C567" r:id="rId562" display="https://pld.live/RapDetail.aspx?STONELIST=821121894&amp;ISCONFIRM=0" xr:uid="{182DC99B-997A-43A9-B626-5D1B8888AB22}"/>
    <hyperlink ref="C568" r:id="rId563" display="https://pld.live/RapDetail.aspx?STONELIST=927101137&amp;ISCONFIRM=0" xr:uid="{E9CA61ED-2ABE-4443-AEAD-049012D26853}"/>
    <hyperlink ref="C569" r:id="rId564" display="https://pld.live/RapDetail.aspx?STONELIST=927092161&amp;ISCONFIRM=0" xr:uid="{2A1BBA65-C376-40F8-8312-905350F3735C}"/>
    <hyperlink ref="C570" r:id="rId565" display="https://pld.live/RapDetail.aspx?STONELIST=926071491&amp;ISCONFIRM=0" xr:uid="{34F59B03-66D7-4567-B6D2-2EC5337DABCC}"/>
    <hyperlink ref="C571" r:id="rId566" display="https://pld.live/RapDetail.aspx?STONELIST=941431179&amp;ISCONFIRM=0" xr:uid="{98A78AAD-2D97-4A3B-833A-D66A89A4AFF7}"/>
    <hyperlink ref="C572" r:id="rId567" display="https://pld.live/RapDetail.aspx?STONELIST=941360384&amp;ISCONFIRM=0" xr:uid="{C5D407B5-AC83-4CFC-81B1-AC5E4B0E5517}"/>
    <hyperlink ref="C573" r:id="rId568" display="https://pld.live/RapDetail.aspx?STONELIST=927000523&amp;ISCONFIRM=0" xr:uid="{8A3E7777-18C9-4FBC-8BD3-24BE5FD32A12}"/>
    <hyperlink ref="C574" r:id="rId569" display="https://pld.live/RapDetail.aspx?STONELIST=926201184&amp;ISCONFIRM=0" xr:uid="{80F2BAEB-CF23-4E84-9D29-5B5DD2077F73}"/>
    <hyperlink ref="C575" r:id="rId570" display="https://pld.live/RapDetail.aspx?STONELIST=831010751&amp;ISCONFIRM=0" xr:uid="{B259CA03-A2DB-4520-B1C1-192834E6ED40}"/>
    <hyperlink ref="C576" r:id="rId571" display="https://pld.live/RapDetail.aspx?STONELIST=941140499&amp;ISCONFIRM=0" xr:uid="{D71B4FF5-9DC0-4ECA-8195-01B53D504231}"/>
    <hyperlink ref="C577" r:id="rId572" display="https://pld.live/RapDetail.aspx?STONELIST=926201157&amp;ISCONFIRM=0" xr:uid="{FD0FDA00-0FC1-4DF9-998A-5764DEBB6EE5}"/>
    <hyperlink ref="C578" r:id="rId573" display="https://pld.live/RapDetail.aspx?STONELIST=9415100070&amp;ISCONFIRM=0" xr:uid="{892C62A3-39B4-4EB9-81B1-07B4241AF611}"/>
    <hyperlink ref="C579" r:id="rId574" display="https://pld.live/RapDetail.aspx?STONELIST=926101604&amp;ISCONFIRM=0" xr:uid="{96F2310E-3CDA-4E62-A35F-2FB76FE043AD}"/>
    <hyperlink ref="C580" r:id="rId575" display="https://pld.live/RapDetail.aspx?STONELIST=831010829&amp;ISCONFIRM=0" xr:uid="{A5E5A100-BCE9-4969-98EB-DC05D3A18CAF}"/>
    <hyperlink ref="C581" r:id="rId576" display="https://pld.live/RapDetail.aspx?STONELIST=941400396&amp;ISCONFIRM=0" xr:uid="{EE12C301-B588-4B0F-911F-911D4D73AD5F}"/>
    <hyperlink ref="C582" r:id="rId577" display="https://pld.live/RapDetail.aspx?STONELIST=925521426&amp;ISCONFIRM=0" xr:uid="{F784D9FA-A603-4049-BED5-D5AFEA762E1C}"/>
    <hyperlink ref="C583" r:id="rId578" display="https://pld.live/RapDetail.aspx?STONELIST=926171660&amp;ISCONFIRM=0" xr:uid="{09008DDC-F7A0-4834-96B1-C45F16FF7E30}"/>
    <hyperlink ref="C584" r:id="rId579" display="https://pld.live/RapDetail.aspx?STONELIST=926201108&amp;ISCONFIRM=0" xr:uid="{F4BE88A2-DBFD-4E86-BAC7-339995288DBE}"/>
    <hyperlink ref="C585" r:id="rId580" display="https://pld.live/RapDetail.aspx?STONELIST=821127368&amp;ISCONFIRM=0" xr:uid="{0EAAB9C1-4DF6-41F1-9E92-14B54178750F}"/>
    <hyperlink ref="C586" r:id="rId581" display="https://pld.live/RapDetail.aspx?STONELIST=925862020&amp;ISCONFIRM=0" xr:uid="{9BDB3AD3-FB7C-46D4-B270-8B318EDE6CB5}"/>
    <hyperlink ref="C587" r:id="rId582" display="https://pld.live/RapDetail.aspx?STONELIST=926101733&amp;ISCONFIRM=0" xr:uid="{036DCADC-4A98-4274-98C4-5E0259E6CF72}"/>
    <hyperlink ref="C588" r:id="rId583" display="https://pld.live/RapDetail.aspx?STONELIST=925551679&amp;ISCONFIRM=0" xr:uid="{6ED8900A-88F6-4928-869C-B1442B53FC65}"/>
    <hyperlink ref="C589" r:id="rId584" display="https://pld.live/RapDetail.aspx?STONELIST=831010693&amp;ISCONFIRM=0" xr:uid="{5C92A2AF-9FA2-43AF-9D99-1C67497DE6AE}"/>
    <hyperlink ref="C590" r:id="rId585" display="https://pld.live/RapDetail.aspx?STONELIST=926901023&amp;ISCONFIRM=0" xr:uid="{7694BEE6-B4C7-4BE7-853F-8CDEABF26CF7}"/>
    <hyperlink ref="C591" r:id="rId586" display="https://pld.live/RapDetail.aspx?STONELIST=925721649&amp;ISCONFIRM=0" xr:uid="{3D0F0DB4-AA7D-446C-9628-AF098BC36E87}"/>
    <hyperlink ref="C592" r:id="rId587" display="https://pld.live/RapDetail.aspx?STONELIST=925540264&amp;ISCONFIRM=0" xr:uid="{35285F8F-907D-45F1-B06A-3CF2B3A3E735}"/>
    <hyperlink ref="C593" r:id="rId588" display="https://pld.live/RapDetail.aspx?STONELIST=925621481&amp;ISCONFIRM=0" xr:uid="{19CE50F5-D08A-48D6-9173-3E6255E081F4}"/>
    <hyperlink ref="C594" r:id="rId589" display="https://pld.live/RapDetail.aspx?STONELIST=925801678&amp;ISCONFIRM=0" xr:uid="{BA0A129C-703C-40B2-BDA8-42C650F8788C}"/>
    <hyperlink ref="C595" r:id="rId590" display="https://pld.live/RapDetail.aspx?STONELIST=925551580&amp;ISCONFIRM=0" xr:uid="{BF6D6E14-0076-4857-BAD7-1383C9DE6B60}"/>
    <hyperlink ref="C596" r:id="rId591" display="https://pld.live/RapDetail.aspx?STONELIST=926041223&amp;ISCONFIRM=0" xr:uid="{896D1167-CE92-40EA-8F90-903E353EBEB6}"/>
    <hyperlink ref="C597" r:id="rId592" display="https://pld.live/RapDetail.aspx?STONELIST=831010469&amp;ISCONFIRM=0" xr:uid="{2F5ED9B7-3BA6-48F2-95A9-85F0F70A44EA}"/>
    <hyperlink ref="C598" r:id="rId593" display="https://pld.live/RapDetail.aspx?STONELIST=925310377&amp;ISCONFIRM=0" xr:uid="{699FE5CC-611D-4853-8A94-BEC71994073A}"/>
    <hyperlink ref="C599" r:id="rId594" display="https://pld.live/RapDetail.aspx?STONELIST=925720101&amp;ISCONFIRM=0" xr:uid="{9977DBE2-C7D1-4D3B-AD32-D35502004C08}"/>
    <hyperlink ref="C600" r:id="rId595" display="https://pld.live/RapDetail.aspx?STONELIST=925722106&amp;ISCONFIRM=0" xr:uid="{AAEC05BB-45B0-4A69-9C0D-B5617E4E8BA5}"/>
    <hyperlink ref="C601" r:id="rId596" display="https://pld.live/RapDetail.aspx?STONELIST=925621695&amp;ISCONFIRM=0" xr:uid="{49E48466-F353-4BE9-9365-EE82D33297D3}"/>
    <hyperlink ref="C602" r:id="rId597" display="https://pld.live/RapDetail.aspx?STONELIST=924690114&amp;ISCONFIRM=0" xr:uid="{E4195AE1-37C2-441E-9C1C-C1BA7512F6DB}"/>
    <hyperlink ref="C603" r:id="rId598" display="https://pld.live/RapDetail.aspx?STONELIST=925550089&amp;ISCONFIRM=0" xr:uid="{3DFE8200-60A6-429D-9A38-8759657B14FD}"/>
    <hyperlink ref="C604" r:id="rId599" display="https://pld.live/RapDetail.aspx?STONELIST=925890644&amp;ISCONFIRM=0" xr:uid="{EACE4B3F-746D-434B-99A0-3DA7C79D233D}"/>
    <hyperlink ref="C605" r:id="rId600" display="https://pld.live/RapDetail.aspx?STONELIST=925620972&amp;ISCONFIRM=0" xr:uid="{C8B1F567-64B5-4D49-A58D-B2D72CE4CDE4}"/>
    <hyperlink ref="C606" r:id="rId601" display="https://pld.live/RapDetail.aspx?STONELIST=924880224&amp;ISCONFIRM=0" xr:uid="{DF5E8D95-0EC8-46BA-8C9B-F493521B988B}"/>
    <hyperlink ref="C607" r:id="rId602" display="https://pld.live/RapDetail.aspx?STONELIST=831010470&amp;ISCONFIRM=0" xr:uid="{A0CE6EC2-E659-4772-88F6-2C20A56B9395}"/>
    <hyperlink ref="C608" r:id="rId603" display="https://pld.live/RapDetail.aspx?STONELIST=924770011&amp;ISCONFIRM=0" xr:uid="{9FF5CEA3-6436-4E0C-B257-970126BFE506}"/>
    <hyperlink ref="C609" r:id="rId604" display="https://pld.live/RapDetail.aspx?STONELIST=941430869&amp;ISCONFIRM=0" xr:uid="{AC589CA2-C69D-4DF1-8D6C-C4546EECBFB6}"/>
    <hyperlink ref="C610" r:id="rId605" display="https://pld.live/RapDetail.aspx?STONELIST=926201007&amp;ISCONFIRM=0" xr:uid="{4DD4D073-3CFF-4634-BC8F-074A9D552A44}"/>
    <hyperlink ref="C611" r:id="rId606" display="https://pld.live/RapDetail.aspx?STONELIST=925620973&amp;ISCONFIRM=0" xr:uid="{B0FCD278-45EF-4499-8E73-6B5FBED864C7}"/>
    <hyperlink ref="C612" r:id="rId607" display="https://pld.live/RapDetail.aspx?STONELIST=925620421&amp;ISCONFIRM=0" xr:uid="{66019F64-A8E7-4174-AF7D-08F23B08C417}"/>
    <hyperlink ref="C613" r:id="rId608" display="https://pld.live/RapDetail.aspx?STONELIST=925971300&amp;ISCONFIRM=0" xr:uid="{E8909324-E588-48AA-B59B-60117AC74360}"/>
    <hyperlink ref="C614" r:id="rId609" display="https://pld.live/RapDetail.aspx?STONELIST=831010855&amp;ISCONFIRM=0" xr:uid="{A85ECAF5-CD2B-4D01-AC1C-64DC6C497851}"/>
    <hyperlink ref="C615" r:id="rId610" display="https://pld.live/RapDetail.aspx?STONELIST=831010822&amp;ISCONFIRM=0" xr:uid="{F63E7724-FFFB-4F6B-B932-81830C239D38}"/>
    <hyperlink ref="C616" r:id="rId611" display="https://pld.live/RapDetail.aspx?STONELIST=925860797&amp;ISCONFIRM=0" xr:uid="{61F12781-C808-49E9-A757-4593782B378E}"/>
    <hyperlink ref="C617" r:id="rId612" display="https://pld.live/RapDetail.aspx?STONELIST=926040926&amp;ISCONFIRM=0" xr:uid="{86D35828-DCD4-411E-A82C-311C0DD89F05}"/>
    <hyperlink ref="C618" r:id="rId613" display="https://pld.live/RapDetail.aspx?STONELIST=925801834&amp;ISCONFIRM=0" xr:uid="{03D67BA2-012C-424E-A4A3-EDCC4AB13D36}"/>
    <hyperlink ref="C619" r:id="rId614" display="https://pld.live/RapDetail.aspx?STONELIST=925551057&amp;ISCONFIRM=0" xr:uid="{4E9958A5-9DFE-460F-AFDB-06B1F3FB0B6E}"/>
    <hyperlink ref="C620" r:id="rId615" display="https://pld.live/RapDetail.aspx?STONELIST=925861859&amp;ISCONFIRM=0" xr:uid="{C9D8A604-D368-4C61-9100-4BA08CAB5F04}"/>
    <hyperlink ref="C621" r:id="rId616" display="https://pld.live/RapDetail.aspx?STONELIST=925861434&amp;ISCONFIRM=0" xr:uid="{87E87C34-2B68-4EF0-AD1C-87072387366E}"/>
    <hyperlink ref="C622" r:id="rId617" display="https://pld.live/RapDetail.aspx?STONELIST=831010675&amp;ISCONFIRM=0" xr:uid="{1F45F017-3229-488D-B4A5-D07F7818DAD0}"/>
    <hyperlink ref="C623" r:id="rId618" display="https://pld.live/RapDetail.aspx?STONELIST=924600164&amp;ISCONFIRM=0" xr:uid="{92D109DE-477D-43DE-91BA-D315535B7417}"/>
    <hyperlink ref="C624" r:id="rId619" display="https://pld.live/RapDetail.aspx?STONELIST=925861791&amp;ISCONFIRM=0" xr:uid="{27FF640D-0923-49CF-8D56-764F3CCD26D3}"/>
    <hyperlink ref="C625" r:id="rId620" display="https://pld.live/RapDetail.aspx?STONELIST=925300259&amp;ISCONFIRM=0" xr:uid="{E13C6154-6FAA-4DD6-BC90-3F0CF339399C}"/>
    <hyperlink ref="C626" r:id="rId621" display="https://pld.live/RapDetail.aspx?STONELIST=925890559&amp;ISCONFIRM=0" xr:uid="{A7E667BA-877D-4145-8A4A-2CED5220133C}"/>
    <hyperlink ref="C627" r:id="rId622" display="https://pld.live/RapDetail.aspx?STONELIST=925621363&amp;ISCONFIRM=0" xr:uid="{A9F9E3C9-1AC2-4EF1-A373-8231F355B3DF}"/>
    <hyperlink ref="C628" r:id="rId623" display="https://pld.live/RapDetail.aspx?STONELIST=925290117&amp;ISCONFIRM=0" xr:uid="{03E65BF5-9233-48B3-8312-B18A0E9E0337}"/>
    <hyperlink ref="C629" r:id="rId624" display="https://pld.live/RapDetail.aspx?STONELIST=925971244&amp;ISCONFIRM=0" xr:uid="{24B54FDC-E3FF-4D36-B462-E943EEEE7A3E}"/>
    <hyperlink ref="C630" r:id="rId625" display="https://pld.live/RapDetail.aspx?STONELIST=925981114&amp;ISCONFIRM=0" xr:uid="{BA8C1B4D-B4AE-4F0D-B274-D86EF249AA82}"/>
    <hyperlink ref="C631" r:id="rId626" display="https://pld.live/RapDetail.aspx?STONELIST=925981113&amp;ISCONFIRM=0" xr:uid="{F079FD7A-2ABA-4A00-B1F1-BD1783039062}"/>
    <hyperlink ref="C632" r:id="rId627" display="https://pld.live/RapDetail.aspx?STONELIST=941430636&amp;ISCONFIRM=0" xr:uid="{858DEA3A-702D-49E1-B1F6-AF366F43E0B0}"/>
    <hyperlink ref="C633" r:id="rId628" display="https://pld.live/RapDetail.aspx?STONELIST=924740103&amp;ISCONFIRM=0" xr:uid="{7E4FE9D5-6F65-40D2-9D8A-D7E306146027}"/>
    <hyperlink ref="C634" r:id="rId629" display="https://pld.live/RapDetail.aspx?STONELIST=941430432&amp;ISCONFIRM=0" xr:uid="{16BCBAA4-ABA0-43B2-9A7E-95E36E3A447A}"/>
    <hyperlink ref="C635" r:id="rId630" display="https://pld.live/RapDetail.aspx?STONELIST=925960877&amp;ISCONFIRM=0" xr:uid="{C1ABB3DC-D9CB-4FDB-8408-F59559C226EA}"/>
    <hyperlink ref="C636" r:id="rId631" display="https://pld.live/RapDetail.aspx?STONELIST=925861774&amp;ISCONFIRM=0" xr:uid="{697BE4B2-650E-4280-808F-5034670F96FB}"/>
    <hyperlink ref="C637" r:id="rId632" display="https://pld.live/RapDetail.aspx?STONELIST=941350719&amp;ISCONFIRM=0" xr:uid="{6158805B-16B1-45F2-B539-5DAFEC7DA4EA}"/>
    <hyperlink ref="C638" r:id="rId633" display="https://pld.live/RapDetail.aspx?STONELIST=941350685&amp;ISCONFIRM=0" xr:uid="{583D5945-9114-4294-BA44-FAE824F6FCEF}"/>
    <hyperlink ref="C639" r:id="rId634" display="https://pld.live/RapDetail.aspx?STONELIST=941430792&amp;ISCONFIRM=0" xr:uid="{30BC91B3-CBF6-4582-83DC-AB15429D2D10}"/>
    <hyperlink ref="C640" r:id="rId635" display="https://pld.live/RapDetail.aspx?STONELIST=925862042&amp;ISCONFIRM=0" xr:uid="{184E28B0-7409-4121-87C3-C5CCFB7F2846}"/>
    <hyperlink ref="C641" r:id="rId636" display="https://pld.live/RapDetail.aspx?STONELIST=926201056&amp;ISCONFIRM=0" xr:uid="{E8F8B2D5-9274-4CBA-9F1C-3481635A7AF8}"/>
    <hyperlink ref="C642" r:id="rId637" display="https://pld.live/RapDetail.aspx?STONELIST=941351017&amp;ISCONFIRM=0" xr:uid="{46E973B7-CB2A-47B1-978B-CBA7D8C47270}"/>
    <hyperlink ref="C643" r:id="rId638" display="https://pld.live/RapDetail.aspx?STONELIST=831010811&amp;ISCONFIRM=0" xr:uid="{E26F783A-5E2B-4DAB-B910-D629B7A01871}"/>
    <hyperlink ref="C644" r:id="rId639" display="https://pld.live/RapDetail.aspx?STONELIST=925501705&amp;ISCONFIRM=0" xr:uid="{F58F08F2-AD6E-43C2-8204-3CE9E8130381}"/>
    <hyperlink ref="C645" r:id="rId640" display="https://pld.live/RapDetail.aspx?STONELIST=924600158&amp;ISCONFIRM=0" xr:uid="{16D6D9E1-74F4-4B27-873C-0FB1F93E2E65}"/>
    <hyperlink ref="C646" r:id="rId641" display="https://pld.live/RapDetail.aspx?STONELIST=926740968&amp;ISCONFIRM=0" xr:uid="{4071D144-32AE-4F99-BF85-C9450E2D6009}"/>
    <hyperlink ref="C647" r:id="rId642" display="https://pld.live/RapDetail.aspx?STONELIST=924710048&amp;ISCONFIRM=0" xr:uid="{597A989E-2A7A-4E51-8672-90FB66A77F38}"/>
    <hyperlink ref="C648" r:id="rId643" display="https://pld.live/RapDetail.aspx?STONELIST=831010557&amp;ISCONFIRM=0" xr:uid="{DE0E0064-9C97-4B2E-A3FA-A99D6A38B141}"/>
    <hyperlink ref="C649" r:id="rId644" display="https://pld.live/RapDetail.aspx?STONELIST=831010468&amp;ISCONFIRM=0" xr:uid="{6307D32E-A2C3-4764-97C5-2D837A8D34A7}"/>
    <hyperlink ref="C650" r:id="rId645" display="https://pld.live/RapDetail.aspx?STONELIST=926071682&amp;ISCONFIRM=0" xr:uid="{5EA4C981-846B-44EB-8806-010BC7626BB9}"/>
    <hyperlink ref="C651" r:id="rId646" display="https://pld.live/RapDetail.aspx?STONELIST=925950901&amp;ISCONFIRM=0" xr:uid="{DE81EBE0-DC20-4DEB-B2D8-0499BAA6F529}"/>
    <hyperlink ref="C652" r:id="rId647" display="https://pld.live/RapDetail.aspx?STONELIST=926071819&amp;ISCONFIRM=0" xr:uid="{9829C723-065E-4219-81B9-CEBB0320DA7F}"/>
    <hyperlink ref="C653" r:id="rId648" display="https://pld.live/RapDetail.aspx?STONELIST=926101067&amp;ISCONFIRM=0" xr:uid="{8D6DF4EB-31AF-4A7A-95BE-D2A1C83D6668}"/>
    <hyperlink ref="C654" r:id="rId649" display="https://pld.live/RapDetail.aspx?STONELIST=926071525&amp;ISCONFIRM=0" xr:uid="{150768E3-89A2-4059-86E9-24A52BFA2CAF}"/>
    <hyperlink ref="C655" r:id="rId650" display="https://pld.live/RapDetail.aspx?STONELIST=831010544&amp;ISCONFIRM=0" xr:uid="{76E27BB7-A77E-4C51-9D8C-1533B589F9E8}"/>
    <hyperlink ref="C656" r:id="rId651" display="https://pld.live/RapDetail.aspx?STONELIST=925950915&amp;ISCONFIRM=0" xr:uid="{AAD15B1F-284B-460B-B619-6544DB7DD233}"/>
    <hyperlink ref="C657" r:id="rId652" display="https://pld.live/RapDetail.aspx?STONELIST=925951013&amp;ISCONFIRM=0" xr:uid="{8045D8FE-859B-40C4-AACC-EC9260F5CA6D}"/>
    <hyperlink ref="C658" r:id="rId653" display="https://pld.live/RapDetail.aspx?STONELIST=926101379&amp;ISCONFIRM=0" xr:uid="{4B34EBB2-5913-446F-8D14-AAA170DF60E8}"/>
    <hyperlink ref="C659" r:id="rId654" display="https://pld.live/RapDetail.aspx?STONELIST=926071585&amp;ISCONFIRM=0" xr:uid="{93AA7949-8D22-4DBD-8053-A84D663B7650}"/>
    <hyperlink ref="C660" r:id="rId655" display="https://pld.live/RapDetail.aspx?STONELIST=925940522&amp;ISCONFIRM=0" xr:uid="{70772949-C12A-4132-BB52-823CDDA6B2F5}"/>
    <hyperlink ref="C661" r:id="rId656" display="https://pld.live/RapDetail.aspx?STONELIST=831010786&amp;ISCONFIRM=0" xr:uid="{79E377EF-0B9A-4CFF-AC13-D8F1FD33B9BB}"/>
    <hyperlink ref="C662" r:id="rId657" display="https://pld.live/RapDetail.aspx?STONELIST=925520414&amp;ISCONFIRM=0" xr:uid="{CC5A03E1-7F39-4DD0-B68D-BE7884659308}"/>
    <hyperlink ref="C663" r:id="rId658" display="https://pld.live/RapDetail.aspx?STONELIST=831010798&amp;ISCONFIRM=0" xr:uid="{8C018DF2-46D7-4A95-AE25-D58FBDAF9366}"/>
    <hyperlink ref="C664" r:id="rId659" display="https://pld.live/RapDetail.aspx?STONELIST=926101380&amp;ISCONFIRM=0" xr:uid="{398D0702-1A08-407E-A96C-8EB0439F6F92}"/>
    <hyperlink ref="C665" r:id="rId660" display="https://pld.live/RapDetail.aspx?STONELIST=925950892&amp;ISCONFIRM=0" xr:uid="{1F0DA207-FE24-439F-B118-1EC8D4E8DBD3}"/>
    <hyperlink ref="C666" r:id="rId661" display="https://pld.live/RapDetail.aspx?STONELIST=925970654&amp;ISCONFIRM=0" xr:uid="{B3EB01B4-FC8A-4095-B4BA-DD7DF553C44E}"/>
    <hyperlink ref="C667" r:id="rId662" display="https://pld.live/RapDetail.aspx?STONELIST=925861972&amp;ISCONFIRM=0" xr:uid="{9A6B2D78-9F13-4B9A-B432-3009571B7C6C}"/>
    <hyperlink ref="C668" r:id="rId663" display="https://pld.live/RapDetail.aspx?STONELIST=925961016&amp;ISCONFIRM=0" xr:uid="{A06E9114-C63D-4C3C-9D32-E02A22818380}"/>
    <hyperlink ref="C669" r:id="rId664" display="https://pld.live/RapDetail.aspx?STONELIST=831010791&amp;ISCONFIRM=0" xr:uid="{EC52001F-132D-4386-8419-837A36FDD517}"/>
    <hyperlink ref="C670" r:id="rId665" display="https://pld.live/RapDetail.aspx?STONELIST=925430084&amp;ISCONFIRM=0" xr:uid="{2F141E4A-6593-48AF-9D4A-6DD9D0D081B4}"/>
    <hyperlink ref="C671" r:id="rId666" display="https://pld.live/RapDetail.aspx?STONELIST=926071785&amp;ISCONFIRM=0" xr:uid="{7F8BDE18-B0EA-4B2C-B008-DCF8C7933EC7}"/>
    <hyperlink ref="C672" r:id="rId667" display="https://pld.live/RapDetail.aspx?STONELIST=925961013&amp;ISCONFIRM=0" xr:uid="{2B372A80-1132-4D18-83CA-4EEF62AEEE7F}"/>
    <hyperlink ref="C673" r:id="rId668" display="https://pld.live/RapDetail.aspx?STONELIST=926071768&amp;ISCONFIRM=0" xr:uid="{7F8C68F5-BA0A-4C6D-8BAB-C8CC8B154C2F}"/>
    <hyperlink ref="C674" r:id="rId669" display="https://pld.live/RapDetail.aspx?STONELIST=926071746&amp;ISCONFIRM=0" xr:uid="{56F8E42A-59D9-4B31-9D5B-832154E31596}"/>
    <hyperlink ref="C675" r:id="rId670" display="https://pld.live/RapDetail.aspx?STONELIST=925970834&amp;ISCONFIRM=0" xr:uid="{265C22A4-D74D-4550-B1B6-2E0613E93CE2}"/>
    <hyperlink ref="C676" r:id="rId671" display="https://pld.live/RapDetail.aspx?STONELIST=925951085&amp;ISCONFIRM=0" xr:uid="{203C0A8D-83DC-4FB2-B64C-2839B49CC2BB}"/>
    <hyperlink ref="C677" r:id="rId672" display="https://pld.live/RapDetail.aspx?STONELIST=926071489&amp;ISCONFIRM=0" xr:uid="{17C9BB01-303A-4C33-94AD-8DE36BD1330B}"/>
    <hyperlink ref="C678" r:id="rId673" display="https://pld.live/RapDetail.aspx?STONELIST=925960943&amp;ISCONFIRM=0" xr:uid="{13AE4293-4977-4B4F-B9B8-2E47FAA03FF0}"/>
    <hyperlink ref="C679" r:id="rId674" display="https://pld.live/RapDetail.aspx?STONELIST=925862017&amp;ISCONFIRM=0" xr:uid="{30B2E88F-2A6C-426B-B7FD-8B72D78C701D}"/>
    <hyperlink ref="C680" r:id="rId675" display="https://pld.live/RapDetail.aspx?STONELIST=925950991&amp;ISCONFIRM=0" xr:uid="{8C05FD11-CD15-4934-A96A-77D09D959FF3}"/>
    <hyperlink ref="C681" r:id="rId676" display="https://pld.live/RapDetail.aspx?STONELIST=831010797&amp;ISCONFIRM=0" xr:uid="{DFAD596C-36D0-4B4B-BD09-71036E2DC2AD}"/>
    <hyperlink ref="C682" r:id="rId677" display="https://pld.live/RapDetail.aspx?STONELIST=925550602&amp;ISCONFIRM=0" xr:uid="{94710AE0-33C1-4C43-AA16-D1F5DA22C3F5}"/>
    <hyperlink ref="C683" r:id="rId678" display="https://pld.live/RapDetail.aspx?STONELIST=926101378&amp;ISCONFIRM=0" xr:uid="{36F97BD7-1564-4527-A285-97E493CD3F2C}"/>
    <hyperlink ref="C684" r:id="rId679" display="https://pld.live/RapDetail.aspx?STONELIST=926101258&amp;ISCONFIRM=0" xr:uid="{E9311A1A-7682-4527-A834-12A464C53615}"/>
    <hyperlink ref="C685" r:id="rId680" display="https://pld.live/RapDetail.aspx?STONELIST=926101176&amp;ISCONFIRM=0" xr:uid="{F114BF75-E0D7-4830-BAC3-8BF100ADBDCA}"/>
    <hyperlink ref="C686" r:id="rId681" display="https://pld.live/RapDetail.aspx?STONELIST=926071829&amp;ISCONFIRM=0" xr:uid="{43D81371-8233-4172-BF1D-EA625CC06D93}"/>
    <hyperlink ref="C687" r:id="rId682" display="https://pld.live/RapDetail.aspx?STONELIST=926101533&amp;ISCONFIRM=0" xr:uid="{340C69B0-B9D6-4F31-8484-FA21DC0F6A40}"/>
    <hyperlink ref="C688" r:id="rId683" display="https://pld.live/RapDetail.aspx?STONELIST=926100964&amp;ISCONFIRM=0" xr:uid="{71D729BF-C0E2-4BB8-A5E7-B38D9A896FD6}"/>
    <hyperlink ref="C689" r:id="rId684" display="https://pld.live/RapDetail.aspx?STONELIST=926100961&amp;ISCONFIRM=0" xr:uid="{3518D554-F4C5-42A1-9EC2-4D4BF113955B}"/>
    <hyperlink ref="C690" r:id="rId685" display="https://pld.live/RapDetail.aspx?STONELIST=926071748&amp;ISCONFIRM=0" xr:uid="{0ADDBA88-0394-4D8E-82B9-C568B88A4E59}"/>
    <hyperlink ref="C691" r:id="rId686" display="https://pld.live/RapDetail.aspx?STONELIST=926101270&amp;ISCONFIRM=0" xr:uid="{88299E88-5DB9-4D6A-93B8-EEA843DB62E7}"/>
    <hyperlink ref="C692" r:id="rId687" display="https://pld.live/RapDetail.aspx?STONELIST=926071802&amp;ISCONFIRM=0" xr:uid="{3CAB7462-BD82-4877-8C9D-5253E4C87F57}"/>
    <hyperlink ref="C693" r:id="rId688" display="https://pld.live/RapDetail.aspx?STONELIST=926071919&amp;ISCONFIRM=0" xr:uid="{F4FD089B-3D32-40DF-9159-1615E7A5136B}"/>
    <hyperlink ref="C694" r:id="rId689" display="https://pld.live/RapDetail.aspx?STONELIST=925920784&amp;ISCONFIRM=0" xr:uid="{F6840A25-EA44-430B-BC03-B8696B8177A4}"/>
    <hyperlink ref="C695" r:id="rId690" display="https://pld.live/RapDetail.aspx?STONELIST=925430196&amp;ISCONFIRM=0" xr:uid="{9B12CD48-2934-444D-B43C-D35A4BB442DE}"/>
    <hyperlink ref="C696" r:id="rId691" display="https://pld.live/RapDetail.aspx?STONELIST=925861980&amp;ISCONFIRM=0" xr:uid="{11319675-9F01-4781-B0E0-266CC37A90D3}"/>
    <hyperlink ref="C697" r:id="rId692" display="https://pld.live/RapDetail.aspx?STONELIST=925801767&amp;ISCONFIRM=0" xr:uid="{0F9B7990-1ED8-4553-BD1E-14750CF0B6FD}"/>
    <hyperlink ref="C698" r:id="rId693" display="https://pld.live/RapDetail.aspx?STONELIST=925861979&amp;ISCONFIRM=0" xr:uid="{2C289B65-E523-4211-9032-AB78B49B6811}"/>
    <hyperlink ref="C699" r:id="rId694" display="https://pld.live/RapDetail.aspx?STONELIST=925801580&amp;ISCONFIRM=0" xr:uid="{025764C6-8A96-4880-BA8C-2CFE463C0927}"/>
    <hyperlink ref="C700" r:id="rId695" display="https://pld.live/RapDetail.aspx?STONELIST=925801955&amp;ISCONFIRM=0" xr:uid="{7B803242-4CBF-4EBC-90F5-9348BE8F31C2}"/>
    <hyperlink ref="C701" r:id="rId696" display="https://pld.live/RapDetail.aspx?STONELIST=925830581&amp;ISCONFIRM=0" xr:uid="{6B6F5426-7555-44BB-ABF4-DFDAD4CD2303}"/>
    <hyperlink ref="C702" r:id="rId697" display="https://pld.live/RapDetail.aspx?STONELIST=925800894&amp;ISCONFIRM=0" xr:uid="{CD21096B-D5BE-417D-AD0F-373FB1493D4E}"/>
    <hyperlink ref="C703" r:id="rId698" display="https://pld.live/RapDetail.aspx?STONELIST=925900396&amp;ISCONFIRM=0" xr:uid="{A512A62E-12A7-4D5F-9CF6-786DA0303525}"/>
    <hyperlink ref="C704" r:id="rId699" display="https://pld.live/RapDetail.aspx?STONELIST=925732149&amp;ISCONFIRM=0" xr:uid="{B5D3BA87-C322-490C-9092-708FB3DEAC23}"/>
    <hyperlink ref="C705" r:id="rId700" display="https://pld.live/RapDetail.aspx?STONELIST=925950989&amp;ISCONFIRM=0" xr:uid="{DCDD95AB-E2A4-45A7-82C4-6894106523F6}"/>
    <hyperlink ref="C706" r:id="rId701" display="https://pld.live/RapDetail.aspx?STONELIST=821127648&amp;ISCONFIRM=0" xr:uid="{8040EA06-A423-4A90-82C9-CA5EE9EFEE43}"/>
    <hyperlink ref="C707" r:id="rId702" display="https://pld.live/RapDetail.aspx?STONELIST=821127652&amp;ISCONFIRM=0" xr:uid="{5468ACCF-6821-4E08-A484-A943C6D520DC}"/>
    <hyperlink ref="C708" r:id="rId703" display="https://pld.live/RapDetail.aspx?STONELIST=821127653&amp;ISCONFIRM=0" xr:uid="{08072097-3EEB-4B5B-96B3-CFC92CA54613}"/>
    <hyperlink ref="C709" r:id="rId704" display="https://pld.live/RapDetail.aspx?STONELIST=821127654&amp;ISCONFIRM=0" xr:uid="{3FED1BC1-1077-479F-81BE-E993F4DED4F6}"/>
    <hyperlink ref="C710" r:id="rId705" display="https://pld.live/RapDetail.aspx?STONELIST=821127655&amp;ISCONFIRM=0" xr:uid="{85DE524E-A7E5-4025-912A-AA343EB4A58E}"/>
    <hyperlink ref="C711" r:id="rId706" display="https://pld.live/RapDetail.aspx?STONELIST=821127656&amp;ISCONFIRM=0" xr:uid="{BFDE461B-A4C4-4078-B9FF-3DFDBADE2844}"/>
    <hyperlink ref="C712" r:id="rId707" display="https://pld.live/RapDetail.aspx?STONELIST=821127657&amp;ISCONFIRM=0" xr:uid="{6E5B4069-B0A0-4974-94FE-78B23291E20A}"/>
    <hyperlink ref="C713" r:id="rId708" display="https://pld.live/RapDetail.aspx?STONELIST=821127659&amp;ISCONFIRM=0" xr:uid="{B7524B6B-3DC1-44D3-8898-777C6881E0D5}"/>
    <hyperlink ref="C714" r:id="rId709" display="https://pld.live/RapDetail.aspx?STONELIST=821127660&amp;ISCONFIRM=0" xr:uid="{4F11D54C-5D33-4B09-ADD4-8C73F59F6107}"/>
    <hyperlink ref="C715" r:id="rId710" display="https://pld.live/RapDetail.aspx?STONELIST=821127644&amp;ISCONFIRM=0" xr:uid="{F5F26C67-EAAE-430C-B9AF-72104D3395B5}"/>
    <hyperlink ref="C716" r:id="rId711" display="https://pld.live/RapDetail.aspx?STONELIST=821127643&amp;ISCONFIRM=0" xr:uid="{AAB557DE-55CA-47FF-9238-B9D3FF7E01A5}"/>
    <hyperlink ref="C717" r:id="rId712" display="https://pld.live/RapDetail.aspx?STONELIST=821127632&amp;ISCONFIRM=0" xr:uid="{FCC94804-3D66-4A7E-AC14-A2B1E059B869}"/>
    <hyperlink ref="C718" r:id="rId713" display="https://pld.live/RapDetail.aspx?STONELIST=821127586&amp;ISCONFIRM=0" xr:uid="{FC2E36CB-12DD-4EC6-B46C-839EB32A40D7}"/>
    <hyperlink ref="C719" r:id="rId714" display="https://pld.live/RapDetail.aspx?STONELIST=821127584&amp;ISCONFIRM=0" xr:uid="{9826553F-7980-4F0F-868D-0806B6701C05}"/>
    <hyperlink ref="C720" r:id="rId715" display="https://pld.live/RapDetail.aspx?STONELIST=821127582&amp;ISCONFIRM=0" xr:uid="{AB6C15B5-8265-48AF-BDB8-A77407C36406}"/>
    <hyperlink ref="C721" r:id="rId716" display="https://pld.live/RapDetail.aspx?STONELIST=821127579&amp;ISCONFIRM=0" xr:uid="{2F0B8505-F3C3-4861-B96B-FAB8AB909A20}"/>
    <hyperlink ref="C722" r:id="rId717" display="https://pld.live/RapDetail.aspx?STONELIST=821127575&amp;ISCONFIRM=0" xr:uid="{61F5FB4B-264A-48F0-8E15-6DFDA337BCA9}"/>
    <hyperlink ref="C723" r:id="rId718" display="https://pld.live/RapDetail.aspx?STONELIST=821127571&amp;ISCONFIRM=0" xr:uid="{9E1C3561-E588-4189-90F7-FCE0D65B58A8}"/>
    <hyperlink ref="C724" r:id="rId719" display="https://pld.live/RapDetail.aspx?STONELIST=821127567&amp;ISCONFIRM=0" xr:uid="{4407DD3E-09C4-454F-9468-6906511BBC1D}"/>
    <hyperlink ref="C725" r:id="rId720" display="https://pld.live/RapDetail.aspx?STONELIST=821127561&amp;ISCONFIRM=0" xr:uid="{507217B4-F750-40D4-A6C8-DDBFDCE091ED}"/>
    <hyperlink ref="C726" r:id="rId721" display="https://pld.live/RapDetail.aspx?STONELIST=821127553&amp;ISCONFIRM=0" xr:uid="{5F057A58-B20D-4219-A584-131A8C2FEDF4}"/>
    <hyperlink ref="C727" r:id="rId722" display="https://pld.live/RapDetail.aspx?STONELIST=831010547&amp;ISCONFIRM=0" xr:uid="{DA658C3D-8230-459E-AA68-E8A80BD4E255}"/>
    <hyperlink ref="C728" r:id="rId723" display="https://pld.live/RapDetail.aspx?STONELIST=925551639&amp;ISCONFIRM=0" xr:uid="{FAC044B2-3848-42F7-9FF1-2C7BC10E87A2}"/>
    <hyperlink ref="C729" r:id="rId724" display="https://pld.live/RapDetail.aspx?STONELIST=925551748&amp;ISCONFIRM=0" xr:uid="{62D733C0-E310-438E-B4CA-E73B0C0B0A00}"/>
    <hyperlink ref="C730" r:id="rId725" display="https://pld.live/RapDetail.aspx?STONELIST=925620540&amp;ISCONFIRM=0" xr:uid="{82EE4A2F-E72E-45CA-A8CA-46C2DAFB27E7}"/>
    <hyperlink ref="C731" r:id="rId726" display="https://pld.live/RapDetail.aspx?STONELIST=925551648&amp;ISCONFIRM=0" xr:uid="{69A1D6E7-8C9C-4A6D-A57E-D388135E091F}"/>
    <hyperlink ref="C732" r:id="rId727" display="https://pld.live/RapDetail.aspx?STONELIST=926100906&amp;ISCONFIRM=0" xr:uid="{67D96BE8-82FC-44FF-ABDE-690ED82515F9}"/>
    <hyperlink ref="C733" r:id="rId728" display="https://pld.live/RapDetail.aspx?STONELIST=926101512&amp;ISCONFIRM=0" xr:uid="{AD568422-1FFD-4A3D-BAC3-5CD213D4C1EE}"/>
    <hyperlink ref="C734" r:id="rId729" display="https://pld.live/RapDetail.aspx?STONELIST=926101066&amp;ISCONFIRM=0" xr:uid="{AA992D2D-57D4-4C30-B474-40C0BF066141}"/>
    <hyperlink ref="C735" r:id="rId730" display="https://pld.live/RapDetail.aspx?STONELIST=924810022&amp;ISCONFIRM=0" xr:uid="{08C06E39-3FFD-45A7-9287-01F836D05E98}"/>
    <hyperlink ref="C736" r:id="rId731" display="https://pld.live/RapDetail.aspx?STONELIST=925951053&amp;ISCONFIRM=0" xr:uid="{A92E36DF-218B-4BF6-9A5A-81515774A6ED}"/>
    <hyperlink ref="C737" r:id="rId732" display="https://pld.live/RapDetail.aspx?STONELIST=821127663&amp;ISCONFIRM=0" xr:uid="{265D2B5D-3F32-478B-BC36-A212FEF005C3}"/>
    <hyperlink ref="C738" r:id="rId733" display="https://pld.live/RapDetail.aspx?STONELIST=925520488&amp;ISCONFIRM=0" xr:uid="{25AC419C-B04D-41FC-8F19-979CB77B2A8D}"/>
    <hyperlink ref="C739" r:id="rId734" display="https://pld.live/RapDetail.aspx?STONELIST=925520517&amp;ISCONFIRM=0" xr:uid="{2CB2EF84-E9AD-4793-8060-DACD7090C826}"/>
    <hyperlink ref="C740" r:id="rId735" display="https://pld.live/RapDetail.aspx?STONELIST=925520750&amp;ISCONFIRM=0" xr:uid="{7802B48D-7285-43F5-8E4D-5EF45B0AA12A}"/>
    <hyperlink ref="C741" r:id="rId736" display="https://pld.live/RapDetail.aspx?STONELIST=925621083&amp;ISCONFIRM=0" xr:uid="{09125BA9-50AC-429B-9499-1C736F9591EB}"/>
    <hyperlink ref="C742" r:id="rId737" display="https://pld.live/RapDetail.aspx?STONELIST=926101515&amp;ISCONFIRM=0" xr:uid="{C874A8C7-D8EA-4060-81EA-E3A0F1A23E54}"/>
    <hyperlink ref="C743" r:id="rId738" display="https://pld.live/RapDetail.aspx?STONELIST=926100966&amp;ISCONFIRM=0" xr:uid="{6BD299E9-31B4-4AB3-B7DA-878F73ABF82E}"/>
    <hyperlink ref="C744" r:id="rId739" display="https://pld.live/RapDetail.aspx?STONELIST=925801472&amp;ISCONFIRM=0" xr:uid="{E546BF19-78A5-4E8D-AC7A-A48239EBE29F}"/>
    <hyperlink ref="C745" r:id="rId740" display="https://pld.live/RapDetail.aspx?STONELIST=925801469&amp;ISCONFIRM=0" xr:uid="{9900FE86-9D5B-4890-A11F-7E98E625FE97}"/>
    <hyperlink ref="C746" r:id="rId741" display="https://pld.live/RapDetail.aspx?STONELIST=925800891&amp;ISCONFIRM=0" xr:uid="{A6D29F1C-971A-4E1D-8A7B-B1417E0C471B}"/>
    <hyperlink ref="C747" r:id="rId742" display="https://pld.live/RapDetail.aspx?STONELIST=925830615&amp;ISCONFIRM=0" xr:uid="{47DFC850-0AF1-4E70-8B19-347934031857}"/>
    <hyperlink ref="C748" r:id="rId743" display="https://pld.live/RapDetail.aspx?STONELIST=821127672&amp;ISCONFIRM=0" xr:uid="{367C683E-1BCA-41CD-9C55-C6787D207623}"/>
    <hyperlink ref="C749" r:id="rId744" display="https://pld.live/RapDetail.aspx?STONELIST=821127670&amp;ISCONFIRM=0" xr:uid="{8E91DE28-D3FB-4FEB-9B03-CE293A36C9A0}"/>
    <hyperlink ref="C750" r:id="rId745" display="https://pld.live/RapDetail.aspx?STONELIST=821127522&amp;ISCONFIRM=0" xr:uid="{417C1975-C0C1-4E46-9C4D-9FE52E2EDB3D}"/>
    <hyperlink ref="C751" r:id="rId746" display="https://pld.live/RapDetail.aspx?STONELIST=821127521&amp;ISCONFIRM=0" xr:uid="{0705B326-0EA2-4088-A878-16127B1BAC75}"/>
    <hyperlink ref="C752" r:id="rId747" display="https://pld.live/RapDetail.aspx?STONELIST=821127488&amp;ISCONFIRM=0" xr:uid="{89554BD6-D3E8-4EE2-9738-2037E21DDD69}"/>
    <hyperlink ref="C753" r:id="rId748" display="https://pld.live/RapDetail.aspx?STONELIST=821127467&amp;ISCONFIRM=0" xr:uid="{B226F50D-9459-46D9-9951-844A16F7BDC2}"/>
    <hyperlink ref="C754" r:id="rId749" display="https://pld.live/RapDetail.aspx?STONELIST=821127453&amp;ISCONFIRM=0" xr:uid="{80B4F524-FA25-47E1-AAAB-574409FFB7BE}"/>
    <hyperlink ref="C755" r:id="rId750" display="https://pld.live/RapDetail.aspx?STONELIST=821127449&amp;ISCONFIRM=0" xr:uid="{8FF7BD51-A034-4891-ACEE-E3BDD9ED384B}"/>
    <hyperlink ref="C756" r:id="rId751" display="https://pld.live/RapDetail.aspx?STONELIST=821127756&amp;ISCONFIRM=0" xr:uid="{2FF597A7-4F08-4571-BD60-B5E5E42745FE}"/>
    <hyperlink ref="C757" r:id="rId752" display="https://pld.live/RapDetail.aspx?STONELIST=924820051&amp;ISCONFIRM=0" xr:uid="{FF809F79-1425-456C-9B8D-8D7C9E415C0B}"/>
    <hyperlink ref="C758" r:id="rId753" display="https://pld.live/RapDetail.aspx?STONELIST=925370034&amp;ISCONFIRM=0" xr:uid="{6F32E586-DEB2-4C8D-962D-6677BB25C0BB}"/>
    <hyperlink ref="C759" r:id="rId754" display="https://pld.live/RapDetail.aspx?STONELIST=924600072&amp;ISCONFIRM=0" xr:uid="{060EB9DD-3E95-4CA0-BA2E-41073948C448}"/>
    <hyperlink ref="C760" r:id="rId755" display="https://pld.live/RapDetail.aspx?STONELIST=925801726&amp;ISCONFIRM=0" xr:uid="{AC1F4D3A-C4B6-43EC-B9BC-858405292333}"/>
    <hyperlink ref="C761" r:id="rId756" display="https://pld.live/RapDetail.aspx?STONELIST=925800510&amp;ISCONFIRM=0" xr:uid="{72E97B0A-65FA-4BB1-AF82-06DA3DC8A442}"/>
    <hyperlink ref="C762" r:id="rId757" display="https://pld.live/RapDetail.aspx?STONELIST=925861938&amp;ISCONFIRM=0" xr:uid="{9E036FEA-664F-449E-9401-6739621F093F}"/>
    <hyperlink ref="C763" r:id="rId758" display="https://pld.live/RapDetail.aspx?STONELIST=925830694&amp;ISCONFIRM=0" xr:uid="{E1D74D44-D629-4822-B25B-4D3663598985}"/>
    <hyperlink ref="C764" r:id="rId759" display="https://pld.live/RapDetail.aspx?STONELIST=925830671&amp;ISCONFIRM=0" xr:uid="{2EC24490-CA5D-4BCE-8FCC-FF1C3C82CDBA}"/>
    <hyperlink ref="C765" r:id="rId760" display="https://pld.live/RapDetail.aspx?STONELIST=831010828&amp;ISCONFIRM=0" xr:uid="{61668A4E-FB41-43EA-ACF7-CBEB3AE70C93}"/>
    <hyperlink ref="C766" r:id="rId761" display="https://pld.live/RapDetail.aspx?STONELIST=821127755&amp;ISCONFIRM=0" xr:uid="{2CDB8603-8CDC-4715-B6E0-428A34FD3C36}"/>
    <hyperlink ref="C767" r:id="rId762" display="https://pld.live/RapDetail.aspx?STONELIST=831020278&amp;ISCONFIRM=0" xr:uid="{F495D1F4-32CC-4772-BBCD-1FB53365973F}"/>
    <hyperlink ref="C768" r:id="rId763" display="https://pld.live/RapDetail.aspx?STONELIST=925430132&amp;ISCONFIRM=0" xr:uid="{A1D21FB4-263F-4CD0-99ED-E56CA956E128}"/>
    <hyperlink ref="C769" r:id="rId764" display="https://pld.live/RapDetail.aspx?STONELIST=925430141&amp;ISCONFIRM=0" xr:uid="{26C4FDBF-015B-4C96-B8BB-CADB3569E822}"/>
    <hyperlink ref="C770" r:id="rId765" display="https://pld.live/RapDetail.aspx?STONELIST=925430155&amp;ISCONFIRM=0" xr:uid="{58EFE978-F674-4658-9963-981ACB407928}"/>
    <hyperlink ref="C771" r:id="rId766" display="https://pld.live/RapDetail.aspx?STONELIST=925960969&amp;ISCONFIRM=0" xr:uid="{17D3C96D-021E-4CBA-8D98-7B66519AFA83}"/>
    <hyperlink ref="C772" r:id="rId767" display="https://pld.live/RapDetail.aspx?STONELIST=821127718&amp;ISCONFIRM=0" xr:uid="{BA80DD99-901C-4433-8E28-38C75E20DB47}"/>
    <hyperlink ref="C773" r:id="rId768" display="https://pld.live/RapDetail.aspx?STONELIST=926101596&amp;ISCONFIRM=0" xr:uid="{3EFBC0E9-F70E-4D88-A40A-DCEF00A13614}"/>
    <hyperlink ref="C774" r:id="rId769" display="https://pld.live/RapDetail.aspx?STONELIST=924710103&amp;ISCONFIRM=0" xr:uid="{353041BD-B27D-49C4-9D3D-4DB6511C45DF}"/>
    <hyperlink ref="C775" r:id="rId770" display="https://pld.live/RapDetail.aspx?STONELIST=926041109&amp;ISCONFIRM=0" xr:uid="{F99F3A81-B588-49FF-A76E-46839550AB96}"/>
    <hyperlink ref="C776" r:id="rId771" display="https://pld.live/RapDetail.aspx?STONELIST=925940523&amp;ISCONFIRM=0" xr:uid="{DC0A3CA0-26B2-421A-9A29-FAD39DA182DF}"/>
    <hyperlink ref="C777" r:id="rId772" display="https://pld.live/RapDetail.aspx?STONELIST=925940531&amp;ISCONFIRM=0" xr:uid="{50070B36-8D50-49AE-9F64-0AA4384F53BA}"/>
    <hyperlink ref="C778" r:id="rId773" display="https://pld.live/RapDetail.aspx?STONELIST=821127781&amp;ISCONFIRM=0" xr:uid="{C872761E-8A0F-47F8-B2E9-68CF6B15B93D}"/>
    <hyperlink ref="C779" r:id="rId774" display="https://pld.live/RapDetail.aspx?STONELIST=926020770&amp;ISCONFIRM=0" xr:uid="{39AE4887-5CC1-442F-82A3-2C8558C19980}"/>
    <hyperlink ref="C780" r:id="rId775" display="https://pld.live/RapDetail.aspx?STONELIST=926071340&amp;ISCONFIRM=0" xr:uid="{9E44D030-8958-490E-BF9D-3B7A110252E5}"/>
    <hyperlink ref="C781" r:id="rId776" display="https://pld.live/RapDetail.aspx?STONELIST=925971134&amp;ISCONFIRM=0" xr:uid="{CB7F49C4-0BBF-4377-8D4B-E744BC166ED8}"/>
    <hyperlink ref="C782" r:id="rId777" display="https://pld.live/RapDetail.aspx?STONELIST=926020648&amp;ISCONFIRM=0" xr:uid="{48B2D62E-4363-4F31-9050-E172DC1947C1}"/>
    <hyperlink ref="C783" r:id="rId778" display="https://pld.live/RapDetail.aspx?STONELIST=925861338&amp;ISCONFIRM=0" xr:uid="{9AE89E4B-EC77-43E0-8EA0-717A442B9E5C}"/>
    <hyperlink ref="C784" r:id="rId779" display="https://pld.live/RapDetail.aspx?STONELIST=821127801&amp;ISCONFIRM=0" xr:uid="{7A3FD267-FEB4-4FC2-A742-EB86ECF1114F}"/>
    <hyperlink ref="C785" r:id="rId780" display="https://pld.live/RapDetail.aspx?STONELIST=925960786&amp;ISCONFIRM=0" xr:uid="{6ACBC8CB-2E47-408E-B8EF-965C2D85EED0}"/>
    <hyperlink ref="C786" r:id="rId781" display="https://pld.live/RapDetail.aspx?STONELIST=925961164&amp;ISCONFIRM=0" xr:uid="{4F7B101D-4285-4C96-AFC9-D0E4DF14E15D}"/>
    <hyperlink ref="C787" r:id="rId782" display="https://pld.live/RapDetail.aspx?STONELIST=925960784&amp;ISCONFIRM=0" xr:uid="{5806FDA9-B121-4E30-B7EB-BCCD31D28B17}"/>
    <hyperlink ref="C788" r:id="rId783" display="https://pld.live/RapDetail.aspx?STONELIST=925862083&amp;ISCONFIRM=0" xr:uid="{F39F017C-15DD-4335-8390-7EB3001264DC}"/>
    <hyperlink ref="C789" r:id="rId784" display="https://pld.live/RapDetail.aspx?STONELIST=925951283&amp;ISCONFIRM=0" xr:uid="{0F20B964-5820-470C-926B-B272258A439F}"/>
    <hyperlink ref="C790" r:id="rId785" display="https://pld.live/RapDetail.aspx?STONELIST=925951206&amp;ISCONFIRM=0" xr:uid="{B924BC0B-DD65-4AD0-BC60-CDE4C956AB09}"/>
    <hyperlink ref="C791" r:id="rId786" display="https://pld.live/RapDetail.aspx?STONELIST=925940534&amp;ISCONFIRM=0" xr:uid="{FD023F4E-0672-4F4F-BA74-88A598ECAA2D}"/>
    <hyperlink ref="C792" r:id="rId787" display="https://pld.live/RapDetail.aspx?STONELIST=925951086&amp;ISCONFIRM=0" xr:uid="{69E1B552-21A6-43C9-911E-31884F6A5AAA}"/>
    <hyperlink ref="C793" r:id="rId788" display="https://pld.live/RapDetail.aspx?STONELIST=925951077&amp;ISCONFIRM=0" xr:uid="{BFC8E705-14F9-428F-98DF-87A43E25B586}"/>
    <hyperlink ref="C794" r:id="rId789" display="https://pld.live/RapDetail.aspx?STONELIST=925961288&amp;ISCONFIRM=0" xr:uid="{CD068F14-9119-4FB2-A0A0-00C74C167427}"/>
    <hyperlink ref="C795" r:id="rId790" display="https://pld.live/RapDetail.aspx?STONELIST=925801850&amp;ISCONFIRM=0" xr:uid="{55E822D0-80C5-489E-BF96-30FF16877F5B}"/>
    <hyperlink ref="C796" r:id="rId791" display="https://pld.live/RapDetail.aspx?STONELIST=925801490&amp;ISCONFIRM=0" xr:uid="{8FA0441D-252F-4037-812A-D6ED8D79C4B7}"/>
    <hyperlink ref="C797" r:id="rId792" display="https://pld.live/RapDetail.aspx?STONELIST=821127568&amp;ISCONFIRM=0" xr:uid="{9ACD22E7-0808-4E5E-ADF0-04F78B8C81C7}"/>
    <hyperlink ref="C798" r:id="rId793" display="https://pld.live/RapDetail.aspx?STONELIST=821127573&amp;ISCONFIRM=0" xr:uid="{8B6BD39F-500B-44B5-88A2-7B22AD10F417}"/>
    <hyperlink ref="C799" r:id="rId794" display="https://pld.live/RapDetail.aspx?STONELIST=821127566&amp;ISCONFIRM=0" xr:uid="{D2033338-C323-4E87-BAC6-582D92B93C5E}"/>
    <hyperlink ref="C800" r:id="rId795" display="https://pld.live/RapDetail.aspx?STONELIST=821127581&amp;ISCONFIRM=0" xr:uid="{558C89FE-2F04-46AD-BD6A-839F8315E9CB}"/>
    <hyperlink ref="C801" r:id="rId796" display="https://pld.live/RapDetail.aspx?STONELIST=821127558&amp;ISCONFIRM=0" xr:uid="{393B01DA-1B02-4317-B8D9-42DFF8B739A3}"/>
    <hyperlink ref="C802" r:id="rId797" display="https://pld.live/RapDetail.aspx?STONELIST=821127594&amp;ISCONFIRM=0" xr:uid="{BB4FDAD7-5501-4EB3-A021-EF2E0F672515}"/>
    <hyperlink ref="C803" r:id="rId798" display="https://pld.live/RapDetail.aspx?STONELIST=821127599&amp;ISCONFIRM=0" xr:uid="{1135F360-1B31-4F31-93D1-3437AA38462E}"/>
    <hyperlink ref="C804" r:id="rId799" display="https://pld.live/RapDetail.aspx?STONELIST=821127604&amp;ISCONFIRM=0" xr:uid="{C832E337-D963-46A5-9728-55EF0C97E5FA}"/>
    <hyperlink ref="C805" r:id="rId800" display="https://pld.live/RapDetail.aspx?STONELIST=821127622&amp;ISCONFIRM=0" xr:uid="{2AEF540E-2634-4730-A542-62D5293D49E0}"/>
    <hyperlink ref="C806" r:id="rId801" display="https://pld.live/RapDetail.aspx?STONELIST=821127625&amp;ISCONFIRM=0" xr:uid="{D08A719C-180D-4740-B46A-090F33172C44}"/>
    <hyperlink ref="C807" r:id="rId802" display="https://pld.live/RapDetail.aspx?STONELIST=821127551&amp;ISCONFIRM=0" xr:uid="{62E50A1E-451F-4D2E-9620-28E5AEDD7B0B}"/>
    <hyperlink ref="C808" r:id="rId803" display="https://pld.live/RapDetail.aspx?STONELIST=821127680&amp;ISCONFIRM=0" xr:uid="{D9A5484E-3910-4869-A38F-094959A591B9}"/>
    <hyperlink ref="C809" r:id="rId804" display="https://pld.live/RapDetail.aspx?STONELIST=821127682&amp;ISCONFIRM=0" xr:uid="{BB2D09D8-3089-45E3-92AE-E3DA354C134F}"/>
    <hyperlink ref="C810" r:id="rId805" display="https://pld.live/RapDetail.aspx?STONELIST=821127688&amp;ISCONFIRM=0" xr:uid="{D4629512-CAFB-42D5-99B7-92972D6528CF}"/>
    <hyperlink ref="C811" r:id="rId806" display="https://pld.live/RapDetail.aspx?STONELIST=821127689&amp;ISCONFIRM=0" xr:uid="{E04E61AE-0840-4DF8-9CD1-B571F0F22D7D}"/>
    <hyperlink ref="C812" r:id="rId807" display="https://pld.live/RapDetail.aspx?STONELIST=821127702&amp;ISCONFIRM=0" xr:uid="{21FA1D06-157E-43B7-B449-2167DC7FE638}"/>
    <hyperlink ref="C813" r:id="rId808" display="https://pld.live/RapDetail.aspx?STONELIST=831010796&amp;ISCONFIRM=0" xr:uid="{11E10203-0190-4BA9-A842-97C3085665B5}"/>
    <hyperlink ref="C814" r:id="rId809" display="https://pld.live/RapDetail.aspx?STONELIST=821127703&amp;ISCONFIRM=0" xr:uid="{315A3BDA-FC68-4E6B-A86D-9721EFA9CAC9}"/>
    <hyperlink ref="C815" r:id="rId810" display="https://pld.live/RapDetail.aspx?STONELIST=821127707&amp;ISCONFIRM=0" xr:uid="{414339E5-0FFD-4AD1-BDC4-68D1FCA5A1BB}"/>
    <hyperlink ref="C816" r:id="rId811" display="https://pld.live/RapDetail.aspx?STONELIST=821127706&amp;ISCONFIRM=0" xr:uid="{4F1422C0-C999-4A36-9C9D-7C26CEB117C3}"/>
    <hyperlink ref="C817" r:id="rId812" display="https://pld.live/RapDetail.aspx?STONELIST=926071067&amp;ISCONFIRM=0" xr:uid="{F6CCE3D5-E1C7-4FBF-BA6B-08208B8F68E6}"/>
    <hyperlink ref="C818" r:id="rId813" display="https://pld.live/RapDetail.aspx?STONELIST=926071263&amp;ISCONFIRM=0" xr:uid="{3E9F7417-C8E1-4C82-AF91-C53A505DA8AD}"/>
    <hyperlink ref="C819" r:id="rId814" display="https://pld.live/RapDetail.aspx?STONELIST=926071339&amp;ISCONFIRM=0" xr:uid="{ADCCE24A-B3F3-4E63-8237-218FB6FAA5ED}"/>
    <hyperlink ref="C820" r:id="rId815" display="https://pld.live/RapDetail.aspx?STONELIST=925971273&amp;ISCONFIRM=0" xr:uid="{1032DBF7-1BED-4937-BF01-1B0C6E29BF60}"/>
    <hyperlink ref="C821" r:id="rId816" display="https://pld.live/RapDetail.aspx?STONELIST=925971278&amp;ISCONFIRM=0" xr:uid="{91B0D07C-B49A-4F21-9A4A-F3694504FA1B}"/>
    <hyperlink ref="C822" r:id="rId817" display="https://pld.live/RapDetail.aspx?STONELIST=926071548&amp;ISCONFIRM=0" xr:uid="{96FE0DFB-2A63-4DEC-9431-1AC5A35AAE42}"/>
    <hyperlink ref="C823" r:id="rId818" display="https://pld.live/RapDetail.aspx?STONELIST=926041170&amp;ISCONFIRM=0" xr:uid="{A85FC0D3-9025-45FA-AEFA-30963CF90689}"/>
    <hyperlink ref="C824" r:id="rId819" display="https://pld.live/RapDetail.aspx?STONELIST=926041020&amp;ISCONFIRM=0" xr:uid="{FE1D0ECC-2C10-424F-BDC6-956BA2522FC9}"/>
    <hyperlink ref="C825" r:id="rId820" display="https://pld.live/RapDetail.aspx?STONELIST=926020771&amp;ISCONFIRM=0" xr:uid="{C074A394-3AEF-44BA-AC27-79FAF3C1EB84}"/>
    <hyperlink ref="C826" r:id="rId821" display="https://pld.live/RapDetail.aspx?STONELIST=925971125&amp;ISCONFIRM=0" xr:uid="{0CE37E63-818A-401E-AE21-2F6C06B63774}"/>
    <hyperlink ref="C827" r:id="rId822" display="https://pld.live/RapDetail.aspx?STONELIST=925971092&amp;ISCONFIRM=0" xr:uid="{9247080E-EBEA-4961-AAD5-3BB4F22543F9}"/>
    <hyperlink ref="C828" r:id="rId823" display="https://pld.live/RapDetail.aspx?STONELIST=926071716&amp;ISCONFIRM=0" xr:uid="{C67F1C51-BF6F-4998-ACF9-7FE95BFF9CD9}"/>
    <hyperlink ref="C829" r:id="rId824" display="https://pld.live/RapDetail.aspx?STONELIST=925981152&amp;ISCONFIRM=0" xr:uid="{69BF1273-09D4-456D-954D-16C6093640A5}"/>
    <hyperlink ref="C830" r:id="rId825" display="https://pld.live/RapDetail.aspx?STONELIST=925981156&amp;ISCONFIRM=0" xr:uid="{53D48AC0-21E1-4822-A432-B1B43E44E68F}"/>
    <hyperlink ref="C831" r:id="rId826" display="https://pld.live/RapDetail.aspx?STONELIST=925981172&amp;ISCONFIRM=0" xr:uid="{4F2D3732-BA62-4A03-BBF7-13198EE20841}"/>
    <hyperlink ref="C832" r:id="rId827" display="https://pld.live/RapDetail.aspx?STONELIST=925981232&amp;ISCONFIRM=0" xr:uid="{9423DF41-CB84-41A6-9C4C-391B97CB0F52}"/>
    <hyperlink ref="C833" r:id="rId828" display="https://pld.live/RapDetail.aspx?STONELIST=926020707&amp;ISCONFIRM=0" xr:uid="{1C821A89-6AAF-4A32-AC76-B31CA898E8B5}"/>
    <hyperlink ref="C834" r:id="rId829" display="https://pld.live/RapDetail.aspx?STONELIST=925981211&amp;ISCONFIRM=0" xr:uid="{0CCD5996-0F0D-436C-83D0-46FDAFD8FEC7}"/>
    <hyperlink ref="C835" r:id="rId830" display="https://pld.live/RapDetail.aspx?STONELIST=925981174&amp;ISCONFIRM=0" xr:uid="{58024150-EBE2-42AE-8A5E-F87E12EE8131}"/>
    <hyperlink ref="C836" r:id="rId831" display="https://pld.live/RapDetail.aspx?STONELIST=926020760&amp;ISCONFIRM=0" xr:uid="{6B1F4429-39B0-45AD-89B6-3A5BB6425A67}"/>
    <hyperlink ref="C837" r:id="rId832" display="https://pld.live/RapDetail.aspx?STONELIST=926071516&amp;ISCONFIRM=0" xr:uid="{F463C94C-E0F9-4811-9F2A-60DD9FB8B433}"/>
    <hyperlink ref="C838" r:id="rId833" display="https://pld.live/RapDetail.aspx?STONELIST=925951055&amp;ISCONFIRM=0" xr:uid="{595E9B71-DDC0-445D-B0AE-1868E683BD56}"/>
    <hyperlink ref="C839" r:id="rId834" display="https://pld.live/RapDetail.aspx?STONELIST=925290286&amp;ISCONFIRM=0" xr:uid="{00719FF7-FDDB-4238-B040-55D90233267A}"/>
    <hyperlink ref="C840" r:id="rId835" display="https://pld.live/RapDetail.aspx?STONELIST=925140173&amp;ISCONFIRM=0" xr:uid="{80F8EE3C-706C-4F75-8C81-46AB8901467F}"/>
    <hyperlink ref="C841" r:id="rId836" display="https://pld.live/RapDetail.aspx?STONELIST=926020744&amp;ISCONFIRM=0" xr:uid="{C0337B75-2445-4B34-A222-2D1970C51528}"/>
    <hyperlink ref="C842" r:id="rId837" display="https://pld.live/RapDetail.aspx?STONELIST=925890316&amp;ISCONFIRM=0" xr:uid="{FF57EAE9-D1FD-4EE6-A08C-B02EF4D87096}"/>
    <hyperlink ref="C843" r:id="rId838" display="https://pld.live/RapDetail.aspx?STONELIST=925940529&amp;ISCONFIRM=0" xr:uid="{3464169D-606E-4541-AE74-7AB5A7321739}"/>
    <hyperlink ref="C844" r:id="rId839" display="https://pld.live/RapDetail.aspx?STONELIST=821127515&amp;ISCONFIRM=0" xr:uid="{92868A9F-728F-496E-B267-7A05910D8AC4}"/>
    <hyperlink ref="C845" r:id="rId840" display="https://pld.live/RapDetail.aspx?STONELIST=821127516&amp;ISCONFIRM=0" xr:uid="{3CB21015-80A2-4E9A-A529-4FC47693AD1F}"/>
    <hyperlink ref="C846" r:id="rId841" display="https://pld.live/RapDetail.aspx?STONELIST=821127523&amp;ISCONFIRM=0" xr:uid="{A6C7BB48-58BD-4727-AB2B-1D4197BACB6E}"/>
    <hyperlink ref="C847" r:id="rId842" display="https://pld.live/RapDetail.aspx?STONELIST=821127470&amp;ISCONFIRM=0" xr:uid="{9E4020E6-9C1A-4ED4-9983-84064ADE2B77}"/>
    <hyperlink ref="C848" r:id="rId843" display="https://pld.live/RapDetail.aspx?STONELIST=821127456&amp;ISCONFIRM=0" xr:uid="{C280A509-BAC7-4F75-9F4B-5A4A68A558F0}"/>
    <hyperlink ref="C849" r:id="rId844" display="https://pld.live/RapDetail.aspx?STONELIST=821127455&amp;ISCONFIRM=0" xr:uid="{E7E0B947-584D-4545-8598-2E1E8950D9EB}"/>
    <hyperlink ref="C850" r:id="rId845" display="https://pld.live/RapDetail.aspx?STONELIST=821127411&amp;ISCONFIRM=0" xr:uid="{59551199-987B-48A8-8C88-D09B1537AFF8}"/>
    <hyperlink ref="C851" r:id="rId846" display="https://pld.live/RapDetail.aspx?STONELIST=821127409&amp;ISCONFIRM=0" xr:uid="{D36539B0-8A5D-4FB4-8028-970CFD8B3B3B}"/>
    <hyperlink ref="C852" r:id="rId847" display="https://pld.live/RapDetail.aspx?STONELIST=821127408&amp;ISCONFIRM=0" xr:uid="{D259010E-D5C3-489C-9BA0-CDEAC9D96FD6}"/>
    <hyperlink ref="C853" r:id="rId848" display="https://pld.live/RapDetail.aspx?STONELIST=821127405&amp;ISCONFIRM=0" xr:uid="{64445EB6-6AE4-41F4-8D24-A109DFEF3489}"/>
    <hyperlink ref="C854" r:id="rId849" display="https://pld.live/RapDetail.aspx?STONELIST=821127402&amp;ISCONFIRM=0" xr:uid="{6B27EC21-437C-4304-8D8D-C7B062F22CC2}"/>
    <hyperlink ref="C855" r:id="rId850" display="https://pld.live/RapDetail.aspx?STONELIST=821114986&amp;ISCONFIRM=0" xr:uid="{1562D68E-C172-47EE-A5FA-B05F9D48EB00}"/>
    <hyperlink ref="C856" r:id="rId851" display="https://pld.live/RapDetail.aspx?STONELIST=926101466&amp;ISCONFIRM=0" xr:uid="{8EA6A834-A859-4A61-9B6C-324510C8E3FA}"/>
    <hyperlink ref="C857" r:id="rId852" display="https://pld.live/RapDetail.aspx?STONELIST=924820068&amp;ISCONFIRM=0" xr:uid="{E7F477DB-04CF-4F82-80C6-17250F2ADFBC}"/>
    <hyperlink ref="C858" r:id="rId853" display="https://pld.live/RapDetail.aspx?STONELIST=925860709&amp;ISCONFIRM=0" xr:uid="{5FD94698-75D2-4CA5-9CD9-CA722B208137}"/>
    <hyperlink ref="C859" r:id="rId854" display="https://pld.live/RapDetail.aspx?STONELIST=925961183&amp;ISCONFIRM=0" xr:uid="{EF1EE57F-48CA-4B0F-B6F3-664F7095877B}"/>
    <hyperlink ref="C860" r:id="rId855" display="https://pld.live/RapDetail.aspx?STONELIST=926041151&amp;ISCONFIRM=0" xr:uid="{E48AD225-5A05-45FC-8971-351A1F66906E}"/>
    <hyperlink ref="C861" r:id="rId856" display="https://pld.live/RapDetail.aspx?STONELIST=926110863&amp;ISCONFIRM=0" xr:uid="{F07C730A-4B8A-4387-980C-9F60049E2B61}"/>
    <hyperlink ref="C862" r:id="rId857" display="https://pld.live/RapDetail.aspx?STONELIST=926041059&amp;ISCONFIRM=0" xr:uid="{34D4BF59-C25B-4585-AA45-C274DF3F9CA8}"/>
    <hyperlink ref="C863" r:id="rId858" display="https://pld.live/RapDetail.aspx?STONELIST=925951294&amp;ISCONFIRM=0" xr:uid="{AD0B7070-3904-409A-8AF7-361355653DAB}"/>
    <hyperlink ref="C864" r:id="rId859" display="https://pld.live/RapDetail.aspx?STONELIST=925830451&amp;ISCONFIRM=0" xr:uid="{15CA4D39-FB30-4526-8B2D-381780B7350B}"/>
    <hyperlink ref="C865" r:id="rId860" display="https://pld.live/RapDetail.aspx?STONELIST=925851240&amp;ISCONFIRM=0" xr:uid="{3B9E60C1-2AA3-45BB-B3C2-48EE604D5536}"/>
    <hyperlink ref="C866" r:id="rId861" display="https://pld.live/RapDetail.aspx?STONELIST=821127500&amp;ISCONFIRM=0" xr:uid="{5A5D46ED-E5AE-45D1-BBA0-EFF08EE6496D}"/>
    <hyperlink ref="C867" r:id="rId862" display="https://pld.live/RapDetail.aspx?STONELIST=821127498&amp;ISCONFIRM=0" xr:uid="{25D1B561-855C-46AA-B3E2-CC38E4472931}"/>
    <hyperlink ref="C868" r:id="rId863" display="https://pld.live/RapDetail.aspx?STONELIST=831020726&amp;ISCONFIRM=0" xr:uid="{95835B62-C01E-41AA-A5B0-0E4BADF6DAD2}"/>
    <hyperlink ref="C869" r:id="rId864" display="https://pld.live/RapDetail.aspx?STONELIST=925981205&amp;ISCONFIRM=0" xr:uid="{E0CF906C-46A7-4D85-A0EB-4BBA9E4F5BC9}"/>
    <hyperlink ref="C870" r:id="rId865" display="https://pld.live/RapDetail.aspx?STONELIST=925830415&amp;ISCONFIRM=0" xr:uid="{160DF673-F34A-4DB7-A00B-2ED734523BB5}"/>
    <hyperlink ref="C871" r:id="rId866" display="https://pld.live/RapDetail.aspx?STONELIST=821127460&amp;ISCONFIRM=0" xr:uid="{C626F7EE-A0C9-4FF9-A1ED-88B114996E3B}"/>
    <hyperlink ref="C872" r:id="rId867" display="https://pld.live/RapDetail.aspx?STONELIST=925180142&amp;ISCONFIRM=0" xr:uid="{D9B21626-364A-4DFB-8164-A839174950B8}"/>
    <hyperlink ref="C873" r:id="rId868" display="https://pld.live/RapDetail.aspx?STONELIST=926071520&amp;ISCONFIRM=0" xr:uid="{D72D8586-1044-4AC3-B852-00F8BF891070}"/>
    <hyperlink ref="C874" r:id="rId869" display="https://pld.live/RapDetail.aspx?STONELIST=925981203&amp;ISCONFIRM=0" xr:uid="{06DAD46A-756A-4A0B-B8E3-AEF784562F0A}"/>
    <hyperlink ref="C875" r:id="rId870" display="https://pld.live/RapDetail.aspx?STONELIST=821127748&amp;ISCONFIRM=0" xr:uid="{4567E88D-37DE-4C87-9320-B3AA27EE0650}"/>
    <hyperlink ref="C876" r:id="rId871" display="https://pld.live/RapDetail.aspx?STONELIST=926070332&amp;ISCONFIRM=0" xr:uid="{6EE103C3-8931-4809-B803-ED511BF32088}"/>
    <hyperlink ref="C877" r:id="rId872" display="https://pld.live/RapDetail.aspx?STONELIST=926041261&amp;ISCONFIRM=0" xr:uid="{DD4808D3-9C46-4E92-9F49-7C4FE7305292}"/>
    <hyperlink ref="C878" r:id="rId873" display="https://pld.live/RapDetail.aspx?STONELIST=926071663&amp;ISCONFIRM=0" xr:uid="{565279F6-28DF-44C9-8787-A7384C8E0748}"/>
    <hyperlink ref="C879" r:id="rId874" display="https://pld.live/RapDetail.aspx?STONELIST=821128429&amp;ISCONFIRM=0" xr:uid="{C1CC4000-03B2-40B4-929D-FCF6870C0F65}"/>
    <hyperlink ref="C880" r:id="rId875" display="https://pld.live/RapDetail.aspx?STONELIST=924610351&amp;ISCONFIRM=0" xr:uid="{239CF522-B852-41B3-B3C8-CEEA015BB69E}"/>
    <hyperlink ref="C881" r:id="rId876" display="https://pld.live/RapDetail.aspx?STONELIST=925851239&amp;ISCONFIRM=0" xr:uid="{4596CD53-08F8-446D-8697-0EC3FE2C5803}"/>
    <hyperlink ref="C882" r:id="rId877" display="https://pld.live/RapDetail.aspx?STONELIST=924550164&amp;ISCONFIRM=0" xr:uid="{722BF35A-9665-4269-BFB7-DEA6F65B89BA}"/>
    <hyperlink ref="C883" r:id="rId878" display="https://pld.live/RapDetail.aspx?STONELIST=926040925&amp;ISCONFIRM=0" xr:uid="{F95623AD-D823-4B4E-B711-70234FD38113}"/>
    <hyperlink ref="C884" r:id="rId879" display="https://pld.live/RapDetail.aspx?STONELIST=926041017&amp;ISCONFIRM=0" xr:uid="{59E6DEC9-9D18-4D91-B0B8-0EEC4153C4BE}"/>
    <hyperlink ref="C885" r:id="rId880" display="https://pld.live/RapDetail.aspx?STONELIST=926071547&amp;ISCONFIRM=0" xr:uid="{BD1DA893-64AC-44A1-B51C-B37088B24C8E}"/>
    <hyperlink ref="C886" r:id="rId881" display="https://pld.live/RapDetail.aspx?STONELIST=926070735&amp;ISCONFIRM=0" xr:uid="{F8A82A2D-1227-41A7-8EEC-3663F3121EBE}"/>
    <hyperlink ref="C887" r:id="rId882" display="https://pld.live/RapDetail.aspx?STONELIST=821127423&amp;ISCONFIRM=0" xr:uid="{DD6A8933-2FF3-4E54-A689-36DC04DD6F8F}"/>
    <hyperlink ref="C888" r:id="rId883" display="https://pld.live/RapDetail.aspx?STONELIST=821127454&amp;ISCONFIRM=0" xr:uid="{19987B9D-875F-4A28-9A01-B73838FD4F96}"/>
    <hyperlink ref="C889" r:id="rId884" display="https://pld.live/RapDetail.aspx?STONELIST=821127406&amp;ISCONFIRM=0" xr:uid="{7CC608AD-4575-4CA0-B53A-02C2659E1CA9}"/>
    <hyperlink ref="C890" r:id="rId885" display="https://pld.live/RapDetail.aspx?STONELIST=821127485&amp;ISCONFIRM=0" xr:uid="{0EFE84F3-DD15-48DD-ABE6-56BBE81BDF46}"/>
    <hyperlink ref="C891" r:id="rId886" display="https://pld.live/RapDetail.aspx?STONELIST=926071788&amp;ISCONFIRM=0" xr:uid="{E1D57DCF-D19C-484E-B0F8-AE69B765969F}"/>
    <hyperlink ref="C892" r:id="rId887" display="https://pld.live/RapDetail.aspx?STONELIST=926071769&amp;ISCONFIRM=0" xr:uid="{DC2EBAA1-B877-4383-8E01-63BA12EC758A}"/>
    <hyperlink ref="C893" r:id="rId888" display="https://pld.live/RapDetail.aspx?STONELIST=821127459&amp;ISCONFIRM=0" xr:uid="{BCE7F2D9-D2AD-4386-BECC-2EC711BC09A5}"/>
    <hyperlink ref="C894" r:id="rId889" display="https://pld.live/RapDetail.aspx?STONELIST=925861498&amp;ISCONFIRM=0" xr:uid="{81CFE82F-06ED-4DFC-9574-AB8DF828D6A4}"/>
    <hyperlink ref="C895" r:id="rId890" display="https://pld.live/RapDetail.aspx?STONELIST=821127539&amp;ISCONFIRM=0" xr:uid="{CCAAC481-A374-43DD-9DC8-4E5DD2278AA1}"/>
    <hyperlink ref="C896" r:id="rId891" display="https://pld.live/RapDetail.aspx?STONELIST=926101666&amp;ISCONFIRM=0" xr:uid="{41607E9A-9013-4EB8-B0A0-DB78FFDCB111}"/>
    <hyperlink ref="C897" r:id="rId892" display="https://pld.live/RapDetail.aspx?STONELIST=925961355&amp;ISCONFIRM=0" xr:uid="{BDE03E1A-1166-456E-9019-88E931394B5E}"/>
    <hyperlink ref="C898" r:id="rId893" display="https://pld.live/RapDetail.aspx?STONELIST=925861911&amp;ISCONFIRM=0" xr:uid="{D9884DEF-785B-42A7-A9D3-BFAADEDD2F81}"/>
    <hyperlink ref="C899" r:id="rId894" display="https://pld.live/RapDetail.aspx?STONELIST=925430167&amp;ISCONFIRM=0" xr:uid="{A227B7AA-F60B-4F3F-8BD8-F362B68914E2}"/>
    <hyperlink ref="C900" r:id="rId895" display="https://pld.live/RapDetail.aspx?STONELIST=925430160&amp;ISCONFIRM=0" xr:uid="{83346DFA-05AB-4463-864E-72A277FBA62A}"/>
    <hyperlink ref="C901" r:id="rId896" display="https://pld.live/RapDetail.aspx?STONELIST=925971283&amp;ISCONFIRM=0" xr:uid="{6C16E9E3-251B-4983-BDA2-43CB14FBD266}"/>
    <hyperlink ref="C902" r:id="rId897" display="https://pld.live/RapDetail.aspx?STONELIST=821128430&amp;ISCONFIRM=0" xr:uid="{492F992E-80F6-4DF8-94BA-F22BBCAB9C05}"/>
    <hyperlink ref="C903" r:id="rId898" display="https://pld.live/RapDetail.aspx?STONELIST=926071894&amp;ISCONFIRM=0" xr:uid="{59E74A3B-7A2C-465F-A940-37C1FDA220E2}"/>
    <hyperlink ref="C904" r:id="rId899" display="https://pld.live/RapDetail.aspx?STONELIST=925961310&amp;ISCONFIRM=0" xr:uid="{9F0BA5C3-1047-440A-8977-491FF851B33C}"/>
    <hyperlink ref="C905" r:id="rId900" display="https://pld.live/RapDetail.aspx?STONELIST=925940569&amp;ISCONFIRM=0" xr:uid="{8B4563E5-A0DE-44D2-9DA5-94E63D0D86D0}"/>
    <hyperlink ref="C906" r:id="rId901" display="https://pld.live/RapDetail.aspx?STONELIST=925971257&amp;ISCONFIRM=0" xr:uid="{D9C9C840-1F4D-4817-A3B6-AA2AC21FC516}"/>
    <hyperlink ref="C907" r:id="rId902" display="https://pld.live/RapDetail.aspx?STONELIST=926101467&amp;ISCONFIRM=0" xr:uid="{5AEEA8E2-FC69-4B07-84B2-4964E9E2A6D6}"/>
    <hyperlink ref="C908" r:id="rId903" display="https://pld.live/RapDetail.aspx?STONELIST=926101284&amp;ISCONFIRM=0" xr:uid="{CF8D5938-308D-42CB-A223-D35F0FBDCF66}"/>
    <hyperlink ref="C909" r:id="rId904" display="https://pld.live/RapDetail.aspx?STONELIST=925961083&amp;ISCONFIRM=0" xr:uid="{33F4E296-DC7B-4548-A408-7C39AC9814EF}"/>
    <hyperlink ref="C910" r:id="rId905" display="https://pld.live/RapDetail.aspx?STONELIST=925961158&amp;ISCONFIRM=0" xr:uid="{342520A6-90EB-4AE2-8050-19D0F0F115C1}"/>
    <hyperlink ref="C911" r:id="rId906" display="https://pld.live/RapDetail.aspx?STONELIST=925920818&amp;ISCONFIRM=0" xr:uid="{58C95FA2-FE73-46FA-AF4F-9B9FB7FCDC62}"/>
    <hyperlink ref="C912" r:id="rId907" display="https://pld.live/RapDetail.aspx?STONELIST=925861648&amp;ISCONFIRM=0" xr:uid="{D62CD059-411A-4D3F-8207-FE1D97560625}"/>
    <hyperlink ref="C913" r:id="rId908" display="https://pld.live/RapDetail.aspx?STONELIST=821127415&amp;ISCONFIRM=0" xr:uid="{C82ABCE4-E44D-47BD-B3EA-4F56AE975650}"/>
    <hyperlink ref="C914" r:id="rId909" display="https://pld.live/RapDetail.aspx?STONELIST=821127416&amp;ISCONFIRM=0" xr:uid="{E5019023-5BD4-4EDC-9F9A-CC1D8566A95B}"/>
    <hyperlink ref="C915" r:id="rId910" display="https://pld.live/RapDetail.aspx?STONELIST=821127414&amp;ISCONFIRM=0" xr:uid="{DBD7CEA7-6CDE-4B83-AD9E-3C6C87A8AD8B}"/>
    <hyperlink ref="C916" r:id="rId911" display="https://pld.live/RapDetail.aspx?STONELIST=821127420&amp;ISCONFIRM=0" xr:uid="{6D767B4C-3CC6-44B9-A4A3-BE3DE8959D66}"/>
    <hyperlink ref="C917" r:id="rId912" display="https://pld.live/RapDetail.aspx?STONELIST=821127421&amp;ISCONFIRM=0" xr:uid="{E8745F5F-6401-4A28-A23D-7FEE3AF159C6}"/>
    <hyperlink ref="C918" r:id="rId913" display="https://pld.live/RapDetail.aspx?STONELIST=821127413&amp;ISCONFIRM=0" xr:uid="{6CE3E212-D0EF-49C8-8D18-48BEFAD4FDDC}"/>
    <hyperlink ref="C919" r:id="rId914" display="https://pld.live/RapDetail.aspx?STONELIST=821127446&amp;ISCONFIRM=0" xr:uid="{F3990441-CBBE-4262-8D3D-3F1214AF4679}"/>
    <hyperlink ref="C920" r:id="rId915" display="https://pld.live/RapDetail.aspx?STONELIST=821127457&amp;ISCONFIRM=0" xr:uid="{6DE7F389-29E2-4981-A68F-68291AF53466}"/>
    <hyperlink ref="C921" r:id="rId916" display="https://pld.live/RapDetail.aspx?STONELIST=821127466&amp;ISCONFIRM=0" xr:uid="{39F95080-12DD-457E-98EE-FBFB1E8F1CCD}"/>
    <hyperlink ref="C922" r:id="rId917" display="https://pld.live/RapDetail.aspx?STONELIST=821127401&amp;ISCONFIRM=0" xr:uid="{C449ADC6-697B-4EA1-B3BE-288C692220DA}"/>
    <hyperlink ref="C923" r:id="rId918" display="https://pld.live/RapDetail.aspx?STONELIST=926071828&amp;ISCONFIRM=0" xr:uid="{47C3FF0F-4B2A-431E-9B42-2665C11B68EB}"/>
    <hyperlink ref="C924" r:id="rId919" display="https://pld.live/RapDetail.aspx?STONELIST=925950891&amp;ISCONFIRM=0" xr:uid="{1099E89F-E336-4D09-8D43-2B77BB09D13B}"/>
    <hyperlink ref="C925" r:id="rId920" display="https://pld.live/RapDetail.aspx?STONELIST=924820034&amp;ISCONFIRM=0" xr:uid="{287920A5-7030-44E1-99FD-AF47CF49B41C}"/>
    <hyperlink ref="C926" r:id="rId921" display="https://pld.live/RapDetail.aspx?STONELIST=925861668&amp;ISCONFIRM=0" xr:uid="{C9398234-A373-4AC9-9EB5-2EF255C37352}"/>
    <hyperlink ref="C927" r:id="rId922" display="https://pld.live/RapDetail.aspx?STONELIST=924390299&amp;ISCONFIRM=0" xr:uid="{5FFB2E06-DBCD-4B73-8449-716CC9DEF915}"/>
    <hyperlink ref="C928" r:id="rId923" display="https://pld.live/RapDetail.aspx?STONELIST=821127541&amp;ISCONFIRM=0" xr:uid="{9459A838-A98A-402A-AED7-CC4755841109}"/>
    <hyperlink ref="C929" r:id="rId924" display="https://pld.live/RapDetail.aspx?STONELIST=926100926&amp;ISCONFIRM=0" xr:uid="{B0148F66-9526-4E70-B96E-3800B55567C4}"/>
    <hyperlink ref="C930" r:id="rId925" display="https://pld.live/RapDetail.aspx?STONELIST=831010549&amp;ISCONFIRM=0" xr:uid="{5172B8EE-58F9-4395-A096-54DA03A25624}"/>
    <hyperlink ref="C931" r:id="rId926" display="https://pld.live/RapDetail.aspx?STONELIST=925430085&amp;ISCONFIRM=0" xr:uid="{3F5F7B6B-BA1E-4156-92FB-093C6C1B0899}"/>
    <hyperlink ref="C932" r:id="rId927" display="https://pld.live/RapDetail.aspx?STONELIST=925430131&amp;ISCONFIRM=0" xr:uid="{04E998F9-DDE9-46DA-9446-D15CDD1B46B5}"/>
    <hyperlink ref="C933" r:id="rId928" display="https://pld.live/RapDetail.aspx?STONELIST=924770023&amp;ISCONFIRM=0" xr:uid="{ED8AB8FF-4F5D-41FF-8808-73CB2858F22B}"/>
    <hyperlink ref="C934" r:id="rId929" display="https://pld.live/RapDetail.aspx?STONELIST=925801648&amp;ISCONFIRM=0" xr:uid="{10D690BC-E9CA-4C5B-9394-AFF1A44C2AC8}"/>
    <hyperlink ref="C935" r:id="rId930" display="https://pld.live/RapDetail.aspx?STONELIST=821127709&amp;ISCONFIRM=0" xr:uid="{8EB430EB-0663-4DCB-94C8-9161C89A3B17}"/>
    <hyperlink ref="C936" r:id="rId931" display="https://pld.live/RapDetail.aspx?STONELIST=926101646&amp;ISCONFIRM=0" xr:uid="{9C0171CF-5399-4DBF-BFAB-BF303C7EF520}"/>
    <hyperlink ref="C937" r:id="rId932" display="https://pld.live/RapDetail.aspx?STONELIST=821127751&amp;ISCONFIRM=0" xr:uid="{72F45532-6B4E-470D-B682-BD94DDF4086B}"/>
    <hyperlink ref="C938" r:id="rId933" display="https://pld.live/RapDetail.aspx?STONELIST=821127447&amp;ISCONFIRM=0" xr:uid="{A679844E-374F-4A3D-8698-36FC1A5D0221}"/>
    <hyperlink ref="C939" r:id="rId934" display="https://pld.live/RapDetail.aspx?STONELIST=926111052&amp;ISCONFIRM=0" xr:uid="{E5FBD345-E4F0-49AD-BEAD-4B00DA421AD0}"/>
    <hyperlink ref="C940" r:id="rId935" display="https://pld.live/RapDetail.aspx?STONELIST=925961221&amp;ISCONFIRM=0" xr:uid="{E4637F07-2B81-438B-9B97-410A1E221B8B}"/>
    <hyperlink ref="C941" r:id="rId936" display="https://pld.live/RapDetail.aspx?STONELIST=821127543&amp;ISCONFIRM=0" xr:uid="{B4279837-C3C6-4597-817F-D58E9CD04AEB}"/>
    <hyperlink ref="C942" r:id="rId937" display="https://pld.live/RapDetail.aspx?STONELIST=925861987&amp;ISCONFIRM=0" xr:uid="{42A82E25-2A2C-47EB-B391-E39716EC18B3}"/>
    <hyperlink ref="C943" r:id="rId938" display="https://pld.live/RapDetail.aspx?STONELIST=925862029&amp;ISCONFIRM=0" xr:uid="{1E07AF39-6772-4187-A525-235148D4F42A}"/>
    <hyperlink ref="C944" r:id="rId939" display="https://pld.live/RapDetail.aspx?STONELIST=926101263&amp;ISCONFIRM=0" xr:uid="{8FFC82A5-B5A2-4AAD-95D0-851AC531F198}"/>
    <hyperlink ref="C945" r:id="rId940" display="https://pld.live/RapDetail.aspx?STONELIST=926631289&amp;ISCONFIRM=0" xr:uid="{F960C83C-7C3E-4127-9F9C-0251421C6CFE}"/>
    <hyperlink ref="C946" r:id="rId941" display="https://pld.live/RapDetail.aspx?STONELIST=926741081&amp;ISCONFIRM=0" xr:uid="{8AE3D208-DBBE-4DFB-B0CA-6F2C9A43F6BA}"/>
    <hyperlink ref="C947" r:id="rId942" display="https://pld.live/RapDetail.aspx?STONELIST=926741011&amp;ISCONFIRM=0" xr:uid="{2E27760A-4A84-4811-AFB8-0CB0CFECC39C}"/>
    <hyperlink ref="C948" r:id="rId943" display="https://pld.live/RapDetail.aspx?STONELIST=926110564&amp;ISCONFIRM=0" xr:uid="{DCF42A2C-C647-47B1-A624-3F2386440279}"/>
    <hyperlink ref="C949" r:id="rId944" display="https://pld.live/RapDetail.aspx?STONELIST=926100963&amp;ISCONFIRM=0" xr:uid="{4D7CF5F5-7C46-4C51-811F-2D42845BBF6B}"/>
    <hyperlink ref="C950" r:id="rId945" display="https://pld.live/RapDetail.aspx?STONELIST=926041237&amp;ISCONFIRM=0" xr:uid="{840602AB-240D-45D2-B20C-1B3871A6FE69}"/>
    <hyperlink ref="C951" r:id="rId946" display="https://pld.live/RapDetail.aspx?STONELIST=821114800&amp;ISCONFIRM=0" xr:uid="{65D9E01B-0AC6-4BB7-BC74-B50DFF382319}"/>
    <hyperlink ref="C952" r:id="rId947" display="https://pld.live/RapDetail.aspx?STONELIST=821115119&amp;ISCONFIRM=0" xr:uid="{22925567-8565-4DF0-ACF3-95A345C86CB1}"/>
    <hyperlink ref="C953" r:id="rId948" display="https://pld.live/RapDetail.aspx?STONELIST=926071488&amp;ISCONFIRM=0" xr:uid="{BFC2D316-2B8D-446B-A0F8-D28FE3B9AD88}"/>
    <hyperlink ref="C954" r:id="rId949" display="https://pld.live/RapDetail.aspx?STONELIST=926071766&amp;ISCONFIRM=0" xr:uid="{CAAE2CB7-766D-4FA1-93FF-44790A4B52CA}"/>
    <hyperlink ref="C955" r:id="rId950" display="https://pld.live/RapDetail.aspx?STONELIST=926640345&amp;ISCONFIRM=0" xr:uid="{6F6F2FD6-6F8A-48E9-A2F6-78EFD7351A49}"/>
    <hyperlink ref="C956" r:id="rId951" display="https://pld.live/RapDetail.aspx?STONELIST=926291185&amp;ISCONFIRM=0" xr:uid="{E477D2A8-927C-4BC0-8F40-5968130063B3}"/>
    <hyperlink ref="C957" r:id="rId952" display="https://pld.live/RapDetail.aspx?STONELIST=925140205&amp;ISCONFIRM=0" xr:uid="{21420287-08D9-479F-BF8A-A79BEEAC72BB}"/>
    <hyperlink ref="C958" r:id="rId953" display="https://pld.live/RapDetail.aspx?STONELIST=925940486&amp;ISCONFIRM=0" xr:uid="{4DBB12F0-7B91-4887-84E3-3E25FF2A9BBF}"/>
    <hyperlink ref="C959" r:id="rId954" display="https://pld.live/RapDetail.aspx?STONELIST=926640349&amp;ISCONFIRM=0" xr:uid="{25414E47-0270-4F31-A534-F5E736F23893}"/>
    <hyperlink ref="C960" r:id="rId955" display="https://pld.live/RapDetail.aspx?STONELIST=926701044&amp;ISCONFIRM=0" xr:uid="{1B3F3832-1336-4304-9909-49A70107E112}"/>
    <hyperlink ref="C961" r:id="rId956" display="https://pld.live/RapDetail.aspx?STONELIST=926701092&amp;ISCONFIRM=0" xr:uid="{35D54EB7-9E79-4629-BBD9-DD032CF4FC6C}"/>
    <hyperlink ref="C962" r:id="rId957" display="https://pld.live/RapDetail.aspx?STONELIST=926701125&amp;ISCONFIRM=0" xr:uid="{A7B07A12-C746-48C5-BE5B-CA290C58483B}"/>
    <hyperlink ref="C963" r:id="rId958" display="https://pld.live/RapDetail.aspx?STONELIST=926771044&amp;ISCONFIRM=0" xr:uid="{924DCC72-BF69-4562-84D2-6CDA0697644C}"/>
    <hyperlink ref="C964" r:id="rId959" display="https://pld.live/RapDetail.aspx?STONELIST=926741041&amp;ISCONFIRM=0" xr:uid="{9F7FA17A-7FCF-404D-AF0A-94CB352B43E0}"/>
    <hyperlink ref="C965" r:id="rId960" display="https://pld.live/RapDetail.aspx?STONELIST=941350377&amp;ISCONFIRM=0" xr:uid="{926B7132-BC09-4FDC-A2C8-198EC8804855}"/>
    <hyperlink ref="C966" r:id="rId961" display="https://pld.live/RapDetail.aspx?STONELIST=926110974&amp;ISCONFIRM=0" xr:uid="{32E6E379-E9B6-4219-AA73-7877F89EDDE4}"/>
    <hyperlink ref="C967" r:id="rId962" display="https://pld.live/RapDetail.aspx?STONELIST=926100835&amp;ISCONFIRM=0" xr:uid="{0DC3EDC4-EFFC-4D7F-A83B-003A919F7A38}"/>
    <hyperlink ref="C968" r:id="rId963" display="https://pld.live/RapDetail.aspx?STONELIST=925140169&amp;ISCONFIRM=0" xr:uid="{6FB44EC1-3780-4D9E-BC24-83282520CBD8}"/>
    <hyperlink ref="C969" r:id="rId964" display="https://pld.live/RapDetail.aspx?STONELIST=926681028&amp;ISCONFIRM=0" xr:uid="{2A6F0567-EF1A-4E78-82AC-9E44386A1CC0}"/>
    <hyperlink ref="C970" r:id="rId965" display="https://pld.live/RapDetail.aspx?STONELIST=941450146&amp;ISCONFIRM=0" xr:uid="{08CB597C-1A4B-4527-8B2E-064551BE6BD4}"/>
    <hyperlink ref="C971" r:id="rId966" display="https://pld.live/RapDetail.aspx?STONELIST=926111001&amp;ISCONFIRM=0" xr:uid="{76FC0DCA-3001-4569-9719-B4EE989E25F2}"/>
    <hyperlink ref="C972" r:id="rId967" display="https://pld.live/RapDetail.aspx?STONELIST=925940516&amp;ISCONFIRM=0" xr:uid="{231B0897-70A7-4D13-872C-EC22D1B7A02E}"/>
    <hyperlink ref="C973" r:id="rId968" display="https://pld.live/RapDetail.aspx?STONELIST=941430729&amp;ISCONFIRM=0" xr:uid="{E7D62A81-F296-4E15-BE29-3950D21EB641}"/>
    <hyperlink ref="C974" r:id="rId969" display="https://pld.live/RapDetail.aspx?STONELIST=941350576&amp;ISCONFIRM=0" xr:uid="{1CCDA227-73AF-4D0E-B109-3166E15F4B1F}"/>
    <hyperlink ref="C975" r:id="rId970" display="https://pld.live/RapDetail.aspx?STONELIST=924550170&amp;ISCONFIRM=0" xr:uid="{276B6302-CAFD-4E5A-A79D-72F938099D00}"/>
    <hyperlink ref="C976" r:id="rId971" display="https://pld.live/RapDetail.aspx?STONELIST=926640755&amp;ISCONFIRM=0" xr:uid="{06544A97-5179-423C-8E0C-180A7F7EE671}"/>
    <hyperlink ref="C977" r:id="rId972" display="https://pld.live/RapDetail.aspx?STONELIST=821115227&amp;ISCONFIRM=0" xr:uid="{6A85065A-C4EE-4E21-874F-36062CEA9762}"/>
    <hyperlink ref="C978" r:id="rId973" display="https://pld.live/RapDetail.aspx?STONELIST=941071224&amp;ISCONFIRM=0" xr:uid="{60CE967C-8BD6-483E-9E9D-4EA8BF8B07AB}"/>
    <hyperlink ref="C979" r:id="rId974" display="https://pld.live/RapDetail.aspx?STONELIST=925900317&amp;ISCONFIRM=0" xr:uid="{F149A255-C997-4E46-8287-C2A18884F364}"/>
    <hyperlink ref="C980" r:id="rId975" display="https://pld.live/RapDetail.aspx?STONELIST=925080106&amp;ISCONFIRM=0" xr:uid="{5A8D438F-781C-45A5-9CE3-18484867E16A}"/>
    <hyperlink ref="C981" r:id="rId976" display="https://pld.live/RapDetail.aspx?STONELIST=821115194&amp;ISCONFIRM=0" xr:uid="{4DA44182-5C93-4A06-92CF-4411CAB2DAB1}"/>
    <hyperlink ref="C982" r:id="rId977" display="https://pld.live/RapDetail.aspx?STONELIST=821115509&amp;ISCONFIRM=0" xr:uid="{2374B6C3-C048-407C-A9DF-821208B4CCAA}"/>
    <hyperlink ref="C983" r:id="rId978" display="https://pld.live/RapDetail.aspx?STONELIST=821115511&amp;ISCONFIRM=0" xr:uid="{DAA3AE74-3AD5-4269-B181-263078B75403}"/>
    <hyperlink ref="C984" r:id="rId979" display="https://pld.live/RapDetail.aspx?STONELIST=926070351&amp;ISCONFIRM=0" xr:uid="{25CC2F35-8227-4968-8BD4-08BEB57B24BF}"/>
    <hyperlink ref="C985" r:id="rId980" display="https://pld.live/RapDetail.aspx?STONELIST=926071830&amp;ISCONFIRM=0" xr:uid="{7AB319F7-8773-4CA3-9D98-718BA9F60127}"/>
    <hyperlink ref="C986" r:id="rId981" display="https://pld.live/RapDetail.aspx?STONELIST=927052040&amp;ISCONFIRM=0" xr:uid="{C38D510A-490F-4338-BA54-9C8A6573D53D}"/>
    <hyperlink ref="C987" r:id="rId982" display="https://pld.live/RapDetail.aspx?STONELIST=926631036&amp;ISCONFIRM=0" xr:uid="{0B07F97E-FFBD-4B43-A0D0-0B04C0083775}"/>
    <hyperlink ref="C988" r:id="rId983" display="https://pld.live/RapDetail.aspx?STONELIST=926960853&amp;ISCONFIRM=0" xr:uid="{F3E939F3-E4D4-4D94-9646-0D37B22F7215}"/>
    <hyperlink ref="C989" r:id="rId984" display="https://pld.live/RapDetail.aspx?STONELIST=926741110&amp;ISCONFIRM=0" xr:uid="{ABB0C216-FC0B-4B01-9BA4-848AB5FB4883}"/>
    <hyperlink ref="C990" r:id="rId985" display="https://pld.live/RapDetail.aspx?STONELIST=926831143&amp;ISCONFIRM=0" xr:uid="{26A8700E-25F4-450C-B143-B14B0C605188}"/>
    <hyperlink ref="C991" r:id="rId986" display="https://pld.live/RapDetail.aspx?STONELIST=941190146&amp;ISCONFIRM=0" xr:uid="{A85DB748-7B96-471B-8952-D85ABEA39470}"/>
    <hyperlink ref="C992" r:id="rId987" display="https://pld.live/RapDetail.aspx?STONELIST=941190274&amp;ISCONFIRM=0" xr:uid="{7AB783C2-663D-44F7-8BB7-A5A2F82C3AD1}"/>
    <hyperlink ref="C993" r:id="rId988" display="https://pld.live/RapDetail.aspx?STONELIST=941350659&amp;ISCONFIRM=0" xr:uid="{9A301038-C1C4-4721-9CEC-FD03BB922FE5}"/>
    <hyperlink ref="C994" r:id="rId989" display="https://pld.live/RapDetail.aspx?STONELIST=927092146&amp;ISCONFIRM=0" xr:uid="{32DA784E-3912-4398-97AC-26ED576E3B78}"/>
    <hyperlink ref="C995" r:id="rId990" display="https://pld.live/RapDetail.aspx?STONELIST=927092126&amp;ISCONFIRM=0" xr:uid="{9C9A1BA7-029F-4122-A29B-5A0F843900EC}"/>
    <hyperlink ref="C996" r:id="rId991" display="https://pld.live/RapDetail.aspx?STONELIST=927130169&amp;ISCONFIRM=0" xr:uid="{7CDA0E3B-A4CA-4591-8951-DD45394614C6}"/>
    <hyperlink ref="C997" r:id="rId992" display="https://pld.live/RapDetail.aspx?STONELIST=941070926&amp;ISCONFIRM=0" xr:uid="{043B2173-9861-4CB9-804B-F46B026639DB}"/>
    <hyperlink ref="C998" r:id="rId993" display="https://pld.live/RapDetail.aspx?STONELIST=941071059&amp;ISCONFIRM=0" xr:uid="{B3EB1D05-069A-4778-8CCA-9D0D3BFCEBA2}"/>
    <hyperlink ref="C999" r:id="rId994" display="https://pld.live/RapDetail.aspx?STONELIST=927100571&amp;ISCONFIRM=0" xr:uid="{E05F0DEF-AAC3-469C-9416-EAA97D687000}"/>
    <hyperlink ref="C1000" r:id="rId995" display="https://pld.live/RapDetail.aspx?STONELIST=927150775&amp;ISCONFIRM=0" xr:uid="{21A451BA-258A-4E45-AAEF-5844A77B485A}"/>
    <hyperlink ref="C1001" r:id="rId996" display="https://pld.live/RapDetail.aspx?STONELIST=927051972&amp;ISCONFIRM=0" xr:uid="{9C5A6843-683D-4AB0-8AF5-B89B96F341BD}"/>
    <hyperlink ref="C1002" r:id="rId997" display="https://pld.live/RapDetail.aspx?STONELIST=927101030&amp;ISCONFIRM=0" xr:uid="{431C2F08-12F2-4F35-BB89-49ECE9F31C15}"/>
    <hyperlink ref="C1003" r:id="rId998" display="https://pld.live/RapDetail.aspx?STONELIST=927052229&amp;ISCONFIRM=0" xr:uid="{C8009E4B-1CE7-41AF-BEBC-D4ED868CE609}"/>
    <hyperlink ref="C1004" r:id="rId999" display="https://pld.live/RapDetail.aspx?STONELIST=927101109&amp;ISCONFIRM=0" xr:uid="{320A5E89-5685-48B2-8611-15F7899D4121}"/>
    <hyperlink ref="C1005" r:id="rId1000" display="https://pld.live/RapDetail.aspx?STONELIST=941071093&amp;ISCONFIRM=0" xr:uid="{5FD8A9D3-4581-4B9E-84CF-C8FBB5D980E1}"/>
    <hyperlink ref="C1006" r:id="rId1001" display="https://pld.live/RapDetail.aspx?STONELIST=926810903&amp;ISCONFIRM=0" xr:uid="{DA832083-8CEE-4281-A4F8-0921057D3E77}"/>
    <hyperlink ref="C1007" r:id="rId1002" display="https://pld.live/RapDetail.aspx?STONELIST=926810861&amp;ISCONFIRM=0" xr:uid="{5D80E40C-F0BB-426E-B927-E09512562CFB}"/>
    <hyperlink ref="C1008" r:id="rId1003" display="https://pld.live/RapDetail.aspx?STONELIST=941071099&amp;ISCONFIRM=0" xr:uid="{FD59D3E5-90A5-4F93-8243-E45C3A93964C}"/>
    <hyperlink ref="C1009" r:id="rId1004" display="https://pld.live/RapDetail.aspx?STONELIST=941350702&amp;ISCONFIRM=0" xr:uid="{BA5C4454-371E-4350-BA77-A74A5DC73D2E}"/>
    <hyperlink ref="C1010" r:id="rId1005" display="https://pld.live/RapDetail.aspx?STONELIST=941350976&amp;ISCONFIRM=0" xr:uid="{F521EA21-81D5-41A2-AA86-57A1E5B98FB4}"/>
    <hyperlink ref="C1011" r:id="rId1006" display="https://pld.live/RapDetail.aspx?STONELIST=941350806&amp;ISCONFIRM=0" xr:uid="{AC33FD28-C0AF-44C3-ACA0-8DA53E7EA343}"/>
    <hyperlink ref="C1012" r:id="rId1007" display="https://pld.live/RapDetail.aspx?STONELIST=941370596&amp;ISCONFIRM=0" xr:uid="{1FDAFEBC-4AF2-4F60-9E7D-70A615E14186}"/>
    <hyperlink ref="C1013" r:id="rId1008" display="https://pld.live/RapDetail.aspx?STONELIST=941350851&amp;ISCONFIRM=0" xr:uid="{2C91A45E-CC0C-420A-A98C-62605FA530EE}"/>
    <hyperlink ref="C1014" r:id="rId1009" display="https://pld.live/RapDetail.aspx?STONELIST=941350852&amp;ISCONFIRM=0" xr:uid="{CBE5D745-F924-4446-AC0B-8BC45B89BE8F}"/>
    <hyperlink ref="C1015" r:id="rId1010" display="https://pld.live/RapDetail.aspx?STONELIST=927150650&amp;ISCONFIRM=0" xr:uid="{E26A671E-5D66-4CF8-BF9B-BB5763522A17}"/>
    <hyperlink ref="C1016" r:id="rId1011" display="https://pld.live/RapDetail.aspx?STONELIST=941071246&amp;ISCONFIRM=0" xr:uid="{313E5466-DB5B-416B-AB9A-7A5C5D8EEB2A}"/>
    <hyperlink ref="C1017" r:id="rId1012" display="https://pld.live/RapDetail.aspx?STONELIST=927150774&amp;ISCONFIRM=0" xr:uid="{CDB2E343-BCBB-4DA4-A043-4D8B24DE00D7}"/>
    <hyperlink ref="C1018" r:id="rId1013" display="https://pld.live/RapDetail.aspx?STONELIST=941071223&amp;ISCONFIRM=0" xr:uid="{57247998-0C30-4982-9F89-9432D6E4DFA1}"/>
    <hyperlink ref="C1019" r:id="rId1014" display="https://pld.live/RapDetail.aspx?STONELIST=941071095&amp;ISCONFIRM=0" xr:uid="{65E62996-9F4D-43FF-84DB-489F7F9108F3}"/>
    <hyperlink ref="C1020" r:id="rId1015" display="https://pld.live/RapDetail.aspx?STONELIST=927101020&amp;ISCONFIRM=0" xr:uid="{5B48D386-B1D4-4207-AB0A-CECCF88389FD}"/>
    <hyperlink ref="C1021" r:id="rId1016" display="https://pld.live/RapDetail.aspx?STONELIST=941071083&amp;ISCONFIRM=0" xr:uid="{0FF9D219-CFF2-47EA-A255-7B749087D8BF}"/>
    <hyperlink ref="C1022" r:id="rId1017" display="https://pld.live/RapDetail.aspx?STONELIST=927052444&amp;ISCONFIRM=0" xr:uid="{899A9C06-3257-41E0-BAF0-A496AC421086}"/>
    <hyperlink ref="C1023" r:id="rId1018" display="https://pld.live/RapDetail.aspx?STONELIST=925801918&amp;ISCONFIRM=0" xr:uid="{66810915-9B26-4838-AD04-7E64CD0139AF}"/>
    <hyperlink ref="C1024" r:id="rId1019" display="https://pld.live/RapDetail.aspx?STONELIST=926750929&amp;ISCONFIRM=0" xr:uid="{71066CE3-86B4-412B-B235-BB8CB56B8628}"/>
    <hyperlink ref="C1025" r:id="rId1020" display="https://pld.live/RapDetail.aspx?STONELIST=926810908&amp;ISCONFIRM=0" xr:uid="{7680096C-A34A-4C3F-B371-3E3D97982C49}"/>
    <hyperlink ref="C1026" r:id="rId1021" display="https://pld.live/RapDetail.aspx?STONELIST=926810889&amp;ISCONFIRM=0" xr:uid="{8537BBE8-8B57-49E4-ADA3-DB239982C87C}"/>
    <hyperlink ref="C1027" r:id="rId1022" display="https://pld.live/RapDetail.aspx?STONELIST=926810886&amp;ISCONFIRM=0" xr:uid="{1F191DD4-3311-4C33-B69B-DB12FBBE002B}"/>
    <hyperlink ref="C1028" r:id="rId1023" display="https://pld.live/RapDetail.aspx?STONELIST=926810880&amp;ISCONFIRM=0" xr:uid="{3E8E8F22-F90A-4DCF-B5F3-1B15C169B9D3}"/>
    <hyperlink ref="C1029" r:id="rId1024" display="https://pld.live/RapDetail.aspx?STONELIST=926830996&amp;ISCONFIRM=0" xr:uid="{6D996FA1-3900-465E-A92F-9FC46A542024}"/>
    <hyperlink ref="C1030" r:id="rId1025" display="https://pld.live/RapDetail.aspx?STONELIST=926831008&amp;ISCONFIRM=0" xr:uid="{77FF635A-62B1-41A2-9246-77CE20CA5758}"/>
    <hyperlink ref="C1031" r:id="rId1026" display="https://pld.live/RapDetail.aspx?STONELIST=926741017&amp;ISCONFIRM=0" xr:uid="{FA765C7E-9FDE-42A4-A087-394C5B700A29}"/>
    <hyperlink ref="C1032" r:id="rId1027" display="https://pld.live/RapDetail.aspx?STONELIST=926831155&amp;ISCONFIRM=0" xr:uid="{B5C27AE2-DFC8-4A5F-9E37-0C7A75F45A4E}"/>
    <hyperlink ref="C1033" r:id="rId1028" display="https://pld.live/RapDetail.aspx?STONELIST=926831145&amp;ISCONFIRM=0" xr:uid="{7311EED8-C688-4964-8CAF-974310429F64}"/>
    <hyperlink ref="C1034" r:id="rId1029" display="https://pld.live/RapDetail.aspx?STONELIST=926831096&amp;ISCONFIRM=0" xr:uid="{D24A216E-5B44-4A86-A125-AEAB31D408BD}"/>
    <hyperlink ref="C1035" r:id="rId1030" display="https://pld.live/RapDetail.aspx?STONELIST=926831076&amp;ISCONFIRM=0" xr:uid="{9A9E9BE7-DC63-4227-82BD-B8F622EE7840}"/>
    <hyperlink ref="C1036" r:id="rId1031" display="https://pld.live/RapDetail.aspx?STONELIST=941320074&amp;ISCONFIRM=0" xr:uid="{A8F30C45-57C6-4963-AFAF-327B7125B4C2}"/>
    <hyperlink ref="C1037" r:id="rId1032" display="https://pld.live/RapDetail.aspx?STONELIST=941350414&amp;ISCONFIRM=0" xr:uid="{46EEC8FA-ED86-4023-8DCB-0FB6D078AD4D}"/>
    <hyperlink ref="C1038" r:id="rId1033" display="https://pld.live/RapDetail.aspx?STONELIST=941350817&amp;ISCONFIRM=0" xr:uid="{C0FFE7D4-272C-468A-9239-242123C56788}"/>
    <hyperlink ref="C1039" r:id="rId1034" display="https://pld.live/RapDetail.aspx?STONELIST=941350242&amp;ISCONFIRM=0" xr:uid="{BE4BA4E9-332F-4D88-8E1A-C785680E210E}"/>
    <hyperlink ref="C1040" r:id="rId1035" display="https://pld.live/RapDetail.aspx?STONELIST=941220053&amp;ISCONFIRM=0" xr:uid="{0344671F-4366-484F-9F39-C147EFB4D377}"/>
    <hyperlink ref="C1041" r:id="rId1036" display="https://pld.live/RapDetail.aspx?STONELIST=9414500375&amp;ISCONFIRM=0" xr:uid="{C8D28022-2CA1-47D7-A42A-9C1276DD938E}"/>
    <hyperlink ref="C1042" r:id="rId1037" display="https://pld.live/RapDetail.aspx?STONELIST=941350920&amp;ISCONFIRM=0" xr:uid="{1D2A6670-2BA4-4837-A1A2-D41580D4039F}"/>
    <hyperlink ref="C1043" r:id="rId1038" display="https://pld.live/RapDetail.aspx?STONELIST=941071090&amp;ISCONFIRM=0" xr:uid="{ACAECDB4-6196-405A-893D-BB096F17C667}"/>
    <hyperlink ref="C1044" r:id="rId1039" display="https://pld.live/RapDetail.aspx?STONELIST=927150617&amp;ISCONFIRM=0" xr:uid="{BFD8378F-87E7-44C0-AB13-4009DAD25EAA}"/>
    <hyperlink ref="C1045" r:id="rId1040" display="https://pld.live/RapDetail.aspx?STONELIST=941070767&amp;ISCONFIRM=0" xr:uid="{86A9FA9E-3B0B-4C63-B8E0-E1059AD86E33}"/>
    <hyperlink ref="C1046" r:id="rId1041" display="https://pld.live/RapDetail.aspx?STONELIST=941071101&amp;ISCONFIRM=0" xr:uid="{2A8A7F03-D118-419F-A8F9-2C8FCDD2A088}"/>
    <hyperlink ref="C1047" r:id="rId1042" display="https://pld.live/RapDetail.aspx?STONELIST=927052242&amp;ISCONFIRM=0" xr:uid="{DE46ABEB-2A91-4FBE-9539-CDDBF6388550}"/>
    <hyperlink ref="C1048" r:id="rId1043" display="https://pld.live/RapDetail.aspx?STONELIST=941071102&amp;ISCONFIRM=0" xr:uid="{084D749C-A714-47AD-9B90-25BA4B78AFE1}"/>
    <hyperlink ref="C1049" r:id="rId1044" display="https://pld.live/RapDetail.aspx?STONELIST=941070972&amp;ISCONFIRM=0" xr:uid="{8C2BF8F8-3263-4E7E-A4CC-89A7F7D8CE9A}"/>
    <hyperlink ref="C1050" r:id="rId1045" display="https://pld.live/RapDetail.aspx?STONELIST=941071088&amp;ISCONFIRM=0" xr:uid="{FB770CBD-5CE3-4010-9806-318646E22BED}"/>
    <hyperlink ref="C1051" r:id="rId1046" display="https://pld.live/RapDetail.aspx?STONELIST=941070976&amp;ISCONFIRM=0" xr:uid="{B595DE7C-BCDA-4D3F-8963-E1AB993992DB}"/>
    <hyperlink ref="C1052" r:id="rId1047" display="https://pld.live/RapDetail.aspx?STONELIST=821127768&amp;ISCONFIRM=0" xr:uid="{05298C9E-9E2A-49EB-AB1D-F1FA5F309BCD}"/>
    <hyperlink ref="C1053" r:id="rId1048" display="https://pld.live/RapDetail.aspx?STONELIST=926810868&amp;ISCONFIRM=0" xr:uid="{6F829DA1-5631-412D-A155-EDED462E6F5B}"/>
    <hyperlink ref="C1054" r:id="rId1049" display="https://pld.live/RapDetail.aspx?STONELIST=926810864&amp;ISCONFIRM=0" xr:uid="{E6814863-B670-4C66-8E41-B0EB3C42B195}"/>
    <hyperlink ref="C1055" r:id="rId1050" display="https://pld.live/RapDetail.aspx?STONELIST=926810906&amp;ISCONFIRM=0" xr:uid="{A0FD9041-957D-438C-B192-366078DA11C2}"/>
    <hyperlink ref="C1056" r:id="rId1051" display="https://pld.live/RapDetail.aspx?STONELIST=926750903&amp;ISCONFIRM=0" xr:uid="{FC1DCDB6-6354-4BA0-B593-24FAB8E93D91}"/>
    <hyperlink ref="C1057" r:id="rId1052" display="https://pld.live/RapDetail.aspx?STONELIST=926741070&amp;ISCONFIRM=0" xr:uid="{778B3C00-9BC4-40BA-BEE3-9EEFCD7D0720}"/>
    <hyperlink ref="C1058" r:id="rId1053" display="https://pld.live/RapDetail.aspx?STONELIST=941070984&amp;ISCONFIRM=0" xr:uid="{1CF9131C-4636-4851-A953-8F8C04809257}"/>
    <hyperlink ref="C1059" r:id="rId1054" display="https://pld.live/RapDetail.aspx?STONELIST=926681037&amp;ISCONFIRM=0" xr:uid="{021EEA86-2894-492E-8A50-60F72CE5E6E7}"/>
    <hyperlink ref="C1060" r:id="rId1055" display="https://pld.live/RapDetail.aspx?STONELIST=941140732&amp;ISCONFIRM=0" xr:uid="{3D347C95-6FA4-46D1-A96F-58DB9F86A846}"/>
    <hyperlink ref="C1061" r:id="rId1056" display="https://pld.live/RapDetail.aspx?STONELIST=927052168&amp;ISCONFIRM=0" xr:uid="{75BD64D8-C7EA-4821-B6A3-478EC0A7E27D}"/>
    <hyperlink ref="C1062" r:id="rId1057" display="https://pld.live/RapDetail.aspx?STONELIST=926700794&amp;ISCONFIRM=0" xr:uid="{DBE35B17-8CBD-48C0-88E1-EABF6C5EA905}"/>
    <hyperlink ref="C1063" r:id="rId1058" display="https://pld.live/RapDetail.aspx?STONELIST=926741062&amp;ISCONFIRM=0" xr:uid="{E20BAC56-7993-4DE5-86AE-C8BDF71B48F6}"/>
    <hyperlink ref="C1064" r:id="rId1059" display="https://pld.live/RapDetail.aspx?STONELIST=926831132&amp;ISCONFIRM=0" xr:uid="{BA20B4CE-FA23-4AEC-BD07-7A5729D3A987}"/>
    <hyperlink ref="C1065" r:id="rId1060" display="https://pld.live/RapDetail.aspx?STONELIST=926900854&amp;ISCONFIRM=0" xr:uid="{0AEE876F-D5A0-4573-942E-C4370F8C117C}"/>
    <hyperlink ref="C1066" r:id="rId1061" display="https://pld.live/RapDetail.aspx?STONELIST=927092135&amp;ISCONFIRM=0" xr:uid="{5DB04866-774A-4D8A-9B9D-0497409BC7FC}"/>
    <hyperlink ref="C1067" r:id="rId1062" display="https://pld.live/RapDetail.aspx?STONELIST=927091435&amp;ISCONFIRM=0" xr:uid="{44D610D2-4B83-465A-8AC4-4D043321B74D}"/>
    <hyperlink ref="C1068" r:id="rId1063" display="https://pld.live/RapDetail.aspx?STONELIST=926101635&amp;ISCONFIRM=0" xr:uid="{D5D30BAA-01B1-403A-99E7-A3C41C81E77C}"/>
    <hyperlink ref="C1069" r:id="rId1064" display="https://pld.live/RapDetail.aspx?STONELIST=941071054&amp;ISCONFIRM=0" xr:uid="{32798210-F376-48A3-8B81-9173D293C64A}"/>
    <hyperlink ref="C1070" r:id="rId1065" display="https://pld.live/RapDetail.aspx?STONELIST=941071081&amp;ISCONFIRM=0" xr:uid="{2D3B9781-92D5-410C-A84E-80B5F21D6F5F}"/>
    <hyperlink ref="C1071" r:id="rId1066" display="https://pld.live/RapDetail.aspx?STONELIST=927150776&amp;ISCONFIRM=0" xr:uid="{5DDDD12E-EFB0-444E-B0C5-25BA36F998C7}"/>
    <hyperlink ref="C1072" r:id="rId1067" display="https://pld.live/RapDetail.aspx?STONELIST=941071237&amp;ISCONFIRM=0" xr:uid="{A9E9E91B-8690-4126-B475-7F3FF6547C58}"/>
    <hyperlink ref="C1073" r:id="rId1068" display="https://pld.live/RapDetail.aspx?STONELIST=927100950&amp;ISCONFIRM=0" xr:uid="{C5CE1A5E-19F9-44BF-8249-8ED2BAB83AF2}"/>
    <hyperlink ref="C1074" r:id="rId1069" display="https://pld.live/RapDetail.aspx?STONELIST=927101023&amp;ISCONFIRM=0" xr:uid="{75F75932-C911-4C2B-A794-7FB8682D8A56}"/>
    <hyperlink ref="C1075" r:id="rId1070" display="https://pld.live/RapDetail.aspx?STONELIST=927052081&amp;ISCONFIRM=0" xr:uid="{CDB80006-EB95-461F-B2AA-1EB020EDEEA8}"/>
    <hyperlink ref="C1076" r:id="rId1071" display="https://pld.live/RapDetail.aspx?STONELIST=927052086&amp;ISCONFIRM=0" xr:uid="{1B3DCECF-F933-49D5-BAB6-C5D41996D668}"/>
    <hyperlink ref="C1077" r:id="rId1072" display="https://pld.live/RapDetail.aspx?STONELIST=927052230&amp;ISCONFIRM=0" xr:uid="{8F0A5EC3-178F-4900-B8FC-879539C78945}"/>
    <hyperlink ref="C1078" r:id="rId1073" display="https://pld.live/RapDetail.aspx?STONELIST=927101085&amp;ISCONFIRM=0" xr:uid="{FB2770E6-9579-4CB8-A1C2-51D908C596A8}"/>
    <hyperlink ref="C1079" r:id="rId1074" display="https://pld.live/RapDetail.aspx?STONELIST=927052361&amp;ISCONFIRM=0" xr:uid="{D876A1EB-81E1-4FC2-BEBD-7E98F0A1AEA1}"/>
    <hyperlink ref="C1080" r:id="rId1075" display="https://pld.live/RapDetail.aspx?STONELIST=927101110&amp;ISCONFIRM=0" xr:uid="{0073B6E3-4FB7-44DB-8665-2F420E5718FC}"/>
    <hyperlink ref="C1081" r:id="rId1076" display="https://pld.live/RapDetail.aspx?STONELIST=926741071&amp;ISCONFIRM=0" xr:uid="{B3C34C62-D63B-4592-8648-50B1E405DA4F}"/>
    <hyperlink ref="C1082" r:id="rId1077" display="https://pld.live/RapDetail.aspx?STONELIST=926831048&amp;ISCONFIRM=0" xr:uid="{018971A1-8FA1-4936-96DF-DCB200D36EBF}"/>
    <hyperlink ref="C1083" r:id="rId1078" display="https://pld.live/RapDetail.aspx?STONELIST=926831083&amp;ISCONFIRM=0" xr:uid="{D6CD1598-E3DC-41A7-8D71-BA4F94B24254}"/>
    <hyperlink ref="C1084" r:id="rId1079" display="https://pld.live/RapDetail.aspx?STONELIST=926831065&amp;ISCONFIRM=0" xr:uid="{FE380710-2078-4ACF-BD3A-2B6CB01D2D24}"/>
    <hyperlink ref="C1085" r:id="rId1080" display="https://pld.live/RapDetail.aspx?STONELIST=926791082&amp;ISCONFIRM=0" xr:uid="{1DD20939-9123-4E11-96E3-8A97644A145D}"/>
    <hyperlink ref="C1086" r:id="rId1081" display="https://pld.live/RapDetail.aspx?STONELIST=926871107&amp;ISCONFIRM=0" xr:uid="{A33F0764-514E-4486-B22B-46B9EDA93447}"/>
    <hyperlink ref="C1087" r:id="rId1082" display="https://pld.live/RapDetail.aspx?STONELIST=926871118&amp;ISCONFIRM=0" xr:uid="{60004893-C1D8-46D6-A65C-184686F37D40}"/>
    <hyperlink ref="C1088" r:id="rId1083" display="https://pld.live/RapDetail.aspx?STONELIST=926831032&amp;ISCONFIRM=0" xr:uid="{53EA361B-DEFC-4CFA-87D8-D3D92BC6A7A9}"/>
    <hyperlink ref="C1089" r:id="rId1084" display="https://pld.live/RapDetail.aspx?STONELIST=926900776&amp;ISCONFIRM=0" xr:uid="{3C81869C-2E82-4687-83AF-1C94F380126A}"/>
    <hyperlink ref="C1090" r:id="rId1085" display="https://pld.live/RapDetail.aspx?STONELIST=926791080&amp;ISCONFIRM=0" xr:uid="{6D47DBFE-2445-4B0B-AABE-5BACA111CA61}"/>
    <hyperlink ref="C1091" r:id="rId1086" display="https://pld.live/RapDetail.aspx?STONELIST=926900920&amp;ISCONFIRM=0" xr:uid="{70B76A16-B735-46DF-B977-1767A9094BBA}"/>
    <hyperlink ref="C1092" r:id="rId1087" display="https://pld.live/RapDetail.aspx?STONELIST=926901047&amp;ISCONFIRM=0" xr:uid="{D34E2CF5-7525-4E08-80BF-17343F51BD4A}"/>
    <hyperlink ref="C1093" r:id="rId1088" display="https://pld.live/RapDetail.aspx?STONELIST=926920994&amp;ISCONFIRM=0" xr:uid="{69A997A7-80FB-4821-BF56-4130ACB078F1}"/>
    <hyperlink ref="C1094" r:id="rId1089" display="https://pld.live/RapDetail.aspx?STONELIST=926921039&amp;ISCONFIRM=0" xr:uid="{BF5D00A9-A96E-4AEA-AEEA-71683227DCBE}"/>
    <hyperlink ref="C1095" r:id="rId1090" display="https://pld.live/RapDetail.aspx?STONELIST=926921055&amp;ISCONFIRM=0" xr:uid="{8F2CAC5E-5FC4-4FAF-B3FE-1AA00CFD44AD}"/>
    <hyperlink ref="C1096" r:id="rId1091" display="https://pld.live/RapDetail.aspx?STONELIST=926701065&amp;ISCONFIRM=0" xr:uid="{A9E39A66-890A-4CE9-A7C3-847697C0B975}"/>
    <hyperlink ref="C1097" r:id="rId1092" display="https://pld.live/RapDetail.aspx?STONELIST=926700960&amp;ISCONFIRM=0" xr:uid="{D02B403F-7612-44D0-B353-431FDB81984F}"/>
    <hyperlink ref="C1098" r:id="rId1093" display="https://pld.live/RapDetail.aspx?STONELIST=941350167&amp;ISCONFIRM=0" xr:uid="{391EC742-BFF3-443D-B794-B329E3298225}"/>
    <hyperlink ref="C1099" r:id="rId1094" display="https://pld.live/RapDetail.aspx?STONELIST=941160024&amp;ISCONFIRM=0" xr:uid="{AC01CF33-14AD-4191-B574-27AC0D6D37E3}"/>
    <hyperlink ref="C1100" r:id="rId1095" display="https://pld.live/RapDetail.aspx?STONELIST=941350848&amp;ISCONFIRM=0" xr:uid="{97B5433C-AD33-4B37-BC4D-4B1BAD894E32}"/>
    <hyperlink ref="C1101" r:id="rId1096" display="https://pld.live/RapDetail.aspx?STONELIST=941350849&amp;ISCONFIRM=0" xr:uid="{0B2946A1-08D0-4CDE-A0E8-31A2CA099103}"/>
    <hyperlink ref="C1102" r:id="rId1097" display="https://pld.live/RapDetail.aspx?STONELIST=941350898&amp;ISCONFIRM=0" xr:uid="{B21EE103-717A-4C0C-AB21-8EE18C54D66C}"/>
    <hyperlink ref="C1103" r:id="rId1098" display="https://pld.live/RapDetail.aspx?STONELIST=927151769&amp;ISCONFIRM=0" xr:uid="{BF665AF7-6B0F-4F58-902D-8ECB9F8CA9D4}"/>
    <hyperlink ref="C1104" r:id="rId1099" display="https://pld.live/RapDetail.aspx?STONELIST=927052034&amp;ISCONFIRM=0" xr:uid="{420EBC8F-E248-49EC-9D9E-8D0118703B11}"/>
    <hyperlink ref="C1105" r:id="rId1100" display="https://pld.live/RapDetail.aspx?STONELIST=927150777&amp;ISCONFIRM=0" xr:uid="{A6BC4DF3-9B7B-4D88-AB30-76FD5004C8DF}"/>
    <hyperlink ref="C1106" r:id="rId1101" display="https://pld.live/RapDetail.aspx?STONELIST=927130119&amp;ISCONFIRM=0" xr:uid="{26A956E3-73A7-457E-A8E6-C94C024C318A}"/>
    <hyperlink ref="C1107" r:id="rId1102" display="https://pld.live/RapDetail.aspx?STONELIST=927130116&amp;ISCONFIRM=0" xr:uid="{FCCD9A8A-322C-47B2-A902-117F7686FB12}"/>
    <hyperlink ref="C1108" r:id="rId1103" display="https://pld.live/RapDetail.aspx?STONELIST=941071075&amp;ISCONFIRM=0" xr:uid="{CE01EAFB-5B8F-492B-A103-92E508C80673}"/>
    <hyperlink ref="C1109" r:id="rId1104" display="https://pld.live/RapDetail.aspx?STONELIST=927050397&amp;ISCONFIRM=0" xr:uid="{E8E88DA9-A4B4-44BC-9D95-0BC789C51532}"/>
    <hyperlink ref="C1110" r:id="rId1105" display="https://pld.live/RapDetail.aspx?STONELIST=941071052&amp;ISCONFIRM=0" xr:uid="{9E6BB0F1-1723-442B-8015-3053CE8A5733}"/>
    <hyperlink ref="C1111" r:id="rId1106" display="https://pld.live/RapDetail.aspx?STONELIST=927052088&amp;ISCONFIRM=0" xr:uid="{791B2A53-A4CB-46A7-BFE7-11B533F48690}"/>
    <hyperlink ref="C1112" r:id="rId1107" display="https://pld.live/RapDetail.aspx?STONELIST=927101063&amp;ISCONFIRM=0" xr:uid="{34D70DB4-F4FE-4D87-900F-47A68551CE99}"/>
    <hyperlink ref="C1113" r:id="rId1108" display="https://pld.live/RapDetail.aspx?STONELIST=941070949&amp;ISCONFIRM=0" xr:uid="{2FEE7B64-6D13-41F1-8D88-CCF0132D355E}"/>
    <hyperlink ref="C1114" r:id="rId1109" display="https://pld.live/RapDetail.aspx?STONELIST=927091434&amp;ISCONFIRM=0" xr:uid="{12EE46C2-73A3-4429-8A20-831D3CF8EC69}"/>
    <hyperlink ref="C1115" r:id="rId1110" display="https://pld.live/RapDetail.aspx?STONELIST=927150567&amp;ISCONFIRM=0" xr:uid="{322897C9-2003-4505-8BA2-E1E6A1411C90}"/>
    <hyperlink ref="C1116" r:id="rId1111" display="https://pld.live/RapDetail.aspx?STONELIST=927091874&amp;ISCONFIRM=0" xr:uid="{796EE407-E8FB-4A93-AFF6-77B123271A98}"/>
    <hyperlink ref="C1117" r:id="rId1112" display="https://pld.live/RapDetail.aspx?STONELIST=927091877&amp;ISCONFIRM=0" xr:uid="{870BF03B-8009-4C4D-96C4-4BDE0586BD89}"/>
    <hyperlink ref="C1118" r:id="rId1113" display="https://pld.live/RapDetail.aspx?STONELIST=927092149&amp;ISCONFIRM=0" xr:uid="{4832C1FF-EBA3-47A6-AE3B-D7ACFD56AD9B}"/>
    <hyperlink ref="C1119" r:id="rId1114" display="https://pld.live/RapDetail.aspx?STONELIST=926831094&amp;ISCONFIRM=0" xr:uid="{81B53163-398E-494F-98D6-C0A46C36C2E6}"/>
    <hyperlink ref="C1120" r:id="rId1115" display="https://pld.live/RapDetail.aspx?STONELIST=926831042&amp;ISCONFIRM=0" xr:uid="{5066E325-241C-4AAA-AA85-6FE0907DAF88}"/>
    <hyperlink ref="C1121" r:id="rId1116" display="https://pld.live/RapDetail.aspx?STONELIST=926831128&amp;ISCONFIRM=0" xr:uid="{276AAD7E-3BC6-4A62-A35B-3D6DDC232AAB}"/>
    <hyperlink ref="C1122" r:id="rId1117" display="https://pld.live/RapDetail.aspx?STONELIST=926831092&amp;ISCONFIRM=0" xr:uid="{9DCFE020-674A-48B4-9855-42ACA75309DB}"/>
    <hyperlink ref="C1123" r:id="rId1118" display="https://pld.live/RapDetail.aspx?STONELIST=926831091&amp;ISCONFIRM=0" xr:uid="{BD64966F-883F-4053-AC26-C91960AA19A4}"/>
    <hyperlink ref="C1124" r:id="rId1119" display="https://pld.live/RapDetail.aspx?STONELIST=926831061&amp;ISCONFIRM=0" xr:uid="{F716A6CC-9F3A-4746-8D74-47BF56626593}"/>
    <hyperlink ref="C1125" r:id="rId1120" display="https://pld.live/RapDetail.aspx?STONELIST=926831060&amp;ISCONFIRM=0" xr:uid="{B05704D6-D7D3-4CE2-BED3-36DB26E71E60}"/>
    <hyperlink ref="C1126" r:id="rId1121" display="https://pld.live/RapDetail.aspx?STONELIST=926741069&amp;ISCONFIRM=0" xr:uid="{2336E656-828E-440C-9057-CF90E5C9F1E8}"/>
    <hyperlink ref="C1127" r:id="rId1122" display="https://pld.live/RapDetail.aspx?STONELIST=926831089&amp;ISCONFIRM=0" xr:uid="{20FDF313-262D-4A7E-90C6-E30735A1278F}"/>
    <hyperlink ref="C1128" r:id="rId1123" display="https://pld.live/RapDetail.aspx?STONELIST=926741019&amp;ISCONFIRM=0" xr:uid="{4E90CC21-BFDE-4CCC-AE88-398CC49F8237}"/>
    <hyperlink ref="C1129" r:id="rId1124" display="https://pld.live/RapDetail.aspx?STONELIST=926830963&amp;ISCONFIRM=0" xr:uid="{86224A21-FCEA-4B2B-8850-581133DB570D}"/>
    <hyperlink ref="C1130" r:id="rId1125" display="https://pld.live/RapDetail.aspx?STONELIST=926831081&amp;ISCONFIRM=0" xr:uid="{A1F8878C-1A27-401B-8D80-94238E6627D0}"/>
    <hyperlink ref="C1131" r:id="rId1126" display="https://pld.live/RapDetail.aspx?STONELIST=926831075&amp;ISCONFIRM=0" xr:uid="{C7E854D6-31B9-4FA3-86D5-6DFDEF0756F6}"/>
    <hyperlink ref="C1132" r:id="rId1127" display="https://pld.live/RapDetail.aspx?STONELIST=926831071&amp;ISCONFIRM=0" xr:uid="{7DD1AC8E-8FB8-438D-955B-6017A38D685A}"/>
    <hyperlink ref="C1133" r:id="rId1128" display="https://pld.live/RapDetail.aspx?STONELIST=926810894&amp;ISCONFIRM=0" xr:uid="{AA74582B-2717-4F2E-81B4-10E8F318A640}"/>
    <hyperlink ref="C1134" r:id="rId1129" display="https://pld.live/RapDetail.aspx?STONELIST=926810887&amp;ISCONFIRM=0" xr:uid="{AA16A7EF-BE32-467D-A4B9-FC041D3D7186}"/>
    <hyperlink ref="C1135" r:id="rId1130" display="https://pld.live/RapDetail.aspx?STONELIST=927101096&amp;ISCONFIRM=0" xr:uid="{FE5150D4-2410-4471-A8DF-63BD65536FE6}"/>
    <hyperlink ref="C1136" r:id="rId1131" display="https://pld.live/RapDetail.aspx?STONELIST=941090240&amp;ISCONFIRM=0" xr:uid="{F51EF7A9-A4CB-49A1-AC57-D931AA79B4AF}"/>
    <hyperlink ref="C1137" r:id="rId1132" display="https://pld.live/RapDetail.aspx?STONELIST=941350730&amp;ISCONFIRM=0" xr:uid="{3CC6FDEB-CA9A-4813-A0ED-945E151AF034}"/>
    <hyperlink ref="C1138" r:id="rId1133" display="https://pld.live/RapDetail.aspx?STONELIST=941110107&amp;ISCONFIRM=0" xr:uid="{FF0BBA8A-66CA-4AFF-A37F-E0C90604C777}"/>
    <hyperlink ref="C1139" r:id="rId1134" display="https://pld.live/RapDetail.aspx?STONELIST=927130141&amp;ISCONFIRM=0" xr:uid="{F5FE2619-9833-4477-9D64-E97238B3A144}"/>
    <hyperlink ref="C1140" r:id="rId1135" display="https://pld.live/RapDetail.aspx?STONELIST=941070943&amp;ISCONFIRM=0" xr:uid="{93A5BDFE-62BA-464E-A763-2BE96B98BEF8}"/>
    <hyperlink ref="C1141" r:id="rId1136" display="https://pld.live/RapDetail.aspx?STONELIST=941070937&amp;ISCONFIRM=0" xr:uid="{C451E3C2-E7D1-46DE-A6CE-622BD3336E48}"/>
    <hyperlink ref="C1142" r:id="rId1137" display="https://pld.live/RapDetail.aspx?STONELIST=941070628&amp;ISCONFIRM=0" xr:uid="{DC236372-248A-414D-90E5-B1E67DF72DBB}"/>
    <hyperlink ref="C1143" r:id="rId1138" display="https://pld.live/RapDetail.aspx?STONELIST=927150726&amp;ISCONFIRM=0" xr:uid="{399B7D3D-2421-4150-BE96-A748137EDD4E}"/>
    <hyperlink ref="C1144" r:id="rId1139" display="https://pld.live/RapDetail.aspx?STONELIST=927150773&amp;ISCONFIRM=0" xr:uid="{D14CC5F5-4FCB-438A-9090-FB24CEF9F1F1}"/>
    <hyperlink ref="C1145" r:id="rId1140" display="https://pld.live/RapDetail.aspx?STONELIST=926831011&amp;ISCONFIRM=0" xr:uid="{674174DC-EF94-43D0-A77C-4EB8E5240FBD}"/>
    <hyperlink ref="C1146" r:id="rId1141" display="https://pld.live/RapDetail.aspx?STONELIST=926740965&amp;ISCONFIRM=0" xr:uid="{EDBA1684-1F6B-4B7E-B67C-79F7AFDFCF17}"/>
    <hyperlink ref="C1147" r:id="rId1142" display="https://pld.live/RapDetail.aspx?STONELIST=926831152&amp;ISCONFIRM=0" xr:uid="{00D884C0-49E2-4279-8407-0C093C5FCB09}"/>
    <hyperlink ref="C1148" r:id="rId1143" display="https://pld.live/RapDetail.aspx?STONELIST=926831130&amp;ISCONFIRM=0" xr:uid="{24725298-5E07-48D1-9FD7-E217D948680B}"/>
    <hyperlink ref="C1149" r:id="rId1144" display="https://pld.live/RapDetail.aspx?STONELIST=926831127&amp;ISCONFIRM=0" xr:uid="{92BEF8FB-AB5A-477C-80AC-73FACF45E546}"/>
    <hyperlink ref="C1150" r:id="rId1145" display="https://pld.live/RapDetail.aspx?STONELIST=926831124&amp;ISCONFIRM=0" xr:uid="{63531D58-8554-4C26-999F-45E86898DB0E}"/>
    <hyperlink ref="C1151" r:id="rId1146" display="https://pld.live/RapDetail.aspx?STONELIST=926831117&amp;ISCONFIRM=0" xr:uid="{0F72DB38-FC11-41EF-9D21-256809E89209}"/>
    <hyperlink ref="C1152" r:id="rId1147" display="https://pld.live/RapDetail.aspx?STONELIST=926831114&amp;ISCONFIRM=0" xr:uid="{510095F1-19F8-4984-9F1D-4B592A7DDBC3}"/>
    <hyperlink ref="C1153" r:id="rId1148" display="https://pld.live/RapDetail.aspx?STONELIST=926831062&amp;ISCONFIRM=0" xr:uid="{21097055-F26E-4D2B-A615-59B960DDD1E7}"/>
    <hyperlink ref="C1154" r:id="rId1149" display="https://pld.live/RapDetail.aspx?STONELIST=926831093&amp;ISCONFIRM=0" xr:uid="{5AE241D4-110B-4C5B-8D70-5D55E96BCC8C}"/>
    <hyperlink ref="C1155" r:id="rId1150" display="https://pld.live/RapDetail.aspx?STONELIST=926831068&amp;ISCONFIRM=0" xr:uid="{04495E58-E0EE-4528-BDFF-39337B0F2836}"/>
    <hyperlink ref="C1156" r:id="rId1151" display="https://pld.live/RapDetail.aspx?STONELIST=941050442&amp;ISCONFIRM=0" xr:uid="{DF586A22-A90A-47A6-A984-7F2C34A9BA19}"/>
    <hyperlink ref="C1157" r:id="rId1152" display="https://pld.live/RapDetail.aspx?STONELIST=927130135&amp;ISCONFIRM=0" xr:uid="{CD27945A-0D35-4F73-8705-BA971A32CADE}"/>
    <hyperlink ref="C1158" r:id="rId1153" display="https://pld.live/RapDetail.aspx?STONELIST=927130142&amp;ISCONFIRM=0" xr:uid="{76261BFB-5AF8-4469-B1A9-C64836536A06}"/>
    <hyperlink ref="C1159" r:id="rId1154" display="https://pld.live/RapDetail.aspx?STONELIST=927150643&amp;ISCONFIRM=0" xr:uid="{F9D28DB0-84C8-40DC-86F3-A0CD72BBC768}"/>
    <hyperlink ref="C1160" r:id="rId1155" display="https://pld.live/RapDetail.aspx?STONELIST=941160424&amp;ISCONFIRM=0" xr:uid="{81471CB8-864C-4B7C-8DA1-578250163EA6}"/>
    <hyperlink ref="C1161" r:id="rId1156" display="https://pld.live/RapDetail.aspx?STONELIST=941160559&amp;ISCONFIRM=0" xr:uid="{A4F45AD3-E369-437C-9892-548D21561408}"/>
    <hyperlink ref="C1162" r:id="rId1157" display="https://pld.live/RapDetail.aspx?STONELIST=941071225&amp;ISCONFIRM=0" xr:uid="{5FB5E79A-3A62-454B-A907-9E5D72448AE1}"/>
    <hyperlink ref="C1163" r:id="rId1158" display="https://pld.live/RapDetail.aspx?STONELIST=926831106&amp;ISCONFIRM=0" xr:uid="{A0767062-4290-4547-BAB4-20F76EA31084}"/>
    <hyperlink ref="C1164" r:id="rId1159" display="https://pld.live/RapDetail.aspx?STONELIST=926831159&amp;ISCONFIRM=0" xr:uid="{1620F78F-3814-4A2B-BED1-8198CE346D7B}"/>
    <hyperlink ref="C1165" r:id="rId1160" display="https://pld.live/RapDetail.aspx?STONELIST=941370572&amp;ISCONFIRM=0" xr:uid="{09A28C4E-918D-4481-BD41-B94BA72207BA}"/>
    <hyperlink ref="C1166" r:id="rId1161" display="https://pld.live/RapDetail.aspx?STONELIST=941020709&amp;ISCONFIRM=0" xr:uid="{FAAC464E-BF22-4CC3-977A-B12AEC3EADC1}"/>
    <hyperlink ref="C1167" r:id="rId1162" display="https://pld.live/RapDetail.aspx?STONELIST=925731776&amp;ISCONFIRM=0" xr:uid="{56488566-B591-47B4-B715-E59421489457}"/>
    <hyperlink ref="C1168" r:id="rId1163" display="https://pld.live/RapDetail.aspx?STONELIST=926810904&amp;ISCONFIRM=0" xr:uid="{D46D2E78-62F9-49EF-AFC0-061164110350}"/>
    <hyperlink ref="C1169" r:id="rId1164" display="https://pld.live/RapDetail.aspx?STONELIST=926810780&amp;ISCONFIRM=0" xr:uid="{EB1E8301-34E8-43DD-8CA9-C17846EFAFC0}"/>
    <hyperlink ref="C1170" r:id="rId1165" display="https://pld.live/RapDetail.aspx?STONELIST=926750963&amp;ISCONFIRM=0" xr:uid="{4ABCCFEB-36D4-4B89-B942-4885AD189872}"/>
    <hyperlink ref="C1171" r:id="rId1166" display="https://pld.live/RapDetail.aspx?STONELIST=941160388&amp;ISCONFIRM=0" xr:uid="{879A18A8-2A73-4D02-8428-95786460C93B}"/>
    <hyperlink ref="C1172" r:id="rId1167" display="https://pld.live/RapDetail.aspx?STONELIST=941350286&amp;ISCONFIRM=0" xr:uid="{4FB82F95-19D3-4DC0-B28A-9F0048A0E465}"/>
    <hyperlink ref="C1173" r:id="rId1168" display="https://pld.live/RapDetail.aspx?STONELIST=941021284&amp;ISCONFIRM=0" xr:uid="{A3B9E449-2F13-4D4E-AEC1-65442566FE21}"/>
    <hyperlink ref="C1174" r:id="rId1169" display="https://pld.live/RapDetail.aspx?STONELIST=941070870&amp;ISCONFIRM=0" xr:uid="{7D747A3B-79DA-4B88-B77A-2F45DEA564FD}"/>
    <hyperlink ref="C1175" r:id="rId1170" display="https://pld.live/RapDetail.aspx?STONELIST=926810867&amp;ISCONFIRM=0" xr:uid="{672521B5-78D8-455E-B382-00E8AE9D1458}"/>
    <hyperlink ref="C1176" r:id="rId1171" display="https://pld.live/RapDetail.aspx?STONELIST=941170080&amp;ISCONFIRM=0" xr:uid="{95DBA706-50F3-4313-92B9-4FDA4C01CCA8}"/>
    <hyperlink ref="C1177" r:id="rId1172" display="https://pld.live/RapDetail.aspx?STONELIST=941190268&amp;ISCONFIRM=0" xr:uid="{E96568F8-9855-4D46-B513-C877FBABFA47}"/>
    <hyperlink ref="C1178" r:id="rId1173" display="https://pld.live/RapDetail.aspx?STONELIST=941071065&amp;ISCONFIRM=0" xr:uid="{AE1F71D9-64A5-466A-92A3-EBF3946CFD04}"/>
    <hyperlink ref="C1179" r:id="rId1174" display="https://pld.live/RapDetail.aspx?STONELIST=927150770&amp;ISCONFIRM=0" xr:uid="{CEC596CF-BFDE-4E29-AD18-5C29470F6DF6}"/>
    <hyperlink ref="C1180" r:id="rId1175" display="https://pld.live/RapDetail.aspx?STONELIST=941190662&amp;ISCONFIRM=0" xr:uid="{6ED4E04E-8354-4E22-A1D8-917E3CC9FF06}"/>
    <hyperlink ref="C1181" r:id="rId1176" display="https://pld.live/RapDetail.aspx?STONELIST=941350978&amp;ISCONFIRM=0" xr:uid="{C59C50FA-EF34-44E0-8987-FDE6FC1C7FE9}"/>
    <hyperlink ref="C1182" r:id="rId1177" display="https://pld.live/RapDetail.aspx?STONELIST=926831154&amp;ISCONFIRM=0" xr:uid="{18BA081B-27C3-4566-955B-9C20EE22CFBF}"/>
    <hyperlink ref="C1183" r:id="rId1178" display="https://pld.live/RapDetail.aspx?STONELIST=926831139&amp;ISCONFIRM=0" xr:uid="{C6C8E050-C240-41BE-BC79-E3B236806580}"/>
    <hyperlink ref="C1184" r:id="rId1179" display="https://pld.live/RapDetail.aspx?STONELIST=941350952&amp;ISCONFIRM=0" xr:uid="{A192057F-8940-45EE-96E7-8351DC9AEF25}"/>
    <hyperlink ref="C1185" r:id="rId1180" display="https://pld.live/RapDetail.aspx?STONELIST=941070876&amp;ISCONFIRM=0" xr:uid="{C923D88E-7110-4B44-A02F-EAF8B23CCA29}"/>
    <hyperlink ref="C1186" r:id="rId1181" display="https://pld.live/RapDetail.aspx?STONELIST=926810823&amp;ISCONFIRM=0" xr:uid="{AE7BE136-2025-49ED-93DE-3789F9757782}"/>
    <hyperlink ref="C1187" r:id="rId1182" display="https://pld.live/RapDetail.aspx?STONELIST=926831105&amp;ISCONFIRM=0" xr:uid="{2B5E784D-E7BC-4C45-BE3C-2768C23ED67F}"/>
    <hyperlink ref="C1188" r:id="rId1183" display="https://pld.live/RapDetail.aspx?STONELIST=941170232&amp;ISCONFIRM=0" xr:uid="{17C33888-4E46-43E2-948C-8A6A030D612E}"/>
    <hyperlink ref="C1189" r:id="rId1184" display="https://pld.live/RapDetail.aspx?STONELIST=927100760&amp;ISCONFIRM=0" xr:uid="{A745DAA8-AC4A-4D38-A6C9-92D06192AEB7}"/>
    <hyperlink ref="C1190" r:id="rId1185" display="https://pld.live/RapDetail.aspx?STONELIST=927151910&amp;ISCONFIRM=0" xr:uid="{B8647CB4-9E13-494E-A896-0A80660ADD9A}"/>
    <hyperlink ref="C1191" r:id="rId1186" display="https://pld.live/RapDetail.aspx?STONELIST=941170026&amp;ISCONFIRM=0" xr:uid="{DB0C39CE-20B9-494B-95AB-B7C5FDBE775B}"/>
    <hyperlink ref="C1192" r:id="rId1187" display="https://pld.live/RapDetail.aspx?STONELIST=941170172&amp;ISCONFIRM=0" xr:uid="{3BEAA5F0-F702-4F0F-A94B-6748DA77D29F}"/>
    <hyperlink ref="C1193" r:id="rId1188" display="https://pld.live/RapDetail.aspx?STONELIST=941351000&amp;ISCONFIRM=0" xr:uid="{4C3A4FF1-50EF-4DBB-A628-AA380532A571}"/>
    <hyperlink ref="C1194" r:id="rId1189" display="https://pld.live/RapDetail.aspx?STONELIST=941071111&amp;ISCONFIRM=0" xr:uid="{1E70662A-C3AE-4888-A090-E3AC07405FA3}"/>
    <hyperlink ref="C1195" r:id="rId1190" display="https://pld.live/RapDetail.aspx?STONELIST=941070955&amp;ISCONFIRM=0" xr:uid="{EEAE3F5D-C975-4939-9B1B-46DCF11A11C9}"/>
    <hyperlink ref="C1196" r:id="rId1191" display="https://pld.live/RapDetail.aspx?STONELIST=941020922&amp;ISCONFIRM=0" xr:uid="{0CA158F3-3B17-476C-A926-5142AE6E4683}"/>
    <hyperlink ref="C1197" r:id="rId1192" display="https://pld.live/RapDetail.aspx?STONELIST=941090451&amp;ISCONFIRM=0" xr:uid="{03A67F9C-D705-4C75-B0E1-E57C6CF114C9}"/>
    <hyperlink ref="C1198" r:id="rId1193" display="https://pld.live/RapDetail.aspx?STONELIST=941110118&amp;ISCONFIRM=0" xr:uid="{B6A1EC7E-C964-43E8-AC1B-1EDC615D20DA}"/>
    <hyperlink ref="C1199" r:id="rId1194" display="https://pld.live/RapDetail.aspx?STONELIST=941350782&amp;ISCONFIRM=0" xr:uid="{0CF11F3A-EAF6-4D97-83EE-A492EDA5756D}"/>
    <hyperlink ref="C1200" r:id="rId1195" display="https://pld.live/RapDetail.aspx?STONELIST=941070954&amp;ISCONFIRM=0" xr:uid="{1CCB3943-CC5E-45FD-A235-25E1464C58C7}"/>
    <hyperlink ref="C1201" r:id="rId1196" display="https://pld.live/RapDetail.aspx?STONELIST=927151990&amp;ISCONFIRM=0" xr:uid="{D4B3AE40-F5D8-4F12-9BCB-8752D4909FE3}"/>
    <hyperlink ref="C1202" r:id="rId1197" display="https://pld.live/RapDetail.aspx?STONELIST=941021547&amp;ISCONFIRM=0" xr:uid="{99FE8F09-B800-42BD-89B0-BAEAC2D291BD}"/>
    <hyperlink ref="C1203" r:id="rId1198" display="https://pld.live/RapDetail.aspx?STONELIST=941040332&amp;ISCONFIRM=0" xr:uid="{D43CEA2B-4F93-47EB-ACB6-91B365C329E0}"/>
    <hyperlink ref="C1204" r:id="rId1199" display="https://pld.live/RapDetail.aspx?STONELIST=926810882&amp;ISCONFIRM=0" xr:uid="{C6854232-DBD6-4B5F-8551-6F1EB0E59117}"/>
    <hyperlink ref="C1205" r:id="rId1200" display="https://pld.live/RapDetail.aspx?STONELIST=941320241&amp;ISCONFIRM=0" xr:uid="{EBF3AB66-61B5-46B1-B0D1-A39DD8D0D3AD}"/>
    <hyperlink ref="C1206" r:id="rId1201" display="https://pld.live/RapDetail.aspx?STONELIST=941071172&amp;ISCONFIRM=0" xr:uid="{A58263F3-85D0-4F22-B428-B6E8691D3C7C}"/>
    <hyperlink ref="C1207" r:id="rId1202" display="https://pld.live/RapDetail.aspx?STONELIST=927130214&amp;ISCONFIRM=0" xr:uid="{890583B3-BB55-4751-84AF-B925B62868FE}"/>
    <hyperlink ref="C1208" r:id="rId1203" display="https://pld.live/RapDetail.aspx?STONELIST=941070929&amp;ISCONFIRM=0" xr:uid="{0B6B78F7-DE9A-4B29-B753-BDDACD0F3EB4}"/>
    <hyperlink ref="C1209" r:id="rId1204" display="https://pld.live/RapDetail.aspx?STONELIST=941190196&amp;ISCONFIRM=0" xr:uid="{40F74E09-AF49-41F4-AF15-4699172CA403}"/>
    <hyperlink ref="C1210" r:id="rId1205" display="https://pld.live/RapDetail.aspx?STONELIST=925280238&amp;ISCONFIRM=0" xr:uid="{53D17A2D-2CC8-4306-977B-D9E19B6CC008}"/>
    <hyperlink ref="C1211" r:id="rId1206" display="https://pld.live/RapDetail.aspx?STONELIST=927052455&amp;ISCONFIRM=0" xr:uid="{EDFE24DF-BF59-4DA2-9146-368ED57DA6E1}"/>
    <hyperlink ref="C1212" r:id="rId1207" display="https://pld.live/RapDetail.aspx?STONELIST=941160253&amp;ISCONFIRM=0" xr:uid="{CD29BD50-F2C3-4DFF-AD7A-0ACF34A727D1}"/>
    <hyperlink ref="C1213" r:id="rId1208" display="https://pld.live/RapDetail.aspx?STONELIST=941070886&amp;ISCONFIRM=0" xr:uid="{5FBD5C33-67B3-48D9-9AFB-68714E596DF4}"/>
    <hyperlink ref="C1214" r:id="rId1209" display="https://pld.live/RapDetail.aspx?STONELIST=941170229&amp;ISCONFIRM=0" xr:uid="{930492B2-2FF1-41EA-8DD7-71D10B7CD517}"/>
    <hyperlink ref="C1215" r:id="rId1210" display="https://pld.live/RapDetail.aspx?STONELIST=941071094&amp;ISCONFIRM=0" xr:uid="{ABC2F0CA-AD63-4A39-85BA-689A370E2D81}"/>
    <hyperlink ref="C1216" r:id="rId1211" display="https://pld.live/RapDetail.aspx?STONELIST=926210893&amp;ISCONFIRM=0" xr:uid="{E83F6AB4-C328-4C83-8B8F-22031534C07D}"/>
    <hyperlink ref="C1217" r:id="rId1212" display="https://pld.live/RapDetail.aspx?STONELIST=926111313&amp;ISCONFIRM=0" xr:uid="{43B9F29D-A22B-41C9-ACA4-D9A807811509}"/>
    <hyperlink ref="C1218" r:id="rId1213" display="https://pld.live/RapDetail.aspx?STONELIST=941071240&amp;ISCONFIRM=0" xr:uid="{FAD9B717-C99D-406B-8FE0-FF30AEC2317C}"/>
    <hyperlink ref="C1219" r:id="rId1214" display="https://pld.live/RapDetail.aspx?STONELIST=926211094&amp;ISCONFIRM=0" xr:uid="{BEED44D4-2A65-432D-BE2E-0BE00F05D209}"/>
    <hyperlink ref="C1220" r:id="rId1215" display="https://pld.live/RapDetail.aspx?STONELIST=926790835&amp;ISCONFIRM=0" xr:uid="{02C28E93-EDEC-4DAD-8224-0117D78069B1}"/>
    <hyperlink ref="C1221" r:id="rId1216" display="https://pld.live/RapDetail.aspx?STONELIST=925900336&amp;ISCONFIRM=0" xr:uid="{7A82C11C-A1A3-457C-95FD-F4FA093D9B41}"/>
    <hyperlink ref="C1222" r:id="rId1217" display="https://pld.live/RapDetail.aspx?STONELIST=926211135&amp;ISCONFIRM=0" xr:uid="{4B4E4E39-74EF-488A-9A0D-CF1084BEB672}"/>
    <hyperlink ref="C1223" r:id="rId1218" display="https://pld.live/RapDetail.aspx?STONELIST=926111358&amp;ISCONFIRM=0" xr:uid="{AD30592A-7631-4EAC-90F7-BAFF56CE2318}"/>
    <hyperlink ref="C1224" r:id="rId1219" display="https://pld.live/RapDetail.aspx?STONELIST=926111363&amp;ISCONFIRM=0" xr:uid="{2C3F1F86-EA7D-4B03-9E5C-C766CCD3D478}"/>
    <hyperlink ref="C1225" r:id="rId1220" display="https://pld.live/RapDetail.aspx?STONELIST=924880186&amp;ISCONFIRM=0" xr:uid="{DF1926E4-A0FD-4473-96E3-D300998A67C6}"/>
    <hyperlink ref="C1226" r:id="rId1221" display="https://pld.live/RapDetail.aspx?STONELIST=926211080&amp;ISCONFIRM=0" xr:uid="{4B80206E-DE1D-4372-8D70-1858659E68EF}"/>
    <hyperlink ref="C1227" r:id="rId1222" display="https://pld.live/RapDetail.aspx?STONELIST=926211138&amp;ISCONFIRM=0" xr:uid="{CC33C490-53BC-4FD2-A706-AEBF486D12F1}"/>
    <hyperlink ref="C1228" r:id="rId1223" display="https://pld.live/RapDetail.aspx?STONELIST=926111316&amp;ISCONFIRM=0" xr:uid="{296A6BAD-02A9-4711-B9E5-1361406D270C}"/>
    <hyperlink ref="C1229" r:id="rId1224" display="https://pld.live/RapDetail.aspx?STONELIST=926921263&amp;ISCONFIRM=0" xr:uid="{92B3ADF5-8A28-4156-84E7-F70B2E2ABA8F}"/>
    <hyperlink ref="C1230" r:id="rId1225" display="https://pld.live/RapDetail.aspx?STONELIST=924690017&amp;ISCONFIRM=0" xr:uid="{7BCB5FBA-9941-45B1-BBC7-EE783E52F670}"/>
    <hyperlink ref="C1231" r:id="rId1226" display="https://pld.live/RapDetail.aspx?STONELIST=926270875&amp;ISCONFIRM=0" xr:uid="{B539D88A-EE4F-43C2-B606-3B1F5D6D6B4A}"/>
    <hyperlink ref="C1232" r:id="rId1227" display="https://pld.live/RapDetail.aspx?STONELIST=926211199&amp;ISCONFIRM=0" xr:uid="{512BA100-083C-466C-8263-C54F58CF8E90}"/>
    <hyperlink ref="C1233" r:id="rId1228" display="https://pld.live/RapDetail.aspx?STONELIST=926111324&amp;ISCONFIRM=0" xr:uid="{1032D67E-27CD-404D-8884-0B63942B71BF}"/>
    <hyperlink ref="C1234" r:id="rId1229" display="https://pld.live/RapDetail.aspx?STONELIST=927101203&amp;ISCONFIRM=0" xr:uid="{3C5FDC0A-DFF8-4134-AF7F-9A11A918C1B2}"/>
    <hyperlink ref="C1235" r:id="rId1230" display="https://pld.live/RapDetail.aspx?STONELIST=941071072&amp;ISCONFIRM=0" xr:uid="{2DF9CE30-7A78-4BBF-BD85-4642E595D198}"/>
    <hyperlink ref="C1236" r:id="rId1231" display="https://pld.live/RapDetail.aspx?STONELIST=926211107&amp;ISCONFIRM=0" xr:uid="{6889E848-CB82-4044-A2D2-43B8BED53950}"/>
    <hyperlink ref="C1237" r:id="rId1232" display="https://pld.live/RapDetail.aspx?STONELIST=831010031&amp;ISCONFIRM=0" xr:uid="{5AB086C8-EF1B-49F1-BE18-36625010C770}"/>
    <hyperlink ref="C1238" r:id="rId1233" display="https://pld.live/RapDetail.aspx?STONELIST=926211264&amp;ISCONFIRM=0" xr:uid="{49F40751-0490-4646-9A3D-5D2C7D72DA5E}"/>
    <hyperlink ref="C1239" r:id="rId1234" display="https://pld.live/RapDetail.aspx?STONELIST=925940613&amp;ISCONFIRM=0" xr:uid="{E612903E-2098-42E4-8623-207472E2E6A0}"/>
    <hyperlink ref="C1240" r:id="rId1235" display="https://pld.live/RapDetail.aspx?STONELIST=925940575&amp;ISCONFIRM=0" xr:uid="{760D6EC8-0A16-473A-8D21-55DF25217358}"/>
    <hyperlink ref="C1241" r:id="rId1236" display="https://pld.live/RapDetail.aspx?STONELIST=926111111&amp;ISCONFIRM=0" xr:uid="{44193081-A657-48BA-8357-E1275EF4E865}"/>
    <hyperlink ref="C1242" r:id="rId1237" display="https://pld.live/RapDetail.aspx?STONELIST=926211181&amp;ISCONFIRM=0" xr:uid="{24AA2DEA-8D36-493D-A51E-89D9C091B41C}"/>
    <hyperlink ref="C1243" r:id="rId1238" display="https://pld.live/RapDetail.aspx?STONELIST=941350909&amp;ISCONFIRM=0" xr:uid="{69E36240-331A-4E9B-863F-4F5A00349407}"/>
    <hyperlink ref="C1244" r:id="rId1239" display="https://pld.live/RapDetail.aspx?STONELIST=941350854&amp;ISCONFIRM=0" xr:uid="{4BACD8F4-C457-4B29-82ED-441E1EBF89B6}"/>
    <hyperlink ref="C1245" r:id="rId1240" display="https://pld.live/RapDetail.aspx?STONELIST=941320764&amp;ISCONFIRM=0" xr:uid="{7EAE2D4D-CB82-44F0-BC6A-948D45AA12B6}"/>
    <hyperlink ref="C1246" r:id="rId1241" display="https://pld.live/RapDetail.aspx?STONELIST=941190063&amp;ISCONFIRM=0" xr:uid="{231F2C59-2ED9-4B09-9C00-9578ADD9B7EF}"/>
    <hyperlink ref="C1247" r:id="rId1242" display="https://pld.live/RapDetail.aspx?STONELIST=927130090&amp;ISCONFIRM=0" xr:uid="{17A40C51-2CED-49FB-92FD-A5F6D1C64A37}"/>
    <hyperlink ref="C1248" r:id="rId1243" display="https://pld.live/RapDetail.aspx?STONELIST=927100869&amp;ISCONFIRM=0" xr:uid="{A2371B17-FD5A-4DCD-97AF-2034B4152D97}"/>
    <hyperlink ref="C1249" r:id="rId1244" display="https://pld.live/RapDetail.aspx?STONELIST=831010761&amp;ISCONFIRM=0" xr:uid="{58CD2F2B-AF49-437D-B265-79AA337D72C8}"/>
    <hyperlink ref="C1250" r:id="rId1245" display="https://pld.live/RapDetail.aspx?STONELIST=926211233&amp;ISCONFIRM=0" xr:uid="{C59C0B38-0CEB-44E5-898A-B444943B2894}"/>
    <hyperlink ref="C1251" r:id="rId1246" display="https://pld.live/RapDetail.aspx?STONELIST=941350658&amp;ISCONFIRM=0" xr:uid="{5CF99D9D-A43C-41AC-BC03-99006C98F7C1}"/>
    <hyperlink ref="C1252" r:id="rId1247" display="https://pld.live/RapDetail.aspx?STONELIST=926211113&amp;ISCONFIRM=0" xr:uid="{919B4A31-384A-43F6-BA20-C66F5E2E22C9}"/>
    <hyperlink ref="C1253" r:id="rId1248" display="https://pld.live/RapDetail.aspx?STONELIST=831010760&amp;ISCONFIRM=0" xr:uid="{90764BD7-6825-4C45-9916-79B4D6272BE0}"/>
    <hyperlink ref="C1254" r:id="rId1249" display="https://pld.live/RapDetail.aspx?STONELIST=926211171&amp;ISCONFIRM=0" xr:uid="{67B9E313-8948-4404-AC36-7C332B53F80E}"/>
    <hyperlink ref="C1255" r:id="rId1250" display="https://pld.live/RapDetail.aspx?STONELIST=925790821&amp;ISCONFIRM=0" xr:uid="{0F7D15A9-C084-4D2C-82BF-5112381D20CB}"/>
    <hyperlink ref="C1256" r:id="rId1251" display="https://pld.live/RapDetail.aspx?STONELIST=926211257&amp;ISCONFIRM=0" xr:uid="{C12F3135-550A-42C2-BA54-F3AC7EFE585B}"/>
    <hyperlink ref="C1257" r:id="rId1252" display="https://pld.live/RapDetail.aspx?STONELIST=941170257&amp;ISCONFIRM=0" xr:uid="{FEC782AF-3EE8-4B69-A549-03BEE77C83A4}"/>
    <hyperlink ref="C1258" r:id="rId1253" display="https://pld.live/RapDetail.aspx?STONELIST=821126416&amp;ISCONFIRM=0" xr:uid="{BE5F36CD-BC53-4D61-8637-149FD988BCFF}"/>
    <hyperlink ref="C1259" r:id="rId1254" display="https://pld.live/RapDetail.aspx?STONELIST=927130092&amp;ISCONFIRM=0" xr:uid="{CC340193-5B7B-4B06-BE46-2E9F780ABD7B}"/>
    <hyperlink ref="C1260" r:id="rId1255" display="https://pld.live/RapDetail.aspx?STONELIST=926331599&amp;ISCONFIRM=0" xr:uid="{A69AEA3A-3597-43BB-8896-B3F70A4AE4F6}"/>
    <hyperlink ref="C1261" r:id="rId1256" display="https://pld.live/RapDetail.aspx?STONELIST=941170238&amp;ISCONFIRM=0" xr:uid="{871661B6-38F8-40BB-B009-181C345F22AB}"/>
    <hyperlink ref="C1262" r:id="rId1257" display="https://pld.live/RapDetail.aspx?STONELIST=925900333&amp;ISCONFIRM=0" xr:uid="{0580D771-1E04-4781-89EB-7151058FC593}"/>
    <hyperlink ref="C1263" r:id="rId1258" display="https://pld.live/RapDetail.aspx?STONELIST=941190113&amp;ISCONFIRM=0" xr:uid="{C57DFED9-B305-430C-8634-06199575FC55}"/>
    <hyperlink ref="C1264" r:id="rId1259" display="https://pld.live/RapDetail.aspx?STONELIST=941320624&amp;ISCONFIRM=0" xr:uid="{52F72D1A-2431-48D8-B7B3-E72189004120}"/>
    <hyperlink ref="C1265" r:id="rId1260" display="https://pld.live/RapDetail.aspx?STONELIST=941170258&amp;ISCONFIRM=0" xr:uid="{F90C176D-8E21-41AA-856F-AF96676AA1AF}"/>
    <hyperlink ref="C1266" r:id="rId1261" display="https://pld.live/RapDetail.aspx?STONELIST=941320667&amp;ISCONFIRM=0" xr:uid="{260FCFDF-376A-4CB0-99E3-D2663E9F15FC}"/>
    <hyperlink ref="C1267" r:id="rId1262" display="https://pld.live/RapDetail.aspx?STONELIST=926221340&amp;ISCONFIRM=0" xr:uid="{8FF0CEBD-4233-4D4E-8CCD-307E812C84B1}"/>
    <hyperlink ref="C1268" r:id="rId1263" display="https://pld.live/RapDetail.aspx?STONELIST=926291530&amp;ISCONFIRM=0" xr:uid="{B2CD2B7E-7E81-487B-831C-8C5B26E25781}"/>
    <hyperlink ref="C1269" r:id="rId1264" display="https://pld.live/RapDetail.aspx?STONELIST=941320537&amp;ISCONFIRM=0" xr:uid="{CBDAA047-7013-41EB-BB07-36DFF4F08BCC}"/>
    <hyperlink ref="C1270" r:id="rId1265" display="https://pld.live/RapDetail.aspx?STONELIST=941170173&amp;ISCONFIRM=0" xr:uid="{8016EDC6-943B-4E31-B938-3498B4EAF1AA}"/>
    <hyperlink ref="C1271" r:id="rId1266" display="https://pld.live/RapDetail.aspx?STONELIST=941190073&amp;ISCONFIRM=0" xr:uid="{027F4C2C-DB41-44E5-B59C-8793A4EF7127}"/>
    <hyperlink ref="C1272" r:id="rId1267" display="https://pld.live/RapDetail.aspx?STONELIST=941350938&amp;ISCONFIRM=0" xr:uid="{200E1508-9F80-42C0-94E2-85C2C816E76E}"/>
    <hyperlink ref="C1273" r:id="rId1268" display="https://pld.live/RapDetail.aspx?STONELIST=926331620&amp;ISCONFIRM=0" xr:uid="{343D7455-5B66-4A62-AEBD-E4868399D485}"/>
    <hyperlink ref="C1274" r:id="rId1269" display="https://pld.live/RapDetail.aspx?STONELIST=821126532&amp;ISCONFIRM=0" xr:uid="{4A115458-BBE8-414D-9F6D-EFDF37E88483}"/>
    <hyperlink ref="C1275" r:id="rId1270" display="https://pld.live/RapDetail.aspx?STONELIST=941320519&amp;ISCONFIRM=0" xr:uid="{79CA35F3-0BA8-44E1-94C5-AA2553C78B36}"/>
    <hyperlink ref="C1276" r:id="rId1271" display="https://pld.live/RapDetail.aspx?STONELIST=941320535&amp;ISCONFIRM=0" xr:uid="{267389EB-57BC-45C7-A60C-A2A4A69C6170}"/>
    <hyperlink ref="C1277" r:id="rId1272" display="https://pld.live/RapDetail.aspx?STONELIST=941320607&amp;ISCONFIRM=0" xr:uid="{AE1B94FC-024B-4961-86F0-76BD6EAF2676}"/>
    <hyperlink ref="C1278" r:id="rId1273" display="https://pld.live/RapDetail.aspx?STONELIST=926250559&amp;ISCONFIRM=0" xr:uid="{E449550B-ABEA-419A-BBBC-2FF8F54BEE23}"/>
    <hyperlink ref="C1279" r:id="rId1274" display="https://pld.live/RapDetail.aspx?STONELIST=941320666&amp;ISCONFIRM=0" xr:uid="{A1B867D0-FA5E-4B37-8A2D-AEFC6BE32B33}"/>
    <hyperlink ref="C1280" r:id="rId1275" display="https://pld.live/RapDetail.aspx?STONELIST=926250579&amp;ISCONFIRM=0" xr:uid="{8875C91E-D5BD-490F-B960-813BF872EE9F}"/>
    <hyperlink ref="C1281" r:id="rId1276" display="https://pld.live/RapDetail.aspx?STONELIST=941320408&amp;ISCONFIRM=0" xr:uid="{4AE7092C-68D9-4093-AE1A-EC6CAD7ADF8E}"/>
    <hyperlink ref="C1282" r:id="rId1277" display="https://pld.live/RapDetail.aspx?STONELIST=927100682&amp;ISCONFIRM=0" xr:uid="{59E76920-C0C0-475D-9067-44A9886DE712}"/>
    <hyperlink ref="C1283" r:id="rId1278" display="https://pld.live/RapDetail.aspx?STONELIST=927100591&amp;ISCONFIRM=0" xr:uid="{729DAD0E-9AAC-497C-91FA-D9300C47EEBC}"/>
    <hyperlink ref="C1284" r:id="rId1279" display="https://pld.live/RapDetail.aspx?STONELIST=926250619&amp;ISCONFIRM=0" xr:uid="{FE56D7FA-F262-4000-8C76-4441DF4CB61F}"/>
    <hyperlink ref="C1285" r:id="rId1280" display="https://pld.live/RapDetail.aspx?STONELIST=926221430&amp;ISCONFIRM=0" xr:uid="{117408A8-1333-47E0-9FCF-A54879CFCEB2}"/>
    <hyperlink ref="C1286" r:id="rId1281" display="https://pld.live/RapDetail.aspx?STONELIST=927091879&amp;ISCONFIRM=0" xr:uid="{FADA79C1-8435-4711-927E-1A1DC190C046}"/>
    <hyperlink ref="C1287" r:id="rId1282" display="https://pld.live/RapDetail.aspx?STONELIST=927130139&amp;ISCONFIRM=0" xr:uid="{D16292EA-1B43-404B-AF33-23A395969C6B}"/>
    <hyperlink ref="C1288" r:id="rId1283" display="https://pld.live/RapDetail.aspx?STONELIST=926211175&amp;ISCONFIRM=0" xr:uid="{3DD3E2F4-D861-4A61-A725-C6CFB817B38D}"/>
    <hyperlink ref="C1289" r:id="rId1284" display="https://pld.live/RapDetail.aspx?STONELIST=941320403&amp;ISCONFIRM=0" xr:uid="{56CA7A90-3DAE-43AD-B6D2-981E2767E1C8}"/>
    <hyperlink ref="C1290" r:id="rId1285" display="https://pld.live/RapDetail.aspx?STONELIST=941320496&amp;ISCONFIRM=0" xr:uid="{9088964A-F9DD-457C-B979-BBE4DACE1AF3}"/>
    <hyperlink ref="C1291" r:id="rId1286" display="https://pld.live/RapDetail.aspx?STONELIST=941170191&amp;ISCONFIRM=0" xr:uid="{6A427148-12B0-4A48-BA80-91931A0AC1B1}"/>
    <hyperlink ref="C1292" r:id="rId1287" display="https://pld.live/RapDetail.aspx?STONELIST=926311367&amp;ISCONFIRM=0" xr:uid="{0FB2419E-4FDE-4F22-8857-FA37BF92FB44}"/>
    <hyperlink ref="C1293" r:id="rId1288" display="https://pld.live/RapDetail.aspx?STONELIST=941190070&amp;ISCONFIRM=0" xr:uid="{89477E18-2431-4CC4-B7F4-F8BD81533614}"/>
    <hyperlink ref="C1294" r:id="rId1289" display="https://pld.live/RapDetail.aspx?STONELIST=941190118&amp;ISCONFIRM=0" xr:uid="{E59506D4-B54C-4FC6-A5CF-49F381209564}"/>
    <hyperlink ref="C1295" r:id="rId1290" display="https://pld.live/RapDetail.aspx?STONELIST=926331670&amp;ISCONFIRM=0" xr:uid="{124448F4-EF29-4C06-B1EB-7E4AD3DE0959}"/>
    <hyperlink ref="C1296" r:id="rId1291" display="https://pld.live/RapDetail.aspx?STONELIST=941190233&amp;ISCONFIRM=0" xr:uid="{7F317E66-8571-47B1-8DC8-548524B866F2}"/>
    <hyperlink ref="C1297" r:id="rId1292" display="https://pld.live/RapDetail.aspx?STONELIST=926111388&amp;ISCONFIRM=0" xr:uid="{A1B1873C-C672-47A1-8648-8D3E87F4D0A2}"/>
    <hyperlink ref="C1298" r:id="rId1293" display="https://pld.live/RapDetail.aspx?STONELIST=925040091&amp;ISCONFIRM=0" xr:uid="{B731395F-E233-466A-8FDB-3EFFA36BAEB1}"/>
    <hyperlink ref="C1299" r:id="rId1294" display="https://pld.live/RapDetail.aspx?STONELIST=941320704&amp;ISCONFIRM=0" xr:uid="{DA169357-E308-4FD7-93DF-07034BEFB26A}"/>
    <hyperlink ref="C1300" r:id="rId1295" display="https://pld.live/RapDetail.aspx?STONELIST=941320734&amp;ISCONFIRM=0" xr:uid="{62C02AF4-57CB-4942-8A74-88E341446CC9}"/>
    <hyperlink ref="C1301" r:id="rId1296" display="https://pld.live/RapDetail.aspx?STONELIST=927100742&amp;ISCONFIRM=0" xr:uid="{B6F8C15C-EF07-40D5-8457-5A8A38E2AD3C}"/>
    <hyperlink ref="C1302" r:id="rId1297" display="https://pld.live/RapDetail.aspx?STONELIST=927091878&amp;ISCONFIRM=0" xr:uid="{E08FB4C5-5BC1-4786-903E-1918FC43D017}"/>
    <hyperlink ref="C1303" r:id="rId1298" display="https://pld.live/RapDetail.aspx?STONELIST=926311252&amp;ISCONFIRM=0" xr:uid="{624D9E4D-EF6F-4683-B238-E31BF6ED9C0B}"/>
    <hyperlink ref="C1304" r:id="rId1299" display="https://pld.live/RapDetail.aspx?STONELIST=926280736&amp;ISCONFIRM=0" xr:uid="{B4FA9515-FF7D-4F6C-AD74-EF031A5E9316}"/>
    <hyperlink ref="C1305" r:id="rId1300" display="https://pld.live/RapDetail.aspx?STONELIST=941320774&amp;ISCONFIRM=0" xr:uid="{EDA372EE-9AF3-42EB-ABE2-0DC55E3BF81A}"/>
    <hyperlink ref="C1306" r:id="rId1301" display="https://pld.live/RapDetail.aspx?STONELIST=926331767&amp;ISCONFIRM=0" xr:uid="{4973027C-302E-4FB5-8BA7-20517783C9CB}"/>
    <hyperlink ref="C1307" r:id="rId1302" display="https://pld.live/RapDetail.aspx?STONELIST=926250497&amp;ISCONFIRM=0" xr:uid="{5C876DB1-F771-40C2-9C2A-9A7BCBEFFC06}"/>
    <hyperlink ref="C1308" r:id="rId1303" display="https://pld.live/RapDetail.aspx?STONELIST=926291571&amp;ISCONFIRM=0" xr:uid="{58F1F0F4-F338-4239-A67B-790F8099A14F}"/>
    <hyperlink ref="C1309" r:id="rId1304" display="https://pld.live/RapDetail.aspx?STONELIST=925290299&amp;ISCONFIRM=0" xr:uid="{67ABEC11-1D38-4CAF-ACED-29FC10094928}"/>
    <hyperlink ref="C1310" r:id="rId1305" display="https://pld.live/RapDetail.aspx?STONELIST=926270888&amp;ISCONFIRM=0" xr:uid="{CFE97BF8-3F2A-4FC2-8190-327C4692C7B4}"/>
    <hyperlink ref="C1311" r:id="rId1306" display="https://pld.live/RapDetail.aspx?STONELIST=926941119&amp;ISCONFIRM=0" xr:uid="{317DF897-1D52-4D7D-B322-FCF2A1EC23F4}"/>
    <hyperlink ref="C1312" r:id="rId1307" display="https://pld.live/RapDetail.aspx?STONELIST=941320144&amp;ISCONFIRM=0" xr:uid="{F97E384C-F5DC-496A-BF01-B5B255685849}"/>
    <hyperlink ref="C1313" r:id="rId1308" display="https://pld.live/RapDetail.aspx?STONELIST=941040190&amp;ISCONFIRM=0" xr:uid="{7224683C-147F-4146-BA18-C048D61EB809}"/>
    <hyperlink ref="C1314" r:id="rId1309" display="https://pld.live/RapDetail.aspx?STONELIST=927051496&amp;ISCONFIRM=0" xr:uid="{78F2184A-57B2-46AA-8AA1-5BE04B27F8B6}"/>
    <hyperlink ref="C1315" r:id="rId1310" display="https://pld.live/RapDetail.aspx?STONELIST=941070974&amp;ISCONFIRM=0" xr:uid="{17FB2DE3-A167-4DD9-948F-4C90783327F2}"/>
    <hyperlink ref="C1316" r:id="rId1311" display="https://pld.live/RapDetail.aspx?STONELIST=926941094&amp;ISCONFIRM=0" xr:uid="{EB5C2837-0E8D-460C-A63E-0F784C7C2C06}"/>
    <hyperlink ref="C1317" r:id="rId1312" display="https://pld.live/RapDetail.aspx?STONELIST=927051767&amp;ISCONFIRM=0" xr:uid="{2CC092FD-1D39-4EA2-84B9-4A4C8D2B7E1B}"/>
    <hyperlink ref="C1318" r:id="rId1313" display="https://pld.live/RapDetail.aspx?STONELIST=926291525&amp;ISCONFIRM=0" xr:uid="{2CF4A512-8ED0-4023-9C12-1A8CB18F1882}"/>
    <hyperlink ref="C1319" r:id="rId1314" display="https://pld.live/RapDetail.aspx?STONELIST=941021007&amp;ISCONFIRM=0" xr:uid="{902D8A0E-0F24-41C0-A7C4-8AF04DE56C0D}"/>
    <hyperlink ref="C1320" r:id="rId1315" display="https://pld.live/RapDetail.aspx?STONELIST=941020685&amp;ISCONFIRM=0" xr:uid="{046D8A0A-D3BE-474C-AE0F-B80519E9B75A}"/>
    <hyperlink ref="C1321" r:id="rId1316" display="https://pld.live/RapDetail.aspx?STONELIST=926111378&amp;ISCONFIRM=0" xr:uid="{A530BCFD-07E8-415A-ABE6-2F83CA01EA7F}"/>
    <hyperlink ref="C1322" r:id="rId1317" display="https://pld.live/RapDetail.aspx?STONELIST=941350948&amp;ISCONFIRM=0" xr:uid="{E323C648-AD2F-434E-9014-A9077F5928A5}"/>
    <hyperlink ref="C1323" r:id="rId1318" display="https://pld.live/RapDetail.aspx?STONELIST=941320778&amp;ISCONFIRM=0" xr:uid="{BACF274B-0629-47C3-976F-A61BCC8862D6}"/>
    <hyperlink ref="C1324" r:id="rId1319" display="https://pld.live/RapDetail.aspx?STONELIST=941280066&amp;ISCONFIRM=0" xr:uid="{176BE93A-30EE-4351-BE3E-1897837A3B37}"/>
    <hyperlink ref="C1325" r:id="rId1320" display="https://pld.live/RapDetail.aspx?STONELIST=926941134&amp;ISCONFIRM=0" xr:uid="{FF238FDB-B42F-4011-A783-0FE2B0340E9C}"/>
    <hyperlink ref="C1326" r:id="rId1321" display="https://pld.live/RapDetail.aspx?STONELIST=941400294&amp;ISCONFIRM=0" xr:uid="{9C30FCBC-C944-463D-9DA8-AA9A5E8A97F3}"/>
    <hyperlink ref="C1327" r:id="rId1322" display="https://pld.live/RapDetail.aspx?STONELIST=941320611&amp;ISCONFIRM=0" xr:uid="{60E280B4-94A8-45D3-B48F-6CABA2F8DF5F}"/>
    <hyperlink ref="C1328" r:id="rId1323" display="https://pld.live/RapDetail.aspx?STONELIST=821125818&amp;ISCONFIRM=0" xr:uid="{ED19DAB8-F4F6-45DE-AB93-143A19B3F8C4}"/>
    <hyperlink ref="C1329" r:id="rId1324" display="https://pld.live/RapDetail.aspx?STONELIST=924900111&amp;ISCONFIRM=0" xr:uid="{C6805414-E9C8-4E85-BA3D-049D1C978793}"/>
    <hyperlink ref="C1330" r:id="rId1325" display="https://pld.live/RapDetail.aspx?STONELIST=925870454&amp;ISCONFIRM=0" xr:uid="{90751E1A-AD46-4026-9B07-8A325D67491C}"/>
    <hyperlink ref="C1331" r:id="rId1326" display="https://pld.live/RapDetail.aspx?STONELIST=941260868&amp;ISCONFIRM=0" xr:uid="{4919BB4F-5548-45AB-B5C9-A15FBF7755E8}"/>
    <hyperlink ref="C1332" r:id="rId1327" display="https://pld.live/RapDetail.aspx?STONELIST=927101062&amp;ISCONFIRM=0" xr:uid="{97F7CD78-9A9C-4C39-80DB-EB2FBC4E425A}"/>
    <hyperlink ref="C1333" r:id="rId1328" display="https://pld.live/RapDetail.aspx?STONELIST=925090817&amp;ISCONFIRM=0" xr:uid="{2C8D590E-EDE5-4303-850A-580129CCE611}"/>
    <hyperlink ref="C1334" r:id="rId1329" display="https://pld.live/RapDetail.aspx?STONELIST=926211283&amp;ISCONFIRM=0" xr:uid="{B26DF382-3766-4ACC-8BBD-BF43FAC390B6}"/>
    <hyperlink ref="C1335" r:id="rId1330" display="https://pld.live/RapDetail.aspx?STONELIST=941320407&amp;ISCONFIRM=0" xr:uid="{4F4645D1-A3C7-4B00-8241-F6F2DF855F71}"/>
    <hyperlink ref="C1336" r:id="rId1331" display="https://pld.live/RapDetail.aspx?STONELIST=926250521&amp;ISCONFIRM=0" xr:uid="{98B6D8E6-BAC8-4E97-B0CC-6C23974A3A1D}"/>
    <hyperlink ref="C1337" r:id="rId1332" display="https://pld.live/RapDetail.aspx?STONELIST=941170032&amp;ISCONFIRM=0" xr:uid="{DC3B4B41-3750-4533-B5ED-7148ADAADA4B}"/>
    <hyperlink ref="C1338" r:id="rId1333" display="https://pld.live/RapDetail.aspx?STONELIST=941260869&amp;ISCONFIRM=0" xr:uid="{9601D7C6-E169-418C-91A1-B48AFA972EE2}"/>
    <hyperlink ref="C1339" r:id="rId1334" display="https://pld.live/RapDetail.aspx?STONELIST=941260876&amp;ISCONFIRM=0" xr:uid="{3E4B3A63-7F49-4A2E-A96F-36B746CDAADB}"/>
    <hyperlink ref="C1340" r:id="rId1335" display="https://pld.live/RapDetail.aspx?STONELIST=941330321&amp;ISCONFIRM=0" xr:uid="{FEAF10B7-CDBA-4232-B92B-5158806C59AD}"/>
    <hyperlink ref="C1341" r:id="rId1336" display="https://pld.live/RapDetail.aspx?STONELIST=925280168&amp;ISCONFIRM=0" xr:uid="{E41159A3-FB00-4490-9B7C-B47A8817B16D}"/>
    <hyperlink ref="C1342" r:id="rId1337" display="https://pld.live/RapDetail.aspx?STONELIST=941360374&amp;ISCONFIRM=0" xr:uid="{CB929C52-EA85-41A6-8125-5AEC4AC7D6D6}"/>
    <hyperlink ref="C1343" r:id="rId1338" display="https://pld.live/RapDetail.aspx?STONELIST=941360462&amp;ISCONFIRM=0" xr:uid="{A7B3AEEE-B597-4E27-AD1E-F92EAD6F3E27}"/>
    <hyperlink ref="C1344" r:id="rId1339" display="https://pld.live/RapDetail.aspx?STONELIST=941260965&amp;ISCONFIRM=0" xr:uid="{2F5D5A08-4524-415A-A587-D8E29BDACDC9}"/>
    <hyperlink ref="C1345" r:id="rId1340" display="https://pld.live/RapDetail.aspx?STONELIST=925750525&amp;ISCONFIRM=0" xr:uid="{A1DB4B98-E94E-471D-A4A5-00F843DB1951}"/>
    <hyperlink ref="C1346" r:id="rId1341" display="https://pld.live/RapDetail.aspx?STONELIST=941320540&amp;ISCONFIRM=0" xr:uid="{F7732152-F28E-4926-B102-1EA4F74A26F7}"/>
    <hyperlink ref="C1347" r:id="rId1342" display="https://pld.live/RapDetail.aspx?STONELIST=926311366&amp;ISCONFIRM=0" xr:uid="{57825659-F254-4AC4-834E-BAA028E07900}"/>
    <hyperlink ref="C1348" r:id="rId1343" display="https://pld.live/RapDetail.aspx?STONELIST=941080560&amp;ISCONFIRM=0" xr:uid="{37985B6A-0C4C-4B52-A0D0-E09C8F97577E}"/>
    <hyperlink ref="C1349" r:id="rId1344" display="https://pld.live/RapDetail.aspx?STONELIST=926111364&amp;ISCONFIRM=0" xr:uid="{1AB327E7-A94A-4F30-8206-8612A5969969}"/>
    <hyperlink ref="C1350" r:id="rId1345" display="https://pld.live/RapDetail.aspx?STONELIST=926460752&amp;ISCONFIRM=0" xr:uid="{AB254ADF-238D-49E1-AAB1-9547E5BD0556}"/>
    <hyperlink ref="C1351" r:id="rId1346" display="https://pld.live/RapDetail.aspx?STONELIST=926311380&amp;ISCONFIRM=0" xr:uid="{9CDDE445-F728-437A-81B9-D810A3D0355F}"/>
    <hyperlink ref="C1352" r:id="rId1347" display="https://pld.live/RapDetail.aspx?STONELIST=926731221&amp;ISCONFIRM=0" xr:uid="{F1885CD3-CD5A-4A0F-82FA-D02F005D483F}"/>
    <hyperlink ref="C1353" r:id="rId1348" display="https://pld.live/RapDetail.aspx?STONELIST=926211170&amp;ISCONFIRM=0" xr:uid="{60531715-E0EE-43B4-A7E4-77949DFFDAE2}"/>
    <hyperlink ref="C1354" r:id="rId1349" display="https://pld.live/RapDetail.aspx?STONELIST=925790842&amp;ISCONFIRM=0" xr:uid="{1478BD4C-1CD1-4499-9BE0-DDCC3EC23C03}"/>
    <hyperlink ref="C1355" r:id="rId1350" display="https://pld.live/RapDetail.aspx?STONELIST=926221294&amp;ISCONFIRM=0" xr:uid="{7CF67F72-C48C-4B08-87E2-89210890D721}"/>
    <hyperlink ref="C1356" r:id="rId1351" display="https://pld.live/RapDetail.aspx?STONELIST=926250562&amp;ISCONFIRM=0" xr:uid="{3DFD5364-FA6C-46BC-B154-DAE15313D8F5}"/>
    <hyperlink ref="C1357" r:id="rId1352" display="https://pld.live/RapDetail.aspx?STONELIST=926211186&amp;ISCONFIRM=0" xr:uid="{4E97A20F-735D-4EDB-92A1-06538969AB37}"/>
    <hyperlink ref="C1358" r:id="rId1353" display="https://pld.live/RapDetail.aspx?STONELIST=926250583&amp;ISCONFIRM=0" xr:uid="{FDF7351E-C28A-40CB-82FD-63AA41EEB55E}"/>
    <hyperlink ref="C1359" r:id="rId1354" display="https://pld.live/RapDetail.aspx?STONELIST=926270895&amp;ISCONFIRM=0" xr:uid="{90BBA31C-4E80-407D-89A3-DBAB717F8882}"/>
    <hyperlink ref="C1360" r:id="rId1355" display="https://pld.live/RapDetail.aspx?STONELIST=925750403&amp;ISCONFIRM=0" xr:uid="{B0C3FE3C-3B12-4E9D-8A56-43C638E7F594}"/>
    <hyperlink ref="C1361" r:id="rId1356" display="https://pld.live/RapDetail.aspx?STONELIST=926221367&amp;ISCONFIRM=0" xr:uid="{D11C8E4F-E554-4789-B6F9-8C83897FFF12}"/>
    <hyperlink ref="C1362" r:id="rId1357" display="https://pld.live/RapDetail.aspx?STONELIST=926250621&amp;ISCONFIRM=0" xr:uid="{35800ECA-8DB6-478F-882D-F41D1D1FC07A}"/>
    <hyperlink ref="C1363" r:id="rId1358" display="https://pld.live/RapDetail.aspx?STONELIST=926221315&amp;ISCONFIRM=0" xr:uid="{3ADA2819-5358-4A8F-B512-3F9BB129007C}"/>
    <hyperlink ref="C1364" r:id="rId1359" display="https://pld.live/RapDetail.aspx?STONELIST=926221327&amp;ISCONFIRM=0" xr:uid="{DBAAC1AE-285C-45CE-ACA9-B0C7A2076CEC}"/>
    <hyperlink ref="C1365" r:id="rId1360" display="https://pld.live/RapDetail.aspx?STONELIST=925790943&amp;ISCONFIRM=0" xr:uid="{0757C369-FAF8-4399-B80C-FB635F525C5C}"/>
    <hyperlink ref="C1366" r:id="rId1361" display="https://pld.live/RapDetail.aspx?STONELIST=925870279&amp;ISCONFIRM=0" xr:uid="{F29A17A8-ECB6-4A90-BC60-A676DE559EEA}"/>
    <hyperlink ref="C1367" r:id="rId1362" display="https://pld.live/RapDetail.aspx?STONELIST=926250569&amp;ISCONFIRM=0" xr:uid="{24597195-BF85-4A7C-B10A-FA729AE3855D}"/>
    <hyperlink ref="C1368" r:id="rId1363" display="https://pld.live/RapDetail.aspx?STONELIST=926211105&amp;ISCONFIRM=0" xr:uid="{CF3750FC-D032-4751-873C-B1F63B59C110}"/>
    <hyperlink ref="C1369" r:id="rId1364" display="https://pld.live/RapDetail.aspx?STONELIST=821124704&amp;ISCONFIRM=0" xr:uid="{EA5BBADE-8951-41EC-9AC2-B6A84AAEB378}"/>
    <hyperlink ref="C1370" r:id="rId1365" display="https://pld.live/RapDetail.aspx?STONELIST=926311228&amp;ISCONFIRM=0" xr:uid="{26C1F25F-06D4-4812-9977-F549AA96247C}"/>
    <hyperlink ref="C1371" r:id="rId1366" display="https://pld.live/RapDetail.aspx?STONELIST=925790513&amp;ISCONFIRM=0" xr:uid="{C8A4335C-9CE1-437C-AE90-C77E0371BF28}"/>
    <hyperlink ref="C1372" r:id="rId1367" display="https://pld.live/RapDetail.aspx?STONELIST=926221357&amp;ISCONFIRM=0" xr:uid="{7BA6F003-B61D-474F-9EF7-EE0DAC29E216}"/>
    <hyperlink ref="C1373" r:id="rId1368" display="https://pld.live/RapDetail.aspx?STONELIST=925750584&amp;ISCONFIRM=0" xr:uid="{C2363504-675B-4DB9-8591-3A14DD25FF5A}"/>
    <hyperlink ref="C1374" r:id="rId1369" display="https://pld.live/RapDetail.aspx?STONELIST=925220043&amp;ISCONFIRM=0" xr:uid="{29C94790-3206-4F57-AF08-02A5E63DD6E6}"/>
    <hyperlink ref="C1375" r:id="rId1370" display="https://pld.live/RapDetail.aspx?STONELIST=925790395&amp;ISCONFIRM=0" xr:uid="{F0173640-BAC2-44EE-95F1-A303BD763D24}"/>
    <hyperlink ref="C1376" r:id="rId1371" display="https://pld.live/RapDetail.aspx?STONELIST=926311270&amp;ISCONFIRM=0" xr:uid="{6DA2A28A-1CFC-4538-8BBC-BD046AB576E8}"/>
    <hyperlink ref="C1377" r:id="rId1372" display="https://pld.live/RapDetail.aspx?STONELIST=926221278&amp;ISCONFIRM=0" xr:uid="{C93C3560-1EBA-412F-9B87-EC8DA52F1A0C}"/>
    <hyperlink ref="C1378" r:id="rId1373" display="https://pld.live/RapDetail.aspx?STONELIST=926221374&amp;ISCONFIRM=0" xr:uid="{B418CB21-4494-4BAA-AF6C-66FFDFF3F040}"/>
    <hyperlink ref="C1379" r:id="rId1374" display="https://pld.live/RapDetail.aspx?STONELIST=926311203&amp;ISCONFIRM=0" xr:uid="{5213F139-62D8-4575-96D7-DDC3F5E08BBC}"/>
    <hyperlink ref="C1380" r:id="rId1375" display="https://pld.live/RapDetail.aspx?STONELIST=926311295&amp;ISCONFIRM=0" xr:uid="{066836F0-3096-47E2-96ED-900BD4170DEA}"/>
    <hyperlink ref="C1381" r:id="rId1376" display="https://pld.live/RapDetail.aspx?STONELIST=926311240&amp;ISCONFIRM=0" xr:uid="{B243AAE0-A3EF-4A73-9673-697172EFAED5}"/>
    <hyperlink ref="C1382" r:id="rId1377" display="https://pld.live/RapDetail.aspx?STONELIST=926250659&amp;ISCONFIRM=0" xr:uid="{E5547701-6BFC-4026-A280-DF8A2E072AD8}"/>
    <hyperlink ref="C1383" r:id="rId1378" display="https://pld.live/RapDetail.aspx?STONELIST=926331720&amp;ISCONFIRM=0" xr:uid="{122FCDB3-501C-49FD-9D4E-823588342CDD}"/>
    <hyperlink ref="C1384" r:id="rId1379" display="https://pld.live/RapDetail.aspx?STONELIST=926331684&amp;ISCONFIRM=0" xr:uid="{B1830A70-1E44-48DB-951F-E773EB48ED87}"/>
    <hyperlink ref="C1385" r:id="rId1380" display="https://pld.live/RapDetail.aspx?STONELIST=926111365&amp;ISCONFIRM=0" xr:uid="{1FB3AAC8-DA93-48C1-88BA-F944B9E1E30B}"/>
    <hyperlink ref="C1386" r:id="rId1381" display="https://pld.live/RapDetail.aspx?STONELIST=926460677&amp;ISCONFIRM=0" xr:uid="{08C35C16-6727-4647-96D4-5A4FB0DB109F}"/>
    <hyperlink ref="C1387" r:id="rId1382" display="https://pld.live/RapDetail.aspx?STONELIST=925791086&amp;ISCONFIRM=0" xr:uid="{C1796C5F-0BF4-4422-8679-AC67C1961CE6}"/>
    <hyperlink ref="C1388" r:id="rId1383" display="https://pld.live/RapDetail.aspx?STONELIST=926690928&amp;ISCONFIRM=0" xr:uid="{A9CEEAAE-F465-40EC-9D86-A1754E951DD1}"/>
    <hyperlink ref="C1389" r:id="rId1384" display="https://pld.live/RapDetail.aspx?STONELIST=926270904&amp;ISCONFIRM=0" xr:uid="{11765DC5-0011-4C58-B702-9125DEBF9F1E}"/>
    <hyperlink ref="C1390" r:id="rId1385" display="https://pld.live/RapDetail.aspx?STONELIST=926221247&amp;ISCONFIRM=0" xr:uid="{A6E98423-7D26-4906-88BA-BCC47560DE37}"/>
    <hyperlink ref="C1391" r:id="rId1386" display="https://pld.live/RapDetail.aspx?STONELIST=925760391&amp;ISCONFIRM=0" xr:uid="{62CB2568-F92E-4ADB-9A09-2B9BDE0E89A5}"/>
    <hyperlink ref="C1392" r:id="rId1387" display="https://pld.live/RapDetail.aspx?STONELIST=926280761&amp;ISCONFIRM=0" xr:uid="{97060DE8-2BEF-414D-A884-2B3F2F1F32E4}"/>
    <hyperlink ref="C1393" r:id="rId1388" display="https://pld.live/RapDetail.aspx?STONELIST=926250544&amp;ISCONFIRM=0" xr:uid="{E4921EA5-C9A0-41E7-BA99-13B4471339E1}"/>
    <hyperlink ref="C1394" r:id="rId1389" display="https://pld.live/RapDetail.aspx?STONELIST=926221230&amp;ISCONFIRM=0" xr:uid="{3370B5A7-C9BD-4A89-8AC5-81675C700E29}"/>
    <hyperlink ref="C1395" r:id="rId1390" display="https://pld.live/RapDetail.aspx?STONELIST=926221407&amp;ISCONFIRM=0" xr:uid="{AF35E4DA-8779-49CA-8AFB-3CCAB5F09B9B}"/>
    <hyperlink ref="C1396" r:id="rId1391" display="https://pld.live/RapDetail.aspx?STONELIST=926250612&amp;ISCONFIRM=0" xr:uid="{959BC5B4-04D0-493F-AD21-1B6A1C1BCC06}"/>
    <hyperlink ref="C1397" r:id="rId1392" display="https://pld.live/RapDetail.aspx?STONELIST=926311298&amp;ISCONFIRM=0" xr:uid="{9B6B8041-2AB9-4934-BFC4-CE8B362CF2E0}"/>
    <hyperlink ref="C1398" r:id="rId1393" display="https://pld.live/RapDetail.aspx?STONELIST=926311303&amp;ISCONFIRM=0" xr:uid="{D22CE2B6-2E34-4EBB-B0B4-96190F0D60AF}"/>
    <hyperlink ref="C1399" r:id="rId1394" display="https://pld.live/RapDetail.aspx?STONELIST=941071220&amp;ISCONFIRM=0" xr:uid="{737D5F55-4B24-4535-8446-CCFF073D47B1}"/>
    <hyperlink ref="C1400" r:id="rId1395" display="https://pld.live/RapDetail.aspx?STONELIST=926211200&amp;ISCONFIRM=0" xr:uid="{4CCF8244-5FB8-49A9-8A28-B8102DAC1773}"/>
    <hyperlink ref="C1401" r:id="rId1396" display="https://pld.live/RapDetail.aspx?STONELIST=926221206&amp;ISCONFIRM=0" xr:uid="{C0966C46-884A-4372-828B-AD23150C6BBD}"/>
    <hyperlink ref="C1402" r:id="rId1397" display="https://pld.live/RapDetail.aspx?STONELIST=926221334&amp;ISCONFIRM=0" xr:uid="{E457D75B-ACD8-482B-80E8-0032B9425841}"/>
    <hyperlink ref="C1403" r:id="rId1398" display="https://pld.live/RapDetail.aspx?STONELIST=925790576&amp;ISCONFIRM=0" xr:uid="{CF225D99-4B5E-444B-BB2B-D135F5DF8074}"/>
    <hyperlink ref="C1404" r:id="rId1399" display="https://pld.live/RapDetail.aspx?STONELIST=821124705&amp;ISCONFIRM=0" xr:uid="{5F78935A-5C1C-44DA-BBC7-1C1585BC00A5}"/>
    <hyperlink ref="C1405" r:id="rId1400" display="https://pld.live/RapDetail.aspx?STONELIST=926250606&amp;ISCONFIRM=0" xr:uid="{E1C05D2B-6A9F-43BE-B06E-764CF32EF561}"/>
    <hyperlink ref="C1406" r:id="rId1401" display="https://pld.live/RapDetail.aspx?STONELIST=821124670&amp;ISCONFIRM=0" xr:uid="{F5D8D08B-2A49-4347-8028-C0FE78D6DF5E}"/>
    <hyperlink ref="C1407" r:id="rId1402" display="https://pld.live/RapDetail.aspx?STONELIST=926221370&amp;ISCONFIRM=0" xr:uid="{84573310-0706-4C27-A5B7-2436086BBCC9}"/>
    <hyperlink ref="C1408" r:id="rId1403" display="https://pld.live/RapDetail.aspx?STONELIST=821125843&amp;ISCONFIRM=0" xr:uid="{AC94E0FF-D78C-4BCF-9232-7CF9C2ABF505}"/>
    <hyperlink ref="C1409" r:id="rId1404" display="https://pld.live/RapDetail.aspx?STONELIST=926221202&amp;ISCONFIRM=0" xr:uid="{62193EB3-4B69-44D5-BD08-6BFA9E57BC7F}"/>
    <hyperlink ref="C1410" r:id="rId1405" display="https://pld.live/RapDetail.aspx?STONELIST=926221218&amp;ISCONFIRM=0" xr:uid="{6353B106-36B9-4AB8-B910-9A2FD639E8F2}"/>
    <hyperlink ref="C1411" r:id="rId1406" display="https://pld.live/RapDetail.aspx?STONELIST=926250493&amp;ISCONFIRM=0" xr:uid="{121039FE-C236-451B-85ED-1827BAE9BFF9}"/>
    <hyperlink ref="C1412" r:id="rId1407" display="https://pld.live/RapDetail.aspx?STONELIST=927132401&amp;ISCONFIRM=0" xr:uid="{4AF0EEE1-0926-4723-8737-92F50FF88FE8}"/>
    <hyperlink ref="C1413" r:id="rId1408" display="https://pld.live/RapDetail.aspx?STONELIST=926331722&amp;ISCONFIRM=0" xr:uid="{9F4A7532-2EA5-4B31-8270-655A29E15EAC}"/>
    <hyperlink ref="C1414" r:id="rId1409" display="https://pld.live/RapDetail.aspx?STONELIST=926331691&amp;ISCONFIRM=0" xr:uid="{2C592E37-690A-4B50-B5A7-FAD293486765}"/>
    <hyperlink ref="C1415" r:id="rId1410" display="https://pld.live/RapDetail.aspx?STONELIST=926311261&amp;ISCONFIRM=0" xr:uid="{11DE176B-3DD8-4CBB-A555-40E954B9A510}"/>
    <hyperlink ref="C1416" r:id="rId1411" display="https://pld.live/RapDetail.aspx?STONELIST=927130727&amp;ISCONFIRM=0" xr:uid="{14559F13-6CA7-46E1-81F8-545A0F97EC39}"/>
    <hyperlink ref="C1417" r:id="rId1412" display="https://pld.live/RapDetail.aspx?STONELIST=831010730&amp;ISCONFIRM=0" xr:uid="{C091A75B-2110-4F21-A181-0333CB43D1F8}"/>
    <hyperlink ref="C1418" r:id="rId1413" display="https://pld.live/RapDetail.aspx?STONELIST=926250507&amp;ISCONFIRM=0" xr:uid="{40688371-F09E-4C9A-84A7-0CB7B2C0B6FF}"/>
    <hyperlink ref="C1419" r:id="rId1414" display="https://pld.live/RapDetail.aspx?STONELIST=926280745&amp;ISCONFIRM=0" xr:uid="{D72D3A23-DDDB-4167-9ED7-A10CBE8C18B0}"/>
    <hyperlink ref="C1420" r:id="rId1415" display="https://pld.live/RapDetail.aspx?STONELIST=926311293&amp;ISCONFIRM=0" xr:uid="{2609FEFD-600F-499E-AAEC-C2206BBF4E86}"/>
    <hyperlink ref="C1421" r:id="rId1416" display="https://pld.live/RapDetail.aspx?STONELIST=926221226&amp;ISCONFIRM=0" xr:uid="{4744E46C-712E-4F17-A1E6-9DC9904DA2F3}"/>
    <hyperlink ref="C1422" r:id="rId1417" display="https://pld.live/RapDetail.aspx?STONELIST=926221224&amp;ISCONFIRM=0" xr:uid="{AAC94D4B-E0C1-490B-A356-81484C6EA3D5}"/>
    <hyperlink ref="C1423" r:id="rId1418" display="https://pld.live/RapDetail.aspx?STONELIST=925850820&amp;ISCONFIRM=0" xr:uid="{4D41D1D7-88CE-4CD2-A671-813E093116A6}"/>
    <hyperlink ref="C1424" r:id="rId1419" display="https://pld.live/RapDetail.aspx?STONELIST=925791202&amp;ISCONFIRM=0" xr:uid="{E7ECFC38-24ED-48AA-A565-E46F86EC92BF}"/>
    <hyperlink ref="C1425" r:id="rId1420" display="https://pld.live/RapDetail.aspx?STONELIST=926221380&amp;ISCONFIRM=0" xr:uid="{F39488C0-DCE3-4856-A0F8-E59E50DCA3CB}"/>
    <hyperlink ref="C1426" r:id="rId1421" display="https://pld.live/RapDetail.aspx?STONELIST=926211238&amp;ISCONFIRM=0" xr:uid="{CB20629D-1A71-4689-9B66-441758603B0D}"/>
    <hyperlink ref="C1427" r:id="rId1422" display="https://pld.live/RapDetail.aspx?STONELIST=926221205&amp;ISCONFIRM=0" xr:uid="{4E9ADF50-CF9F-4E7E-8F0D-598C129B6ED8}"/>
    <hyperlink ref="C1428" r:id="rId1423" display="https://pld.live/RapDetail.aspx?STONELIST=926311301&amp;ISCONFIRM=0" xr:uid="{E549F93F-5E2E-4D67-9D8B-2CAACF4B8882}"/>
    <hyperlink ref="C1429" r:id="rId1424" display="https://pld.live/RapDetail.aspx?STONELIST=941060398&amp;ISCONFIRM=0" xr:uid="{1BEAD814-3962-4E75-B28B-3995B55AF176}"/>
    <hyperlink ref="C1430" r:id="rId1425" display="https://pld.live/RapDetail.aspx?STONELIST=926270869&amp;ISCONFIRM=0" xr:uid="{E8E49C16-2521-4BD7-8E90-DF99D2DC8CC6}"/>
    <hyperlink ref="C1431" r:id="rId1426" display="https://pld.live/RapDetail.aspx?STONELIST=926221397&amp;ISCONFIRM=0" xr:uid="{A781E831-6451-44C7-BF1F-7A04B3EE028A}"/>
    <hyperlink ref="C1432" r:id="rId1427" display="https://pld.live/RapDetail.aspx?STONELIST=926440776&amp;ISCONFIRM=0" xr:uid="{98A22D1F-A440-4E5E-B00C-06ED9F3E0330}"/>
    <hyperlink ref="C1433" r:id="rId1428" display="https://pld.live/RapDetail.aspx?STONELIST=926311255&amp;ISCONFIRM=0" xr:uid="{0B212B74-EB2A-48C3-8529-C63AF47FE072}"/>
    <hyperlink ref="C1434" r:id="rId1429" display="https://pld.live/RapDetail.aspx?STONELIST=926270883&amp;ISCONFIRM=0" xr:uid="{280D2161-6A56-4F70-99E6-8C96FA90CEB7}"/>
    <hyperlink ref="C1435" r:id="rId1430" display="https://pld.live/RapDetail.aspx?STONELIST=927120009&amp;ISCONFIRM=0" xr:uid="{11332DC0-0FF1-41D9-AB47-719C4DA89E1D}"/>
    <hyperlink ref="C1436" r:id="rId1431" display="https://pld.live/RapDetail.aspx?STONELIST=926221277&amp;ISCONFIRM=0" xr:uid="{3F10CC9C-6D07-4A99-8C35-BDEAC8C36A6A}"/>
    <hyperlink ref="C1437" r:id="rId1432" display="https://pld.live/RapDetail.aspx?STONELIST=926311305&amp;ISCONFIRM=0" xr:uid="{282A9D5C-3991-4465-A3B0-B3753884936C}"/>
    <hyperlink ref="C1438" r:id="rId1433" display="https://pld.live/RapDetail.aspx?STONELIST=926270880&amp;ISCONFIRM=0" xr:uid="{528651D6-7037-43F6-B853-DFAD0CF9D1B0}"/>
    <hyperlink ref="C1439" r:id="rId1434" display="https://pld.live/RapDetail.aspx?STONELIST=926250593&amp;ISCONFIRM=0" xr:uid="{BCD862C4-4206-4511-8F06-B0588B0B301A}"/>
    <hyperlink ref="C1440" r:id="rId1435" display="https://pld.live/RapDetail.aspx?STONELIST=925900560&amp;ISCONFIRM=0" xr:uid="{1F7D61BF-0944-4B64-8A7A-0C300AD6555A}"/>
    <hyperlink ref="C1441" r:id="rId1436" display="https://pld.live/RapDetail.aspx?STONELIST=925790609&amp;ISCONFIRM=0" xr:uid="{0E1EF8F5-CD5B-4F8A-805D-B865DA5011DA}"/>
    <hyperlink ref="C1442" r:id="rId1437" display="https://pld.live/RapDetail.aspx?STONELIST=925870474&amp;ISCONFIRM=0" xr:uid="{A3C75E99-04FD-4F68-83FF-DB5C989AF69D}"/>
    <hyperlink ref="C1443" r:id="rId1438" display="https://pld.live/RapDetail.aspx?STONELIST=925850861&amp;ISCONFIRM=0" xr:uid="{ED5D934F-1673-43AC-B66C-F8A9E720B75C}"/>
    <hyperlink ref="C1444" r:id="rId1439" display="https://pld.live/RapDetail.aspx?STONELIST=925900486&amp;ISCONFIRM=0" xr:uid="{084809C4-D975-46D5-9F45-E272B5F73BA7}"/>
    <hyperlink ref="C1445" r:id="rId1440" display="https://pld.live/RapDetail.aspx?STONELIST=925900367&amp;ISCONFIRM=0" xr:uid="{926FF45B-2E6E-4EDD-9B82-68D13AE159CE}"/>
    <hyperlink ref="C1446" r:id="rId1441" display="https://pld.live/RapDetail.aspx?STONELIST=925790858&amp;ISCONFIRM=0" xr:uid="{EE5CE5A5-B991-410E-9E06-436C5ADED784}"/>
    <hyperlink ref="C1447" r:id="rId1442" display="https://pld.live/RapDetail.aspx?STONELIST=926671084&amp;ISCONFIRM=0" xr:uid="{CBBF52A9-0A15-4B84-8B71-47E70F3EF762}"/>
    <hyperlink ref="C1448" r:id="rId1443" display="https://pld.live/RapDetail.aspx?STONELIST=925791292&amp;ISCONFIRM=0" xr:uid="{5F80FBD5-3375-4C1C-9064-A271C1A18BD4}"/>
    <hyperlink ref="C1449" r:id="rId1444" display="https://pld.live/RapDetail.aspx?STONELIST=925791212&amp;ISCONFIRM=0" xr:uid="{605D8364-E09E-4E83-AC44-1A06069C17C8}"/>
    <hyperlink ref="C1450" r:id="rId1445" display="https://pld.live/RapDetail.aspx?STONELIST=925790976&amp;ISCONFIRM=0" xr:uid="{7749F883-E221-4A76-A505-186BDDFA6EF6}"/>
    <hyperlink ref="C1451" r:id="rId1446" display="https://pld.live/RapDetail.aspx?STONELIST=821125859&amp;ISCONFIRM=0" xr:uid="{30BA054B-F27B-4D47-92FB-0D7FFE415AF7}"/>
    <hyperlink ref="C1452" r:id="rId1447" display="https://pld.live/RapDetail.aspx?STONELIST=926731250&amp;ISCONFIRM=0" xr:uid="{7C11C57E-BECD-41A4-9BD5-501D3FFF9F6A}"/>
    <hyperlink ref="C1453" r:id="rId1448" display="https://pld.live/RapDetail.aspx?STONELIST=926250577&amp;ISCONFIRM=0" xr:uid="{AAC0B791-0205-4310-BEC3-DFD7E7A706E4}"/>
    <hyperlink ref="C1454" r:id="rId1449" display="https://pld.live/RapDetail.aspx?STONELIST=926250551&amp;ISCONFIRM=0" xr:uid="{C611A7CF-5336-45C1-B25B-542C7A43E588}"/>
    <hyperlink ref="C1455" r:id="rId1450" display="https://pld.live/RapDetail.aspx?STONELIST=926211072&amp;ISCONFIRM=0" xr:uid="{241A8D20-A29D-4EE0-BEDF-B8B9F7764C6B}"/>
    <hyperlink ref="C1456" r:id="rId1451" display="https://pld.live/RapDetail.aspx?STONELIST=926250648&amp;ISCONFIRM=0" xr:uid="{C8FFA89C-80CD-4B5A-819E-B2BA92C1548D}"/>
    <hyperlink ref="C1457" r:id="rId1452" display="https://pld.live/RapDetail.aspx?STONELIST=926211134&amp;ISCONFIRM=0" xr:uid="{6B9566C8-37E2-447D-A9F0-3C1A831900BC}"/>
    <hyperlink ref="C1458" r:id="rId1453" display="https://pld.live/RapDetail.aspx?STONELIST=926250543&amp;ISCONFIRM=0" xr:uid="{0B3E0797-DFF8-48B5-96B1-AF1CF3DE84A4}"/>
    <hyperlink ref="C1459" r:id="rId1454" display="https://pld.live/RapDetail.aspx?STONELIST=926221234&amp;ISCONFIRM=0" xr:uid="{1457F362-3665-482B-A181-1D19B1E9CA8D}"/>
    <hyperlink ref="C1460" r:id="rId1455" display="https://pld.live/RapDetail.aspx?STONELIST=926250595&amp;ISCONFIRM=0" xr:uid="{1472E45D-1456-483F-9DF7-E2D237BB79AF}"/>
    <hyperlink ref="C1461" r:id="rId1456" display="https://pld.live/RapDetail.aspx?STONELIST=926331738&amp;ISCONFIRM=0" xr:uid="{875F8953-A475-491C-9408-150BD3FEB986}"/>
    <hyperlink ref="C1462" r:id="rId1457" display="https://pld.live/RapDetail.aspx?STONELIST=925720738&amp;ISCONFIRM=0" xr:uid="{9F721EC3-6BF5-4984-979E-2EC2C0E50BF4}"/>
    <hyperlink ref="C1463" r:id="rId1458" display="https://pld.live/RapDetail.aspx?STONELIST=926221253&amp;ISCONFIRM=0" xr:uid="{F9A5A5AB-1992-4CC9-AD3A-35E05BFC96B0}"/>
    <hyperlink ref="C1464" r:id="rId1459" display="https://pld.live/RapDetail.aspx?STONELIST=926211196&amp;ISCONFIRM=0" xr:uid="{7302786C-4827-462A-9125-6D3A7C55537C}"/>
    <hyperlink ref="C1465" r:id="rId1460" display="https://pld.live/RapDetail.aspx?STONELIST=926211306&amp;ISCONFIRM=0" xr:uid="{DFF8491F-0D4C-4A95-87FB-2FDA51FB869A}"/>
    <hyperlink ref="C1466" r:id="rId1461" display="https://pld.live/RapDetail.aspx?STONELIST=926311328&amp;ISCONFIRM=0" xr:uid="{F70B7B1F-3E38-47E3-A39A-A9A3292E3743}"/>
    <hyperlink ref="C1467" r:id="rId1462" display="https://pld.live/RapDetail.aspx?STONELIST=925750603&amp;ISCONFIRM=0" xr:uid="{FDC8AC33-61EF-4F0B-9CE8-3BDAB3B9168E}"/>
    <hyperlink ref="C1468" r:id="rId1463" display="https://pld.live/RapDetail.aspx?STONELIST=926221347&amp;ISCONFIRM=0" xr:uid="{A3397E35-2B9C-4A82-AF72-649E244D9D5F}"/>
    <hyperlink ref="C1469" r:id="rId1464" display="https://pld.live/RapDetail.aspx?STONELIST=941060213&amp;ISCONFIRM=0" xr:uid="{93F44233-443A-4DAD-946E-33BB2F013E89}"/>
    <hyperlink ref="C1470" r:id="rId1465" display="https://pld.live/RapDetail.aspx?STONELIST=926221287&amp;ISCONFIRM=0" xr:uid="{6FA057B2-0595-44C3-82DC-BCE648F9073A}"/>
    <hyperlink ref="C1471" r:id="rId1466" display="https://pld.live/RapDetail.aspx?STONELIST=925790733&amp;ISCONFIRM=0" xr:uid="{95BA7CAB-84E8-43FE-B343-0640B7AFF9F3}"/>
    <hyperlink ref="C1472" r:id="rId1467" display="https://pld.live/RapDetail.aspx?STONELIST=925900547&amp;ISCONFIRM=0" xr:uid="{C7B9CEDC-6EDE-4B8B-838D-6EFD8632352D}"/>
    <hyperlink ref="C1473" r:id="rId1468" display="https://pld.live/RapDetail.aspx?STONELIST=925900540&amp;ISCONFIRM=0" xr:uid="{95220214-56EA-4D65-89C8-BB782999D5C5}"/>
    <hyperlink ref="C1474" r:id="rId1469" display="https://pld.live/RapDetail.aspx?STONELIST=925750404&amp;ISCONFIRM=0" xr:uid="{046A653A-AB1B-49C8-8D9E-D8E1D0E9731D}"/>
    <hyperlink ref="C1475" r:id="rId1470" display="https://pld.live/RapDetail.aspx?STONELIST=925791104&amp;ISCONFIRM=0" xr:uid="{75656E58-F48A-47A5-9EEC-48FE5C22ED91}"/>
    <hyperlink ref="C1476" r:id="rId1471" display="https://pld.live/RapDetail.aspx?STONELIST=926221436&amp;ISCONFIRM=0" xr:uid="{B70E2F46-8A5C-4F1A-AB7F-4C329D1D7BBF}"/>
    <hyperlink ref="C1477" r:id="rId1472" display="https://pld.live/RapDetail.aspx?STONELIST=926221412&amp;ISCONFIRM=0" xr:uid="{0165C383-3A28-4877-A14B-ABAA66588FF9}"/>
    <hyperlink ref="C1478" r:id="rId1473" display="https://pld.live/RapDetail.aspx?STONELIST=926221196&amp;ISCONFIRM=0" xr:uid="{3C554A57-802F-4EE4-9B9D-AEA3D1D7AAEE}"/>
    <hyperlink ref="C1479" r:id="rId1474" display="https://pld.live/RapDetail.aspx?STONELIST=926221288&amp;ISCONFIRM=0" xr:uid="{EBCF97CD-4EFD-485B-80A6-A1B5C268E375}"/>
    <hyperlink ref="C1480" r:id="rId1475" display="https://pld.live/RapDetail.aspx?STONELIST=926270899&amp;ISCONFIRM=0" xr:uid="{0E05C6B8-174B-4ABD-BDFE-5E56BDC45A23}"/>
    <hyperlink ref="C1481" r:id="rId1476" display="https://pld.live/RapDetail.aspx?STONELIST=926221194&amp;ISCONFIRM=0" xr:uid="{8C3FEF5D-E160-4E00-92D4-82331BFAA463}"/>
    <hyperlink ref="C1482" r:id="rId1477" display="https://pld.live/RapDetail.aspx?STONELIST=926221216&amp;ISCONFIRM=0" xr:uid="{62B34F39-9095-4ED8-978F-E8B382FB67A8}"/>
    <hyperlink ref="C1483" r:id="rId1478" display="https://pld.live/RapDetail.aspx?STONELIST=821124700&amp;ISCONFIRM=0" xr:uid="{399A751B-AA41-4169-9CBB-DC8672AF2824}"/>
    <hyperlink ref="C1484" r:id="rId1479" display="https://pld.live/RapDetail.aspx?STONELIST=821124663&amp;ISCONFIRM=0" xr:uid="{D58CC5F9-0E16-4B1A-82FC-79FE1F0AC31F}"/>
    <hyperlink ref="C1485" r:id="rId1480" display="https://pld.live/RapDetail.aspx?STONELIST=926221345&amp;ISCONFIRM=0" xr:uid="{008A63BA-A86A-475D-AFD2-E315DF9264AD}"/>
    <hyperlink ref="C1486" r:id="rId1481" display="https://pld.live/RapDetail.aspx?STONELIST=926211308&amp;ISCONFIRM=0" xr:uid="{F2E5CDA5-6F36-449E-BAC2-126920BAB528}"/>
    <hyperlink ref="C1487" r:id="rId1482" display="https://pld.live/RapDetail.aspx?STONELIST=926221446&amp;ISCONFIRM=0" xr:uid="{297282D1-46AF-489C-9EFE-7B72B511B0F0}"/>
    <hyperlink ref="C1488" r:id="rId1483" display="https://pld.live/RapDetail.aspx?STONELIST=926311383&amp;ISCONFIRM=0" xr:uid="{79DA0FD1-0A65-46C8-BD6D-9C6B7EFCED4D}"/>
    <hyperlink ref="C1489" r:id="rId1484" display="https://pld.live/RapDetail.aspx?STONELIST=941140204&amp;ISCONFIRM=0" xr:uid="{7CE8000D-3E3A-4472-A1E5-4CD714D58794}"/>
    <hyperlink ref="C1490" r:id="rId1485" display="https://pld.live/RapDetail.aspx?STONELIST=926331604&amp;ISCONFIRM=0" xr:uid="{B0D3A142-D238-4945-97DC-660B7CED3F5F}"/>
    <hyperlink ref="C1491" r:id="rId1486" display="https://pld.live/RapDetail.aspx?STONELIST=926311325&amp;ISCONFIRM=0" xr:uid="{B13C63F3-2DA3-4A9C-B2C5-A93D9E5127F5}"/>
    <hyperlink ref="C1492" r:id="rId1487" display="https://pld.live/RapDetail.aspx?STONELIST=926280631&amp;ISCONFIRM=0" xr:uid="{A8F6BA13-9FDA-49B2-A665-CF63EEC70265}"/>
    <hyperlink ref="C1493" r:id="rId1488" display="https://pld.live/RapDetail.aspx?STONELIST=926211076&amp;ISCONFIRM=0" xr:uid="{88D40386-07D7-42DF-B381-2048142E3F81}"/>
    <hyperlink ref="C1494" r:id="rId1489" display="https://pld.live/RapDetail.aspx?STONELIST=926221324&amp;ISCONFIRM=0" xr:uid="{D18806AC-62F2-4FEA-9CCD-5982B407AF26}"/>
    <hyperlink ref="C1495" r:id="rId1490" display="https://pld.live/RapDetail.aspx?STONELIST=926221214&amp;ISCONFIRM=0" xr:uid="{2866AC21-EE64-4092-8AF3-96BAA5480621}"/>
    <hyperlink ref="C1496" r:id="rId1491" display="https://pld.live/RapDetail.aspx?STONELIST=925900508&amp;ISCONFIRM=0" xr:uid="{44B98347-222E-45AA-A7E3-9BA6B59666F9}"/>
    <hyperlink ref="C1497" r:id="rId1492" display="https://pld.live/RapDetail.aspx?STONELIST=925790399&amp;ISCONFIRM=0" xr:uid="{109F5F09-D33B-4192-A0BE-1467D047CDEE}"/>
    <hyperlink ref="C1498" r:id="rId1493" display="https://pld.live/RapDetail.aspx?STONELIST=925840353&amp;ISCONFIRM=0" xr:uid="{7FDD604E-A577-43AC-8128-B819A27D36C6}"/>
    <hyperlink ref="C1499" r:id="rId1494" display="https://pld.live/RapDetail.aspx?STONELIST=925750639&amp;ISCONFIRM=0" xr:uid="{A1E37A01-108E-45B6-B30B-8E5C77CC93B8}"/>
    <hyperlink ref="C1500" r:id="rId1495" display="https://pld.live/RapDetail.aspx?STONELIST=925830602&amp;ISCONFIRM=0" xr:uid="{87FE2883-1064-4B85-BDEF-7107A9AC7185}"/>
    <hyperlink ref="C1501" r:id="rId1496" display="https://pld.live/RapDetail.aspx?STONELIST=925750181&amp;ISCONFIRM=0" xr:uid="{CC99D26B-D9B6-45FD-A05F-BE313EA287C2}"/>
    <hyperlink ref="C1502" r:id="rId1497" display="https://pld.live/RapDetail.aspx?STONELIST=925791321&amp;ISCONFIRM=0" xr:uid="{92374667-BB79-4E1C-9EA7-459FC5E371A7}"/>
    <hyperlink ref="C1503" r:id="rId1498" display="https://pld.live/RapDetail.aspx?STONELIST=925870117&amp;ISCONFIRM=0" xr:uid="{34257216-ADCD-423C-B78F-A69425EE034F}"/>
    <hyperlink ref="C1504" r:id="rId1499" display="https://pld.live/RapDetail.aspx?STONELIST=926280740&amp;ISCONFIRM=0" xr:uid="{231515A5-0C07-495D-B8B5-E0982C700A8E}"/>
    <hyperlink ref="C1505" r:id="rId1500" display="https://pld.live/RapDetail.aspx?STONELIST=926221325&amp;ISCONFIRM=0" xr:uid="{BBF23112-8AE3-45AC-8A6F-224500EB65A3}"/>
    <hyperlink ref="C1506" r:id="rId1501" display="https://pld.live/RapDetail.aspx?STONELIST=926221427&amp;ISCONFIRM=0" xr:uid="{2431847D-2AF8-4C6E-B4D8-FA540BF56F76}"/>
    <hyperlink ref="C1507" r:id="rId1502" display="https://pld.live/RapDetail.aspx?STONELIST=926331605&amp;ISCONFIRM=0" xr:uid="{45343F15-DEE6-4E37-BC9B-F707ACA43BE2}"/>
    <hyperlink ref="C1508" r:id="rId1503" display="https://pld.live/RapDetail.aspx?STONELIST=926331696&amp;ISCONFIRM=0" xr:uid="{C7C49CC4-FBC5-4D85-A140-0066E47E2B41}"/>
    <hyperlink ref="C1509" r:id="rId1504" display="https://pld.live/RapDetail.aspx?STONELIST=926331735&amp;ISCONFIRM=0" xr:uid="{B6B44A79-C5F4-457E-B3ED-ED4B376BEBC2}"/>
    <hyperlink ref="C1510" r:id="rId1505" display="https://pld.live/RapDetail.aspx?STONELIST=927132412&amp;ISCONFIRM=0" xr:uid="{45597A67-3A07-40A6-A5F8-2B9C0613A4FD}"/>
    <hyperlink ref="C1511" r:id="rId1506" display="https://pld.live/RapDetail.aspx?STONELIST=925940413&amp;ISCONFIRM=0" xr:uid="{CB87E21D-A4CB-44A8-8812-22440838B2C8}"/>
    <hyperlink ref="C1512" r:id="rId1507" display="https://pld.live/RapDetail.aspx?STONELIST=926331706&amp;ISCONFIRM=0" xr:uid="{255C2B97-7C33-4774-8867-774923462037}"/>
    <hyperlink ref="C1513" r:id="rId1508" display="https://pld.live/RapDetail.aspx?STONELIST=926331734&amp;ISCONFIRM=0" xr:uid="{09F7C2AE-4EE7-4275-84A9-4DCA8EFD82A7}"/>
    <hyperlink ref="C1514" r:id="rId1509" display="https://pld.live/RapDetail.aspx?STONELIST=926211109&amp;ISCONFIRM=0" xr:uid="{77D04BEC-5D3F-446C-A7C4-DD5809B794E6}"/>
    <hyperlink ref="C1515" r:id="rId1510" display="https://pld.live/RapDetail.aspx?STONELIST=926221223&amp;ISCONFIRM=0" xr:uid="{FDCEC5D2-F4BC-460F-BA2E-DA0DFA64A3D7}"/>
    <hyperlink ref="C1516" r:id="rId1511" display="https://pld.live/RapDetail.aspx?STONELIST=925800660&amp;ISCONFIRM=0" xr:uid="{7A1E1382-E62B-4699-B9ED-AF77BC44703A}"/>
    <hyperlink ref="C1517" r:id="rId1512" display="https://pld.live/RapDetail.aspx?STONELIST=926211248&amp;ISCONFIRM=0" xr:uid="{C53BAE3B-D1AE-4E87-A2BA-423F46B8D075}"/>
    <hyperlink ref="C1518" r:id="rId1513" display="https://pld.live/RapDetail.aspx?STONELIST=926280682&amp;ISCONFIRM=0" xr:uid="{44C0C2C4-F0DE-4716-B1D6-AB5F4AB052EB}"/>
    <hyperlink ref="C1519" r:id="rId1514" display="https://pld.live/RapDetail.aspx?STONELIST=926211164&amp;ISCONFIRM=0" xr:uid="{4058BA1A-3ADB-445A-A9AC-9E12D1075303}"/>
    <hyperlink ref="C1520" r:id="rId1515" display="https://pld.live/RapDetail.aspx?STONELIST=926280639&amp;ISCONFIRM=0" xr:uid="{E996E5EF-7085-471F-98EF-4896609CDDB6}"/>
    <hyperlink ref="C1521" r:id="rId1516" display="https://pld.live/RapDetail.aspx?STONELIST=926221198&amp;ISCONFIRM=0" xr:uid="{61CA476F-C025-40E1-8958-C72062BA0C45}"/>
    <hyperlink ref="C1522" r:id="rId1517" display="https://pld.live/RapDetail.aspx?STONELIST=926331629&amp;ISCONFIRM=0" xr:uid="{738D06A2-C3AE-4761-9558-E29268B15865}"/>
    <hyperlink ref="C1523" r:id="rId1518" display="https://pld.live/RapDetail.aspx?STONELIST=926280676&amp;ISCONFIRM=0" xr:uid="{8DDDA613-82C2-4478-A8B6-A7E7E73BB06A}"/>
    <hyperlink ref="C1524" r:id="rId1519" display="https://pld.live/RapDetail.aspx?STONELIST=926291556&amp;ISCONFIRM=0" xr:uid="{3094BAD8-C16A-434C-A669-AAB541FDFF7A}"/>
    <hyperlink ref="C1525" r:id="rId1520" display="https://pld.live/RapDetail.aspx?STONELIST=926221379&amp;ISCONFIRM=0" xr:uid="{20BB697A-8E73-4D0F-90FE-7B136B8D18E6}"/>
    <hyperlink ref="C1526" r:id="rId1521" display="https://pld.live/RapDetail.aspx?STONELIST=926221204&amp;ISCONFIRM=0" xr:uid="{4DADF171-96AF-4343-AABD-0B72F37C30BF}"/>
    <hyperlink ref="C1527" r:id="rId1522" display="https://pld.live/RapDetail.aspx?STONELIST=926331602&amp;ISCONFIRM=0" xr:uid="{3908CE32-39FA-4C0B-BA52-F9F6C1B57A87}"/>
    <hyperlink ref="C1528" r:id="rId1523" display="https://pld.live/RapDetail.aspx?STONELIST=926331780&amp;ISCONFIRM=0" xr:uid="{90044B10-421C-4835-9ADB-252CB237AF09}"/>
    <hyperlink ref="C1529" r:id="rId1524" display="https://pld.live/RapDetail.aspx?STONELIST=926331659&amp;ISCONFIRM=0" xr:uid="{B804B997-D1DE-4DA9-9418-6989FFB370F7}"/>
    <hyperlink ref="C1530" r:id="rId1525" display="https://pld.live/RapDetail.aspx?STONELIST=926280705&amp;ISCONFIRM=0" xr:uid="{275F1F11-4129-4C6E-BB5A-57B0BF6B174A}"/>
    <hyperlink ref="C1531" r:id="rId1526" display="https://pld.live/RapDetail.aspx?STONELIST=926221426&amp;ISCONFIRM=0" xr:uid="{7C3B80A0-0C34-4274-B0D6-0802F166B21F}"/>
    <hyperlink ref="C1532" r:id="rId1527" display="https://pld.live/RapDetail.aspx?STONELIST=926331593&amp;ISCONFIRM=0" xr:uid="{719252A1-46D7-4FCF-B037-28A2A03102C9}"/>
    <hyperlink ref="C1533" r:id="rId1528" display="https://pld.live/RapDetail.aspx?STONELIST=926331769&amp;ISCONFIRM=0" xr:uid="{E89FF1B7-16F3-4CF3-9EE0-1224DC139571}"/>
    <hyperlink ref="C1534" r:id="rId1529" display="https://pld.live/RapDetail.aspx?STONELIST=926311362&amp;ISCONFIRM=0" xr:uid="{BCC640EB-8D22-47C4-A5C6-8B4586540FB6}"/>
    <hyperlink ref="C1535" r:id="rId1530" display="https://pld.live/RapDetail.aspx?STONELIST=926331718&amp;ISCONFIRM=0" xr:uid="{E0A3D33D-A4FA-481D-B99B-2D71DAB86A7C}"/>
    <hyperlink ref="C1536" r:id="rId1531" display="https://pld.live/RapDetail.aspx?STONELIST=926460731&amp;ISCONFIRM=0" xr:uid="{242D0AA0-A4BC-4686-B7A8-666952C88F0E}"/>
    <hyperlink ref="C1537" r:id="rId1532" display="https://pld.live/RapDetail.aspx?STONELIST=925870576&amp;ISCONFIRM=0" xr:uid="{C0ABD7C3-BD2A-4869-B483-90FC48AC503F}"/>
    <hyperlink ref="C1538" r:id="rId1533" display="https://pld.live/RapDetail.aspx?STONELIST=926331757&amp;ISCONFIRM=0" xr:uid="{654919F1-A144-42CB-A418-B0FB2E4AC130}"/>
    <hyperlink ref="C1539" r:id="rId1534" display="https://pld.live/RapDetail.aspx?STONELIST=925791074&amp;ISCONFIRM=0" xr:uid="{048A5277-52D6-49D9-9C8D-4C766E4F5F64}"/>
    <hyperlink ref="C1540" r:id="rId1535" display="https://pld.live/RapDetail.aspx?STONELIST=926221451&amp;ISCONFIRM=0" xr:uid="{D0CCF1E8-A714-4800-8C91-F6BD682A63A6}"/>
    <hyperlink ref="C1541" r:id="rId1536" display="https://pld.live/RapDetail.aspx?STONELIST=926280818&amp;ISCONFIRM=0" xr:uid="{6AB7FF62-4F4B-4C58-BC45-5511C49BAE66}"/>
    <hyperlink ref="C1542" r:id="rId1537" display="https://pld.live/RapDetail.aspx?STONELIST=926460770&amp;ISCONFIRM=0" xr:uid="{75FB54BC-343F-457E-ABFB-BB00E1A38BF7}"/>
    <hyperlink ref="C1543" r:id="rId1538" display="https://pld.live/RapDetail.aspx?STONELIST=926221301&amp;ISCONFIRM=0" xr:uid="{7B904F01-29FB-432D-97A2-295049092FB2}"/>
    <hyperlink ref="C1544" r:id="rId1539" display="https://pld.live/RapDetail.aspx?STONELIST=926311372&amp;ISCONFIRM=0" xr:uid="{48D7D8F5-137F-4AFD-919B-CCF54FE693CF}"/>
    <hyperlink ref="C1545" r:id="rId1540" display="https://pld.live/RapDetail.aspx?STONELIST=926331758&amp;ISCONFIRM=0" xr:uid="{E61FE3AB-CC3F-45C4-A200-293EF2B5547D}"/>
    <hyperlink ref="C1546" r:id="rId1541" display="https://pld.live/RapDetail.aspx?STONELIST=926331748&amp;ISCONFIRM=0" xr:uid="{7E0E5AD8-B558-45CF-8F2A-C4FC6D79F4AF}"/>
    <hyperlink ref="C1547" r:id="rId1542" display="https://pld.live/RapDetail.aspx?STONELIST=926440509&amp;ISCONFIRM=0" xr:uid="{19152FEF-4C95-4ED7-88D3-9F884BE05ADC}"/>
    <hyperlink ref="C1548" r:id="rId1543" display="https://pld.live/RapDetail.aspx?STONELIST=926280764&amp;ISCONFIRM=0" xr:uid="{278054F8-9264-4CF6-B2F4-C6CA1655A9FC}"/>
    <hyperlink ref="C1549" r:id="rId1544" display="https://pld.live/RapDetail.aspx?STONELIST=926331697&amp;ISCONFIRM=0" xr:uid="{40B4320D-471D-49A9-8EC5-D586F0A0E572}"/>
    <hyperlink ref="C1550" r:id="rId1545" display="https://pld.live/RapDetail.aspx?STONELIST=926250688&amp;ISCONFIRM=0" xr:uid="{7B624D85-DE42-454A-B0CC-61407A8141BC}"/>
    <hyperlink ref="C1551" r:id="rId1546" display="https://pld.live/RapDetail.aspx?STONELIST=926270885&amp;ISCONFIRM=0" xr:uid="{E644C22C-1C96-437B-BE12-A84BCE768E13}"/>
    <hyperlink ref="C1552" r:id="rId1547" display="https://pld.live/RapDetail.aspx?STONELIST=926550590&amp;ISCONFIRM=0" xr:uid="{C720D4E0-A0B2-4AD9-B88C-4D2DCFDAA519}"/>
    <hyperlink ref="C1553" r:id="rId1548" display="https://pld.live/RapDetail.aspx?STONELIST=926280781&amp;ISCONFIRM=0" xr:uid="{EA45ECE4-CDA5-44F3-AE27-8D352B4768D9}"/>
    <hyperlink ref="C1554" r:id="rId1549" display="https://pld.live/RapDetail.aspx?STONELIST=925830645&amp;ISCONFIRM=0" xr:uid="{FA887C1F-5461-4BD0-AECB-797D5778E9FF}"/>
    <hyperlink ref="C1555" r:id="rId1550" display="https://pld.live/RapDetail.aspx?STONELIST=926221390&amp;ISCONFIRM=0" xr:uid="{EFEA6B4B-B25B-4BFE-9AC0-8791523F22AA}"/>
    <hyperlink ref="C1556" r:id="rId1551" display="https://pld.live/RapDetail.aspx?STONELIST=821125869&amp;ISCONFIRM=0" xr:uid="{629E48C0-9843-4C8F-BA3C-7138DEADBE15}"/>
    <hyperlink ref="C1557" r:id="rId1552" display="https://pld.live/RapDetail.aspx?STONELIST=926221251&amp;ISCONFIRM=0" xr:uid="{A9D78B2D-95DF-4FBC-A555-A3A3AA2C24C1}"/>
    <hyperlink ref="C1558" r:id="rId1553" display="https://pld.live/RapDetail.aspx?STONELIST=925791050&amp;ISCONFIRM=0" xr:uid="{64BF7182-5730-4F12-B267-87539453B02F}"/>
    <hyperlink ref="C1559" r:id="rId1554" display="https://pld.live/RapDetail.aspx?STONELIST=821125866&amp;ISCONFIRM=0" xr:uid="{5C4C0DFB-A4EC-4723-B9F9-8F39486020F4}"/>
    <hyperlink ref="C1560" r:id="rId1555" display="https://pld.live/RapDetail.aspx?STONELIST=926120997&amp;ISCONFIRM=0" xr:uid="{B19BF740-62D8-41C7-8BA0-F1204DFC6145}"/>
    <hyperlink ref="C1561" r:id="rId1556" display="https://pld.live/RapDetail.aspx?STONELIST=926221433&amp;ISCONFIRM=0" xr:uid="{C83D7940-11A1-4C03-8FF0-3956908AC34E}"/>
    <hyperlink ref="C1562" r:id="rId1557" display="https://pld.live/RapDetail.aspx?STONELIST=925870442&amp;ISCONFIRM=0" xr:uid="{3B001E78-205D-4E58-96A1-E97A920F9237}"/>
    <hyperlink ref="C1563" r:id="rId1558" display="https://pld.live/RapDetail.aspx?STONELIST=821125870&amp;ISCONFIRM=0" xr:uid="{8A283766-2748-4EA3-BEAC-EEF763961949}"/>
    <hyperlink ref="C1564" r:id="rId1559" display="https://pld.live/RapDetail.aspx?STONELIST=925790737&amp;ISCONFIRM=0" xr:uid="{EC8FBB92-472B-4A1A-9302-62E7933F7064}"/>
    <hyperlink ref="C1565" r:id="rId1560" display="https://pld.live/RapDetail.aspx?STONELIST=926221284&amp;ISCONFIRM=0" xr:uid="{07DD252A-05CA-4596-B6A4-8ED684C3898A}"/>
    <hyperlink ref="C1566" r:id="rId1561" display="https://pld.live/RapDetail.aspx?STONELIST=926171488&amp;ISCONFIRM=0" xr:uid="{1FACC23B-26E7-4DA8-9324-A7C772446A0C}"/>
    <hyperlink ref="C1567" r:id="rId1562" display="https://pld.live/RapDetail.aspx?STONELIST=925991240&amp;ISCONFIRM=0" xr:uid="{F03133BB-4B7C-489F-BB15-BAB0CEDEBBFC}"/>
    <hyperlink ref="C1568" r:id="rId1563" display="https://pld.live/RapDetail.aspx?STONELIST=821125871&amp;ISCONFIRM=0" xr:uid="{28C8987E-E390-4933-B7A2-7BD341A6F1D7}"/>
    <hyperlink ref="C1569" r:id="rId1564" display="https://pld.live/RapDetail.aspx?STONELIST=926211187&amp;ISCONFIRM=0" xr:uid="{DD6067B6-5319-4C22-BDEB-6CB9FCCD5AF8}"/>
    <hyperlink ref="C1570" r:id="rId1565" display="https://pld.live/RapDetail.aspx?STONELIST=926631389&amp;ISCONFIRM=0" xr:uid="{F041FD5E-7118-4BF0-AB9B-1360A7C6068E}"/>
    <hyperlink ref="C1571" r:id="rId1566" display="https://pld.live/RapDetail.aspx?STONELIST=926670562&amp;ISCONFIRM=0" xr:uid="{A4C8109C-0E0F-44B4-A52E-74A045244E9B}"/>
    <hyperlink ref="C1572" r:id="rId1567" display="https://pld.live/RapDetail.aspx?STONELIST=926221276&amp;ISCONFIRM=0" xr:uid="{1BE2DED1-FE05-480D-9B6F-6E9B568B6A92}"/>
    <hyperlink ref="C1573" r:id="rId1568" display="https://pld.live/RapDetail.aspx?STONELIST=926280845&amp;ISCONFIRM=0" xr:uid="{015B172E-1ED9-4C04-9170-B0E756EF34CB}"/>
    <hyperlink ref="C1574" r:id="rId1569" display="https://pld.live/RapDetail.aspx?STONELIST=926221317&amp;ISCONFIRM=0" xr:uid="{6B3A2706-74D2-4E72-9C36-0FDB3283B7AA}"/>
    <hyperlink ref="C1575" r:id="rId1570" display="https://pld.live/RapDetail.aspx?STONELIST=925910769&amp;ISCONFIRM=0" xr:uid="{CBAC4D70-4FBC-4E31-AB2B-6B4D5DD16006}"/>
    <hyperlink ref="C1576" r:id="rId1571" display="https://pld.live/RapDetail.aspx?STONELIST=821125882&amp;ISCONFIRM=0" xr:uid="{110547BA-BDB3-489E-967B-44F29873A5E7}"/>
    <hyperlink ref="C1577" r:id="rId1572" display="https://pld.live/RapDetail.aspx?STONELIST=925110293&amp;ISCONFIRM=0" xr:uid="{A80B24F7-4139-45C0-BA42-0054EF72E4FB}"/>
    <hyperlink ref="C1578" r:id="rId1573" display="https://pld.live/RapDetail.aspx?STONELIST=926221449&amp;ISCONFIRM=0" xr:uid="{8528BE66-B5DF-460D-A889-6B376555AEF7}"/>
    <hyperlink ref="C1579" r:id="rId1574" display="https://pld.live/RapDetail.aspx?STONELIST=926301029&amp;ISCONFIRM=0" xr:uid="{5B23572C-7FF8-4DB1-BD72-9491D1E64DF9}"/>
    <hyperlink ref="C1580" r:id="rId1575" display="https://pld.live/RapDetail.aspx?STONELIST=926211202&amp;ISCONFIRM=0" xr:uid="{60794173-735D-44CB-8282-9A204CB0ACA6}"/>
    <hyperlink ref="C1581" r:id="rId1576" display="https://pld.live/RapDetail.aspx?STONELIST=926311258&amp;ISCONFIRM=0" xr:uid="{E5281069-7577-47B0-A82B-F82A327BC558}"/>
    <hyperlink ref="C1582" r:id="rId1577" display="https://pld.live/RapDetail.aspx?STONELIST=821125881&amp;ISCONFIRM=0" xr:uid="{E1D69F29-336C-4C27-B25A-A3B5B948191A}"/>
    <hyperlink ref="C1583" r:id="rId1578" display="https://pld.live/RapDetail.aspx?STONELIST=926211277&amp;ISCONFIRM=0" xr:uid="{7FC35D0A-9694-40FF-BDBC-D86AD3569550}"/>
    <hyperlink ref="C1584" r:id="rId1579" display="https://pld.live/RapDetail.aspx?STONELIST=925990505&amp;ISCONFIRM=0" xr:uid="{A50CF059-F916-457D-8D0C-68C128D3F161}"/>
    <hyperlink ref="C1585" r:id="rId1580" display="https://pld.live/RapDetail.aspx?STONELIST=925870390&amp;ISCONFIRM=0" xr:uid="{B4C2D4F8-1D90-43F5-AC4B-9C433FFAF70D}"/>
    <hyperlink ref="C1586" r:id="rId1581" display="https://pld.live/RapDetail.aspx?STONELIST=925870591&amp;ISCONFIRM=0" xr:uid="{0CFD71FA-3B75-4032-B370-86B586A33D8D}"/>
    <hyperlink ref="C1587" r:id="rId1582" display="https://pld.live/RapDetail.aspx?STONELIST=926221215&amp;ISCONFIRM=0" xr:uid="{3FE7700D-19D2-4EA4-B5AF-6AA70F9CC545}"/>
    <hyperlink ref="C1588" r:id="rId1583" display="https://pld.live/RapDetail.aspx?STONELIST=925900577&amp;ISCONFIRM=0" xr:uid="{4ED88E59-7726-4C41-9D76-D6551BF00548}"/>
    <hyperlink ref="C1589" r:id="rId1584" display="https://pld.live/RapDetail.aspx?STONELIST=926240818&amp;ISCONFIRM=0" xr:uid="{9AC3652C-8F95-4C2F-A412-F29F607F558B}"/>
    <hyperlink ref="C1590" r:id="rId1585" display="https://pld.live/RapDetail.aspx?STONELIST=925990849&amp;ISCONFIRM=0" xr:uid="{FC51F7EF-8A2A-4717-BCEA-FEFEE1D4DD34}"/>
    <hyperlink ref="C1591" r:id="rId1586" display="https://pld.live/RapDetail.aspx?STONELIST=926941137&amp;ISCONFIRM=0" xr:uid="{392882B8-DF05-4DEE-9790-0AC3A515D8A3}"/>
    <hyperlink ref="C1592" r:id="rId1587" display="https://pld.live/RapDetail.aspx?STONELIST=941360344&amp;ISCONFIRM=0" xr:uid="{3B88F6CD-779D-4A0E-9A02-B5394C3FC619}"/>
    <hyperlink ref="C1593" r:id="rId1588" display="https://pld.live/RapDetail.aspx?STONELIST=941320500&amp;ISCONFIRM=0" xr:uid="{F094E12E-2DDB-494D-B26E-7769FE1276E0}"/>
    <hyperlink ref="C1594" r:id="rId1589" display="https://pld.live/RapDetail.aspx?STONELIST=941400306&amp;ISCONFIRM=0" xr:uid="{6AC0C8EE-0EBA-4792-B59C-8C99247B95F6}"/>
    <hyperlink ref="C1595" r:id="rId1590" display="https://pld.live/RapDetail.aspx?STONELIST=941330188&amp;ISCONFIRM=0" xr:uid="{7D6569C1-1068-46C4-BA74-7E497E9237FA}"/>
    <hyperlink ref="C1596" r:id="rId1591" display="https://pld.live/RapDetail.aspx?STONELIST=941330240&amp;ISCONFIRM=0" xr:uid="{9A605592-33AE-4FD9-8BD9-BAD822F73615}"/>
    <hyperlink ref="C1597" r:id="rId1592" display="https://pld.live/RapDetail.aspx?STONELIST=926930775&amp;ISCONFIRM=0" xr:uid="{9DF49763-13A3-4C36-8DEE-3190D8FEEFDB}"/>
    <hyperlink ref="C1598" r:id="rId1593" display="https://pld.live/RapDetail.aspx?STONELIST=941330320&amp;ISCONFIRM=0" xr:uid="{99AF46C3-F45B-4867-881C-DBC8E0465662}"/>
    <hyperlink ref="C1599" r:id="rId1594" display="https://pld.live/RapDetail.aspx?STONELIST=926941196&amp;ISCONFIRM=0" xr:uid="{4779A4C6-2369-4FE1-9503-3EAB1921BD89}"/>
    <hyperlink ref="C1600" r:id="rId1595" display="https://pld.live/RapDetail.aspx?STONELIST=926941099&amp;ISCONFIRM=0" xr:uid="{1897C8A3-689D-46DA-B9EF-1EEA61801B09}"/>
    <hyperlink ref="C1601" r:id="rId1596" display="https://pld.live/RapDetail.aspx?STONELIST=926941150&amp;ISCONFIRM=0" xr:uid="{EF06F284-3BAE-42D2-BB9D-6E7A4EFC564F}"/>
    <hyperlink ref="C1602" r:id="rId1597" display="https://pld.live/RapDetail.aspx?STONELIST=926941158&amp;ISCONFIRM=0" xr:uid="{8D0E8683-A795-43BB-AD6B-F306D749C484}"/>
    <hyperlink ref="C1603" r:id="rId1598" display="https://pld.live/RapDetail.aspx?STONELIST=941280107&amp;ISCONFIRM=0" xr:uid="{167D0CE6-7C16-4139-9430-C1215F10E8B6}"/>
    <hyperlink ref="C1604" r:id="rId1599" display="https://pld.live/RapDetail.aspx?STONELIST=941330269&amp;ISCONFIRM=0" xr:uid="{7FB51678-F0F2-482A-B314-B7AD8F299485}"/>
    <hyperlink ref="C1605" r:id="rId1600" display="https://pld.live/RapDetail.aspx?STONELIST=941360448&amp;ISCONFIRM=0" xr:uid="{096AADCB-2568-45F9-839D-961B89B4E1F5}"/>
    <hyperlink ref="C1606" r:id="rId1601" display="https://pld.live/RapDetail.aspx?STONELIST=927130715&amp;ISCONFIRM=0" xr:uid="{116E081C-5DBF-4C54-A826-B9446A7EF71D}"/>
    <hyperlink ref="C1607" r:id="rId1602" display="https://pld.live/RapDetail.aspx?STONELIST=926980629&amp;ISCONFIRM=0" xr:uid="{C40DB71D-13D3-4A0E-BFCC-95F28460D6A0}"/>
    <hyperlink ref="C1608" r:id="rId1603" display="https://pld.live/RapDetail.aspx?STONELIST=925360220&amp;ISCONFIRM=0" xr:uid="{2318FCBA-4D8C-4A2D-A738-764DFB03B3C3}"/>
    <hyperlink ref="C1609" r:id="rId1604" display="https://pld.live/RapDetail.aspx?STONELIST=926941129&amp;ISCONFIRM=0" xr:uid="{4A68CE8B-9DE5-4BD4-9248-5A35E06A47B0}"/>
    <hyperlink ref="C1610" r:id="rId1605" display="https://pld.live/RapDetail.aspx?STONELIST=924230008&amp;ISCONFIRM=0" xr:uid="{632120E6-D18B-4486-AA2F-38EDF12D5DA1}"/>
    <hyperlink ref="C1611" r:id="rId1606" display="https://pld.live/RapDetail.aspx?STONELIST=941330310&amp;ISCONFIRM=0" xr:uid="{6DD9C70A-1436-4D52-8DCA-F628B72D688F}"/>
    <hyperlink ref="C1612" r:id="rId1607" display="https://pld.live/RapDetail.aspx?STONELIST=941270712&amp;ISCONFIRM=0" xr:uid="{E9B241B7-FA34-4C75-8314-D8CCC6ACE2E6}"/>
    <hyperlink ref="C1613" r:id="rId1608" display="https://pld.live/RapDetail.aspx?STONELIST=926941141&amp;ISCONFIRM=0" xr:uid="{C69ED590-92DD-4C04-AF68-A77BF291512E}"/>
    <hyperlink ref="C1614" r:id="rId1609" display="https://pld.live/RapDetail.aspx?STONELIST=926941190&amp;ISCONFIRM=0" xr:uid="{C8E24A08-3529-4D68-98BA-7C3B46929DBA}"/>
    <hyperlink ref="C1615" r:id="rId1610" display="https://pld.live/RapDetail.aspx?STONELIST=941340133&amp;ISCONFIRM=0" xr:uid="{50B7F537-1F0A-467D-82D9-05C1373F0C05}"/>
    <hyperlink ref="C1616" r:id="rId1611" display="https://pld.live/RapDetail.aspx?STONELIST=926211088&amp;ISCONFIRM=0" xr:uid="{A9B3E7E3-5823-4740-B409-59043219BA51}"/>
    <hyperlink ref="C1617" r:id="rId1612" display="https://pld.live/RapDetail.aspx?STONELIST=926941174&amp;ISCONFIRM=0" xr:uid="{781592E4-0FB7-4B55-8447-3AA9BCF42040}"/>
    <hyperlink ref="C1618" r:id="rId1613" display="https://pld.live/RapDetail.aspx?STONELIST=926941179&amp;ISCONFIRM=0" xr:uid="{25B27C13-683C-4314-887D-A64A6CEA6C28}"/>
    <hyperlink ref="C1619" r:id="rId1614" display="https://pld.live/RapDetail.aspx?STONELIST=941280413&amp;ISCONFIRM=0" xr:uid="{2185500D-0DE0-4E7D-B318-586C783E2AC9}"/>
    <hyperlink ref="C1620" r:id="rId1615" display="https://pld.live/RapDetail.aspx?STONELIST=941280390&amp;ISCONFIRM=0" xr:uid="{00CEB3C9-ED57-4ABB-AC8A-8E296D2CF1E2}"/>
    <hyperlink ref="C1621" r:id="rId1616" display="https://pld.live/RapDetail.aspx?STONELIST=926941116&amp;ISCONFIRM=0" xr:uid="{135BB2D0-253B-4D92-ADB9-1D2BD82929BA}"/>
    <hyperlink ref="C1622" r:id="rId1617" display="https://pld.live/RapDetail.aspx?STONELIST=926941161&amp;ISCONFIRM=0" xr:uid="{ED34A0DB-4A91-431B-8CB0-BCA99A0BBFC2}"/>
    <hyperlink ref="C1623" r:id="rId1618" display="https://pld.live/RapDetail.aspx?STONELIST=941260921&amp;ISCONFIRM=0" xr:uid="{32864936-85B5-4D73-BD90-B35F5DFDA38C}"/>
    <hyperlink ref="C1624" r:id="rId1619" display="https://pld.live/RapDetail.aspx?STONELIST=941330390&amp;ISCONFIRM=0" xr:uid="{6D9BBF59-9AD9-4E95-B09B-8298089AA023}"/>
    <hyperlink ref="C1625" r:id="rId1620" display="https://pld.live/RapDetail.aspx?STONELIST=926211096&amp;ISCONFIRM=0" xr:uid="{431DEBE3-C9EE-4AD8-A69D-BB53988B7E52}"/>
    <hyperlink ref="C1626" r:id="rId1621" display="https://pld.live/RapDetail.aspx?STONELIST=926941154&amp;ISCONFIRM=0" xr:uid="{4E71D6B9-432A-4D9E-A612-DA2B314825D9}"/>
    <hyperlink ref="C1627" r:id="rId1622" display="https://pld.live/RapDetail.aspx?STONELIST=926941182&amp;ISCONFIRM=0" xr:uid="{F083CF84-ED50-42A0-9E60-43BFDFD4E130}"/>
    <hyperlink ref="C1628" r:id="rId1623" display="https://pld.live/RapDetail.aspx?STONELIST=926280795&amp;ISCONFIRM=0" xr:uid="{B1A761D2-BD8D-4B58-BCF5-9E2CBA24E05F}"/>
    <hyperlink ref="C1629" r:id="rId1624" display="https://pld.live/RapDetail.aspx?STONELIST=926311349&amp;ISCONFIRM=0" xr:uid="{A9819342-5E4D-4765-8A95-F298659BEBF8}"/>
    <hyperlink ref="C1630" r:id="rId1625" display="https://pld.live/RapDetail.aspx?STONELIST=926221299&amp;ISCONFIRM=0" xr:uid="{9DB889D4-4AF9-48CD-85B1-BB5990032172}"/>
    <hyperlink ref="C1631" r:id="rId1626" display="https://pld.live/RapDetail.aspx?STONELIST=926801179&amp;ISCONFIRM=0" xr:uid="{33DAFBA9-A2DD-425E-85D5-2C72BB1A9CF9}"/>
    <hyperlink ref="C1632" r:id="rId1627" display="https://pld.live/RapDetail.aspx?STONELIST=926221271&amp;ISCONFIRM=0" xr:uid="{C852AB73-E126-4BBF-8270-FAD7C2D408F5}"/>
    <hyperlink ref="C1633" r:id="rId1628" display="https://pld.live/RapDetail.aspx?STONELIST=926280778&amp;ISCONFIRM=0" xr:uid="{3DDD196F-5A88-45CA-8800-4426C27FCD95}"/>
    <hyperlink ref="C1634" r:id="rId1629" display="https://pld.live/RapDetail.aspx?STONELIST=926301038&amp;ISCONFIRM=0" xr:uid="{F5B55DCC-F6B9-40A6-8EE8-57CE1EA2CAF7}"/>
    <hyperlink ref="C1635" r:id="rId1630" display="https://pld.live/RapDetail.aspx?STONELIST=925030056&amp;ISCONFIRM=0" xr:uid="{A874D96E-1973-4F83-A578-FCBFBA077277}"/>
    <hyperlink ref="C1636" r:id="rId1631" display="https://pld.live/RapDetail.aspx?STONELIST=941449164&amp;ISCONFIRM=0" xr:uid="{2F369578-5BCB-4556-960A-A01426E9344C}"/>
    <hyperlink ref="C1637" r:id="rId1632" display="https://pld.live/RapDetail.aspx?STONELIST=926810870&amp;ISCONFIRM=0" xr:uid="{618E7334-0A8C-480B-82BB-E420AE658A25}"/>
    <hyperlink ref="C1638" r:id="rId1633" display="https://pld.live/RapDetail.aspx?STONELIST=821125912&amp;ISCONFIRM=0" xr:uid="{7AEE498A-1932-47D8-9BA7-85C35E1DF58E}"/>
    <hyperlink ref="C1639" r:id="rId1634" display="https://pld.live/RapDetail.aspx?STONELIST=926280809&amp;ISCONFIRM=0" xr:uid="{DA567905-0EFC-40C4-B847-70257FE2F349}"/>
    <hyperlink ref="C1640" r:id="rId1635" display="https://pld.live/RapDetail.aspx?STONELIST=941310014&amp;ISCONFIRM=0" xr:uid="{D76B03C6-1C1A-4D11-834B-AB939D57A16E}"/>
    <hyperlink ref="C1641" r:id="rId1636" display="https://pld.live/RapDetail.aspx?STONELIST=926210998&amp;ISCONFIRM=0" xr:uid="{24E6DFF0-F777-4609-A8D7-465C24B2B813}"/>
    <hyperlink ref="C1642" r:id="rId1637" display="https://pld.live/RapDetail.aspx?STONELIST=926221262&amp;ISCONFIRM=0" xr:uid="{C30A3190-6AAA-4038-BC90-5958A1D2D382}"/>
    <hyperlink ref="C1643" r:id="rId1638" display="https://pld.live/RapDetail.aspx?STONELIST=926221387&amp;ISCONFIRM=0" xr:uid="{DCAF8027-AFD5-4C09-97EE-3FF55A420753}"/>
    <hyperlink ref="C1644" r:id="rId1639" display="https://pld.live/RapDetail.aspx?STONELIST=924960159&amp;ISCONFIRM=0" xr:uid="{DD088FA1-5F9B-437F-B69F-179DFECBD230}"/>
    <hyperlink ref="C1645" r:id="rId1640" display="https://pld.live/RapDetail.aspx?STONELIST=924960186&amp;ISCONFIRM=0" xr:uid="{634E6FC1-733B-4FA9-99E9-0C1895441777}"/>
    <hyperlink ref="C1646" r:id="rId1641" display="https://pld.live/RapDetail.aspx?STONELIST=926220355&amp;ISCONFIRM=0" xr:uid="{712B0549-3D50-427A-8E6C-162204D5B162}"/>
    <hyperlink ref="C1647" r:id="rId1642" display="https://pld.live/RapDetail.aspx?STONELIST=926211059&amp;ISCONFIRM=0" xr:uid="{16EBE9A4-1D7B-438C-BE61-0EAC472D59E0}"/>
    <hyperlink ref="C1648" r:id="rId1643" display="https://pld.live/RapDetail.aspx?STONELIST=925900268&amp;ISCONFIRM=0" xr:uid="{77217793-7E04-49CF-9456-D3E079737CE3}"/>
    <hyperlink ref="C1649" r:id="rId1644" display="https://pld.live/RapDetail.aspx?STONELIST=925870404&amp;ISCONFIRM=0" xr:uid="{25047396-2C1C-404D-B543-54B0A2F01E7B}"/>
    <hyperlink ref="C1650" r:id="rId1645" display="https://pld.live/RapDetail.aspx?STONELIST=926120597&amp;ISCONFIRM=0" xr:uid="{B1C147E5-6029-49FA-976A-92D305350A59}"/>
    <hyperlink ref="C1651" r:id="rId1646" display="https://pld.live/RapDetail.aspx?STONELIST=926280651&amp;ISCONFIRM=0" xr:uid="{966CB395-FA4E-48BB-B2A6-A147155C2AF7}"/>
    <hyperlink ref="C1652" r:id="rId1647" display="https://pld.live/RapDetail.aspx?STONELIST=926220860&amp;ISCONFIRM=0" xr:uid="{FB7C2853-322A-4EAA-BE52-7B6D74B60751}"/>
    <hyperlink ref="C1653" r:id="rId1648" display="https://pld.live/RapDetail.aspx?STONELIST=926380091&amp;ISCONFIRM=0" xr:uid="{3CE138C5-BB9E-44AE-97C5-108227C78A99}"/>
    <hyperlink ref="C1654" r:id="rId1649" display="https://pld.live/RapDetail.aspx?STONELIST=925870302&amp;ISCONFIRM=0" xr:uid="{B1357362-5953-46EC-99F1-24981A6AC578}"/>
    <hyperlink ref="C1655" r:id="rId1650" display="https://pld.live/RapDetail.aspx?STONELIST=926550681&amp;ISCONFIRM=0" xr:uid="{C0F1A94E-0790-4DCB-AB8D-E11D4B254185}"/>
    <hyperlink ref="C1656" r:id="rId1651" display="https://pld.live/RapDetail.aspx?STONELIST=925040215&amp;ISCONFIRM=0" xr:uid="{F7A526E6-B53C-427A-8680-6FD3C16290ED}"/>
    <hyperlink ref="C1657" r:id="rId1652" display="https://pld.live/RapDetail.aspx?STONELIST=926460819&amp;ISCONFIRM=0" xr:uid="{6A0FFACB-020E-41E1-BD0E-AF52B881AC71}"/>
    <hyperlink ref="C1658" r:id="rId1653" display="https://pld.live/RapDetail.aspx?STONELIST=925791079&amp;ISCONFIRM=0" xr:uid="{29D4BF50-320F-401B-9ECA-F24B2E0A482A}"/>
    <hyperlink ref="C1659" r:id="rId1654" display="https://pld.live/RapDetail.aspx?STONELIST=925790897&amp;ISCONFIRM=0" xr:uid="{C32EFE16-76FD-4521-98AF-23848D2B783E}"/>
    <hyperlink ref="C1660" r:id="rId1655" display="https://pld.live/RapDetail.aspx?STONELIST=926120750&amp;ISCONFIRM=0" xr:uid="{B7F49ABA-D8C0-4A67-87B7-D3A146120623}"/>
    <hyperlink ref="C1661" r:id="rId1656" display="https://pld.live/RapDetail.aspx?STONELIST=926460829&amp;ISCONFIRM=0" xr:uid="{878D3839-430E-4361-8D65-3F927D4FE5EE}"/>
    <hyperlink ref="C1662" r:id="rId1657" display="https://pld.live/RapDetail.aspx?STONELIST=925420025&amp;ISCONFIRM=0" xr:uid="{DD6210C3-86F5-4FA1-A653-A04726CFBC28}"/>
    <hyperlink ref="C1663" r:id="rId1658" display="https://pld.live/RapDetail.aspx?STONELIST=926220785&amp;ISCONFIRM=0" xr:uid="{84889767-46B7-47F9-B007-083ED83EAE11}"/>
    <hyperlink ref="C1664" r:id="rId1659" display="https://pld.live/RapDetail.aspx?STONELIST=925870535&amp;ISCONFIRM=0" xr:uid="{A8F1ABDA-0CC9-48F5-A5A5-4C3470810CE5}"/>
    <hyperlink ref="C1665" r:id="rId1660" display="https://pld.live/RapDetail.aspx?STONELIST=821126668&amp;ISCONFIRM=0" xr:uid="{0541D54D-BE92-481D-B66C-E3BA9476AAA0}"/>
    <hyperlink ref="C1666" r:id="rId1661" display="https://pld.live/RapDetail.aspx?STONELIST=925791391&amp;ISCONFIRM=0" xr:uid="{AD8E715F-119B-4B1E-A9D5-D8E4094BA01A}"/>
    <hyperlink ref="C1667" r:id="rId1662" display="https://pld.live/RapDetail.aspx?STONELIST=925870424&amp;ISCONFIRM=0" xr:uid="{FC6C7879-C42E-4CC3-9CA0-8E7CF7B9466E}"/>
    <hyperlink ref="C1668" r:id="rId1663" display="https://pld.live/RapDetail.aspx?STONELIST=926120603&amp;ISCONFIRM=0" xr:uid="{0A125B7D-6042-49E5-9E0D-487BFF67E072}"/>
    <hyperlink ref="C1669" r:id="rId1664" display="https://pld.live/RapDetail.aspx?STONELIST=926121010&amp;ISCONFIRM=0" xr:uid="{1C967702-F447-4511-819C-7B616DD4B034}"/>
    <hyperlink ref="C1670" r:id="rId1665" display="https://pld.live/RapDetail.aspx?STONELIST=821126619&amp;ISCONFIRM=0" xr:uid="{1DC38C52-5F5B-42BE-AFD9-489837A50F05}"/>
    <hyperlink ref="C1671" r:id="rId1666" display="https://pld.live/RapDetail.aspx?STONELIST=821126344&amp;ISCONFIRM=0" xr:uid="{6EE5BBAC-1C33-411D-A626-5C336145803A}"/>
    <hyperlink ref="C1672" r:id="rId1667" display="https://pld.live/RapDetail.aspx?STONELIST=925870198&amp;ISCONFIRM=0" xr:uid="{1AA04144-3382-427C-B147-6AF6F077E61D}"/>
    <hyperlink ref="C1673" r:id="rId1668" display="https://pld.live/RapDetail.aspx?STONELIST=821126741&amp;ISCONFIRM=0" xr:uid="{B1F2A70D-9EBD-4357-9D88-62AEC08CCBF7}"/>
    <hyperlink ref="C1674" r:id="rId1669" display="https://pld.live/RapDetail.aspx?STONELIST=821126582&amp;ISCONFIRM=0" xr:uid="{257952FC-24DD-4FCB-87E4-1782BE5BA4B7}"/>
    <hyperlink ref="C1675" r:id="rId1670" display="https://pld.live/RapDetail.aspx?STONELIST=821126258&amp;ISCONFIRM=0" xr:uid="{86B762A9-A4EF-43BA-A10E-4978680C62F2}"/>
    <hyperlink ref="C1676" r:id="rId1671" display="https://pld.live/RapDetail.aspx?STONELIST=821126770&amp;ISCONFIRM=0" xr:uid="{39E83321-9E41-4CF6-B3B7-A0E2A67E7FEE}"/>
    <hyperlink ref="C1677" r:id="rId1672" display="https://pld.live/RapDetail.aspx?STONELIST=926220697&amp;ISCONFIRM=0" xr:uid="{E22310BC-5FD1-41D2-B7B7-C52A4375BF51}"/>
    <hyperlink ref="C1678" r:id="rId1673" display="https://pld.live/RapDetail.aspx?STONELIST=925900459&amp;ISCONFIRM=0" xr:uid="{D1B265AE-E96D-46A4-955F-8A7BEE08603E}"/>
    <hyperlink ref="C1679" r:id="rId1674" display="https://pld.live/RapDetail.aspx?STONELIST=925900345&amp;ISCONFIRM=0" xr:uid="{BCEA2006-508A-42CE-A062-3DA2DF23B2D7}"/>
    <hyperlink ref="C1680" r:id="rId1675" display="https://pld.live/RapDetail.aspx?STONELIST=925870519&amp;ISCONFIRM=0" xr:uid="{3A455C36-914D-4398-BEE5-E5B60AF12231}"/>
    <hyperlink ref="C1681" r:id="rId1676" display="https://pld.live/RapDetail.aspx?STONELIST=821125018&amp;ISCONFIRM=0" xr:uid="{C6249A68-03C0-4C8A-82E0-EA8EC133BB54}"/>
    <hyperlink ref="C1682" r:id="rId1677" display="https://pld.live/RapDetail.aspx?STONELIST=926120661&amp;ISCONFIRM=0" xr:uid="{34F6FA8B-F13E-42A6-8007-E0E7A9A3F2CF}"/>
    <hyperlink ref="C1683" r:id="rId1678" display="https://pld.live/RapDetail.aspx?STONELIST=926671039&amp;ISCONFIRM=0" xr:uid="{920C01D1-4989-40C1-850D-4B994DF6DBF7}"/>
    <hyperlink ref="C1684" r:id="rId1679" display="https://pld.live/RapDetail.aspx?STONELIST=925840327&amp;ISCONFIRM=0" xr:uid="{D8C2BDBF-539F-4E2A-BF85-4DDBAA889EBD}"/>
    <hyperlink ref="C1685" r:id="rId1680" display="https://pld.live/RapDetail.aspx?STONELIST=926221106&amp;ISCONFIRM=0" xr:uid="{EB513052-2D9C-46B2-88D3-795FD520001E}"/>
    <hyperlink ref="C1686" r:id="rId1681" display="https://pld.live/RapDetail.aspx?STONELIST=925870532&amp;ISCONFIRM=0" xr:uid="{9EFDEE43-64D5-4D07-87BF-0BBADFD99580}"/>
    <hyperlink ref="C1687" r:id="rId1682" display="https://pld.live/RapDetail.aspx?STONELIST=926671082&amp;ISCONFIRM=0" xr:uid="{015D6886-F642-4AD7-A82C-E2F3F896A330}"/>
    <hyperlink ref="C1688" r:id="rId1683" display="https://pld.live/RapDetail.aspx?STONELIST=925780511&amp;ISCONFIRM=0" xr:uid="{9A1016ED-7A0E-46D9-9992-EDFDBACE77D8}"/>
    <hyperlink ref="C1689" r:id="rId1684" display="https://pld.live/RapDetail.aspx?STONELIST=925530097&amp;ISCONFIRM=0" xr:uid="{60E49239-1F5D-428C-B3EB-23E73C4C0940}"/>
    <hyperlink ref="C1690" r:id="rId1685" display="https://pld.live/RapDetail.aspx?STONELIST=926120715&amp;ISCONFIRM=0" xr:uid="{6060E2AB-88D4-417A-B76C-4212DCAB8490}"/>
    <hyperlink ref="C1691" r:id="rId1686" display="https://pld.live/RapDetail.aspx?STONELIST=925280150&amp;ISCONFIRM=0" xr:uid="{9B05013C-8DC9-48E7-9643-F0ED22D2D517}"/>
    <hyperlink ref="C1692" r:id="rId1687" display="https://pld.live/RapDetail.aspx?STONELIST=925680074&amp;ISCONFIRM=0" xr:uid="{B6280606-11BA-482B-9569-EDDF64B7CE9E}"/>
    <hyperlink ref="C1693" r:id="rId1688" display="https://pld.live/RapDetail.aspx?STONELIST=926671075&amp;ISCONFIRM=0" xr:uid="{EAFA2415-65CF-43C3-A633-4A3FDC54BDAF}"/>
    <hyperlink ref="C1694" r:id="rId1689" display="https://pld.live/RapDetail.aspx?STONELIST=821125950&amp;ISCONFIRM=0" xr:uid="{47543E6F-D90A-4E4B-814E-2C219AF1D8E4}"/>
    <hyperlink ref="C1695" r:id="rId1690" display="https://pld.live/RapDetail.aspx?STONELIST=941390361&amp;ISCONFIRM=0" xr:uid="{181F2E15-79A4-41B3-AEE9-7F6AB2B5B14F}"/>
    <hyperlink ref="C1696" r:id="rId1691" display="https://pld.live/RapDetail.aspx?STONELIST=926220696&amp;ISCONFIRM=0" xr:uid="{08E9CE7D-D141-4B4B-90E1-62F580CD0D78}"/>
    <hyperlink ref="C1697" r:id="rId1692" display="https://pld.live/RapDetail.aspx?STONELIST=925780640&amp;ISCONFIRM=0" xr:uid="{6B490BEE-297C-4051-8819-46E7B01DE5DB}"/>
    <hyperlink ref="C1698" r:id="rId1693" display="https://pld.live/RapDetail.aspx?STONELIST=925910750&amp;ISCONFIRM=0" xr:uid="{208AF7DE-36DD-4791-AF75-1A2E3CB25598}"/>
    <hyperlink ref="C1699" r:id="rId1694" display="https://pld.live/RapDetail.aspx?STONELIST=821125985&amp;ISCONFIRM=0" xr:uid="{165D1F22-C4D7-4B12-9675-E4EFA7F17BB1}"/>
    <hyperlink ref="C1700" r:id="rId1695" display="https://pld.live/RapDetail.aspx?STONELIST=821125976&amp;ISCONFIRM=0" xr:uid="{46DB09AC-3307-4885-A89B-01DCEE4ECF52}"/>
    <hyperlink ref="C1701" r:id="rId1696" display="https://pld.live/RapDetail.aspx?STONELIST=925290407&amp;ISCONFIRM=0" xr:uid="{78F87844-B9D2-477D-8496-A83BC64DB496}"/>
    <hyperlink ref="C1702" r:id="rId1697" display="https://pld.live/RapDetail.aspx?STONELIST=941280389&amp;ISCONFIRM=0" xr:uid="{53A91656-D395-45C1-86C9-A939160CD06B}"/>
    <hyperlink ref="C1703" r:id="rId1698" display="https://pld.live/RapDetail.aspx?STONELIST=925290284&amp;ISCONFIRM=0" xr:uid="{A7D00205-19F6-4B0F-A144-3E54BC1963E8}"/>
    <hyperlink ref="C1704" r:id="rId1699" display="https://pld.live/RapDetail.aspx?STONELIST=926671095&amp;ISCONFIRM=0" xr:uid="{75F302EA-E82A-4D6A-8E52-E54DE92AC2A4}"/>
    <hyperlink ref="C1705" r:id="rId1700" display="https://pld.live/RapDetail.aspx?STONELIST=925910332&amp;ISCONFIRM=0" xr:uid="{B596EB2B-452B-4EC7-AA5E-52B4CC1F6F8A}"/>
    <hyperlink ref="C1706" r:id="rId1701" display="https://pld.live/RapDetail.aspx?STONELIST=926661297&amp;ISCONFIRM=0" xr:uid="{42300E6B-E8D0-4661-8B62-5AC55A29B452}"/>
    <hyperlink ref="C1707" r:id="rId1702" display="https://pld.live/RapDetail.aspx?STONELIST=926661468&amp;ISCONFIRM=0" xr:uid="{A3FC937C-DDEE-4688-83F7-0E61E2277CE0}"/>
    <hyperlink ref="C1708" r:id="rId1703" display="https://pld.live/RapDetail.aspx?STONELIST=926670919&amp;ISCONFIRM=0" xr:uid="{02FC36E0-5186-4B79-B976-8745C47B6004}"/>
    <hyperlink ref="C1709" r:id="rId1704" display="https://pld.live/RapDetail.aspx?STONELIST=926690921&amp;ISCONFIRM=0" xr:uid="{9D64C981-9274-4E29-A923-D1F8D46DE9BD}"/>
    <hyperlink ref="C1710" r:id="rId1705" display="https://pld.live/RapDetail.aspx?STONELIST=926690868&amp;ISCONFIRM=0" xr:uid="{E26E1B3E-71C6-4FA8-8A8F-00CE9C89FFA9}"/>
    <hyperlink ref="C1711" r:id="rId1706" display="https://pld.live/RapDetail.aspx?STONELIST=926690816&amp;ISCONFIRM=0" xr:uid="{29E9EA9A-B150-4F8E-A020-63C506D00865}"/>
    <hyperlink ref="C1712" r:id="rId1707" display="https://pld.live/RapDetail.aspx?STONELIST=926690777&amp;ISCONFIRM=0" xr:uid="{8A859856-B238-4128-98CA-D300359569EC}"/>
    <hyperlink ref="C1713" r:id="rId1708" display="https://pld.live/RapDetail.aspx?STONELIST=941190262&amp;ISCONFIRM=0" xr:uid="{5FF3E16B-27F4-4335-A7F8-29B5EA9078D7}"/>
    <hyperlink ref="C1714" r:id="rId1709" display="https://pld.live/RapDetail.aspx?STONELIST=941190773&amp;ISCONFIRM=0" xr:uid="{1D809C13-F723-4D96-8AF5-1044D9C21999}"/>
    <hyperlink ref="C1715" r:id="rId1710" display="https://pld.live/RapDetail.aspx?STONELIST=926731248&amp;ISCONFIRM=0" xr:uid="{65456735-6E7A-4AB9-B9C0-B2ECA9E808EB}"/>
    <hyperlink ref="C1716" r:id="rId1711" display="https://pld.live/RapDetail.aspx?STONELIST=926670993&amp;ISCONFIRM=0" xr:uid="{268285C7-15CB-4116-A555-455B9994B312}"/>
    <hyperlink ref="C1717" r:id="rId1712" display="https://pld.live/RapDetail.aspx?STONELIST=926950161&amp;ISCONFIRM=0" xr:uid="{D1FD89A8-CDC1-4B39-AF88-F4A577A831BE}"/>
    <hyperlink ref="C1718" r:id="rId1713" display="https://pld.live/RapDetail.aspx?STONELIST=821128453&amp;ISCONFIRM=0" xr:uid="{2020AFB1-3EA0-4A58-8DE2-229B12574629}"/>
    <hyperlink ref="C1719" r:id="rId1714" display="https://pld.live/RapDetail.aspx?STONELIST=821128459&amp;ISCONFIRM=0" xr:uid="{7AE9B02F-6E2E-48DD-9F08-0DB398CC97F1}"/>
    <hyperlink ref="C1720" r:id="rId1715" display="https://pld.live/RapDetail.aspx?STONELIST=821128468&amp;ISCONFIRM=0" xr:uid="{899390C3-DA76-4AAA-8754-C611861D55AF}"/>
    <hyperlink ref="C1721" r:id="rId1716" display="https://pld.live/RapDetail.aspx?STONELIST=941400297&amp;ISCONFIRM=0" xr:uid="{3A10F761-B595-471A-9481-2BE8F7CC4943}"/>
    <hyperlink ref="C1722" r:id="rId1717" display="https://pld.live/RapDetail.aspx?STONELIST=941400389&amp;ISCONFIRM=0" xr:uid="{6FDB4833-EDFB-4D1B-81B9-9C6A7FC78BBA}"/>
    <hyperlink ref="C1723" r:id="rId1718" display="https://pld.live/RapDetail.aspx?STONELIST=941370507&amp;ISCONFIRM=0" xr:uid="{ED0F546F-D542-428D-8E26-180D7118074B}"/>
    <hyperlink ref="C1724" r:id="rId1719" display="https://pld.live/RapDetail.aspx?STONELIST=941280091&amp;ISCONFIRM=0" xr:uid="{E28E093B-98C0-47ED-983E-ABEFD3021694}"/>
    <hyperlink ref="C1725" r:id="rId1720" display="https://pld.live/RapDetail.aspx?STONELIST=941270637&amp;ISCONFIRM=0" xr:uid="{F4C54DC9-8BBD-4E94-BEDB-B20499352CEF}"/>
    <hyperlink ref="C1726" r:id="rId1721" display="https://pld.live/RapDetail.aspx?STONELIST=941270638&amp;ISCONFIRM=0" xr:uid="{B68F061E-0D0E-4F54-BBC2-247276C23FB1}"/>
    <hyperlink ref="C1727" r:id="rId1722" display="https://pld.live/RapDetail.aspx?STONELIST=941380160&amp;ISCONFIRM=0" xr:uid="{C81BBA55-035E-4814-AFC6-7AAFC4CDB4C9}"/>
    <hyperlink ref="C1728" r:id="rId1723" display="https://pld.live/RapDetail.aspx?STONELIST=941380226&amp;ISCONFIRM=0" xr:uid="{ABDF4A44-70BC-4C4D-B4CC-8205482A279C}"/>
    <hyperlink ref="C1729" r:id="rId1724" display="https://pld.live/RapDetail.aspx?STONELIST=821128465&amp;ISCONFIRM=0" xr:uid="{C4392269-D90F-40B8-8AC7-D7CE2D7A9DCC}"/>
    <hyperlink ref="C1730" r:id="rId1725" display="https://pld.live/RapDetail.aspx?STONELIST=926941065&amp;ISCONFIRM=0" xr:uid="{C2CB1AA3-BB84-4A22-8EB0-CA79356AAAF9}"/>
    <hyperlink ref="C1731" r:id="rId1726" display="https://pld.live/RapDetail.aspx?STONELIST=941190181&amp;ISCONFIRM=0" xr:uid="{286B9E54-05EE-4B37-8D73-C9B5190F205F}"/>
    <hyperlink ref="C1732" r:id="rId1727" display="https://pld.live/RapDetail.aspx?STONELIST=941190431&amp;ISCONFIRM=0" xr:uid="{007C0E46-4631-49AF-A5B9-FB31C088BE5B}"/>
    <hyperlink ref="C1733" r:id="rId1728" display="https://pld.live/RapDetail.aspx?STONELIST=926440768&amp;ISCONFIRM=0" xr:uid="{4A5DC4DD-D852-44AD-9B99-2C35F1505FA9}"/>
    <hyperlink ref="C1734" r:id="rId1729" display="https://pld.live/RapDetail.aspx?STONELIST=926960828&amp;ISCONFIRM=0" xr:uid="{04EB4BFC-894B-44DC-8B96-32B07951C6E8}"/>
    <hyperlink ref="C1735" r:id="rId1730" display="https://pld.live/RapDetail.aspx?STONELIST=941220072&amp;ISCONFIRM=0" xr:uid="{537A26FA-1197-4411-B0CB-409CE159E7B0}"/>
    <hyperlink ref="C1736" r:id="rId1731" display="https://pld.live/RapDetail.aspx?STONELIST=926671116&amp;ISCONFIRM=0" xr:uid="{2315E2CD-FE62-42BD-9B0E-1D035FB3F26A}"/>
    <hyperlink ref="C1737" r:id="rId1732" display="https://pld.live/RapDetail.aspx?STONELIST=926972145&amp;ISCONFIRM=0" xr:uid="{4439D342-7A30-4D9F-93C8-BC644E24BEE5}"/>
    <hyperlink ref="C1738" r:id="rId1733" display="https://pld.live/RapDetail.aspx?STONELIST=941270613&amp;ISCONFIRM=0" xr:uid="{3CDB07EF-6034-451B-B377-67AC83E2C751}"/>
    <hyperlink ref="C1739" r:id="rId1734" display="https://pld.live/RapDetail.aspx?STONELIST=941190175&amp;ISCONFIRM=0" xr:uid="{2AE7B56C-63EA-4B2A-A47A-9C707F7BB823}"/>
    <hyperlink ref="C1740" r:id="rId1735" display="https://pld.live/RapDetail.aspx?STONELIST=941190124&amp;ISCONFIRM=0" xr:uid="{14DF9048-EC92-4E74-8552-EC143093435F}"/>
    <hyperlink ref="C1741" r:id="rId1736" display="https://pld.live/RapDetail.aspx?STONELIST=941350921&amp;ISCONFIRM=0" xr:uid="{25855ABF-8C73-4ABC-8901-DEA0116B7388}"/>
    <hyperlink ref="C1742" r:id="rId1737" display="https://pld.live/RapDetail.aspx?STONELIST=941280361&amp;ISCONFIRM=0" xr:uid="{1366E94E-0BC7-4098-BDD5-F3F38920E79F}"/>
    <hyperlink ref="C1743" r:id="rId1738" display="https://pld.live/RapDetail.aspx?STONELIST=941190255&amp;ISCONFIRM=0" xr:uid="{8DBAA866-2B74-4B24-93ED-B62FBDF53620}"/>
    <hyperlink ref="C1744" r:id="rId1739" display="https://pld.live/RapDetail.aspx?STONELIST=941190339&amp;ISCONFIRM=0" xr:uid="{DA31E7B8-6046-41F2-B71D-92ADAC0869BE}"/>
    <hyperlink ref="C1745" r:id="rId1740" display="https://pld.live/RapDetail.aspx?STONELIST=941230268&amp;ISCONFIRM=0" xr:uid="{338E0B7C-7540-48B2-9537-F2A4F84DC8F1}"/>
    <hyperlink ref="C1746" r:id="rId1741" display="https://pld.live/RapDetail.aspx?STONELIST=941220132&amp;ISCONFIRM=0" xr:uid="{4A256BE8-EBEC-4537-A7E6-F63A9DE46852}"/>
    <hyperlink ref="C1747" r:id="rId1742" display="https://pld.live/RapDetail.aspx?STONELIST=941220181&amp;ISCONFIRM=0" xr:uid="{85D59FC1-5F61-4058-BED9-B5CA9AB236F9}"/>
    <hyperlink ref="C1748" r:id="rId1743" display="https://pld.live/RapDetail.aspx?STONELIST=941190358&amp;ISCONFIRM=0" xr:uid="{E0F66ED4-F8EF-43B8-AF71-DC6D46106C39}"/>
    <hyperlink ref="C1749" r:id="rId1744" display="https://pld.live/RapDetail.aspx?STONELIST=941190436&amp;ISCONFIRM=0" xr:uid="{EA453DF9-C06A-4BA0-93FF-724FF4E0B294}"/>
    <hyperlink ref="C1750" r:id="rId1745" display="https://pld.live/RapDetail.aspx?STONELIST=941190372&amp;ISCONFIRM=0" xr:uid="{29F23B76-DCF7-4CD7-A60F-1A47AA9D19BB}"/>
    <hyperlink ref="C1751" r:id="rId1746" display="https://pld.live/RapDetail.aspx?STONELIST=941360535&amp;ISCONFIRM=0" xr:uid="{4E4AE303-3333-4A32-AE73-7E51B0C731BB}"/>
    <hyperlink ref="C1752" r:id="rId1747" display="https://pld.live/RapDetail.aspx?STONELIST=941190398&amp;ISCONFIRM=0" xr:uid="{1C2F1B80-90EF-4F39-8860-C762CB898717}"/>
    <hyperlink ref="C1753" r:id="rId1748" display="https://pld.live/RapDetail.aspx?STONELIST=941190405&amp;ISCONFIRM=0" xr:uid="{A142DE45-2BE9-463C-885C-1FB166BB067C}"/>
    <hyperlink ref="C1754" r:id="rId1749" display="https://pld.live/RapDetail.aspx?STONELIST=941400288&amp;ISCONFIRM=0" xr:uid="{AA190986-CC30-4C1F-BA94-9F4AFE3E36D9}"/>
    <hyperlink ref="C1755" r:id="rId1750" display="https://pld.live/RapDetail.aspx?STONELIST=941390202&amp;ISCONFIRM=0" xr:uid="{F0CF892D-34F2-4269-B609-CBA3C5014C97}"/>
    <hyperlink ref="C1756" r:id="rId1751" display="https://pld.live/RapDetail.aspx?STONELIST=926960691&amp;ISCONFIRM=0" xr:uid="{12D30A59-77D3-4ACC-8551-B3D4211FFE6E}"/>
    <hyperlink ref="C1757" r:id="rId1752" display="https://pld.live/RapDetail.aspx?STONELIST=941190379&amp;ISCONFIRM=0" xr:uid="{F610C9BF-DFC7-41A5-863A-8AB2ABAC8806}"/>
    <hyperlink ref="C1758" r:id="rId1753" display="https://pld.live/RapDetail.aspx?STONELIST=927092151&amp;ISCONFIRM=0" xr:uid="{8ABE6C37-7D72-4CBF-A8A0-166ED1F18756}"/>
    <hyperlink ref="C1759" r:id="rId1754" display="https://pld.live/RapDetail.aspx?STONELIST=941190160&amp;ISCONFIRM=0" xr:uid="{62B1C4F7-A5A1-4050-889B-8ADC4F5C410E}"/>
    <hyperlink ref="C1760" r:id="rId1755" display="https://pld.live/RapDetail.aspx?STONELIST=926671096&amp;ISCONFIRM=0" xr:uid="{9E4E08A6-FC07-43F8-A73E-60B56B06E0E1}"/>
    <hyperlink ref="C1761" r:id="rId1756" display="https://pld.live/RapDetail.aspx?STONELIST=926661728&amp;ISCONFIRM=0" xr:uid="{E603295D-361C-41DC-91C2-68AF02E48166}"/>
    <hyperlink ref="C1762" r:id="rId1757" display="https://pld.live/RapDetail.aspx?STONELIST=941400417&amp;ISCONFIRM=0" xr:uid="{75512AAC-ED89-406D-906F-3D3AA77344CB}"/>
    <hyperlink ref="C1763" r:id="rId1758" display="https://pld.live/RapDetail.aspx?STONELIST=941200074&amp;ISCONFIRM=0" xr:uid="{86D9D923-B643-4962-A826-DCF9B218C50D}"/>
    <hyperlink ref="C1764" r:id="rId1759" display="https://pld.live/RapDetail.aspx?STONELIST=926460758&amp;ISCONFIRM=0" xr:uid="{2B5D8C44-C279-40C4-AF0E-06114812E5D4}"/>
    <hyperlink ref="C1765" r:id="rId1760" display="https://pld.live/RapDetail.aspx?STONELIST=941080554&amp;ISCONFIRM=0" xr:uid="{F9575536-AAEC-4A82-8889-7DD81C621933}"/>
    <hyperlink ref="C1766" r:id="rId1761" display="https://pld.live/RapDetail.aspx?STONELIST=926460806&amp;ISCONFIRM=0" xr:uid="{DEACCA33-7353-4262-829B-58DD9273235C}"/>
    <hyperlink ref="C1767" r:id="rId1762" display="https://pld.live/RapDetail.aspx?STONELIST=926771212&amp;ISCONFIRM=0" xr:uid="{4349739C-1651-4195-ADD0-9DCBFE8A5A1C}"/>
    <hyperlink ref="C1768" r:id="rId1763" display="https://pld.live/RapDetail.aspx?STONELIST=941190058&amp;ISCONFIRM=0" xr:uid="{F7909268-0685-495E-BAB1-59F33BAB7AE7}"/>
    <hyperlink ref="C1769" r:id="rId1764" display="https://pld.live/RapDetail.aspx?STONELIST=941380239&amp;ISCONFIRM=0" xr:uid="{19D61224-0E29-44D2-BAD4-45CBB53A5EB5}"/>
    <hyperlink ref="C1770" r:id="rId1765" display="https://pld.live/RapDetail.aspx?STONELIST=941360361&amp;ISCONFIRM=0" xr:uid="{E777C78C-B500-4D9C-A303-D9B419D11DE2}"/>
    <hyperlink ref="C1771" r:id="rId1766" display="https://pld.live/RapDetail.aspx?STONELIST=941190535&amp;ISCONFIRM=0" xr:uid="{00E014A3-C687-4FC8-AAC6-87DFB0310E90}"/>
    <hyperlink ref="C1772" r:id="rId1767" display="https://pld.live/RapDetail.aspx?STONELIST=941190760&amp;ISCONFIRM=0" xr:uid="{1F6E1F70-9422-4C9F-91F1-6713D991007D}"/>
    <hyperlink ref="C1773" r:id="rId1768" display="https://pld.live/RapDetail.aspx?STONELIST=926330396&amp;ISCONFIRM=0" xr:uid="{123EAC02-1C6E-495D-B9F6-11CAD8CC434E}"/>
    <hyperlink ref="C1774" r:id="rId1769" display="https://pld.live/RapDetail.aspx?STONELIST=926330699&amp;ISCONFIRM=0" xr:uid="{0D312FC4-E6F5-434A-9E90-DD9AA6BE146A}"/>
    <hyperlink ref="C1775" r:id="rId1770" display="https://pld.live/RapDetail.aspx?STONELIST=926330768&amp;ISCONFIRM=0" xr:uid="{2AEED992-9CE6-44AE-855D-73DEE999A4BA}"/>
    <hyperlink ref="C1776" r:id="rId1771" display="https://pld.live/RapDetail.aspx?STONELIST=941230579&amp;ISCONFIRM=0" xr:uid="{927A02B5-E00D-4D6A-A57A-8A831DF8C703}"/>
    <hyperlink ref="C1777" r:id="rId1772" display="https://pld.live/RapDetail.aspx?STONELIST=941190199&amp;ISCONFIRM=0" xr:uid="{A93DF0AB-846A-4E61-99F7-A1CBBE18D45B}"/>
    <hyperlink ref="C1778" r:id="rId1773" display="https://pld.live/RapDetail.aspx?STONELIST=926320631&amp;ISCONFIRM=0" xr:uid="{B783A820-7B67-4A6E-96D7-EC7E4602D63A}"/>
    <hyperlink ref="C1779" r:id="rId1774" display="https://pld.live/RapDetail.aspx?STONELIST=821128455&amp;ISCONFIRM=0" xr:uid="{89511E8A-21E2-42CD-8578-599938F9FE2B}"/>
    <hyperlink ref="C1780" r:id="rId1775" display="https://pld.live/RapDetail.aspx?STONELIST=941270688&amp;ISCONFIRM=0" xr:uid="{1FE85FAA-2995-4366-8CFC-BBF0E554BAEE}"/>
    <hyperlink ref="C1781" r:id="rId1776" display="https://pld.live/RapDetail.aspx?STONELIST=941270660&amp;ISCONFIRM=0" xr:uid="{7241450B-153A-45D3-889F-49520BF7AA37}"/>
    <hyperlink ref="C1782" r:id="rId1777" display="https://pld.live/RapDetail.aspx?STONELIST=941270608&amp;ISCONFIRM=0" xr:uid="{3C2076D9-2B7D-46A9-AF02-1C6313A25AED}"/>
    <hyperlink ref="C1783" r:id="rId1778" display="https://pld.live/RapDetail.aspx?STONELIST=926320394&amp;ISCONFIRM=0" xr:uid="{55012630-9D0E-4F4C-932A-12CA95D55560}"/>
    <hyperlink ref="C1784" r:id="rId1779" display="https://pld.live/RapDetail.aspx?STONELIST=926330753&amp;ISCONFIRM=0" xr:uid="{100711F4-FD08-42BD-9E7C-276DBDB018F0}"/>
    <hyperlink ref="C1785" r:id="rId1780" display="https://pld.live/RapDetail.aspx?STONELIST=926330940&amp;ISCONFIRM=0" xr:uid="{453E688C-890D-425B-B727-2757606653FC}"/>
    <hyperlink ref="C1786" r:id="rId1781" display="https://pld.live/RapDetail.aspx?STONELIST=941220020&amp;ISCONFIRM=0" xr:uid="{60547CCD-EF8B-4D02-90DB-E294A0DB4354}"/>
    <hyperlink ref="C1787" r:id="rId1782" display="https://pld.live/RapDetail.aspx?STONELIST=941360314&amp;ISCONFIRM=0" xr:uid="{A3E6D1A7-2503-4FBF-840D-A8426AF9E93F}"/>
    <hyperlink ref="C1788" r:id="rId1783" display="https://pld.live/RapDetail.aspx?STONELIST=925090822&amp;ISCONFIRM=0" xr:uid="{B7DAD1E7-0932-49CA-8432-7FC699E1E298}"/>
    <hyperlink ref="C1789" r:id="rId1784" display="https://pld.live/RapDetail.aspx?STONELIST=926771263&amp;ISCONFIRM=0" xr:uid="{463064EA-A847-4309-B3E4-4BB997CF9AF3}"/>
    <hyperlink ref="C1790" r:id="rId1785" display="https://pld.live/RapDetail.aspx?STONELIST=941330282&amp;ISCONFIRM=0" xr:uid="{65CE532C-558D-4EF4-B6CD-34CC9FF5B47B}"/>
    <hyperlink ref="C1791" r:id="rId1786" display="https://pld.live/RapDetail.aspx?STONELIST=941270734&amp;ISCONFIRM=0" xr:uid="{E29EC678-3C5E-41AA-8247-168BF7294C0B}"/>
    <hyperlink ref="C1792" r:id="rId1787" display="https://pld.live/RapDetail.aspx?STONELIST=941270581&amp;ISCONFIRM=0" xr:uid="{DD534AC7-D0C6-4F94-9ACE-BCA4C1D7547D}"/>
    <hyperlink ref="C1793" r:id="rId1788" display="https://pld.live/RapDetail.aspx?STONELIST=941190891&amp;ISCONFIRM=0" xr:uid="{FD01D85B-6B12-435B-B1A6-A0D24A7E5916}"/>
    <hyperlink ref="C1794" r:id="rId1789" display="https://pld.live/RapDetail.aspx?STONELIST=941220052&amp;ISCONFIRM=0" xr:uid="{280521E0-679A-4155-AE47-3C5BF751C5EE}"/>
    <hyperlink ref="C1795" r:id="rId1790" display="https://pld.live/RapDetail.aspx?STONELIST=941220084&amp;ISCONFIRM=0" xr:uid="{2600B44F-CB1A-4140-9E57-8870FC536291}"/>
    <hyperlink ref="C1796" r:id="rId1791" display="https://pld.live/RapDetail.aspx?STONELIST=941230207&amp;ISCONFIRM=0" xr:uid="{9A794294-92C6-43CF-A59C-C94CCE8BAD9D}"/>
    <hyperlink ref="C1797" r:id="rId1792" display="https://pld.live/RapDetail.aspx?STONELIST=941340424&amp;ISCONFIRM=0" xr:uid="{8200E938-C4A5-410F-B49D-43F961095D42}"/>
    <hyperlink ref="C1798" r:id="rId1793" display="https://pld.live/RapDetail.aspx?STONELIST=941230013&amp;ISCONFIRM=0" xr:uid="{A4DD6C8F-53E5-4BF4-BB30-5971CCFD1CF6}"/>
    <hyperlink ref="C1799" r:id="rId1794" display="https://pld.live/RapDetail.aspx?STONELIST=821128457&amp;ISCONFIRM=0" xr:uid="{3EEADF59-A6F0-492C-99B3-5610CF2B88DF}"/>
    <hyperlink ref="C1800" r:id="rId1795" display="https://pld.live/RapDetail.aspx?STONELIST=941380376&amp;ISCONFIRM=0" xr:uid="{DA90036B-AB09-4011-A723-3F8EA6F71C92}"/>
    <hyperlink ref="C1801" r:id="rId1796" display="https://pld.live/RapDetail.aspx?STONELIST=941320503&amp;ISCONFIRM=0" xr:uid="{DB5F42CB-B6FF-48B3-80E8-CBAAA5211B84}"/>
    <hyperlink ref="C1802" r:id="rId1797" display="https://pld.live/RapDetail.aspx?STONELIST=941260999&amp;ISCONFIRM=0" xr:uid="{7220F172-7475-4E61-8D42-6F5A210E900B}"/>
    <hyperlink ref="C1803" r:id="rId1798" display="https://pld.live/RapDetail.aspx?STONELIST=941270652&amp;ISCONFIRM=0" xr:uid="{439CD7AE-D3EA-4AC3-B832-DE6E9608A63F}"/>
    <hyperlink ref="C1804" r:id="rId1799" display="https://pld.live/RapDetail.aspx?STONELIST=821128462&amp;ISCONFIRM=0" xr:uid="{CC1250DA-298A-47FC-AB3B-374727171BA0}"/>
    <hyperlink ref="C1805" r:id="rId1800" display="https://pld.live/RapDetail.aspx?STONELIST=941330526&amp;ISCONFIRM=0" xr:uid="{A0C70358-C174-433B-B6E2-DB2A55AF5957}"/>
    <hyperlink ref="C1806" r:id="rId1801" display="https://pld.live/RapDetail.aspx?STONELIST=941270621&amp;ISCONFIRM=0" xr:uid="{ABBE274A-53AF-413A-A8A0-D65D2FF30832}"/>
    <hyperlink ref="C1807" r:id="rId1802" display="https://pld.live/RapDetail.aspx?STONELIST=941260775&amp;ISCONFIRM=0" xr:uid="{C617D594-D5DF-4F8E-B22D-EB7495810AF6}"/>
    <hyperlink ref="C1808" r:id="rId1803" display="https://pld.live/RapDetail.aspx?STONELIST=941270409&amp;ISCONFIRM=0" xr:uid="{1388919E-B3DA-4441-858D-A2EF15A6C870}"/>
    <hyperlink ref="C1809" r:id="rId1804" display="https://pld.live/RapDetail.aspx?STONELIST=941270616&amp;ISCONFIRM=0" xr:uid="{1EAE9FE7-E5BD-4A69-A697-D4F6A783D8C6}"/>
    <hyperlink ref="C1810" r:id="rId1805" display="https://pld.live/RapDetail.aspx?STONELIST=941400471&amp;ISCONFIRM=0" xr:uid="{C3CE9A39-165E-4916-9BCA-396EB09B2B02}"/>
    <hyperlink ref="C1811" r:id="rId1806" display="https://pld.live/RapDetail.aspx?STONELIST=926330541&amp;ISCONFIRM=0" xr:uid="{5448B1F3-94EC-44B9-BB1B-5FCA7DE29F68}"/>
    <hyperlink ref="C1812" r:id="rId1807" display="https://pld.live/RapDetail.aspx?STONELIST=941260892&amp;ISCONFIRM=0" xr:uid="{3655CF9D-2C96-49DF-9904-E7332BEB346F}"/>
    <hyperlink ref="C1813" r:id="rId1808" display="https://pld.live/RapDetail.aspx?STONELIST=926350466&amp;ISCONFIRM=0" xr:uid="{ECBA0043-D666-4D4D-9A97-0FA943BAF40A}"/>
    <hyperlink ref="C1814" r:id="rId1809" display="https://pld.live/RapDetail.aspx?STONELIST=926320654&amp;ISCONFIRM=0" xr:uid="{30EFC281-0010-42FB-B98B-B38F933CE954}"/>
    <hyperlink ref="C1815" r:id="rId1810" display="https://pld.live/RapDetail.aspx?STONELIST=926320719&amp;ISCONFIRM=0" xr:uid="{8085F25B-0705-4BAE-BD7D-4F73E4A64B53}"/>
    <hyperlink ref="C1816" r:id="rId1811" display="https://pld.live/RapDetail.aspx?STONELIST=925910235&amp;ISCONFIRM=0" xr:uid="{20D2B943-3A56-4167-BF85-3D72D1E8D1F7}"/>
    <hyperlink ref="C1817" r:id="rId1812" display="https://pld.live/RapDetail.aspx?STONELIST=926661436&amp;ISCONFIRM=0" xr:uid="{83930C80-8D46-491B-B598-2A3C6815D933}"/>
    <hyperlink ref="C1818" r:id="rId1813" display="https://pld.live/RapDetail.aspx?STONELIST=926331674&amp;ISCONFIRM=0" xr:uid="{9D710DEE-5C73-4B3B-815E-C275C42CCDFE}"/>
    <hyperlink ref="C1819" r:id="rId1814" display="https://pld.live/RapDetail.aspx?STONELIST=926550382&amp;ISCONFIRM=0" xr:uid="{9DB2914E-CB71-4490-BB0C-8AFDC4A298A4}"/>
    <hyperlink ref="C1820" r:id="rId1815" display="https://pld.live/RapDetail.aspx?STONELIST=926280772&amp;ISCONFIRM=0" xr:uid="{A39050C0-A9DF-4728-B87B-BBFF30D743B6}"/>
    <hyperlink ref="C1821" r:id="rId1816" display="https://pld.live/RapDetail.aspx?STONELIST=926320717&amp;ISCONFIRM=0" xr:uid="{5C18657C-14C5-4078-BF4F-2D7132B03281}"/>
    <hyperlink ref="C1822" r:id="rId1817" display="https://pld.live/RapDetail.aspx?STONELIST=926320546&amp;ISCONFIRM=0" xr:uid="{B7AC1F8B-D884-4162-8DD8-9B26C13E223D}"/>
    <hyperlink ref="C1823" r:id="rId1818" display="https://pld.live/RapDetail.aspx?STONELIST=925090400&amp;ISCONFIRM=0" xr:uid="{8006EAAD-1CEA-4042-998B-EA2B040D437F}"/>
    <hyperlink ref="C1824" r:id="rId1819" display="https://pld.live/RapDetail.aspx?STONELIST=924580127&amp;ISCONFIRM=0" xr:uid="{6C940ADE-0AFC-4827-90B7-39077956539E}"/>
    <hyperlink ref="C1825" r:id="rId1820" display="https://pld.live/RapDetail.aspx?STONELIST=925840837&amp;ISCONFIRM=0" xr:uid="{F7941D34-DA67-4303-BE92-1D71DA636EEC}"/>
    <hyperlink ref="C1826" r:id="rId1821" display="https://pld.live/RapDetail.aspx?STONELIST=926661566&amp;ISCONFIRM=0" xr:uid="{6F6F5ECD-D512-449C-8558-F56FD155BFD5}"/>
    <hyperlink ref="C1827" r:id="rId1822" display="https://pld.live/RapDetail.aspx?STONELIST=925730874&amp;ISCONFIRM=0" xr:uid="{545071B0-B23C-44AD-89FB-1B97D5A15AFB}"/>
    <hyperlink ref="C1828" r:id="rId1823" display="https://pld.live/RapDetail.aspx?STONELIST=926300915&amp;ISCONFIRM=0" xr:uid="{92BAE634-CF9D-4067-B175-5EE6CE2AF5AD}"/>
    <hyperlink ref="C1829" r:id="rId1824" display="https://pld.live/RapDetail.aspx?STONELIST=926320951&amp;ISCONFIRM=0" xr:uid="{B2AD97CA-459A-4B90-B146-5ABADE7B8638}"/>
    <hyperlink ref="C1830" r:id="rId1825" display="https://pld.live/RapDetail.aspx?STONELIST=926180856&amp;ISCONFIRM=0" xr:uid="{2009F689-2BF6-4718-AD1D-FACFF0662D1E}"/>
    <hyperlink ref="C1831" r:id="rId1826" display="https://pld.live/RapDetail.aspx?STONELIST=926181012&amp;ISCONFIRM=0" xr:uid="{05BBEF6D-C7DA-47CF-B013-D97203103963}"/>
    <hyperlink ref="C1832" r:id="rId1827" display="https://pld.live/RapDetail.aspx?STONELIST=926301247&amp;ISCONFIRM=0" xr:uid="{5CBC3A31-BBD3-4C69-ACAC-F01F71177A7C}"/>
    <hyperlink ref="C1833" r:id="rId1828" display="https://pld.live/RapDetail.aspx?STONELIST=925910249&amp;ISCONFIRM=0" xr:uid="{EA8AB4C3-CC10-4E9C-B214-7E4B4E9251BD}"/>
    <hyperlink ref="C1834" r:id="rId1829" display="https://pld.live/RapDetail.aspx?STONELIST=925750523&amp;ISCONFIRM=0" xr:uid="{1B4126B4-2070-4305-90F2-ADD2814DA787}"/>
    <hyperlink ref="C1835" r:id="rId1830" display="https://pld.live/RapDetail.aspx?STONELIST=925870605&amp;ISCONFIRM=0" xr:uid="{8A8C9490-5B99-4678-853C-305AD5241DD0}"/>
    <hyperlink ref="C1836" r:id="rId1831" display="https://pld.live/RapDetail.aspx?STONELIST=821127842&amp;ISCONFIRM=0" xr:uid="{415A88F7-05E9-4B7F-99D4-8B23B20024EC}"/>
    <hyperlink ref="C1837" r:id="rId1832" display="https://pld.live/RapDetail.aspx?STONELIST=925840680&amp;ISCONFIRM=0" xr:uid="{3DF03CD3-BF49-42D0-93F2-6A900844B881}"/>
    <hyperlink ref="C1838" r:id="rId1833" display="https://pld.live/RapDetail.aspx?STONELIST=925910666&amp;ISCONFIRM=0" xr:uid="{4050D564-5816-4D16-B27D-69157D4EA78B}"/>
    <hyperlink ref="C1839" r:id="rId1834" display="https://pld.live/RapDetail.aspx?STONELIST=926101532&amp;ISCONFIRM=0" xr:uid="{D08745FF-61E3-4CAB-A099-8E04856CC501}"/>
    <hyperlink ref="C1840" r:id="rId1835" display="https://pld.live/RapDetail.aspx?STONELIST=925870547&amp;ISCONFIRM=0" xr:uid="{EC93982D-B3F4-4354-B35F-0EEAB943FA9B}"/>
    <hyperlink ref="C1841" r:id="rId1836" display="https://pld.live/RapDetail.aspx?STONELIST=925840786&amp;ISCONFIRM=0" xr:uid="{3066DDA5-E9DC-45B0-A484-C2CBB32D296A}"/>
    <hyperlink ref="C1842" r:id="rId1837" display="https://pld.live/RapDetail.aspx?STONELIST=925780345&amp;ISCONFIRM=0" xr:uid="{91EBD462-2791-48B9-859E-BB74844FF83C}"/>
    <hyperlink ref="C1843" r:id="rId1838" display="https://pld.live/RapDetail.aspx?STONELIST=821121164&amp;ISCONFIRM=0" xr:uid="{12DC8147-5FD9-4CE8-80E6-3B6A0CBA2D67}"/>
    <hyperlink ref="C1844" r:id="rId1839" display="https://pld.live/RapDetail.aspx?STONELIST=821127841&amp;ISCONFIRM=0" xr:uid="{9AAC5EBE-3690-41F8-ABA2-49EB78492618}"/>
    <hyperlink ref="C1845" r:id="rId1840" display="https://pld.live/RapDetail.aspx?STONELIST=925220049&amp;ISCONFIRM=0" xr:uid="{63F9C681-813B-4664-9DD0-77ADB6609590}"/>
    <hyperlink ref="C1846" r:id="rId1841" display="https://pld.live/RapDetail.aspx?STONELIST=925870524&amp;ISCONFIRM=0" xr:uid="{41EF1324-BEE6-440C-96C2-B18AA3419F56}"/>
    <hyperlink ref="C1847" r:id="rId1842" display="https://pld.live/RapDetail.aspx?STONELIST=924340252&amp;ISCONFIRM=0" xr:uid="{EA45EA9C-FB3A-48F2-91AD-2E2DD2286BAD}"/>
    <hyperlink ref="C1848" r:id="rId1843" display="https://pld.live/RapDetail.aspx?STONELIST=924400298&amp;ISCONFIRM=0" xr:uid="{A59F164E-33E8-48C6-8EF1-00E4F19463DF}"/>
    <hyperlink ref="C1849" r:id="rId1844" display="https://pld.live/RapDetail.aspx?STONELIST=926101594&amp;ISCONFIRM=0" xr:uid="{2789C7CE-CA77-475A-9A1C-1FF04C8DCA8B}"/>
    <hyperlink ref="C1850" r:id="rId1845" display="https://pld.live/RapDetail.aspx?STONELIST=925840185&amp;ISCONFIRM=0" xr:uid="{60B83080-DFA1-463C-BDD4-DB52BB5AD1A4}"/>
    <hyperlink ref="C1851" r:id="rId1846" display="https://pld.live/RapDetail.aspx?STONELIST=925910581&amp;ISCONFIRM=0" xr:uid="{372B4C2A-9501-4627-8D8B-11D929BE1E84}"/>
    <hyperlink ref="C1852" r:id="rId1847" display="https://pld.live/RapDetail.aspx?STONELIST=926081394&amp;ISCONFIRM=0" xr:uid="{90292E19-D9FB-41D3-9BF4-F844F694BEF2}"/>
    <hyperlink ref="C1853" r:id="rId1848" display="https://pld.live/RapDetail.aspx?STONELIST=924010570&amp;ISCONFIRM=0" xr:uid="{176B5A85-3C12-4058-902E-2C53E356580E}"/>
    <hyperlink ref="C1854" r:id="rId1849" display="https://pld.live/RapDetail.aspx?STONELIST=924400447&amp;ISCONFIRM=0" xr:uid="{0BEF8EBA-5313-41AD-8D80-6393BA3EC328}"/>
    <hyperlink ref="C1855" r:id="rId1850" display="https://pld.live/RapDetail.aspx?STONELIST=925840423&amp;ISCONFIRM=0" xr:uid="{975AF8BF-D471-442C-BE97-666DB737FD87}"/>
    <hyperlink ref="C1856" r:id="rId1851" display="https://pld.live/RapDetail.aspx?STONELIST=821127840&amp;ISCONFIRM=0" xr:uid="{E52BF059-9069-446B-8760-4D56E1E10832}"/>
    <hyperlink ref="C1857" r:id="rId1852" display="https://pld.live/RapDetail.aspx?STONELIST=925330009&amp;ISCONFIRM=0" xr:uid="{80833DCE-B444-4FA2-91B4-B96E8F972049}"/>
    <hyperlink ref="C1858" r:id="rId1853" display="https://pld.live/RapDetail.aspx?STONELIST=924420002&amp;ISCONFIRM=0" xr:uid="{080442D9-09AD-4D80-A770-047885EEA891}"/>
    <hyperlink ref="C1859" r:id="rId1854" display="https://pld.live/RapDetail.aspx?STONELIST=925290273&amp;ISCONFIRM=0" xr:uid="{075CFAF5-4736-44F9-BB16-F48E737FF1C4}"/>
    <hyperlink ref="C1860" r:id="rId1855" display="https://pld.live/RapDetail.aspx?STONELIST=923730423&amp;ISCONFIRM=0" xr:uid="{7DE864AF-DA10-4717-9F84-948631A7092B}"/>
    <hyperlink ref="C1861" r:id="rId1856" display="https://pld.live/RapDetail.aspx?STONELIST=923710355&amp;ISCONFIRM=0" xr:uid="{54B7F3F9-74E5-4BFA-8330-60C43DFD46EA}"/>
    <hyperlink ref="C1862" r:id="rId1857" display="https://pld.live/RapDetail.aspx?STONELIST=925910661&amp;ISCONFIRM=0" xr:uid="{569654D3-CC4C-4BE4-9A5D-49DB3A79AF11}"/>
    <hyperlink ref="C1863" r:id="rId1858" display="https://pld.live/RapDetail.aspx?STONELIST=925840709&amp;ISCONFIRM=0" xr:uid="{DD68A5A0-2A0E-46A1-8C91-9E60E9E8EE02}"/>
    <hyperlink ref="C1864" r:id="rId1859" display="https://pld.live/RapDetail.aspx?STONELIST=924460313&amp;ISCONFIRM=0" xr:uid="{16D32CD1-87F3-4C94-81BC-5F4167C99A70}"/>
    <hyperlink ref="C1865" r:id="rId1860" display="https://pld.live/RapDetail.aspx?STONELIST=925840754&amp;ISCONFIRM=0" xr:uid="{CFEE5A9B-5119-4985-9EAB-419C17722363}"/>
    <hyperlink ref="C1866" r:id="rId1861" display="https://pld.live/RapDetail.aspx?STONELIST=925780927&amp;ISCONFIRM=0" xr:uid="{4EACC36D-9B53-4BE9-AA60-529244C3169F}"/>
    <hyperlink ref="C1867" r:id="rId1862" display="https://pld.live/RapDetail.aspx?STONELIST=831010712&amp;ISCONFIRM=0" xr:uid="{9E377A17-6C4B-405F-A2E5-D719AA9DF8A1}"/>
    <hyperlink ref="C1868" r:id="rId1863" display="https://pld.live/RapDetail.aspx?STONELIST=925910783&amp;ISCONFIRM=0" xr:uid="{B456D057-6E3F-4359-8EDE-222A3B7296D3}"/>
    <hyperlink ref="C1869" r:id="rId1864" display="https://pld.live/RapDetail.aspx?STONELIST=925840519&amp;ISCONFIRM=0" xr:uid="{E18ED64E-4E51-4B29-8CA2-B8299D166DEE}"/>
    <hyperlink ref="C1870" r:id="rId1865" display="https://pld.live/RapDetail.aspx?STONELIST=831010486&amp;ISCONFIRM=0" xr:uid="{86333124-0E1A-43AA-A851-07FC24BBB692}"/>
    <hyperlink ref="C1871" r:id="rId1866" display="https://pld.live/RapDetail.aspx?STONELIST=941220209&amp;ISCONFIRM=0" xr:uid="{9C08AF8C-01E8-4EC0-8AB5-E0FD526728B5}"/>
    <hyperlink ref="C1872" r:id="rId1867" display="https://pld.live/RapDetail.aspx?STONELIST=925200015&amp;ISCONFIRM=0" xr:uid="{16475E9F-7E3E-4879-8507-20C6FE225253}"/>
    <hyperlink ref="C1873" r:id="rId1868" display="https://pld.live/RapDetail.aspx?STONELIST=926000008&amp;ISCONFIRM=0" xr:uid="{27CFC916-860F-4DF0-9666-05C22BAE7C0A}"/>
    <hyperlink ref="C1874" r:id="rId1869" display="https://pld.live/RapDetail.aspx?STONELIST=924540178&amp;ISCONFIRM=0" xr:uid="{430BFAB3-18CB-40E6-B579-E7AF0C725691}"/>
    <hyperlink ref="C1875" r:id="rId1870" display="https://pld.live/RapDetail.aspx?STONELIST=924220516&amp;ISCONFIRM=0" xr:uid="{A59513F3-0E02-4F37-953F-978352EC79BE}"/>
    <hyperlink ref="C1876" r:id="rId1871" display="https://pld.live/RapDetail.aspx?STONELIST=924460086&amp;ISCONFIRM=0" xr:uid="{418823A4-1C27-423C-828E-FBBE9594A854}"/>
    <hyperlink ref="C1877" r:id="rId1872" display="https://pld.live/RapDetail.aspx?STONELIST=924460335&amp;ISCONFIRM=0" xr:uid="{99763B3C-32F6-4F69-BCCE-1B006C6001E7}"/>
    <hyperlink ref="C1878" r:id="rId1873" display="https://pld.live/RapDetail.aspx?STONELIST=925840333&amp;ISCONFIRM=0" xr:uid="{157AE9EF-1572-4E97-935D-2E2473A1D2D2}"/>
    <hyperlink ref="C1879" r:id="rId1874" display="https://pld.live/RapDetail.aspx?STONELIST=831010261&amp;ISCONFIRM=0" xr:uid="{5CB31061-4826-4F39-90B5-14036BB003D3}"/>
    <hyperlink ref="C1880" r:id="rId1875" display="https://pld.live/RapDetail.aspx?STONELIST=924110179&amp;ISCONFIRM=0" xr:uid="{CF982570-4B4F-4199-A788-D7DAE4083BAD}"/>
    <hyperlink ref="C1881" r:id="rId1876" display="https://pld.live/RapDetail.aspx?STONELIST=821127870&amp;ISCONFIRM=0" xr:uid="{07999739-D577-4A26-84F8-9BA0FE2847CE}"/>
    <hyperlink ref="C1882" r:id="rId1877" display="https://pld.live/RapDetail.aspx?STONELIST=926771036&amp;ISCONFIRM=0" xr:uid="{7DE56220-E0AB-46A2-B025-CE45D96711F0}"/>
    <hyperlink ref="C1883" r:id="rId1878" display="https://pld.live/RapDetail.aspx?STONELIST=925370223&amp;ISCONFIRM=0" xr:uid="{221917C9-73A0-4AD4-B3FF-D593A0C64757}"/>
    <hyperlink ref="C1884" r:id="rId1879" display="https://pld.live/RapDetail.aspx?STONELIST=924170186&amp;ISCONFIRM=0" xr:uid="{FCEE72A7-7306-403D-9A57-40F7943AE1F5}"/>
    <hyperlink ref="C1885" r:id="rId1880" display="https://pld.live/RapDetail.aspx?STONELIST=924460023&amp;ISCONFIRM=0" xr:uid="{F01CD67A-A927-4CCB-A1D4-74E596F56B78}"/>
    <hyperlink ref="C1886" r:id="rId1881" display="https://pld.live/RapDetail.aspx?STONELIST=926801293&amp;ISCONFIRM=0" xr:uid="{DA39FB39-AF97-4052-A8F8-07F4E36F0873}"/>
    <hyperlink ref="C1887" r:id="rId1882" display="https://pld.live/RapDetail.aspx?STONELIST=926100948&amp;ISCONFIRM=0" xr:uid="{A23F9026-C439-4747-B09A-B1DE06CEC4D8}"/>
    <hyperlink ref="C1888" r:id="rId1883" display="https://pld.live/RapDetail.aspx?STONELIST=926810808&amp;ISCONFIRM=0" xr:uid="{F48EA703-2AE4-4A40-A7D9-A3E8779BA96F}"/>
    <hyperlink ref="C1889" r:id="rId1884" display="https://pld.live/RapDetail.aspx?STONELIST=926101039&amp;ISCONFIRM=0" xr:uid="{975344D6-5CAD-4729-BD7F-058F51417D07}"/>
    <hyperlink ref="C1890" r:id="rId1885" display="https://pld.live/RapDetail.aspx?STONELIST=926301142&amp;ISCONFIRM=0" xr:uid="{A6EC450D-5FB1-4236-8A04-2E5EB42D842D}"/>
    <hyperlink ref="C1891" r:id="rId1886" display="https://pld.live/RapDetail.aspx?STONELIST=926440944&amp;ISCONFIRM=0" xr:uid="{CF4A4442-23ED-4B8D-9BDC-2948E71A83DA}"/>
    <hyperlink ref="C1892" r:id="rId1887" display="https://pld.live/RapDetail.aspx?STONELIST=926661703&amp;ISCONFIRM=0" xr:uid="{B61B6314-7ACD-4EB6-B8A8-425E37541C7E}"/>
    <hyperlink ref="C1893" r:id="rId1888" display="https://pld.live/RapDetail.aspx?STONELIST=924010417&amp;ISCONFIRM=0" xr:uid="{A89E6F86-66F3-477C-A0AA-13FBF2097817}"/>
    <hyperlink ref="C1894" r:id="rId1889" display="https://pld.live/RapDetail.aspx?STONELIST=926661515&amp;ISCONFIRM=0" xr:uid="{1AB1F7FF-6FF3-4802-AF5E-6132FCC83034}"/>
    <hyperlink ref="C1895" r:id="rId1890" display="https://pld.live/RapDetail.aspx?STONELIST=926440930&amp;ISCONFIRM=0" xr:uid="{77A8803B-6888-489F-AA21-EAD8DBBBCB49}"/>
    <hyperlink ref="C1896" r:id="rId1891" display="https://pld.live/RapDetail.aspx?STONELIST=926491251&amp;ISCONFIRM=0" xr:uid="{F3FD0037-3615-4C79-B97D-B64B1BEEE6F9}"/>
    <hyperlink ref="C1897" r:id="rId1892" display="https://pld.live/RapDetail.aspx?STONELIST=926771034&amp;ISCONFIRM=0" xr:uid="{BA2F049C-D172-42EC-8E66-1ED09B2D4F24}"/>
    <hyperlink ref="C1898" r:id="rId1893" display="https://pld.live/RapDetail.aspx?STONELIST=926801192&amp;ISCONFIRM=0" xr:uid="{51C1BAE9-FAAB-4E7B-9122-7B6B41224BC9}"/>
    <hyperlink ref="C1899" r:id="rId1894" display="https://pld.live/RapDetail.aspx?STONELIST=941230062&amp;ISCONFIRM=0" xr:uid="{5C48D4AE-9E88-4CC8-B2F6-36DA16F3C901}"/>
    <hyperlink ref="C1900" r:id="rId1895" display="https://pld.live/RapDetail.aspx?STONELIST=941230055&amp;ISCONFIRM=0" xr:uid="{2B87BB90-1CA0-4BD0-8219-C886AC194A46}"/>
    <hyperlink ref="C1901" r:id="rId1896" display="https://pld.live/RapDetail.aspx?STONELIST=941230039&amp;ISCONFIRM=0" xr:uid="{08A2F84A-57F4-44F2-AD57-9F823770AE61}"/>
    <hyperlink ref="C1902" r:id="rId1897" display="https://pld.live/RapDetail.aspx?STONELIST=941230030&amp;ISCONFIRM=0" xr:uid="{6712A97D-D8AA-4FA1-AE93-D6301BA78DAB}"/>
    <hyperlink ref="C1903" r:id="rId1898" display="https://pld.live/RapDetail.aspx?STONELIST=926430878&amp;ISCONFIRM=0" xr:uid="{AC20A2FF-FDE0-4B7F-8157-EAE9292D01D8}"/>
    <hyperlink ref="C1904" r:id="rId1899" display="https://pld.live/RapDetail.aspx?STONELIST=941230021&amp;ISCONFIRM=0" xr:uid="{E998AB56-5668-47B4-B4E2-906DD6CE32E9}"/>
    <hyperlink ref="C1905" r:id="rId1900" display="https://pld.live/RapDetail.aspx?STONELIST=926321147&amp;ISCONFIRM=0" xr:uid="{A5B4266E-1106-4CBD-97B1-CEAAACB1CE11}"/>
    <hyperlink ref="C1906" r:id="rId1901" display="https://pld.live/RapDetail.aspx?STONELIST=926321164&amp;ISCONFIRM=0" xr:uid="{0AC9FBEB-0C6D-4BD8-AEBC-25518B3DF4EE}"/>
    <hyperlink ref="C1907" r:id="rId1902" display="https://pld.live/RapDetail.aspx?STONELIST=926321217&amp;ISCONFIRM=0" xr:uid="{95AA44A0-EB2D-45A7-9F12-F685011FD4D4}"/>
    <hyperlink ref="C1908" r:id="rId1903" display="https://pld.live/RapDetail.aspx?STONELIST=926801389&amp;ISCONFIRM=0" xr:uid="{2F4EA68C-3633-4232-BF22-2A081EFDA17E}"/>
    <hyperlink ref="C1909" r:id="rId1904" display="https://pld.live/RapDetail.aspx?STONELIST=926801340&amp;ISCONFIRM=0" xr:uid="{4DC41ED1-413D-4D4B-A443-E36FD18DED90}"/>
    <hyperlink ref="C1910" r:id="rId1905" display="https://pld.live/RapDetail.aspx?STONELIST=926801298&amp;ISCONFIRM=0" xr:uid="{06E7C389-07C4-44CD-B754-C3D1EED0EC6E}"/>
    <hyperlink ref="C1911" r:id="rId1906" display="https://pld.live/RapDetail.aspx?STONELIST=926050198&amp;ISCONFIRM=0" xr:uid="{FC12F148-C507-40FF-B16A-ED532F137CDC}"/>
    <hyperlink ref="C1912" r:id="rId1907" display="https://pld.live/RapDetail.aspx?STONELIST=831010718&amp;ISCONFIRM=0" xr:uid="{1F6D549C-7E3E-4654-AF1E-32A4BDAE400E}"/>
    <hyperlink ref="C1913" r:id="rId1908" display="https://pld.live/RapDetail.aspx?STONELIST=831010719&amp;ISCONFIRM=0" xr:uid="{B7DB20BB-23C6-4C57-A5B8-8BE6940D2A3F}"/>
    <hyperlink ref="C1914" r:id="rId1909" display="https://pld.live/RapDetail.aspx?STONELIST=926801164&amp;ISCONFIRM=0" xr:uid="{DE4F8B0C-54AF-40C7-8C71-AFA5A3547F88}"/>
    <hyperlink ref="C1915" r:id="rId1910" display="https://pld.live/RapDetail.aspx?STONELIST=831010720&amp;ISCONFIRM=0" xr:uid="{766A802C-C959-4B37-BD74-B1CF3C482D9A}"/>
    <hyperlink ref="C1916" r:id="rId1911" display="https://pld.live/RapDetail.aspx?STONELIST=941230096&amp;ISCONFIRM=0" xr:uid="{D3E05AF4-DB87-4EB2-8174-AF36DAFAC7F3}"/>
    <hyperlink ref="C1917" r:id="rId1912" display="https://pld.live/RapDetail.aspx?STONELIST=941220093&amp;ISCONFIRM=0" xr:uid="{BEDAC269-8AE1-4F89-98E8-1743326DE874}"/>
    <hyperlink ref="C1918" r:id="rId1913" display="https://pld.live/RapDetail.aspx?STONELIST=926181006&amp;ISCONFIRM=0" xr:uid="{8296657C-FE38-4D30-B666-D17A3CE7DB97}"/>
    <hyperlink ref="C1919" r:id="rId1914" display="https://pld.live/RapDetail.aspx?STONELIST=925840801&amp;ISCONFIRM=0" xr:uid="{224D224B-FABA-49C3-9F10-C0896ED545B4}"/>
    <hyperlink ref="C1920" r:id="rId1915" display="https://pld.live/RapDetail.aspx?STONELIST=926801184&amp;ISCONFIRM=0" xr:uid="{86FDA231-F563-4DC4-9259-98B3088AE519}"/>
    <hyperlink ref="C1921" r:id="rId1916" display="https://pld.live/RapDetail.aspx?STONELIST=924560372&amp;ISCONFIRM=0" xr:uid="{2B6E965E-F15B-4153-966E-8B955A430AE8}"/>
    <hyperlink ref="C1922" r:id="rId1917" display="https://pld.live/RapDetail.aspx?STONELIST=926661732&amp;ISCONFIRM=0" xr:uid="{E2F9AE7D-E4D5-4277-B373-885AFB98BC91}"/>
    <hyperlink ref="C1923" r:id="rId1918" display="https://pld.live/RapDetail.aspx?STONELIST=926571311&amp;ISCONFIRM=0" xr:uid="{BD97D0C5-FC6E-47D3-8AE0-D646526A313C}"/>
    <hyperlink ref="C1924" r:id="rId1919" display="https://pld.live/RapDetail.aspx?STONELIST=926661518&amp;ISCONFIRM=0" xr:uid="{6AC96C50-D729-436C-A949-2483E943A1C5}"/>
    <hyperlink ref="C1925" r:id="rId1920" display="https://pld.live/RapDetail.aspx?STONELIST=926661567&amp;ISCONFIRM=0" xr:uid="{D6614CC2-BEB8-45C0-81E4-49F68EDDB286}"/>
    <hyperlink ref="C1926" r:id="rId1921" display="https://pld.live/RapDetail.aspx?STONELIST=926801204&amp;ISCONFIRM=0" xr:uid="{68D01A73-F9F9-42A2-9332-CE3719EE65DD}"/>
    <hyperlink ref="C1927" r:id="rId1922" display="https://pld.live/RapDetail.aspx?STONELIST=920470456&amp;ISCONFIRM=0" xr:uid="{5599D2F0-0D1C-40BE-A054-7BE34E33641F}"/>
    <hyperlink ref="C1928" r:id="rId1923" display="https://pld.live/RapDetail.aspx?STONELIST=926801276&amp;ISCONFIRM=0" xr:uid="{2ACDE55D-A53A-4D36-891F-BC1BDC21550F}"/>
    <hyperlink ref="C1929" r:id="rId1924" display="https://pld.live/RapDetail.aspx?STONELIST=926771104&amp;ISCONFIRM=0" xr:uid="{10780D61-FD3D-4405-9052-809AC6C85ECB}"/>
    <hyperlink ref="C1930" r:id="rId1925" display="https://pld.live/RapDetail.aspx?STONELIST=926930898&amp;ISCONFIRM=0" xr:uid="{B64C2DF7-943F-4140-8E7D-550575A05A8B}"/>
    <hyperlink ref="C1931" r:id="rId1926" display="https://pld.live/RapDetail.aspx?STONELIST=926321241&amp;ISCONFIRM=0" xr:uid="{1FC1800C-6A12-44C9-A781-72594D20F25B}"/>
    <hyperlink ref="C1932" r:id="rId1927" display="https://pld.live/RapDetail.aspx?STONELIST=941220028&amp;ISCONFIRM=0" xr:uid="{0EC8B9A8-0057-4AF7-A156-316E2B9DCC3E}"/>
    <hyperlink ref="C1933" r:id="rId1928" display="https://pld.live/RapDetail.aspx?STONELIST=926321243&amp;ISCONFIRM=0" xr:uid="{F2294D9E-8F02-491E-A9DF-D33F0C98A016}"/>
    <hyperlink ref="C1934" r:id="rId1929" display="https://pld.live/RapDetail.aspx?STONELIST=926801233&amp;ISCONFIRM=0" xr:uid="{7D7D2D90-7E07-4C0B-B78F-810377D71966}"/>
    <hyperlink ref="C1935" r:id="rId1930" display="https://pld.live/RapDetail.aspx?STONELIST=926801361&amp;ISCONFIRM=0" xr:uid="{4AF6E6A9-C60A-46C1-BDA7-FDEDF945905F}"/>
    <hyperlink ref="C1936" r:id="rId1931" display="https://pld.live/RapDetail.aspx?STONELIST=941220162&amp;ISCONFIRM=0" xr:uid="{DADFE2F8-1C8E-4843-B844-3A5D6415223D}"/>
    <hyperlink ref="C1937" r:id="rId1932" display="https://pld.live/RapDetail.aspx?STONELIST=926801383&amp;ISCONFIRM=0" xr:uid="{8984C5F7-B5FD-4E42-8CBB-1E138303333A}"/>
    <hyperlink ref="C1938" r:id="rId1933" display="https://pld.live/RapDetail.aspx?STONELIST=925910810&amp;ISCONFIRM=0" xr:uid="{ED54DE4F-FDE5-4EBA-A8C0-21D574472E81}"/>
    <hyperlink ref="C1939" r:id="rId1934" display="https://pld.live/RapDetail.aspx?STONELIST=926801236&amp;ISCONFIRM=0" xr:uid="{0E5F752B-8977-4FE0-95DF-6D17E64662BD}"/>
    <hyperlink ref="C1940" r:id="rId1935" display="https://pld.live/RapDetail.aspx?STONELIST=926801244&amp;ISCONFIRM=0" xr:uid="{AB8A501A-4B4F-4049-9B0F-3EA09542EA0F}"/>
    <hyperlink ref="C1941" r:id="rId1936" display="https://pld.live/RapDetail.aspx?STONELIST=941220019&amp;ISCONFIRM=0" xr:uid="{B3950AD1-B2BF-44A2-9212-B3F5DDDF9734}"/>
    <hyperlink ref="C1942" r:id="rId1937" display="https://pld.live/RapDetail.aspx?STONELIST=941200234&amp;ISCONFIRM=0" xr:uid="{F6B99C69-B4BF-49EC-8212-D05FD2DEAA31}"/>
    <hyperlink ref="C1943" r:id="rId1938" display="https://pld.live/RapDetail.aspx?STONELIST=926801288&amp;ISCONFIRM=0" xr:uid="{AAF64373-37E7-44D7-ACA4-D0934BD21D2E}"/>
    <hyperlink ref="C1944" r:id="rId1939" display="https://pld.live/RapDetail.aspx?STONELIST=926801328&amp;ISCONFIRM=0" xr:uid="{5BDFAF68-02DC-4615-9CC8-38D7EF7E2992}"/>
    <hyperlink ref="C1945" r:id="rId1940" display="https://pld.live/RapDetail.aspx?STONELIST=926761085&amp;ISCONFIRM=0" xr:uid="{63489C5C-9121-4972-BDD3-4DF2DEB999D3}"/>
    <hyperlink ref="C1946" r:id="rId1941" display="https://pld.live/RapDetail.aspx?STONELIST=926761084&amp;ISCONFIRM=0" xr:uid="{845A1A04-2A28-4370-9A14-360881BFF10B}"/>
    <hyperlink ref="C1947" r:id="rId1942" display="https://pld.live/RapDetail.aspx?STONELIST=941190224&amp;ISCONFIRM=0" xr:uid="{D7DC4E7C-DF7D-4B7E-BC4F-3BD4613B1D49}"/>
    <hyperlink ref="C1948" r:id="rId1943" display="https://pld.live/RapDetail.aspx?STONELIST=926321132&amp;ISCONFIRM=0" xr:uid="{BABB881C-4DD4-4EF2-B384-F54E731512BC}"/>
    <hyperlink ref="C1949" r:id="rId1944" display="https://pld.live/RapDetail.aspx?STONELIST=926321134&amp;ISCONFIRM=0" xr:uid="{F8988F6B-4943-4443-940F-F8EDEE01DFA2}"/>
    <hyperlink ref="C1950" r:id="rId1945" display="https://pld.live/RapDetail.aspx?STONELIST=926321137&amp;ISCONFIRM=0" xr:uid="{1DAD78D8-D414-4E65-A36B-BC62890C68D6}"/>
    <hyperlink ref="C1951" r:id="rId1946" display="https://pld.live/RapDetail.aspx?STONELIST=926321177&amp;ISCONFIRM=0" xr:uid="{B9B70EEF-CE2E-447D-B128-D07DB8267CFC}"/>
    <hyperlink ref="C1952" r:id="rId1947" display="https://pld.live/RapDetail.aspx?STONELIST=924540012&amp;ISCONFIRM=0" xr:uid="{08EF3892-517F-4C05-B9E4-4BFA4893A09D}"/>
    <hyperlink ref="C1953" r:id="rId1948" display="https://pld.live/RapDetail.aspx?STONELIST=926321146&amp;ISCONFIRM=0" xr:uid="{9A82844E-1D44-486A-B6A3-7EDD64590D82}"/>
    <hyperlink ref="C1954" r:id="rId1949" display="https://pld.live/RapDetail.aspx?STONELIST=941310025&amp;ISCONFIRM=0" xr:uid="{DA4468EA-59B1-4993-9CAD-598CCAA76D33}"/>
    <hyperlink ref="C1955" r:id="rId1950" display="https://pld.live/RapDetail.aspx?STONELIST=925910813&amp;ISCONFIRM=0" xr:uid="{A5EBA785-D8BE-4504-A495-5A9E026576E6}"/>
    <hyperlink ref="C1956" r:id="rId1951" display="https://pld.live/RapDetail.aspx?STONELIST=926321015&amp;ISCONFIRM=0" xr:uid="{A29F9DCA-C59E-47A0-A628-39C5BD052CD1}"/>
    <hyperlink ref="C1957" r:id="rId1952" display="https://pld.live/RapDetail.aspx?STONELIST=924750288&amp;ISCONFIRM=0" xr:uid="{815C96EC-40B7-4E91-B213-7A08F5C18821}"/>
    <hyperlink ref="C1958" r:id="rId1953" display="https://pld.live/RapDetail.aspx?STONELIST=924340385&amp;ISCONFIRM=0" xr:uid="{11490589-3176-45D1-B7F8-5DDE49FBCA2C}"/>
    <hyperlink ref="C1959" r:id="rId1954" display="https://pld.live/RapDetail.aspx?STONELIST=941230084&amp;ISCONFIRM=0" xr:uid="{7DDA1791-E566-46E4-B361-F29BE5BADB88}"/>
    <hyperlink ref="C1960" r:id="rId1955" display="https://pld.live/RapDetail.aspx?STONELIST=941230064&amp;ISCONFIRM=0" xr:uid="{69F74A41-D859-4A50-BF1E-C0A483270434}"/>
    <hyperlink ref="C1961" r:id="rId1956" display="https://pld.live/RapDetail.aspx?STONELIST=941450107&amp;ISCONFIRM=0" xr:uid="{6F49963A-26B9-45EC-B9E7-B09B20AB8884}"/>
    <hyperlink ref="C1962" r:id="rId1957" display="https://pld.live/RapDetail.aspx?STONELIST=941380438&amp;ISCONFIRM=0" xr:uid="{026EAF27-7CD0-40D4-B595-0C955E77AB35}"/>
    <hyperlink ref="C1963" r:id="rId1958" display="https://pld.live/RapDetail.aspx?STONELIST=941190592&amp;ISCONFIRM=0" xr:uid="{56957FF8-002F-4570-8AC2-F4D94A131E38}"/>
    <hyperlink ref="C1964" r:id="rId1959" display="https://pld.live/RapDetail.aspx?STONELIST=926431025&amp;ISCONFIRM=0" xr:uid="{5F50CC1F-5C93-460A-87C8-6A063632C16B}"/>
    <hyperlink ref="C1965" r:id="rId1960" display="https://pld.live/RapDetail.aspx?STONELIST=941360336&amp;ISCONFIRM=0" xr:uid="{CAAC63B2-A359-47E9-98E4-90B3D446B7E7}"/>
    <hyperlink ref="C1966" r:id="rId1961" display="https://pld.live/RapDetail.aspx?STONELIST=926301120&amp;ISCONFIRM=0" xr:uid="{94DCEAAD-B2C8-4702-A1A7-B8FC362ED3C7}"/>
    <hyperlink ref="C1967" r:id="rId1962" display="https://pld.live/RapDetail.aspx?STONELIST=926101040&amp;ISCONFIRM=0" xr:uid="{B4867FAD-BD8D-418E-BAB3-756EDA5CD3A7}"/>
    <hyperlink ref="C1968" r:id="rId1963" display="https://pld.live/RapDetail.aspx?STONELIST=925910778&amp;ISCONFIRM=0" xr:uid="{F26CABFB-E75D-4235-A1CB-1347E60BDE3D}"/>
    <hyperlink ref="C1969" r:id="rId1964" display="https://pld.live/RapDetail.aspx?STONELIST=941280407&amp;ISCONFIRM=0" xr:uid="{1ED6D95F-8DC8-4792-9F19-7B21DD54AA9B}"/>
    <hyperlink ref="C1970" r:id="rId1965" display="https://pld.live/RapDetail.aspx?STONELIST=941270566&amp;ISCONFIRM=0" xr:uid="{49D398C3-034D-4E6B-995B-DB8C4826099A}"/>
    <hyperlink ref="C1971" r:id="rId1966" display="https://pld.live/RapDetail.aspx?STONELIST=941190263&amp;ISCONFIRM=0" xr:uid="{60EA295A-FB9F-4023-BACC-7A7DCDAE949A}"/>
    <hyperlink ref="C1972" r:id="rId1967" display="https://pld.live/RapDetail.aspx?STONELIST=941190301&amp;ISCONFIRM=0" xr:uid="{B46E6F56-2165-4ABB-8928-60DDEF71DC08}"/>
    <hyperlink ref="C1973" r:id="rId1968" display="https://pld.live/RapDetail.aspx?STONELIST=941230266&amp;ISCONFIRM=0" xr:uid="{4C27EB69-19DD-4067-AE56-3A37A11A9EF8}"/>
    <hyperlink ref="C1974" r:id="rId1969" display="https://pld.live/RapDetail.aspx?STONELIST=941280306&amp;ISCONFIRM=0" xr:uid="{BEC0B606-5F75-4104-977C-45C29A12BA57}"/>
    <hyperlink ref="C1975" r:id="rId1970" display="https://pld.live/RapDetail.aspx?STONELIST=941270318&amp;ISCONFIRM=0" xr:uid="{57B21FF9-08E2-4526-8FEB-0881763E8E50}"/>
    <hyperlink ref="C1976" r:id="rId1971" display="https://pld.live/RapDetail.aspx?STONELIST=941280139&amp;ISCONFIRM=0" xr:uid="{70F58C76-25D5-45E2-9EC5-5B0EA735D49D}"/>
    <hyperlink ref="C1977" r:id="rId1972" display="https://pld.live/RapDetail.aspx?STONELIST=941230148&amp;ISCONFIRM=0" xr:uid="{2A912E2D-1149-4195-B1E9-2EC6B702D1EF}"/>
    <hyperlink ref="C1978" r:id="rId1973" display="https://pld.live/RapDetail.aspx?STONELIST=926100945&amp;ISCONFIRM=0" xr:uid="{0335DCCD-4491-4775-B3E3-256D75A0ACD2}"/>
    <hyperlink ref="C1979" r:id="rId1974" display="https://pld.live/RapDetail.aspx?STONELIST=926320835&amp;ISCONFIRM=0" xr:uid="{4A0728C2-DFCD-46D6-BC6F-2077C36D58A8}"/>
    <hyperlink ref="C1980" r:id="rId1975" display="https://pld.live/RapDetail.aspx?STONELIST=926100956&amp;ISCONFIRM=0" xr:uid="{3C9F17BC-E8FF-4E88-B867-2F55AA5DFF04}"/>
    <hyperlink ref="C1981" r:id="rId1976" display="https://pld.live/RapDetail.aspx?STONELIST=941230176&amp;ISCONFIRM=0" xr:uid="{86D4290E-50D2-4E04-B604-D67F98CEEFA1}"/>
    <hyperlink ref="C1982" r:id="rId1977" display="https://pld.live/RapDetail.aspx?STONELIST=925910459&amp;ISCONFIRM=0" xr:uid="{1747FAE2-6D06-455F-91EB-5B3442E9500B}"/>
    <hyperlink ref="C1983" r:id="rId1978" display="https://pld.live/RapDetail.aspx?STONELIST=821127844&amp;ISCONFIRM=0" xr:uid="{8AB48111-14E3-4B6C-8AC1-FEDE1C784C52}"/>
    <hyperlink ref="C1984" r:id="rId1979" display="https://pld.live/RapDetail.aspx?STONELIST=941230302&amp;ISCONFIRM=0" xr:uid="{50B52274-F55F-4165-8813-1236E35A503B}"/>
    <hyperlink ref="C1985" r:id="rId1980" display="https://pld.live/RapDetail.aspx?STONELIST=941180052&amp;ISCONFIRM=0" xr:uid="{BD4198EE-862D-4A11-96F6-0CB9AB483C45}"/>
    <hyperlink ref="C1986" r:id="rId1981" display="https://pld.live/RapDetail.aspx?STONELIST=925791273&amp;ISCONFIRM=0" xr:uid="{CDA13EA6-B41C-4558-99B1-0A17392DEF09}"/>
    <hyperlink ref="C1987" r:id="rId1982" display="https://pld.live/RapDetail.aspx?STONELIST=925910777&amp;ISCONFIRM=0" xr:uid="{2F86192B-CD84-4F20-B2B0-AC4DE73C038B}"/>
    <hyperlink ref="C1988" r:id="rId1983" display="https://pld.live/RapDetail.aspx?STONELIST=926321221&amp;ISCONFIRM=0" xr:uid="{43E7A4AA-FE7E-4D53-8540-53026C4AC38E}"/>
    <hyperlink ref="C1989" r:id="rId1984" display="https://pld.live/RapDetail.aspx?STONELIST=924400020&amp;ISCONFIRM=0" xr:uid="{CEA434DE-C5BD-4D88-A7E9-204E6BE991C8}"/>
    <hyperlink ref="C1990" r:id="rId1985" display="https://pld.live/RapDetail.aspx?STONELIST=924340800&amp;ISCONFIRM=0" xr:uid="{4C96D484-3762-49BF-8630-624255C23290}"/>
    <hyperlink ref="C1991" r:id="rId1986" display="https://pld.live/RapDetail.aspx?STONELIST=924540061&amp;ISCONFIRM=0" xr:uid="{0764A7DC-3052-4540-A4F9-BB9F048B92FC}"/>
    <hyperlink ref="C1992" r:id="rId1987" display="https://pld.live/RapDetail.aspx?STONELIST=926321110&amp;ISCONFIRM=0" xr:uid="{BEA9B9B0-F71D-4857-BBDE-DD24620321A8}"/>
    <hyperlink ref="C1993" r:id="rId1988" display="https://pld.live/RapDetail.aspx?STONELIST=941270493&amp;ISCONFIRM=0" xr:uid="{A39F3166-F19E-4BB6-9F83-AB537C53AE25}"/>
    <hyperlink ref="C1994" r:id="rId1989" display="https://pld.live/RapDetail.aspx?STONELIST=925780699&amp;ISCONFIRM=0" xr:uid="{B4AAF15D-29AB-4619-92F2-591C931B2118}"/>
    <hyperlink ref="C1995" r:id="rId1990" display="https://pld.live/RapDetail.aspx?STONELIST=926321198&amp;ISCONFIRM=0" xr:uid="{C39DB43B-ACEA-48C7-8728-F73AEEDA768F}"/>
    <hyperlink ref="C1996" r:id="rId1991" display="https://pld.live/RapDetail.aspx?STONELIST=926721340&amp;ISCONFIRM=0" xr:uid="{D9B76083-E145-4D1F-B128-6D9DA59FDB92}"/>
    <hyperlink ref="C1997" r:id="rId1992" display="https://pld.live/RapDetail.aspx?STONELIST=941270532&amp;ISCONFIRM=0" xr:uid="{CAF9B5C6-D698-4BF8-AAD7-BCB389F4975A}"/>
    <hyperlink ref="C1998" r:id="rId1993" display="https://pld.live/RapDetail.aspx?STONELIST=941230305&amp;ISCONFIRM=0" xr:uid="{F939561F-E750-489B-8500-AE0710E277F0}"/>
    <hyperlink ref="C1999" r:id="rId1994" display="https://pld.live/RapDetail.aspx?STONELIST=926120077&amp;ISCONFIRM=0" xr:uid="{FC18420D-B4AC-4C07-861C-7B5696920E29}"/>
    <hyperlink ref="C2000" r:id="rId1995" display="https://pld.live/RapDetail.aspx?STONELIST=941320726&amp;ISCONFIRM=0" xr:uid="{DFAEFA2A-EA03-4299-A6CD-D331BFFA9903}"/>
    <hyperlink ref="C2001" r:id="rId1996" display="https://pld.live/RapDetail.aspx?STONELIST=941270359&amp;ISCONFIRM=0" xr:uid="{90C64B02-1E3C-45E3-9F42-4E8D21C6EA33}"/>
    <hyperlink ref="C2002" r:id="rId1997" display="https://pld.live/RapDetail.aspx?STONELIST=926301167&amp;ISCONFIRM=0" xr:uid="{0FFA6E9C-65D2-4512-B1EB-C701E7A12BA3}"/>
    <hyperlink ref="C2003" r:id="rId1998" display="https://pld.live/RapDetail.aspx?STONELIST=941190756&amp;ISCONFIRM=0" xr:uid="{D1581850-1840-4599-8158-3E7B1D979157}"/>
    <hyperlink ref="C2004" r:id="rId1999" display="https://pld.live/RapDetail.aspx?STONELIST=941270620&amp;ISCONFIRM=0" xr:uid="{CF0CB133-6601-4B3A-BFAB-E656D8A70B06}"/>
    <hyperlink ref="C2005" r:id="rId2000" display="https://pld.live/RapDetail.aspx?STONELIST=941190226&amp;ISCONFIRM=0" xr:uid="{E4456FA4-0D93-458B-B037-8943D00F11F9}"/>
    <hyperlink ref="C2006" r:id="rId2001" display="https://pld.live/RapDetail.aspx?STONELIST=926300269&amp;ISCONFIRM=0" xr:uid="{E2831281-AD72-42FC-8F06-A8AFE460198B}"/>
    <hyperlink ref="C2007" r:id="rId2002" display="https://pld.live/RapDetail.aspx?STONELIST=926550391&amp;ISCONFIRM=0" xr:uid="{D47B51DF-E0F0-4AC6-8302-6415E24951B4}"/>
    <hyperlink ref="C2008" r:id="rId2003" display="https://pld.live/RapDetail.aspx?STONELIST=941190098&amp;ISCONFIRM=0" xr:uid="{3539286D-1383-4261-9828-E7C57B6B0566}"/>
    <hyperlink ref="C2009" r:id="rId2004" display="https://pld.live/RapDetail.aspx?STONELIST=941270730&amp;ISCONFIRM=0" xr:uid="{4095F602-6455-4C14-A9D1-65B4404F7091}"/>
    <hyperlink ref="C2010" r:id="rId2005" display="https://pld.live/RapDetail.aspx?STONELIST=941270609&amp;ISCONFIRM=0" xr:uid="{F5E265AD-C8AF-4D2A-8C75-9BBB6EDB9AAF}"/>
    <hyperlink ref="C2011" r:id="rId2006" display="https://pld.live/RapDetail.aspx?STONELIST=941270704&amp;ISCONFIRM=0" xr:uid="{37BCB198-11B6-400F-8413-27037FAA365F}"/>
    <hyperlink ref="C2012" r:id="rId2007" display="https://pld.live/RapDetail.aspx?STONELIST=941360296&amp;ISCONFIRM=0" xr:uid="{4F9ACFE6-7951-42F3-B8D1-6383FE3E38EE}"/>
    <hyperlink ref="C2013" r:id="rId2008" display="https://pld.live/RapDetail.aspx?STONELIST=941220598&amp;ISCONFIRM=0" xr:uid="{A72E2CFB-1418-40D8-BED7-36ED83A645A2}"/>
    <hyperlink ref="C2014" r:id="rId2009" display="https://pld.live/RapDetail.aspx?STONELIST=941340589&amp;ISCONFIRM=0" xr:uid="{50E5E49D-57CD-4512-92D4-8DC5B90B02E1}"/>
    <hyperlink ref="C2015" r:id="rId2010" display="https://pld.live/RapDetail.aspx?STONELIST=941190330&amp;ISCONFIRM=0" xr:uid="{F15F0A9E-8FEB-4EE9-B9A1-D6AE5410EF89}"/>
    <hyperlink ref="C2016" r:id="rId2011" display="https://pld.live/RapDetail.aspx?STONELIST=941250011&amp;ISCONFIRM=0" xr:uid="{2AA83911-C86F-4047-B7B4-80701D8F9447}"/>
    <hyperlink ref="C2017" r:id="rId2012" display="https://pld.live/RapDetail.aspx?STONELIST=941190367&amp;ISCONFIRM=0" xr:uid="{67DEA2BC-4C07-4D6E-8105-02FC00DAB07C}"/>
    <hyperlink ref="C2018" r:id="rId2013" display="https://pld.live/RapDetail.aspx?STONELIST=941220008&amp;ISCONFIRM=0" xr:uid="{F629DBEE-3B50-42B8-B932-0CB5139B63A7}"/>
    <hyperlink ref="C2019" r:id="rId2014" display="https://pld.live/RapDetail.aspx?STONELIST=941350631&amp;ISCONFIRM=0" xr:uid="{D7743CBC-2985-4848-9534-38F00F124876}"/>
    <hyperlink ref="C2020" r:id="rId2015" display="https://pld.live/RapDetail.aspx?STONELIST=941250082&amp;ISCONFIRM=0" xr:uid="{76A13B46-A01A-47C7-A720-3E36CC3D55DA}"/>
    <hyperlink ref="C2021" r:id="rId2016" display="https://pld.live/RapDetail.aspx?STONELIST=941270656&amp;ISCONFIRM=0" xr:uid="{E718765F-F794-4AD5-B015-8DF1EC23A487}"/>
    <hyperlink ref="C2022" r:id="rId2017" display="https://pld.live/RapDetail.aspx?STONELIST=941270634&amp;ISCONFIRM=0" xr:uid="{B80446BE-63E0-4021-8A2B-2C37E4B9CAC2}"/>
    <hyperlink ref="C2023" r:id="rId2018" display="https://pld.live/RapDetail.aspx?STONELIST=941230117&amp;ISCONFIRM=0" xr:uid="{4FA53271-53D0-4E9F-9F71-14B19E4B9BD1}"/>
    <hyperlink ref="C2024" r:id="rId2019" display="https://pld.live/RapDetail.aspx?STONELIST=926300536&amp;ISCONFIRM=0" xr:uid="{036D7E9B-C6C6-4E2A-AB19-7D55FD602E5D}"/>
    <hyperlink ref="C2025" r:id="rId2020" display="https://pld.live/RapDetail.aspx?STONELIST=926771182&amp;ISCONFIRM=0" xr:uid="{53FF76B3-CE9B-405C-9FBC-625796B4E44F}"/>
    <hyperlink ref="C2026" r:id="rId2021" display="https://pld.live/RapDetail.aspx?STONELIST=926341611&amp;ISCONFIRM=0" xr:uid="{1C4C6BCE-4528-4A21-8891-B0A4D88E2DA6}"/>
    <hyperlink ref="C2027" r:id="rId2022" display="https://pld.live/RapDetail.aspx?STONELIST=926391254&amp;ISCONFIRM=0" xr:uid="{52893827-C3AA-4D9B-AD80-96BDDB5A1A6F}"/>
    <hyperlink ref="C2028" r:id="rId2023" display="https://pld.live/RapDetail.aspx?STONELIST=941170277&amp;ISCONFIRM=0" xr:uid="{1C14325C-03F1-4881-905E-400B9DDF4ED3}"/>
    <hyperlink ref="C2029" r:id="rId2024" display="https://pld.live/RapDetail.aspx?STONELIST=926321113&amp;ISCONFIRM=0" xr:uid="{405B9B92-53DF-4A77-BEA4-AB40B7326C6C}"/>
    <hyperlink ref="C2030" r:id="rId2025" display="https://pld.live/RapDetail.aspx?STONELIST=926300266&amp;ISCONFIRM=0" xr:uid="{3715E059-B031-40E8-920A-A082D57DE7F5}"/>
    <hyperlink ref="C2031" r:id="rId2026" display="https://pld.live/RapDetail.aspx?STONELIST=924460595&amp;ISCONFIRM=0" xr:uid="{A41FF872-CC3F-4D6E-8F96-9CFA39ED3826}"/>
    <hyperlink ref="C2032" r:id="rId2027" display="https://pld.live/RapDetail.aspx?STONELIST=925290164&amp;ISCONFIRM=0" xr:uid="{495F52F0-16E2-49A0-ACCB-4C15125D69D5}"/>
    <hyperlink ref="C2033" r:id="rId2028" display="https://pld.live/RapDetail.aspx?STONELIST=924560117&amp;ISCONFIRM=0" xr:uid="{17A4CC12-EC79-4CD1-B114-D48320015F78}"/>
    <hyperlink ref="C2034" r:id="rId2029" display="https://pld.live/RapDetail.aspx?STONELIST=941230057&amp;ISCONFIRM=0" xr:uid="{208822A7-F25C-4655-9CAC-512DCAFAF365}"/>
    <hyperlink ref="C2035" r:id="rId2030" display="https://pld.live/RapDetail.aspx?STONELIST=926300264&amp;ISCONFIRM=0" xr:uid="{BA49E488-0F3F-4C21-92D3-C8E3C663A3C5}"/>
    <hyperlink ref="C2036" r:id="rId2031" display="https://pld.live/RapDetail.aspx?STONELIST=926341463&amp;ISCONFIRM=0" xr:uid="{3E52A100-B841-4E63-88D2-CD61C3F3AC8D}"/>
    <hyperlink ref="C2037" r:id="rId2032" display="https://pld.live/RapDetail.aspx?STONELIST=941380292&amp;ISCONFIRM=0" xr:uid="{56E1EDD8-E0B7-4566-96D8-0F150C26C64E}"/>
    <hyperlink ref="C2038" r:id="rId2033" display="https://pld.live/RapDetail.aspx?STONELIST=927091854&amp;ISCONFIRM=0" xr:uid="{13E67026-3285-4F6C-80B5-BB42443B0FFF}"/>
    <hyperlink ref="C2039" r:id="rId2034" display="https://pld.live/RapDetail.aspx?STONELIST=926261143&amp;ISCONFIRM=0" xr:uid="{01A87313-E797-4F8B-BB2F-AAB1F1B2A655}"/>
    <hyperlink ref="C2040" r:id="rId2035" display="https://pld.live/RapDetail.aspx?STONELIST=926230270&amp;ISCONFIRM=0" xr:uid="{ABD53D7B-39F3-4901-93A8-F30D09358340}"/>
    <hyperlink ref="C2041" r:id="rId2036" display="https://pld.live/RapDetail.aspx?STONELIST=924010040&amp;ISCONFIRM=0" xr:uid="{A9509600-F189-4BA2-A5D2-9CFC043B7F4B}"/>
    <hyperlink ref="C2042" r:id="rId2037" display="https://pld.live/RapDetail.aspx?STONELIST=924030763&amp;ISCONFIRM=0" xr:uid="{FFA62E37-DCBD-4328-A501-ACB8DBACF74C}"/>
    <hyperlink ref="C2043" r:id="rId2038" display="https://pld.live/RapDetail.aspx?STONELIST=924040094&amp;ISCONFIRM=0" xr:uid="{AA1290FB-15C2-47EA-8057-0E92A920CBD4}"/>
    <hyperlink ref="C2044" r:id="rId2039" display="https://pld.live/RapDetail.aspx?STONELIST=924040489&amp;ISCONFIRM=0" xr:uid="{76A421A4-5BB4-43E4-96A3-31689C57C910}"/>
    <hyperlink ref="C2045" r:id="rId2040" display="https://pld.live/RapDetail.aspx?STONELIST=924040586&amp;ISCONFIRM=0" xr:uid="{2E9906B3-99E6-43EC-94A9-E6D61E5ED307}"/>
    <hyperlink ref="C2046" r:id="rId2041" display="https://pld.live/RapDetail.aspx?STONELIST=925780346&amp;ISCONFIRM=0" xr:uid="{FB302E3A-9FAB-46D3-ADD2-88508A64ADF1}"/>
    <hyperlink ref="C2047" r:id="rId2042" display="https://pld.live/RapDetail.aspx?STONELIST=925720083&amp;ISCONFIRM=0" xr:uid="{BFFAB05B-71D3-4044-9F14-DBFFBDD5B662}"/>
    <hyperlink ref="C2048" r:id="rId2043" display="https://pld.live/RapDetail.aspx?STONELIST=923970341&amp;ISCONFIRM=0" xr:uid="{7BA7BE91-7300-4F73-A43D-9B3D16FE4226}"/>
    <hyperlink ref="C2049" r:id="rId2044" display="https://pld.live/RapDetail.aspx?STONELIST=924400708&amp;ISCONFIRM=0" xr:uid="{F357FA84-0898-48E5-8BB7-3774E06D9282}"/>
    <hyperlink ref="C2050" r:id="rId2045" display="https://pld.live/RapDetail.aspx?STONELIST=926300408&amp;ISCONFIRM=0" xr:uid="{A227CBA2-28E9-4CD0-8C61-D7727584547F}"/>
    <hyperlink ref="C2051" r:id="rId2046" display="https://pld.live/RapDetail.aspx?STONELIST=923970360&amp;ISCONFIRM=0" xr:uid="{AD54E22E-1558-4B48-B1FE-85A8566C8544}"/>
    <hyperlink ref="C2052" r:id="rId2047" display="https://pld.live/RapDetail.aspx?STONELIST=924010289&amp;ISCONFIRM=0" xr:uid="{324DE3ED-A244-4E7F-9C78-984511DB909A}"/>
    <hyperlink ref="C2053" r:id="rId2048" display="https://pld.live/RapDetail.aspx?STONELIST=924010439&amp;ISCONFIRM=0" xr:uid="{7474AFBB-607E-45AB-8428-FA7D44DA9113}"/>
    <hyperlink ref="C2054" r:id="rId2049" display="https://pld.live/RapDetail.aspx?STONELIST=924010538&amp;ISCONFIRM=0" xr:uid="{38D733B2-D822-4782-AA2B-5BC864323F68}"/>
    <hyperlink ref="C2055" r:id="rId2050" display="https://pld.live/RapDetail.aspx?STONELIST=925670076&amp;ISCONFIRM=0" xr:uid="{56BE7C5B-9E99-4FF1-99CD-6C899EF2357F}"/>
    <hyperlink ref="C2056" r:id="rId2051" display="https://pld.live/RapDetail.aspx?STONELIST=924040388&amp;ISCONFIRM=0" xr:uid="{576621F9-52A1-4C14-9C11-CCA66571EBF7}"/>
    <hyperlink ref="C2057" r:id="rId2052" display="https://pld.live/RapDetail.aspx?STONELIST=924040704&amp;ISCONFIRM=0" xr:uid="{804B5210-2D75-4484-819F-E78936605B75}"/>
    <hyperlink ref="C2058" r:id="rId2053" display="https://pld.live/RapDetail.aspx?STONELIST=927010452&amp;ISCONFIRM=0" xr:uid="{3767A292-0797-4B69-8529-067D073203EF}"/>
    <hyperlink ref="C2059" r:id="rId2054" display="https://pld.live/RapDetail.aspx?STONELIST=821127867&amp;ISCONFIRM=0" xr:uid="{0094365C-BA02-4046-9AA3-52E54A0185F0}"/>
    <hyperlink ref="C2060" r:id="rId2055" display="https://pld.live/RapDetail.aspx?STONELIST=923940153&amp;ISCONFIRM=0" xr:uid="{E1F7394A-7541-489D-BAF5-3F868F630EC0}"/>
    <hyperlink ref="C2061" r:id="rId2056" display="https://pld.live/RapDetail.aspx?STONELIST=923970217&amp;ISCONFIRM=0" xr:uid="{906E4EFF-9D4C-4863-9D1D-4C578C2545DD}"/>
    <hyperlink ref="C2062" r:id="rId2057" display="https://pld.live/RapDetail.aspx?STONELIST=924570501&amp;ISCONFIRM=0" xr:uid="{3153695F-75C6-4CD0-AD96-4EFDDC79929B}"/>
    <hyperlink ref="C2063" r:id="rId2058" display="https://pld.live/RapDetail.aspx?STONELIST=924600023&amp;ISCONFIRM=0" xr:uid="{C6DC5A48-ECBD-4223-94D7-CCB2111278A4}"/>
    <hyperlink ref="C2064" r:id="rId2059" display="https://pld.live/RapDetail.aspx?STONELIST=924270186&amp;ISCONFIRM=0" xr:uid="{2F77F3E8-7BD6-41C1-A8A5-196C708A4CE7}"/>
    <hyperlink ref="C2065" r:id="rId2060" display="https://pld.live/RapDetail.aspx?STONELIST=924540182&amp;ISCONFIRM=0" xr:uid="{E65D4398-7000-4CF9-BB57-C7F32F791292}"/>
    <hyperlink ref="C2066" r:id="rId2061" display="https://pld.live/RapDetail.aspx?STONELIST=924220451&amp;ISCONFIRM=0" xr:uid="{395E5157-6691-48FA-8485-464BF6C12E4B}"/>
    <hyperlink ref="C2067" r:id="rId2062" display="https://pld.live/RapDetail.aspx?STONELIST=924220326&amp;ISCONFIRM=0" xr:uid="{AB098561-69A3-4654-870E-22A3CFC3BEF4}"/>
    <hyperlink ref="C2068" r:id="rId2063" display="https://pld.live/RapDetail.aspx?STONELIST=924220280&amp;ISCONFIRM=0" xr:uid="{DD30DB0C-176B-4C1C-B7F1-B21F11CBAF82}"/>
    <hyperlink ref="C2069" r:id="rId2064" display="https://pld.live/RapDetail.aspx?STONELIST=924070719&amp;ISCONFIRM=0" xr:uid="{ABE97842-F383-45E4-9BFF-36DA71F3774A}"/>
    <hyperlink ref="C2070" r:id="rId2065" display="https://pld.live/RapDetail.aspx?STONELIST=924510006&amp;ISCONFIRM=0" xr:uid="{C3FD4AEC-52D4-4252-A423-9D7CD9424372}"/>
    <hyperlink ref="C2071" r:id="rId2066" display="https://pld.live/RapDetail.aspx?STONELIST=924170018&amp;ISCONFIRM=0" xr:uid="{4675C12E-36F5-44CF-8A11-B36DAC060B77}"/>
    <hyperlink ref="C2072" r:id="rId2067" display="https://pld.live/RapDetail.aspx?STONELIST=924120030&amp;ISCONFIRM=0" xr:uid="{F115B899-B8AA-41DD-B1F9-E8EF0CFC42A3}"/>
    <hyperlink ref="C2073" r:id="rId2068" display="https://pld.live/RapDetail.aspx?STONELIST=924110268&amp;ISCONFIRM=0" xr:uid="{725F8D99-1ADD-4D77-8C16-C48CA5A7A1C8}"/>
    <hyperlink ref="C2074" r:id="rId2069" display="https://pld.live/RapDetail.aspx?STONELIST=831010391&amp;ISCONFIRM=0" xr:uid="{B300CFD4-4928-4E19-8E6F-685F7EFE4D55}"/>
    <hyperlink ref="C2075" r:id="rId2070" display="https://pld.live/RapDetail.aspx?STONELIST=924220318&amp;ISCONFIRM=0" xr:uid="{7C1A64C9-CFFA-4DC0-AC41-013E716ACEC1}"/>
    <hyperlink ref="C2076" r:id="rId2071" display="https://pld.live/RapDetail.aspx?STONELIST=924180145&amp;ISCONFIRM=0" xr:uid="{63CDF34B-7082-4CDE-AD6A-F824232159B6}"/>
    <hyperlink ref="C2077" r:id="rId2072" display="https://pld.live/RapDetail.aspx?STONELIST=924130061&amp;ISCONFIRM=0" xr:uid="{E218E530-7C7B-4BE0-8A34-FDA4DB48172C}"/>
    <hyperlink ref="C2078" r:id="rId2073" display="https://pld.live/RapDetail.aspx?STONELIST=924100274&amp;ISCONFIRM=0" xr:uid="{F2DFFC53-02C9-4923-A5E4-4DC9010B63BF}"/>
    <hyperlink ref="C2079" r:id="rId2074" display="https://pld.live/RapDetail.aspx?STONELIST=926091153&amp;ISCONFIRM=0" xr:uid="{FE4DA21B-6742-49DA-A3B6-F38E68E64F61}"/>
    <hyperlink ref="C2080" r:id="rId2075" display="https://pld.live/RapDetail.aspx?STONELIST=821127901&amp;ISCONFIRM=0" xr:uid="{79328A87-3408-4293-ADF0-1814252A1D3E}"/>
    <hyperlink ref="C2081" r:id="rId2076" display="https://pld.live/RapDetail.aspx?STONELIST=821127920&amp;ISCONFIRM=0" xr:uid="{9B72CF3F-B8F9-495D-B7B9-0BFED5BD71D8}"/>
    <hyperlink ref="C2082" r:id="rId2077" display="https://pld.live/RapDetail.aspx?STONELIST=821127837&amp;ISCONFIRM=0" xr:uid="{4F917721-CBAF-4BCD-B678-27E90F3FB7C6}"/>
    <hyperlink ref="C2083" r:id="rId2078" display="https://pld.live/RapDetail.aspx?STONELIST=821127836&amp;ISCONFIRM=0" xr:uid="{2412C3AC-55A1-4CC1-9406-E69B51F66C0C}"/>
    <hyperlink ref="C2084" r:id="rId2079" display="https://pld.live/RapDetail.aspx?STONELIST=941230150&amp;ISCONFIRM=0" xr:uid="{BC0493A3-0BF6-4C88-B60D-209EEDF0A792}"/>
    <hyperlink ref="C2085" r:id="rId2080" display="https://pld.live/RapDetail.aspx?STONELIST=821127850&amp;ISCONFIRM=0" xr:uid="{0F4EDFF7-0893-434B-A052-37CFBBFB1845}"/>
    <hyperlink ref="C2086" r:id="rId2081" display="https://pld.live/RapDetail.aspx?STONELIST=924280236&amp;ISCONFIRM=0" xr:uid="{132CABD4-A2C1-4066-B979-CC9169AB175B}"/>
    <hyperlink ref="C2087" r:id="rId2082" display="https://pld.live/RapDetail.aspx?STONELIST=924040108&amp;ISCONFIRM=0" xr:uid="{2B499CA5-87E8-4527-8804-4CD550425629}"/>
    <hyperlink ref="C2088" r:id="rId2083" display="https://pld.live/RapDetail.aspx?STONELIST=924040190&amp;ISCONFIRM=0" xr:uid="{91100375-D2BE-4364-A625-3AF4F8F76B3C}"/>
    <hyperlink ref="C2089" r:id="rId2084" display="https://pld.live/RapDetail.aspx?STONELIST=924040532&amp;ISCONFIRM=0" xr:uid="{FE82F21C-FB12-47F6-9D1F-155DC9EF4D2D}"/>
    <hyperlink ref="C2090" r:id="rId2085" display="https://pld.live/RapDetail.aspx?STONELIST=924400245&amp;ISCONFIRM=0" xr:uid="{1552E527-BB9E-45A4-A8B5-0868DB41732E}"/>
    <hyperlink ref="C2091" r:id="rId2086" display="https://pld.live/RapDetail.aspx?STONELIST=925180144&amp;ISCONFIRM=0" xr:uid="{7E7B330D-ADD9-4479-BEA3-B085B6972ED0}"/>
    <hyperlink ref="C2092" r:id="rId2087" display="https://pld.live/RapDetail.aspx?STONELIST=941310052&amp;ISCONFIRM=0" xr:uid="{43E62FA1-8F02-49F9-9308-C67154AEDAC2}"/>
    <hyperlink ref="C2093" r:id="rId2088" display="https://pld.live/RapDetail.aspx?STONELIST=821127907&amp;ISCONFIRM=0" xr:uid="{1C2F3DCB-BCD7-4798-B325-37F1CBB35D5B}"/>
    <hyperlink ref="C2094" r:id="rId2089" display="https://pld.live/RapDetail.aspx?STONELIST=941080563&amp;ISCONFIRM=0" xr:uid="{DE5C0BEC-F40B-4013-831B-FCF9C4664710}"/>
    <hyperlink ref="C2095" r:id="rId2090" display="https://pld.live/RapDetail.aspx?STONELIST=821127963&amp;ISCONFIRM=0" xr:uid="{730F4136-3741-4860-8855-15144265FCC2}"/>
    <hyperlink ref="C2096" r:id="rId2091" display="https://pld.live/RapDetail.aspx?STONELIST=821127917&amp;ISCONFIRM=0" xr:uid="{965ECAEB-B398-42B3-8631-2717EA31C767}"/>
    <hyperlink ref="C2097" r:id="rId2092" display="https://pld.live/RapDetail.aspx?STONELIST=926980596&amp;ISCONFIRM=0" xr:uid="{14582406-BFC3-4EB8-94D6-3322E5847C87}"/>
    <hyperlink ref="C2098" r:id="rId2093" display="https://pld.live/RapDetail.aspx?STONELIST=925780259&amp;ISCONFIRM=0" xr:uid="{2EF759EB-F20A-442C-9D52-8BBBC5073F73}"/>
    <hyperlink ref="C2099" r:id="rId2094" display="https://pld.live/RapDetail.aspx?STONELIST=927132343&amp;ISCONFIRM=0" xr:uid="{2AA503AE-2A0C-499B-857D-3F4EDC5B4EDD}"/>
    <hyperlink ref="C2100" r:id="rId2095" display="https://pld.live/RapDetail.aspx?STONELIST=821127887&amp;ISCONFIRM=0" xr:uid="{20D00537-2DFD-47BA-88D3-EB38A18DB372}"/>
    <hyperlink ref="C2101" r:id="rId2096" display="https://pld.live/RapDetail.aspx?STONELIST=924560202&amp;ISCONFIRM=0" xr:uid="{2C6CDCB2-78B0-4325-AE4D-1FCEC1BB5710}"/>
    <hyperlink ref="C2102" r:id="rId2097" display="https://pld.live/RapDetail.aspx?STONELIST=923970239&amp;ISCONFIRM=0" xr:uid="{2F999F8B-6236-4370-85BE-9419AC5EF3D4}"/>
    <hyperlink ref="C2103" r:id="rId2098" display="https://pld.live/RapDetail.aspx?STONELIST=925740735&amp;ISCONFIRM=0" xr:uid="{07B9CD1D-7E86-4AF3-A348-CBED3A0B1719}"/>
    <hyperlink ref="C2104" r:id="rId2099" display="https://pld.live/RapDetail.aspx?STONELIST=926261384&amp;ISCONFIRM=0" xr:uid="{F83DF040-42E7-4DD7-92FB-A19CB1B0611F}"/>
    <hyperlink ref="C2105" r:id="rId2100" display="https://pld.live/RapDetail.aspx?STONELIST=941390355&amp;ISCONFIRM=0" xr:uid="{B7BE72E9-9770-4C91-A45B-2BFE8AB9DB7C}"/>
    <hyperlink ref="C2106" r:id="rId2101" display="https://pld.live/RapDetail.aspx?STONELIST=924130022&amp;ISCONFIRM=0" xr:uid="{AA9E7699-65F7-4A7F-A658-883D15033B38}"/>
    <hyperlink ref="C2107" r:id="rId2102" display="https://pld.live/RapDetail.aspx?STONELIST=821127956&amp;ISCONFIRM=0" xr:uid="{560D2107-A2FF-4342-869D-C49BD1ABD0BB}"/>
    <hyperlink ref="C2108" r:id="rId2103" display="https://pld.live/RapDetail.aspx?STONELIST=926231038&amp;ISCONFIRM=0" xr:uid="{39596900-3A9C-4648-91EF-2B3386F043CD}"/>
    <hyperlink ref="C2109" r:id="rId2104" display="https://pld.live/RapDetail.aspx?STONELIST=821127928&amp;ISCONFIRM=0" xr:uid="{B2D614E3-C4D2-47F1-976F-40F8508657C7}"/>
    <hyperlink ref="C2110" r:id="rId2105" display="https://pld.live/RapDetail.aspx?STONELIST=821127966&amp;ISCONFIRM=0" xr:uid="{C801608A-7264-49D1-9319-679F171CA53A}"/>
    <hyperlink ref="C2111" r:id="rId2106" display="https://pld.live/RapDetail.aspx?STONELIST=821127823&amp;ISCONFIRM=0" xr:uid="{BAD4DB67-BEF3-464E-BD68-AE0282AD799F}"/>
    <hyperlink ref="C2112" r:id="rId2107" display="https://pld.live/RapDetail.aspx?STONELIST=831010386&amp;ISCONFIRM=0" xr:uid="{F8DB0611-F728-4A6B-BE2C-6068D8309971}"/>
    <hyperlink ref="C2113" r:id="rId2108" display="https://pld.live/RapDetail.aspx?STONELIST=926140419&amp;ISCONFIRM=0" xr:uid="{68CC23D4-F688-4552-82A4-9495882FF7F5}"/>
    <hyperlink ref="C2114" r:id="rId2109" display="https://pld.live/RapDetail.aspx?STONELIST=926080979&amp;ISCONFIRM=0" xr:uid="{4AC905AC-20E1-436B-94FC-5337B605760A}"/>
    <hyperlink ref="C2115" r:id="rId2110" display="https://pld.live/RapDetail.aspx?STONELIST=821127941&amp;ISCONFIRM=0" xr:uid="{D9AE8499-8C89-4C30-806A-40B309B1B5D2}"/>
    <hyperlink ref="C2116" r:id="rId2111" display="https://pld.live/RapDetail.aspx?STONELIST=821127873&amp;ISCONFIRM=0" xr:uid="{BC25D0BA-E6C1-4FCA-8367-873DE5339C83}"/>
    <hyperlink ref="C2117" r:id="rId2112" display="https://pld.live/RapDetail.aspx?STONELIST=926231219&amp;ISCONFIRM=0" xr:uid="{5DB56824-E59C-48F8-B30A-5A84895721B3}"/>
    <hyperlink ref="C2118" r:id="rId2113" display="https://pld.live/RapDetail.aspx?STONELIST=925360061&amp;ISCONFIRM=0" xr:uid="{D82F494D-F2ED-4AE6-BF75-4A6401B0EED8}"/>
    <hyperlink ref="C2119" r:id="rId2114" display="https://pld.live/RapDetail.aspx?STONELIST=926091149&amp;ISCONFIRM=0" xr:uid="{29594C64-20A6-43FA-BCC9-A6C14849FDB7}"/>
    <hyperlink ref="C2120" r:id="rId2115" display="https://pld.live/RapDetail.aspx?STONELIST=926191129&amp;ISCONFIRM=0" xr:uid="{1DD8E155-A2BB-4416-B246-2D8C8E3012FE}"/>
    <hyperlink ref="C2121" r:id="rId2116" display="https://pld.live/RapDetail.aspx?STONELIST=926171300&amp;ISCONFIRM=0" xr:uid="{CE09368E-053F-40AA-BDC4-4F296B45D948}"/>
    <hyperlink ref="C2122" r:id="rId2117" display="https://pld.live/RapDetail.aspx?STONELIST=821127951&amp;ISCONFIRM=0" xr:uid="{E636EE97-879F-421C-98C8-0BDB16BE3948}"/>
    <hyperlink ref="C2123" r:id="rId2118" display="https://pld.live/RapDetail.aspx?STONELIST=926201186&amp;ISCONFIRM=0" xr:uid="{3181559A-DD4C-4181-9778-EA7032323EA6}"/>
    <hyperlink ref="C2124" r:id="rId2119" display="https://pld.live/RapDetail.aspx?STONELIST=925650007&amp;ISCONFIRM=0" xr:uid="{A874E0BF-A224-402A-98B1-4C4E79BD53A1}"/>
    <hyperlink ref="C2125" r:id="rId2120" display="https://pld.live/RapDetail.aspx?STONELIST=926231306&amp;ISCONFIRM=0" xr:uid="{B8B928DE-E0B3-4DCA-B814-0B4D5936812B}"/>
    <hyperlink ref="C2126" r:id="rId2121" display="https://pld.live/RapDetail.aspx?STONELIST=926180823&amp;ISCONFIRM=0" xr:uid="{43274C71-C548-4689-8FCE-CE6278863223}"/>
    <hyperlink ref="C2127" r:id="rId2122" display="https://pld.live/RapDetail.aspx?STONELIST=926171548&amp;ISCONFIRM=0" xr:uid="{4B0CBECF-5F41-4CF2-AD71-4D1BF94290BC}"/>
    <hyperlink ref="C2128" r:id="rId2123" display="https://pld.live/RapDetail.aspx?STONELIST=925910752&amp;ISCONFIRM=0" xr:uid="{7BEEACB6-F478-4FBE-AA41-A9468AAECF84}"/>
    <hyperlink ref="C2129" r:id="rId2124" display="https://pld.live/RapDetail.aspx?STONELIST=920661311&amp;ISCONFIRM=0" xr:uid="{6C68F7FA-667B-4353-A417-0AA9AEF2C445}"/>
    <hyperlink ref="C2130" r:id="rId2125" display="https://pld.live/RapDetail.aspx?STONELIST=926191196&amp;ISCONFIRM=0" xr:uid="{C6970E39-5260-448E-83F6-281FA9AFF335}"/>
    <hyperlink ref="C2131" r:id="rId2126" display="https://pld.live/RapDetail.aspx?STONELIST=926191076&amp;ISCONFIRM=0" xr:uid="{7DAA7357-B4D8-41A9-9141-B64C48BE94CD}"/>
    <hyperlink ref="C2132" r:id="rId2127" display="https://pld.live/RapDetail.aspx?STONELIST=821127848&amp;ISCONFIRM=0" xr:uid="{A01E7198-78C0-4BC7-89C9-98D5EC59313C}"/>
    <hyperlink ref="C2133" r:id="rId2128" display="https://pld.live/RapDetail.aspx?STONELIST=920480409&amp;ISCONFIRM=0" xr:uid="{75A9C6D8-AA8C-4389-8DAB-4576C2FDDF75}"/>
    <hyperlink ref="C2134" r:id="rId2129" display="https://pld.live/RapDetail.aspx?STONELIST=926320962&amp;ISCONFIRM=0" xr:uid="{5E794942-1624-4A69-A3B1-48667FCD5C26}"/>
    <hyperlink ref="C2135" r:id="rId2130" display="https://pld.live/RapDetail.aspx?STONELIST=926211250&amp;ISCONFIRM=0" xr:uid="{D4B4E0D3-4F88-4DC4-A5EC-57333A488FE8}"/>
    <hyperlink ref="C2136" r:id="rId2131" display="https://pld.live/RapDetail.aspx?STONELIST=926201199&amp;ISCONFIRM=0" xr:uid="{78D33932-7AA0-45EF-B1B9-2ABAD858A5FA}"/>
    <hyperlink ref="C2137" r:id="rId2132" display="https://pld.live/RapDetail.aspx?STONELIST=925610109&amp;ISCONFIRM=0" xr:uid="{5B9D95E1-72C3-444C-8818-6C4FB11A786B}"/>
    <hyperlink ref="C2138" r:id="rId2133" display="https://pld.live/RapDetail.aspx?STONELIST=926191181&amp;ISCONFIRM=0" xr:uid="{2B7C7969-FD33-4966-A11D-A59CA14799C0}"/>
    <hyperlink ref="C2139" r:id="rId2134" display="https://pld.live/RapDetail.aspx?STONELIST=926180984&amp;ISCONFIRM=0" xr:uid="{EBC0BFC7-B207-465E-8872-144BD8EAA0A3}"/>
    <hyperlink ref="C2140" r:id="rId2135" display="https://pld.live/RapDetail.aspx?STONELIST=821127921&amp;ISCONFIRM=0" xr:uid="{4E24FD50-6B8F-48C0-BA51-2BC59D7D4E07}"/>
    <hyperlink ref="C2141" r:id="rId2136" display="https://pld.live/RapDetail.aspx?STONELIST=821127970&amp;ISCONFIRM=0" xr:uid="{2B26FB5C-B34B-4143-B2EF-F6CE9076A1A2}"/>
    <hyperlink ref="C2142" r:id="rId2137" display="https://pld.live/RapDetail.aspx?STONELIST=926181057&amp;ISCONFIRM=0" xr:uid="{F88A0F73-A9BD-4349-9F43-38921C46D547}"/>
    <hyperlink ref="C2143" r:id="rId2138" display="https://pld.live/RapDetail.aspx?STONELIST=925780747&amp;ISCONFIRM=0" xr:uid="{EBE571BB-5856-4463-B326-77F25CC8F674}"/>
    <hyperlink ref="C2144" r:id="rId2139" display="https://pld.live/RapDetail.aspx?STONELIST=926321026&amp;ISCONFIRM=0" xr:uid="{529BA6A2-FBDF-40B0-BBDC-F32FBC2E0C89}"/>
    <hyperlink ref="C2145" r:id="rId2140" display="https://pld.live/RapDetail.aspx?STONELIST=926091411&amp;ISCONFIRM=0" xr:uid="{F2770EF1-F6EE-4391-B519-93AA8A541F69}"/>
    <hyperlink ref="C2146" r:id="rId2141" display="https://pld.live/RapDetail.aspx?STONELIST=821127923&amp;ISCONFIRM=0" xr:uid="{7C8ECC63-8830-45E2-B801-97ECD1EE58B9}"/>
    <hyperlink ref="C2147" r:id="rId2142" display="https://pld.live/RapDetail.aspx?STONELIST=925090392&amp;ISCONFIRM=0" xr:uid="{F22243C3-5BDE-46B0-803C-684651347A0A}"/>
    <hyperlink ref="C2148" r:id="rId2143" display="https://pld.live/RapDetail.aspx?STONELIST=926171232&amp;ISCONFIRM=0" xr:uid="{412B07AD-23C0-4417-8E37-B6F5916788A0}"/>
    <hyperlink ref="C2149" r:id="rId2144" display="https://pld.live/RapDetail.aspx?STONELIST=926091273&amp;ISCONFIRM=0" xr:uid="{03BDC178-9F67-4D4A-9AC3-A90DF782117E}"/>
    <hyperlink ref="C2150" r:id="rId2145" display="https://pld.live/RapDetail.aspx?STONELIST=926080794&amp;ISCONFIRM=0" xr:uid="{70E827AE-512E-4E73-98C7-40350CCE3475}"/>
    <hyperlink ref="C2151" r:id="rId2146" display="https://pld.live/RapDetail.aspx?STONELIST=926181049&amp;ISCONFIRM=0" xr:uid="{A12FCF04-C3DD-43DE-B764-CDBDD67717BE}"/>
    <hyperlink ref="C2152" r:id="rId2147" display="https://pld.live/RapDetail.aspx?STONELIST=920460453&amp;ISCONFIRM=0" xr:uid="{122D8298-9FEC-492F-8B41-82015914A44C}"/>
    <hyperlink ref="C2153" r:id="rId2148" display="https://pld.live/RapDetail.aspx?STONELIST=926081117&amp;ISCONFIRM=0" xr:uid="{000478D3-E2C1-44EB-A845-5EB050B98B26}"/>
    <hyperlink ref="C2154" r:id="rId2149" display="https://pld.live/RapDetail.aspx?STONELIST=926081034&amp;ISCONFIRM=0" xr:uid="{39154BAB-C2DA-443B-BAF2-56AE87BFCC16}"/>
    <hyperlink ref="C2155" r:id="rId2150" display="https://pld.live/RapDetail.aspx?STONELIST=926230952&amp;ISCONFIRM=0" xr:uid="{E6D6353E-FB43-466F-B9AF-654F68E82197}"/>
    <hyperlink ref="C2156" r:id="rId2151" display="https://pld.live/RapDetail.aspx?STONELIST=925610020&amp;ISCONFIRM=0" xr:uid="{6FBA0A65-A0B3-48AC-9EF0-0318DC23C660}"/>
    <hyperlink ref="C2157" r:id="rId2152" display="https://pld.live/RapDetail.aspx?STONELIST=821127824&amp;ISCONFIRM=0" xr:uid="{5805AB48-968F-49E3-B739-7D8D60F5A193}"/>
    <hyperlink ref="C2158" r:id="rId2153" display="https://pld.live/RapDetail.aspx?STONELIST=924560160&amp;ISCONFIRM=0" xr:uid="{D545349C-3C86-4E0E-99AE-03B0B312C8A1}"/>
    <hyperlink ref="C2159" r:id="rId2154" display="https://pld.live/RapDetail.aspx?STONELIST=924180391&amp;ISCONFIRM=0" xr:uid="{A0D86713-77A7-41CA-A768-DD4BE3649840}"/>
    <hyperlink ref="C2160" r:id="rId2155" display="https://pld.live/RapDetail.aspx?STONELIST=924510118&amp;ISCONFIRM=0" xr:uid="{1C0CBDFA-0F21-4125-9A65-290DC9A52BED}"/>
    <hyperlink ref="C2161" r:id="rId2156" display="https://pld.live/RapDetail.aspx?STONELIST=925360010&amp;ISCONFIRM=0" xr:uid="{3C58A183-2842-4E09-84CE-B372D4F5F8AD}"/>
    <hyperlink ref="C2162" r:id="rId2157" display="https://pld.live/RapDetail.aspx?STONELIST=926191061&amp;ISCONFIRM=0" xr:uid="{42EA9E58-CC11-4BCF-BCA9-28ACC5ADCD01}"/>
    <hyperlink ref="C2163" r:id="rId2158" display="https://pld.live/RapDetail.aspx?STONELIST=926191059&amp;ISCONFIRM=0" xr:uid="{74C35C68-5EFD-4F05-80B0-43CCB21C9858}"/>
    <hyperlink ref="C2164" r:id="rId2159" display="https://pld.live/RapDetail.aspx?STONELIST=925780896&amp;ISCONFIRM=0" xr:uid="{699F8F8B-4D18-44A1-8995-36AE746A3D0F}"/>
    <hyperlink ref="C2165" r:id="rId2160" display="https://pld.live/RapDetail.aspx?STONELIST=821127908&amp;ISCONFIRM=0" xr:uid="{9E480ED7-6059-4427-81E0-CB8EF6F56D77}"/>
    <hyperlink ref="C2166" r:id="rId2161" display="https://pld.live/RapDetail.aspx?STONELIST=926320991&amp;ISCONFIRM=0" xr:uid="{5FD72C96-2663-40AF-9AFF-7EB826C70D58}"/>
    <hyperlink ref="C2167" r:id="rId2162" display="https://pld.live/RapDetail.aspx?STONELIST=920661486&amp;ISCONFIRM=0" xr:uid="{69612159-845B-40D9-AA22-20E94B985DFA}"/>
    <hyperlink ref="C2168" r:id="rId2163" display="https://pld.live/RapDetail.aspx?STONELIST=926320981&amp;ISCONFIRM=0" xr:uid="{AD82DD0B-3DFD-4FF8-A541-4CC2978F3C76}"/>
    <hyperlink ref="C2169" r:id="rId2164" display="https://pld.live/RapDetail.aspx?STONELIST=925380012&amp;ISCONFIRM=0" xr:uid="{BBEC6C08-A527-4184-9EBB-31E15DC9A5A2}"/>
    <hyperlink ref="C2170" r:id="rId2165" display="https://pld.live/RapDetail.aspx?STONELIST=926081282&amp;ISCONFIRM=0" xr:uid="{1EBFBF36-349A-436E-8B47-1F0B401952AC}"/>
    <hyperlink ref="C2171" r:id="rId2166" display="https://pld.live/RapDetail.aspx?STONELIST=926191097&amp;ISCONFIRM=0" xr:uid="{60E4156F-699E-4FD6-899D-0FF2F13E2A33}"/>
    <hyperlink ref="C2172" r:id="rId2167" display="https://pld.live/RapDetail.aspx?STONELIST=920661574&amp;ISCONFIRM=0" xr:uid="{36932E6A-BA2D-4E2E-ABBC-A7177C281740}"/>
    <hyperlink ref="C2173" r:id="rId2168" display="https://pld.live/RapDetail.aspx?STONELIST=831020595&amp;ISCONFIRM=0" xr:uid="{848A1958-6F10-45AF-A02E-3EC581D558D9}"/>
    <hyperlink ref="C2174" r:id="rId2169" display="https://pld.live/RapDetail.aspx?STONELIST=924090429&amp;ISCONFIRM=0" xr:uid="{4E3CC79B-9609-46D3-BE81-BA4A0D24DC28}"/>
    <hyperlink ref="C2175" r:id="rId2170" display="https://pld.live/RapDetail.aspx?STONELIST=925420023&amp;ISCONFIRM=0" xr:uid="{B3E1752A-6302-4EBC-9EDC-B6F3979D87B8}"/>
    <hyperlink ref="C2176" r:id="rId2171" display="https://pld.live/RapDetail.aspx?STONELIST=926191425&amp;ISCONFIRM=0" xr:uid="{FC41F89C-423E-458B-AE40-F020212EEED9}"/>
    <hyperlink ref="C2177" r:id="rId2172" display="https://pld.live/RapDetail.aspx?STONELIST=926240765&amp;ISCONFIRM=0" xr:uid="{07F2F90A-B51A-4577-AD50-8AEAF12AF6ED}"/>
    <hyperlink ref="C2178" r:id="rId2173" display="https://pld.live/RapDetail.aspx?STONELIST=941390452&amp;ISCONFIRM=0" xr:uid="{C958BA61-A05B-4984-80CF-6EDEE3C7484A}"/>
    <hyperlink ref="C2179" r:id="rId2174" display="https://pld.live/RapDetail.aspx?STONELIST=925910544&amp;ISCONFIRM=0" xr:uid="{57BE749F-CAEF-4D99-8029-954AA86E7B82}"/>
    <hyperlink ref="C2180" r:id="rId2175" display="https://pld.live/RapDetail.aspx?STONELIST=926091236&amp;ISCONFIRM=0" xr:uid="{E8EF333D-4E53-42E2-A686-DA122231F8B9}"/>
    <hyperlink ref="C2181" r:id="rId2176" display="https://pld.live/RapDetail.aspx?STONELIST=926191145&amp;ISCONFIRM=0" xr:uid="{3EADB000-D651-4EE3-9817-A9952B45F335}"/>
    <hyperlink ref="C2182" r:id="rId2177" display="https://pld.live/RapDetail.aspx?STONELIST=926191115&amp;ISCONFIRM=0" xr:uid="{16642FFC-3E30-4641-8996-02C3DE4A638D}"/>
    <hyperlink ref="C2183" r:id="rId2178" display="https://pld.live/RapDetail.aspx?STONELIST=926080972&amp;ISCONFIRM=0" xr:uid="{294A9860-85F2-4C20-BF18-AEC7DB48C9BD}"/>
    <hyperlink ref="C2184" r:id="rId2179" display="https://pld.live/RapDetail.aspx?STONELIST=821127869&amp;ISCONFIRM=0" xr:uid="{9F45C8D6-EF59-487A-BE5B-7B817888CF93}"/>
    <hyperlink ref="C2185" r:id="rId2180" display="https://pld.live/RapDetail.aspx?STONELIST=821127964&amp;ISCONFIRM=0" xr:uid="{BD4797A9-308E-442C-A330-0EFAFB67011F}"/>
    <hyperlink ref="C2186" r:id="rId2181" display="https://pld.live/RapDetail.aspx?STONELIST=926171554&amp;ISCONFIRM=0" xr:uid="{DC71B8D8-4FAF-40D4-B835-E8EC9728B274}"/>
    <hyperlink ref="C2187" r:id="rId2182" display="https://pld.live/RapDetail.aspx?STONELIST=941230182&amp;ISCONFIRM=0" xr:uid="{2CF74042-92E4-4DE8-BE64-98EA3AA89A67}"/>
    <hyperlink ref="C2188" r:id="rId2183" display="https://pld.live/RapDetail.aspx?STONELIST=920661257&amp;ISCONFIRM=0" xr:uid="{403D7C4F-5F26-4063-98B4-19128BE8D57A}"/>
    <hyperlink ref="C2189" r:id="rId2184" display="https://pld.live/RapDetail.aspx?STONELIST=920661256&amp;ISCONFIRM=0" xr:uid="{042278E7-F675-4CB6-8DF8-7B3976A6F379}"/>
    <hyperlink ref="C2190" r:id="rId2185" display="https://pld.live/RapDetail.aspx?STONELIST=926231021&amp;ISCONFIRM=0" xr:uid="{94C06436-61BF-48B8-8472-08502D002CED}"/>
    <hyperlink ref="C2191" r:id="rId2186" display="https://pld.live/RapDetail.aspx?STONELIST=821127926&amp;ISCONFIRM=0" xr:uid="{65ECED89-1B17-44D0-B485-31648A99632A}"/>
    <hyperlink ref="C2192" r:id="rId2187" display="https://pld.live/RapDetail.aspx?STONELIST=821127940&amp;ISCONFIRM=0" xr:uid="{15030ADF-5A23-4A8C-84F8-8EFE9FB63B7F}"/>
    <hyperlink ref="C2193" r:id="rId2188" display="https://pld.live/RapDetail.aspx?STONELIST=926230973&amp;ISCONFIRM=0" xr:uid="{F58FDA46-47ED-4BEB-A473-1558563780C4}"/>
    <hyperlink ref="C2194" r:id="rId2189" display="https://pld.live/RapDetail.aspx?STONELIST=920661435&amp;ISCONFIRM=0" xr:uid="{2635AF1F-2CE2-4296-873C-00C643523BAC}"/>
    <hyperlink ref="C2195" r:id="rId2190" display="https://pld.live/RapDetail.aspx?STONELIST=926171168&amp;ISCONFIRM=0" xr:uid="{3EC34F05-9C99-4721-BE1F-A4268291AD22}"/>
    <hyperlink ref="C2196" r:id="rId2191" display="https://pld.live/RapDetail.aspx?STONELIST=926191156&amp;ISCONFIRM=0" xr:uid="{7E5B3A67-3DFF-4A14-AB43-4A9A07429645}"/>
    <hyperlink ref="C2197" r:id="rId2192" display="https://pld.live/RapDetail.aspx?STONELIST=920661214&amp;ISCONFIRM=0" xr:uid="{B2E8582F-83A0-44FD-A988-278D22CEDDDC}"/>
    <hyperlink ref="C2198" r:id="rId2193" display="https://pld.live/RapDetail.aspx?STONELIST=941190426&amp;ISCONFIRM=0" xr:uid="{68B83D59-C8E0-4C73-B9F9-5589F1FEDB00}"/>
    <hyperlink ref="C2199" r:id="rId2194" display="https://pld.live/RapDetail.aspx?STONELIST=920661341&amp;ISCONFIRM=0" xr:uid="{2CE3E770-EE02-47E2-8FAB-7C95AC909CDD}"/>
    <hyperlink ref="C2200" r:id="rId2195" display="https://pld.live/RapDetail.aspx?STONELIST=920661241&amp;ISCONFIRM=0" xr:uid="{C38C150B-5218-4EF5-A5FF-F4D03E5FCF15}"/>
    <hyperlink ref="C2201" r:id="rId2196" display="https://pld.live/RapDetail.aspx?STONELIST=926091074&amp;ISCONFIRM=0" xr:uid="{BC40A70A-DAF0-4C30-BE8A-C7E418C2E19D}"/>
    <hyperlink ref="C2202" r:id="rId2197" display="https://pld.live/RapDetail.aspx?STONELIST=925910757&amp;ISCONFIRM=0" xr:uid="{4C52635A-06D5-43F6-A39E-7DDB41C73493}"/>
    <hyperlink ref="C2203" r:id="rId2198" display="https://pld.live/RapDetail.aspx?STONELIST=926171156&amp;ISCONFIRM=0" xr:uid="{200D8426-EB43-4939-A9DD-827D70695F29}"/>
    <hyperlink ref="C2204" r:id="rId2199" display="https://pld.live/RapDetail.aspx?STONELIST=926201087&amp;ISCONFIRM=0" xr:uid="{D5738D3D-7DB1-41FF-94DE-9B1B2C57F279}"/>
    <hyperlink ref="C2205" r:id="rId2200" display="https://pld.live/RapDetail.aspx?STONELIST=821127968&amp;ISCONFIRM=0" xr:uid="{E8E6F07C-2E63-4A6F-A44C-1C653198D0AA}"/>
    <hyperlink ref="C2206" r:id="rId2201" display="https://pld.live/RapDetail.aspx?STONELIST=821127922&amp;ISCONFIRM=0" xr:uid="{0D90E8DF-F38B-4C88-94E7-33B7B4737324}"/>
    <hyperlink ref="C2207" r:id="rId2202" display="https://pld.live/RapDetail.aspx?STONELIST=920661240&amp;ISCONFIRM=0" xr:uid="{35FADEA5-167B-47F2-9CD6-6BE41C50C6FC}"/>
    <hyperlink ref="C2208" r:id="rId2203" display="https://pld.live/RapDetail.aspx?STONELIST=926320978&amp;ISCONFIRM=0" xr:uid="{213EA4D6-7B20-4CB2-AB89-B6F83EBFB18F}"/>
    <hyperlink ref="C2209" r:id="rId2204" display="https://pld.live/RapDetail.aspx?STONELIST=926120500&amp;ISCONFIRM=0" xr:uid="{867C6BC7-974A-4D2D-8932-3BEA91496CBF}"/>
    <hyperlink ref="C2210" r:id="rId2205" display="https://pld.live/RapDetail.aspx?STONELIST=821127830&amp;ISCONFIRM=0" xr:uid="{908F93DE-BD88-4D2E-9893-8BDF5ADAF1AF}"/>
    <hyperlink ref="C2211" r:id="rId2206" display="https://pld.live/RapDetail.aspx?STONELIST=920661425&amp;ISCONFIRM=0" xr:uid="{572FAB73-05B8-46E8-8430-8DB87701FEBC}"/>
    <hyperlink ref="C2212" r:id="rId2207" display="https://pld.live/RapDetail.aspx?STONELIST=926231148&amp;ISCONFIRM=0" xr:uid="{458AADE8-872B-4579-A5B0-20DC23F7ADFC}"/>
    <hyperlink ref="C2213" r:id="rId2208" display="https://pld.live/RapDetail.aspx?STONELIST=926181011&amp;ISCONFIRM=0" xr:uid="{7E205E77-FC61-462A-8325-DF052FECEE87}"/>
    <hyperlink ref="C2214" r:id="rId2209" display="https://pld.live/RapDetail.aspx?STONELIST=926301155&amp;ISCONFIRM=0" xr:uid="{E46B98AE-C35F-42CE-9869-95583B3EE093}"/>
    <hyperlink ref="C2215" r:id="rId2210" display="https://pld.live/RapDetail.aspx?STONELIST=925290301&amp;ISCONFIRM=0" xr:uid="{98B6C12D-1842-40E8-9B1C-E202777FD1FB}"/>
    <hyperlink ref="C2216" r:id="rId2211" display="https://pld.live/RapDetail.aspx?STONELIST=926091028&amp;ISCONFIRM=0" xr:uid="{7533FAE1-57E9-44B6-A133-D3B2E2B2CC18}"/>
    <hyperlink ref="C2217" r:id="rId2212" display="https://pld.live/RapDetail.aspx?STONELIST=924540227&amp;ISCONFIRM=0" xr:uid="{E4A0F440-C6C4-4B85-8069-B794DF532FE1}"/>
    <hyperlink ref="C2218" r:id="rId2213" display="https://pld.live/RapDetail.aspx?STONELIST=821127950&amp;ISCONFIRM=0" xr:uid="{C3CDDB88-CEF1-4842-B837-2915D8594285}"/>
    <hyperlink ref="C2219" r:id="rId2214" display="https://pld.live/RapDetail.aspx?STONELIST=926321042&amp;ISCONFIRM=0" xr:uid="{D996C53D-E04B-45B2-A199-7D6CAD038473}"/>
    <hyperlink ref="C2220" r:id="rId2215" display="https://pld.live/RapDetail.aspx?STONELIST=926080666&amp;ISCONFIRM=0" xr:uid="{40C10820-7ED7-461F-9FAE-E958D216A753}"/>
    <hyperlink ref="C2221" r:id="rId2216" display="https://pld.live/RapDetail.aspx?STONELIST=925370218&amp;ISCONFIRM=0" xr:uid="{B0E0BBFF-FB3C-4DC0-A73B-38168B44DE8B}"/>
    <hyperlink ref="C2222" r:id="rId2217" display="https://pld.live/RapDetail.aspx?STONELIST=925380030&amp;ISCONFIRM=0" xr:uid="{730270F8-B1FB-4B84-A6B6-8E62D793D31B}"/>
    <hyperlink ref="C2223" r:id="rId2218" display="https://pld.live/RapDetail.aspx?STONELIST=926231118&amp;ISCONFIRM=0" xr:uid="{324BCFA9-9F4A-45FD-B5D0-30C92D786C40}"/>
    <hyperlink ref="C2224" r:id="rId2219" display="https://pld.live/RapDetail.aspx?STONELIST=821127871&amp;ISCONFIRM=0" xr:uid="{5B5489FE-51AC-438D-9E23-3EFAFE70636E}"/>
    <hyperlink ref="C2225" r:id="rId2220" display="https://pld.live/RapDetail.aspx?STONELIST=920661272&amp;ISCONFIRM=0" xr:uid="{99010B19-67A1-4B4F-BCC3-197A9E1D0F9C}"/>
    <hyperlink ref="C2226" r:id="rId2221" display="https://pld.live/RapDetail.aspx?STONELIST=926191183&amp;ISCONFIRM=0" xr:uid="{9205D7BB-6E9C-4F56-ADC6-4C06D0E4EDBB}"/>
    <hyperlink ref="C2227" r:id="rId2222" display="https://pld.live/RapDetail.aspx?STONELIST=920661259&amp;ISCONFIRM=0" xr:uid="{C8ADBBE4-6180-42E4-9072-90821C3E1140}"/>
    <hyperlink ref="C2228" r:id="rId2223" display="https://pld.live/RapDetail.aspx?STONELIST=926231032&amp;ISCONFIRM=0" xr:uid="{5428BF2C-B681-4E81-8BBA-A12F3AAC02E9}"/>
    <hyperlink ref="C2229" r:id="rId2224" display="https://pld.live/RapDetail.aspx?STONELIST=925910569&amp;ISCONFIRM=0" xr:uid="{7993C0A0-BDF0-4937-9A73-387A16EE8E0F}"/>
    <hyperlink ref="C2230" r:id="rId2225" display="https://pld.live/RapDetail.aspx?STONELIST=926080663&amp;ISCONFIRM=0" xr:uid="{BF638A76-C14D-4AEA-889B-EB2B8930E4CA}"/>
    <hyperlink ref="C2231" r:id="rId2226" display="https://pld.live/RapDetail.aspx?STONELIST=920661217&amp;ISCONFIRM=0" xr:uid="{30B3F0CA-91BE-424A-A8D9-D70F7011C92A}"/>
    <hyperlink ref="C2232" r:id="rId2227" display="https://pld.live/RapDetail.aspx?STONELIST=920661238&amp;ISCONFIRM=0" xr:uid="{E3A30A14-751B-4F52-A4BE-6A0E96BC0ADE}"/>
    <hyperlink ref="C2233" r:id="rId2228" display="https://pld.live/RapDetail.aspx?STONELIST=924710017&amp;ISCONFIRM=0" xr:uid="{675975B9-BE58-490E-B3FF-8C8E84CB6820}"/>
    <hyperlink ref="C2234" r:id="rId2229" display="https://pld.live/RapDetail.aspx?STONELIST=926180992&amp;ISCONFIRM=0" xr:uid="{0000CFF0-4F34-4727-9F06-E1A55F524A10}"/>
    <hyperlink ref="C2235" r:id="rId2230" display="https://pld.live/RapDetail.aspx?STONELIST=925360262&amp;ISCONFIRM=0" xr:uid="{88A8DDE0-E2BF-4FD1-AFCC-D5E867590D2F}"/>
    <hyperlink ref="C2236" r:id="rId2231" display="https://pld.live/RapDetail.aspx?STONELIST=926321056&amp;ISCONFIRM=0" xr:uid="{6DCC1DAB-4677-4429-A39D-ADC775D036A1}"/>
    <hyperlink ref="C2237" r:id="rId2232" display="https://pld.live/RapDetail.aspx?STONELIST=925630021&amp;ISCONFIRM=0" xr:uid="{FC30C5C0-B86F-4DCD-BEA0-19C377905DCC}"/>
    <hyperlink ref="C2238" r:id="rId2233" display="https://pld.live/RapDetail.aspx?STONELIST=926091164&amp;ISCONFIRM=0" xr:uid="{28E97CCF-61C2-408E-AAEB-A0CCE1F79BEE}"/>
    <hyperlink ref="C2239" r:id="rId2234" display="https://pld.live/RapDetail.aspx?STONELIST=925910548&amp;ISCONFIRM=0" xr:uid="{69A4BC27-8AE6-4B87-8092-B440D78926CB}"/>
    <hyperlink ref="C2240" r:id="rId2235" display="https://pld.live/RapDetail.aspx?STONELIST=821127277&amp;ISCONFIRM=0" xr:uid="{FD6B65F6-80F3-4BBF-BB6A-C86B9DAB480E}"/>
    <hyperlink ref="C2241" r:id="rId2236" display="https://pld.live/RapDetail.aspx?STONELIST=925610057&amp;ISCONFIRM=0" xr:uid="{19D4A23D-D114-4361-8518-0AFC45C460E6}"/>
    <hyperlink ref="C2242" r:id="rId2237" display="https://pld.live/RapDetail.aspx?STONELIST=925630185&amp;ISCONFIRM=0" xr:uid="{F20288F6-A94C-4C53-B101-0A60B722A07A}"/>
    <hyperlink ref="C2243" r:id="rId2238" display="https://pld.live/RapDetail.aspx?STONELIST=926091373&amp;ISCONFIRM=0" xr:uid="{D1B6D5B9-81EF-4777-B7D3-31C1B3CA5149}"/>
    <hyperlink ref="C2244" r:id="rId2239" display="https://pld.live/RapDetail.aspx?STONELIST=920661249&amp;ISCONFIRM=0" xr:uid="{4F8B8076-ED6F-4009-BF90-7B7D21960DF5}"/>
    <hyperlink ref="C2245" r:id="rId2240" display="https://pld.live/RapDetail.aspx?STONELIST=926231022&amp;ISCONFIRM=0" xr:uid="{DA1E42BA-2B1E-4A59-9778-32EDE6D1A1C7}"/>
    <hyperlink ref="C2246" r:id="rId2241" display="https://pld.live/RapDetail.aspx?STONELIST=926391234&amp;ISCONFIRM=0" xr:uid="{68841E75-6B48-40A7-8A2A-6ED692527F91}"/>
    <hyperlink ref="C2247" r:id="rId2242" display="https://pld.live/RapDetail.aspx?STONELIST=926391168&amp;ISCONFIRM=0" xr:uid="{BFCE82C2-DDA0-47D8-92B0-4D7481F02BF7}"/>
    <hyperlink ref="C2248" r:id="rId2243" display="https://pld.live/RapDetail.aspx?STONELIST=926391186&amp;ISCONFIRM=0" xr:uid="{6687EB20-004E-4303-8CBC-F4493AF901D6}"/>
    <hyperlink ref="C2249" r:id="rId2244" display="https://pld.live/RapDetail.aspx?STONELIST=926240524&amp;ISCONFIRM=0" xr:uid="{58425E4D-6FC6-4CFD-A3F3-C5656A0B55A4}"/>
    <hyperlink ref="C2250" r:id="rId2245" display="https://pld.live/RapDetail.aspx?STONELIST=926261188&amp;ISCONFIRM=0" xr:uid="{30595B58-B12C-48F6-A661-85B64EBEE674}"/>
    <hyperlink ref="C2251" r:id="rId2246" display="https://pld.live/RapDetail.aspx?STONELIST=926261254&amp;ISCONFIRM=0" xr:uid="{0CFD98E5-0943-4664-B78C-43E020619C40}"/>
    <hyperlink ref="C2252" r:id="rId2247" display="https://pld.live/RapDetail.aspx?STONELIST=926191012&amp;ISCONFIRM=0" xr:uid="{3431BC84-1699-494B-BF5E-D6AC3C41F9BC}"/>
    <hyperlink ref="C2253" r:id="rId2248" display="https://pld.live/RapDetail.aspx?STONELIST=821127960&amp;ISCONFIRM=0" xr:uid="{C60283AA-40E2-4C12-B6BC-7E55DE7303CB}"/>
    <hyperlink ref="C2254" r:id="rId2249" display="https://pld.live/RapDetail.aspx?STONELIST=941230069&amp;ISCONFIRM=0" xr:uid="{76B6BD52-1979-439A-BC23-55365061FF91}"/>
    <hyperlink ref="C2255" r:id="rId2250" display="https://pld.live/RapDetail.aspx?STONELIST=941290166&amp;ISCONFIRM=0" xr:uid="{C2348126-73E2-447C-842B-49F1A92EF0BB}"/>
    <hyperlink ref="C2256" r:id="rId2251" display="https://pld.live/RapDetail.aspx?STONELIST=926391204&amp;ISCONFIRM=0" xr:uid="{C287E636-A1BF-4841-AE32-5A153ED9C291}"/>
    <hyperlink ref="C2257" r:id="rId2252" display="https://pld.live/RapDetail.aspx?STONELIST=927110001&amp;ISCONFIRM=0" xr:uid="{412E2330-0F32-489C-ACFB-05208F0F58D8}"/>
    <hyperlink ref="C2258" r:id="rId2253" display="https://pld.live/RapDetail.aspx?STONELIST=920661222&amp;ISCONFIRM=0" xr:uid="{1D5A6BB4-294D-42E0-8718-879E42FA48C6}"/>
    <hyperlink ref="C2259" r:id="rId2254" display="https://pld.live/RapDetail.aspx?STONELIST=926801338&amp;ISCONFIRM=0" xr:uid="{0CF4B5D8-A4D1-483F-9AED-2C21653BE4FE}"/>
    <hyperlink ref="C2260" r:id="rId2255" display="https://pld.live/RapDetail.aspx?STONELIST=926190990&amp;ISCONFIRM=0" xr:uid="{D027F731-6618-40B4-A717-16A3F7AA42AA}"/>
    <hyperlink ref="C2261" r:id="rId2256" display="https://pld.live/RapDetail.aspx?STONELIST=821127914&amp;ISCONFIRM=0" xr:uid="{5F9B1B34-D90C-4426-BBFF-A8ED9EA4E792}"/>
    <hyperlink ref="C2262" r:id="rId2257" display="https://pld.live/RapDetail.aspx?STONELIST=941390337&amp;ISCONFIRM=0" xr:uid="{364BAB74-C6C5-44B9-8405-563C6A85EFE3}"/>
    <hyperlink ref="C2263" r:id="rId2258" display="https://pld.live/RapDetail.aspx?STONELIST=941380231&amp;ISCONFIRM=0" xr:uid="{AFE5969D-B923-4393-8BA6-B60F2E007740}"/>
    <hyperlink ref="C2264" r:id="rId2259" display="https://pld.live/RapDetail.aspx?STONELIST=926391140&amp;ISCONFIRM=0" xr:uid="{FDACA999-5B3D-480F-B7B6-80F003461395}"/>
    <hyperlink ref="C2265" r:id="rId2260" display="https://pld.live/RapDetail.aspx?STONELIST=926391225&amp;ISCONFIRM=0" xr:uid="{31A0FB2E-E8BF-49E8-B262-0B3FC982F944}"/>
    <hyperlink ref="C2266" r:id="rId2261" display="https://pld.live/RapDetail.aspx?STONELIST=941390514&amp;ISCONFIRM=0" xr:uid="{A41115A0-DE41-48B3-8B88-B8364C8B93BD}"/>
    <hyperlink ref="C2267" r:id="rId2262" display="https://pld.live/RapDetail.aspx?STONELIST=926391207&amp;ISCONFIRM=0" xr:uid="{DA136E9D-44A4-4D9A-AAAF-1DEF53E3C156}"/>
    <hyperlink ref="C2268" r:id="rId2263" display="https://pld.live/RapDetail.aspx?STONELIST=926231368&amp;ISCONFIRM=0" xr:uid="{F2781C93-A548-4FCE-82A0-CA200B61B56F}"/>
    <hyperlink ref="C2269" r:id="rId2264" display="https://pld.live/RapDetail.aspx?STONELIST=926270912&amp;ISCONFIRM=0" xr:uid="{D0F42663-BB1D-40D7-A876-008FA18AA0F8}"/>
    <hyperlink ref="C2270" r:id="rId2265" display="https://pld.live/RapDetail.aspx?STONELIST=926240788&amp;ISCONFIRM=0" xr:uid="{C19E3AFE-717D-46E4-A557-3A9E30202111}"/>
    <hyperlink ref="C2271" r:id="rId2266" display="https://pld.live/RapDetail.aspx?STONELIST=926801264&amp;ISCONFIRM=0" xr:uid="{2AF31E2B-648E-49D4-8B41-26F874EED5A9}"/>
    <hyperlink ref="C2272" r:id="rId2267" display="https://pld.live/RapDetail.aspx?STONELIST=926240741&amp;ISCONFIRM=0" xr:uid="{40278C64-F962-4EFA-BC2A-91AD374DFD86}"/>
    <hyperlink ref="C2273" r:id="rId2268" display="https://pld.live/RapDetail.aspx?STONELIST=926801234&amp;ISCONFIRM=0" xr:uid="{4A05FDAB-4194-43F8-A2E7-0C25A8C8B906}"/>
    <hyperlink ref="C2274" r:id="rId2269" display="https://pld.live/RapDetail.aspx?STONELIST=926230958&amp;ISCONFIRM=0" xr:uid="{B7E609DA-EF79-4757-BA5F-3DCDB694A0D9}"/>
    <hyperlink ref="C2275" r:id="rId2270" display="https://pld.live/RapDetail.aspx?STONELIST=926391190&amp;ISCONFIRM=0" xr:uid="{8C31BB18-A5CF-49FE-A9FB-7D9F0B3E9521}"/>
    <hyperlink ref="C2276" r:id="rId2271" display="https://pld.live/RapDetail.aspx?STONELIST=941100184&amp;ISCONFIRM=0" xr:uid="{2ED7FA4A-6A9A-4E76-8DAE-94A7C33DE3CB}"/>
    <hyperlink ref="C2277" r:id="rId2272" display="https://pld.live/RapDetail.aspx?STONELIST=926301225&amp;ISCONFIRM=0" xr:uid="{75C5BD66-0E8F-4BBE-87A0-4911380059CF}"/>
    <hyperlink ref="C2278" r:id="rId2273" display="https://pld.live/RapDetail.aspx?STONELIST=926391099&amp;ISCONFIRM=0" xr:uid="{163FCE1C-869D-4031-9199-EE8FF4C18CA8}"/>
    <hyperlink ref="C2279" r:id="rId2274" display="https://pld.live/RapDetail.aspx?STONELIST=926180434&amp;ISCONFIRM=0" xr:uid="{A0EFFFC6-7729-4A5C-B523-DD197E981355}"/>
    <hyperlink ref="C2280" r:id="rId2275" display="https://pld.live/RapDetail.aspx?STONELIST=926171546&amp;ISCONFIRM=0" xr:uid="{1C7711BF-E680-4093-AC98-ECDE8987A7E7}"/>
    <hyperlink ref="C2281" r:id="rId2276" display="https://pld.live/RapDetail.aspx?STONELIST=926181060&amp;ISCONFIRM=0" xr:uid="{D7FB6CEF-D88E-4474-B839-13A629DB79DE}"/>
    <hyperlink ref="C2282" r:id="rId2277" display="https://pld.live/RapDetail.aspx?STONELIST=926190974&amp;ISCONFIRM=0" xr:uid="{5839428F-2E78-43DB-BA62-EABE407C2C13}"/>
    <hyperlink ref="C2283" r:id="rId2278" display="https://pld.live/RapDetail.aspx?STONELIST=926190976&amp;ISCONFIRM=0" xr:uid="{342D18E3-04AD-434B-87E2-FB396C36F3C9}"/>
    <hyperlink ref="C2284" r:id="rId2279" display="https://pld.live/RapDetail.aspx?STONELIST=926240815&amp;ISCONFIRM=0" xr:uid="{AC3FA1BB-3516-41B4-8463-F49360A2C9D0}"/>
    <hyperlink ref="C2285" r:id="rId2280" display="https://pld.live/RapDetail.aspx?STONELIST=926191008&amp;ISCONFIRM=0" xr:uid="{2DA2E210-BF09-432D-988D-111DFC6E4069}"/>
    <hyperlink ref="C2286" r:id="rId2281" display="https://pld.live/RapDetail.aspx?STONELIST=926141508&amp;ISCONFIRM=0" xr:uid="{96C734C5-C7C6-4FA9-A5D5-635A0DB128FF}"/>
    <hyperlink ref="C2287" r:id="rId2282" display="https://pld.live/RapDetail.aspx?STONELIST=926191034&amp;ISCONFIRM=0" xr:uid="{E5DBD2FC-4529-4B95-A5B9-7C6CF89F8D26}"/>
    <hyperlink ref="C2288" r:id="rId2283" display="https://pld.live/RapDetail.aspx?STONELIST=926181028&amp;ISCONFIRM=0" xr:uid="{FD1F3119-912A-43CE-9F46-1B0BC98E2FB1}"/>
    <hyperlink ref="C2289" r:id="rId2284" display="https://pld.live/RapDetail.aspx?STONELIST=821127846&amp;ISCONFIRM=0" xr:uid="{A775FDD1-6052-48FE-A0D1-737B4319CE3E}"/>
    <hyperlink ref="C2290" r:id="rId2285" display="https://pld.live/RapDetail.aspx?STONELIST=926261473&amp;ISCONFIRM=0" xr:uid="{BA815467-3429-4B84-979F-ECBC6819E606}"/>
    <hyperlink ref="C2291" r:id="rId2286" display="https://pld.live/RapDetail.aspx?STONELIST=926240747&amp;ISCONFIRM=0" xr:uid="{1F9487D9-04FB-4F25-AA7B-34621C71733D}"/>
    <hyperlink ref="C2292" r:id="rId2287" display="https://pld.live/RapDetail.aspx?STONELIST=926240685&amp;ISCONFIRM=0" xr:uid="{2C1FFDB7-A832-49BA-BBE0-4200F5922A0E}"/>
    <hyperlink ref="C2293" r:id="rId2288" display="https://pld.live/RapDetail.aspx?STONELIST=926240733&amp;ISCONFIRM=0" xr:uid="{35C9FBE0-5B95-4E2F-B7AF-BAAEE73C332E}"/>
    <hyperlink ref="C2294" r:id="rId2289" display="https://pld.live/RapDetail.aspx?STONELIST=926240888&amp;ISCONFIRM=0" xr:uid="{5F883225-1F7A-4837-B942-A0E7A26B891E}"/>
    <hyperlink ref="C2295" r:id="rId2290" display="https://pld.live/RapDetail.aspx?STONELIST=926231365&amp;ISCONFIRM=0" xr:uid="{9D1B0277-3E71-42A2-B15B-2FD302753FD5}"/>
    <hyperlink ref="C2296" r:id="rId2291" display="https://pld.live/RapDetail.aspx?STONELIST=941080759&amp;ISCONFIRM=0" xr:uid="{6898EDD9-4CC7-479A-A5E0-D89391D1C4ED}"/>
    <hyperlink ref="C2297" r:id="rId2292" display="https://pld.live/RapDetail.aspx?STONELIST=920661526&amp;ISCONFIRM=0" xr:uid="{6D6DCE4B-F097-452C-9230-33AB54AC9B0E}"/>
    <hyperlink ref="C2298" r:id="rId2293" display="https://pld.live/RapDetail.aspx?STONELIST=821127937&amp;ISCONFIRM=0" xr:uid="{7376975F-1476-4FAA-B6C4-2998A9B770BC}"/>
    <hyperlink ref="C2299" r:id="rId2294" display="https://pld.live/RapDetail.aspx?STONELIST=926261447&amp;ISCONFIRM=0" xr:uid="{EABBE2B0-A891-4330-917B-39DA2F9D95AA}"/>
    <hyperlink ref="C2300" r:id="rId2295" display="https://pld.live/RapDetail.aspx?STONELIST=926240899&amp;ISCONFIRM=0" xr:uid="{C8AF27AF-6DB0-4976-84E6-63E3004ABACA}"/>
    <hyperlink ref="C2301" r:id="rId2296" display="https://pld.live/RapDetail.aspx?STONELIST=926240810&amp;ISCONFIRM=0" xr:uid="{DC6785D5-47CC-439A-8AC7-5C219A3AC64C}"/>
    <hyperlink ref="C2302" r:id="rId2297" display="https://pld.live/RapDetail.aspx?STONELIST=926240703&amp;ISCONFIRM=0" xr:uid="{20184057-E90B-4919-9AFB-7BE1BD6D8303}"/>
    <hyperlink ref="C2303" r:id="rId2298" display="https://pld.live/RapDetail.aspx?STONELIST=926240695&amp;ISCONFIRM=0" xr:uid="{68F5BEA0-1B12-4B3F-B8F7-4AEFE514E036}"/>
    <hyperlink ref="C2304" r:id="rId2299" display="https://pld.live/RapDetail.aspx?STONELIST=926321001&amp;ISCONFIRM=0" xr:uid="{04B2FC58-8F64-4B78-83E0-8C109D1FA045}"/>
    <hyperlink ref="C2305" r:id="rId2300" display="https://pld.live/RapDetail.aspx?STONELIST=926081149&amp;ISCONFIRM=0" xr:uid="{7F20CF98-2BE4-42BC-98C8-5FA078BFED1F}"/>
    <hyperlink ref="C2306" r:id="rId2301" display="https://pld.live/RapDetail.aspx?STONELIST=926191009&amp;ISCONFIRM=0" xr:uid="{E9727CAD-DEE8-4D56-96D3-14DBBD49869E}"/>
    <hyperlink ref="C2307" r:id="rId2302" display="https://pld.live/RapDetail.aspx?STONELIST=927151128&amp;ISCONFIRM=0" xr:uid="{A7627963-CDF4-48BC-AE45-E61E4B83A64B}"/>
    <hyperlink ref="C2308" r:id="rId2303" display="https://pld.live/RapDetail.aspx?STONELIST=926661626&amp;ISCONFIRM=0" xr:uid="{1782CBB5-78AB-4DB8-864D-1439DA6A72B3}"/>
    <hyperlink ref="C2309" r:id="rId2304" display="https://pld.live/RapDetail.aspx?STONELIST=926231041&amp;ISCONFIRM=0" xr:uid="{84E9C672-0404-460F-B7F1-4D29F8548CC6}"/>
    <hyperlink ref="C2310" r:id="rId2305" display="https://pld.live/RapDetail.aspx?STONELIST=926320957&amp;ISCONFIRM=0" xr:uid="{0FFA5F85-D35B-4EEA-909D-D1CECE8E8A7D}"/>
    <hyperlink ref="C2311" r:id="rId2306" display="https://pld.live/RapDetail.aspx?STONELIST=926320996&amp;ISCONFIRM=0" xr:uid="{B72CE296-0DF8-42F5-B91A-689D8E861A4E}"/>
    <hyperlink ref="C2312" r:id="rId2307" display="https://pld.live/RapDetail.aspx?STONELIST=926141013&amp;ISCONFIRM=0" xr:uid="{B2AD1EC4-AAFF-4AA1-AA22-B4D9A37664EA}"/>
    <hyperlink ref="C2313" r:id="rId2308" display="https://pld.live/RapDetail.aspx?STONELIST=926261425&amp;ISCONFIRM=0" xr:uid="{655287DC-986A-4283-A8B5-20D827E8816F}"/>
    <hyperlink ref="C2314" r:id="rId2309" display="https://pld.live/RapDetail.aspx?STONELIST=926430894&amp;ISCONFIRM=0" xr:uid="{FD7E13A1-6CF9-4EC8-8542-26D11BD1BC83}"/>
    <hyperlink ref="C2315" r:id="rId2310" display="https://pld.live/RapDetail.aspx?STONELIST=926181045&amp;ISCONFIRM=0" xr:uid="{7A87AA59-7EF6-440F-B382-64445629C301}"/>
    <hyperlink ref="C2316" r:id="rId2311" display="https://pld.live/RapDetail.aspx?STONELIST=926190940&amp;ISCONFIRM=0" xr:uid="{AE6B913E-5DC1-47FD-9ED7-57727CDA9B56}"/>
    <hyperlink ref="C2317" r:id="rId2312" display="https://pld.live/RapDetail.aspx?STONELIST=941300086&amp;ISCONFIRM=0" xr:uid="{5C9ED8AC-C424-4CFF-9231-4D3AEB65D299}"/>
    <hyperlink ref="C2318" r:id="rId2313" display="https://pld.live/RapDetail.aspx?STONELIST=926391219&amp;ISCONFIRM=0" xr:uid="{BFA1060A-82FC-4763-8540-C04934681AC8}"/>
    <hyperlink ref="C2319" r:id="rId2314" display="https://pld.live/RapDetail.aspx?STONELIST=926391216&amp;ISCONFIRM=0" xr:uid="{EF6D7A89-899D-42C3-9F39-8F75CAD372F4}"/>
    <hyperlink ref="C2320" r:id="rId2315" display="https://pld.live/RapDetail.aspx?STONELIST=941360341&amp;ISCONFIRM=0" xr:uid="{F8DB1DD1-C8A7-44C1-956A-04F7BA36868F}"/>
    <hyperlink ref="C2321" r:id="rId2316" display="https://pld.live/RapDetail.aspx?STONELIST=941330314&amp;ISCONFIRM=0" xr:uid="{820D5214-40DF-484D-9EE5-DEFE40944D2A}"/>
    <hyperlink ref="C2322" r:id="rId2317" display="https://pld.live/RapDetail.aspx?STONELIST=941380357&amp;ISCONFIRM=0" xr:uid="{9740C323-5399-46A3-A558-E87A996E1421}"/>
    <hyperlink ref="C2323" r:id="rId2318" display="https://pld.live/RapDetail.aspx?STONELIST=941330242&amp;ISCONFIRM=0" xr:uid="{259D56E5-D7EB-48A7-BD37-F671511CFF3A}"/>
    <hyperlink ref="C2324" r:id="rId2319" display="https://pld.live/RapDetail.aspx?STONELIST=920661541&amp;ISCONFIRM=0" xr:uid="{D0D9D99E-40BB-48C6-BD16-671E1AF18B66}"/>
    <hyperlink ref="C2325" r:id="rId2320" display="https://pld.live/RapDetail.aspx?STONELIST=926240746&amp;ISCONFIRM=0" xr:uid="{DB364E0B-653D-45F3-A8AF-279CD51A685D}"/>
    <hyperlink ref="C2326" r:id="rId2321" display="https://pld.live/RapDetail.aspx?STONELIST=926261428&amp;ISCONFIRM=0" xr:uid="{D2EB34FB-5CC6-4133-81D1-C0B2AE77567D}"/>
    <hyperlink ref="C2327" r:id="rId2322" display="https://pld.live/RapDetail.aspx?STONELIST=926240762&amp;ISCONFIRM=0" xr:uid="{9487BD08-ADDB-4588-BD1A-E8DAEDAC3710}"/>
    <hyperlink ref="C2328" r:id="rId2323" display="https://pld.live/RapDetail.aspx?STONELIST=926261499&amp;ISCONFIRM=0" xr:uid="{23B8B9E4-314B-4AC4-B1DA-CF18C46918CE}"/>
    <hyperlink ref="C2329" r:id="rId2324" display="https://pld.live/RapDetail.aspx?STONELIST=926261511&amp;ISCONFIRM=0" xr:uid="{8E417092-E70B-4C8F-AE25-318EA55DD7F7}"/>
    <hyperlink ref="C2330" r:id="rId2325" display="https://pld.live/RapDetail.aspx?STONELIST=920661245&amp;ISCONFIRM=0" xr:uid="{72F575C7-201D-4773-B722-F68AE9DB972E}"/>
    <hyperlink ref="C2331" r:id="rId2326" display="https://pld.live/RapDetail.aspx?STONELIST=926240706&amp;ISCONFIRM=0" xr:uid="{0C3D1435-E51E-46DE-A515-5F6AA70929D0}"/>
    <hyperlink ref="C2332" r:id="rId2327" display="https://pld.live/RapDetail.aspx?STONELIST=926240500&amp;ISCONFIRM=0" xr:uid="{1C9C497B-7161-4D62-9729-FF52677EAD79}"/>
    <hyperlink ref="C2333" r:id="rId2328" display="https://pld.live/RapDetail.aspx?STONELIST=926301249&amp;ISCONFIRM=0" xr:uid="{536ECDA2-AEA1-4575-94E8-C64A7095B606}"/>
    <hyperlink ref="C2334" r:id="rId2329" display="https://pld.live/RapDetail.aspx?STONELIST=926321118&amp;ISCONFIRM=0" xr:uid="{97F1C7D8-BF93-4CC4-B39A-2BE935BC1034}"/>
    <hyperlink ref="C2335" r:id="rId2330" display="https://pld.live/RapDetail.aspx?STONELIST=926391107&amp;ISCONFIRM=0" xr:uid="{0A14237D-99AA-456E-B24F-D5880A9546E6}"/>
    <hyperlink ref="C2336" r:id="rId2331" display="https://pld.live/RapDetail.aspx?STONELIST=926081404&amp;ISCONFIRM=0" xr:uid="{0B50340F-7BD4-483E-A510-9A93BB7177D9}"/>
    <hyperlink ref="C2337" r:id="rId2332" display="https://pld.live/RapDetail.aspx?STONELIST=926181024&amp;ISCONFIRM=0" xr:uid="{2CCAA166-E3C6-4363-8502-4D0D86A8FCEA}"/>
    <hyperlink ref="C2338" r:id="rId2333" display="https://pld.live/RapDetail.aspx?STONELIST=926240792&amp;ISCONFIRM=0" xr:uid="{C9BDB8EB-7CBF-4333-A273-379D21F30ADC}"/>
    <hyperlink ref="C2339" r:id="rId2334" display="https://pld.live/RapDetail.aspx?STONELIST=941300106&amp;ISCONFIRM=0" xr:uid="{16DB424F-26D7-4CC1-9180-1C823AAC9A6D}"/>
    <hyperlink ref="C2340" r:id="rId2335" display="https://pld.live/RapDetail.aspx?STONELIST=926301267&amp;ISCONFIRM=0" xr:uid="{19B00EAD-BBE0-40AA-8B09-C2518D7F8B59}"/>
    <hyperlink ref="C2341" r:id="rId2336" display="https://pld.live/RapDetail.aspx?STONELIST=926301081&amp;ISCONFIRM=0" xr:uid="{363AC1CA-78EB-4F3D-8C9F-F29FDBEBBF20}"/>
    <hyperlink ref="C2342" r:id="rId2337" display="https://pld.live/RapDetail.aspx?STONELIST=926181039&amp;ISCONFIRM=0" xr:uid="{963535D8-A247-4839-B48D-504750B66804}"/>
    <hyperlink ref="C2343" r:id="rId2338" display="https://pld.live/RapDetail.aspx?STONELIST=926091307&amp;ISCONFIRM=0" xr:uid="{0F6C8483-87C2-4765-BBF8-1212276AC126}"/>
    <hyperlink ref="C2344" r:id="rId2339" display="https://pld.live/RapDetail.aspx?STONELIST=821127924&amp;ISCONFIRM=0" xr:uid="{04393414-5764-4009-BF45-523227462F44}"/>
    <hyperlink ref="C2345" r:id="rId2340" display="https://pld.live/RapDetail.aspx?STONELIST=926240887&amp;ISCONFIRM=0" xr:uid="{88DC6ABA-DD93-4FE5-8C0A-E66B7F574C3F}"/>
    <hyperlink ref="C2346" r:id="rId2341" display="https://pld.live/RapDetail.aspx?STONELIST=926240782&amp;ISCONFIRM=0" xr:uid="{FBE9A674-E2D9-4757-B698-3A610E3B80CD}"/>
    <hyperlink ref="C2347" r:id="rId2342" display="https://pld.live/RapDetail.aspx?STONELIST=821127905&amp;ISCONFIRM=0" xr:uid="{C23E46E7-9988-4A40-8C92-62A40232EB02}"/>
    <hyperlink ref="C2348" r:id="rId2343" display="https://pld.live/RapDetail.aspx?STONELIST=926301217&amp;ISCONFIRM=0" xr:uid="{F4590C54-0AD3-4BD0-82CF-4C678F000046}"/>
    <hyperlink ref="C2349" r:id="rId2344" display="https://pld.live/RapDetail.aspx?STONELIST=926430931&amp;ISCONFIRM=0" xr:uid="{5A5CFE71-AA5B-47A2-8480-8DA49D0D8CEF}"/>
    <hyperlink ref="C2350" r:id="rId2345" display="https://pld.live/RapDetail.aspx?STONELIST=941330315&amp;ISCONFIRM=0" xr:uid="{6B59F1A2-F738-41F3-9F90-EC6D93465BCC}"/>
    <hyperlink ref="C2351" r:id="rId2346" display="https://pld.live/RapDetail.aspx?STONELIST=926301288&amp;ISCONFIRM=0" xr:uid="{8AFC15D6-74F9-4644-81ED-E2797BE5EB5B}"/>
    <hyperlink ref="C2352" r:id="rId2347" display="https://pld.live/RapDetail.aspx?STONELIST=926190963&amp;ISCONFIRM=0" xr:uid="{0A69DE68-A01E-4056-8AE3-DB464AFFE2E6}"/>
    <hyperlink ref="C2353" r:id="rId2348" display="https://pld.live/RapDetail.aspx?STONELIST=926190983&amp;ISCONFIRM=0" xr:uid="{FC077606-6023-49F2-B25B-B162C88F1302}"/>
    <hyperlink ref="C2354" r:id="rId2349" display="https://pld.live/RapDetail.aspx?STONELIST=926190989&amp;ISCONFIRM=0" xr:uid="{B13AC91F-F88B-49C5-B853-FDA020C60A95}"/>
    <hyperlink ref="C2355" r:id="rId2350" display="https://pld.live/RapDetail.aspx?STONELIST=926181042&amp;ISCONFIRM=0" xr:uid="{3772C0A0-1581-4BA8-A7C7-A7DD390B47A0}"/>
    <hyperlink ref="C2356" r:id="rId2351" display="https://pld.live/RapDetail.aspx?STONELIST=926181009&amp;ISCONFIRM=0" xr:uid="{8DD46474-4277-4A15-9F88-BC75A7BEAE07}"/>
    <hyperlink ref="C2357" r:id="rId2352" display="https://pld.live/RapDetail.aspx?STONELIST=926240895&amp;ISCONFIRM=0" xr:uid="{B95866A0-6F31-49D2-A5EA-788A9D73B243}"/>
    <hyperlink ref="C2358" r:id="rId2353" display="https://pld.live/RapDetail.aspx?STONELIST=831010750&amp;ISCONFIRM=0" xr:uid="{6F94BCE3-7C6D-4CE0-A1C2-D3C915E995EB}"/>
    <hyperlink ref="C2359" r:id="rId2354" display="https://pld.live/RapDetail.aspx?STONELIST=927152200&amp;ISCONFIRM=0" xr:uid="{10E8A720-DD3F-472F-BED7-6DD84AE86679}"/>
    <hyperlink ref="C2360" r:id="rId2355" display="https://pld.live/RapDetail.aspx?STONELIST=926181032&amp;ISCONFIRM=0" xr:uid="{EBC6EDD1-A9A3-4A71-9898-D5E389F2C0E4}"/>
    <hyperlink ref="C2361" r:id="rId2356" display="https://pld.live/RapDetail.aspx?STONELIST=926460878&amp;ISCONFIRM=0" xr:uid="{A680019F-84B5-4430-9032-3B2380CA4793}"/>
    <hyperlink ref="C2362" r:id="rId2357" display="https://pld.live/RapDetail.aspx?STONELIST=926571119&amp;ISCONFIRM=0" xr:uid="{A35DE1D9-5237-4667-9DE3-48AD94318B10}"/>
    <hyperlink ref="C2363" r:id="rId2358" display="https://pld.live/RapDetail.aspx?STONELIST=926761015&amp;ISCONFIRM=0" xr:uid="{970AE854-BB01-4855-B52F-CDA766AA6EF3}"/>
    <hyperlink ref="C2364" r:id="rId2359" display="https://pld.live/RapDetail.aspx?STONELIST=926261503&amp;ISCONFIRM=0" xr:uid="{0D7FFD2D-1643-462B-83D8-DCA899E42F1D}"/>
    <hyperlink ref="C2365" r:id="rId2360" display="https://pld.live/RapDetail.aspx?STONELIST=926761218&amp;ISCONFIRM=0" xr:uid="{B84AC5FD-75BE-455A-A450-67789527B552}"/>
    <hyperlink ref="C2366" r:id="rId2361" display="https://pld.live/RapDetail.aspx?STONELIST=926341426&amp;ISCONFIRM=0" xr:uid="{EDA0CF20-DA4E-41F3-A051-6A8577FEB423}"/>
    <hyperlink ref="C2367" r:id="rId2362" display="https://pld.live/RapDetail.aspx?STONELIST=926341224&amp;ISCONFIRM=0" xr:uid="{A377BF3D-F095-469C-A0F4-70E2B569A01C}"/>
    <hyperlink ref="C2368" r:id="rId2363" display="https://pld.live/RapDetail.aspx?STONELIST=926320948&amp;ISCONFIRM=0" xr:uid="{259E7BB3-8F61-405E-A983-77B88CA4A708}"/>
    <hyperlink ref="C2369" r:id="rId2364" display="https://pld.live/RapDetail.aspx?STONELIST=926301256&amp;ISCONFIRM=0" xr:uid="{84BB3927-EABE-43CA-8B69-C1533C57B3D2}"/>
    <hyperlink ref="C2370" r:id="rId2365" display="https://pld.live/RapDetail.aspx?STONELIST=926301197&amp;ISCONFIRM=0" xr:uid="{2FC35ADA-FC70-48AA-B0A9-EA1AF27A2EBD}"/>
    <hyperlink ref="C2371" r:id="rId2366" display="https://pld.live/RapDetail.aspx?STONELIST=926301050&amp;ISCONFIRM=0" xr:uid="{C1907D59-130E-40E4-AB8B-92900D19F20C}"/>
    <hyperlink ref="C2372" r:id="rId2367" display="https://pld.live/RapDetail.aspx?STONELIST=941090552&amp;ISCONFIRM=0" xr:uid="{2316C225-F3E1-40EC-947E-74AF1A76445C}"/>
    <hyperlink ref="C2373" r:id="rId2368" display="https://pld.live/RapDetail.aspx?STONELIST=926301154&amp;ISCONFIRM=0" xr:uid="{95FF7B74-604C-4A80-B909-496A5E43F30C}"/>
    <hyperlink ref="C2374" r:id="rId2369" display="https://pld.live/RapDetail.aspx?STONELIST=926710929&amp;ISCONFIRM=0" xr:uid="{AABC6DBB-9CFB-48D7-A269-769E2C7BD386}"/>
    <hyperlink ref="C2375" r:id="rId2370" display="https://pld.live/RapDetail.aspx?STONELIST=920661533&amp;ISCONFIRM=0" xr:uid="{6502F545-346D-494A-B44B-85BCAFC44DDA}"/>
    <hyperlink ref="C2376" r:id="rId2371" display="https://pld.live/RapDetail.aspx?STONELIST=926261198&amp;ISCONFIRM=0" xr:uid="{2921CA0C-B511-4598-B918-C88B6658CAE9}"/>
    <hyperlink ref="C2377" r:id="rId2372" display="https://pld.live/RapDetail.aspx?STONELIST=926571217&amp;ISCONFIRM=0" xr:uid="{803DB3CA-CB9C-4FE1-9802-831229B89A0B}"/>
    <hyperlink ref="C2378" r:id="rId2373" display="https://pld.live/RapDetail.aspx?STONELIST=926231050&amp;ISCONFIRM=0" xr:uid="{839A5A20-7510-45B9-A6A8-E970D625BC8F}"/>
    <hyperlink ref="C2379" r:id="rId2374" display="https://pld.live/RapDetail.aspx?STONELIST=926240853&amp;ISCONFIRM=0" xr:uid="{F330CD25-C5DE-40B2-9396-35F8AABE281A}"/>
    <hyperlink ref="C2380" r:id="rId2375" display="https://pld.live/RapDetail.aspx?STONELIST=926321072&amp;ISCONFIRM=0" xr:uid="{5EF90CFE-8FF2-4643-AE6B-78E7CBCCFEBF}"/>
    <hyperlink ref="C2381" r:id="rId2376" display="https://pld.live/RapDetail.aspx?STONELIST=926380290&amp;ISCONFIRM=0" xr:uid="{3B5D25BD-AFB1-4765-A0CB-6E287AE8E5A7}"/>
    <hyperlink ref="C2382" r:id="rId2377" display="https://pld.live/RapDetail.aspx?STONELIST=926191162&amp;ISCONFIRM=0" xr:uid="{010C6F11-B517-4EEE-955C-2B7D97395ADD}"/>
    <hyperlink ref="C2383" r:id="rId2378" display="https://pld.live/RapDetail.aspx?STONELIST=926081492&amp;ISCONFIRM=0" xr:uid="{9022B7C7-40F4-464E-B85E-FBC0FA3CB1F0}"/>
    <hyperlink ref="C2384" r:id="rId2379" display="https://pld.live/RapDetail.aspx?STONELIST=920661456&amp;ISCONFIRM=0" xr:uid="{2CEB4ED3-6E22-4A48-9BCB-AB25A6C49DDA}"/>
    <hyperlink ref="C2385" r:id="rId2380" display="https://pld.live/RapDetail.aspx?STONELIST=925610053&amp;ISCONFIRM=0" xr:uid="{24C357D8-C39C-43A7-B8FA-19C18CA28A90}"/>
    <hyperlink ref="C2386" r:id="rId2381" display="https://pld.live/RapDetail.aspx?STONELIST=926190929&amp;ISCONFIRM=0" xr:uid="{C9FC2A43-A18C-4B31-A7AA-2F849FE9675B}"/>
    <hyperlink ref="C2387" r:id="rId2382" display="https://pld.live/RapDetail.aspx?STONELIST=926321005&amp;ISCONFIRM=0" xr:uid="{179AC733-A194-499E-8198-885918B61836}"/>
    <hyperlink ref="C2388" r:id="rId2383" display="https://pld.live/RapDetail.aspx?STONELIST=924400190&amp;ISCONFIRM=0" xr:uid="{0661F4F7-B4AC-41EA-9D14-B62572D3B715}"/>
    <hyperlink ref="C2389" r:id="rId2384" display="https://pld.live/RapDetail.aspx?STONELIST=924540171&amp;ISCONFIRM=0" xr:uid="{74081AF1-6A1A-46E9-828F-448D995176B5}"/>
    <hyperlink ref="C2390" r:id="rId2385" display="https://pld.live/RapDetail.aspx?STONELIST=926391138&amp;ISCONFIRM=0" xr:uid="{34A2723B-6CB0-4AF2-8157-4DDCC4592A31}"/>
    <hyperlink ref="C2391" r:id="rId2386" display="https://pld.live/RapDetail.aspx?STONELIST=831010728&amp;ISCONFIRM=0" xr:uid="{FA373D0C-2D2E-40AD-A564-515C18370816}"/>
    <hyperlink ref="C2392" r:id="rId2387" display="https://pld.live/RapDetail.aspx?STONELIST=926091214&amp;ISCONFIRM=0" xr:uid="{0266F23D-794F-4CE5-A194-A397C8242F39}"/>
    <hyperlink ref="C2393" r:id="rId2388" display="https://pld.live/RapDetail.aspx?STONELIST=927152063&amp;ISCONFIRM=0" xr:uid="{2E8DFD90-258B-427D-A103-5D6C745E5382}"/>
    <hyperlink ref="C2394" r:id="rId2389" display="https://pld.live/RapDetail.aspx?STONELIST=920661349&amp;ISCONFIRM=0" xr:uid="{4272ED07-2D81-4E2F-A8FA-65FF20F88B87}"/>
    <hyperlink ref="C2395" r:id="rId2390" display="https://pld.live/RapDetail.aspx?STONELIST=831010729&amp;ISCONFIRM=0" xr:uid="{C565153B-0417-493E-9C9B-1E6592D16D16}"/>
    <hyperlink ref="C2396" r:id="rId2391" display="https://pld.live/RapDetail.aspx?STONELIST=926980603&amp;ISCONFIRM=0" xr:uid="{AAF6ED13-4B6C-46E1-B9F8-CCC033F10085}"/>
    <hyperlink ref="C2397" r:id="rId2392" display="https://pld.live/RapDetail.aspx?STONELIST=926391121&amp;ISCONFIRM=0" xr:uid="{52E14F19-AA05-41EB-9216-260E1ADD76FB}"/>
    <hyperlink ref="C2398" r:id="rId2393" display="https://pld.live/RapDetail.aspx?STONELIST=926341190&amp;ISCONFIRM=0" xr:uid="{2F842D2E-937D-496E-8838-B6A0B8BBEA0B}"/>
    <hyperlink ref="C2399" r:id="rId2394" display="https://pld.live/RapDetail.aspx?STONELIST=926430866&amp;ISCONFIRM=0" xr:uid="{72717054-94D8-4EE1-921A-B4970997C865}"/>
    <hyperlink ref="C2400" r:id="rId2395" display="https://pld.live/RapDetail.aspx?STONELIST=926391151&amp;ISCONFIRM=0" xr:uid="{E5D7270E-308B-44C9-8AE9-5199BEC2BA61}"/>
    <hyperlink ref="C2401" r:id="rId2396" display="https://pld.live/RapDetail.aspx?STONELIST=926261270&amp;ISCONFIRM=0" xr:uid="{0B55D5CB-085C-40CF-B928-46FC72DC0CA6}"/>
    <hyperlink ref="C2402" r:id="rId2397" display="https://pld.live/RapDetail.aspx?STONELIST=926391097&amp;ISCONFIRM=0" xr:uid="{D33EBFCB-1886-4946-BE3A-9AE733E2727C}"/>
    <hyperlink ref="C2403" r:id="rId2398" display="https://pld.live/RapDetail.aspx?STONELIST=926430904&amp;ISCONFIRM=0" xr:uid="{C1415A4A-198E-4B67-88B8-4D1CBFA80C14}"/>
    <hyperlink ref="C2404" r:id="rId2399" display="https://pld.live/RapDetail.aspx?STONELIST=926261392&amp;ISCONFIRM=0" xr:uid="{65B08E3E-173B-4F7E-9E09-6A7DF5C27363}"/>
    <hyperlink ref="C2405" r:id="rId2400" display="https://pld.live/RapDetail.aspx?STONELIST=941230233&amp;ISCONFIRM=0" xr:uid="{9C2EF4BD-C55F-4E83-AD64-DDE14D726C6F}"/>
    <hyperlink ref="C2406" r:id="rId2401" display="https://pld.live/RapDetail.aspx?STONELIST=926661091&amp;ISCONFIRM=0" xr:uid="{25BD94EA-1F3C-44A6-A27B-A9512E7C2881}"/>
    <hyperlink ref="C2407" r:id="rId2402" display="https://pld.live/RapDetail.aspx?STONELIST=926231341&amp;ISCONFIRM=0" xr:uid="{8FB8AFBB-1F4E-4CAE-AE82-6B2E049C2938}"/>
    <hyperlink ref="C2408" r:id="rId2403" display="https://pld.live/RapDetail.aspx?STONELIST=926231314&amp;ISCONFIRM=0" xr:uid="{D4626155-6088-4173-B1C3-3CC7D6B6774A}"/>
    <hyperlink ref="C2409" r:id="rId2404" display="https://pld.live/RapDetail.aspx?STONELIST=926261194&amp;ISCONFIRM=0" xr:uid="{9DA01A72-6824-4C05-9860-A02184870EF2}"/>
    <hyperlink ref="C2410" r:id="rId2405" display="https://pld.live/RapDetail.aspx?STONELIST=926301282&amp;ISCONFIRM=0" xr:uid="{CE663884-A127-4AD2-B750-9253381A78FE}"/>
    <hyperlink ref="C2411" r:id="rId2406" display="https://pld.live/RapDetail.aspx?STONELIST=941080561&amp;ISCONFIRM=0" xr:uid="{D1CF7B90-4893-475D-BFA4-7C1A26F2293A}"/>
    <hyperlink ref="C2412" r:id="rId2407" display="https://pld.live/RapDetail.aspx?STONELIST=926280836&amp;ISCONFIRM=0" xr:uid="{0698CF0D-388D-4749-B0B1-0A7D95895AC0}"/>
    <hyperlink ref="C2413" r:id="rId2408" display="https://pld.live/RapDetail.aspx?STONELIST=821127861&amp;ISCONFIRM=0" xr:uid="{08C3AEAC-2B3A-4A5E-863E-7AA8B5EDF774}"/>
    <hyperlink ref="C2414" r:id="rId2409" display="https://pld.live/RapDetail.aspx?STONELIST=920830910&amp;ISCONFIRM=0" xr:uid="{DD5AF122-3AD3-4A5A-8156-A5AAFEF37979}"/>
    <hyperlink ref="C2415" r:id="rId2410" display="https://pld.live/RapDetail.aspx?STONELIST=920661291&amp;ISCONFIRM=0" xr:uid="{308D3C67-6CFA-44E0-B54F-5B2AE6DC8169}"/>
    <hyperlink ref="C2416" r:id="rId2411" display="https://pld.live/RapDetail.aspx?STONELIST=941250108&amp;ISCONFIRM=0" xr:uid="{D10164DF-0DDC-474E-954B-9A792039F8CD}"/>
    <hyperlink ref="C2417" r:id="rId2412" display="https://pld.live/RapDetail.aspx?STONELIST=926231137&amp;ISCONFIRM=0" xr:uid="{1FC9B5BE-4593-4ABB-8C3A-78579A6CA675}"/>
    <hyperlink ref="C2418" r:id="rId2413" display="https://pld.live/RapDetail.aspx?STONELIST=926190923&amp;ISCONFIRM=0" xr:uid="{F49E1A84-324E-4399-A295-57518848F44D}"/>
    <hyperlink ref="C2419" r:id="rId2414" display="https://pld.live/RapDetail.aspx?STONELIST=926190933&amp;ISCONFIRM=0" xr:uid="{B0E020E2-225C-473E-9A44-E7D7DD74FD32}"/>
    <hyperlink ref="C2420" r:id="rId2415" display="https://pld.live/RapDetail.aspx?STONELIST=926261601&amp;ISCONFIRM=0" xr:uid="{753B70F4-57E5-437E-9EE4-E7367E6C59F9}"/>
    <hyperlink ref="C2421" r:id="rId2416" display="https://pld.live/RapDetail.aspx?STONELIST=926231340&amp;ISCONFIRM=0" xr:uid="{91160ABB-FEF6-4538-B9DB-EDD462479FF0}"/>
    <hyperlink ref="C2422" r:id="rId2417" display="https://pld.live/RapDetail.aspx?STONELIST=926771066&amp;ISCONFIRM=0" xr:uid="{22645522-D4EB-4637-BCF6-43F563186D56}"/>
    <hyperlink ref="C2423" r:id="rId2418" display="https://pld.live/RapDetail.aspx?STONELIST=926341353&amp;ISCONFIRM=0" xr:uid="{6FA3C231-6B53-4AF5-BA52-40FA9C347A3F}"/>
    <hyperlink ref="C2424" r:id="rId2419" display="https://pld.live/RapDetail.aspx?STONELIST=941110198&amp;ISCONFIRM=0" xr:uid="{67B17395-3830-4AA5-86A0-0D42BCC6BD00}"/>
    <hyperlink ref="C2425" r:id="rId2420" display="https://pld.live/RapDetail.aspx?STONELIST=941080739&amp;ISCONFIRM=0" xr:uid="{3F21AB7A-92C6-4873-9A24-F7F54314F3E7}"/>
    <hyperlink ref="C2426" r:id="rId2421" display="https://pld.live/RapDetail.aspx?STONELIST=926181040&amp;ISCONFIRM=0" xr:uid="{2358389E-EA3A-4E6F-B4AC-70A0A49F8075}"/>
    <hyperlink ref="C2427" r:id="rId2422" display="https://pld.live/RapDetail.aspx?STONELIST=920661247&amp;ISCONFIRM=0" xr:uid="{118E6AB6-D36D-4F40-9576-53FCE17D8CB6}"/>
    <hyperlink ref="C2428" r:id="rId2423" display="https://pld.live/RapDetail.aspx?STONELIST=926430903&amp;ISCONFIRM=0" xr:uid="{B714041A-8DE9-4CCC-9553-FDF998E4113F}"/>
    <hyperlink ref="C2429" r:id="rId2424" display="https://pld.live/RapDetail.aspx?STONELIST=926181030&amp;ISCONFIRM=0" xr:uid="{FDAD3BA3-733B-40E6-A151-21C89D3EAFA8}"/>
    <hyperlink ref="C2430" r:id="rId2425" display="https://pld.live/RapDetail.aspx?STONELIST=926761099&amp;ISCONFIRM=0" xr:uid="{22A96B1E-6649-4A9E-AD7C-D1CD8FE3007B}"/>
    <hyperlink ref="C2431" r:id="rId2426" display="https://pld.live/RapDetail.aspx?STONELIST=926240698&amp;ISCONFIRM=0" xr:uid="{06D01B67-4A46-4984-84FD-D921F92A807C}"/>
    <hyperlink ref="C2432" r:id="rId2427" display="https://pld.live/RapDetail.aspx?STONELIST=831010537&amp;ISCONFIRM=0" xr:uid="{25629CEB-F6B6-44AB-993F-167F7EEC861C}"/>
    <hyperlink ref="C2433" r:id="rId2428" display="https://pld.live/RapDetail.aspx?STONELIST=926231073&amp;ISCONFIRM=0" xr:uid="{0A17F66C-A025-450E-A405-551FDCB34306}"/>
    <hyperlink ref="C2434" r:id="rId2429" display="https://pld.live/RapDetail.aspx?STONELIST=941090558&amp;ISCONFIRM=0" xr:uid="{397A178F-9123-45DB-8D8C-6788B992CD4B}"/>
    <hyperlink ref="C2435" r:id="rId2430" display="https://pld.live/RapDetail.aspx?STONELIST=926080482&amp;ISCONFIRM=0" xr:uid="{35C86E84-4448-4ECD-9711-A84A2583650E}"/>
    <hyperlink ref="C2436" r:id="rId2431" display="https://pld.live/RapDetail.aspx?STONELIST=926261526&amp;ISCONFIRM=0" xr:uid="{60D4FEBA-695B-4876-AB57-4709BCBB8E5A}"/>
    <hyperlink ref="C2437" r:id="rId2432" display="https://pld.live/RapDetail.aspx?STONELIST=926300257&amp;ISCONFIRM=0" xr:uid="{2A9EB957-2ADF-4F4A-A336-F9CA032EC12A}"/>
    <hyperlink ref="C2438" r:id="rId2433" display="https://pld.live/RapDetail.aspx?STONELIST=926231269&amp;ISCONFIRM=0" xr:uid="{865DAFC5-D79F-49B9-B3C4-F10B80C49B52}"/>
    <hyperlink ref="C2439" r:id="rId2434" display="https://pld.live/RapDetail.aspx?STONELIST=926191045&amp;ISCONFIRM=0" xr:uid="{EA98FAC4-2936-4592-80BF-697A6AE86801}"/>
    <hyperlink ref="C2440" r:id="rId2435" display="https://pld.live/RapDetail.aspx?STONELIST=926341624&amp;ISCONFIRM=0" xr:uid="{CEE83950-EE8C-4300-91CD-2FE463D83D6B}"/>
    <hyperlink ref="C2441" r:id="rId2436" display="https://pld.live/RapDetail.aspx?STONELIST=926341563&amp;ISCONFIRM=0" xr:uid="{9CDA21C1-BB72-4602-9665-AB9F236DC37F}"/>
    <hyperlink ref="C2442" r:id="rId2437" display="https://pld.live/RapDetail.aspx?STONELIST=926261191&amp;ISCONFIRM=0" xr:uid="{D4CAED8D-C1BD-4271-9192-E2936D8FB6D9}"/>
    <hyperlink ref="C2443" r:id="rId2438" display="https://pld.live/RapDetail.aspx?STONELIST=926320987&amp;ISCONFIRM=0" xr:uid="{036DEEEE-AFB9-4427-9424-C8F45D65E68C}"/>
    <hyperlink ref="C2444" r:id="rId2439" display="https://pld.live/RapDetail.aspx?STONELIST=941250170&amp;ISCONFIRM=0" xr:uid="{60672EE2-1CC9-42F8-9FE0-96A8C3E2D6E2}"/>
    <hyperlink ref="C2445" r:id="rId2440" display="https://pld.live/RapDetail.aspx?STONELIST=941280412&amp;ISCONFIRM=0" xr:uid="{9AEF30C7-0C09-4D70-800B-EBE37A4CAB69}"/>
    <hyperlink ref="C2446" r:id="rId2441" display="https://pld.live/RapDetail.aspx?STONELIST=926261201&amp;ISCONFIRM=0" xr:uid="{5F8B6FEF-AADA-402B-909A-5D17350E4102}"/>
    <hyperlink ref="C2447" r:id="rId2442" display="https://pld.live/RapDetail.aspx?STONELIST=941190214&amp;ISCONFIRM=0" xr:uid="{BC0ACA1A-A96A-439B-BA13-E486799D3536}"/>
    <hyperlink ref="C2448" r:id="rId2443" display="https://pld.live/RapDetail.aspx?STONELIST=926191219&amp;ISCONFIRM=0" xr:uid="{C593EB1E-2607-476D-A5E7-2314BEF0CA28}"/>
    <hyperlink ref="C2449" r:id="rId2444" display="https://pld.live/RapDetail.aspx?STONELIST=926231305&amp;ISCONFIRM=0" xr:uid="{F1AE48FE-6BEC-4CA2-A49B-28725CF4A5C0}"/>
    <hyperlink ref="C2450" r:id="rId2445" display="https://pld.live/RapDetail.aspx?STONELIST=926930439&amp;ISCONFIRM=0" xr:uid="{4126B3F0-7599-4BF4-85ED-95A6B7D3638C}"/>
    <hyperlink ref="C2451" r:id="rId2446" display="https://pld.live/RapDetail.aspx?STONELIST=941220642&amp;ISCONFIRM=0" xr:uid="{E5486451-5A98-46BA-9419-FD68772253CD}"/>
    <hyperlink ref="C2452" r:id="rId2447" display="https://pld.live/RapDetail.aspx?STONELIST=926801388&amp;ISCONFIRM=0" xr:uid="{F4DE3914-45F2-4CF2-A899-9C9CAEACBF54}"/>
    <hyperlink ref="C2453" r:id="rId2448" display="https://pld.live/RapDetail.aspx?STONELIST=926360354&amp;ISCONFIRM=0" xr:uid="{808BB3C4-C2E4-4D2B-B734-481F9C05B0B9}"/>
    <hyperlink ref="C2454" r:id="rId2449" display="https://pld.live/RapDetail.aspx?STONELIST=926391283&amp;ISCONFIRM=0" xr:uid="{04570F49-E01C-4217-9BE9-BC771E32935A}"/>
    <hyperlink ref="C2455" r:id="rId2450" display="https://pld.live/RapDetail.aspx?STONELIST=941071245&amp;ISCONFIRM=0" xr:uid="{147C9B24-7B54-4233-B4BE-FE6B8CD10E9C}"/>
    <hyperlink ref="C2456" r:id="rId2451" display="https://pld.live/RapDetail.aspx?STONELIST=821127929&amp;ISCONFIRM=0" xr:uid="{0F44D7DC-75F7-4470-AB30-7F6A4AB21882}"/>
    <hyperlink ref="C2457" r:id="rId2452" display="https://pld.live/RapDetail.aspx?STONELIST=941390187&amp;ISCONFIRM=0" xr:uid="{106BEB2F-720E-4BC7-A8FD-E6DF82B9A15C}"/>
    <hyperlink ref="C2458" r:id="rId2453" display="https://pld.live/RapDetail.aspx?STONELIST=941330095&amp;ISCONFIRM=0" xr:uid="{1FCE5BF5-27B5-41C7-A98C-9D708E5A01A8}"/>
    <hyperlink ref="C2459" r:id="rId2454" display="https://pld.live/RapDetail.aspx?STONELIST=941340615&amp;ISCONFIRM=0" xr:uid="{0C89DBD7-E7C7-4765-9611-D1D8B20B24CA}"/>
    <hyperlink ref="C2460" r:id="rId2455" display="https://pld.live/RapDetail.aspx?STONELIST=925910699&amp;ISCONFIRM=0" xr:uid="{23297BD3-3EAA-40E4-A19A-2172ABE6B64F}"/>
    <hyperlink ref="C2461" r:id="rId2456" display="https://pld.live/RapDetail.aspx?STONELIST=926980681&amp;ISCONFIRM=0" xr:uid="{75D04A9D-C3C7-489F-995D-6E7517F8E20C}"/>
    <hyperlink ref="C2462" r:id="rId2457" display="https://pld.live/RapDetail.aspx?STONELIST=926261314&amp;ISCONFIRM=0" xr:uid="{CF1FCD8A-D867-4BB1-AFB7-9EB2B4B9085C}"/>
    <hyperlink ref="C2463" r:id="rId2458" display="https://pld.live/RapDetail.aspx?STONELIST=926231339&amp;ISCONFIRM=0" xr:uid="{74F0C357-C0B7-4898-A079-AEE8BA077391}"/>
    <hyperlink ref="C2464" r:id="rId2459" display="https://pld.live/RapDetail.aspx?STONELIST=926801357&amp;ISCONFIRM=0" xr:uid="{D1EBE457-1944-4A8C-B9FF-F72122CDA11B}"/>
    <hyperlink ref="C2465" r:id="rId2460" display="https://pld.live/RapDetail.aspx?STONELIST=926341171&amp;ISCONFIRM=0" xr:uid="{69E0DA35-E033-432B-B8BF-B8B15308C373}"/>
    <hyperlink ref="C2466" r:id="rId2461" display="https://pld.live/RapDetail.aspx?STONELIST=926430972&amp;ISCONFIRM=0" xr:uid="{69E446AF-0898-4ACC-8A8D-2EEB5CDDE681}"/>
    <hyperlink ref="C2467" r:id="rId2462" display="https://pld.live/RapDetail.aspx?STONELIST=926430819&amp;ISCONFIRM=0" xr:uid="{6A5F112D-86EF-4265-B642-3FC7E8C65CC7}"/>
    <hyperlink ref="C2468" r:id="rId2463" display="https://pld.live/RapDetail.aspx?STONELIST=926191041&amp;ISCONFIRM=0" xr:uid="{BD828E6D-CEAC-4E49-8CD0-DB914D30B3C5}"/>
    <hyperlink ref="C2469" r:id="rId2464" display="https://pld.live/RapDetail.aspx?STONELIST=926171574&amp;ISCONFIRM=0" xr:uid="{4A639A7E-BD0A-4E40-B739-89B35553AADB}"/>
    <hyperlink ref="C2470" r:id="rId2465" display="https://pld.live/RapDetail.aspx?STONELIST=926191089&amp;ISCONFIRM=0" xr:uid="{D1E712BB-747F-4A58-832A-3AD0839FEAE4}"/>
    <hyperlink ref="C2471" r:id="rId2466" display="https://pld.live/RapDetail.aspx?STONELIST=926440921&amp;ISCONFIRM=0" xr:uid="{8DC1F08A-2F1E-4325-A331-8E7831300C6D}"/>
    <hyperlink ref="C2472" r:id="rId2467" display="https://pld.live/RapDetail.aspx?STONELIST=926240589&amp;ISCONFIRM=0" xr:uid="{30E53E6F-8431-4C91-B15B-4DD9EE7218A3}"/>
    <hyperlink ref="C2473" r:id="rId2468" display="https://pld.live/RapDetail.aspx?STONELIST=926301173&amp;ISCONFIRM=0" xr:uid="{7958AA23-B046-473F-B7F0-7E90ACB01841}"/>
    <hyperlink ref="C2474" r:id="rId2469" display="https://pld.live/RapDetail.aspx?STONELIST=926091264&amp;ISCONFIRM=0" xr:uid="{D03E4260-E544-4422-A4FD-4AE51E4A1836}"/>
    <hyperlink ref="C2475" r:id="rId2470" display="https://pld.live/RapDetail.aspx?STONELIST=941360465&amp;ISCONFIRM=0" xr:uid="{40B072B0-4596-4D51-B4EC-F4C238D49218}"/>
    <hyperlink ref="C2476" r:id="rId2471" display="https://pld.live/RapDetail.aspx?STONELIST=941360538&amp;ISCONFIRM=0" xr:uid="{A56EBA32-48DA-44DA-B526-C3860B6882F9}"/>
    <hyperlink ref="C2477" r:id="rId2472" display="https://pld.live/RapDetail.aspx?STONELIST=920661255&amp;ISCONFIRM=0" xr:uid="{C92B4A53-53AD-4BB7-8AD2-8EA4ACF357EB}"/>
    <hyperlink ref="C2478" r:id="rId2473" display="https://pld.live/RapDetail.aspx?STONELIST=926230988&amp;ISCONFIRM=0" xr:uid="{7523EA68-508E-48C0-904C-01FBF67CE0A5}"/>
    <hyperlink ref="C2479" r:id="rId2474" display="https://pld.live/RapDetail.aspx?STONELIST=926240712&amp;ISCONFIRM=0" xr:uid="{4F1C0B87-D511-48EF-A75F-D43EBC18EFB3}"/>
    <hyperlink ref="C2480" r:id="rId2475" display="https://pld.live/RapDetail.aspx?STONELIST=926231246&amp;ISCONFIRM=0" xr:uid="{D3B9BDF8-4240-4374-A2C5-90E48265A263}"/>
    <hyperlink ref="C2481" r:id="rId2476" display="https://pld.live/RapDetail.aspx?STONELIST=926261175&amp;ISCONFIRM=0" xr:uid="{9EC87D0B-492C-42E8-9A14-4684B65DDC5D}"/>
    <hyperlink ref="C2482" r:id="rId2477" display="https://pld.live/RapDetail.aspx?STONELIST=926301252&amp;ISCONFIRM=0" xr:uid="{B72AC064-019D-4B4F-B174-04737227C1CD}"/>
    <hyperlink ref="C2483" r:id="rId2478" display="https://pld.live/RapDetail.aspx?STONELIST=926391338&amp;ISCONFIRM=0" xr:uid="{902F6501-99CE-4B88-AF98-E277979E4F09}"/>
    <hyperlink ref="C2484" r:id="rId2479" display="https://pld.live/RapDetail.aspx?STONELIST=926430947&amp;ISCONFIRM=0" xr:uid="{F908888C-0B2A-4477-908A-62A418E71137}"/>
    <hyperlink ref="C2485" r:id="rId2480" display="https://pld.live/RapDetail.aspx?STONELIST=926191128&amp;ISCONFIRM=0" xr:uid="{7B4903DA-6508-4B89-BA4C-F9825FF795F7}"/>
    <hyperlink ref="C2486" r:id="rId2481" display="https://pld.live/RapDetail.aspx?STONELIST=920661436&amp;ISCONFIRM=0" xr:uid="{772F0FA0-8156-4B56-A747-4990B2320784}"/>
    <hyperlink ref="C2487" r:id="rId2482" display="https://pld.live/RapDetail.aspx?STONELIST=926141042&amp;ISCONFIRM=0" xr:uid="{F48AC0CD-9E79-4756-B592-105640C7C7F5}"/>
    <hyperlink ref="C2488" r:id="rId2483" display="https://pld.live/RapDetail.aspx?STONELIST=926171571&amp;ISCONFIRM=0" xr:uid="{D37B1478-588F-4F81-AF8E-B441C119F712}"/>
    <hyperlink ref="C2489" r:id="rId2484" display="https://pld.live/RapDetail.aspx?STONELIST=925910753&amp;ISCONFIRM=0" xr:uid="{A2E5B03D-DE08-4E1F-A300-12F32B77E437}"/>
    <hyperlink ref="C2490" r:id="rId2485" display="https://pld.live/RapDetail.aspx?STONELIST=926231345&amp;ISCONFIRM=0" xr:uid="{37BDF799-142E-49DB-AA4F-E69B7548A375}"/>
    <hyperlink ref="C2491" r:id="rId2486" display="https://pld.live/RapDetail.aspx?STONELIST=926261536&amp;ISCONFIRM=0" xr:uid="{7C6E8360-D540-4902-88CD-6454033A7459}"/>
    <hyperlink ref="C2492" r:id="rId2487" display="https://pld.live/RapDetail.aspx?STONELIST=926321084&amp;ISCONFIRM=0" xr:uid="{9220D3CF-7317-4C3B-AE58-37F87FBAF63D}"/>
    <hyperlink ref="C2493" r:id="rId2488" display="https://pld.live/RapDetail.aspx?STONELIST=926341247&amp;ISCONFIRM=0" xr:uid="{E27AB324-09A2-404C-AE82-BA8AB52194FD}"/>
    <hyperlink ref="C2494" r:id="rId2489" display="https://pld.live/RapDetail.aspx?STONELIST=941260466&amp;ISCONFIRM=0" xr:uid="{964B4C16-BC10-4299-B53C-F71669C3115D}"/>
    <hyperlink ref="C2495" r:id="rId2490" display="https://pld.live/RapDetail.aspx?STONELIST=926190941&amp;ISCONFIRM=0" xr:uid="{A58C2C99-48F9-4E4B-8A09-DFC53AECCBD1}"/>
    <hyperlink ref="C2496" r:id="rId2491" display="https://pld.live/RapDetail.aspx?STONELIST=926191033&amp;ISCONFIRM=0" xr:uid="{13D9B2BA-1871-4AF2-8842-1923C6E5ECD1}"/>
    <hyperlink ref="C2497" r:id="rId2492" display="https://pld.live/RapDetail.aspx?STONELIST=941390519&amp;ISCONFIRM=0" xr:uid="{3FF850FB-BDE1-4F2B-A72C-DD36BE120BFD}"/>
    <hyperlink ref="C2498" r:id="rId2493" display="https://pld.live/RapDetail.aspx?STONELIST=941390206&amp;ISCONFIRM=0" xr:uid="{E852FE48-5054-4170-9A11-E931ECCAAEC0}"/>
    <hyperlink ref="C2499" r:id="rId2494" display="https://pld.live/RapDetail.aspx?STONELIST=941330307&amp;ISCONFIRM=0" xr:uid="{9C24CBBC-D2AF-4E59-A685-687A3C57630A}"/>
    <hyperlink ref="C2500" r:id="rId2495" display="https://pld.live/RapDetail.aspx?STONELIST=941300117&amp;ISCONFIRM=0" xr:uid="{68BD7E15-DE1A-4CDA-96F4-251871D332B2}"/>
    <hyperlink ref="C2501" r:id="rId2496" display="https://pld.live/RapDetail.aspx?STONELIST=941290158&amp;ISCONFIRM=0" xr:uid="{51BBC07E-8AFE-40E4-BA33-A3C29656032A}"/>
    <hyperlink ref="C2502" r:id="rId2497" display="https://pld.live/RapDetail.aspx?STONELIST=925910594&amp;ISCONFIRM=0" xr:uid="{DBC61C3F-3197-47CC-95F5-F807FD917790}"/>
    <hyperlink ref="C2503" r:id="rId2498" display="https://pld.live/RapDetail.aspx?STONELIST=920661335&amp;ISCONFIRM=0" xr:uid="{F3164B17-C4CE-457A-B9A2-C3A16C67B121}"/>
    <hyperlink ref="C2504" r:id="rId2499" display="https://pld.live/RapDetail.aspx?STONELIST=920661212&amp;ISCONFIRM=0" xr:uid="{50B5963D-6ED2-40C8-A062-A2BA61489D40}"/>
    <hyperlink ref="C2505" r:id="rId2500" display="https://pld.live/RapDetail.aspx?STONELIST=941360539&amp;ISCONFIRM=0" xr:uid="{07A59F88-1DFE-409D-8D34-36F85BE464B8}"/>
    <hyperlink ref="C2506" r:id="rId2501" display="https://pld.live/RapDetail.aspx?STONELIST=926430940&amp;ISCONFIRM=0" xr:uid="{B6499B1E-62AF-4899-9025-98F051ECC9E1}"/>
    <hyperlink ref="C2507" r:id="rId2502" display="https://pld.live/RapDetail.aspx?STONELIST=926091168&amp;ISCONFIRM=0" xr:uid="{8658E5A8-0D13-4C34-B681-8961D03DF449}"/>
    <hyperlink ref="C2508" r:id="rId2503" display="https://pld.live/RapDetail.aspx?STONELIST=821127957&amp;ISCONFIRM=0" xr:uid="{83CAD839-19C9-4DBD-B6D1-F2F9F8A9486D}"/>
    <hyperlink ref="C2509" r:id="rId2504" display="https://pld.live/RapDetail.aspx?STONELIST=926230961&amp;ISCONFIRM=0" xr:uid="{70FC8E4E-EB9E-42B1-B933-A0562F8EC016}"/>
    <hyperlink ref="C2510" r:id="rId2505" display="https://pld.live/RapDetail.aspx?STONELIST=926191352&amp;ISCONFIRM=0" xr:uid="{C5AF4D70-CFF9-4DC6-B989-60024276469B}"/>
    <hyperlink ref="C2511" r:id="rId2506" display="https://pld.live/RapDetail.aspx?STONELIST=941330222&amp;ISCONFIRM=0" xr:uid="{EB52F6C3-5CF7-4528-8915-1C7EFF6D6AB3}"/>
    <hyperlink ref="C2512" r:id="rId2507" display="https://pld.live/RapDetail.aspx?STONELIST=941280086&amp;ISCONFIRM=0" xr:uid="{078E2E58-4FCE-4C25-9FBE-D2C76E87249F}"/>
    <hyperlink ref="C2513" r:id="rId2508" display="https://pld.live/RapDetail.aspx?STONELIST=941280320&amp;ISCONFIRM=0" xr:uid="{5B377612-5407-412E-B651-1BB29ADF97CA}"/>
    <hyperlink ref="C2514" r:id="rId2509" display="https://pld.live/RapDetail.aspx?STONELIST=941230613&amp;ISCONFIRM=0" xr:uid="{7FB4F756-BC97-4456-8D46-9C43A0260FC9}"/>
    <hyperlink ref="C2515" r:id="rId2510" display="https://pld.live/RapDetail.aspx?STONELIST=941290165&amp;ISCONFIRM=0" xr:uid="{993846BC-9416-42D5-B577-6AF27E2ADEB1}"/>
    <hyperlink ref="C2516" r:id="rId2511" display="https://pld.live/RapDetail.aspx?STONELIST=920661480&amp;ISCONFIRM=0" xr:uid="{C112FE0A-5DCE-42E6-A56B-22EA832AD2E1}"/>
    <hyperlink ref="C2517" r:id="rId2512" display="https://pld.live/RapDetail.aspx?STONELIST=821127955&amp;ISCONFIRM=0" xr:uid="{4ABA18CD-607F-4984-BD00-6875CB7EDD10}"/>
    <hyperlink ref="C2518" r:id="rId2513" display="https://pld.live/RapDetail.aspx?STONELIST=926231369&amp;ISCONFIRM=0" xr:uid="{E6FB42D1-D381-43B0-9B0E-58C7A9320BE5}"/>
    <hyperlink ref="C2519" r:id="rId2514" display="https://pld.live/RapDetail.aspx?STONELIST=926231270&amp;ISCONFIRM=0" xr:uid="{32CC625C-1FB2-44F9-B5CC-0DCCF285B17B}"/>
    <hyperlink ref="C2520" r:id="rId2515" display="https://pld.live/RapDetail.aspx?STONELIST=926231242&amp;ISCONFIRM=0" xr:uid="{9565CC85-053B-4E1D-8D79-4F7AD112D62C}"/>
    <hyperlink ref="C2521" r:id="rId2516" display="https://pld.live/RapDetail.aspx?STONELIST=926261315&amp;ISCONFIRM=0" xr:uid="{448D003A-76C1-427F-817B-B86494A521C5}"/>
    <hyperlink ref="C2522" r:id="rId2517" display="https://pld.live/RapDetail.aspx?STONELIST=926391150&amp;ISCONFIRM=0" xr:uid="{AC216ED8-3A76-4F0F-8DD7-72E12897FA4D}"/>
    <hyperlink ref="C2523" r:id="rId2518" display="https://pld.live/RapDetail.aspx?STONELIST=926191044&amp;ISCONFIRM=0" xr:uid="{5765A770-7D88-40D7-AB13-AD41FDCDF8A3}"/>
    <hyperlink ref="C2524" r:id="rId2519" display="https://pld.live/RapDetail.aspx?STONELIST=926190936&amp;ISCONFIRM=0" xr:uid="{2DCE77D4-8A8D-4FC9-9606-A6C85E72FF4A}"/>
    <hyperlink ref="C2525" r:id="rId2520" display="https://pld.live/RapDetail.aspx?STONELIST=941050002&amp;ISCONFIRM=0" xr:uid="{3FB6CEB8-85AF-4917-ADE0-AC0EB91BB8E4}"/>
    <hyperlink ref="C2526" r:id="rId2521" display="https://pld.live/RapDetail.aspx?STONELIST=926830973&amp;ISCONFIRM=0" xr:uid="{B46A5A96-CD08-4365-82DC-F24FD61C8B23}"/>
    <hyperlink ref="C2527" r:id="rId2522" display="https://pld.live/RapDetail.aspx?STONELIST=926491244&amp;ISCONFIRM=0" xr:uid="{D7EEA06B-12CE-4F1D-A999-F2242C766799}"/>
    <hyperlink ref="C2528" r:id="rId2523" display="https://pld.live/RapDetail.aspx?STONELIST=926391246&amp;ISCONFIRM=0" xr:uid="{E52A46B2-F2C5-4180-A4CD-4882901B0BFE}"/>
    <hyperlink ref="C2529" r:id="rId2524" display="https://pld.live/RapDetail.aspx?STONELIST=920661348&amp;ISCONFIRM=0" xr:uid="{B5DC8F7C-AAFB-4C41-8C1F-FAF0C6A66D1E}"/>
    <hyperlink ref="C2530" r:id="rId2525" display="https://pld.live/RapDetail.aspx?STONELIST=926430797&amp;ISCONFIRM=0" xr:uid="{B971A8C6-38B4-47B7-A8D6-0686B34DA1DF}"/>
    <hyperlink ref="C2531" r:id="rId2526" display="https://pld.live/RapDetail.aspx?STONELIST=925721007&amp;ISCONFIRM=0" xr:uid="{D4A7CD2E-7539-4397-A0CF-8132E0756077}"/>
    <hyperlink ref="C2532" r:id="rId2527" display="https://pld.live/RapDetail.aspx?STONELIST=920661258&amp;ISCONFIRM=0" xr:uid="{362FF42D-44FD-4C98-B5B6-3DC097F10F6A}"/>
    <hyperlink ref="C2533" r:id="rId2528" display="https://pld.live/RapDetail.aspx?STONELIST=926180804&amp;ISCONFIRM=0" xr:uid="{2F735C81-668A-4A3C-9E81-9F636AE44BAD}"/>
    <hyperlink ref="C2534" r:id="rId2529" display="https://pld.live/RapDetail.aspx?STONELIST=926231125&amp;ISCONFIRM=0" xr:uid="{2CAB52AC-05FA-4108-9ADE-A42F9D6F976F}"/>
    <hyperlink ref="C2535" r:id="rId2530" display="https://pld.live/RapDetail.aspx?STONELIST=920661330&amp;ISCONFIRM=0" xr:uid="{F2438F06-A3C6-4C13-B40E-73670C163665}"/>
    <hyperlink ref="C2536" r:id="rId2531" display="https://pld.live/RapDetail.aspx?STONELIST=926321030&amp;ISCONFIRM=0" xr:uid="{5D634B26-2BA4-4F9D-B269-47BD539F61F9}"/>
    <hyperlink ref="C2537" r:id="rId2532" display="https://pld.live/RapDetail.aspx?STONELIST=941140578&amp;ISCONFIRM=0" xr:uid="{636ACF33-D7F9-4F21-AD24-E44FE9EAC13F}"/>
    <hyperlink ref="C2538" r:id="rId2533" display="https://pld.live/RapDetail.aspx?STONELIST=926141200&amp;ISCONFIRM=0" xr:uid="{F0643BB7-C9DE-4494-BC64-A806EC4EC520}"/>
    <hyperlink ref="C2539" r:id="rId2534" display="https://pld.live/RapDetail.aspx?STONELIST=926081416&amp;ISCONFIRM=0" xr:uid="{800E0214-E6B1-4C2C-A67C-67641DE92076}"/>
    <hyperlink ref="C2540" r:id="rId2535" display="https://pld.live/RapDetail.aspx?STONELIST=926081560&amp;ISCONFIRM=0" xr:uid="{80B5A47F-23B5-48F1-B2FD-4701ECA33B66}"/>
    <hyperlink ref="C2541" r:id="rId2536" display="https://pld.live/RapDetail.aspx?STONELIST=926081561&amp;ISCONFIRM=0" xr:uid="{56AF82B9-21FC-4D93-821D-EB57094F4E7F}"/>
    <hyperlink ref="C2542" r:id="rId2537" display="https://pld.live/RapDetail.aspx?STONELIST=926261440&amp;ISCONFIRM=0" xr:uid="{D21E58C0-58ED-4EE1-ACD3-44AD02823A34}"/>
    <hyperlink ref="C2543" r:id="rId2538" display="https://pld.live/RapDetail.aspx?STONELIST=926301260&amp;ISCONFIRM=0" xr:uid="{F43D2AAB-A15E-488B-944C-542A213DD0AE}"/>
    <hyperlink ref="C2544" r:id="rId2539" display="https://pld.live/RapDetail.aspx?STONELIST=926171576&amp;ISCONFIRM=0" xr:uid="{E0A8B12A-3CFC-4D18-88EA-E89CC304B055}"/>
    <hyperlink ref="C2545" r:id="rId2540" display="https://pld.live/RapDetail.aspx?STONELIST=926191038&amp;ISCONFIRM=0" xr:uid="{39047280-83DE-46F3-A942-F16BFC276368}"/>
    <hyperlink ref="C2546" r:id="rId2541" display="https://pld.live/RapDetail.aspx?STONELIST=925910370&amp;ISCONFIRM=0" xr:uid="{F688A524-BE22-4171-B4CA-234001791E2F}"/>
    <hyperlink ref="C2547" r:id="rId2542" display="https://pld.live/RapDetail.aspx?STONELIST=926331728&amp;ISCONFIRM=0" xr:uid="{E8C973BE-CCD7-4CDA-A9BE-0F318451C110}"/>
    <hyperlink ref="C2548" r:id="rId2543" display="https://pld.live/RapDetail.aspx?STONELIST=926291578&amp;ISCONFIRM=0" xr:uid="{6DFB1536-CB4D-4052-BF11-DFE1789BA365}"/>
    <hyperlink ref="C2549" r:id="rId2544" display="https://pld.live/RapDetail.aspx?STONELIST=926890470&amp;ISCONFIRM=0" xr:uid="{501B6F70-C9EF-40F8-B672-292DA406401E}"/>
    <hyperlink ref="C2550" r:id="rId2545" display="https://pld.live/RapDetail.aspx?STONELIST=926391137&amp;ISCONFIRM=0" xr:uid="{5AC7C0F6-570F-42FD-B73C-322421D8C948}"/>
    <hyperlink ref="C2551" r:id="rId2546" display="https://pld.live/RapDetail.aspx?STONELIST=926231161&amp;ISCONFIRM=0" xr:uid="{D3D70B3C-0ECD-4AED-A40D-D40ECD84369F}"/>
    <hyperlink ref="C2552" r:id="rId2547" display="https://pld.live/RapDetail.aspx?STONELIST=926341361&amp;ISCONFIRM=0" xr:uid="{A69B58FC-E920-4FFB-AE78-B465C4858EB3}"/>
    <hyperlink ref="C2553" r:id="rId2548" display="https://pld.live/RapDetail.aspx?STONELIST=926191037&amp;ISCONFIRM=0" xr:uid="{05B47159-534E-4F34-8E40-B7C07B8C36D5}"/>
    <hyperlink ref="C2554" r:id="rId2549" display="https://pld.live/RapDetail.aspx?STONELIST=941330506&amp;ISCONFIRM=0" xr:uid="{DDB6CDBC-4CED-4748-B206-DD6009618A76}"/>
    <hyperlink ref="C2555" r:id="rId2550" display="https://pld.live/RapDetail.aspx?STONELIST=941390347&amp;ISCONFIRM=0" xr:uid="{99750CE8-BC51-4C56-8F9C-534A5CC8BFCF}"/>
    <hyperlink ref="C2556" r:id="rId2551" display="https://pld.live/RapDetail.aspx?STONELIST=925270269&amp;ISCONFIRM=0" xr:uid="{7126BB1F-4797-476C-96BA-EB350316FB1F}"/>
    <hyperlink ref="C2557" r:id="rId2552" display="https://pld.live/RapDetail.aspx?STONELIST=926341040&amp;ISCONFIRM=0" xr:uid="{AD6C6831-548C-4C2C-8627-402D2EC57996}"/>
    <hyperlink ref="C2558" r:id="rId2553" display="https://pld.live/RapDetail.aspx?STONELIST=926661692&amp;ISCONFIRM=0" xr:uid="{C204201F-355E-4C8F-A478-4C0AE77E0CBD}"/>
    <hyperlink ref="C2559" r:id="rId2554" display="https://pld.live/RapDetail.aspx?STONELIST=926261437&amp;ISCONFIRM=0" xr:uid="{2DEFCE1F-3DB8-4EDF-ABC3-3525C5D7CF93}"/>
    <hyperlink ref="C2560" r:id="rId2555" display="https://pld.live/RapDetail.aspx?STONELIST=926231002&amp;ISCONFIRM=0" xr:uid="{3B0C2CAB-2DF6-4B04-AFB5-A6618675412D}"/>
    <hyperlink ref="C2561" r:id="rId2556" display="https://pld.live/RapDetail.aspx?STONELIST=926391075&amp;ISCONFIRM=0" xr:uid="{F7D9B60F-DB63-4D1A-959D-F743F02BB89C}"/>
    <hyperlink ref="C2562" r:id="rId2557" display="https://pld.live/RapDetail.aspx?STONELIST=920661246&amp;ISCONFIRM=0" xr:uid="{E14BD249-146A-456E-B921-11FB5D2E6987}"/>
    <hyperlink ref="C2563" r:id="rId2558" display="https://pld.live/RapDetail.aspx?STONELIST=925721419&amp;ISCONFIRM=0" xr:uid="{3470D42E-22BD-4E62-B575-41D185E7DC0F}"/>
    <hyperlink ref="C2564" r:id="rId2559" display="https://pld.live/RapDetail.aspx?STONELIST=925660094&amp;ISCONFIRM=0" xr:uid="{0E9C46BF-0530-4B0F-934A-9C1FD271FBF6}"/>
    <hyperlink ref="C2565" r:id="rId2560" display="https://pld.live/RapDetail.aspx?STONELIST=941390542&amp;ISCONFIRM=0" xr:uid="{180EBFD4-38A1-40B5-8D14-22D60A569B1C}"/>
    <hyperlink ref="C2566" r:id="rId2561" display="https://pld.live/RapDetail.aspx?STONELIST=821127835&amp;ISCONFIRM=0" xr:uid="{23CD4072-D989-4092-8AA9-F7332655ABD0}"/>
    <hyperlink ref="C2567" r:id="rId2562" display="https://pld.live/RapDetail.aspx?STONELIST=821127847&amp;ISCONFIRM=0" xr:uid="{D7398D85-3A32-4C79-B9B6-9BA212A696B9}"/>
    <hyperlink ref="C2568" r:id="rId2563" display="https://pld.live/RapDetail.aspx?STONELIST=926231090&amp;ISCONFIRM=0" xr:uid="{60DC53FE-0858-4A37-8A5D-AC7AC0266CFD}"/>
    <hyperlink ref="C2569" r:id="rId2564" display="https://pld.live/RapDetail.aspx?STONELIST=926261162&amp;ISCONFIRM=0" xr:uid="{96D0FAD3-AB0F-4184-8969-888C7F34B9D9}"/>
    <hyperlink ref="C2570" r:id="rId2565" display="https://pld.live/RapDetail.aspx?STONELIST=926231044&amp;ISCONFIRM=0" xr:uid="{9E9D1393-C39B-41D3-BCDC-73388886A7F0}"/>
    <hyperlink ref="C2571" r:id="rId2566" display="https://pld.live/RapDetail.aspx?STONELIST=926141428&amp;ISCONFIRM=0" xr:uid="{18D23136-267E-4EBE-A4FE-7CD5B547093C}"/>
    <hyperlink ref="C2572" r:id="rId2567" display="https://pld.live/RapDetail.aspx?STONELIST=926191085&amp;ISCONFIRM=0" xr:uid="{D2B6A564-FF14-4742-B2BF-0C27F249A3F6}"/>
    <hyperlink ref="C2573" r:id="rId2568" display="https://pld.live/RapDetail.aspx?STONELIST=926141238&amp;ISCONFIRM=0" xr:uid="{4FD86D10-4B22-4829-8167-F4D00241CD19}"/>
    <hyperlink ref="C2574" r:id="rId2569" display="https://pld.live/RapDetail.aspx?STONELIST=926391476&amp;ISCONFIRM=0" xr:uid="{249DFA50-B3AF-4B18-9545-079E5EB67D83}"/>
    <hyperlink ref="C2575" r:id="rId2570" display="https://pld.live/RapDetail.aspx?STONELIST=926081447&amp;ISCONFIRM=0" xr:uid="{67181BE6-A55A-4024-BC5E-78ACCB6B3022}"/>
    <hyperlink ref="C2576" r:id="rId2571" display="https://pld.live/RapDetail.aspx?STONELIST=926191326&amp;ISCONFIRM=0" xr:uid="{55D56CB5-E18A-4FB7-866F-952271CFAA28}"/>
    <hyperlink ref="C2577" r:id="rId2572" display="https://pld.live/RapDetail.aspx?STONELIST=926710935&amp;ISCONFIRM=0" xr:uid="{1A44C20A-2859-4859-A30B-08C712955DBB}"/>
    <hyperlink ref="C2578" r:id="rId2573" display="https://pld.live/RapDetail.aspx?STONELIST=821127932&amp;ISCONFIRM=0" xr:uid="{97C18977-763A-42A5-9168-61EEEE9462E0}"/>
    <hyperlink ref="C2579" r:id="rId2574" display="https://pld.live/RapDetail.aspx?STONELIST=920661419&amp;ISCONFIRM=0" xr:uid="{B1CA2448-0F78-49E9-A4CF-B962D286E7A5}"/>
    <hyperlink ref="C2580" r:id="rId2575" display="https://pld.live/RapDetail.aspx?STONELIST=941360402&amp;ISCONFIRM=0" xr:uid="{F1239233-7B81-4D94-AC37-D13A11500BEC}"/>
    <hyperlink ref="C2581" r:id="rId2576" display="https://pld.live/RapDetail.aspx?STONELIST=926440883&amp;ISCONFIRM=0" xr:uid="{717C8706-026A-45C1-83C7-E972D503391A}"/>
    <hyperlink ref="C2582" r:id="rId2577" display="https://pld.live/RapDetail.aspx?STONELIST=926261285&amp;ISCONFIRM=0" xr:uid="{01CA9C3B-AB8A-4E7D-A188-E4804F26E7F5}"/>
    <hyperlink ref="C2583" r:id="rId2578" display="https://pld.live/RapDetail.aspx?STONELIST=920460381&amp;ISCONFIRM=0" xr:uid="{39F157A8-F4E1-4166-A4EC-1A1C349AEADC}"/>
    <hyperlink ref="C2584" r:id="rId2579" display="https://pld.live/RapDetail.aspx?STONELIST=926231358&amp;ISCONFIRM=0" xr:uid="{04DE2B30-99D5-4EA6-A644-F250934B3C86}"/>
    <hyperlink ref="C2585" r:id="rId2580" display="https://pld.live/RapDetail.aspx?STONELIST=926201074&amp;ISCONFIRM=0" xr:uid="{67611C45-40D8-4FF2-A46F-BEF403742271}"/>
    <hyperlink ref="C2586" r:id="rId2581" display="https://pld.live/RapDetail.aspx?STONELIST=926231297&amp;ISCONFIRM=0" xr:uid="{3CA41F4E-70CE-4934-9F77-4E043C6F4567}"/>
    <hyperlink ref="C2587" r:id="rId2582" display="https://pld.live/RapDetail.aspx?STONELIST=926801348&amp;ISCONFIRM=0" xr:uid="{0D9A19F1-B23F-4A1E-BF39-E01E79A9797C}"/>
    <hyperlink ref="C2588" r:id="rId2583" display="https://pld.live/RapDetail.aspx?STONELIST=926941075&amp;ISCONFIRM=0" xr:uid="{AC521CF0-B66F-4F44-8ABF-4564763C9445}"/>
    <hyperlink ref="C2589" r:id="rId2584" display="https://pld.live/RapDetail.aspx?STONELIST=926231106&amp;ISCONFIRM=0" xr:uid="{FA415BB2-1ED5-4131-A0EE-67F6BB0D191B}"/>
    <hyperlink ref="C2590" r:id="rId2585" display="https://pld.live/RapDetail.aspx?STONELIST=926301059&amp;ISCONFIRM=0" xr:uid="{CF033B72-41E1-405A-995A-7B4852B55FCF}"/>
    <hyperlink ref="C2591" r:id="rId2586" display="https://pld.live/RapDetail.aspx?STONELIST=926320994&amp;ISCONFIRM=0" xr:uid="{FBEBF44F-750F-4050-A35B-0FB55D073B17}"/>
    <hyperlink ref="C2592" r:id="rId2587" display="https://pld.live/RapDetail.aspx?STONELIST=926430814&amp;ISCONFIRM=0" xr:uid="{9D7CF887-BFFD-4CED-8818-1EE5F4CC29EA}"/>
    <hyperlink ref="C2593" r:id="rId2588" display="https://pld.live/RapDetail.aspx?STONELIST=926141426&amp;ISCONFIRM=0" xr:uid="{0CB52FAD-A8D1-4F70-B583-78F4C2F266E9}"/>
    <hyperlink ref="C2594" r:id="rId2589" display="https://pld.live/RapDetail.aspx?STONELIST=926141410&amp;ISCONFIRM=0" xr:uid="{9998705B-5878-417D-9755-2088283D8974}"/>
    <hyperlink ref="C2595" r:id="rId2590" display="https://pld.live/RapDetail.aspx?STONELIST=926191083&amp;ISCONFIRM=0" xr:uid="{14075BBF-77D9-41AA-8CB2-2CF1E25E8698}"/>
    <hyperlink ref="C2596" r:id="rId2591" display="https://pld.live/RapDetail.aspx?STONELIST=926191096&amp;ISCONFIRM=0" xr:uid="{E47B6DD0-378D-40B5-9C86-06ACBB2D34A1}"/>
    <hyperlink ref="C2597" r:id="rId2592" display="https://pld.live/RapDetail.aspx?STONELIST=926230975&amp;ISCONFIRM=0" xr:uid="{A2E5D897-E07B-41BA-BF91-D69ADD5C4B70}"/>
    <hyperlink ref="C2598" r:id="rId2593" display="https://pld.live/RapDetail.aspx?STONELIST=821127890&amp;ISCONFIRM=0" xr:uid="{E4F9F6C1-051C-40F0-B7B0-D3A3800FE963}"/>
    <hyperlink ref="C2599" r:id="rId2594" display="https://pld.live/RapDetail.aspx?STONELIST=926800921&amp;ISCONFIRM=0" xr:uid="{03B32CD1-1167-4842-A31D-BCBA095B87EC}"/>
    <hyperlink ref="C2600" r:id="rId2595" display="https://pld.live/RapDetail.aspx?STONELIST=926800846&amp;ISCONFIRM=0" xr:uid="{46948468-78DE-468A-91C5-337FDB9205A2}"/>
    <hyperlink ref="C2601" r:id="rId2596" display="https://pld.live/RapDetail.aspx?STONELIST=926180990&amp;ISCONFIRM=0" xr:uid="{9B8380E0-B791-486A-B358-210288534A6B}"/>
    <hyperlink ref="C2602" r:id="rId2597" display="https://pld.live/RapDetail.aspx?STONELIST=821127942&amp;ISCONFIRM=0" xr:uid="{BAD425A2-9079-48A3-AC6D-85107DE163A6}"/>
    <hyperlink ref="C2603" r:id="rId2598" display="https://pld.live/RapDetail.aspx?STONELIST=821127933&amp;ISCONFIRM=0" xr:uid="{97C52AC9-44E6-46C6-8634-30D08D749431}"/>
    <hyperlink ref="C2604" r:id="rId2599" display="https://pld.live/RapDetail.aspx?STONELIST=926800994&amp;ISCONFIRM=0" xr:uid="{8E5B8611-3064-4F4B-88E0-3F7B437F0C22}"/>
    <hyperlink ref="C2605" r:id="rId2600" display="https://pld.live/RapDetail.aspx?STONELIST=926341363&amp;ISCONFIRM=0" xr:uid="{233193A1-0D21-4AE1-929A-800BC8B5C96B}"/>
    <hyperlink ref="C2606" r:id="rId2601" display="https://pld.live/RapDetail.aspx?STONELIST=941190755&amp;ISCONFIRM=0" xr:uid="{2ED11026-6CF4-4D15-B7AB-4E5BB5B41392}"/>
    <hyperlink ref="C2607" r:id="rId2602" display="https://pld.live/RapDetail.aspx?STONELIST=941230135&amp;ISCONFIRM=0" xr:uid="{CAC2554E-BC23-4645-9A25-78583C4C0A5A}"/>
    <hyperlink ref="C2608" r:id="rId2603" display="https://pld.live/RapDetail.aspx?STONELIST=941250208&amp;ISCONFIRM=0" xr:uid="{33CBCBCA-F3DF-4EA7-AA4D-D45870412C93}"/>
    <hyperlink ref="C2609" r:id="rId2604" display="https://pld.live/RapDetail.aspx?STONELIST=941230205&amp;ISCONFIRM=0" xr:uid="{FBF0E142-DFC1-4AC0-B22D-689DE6AF4803}"/>
    <hyperlink ref="C2610" r:id="rId2605" display="https://pld.live/RapDetail.aspx?STONELIST=920840636&amp;ISCONFIRM=0" xr:uid="{C1769099-5A61-4EBF-9C64-FC4612C6C6DC}"/>
    <hyperlink ref="C2611" r:id="rId2606" display="https://pld.live/RapDetail.aspx?STONELIST=926261569&amp;ISCONFIRM=0" xr:uid="{0145CB93-39CD-475F-A838-D9488CA91113}"/>
    <hyperlink ref="C2612" r:id="rId2607" display="https://pld.live/RapDetail.aspx?STONELIST=926261510&amp;ISCONFIRM=0" xr:uid="{6EDEB9BD-803A-48D3-9598-691A32801C40}"/>
    <hyperlink ref="C2613" r:id="rId2608" display="https://pld.live/RapDetail.aspx?STONELIST=941190467&amp;ISCONFIRM=0" xr:uid="{D2E548E3-29C3-444B-8D38-9763FD0288FE}"/>
    <hyperlink ref="C2614" r:id="rId2609" display="https://pld.live/RapDetail.aspx?STONELIST=941190498&amp;ISCONFIRM=0" xr:uid="{06603515-5FC2-47BE-9519-766F48D8F66F}"/>
    <hyperlink ref="C2615" r:id="rId2610" display="https://pld.live/RapDetail.aspx?STONELIST=926301137&amp;ISCONFIRM=0" xr:uid="{E6B7FF33-9AF8-4A8A-85D6-A58749630928}"/>
    <hyperlink ref="C2616" r:id="rId2611" display="https://pld.live/RapDetail.aspx?STONELIST=926430952&amp;ISCONFIRM=0" xr:uid="{0AA4255F-B811-4CDB-9D34-05C9DA95951B}"/>
    <hyperlink ref="C2617" r:id="rId2612" display="https://pld.live/RapDetail.aspx?STONELIST=926430730&amp;ISCONFIRM=0" xr:uid="{BF165BC6-889B-42F3-BF6D-69BE4441E10B}"/>
    <hyperlink ref="C2618" r:id="rId2613" display="https://pld.live/RapDetail.aspx?STONELIST=926430815&amp;ISCONFIRM=0" xr:uid="{488D7043-92D8-4AB4-AD58-69335CD587FA}"/>
    <hyperlink ref="C2619" r:id="rId2614" display="https://pld.live/RapDetail.aspx?STONELIST=926171545&amp;ISCONFIRM=0" xr:uid="{B5476E92-9FA5-4473-8AF9-02EB70B059FD}"/>
    <hyperlink ref="C2620" r:id="rId2615" display="https://pld.live/RapDetail.aspx?STONELIST=926800988&amp;ISCONFIRM=0" xr:uid="{5984C45D-AF7C-4F05-8164-C948D5324402}"/>
    <hyperlink ref="C2621" r:id="rId2616" display="https://pld.live/RapDetail.aspx?STONELIST=821127972&amp;ISCONFIRM=0" xr:uid="{3BF855E7-A76F-4B0A-9782-490F0E1733DC}"/>
    <hyperlink ref="C2622" r:id="rId2617" display="https://pld.live/RapDetail.aspx?STONELIST=926240773&amp;ISCONFIRM=0" xr:uid="{E7B7D3B2-CB7B-496B-B7D0-1FAC16EE57C7}"/>
    <hyperlink ref="C2623" r:id="rId2618" display="https://pld.live/RapDetail.aspx?STONELIST=926280780&amp;ISCONFIRM=0" xr:uid="{A467F8D5-4599-4041-8593-F3B947388D08}"/>
    <hyperlink ref="C2624" r:id="rId2619" display="https://pld.live/RapDetail.aspx?STONELIST=920661583&amp;ISCONFIRM=0" xr:uid="{340E6E76-BBDC-4EE2-BD6B-E2C7519119ED}"/>
    <hyperlink ref="C2625" r:id="rId2620" display="https://pld.live/RapDetail.aspx?STONELIST=926480780&amp;ISCONFIRM=0" xr:uid="{DFEB019F-7E32-4EBB-898B-C37741249139}"/>
    <hyperlink ref="C2626" r:id="rId2621" display="https://pld.live/RapDetail.aspx?STONELIST=926491227&amp;ISCONFIRM=0" xr:uid="{717F1353-B5FE-4DEA-810B-9E54A834450E}"/>
    <hyperlink ref="C2627" r:id="rId2622" display="https://pld.live/RapDetail.aspx?STONELIST=926491230&amp;ISCONFIRM=0" xr:uid="{8104E194-314D-4BF6-862F-B7F091E86AF3}"/>
    <hyperlink ref="C2628" r:id="rId2623" display="https://pld.live/RapDetail.aspx?STONELIST=926661596&amp;ISCONFIRM=0" xr:uid="{B9FDDC49-2326-4E3B-AC3B-C4E8BFA7E85A}"/>
    <hyperlink ref="C2629" r:id="rId2624" display="https://pld.live/RapDetail.aspx?STONELIST=926191419&amp;ISCONFIRM=0" xr:uid="{1EB4D885-7F35-4CEF-B1CE-989FC9FCD39B}"/>
    <hyperlink ref="C2630" r:id="rId2625" display="https://pld.live/RapDetail.aspx?STONELIST=920661318&amp;ISCONFIRM=0" xr:uid="{C78D2DA9-DE9A-4AE5-8CA8-4AE28ED37700}"/>
    <hyperlink ref="C2631" r:id="rId2626" display="https://pld.live/RapDetail.aspx?STONELIST=926261549&amp;ISCONFIRM=0" xr:uid="{78659097-8870-47C4-8695-8F82D5D2B929}"/>
    <hyperlink ref="C2632" r:id="rId2627" display="https://pld.live/RapDetail.aspx?STONELIST=926240736&amp;ISCONFIRM=0" xr:uid="{E2C2FCBD-F1FB-4052-8F34-4D200797B474}"/>
    <hyperlink ref="C2633" r:id="rId2628" display="https://pld.live/RapDetail.aspx?STONELIST=926240912&amp;ISCONFIRM=0" xr:uid="{2A9462EC-692F-491A-966F-F0820D568CD1}"/>
    <hyperlink ref="C2634" r:id="rId2629" display="https://pld.live/RapDetail.aspx?STONELIST=926710965&amp;ISCONFIRM=0" xr:uid="{84840CC2-9E63-4B26-B7CB-ADA8D48BDAC7}"/>
    <hyperlink ref="C2635" r:id="rId2630" display="https://pld.live/RapDetail.aspx?STONELIST=926721332&amp;ISCONFIRM=0" xr:uid="{96BE74A4-7B1C-4FEC-9E64-49E8428C494E}"/>
    <hyperlink ref="C2636" r:id="rId2631" display="https://pld.live/RapDetail.aspx?STONELIST=926721347&amp;ISCONFIRM=0" xr:uid="{E1C77B67-4519-4316-97E3-BB4778068554}"/>
    <hyperlink ref="C2637" r:id="rId2632" display="https://pld.live/RapDetail.aspx?STONELIST=926261524&amp;ISCONFIRM=0" xr:uid="{739F9F36-4AC1-4AE1-B3DD-0460FAF18C7D}"/>
    <hyperlink ref="C2638" r:id="rId2633" display="https://pld.live/RapDetail.aspx?STONELIST=926240687&amp;ISCONFIRM=0" xr:uid="{2A6EBC9C-2619-4CE5-BF83-6A02CEF5E689}"/>
    <hyperlink ref="C2639" r:id="rId2634" display="https://pld.live/RapDetail.aspx?STONELIST=926731241&amp;ISCONFIRM=0" xr:uid="{C8C164F1-907B-42EE-B533-DB0B8520A1B0}"/>
    <hyperlink ref="C2640" r:id="rId2635" display="https://pld.live/RapDetail.aspx?STONELIST=926261475&amp;ISCONFIRM=0" xr:uid="{DDE22C1F-2DDB-40FA-B2BA-72ADA517F1F7}"/>
    <hyperlink ref="C2641" r:id="rId2636" display="https://pld.live/RapDetail.aspx?STONELIST=926261448&amp;ISCONFIRM=0" xr:uid="{E2FF0077-30DE-4762-B98E-3E84330624CE}"/>
    <hyperlink ref="C2642" r:id="rId2637" display="https://pld.live/RapDetail.aspx?STONELIST=926261439&amp;ISCONFIRM=0" xr:uid="{11F7BE09-ACD8-4F90-8293-F54646CF84A4}"/>
    <hyperlink ref="C2643" r:id="rId2638" display="https://pld.live/RapDetail.aspx?STONELIST=926240683&amp;ISCONFIRM=0" xr:uid="{65E453DD-B344-4A00-8F48-2E29083A3491}"/>
    <hyperlink ref="C2644" r:id="rId2639" display="https://pld.live/RapDetail.aspx?STONELIST=821127877&amp;ISCONFIRM=0" xr:uid="{61E0F938-1BB2-4B3C-B613-0625D240CC79}"/>
    <hyperlink ref="C2645" r:id="rId2640" display="https://pld.live/RapDetail.aspx?STONELIST=926231351&amp;ISCONFIRM=0" xr:uid="{1DA08BA7-4D04-4BDC-8C0E-B6C523B84323}"/>
    <hyperlink ref="C2646" r:id="rId2641" display="https://pld.live/RapDetail.aspx?STONELIST=941190424&amp;ISCONFIRM=0" xr:uid="{C95BBB9F-87E1-4EFF-BBB7-48800896A1A9}"/>
    <hyperlink ref="C2647" r:id="rId2642" display="https://pld.live/RapDetail.aspx?STONELIST=926391257&amp;ISCONFIRM=0" xr:uid="{7F7F2915-8DAE-4122-AE64-3E0A2CC81AFE}"/>
    <hyperlink ref="C2648" r:id="rId2643" display="https://pld.live/RapDetail.aspx?STONELIST=926391285&amp;ISCONFIRM=0" xr:uid="{CD37D1C8-E942-4AFB-AFED-AE7BFCFFCCA3}"/>
    <hyperlink ref="C2649" r:id="rId2644" display="https://pld.live/RapDetail.aspx?STONELIST=926391287&amp;ISCONFIRM=0" xr:uid="{178D4776-7579-4B0D-8E17-8644105090B8}"/>
    <hyperlink ref="C2650" r:id="rId2645" display="https://pld.live/RapDetail.aspx?STONELIST=926391326&amp;ISCONFIRM=0" xr:uid="{49915A5A-EB67-4CF6-8F80-F49B7E6D3951}"/>
    <hyperlink ref="C2651" r:id="rId2646" display="https://pld.live/RapDetail.aspx?STONELIST=925210038&amp;ISCONFIRM=0" xr:uid="{FEF48077-C305-4A61-86B4-6DE852C84568}"/>
    <hyperlink ref="C2652" r:id="rId2647" display="https://pld.live/RapDetail.aspx?STONELIST=926391384&amp;ISCONFIRM=0" xr:uid="{122AAC90-2D54-4DFB-987C-6FB3C1FA29B3}"/>
    <hyperlink ref="C2653" r:id="rId2648" display="https://pld.live/RapDetail.aspx?STONELIST=926391479&amp;ISCONFIRM=0" xr:uid="{58C18C27-A8C1-476B-B902-9BFD47477EC9}"/>
    <hyperlink ref="C2654" r:id="rId2649" display="https://pld.live/RapDetail.aspx?STONELIST=926400598&amp;ISCONFIRM=0" xr:uid="{4D878478-A4CF-4645-8829-C7D518005DAD}"/>
    <hyperlink ref="C2655" r:id="rId2650" display="https://pld.live/RapDetail.aspx?STONELIST=926141555&amp;ISCONFIRM=0" xr:uid="{41BD14C9-E5CD-4612-BAEA-81BFD7224A65}"/>
    <hyperlink ref="C2656" r:id="rId2651" display="https://pld.live/RapDetail.aspx?STONELIST=926171579&amp;ISCONFIRM=0" xr:uid="{37982E6F-0784-459A-810C-F71BD3CF7EAF}"/>
    <hyperlink ref="C2657" r:id="rId2652" display="https://pld.live/RapDetail.aspx?STONELIST=926171558&amp;ISCONFIRM=0" xr:uid="{09598901-8DB8-4801-AD24-5CE1BEC32102}"/>
    <hyperlink ref="C2658" r:id="rId2653" display="https://pld.live/RapDetail.aspx?STONELIST=925910493&amp;ISCONFIRM=0" xr:uid="{C8AF895B-EF51-4A3C-8340-4348592A15B5}"/>
    <hyperlink ref="C2659" r:id="rId2654" display="https://pld.live/RapDetail.aspx?STONELIST=920661543&amp;ISCONFIRM=0" xr:uid="{6910BDBD-53A8-4CE5-9D71-4842EA49ADBA}"/>
    <hyperlink ref="C2660" r:id="rId2655" display="https://pld.live/RapDetail.aspx?STONELIST=926230957&amp;ISCONFIRM=0" xr:uid="{72F2BF31-1C97-47CB-87F3-9ADEB3F42AB0}"/>
    <hyperlink ref="C2661" r:id="rId2656" display="https://pld.live/RapDetail.aspx?STONELIST=926191357&amp;ISCONFIRM=0" xr:uid="{7F4056AA-1A97-471E-830F-9181370985D7}"/>
    <hyperlink ref="C2662" r:id="rId2657" display="https://pld.live/RapDetail.aspx?STONELIST=926191430&amp;ISCONFIRM=0" xr:uid="{81DC480B-4E11-4218-AE51-2B4C63E6D49C}"/>
    <hyperlink ref="C2663" r:id="rId2658" display="https://pld.live/RapDetail.aspx?STONELIST=926231054&amp;ISCONFIRM=0" xr:uid="{B71781C4-D618-4786-A39C-4BDBD0C00BB7}"/>
    <hyperlink ref="C2664" r:id="rId2659" display="https://pld.live/RapDetail.aspx?STONELIST=926201085&amp;ISCONFIRM=0" xr:uid="{97D468C3-1166-4170-81FC-78D49235EF30}"/>
    <hyperlink ref="C2665" r:id="rId2660" display="https://pld.live/RapDetail.aspx?STONELIST=926301088&amp;ISCONFIRM=0" xr:uid="{36C20164-DB19-4C58-A199-5080537E8BD3}"/>
    <hyperlink ref="C2666" r:id="rId2661" display="https://pld.live/RapDetail.aspx?STONELIST=926341108&amp;ISCONFIRM=0" xr:uid="{40B047E6-87D7-4565-A07E-41AC6BB00C00}"/>
    <hyperlink ref="C2667" r:id="rId2662" display="https://pld.live/RapDetail.aspx?STONELIST=926331721&amp;ISCONFIRM=0" xr:uid="{59262779-A5DF-46D7-8403-8866D14C0723}"/>
    <hyperlink ref="C2668" r:id="rId2663" display="https://pld.live/RapDetail.aspx?STONELIST=926141359&amp;ISCONFIRM=0" xr:uid="{7A41479B-3773-4E5F-9DFE-E21FA175AB9C}"/>
    <hyperlink ref="C2669" r:id="rId2664" display="https://pld.live/RapDetail.aspx?STONELIST=926120892&amp;ISCONFIRM=0" xr:uid="{49426DD2-7290-4E01-86D8-51A27A7F80F4}"/>
    <hyperlink ref="C2670" r:id="rId2665" display="https://pld.live/RapDetail.aspx?STONELIST=926091305&amp;ISCONFIRM=0" xr:uid="{A7CB8CC7-BAA8-4271-B333-3397A4624155}"/>
    <hyperlink ref="C2671" r:id="rId2666" display="https://pld.live/RapDetail.aspx?STONELIST=926191333&amp;ISCONFIRM=0" xr:uid="{6B187390-804A-4D4B-A01A-43D7A36BF249}"/>
    <hyperlink ref="C2672" r:id="rId2667" display="https://pld.live/RapDetail.aspx?STONELIST=926191349&amp;ISCONFIRM=0" xr:uid="{983CFBF0-7D7D-4C24-B3FB-B2A59D77BF32}"/>
    <hyperlink ref="C2673" r:id="rId2668" display="https://pld.live/RapDetail.aspx?STONELIST=926191071&amp;ISCONFIRM=0" xr:uid="{F048C541-DEEC-4BEB-873B-9D9EEE2A2D78}"/>
    <hyperlink ref="C2674" r:id="rId2669" display="https://pld.live/RapDetail.aspx?STONELIST=926341184&amp;ISCONFIRM=0" xr:uid="{4E32EB77-1090-4265-A28D-536996304DD0}"/>
    <hyperlink ref="C2675" r:id="rId2670" display="https://pld.live/RapDetail.aspx?STONELIST=926081451&amp;ISCONFIRM=0" xr:uid="{9A431B3D-7446-4BC8-BAD2-FFE0DA80CFAB}"/>
    <hyperlink ref="C2676" r:id="rId2671" display="https://pld.live/RapDetail.aspx?STONELIST=926191137&amp;ISCONFIRM=0" xr:uid="{1DA2FE1A-27DE-4E40-BA78-EFBA79148647}"/>
    <hyperlink ref="C2677" r:id="rId2672" display="https://pld.live/RapDetail.aspx?STONELIST=920661495&amp;ISCONFIRM=0" xr:uid="{C74C8396-5B05-4C03-82C3-3D242684B768}"/>
    <hyperlink ref="C2678" r:id="rId2673" display="https://pld.live/RapDetail.aspx?STONELIST=920661489&amp;ISCONFIRM=0" xr:uid="{E6DA6152-2579-4F7D-A186-0B7869FDEEC2}"/>
    <hyperlink ref="C2679" r:id="rId2674" display="https://pld.live/RapDetail.aspx?STONELIST=926221344&amp;ISCONFIRM=0" xr:uid="{5227761E-30C6-47F5-A763-8871050E4D03}"/>
    <hyperlink ref="C2680" r:id="rId2675" display="https://pld.live/RapDetail.aspx?STONELIST=926261622&amp;ISCONFIRM=0" xr:uid="{D33FF78F-F11B-48EF-9A24-C0E152E102F6}"/>
    <hyperlink ref="C2681" r:id="rId2676" display="https://pld.live/RapDetail.aspx?STONELIST=926261606&amp;ISCONFIRM=0" xr:uid="{D48873D9-310A-4634-ACE1-020CB055E154}"/>
    <hyperlink ref="C2682" r:id="rId2677" display="https://pld.live/RapDetail.aspx?STONELIST=926191240&amp;ISCONFIRM=0" xr:uid="{DC4CDA8B-45FE-405A-B52D-5959EF517E5F}"/>
    <hyperlink ref="C2683" r:id="rId2678" display="https://pld.live/RapDetail.aspx?STONELIST=926341419&amp;ISCONFIRM=0" xr:uid="{19817646-46ED-4A62-9FC9-65A832BC6D4C}"/>
    <hyperlink ref="C2684" r:id="rId2679" display="https://pld.live/RapDetail.aspx?STONELIST=926341225&amp;ISCONFIRM=0" xr:uid="{CEC367BA-C940-4296-B45B-B5E96B877185}"/>
    <hyperlink ref="C2685" r:id="rId2680" display="https://pld.live/RapDetail.aspx?STONELIST=941351014&amp;ISCONFIRM=0" xr:uid="{38911809-0A74-404E-AC6C-8219D4BE3236}"/>
    <hyperlink ref="C2686" r:id="rId2681" display="https://pld.live/RapDetail.aspx?STONELIST=926341172&amp;ISCONFIRM=0" xr:uid="{7AB8C93A-B192-40C9-AA8F-88993AF38A49}"/>
    <hyperlink ref="C2687" r:id="rId2682" display="https://pld.live/RapDetail.aspx?STONELIST=926081324&amp;ISCONFIRM=0" xr:uid="{FE187065-2EFE-4F85-AD54-BC5D0A8709B0}"/>
    <hyperlink ref="C2688" r:id="rId2683" display="https://pld.live/RapDetail.aspx?STONELIST=926090460&amp;ISCONFIRM=0" xr:uid="{58A0D9AE-1839-47B7-B1AD-6A877F161C74}"/>
    <hyperlink ref="C2689" r:id="rId2684" display="https://pld.live/RapDetail.aspx?STONELIST=920661452&amp;ISCONFIRM=0" xr:uid="{5C554C64-A396-4A98-8765-6BF9C10C38F9}"/>
    <hyperlink ref="C2690" r:id="rId2685" display="https://pld.live/RapDetail.aspx?STONELIST=926240813&amp;ISCONFIRM=0" xr:uid="{9F0F5145-ABB3-4DC1-BD80-146FFEDF1859}"/>
    <hyperlink ref="C2691" r:id="rId2686" display="https://pld.live/RapDetail.aspx?STONELIST=920661328&amp;ISCONFIRM=0" xr:uid="{C7282625-38A5-4C91-BE03-B252B53E3B1F}"/>
    <hyperlink ref="C2692" r:id="rId2687" display="https://pld.live/RapDetail.aspx?STONELIST=925210037&amp;ISCONFIRM=0" xr:uid="{060BDF27-E266-4EC0-BA44-0AA8E3AD6A3C}"/>
    <hyperlink ref="C2693" r:id="rId2688" display="https://pld.live/RapDetail.aspx?STONELIST=926430880&amp;ISCONFIRM=0" xr:uid="{4868DBB4-1025-4836-BBD1-A1A3954CA8A8}"/>
    <hyperlink ref="C2694" r:id="rId2689" display="https://pld.live/RapDetail.aspx?STONELIST=926321041&amp;ISCONFIRM=0" xr:uid="{EE009996-AE1A-4CEC-9C67-7204462776EE}"/>
    <hyperlink ref="C2695" r:id="rId2690" display="https://pld.live/RapDetail.aspx?STONELIST=926181033&amp;ISCONFIRM=0" xr:uid="{064F3772-176A-49D8-9996-E8A69221FD05}"/>
    <hyperlink ref="C2696" r:id="rId2691" display="https://pld.live/RapDetail.aspx?STONELIST=926230953&amp;ISCONFIRM=0" xr:uid="{30842BF0-E8D9-4128-92DF-7DCDAB049827}"/>
    <hyperlink ref="C2697" r:id="rId2692" display="https://pld.live/RapDetail.aspx?STONELIST=926191374&amp;ISCONFIRM=0" xr:uid="{2B0E17B4-DE16-41E2-94DC-E7C1F4CFEFD0}"/>
    <hyperlink ref="C2698" r:id="rId2693" display="https://pld.live/RapDetail.aspx?STONELIST=920661415&amp;ISCONFIRM=0" xr:uid="{1CCFF48E-2CA2-4AAA-8CD9-928FCC613C98}"/>
    <hyperlink ref="C2699" r:id="rId2694" display="https://pld.live/RapDetail.aspx?STONELIST=926391588&amp;ISCONFIRM=0" xr:uid="{BB93E35F-9A7D-4106-A1A2-4196DACBD4D4}"/>
    <hyperlink ref="C2700" r:id="rId2695" display="https://pld.live/RapDetail.aspx?STONELIST=926391554&amp;ISCONFIRM=0" xr:uid="{A4139C4C-1271-415E-A4EA-E5A9B048B026}"/>
    <hyperlink ref="C2701" r:id="rId2696" display="https://pld.live/RapDetail.aspx?STONELIST=941290179&amp;ISCONFIRM=0" xr:uid="{65082050-F878-4EE7-81CB-32F1F5DB0A7B}"/>
    <hyperlink ref="C2702" r:id="rId2697" display="https://pld.live/RapDetail.aspx?STONELIST=926341451&amp;ISCONFIRM=0" xr:uid="{F3FE05B8-D3D2-4B92-8802-935201DF6DA2}"/>
    <hyperlink ref="C2703" r:id="rId2698" display="https://pld.live/RapDetail.aspx?STONELIST=926341064&amp;ISCONFIRM=0" xr:uid="{504A5D3B-8ADF-45F7-8603-0187B67DF549}"/>
    <hyperlink ref="C2704" r:id="rId2699" display="https://pld.live/RapDetail.aspx?STONELIST=926431011&amp;ISCONFIRM=0" xr:uid="{8DC5C9ED-6FA9-4E3E-87F8-50C19A8CB699}"/>
    <hyperlink ref="C2705" r:id="rId2700" display="https://pld.live/RapDetail.aspx?STONELIST=926721279&amp;ISCONFIRM=0" xr:uid="{87D8A49D-57B3-4E3F-BF9F-DE3BE6214972}"/>
    <hyperlink ref="C2706" r:id="rId2701" display="https://pld.live/RapDetail.aspx?STONELIST=926341137&amp;ISCONFIRM=0" xr:uid="{BDD275F8-9267-4CEF-A65E-5D9747EE7C77}"/>
    <hyperlink ref="C2707" r:id="rId2702" display="https://pld.live/RapDetail.aspx?STONELIST=926710897&amp;ISCONFIRM=0" xr:uid="{8D543419-636C-45F8-80EB-520D9F5D3FE2}"/>
    <hyperlink ref="C2708" r:id="rId2703" display="https://pld.live/RapDetail.aspx?STONELIST=941330442&amp;ISCONFIRM=0" xr:uid="{DF6A1315-0D31-4532-9748-A9B2ACD75858}"/>
    <hyperlink ref="C2709" r:id="rId2704" display="https://pld.live/RapDetail.aspx?STONELIST=926710963&amp;ISCONFIRM=0" xr:uid="{6B6C9642-21D8-449E-A34C-72A778ED977E}"/>
    <hyperlink ref="C2710" r:id="rId2705" display="https://pld.live/RapDetail.aspx?STONELIST=926311344&amp;ISCONFIRM=0" xr:uid="{CEBBEBA0-3885-48AF-9373-8E6393E08767}"/>
    <hyperlink ref="C2711" r:id="rId2706" display="https://pld.live/RapDetail.aspx?STONELIST=926320979&amp;ISCONFIRM=0" xr:uid="{FBF6E186-19D4-40EE-97AF-C0A94C12A272}"/>
    <hyperlink ref="C2712" r:id="rId2707" display="https://pld.live/RapDetail.aspx?STONELIST=926820118&amp;ISCONFIRM=0" xr:uid="{C46CAB2A-2DA4-4CB2-93BB-692249CEF74F}"/>
    <hyperlink ref="C2713" r:id="rId2708" display="https://pld.live/RapDetail.aspx?STONELIST=926780100&amp;ISCONFIRM=0" xr:uid="{45FB4E2E-4412-48B6-880F-E622095C0CC3}"/>
    <hyperlink ref="C2714" r:id="rId2709" display="https://pld.live/RapDetail.aspx?STONELIST=831020191&amp;ISCONFIRM=0" xr:uid="{04AB858D-30DF-438C-A26C-73B017437242}"/>
    <hyperlink ref="C2715" r:id="rId2710" display="https://pld.live/RapDetail.aspx?STONELIST=923130003&amp;ISCONFIRM=0" xr:uid="{BEC69426-C7BA-4080-8395-714A20A8D17F}"/>
    <hyperlink ref="C2716" r:id="rId2711" display="https://pld.live/RapDetail.aspx?STONELIST=922930163&amp;ISCONFIRM=0" xr:uid="{57A3C773-B0F8-4ABD-9CDD-730E1D0F14F7}"/>
    <hyperlink ref="C2717" r:id="rId2712" display="https://pld.live/RapDetail.aspx?STONELIST=831020221&amp;ISCONFIRM=0" xr:uid="{97DBABA0-256F-48E2-91B4-9FA92A3DA2A7}"/>
    <hyperlink ref="C2718" r:id="rId2713" display="https://pld.live/RapDetail.aspx?STONELIST=926450622&amp;ISCONFIRM=0" xr:uid="{11D7126E-72D9-4E8D-A460-7CF6E057F2D8}"/>
    <hyperlink ref="C2719" r:id="rId2714" display="https://pld.live/RapDetail.aspx?STONELIST=926470427&amp;ISCONFIRM=0" xr:uid="{392D7D66-FEA0-44B2-81E7-4E8D70B4D346}"/>
    <hyperlink ref="C2720" r:id="rId2715" display="https://pld.live/RapDetail.aspx?STONELIST=926420447&amp;ISCONFIRM=0" xr:uid="{4DF2D6A2-FFE6-4305-A0B5-C0B3C223374E}"/>
    <hyperlink ref="C2721" r:id="rId2716" display="https://pld.live/RapDetail.aspx?STONELIST=922170063&amp;ISCONFIRM=0" xr:uid="{E8081C71-83D6-4DBD-AD79-519581AB718D}"/>
    <hyperlink ref="C2722" r:id="rId2717" display="https://pld.live/RapDetail.aspx?STONELIST=831020259&amp;ISCONFIRM=0" xr:uid="{0954B533-07BA-460F-AE4D-17BF917FB87E}"/>
    <hyperlink ref="C2723" r:id="rId2718" display="https://pld.live/RapDetail.aspx?STONELIST=922550049&amp;ISCONFIRM=0" xr:uid="{F277BCB4-0153-49D0-9AA4-D9DBFF8F0D4F}"/>
    <hyperlink ref="C2724" r:id="rId2719" display="https://pld.live/RapDetail.aspx?STONELIST=922170001&amp;ISCONFIRM=0" xr:uid="{639CF431-566A-48F8-A317-7C818D64CD3F}"/>
    <hyperlink ref="C2725" r:id="rId2720" display="https://pld.live/RapDetail.aspx?STONELIST=923740329&amp;ISCONFIRM=0" xr:uid="{E2D4F34C-3202-4D5B-A7CB-38920BAA6CBD}"/>
    <hyperlink ref="C2726" r:id="rId2721" display="https://pld.live/RapDetail.aspx?STONELIST=925060441&amp;ISCONFIRM=0" xr:uid="{29645A4E-3EA5-4E6A-8463-F9D1EB790BBB}"/>
    <hyperlink ref="C2727" r:id="rId2722" display="https://pld.live/RapDetail.aspx?STONELIST=923260297&amp;ISCONFIRM=0" xr:uid="{10C84614-4EB0-4167-A111-F223E88B21AF}"/>
    <hyperlink ref="C2728" r:id="rId2723" display="https://pld.live/RapDetail.aspx?STONELIST=831020071&amp;ISCONFIRM=0" xr:uid="{42CC63BD-AD25-47B2-86AB-DFC766E7C234}"/>
    <hyperlink ref="C2729" r:id="rId2724" display="https://pld.live/RapDetail.aspx?STONELIST=923740320&amp;ISCONFIRM=0" xr:uid="{51A1C0B8-6A9C-4EE3-8DC1-20FCE3B50574}"/>
    <hyperlink ref="C2730" r:id="rId2725" display="https://pld.live/RapDetail.aspx?STONELIST=922420101&amp;ISCONFIRM=0" xr:uid="{9E8DDD96-2768-43CD-910E-ABAF4425F38F}"/>
    <hyperlink ref="C2731" r:id="rId2726" display="https://pld.live/RapDetail.aspx?STONELIST=922550010&amp;ISCONFIRM=0" xr:uid="{BFDE618D-F387-415A-8080-29B4FEFDF63E}"/>
    <hyperlink ref="C2732" r:id="rId2727" display="https://pld.live/RapDetail.aspx?STONELIST=924940268&amp;ISCONFIRM=0" xr:uid="{F15F6BE5-EB3B-4C55-8552-B17A7AAF9594}"/>
    <hyperlink ref="C2733" r:id="rId2728" display="https://pld.live/RapDetail.aspx?STONELIST=831020073&amp;ISCONFIRM=0" xr:uid="{92C1A9D1-1F92-47F6-8CD3-D5588418E2D2}"/>
    <hyperlink ref="C2734" r:id="rId2729" display="https://pld.live/RapDetail.aspx?STONELIST=921800086&amp;ISCONFIRM=0" xr:uid="{73F85DFB-9FEF-4C92-9445-2D19F9EC645D}"/>
    <hyperlink ref="C2735" r:id="rId2730" display="https://pld.live/RapDetail.aspx?STONELIST=922480055&amp;ISCONFIRM=0" xr:uid="{129A4B6D-EF06-4D7F-853A-487A131620C0}"/>
    <hyperlink ref="C2736" r:id="rId2731" display="https://pld.live/RapDetail.aspx?STONELIST=831020075&amp;ISCONFIRM=0" xr:uid="{449E4B3C-569C-4F09-941E-3E9952592A71}"/>
    <hyperlink ref="C2737" r:id="rId2732" display="https://pld.live/RapDetail.aspx?STONELIST=923750288&amp;ISCONFIRM=0" xr:uid="{497031EA-59D9-4E7E-B13E-9CB3D21352C5}"/>
    <hyperlink ref="C2738" r:id="rId2733" display="https://pld.live/RapDetail.aspx?STONELIST=831020566&amp;ISCONFIRM=0" xr:uid="{8A432F02-8231-4E42-B932-450B7ABA23A7}"/>
    <hyperlink ref="C2739" r:id="rId2734" display="https://pld.live/RapDetail.aspx?STONELIST=831020417&amp;ISCONFIRM=0" xr:uid="{512A8B0A-A6DF-4CB1-9444-4B88BE4051A0}"/>
    <hyperlink ref="C2740" r:id="rId2735" display="https://pld.live/RapDetail.aspx?STONELIST=925020213&amp;ISCONFIRM=0" xr:uid="{D3AD84EC-E35C-48D7-99E2-0F682D6B6EC0}"/>
    <hyperlink ref="C2741" r:id="rId2736" display="https://pld.live/RapDetail.aspx?STONELIST=922420088&amp;ISCONFIRM=0" xr:uid="{E5F3A1A5-2EC6-416D-9ACD-80212F18E594}"/>
    <hyperlink ref="C2742" r:id="rId2737" display="https://pld.live/RapDetail.aspx?STONELIST=922480054&amp;ISCONFIRM=0" xr:uid="{306BCB6E-B7C4-428A-95EB-24263F6D4B1C}"/>
    <hyperlink ref="C2743" r:id="rId2738" display="https://pld.live/RapDetail.aspx?STONELIST=831020638&amp;ISCONFIRM=0" xr:uid="{2AA89E99-9D79-48AC-AB3C-046FD55954BF}"/>
    <hyperlink ref="C2744" r:id="rId2739" display="https://pld.live/RapDetail.aspx?STONELIST=924950401&amp;ISCONFIRM=0" xr:uid="{9A9FFFA1-091A-4E83-AA56-0E4F70102253}"/>
    <hyperlink ref="C2745" r:id="rId2740" display="https://pld.live/RapDetail.aspx?STONELIST=924250624&amp;ISCONFIRM=0" xr:uid="{B18C0326-1ACD-4443-B193-C412E6959B75}"/>
    <hyperlink ref="C2746" r:id="rId2741" display="https://pld.live/RapDetail.aspx?STONELIST=921800084&amp;ISCONFIRM=0" xr:uid="{91DB83FF-FB11-414A-860A-1CB60D39F45B}"/>
    <hyperlink ref="C2747" r:id="rId2742" display="https://pld.live/RapDetail.aspx?STONELIST=924950433&amp;ISCONFIRM=0" xr:uid="{2546C25B-DF55-44E2-B9CF-5BB87CD07EF5}"/>
    <hyperlink ref="C2748" r:id="rId2743" display="https://pld.live/RapDetail.aspx?STONELIST=923750353&amp;ISCONFIRM=0" xr:uid="{8DA7E0D3-DB05-47E9-882B-6E6C2CBF6922}"/>
    <hyperlink ref="C2749" r:id="rId2744" display="https://pld.live/RapDetail.aspx?STONELIST=831020562&amp;ISCONFIRM=0" xr:uid="{274532A5-A7DE-46B2-88E2-4D6AF92F97C8}"/>
    <hyperlink ref="C2750" r:id="rId2745" display="https://pld.live/RapDetail.aspx?STONELIST=924950285&amp;ISCONFIRM=0" xr:uid="{A459956C-DD79-449E-A496-B477DAA5DA12}"/>
    <hyperlink ref="C2751" r:id="rId2746" display="https://pld.live/RapDetail.aspx?STONELIST=923610363&amp;ISCONFIRM=0" xr:uid="{ECD1F7BF-C32E-4AE6-87A5-078F9D14D600}"/>
    <hyperlink ref="C2752" r:id="rId2747" display="https://pld.live/RapDetail.aspx?STONELIST=926160069&amp;ISCONFIRM=0" xr:uid="{345C0EA5-9363-4386-A189-19A576AE3792}"/>
    <hyperlink ref="C2753" r:id="rId2748" display="https://pld.live/RapDetail.aspx?STONELIST=924950305&amp;ISCONFIRM=0" xr:uid="{3B3EAFC2-B91F-49E0-8CF7-BF4594282ABE}"/>
    <hyperlink ref="C2754" r:id="rId2749" display="https://pld.live/RapDetail.aspx?STONELIST=926160045&amp;ISCONFIRM=0" xr:uid="{90C8508D-9E0B-41C1-BF3F-5FA1E48457DF}"/>
    <hyperlink ref="C2755" r:id="rId2750" display="https://pld.live/RapDetail.aspx?STONELIST=922480074&amp;ISCONFIRM=0" xr:uid="{3AD05284-59CA-42FF-8640-32BD4208F2C2}"/>
    <hyperlink ref="C2756" r:id="rId2751" display="https://pld.live/RapDetail.aspx?STONELIST=923310088&amp;ISCONFIRM=0" xr:uid="{673259F7-9446-46FC-BF0D-73E98AC035AB}"/>
    <hyperlink ref="C2757" r:id="rId2752" display="https://pld.live/RapDetail.aspx?STONELIST=925610462&amp;ISCONFIRM=0" xr:uid="{54514C87-456E-46E3-9A0B-2A6FEE0C47A8}"/>
    <hyperlink ref="C2758" r:id="rId2753" display="https://pld.live/RapDetail.aspx?STONELIST=925502251&amp;ISCONFIRM=0" xr:uid="{EE05BA0D-AD13-43FB-AACE-29BAE1923714}"/>
    <hyperlink ref="C2759" r:id="rId2754" display="https://pld.live/RapDetail.aspx?STONELIST=925010066&amp;ISCONFIRM=0" xr:uid="{BDBEF384-FEA3-445E-8D20-4CF817801DE9}"/>
    <hyperlink ref="C2760" r:id="rId2755" display="https://pld.live/RapDetail.aspx?STONELIST=925610439&amp;ISCONFIRM=0" xr:uid="{68A2BE84-7A63-4FCB-AC63-20F445CE7FF0}"/>
    <hyperlink ref="C2761" r:id="rId2756" display="https://pld.live/RapDetail.aspx?STONELIST=924950452&amp;ISCONFIRM=0" xr:uid="{21D3B724-A629-49A4-B1CB-E12448E259F2}"/>
    <hyperlink ref="C2762" r:id="rId2757" display="https://pld.live/RapDetail.aspx?STONELIST=925610472&amp;ISCONFIRM=0" xr:uid="{29AD4975-9223-4C7D-B4AC-D7FCFE731DAE}"/>
    <hyperlink ref="C2763" r:id="rId2758" display="https://pld.live/RapDetail.aspx?STONELIST=925020011&amp;ISCONFIRM=0" xr:uid="{362A0ECB-47CE-4157-B40E-BBDDECA8129C}"/>
    <hyperlink ref="C2764" r:id="rId2759" display="https://pld.live/RapDetail.aspx?STONELIST=925510131&amp;ISCONFIRM=0" xr:uid="{092E5469-85E2-4470-AF7D-F8503A1B9A69}"/>
    <hyperlink ref="C2765" r:id="rId2760" display="https://pld.live/RapDetail.aspx?STONELIST=927020674&amp;ISCONFIRM=0" xr:uid="{1EC43491-69EF-4D0E-AFA2-DCEB64748688}"/>
    <hyperlink ref="C2766" r:id="rId2761" display="https://pld.live/RapDetail.aspx?STONELIST=925530123&amp;ISCONFIRM=0" xr:uid="{57058BA2-7BD2-4264-970E-3C1764F00C28}"/>
    <hyperlink ref="C2767" r:id="rId2762" display="https://pld.live/RapDetail.aspx?STONELIST=925530186&amp;ISCONFIRM=0" xr:uid="{9FB4EB9C-43AC-43E0-A5A8-793DE452BA59}"/>
    <hyperlink ref="C2768" r:id="rId2763" display="https://pld.live/RapDetail.aspx?STONELIST=924730029&amp;ISCONFIRM=0" xr:uid="{BE450571-1D43-44EB-8CF7-2FAE6B9281EB}"/>
    <hyperlink ref="C2769" r:id="rId2764" display="https://pld.live/RapDetail.aspx?STONELIST=924660001&amp;ISCONFIRM=0" xr:uid="{1B931427-3BB2-4351-95F1-62723F4E80D2}"/>
    <hyperlink ref="C2770" r:id="rId2765" display="https://pld.live/RapDetail.aspx?STONELIST=924950416&amp;ISCONFIRM=0" xr:uid="{7C0E6FEE-8B58-4C9E-BACE-214995A4E812}"/>
    <hyperlink ref="C2771" r:id="rId2766" display="https://pld.live/RapDetail.aspx?STONELIST=923720224&amp;ISCONFIRM=0" xr:uid="{0B9B432E-02E3-432E-A225-2A80E536769E}"/>
    <hyperlink ref="C2772" r:id="rId2767" display="https://pld.live/RapDetail.aspx?STONELIST=926010168&amp;ISCONFIRM=0" xr:uid="{BC8F4D04-CEC9-4C57-AC35-40CAD6C38A65}"/>
    <hyperlink ref="C2773" r:id="rId2768" display="https://pld.live/RapDetail.aspx?STONELIST=926010184&amp;ISCONFIRM=0" xr:uid="{5D2BD049-2B50-43FA-9280-FE45A1298F07}"/>
    <hyperlink ref="C2774" r:id="rId2769" display="https://pld.live/RapDetail.aspx?STONELIST=925530117&amp;ISCONFIRM=0" xr:uid="{133590F2-9196-4556-9579-63161C27679B}"/>
    <hyperlink ref="C2775" r:id="rId2770" display="https://pld.live/RapDetail.aspx?STONELIST=925510125&amp;ISCONFIRM=0" xr:uid="{443E8CB1-DA40-4A0E-A9E9-387BFAE9B300}"/>
    <hyperlink ref="C2776" r:id="rId2771" display="https://pld.live/RapDetail.aspx?STONELIST=927070574&amp;ISCONFIRM=0" xr:uid="{8FCB415E-2609-462A-9B3D-326C05D76D2A}"/>
    <hyperlink ref="C2777" r:id="rId2772" display="https://pld.live/RapDetail.aspx?STONELIST=831010107&amp;ISCONFIRM=0" xr:uid="{05B7B332-202E-4621-ACA7-2AC9B7E65A71}"/>
    <hyperlink ref="C2778" r:id="rId2773" display="https://pld.live/RapDetail.aspx?STONELIST=927080699&amp;ISCONFIRM=0" xr:uid="{1F7A9807-1CCF-4E5B-8BE3-4D63261D742C}"/>
    <hyperlink ref="C2779" r:id="rId2774" display="https://pld.live/RapDetail.aspx?STONELIST=923980470&amp;ISCONFIRM=0" xr:uid="{596A223A-CA97-4841-99E4-C9C7FEA65180}"/>
    <hyperlink ref="C2780" r:id="rId2775" display="https://pld.live/RapDetail.aspx?STONELIST=925010042&amp;ISCONFIRM=0" xr:uid="{A5CFA870-7455-4F49-9801-027B3BA13147}"/>
    <hyperlink ref="C2781" r:id="rId2776" display="https://pld.live/RapDetail.aspx?STONELIST=927000604&amp;ISCONFIRM=0" xr:uid="{95279756-2194-46EE-99F6-C038BF7D62C6}"/>
    <hyperlink ref="C2782" r:id="rId2777" display="https://pld.live/RapDetail.aspx?STONELIST=831020557&amp;ISCONFIRM=0" xr:uid="{3FC78873-A1E2-4000-84AC-2F08081E02BD}"/>
    <hyperlink ref="C2783" r:id="rId2778" display="https://pld.live/RapDetail.aspx?STONELIST=925502236&amp;ISCONFIRM=0" xr:uid="{3F573553-9027-45A5-9A22-61C8197CBEE6}"/>
    <hyperlink ref="C2784" r:id="rId2779" display="https://pld.live/RapDetail.aspx?STONELIST=831010515&amp;ISCONFIRM=0" xr:uid="{5E6D48F1-9C52-4374-9A6C-617EF31B87CF}"/>
    <hyperlink ref="C2785" r:id="rId2780" display="https://pld.live/RapDetail.aspx?STONELIST=924950443&amp;ISCONFIRM=0" xr:uid="{DE4A7AFD-868F-432A-B14F-2F70022C0444}"/>
    <hyperlink ref="C2786" r:id="rId2781" display="https://pld.live/RapDetail.aspx?STONELIST=923510635&amp;ISCONFIRM=0" xr:uid="{895C2776-9EC8-4198-B662-849EEEE35FF4}"/>
    <hyperlink ref="C2787" r:id="rId2782" display="https://pld.live/RapDetail.aspx?STONELIST=925510138&amp;ISCONFIRM=0" xr:uid="{5ECF01AA-D8DB-4480-9BB5-2F02F26D39CF}"/>
    <hyperlink ref="C2788" r:id="rId2783" display="https://pld.live/RapDetail.aspx?STONELIST=924660014&amp;ISCONFIRM=0" xr:uid="{FBDFD380-4430-4020-BD48-D567E2C3C444}"/>
    <hyperlink ref="C2789" r:id="rId2784" display="https://pld.live/RapDetail.aspx?STONELIST=925542773&amp;ISCONFIRM=0" xr:uid="{26DBDCD6-BDB5-4AE2-AB30-28EE392F8521}"/>
    <hyperlink ref="C2790" r:id="rId2785" display="https://pld.live/RapDetail.aspx?STONELIST=925500199&amp;ISCONFIRM=0" xr:uid="{4CF1C45B-C116-4589-A855-B2252BFEB30B}"/>
    <hyperlink ref="C2791" r:id="rId2786" display="https://pld.live/RapDetail.aspx?STONELIST=925920085&amp;ISCONFIRM=0" xr:uid="{7B1EEBDB-694B-4CA6-8507-94CFF4F20C40}"/>
    <hyperlink ref="C2792" r:id="rId2787" display="https://pld.live/RapDetail.aspx?STONELIST=926150042&amp;ISCONFIRM=0" xr:uid="{A4A320F4-FCFE-4435-A8A5-B68557B1A0D6}"/>
    <hyperlink ref="C2793" r:id="rId2788" display="https://pld.live/RapDetail.aspx?STONELIST=831020649&amp;ISCONFIRM=0" xr:uid="{9B75D17B-A45C-464E-9C72-27D218233629}"/>
    <hyperlink ref="C2794" r:id="rId2789" display="https://pld.live/RapDetail.aspx?STONELIST=926450604&amp;ISCONFIRM=0" xr:uid="{4A95B0CE-6194-4269-8888-CB2D0DEF1C29}"/>
    <hyperlink ref="C2795" r:id="rId2790" display="https://pld.live/RapDetail.aspx?STONELIST=925920086&amp;ISCONFIRM=0" xr:uid="{ED86BE84-D962-4C87-B84D-5B01272491F5}"/>
    <hyperlink ref="C2796" r:id="rId2791" display="https://pld.live/RapDetail.aspx?STONELIST=926020809&amp;ISCONFIRM=0" xr:uid="{0A784FDF-3A29-4447-BCC0-7DAB6B911839}"/>
    <hyperlink ref="C2797" r:id="rId2792" display="https://pld.live/RapDetail.aspx?STONELIST=925920719&amp;ISCONFIRM=0" xr:uid="{1F49572A-D0C9-49F6-944A-0668B16BDD22}"/>
    <hyperlink ref="C2798" r:id="rId2793" display="https://pld.live/RapDetail.aspx?STONELIST=925981078&amp;ISCONFIRM=0" xr:uid="{1C90D78B-5798-465D-9313-2AA15E88865F}"/>
    <hyperlink ref="C2799" r:id="rId2794" display="https://pld.live/RapDetail.aspx?STONELIST=925801148&amp;ISCONFIRM=0" xr:uid="{A1E6D448-6F31-48CC-AA7A-618D1360100F}"/>
    <hyperlink ref="C2800" r:id="rId2795" display="https://pld.live/RapDetail.aspx?STONELIST=925951168&amp;ISCONFIRM=0" xr:uid="{FFAF2EA3-51C5-4929-9ADD-7A489FAD2A7F}"/>
    <hyperlink ref="C2801" r:id="rId2796" display="https://pld.live/RapDetail.aspx?STONELIST=925732041&amp;ISCONFIRM=0" xr:uid="{B6339416-BDE9-4C9F-824B-DA144927E6A0}"/>
    <hyperlink ref="C2802" r:id="rId2797" display="https://pld.live/RapDetail.aspx?STONELIST=925961323&amp;ISCONFIRM=0" xr:uid="{2E9B2304-252A-4EF8-A4A1-0EA53F052D29}"/>
    <hyperlink ref="C2803" r:id="rId2798" display="https://pld.live/RapDetail.aspx?STONELIST=926201151&amp;ISCONFIRM=0" xr:uid="{A904843E-2A1F-4DBF-BF89-649568FC564E}"/>
    <hyperlink ref="C2804" r:id="rId2799" display="https://pld.live/RapDetail.aspx?STONELIST=925770858&amp;ISCONFIRM=0" xr:uid="{3573C6C3-FA86-4ED6-823C-3FBA2120503C}"/>
    <hyperlink ref="C2805" r:id="rId2800" display="https://pld.live/RapDetail.aspx?STONELIST=926200738&amp;ISCONFIRM=0" xr:uid="{F1F79E7D-7BD8-4F31-8D72-9F11109FC4B1}"/>
    <hyperlink ref="C2806" r:id="rId2801" display="https://pld.live/RapDetail.aspx?STONELIST=925552037&amp;ISCONFIRM=0" xr:uid="{5839EFF8-D928-4D81-994B-E28810D0B5DB}"/>
    <hyperlink ref="C2807" r:id="rId2802" display="https://pld.live/RapDetail.aspx?STONELIST=925920995&amp;ISCONFIRM=0" xr:uid="{66655220-E60B-4E1B-AC05-DB2F8DCFB095}"/>
    <hyperlink ref="C2808" r:id="rId2803" display="https://pld.live/RapDetail.aspx?STONELIST=925890673&amp;ISCONFIRM=0" xr:uid="{88080ADE-1F19-40CC-B828-D9E7F8996FE5}"/>
    <hyperlink ref="C2809" r:id="rId2804" display="https://pld.live/RapDetail.aspx?STONELIST=926170656&amp;ISCONFIRM=0" xr:uid="{34A87B2D-6BD4-445B-B616-C8EB1212B54F}"/>
    <hyperlink ref="C2810" r:id="rId2805" display="https://pld.live/RapDetail.aspx?STONELIST=924750391&amp;ISCONFIRM=0" xr:uid="{2C33A0CC-C0B4-40EA-9AD8-097842F4218A}"/>
    <hyperlink ref="C2811" r:id="rId2806" display="https://pld.live/RapDetail.aspx?STONELIST=925801934&amp;ISCONFIRM=0" xr:uid="{718BA959-747E-4F1D-BA08-F70148F3FA45}"/>
    <hyperlink ref="C2812" r:id="rId2807" display="https://pld.live/RapDetail.aspx?STONELIST=926170153&amp;ISCONFIRM=0" xr:uid="{DFCBCAB9-C29B-4164-99F3-35F010DF9DB4}"/>
    <hyperlink ref="C2813" r:id="rId2808" display="https://pld.live/RapDetail.aspx?STONELIST=925951279&amp;ISCONFIRM=0" xr:uid="{42927A06-166F-4305-B79A-E7AC6F414750}"/>
    <hyperlink ref="C2814" r:id="rId2809" display="https://pld.live/RapDetail.aspx?STONELIST=925890659&amp;ISCONFIRM=0" xr:uid="{CC3AF4E9-CD45-40F8-A5E0-842D3BC350DA}"/>
    <hyperlink ref="C2815" r:id="rId2810" display="https://pld.live/RapDetail.aspx?STONELIST=925921014&amp;ISCONFIRM=0" xr:uid="{957D1625-DE7A-45CE-BA4B-67ABDA61DB6B}"/>
    <hyperlink ref="C2816" r:id="rId2811" display="https://pld.live/RapDetail.aspx?STONELIST=925961157&amp;ISCONFIRM=0" xr:uid="{87C6BB72-7C3E-4CB3-B204-28AA0A7453F9}"/>
    <hyperlink ref="C2817" r:id="rId2812" display="https://pld.live/RapDetail.aspx?STONELIST=925771339&amp;ISCONFIRM=0" xr:uid="{A60C8E9E-4D98-408E-B57B-2E8CD0A97ED4}"/>
    <hyperlink ref="C2818" r:id="rId2813" display="https://pld.live/RapDetail.aspx?STONELIST=925861828&amp;ISCONFIRM=0" xr:uid="{78684C2E-EC78-41F3-9EBF-F19C4AF943BF}"/>
    <hyperlink ref="C2819" r:id="rId2814" display="https://pld.live/RapDetail.aspx?STONELIST=925310396&amp;ISCONFIRM=0" xr:uid="{82EF7ED2-8469-416C-9B99-A35292051613}"/>
    <hyperlink ref="C2820" r:id="rId2815" display="https://pld.live/RapDetail.aspx?STONELIST=925732052&amp;ISCONFIRM=0" xr:uid="{08739A73-BB40-40D1-B24E-9C40E9DF9359}"/>
    <hyperlink ref="C2821" r:id="rId2816" display="https://pld.live/RapDetail.aspx?STONELIST=925771159&amp;ISCONFIRM=0" xr:uid="{290B2D76-2B5C-46BC-87E1-CA25714F6F06}"/>
    <hyperlink ref="C2822" r:id="rId2817" display="https://pld.live/RapDetail.aspx?STONELIST=926171449&amp;ISCONFIRM=0" xr:uid="{D68725DC-5822-4C25-B222-13555EF8689D}"/>
    <hyperlink ref="C2823" r:id="rId2818" display="https://pld.live/RapDetail.aspx?STONELIST=925890663&amp;ISCONFIRM=0" xr:uid="{BFDE0C16-AC13-4CDD-9D77-2B5581C64E90}"/>
    <hyperlink ref="C2824" r:id="rId2819" display="https://pld.live/RapDetail.aspx?STONELIST=925971314&amp;ISCONFIRM=0" xr:uid="{26F2E2CD-9926-4826-AF1C-0A6D174E198F}"/>
    <hyperlink ref="C2825" r:id="rId2820" display="https://pld.live/RapDetail.aspx?STONELIST=926041243&amp;ISCONFIRM=0" xr:uid="{04187378-5688-42A7-B56D-A0DDB7BC398E}"/>
    <hyperlink ref="C2826" r:id="rId2821" display="https://pld.live/RapDetail.aspx?STONELIST=925552028&amp;ISCONFIRM=0" xr:uid="{66C16926-AD66-45FA-9954-7673FE2202F7}"/>
    <hyperlink ref="C2827" r:id="rId2822" display="https://pld.live/RapDetail.aspx?STONELIST=925801813&amp;ISCONFIRM=0" xr:uid="{DEAB05E2-417D-4C43-8C34-F87A8F834ED2}"/>
    <hyperlink ref="C2828" r:id="rId2823" display="https://pld.live/RapDetail.aspx?STONELIST=925732132&amp;ISCONFIRM=0" xr:uid="{6178F870-EF51-4A04-BEC6-D67EEE1311D6}"/>
    <hyperlink ref="C2829" r:id="rId2824" display="https://pld.live/RapDetail.aspx?STONELIST=925552046&amp;ISCONFIRM=0" xr:uid="{9A35DA28-264E-4E04-AD5E-E1E78E293073}"/>
    <hyperlink ref="C2830" r:id="rId2825" display="https://pld.live/RapDetail.aspx?STONELIST=926101116&amp;ISCONFIRM=0" xr:uid="{096E6F16-570C-4A69-8FBB-68774F9C0815}"/>
    <hyperlink ref="C2831" r:id="rId2826" display="https://pld.live/RapDetail.aspx?STONELIST=925861769&amp;ISCONFIRM=0" xr:uid="{AFAC59D7-AC54-40A0-BDC6-3FF3B5AF8978}"/>
    <hyperlink ref="C2832" r:id="rId2827" display="https://pld.live/RapDetail.aspx?STONELIST=925971304&amp;ISCONFIRM=0" xr:uid="{68C35E62-E0FE-419B-A3AA-81DF444B5F8D}"/>
    <hyperlink ref="C2833" r:id="rId2828" display="https://pld.live/RapDetail.aspx?STONELIST=926171459&amp;ISCONFIRM=0" xr:uid="{0E76D973-94E1-415A-B729-17A450F136DF}"/>
    <hyperlink ref="C2834" r:id="rId2829" display="https://pld.live/RapDetail.aspx?STONELIST=926171119&amp;ISCONFIRM=0" xr:uid="{90A63945-1935-4080-B01C-FF89E095CEE3}"/>
    <hyperlink ref="C2835" r:id="rId2830" display="https://pld.live/RapDetail.aspx?STONELIST=926170660&amp;ISCONFIRM=0" xr:uid="{7D737978-2074-4E02-9389-EEF9118CADDD}"/>
    <hyperlink ref="C2836" r:id="rId2831" display="https://pld.live/RapDetail.aspx?STONELIST=925981256&amp;ISCONFIRM=0" xr:uid="{D167CA0B-AA45-42A0-8F81-B20062A6CCD3}"/>
    <hyperlink ref="C2837" r:id="rId2832" display="https://pld.live/RapDetail.aspx?STONELIST=926071711&amp;ISCONFIRM=0" xr:uid="{5B8656B7-FE46-499D-BF1B-F2F3272FACC1}"/>
    <hyperlink ref="C2838" r:id="rId2833" display="https://pld.live/RapDetail.aspx?STONELIST=925801970&amp;ISCONFIRM=0" xr:uid="{07F29704-8F8C-4BE3-B818-E9E1740F8C08}"/>
    <hyperlink ref="C2839" r:id="rId2834" display="https://pld.live/RapDetail.aspx?STONELIST=925800950&amp;ISCONFIRM=0" xr:uid="{B6D10A09-CE0F-4FC6-B7B8-EEA271E3DFE4}"/>
    <hyperlink ref="C2840" r:id="rId2835" display="https://pld.live/RapDetail.aspx?STONELIST=926171442&amp;ISCONFIRM=0" xr:uid="{661CB083-35D7-4BC2-84A3-407CD9F03CBF}"/>
    <hyperlink ref="C2841" r:id="rId2836" display="https://pld.live/RapDetail.aspx?STONELIST=926171124&amp;ISCONFIRM=0" xr:uid="{126D85B0-12FC-4898-88F7-9304DF2E8DB5}"/>
    <hyperlink ref="C2842" r:id="rId2837" display="https://pld.live/RapDetail.aspx?STONELIST=926171465&amp;ISCONFIRM=0" xr:uid="{095A943A-6CF2-4432-8C62-84384AB2C246}"/>
    <hyperlink ref="C2843" r:id="rId2838" display="https://pld.live/RapDetail.aspx?STONELIST=925861653&amp;ISCONFIRM=0" xr:uid="{8D7E255A-C25A-4B8E-8B5C-5CC0327A6468}"/>
    <hyperlink ref="C2844" r:id="rId2839" display="https://pld.live/RapDetail.aspx?STONELIST=924720162&amp;ISCONFIRM=0" xr:uid="{84E4D812-5974-4761-AD5C-3E152916E150}"/>
    <hyperlink ref="C2845" r:id="rId2840" display="https://pld.live/RapDetail.aspx?STONELIST=924750401&amp;ISCONFIRM=0" xr:uid="{97B72D1A-93B5-45D6-9FDC-60BD28D55A50}"/>
    <hyperlink ref="C2846" r:id="rId2841" display="https://pld.live/RapDetail.aspx?STONELIST=925961380&amp;ISCONFIRM=0" xr:uid="{4FBEC54C-CD58-4231-8E25-FB5DF36182B3}"/>
    <hyperlink ref="C2847" r:id="rId2842" display="https://pld.live/RapDetail.aspx?STONELIST=831010259&amp;ISCONFIRM=0" xr:uid="{55C6383F-F932-405A-B3B8-2BB370606C96}"/>
    <hyperlink ref="C2848" r:id="rId2843" display="https://pld.live/RapDetail.aspx?STONELIST=926171520&amp;ISCONFIRM=0" xr:uid="{03C9E582-9136-447B-9F7B-8F2595FAE874}"/>
    <hyperlink ref="C2849" r:id="rId2844" display="https://pld.live/RapDetail.aspx?STONELIST=925971332&amp;ISCONFIRM=0" xr:uid="{928A2FDD-6080-482E-A8BD-A9D6E24260B6}"/>
    <hyperlink ref="C2850" r:id="rId2845" display="https://pld.live/RapDetail.aspx?STONELIST=925971286&amp;ISCONFIRM=0" xr:uid="{56D7668D-DCAB-405E-B45A-12ACE4F00168}"/>
    <hyperlink ref="C2851" r:id="rId2846" display="https://pld.live/RapDetail.aspx?STONELIST=925890602&amp;ISCONFIRM=0" xr:uid="{C3228BD5-C331-4E56-A37A-69E01713C4FD}"/>
    <hyperlink ref="C2852" r:id="rId2847" display="https://pld.live/RapDetail.aspx?STONELIST=925921050&amp;ISCONFIRM=0" xr:uid="{A1B76951-8D59-460E-A446-0A0EC9C302BF}"/>
    <hyperlink ref="C2853" r:id="rId2848" display="https://pld.live/RapDetail.aspx?STONELIST=925921057&amp;ISCONFIRM=0" xr:uid="{7998F555-9A2D-4A09-8EAA-7EE5DD795FAF}"/>
    <hyperlink ref="C2854" r:id="rId2849" display="https://pld.live/RapDetail.aspx?STONELIST=925552021&amp;ISCONFIRM=0" xr:uid="{3C1CAADE-5F47-4D5B-96B7-01B6F2BEC617}"/>
    <hyperlink ref="C2855" r:id="rId2850" display="https://pld.live/RapDetail.aspx?STONELIST=831010856&amp;ISCONFIRM=0" xr:uid="{D92958B6-BDBC-42F1-8BED-01BC63F51995}"/>
    <hyperlink ref="C2856" r:id="rId2851" display="https://pld.live/RapDetail.aspx?STONELIST=925732137&amp;ISCONFIRM=0" xr:uid="{4FFA7E11-0E28-4DD7-95A0-10536E03F493}"/>
    <hyperlink ref="C2857" r:id="rId2852" display="https://pld.live/RapDetail.aspx?STONELIST=925970928&amp;ISCONFIRM=0" xr:uid="{72FFFAD7-7933-49C4-81D2-D9EB4BA1F575}"/>
    <hyperlink ref="C2858" r:id="rId2853" display="https://pld.live/RapDetail.aspx?STONELIST=925860792&amp;ISCONFIRM=0" xr:uid="{D953B39F-77E1-4232-B5B2-10FD5B84E174}"/>
    <hyperlink ref="C2859" r:id="rId2854" display="https://pld.live/RapDetail.aspx?STONELIST=925860265&amp;ISCONFIRM=0" xr:uid="{56EC6320-6436-4003-9619-FF082BFF8CBD}"/>
    <hyperlink ref="C2860" r:id="rId2855" display="https://pld.live/RapDetail.aspx?STONELIST=925890662&amp;ISCONFIRM=0" xr:uid="{956DCAAA-41D6-4726-B212-B7DBF049296B}"/>
    <hyperlink ref="C2861" r:id="rId2856" display="https://pld.live/RapDetail.aspx?STONELIST=926200895&amp;ISCONFIRM=0" xr:uid="{1D8D0F61-99C1-47FC-B127-F09B541685CE}"/>
    <hyperlink ref="C2862" r:id="rId2857" display="https://pld.live/RapDetail.aspx?STONELIST=925860266&amp;ISCONFIRM=0" xr:uid="{45EC986E-8958-4007-9E10-C4C5BC801EC6}"/>
    <hyperlink ref="C2863" r:id="rId2858" display="https://pld.live/RapDetail.aspx?STONELIST=926101118&amp;ISCONFIRM=0" xr:uid="{F70651D7-AB33-44BB-9A09-9E203E8A0933}"/>
    <hyperlink ref="C2864" r:id="rId2859" display="https://pld.live/RapDetail.aspx?STONELIST=925140343&amp;ISCONFIRM=0" xr:uid="{4E70328E-50F4-4E10-AB7C-8A224BD81173}"/>
    <hyperlink ref="C2865" r:id="rId2860" display="https://pld.live/RapDetail.aspx?STONELIST=926200993&amp;ISCONFIRM=0" xr:uid="{8A5F7583-F035-424C-8F4E-7ABDF09DCA62}"/>
    <hyperlink ref="C2866" r:id="rId2861" display="https://pld.live/RapDetail.aspx?STONELIST=925861905&amp;ISCONFIRM=0" xr:uid="{4044B0A4-C74B-4C8A-A185-3A0AD6CF28DF}"/>
    <hyperlink ref="C2867" r:id="rId2862" display="https://pld.live/RapDetail.aspx?STONELIST=926200755&amp;ISCONFIRM=0" xr:uid="{CCF1F89F-5D64-4EC5-9F59-85E9C6DD7FA7}"/>
    <hyperlink ref="C2868" r:id="rId2863" display="https://pld.live/RapDetail.aspx?STONELIST=831010340&amp;ISCONFIRM=0" xr:uid="{56BC9979-9893-4C86-84A6-B361E0FAE337}"/>
    <hyperlink ref="C2869" r:id="rId2864" display="https://pld.live/RapDetail.aspx?STONELIST=831010847&amp;ISCONFIRM=0" xr:uid="{430CF878-399E-45C6-A91F-6A6913B4BD10}"/>
    <hyperlink ref="C2870" r:id="rId2865" display="https://pld.live/RapDetail.aspx?STONELIST=926200719&amp;ISCONFIRM=0" xr:uid="{81D0E68E-C67F-4D21-AFDC-AC978AF333D4}"/>
    <hyperlink ref="C2871" r:id="rId2866" display="https://pld.live/RapDetail.aspx?STONELIST=926200805&amp;ISCONFIRM=0" xr:uid="{C661625F-2235-4CAD-8ACB-30935FBA11E1}"/>
    <hyperlink ref="C2872" r:id="rId2867" display="https://pld.live/RapDetail.aspx?STONELIST=925890665&amp;ISCONFIRM=0" xr:uid="{ED2A8984-3C11-4296-A45E-B401D41DDE2D}"/>
    <hyperlink ref="C2873" r:id="rId2868" display="https://pld.live/RapDetail.aspx?STONELIST=925861636&amp;ISCONFIRM=0" xr:uid="{C2329049-D739-45A8-BC73-557D0518A64E}"/>
    <hyperlink ref="C2874" r:id="rId2869" display="https://pld.live/RapDetail.aspx?STONELIST=926200964&amp;ISCONFIRM=0" xr:uid="{DEFFE5F8-FC80-4F4B-85D6-227910D30A0B}"/>
    <hyperlink ref="C2875" r:id="rId2870" display="https://pld.live/RapDetail.aspx?STONELIST=926200330&amp;ISCONFIRM=0" xr:uid="{7315D7F6-8F5F-431D-812E-9858E7E8EE4D}"/>
    <hyperlink ref="C2876" r:id="rId2871" display="https://pld.live/RapDetail.aspx?STONELIST=926200994&amp;ISCONFIRM=0" xr:uid="{2CB0427C-09B4-447E-BDCD-04449D8BE0FB}"/>
    <hyperlink ref="C2877" r:id="rId2872" display="https://pld.live/RapDetail.aspx?STONELIST=926200481&amp;ISCONFIRM=0" xr:uid="{A2E85150-94F7-4AF4-9D50-CE0D0B0A47EA}"/>
    <hyperlink ref="C2878" r:id="rId2873" display="https://pld.live/RapDetail.aspx?STONELIST=922200120&amp;ISCONFIRM=0" xr:uid="{720EE680-653D-4980-8333-26360DCE838E}"/>
    <hyperlink ref="C2879" r:id="rId2874" display="https://pld.live/RapDetail.aspx?STONELIST=926171460&amp;ISCONFIRM=0" xr:uid="{87B2A6BA-A6EB-4141-9E4D-FE0489B853F8}"/>
    <hyperlink ref="C2880" r:id="rId2875" display="https://pld.live/RapDetail.aspx?STONELIST=922650369&amp;ISCONFIRM=0" xr:uid="{45DAC5FE-31D0-461D-B5D8-3707D3146745}"/>
    <hyperlink ref="C2881" r:id="rId2876" display="https://pld.live/RapDetail.aspx?STONELIST=923800327&amp;ISCONFIRM=0" xr:uid="{F08CD3F3-BFC3-4B6B-A769-6F55A31AC292}"/>
    <hyperlink ref="C2882" r:id="rId2877" display="https://pld.live/RapDetail.aspx?STONELIST=925861940&amp;ISCONFIRM=0" xr:uid="{18D54686-8342-4F2D-9369-E10032553697}"/>
    <hyperlink ref="C2883" r:id="rId2878" display="https://pld.live/RapDetail.aspx?STONELIST=831010846&amp;ISCONFIRM=0" xr:uid="{4EBF17D2-B2BE-4C3E-91F5-29D6105781D1}"/>
    <hyperlink ref="C2884" r:id="rId2879" display="https://pld.live/RapDetail.aspx?STONELIST=925140325&amp;ISCONFIRM=0" xr:uid="{1269679D-DFED-4929-B2E9-21EE9C014646}"/>
    <hyperlink ref="C2885" r:id="rId2880" display="https://pld.live/RapDetail.aspx?STONELIST=925551860&amp;ISCONFIRM=0" xr:uid="{25CEFCD6-C55E-4172-B76F-2ECD1FC1264E}"/>
    <hyperlink ref="C2886" r:id="rId2881" display="https://pld.live/RapDetail.aspx?STONELIST=831010845&amp;ISCONFIRM=0" xr:uid="{3F329948-369D-49D7-8279-C9A17FA4488E}"/>
    <hyperlink ref="C2887" r:id="rId2882" display="https://pld.live/RapDetail.aspx?STONELIST=925862082&amp;ISCONFIRM=0" xr:uid="{4A211EBD-87E2-47AC-AEC4-99316F1FE1B6}"/>
    <hyperlink ref="C2888" r:id="rId2883" display="https://pld.live/RapDetail.aspx?STONELIST=926071917&amp;ISCONFIRM=0" xr:uid="{AE34173E-06D1-4016-B7D0-DC05E66AFBE5}"/>
    <hyperlink ref="C2889" r:id="rId2884" display="https://pld.live/RapDetail.aspx?STONELIST=923490333&amp;ISCONFIRM=0" xr:uid="{74760015-96C9-4292-BD16-72467B3B2656}"/>
    <hyperlink ref="C2890" r:id="rId2885" display="https://pld.live/RapDetail.aspx?STONELIST=923500280&amp;ISCONFIRM=0" xr:uid="{DBF1C313-2EBD-482D-96BD-0582843955D0}"/>
    <hyperlink ref="C2891" r:id="rId2886" display="https://pld.live/RapDetail.aspx?STONELIST=925951227&amp;ISCONFIRM=0" xr:uid="{582E6F47-6EFD-44BD-8081-6BC32F5AA642}"/>
    <hyperlink ref="C2892" r:id="rId2887" display="https://pld.live/RapDetail.aspx?STONELIST=925360406&amp;ISCONFIRM=0" xr:uid="{C66E1A00-9DE9-4D91-8ED2-326A4CCE4077}"/>
    <hyperlink ref="C2893" r:id="rId2888" display="https://pld.live/RapDetail.aspx?STONELIST=925140267&amp;ISCONFIRM=0" xr:uid="{65A7325C-C92E-4F30-84BF-814E71B5A159}"/>
    <hyperlink ref="C2894" r:id="rId2889" display="https://pld.live/RapDetail.aspx?STONELIST=926830867&amp;ISCONFIRM=0" xr:uid="{E0F8EDE6-3A13-40C4-B067-956AF23B6B6E}"/>
    <hyperlink ref="C2895" r:id="rId2890" display="https://pld.live/RapDetail.aspx?STONELIST=925951032&amp;ISCONFIRM=0" xr:uid="{E2DDA7F3-65E5-42AC-8C43-36240F307E83}"/>
    <hyperlink ref="C2896" r:id="rId2891" display="https://pld.live/RapDetail.aspx?STONELIST=925861832&amp;ISCONFIRM=0" xr:uid="{497A2748-DD5A-4A0D-BDE4-3F69A967ED09}"/>
    <hyperlink ref="C2897" r:id="rId2892" display="https://pld.live/RapDetail.aspx?STONELIST=926900704&amp;ISCONFIRM=0" xr:uid="{77F50597-070D-4FE2-90FF-8CE3E24BF73E}"/>
    <hyperlink ref="C2898" r:id="rId2893" display="https://pld.live/RapDetail.aspx?STONELIST=925551926&amp;ISCONFIRM=0" xr:uid="{37DE5C87-B7D1-4EFB-AEE5-9B3A7F99E886}"/>
    <hyperlink ref="C2899" r:id="rId2894" display="https://pld.live/RapDetail.aspx?STONELIST=925862032&amp;ISCONFIRM=0" xr:uid="{254B7BC4-A948-4D87-AD59-7625BBD69D19}"/>
    <hyperlink ref="C2900" r:id="rId2895" display="https://pld.live/RapDetail.aspx?STONELIST=925290567&amp;ISCONFIRM=0" xr:uid="{E3F7A6EB-7BE6-438B-8DA2-5BE88EEFFDD9}"/>
    <hyperlink ref="C2901" r:id="rId2896" display="https://pld.live/RapDetail.aspx?STONELIST=925300341&amp;ISCONFIRM=0" xr:uid="{F2B91728-64B9-479D-BEB0-A8C9A5840057}"/>
    <hyperlink ref="C2902" r:id="rId2897" display="https://pld.live/RapDetail.aspx?STONELIST=831010785&amp;ISCONFIRM=0" xr:uid="{77A893FF-9085-4111-89A6-B08A8FFBE213}"/>
    <hyperlink ref="C2903" r:id="rId2898" display="https://pld.live/RapDetail.aspx?STONELIST=925290578&amp;ISCONFIRM=0" xr:uid="{A8AC7961-431A-4613-9552-C1B606D194F5}"/>
    <hyperlink ref="C2904" r:id="rId2899" display="https://pld.live/RapDetail.aspx?STONELIST=926831049&amp;ISCONFIRM=0" xr:uid="{85AF531F-EA47-43A1-A18B-1933E0554366}"/>
    <hyperlink ref="C2905" r:id="rId2900" display="https://pld.live/RapDetail.aspx?STONELIST=925951325&amp;ISCONFIRM=0" xr:uid="{78942073-EEA4-4BA3-BD05-89E0DBF3B24D}"/>
    <hyperlink ref="C2906" r:id="rId2901" display="https://pld.live/RapDetail.aspx?STONELIST=831010588&amp;ISCONFIRM=0" xr:uid="{D6339FAE-F8C9-47A6-ACB0-8B7E4F9EF851}"/>
    <hyperlink ref="C2907" r:id="rId2902" display="https://pld.live/RapDetail.aspx?STONELIST=923780370&amp;ISCONFIRM=0" xr:uid="{50F3C683-E66C-41E0-A8E2-1036B310297B}"/>
    <hyperlink ref="C2908" r:id="rId2903" display="https://pld.live/RapDetail.aspx?STONELIST=925890645&amp;ISCONFIRM=0" xr:uid="{139D3CA6-14B6-4C6C-BFD7-DD70BC1DED06}"/>
    <hyperlink ref="C2909" r:id="rId2904" display="https://pld.live/RapDetail.aspx?STONELIST=925300353&amp;ISCONFIRM=0" xr:uid="{A98E4BE6-3D84-4E23-AE92-13B7F0F010E7}"/>
    <hyperlink ref="C2910" r:id="rId2905" display="https://pld.live/RapDetail.aspx?STONELIST=922240044&amp;ISCONFIRM=0" xr:uid="{A5D94CF6-043D-4ED9-AD58-2420F59FF089}"/>
    <hyperlink ref="C2911" r:id="rId2906" display="https://pld.live/RapDetail.aspx?STONELIST=925160027&amp;ISCONFIRM=0" xr:uid="{EF9F49FD-8402-45AB-B7B7-AA614D320505}"/>
    <hyperlink ref="C2912" r:id="rId2907" display="https://pld.live/RapDetail.aspx?STONELIST=925300295&amp;ISCONFIRM=0" xr:uid="{35899F20-4DF4-487D-B692-5AA6CA675430}"/>
    <hyperlink ref="C2913" r:id="rId2908" display="https://pld.live/RapDetail.aspx?STONELIST=925732213&amp;ISCONFIRM=0" xr:uid="{88C09BFE-BDE6-4590-AC87-FF7991053525}"/>
    <hyperlink ref="C2914" r:id="rId2909" display="https://pld.live/RapDetail.aspx?STONELIST=925140322&amp;ISCONFIRM=0" xr:uid="{1A2DFE12-6583-4C8B-AE80-D7EB3F42E92B}"/>
    <hyperlink ref="C2915" r:id="rId2910" display="https://pld.live/RapDetail.aspx?STONELIST=923500340&amp;ISCONFIRM=0" xr:uid="{E7470A00-1A7E-4F28-B28F-F7A741E3997C}"/>
    <hyperlink ref="C2916" r:id="rId2911" display="https://pld.live/RapDetail.aspx?STONELIST=926201054&amp;ISCONFIRM=0" xr:uid="{2041245D-3306-4772-93E5-4521D0346E4E}"/>
    <hyperlink ref="C2917" r:id="rId2912" display="https://pld.live/RapDetail.aspx?STONELIST=925030363&amp;ISCONFIRM=0" xr:uid="{20B4487A-DCE1-4134-B013-907620C021D9}"/>
    <hyperlink ref="C2918" r:id="rId2913" display="https://pld.live/RapDetail.aspx?STONELIST=831010800&amp;ISCONFIRM=0" xr:uid="{440A72F5-B9A9-4424-B755-355CE0F45665}"/>
    <hyperlink ref="C2919" r:id="rId2914" display="https://pld.live/RapDetail.aspx?STONELIST=831010799&amp;ISCONFIRM=0" xr:uid="{10DE85F5-98D7-4A12-8C07-64203CF30A44}"/>
    <hyperlink ref="C2920" r:id="rId2915" display="https://pld.live/RapDetail.aspx?STONELIST=925830777&amp;ISCONFIRM=0" xr:uid="{0CE9E94D-C72F-4511-B31C-F926CBCE2575}"/>
    <hyperlink ref="C2921" r:id="rId2916" display="https://pld.live/RapDetail.aspx?STONELIST=925940667&amp;ISCONFIRM=0" xr:uid="{E214D3C3-D9AC-4C8A-A100-31C427528B80}"/>
    <hyperlink ref="C2922" r:id="rId2917" display="https://pld.live/RapDetail.aspx?STONELIST=925080515&amp;ISCONFIRM=0" xr:uid="{FD504347-ED21-46EE-BBBF-7DD8E3B05179}"/>
    <hyperlink ref="C2923" r:id="rId2918" display="https://pld.live/RapDetail.aspx?STONELIST=925760261&amp;ISCONFIRM=0" xr:uid="{22F68526-8EBD-466F-9206-26F5E9F27832}"/>
    <hyperlink ref="C2924" r:id="rId2919" display="https://pld.live/RapDetail.aspx?STONELIST=925830750&amp;ISCONFIRM=0" xr:uid="{B89A0A67-440F-4AF7-9835-E005C0C5A460}"/>
    <hyperlink ref="C2925" r:id="rId2920" display="https://pld.live/RapDetail.aspx?STONELIST=925830751&amp;ISCONFIRM=0" xr:uid="{D81B2B1B-08C3-499D-A5A4-1F6A05F76B21}"/>
    <hyperlink ref="C2926" r:id="rId2921" display="https://pld.live/RapDetail.aspx?STONELIST=925940603&amp;ISCONFIRM=0" xr:uid="{64D9FFF3-9B84-4504-9050-55502B28098F}"/>
    <hyperlink ref="C2927" r:id="rId2922" display="https://pld.live/RapDetail.aspx?STONELIST=925900593&amp;ISCONFIRM=0" xr:uid="{9690BE15-6CDC-4B5C-AF87-81924CB19C75}"/>
    <hyperlink ref="C2928" r:id="rId2923" display="https://pld.live/RapDetail.aspx?STONELIST=925940615&amp;ISCONFIRM=0" xr:uid="{D15BFAC1-E042-4A66-9033-37BC9BF03EFF}"/>
    <hyperlink ref="C2929" r:id="rId2924" display="https://pld.live/RapDetail.aspx?STONELIST=925900600&amp;ISCONFIRM=0" xr:uid="{2CB9223C-1387-4600-B106-16CEF58F4E46}"/>
    <hyperlink ref="C2930" r:id="rId2925" display="https://pld.live/RapDetail.aspx?STONELIST=926110997&amp;ISCONFIRM=0" xr:uid="{3711E7A7-B432-4908-8CEF-348E430B37CE}"/>
    <hyperlink ref="C2931" r:id="rId2926" display="https://pld.live/RapDetail.aspx?STONELIST=926110880&amp;ISCONFIRM=0" xr:uid="{1894E282-6ADD-4E36-8DAD-F361181F6076}"/>
    <hyperlink ref="C2932" r:id="rId2927" display="https://pld.live/RapDetail.aspx?STONELIST=925830739&amp;ISCONFIRM=0" xr:uid="{0BBBC32F-5DB1-4EE2-A523-3C267758AC75}"/>
    <hyperlink ref="C2933" r:id="rId2928" display="https://pld.live/RapDetail.aspx?STONELIST=831010775&amp;ISCONFIRM=0" xr:uid="{29C195FC-AFBF-4F90-9999-3972519B1FF8}"/>
    <hyperlink ref="C2934" r:id="rId2929" display="https://pld.live/RapDetail.aspx?STONELIST=926110870&amp;ISCONFIRM=0" xr:uid="{0E1DF1A8-66BE-456C-B773-E5A3C94C75E4}"/>
    <hyperlink ref="C2935" r:id="rId2930" display="https://pld.live/RapDetail.aspx?STONELIST=925940592&amp;ISCONFIRM=0" xr:uid="{66BFAB1A-15A3-4F1E-90C3-1FCE6A9C0C8E}"/>
    <hyperlink ref="C2936" r:id="rId2931" display="https://pld.live/RapDetail.aspx?STONELIST=924970257&amp;ISCONFIRM=0" xr:uid="{BA8F990E-0014-45A3-8166-3E27254B4CD7}"/>
    <hyperlink ref="C2937" r:id="rId2932" display="https://pld.live/RapDetail.aspx?STONELIST=925900597&amp;ISCONFIRM=0" xr:uid="{5B86D919-0F6C-474A-8ABA-4982B0542E0D}"/>
    <hyperlink ref="C2938" r:id="rId2933" display="https://pld.live/RapDetail.aspx?STONELIST=925150144&amp;ISCONFIRM=0" xr:uid="{F3C17219-8581-4140-B0DE-287FF76A2130}"/>
    <hyperlink ref="C2939" r:id="rId2934" display="https://pld.live/RapDetail.aspx?STONELIST=925420402&amp;ISCONFIRM=0" xr:uid="{BA974A79-7A0A-4E9F-BBAC-BED5F80C4B49}"/>
    <hyperlink ref="C2940" r:id="rId2935" display="https://pld.live/RapDetail.aspx?STONELIST=925900548&amp;ISCONFIRM=0" xr:uid="{A99C3D13-E801-41E4-B9D8-69E6A39ADE13}"/>
    <hyperlink ref="C2941" r:id="rId2936" display="https://pld.live/RapDetail.aspx?STONELIST=925940657&amp;ISCONFIRM=0" xr:uid="{B980BBD9-5E06-4332-BAF4-C771DC82F7E5}"/>
    <hyperlink ref="C2942" r:id="rId2937" display="https://pld.live/RapDetail.aspx?STONELIST=925830758&amp;ISCONFIRM=0" xr:uid="{9BCF2761-DE23-4FF1-B545-C5DA1CC36014}"/>
    <hyperlink ref="C2943" r:id="rId2938" display="https://pld.live/RapDetail.aspx?STONELIST=925830763&amp;ISCONFIRM=0" xr:uid="{A06F15D8-746E-43A8-B93E-0A59373F66C4}"/>
    <hyperlink ref="C2944" r:id="rId2939" display="https://pld.live/RapDetail.aspx?STONELIST=925760667&amp;ISCONFIRM=0" xr:uid="{BF61C1FB-AD85-4C89-BC10-04C926FF43F9}"/>
    <hyperlink ref="C2945" r:id="rId2940" display="https://pld.live/RapDetail.aspx?STONELIST=925940638&amp;ISCONFIRM=0" xr:uid="{ECB80C6C-ACC9-473E-A088-47D71C4BAB99}"/>
    <hyperlink ref="C2946" r:id="rId2941" display="https://pld.live/RapDetail.aspx?STONELIST=925830774&amp;ISCONFIRM=0" xr:uid="{A5DFE84A-0437-441E-99A4-A8F675AC5483}"/>
    <hyperlink ref="C2947" r:id="rId2942" display="https://pld.live/RapDetail.aspx?STONELIST=925940630&amp;ISCONFIRM=0" xr:uid="{4DC9C333-4E42-4FB6-9002-B335D5478581}"/>
    <hyperlink ref="C2948" r:id="rId2943" display="https://pld.live/RapDetail.aspx?STONELIST=926250348&amp;ISCONFIRM=0" xr:uid="{DB56A8E0-C0A1-43A6-B980-DF44CE394C3C}"/>
    <hyperlink ref="C2949" r:id="rId2944" display="https://pld.live/RapDetail.aspx?STONELIST=926210852&amp;ISCONFIRM=0" xr:uid="{4223B363-A4A2-43CD-8E24-35D13B9A8642}"/>
    <hyperlink ref="C2950" r:id="rId2945" display="https://pld.live/RapDetail.aspx?STONELIST=925521924&amp;ISCONFIRM=0" xr:uid="{B7060994-89E0-4C52-BB11-A7C33696F232}"/>
    <hyperlink ref="C2951" r:id="rId2946" display="https://pld.live/RapDetail.aspx?STONELIST=925900605&amp;ISCONFIRM=0" xr:uid="{12C67AEC-24D5-459A-8C1E-2A5B059A4681}"/>
    <hyperlink ref="C2952" r:id="rId2947" display="https://pld.live/RapDetail.aspx?STONELIST=925940627&amp;ISCONFIRM=0" xr:uid="{34C64EEF-9F8D-4967-9AF8-811EC4A8CBFF}"/>
    <hyperlink ref="C2953" r:id="rId2948" display="https://pld.live/RapDetail.aspx?STONELIST=925940622&amp;ISCONFIRM=0" xr:uid="{0E201B7E-48BB-4A76-9AB3-AC3F5450FC34}"/>
    <hyperlink ref="C2954" r:id="rId2949" display="https://pld.live/RapDetail.aspx?STONELIST=926110975&amp;ISCONFIRM=0" xr:uid="{FB63CB49-499E-4328-9ADC-B468461D578E}"/>
    <hyperlink ref="C2955" r:id="rId2950" display="https://pld.live/RapDetail.aspx?STONELIST=925940650&amp;ISCONFIRM=0" xr:uid="{AD3D1725-005E-4395-ABD9-1BE90210D651}"/>
    <hyperlink ref="C2956" r:id="rId2951" display="https://pld.live/RapDetail.aspx?STONELIST=925940637&amp;ISCONFIRM=0" xr:uid="{7AB0D7AE-42FE-454B-9326-0A8413601D2D}"/>
    <hyperlink ref="C2957" r:id="rId2952" display="https://pld.live/RapDetail.aspx?STONELIST=925760262&amp;ISCONFIRM=0" xr:uid="{ACEF4936-51AA-4C0C-A00A-FC2036CA659F}"/>
    <hyperlink ref="C2958" r:id="rId2953" display="https://pld.live/RapDetail.aspx?STONELIST=925830730&amp;ISCONFIRM=0" xr:uid="{3DA4909D-936C-4059-8D74-8C7BAF631D9E}"/>
    <hyperlink ref="C2959" r:id="rId2954" display="https://pld.live/RapDetail.aspx?STONELIST=925940652&amp;ISCONFIRM=0" xr:uid="{13904A7D-A6C8-4569-9C59-3BAD6324C078}"/>
    <hyperlink ref="C2960" r:id="rId2955" display="https://pld.live/RapDetail.aspx?STONELIST=925940660&amp;ISCONFIRM=0" xr:uid="{FE745F35-EC8B-44B2-83AA-B0862355D772}"/>
    <hyperlink ref="C2961" r:id="rId2956" display="https://pld.live/RapDetail.aspx?STONELIST=926210973&amp;ISCONFIRM=0" xr:uid="{D3388F96-7A6D-49BE-9CD5-CF92666B9FF0}"/>
    <hyperlink ref="C2962" r:id="rId2957" display="https://pld.live/RapDetail.aspx?STONELIST=926111191&amp;ISCONFIRM=0" xr:uid="{2C9B7C96-B33E-4DCA-9926-E5A69B32DB71}"/>
    <hyperlink ref="C2963" r:id="rId2958" display="https://pld.live/RapDetail.aspx?STONELIST=926111047&amp;ISCONFIRM=0" xr:uid="{585C45C8-534D-42D9-AC74-641DDD85D1E8}"/>
    <hyperlink ref="C2964" r:id="rId2959" display="https://pld.live/RapDetail.aspx?STONELIST=926110968&amp;ISCONFIRM=0" xr:uid="{2B559667-3DAA-4B35-A63F-6D4F9A3EEA51}"/>
    <hyperlink ref="C2965" r:id="rId2960" display="https://pld.live/RapDetail.aspx?STONELIST=925940616&amp;ISCONFIRM=0" xr:uid="{8726038C-EED0-4F96-ABE8-47F738AB7707}"/>
    <hyperlink ref="C2966" r:id="rId2961" display="https://pld.live/RapDetail.aspx?STONELIST=925900589&amp;ISCONFIRM=0" xr:uid="{5666FD12-C1A8-45FB-BD81-36536A65B5E0}"/>
    <hyperlink ref="C2967" r:id="rId2962" display="https://pld.live/RapDetail.aspx?STONELIST=925791418&amp;ISCONFIRM=0" xr:uid="{5B4361BA-DB43-49F6-A72E-BC8BA2331309}"/>
    <hyperlink ref="C2968" r:id="rId2963" display="https://pld.live/RapDetail.aspx?STONELIST=924610084&amp;ISCONFIRM=0" xr:uid="{701D74CC-74FE-4AF2-9A9B-CD3DFE5600D0}"/>
    <hyperlink ref="C2969" r:id="rId2964" display="https://pld.live/RapDetail.aspx?STONELIST=925760708&amp;ISCONFIRM=0" xr:uid="{96408473-F95D-40F6-B1ED-3F1D953FB7E9}"/>
    <hyperlink ref="C2970" r:id="rId2965" display="https://pld.live/RapDetail.aspx?STONELIST=925802043&amp;ISCONFIRM=0" xr:uid="{E834E3C3-76D7-4CA5-8103-5935FE61E9E1}"/>
    <hyperlink ref="C2971" r:id="rId2966" display="https://pld.live/RapDetail.aspx?STONELIST=925900592&amp;ISCONFIRM=0" xr:uid="{9ABC7ED3-AC84-4A1A-8C4F-06DFB5E31747}"/>
    <hyperlink ref="C2972" r:id="rId2967" display="https://pld.live/RapDetail.aspx?STONELIST=925940633&amp;ISCONFIRM=0" xr:uid="{11561833-B327-4445-9AC9-ADC37C42C4B4}"/>
    <hyperlink ref="C2973" r:id="rId2968" display="https://pld.live/RapDetail.aspx?STONELIST=925791428&amp;ISCONFIRM=0" xr:uid="{41AAF830-28C0-41DA-AA6D-15E4039FE3BF}"/>
    <hyperlink ref="C2974" r:id="rId2969" display="https://pld.live/RapDetail.aspx?STONELIST=925830725&amp;ISCONFIRM=0" xr:uid="{7991A94D-911A-4D4B-89EE-BF497E0A6B3F}"/>
    <hyperlink ref="C2975" r:id="rId2970" display="https://pld.live/RapDetail.aspx?STONELIST=925940668&amp;ISCONFIRM=0" xr:uid="{2E36F59F-2413-482D-B111-57BBA82C64B1}"/>
    <hyperlink ref="C2976" r:id="rId2971" display="https://pld.live/RapDetail.aspx?STONELIST=926310850&amp;ISCONFIRM=0" xr:uid="{4FC2A89C-E74A-4DB8-B70A-319EC6E3E788}"/>
    <hyperlink ref="C2977" r:id="rId2972" display="https://pld.live/RapDetail.aspx?STONELIST=926110973&amp;ISCONFIRM=0" xr:uid="{83090E01-4CAA-4543-AEE5-4B11698029E7}"/>
    <hyperlink ref="C2978" r:id="rId2973" display="https://pld.live/RapDetail.aspx?STONELIST=925791426&amp;ISCONFIRM=0" xr:uid="{62B6C5F7-1947-469A-87C7-D76E11561067}"/>
    <hyperlink ref="C2979" r:id="rId2974" display="https://pld.live/RapDetail.aspx?STONELIST=925760703&amp;ISCONFIRM=0" xr:uid="{F683DAB5-551B-4E70-BB25-536CDA228456}"/>
    <hyperlink ref="C2980" r:id="rId2975" display="https://pld.live/RapDetail.aspx?STONELIST=925760303&amp;ISCONFIRM=0" xr:uid="{E2468AD9-7678-41C5-A3E2-A8B32B5B1772}"/>
    <hyperlink ref="C2981" r:id="rId2976" display="https://pld.live/RapDetail.aspx?STONELIST=926210853&amp;ISCONFIRM=0" xr:uid="{BED7EDF5-8D71-4506-9418-1104B96422C1}"/>
    <hyperlink ref="C2982" r:id="rId2977" display="https://pld.live/RapDetail.aspx?STONELIST=925760705&amp;ISCONFIRM=0" xr:uid="{07B591B3-70DD-4EC6-893C-32900DE2086D}"/>
    <hyperlink ref="C2983" r:id="rId2978" display="https://pld.live/RapDetail.aspx?STONELIST=925080606&amp;ISCONFIRM=0" xr:uid="{A225578C-EED6-413A-AA5D-B8B2282BCE10}"/>
    <hyperlink ref="C2984" r:id="rId2979" display="https://pld.live/RapDetail.aspx?STONELIST=926110935&amp;ISCONFIRM=0" xr:uid="{6856C4ED-4AED-46D5-85ED-6E5765B508E7}"/>
    <hyperlink ref="C2985" r:id="rId2980" display="https://pld.live/RapDetail.aspx?STONELIST=925900584&amp;ISCONFIRM=0" xr:uid="{A4B1E795-8B92-48EB-99F0-0D0B01F83E48}"/>
    <hyperlink ref="C2986" r:id="rId2981" display="https://pld.live/RapDetail.aspx?STONELIST=926210876&amp;ISCONFIRM=0" xr:uid="{5A468EA8-FE68-4374-993C-FC2992905A46}"/>
    <hyperlink ref="C2987" r:id="rId2982" display="https://pld.live/RapDetail.aspx?STONELIST=925940612&amp;ISCONFIRM=0" xr:uid="{72C099E8-AFBE-4525-8A6F-D94AD1E60A96}"/>
    <hyperlink ref="C2988" r:id="rId2983" display="https://pld.live/RapDetail.aspx?STONELIST=925940653&amp;ISCONFIRM=0" xr:uid="{DB8F229D-3CA7-4C80-BAA2-F19C32482F0E}"/>
    <hyperlink ref="C2989" r:id="rId2984" display="https://pld.live/RapDetail.aspx?STONELIST=925940655&amp;ISCONFIRM=0" xr:uid="{92D411C3-FAF4-4166-8EB0-AE039BEA9C7C}"/>
    <hyperlink ref="C2990" r:id="rId2985" display="https://pld.live/RapDetail.aspx?STONELIST=925900554&amp;ISCONFIRM=0" xr:uid="{BD045BC3-3F84-46EF-AA2C-9D94BF7BFF70}"/>
    <hyperlink ref="C2991" r:id="rId2986" display="https://pld.live/RapDetail.aspx?STONELIST=925830766&amp;ISCONFIRM=0" xr:uid="{499655F1-D823-4428-976A-288D54B3B90F}"/>
    <hyperlink ref="C2992" r:id="rId2987" display="https://pld.live/RapDetail.aspx?STONELIST=925760693&amp;ISCONFIRM=0" xr:uid="{4109B9DD-7C79-41B2-B2A0-33A6BB2E7EBB}"/>
    <hyperlink ref="C2993" r:id="rId2988" display="https://pld.live/RapDetail.aspx?STONELIST=821128377&amp;ISCONFIRM=0" xr:uid="{DAC623B2-93AA-481D-9B93-8184EE070190}"/>
    <hyperlink ref="C2994" r:id="rId2989" display="https://pld.live/RapDetail.aspx?STONELIST=821128378&amp;ISCONFIRM=0" xr:uid="{014F2823-0833-4F48-A569-59EEDA9D4579}"/>
    <hyperlink ref="C2995" r:id="rId2990" display="https://pld.live/RapDetail.aspx?STONELIST=821128379&amp;ISCONFIRM=0" xr:uid="{5C382487-D0DC-4B11-B0DE-F96D9B3F2924}"/>
    <hyperlink ref="C2996" r:id="rId2991" display="https://pld.live/RapDetail.aspx?STONELIST=821128403&amp;ISCONFIRM=0" xr:uid="{34E04DAB-8681-4115-BDDE-9E48F911D683}"/>
    <hyperlink ref="C2997" r:id="rId2992" display="https://pld.live/RapDetail.aspx?STONELIST=821128404&amp;ISCONFIRM=0" xr:uid="{06953E58-BE50-45CE-9745-657E97B02AFC}"/>
    <hyperlink ref="C2998" r:id="rId2993" display="https://pld.live/RapDetail.aspx?STONELIST=821128405&amp;ISCONFIRM=0" xr:uid="{95B323D2-F8AD-4750-881B-E5CD0AA5D376}"/>
    <hyperlink ref="C2999" r:id="rId2994" display="https://pld.live/RapDetail.aspx?STONELIST=821128406&amp;ISCONFIRM=0" xr:uid="{25DFC8FA-ED50-4571-B15D-AA16A081B828}"/>
    <hyperlink ref="C3000" r:id="rId2995" display="https://pld.live/RapDetail.aspx?STONELIST=821128401&amp;ISCONFIRM=0" xr:uid="{D98D49F2-67FE-4B06-B404-63F46851F4AF}"/>
    <hyperlink ref="C3001" r:id="rId2996" display="https://pld.live/RapDetail.aspx?STONELIST=821128402&amp;ISCONFIRM=0" xr:uid="{6E445EC2-C38E-4CFA-AFBF-40FAE31ADEED}"/>
    <hyperlink ref="C3002" r:id="rId2997" display="https://pld.live/RapDetail.aspx?STONELIST=925900570&amp;ISCONFIRM=0" xr:uid="{ECB68BC9-7303-4C93-BA16-095B95767082}"/>
    <hyperlink ref="C3003" r:id="rId2998" display="https://pld.live/RapDetail.aspx?STONELIST=925940665&amp;ISCONFIRM=0" xr:uid="{EF5FF713-663F-40FE-9436-A86C7A86F73F}"/>
    <hyperlink ref="C3004" r:id="rId2999" display="https://pld.live/RapDetail.aspx?STONELIST=925900580&amp;ISCONFIRM=0" xr:uid="{5377CC2F-5F3F-4E04-BD2B-C7E62AAD58D0}"/>
    <hyperlink ref="C3005" r:id="rId3000" display="https://pld.live/RapDetail.aspx?STONELIST=925940607&amp;ISCONFIRM=0" xr:uid="{88ECA100-97FD-49E5-AAAA-E9B8F29B940F}"/>
    <hyperlink ref="C3006" r:id="rId3001" display="https://pld.live/RapDetail.aspx?STONELIST=926250465&amp;ISCONFIRM=0" xr:uid="{C283C7A0-DD52-4646-8663-547B02073968}"/>
    <hyperlink ref="C3007" r:id="rId3002" display="https://pld.live/RapDetail.aspx?STONELIST=821128395&amp;ISCONFIRM=0" xr:uid="{726872A0-B7FB-467C-95A7-BE8E26075419}"/>
    <hyperlink ref="C3008" r:id="rId3003" display="https://pld.live/RapDetail.aspx?STONELIST=821128393&amp;ISCONFIRM=0" xr:uid="{B9B6E961-D038-42EE-A4E2-1E75F841D23D}"/>
    <hyperlink ref="C3009" r:id="rId3004" display="https://pld.live/RapDetail.aspx?STONELIST=926250464&amp;ISCONFIRM=0" xr:uid="{226ABE21-3D7E-45BC-BD14-4000D68B8F55}"/>
    <hyperlink ref="C3010" r:id="rId3005" display="https://pld.live/RapDetail.aspx?STONELIST=821128390&amp;ISCONFIRM=0" xr:uid="{2EBAD079-64C7-4ED5-A64D-16BCEDA44852}"/>
    <hyperlink ref="C3011" r:id="rId3006" display="https://pld.live/RapDetail.aspx?STONELIST=926210975&amp;ISCONFIRM=0" xr:uid="{EE42E5EF-CF6A-4AEB-B835-92EE5950B964}"/>
    <hyperlink ref="C3012" r:id="rId3007" display="https://pld.live/RapDetail.aspx?STONELIST=925360408&amp;ISCONFIRM=0" xr:uid="{B2B354B8-6C2D-4CA9-8816-D6D1601D4138}"/>
    <hyperlink ref="C3013" r:id="rId3008" display="https://pld.live/RapDetail.aspx?STONELIST=926110977&amp;ISCONFIRM=0" xr:uid="{A248FCB5-1E04-416A-9667-F363158A3FFD}"/>
    <hyperlink ref="C3014" r:id="rId3009" display="https://pld.live/RapDetail.aspx?STONELIST=925791442&amp;ISCONFIRM=0" xr:uid="{2EDD7910-F079-406C-9AC7-36E0C5DF8DE5}"/>
    <hyperlink ref="C3015" r:id="rId3010" display="https://pld.live/RapDetail.aspx?STONELIST=924880034&amp;ISCONFIRM=0" xr:uid="{799601CD-EF29-4314-A72A-1426AAF37CEA}"/>
    <hyperlink ref="C3016" r:id="rId3011" display="https://pld.live/RapDetail.aspx?STONELIST=925830752&amp;ISCONFIRM=0" xr:uid="{F8EF5420-D9E2-4DD2-A302-54D1A50E0257}"/>
    <hyperlink ref="C3017" r:id="rId3012" display="https://pld.live/RapDetail.aspx?STONELIST=926250024&amp;ISCONFIRM=0" xr:uid="{14ACA829-13BB-4C6B-A887-E073E15156AE}"/>
    <hyperlink ref="C3018" r:id="rId3013" display="https://pld.live/RapDetail.aspx?STONELIST=926211211&amp;ISCONFIRM=0" xr:uid="{C10660A3-E40A-4EBB-9E2E-ED762ACB7BE6}"/>
    <hyperlink ref="C3019" r:id="rId3014" display="https://pld.live/RapDetail.aspx?STONELIST=925900598&amp;ISCONFIRM=0" xr:uid="{2358565B-514E-4520-9BDC-24E40262C707}"/>
    <hyperlink ref="C3020" r:id="rId3015" display="https://pld.live/RapDetail.aspx?STONELIST=925791409&amp;ISCONFIRM=0" xr:uid="{9B88745B-05E8-4451-9A66-5CE6A26BA87F}"/>
    <hyperlink ref="C3021" r:id="rId3016" display="https://pld.live/RapDetail.aspx?STONELIST=926111372&amp;ISCONFIRM=0" xr:uid="{D69AAF4F-D174-4959-AE9A-4951D89A0584}"/>
    <hyperlink ref="C3022" r:id="rId3017" display="https://pld.live/RapDetail.aspx?STONELIST=926310445&amp;ISCONFIRM=0" xr:uid="{94946D45-5760-4222-93DF-BE9BA22DE076}"/>
    <hyperlink ref="C3023" r:id="rId3018" display="https://pld.live/RapDetail.aspx?STONELIST=925830755&amp;ISCONFIRM=0" xr:uid="{C907EE40-3549-4516-BDBC-62FAB1DFEE96}"/>
    <hyperlink ref="C3024" r:id="rId3019" display="https://pld.live/RapDetail.aspx?STONELIST=925791448&amp;ISCONFIRM=0" xr:uid="{99F2283B-A138-4B24-8150-19761ECB4282}"/>
    <hyperlink ref="C3025" r:id="rId3020" display="https://pld.live/RapDetail.aspx?STONELIST=925732192&amp;ISCONFIRM=0" xr:uid="{D50F1515-D97A-4429-B8BB-5D8D8DDCDABB}"/>
    <hyperlink ref="C3026" r:id="rId3021" display="https://pld.live/RapDetail.aspx?STONELIST=821128394&amp;ISCONFIRM=0" xr:uid="{C1E902EF-0516-4EA9-B626-190E589F0EEE}"/>
    <hyperlink ref="C3027" r:id="rId3022" display="https://pld.live/RapDetail.aspx?STONELIST=821128387&amp;ISCONFIRM=0" xr:uid="{04B01041-70DE-4366-BF31-2275015E33D5}"/>
    <hyperlink ref="C3028" r:id="rId3023" display="https://pld.live/RapDetail.aspx?STONELIST=821128375&amp;ISCONFIRM=0" xr:uid="{405DB265-A144-4B43-B63E-74399EB527E5}"/>
    <hyperlink ref="C3029" r:id="rId3024" display="https://pld.live/RapDetail.aspx?STONELIST=821128373&amp;ISCONFIRM=0" xr:uid="{CF6F0EDF-F054-44F2-ABE8-AA245F73CAB4}"/>
    <hyperlink ref="C3030" r:id="rId3025" display="https://pld.live/RapDetail.aspx?STONELIST=821128371&amp;ISCONFIRM=0" xr:uid="{96F8A670-A5E6-4737-A250-D3EE24F45866}"/>
    <hyperlink ref="C3031" r:id="rId3026" display="https://pld.live/RapDetail.aspx?STONELIST=821128369&amp;ISCONFIRM=0" xr:uid="{604A4E1A-C580-4265-934A-1028B00AEB42}"/>
    <hyperlink ref="C3032" r:id="rId3027" display="https://pld.live/RapDetail.aspx?STONELIST=821128367&amp;ISCONFIRM=0" xr:uid="{4BADED27-1BBF-4568-A64D-E2BC8DAB7E94}"/>
    <hyperlink ref="C3033" r:id="rId3028" display="https://pld.live/RapDetail.aspx?STONELIST=926111163&amp;ISCONFIRM=0" xr:uid="{7E59CDFB-4483-40E5-A046-84A05E9B7411}"/>
    <hyperlink ref="C3034" r:id="rId3029" display="https://pld.live/RapDetail.aspx?STONELIST=925830728&amp;ISCONFIRM=0" xr:uid="{8204F40A-C3AA-4A60-9A1D-F1DBFE5AE950}"/>
    <hyperlink ref="C3035" r:id="rId3030" display="https://pld.live/RapDetail.aspx?STONELIST=925760713&amp;ISCONFIRM=0" xr:uid="{384C4832-1308-44EF-8F1D-B0F44318E4AF}"/>
    <hyperlink ref="C3036" r:id="rId3031" display="https://pld.live/RapDetail.aspx?STONELIST=925760645&amp;ISCONFIRM=0" xr:uid="{D865579E-34EE-45E7-8373-A412ED6FB88E}"/>
    <hyperlink ref="C3037" r:id="rId3032" display="https://pld.live/RapDetail.aspx?STONELIST=925900574&amp;ISCONFIRM=0" xr:uid="{97133509-FBE3-4234-8200-4A41D3084DF6}"/>
    <hyperlink ref="C3038" r:id="rId3033" display="https://pld.live/RapDetail.aspx?STONELIST=925760685&amp;ISCONFIRM=0" xr:uid="{3BD7C9AD-165C-40F3-B280-3B10A960F12A}"/>
    <hyperlink ref="C3039" r:id="rId3034" display="https://pld.live/RapDetail.aspx?STONELIST=925951301&amp;ISCONFIRM=0" xr:uid="{D3DA20D2-6997-4C33-BC8C-23DA653BB790}"/>
    <hyperlink ref="C3040" r:id="rId3035" display="https://pld.live/RapDetail.aspx?STONELIST=925760701&amp;ISCONFIRM=0" xr:uid="{B67EC0AC-33E2-49EF-B643-0328DE0C9E9A}"/>
    <hyperlink ref="C3041" r:id="rId3036" display="https://pld.live/RapDetail.aspx?STONELIST=925940620&amp;ISCONFIRM=0" xr:uid="{66026521-824E-487F-98BA-6158C722AD62}"/>
    <hyperlink ref="C3042" r:id="rId3037" display="https://pld.live/RapDetail.aspx?STONELIST=925791412&amp;ISCONFIRM=0" xr:uid="{C930B960-211D-4046-8830-CDC5B8C63788}"/>
    <hyperlink ref="C3043" r:id="rId3038" display="https://pld.live/RapDetail.aspx?STONELIST=821128389&amp;ISCONFIRM=0" xr:uid="{16173A58-B922-4B10-A5E8-9CC5AF95CEE8}"/>
    <hyperlink ref="C3044" r:id="rId3039" display="https://pld.live/RapDetail.aspx?STONELIST=926210835&amp;ISCONFIRM=0" xr:uid="{18F22145-70C7-40F4-A0BC-9FB618CCE560}"/>
    <hyperlink ref="C3045" r:id="rId3040" display="https://pld.live/RapDetail.aspx?STONELIST=926210874&amp;ISCONFIRM=0" xr:uid="{4CAB362B-94F7-4B84-A93F-F33DC2646A4D}"/>
    <hyperlink ref="C3046" r:id="rId3041" display="https://pld.live/RapDetail.aspx?STONELIST=926110933&amp;ISCONFIRM=0" xr:uid="{A88B01EA-E9FD-4BE4-ADF6-3A7FA0DFA9F9}"/>
    <hyperlink ref="C3047" r:id="rId3042" display="https://pld.live/RapDetail.aspx?STONELIST=926111121&amp;ISCONFIRM=0" xr:uid="{FA292583-EC08-4EA7-ADF7-93358F75D380}"/>
    <hyperlink ref="C3048" r:id="rId3043" display="https://pld.live/RapDetail.aspx?STONELIST=926111214&amp;ISCONFIRM=0" xr:uid="{66B63B68-FD00-4FD5-92BE-CE197C7C1495}"/>
    <hyperlink ref="C3049" r:id="rId3044" display="https://pld.live/RapDetail.aspx?STONELIST=925830753&amp;ISCONFIRM=0" xr:uid="{F2F8E941-EE99-403A-84FC-578410B63EDA}"/>
    <hyperlink ref="C3050" r:id="rId3045" display="https://pld.live/RapDetail.aspx?STONELIST=925830757&amp;ISCONFIRM=0" xr:uid="{5B9C4BD9-BFF4-44CD-962D-CAC7AD223C5B}"/>
    <hyperlink ref="C3051" r:id="rId3046" display="https://pld.live/RapDetail.aspx?STONELIST=925760689&amp;ISCONFIRM=0" xr:uid="{418EC65D-5CE1-4058-B6BA-5C03A3BED4B1}"/>
    <hyperlink ref="C3052" r:id="rId3047" display="https://pld.live/RapDetail.aspx?STONELIST=925150168&amp;ISCONFIRM=0" xr:uid="{34964544-8049-408A-B01B-9F5D1124D39B}"/>
    <hyperlink ref="C3053" r:id="rId3048" display="https://pld.live/RapDetail.aspx?STONELIST=926210832&amp;ISCONFIRM=0" xr:uid="{48789FFE-6093-444C-8E0E-483F56A3E4E4}"/>
    <hyperlink ref="C3054" r:id="rId3049" display="https://pld.live/RapDetail.aspx?STONELIST=821128376&amp;ISCONFIRM=0" xr:uid="{CEC5D499-09BF-4737-84A9-2D54A47357E3}"/>
    <hyperlink ref="C3055" r:id="rId3050" display="https://pld.live/RapDetail.aspx?STONELIST=926211095&amp;ISCONFIRM=0" xr:uid="{CEA786AA-26F0-489A-9844-18DD1A743CB1}"/>
    <hyperlink ref="C3056" r:id="rId3051" display="https://pld.live/RapDetail.aspx?STONELIST=926311148&amp;ISCONFIRM=0" xr:uid="{9DC464BA-9084-4B0F-A89C-1CD3EDF95336}"/>
    <hyperlink ref="C3057" r:id="rId3052" display="https://pld.live/RapDetail.aspx?STONELIST=926111148&amp;ISCONFIRM=0" xr:uid="{96165A2C-6C1C-427E-8452-80A6F0835328}"/>
    <hyperlink ref="C3058" r:id="rId3053" display="https://pld.live/RapDetail.aspx?STONELIST=926110844&amp;ISCONFIRM=0" xr:uid="{0FD43F02-73A6-4D84-A872-6BCA2BAE5EE8}"/>
    <hyperlink ref="C3059" r:id="rId3054" display="https://pld.live/RapDetail.aspx?STONELIST=926110676&amp;ISCONFIRM=0" xr:uid="{5C4CD668-8C69-4C0D-A361-76800924F1F0}"/>
    <hyperlink ref="C3060" r:id="rId3055" display="https://pld.live/RapDetail.aspx?STONELIST=925940669&amp;ISCONFIRM=0" xr:uid="{0F33315F-53CB-4338-8BEC-36C90509A8B4}"/>
    <hyperlink ref="C3061" r:id="rId3056" display="https://pld.live/RapDetail.aspx?STONELIST=925940671&amp;ISCONFIRM=0" xr:uid="{20B6708B-D210-4A99-A903-59138827D3FF}"/>
    <hyperlink ref="C3062" r:id="rId3057" display="https://pld.live/RapDetail.aspx?STONELIST=925791407&amp;ISCONFIRM=0" xr:uid="{F73DB1BB-9EE6-4446-A25F-970A6032E840}"/>
    <hyperlink ref="C3063" r:id="rId3058" display="https://pld.live/RapDetail.aspx?STONELIST=925791386&amp;ISCONFIRM=0" xr:uid="{6C6E05C8-B08F-4246-A4AD-EAA996F461FD}"/>
    <hyperlink ref="C3064" r:id="rId3059" display="https://pld.live/RapDetail.aspx?STONELIST=926210867&amp;ISCONFIRM=0" xr:uid="{C2C13198-8589-43A9-96F7-C08BA6E9DF51}"/>
    <hyperlink ref="C3065" r:id="rId3060" display="https://pld.live/RapDetail.aspx?STONELIST=941040196&amp;ISCONFIRM=0" xr:uid="{69FF9369-D77E-4CD4-BB50-99B7BC454142}"/>
    <hyperlink ref="C3066" r:id="rId3061" display="https://pld.live/RapDetail.aspx?STONELIST=925900594&amp;ISCONFIRM=0" xr:uid="{DDDE2568-144B-4C0C-9A78-0A967AAD3EC0}"/>
    <hyperlink ref="C3067" r:id="rId3062" display="https://pld.live/RapDetail.aspx?STONELIST=926111048&amp;ISCONFIRM=0" xr:uid="{0AEAE66E-22FC-4A7F-9DD9-A417957BADAF}"/>
    <hyperlink ref="C3068" r:id="rId3063" display="https://pld.live/RapDetail.aspx?STONELIST=925900411&amp;ISCONFIRM=0" xr:uid="{26C124C6-1E98-47E7-9004-03DAF91433C7}"/>
    <hyperlink ref="C3069" r:id="rId3064" display="https://pld.live/RapDetail.aspx?STONELIST=925900588&amp;ISCONFIRM=0" xr:uid="{4AECC223-5111-47F8-9ED4-7B8D982FF96B}"/>
    <hyperlink ref="C3070" r:id="rId3065" display="https://pld.live/RapDetail.aspx?STONELIST=925862060&amp;ISCONFIRM=0" xr:uid="{D504D6BA-A924-4BF3-9E52-D859B6F5D621}"/>
    <hyperlink ref="C3071" r:id="rId3066" display="https://pld.live/RapDetail.aspx?STONELIST=925830769&amp;ISCONFIRM=0" xr:uid="{FFDE534D-6E47-45BE-A20D-19795E3DC648}"/>
    <hyperlink ref="C3072" r:id="rId3067" display="https://pld.live/RapDetail.aspx?STONELIST=925760702&amp;ISCONFIRM=0" xr:uid="{AB12DCE3-4AB6-41AC-9CE5-8D5333C9E443}"/>
    <hyperlink ref="C3073" r:id="rId3068" display="https://pld.live/RapDetail.aspx?STONELIST=925830747&amp;ISCONFIRM=0" xr:uid="{7EDD2FAE-6A5F-48F5-A303-C4515D8D6B67}"/>
    <hyperlink ref="C3074" r:id="rId3069" display="https://pld.live/RapDetail.aspx?STONELIST=925940648&amp;ISCONFIRM=0" xr:uid="{683BAFB1-6893-4663-BD39-CCE4EC8620AA}"/>
    <hyperlink ref="C3075" r:id="rId3070" display="https://pld.live/RapDetail.aspx?STONELIST=925220259&amp;ISCONFIRM=0" xr:uid="{9FC6805E-E1C4-44D9-96D5-1E98A44FA57A}"/>
    <hyperlink ref="C3076" r:id="rId3071" display="https://pld.live/RapDetail.aspx?STONELIST=926110679&amp;ISCONFIRM=0" xr:uid="{19CFDB66-9C64-4944-ACCB-2A8932663555}"/>
    <hyperlink ref="C3077" r:id="rId3072" display="https://pld.live/RapDetail.aspx?STONELIST=926111266&amp;ISCONFIRM=0" xr:uid="{CBA83FC3-207D-470D-A8B4-29E2ADAE63B5}"/>
    <hyperlink ref="C3078" r:id="rId3073" display="https://pld.live/RapDetail.aspx?STONELIST=926210847&amp;ISCONFIRM=0" xr:uid="{DE8D7EB4-4EC6-480A-A84A-A2B5B3632BB9}"/>
    <hyperlink ref="C3079" r:id="rId3074" display="https://pld.live/RapDetail.aspx?STONELIST=925940634&amp;ISCONFIRM=0" xr:uid="{A1AA3BDF-9D1D-428B-ACAC-C4E87B214062}"/>
    <hyperlink ref="C3080" r:id="rId3075" display="https://pld.live/RapDetail.aspx?STONELIST=926211122&amp;ISCONFIRM=0" xr:uid="{CE0CDE19-4140-4C62-82AF-E0796D90E42E}"/>
    <hyperlink ref="C3081" r:id="rId3076" display="https://pld.live/RapDetail.aspx?STONELIST=926210791&amp;ISCONFIRM=0" xr:uid="{C49090E6-6A9F-492D-94DA-605F2094A3E5}"/>
    <hyperlink ref="C3082" r:id="rId3077" display="https://pld.live/RapDetail.aspx?STONELIST=926250049&amp;ISCONFIRM=0" xr:uid="{E8475885-D18F-41E2-9016-E76BA45D0AFF}"/>
    <hyperlink ref="C3083" r:id="rId3078" display="https://pld.live/RapDetail.aspx?STONELIST=926210846&amp;ISCONFIRM=0" xr:uid="{152B4CD2-60C0-4073-BB2B-3A5B142B3ED0}"/>
    <hyperlink ref="C3084" r:id="rId3079" display="https://pld.live/RapDetail.aspx?STONELIST=926111136&amp;ISCONFIRM=0" xr:uid="{47167A6D-49D1-4553-A831-5A3EC5461B73}"/>
    <hyperlink ref="C3085" r:id="rId3080" display="https://pld.live/RapDetail.aspx?STONELIST=926111135&amp;ISCONFIRM=0" xr:uid="{B3621FF8-6B10-4F11-840B-AB9E230457C3}"/>
    <hyperlink ref="C3086" r:id="rId3081" display="https://pld.live/RapDetail.aspx?STONELIST=926111193&amp;ISCONFIRM=0" xr:uid="{DF570884-5261-4E6B-9CD8-7B2EBF3304FE}"/>
    <hyperlink ref="C3087" r:id="rId3082" display="https://pld.live/RapDetail.aspx?STONELIST=926110298&amp;ISCONFIRM=0" xr:uid="{7F1391D0-9723-4BAB-8CE7-398C1741A9A8}"/>
    <hyperlink ref="C3088" r:id="rId3083" display="https://pld.live/RapDetail.aspx?STONELIST=926110979&amp;ISCONFIRM=0" xr:uid="{5B0B3434-9B07-4A5D-9F6B-ACC970B1459E}"/>
    <hyperlink ref="C3089" r:id="rId3084" display="https://pld.live/RapDetail.aspx?STONELIST=821128381&amp;ISCONFIRM=0" xr:uid="{67513EBA-2888-4A2F-94B6-A746F1D1F6AD}"/>
    <hyperlink ref="C3090" r:id="rId3085" display="https://pld.live/RapDetail.aspx?STONELIST=821128398&amp;ISCONFIRM=0" xr:uid="{1BD6D295-9A9C-46EA-AB24-B2E3A4E5B40B}"/>
    <hyperlink ref="C3091" r:id="rId3086" display="https://pld.live/RapDetail.aspx?STONELIST=821128396&amp;ISCONFIRM=0" xr:uid="{CDCE4F14-144A-4113-BD4F-579CA4AF477E}"/>
    <hyperlink ref="C3092" r:id="rId3087" display="https://pld.live/RapDetail.aspx?STONELIST=821128382&amp;ISCONFIRM=0" xr:uid="{5E22C596-5944-46B7-BC8C-B5B2C6FFC893}"/>
    <hyperlink ref="C3093" r:id="rId3088" display="https://pld.live/RapDetail.aspx?STONELIST=821128368&amp;ISCONFIRM=0" xr:uid="{EC897DAA-6D11-4360-A207-C43AD467B05C}"/>
    <hyperlink ref="C3094" r:id="rId3089" display="https://pld.live/RapDetail.aspx?STONELIST=821128374&amp;ISCONFIRM=0" xr:uid="{1E7E78AF-764E-4087-9695-7C2F44310514}"/>
    <hyperlink ref="C3095" r:id="rId3090" display="https://pld.live/RapDetail.aspx?STONELIST=925260296&amp;ISCONFIRM=0" xr:uid="{9FCCDDF5-310F-447F-A3A1-8724D5A9C418}"/>
    <hyperlink ref="C3096" r:id="rId3091" display="https://pld.live/RapDetail.aspx?STONELIST=924390426&amp;ISCONFIRM=0" xr:uid="{24FBC431-8E11-4D5D-8949-FBB1B3D5B8B5}"/>
    <hyperlink ref="C3097" r:id="rId3092" display="https://pld.live/RapDetail.aspx?STONELIST=925900586&amp;ISCONFIRM=0" xr:uid="{1E61D9AC-46EE-465F-A04F-BB4B76C0834E}"/>
    <hyperlink ref="C3098" r:id="rId3093" display="https://pld.live/RapDetail.aspx?STONELIST=925830727&amp;ISCONFIRM=0" xr:uid="{90DA056C-C778-4466-A668-8F62A3783004}"/>
    <hyperlink ref="C3099" r:id="rId3094" display="https://pld.live/RapDetail.aspx?STONELIST=821128397&amp;ISCONFIRM=0" xr:uid="{0A82F419-4CA5-49CC-9EB0-0E357C9E9DD3}"/>
    <hyperlink ref="C3100" r:id="rId3095" display="https://pld.live/RapDetail.aspx?STONELIST=821128388&amp;ISCONFIRM=0" xr:uid="{8DE194CD-E9FA-4E67-AEBB-8EFB22550073}"/>
    <hyperlink ref="C3101" r:id="rId3096" display="https://pld.live/RapDetail.aspx?STONELIST=821128391&amp;ISCONFIRM=0" xr:uid="{F6666666-7419-4A74-8E6F-772B0958257F}"/>
    <hyperlink ref="C3102" r:id="rId3097" display="https://pld.live/RapDetail.aspx?STONELIST=821128366&amp;ISCONFIRM=0" xr:uid="{E9911174-E1A6-4D78-838E-40A2DEBD8577}"/>
    <hyperlink ref="C3103" r:id="rId3098" display="https://pld.live/RapDetail.aspx?STONELIST=926220585&amp;ISCONFIRM=0" xr:uid="{7A6D1C17-3D37-433C-918D-A5D25B6BCE60}"/>
    <hyperlink ref="C3104" r:id="rId3099" display="https://pld.live/RapDetail.aspx?STONELIST=926210855&amp;ISCONFIRM=0" xr:uid="{C4651E9A-C2CA-4970-BEC0-BA767B0F0027}"/>
    <hyperlink ref="C3105" r:id="rId3100" display="https://pld.live/RapDetail.aspx?STONELIST=821128384&amp;ISCONFIRM=0" xr:uid="{C9FD1EF7-5B41-47B1-8C90-AE39B3DC9AF5}"/>
    <hyperlink ref="C3106" r:id="rId3101" display="https://pld.live/RapDetail.aspx?STONELIST=925791427&amp;ISCONFIRM=0" xr:uid="{3C91692E-9BE6-4118-82CE-8413C0630E69}"/>
    <hyperlink ref="C3107" r:id="rId3102" display="https://pld.live/RapDetail.aspx?STONELIST=821128392&amp;ISCONFIRM=0" xr:uid="{132A1D32-2300-4076-B356-65562E08B964}"/>
    <hyperlink ref="C3108" r:id="rId3103" display="https://pld.live/RapDetail.aspx?STONELIST=925290517&amp;ISCONFIRM=0" xr:uid="{23A98AE1-B308-45B3-8C82-F5C9D66B7DD0}"/>
    <hyperlink ref="C3109" r:id="rId3104" display="https://pld.live/RapDetail.aspx?STONELIST=821123104&amp;ISCONFIRM=0" xr:uid="{D695B624-A3FD-4014-8152-2623802A7379}"/>
    <hyperlink ref="C3110" r:id="rId3105" display="https://pld.live/RapDetail.aspx?STONELIST=925030278&amp;ISCONFIRM=0" xr:uid="{4973089A-1BDA-452B-9338-6AA3686FE48A}"/>
    <hyperlink ref="C3111" r:id="rId3106" display="https://pld.live/RapDetail.aspx?STONELIST=925150171&amp;ISCONFIRM=0" xr:uid="{1BCE29E9-8BED-40A6-BEA5-8C99610811E5}"/>
    <hyperlink ref="C3112" r:id="rId3107" display="https://pld.live/RapDetail.aspx?STONELIST=925030270&amp;ISCONFIRM=0" xr:uid="{D527D601-22DA-4D55-AD4A-D4AF0D32FE2C}"/>
    <hyperlink ref="C3113" r:id="rId3108" display="https://pld.live/RapDetail.aspx?STONELIST=923990376&amp;ISCONFIRM=0" xr:uid="{AA3E758C-1203-420C-9C84-D8899FE09893}"/>
    <hyperlink ref="C3114" r:id="rId3109" display="https://pld.live/RapDetail.aspx?STONELIST=926210545&amp;ISCONFIRM=0" xr:uid="{9E8401E9-5B37-4690-9A41-2670EF328B27}"/>
    <hyperlink ref="C3115" r:id="rId3110" display="https://pld.live/RapDetail.aspx?STONELIST=926210894&amp;ISCONFIRM=0" xr:uid="{352D4303-82BD-473E-9674-4D8C7268FE31}"/>
    <hyperlink ref="C3116" r:id="rId3111" display="https://pld.live/RapDetail.aspx?STONELIST=925080501&amp;ISCONFIRM=0" xr:uid="{4261E919-CCE4-47BA-8D91-6C2F9C352D71}"/>
    <hyperlink ref="C3117" r:id="rId3112" display="https://pld.live/RapDetail.aspx?STONELIST=925791415&amp;ISCONFIRM=0" xr:uid="{8EABC756-A587-4485-9717-619CBBEF7ED3}"/>
    <hyperlink ref="C3118" r:id="rId3113" display="https://pld.live/RapDetail.aspx?STONELIST=923990430&amp;ISCONFIRM=0" xr:uid="{74FB316E-1F6A-440E-8AE8-89F5105F0F73}"/>
    <hyperlink ref="C3119" r:id="rId3114" display="https://pld.live/RapDetail.aspx?STONELIST=926210952&amp;ISCONFIRM=0" xr:uid="{366645B8-057E-48C0-B89E-60C83F0CBA6E}"/>
    <hyperlink ref="C3120" r:id="rId3115" display="https://pld.live/RapDetail.aspx?STONELIST=926210614&amp;ISCONFIRM=0" xr:uid="{B96486FF-FC6B-4CD9-A758-95C645B948C9}"/>
    <hyperlink ref="C3121" r:id="rId3116" display="https://pld.live/RapDetail.aspx?STONELIST=925791447&amp;ISCONFIRM=0" xr:uid="{6F5C930E-3BA7-4E96-8F8C-65C9AFB9171D}"/>
    <hyperlink ref="C3122" r:id="rId3117" display="https://pld.live/RapDetail.aspx?STONELIST=925220257&amp;ISCONFIRM=0" xr:uid="{16BD84FE-A86B-43DB-A9C6-00323A9AF832}"/>
    <hyperlink ref="C3123" r:id="rId3118" display="https://pld.live/RapDetail.aspx?STONELIST=924900093&amp;ISCONFIRM=0" xr:uid="{A0B941C0-8E21-4119-9707-C77C3B7919A1}"/>
    <hyperlink ref="C3124" r:id="rId3119" display="https://pld.live/RapDetail.aspx?STONELIST=926210611&amp;ISCONFIRM=0" xr:uid="{9545939D-CA35-4D2A-9244-D833C3EB86C3}"/>
    <hyperlink ref="C3125" r:id="rId3120" display="https://pld.live/RapDetail.aspx?STONELIST=923920434&amp;ISCONFIRM=0" xr:uid="{FB986B43-947A-45B6-99F6-D84C70E3F2CC}"/>
    <hyperlink ref="C3126" r:id="rId3121" display="https://pld.live/RapDetail.aspx?STONELIST=925220258&amp;ISCONFIRM=0" xr:uid="{865BDA9B-49EC-4214-B8F6-4ECCF891D7D9}"/>
    <hyperlink ref="C3127" r:id="rId3122" display="https://pld.live/RapDetail.aspx?STONELIST=924180378&amp;ISCONFIRM=0" xr:uid="{90EB36B4-57C4-46D5-8E7F-43677BA818B2}"/>
    <hyperlink ref="C3128" r:id="rId3123" display="https://pld.live/RapDetail.aspx?STONELIST=924960362&amp;ISCONFIRM=0" xr:uid="{ED00A270-373B-4F35-A560-3CC7F73B704A}"/>
    <hyperlink ref="C3129" r:id="rId3124" display="https://pld.live/RapDetail.aspx?STONELIST=926210833&amp;ISCONFIRM=0" xr:uid="{91755D47-1FCB-4DC0-9596-E7909B3D095B}"/>
    <hyperlink ref="C3130" r:id="rId3125" display="https://pld.live/RapDetail.aspx?STONELIST=925030397&amp;ISCONFIRM=0" xr:uid="{59874006-DE1D-4E45-8AEB-863366A8E6CD}"/>
    <hyperlink ref="C3131" r:id="rId3126" display="https://pld.live/RapDetail.aspx?STONELIST=926210828&amp;ISCONFIRM=0" xr:uid="{EFB6BFEE-AFAF-4CA0-8482-F75365AA7399}"/>
    <hyperlink ref="C3132" r:id="rId3127" display="https://pld.live/RapDetail.aspx?STONELIST=925260306&amp;ISCONFIRM=0" xr:uid="{EA047037-2762-4171-85E9-5F85C952999E}"/>
    <hyperlink ref="C3133" r:id="rId3128" display="https://pld.live/RapDetail.aspx?STONELIST=923920338&amp;ISCONFIRM=0" xr:uid="{5140E344-4440-48C5-9D78-12B041B2248D}"/>
    <hyperlink ref="C3134" r:id="rId3129" display="https://pld.live/RapDetail.aspx?STONELIST=926280601&amp;ISCONFIRM=0" xr:uid="{5C88E581-D6ED-45C2-8CEA-6AC9B1EBC642}"/>
    <hyperlink ref="C3135" r:id="rId3130" display="https://pld.live/RapDetail.aspx?STONELIST=925870597&amp;ISCONFIRM=0" xr:uid="{921000D6-B3CF-42E6-8F52-FCD466560AB0}"/>
    <hyperlink ref="C3136" r:id="rId3131" display="https://pld.live/RapDetail.aspx?STONELIST=926210857&amp;ISCONFIRM=0" xr:uid="{5F618278-CC41-4B9A-BFC9-C023EF0C10D6}"/>
    <hyperlink ref="C3137" r:id="rId3132" display="https://pld.live/RapDetail.aspx?STONELIST=924520151&amp;ISCONFIRM=0" xr:uid="{162F0E90-CF58-46DC-BB7A-5BCA9BFB498F}"/>
    <hyperlink ref="C3138" r:id="rId3133" display="https://pld.live/RapDetail.aspx?STONELIST=925030158&amp;ISCONFIRM=0" xr:uid="{2AE64C22-0B1F-48D7-A369-9A8DE4EB23FB}"/>
    <hyperlink ref="C3139" r:id="rId3134" display="https://pld.live/RapDetail.aspx?STONELIST=922730400&amp;ISCONFIRM=0" xr:uid="{14FECEF3-A341-42D4-BEFE-4F577EA15E80}"/>
    <hyperlink ref="C3140" r:id="rId3135" display="https://pld.live/RapDetail.aspx?STONELIST=925030390&amp;ISCONFIRM=0" xr:uid="{0DB31E3A-27F3-4974-8ECD-0663EB1F78F7}"/>
    <hyperlink ref="C3141" r:id="rId3136" display="https://pld.live/RapDetail.aspx?STONELIST=926210613&amp;ISCONFIRM=0" xr:uid="{F612EA02-9FFC-4899-9E5A-8967C9945E2B}"/>
    <hyperlink ref="C3142" r:id="rId3137" display="https://pld.live/RapDetail.aspx?STONELIST=926210608&amp;ISCONFIRM=0" xr:uid="{B2772E31-1FE2-40A0-9CA3-511F13CC31D3}"/>
    <hyperlink ref="C3143" r:id="rId3138" display="https://pld.live/RapDetail.aspx?STONELIST=926111028&amp;ISCONFIRM=0" xr:uid="{FE3DB08E-A7E3-4080-8C25-35E9B425CCF7}"/>
    <hyperlink ref="C3144" r:id="rId3139" display="https://pld.live/RapDetail.aspx?STONELIST=925791450&amp;ISCONFIRM=0" xr:uid="{67347509-CC12-4B3D-99D1-BD242C8D6497}"/>
    <hyperlink ref="C3145" r:id="rId3140" display="https://pld.live/RapDetail.aspx?STONELIST=925791394&amp;ISCONFIRM=0" xr:uid="{8C785167-0BDD-49DF-8954-697769260E40}"/>
    <hyperlink ref="C3146" r:id="rId3141" display="https://pld.live/RapDetail.aspx?STONELIST=831010230&amp;ISCONFIRM=0" xr:uid="{594F5E33-ABA2-46EA-A615-08FA8D2225E5}"/>
    <hyperlink ref="C3147" r:id="rId3142" display="https://pld.live/RapDetail.aspx?STONELIST=925040458&amp;ISCONFIRM=0" xr:uid="{54610553-55DD-45A7-B06E-1A9FF12B3459}"/>
    <hyperlink ref="C3148" r:id="rId3143" display="https://pld.live/RapDetail.aspx?STONELIST=926210840&amp;ISCONFIRM=0" xr:uid="{6E0E3DB2-56B0-4666-A936-23B8AC28BCAD}"/>
    <hyperlink ref="C3149" r:id="rId3144" display="https://pld.live/RapDetail.aspx?STONELIST=926210988&amp;ISCONFIRM=0" xr:uid="{D52BF599-22A9-446D-BCDF-EA4C3F3708C8}"/>
    <hyperlink ref="C3150" r:id="rId3145" display="https://pld.live/RapDetail.aspx?STONELIST=925210052&amp;ISCONFIRM=0" xr:uid="{8BEAA01A-077E-4BBF-96F9-3FAF0411C862}"/>
    <hyperlink ref="C3151" r:id="rId3146" display="https://pld.live/RapDetail.aspx?STONELIST=925040459&amp;ISCONFIRM=0" xr:uid="{468A7117-7E75-4E39-B199-D422ABEF329F}"/>
    <hyperlink ref="C3152" r:id="rId3147" display="https://pld.live/RapDetail.aspx?STONELIST=922340180&amp;ISCONFIRM=0" xr:uid="{57F4DB6A-F4E1-4D7F-8C56-C88F137E909A}"/>
    <hyperlink ref="C3153" r:id="rId3148" display="https://pld.live/RapDetail.aspx?STONELIST=925040452&amp;ISCONFIRM=0" xr:uid="{A4847D98-22B7-49F6-B5F2-AA1A0F17191A}"/>
    <hyperlink ref="C3154" r:id="rId3149" display="https://pld.live/RapDetail.aspx?STONELIST=926220651&amp;ISCONFIRM=0" xr:uid="{B63A1870-E888-4B74-81CE-A7D71EE7A35C}"/>
    <hyperlink ref="C3155" r:id="rId3150" display="https://pld.live/RapDetail.aspx?STONELIST=925260301&amp;ISCONFIRM=0" xr:uid="{A6CE8EBF-F7D3-481D-8905-CABD8660CC8B}"/>
    <hyperlink ref="C3156" r:id="rId3151" display="https://pld.live/RapDetail.aspx?STONELIST=926210891&amp;ISCONFIRM=0" xr:uid="{F03A4F0B-9D18-45C0-93B5-41C5EF2BE371}"/>
    <hyperlink ref="C3157" r:id="rId3152" display="https://pld.live/RapDetail.aspx?STONELIST=924580364&amp;ISCONFIRM=0" xr:uid="{762648E9-CC1B-40AB-A5FA-104F66D3AD15}"/>
    <hyperlink ref="C3158" r:id="rId3153" display="https://pld.live/RapDetail.aspx?STONELIST=925030318&amp;ISCONFIRM=0" xr:uid="{37CAD7EC-DBA6-43F4-8CD0-959D950527B9}"/>
    <hyperlink ref="C3159" r:id="rId3154" display="https://pld.live/RapDetail.aspx?STONELIST=925030316&amp;ISCONFIRM=0" xr:uid="{D5967017-C438-427C-904A-39B1AE0B074A}"/>
    <hyperlink ref="C3160" r:id="rId3155" display="https://pld.live/RapDetail.aspx?STONELIST=926210635&amp;ISCONFIRM=0" xr:uid="{C4F705AD-1CA5-4F69-8A15-0DF3C521D9B0}"/>
    <hyperlink ref="C3161" r:id="rId3156" display="https://pld.live/RapDetail.aspx?STONELIST=926210562&amp;ISCONFIRM=0" xr:uid="{521C65B7-F4B0-43C6-B051-33187295B4EB}"/>
    <hyperlink ref="C3162" r:id="rId3157" display="https://pld.live/RapDetail.aspx?STONELIST=926210536&amp;ISCONFIRM=0" xr:uid="{2F02D814-31E1-48C8-BE39-CCB808620E64}"/>
    <hyperlink ref="C3163" r:id="rId3158" display="https://pld.live/RapDetail.aspx?STONELIST=925040441&amp;ISCONFIRM=0" xr:uid="{1FFB719B-5496-4AA2-A455-A2954CAC38D1}"/>
    <hyperlink ref="C3164" r:id="rId3159" display="https://pld.live/RapDetail.aspx?STONELIST=925030452&amp;ISCONFIRM=0" xr:uid="{3C476D5B-D7F4-427C-B510-8000E4FBF59B}"/>
    <hyperlink ref="C3165" r:id="rId3160" display="https://pld.live/RapDetail.aspx?STONELIST=925830770&amp;ISCONFIRM=0" xr:uid="{41E58BAD-22B3-4D18-8976-831E6D54F153}"/>
    <hyperlink ref="C3166" r:id="rId3161" display="https://pld.live/RapDetail.aspx?STONELIST=925791421&amp;ISCONFIRM=0" xr:uid="{2B8F18E3-63A6-4FD5-9F89-01B4DC42D52D}"/>
    <hyperlink ref="C3167" r:id="rId3162" display="https://pld.live/RapDetail.aspx?STONELIST=926210634&amp;ISCONFIRM=0" xr:uid="{29967730-C48E-4906-9DDC-85E72AE013F3}"/>
    <hyperlink ref="C3168" r:id="rId3163" display="https://pld.live/RapDetail.aspx?STONELIST=926210541&amp;ISCONFIRM=0" xr:uid="{320A4B0A-E62E-44A0-83AE-7F43CDBC7F3C}"/>
    <hyperlink ref="C3169" r:id="rId3164" display="https://pld.live/RapDetail.aspx?STONELIST=925210056&amp;ISCONFIRM=0" xr:uid="{B55C3A4D-38D4-4D0C-AE82-3675E082D8A8}"/>
    <hyperlink ref="C3170" r:id="rId3165" display="https://pld.live/RapDetail.aspx?STONELIST=925040428&amp;ISCONFIRM=0" xr:uid="{1C4AAF8E-EFFC-4DC5-BFCF-0634C4140754}"/>
    <hyperlink ref="C3171" r:id="rId3166" display="https://pld.live/RapDetail.aspx?STONELIST=922510163&amp;ISCONFIRM=0" xr:uid="{F890018A-02C0-41AF-BAEA-DEE866AB680B}"/>
    <hyperlink ref="C3172" r:id="rId3167" display="https://pld.live/RapDetail.aspx?STONELIST=925030303&amp;ISCONFIRM=0" xr:uid="{72105A5A-43CE-4EAC-973F-EE65BA22479A}"/>
    <hyperlink ref="C3173" r:id="rId3168" display="https://pld.live/RapDetail.aspx?STONELIST=925030446&amp;ISCONFIRM=0" xr:uid="{04F86F4C-96C7-4D57-B718-6FF925F22F64}"/>
    <hyperlink ref="C3174" r:id="rId3169" display="https://pld.live/RapDetail.aspx?STONELIST=925030401&amp;ISCONFIRM=0" xr:uid="{7E173915-C3C4-4E95-8F39-5AD716F3E460}"/>
    <hyperlink ref="C3175" r:id="rId3170" display="https://pld.live/RapDetail.aspx?STONELIST=924880266&amp;ISCONFIRM=0" xr:uid="{DA8EE579-AEEA-46B1-8024-92C67D98DC6A}"/>
    <hyperlink ref="C3176" r:id="rId3171" display="https://pld.live/RapDetail.aspx?STONELIST=923950314&amp;ISCONFIRM=0" xr:uid="{2950B6E5-6BDD-4D2C-8172-BA146AE4BC87}"/>
    <hyperlink ref="C3177" r:id="rId3172" display="https://pld.live/RapDetail.aspx?STONELIST=925791390&amp;ISCONFIRM=0" xr:uid="{0A9BBCE7-F97A-4BBB-99EC-555846980FDB}"/>
    <hyperlink ref="C3178" r:id="rId3173" display="https://pld.live/RapDetail.aspx?STONELIST=831010219&amp;ISCONFIRM=0" xr:uid="{01F4DB19-1872-460C-B849-B3EF47CCFCE9}"/>
    <hyperlink ref="C3179" r:id="rId3174" display="https://pld.live/RapDetail.aspx?STONELIST=925290539&amp;ISCONFIRM=0" xr:uid="{931B2B58-BD65-42D2-80C9-43C7788B07B1}"/>
    <hyperlink ref="C3180" r:id="rId3175" display="https://pld.live/RapDetail.aspx?STONELIST=925030207&amp;ISCONFIRM=0" xr:uid="{6BF2E145-EAED-453F-9F2F-024A5EA12D59}"/>
    <hyperlink ref="C3181" r:id="rId3176" display="https://pld.live/RapDetail.aspx?STONELIST=925030208&amp;ISCONFIRM=0" xr:uid="{D7FE6E5C-2AE1-4773-86D3-49A673B2EC2C}"/>
    <hyperlink ref="C3182" r:id="rId3177" display="https://pld.live/RapDetail.aspx?STONELIST=923920373&amp;ISCONFIRM=0" xr:uid="{6345E8C3-CD22-4A4B-8201-F99FE812A61B}"/>
    <hyperlink ref="C3183" r:id="rId3178" display="https://pld.live/RapDetail.aspx?STONELIST=925260298&amp;ISCONFIRM=0" xr:uid="{D4010BAB-AB0E-422B-AB1B-392D8A7E0127}"/>
    <hyperlink ref="C3184" r:id="rId3179" display="https://pld.live/RapDetail.aspx?STONELIST=831010681&amp;ISCONFIRM=0" xr:uid="{38072114-3A85-4424-B345-B07278860BF3}"/>
    <hyperlink ref="C3185" r:id="rId3180" display="https://pld.live/RapDetail.aspx?STONELIST=925030438&amp;ISCONFIRM=0" xr:uid="{83D2F1B4-ADCA-40CD-8ACD-C11B8F14E446}"/>
    <hyperlink ref="C3186" r:id="rId3181" display="https://pld.live/RapDetail.aspx?STONELIST=924960012&amp;ISCONFIRM=0" xr:uid="{BC3DC9E7-837F-44E5-A7C3-C6A0851ED590}"/>
    <hyperlink ref="C3187" r:id="rId3182" display="https://pld.live/RapDetail.aspx?STONELIST=925030323&amp;ISCONFIRM=0" xr:uid="{0CF60B15-7C86-40D6-8CF4-A5835454ED8C}"/>
    <hyperlink ref="C3188" r:id="rId3183" display="https://pld.live/RapDetail.aspx?STONELIST=926210968&amp;ISCONFIRM=0" xr:uid="{2640F50F-071E-42B5-BFC4-A2BC317C22A1}"/>
    <hyperlink ref="C3189" r:id="rId3184" display="https://pld.live/RapDetail.aspx?STONELIST=925030312&amp;ISCONFIRM=0" xr:uid="{D1B94667-16B4-4F7A-9629-C42CB6DD4192}"/>
    <hyperlink ref="C3190" r:id="rId3185" display="https://pld.live/RapDetail.aspx?STONELIST=924900094&amp;ISCONFIRM=0" xr:uid="{46085D45-D41A-46F6-B7E7-B5A73161BADA}"/>
    <hyperlink ref="C3191" r:id="rId3186" display="https://pld.live/RapDetail.aspx?STONELIST=926210786&amp;ISCONFIRM=0" xr:uid="{4CE4542D-2F03-400E-B157-7DEFDFD79E75}"/>
    <hyperlink ref="C3192" r:id="rId3187" display="https://pld.live/RapDetail.aspx?STONELIST=926210964&amp;ISCONFIRM=0" xr:uid="{B8077636-3343-48E8-B5FB-5D37AB61A815}"/>
    <hyperlink ref="C3193" r:id="rId3188" display="https://pld.live/RapDetail.aspx?STONELIST=925030299&amp;ISCONFIRM=0" xr:uid="{1319FCC5-9D02-4ABB-B3C3-F513D37AD8D5}"/>
    <hyperlink ref="C3194" r:id="rId3189" display="https://pld.live/RapDetail.aspx?STONELIST=925040410&amp;ISCONFIRM=0" xr:uid="{9F26361D-9AE3-4DF7-8F87-5586ADB0861C}"/>
    <hyperlink ref="C3195" r:id="rId3190" display="https://pld.live/RapDetail.aspx?STONELIST=925040429&amp;ISCONFIRM=0" xr:uid="{D839223A-C10C-4459-B68B-2EE339D75B82}"/>
    <hyperlink ref="C3196" r:id="rId3191" display="https://pld.live/RapDetail.aspx?STONELIST=925040392&amp;ISCONFIRM=0" xr:uid="{8D13FD25-E5BF-4A33-B049-9C467E88AD3E}"/>
    <hyperlink ref="C3197" r:id="rId3192" display="https://pld.live/RapDetail.aspx?STONELIST=925030300&amp;ISCONFIRM=0" xr:uid="{5534D2E5-8800-4F7A-A8BD-E0C6F7D1EFB5}"/>
    <hyperlink ref="C3198" r:id="rId3193" display="https://pld.live/RapDetail.aspx?STONELIST=925030426&amp;ISCONFIRM=0" xr:uid="{BF02573F-3795-4B05-A5E6-B76BEDE6F377}"/>
    <hyperlink ref="C3199" r:id="rId3194" display="https://pld.live/RapDetail.aspx?STONELIST=925040451&amp;ISCONFIRM=0" xr:uid="{063EBFD5-6C47-45E0-8C0F-36285B18F1C0}"/>
    <hyperlink ref="C3200" r:id="rId3195" display="https://pld.live/RapDetail.aspx?STONELIST=925091128&amp;ISCONFIRM=0" xr:uid="{A79B756F-FD0B-4EB3-8CDB-4CCFCFE7AB50}"/>
    <hyperlink ref="C3201" r:id="rId3196" display="https://pld.live/RapDetail.aspx?STONELIST=924520115&amp;ISCONFIRM=0" xr:uid="{482C88D8-ABE0-4A7E-906F-D3D2866A4C18}"/>
    <hyperlink ref="C3202" r:id="rId3197" display="https://pld.live/RapDetail.aspx?STONELIST=925040472&amp;ISCONFIRM=0" xr:uid="{F3406144-0268-4EE6-8E51-D28889B5265F}"/>
    <hyperlink ref="C3203" r:id="rId3198" display="https://pld.live/RapDetail.aspx?STONELIST=925040399&amp;ISCONFIRM=0" xr:uid="{EF21741A-E447-42B2-9EAC-D9AF8053732F}"/>
    <hyperlink ref="C3204" r:id="rId3199" display="https://pld.live/RapDetail.aspx?STONELIST=926210859&amp;ISCONFIRM=0" xr:uid="{F7DA9AEE-2A46-4F79-BF52-629894949409}"/>
    <hyperlink ref="C3205" r:id="rId3200" display="https://pld.live/RapDetail.aspx?STONELIST=924960379&amp;ISCONFIRM=0" xr:uid="{46CE6E20-EB07-4F97-8E1A-9052D7ECBC2B}"/>
    <hyperlink ref="C3206" r:id="rId3201" display="https://pld.live/RapDetail.aspx?STONELIST=925870600&amp;ISCONFIRM=0" xr:uid="{EB22C1F6-807C-459C-A96A-128620A21135}"/>
    <hyperlink ref="C3207" r:id="rId3202" display="https://pld.live/RapDetail.aspx?STONELIST=925040434&amp;ISCONFIRM=0" xr:uid="{F5536545-6C68-41A5-9651-3BE69151FFB2}"/>
    <hyperlink ref="C3208" r:id="rId3203" display="https://pld.live/RapDetail.aspx?STONELIST=925780914&amp;ISCONFIRM=0" xr:uid="{951ADE39-2A75-413A-B6D1-6CC142785A2D}"/>
    <hyperlink ref="C3209" r:id="rId3204" display="https://pld.live/RapDetail.aspx?STONELIST=926220691&amp;ISCONFIRM=0" xr:uid="{D2818C8B-A319-4814-9D4B-89C08B89FAE3}"/>
    <hyperlink ref="C3210" r:id="rId3205" display="https://pld.live/RapDetail.aspx?STONELIST=926220755&amp;ISCONFIRM=0" xr:uid="{F648364F-063D-4244-8645-866D2B645B26}"/>
    <hyperlink ref="C3211" r:id="rId3206" display="https://pld.live/RapDetail.aspx?STONELIST=925040419&amp;ISCONFIRM=0" xr:uid="{0F9AA307-2A75-48C9-9D68-205A2CAB7CB1}"/>
    <hyperlink ref="C3212" r:id="rId3207" display="https://pld.live/RapDetail.aspx?STONELIST=926220564&amp;ISCONFIRM=0" xr:uid="{363F7AFE-5A45-435F-B7C1-8778BF5A8397}"/>
    <hyperlink ref="C3213" r:id="rId3208" display="https://pld.live/RapDetail.aspx?STONELIST=926220728&amp;ISCONFIRM=0" xr:uid="{0E6B0DF7-9584-46EA-BC5F-B20EB00B1F85}"/>
    <hyperlink ref="C3214" r:id="rId3209" display="https://pld.live/RapDetail.aspx?STONELIST=923870353&amp;ISCONFIRM=0" xr:uid="{8B349522-1248-4377-96E9-19809E6178BD}"/>
    <hyperlink ref="C3215" r:id="rId3210" display="https://pld.live/RapDetail.aspx?STONELIST=925030432&amp;ISCONFIRM=0" xr:uid="{421D803B-EEE1-4664-A67C-982DCBFB640F}"/>
    <hyperlink ref="C3216" r:id="rId3211" display="https://pld.live/RapDetail.aspx?STONELIST=925040463&amp;ISCONFIRM=0" xr:uid="{4DCC5A4F-437F-47A9-A2F4-2BDE4C58EB09}"/>
    <hyperlink ref="C3217" r:id="rId3212" display="https://pld.live/RapDetail.aspx?STONELIST=925040456&amp;ISCONFIRM=0" xr:uid="{73E317F2-A929-4C39-B95C-95ECCEF5E38C}"/>
    <hyperlink ref="C3218" r:id="rId3213" display="https://pld.live/RapDetail.aspx?STONELIST=925040438&amp;ISCONFIRM=0" xr:uid="{83934ECA-A5C4-4A0D-B091-4AC9EE43668B}"/>
    <hyperlink ref="C3219" r:id="rId3214" display="https://pld.live/RapDetail.aspx?STONELIST=925030447&amp;ISCONFIRM=0" xr:uid="{82EF835B-105B-4E3C-8552-C252471AD7F4}"/>
    <hyperlink ref="C3220" r:id="rId3215" display="https://pld.live/RapDetail.aspx?STONELIST=926220573&amp;ISCONFIRM=0" xr:uid="{C939E932-A7F9-4A61-BA2E-01201C8FFB89}"/>
    <hyperlink ref="C3221" r:id="rId3216" display="https://pld.live/RapDetail.aspx?STONELIST=925040430&amp;ISCONFIRM=0" xr:uid="{7AE7D21C-50D0-45DF-A542-24456F89C808}"/>
    <hyperlink ref="C3222" r:id="rId3217" display="https://pld.live/RapDetail.aspx?STONELIST=925040470&amp;ISCONFIRM=0" xr:uid="{ABDF980D-162C-4BCD-A4CC-1C2E7C7ABB0B}"/>
    <hyperlink ref="C3223" r:id="rId3218" display="https://pld.live/RapDetail.aspx?STONELIST=925260303&amp;ISCONFIRM=0" xr:uid="{45DE4EAA-E6D4-44F2-A573-75D92EA80A45}"/>
    <hyperlink ref="C3224" r:id="rId3219" display="https://pld.live/RapDetail.aspx?STONELIST=831010540&amp;ISCONFIRM=0" xr:uid="{673A742F-583B-475C-809E-0CDF111E71B1}"/>
    <hyperlink ref="C3225" r:id="rId3220" display="https://pld.live/RapDetail.aspx?STONELIST=925040443&amp;ISCONFIRM=0" xr:uid="{EB86E422-BC99-41CA-8D2C-ADD25C4010A3}"/>
    <hyperlink ref="C3226" r:id="rId3221" display="https://pld.live/RapDetail.aspx?STONELIST=925040407&amp;ISCONFIRM=0" xr:uid="{AAA39310-A238-4B95-BAF6-8BCEF6D11913}"/>
    <hyperlink ref="C3227" r:id="rId3222" display="https://pld.live/RapDetail.aspx?STONELIST=925030449&amp;ISCONFIRM=0" xr:uid="{9F5902DE-E565-4055-819E-22C37B52E381}"/>
    <hyperlink ref="C3228" r:id="rId3223" display="https://pld.live/RapDetail.aspx?STONELIST=924960328&amp;ISCONFIRM=0" xr:uid="{EEED11D2-5BFE-4324-850E-BF9BC5BD0BE2}"/>
    <hyperlink ref="C3229" r:id="rId3224" display="https://pld.live/RapDetail.aspx?STONELIST=926220831&amp;ISCONFIRM=0" xr:uid="{12116291-9B3E-4243-8550-6FE2E2F8AD9C}"/>
    <hyperlink ref="C3230" r:id="rId3225" display="https://pld.live/RapDetail.aspx?STONELIST=925091138&amp;ISCONFIRM=0" xr:uid="{7388C39D-F218-4A87-B8C2-8CAC19C561B2}"/>
    <hyperlink ref="C3231" r:id="rId3226" display="https://pld.live/RapDetail.aspx?STONELIST=925091114&amp;ISCONFIRM=0" xr:uid="{D5B93B80-786B-4E08-A2D3-737B972B2A4E}"/>
    <hyperlink ref="C3232" r:id="rId3227" display="https://pld.live/RapDetail.aspx?STONELIST=925091146&amp;ISCONFIRM=0" xr:uid="{6FFF011A-E81B-4FE2-987B-5AC2271B0279}"/>
    <hyperlink ref="C3233" r:id="rId3228" display="https://pld.live/RapDetail.aspx?STONELIST=925040478&amp;ISCONFIRM=0" xr:uid="{68D440B1-EE6A-4ADF-AE02-A37B254E1F04}"/>
    <hyperlink ref="C3234" r:id="rId3229" display="https://pld.live/RapDetail.aspx?STONELIST=925290569&amp;ISCONFIRM=0" xr:uid="{9159E6D7-E534-40C7-BD33-DD7D2375335D}"/>
    <hyperlink ref="C3235" r:id="rId3230" display="https://pld.live/RapDetail.aspx?STONELIST=925040412&amp;ISCONFIRM=0" xr:uid="{5C593238-51EA-4EDC-9510-3FF020C1A64D}"/>
    <hyperlink ref="C3236" r:id="rId3231" display="https://pld.live/RapDetail.aspx?STONELIST=925091148&amp;ISCONFIRM=0" xr:uid="{9A44E0D0-595B-498D-AEBC-1F40A7D171AF}"/>
    <hyperlink ref="C3237" r:id="rId3232" display="https://pld.live/RapDetail.aspx?STONELIST=925740800&amp;ISCONFIRM=0" xr:uid="{C1976BF8-6F9C-4FCB-ABF5-B589B054AA96}"/>
    <hyperlink ref="C3238" r:id="rId3233" display="https://pld.live/RapDetail.aspx?STONELIST=924960344&amp;ISCONFIRM=0" xr:uid="{93335EC1-D81E-4DB6-A2CA-581FDA7D2881}"/>
    <hyperlink ref="C3239" r:id="rId3234" display="https://pld.live/RapDetail.aspx?STONELIST=924960399&amp;ISCONFIRM=0" xr:uid="{2F9EB6BB-AA0E-40DE-A674-A55D77E0068E}"/>
    <hyperlink ref="C3240" r:id="rId3235" display="https://pld.live/RapDetail.aspx?STONELIST=925290540&amp;ISCONFIRM=0" xr:uid="{61762C32-BEDA-498D-9E6E-A24D3BFB378D}"/>
    <hyperlink ref="C3241" r:id="rId3236" display="https://pld.live/RapDetail.aspx?STONELIST=9414000602&amp;ISCONFIRM=0" xr:uid="{6E8D9297-1D0A-4FC6-9F0D-35A229D0EEC1}"/>
    <hyperlink ref="C3242" r:id="rId3237" display="https://pld.live/RapDetail.aspx?STONELIST=941261086&amp;ISCONFIRM=0" xr:uid="{C52FC308-78A5-4F20-B4D4-871CB42E8B22}"/>
    <hyperlink ref="C3243" r:id="rId3238" display="https://pld.live/RapDetail.aspx?STONELIST=926180899&amp;ISCONFIRM=0" xr:uid="{A3A9EEBD-1B1D-41E2-B45D-0C2D1D4BBBC3}"/>
    <hyperlink ref="C3244" r:id="rId3239" display="https://pld.live/RapDetail.aspx?STONELIST=9414000597&amp;ISCONFIRM=0" xr:uid="{0F9802A0-39FD-463B-BE37-9632D72585EA}"/>
    <hyperlink ref="C3245" r:id="rId3240" display="https://pld.live/RapDetail.aspx?STONELIST=941270809&amp;ISCONFIRM=0" xr:uid="{488DE262-EFFA-4AD8-9C33-29BECBCA808F}"/>
    <hyperlink ref="C3246" r:id="rId3241" display="https://pld.live/RapDetail.aspx?STONELIST=9412700821&amp;ISCONFIRM=0" xr:uid="{34CA2DC3-ACFB-4CC5-ACE0-55FB1F2B3C75}"/>
    <hyperlink ref="C3247" r:id="rId3242" display="https://pld.live/RapDetail.aspx?STONELIST=941400591&amp;ISCONFIRM=0" xr:uid="{0229D91A-155C-47BE-9584-4365EA7ADC3B}"/>
    <hyperlink ref="C3248" r:id="rId3243" display="https://pld.live/RapDetail.aspx?STONELIST=941400592&amp;ISCONFIRM=0" xr:uid="{3C06A0A8-3B51-46E2-9F62-10AD1E3CAF71}"/>
    <hyperlink ref="C3249" r:id="rId3244" display="https://pld.live/RapDetail.aspx?STONELIST=941270814&amp;ISCONFIRM=0" xr:uid="{3C399CAF-39B6-4961-81EB-E5988A544E9D}"/>
    <hyperlink ref="C3250" r:id="rId3245" display="https://pld.live/RapDetail.aspx?STONELIST=941400582&amp;ISCONFIRM=0" xr:uid="{D05DF267-FDAF-431E-8158-A1F2BAD14D46}"/>
    <hyperlink ref="C3251" r:id="rId3246" display="https://pld.live/RapDetail.aspx?STONELIST=9414000600&amp;ISCONFIRM=0" xr:uid="{8898742C-45D2-4C32-8426-5765FD0F605B}"/>
    <hyperlink ref="C3252" r:id="rId3247" display="https://pld.live/RapDetail.aspx?STONELIST=9414000599&amp;ISCONFIRM=0" xr:uid="{AD72BC46-429E-462B-9EBE-6B74A0F51ACE}"/>
    <hyperlink ref="C3253" r:id="rId3248" display="https://pld.live/RapDetail.aspx?STONELIST=941270773&amp;ISCONFIRM=0" xr:uid="{C4930B68-4EBF-4EE5-AE7B-3804390926DF}"/>
    <hyperlink ref="C3254" r:id="rId3249" display="https://pld.live/RapDetail.aspx?STONELIST=941270775&amp;ISCONFIRM=0" xr:uid="{CBB2D736-75F3-4BE1-95F6-7CCC335DF0BC}"/>
    <hyperlink ref="C3255" r:id="rId3250" display="https://pld.live/RapDetail.aspx?STONELIST=941270781&amp;ISCONFIRM=0" xr:uid="{3A7A98F7-7F5E-4D0E-8ED8-CF394B94D627}"/>
    <hyperlink ref="C3256" r:id="rId3251" display="https://pld.live/RapDetail.aspx?STONELIST=926040652&amp;ISCONFIRM=0" xr:uid="{CAF6CFAA-7BC3-4794-ADEA-0F42E49B9D8D}"/>
    <hyperlink ref="C3257" r:id="rId3252" display="https://pld.live/RapDetail.aspx?STONELIST=941270798&amp;ISCONFIRM=0" xr:uid="{1CE0B91F-9DF2-4A82-8135-7F3FEBDE2856}"/>
    <hyperlink ref="C3258" r:id="rId3253" display="https://pld.live/RapDetail.aspx?STONELIST=941270796&amp;ISCONFIRM=0" xr:uid="{50EAA17A-5D44-46AE-82A7-B900CC72642E}"/>
    <hyperlink ref="C3259" r:id="rId3254" display="https://pld.live/RapDetail.aspx?STONELIST=941270811&amp;ISCONFIRM=0" xr:uid="{B377CC52-8712-4627-B558-0849C8250D0B}"/>
    <hyperlink ref="C3260" r:id="rId3255" display="https://pld.live/RapDetail.aspx?STONELIST=9414000601&amp;ISCONFIRM=0" xr:uid="{DFBA2C46-7507-4112-957A-ED5D6B591F77}"/>
    <hyperlink ref="C3261" r:id="rId3256" display="https://pld.live/RapDetail.aspx?STONELIST=941261065&amp;ISCONFIRM=0" xr:uid="{77E8617F-4D6F-4F4F-ACAC-889FC271256C}"/>
    <hyperlink ref="C3262" r:id="rId3257" display="https://pld.live/RapDetail.aspx?STONELIST=941261089&amp;ISCONFIRM=0" xr:uid="{6E075F69-73FC-45C6-B287-E8A7CE155E7D}"/>
    <hyperlink ref="C3263" r:id="rId3258" display="https://pld.live/RapDetail.aspx?STONELIST=941261136&amp;ISCONFIRM=0" xr:uid="{52796F85-469D-49FD-BD15-9F496677120E}"/>
    <hyperlink ref="C3264" r:id="rId3259" display="https://pld.live/RapDetail.aspx?STONELIST=941270819&amp;ISCONFIRM=0" xr:uid="{31DC180E-68B1-4AAB-A1C4-15E757A84E74}"/>
    <hyperlink ref="C3265" r:id="rId3260" display="https://pld.live/RapDetail.aspx?STONELIST=941270804&amp;ISCONFIRM=0" xr:uid="{46288A54-C565-4D52-9A00-63201F1D7AEB}"/>
    <hyperlink ref="C3266" r:id="rId3261" display="https://pld.live/RapDetail.aspx?STONELIST=9414000603&amp;ISCONFIRM=0" xr:uid="{09C44315-B104-4D70-B391-69D569341004}"/>
    <hyperlink ref="C3267" r:id="rId3262" display="https://pld.live/RapDetail.aspx?STONELIST=941261071&amp;ISCONFIRM=0" xr:uid="{EA2391FB-426B-4863-837F-898F1D928192}"/>
    <hyperlink ref="C3268" r:id="rId3263" display="https://pld.live/RapDetail.aspx?STONELIST=941400595&amp;ISCONFIRM=0" xr:uid="{06BFEF41-63C1-436C-ADF0-1F93D84A305C}"/>
    <hyperlink ref="C3269" r:id="rId3264" display="https://pld.live/RapDetail.aspx?STONELIST=9412700822&amp;ISCONFIRM=0" xr:uid="{510E459D-141D-4582-B65E-95F3682E12D6}"/>
    <hyperlink ref="C3270" r:id="rId3265" display="https://pld.live/RapDetail.aspx?STONELIST=941270754&amp;ISCONFIRM=0" xr:uid="{BC61BDE0-BFFC-4D20-924C-4E2EF3D30670}"/>
    <hyperlink ref="C3271" r:id="rId3266" display="https://pld.live/RapDetail.aspx?STONELIST=941270813&amp;ISCONFIRM=0" xr:uid="{523197A3-0335-4219-88F4-5B500E76183E}"/>
    <hyperlink ref="C3272" r:id="rId3267" display="https://pld.live/RapDetail.aspx?STONELIST=941270785&amp;ISCONFIRM=0" xr:uid="{493FDE50-978D-4D94-B2E4-355683752783}"/>
    <hyperlink ref="C3273" r:id="rId3268" display="https://pld.live/RapDetail.aspx?STONELIST=941270770&amp;ISCONFIRM=0" xr:uid="{320081D3-BD30-446D-913B-DCEE43D945B4}"/>
    <hyperlink ref="C3274" r:id="rId3269" display="https://pld.live/RapDetail.aspx?STONELIST=941270803&amp;ISCONFIRM=0" xr:uid="{77372F22-5A38-448C-AB09-4182390AC8BC}"/>
    <hyperlink ref="C3275" r:id="rId3270" display="https://pld.live/RapDetail.aspx?STONELIST=941270818&amp;ISCONFIRM=0" xr:uid="{533077DF-7C76-46A3-AA99-220A9611D7FC}"/>
    <hyperlink ref="C3276" r:id="rId3271" display="https://pld.live/RapDetail.aspx?STONELIST=941270817&amp;ISCONFIRM=0" xr:uid="{7D55F5D8-2518-4664-BBE6-2A6308C10044}"/>
    <hyperlink ref="C3277" r:id="rId3272" display="https://pld.live/RapDetail.aspx?STONELIST=941270760&amp;ISCONFIRM=0" xr:uid="{76F39FC7-C255-4F0B-B823-543F9DD6C678}"/>
    <hyperlink ref="C3278" r:id="rId3273" display="https://pld.live/RapDetail.aspx?STONELIST=9412700825&amp;ISCONFIRM=0" xr:uid="{8B88D712-3DCF-48AF-93A6-2C53AC6A5587}"/>
    <hyperlink ref="C3279" r:id="rId3274" display="https://pld.live/RapDetail.aspx?STONELIST=941261087&amp;ISCONFIRM=0" xr:uid="{0620498B-49CC-4EF7-96A4-AD45202994A7}"/>
    <hyperlink ref="C3280" r:id="rId3275" display="https://pld.live/RapDetail.aspx?STONELIST=941190631&amp;ISCONFIRM=0" xr:uid="{6DD4FAC3-D260-47EA-97EC-C484D99E6B60}"/>
    <hyperlink ref="C3281" r:id="rId3276" display="https://pld.live/RapDetail.aspx?STONELIST=926120757&amp;ISCONFIRM=0" xr:uid="{514699BD-A28B-414C-BAED-CF3382361BA3}"/>
    <hyperlink ref="C3282" r:id="rId3277" display="https://pld.live/RapDetail.aspx?STONELIST=926120062&amp;ISCONFIRM=0" xr:uid="{8D88A7AD-CA6B-40CD-BD51-6A97B2DC7509}"/>
    <hyperlink ref="C3283" r:id="rId3278" display="https://pld.live/RapDetail.aspx?STONELIST=941400589&amp;ISCONFIRM=0" xr:uid="{AB0932EB-B15A-4CA2-A055-6B01431A887D}"/>
    <hyperlink ref="C3284" r:id="rId3279" display="https://pld.live/RapDetail.aspx?STONELIST=9412700823&amp;ISCONFIRM=0" xr:uid="{F86C3052-F98D-4FED-9143-5323EC757725}"/>
    <hyperlink ref="C3285" r:id="rId3280" display="https://pld.live/RapDetail.aspx?STONELIST=9412700824&amp;ISCONFIRM=0" xr:uid="{43817CE7-39DB-4998-84D3-90DF6C0E3C9D}"/>
    <hyperlink ref="C3286" r:id="rId3281" display="https://pld.live/RapDetail.aspx?STONELIST=9414000605&amp;ISCONFIRM=0" xr:uid="{F4D64F5E-05A0-420A-B89A-F16374F8175F}"/>
    <hyperlink ref="C3287" r:id="rId3282" display="https://pld.live/RapDetail.aspx?STONELIST=925740826&amp;ISCONFIRM=0" xr:uid="{6CF92E1D-1BA8-443D-A27B-12215F575669}"/>
    <hyperlink ref="C3288" r:id="rId3283" display="https://pld.live/RapDetail.aspx?STONELIST=926120545&amp;ISCONFIRM=0" xr:uid="{5A1E9B19-08DE-47F0-A67B-471E14666C45}"/>
    <hyperlink ref="C3289" r:id="rId3284" display="https://pld.live/RapDetail.aspx?STONELIST=926120894&amp;ISCONFIRM=0" xr:uid="{A5F73268-07F5-47A4-8C09-D5C797C150D0}"/>
    <hyperlink ref="C3290" r:id="rId3285" display="https://pld.live/RapDetail.aspx?STONELIST=926120553&amp;ISCONFIRM=0" xr:uid="{A47417FC-2E21-4517-BDF2-25D9AE664708}"/>
    <hyperlink ref="C3291" r:id="rId3286" display="https://pld.live/RapDetail.aspx?STONELIST=926820119&amp;ISCONFIRM=0" xr:uid="{55ECFC37-129F-431A-8D6B-D8B47582EC6F}"/>
    <hyperlink ref="C3292" r:id="rId3287" display="https://pld.live/RapDetail.aspx?STONELIST=926820117&amp;ISCONFIRM=0" xr:uid="{F69F4A75-C7AD-4999-ADE1-29C490684525}"/>
    <hyperlink ref="C3293" r:id="rId3288" display="https://pld.live/RapDetail.aspx?STONELIST=926780073&amp;ISCONFIRM=0" xr:uid="{910714D8-A00C-4495-8186-9AE6ECA1C28D}"/>
    <hyperlink ref="C3294" r:id="rId3289" display="https://pld.live/RapDetail.aspx?STONELIST=926780093&amp;ISCONFIRM=0" xr:uid="{A613788F-49BF-4265-AF3D-7398E488B7E3}"/>
    <hyperlink ref="C3295" r:id="rId3290" display="https://pld.live/RapDetail.aspx?STONELIST=926780084&amp;ISCONFIRM=0" xr:uid="{2E81638D-BF72-4813-AAC8-22CEE4ED6CCC}"/>
    <hyperlink ref="C3296" r:id="rId3291" display="https://pld.live/RapDetail.aspx?STONELIST=926420433&amp;ISCONFIRM=0" xr:uid="{29727BEA-3C73-419E-BA72-0F16B32D3D6F}"/>
    <hyperlink ref="C3297" r:id="rId3292" display="https://pld.live/RapDetail.aspx?STONELIST=926130178&amp;ISCONFIRM=0" xr:uid="{9573F899-0C2D-4862-9104-E6F2A02759FF}"/>
    <hyperlink ref="C3298" r:id="rId3293" display="https://pld.live/RapDetail.aspx?STONELIST=926130076&amp;ISCONFIRM=0" xr:uid="{4035C4E1-4D84-401D-9E97-0C761B8A279C}"/>
    <hyperlink ref="C3299" r:id="rId3294" display="https://pld.live/RapDetail.aspx?STONELIST=926010269&amp;ISCONFIRM=0" xr:uid="{47440EB2-101D-4C7F-804B-263BA2D7F713}"/>
    <hyperlink ref="C3300" r:id="rId3295" display="https://pld.live/RapDetail.aspx?STONELIST=926010235&amp;ISCONFIRM=0" xr:uid="{2A5690C3-C1FC-4A33-AA5B-70A140F4A1DE}"/>
    <hyperlink ref="C3301" r:id="rId3296" display="https://pld.live/RapDetail.aspx?STONELIST=831020676&amp;ISCONFIRM=0" xr:uid="{7F92444D-83D5-4A78-9357-8BC8A7A61F1D}"/>
    <hyperlink ref="C3302" r:id="rId3297" display="https://pld.live/RapDetail.aspx?STONELIST=926010225&amp;ISCONFIRM=0" xr:uid="{6F37414E-CDFE-49E8-A99C-CCD3C17FA162}"/>
    <hyperlink ref="C3303" r:id="rId3298" display="https://pld.live/RapDetail.aspx?STONELIST=926050298&amp;ISCONFIRM=0" xr:uid="{E5243163-54B4-497A-A4DD-DC615F5D8A47}"/>
    <hyperlink ref="C3304" r:id="rId3299" display="https://pld.live/RapDetail.aspx?STONELIST=926000052&amp;ISCONFIRM=0" xr:uid="{B7CF596D-0782-46FB-911E-AF86BC36C8E7}"/>
    <hyperlink ref="C3305" r:id="rId3300" display="https://pld.live/RapDetail.aspx?STONELIST=923740291&amp;ISCONFIRM=0" xr:uid="{F3C13337-2C6A-44AF-8D23-76093CEC1418}"/>
    <hyperlink ref="C3306" r:id="rId3301" display="https://pld.live/RapDetail.aspx?STONELIST=924590276&amp;ISCONFIRM=0" xr:uid="{1A93753A-EF57-4696-9617-CBB45F21BB4A}"/>
    <hyperlink ref="C3307" r:id="rId3302" display="https://pld.live/RapDetail.aspx?STONELIST=831020082&amp;ISCONFIRM=0" xr:uid="{A99C9548-95D9-4270-AE9A-348CEF1C247A}"/>
    <hyperlink ref="C3308" r:id="rId3303" display="https://pld.live/RapDetail.aspx?STONELIST=924350222&amp;ISCONFIRM=0" xr:uid="{410AD1C8-884B-4919-B7DB-1811FA4E2C7E}"/>
    <hyperlink ref="C3309" r:id="rId3304" display="https://pld.live/RapDetail.aspx?STONELIST=926360262&amp;ISCONFIRM=0" xr:uid="{48829243-27D7-41D3-A502-0B17BFAA1F9D}"/>
    <hyperlink ref="C3310" r:id="rId3305" display="https://pld.live/RapDetail.aspx?STONELIST=831020723&amp;ISCONFIRM=0" xr:uid="{5D6EC0C9-741F-4A46-B4B8-711B198A09EE}"/>
    <hyperlink ref="C3311" r:id="rId3306" display="https://pld.live/RapDetail.aspx?STONELIST=831020416&amp;ISCONFIRM=0" xr:uid="{A38CABB7-9086-4491-A30B-614A69C95DB4}"/>
    <hyperlink ref="C3312" r:id="rId3307" display="https://pld.live/RapDetail.aspx?STONELIST=926010264&amp;ISCONFIRM=0" xr:uid="{457C2BB0-9742-41FA-BF0E-CFE4A139A5A0}"/>
    <hyperlink ref="C3313" r:id="rId3308" display="https://pld.live/RapDetail.aspx?STONELIST=926030062&amp;ISCONFIRM=0" xr:uid="{DC960B05-4F83-4DD3-B0F7-20130806660A}"/>
    <hyperlink ref="C3314" r:id="rId3309" display="https://pld.live/RapDetail.aspx?STONELIST=926030144&amp;ISCONFIRM=0" xr:uid="{7DEDB471-051B-4F26-B0D3-8AE743912DB2}"/>
    <hyperlink ref="C3315" r:id="rId3310" display="https://pld.live/RapDetail.aspx?STONELIST=926540181&amp;ISCONFIRM=0" xr:uid="{0F19F450-D63D-46C5-9F84-816E88E33A89}"/>
    <hyperlink ref="C3316" r:id="rId3311" display="https://pld.live/RapDetail.aspx?STONELIST=926540193&amp;ISCONFIRM=0" xr:uid="{F926AA20-97FF-4AD8-8157-9BD47976585B}"/>
    <hyperlink ref="C3317" r:id="rId3312" display="https://pld.live/RapDetail.aspx?STONELIST=831020209&amp;ISCONFIRM=0" xr:uid="{B977D5B7-F658-4585-B961-F169D51968D5}"/>
    <hyperlink ref="C3318" r:id="rId3313" display="https://pld.live/RapDetail.aspx?STONELIST=921800095&amp;ISCONFIRM=0" xr:uid="{93349986-7D1E-4F9A-AD47-FFF492D570C0}"/>
    <hyperlink ref="C3319" r:id="rId3314" display="https://pld.live/RapDetail.aspx?STONELIST=831020083&amp;ISCONFIRM=0" xr:uid="{A8E65AE7-C658-4619-BCA5-7CCBDC780523}"/>
    <hyperlink ref="C3320" r:id="rId3315" display="https://pld.live/RapDetail.aspx?STONELIST=923260322&amp;ISCONFIRM=0" xr:uid="{E4298EAE-97F4-4897-8D87-62C77E544DE3}"/>
    <hyperlink ref="C3321" r:id="rId3316" display="https://pld.live/RapDetail.aspx?STONELIST=831020675&amp;ISCONFIRM=0" xr:uid="{8630500F-E383-4098-A034-C00BA6D6440A}"/>
    <hyperlink ref="C3322" r:id="rId3317" display="https://pld.live/RapDetail.aspx?STONELIST=921790058&amp;ISCONFIRM=0" xr:uid="{217CE38B-BF3E-452A-823B-45417CEE39A8}"/>
    <hyperlink ref="C3323" r:id="rId3318" display="https://pld.live/RapDetail.aspx?STONELIST=831020659&amp;ISCONFIRM=0" xr:uid="{A9E0F4E5-01DF-4331-A2EC-CA6CC916889C}"/>
    <hyperlink ref="C3324" r:id="rId3319" display="https://pld.live/RapDetail.aspx?STONELIST=924590266&amp;ISCONFIRM=0" xr:uid="{5AD44466-1987-4CC0-AC1A-790A28A594A0}"/>
    <hyperlink ref="C3325" r:id="rId3320" display="https://pld.live/RapDetail.aspx?STONELIST=921830010&amp;ISCONFIRM=0" xr:uid="{0400638E-77D9-42EA-A0BD-4D532A4337A3}"/>
    <hyperlink ref="C3326" r:id="rId3321" display="https://pld.live/RapDetail.aspx?STONELIST=831020706&amp;ISCONFIRM=0" xr:uid="{D58CF718-B92F-4072-AF7D-35B258AB3720}"/>
    <hyperlink ref="C3327" r:id="rId3322" display="https://pld.live/RapDetail.aspx?STONELIST=923790337&amp;ISCONFIRM=0" xr:uid="{0AA35E1C-563F-4655-9BE3-CCCC2E5AA81D}"/>
    <hyperlink ref="C3328" r:id="rId3323" display="https://pld.live/RapDetail.aspx?STONELIST=926930933&amp;ISCONFIRM=0" xr:uid="{DB07D48A-EC32-4875-BB8C-D3024616FD81}"/>
    <hyperlink ref="C3329" r:id="rId3324" display="https://pld.live/RapDetail.aspx?STONELIST=921810038&amp;ISCONFIRM=0" xr:uid="{A66108D5-B24D-4724-BEFB-93AFC555CDB7}"/>
    <hyperlink ref="C3330" r:id="rId3325" display="https://pld.live/RapDetail.aspx?STONELIST=926910616&amp;ISCONFIRM=0" xr:uid="{EFF76942-E140-4894-BF42-14E413611BCE}"/>
    <hyperlink ref="C3331" r:id="rId3326" display="https://pld.live/RapDetail.aspx?STONELIST=831020674&amp;ISCONFIRM=0" xr:uid="{563CBDCC-4C1E-4C8B-AEC7-08426DECF86C}"/>
    <hyperlink ref="C3332" r:id="rId3327" display="https://pld.live/RapDetail.aspx?STONELIST=926150109&amp;ISCONFIRM=0" xr:uid="{82145740-0F16-4D19-A678-253EA0CD2624}"/>
    <hyperlink ref="C3333" r:id="rId3328" display="https://pld.live/RapDetail.aspx?STONELIST=926540058&amp;ISCONFIRM=0" xr:uid="{202BC7B3-9670-4109-9116-E9AD9857B83E}"/>
    <hyperlink ref="C3334" r:id="rId3329" display="https://pld.live/RapDetail.aspx?STONELIST=926540171&amp;ISCONFIRM=0" xr:uid="{F0DC2EB9-5906-4E57-8E4F-8ABD97A3E766}"/>
    <hyperlink ref="C3335" r:id="rId3330" display="https://pld.live/RapDetail.aspx?STONELIST=926990537&amp;ISCONFIRM=0" xr:uid="{00ED54C2-0BB0-4154-BFF1-D4B8A25C7E79}"/>
    <hyperlink ref="C3336" r:id="rId3331" display="https://pld.live/RapDetail.aspx?STONELIST=926540155&amp;ISCONFIRM=0" xr:uid="{E5BD1C6C-7112-4EF9-AF32-B1BA17D51458}"/>
    <hyperlink ref="C3337" r:id="rId3332" display="https://pld.live/RapDetail.aspx?STONELIST=926540149&amp;ISCONFIRM=0" xr:uid="{FD17D51D-FBC3-4340-A1DC-D7A33770FAF2}"/>
    <hyperlink ref="C3338" r:id="rId3333" display="https://pld.live/RapDetail.aspx?STONELIST=831020546&amp;ISCONFIRM=0" xr:uid="{DBBD64F6-3922-4A2B-8E2F-37600FDBDD67}"/>
    <hyperlink ref="C3339" r:id="rId3334" display="https://pld.live/RapDetail.aspx?STONELIST=831020084&amp;ISCONFIRM=0" xr:uid="{0EF43D29-2662-4F69-A548-8FF9569172E1}"/>
    <hyperlink ref="C3340" r:id="rId3335" display="https://pld.live/RapDetail.aspx?STONELIST=926540210&amp;ISCONFIRM=0" xr:uid="{260F60EB-AE80-4121-BB14-F0F9E4A7CEB3}"/>
    <hyperlink ref="C3341" r:id="rId3336" display="https://pld.live/RapDetail.aspx?STONELIST=923510618&amp;ISCONFIRM=0" xr:uid="{DB993C87-650B-4E3C-8828-E86D2EB91CA2}"/>
    <hyperlink ref="C3342" r:id="rId3337" display="https://pld.live/RapDetail.aspx?STONELIST=925542741&amp;ISCONFIRM=0" xr:uid="{F34CE515-63D0-4E04-99FE-D623B9EEA9B8}"/>
    <hyperlink ref="C3343" r:id="rId3338" display="https://pld.live/RapDetail.aspx?STONELIST=924590296&amp;ISCONFIRM=0" xr:uid="{9D018624-B59E-4CD5-89C1-90F99B74B84C}"/>
    <hyperlink ref="C3344" r:id="rId3339" display="https://pld.live/RapDetail.aspx?STONELIST=831010126&amp;ISCONFIRM=0" xr:uid="{2D7DBA88-61E0-4C08-8393-D03D84613F84}"/>
    <hyperlink ref="C3345" r:id="rId3340" display="https://pld.live/RapDetail.aspx?STONELIST=926150111&amp;ISCONFIRM=0" xr:uid="{B8407F1C-86CD-48B1-8FE2-577086C0BEC6}"/>
    <hyperlink ref="C3346" r:id="rId3341" display="https://pld.live/RapDetail.aspx?STONELIST=926071605&amp;ISCONFIRM=0" xr:uid="{FE63EC30-5D8E-43F5-BE09-D0D793654790}"/>
    <hyperlink ref="C3347" r:id="rId3342" display="https://pld.live/RapDetail.aspx?STONELIST=926020776&amp;ISCONFIRM=0" xr:uid="{877847D2-89D5-41CA-AA06-6CCE03F85347}"/>
    <hyperlink ref="C3348" r:id="rId3343" display="https://pld.live/RapDetail.aspx?STONELIST=925981288&amp;ISCONFIRM=0" xr:uid="{95AAC026-CAC3-4B62-A602-99B29F9AA2CF}"/>
    <hyperlink ref="C3349" r:id="rId3344" display="https://pld.live/RapDetail.aspx?STONELIST=831020705&amp;ISCONFIRM=0" xr:uid="{F679E3BD-83A0-47BD-BF57-FA2677CAA9F1}"/>
    <hyperlink ref="C3350" r:id="rId3345" display="https://pld.live/RapDetail.aspx?STONELIST=923700298&amp;ISCONFIRM=0" xr:uid="{63FBC4D7-AFDC-4104-8980-28B621A82189}"/>
    <hyperlink ref="C3351" r:id="rId3346" display="https://pld.live/RapDetail.aspx?STONELIST=924730237&amp;ISCONFIRM=0" xr:uid="{92134E24-45F5-4950-B16D-E75EC166D7C2}"/>
    <hyperlink ref="C3352" r:id="rId3347" display="https://pld.live/RapDetail.aspx?STONELIST=925981260&amp;ISCONFIRM=0" xr:uid="{12FBC5C2-EA35-4419-9837-904244C26A4A}"/>
    <hyperlink ref="C3353" r:id="rId3348" display="https://pld.live/RapDetail.aspx?STONELIST=924590290&amp;ISCONFIRM=0" xr:uid="{3B67DE61-30E9-433E-BE7B-3BFEE8967871}"/>
    <hyperlink ref="C3354" r:id="rId3349" display="https://pld.live/RapDetail.aspx?STONELIST=925981142&amp;ISCONFIRM=0" xr:uid="{2F2843BA-D337-4FBB-B97F-00816DBF1A8F}"/>
    <hyperlink ref="C3355" r:id="rId3350" display="https://pld.live/RapDetail.aspx?STONELIST=925981264&amp;ISCONFIRM=0" xr:uid="{94B811CB-E427-4CBC-B3CE-2D180F7F34D9}"/>
    <hyperlink ref="C3356" r:id="rId3351" display="https://pld.live/RapDetail.aspx?STONELIST=831010836&amp;ISCONFIRM=0" xr:uid="{8284A725-C63E-465F-A3AC-E07BB5EC4C9B}"/>
    <hyperlink ref="C3357" r:id="rId3352" display="https://pld.live/RapDetail.aspx?STONELIST=925971129&amp;ISCONFIRM=0" xr:uid="{17C45B54-EA08-4023-9CE4-91A54C4B46A6}"/>
    <hyperlink ref="C3358" r:id="rId3353" display="https://pld.live/RapDetail.aspx?STONELIST=926101053&amp;ISCONFIRM=0" xr:uid="{8BEC6B52-75BC-46EA-982B-65C914AC3268}"/>
    <hyperlink ref="C3359" r:id="rId3354" display="https://pld.live/RapDetail.aspx?STONELIST=926170478&amp;ISCONFIRM=0" xr:uid="{1C92BFAE-0F5F-407B-A9E4-30618F508E3C}"/>
    <hyperlink ref="C3360" r:id="rId3355" display="https://pld.live/RapDetail.aspx?STONELIST=926171029&amp;ISCONFIRM=0" xr:uid="{25A72CEC-1BB5-419A-BDD4-312ABA4B03C3}"/>
    <hyperlink ref="C3361" r:id="rId3356" display="https://pld.live/RapDetail.aspx?STONELIST=926100888&amp;ISCONFIRM=0" xr:uid="{F9264B68-377F-4093-BAD3-34AF978F0CA2}"/>
    <hyperlink ref="C3362" r:id="rId3357" display="https://pld.live/RapDetail.aspx?STONELIST=925961168&amp;ISCONFIRM=0" xr:uid="{88CD1C5F-64FB-47D0-8C70-A864F032C11E}"/>
    <hyperlink ref="C3363" r:id="rId3358" display="https://pld.live/RapDetail.aspx?STONELIST=925551993&amp;ISCONFIRM=0" xr:uid="{F2CBB7E9-0987-40D6-8E8A-6BA4F554DA13}"/>
    <hyperlink ref="C3364" r:id="rId3359" display="https://pld.live/RapDetail.aspx?STONELIST=831020669&amp;ISCONFIRM=0" xr:uid="{BBF7EDD7-217E-4C17-ADEA-81FAFCF579E8}"/>
    <hyperlink ref="C3365" r:id="rId3360" display="https://pld.live/RapDetail.aspx?STONELIST=926170082&amp;ISCONFIRM=0" xr:uid="{B8DEC5AC-E9F5-4F3F-A8EB-6B7233406702}"/>
    <hyperlink ref="C3366" r:id="rId3361" display="https://pld.live/RapDetail.aspx?STONELIST=831010835&amp;ISCONFIRM=0" xr:uid="{189AF9FF-846E-4D81-920F-B31567135CB5}"/>
    <hyperlink ref="C3367" r:id="rId3362" display="https://pld.live/RapDetail.aspx?STONELIST=925971308&amp;ISCONFIRM=0" xr:uid="{85471148-0A3F-4852-B6DB-8D6ACB297118}"/>
    <hyperlink ref="C3368" r:id="rId3363" display="https://pld.live/RapDetail.aspx?STONELIST=926170735&amp;ISCONFIRM=0" xr:uid="{65BECAEF-69B9-49EA-BA45-AA4AFB6603D3}"/>
    <hyperlink ref="C3369" r:id="rId3364" display="https://pld.live/RapDetail.aspx?STONELIST=926020796&amp;ISCONFIRM=0" xr:uid="{F9EC74E0-EF23-4A86-AEE5-127094CD1A7D}"/>
    <hyperlink ref="C3370" r:id="rId3365" display="https://pld.live/RapDetail.aspx?STONELIST=925981281&amp;ISCONFIRM=0" xr:uid="{449616BD-D7DE-46A8-9272-80368A06D82D}"/>
    <hyperlink ref="C3371" r:id="rId3366" display="https://pld.live/RapDetail.aspx?STONELIST=926041283&amp;ISCONFIRM=0" xr:uid="{E9A07CDF-41CA-430D-B438-745C78B3F32E}"/>
    <hyperlink ref="C3372" r:id="rId3367" display="https://pld.live/RapDetail.aspx?STONELIST=926170928&amp;ISCONFIRM=0" xr:uid="{CB301A7A-CA4D-4363-85E9-21C9A897B421}"/>
    <hyperlink ref="C3373" r:id="rId3368" display="https://pld.live/RapDetail.aspx?STONELIST=925542733&amp;ISCONFIRM=0" xr:uid="{5D18FE31-D8AE-4285-B3D8-766770F6B768}"/>
    <hyperlink ref="C3374" r:id="rId3369" display="https://pld.live/RapDetail.aspx?STONELIST=926101587&amp;ISCONFIRM=0" xr:uid="{D37C232B-F476-4B60-9C32-C6511AB10367}"/>
    <hyperlink ref="C3375" r:id="rId3370" display="https://pld.live/RapDetail.aspx?STONELIST=923570758&amp;ISCONFIRM=0" xr:uid="{D89501B4-F3E0-404A-AD1E-8A14C1AF223A}"/>
    <hyperlink ref="C3376" r:id="rId3371" display="https://pld.live/RapDetail.aspx?STONELIST=926171467&amp;ISCONFIRM=0" xr:uid="{7C2F5987-9B10-4797-B816-ABA39F92D547}"/>
    <hyperlink ref="C3377" r:id="rId3372" display="https://pld.live/RapDetail.aspx?STONELIST=923520438&amp;ISCONFIRM=0" xr:uid="{D352912B-5132-4360-BC95-E380B2A2396E}"/>
    <hyperlink ref="C3378" r:id="rId3373" display="https://pld.live/RapDetail.aspx?STONELIST=831010834&amp;ISCONFIRM=0" xr:uid="{7AEBDB31-4C99-491D-BB69-F7765B9D4AA7}"/>
    <hyperlink ref="C3379" r:id="rId3374" display="https://pld.live/RapDetail.aspx?STONELIST=923600474&amp;ISCONFIRM=0" xr:uid="{4B11EDA2-B1DE-4879-BB83-C37695A52CBF}"/>
    <hyperlink ref="C3380" r:id="rId3375" display="https://pld.live/RapDetail.aspx?STONELIST=925542754&amp;ISCONFIRM=0" xr:uid="{57FDBD3C-0F8C-458D-A1DD-981D304D67BB}"/>
    <hyperlink ref="C3381" r:id="rId3376" display="https://pld.live/RapDetail.aspx?STONELIST=926041304&amp;ISCONFIRM=0" xr:uid="{962EB7B2-1E76-41A0-B4BE-B6D461E3BE86}"/>
    <hyperlink ref="C3382" r:id="rId3377" display="https://pld.live/RapDetail.aspx?STONELIST=926020815&amp;ISCONFIRM=0" xr:uid="{27873C84-1089-4A8A-A7EF-A503618BB686}"/>
    <hyperlink ref="C3383" r:id="rId3378" display="https://pld.live/RapDetail.aspx?STONELIST=925360415&amp;ISCONFIRM=0" xr:uid="{462F9BA9-8758-4DA6-96DB-1CD460B5D41F}"/>
    <hyperlink ref="C3384" r:id="rId3379" display="https://pld.live/RapDetail.aspx?STONELIST=831010664&amp;ISCONFIRM=0" xr:uid="{04712DA5-83F2-4B61-8F04-2C1F57F09DC9}"/>
    <hyperlink ref="C3385" r:id="rId3380" display="https://pld.live/RapDetail.aspx?STONELIST=831020704&amp;ISCONFIRM=0" xr:uid="{D2D613DB-A7EE-404C-A014-5C33454060CF}"/>
    <hyperlink ref="C3386" r:id="rId3381" display="https://pld.live/RapDetail.aspx?STONELIST=831020693&amp;ISCONFIRM=0" xr:uid="{025B9CF3-4692-447E-9F12-87EB405926DD}"/>
    <hyperlink ref="C3387" r:id="rId3382" display="https://pld.live/RapDetail.aspx?STONELIST=831020703&amp;ISCONFIRM=0" xr:uid="{B04F04D7-B967-4696-807C-3D8D6D0BAE5A}"/>
    <hyperlink ref="C3388" r:id="rId3383" display="https://pld.live/RapDetail.aspx?STONELIST=926171103&amp;ISCONFIRM=0" xr:uid="{8A4322D2-3D3B-434B-A3E6-C17B715F6A23}"/>
    <hyperlink ref="C3389" r:id="rId3384" display="https://pld.live/RapDetail.aspx?STONELIST=924410244&amp;ISCONFIRM=0" xr:uid="{1018C435-BB6C-4EFE-A354-1D2C6070D143}"/>
    <hyperlink ref="C3390" r:id="rId3385" display="https://pld.live/RapDetail.aspx?STONELIST=925521773&amp;ISCONFIRM=0" xr:uid="{8DB35390-0E64-4C6E-93FB-C292E4E39048}"/>
    <hyperlink ref="C3391" r:id="rId3386" display="https://pld.live/RapDetail.aspx?STONELIST=926071606&amp;ISCONFIRM=0" xr:uid="{8E94C7C6-D7D3-46F5-B523-5B77884D647C}"/>
    <hyperlink ref="C3392" r:id="rId3387" display="https://pld.live/RapDetail.aspx?STONELIST=926100971&amp;ISCONFIRM=0" xr:uid="{DC76F08E-15D3-4C57-A177-8F80F1EFC55E}"/>
    <hyperlink ref="C3393" r:id="rId3388" display="https://pld.live/RapDetail.aspx?STONELIST=926071887&amp;ISCONFIRM=0" xr:uid="{FA02237A-14C3-49E1-B299-1194F9A32FF3}"/>
    <hyperlink ref="C3394" r:id="rId3389" display="https://pld.live/RapDetail.aspx?STONELIST=831010851&amp;ISCONFIRM=0" xr:uid="{482FC423-58DC-4639-96BE-F65773FAF1FC}"/>
    <hyperlink ref="C3395" r:id="rId3390" display="https://pld.live/RapDetail.aspx?STONELIST=831010850&amp;ISCONFIRM=0" xr:uid="{EC2587CB-1A8E-4DA7-98EF-E44B924C4893}"/>
    <hyperlink ref="C3396" r:id="rId3391" display="https://pld.live/RapDetail.aspx?STONELIST=925521912&amp;ISCONFIRM=0" xr:uid="{AA2C0C8E-FF66-4EFF-ADD1-D0C803A02C8D}"/>
    <hyperlink ref="C3397" r:id="rId3392" display="https://pld.live/RapDetail.aspx?STONELIST=925542650&amp;ISCONFIRM=0" xr:uid="{EE80DD30-75BA-412B-B901-DD1CF02DAA38}"/>
    <hyperlink ref="C3398" r:id="rId3393" display="https://pld.live/RapDetail.aspx?STONELIST=926101119&amp;ISCONFIRM=0" xr:uid="{4B81CC6E-D159-4923-AD62-054D3E1B89F7}"/>
    <hyperlink ref="C3399" r:id="rId3394" display="https://pld.live/RapDetail.aspx?STONELIST=831010849&amp;ISCONFIRM=0" xr:uid="{A40960B4-052E-4459-A57C-93CBBF26CAC2}"/>
    <hyperlink ref="C3400" r:id="rId3395" display="https://pld.live/RapDetail.aspx?STONELIST=925971281&amp;ISCONFIRM=0" xr:uid="{BA743644-4417-485D-88FE-702022376DDC}"/>
    <hyperlink ref="C3401" r:id="rId3396" display="https://pld.live/RapDetail.aspx?STONELIST=923600467&amp;ISCONFIRM=0" xr:uid="{7423B6AE-E3AA-4965-8BEE-ED9CBC44454C}"/>
    <hyperlink ref="C3402" r:id="rId3397" display="https://pld.live/RapDetail.aspx?STONELIST=926071609&amp;ISCONFIRM=0" xr:uid="{00669D04-362F-4E1E-83D2-A2D4D00E832F}"/>
    <hyperlink ref="C3403" r:id="rId3398" display="https://pld.live/RapDetail.aspx?STONELIST=831010128&amp;ISCONFIRM=0" xr:uid="{FBCEB28B-1CE1-4B8C-9824-EC6B82A1BEB3}"/>
    <hyperlink ref="C3404" r:id="rId3399" display="https://pld.live/RapDetail.aspx?STONELIST=925551905&amp;ISCONFIRM=0" xr:uid="{ABF56523-47E1-4382-8A60-1294C7C90B82}"/>
    <hyperlink ref="C3405" r:id="rId3400" display="https://pld.live/RapDetail.aspx?STONELIST=926020801&amp;ISCONFIRM=0" xr:uid="{FBE30CEF-AB4A-48A4-853C-EBA8FCE2D859}"/>
    <hyperlink ref="C3406" r:id="rId3401" display="https://pld.live/RapDetail.aspx?STONELIST=924410797&amp;ISCONFIRM=0" xr:uid="{208C2DAE-DD97-4FB6-A7C4-C92893989EDA}"/>
    <hyperlink ref="C3407" r:id="rId3402" display="https://pld.live/RapDetail.aspx?STONELIST=926170797&amp;ISCONFIRM=0" xr:uid="{0D3FCF77-E8EA-4773-9632-181E008DE328}"/>
    <hyperlink ref="C3408" r:id="rId3403" display="https://pld.live/RapDetail.aspx?STONELIST=926171474&amp;ISCONFIRM=0" xr:uid="{8E3E99D4-1B71-4297-BA90-3DE4D2D3ABE6}"/>
    <hyperlink ref="C3409" r:id="rId3404" display="https://pld.live/RapDetail.aspx?STONELIST=926600029&amp;ISCONFIRM=0" xr:uid="{4227657C-B648-499C-8DAE-FF04E4282C56}"/>
    <hyperlink ref="C3410" r:id="rId3405" display="https://pld.live/RapDetail.aspx?STONELIST=926071903&amp;ISCONFIRM=0" xr:uid="{CC951F59-1537-4CDD-9F14-9E2FF21B8C78}"/>
    <hyperlink ref="C3411" r:id="rId3406" display="https://pld.live/RapDetail.aspx?STONELIST=926201146&amp;ISCONFIRM=0" xr:uid="{BE8E3962-D719-4DE2-AB73-D8736A9E08C1}"/>
    <hyperlink ref="C3412" r:id="rId3407" display="https://pld.live/RapDetail.aspx?STONELIST=922190101&amp;ISCONFIRM=0" xr:uid="{16A9C961-7F0E-4B60-B6CC-DC655C1726CE}"/>
    <hyperlink ref="C3413" r:id="rId3408" display="https://pld.live/RapDetail.aspx?STONELIST=831010790&amp;ISCONFIRM=0" xr:uid="{A244894B-9E69-447D-B881-734F0D3DEDF6}"/>
    <hyperlink ref="C3414" r:id="rId3409" display="https://pld.live/RapDetail.aspx?STONELIST=926171076&amp;ISCONFIRM=0" xr:uid="{D889DD87-38B5-49B7-A6C4-86D9661B64AC}"/>
    <hyperlink ref="C3415" r:id="rId3410" display="https://pld.live/RapDetail.aspx?STONELIST=925521283&amp;ISCONFIRM=0" xr:uid="{7CE9EF84-79BE-49C9-A296-A80CD252CA1D}"/>
    <hyperlink ref="C3416" r:id="rId3411" display="https://pld.live/RapDetail.aspx?STONELIST=831010848&amp;ISCONFIRM=0" xr:uid="{D9200B5C-85DB-4BCC-86AC-224845F27302}"/>
    <hyperlink ref="C3417" r:id="rId3412" display="https://pld.live/RapDetail.aspx?STONELIST=831010789&amp;ISCONFIRM=0" xr:uid="{65D27131-4399-44B1-9AA1-FBB377D988E4}"/>
    <hyperlink ref="C3418" r:id="rId3413" display="https://pld.live/RapDetail.aspx?STONELIST=925542699&amp;ISCONFIRM=0" xr:uid="{1ADF0DFB-2A74-4A7E-8B48-52212E92C2CC}"/>
    <hyperlink ref="C3419" r:id="rId3414" display="https://pld.live/RapDetail.aspx?STONELIST=926171504&amp;ISCONFIRM=0" xr:uid="{D4757FCB-B134-4134-8474-F06CAFF654DA}"/>
    <hyperlink ref="C3420" r:id="rId3415" display="https://pld.live/RapDetail.aspx?STONELIST=925542606&amp;ISCONFIRM=0" xr:uid="{2D6EEFD5-D4C2-4BC4-B1EC-4D4D647D7CBC}"/>
    <hyperlink ref="C3421" r:id="rId3416" display="https://pld.live/RapDetail.aspx?STONELIST=924610399&amp;ISCONFIRM=0" xr:uid="{CB2DC630-4542-4ABC-8C3A-B6B316483F75}"/>
    <hyperlink ref="C3422" r:id="rId3417" display="https://pld.live/RapDetail.aspx?STONELIST=821115148&amp;ISCONFIRM=0" xr:uid="{EDF3BBDB-4E99-42D8-AC44-401909CE7B08}"/>
    <hyperlink ref="C3423" r:id="rId3418" display="https://pld.live/RapDetail.aspx?STONELIST=925981280&amp;ISCONFIRM=0" xr:uid="{04B33B90-1833-4A54-82B5-DABAEE4B6AAA}"/>
    <hyperlink ref="C3424" r:id="rId3419" display="https://pld.live/RapDetail.aspx?STONELIST=926171477&amp;ISCONFIRM=0" xr:uid="{37BEDF57-D9C1-40B7-9659-6C9912239250}"/>
    <hyperlink ref="C3425" r:id="rId3420" display="https://pld.live/RapDetail.aspx?STONELIST=831010481&amp;ISCONFIRM=0" xr:uid="{DF1BEFA9-3667-4402-B3ED-C5D770694A4E}"/>
    <hyperlink ref="C3426" r:id="rId3421" display="https://pld.live/RapDetail.aspx?STONELIST=925802054&amp;ISCONFIRM=0" xr:uid="{82098DE7-A07C-44FC-9CA3-ACEF60139B73}"/>
    <hyperlink ref="C3427" r:id="rId3422" display="https://pld.live/RapDetail.aspx?STONELIST=926071718&amp;ISCONFIRM=0" xr:uid="{F8BCE917-860A-479A-9F9F-DFE5866063B0}"/>
    <hyperlink ref="C3428" r:id="rId3423" display="https://pld.live/RapDetail.aspx?STONELIST=831010816&amp;ISCONFIRM=0" xr:uid="{B3556467-EB0F-4806-88A1-B29F3AD95233}"/>
    <hyperlink ref="C3429" r:id="rId3424" display="https://pld.live/RapDetail.aspx?STONELIST=926071743&amp;ISCONFIRM=0" xr:uid="{CAA2542A-CEB0-4412-8D0A-8552CCFF1062}"/>
    <hyperlink ref="C3430" r:id="rId3425" display="https://pld.live/RapDetail.aspx?STONELIST=925542718&amp;ISCONFIRM=0" xr:uid="{3D4452C6-E787-4360-A45A-41E5D34A2C0D}"/>
    <hyperlink ref="C3431" r:id="rId3426" display="https://pld.live/RapDetail.aspx?STONELIST=925521962&amp;ISCONFIRM=0" xr:uid="{F30B182D-0FF1-4DB9-B490-B354B6A35103}"/>
    <hyperlink ref="C3432" r:id="rId3427" display="https://pld.live/RapDetail.aspx?STONELIST=923540505&amp;ISCONFIRM=0" xr:uid="{5DCF7CB7-24DD-487E-86AF-40A3E409F587}"/>
    <hyperlink ref="C3433" r:id="rId3428" display="https://pld.live/RapDetail.aspx?STONELIST=926030173&amp;ISCONFIRM=0" xr:uid="{59876B4D-3768-4756-B84A-351448EB7B36}"/>
    <hyperlink ref="C3434" r:id="rId3429" display="https://pld.live/RapDetail.aspx?STONELIST=926071933&amp;ISCONFIRM=0" xr:uid="{EEB10790-8DEB-4DBA-B875-FFECDEA12DEC}"/>
    <hyperlink ref="C3435" r:id="rId3430" display="https://pld.live/RapDetail.aspx?STONELIST=926171082&amp;ISCONFIRM=0" xr:uid="{72BC52F7-5263-40E2-AC13-FFBB44FE4CAD}"/>
    <hyperlink ref="C3436" r:id="rId3431" display="https://pld.live/RapDetail.aspx?STONELIST=925521957&amp;ISCONFIRM=0" xr:uid="{39517601-E46F-4EA0-A9F6-FF127B4A0A09}"/>
    <hyperlink ref="C3437" r:id="rId3432" display="https://pld.live/RapDetail.aspx?STONELIST=831010129&amp;ISCONFIRM=0" xr:uid="{628BD8CC-5332-476E-9FB7-86F675D9A170}"/>
    <hyperlink ref="C3438" r:id="rId3433" display="https://pld.live/RapDetail.aspx?STONELIST=925861994&amp;ISCONFIRM=0" xr:uid="{48273D50-2B85-4E07-AD1C-79AAE6FAC9FC}"/>
    <hyperlink ref="C3439" r:id="rId3434" display="https://pld.live/RapDetail.aspx?STONELIST=926171453&amp;ISCONFIRM=0" xr:uid="{967BAFE0-A488-445E-9AE0-A145A37E68E3}"/>
    <hyperlink ref="C3440" r:id="rId3435" display="https://pld.live/RapDetail.aspx?STONELIST=831010474&amp;ISCONFIRM=0" xr:uid="{B24AFF49-E230-4E20-888C-EDB209A34ABA}"/>
    <hyperlink ref="C3441" r:id="rId3436" display="https://pld.live/RapDetail.aspx?STONELIST=821115085&amp;ISCONFIRM=0" xr:uid="{6327EE9A-A196-4200-96F0-29F741947618}"/>
    <hyperlink ref="C3442" r:id="rId3437" display="https://pld.live/RapDetail.aspx?STONELIST=926071844&amp;ISCONFIRM=0" xr:uid="{5C64D9EA-F377-4A99-B54B-B311BB567BE8}"/>
    <hyperlink ref="C3443" r:id="rId3438" display="https://pld.live/RapDetail.aspx?STONELIST=925801968&amp;ISCONFIRM=0" xr:uid="{9CDC0FF0-E97E-46AA-852D-4C4D9A42AA4F}"/>
    <hyperlink ref="C3444" r:id="rId3439" display="https://pld.live/RapDetail.aspx?STONELIST=925981253&amp;ISCONFIRM=0" xr:uid="{2E9CA8DF-5555-4A44-A894-E0564D80F0F0}"/>
    <hyperlink ref="C3445" r:id="rId3440" display="https://pld.live/RapDetail.aspx?STONELIST=925981242&amp;ISCONFIRM=0" xr:uid="{74C9B4D4-E377-4F1E-A5B3-CB521ACB9365}"/>
    <hyperlink ref="C3446" r:id="rId3441" display="https://pld.live/RapDetail.aspx?STONELIST=926171470&amp;ISCONFIRM=0" xr:uid="{AD648C72-0A90-4007-A19B-31CB212C3371}"/>
    <hyperlink ref="C3447" r:id="rId3442" display="https://pld.live/RapDetail.aspx?STONELIST=831010788&amp;ISCONFIRM=0" xr:uid="{C104E1F4-9670-41C6-92AD-C2BB31863CFA}"/>
    <hyperlink ref="C3448" r:id="rId3443" display="https://pld.live/RapDetail.aspx?STONELIST=831010475&amp;ISCONFIRM=0" xr:uid="{D7906138-1423-4212-B27B-5B4E3E606921}"/>
    <hyperlink ref="C3449" r:id="rId3444" display="https://pld.live/RapDetail.aspx?STONELIST=831010478&amp;ISCONFIRM=0" xr:uid="{AB3D3128-F3AA-413B-B409-3C97C1189C0E}"/>
    <hyperlink ref="C3450" r:id="rId3445" display="https://pld.live/RapDetail.aspx?STONELIST=926170919&amp;ISCONFIRM=0" xr:uid="{BB00B749-CA9C-48F0-A31F-60BB7F17C5A3}"/>
    <hyperlink ref="C3451" r:id="rId3446" display="https://pld.live/RapDetail.aspx?STONELIST=926101229&amp;ISCONFIRM=0" xr:uid="{E5BEE4CC-714C-4CD5-B416-489B65E8115D}"/>
    <hyperlink ref="C3452" r:id="rId3447" display="https://pld.live/RapDetail.aspx?STONELIST=923600507&amp;ISCONFIRM=0" xr:uid="{E0A65513-5E89-4826-8984-ED596463BE3B}"/>
    <hyperlink ref="C3453" r:id="rId3448" display="https://pld.live/RapDetail.aspx?STONELIST=831010815&amp;ISCONFIRM=0" xr:uid="{A26E8410-456B-4125-BCBC-3B6602CA3157}"/>
    <hyperlink ref="C3454" r:id="rId3449" display="https://pld.live/RapDetail.aspx?STONELIST=923460319&amp;ISCONFIRM=0" xr:uid="{9126E3CD-54A0-42D0-B492-DA2A3B481CB5}"/>
    <hyperlink ref="C3455" r:id="rId3450" display="https://pld.live/RapDetail.aspx?STONELIST=926171466&amp;ISCONFIRM=0" xr:uid="{CBCF3334-F8B4-4AFC-9372-C71010F44A61}"/>
    <hyperlink ref="C3456" r:id="rId3451" display="https://pld.live/RapDetail.aspx?STONELIST=922190084&amp;ISCONFIRM=0" xr:uid="{5395666C-9AE5-4C20-8F64-10A835AE31BB}"/>
    <hyperlink ref="C3457" r:id="rId3452" display="https://pld.live/RapDetail.aspx?STONELIST=926171073&amp;ISCONFIRM=0" xr:uid="{BCE79B20-0C44-4A87-B33F-4941164164C5}"/>
    <hyperlink ref="C3458" r:id="rId3453" display="https://pld.live/RapDetail.aspx?STONELIST=924390436&amp;ISCONFIRM=0" xr:uid="{A9C492E8-52F9-4061-A256-B5D9F80D3131}"/>
    <hyperlink ref="C3459" r:id="rId3454" display="https://pld.live/RapDetail.aspx?STONELIST=831010757&amp;ISCONFIRM=0" xr:uid="{17F12E19-16EB-4577-9109-CC511D3631B5}"/>
    <hyperlink ref="C3460" r:id="rId3455" display="https://pld.live/RapDetail.aspx?STONELIST=925542696&amp;ISCONFIRM=0" xr:uid="{53958C95-6800-47FC-BA01-4B78BB63BCAA}"/>
    <hyperlink ref="C3461" r:id="rId3456" display="https://pld.live/RapDetail.aspx?STONELIST=925621937&amp;ISCONFIRM=0" xr:uid="{03800305-D4DF-4E61-B143-6D69DCC84F7B}"/>
    <hyperlink ref="C3462" r:id="rId3457" display="https://pld.live/RapDetail.aspx?STONELIST=925971226&amp;ISCONFIRM=0" xr:uid="{C8298E89-42EC-46D6-9C06-91D30922D8E7}"/>
    <hyperlink ref="C3463" r:id="rId3458" display="https://pld.live/RapDetail.aspx?STONELIST=925160030&amp;ISCONFIRM=0" xr:uid="{704866A3-EA59-4848-B77C-0AFD08A6DA0C}"/>
    <hyperlink ref="C3464" r:id="rId3459" display="https://pld.live/RapDetail.aspx?STONELIST=923500229&amp;ISCONFIRM=0" xr:uid="{5B66225A-D6E8-4EF4-8C00-5A9EE5F6B264}"/>
    <hyperlink ref="C3465" r:id="rId3460" display="https://pld.live/RapDetail.aspx?STONELIST=923600491&amp;ISCONFIRM=0" xr:uid="{8DC60E79-1B32-4CD7-8BE2-A273EC4F0695}"/>
    <hyperlink ref="C3466" r:id="rId3461" display="https://pld.live/RapDetail.aspx?STONELIST=831010783&amp;ISCONFIRM=0" xr:uid="{1B78BD0F-F109-4F05-A327-6D0C69FC2B32}"/>
    <hyperlink ref="C3467" r:id="rId3462" display="https://pld.live/RapDetail.aspx?STONELIST=926200773&amp;ISCONFIRM=0" xr:uid="{80455006-CB53-4DDD-80E6-6B4C08CD96AD}"/>
    <hyperlink ref="C3468" r:id="rId3463" display="https://pld.live/RapDetail.aspx?STONELIST=831020087&amp;ISCONFIRM=0" xr:uid="{5B586C66-2AC0-4E17-B52B-E4FE05283BAB}"/>
    <hyperlink ref="C3469" r:id="rId3464" display="https://pld.live/RapDetail.aspx?STONELIST=926100895&amp;ISCONFIRM=0" xr:uid="{173D4D92-150D-4E27-A422-E8E2E0E44322}"/>
    <hyperlink ref="C3470" r:id="rId3465" display="https://pld.live/RapDetail.aspx?STONELIST=925930304&amp;ISCONFIRM=0" xr:uid="{4519F357-49F0-4D07-9CC3-DC557A8BE9DC}"/>
    <hyperlink ref="C3471" r:id="rId3466" display="https://pld.live/RapDetail.aspx?STONELIST=831010682&amp;ISCONFIRM=0" xr:uid="{E3CAA3E5-5E8E-419A-985E-FFA60172B294}"/>
    <hyperlink ref="C3472" r:id="rId3467" display="https://pld.live/RapDetail.aspx?STONELIST=926101162&amp;ISCONFIRM=0" xr:uid="{FD55283F-0AD6-46F7-AD8C-C5AA09C3E93F}"/>
    <hyperlink ref="C3473" r:id="rId3468" display="https://pld.live/RapDetail.aspx?STONELIST=926101155&amp;ISCONFIRM=0" xr:uid="{9AEDDF1E-985E-4E40-816C-885063676519}"/>
    <hyperlink ref="C3474" r:id="rId3469" display="https://pld.live/RapDetail.aspx?STONELIST=926101613&amp;ISCONFIRM=0" xr:uid="{741A5E9B-F313-4CD3-937D-4A37A784B1FD}"/>
    <hyperlink ref="C3475" r:id="rId3470" display="https://pld.live/RapDetail.aspx?STONELIST=926101288&amp;ISCONFIRM=0" xr:uid="{12FF3C7A-26F5-47AB-82E1-4D862F62769F}"/>
    <hyperlink ref="C3476" r:id="rId3471" display="https://pld.live/RapDetail.aspx?STONELIST=925961196&amp;ISCONFIRM=0" xr:uid="{B05E5019-CE50-4627-8D9C-2E85335E7037}"/>
    <hyperlink ref="C3477" r:id="rId3472" display="https://pld.live/RapDetail.aspx?STONELIST=926101259&amp;ISCONFIRM=0" xr:uid="{386ACFE5-F5F6-4591-ADDE-3BCE29588113}"/>
    <hyperlink ref="C3478" r:id="rId3473" display="https://pld.live/RapDetail.aspx?STONELIST=925961364&amp;ISCONFIRM=0" xr:uid="{5FAE90E0-0F28-4C87-8974-E49D8FF15656}"/>
    <hyperlink ref="C3479" r:id="rId3474" display="https://pld.live/RapDetail.aspx?STONELIST=926171664&amp;ISCONFIRM=0" xr:uid="{0B6131D3-2DAA-49EA-B3AB-1912E75E521F}"/>
    <hyperlink ref="C3480" r:id="rId3475" display="https://pld.live/RapDetail.aspx?STONELIST=923670177&amp;ISCONFIRM=0" xr:uid="{D80E38D2-F7B6-41ED-8812-C4CFD7FC26BF}"/>
    <hyperlink ref="C3481" r:id="rId3476" display="https://pld.live/RapDetail.aspx?STONELIST=925521920&amp;ISCONFIRM=0" xr:uid="{9BC70F34-2676-4D6B-B060-7CFEF958DBDD}"/>
    <hyperlink ref="C3482" r:id="rId3477" display="https://pld.live/RapDetail.aspx?STONELIST=925080514&amp;ISCONFIRM=0" xr:uid="{54407F8E-FC22-42DD-8F90-5DACD697FB17}"/>
    <hyperlink ref="C3483" r:id="rId3478" display="https://pld.live/RapDetail.aspx?STONELIST=831010671&amp;ISCONFIRM=0" xr:uid="{922577F4-63D3-45F5-9AC9-ED4234496355}"/>
    <hyperlink ref="C3484" r:id="rId3479" display="https://pld.live/RapDetail.aspx?STONELIST=925080629&amp;ISCONFIRM=0" xr:uid="{653D4879-57BC-441E-B4A9-C81FF9D9124E}"/>
    <hyperlink ref="C3485" r:id="rId3480" display="https://pld.live/RapDetail.aspx?STONELIST=831010691&amp;ISCONFIRM=0" xr:uid="{D2CD1544-5484-4344-BB46-3A4BFF72CAFE}"/>
    <hyperlink ref="C3486" r:id="rId3481" display="https://pld.live/RapDetail.aspx?STONELIST=924390407&amp;ISCONFIRM=0" xr:uid="{8D8B52AE-3FD2-47C0-B001-17706D5C57FE}"/>
    <hyperlink ref="C3487" r:id="rId3482" display="https://pld.live/RapDetail.aspx?STONELIST=925360423&amp;ISCONFIRM=0" xr:uid="{B0B6BC44-7126-4DE0-B9E6-3BF1AB99AA24}"/>
    <hyperlink ref="C3488" r:id="rId3483" display="https://pld.live/RapDetail.aspx?STONELIST=831010134&amp;ISCONFIRM=0" xr:uid="{451F1CFC-652D-4B93-93E4-DD447AAA0CEB}"/>
    <hyperlink ref="C3489" r:id="rId3484" display="https://pld.live/RapDetail.aspx?STONELIST=924290524&amp;ISCONFIRM=0" xr:uid="{51D9B59F-9B3F-45D2-97D5-246DECDEADBE}"/>
    <hyperlink ref="C3490" r:id="rId3485" display="https://pld.live/RapDetail.aspx?STONELIST=926270765&amp;ISCONFIRM=0" xr:uid="{C81B2C42-F992-45E4-AAB8-DE743BE07F57}"/>
    <hyperlink ref="C3491" r:id="rId3486" display="https://pld.live/RapDetail.aspx?STONELIST=926270796&amp;ISCONFIRM=0" xr:uid="{B1418259-B789-4675-A1A5-795E21A58079}"/>
    <hyperlink ref="C3492" r:id="rId3487" display="https://pld.live/RapDetail.aspx?STONELIST=924390414&amp;ISCONFIRM=0" xr:uid="{1A6A40CD-4E39-461F-9444-919FC1868504}"/>
    <hyperlink ref="C3493" r:id="rId3488" display="https://pld.live/RapDetail.aspx?STONELIST=926250074&amp;ISCONFIRM=0" xr:uid="{742AD505-F686-42AA-9092-7A81339E1145}"/>
    <hyperlink ref="C3494" r:id="rId3489" display="https://pld.live/RapDetail.aspx?STONELIST=926270798&amp;ISCONFIRM=0" xr:uid="{7B418B9B-BD60-4441-A79B-51388244A2E6}"/>
    <hyperlink ref="C3495" r:id="rId3490" display="https://pld.live/RapDetail.aspx?STONELIST=926270808&amp;ISCONFIRM=0" xr:uid="{C879EBC3-343F-4B7F-B950-3E08E1D472EE}"/>
    <hyperlink ref="C3496" r:id="rId3491" display="https://pld.live/RapDetail.aspx?STONELIST=921610138&amp;ISCONFIRM=0" xr:uid="{C6FC5A42-35CB-49B1-AB7F-694536395486}"/>
    <hyperlink ref="C3497" r:id="rId3492" display="https://pld.live/RapDetail.aspx?STONELIST=926210869&amp;ISCONFIRM=0" xr:uid="{BA535A08-433E-495C-B510-9CEEBC4B4FC4}"/>
    <hyperlink ref="C3498" r:id="rId3493" display="https://pld.live/RapDetail.aspx?STONELIST=926270789&amp;ISCONFIRM=0" xr:uid="{5DE17926-CF5B-4FD9-8669-E4AA8E2961D4}"/>
    <hyperlink ref="C3499" r:id="rId3494" display="https://pld.live/RapDetail.aspx?STONELIST=926250073&amp;ISCONFIRM=0" xr:uid="{F7554918-06F9-487F-B340-6686CF8F37D5}"/>
    <hyperlink ref="C3500" r:id="rId3495" display="https://pld.live/RapDetail.aspx?STONELIST=926270809&amp;ISCONFIRM=0" xr:uid="{53CF5628-12BA-492E-B920-BFB7B1CF9403}"/>
    <hyperlink ref="C3501" r:id="rId3496" display="https://pld.live/RapDetail.aspx?STONELIST=926210858&amp;ISCONFIRM=0" xr:uid="{98F9FF79-0A70-4649-AC4D-E8A1AE9170CD}"/>
    <hyperlink ref="C3502" r:id="rId3497" display="https://pld.live/RapDetail.aspx?STONELIST=926270804&amp;ISCONFIRM=0" xr:uid="{D193FE93-58A2-49FF-8DF7-AEEAC5D6FE48}"/>
    <hyperlink ref="C3503" r:id="rId3498" display="https://pld.live/RapDetail.aspx?STONELIST=926210631&amp;ISCONFIRM=0" xr:uid="{6CE59FBF-8BBA-44CD-B994-CD6E6FB4EBF7}"/>
    <hyperlink ref="C3504" r:id="rId3499" display="https://pld.live/RapDetail.aspx?STONELIST=924410356&amp;ISCONFIRM=0" xr:uid="{6F8E8C16-C442-470D-925A-38D1581347B9}"/>
    <hyperlink ref="C3505" r:id="rId3500" display="https://pld.live/RapDetail.aspx?STONELIST=926270806&amp;ISCONFIRM=0" xr:uid="{A08E2033-792C-4ACE-AA23-B22B5B1BCC29}"/>
    <hyperlink ref="C3506" r:id="rId3501" display="https://pld.live/RapDetail.aspx?STONELIST=926270817&amp;ISCONFIRM=0" xr:uid="{1B31E5F1-EF29-4CAF-8BC1-4EE9D269551B}"/>
    <hyperlink ref="C3507" r:id="rId3502" display="https://pld.live/RapDetail.aspx?STONELIST=926250446&amp;ISCONFIRM=0" xr:uid="{67B4206A-5211-4ACF-9400-3890EDCC9825}"/>
    <hyperlink ref="C3508" r:id="rId3503" display="https://pld.live/RapDetail.aspx?STONELIST=926250440&amp;ISCONFIRM=0" xr:uid="{7CC03A26-8F89-4339-8DE9-633F49876967}"/>
    <hyperlink ref="C3509" r:id="rId3504" display="https://pld.live/RapDetail.aspx?STONELIST=926250107&amp;ISCONFIRM=0" xr:uid="{54505F70-ED70-4102-BBC7-F365ADFD30B0}"/>
    <hyperlink ref="C3510" r:id="rId3505" display="https://pld.live/RapDetail.aspx?STONELIST=926250072&amp;ISCONFIRM=0" xr:uid="{20EEE36D-4E9C-44FB-94A1-F33551773770}"/>
    <hyperlink ref="C3511" r:id="rId3506" display="https://pld.live/RapDetail.aspx?STONELIST=926210843&amp;ISCONFIRM=0" xr:uid="{4FE38EA2-3C53-4AB1-A443-E1ACEE064377}"/>
    <hyperlink ref="C3512" r:id="rId3507" display="https://pld.live/RapDetail.aspx?STONELIST=926210842&amp;ISCONFIRM=0" xr:uid="{1A4E7F5F-8C8E-46E8-8976-8209DB964F68}"/>
    <hyperlink ref="C3513" r:id="rId3508" display="https://pld.live/RapDetail.aspx?STONELIST=926210564&amp;ISCONFIRM=0" xr:uid="{DE6AC84B-A77A-442B-A5FC-37310344E52E}"/>
    <hyperlink ref="C3514" r:id="rId3509" display="https://pld.live/RapDetail.aspx?STONELIST=926310953&amp;ISCONFIRM=0" xr:uid="{C23E6EA0-F49D-499B-AD01-FA0B1376C1E6}"/>
    <hyperlink ref="C3515" r:id="rId3510" display="https://pld.live/RapDetail.aspx?STONELIST=926211026&amp;ISCONFIRM=0" xr:uid="{75B92F99-E541-4800-8088-B0D8FB2BBFBA}"/>
    <hyperlink ref="C3516" r:id="rId3511" display="https://pld.live/RapDetail.aspx?STONELIST=831010802&amp;ISCONFIRM=0" xr:uid="{142CDAA2-7055-47EB-A946-8EBE54C3EE99}"/>
    <hyperlink ref="C3517" r:id="rId3512" display="https://pld.live/RapDetail.aspx?STONELIST=831010137&amp;ISCONFIRM=0" xr:uid="{5E522D2C-1F1B-4760-89CB-D546F15883A4}"/>
    <hyperlink ref="C3518" r:id="rId3513" display="https://pld.live/RapDetail.aspx?STONELIST=926270818&amp;ISCONFIRM=0" xr:uid="{09A67BE9-D6B5-4BAB-8115-487DAD204786}"/>
    <hyperlink ref="C3519" r:id="rId3514" display="https://pld.live/RapDetail.aspx?STONELIST=926210854&amp;ISCONFIRM=0" xr:uid="{1ACD62D4-586C-4E83-ADDC-F5FD56D5FEF9}"/>
    <hyperlink ref="C3520" r:id="rId3515" display="https://pld.live/RapDetail.aspx?STONELIST=926210945&amp;ISCONFIRM=0" xr:uid="{E3DE9B45-7131-4292-BDF7-6B72036917FC}"/>
    <hyperlink ref="C3521" r:id="rId3516" display="https://pld.live/RapDetail.aspx?STONELIST=922800554&amp;ISCONFIRM=0" xr:uid="{0712513B-0FB4-4D22-9757-BA8F26BE722F}"/>
    <hyperlink ref="C3522" r:id="rId3517" display="https://pld.live/RapDetail.aspx?STONELIST=926270908&amp;ISCONFIRM=0" xr:uid="{0B7177A4-494D-4978-96BF-F509F9FF87CB}"/>
    <hyperlink ref="C3523" r:id="rId3518" display="https://pld.live/RapDetail.aspx?STONELIST=926310843&amp;ISCONFIRM=0" xr:uid="{ABA85CE5-B089-4748-838E-B8B39994AEE2}"/>
    <hyperlink ref="C3524" r:id="rId3519" display="https://pld.live/RapDetail.aspx?STONELIST=924230619&amp;ISCONFIRM=0" xr:uid="{69009D35-2D6E-4205-AD1C-32899D2DD87E}"/>
    <hyperlink ref="C3525" r:id="rId3520" display="https://pld.live/RapDetail.aspx?STONELIST=926510284&amp;ISCONFIRM=0" xr:uid="{5CCBA8C3-335C-4DF0-AA95-69915C7B50DE}"/>
    <hyperlink ref="C3526" r:id="rId3521" display="https://pld.live/RapDetail.aspx?STONELIST=831010459&amp;ISCONFIRM=0" xr:uid="{22ED0EBF-AB29-4D48-9F1E-ECE1BF666E71}"/>
    <hyperlink ref="C3527" r:id="rId3522" display="https://pld.live/RapDetail.aspx?STONELIST=926210579&amp;ISCONFIRM=0" xr:uid="{2D0439C4-E281-4B2A-8985-45B333B77BBA}"/>
    <hyperlink ref="C3528" r:id="rId3523" display="https://pld.live/RapDetail.aspx?STONELIST=926210865&amp;ISCONFIRM=0" xr:uid="{A52BA5D9-0B38-4F0D-B480-C602CEE09DFA}"/>
    <hyperlink ref="C3529" r:id="rId3524" display="https://pld.live/RapDetail.aspx?STONELIST=925280542&amp;ISCONFIRM=0" xr:uid="{5957B8EF-857E-4776-BDC2-D7F9B2347CE0}"/>
    <hyperlink ref="C3530" r:id="rId3525" display="https://pld.live/RapDetail.aspx?STONELIST=926210772&amp;ISCONFIRM=0" xr:uid="{7E68FDF0-9C42-43DA-A49E-B84FC6C1B0A4}"/>
    <hyperlink ref="C3531" r:id="rId3526" display="https://pld.live/RapDetail.aspx?STONELIST=926331550&amp;ISCONFIRM=0" xr:uid="{F93E9FF6-EA68-40B9-B171-17324CDB7D8E}"/>
    <hyperlink ref="C3532" r:id="rId3527" display="https://pld.live/RapDetail.aspx?STONELIST=923570810&amp;ISCONFIRM=0" xr:uid="{73E327B4-AC97-4A1E-A657-8C115E7BD473}"/>
    <hyperlink ref="C3533" r:id="rId3528" display="https://pld.live/RapDetail.aspx?STONELIST=924700174&amp;ISCONFIRM=0" xr:uid="{C5AB0BB8-AAC1-422E-8F35-03F52DA5DB39}"/>
    <hyperlink ref="C3534" r:id="rId3529" display="https://pld.live/RapDetail.aspx?STONELIST=924970348&amp;ISCONFIRM=0" xr:uid="{CCC6E277-D269-4019-9A4E-92709A261CB3}"/>
    <hyperlink ref="C3535" r:id="rId3530" display="https://pld.live/RapDetail.aspx?STONELIST=925280560&amp;ISCONFIRM=0" xr:uid="{BBE31220-600C-46E3-ABC9-D1177C457521}"/>
    <hyperlink ref="C3536" r:id="rId3531" display="https://pld.live/RapDetail.aspx?STONELIST=831020356&amp;ISCONFIRM=0" xr:uid="{C393A8BC-E120-4AC9-952E-E54F3CD89F71}"/>
    <hyperlink ref="C3537" r:id="rId3532" display="https://pld.live/RapDetail.aspx?STONELIST=922940168&amp;ISCONFIRM=0" xr:uid="{15C630B2-A2AC-457C-9CDC-0F67176FDE0C}"/>
    <hyperlink ref="C3538" r:id="rId3533" display="https://pld.live/RapDetail.aspx?STONELIST=926280604&amp;ISCONFIRM=0" xr:uid="{FD8AD7AF-0993-459D-8B46-FA2CBCCF0962}"/>
    <hyperlink ref="C3539" r:id="rId3534" display="https://pld.live/RapDetail.aspx?STONELIST=924690195&amp;ISCONFIRM=0" xr:uid="{480F7F13-CC8D-485A-813F-49DE8C6C9ADE}"/>
    <hyperlink ref="C3540" r:id="rId3535" display="https://pld.live/RapDetail.aspx?STONELIST=924390448&amp;ISCONFIRM=0" xr:uid="{AE741445-862C-486E-8B0A-41E8D3E2F5B1}"/>
    <hyperlink ref="C3541" r:id="rId3536" display="https://pld.live/RapDetail.aspx?STONELIST=923690399&amp;ISCONFIRM=0" xr:uid="{88979ECD-24C0-4C6F-A7E2-BB1164370914}"/>
    <hyperlink ref="C3542" r:id="rId3537" display="https://pld.live/RapDetail.aspx?STONELIST=923920379&amp;ISCONFIRM=0" xr:uid="{7703D275-F8B4-4E66-913C-C1B864453373}"/>
    <hyperlink ref="C3543" r:id="rId3538" display="https://pld.live/RapDetail.aspx?STONELIST=923920451&amp;ISCONFIRM=0" xr:uid="{FE6B22AE-E675-419C-BA9B-99BCBFFB8AA5}"/>
    <hyperlink ref="C3544" r:id="rId3539" display="https://pld.live/RapDetail.aspx?STONELIST=923870407&amp;ISCONFIRM=0" xr:uid="{0361DC4C-F2EA-4E6A-9A72-F924C7407960}"/>
    <hyperlink ref="C3545" r:id="rId3540" display="https://pld.live/RapDetail.aspx?STONELIST=923920369&amp;ISCONFIRM=0" xr:uid="{D0914413-A192-45D0-8517-857F2A2FFE06}"/>
    <hyperlink ref="C3546" r:id="rId3541" display="https://pld.live/RapDetail.aspx?STONELIST=831010220&amp;ISCONFIRM=0" xr:uid="{0C19782E-3BDA-4BF9-92E0-D825975A64D5}"/>
    <hyperlink ref="C3547" r:id="rId3542" display="https://pld.live/RapDetail.aspx?STONELIST=923870336&amp;ISCONFIRM=0" xr:uid="{E7CC12D4-5548-4C05-91AB-358A7EEF566C}"/>
    <hyperlink ref="C3548" r:id="rId3543" display="https://pld.live/RapDetail.aspx?STONELIST=922800540&amp;ISCONFIRM=0" xr:uid="{66E889E2-3734-4F5E-A04A-2F3717B10A10}"/>
    <hyperlink ref="C3549" r:id="rId3544" display="https://pld.live/RapDetail.aspx?STONELIST=923690422&amp;ISCONFIRM=0" xr:uid="{783829FB-9169-41AB-8843-4E1256D694D2}"/>
    <hyperlink ref="C3550" r:id="rId3545" display="https://pld.live/RapDetail.aspx?STONELIST=923870413&amp;ISCONFIRM=0" xr:uid="{6D5ED914-B369-4E4F-8ECA-0CA321133F50}"/>
    <hyperlink ref="C3551" r:id="rId3546" display="https://pld.live/RapDetail.aspx?STONELIST=923920403&amp;ISCONFIRM=0" xr:uid="{12F6AE6B-D36F-4AB4-9788-5A7B85A244B0}"/>
    <hyperlink ref="C3552" r:id="rId3547" display="https://pld.live/RapDetail.aspx?STONELIST=923730592&amp;ISCONFIRM=0" xr:uid="{61A66825-A929-4E04-BA30-2CF98473B936}"/>
    <hyperlink ref="C3553" r:id="rId3548" display="https://pld.live/RapDetail.aspx?STONELIST=831020197&amp;ISCONFIRM=0" xr:uid="{E129AF0D-FB6B-45E9-9DA4-D2E5E149322F}"/>
    <hyperlink ref="C3554" r:id="rId3549" display="https://pld.live/RapDetail.aspx?STONELIST=831020192&amp;ISCONFIRM=0" xr:uid="{1ACF0506-3E5D-46CF-9019-EF4D1C008653}"/>
    <hyperlink ref="C3555" r:id="rId3550" display="https://pld.live/RapDetail.aspx?STONELIST=831020183&amp;ISCONFIRM=0" xr:uid="{CD177992-1E80-4510-A0EE-C4F4143C172E}"/>
    <hyperlink ref="C3556" r:id="rId3551" display="https://pld.live/RapDetail.aspx?STONELIST=924120050&amp;ISCONFIRM=0" xr:uid="{4520408B-B2CB-49D9-BD64-4B4F8530F524}"/>
    <hyperlink ref="C3557" r:id="rId3552" display="https://pld.live/RapDetail.aspx?STONELIST=925330022&amp;ISCONFIRM=0" xr:uid="{36B8E869-8A8D-4E79-8862-6ECC556814DF}"/>
    <hyperlink ref="C3558" r:id="rId3553" display="https://pld.live/RapDetail.aspx?STONELIST=924500078&amp;ISCONFIRM=0" xr:uid="{8C5BF338-0D05-4F7B-8274-BCCD2857D1DD}"/>
    <hyperlink ref="C3559" r:id="rId3554" display="https://pld.live/RapDetail.aspx?STONELIST=925330019&amp;ISCONFIRM=0" xr:uid="{A6C0C5BA-709D-4822-B908-B3D70F2AF6F7}"/>
    <hyperlink ref="C3560" r:id="rId3555" display="https://pld.live/RapDetail.aspx?STONELIST=924500105&amp;ISCONFIRM=0" xr:uid="{3AA58ADF-F993-4D08-9413-52EB46698425}"/>
    <hyperlink ref="C3561" r:id="rId3556" display="https://pld.live/RapDetail.aspx?STONELIST=831020652&amp;ISCONFIRM=0" xr:uid="{A52ACDD2-6113-4E86-8B91-21DD892B5D41}"/>
    <hyperlink ref="C3562" r:id="rId3557" display="https://pld.live/RapDetail.aspx?STONELIST=926470395&amp;ISCONFIRM=0" xr:uid="{32C4D150-8423-4F7D-BD21-C814776CC394}"/>
    <hyperlink ref="C3563" r:id="rId3558" display="https://pld.live/RapDetail.aspx?STONELIST=926360352&amp;ISCONFIRM=0" xr:uid="{B8CE5896-FC0A-4219-A7B4-048AAF6FB533}"/>
    <hyperlink ref="C3564" r:id="rId3559" display="https://pld.live/RapDetail.aspx?STONELIST=926410366&amp;ISCONFIRM=0" xr:uid="{A51AFD10-79F8-4161-9C14-FD67D615AA35}"/>
    <hyperlink ref="C3565" r:id="rId3560" display="https://pld.live/RapDetail.aspx?STONELIST=924510187&amp;ISCONFIRM=0" xr:uid="{FE3F35CE-CA24-4D5C-AE96-64E696F982D6}"/>
    <hyperlink ref="C3566" r:id="rId3561" display="https://pld.live/RapDetail.aspx?STONELIST=926410462&amp;ISCONFIRM=0" xr:uid="{779A5EC2-BED4-473D-9780-874AC5101FEC}"/>
    <hyperlink ref="C3567" r:id="rId3562" display="https://pld.live/RapDetail.aspx?STONELIST=927120108&amp;ISCONFIRM=0" xr:uid="{5C3D8538-CD12-4069-8DA1-3B820F8D7A29}"/>
    <hyperlink ref="C3568" r:id="rId3563" display="https://pld.live/RapDetail.aspx?STONELIST=927120156&amp;ISCONFIRM=0" xr:uid="{5A861466-808B-4347-BDE7-19C9A6CE4D28}"/>
    <hyperlink ref="C3569" r:id="rId3564" display="https://pld.live/RapDetail.aspx?STONELIST=926560414&amp;ISCONFIRM=0" xr:uid="{BAD7790E-19A9-4056-8B7E-05C465B27E43}"/>
    <hyperlink ref="C3570" r:id="rId3565" display="https://pld.live/RapDetail.aspx?STONELIST=927120107&amp;ISCONFIRM=0" xr:uid="{27EFFD2A-D52E-4A31-81BF-8649DFC60833}"/>
    <hyperlink ref="C3571" r:id="rId3566" display="https://pld.live/RapDetail.aspx?STONELIST=924510212&amp;ISCONFIRM=0" xr:uid="{D6662DAE-899B-4189-ACB9-9EF62A24C755}"/>
    <hyperlink ref="C3572" r:id="rId3567" display="https://pld.live/RapDetail.aspx?STONELIST=924510189&amp;ISCONFIRM=0" xr:uid="{278407DF-41F8-4F6C-9808-2F30FA947E9E}"/>
    <hyperlink ref="C3573" r:id="rId3568" display="https://pld.live/RapDetail.aspx?STONELIST=924500017&amp;ISCONFIRM=0" xr:uid="{6439076F-2EB5-45CA-9A39-CE5D56A1FF45}"/>
    <hyperlink ref="C3574" r:id="rId3569" display="https://pld.live/RapDetail.aspx?STONELIST=925690132&amp;ISCONFIRM=0" xr:uid="{F3EF4B21-A7B6-41C0-BEDF-8828D2D5A664}"/>
    <hyperlink ref="C3575" r:id="rId3570" display="https://pld.live/RapDetail.aspx?STONELIST=925410046&amp;ISCONFIRM=0" xr:uid="{68148514-93DB-46DA-AA78-83B1CBD996B5}"/>
    <hyperlink ref="C3576" r:id="rId3571" display="https://pld.live/RapDetail.aspx?STONELIST=941220323&amp;ISCONFIRM=0" xr:uid="{881A9A20-1841-4965-9F50-BEA217BD337B}"/>
    <hyperlink ref="C3577" r:id="rId3572" display="https://pld.live/RapDetail.aspx?STONELIST=941230316&amp;ISCONFIRM=0" xr:uid="{28C579BC-FC89-4AD9-A332-58A967CC9990}"/>
    <hyperlink ref="C3578" r:id="rId3573" display="https://pld.live/RapDetail.aspx?STONELIST=821133250&amp;ISCONFIRM=0" xr:uid="{33157B8C-D32E-4F54-BB5B-68DB33F20CB3}"/>
    <hyperlink ref="C3579" r:id="rId3574" display="https://pld.live/RapDetail.aspx?STONELIST=821133274&amp;ISCONFIRM=0" xr:uid="{FDCAD283-4FED-45D2-B792-F847F5C768BA}"/>
    <hyperlink ref="C3580" r:id="rId3575" display="https://pld.live/RapDetail.aspx?STONELIST=821133244&amp;ISCONFIRM=0" xr:uid="{CF67F9A2-6F70-4F7D-9901-145B62CA7B60}"/>
    <hyperlink ref="C3581" r:id="rId3576" display="https://pld.live/RapDetail.aspx?STONELIST=926410447&amp;ISCONFIRM=0" xr:uid="{B5940163-9F6D-4837-BC88-011D601A6DE8}"/>
    <hyperlink ref="C3582" r:id="rId3577" display="https://pld.live/RapDetail.aspx?STONELIST=926360357&amp;ISCONFIRM=0" xr:uid="{D55B01A1-C443-4497-A373-F0E5422E30AC}"/>
    <hyperlink ref="C3583" r:id="rId3578" display="https://pld.live/RapDetail.aspx?STONELIST=922930174&amp;ISCONFIRM=0" xr:uid="{27381C4F-F393-4D5D-ACE9-86F1AB701374}"/>
    <hyperlink ref="C3584" r:id="rId3579" display="https://pld.live/RapDetail.aspx?STONELIST=926410448&amp;ISCONFIRM=0" xr:uid="{E3A8B7FC-2B6D-4176-90EF-3BD6D6D9EBBA}"/>
    <hyperlink ref="C3585" r:id="rId3580" display="https://pld.live/RapDetail.aspx?STONELIST=925700296&amp;ISCONFIRM=0" xr:uid="{4FECAD39-B4B5-448D-91B6-D12E548183E7}"/>
    <hyperlink ref="C3586" r:id="rId3581" display="https://pld.live/RapDetail.aspx?STONELIST=927120163&amp;ISCONFIRM=0" xr:uid="{C9D9E705-FDE3-41F1-85BA-83525EC363AB}"/>
    <hyperlink ref="C3587" r:id="rId3582" display="https://pld.live/RapDetail.aspx?STONELIST=927120109&amp;ISCONFIRM=0" xr:uid="{21E00E29-5ED9-4F6A-B1AD-588608056608}"/>
    <hyperlink ref="C3588" r:id="rId3583" display="https://pld.live/RapDetail.aspx?STONELIST=927120126&amp;ISCONFIRM=0" xr:uid="{596B4A07-19BC-4AF1-97B5-0ADD067C6282}"/>
    <hyperlink ref="C3589" r:id="rId3584" display="https://pld.live/RapDetail.aspx?STONELIST=941220174&amp;ISCONFIRM=0" xr:uid="{28BA86FB-9BED-46F4-9628-2E98FADE5470}"/>
    <hyperlink ref="C3590" r:id="rId3585" display="https://pld.live/RapDetail.aspx?STONELIST=926410439&amp;ISCONFIRM=0" xr:uid="{49A4281B-51A8-4486-83C6-A093B144C8F9}"/>
    <hyperlink ref="C3591" r:id="rId3586" display="https://pld.live/RapDetail.aspx?STONELIST=941230764&amp;ISCONFIRM=0" xr:uid="{99C29909-8ECC-456D-B0B6-49254309926E}"/>
    <hyperlink ref="C3592" r:id="rId3587" display="https://pld.live/RapDetail.aspx?STONELIST=831020690&amp;ISCONFIRM=0" xr:uid="{49042696-420F-45E1-A64D-DB053D026B89}"/>
    <hyperlink ref="C3593" r:id="rId3588" display="https://pld.live/RapDetail.aspx?STONELIST=927020714&amp;ISCONFIRM=0" xr:uid="{6E97C42B-71DC-4C2E-B550-C4EC5462FD0C}"/>
    <hyperlink ref="C3594" r:id="rId3589" display="https://pld.live/RapDetail.aspx?STONELIST=926130080&amp;ISCONFIRM=0" xr:uid="{10A25B31-48C0-4C17-B872-58BECE8E3C10}"/>
    <hyperlink ref="C3595" r:id="rId3590" display="https://pld.live/RapDetail.aspx?STONELIST=927120057&amp;ISCONFIRM=0" xr:uid="{4651B954-997C-47AE-BE90-5A65C96CCBCC}"/>
    <hyperlink ref="C3596" r:id="rId3591" display="https://pld.live/RapDetail.aspx?STONELIST=927120106&amp;ISCONFIRM=0" xr:uid="{148BA9CF-DEA6-4280-AE54-AE50A2E41743}"/>
    <hyperlink ref="C3597" r:id="rId3592" display="https://pld.live/RapDetail.aspx?STONELIST=941230709&amp;ISCONFIRM=0" xr:uid="{33F770B9-59BF-4AE1-8423-946DF1F95959}"/>
    <hyperlink ref="C3598" r:id="rId3593" display="https://pld.live/RapDetail.aspx?STONELIST=927110095&amp;ISCONFIRM=0" xr:uid="{69CE83D4-4C3A-4AAE-A40F-2E0B210E8075}"/>
    <hyperlink ref="C3599" r:id="rId3594" display="https://pld.live/RapDetail.aspx?STONELIST=925410053&amp;ISCONFIRM=0" xr:uid="{C97139A8-1749-438F-B566-54597B5EC9C3}"/>
    <hyperlink ref="C3600" r:id="rId3595" display="https://pld.live/RapDetail.aspx?STONELIST=927120037&amp;ISCONFIRM=0" xr:uid="{49F2B168-8045-406B-B28E-E7758C1A7A14}"/>
    <hyperlink ref="C3601" r:id="rId3596" display="https://pld.live/RapDetail.aspx?STONELIST=925690168&amp;ISCONFIRM=0" xr:uid="{4F2D03B2-3B32-47CB-91CE-BB55AF68EE7D}"/>
    <hyperlink ref="C3602" r:id="rId3597" display="https://pld.live/RapDetail.aspx?STONELIST=924500098&amp;ISCONFIRM=0" xr:uid="{D8DCE039-BA11-4B72-8078-67AC28EC81CC}"/>
    <hyperlink ref="C3603" r:id="rId3598" display="https://pld.live/RapDetail.aspx?STONELIST=925710145&amp;ISCONFIRM=0" xr:uid="{9E7A7B1E-0F84-422A-94F3-98163E884DC5}"/>
    <hyperlink ref="C3604" r:id="rId3599" display="https://pld.live/RapDetail.aspx?STONELIST=924380486&amp;ISCONFIRM=0" xr:uid="{D8C15199-CF1A-4B65-B064-7733C8FF6C74}"/>
    <hyperlink ref="C3605" r:id="rId3600" display="https://pld.live/RapDetail.aspx?STONELIST=922530032&amp;ISCONFIRM=0" xr:uid="{E2C0398E-0E88-4EBB-AE4F-0CBE8AAA553B}"/>
    <hyperlink ref="C3606" r:id="rId3601" display="https://pld.live/RapDetail.aspx?STONELIST=926010236&amp;ISCONFIRM=0" xr:uid="{93F3ABF4-C4F7-41D9-80F7-4BBB22E821BD}"/>
    <hyperlink ref="C3607" r:id="rId3602" display="https://pld.live/RapDetail.aspx?STONELIST=924380466&amp;ISCONFIRM=0" xr:uid="{FB147015-CD5D-4314-A1C3-FB1FFCCBA90E}"/>
    <hyperlink ref="C3608" r:id="rId3603" display="https://pld.live/RapDetail.aspx?STONELIST=925630346&amp;ISCONFIRM=0" xr:uid="{4FE1A5A7-8282-47C0-80F0-A002191B0705}"/>
    <hyperlink ref="C3609" r:id="rId3604" display="https://pld.live/RapDetail.aspx?STONELIST=925560003&amp;ISCONFIRM=0" xr:uid="{90C39385-3B04-40B0-B5AB-460A65444250}"/>
    <hyperlink ref="C3610" r:id="rId3605" display="https://pld.live/RapDetail.aspx?STONELIST=831020689&amp;ISCONFIRM=0" xr:uid="{73D6A41C-FBB8-4D40-BD61-B729E03E4EC8}"/>
    <hyperlink ref="C3611" r:id="rId3606" display="https://pld.live/RapDetail.aspx?STONELIST=925700308&amp;ISCONFIRM=0" xr:uid="{BA5C4282-AB40-4476-877F-ABA7FB8C591A}"/>
    <hyperlink ref="C3612" r:id="rId3607" display="https://pld.live/RapDetail.aspx?STONELIST=925930213&amp;ISCONFIRM=0" xr:uid="{F51F6D3A-368F-482E-AC39-35DB66847248}"/>
    <hyperlink ref="C3613" r:id="rId3608" display="https://pld.live/RapDetail.aspx?STONELIST=821133091&amp;ISCONFIRM=0" xr:uid="{C1F56343-BC92-49CC-A704-C554051387C4}"/>
    <hyperlink ref="C3614" r:id="rId3609" display="https://pld.live/RapDetail.aspx?STONELIST=925630431&amp;ISCONFIRM=0" xr:uid="{1517A1EC-32E0-44B3-8D9A-DD8C8FB1711B}"/>
    <hyperlink ref="C3615" r:id="rId3610" display="https://pld.live/RapDetail.aspx?STONELIST=925630478&amp;ISCONFIRM=0" xr:uid="{29049786-5ACB-4B6C-9092-23DE4CCD2177}"/>
    <hyperlink ref="C3616" r:id="rId3611" display="https://pld.live/RapDetail.aspx?STONELIST=925630446&amp;ISCONFIRM=0" xr:uid="{BB4931C7-C8AF-4B3B-948C-CBD6496F44FC}"/>
    <hyperlink ref="C3617" r:id="rId3612" display="https://pld.live/RapDetail.aspx?STONELIST=924470010&amp;ISCONFIRM=0" xr:uid="{C8DF6FD4-506C-48CF-8F0C-E83DA347F9CA}"/>
    <hyperlink ref="C3618" r:id="rId3613" display="https://pld.live/RapDetail.aspx?STONELIST=925700321&amp;ISCONFIRM=0" xr:uid="{2C458469-7803-4440-AA06-C8A851437D15}"/>
    <hyperlink ref="C3619" r:id="rId3614" display="https://pld.live/RapDetail.aspx?STONELIST=925350039&amp;ISCONFIRM=0" xr:uid="{C807B8CC-4B3F-4AEA-B85D-AC73137C7E15}"/>
    <hyperlink ref="C3620" r:id="rId3615" display="https://pld.live/RapDetail.aspx?STONELIST=924380353&amp;ISCONFIRM=0" xr:uid="{CAC251C9-4435-4CC9-8ADF-94646B8B9230}"/>
    <hyperlink ref="C3621" r:id="rId3616" display="https://pld.live/RapDetail.aspx?STONELIST=924380497&amp;ISCONFIRM=0" xr:uid="{521B2751-D7F8-4C7F-BDC3-29385B620FA3}"/>
    <hyperlink ref="C3622" r:id="rId3617" display="https://pld.live/RapDetail.aspx?STONELIST=925630445&amp;ISCONFIRM=0" xr:uid="{F3811784-CBF9-4D46-A654-A63F92B0B2C5}"/>
    <hyperlink ref="C3623" r:id="rId3618" display="https://pld.live/RapDetail.aspx?STONELIST=925630453&amp;ISCONFIRM=0" xr:uid="{D54B0E9D-E711-4CCB-A671-036397A44E13}"/>
    <hyperlink ref="C3624" r:id="rId3619" display="https://pld.live/RapDetail.aspx?STONELIST=924930204&amp;ISCONFIRM=0" xr:uid="{60936590-3C5B-42D4-B35E-CB75201A654A}"/>
    <hyperlink ref="C3625" r:id="rId3620" display="https://pld.live/RapDetail.aspx?STONELIST=925060388&amp;ISCONFIRM=0" xr:uid="{4F00F326-B8A6-4F98-8BD8-CBA34DEE95EC}"/>
    <hyperlink ref="C3626" r:id="rId3621" display="https://pld.live/RapDetail.aspx?STONELIST=924930242&amp;ISCONFIRM=0" xr:uid="{313FCA19-E174-4152-95D8-EBA328D1BB59}"/>
    <hyperlink ref="C3627" r:id="rId3622" display="https://pld.live/RapDetail.aspx?STONELIST=924950284&amp;ISCONFIRM=0" xr:uid="{43F9B184-76D7-4C88-B83D-CDFED9C52E39}"/>
    <hyperlink ref="C3628" r:id="rId3623" display="https://pld.live/RapDetail.aspx?STONELIST=924930253&amp;ISCONFIRM=0" xr:uid="{147257EC-0302-4E5F-A59C-3067CD7F44A2}"/>
    <hyperlink ref="C3629" r:id="rId3624" display="https://pld.live/RapDetail.aspx?STONELIST=925060293&amp;ISCONFIRM=0" xr:uid="{7C24050F-90B2-4B3E-AA19-C6904048246B}"/>
    <hyperlink ref="C3630" r:id="rId3625" display="https://pld.live/RapDetail.aspx?STONELIST=831020634&amp;ISCONFIRM=0" xr:uid="{8AD4D126-1A87-46A6-AC17-2E95FE7A415D}"/>
    <hyperlink ref="C3631" r:id="rId3626" display="https://pld.live/RapDetail.aspx?STONELIST=924510182&amp;ISCONFIRM=0" xr:uid="{45877393-893E-4898-922A-26994DD759CD}"/>
    <hyperlink ref="C3632" r:id="rId3627" display="https://pld.live/RapDetail.aspx?STONELIST=831020567&amp;ISCONFIRM=0" xr:uid="{F2AAC314-EF59-4C23-B056-3764099A76D3}"/>
    <hyperlink ref="C3633" r:id="rId3628" display="https://pld.live/RapDetail.aspx?STONELIST=925060311&amp;ISCONFIRM=0" xr:uid="{035BCD6F-2A5A-4F08-A788-49DA22F6760F}"/>
    <hyperlink ref="C3634" r:id="rId3629" display="https://pld.live/RapDetail.aspx?STONELIST=831020642&amp;ISCONFIRM=0" xr:uid="{F589925D-4E7D-48E7-B5D3-637EBD161720}"/>
    <hyperlink ref="C3635" r:id="rId3630" display="https://pld.live/RapDetail.aspx?STONELIST=831020560&amp;ISCONFIRM=0" xr:uid="{6B867267-284E-49FD-B245-EC399BE6FB54}"/>
    <hyperlink ref="C3636" r:id="rId3631" display="https://pld.live/RapDetail.aspx?STONELIST=925630398&amp;ISCONFIRM=0" xr:uid="{E90F1A43-30F8-4DF0-8F09-D5AB800C4034}"/>
    <hyperlink ref="C3637" r:id="rId3632" display="https://pld.live/RapDetail.aspx?STONELIST=926420402&amp;ISCONFIRM=0" xr:uid="{8580C3F1-2DF1-46AB-B2EF-C0DA11FDAFF4}"/>
    <hyperlink ref="C3638" r:id="rId3633" display="https://pld.live/RapDetail.aspx?STONELIST=925670205&amp;ISCONFIRM=0" xr:uid="{0237A6DB-D0FC-4E17-9B08-A7E384E7D530}"/>
    <hyperlink ref="C3639" r:id="rId3634" display="https://pld.live/RapDetail.aspx?STONELIST=925690175&amp;ISCONFIRM=0" xr:uid="{D9D71AB3-4774-4BCF-B649-9FCEAB81FD43}"/>
    <hyperlink ref="C3640" r:id="rId3635" display="https://pld.live/RapDetail.aspx?STONELIST=925700285&amp;ISCONFIRM=0" xr:uid="{35A1913C-0C89-41B2-A381-2F2422E2E638}"/>
    <hyperlink ref="C3641" r:id="rId3636" display="https://pld.live/RapDetail.aspx?STONELIST=924930131&amp;ISCONFIRM=0" xr:uid="{4CDE1D69-79AC-4BF8-AE70-B4BE75C7C534}"/>
    <hyperlink ref="C3642" r:id="rId3637" display="https://pld.live/RapDetail.aspx?STONELIST=925710120&amp;ISCONFIRM=0" xr:uid="{56BF230A-2668-40C9-8669-43C8C7712E0C}"/>
    <hyperlink ref="C3643" r:id="rId3638" display="https://pld.live/RapDetail.aspx?STONELIST=926420421&amp;ISCONFIRM=0" xr:uid="{8E73E8CC-A31F-42B3-A73E-94CD031ED4EF}"/>
    <hyperlink ref="C3644" r:id="rId3639" display="https://pld.live/RapDetail.aspx?STONELIST=926010233&amp;ISCONFIRM=0" xr:uid="{2B63BC49-16B2-433F-88F0-4EE0312CE787}"/>
    <hyperlink ref="C3645" r:id="rId3640" display="https://pld.live/RapDetail.aspx?STONELIST=924930193&amp;ISCONFIRM=0" xr:uid="{C0899126-B7F6-4C62-A0A2-B5C9B1D27872}"/>
    <hyperlink ref="C3646" r:id="rId3641" display="https://pld.live/RapDetail.aspx?STONELIST=926420410&amp;ISCONFIRM=0" xr:uid="{A0AECB00-B2F1-4668-A30B-18C31FC07237}"/>
    <hyperlink ref="C3647" r:id="rId3642" display="https://pld.live/RapDetail.aspx?STONELIST=925060418&amp;ISCONFIRM=0" xr:uid="{E5AFC3E3-6274-476E-9616-2480E4EE3D5B}"/>
    <hyperlink ref="C3648" r:id="rId3643" display="https://pld.live/RapDetail.aspx?STONELIST=925570060&amp;ISCONFIRM=0" xr:uid="{9BBA3F53-8D6C-4F26-B987-320DD0A3EE49}"/>
    <hyperlink ref="C3649" r:id="rId3644" display="https://pld.live/RapDetail.aspx?STONELIST=922640075&amp;ISCONFIRM=0" xr:uid="{8B2195E6-E7D5-4DBA-956C-243D5592DF95}"/>
    <hyperlink ref="C3650" r:id="rId3645" display="https://pld.live/RapDetail.aspx?STONELIST=926050159&amp;ISCONFIRM=0" xr:uid="{6E857F23-98EE-49F6-9DC1-8482E4C5B006}"/>
    <hyperlink ref="C3651" r:id="rId3646" display="https://pld.live/RapDetail.aspx?STONELIST=925630430&amp;ISCONFIRM=0" xr:uid="{286F9E78-B018-4EF8-87DE-686B78E8DB33}"/>
    <hyperlink ref="C3652" r:id="rId3647" display="https://pld.live/RapDetail.aspx?STONELIST=925680117&amp;ISCONFIRM=0" xr:uid="{743515D9-C335-45E2-81D1-57B91F097490}"/>
    <hyperlink ref="C3653" r:id="rId3648" display="https://pld.live/RapDetail.aspx?STONELIST=925700282&amp;ISCONFIRM=0" xr:uid="{9DD1509A-6F46-471C-B1A9-27C89DDE630E}"/>
    <hyperlink ref="C3654" r:id="rId3649" display="https://pld.live/RapDetail.aspx?STONELIST=925690198&amp;ISCONFIRM=0" xr:uid="{25D21F4E-75A2-404F-B4E0-D4E4BC3FBAD0}"/>
    <hyperlink ref="C3655" r:id="rId3650" display="https://pld.live/RapDetail.aspx?STONELIST=925650064&amp;ISCONFIRM=0" xr:uid="{7E59D557-F92A-4694-9395-25239C3C9C10}"/>
    <hyperlink ref="C3656" r:id="rId3651" display="https://pld.live/RapDetail.aspx?STONELIST=925710213&amp;ISCONFIRM=0" xr:uid="{D543E27C-6045-4BA4-9B03-4B4D91B4EEF7}"/>
    <hyperlink ref="C3657" r:id="rId3652" display="https://pld.live/RapDetail.aspx?STONELIST=925630407&amp;ISCONFIRM=0" xr:uid="{4BF8D8B5-CA2B-494A-9098-0A04584E2715}"/>
    <hyperlink ref="C3658" r:id="rId3653" display="https://pld.live/RapDetail.aspx?STONELIST=925710161&amp;ISCONFIRM=0" xr:uid="{3362F561-8BC2-4542-B8D0-93CD8E254C07}"/>
    <hyperlink ref="C3659" r:id="rId3654" display="https://pld.live/RapDetail.aspx?STONELIST=926050307&amp;ISCONFIRM=0" xr:uid="{C4C1321D-B87F-46AD-A8D3-28CA248EC67D}"/>
    <hyperlink ref="C3660" r:id="rId3655" display="https://pld.live/RapDetail.aspx?STONELIST=926030101&amp;ISCONFIRM=0" xr:uid="{96296B90-7272-4442-BC5B-67182F8C8B06}"/>
    <hyperlink ref="C3661" r:id="rId3656" display="https://pld.live/RapDetail.aspx?STONELIST=927000651&amp;ISCONFIRM=0" xr:uid="{FCB2E566-435F-453D-A441-9A1FF1AC8F22}"/>
    <hyperlink ref="C3662" r:id="rId3657" display="https://pld.live/RapDetail.aspx?STONELIST=926130113&amp;ISCONFIRM=0" xr:uid="{E2C7857E-40A2-4E1E-889A-D913A874272B}"/>
    <hyperlink ref="C3663" r:id="rId3658" display="https://pld.live/RapDetail.aspx?STONELIST=926030100&amp;ISCONFIRM=0" xr:uid="{D7A39C5C-0B8C-46F6-83F2-1C0A0E9FE3E6}"/>
    <hyperlink ref="C3664" r:id="rId3659" display="https://pld.live/RapDetail.aspx?STONELIST=925660226&amp;ISCONFIRM=0" xr:uid="{4654249D-07C5-46B6-A6B9-FE9626A88218}"/>
    <hyperlink ref="C3665" r:id="rId3660" display="https://pld.live/RapDetail.aspx?STONELIST=926010227&amp;ISCONFIRM=0" xr:uid="{E14A4D9E-6402-4018-A9D2-8E451E149635}"/>
    <hyperlink ref="C3666" r:id="rId3661" display="https://pld.live/RapDetail.aspx?STONELIST=925400046&amp;ISCONFIRM=0" xr:uid="{0F3F9F37-7916-46B6-9D0D-7FC8101A790D}"/>
    <hyperlink ref="C3667" r:id="rId3662" display="https://pld.live/RapDetail.aspx?STONELIST=925710124&amp;ISCONFIRM=0" xr:uid="{8E36FFD4-4AC7-4A9D-9891-9AAE0A0E840B}"/>
    <hyperlink ref="C3668" r:id="rId3663" display="https://pld.live/RapDetail.aspx?STONELIST=925680157&amp;ISCONFIRM=0" xr:uid="{E0734FBA-567E-48E9-9400-DCA51FBB2FBE}"/>
    <hyperlink ref="C3669" r:id="rId3664" display="https://pld.live/RapDetail.aspx?STONELIST=925630394&amp;ISCONFIRM=0" xr:uid="{6A476885-CC0B-47FE-A399-50D159EB6992}"/>
    <hyperlink ref="C3670" r:id="rId3665" display="https://pld.live/RapDetail.aspx?STONELIST=925630364&amp;ISCONFIRM=0" xr:uid="{0E73D9F6-2FCB-43DC-BCF0-855E4C99E9D6}"/>
    <hyperlink ref="C3671" r:id="rId3666" display="https://pld.live/RapDetail.aspx?STONELIST=821113213&amp;ISCONFIRM=0" xr:uid="{D7BB2F90-A451-49DF-AC56-B64A6E74782F}"/>
    <hyperlink ref="C3672" r:id="rId3667" display="https://pld.live/RapDetail.aspx?STONELIST=925670203&amp;ISCONFIRM=0" xr:uid="{530185FC-7E86-4A42-8BC2-05028C201D82}"/>
    <hyperlink ref="C3673" r:id="rId3668" display="https://pld.live/RapDetail.aspx?STONELIST=925810031&amp;ISCONFIRM=0" xr:uid="{69379E33-F0BC-4957-8AD9-2BAFD813187C}"/>
    <hyperlink ref="C3674" r:id="rId3669" display="https://pld.live/RapDetail.aspx?STONELIST=831020287&amp;ISCONFIRM=0" xr:uid="{A508831A-BE72-41C7-8F41-74979A610B6A}"/>
    <hyperlink ref="C3675" r:id="rId3670" display="https://pld.live/RapDetail.aspx?STONELIST=925710186&amp;ISCONFIRM=0" xr:uid="{060DAE66-2DBC-4F84-9CEA-EE8A67332248}"/>
    <hyperlink ref="C3676" r:id="rId3671" display="https://pld.live/RapDetail.aspx?STONELIST=925690195&amp;ISCONFIRM=0" xr:uid="{0AB203C7-D23D-4F23-A296-EA18309E8A91}"/>
    <hyperlink ref="C3677" r:id="rId3672" display="https://pld.live/RapDetail.aspx?STONELIST=925600394&amp;ISCONFIRM=0" xr:uid="{7E23C385-99DB-4625-8C66-E93328032A58}"/>
    <hyperlink ref="C3678" r:id="rId3673" display="https://pld.live/RapDetail.aspx?STONELIST=925670190&amp;ISCONFIRM=0" xr:uid="{D68B6738-9AB8-4FF0-8779-EF8824577A79}"/>
    <hyperlink ref="C3679" r:id="rId3674" display="https://pld.live/RapDetail.aspx?STONELIST=925630468&amp;ISCONFIRM=0" xr:uid="{2FB16F0A-3155-4BB0-BCA7-A961004F39F4}"/>
    <hyperlink ref="C3680" r:id="rId3675" display="https://pld.live/RapDetail.aspx?STONELIST=925670170&amp;ISCONFIRM=0" xr:uid="{15B4F97B-8E32-4367-9EAF-2AA53C59EB43}"/>
    <hyperlink ref="C3681" r:id="rId3676" display="https://pld.live/RapDetail.aspx?STONELIST=925630370&amp;ISCONFIRM=0" xr:uid="{7511ADDC-6F05-4CBA-84D4-E1B90421CB85}"/>
    <hyperlink ref="C3682" r:id="rId3677" display="https://pld.live/RapDetail.aspx?STONELIST=925680168&amp;ISCONFIRM=0" xr:uid="{7CCC2461-01D2-45F8-A0BF-43C4AC4A8D58}"/>
    <hyperlink ref="C3683" r:id="rId3678" display="https://pld.live/RapDetail.aspx?STONELIST=925680156&amp;ISCONFIRM=0" xr:uid="{E0176B75-7890-416D-B085-987CB9769D70}"/>
    <hyperlink ref="C3684" r:id="rId3679" display="https://pld.live/RapDetail.aspx?STONELIST=925690179&amp;ISCONFIRM=0" xr:uid="{91169226-6B38-4785-8A08-5AF412527334}"/>
    <hyperlink ref="C3685" r:id="rId3680" display="https://pld.live/RapDetail.aspx?STONELIST=925700067&amp;ISCONFIRM=0" xr:uid="{F0A57638-EEC4-4CAD-AB43-BA325D476FE0}"/>
    <hyperlink ref="C3686" r:id="rId3681" display="https://pld.live/RapDetail.aspx?STONELIST=925570091&amp;ISCONFIRM=0" xr:uid="{AD903AD2-008E-4F94-8E90-B3E6129ABFD3}"/>
    <hyperlink ref="C3687" r:id="rId3682" display="https://pld.live/RapDetail.aspx?STONELIST=925700287&amp;ISCONFIRM=0" xr:uid="{9224AE12-FB87-44B3-8CAD-8644F708E711}"/>
    <hyperlink ref="C3688" r:id="rId3683" display="https://pld.live/RapDetail.aspx?STONELIST=925820255&amp;ISCONFIRM=0" xr:uid="{94AF12C0-DA9B-4A28-A9DB-78C1A6C0E823}"/>
    <hyperlink ref="C3689" r:id="rId3684" display="https://pld.live/RapDetail.aspx?STONELIST=925600046&amp;ISCONFIRM=0" xr:uid="{4BD160E5-0B55-4179-8EBB-AF5873CFA60B}"/>
    <hyperlink ref="C3690" r:id="rId3685" display="https://pld.live/RapDetail.aspx?STONELIST=926910543&amp;ISCONFIRM=0" xr:uid="{3829D9C9-79DF-4096-84FB-9B79B0558020}"/>
    <hyperlink ref="C3691" r:id="rId3686" display="https://pld.live/RapDetail.aspx?STONELIST=925680196&amp;ISCONFIRM=0" xr:uid="{A5AC38C5-CCC3-4974-9E07-D51D911DD706}"/>
    <hyperlink ref="C3692" r:id="rId3687" display="https://pld.live/RapDetail.aspx?STONELIST=925670204&amp;ISCONFIRM=0" xr:uid="{1A014A00-FB7F-4AB9-B28B-DE2991512DA6}"/>
    <hyperlink ref="C3693" r:id="rId3688" display="https://pld.live/RapDetail.aspx?STONELIST=925560024&amp;ISCONFIRM=0" xr:uid="{6E4B1769-40E6-4677-BD0B-4E569D6E13D6}"/>
    <hyperlink ref="C3694" r:id="rId3689" display="https://pld.live/RapDetail.aspx?STONELIST=821133298&amp;ISCONFIRM=0" xr:uid="{8D91F5BE-6075-4823-A373-3F82CE3C5CDC}"/>
    <hyperlink ref="C3695" r:id="rId3690" display="https://pld.live/RapDetail.aspx?STONELIST=821115897&amp;ISCONFIRM=0" xr:uid="{016F8249-2FBA-4B8E-BCE5-CA801E01D46F}"/>
    <hyperlink ref="C3696" r:id="rId3691" display="https://pld.live/RapDetail.aspx?STONELIST=925580058&amp;ISCONFIRM=0" xr:uid="{BFF1518D-F46C-4A8F-AA6E-F3B24E860AA3}"/>
    <hyperlink ref="C3697" r:id="rId3692" display="https://pld.live/RapDetail.aspx?STONELIST=941060537&amp;ISCONFIRM=0" xr:uid="{A24CEE1D-1E5B-44F3-8556-8D79E3EA4FE2}"/>
    <hyperlink ref="C3698" r:id="rId3693" display="https://pld.live/RapDetail.aspx?STONELIST=941060536&amp;ISCONFIRM=0" xr:uid="{B310D7DB-73FB-41A9-B879-D126240FAB13}"/>
    <hyperlink ref="C3699" r:id="rId3694" display="https://pld.live/RapDetail.aspx?STONELIST=941060528&amp;ISCONFIRM=0" xr:uid="{128E7966-160C-463D-94DD-A11B80723FF8}"/>
    <hyperlink ref="C3700" r:id="rId3695" display="https://pld.live/RapDetail.aspx?STONELIST=927070914&amp;ISCONFIRM=0" xr:uid="{B3D0D1B7-0BC9-441E-BDB7-9CB31DD6EF5A}"/>
    <hyperlink ref="C3701" r:id="rId3696" display="https://pld.live/RapDetail.aspx?STONELIST=941050588&amp;ISCONFIRM=0" xr:uid="{1400C6FA-7108-40B3-8C88-77F1868D4FDB}"/>
    <hyperlink ref="C3702" r:id="rId3697" display="https://pld.live/RapDetail.aspx?STONELIST=927070922&amp;ISCONFIRM=0" xr:uid="{0DC2261C-C98D-413F-8851-624FCE62890B}"/>
    <hyperlink ref="C3703" r:id="rId3698" display="https://pld.live/RapDetail.aspx?STONELIST=925710092&amp;ISCONFIRM=0" xr:uid="{B2B09129-1BFA-4B98-BDDC-AC86F606AB53}"/>
    <hyperlink ref="C3704" r:id="rId3699" display="https://pld.live/RapDetail.aspx?STONELIST=925680195&amp;ISCONFIRM=0" xr:uid="{B237808B-305A-42FA-A3F9-1CF5E58F3596}"/>
    <hyperlink ref="C3705" r:id="rId3700" display="https://pld.live/RapDetail.aspx?STONELIST=925700155&amp;ISCONFIRM=0" xr:uid="{04D36A8F-2291-4CC9-953E-43558E67929D}"/>
    <hyperlink ref="C3706" r:id="rId3701" display="https://pld.live/RapDetail.aspx?STONELIST=924250739&amp;ISCONFIRM=0" xr:uid="{46DDE58C-FCEA-491C-A4ED-BC348D81A7FD}"/>
    <hyperlink ref="C3707" r:id="rId3702" display="https://pld.live/RapDetail.aspx?STONELIST=924250736&amp;ISCONFIRM=0" xr:uid="{3A093578-7480-447A-AF53-8E8D22CFF927}"/>
    <hyperlink ref="C3708" r:id="rId3703" display="https://pld.live/RapDetail.aspx?STONELIST=924950405&amp;ISCONFIRM=0" xr:uid="{32EB893A-84E4-43E1-B240-C5E3E42EDE08}"/>
    <hyperlink ref="C3709" r:id="rId3704" display="https://pld.live/RapDetail.aspx?STONELIST=926450331&amp;ISCONFIRM=0" xr:uid="{9822918D-D375-4FE3-A67E-B24CC5E7B7A3}"/>
    <hyperlink ref="C3710" r:id="rId3705" display="https://pld.live/RapDetail.aspx?STONELIST=925700299&amp;ISCONFIRM=0" xr:uid="{1BD41C26-0E70-4A0B-8931-D23C5EE9D301}"/>
    <hyperlink ref="C3711" r:id="rId3706" display="https://pld.live/RapDetail.aspx?STONELIST=925700283&amp;ISCONFIRM=0" xr:uid="{E4FD2A12-9226-4622-AAC6-BDB25F31FD05}"/>
    <hyperlink ref="C3712" r:id="rId3707" display="https://pld.live/RapDetail.aspx?STONELIST=925820260&amp;ISCONFIRM=0" xr:uid="{F92B11CF-D075-4D1F-8B12-40D672B70AB6}"/>
    <hyperlink ref="C3713" r:id="rId3708" display="https://pld.live/RapDetail.aspx?STONELIST=926420281&amp;ISCONFIRM=0" xr:uid="{CAB55856-CD0B-4B31-94AC-28543CD45B15}"/>
    <hyperlink ref="C3714" r:id="rId3709" display="https://pld.live/RapDetail.aspx?STONELIST=941050585&amp;ISCONFIRM=0" xr:uid="{26A44049-BF88-4959-8BBA-7D23117C2D0C}"/>
    <hyperlink ref="C3715" r:id="rId3710" display="https://pld.live/RapDetail.aspx?STONELIST=941060540&amp;ISCONFIRM=0" xr:uid="{00C875D6-DC3A-4009-AD2F-2E267D462BA4}"/>
    <hyperlink ref="C3716" r:id="rId3711" display="https://pld.live/RapDetail.aspx?STONELIST=941060543&amp;ISCONFIRM=0" xr:uid="{52BEE909-D81F-48B7-8F44-A116C5BAB25F}"/>
    <hyperlink ref="C3717" r:id="rId3712" display="https://pld.live/RapDetail.aspx?STONELIST=927070931&amp;ISCONFIRM=0" xr:uid="{CE27F67C-7AA2-4404-88BE-B39FFA882BE6}"/>
    <hyperlink ref="C3718" r:id="rId3713" display="https://pld.live/RapDetail.aspx?STONELIST=925710166&amp;ISCONFIRM=0" xr:uid="{2406B4D5-5BFB-4BB7-8BC0-FDD21D71B6E5}"/>
    <hyperlink ref="C3719" r:id="rId3714" display="https://pld.live/RapDetail.aspx?STONELIST=922130081&amp;ISCONFIRM=0" xr:uid="{17843AF2-D29C-4FEB-9BAF-8864662E4C46}"/>
    <hyperlink ref="C3720" r:id="rId3715" display="https://pld.live/RapDetail.aspx?STONELIST=925700168&amp;ISCONFIRM=0" xr:uid="{3F7FA2EE-8C53-47F6-844C-10B211F13C62}"/>
    <hyperlink ref="C3721" r:id="rId3716" display="https://pld.live/RapDetail.aspx?STONELIST=925660224&amp;ISCONFIRM=0" xr:uid="{64E6236C-FC8B-4F7C-B083-B48D2E4982FB}"/>
    <hyperlink ref="C3722" r:id="rId3717" display="https://pld.live/RapDetail.aspx?STONELIST=925700183&amp;ISCONFIRM=0" xr:uid="{C1E0C027-A83A-47A7-920A-5AC66E964C92}"/>
    <hyperlink ref="C3723" r:id="rId3718" display="https://pld.live/RapDetail.aspx?STONELIST=925700237&amp;ISCONFIRM=0" xr:uid="{5F7AC2B7-6FA7-49FC-AC3E-B2D8BB74166B}"/>
    <hyperlink ref="C3724" r:id="rId3719" display="https://pld.live/RapDetail.aspx?STONELIST=925600335&amp;ISCONFIRM=0" xr:uid="{A6259494-73F4-4A36-A610-3D5526A86893}"/>
    <hyperlink ref="C3725" r:id="rId3720" display="https://pld.live/RapDetail.aspx?STONELIST=941250683&amp;ISCONFIRM=0" xr:uid="{DD03C1EF-02A8-4640-9B04-491E814D6795}"/>
    <hyperlink ref="C3726" r:id="rId3721" display="https://pld.live/RapDetail.aspx?STONELIST=925630467&amp;ISCONFIRM=0" xr:uid="{BD938150-F205-4F72-9967-C18A33BC2C6F}"/>
    <hyperlink ref="C3727" r:id="rId3722" display="https://pld.live/RapDetail.aspx?STONELIST=925670134&amp;ISCONFIRM=0" xr:uid="{A8642ECC-224F-4FAB-BF30-243CF900DAF2}"/>
    <hyperlink ref="C3728" r:id="rId3723" display="https://pld.live/RapDetail.aspx?STONELIST=924940310&amp;ISCONFIRM=0" xr:uid="{A097D6ED-FAC2-4E50-AF4F-C65F6BEF4D3F}"/>
    <hyperlink ref="C3729" r:id="rId3724" display="https://pld.live/RapDetail.aspx?STONELIST=925630417&amp;ISCONFIRM=0" xr:uid="{5D8EDCCB-21DE-4558-BBE4-645D7FAADFEE}"/>
    <hyperlink ref="C3730" r:id="rId3725" display="https://pld.live/RapDetail.aspx?STONELIST=925710203&amp;ISCONFIRM=0" xr:uid="{84CC921D-3690-4FE9-8D7D-3E106A154063}"/>
    <hyperlink ref="C3731" r:id="rId3726" display="https://pld.live/RapDetail.aspx?STONELIST=925060180&amp;ISCONFIRM=0" xr:uid="{FB5E27A7-B853-4B8D-8616-8E80CB243A0C}"/>
    <hyperlink ref="C3732" r:id="rId3727" display="https://pld.live/RapDetail.aspx?STONELIST=821113672&amp;ISCONFIRM=0" xr:uid="{241E3367-15A4-42F0-9DCC-0E77FAB376BE}"/>
    <hyperlink ref="C3733" r:id="rId3728" display="https://pld.live/RapDetail.aspx?STONELIST=831020647&amp;ISCONFIRM=0" xr:uid="{EF1EF3F2-319F-4EA4-874D-87750D26EC16}"/>
    <hyperlink ref="C3734" r:id="rId3729" display="https://pld.live/RapDetail.aspx?STONELIST=925570101&amp;ISCONFIRM=0" xr:uid="{F78B380F-7358-4790-9DD1-AA7AF0CE5B56}"/>
    <hyperlink ref="C3735" r:id="rId3730" display="https://pld.live/RapDetail.aspx?STONELIST=831020646&amp;ISCONFIRM=0" xr:uid="{22B9FDD4-6F98-4C2A-8642-E5A800729B2F}"/>
    <hyperlink ref="C3736" r:id="rId3731" display="https://pld.live/RapDetail.aspx?STONELIST=926030149&amp;ISCONFIRM=0" xr:uid="{4ABA889F-D3D1-4E95-860B-3377BDA5DCCF}"/>
    <hyperlink ref="C3737" r:id="rId3732" display="https://pld.live/RapDetail.aspx?STONELIST=941430756&amp;ISCONFIRM=0" xr:uid="{3FEB2443-BBDA-4A71-B7CD-57D55C3AD9F5}"/>
    <hyperlink ref="C3738" r:id="rId3733" display="https://pld.live/RapDetail.aspx?STONELIST=821112908&amp;ISCONFIRM=0" xr:uid="{4C8D2760-FE7A-4625-A481-53134F6D3ADF}"/>
    <hyperlink ref="C3739" r:id="rId3734" display="https://pld.live/RapDetail.aspx?STONELIST=941421123&amp;ISCONFIRM=0" xr:uid="{FC8FB103-E33D-4A45-8E1A-CCF024579FA6}"/>
    <hyperlink ref="C3740" r:id="rId3735" display="https://pld.live/RapDetail.aspx?STONELIST=941400587&amp;ISCONFIRM=0" xr:uid="{9B11A649-868B-42D7-9F83-A89DA60DBDA7}"/>
    <hyperlink ref="C3741" r:id="rId3736" display="https://pld.live/RapDetail.aspx?STONELIST=821116109&amp;ISCONFIRM=0" xr:uid="{2F45779F-4513-43C3-81F0-627117C3C790}"/>
    <hyperlink ref="C3742" r:id="rId3737" display="https://pld.live/RapDetail.aspx?STONELIST=941380435&amp;ISCONFIRM=0" xr:uid="{EFF77569-A937-45E1-BB94-B9FF41B4E470}"/>
    <hyperlink ref="C3743" r:id="rId3738" display="https://pld.live/RapDetail.aspx?STONELIST=9414301322&amp;ISCONFIRM=0" xr:uid="{6F89CDA3-09EC-445F-A88B-99429449BCF8}"/>
    <hyperlink ref="C3744" r:id="rId3739" display="https://pld.live/RapDetail.aspx?STONELIST=941360580&amp;ISCONFIRM=0" xr:uid="{0D9D81AE-742A-4543-965D-ED43305FCA67}"/>
    <hyperlink ref="C3745" r:id="rId3740" display="https://pld.live/RapDetail.aspx?STONELIST=941421269&amp;ISCONFIRM=0" xr:uid="{B90723D4-6CD5-49FF-9683-A591071AE897}"/>
    <hyperlink ref="C3746" r:id="rId3741" display="https://pld.live/RapDetail.aspx?STONELIST=926010106&amp;ISCONFIRM=0" xr:uid="{9ED24F76-F94B-4E76-AADD-803F5431EA1C}"/>
    <hyperlink ref="C3747" r:id="rId3742" display="https://pld.live/RapDetail.aspx?STONELIST=926010028&amp;ISCONFIRM=0" xr:uid="{A821806E-81F6-4454-8974-33A4A3CF5FB6}"/>
    <hyperlink ref="C3748" r:id="rId3743" display="https://pld.live/RapDetail.aspx?STONELIST=925700319&amp;ISCONFIRM=0" xr:uid="{36463693-52B7-46AB-A351-97C3BDC76E9D}"/>
    <hyperlink ref="C3749" r:id="rId3744" display="https://pld.live/RapDetail.aspx?STONELIST=925560050&amp;ISCONFIRM=0" xr:uid="{93B05CF4-68FF-4B5D-8205-DF58CF59611B}"/>
    <hyperlink ref="C3750" r:id="rId3745" display="https://pld.live/RapDetail.aspx?STONELIST=925560098&amp;ISCONFIRM=0" xr:uid="{7B6C167A-F57C-449B-AC73-459C286618ED}"/>
    <hyperlink ref="C3751" r:id="rId3746" display="https://pld.live/RapDetail.aspx?STONELIST=924380360&amp;ISCONFIRM=0" xr:uid="{3D97761E-FA33-4A46-9C65-35B7FC7ACE99}"/>
    <hyperlink ref="C3752" r:id="rId3747" display="https://pld.live/RapDetail.aspx?STONELIST=926010135&amp;ISCONFIRM=0" xr:uid="{05E49B55-813C-4798-A7EF-21CC9241651C}"/>
    <hyperlink ref="C3753" r:id="rId3748" display="https://pld.live/RapDetail.aspx?STONELIST=926030088&amp;ISCONFIRM=0" xr:uid="{950E222B-A6FA-4E78-88C4-703D68CDCEA4}"/>
    <hyperlink ref="C3754" r:id="rId3749" display="https://pld.live/RapDetail.aspx?STONELIST=925560076&amp;ISCONFIRM=0" xr:uid="{A3DC9D31-6135-4159-B1DE-3441040B3CD3}"/>
    <hyperlink ref="C3755" r:id="rId3750" display="https://pld.live/RapDetail.aspx?STONELIST=926060003&amp;ISCONFIRM=0" xr:uid="{CAC1FCC8-2BD2-45C9-97B4-BAEA69DFB121}"/>
    <hyperlink ref="C3756" r:id="rId3751" display="https://pld.live/RapDetail.aspx?STONELIST=927080759&amp;ISCONFIRM=0" xr:uid="{96B46A25-5C1F-44C6-B708-43D8F475E557}"/>
    <hyperlink ref="C3757" r:id="rId3752" display="https://pld.live/RapDetail.aspx?STONELIST=925060347&amp;ISCONFIRM=0" xr:uid="{61852479-3CB6-4199-B96D-F38EF02991E7}"/>
    <hyperlink ref="C3758" r:id="rId3753" display="https://pld.live/RapDetail.aspx?STONELIST=927110015&amp;ISCONFIRM=0" xr:uid="{30D52579-797A-454D-A56E-13DAA09D1265}"/>
    <hyperlink ref="C3759" r:id="rId3754" display="https://pld.live/RapDetail.aspx?STONELIST=925680138&amp;ISCONFIRM=0" xr:uid="{FE07472C-9A84-4CB9-8E30-EE163087095C}"/>
    <hyperlink ref="C3760" r:id="rId3755" display="https://pld.live/RapDetail.aspx?STONELIST=927070627&amp;ISCONFIRM=0" xr:uid="{D6C3F833-83CC-4336-8E36-10C7C890BAE3}"/>
    <hyperlink ref="C3761" r:id="rId3756" display="https://pld.live/RapDetail.aspx?STONELIST=941110548&amp;ISCONFIRM=0" xr:uid="{6D5A1B26-013A-46A4-96A0-031841FEAEF2}"/>
    <hyperlink ref="C3762" r:id="rId3757" display="https://pld.live/RapDetail.aspx?STONELIST=925060320&amp;ISCONFIRM=0" xr:uid="{B21D47A5-8B4A-4FB4-8625-3E4F874E0956}"/>
    <hyperlink ref="C3763" r:id="rId3758" display="https://pld.live/RapDetail.aspx?STONELIST=941431183&amp;ISCONFIRM=0" xr:uid="{CC9F8327-365D-4B9C-8ADB-C80D646D4620}"/>
    <hyperlink ref="C3764" r:id="rId3759" display="https://pld.live/RapDetail.aspx?STONELIST=925680179&amp;ISCONFIRM=0" xr:uid="{0ED825E9-D70C-4BA7-B950-9E8A9C0AB391}"/>
    <hyperlink ref="C3765" r:id="rId3760" display="https://pld.live/RapDetail.aspx?STONELIST=927070174&amp;ISCONFIRM=0" xr:uid="{1AF4C951-48F5-4752-93F5-DF4762944BB7}"/>
    <hyperlink ref="C3766" r:id="rId3761" display="https://pld.live/RapDetail.aspx?STONELIST=831020661&amp;ISCONFIRM=0" xr:uid="{9A8B6CCE-F3B7-44B4-8BFD-04F75AEEFF3E}"/>
    <hyperlink ref="C3767" r:id="rId3762" display="https://pld.live/RapDetail.aspx?STONELIST=927070926&amp;ISCONFIRM=0" xr:uid="{917B9019-830A-46A5-B29D-79F41C061F27}"/>
    <hyperlink ref="C3768" r:id="rId3763" display="https://pld.live/RapDetail.aspx?STONELIST=941421264&amp;ISCONFIRM=0" xr:uid="{54136F67-07F4-462F-A41D-A87B76C7AFF2}"/>
    <hyperlink ref="C3769" r:id="rId3764" display="https://pld.live/RapDetail.aspx?STONELIST=941400537&amp;ISCONFIRM=0" xr:uid="{C7A79B71-088F-4DB2-8B9D-E61A9C2FD1A0}"/>
    <hyperlink ref="C3770" r:id="rId3765" display="https://pld.live/RapDetail.aspx?STONELIST=941380422&amp;ISCONFIRM=0" xr:uid="{EA015B28-6DD2-4BF8-AD30-188C8E55A1BB}"/>
    <hyperlink ref="C3771" r:id="rId3766" display="https://pld.live/RapDetail.aspx?STONELIST=941431254&amp;ISCONFIRM=0" xr:uid="{627E0FFC-F130-4A81-9AC0-D4B2881B9ED8}"/>
    <hyperlink ref="C3772" r:id="rId3767" display="https://pld.live/RapDetail.aspx?STONELIST=941421261&amp;ISCONFIRM=0" xr:uid="{91966197-6B4F-430C-8898-8462F5024382}"/>
    <hyperlink ref="C3773" r:id="rId3768" display="https://pld.live/RapDetail.aspx?STONELIST=9414301314&amp;ISCONFIRM=0" xr:uid="{3EF6FDB6-7F29-4ADE-8C82-82EA69BF150D}"/>
    <hyperlink ref="C3774" r:id="rId3769" display="https://pld.live/RapDetail.aspx?STONELIST=9413800623&amp;ISCONFIRM=0" xr:uid="{2E5460C0-49BF-40CE-8CA5-C297C2B814AC}"/>
    <hyperlink ref="C3775" r:id="rId3770" display="https://pld.live/RapDetail.aspx?STONELIST=941400542&amp;ISCONFIRM=0" xr:uid="{AB976DAB-74DD-4CE1-94E9-57047D01AF42}"/>
    <hyperlink ref="C3776" r:id="rId3771" display="https://pld.live/RapDetail.aspx?STONELIST=941400556&amp;ISCONFIRM=0" xr:uid="{C2EFD645-76E9-4813-B627-6C166780F542}"/>
    <hyperlink ref="C3777" r:id="rId3772" display="https://pld.live/RapDetail.aspx?STONELIST=941421270&amp;ISCONFIRM=0" xr:uid="{55D38483-F275-4CB8-B460-C9D85914858D}"/>
    <hyperlink ref="C3778" r:id="rId3773" display="https://pld.live/RapDetail.aspx?STONELIST=941421242&amp;ISCONFIRM=0" xr:uid="{70AFF508-47B5-4947-BD77-F5C6B74ABE88}"/>
    <hyperlink ref="C3779" r:id="rId3774" display="https://pld.live/RapDetail.aspx?STONELIST=9414301328&amp;ISCONFIRM=0" xr:uid="{475023D2-9FAE-44F6-973F-70F31DFBEF55}"/>
    <hyperlink ref="C3780" r:id="rId3775" display="https://pld.live/RapDetail.aspx?STONELIST=941110510&amp;ISCONFIRM=0" xr:uid="{FC63F822-E517-4C2F-BEBE-2EBCFFBC33FF}"/>
    <hyperlink ref="C3781" r:id="rId3776" display="https://pld.live/RapDetail.aspx?STONELIST=9414201312&amp;ISCONFIRM=0" xr:uid="{D3F619E7-BF4D-4BF5-A8D0-D9D0A62422CE}"/>
    <hyperlink ref="C3782" r:id="rId3777" display="https://pld.live/RapDetail.aspx?STONELIST=941110574&amp;ISCONFIRM=0" xr:uid="{A71CEEFD-85E2-4238-BF6C-129577481BC3}"/>
    <hyperlink ref="C3783" r:id="rId3778" display="https://pld.live/RapDetail.aspx?STONELIST=927070167&amp;ISCONFIRM=0" xr:uid="{C268C946-1A56-4213-941A-0A0C171713E1}"/>
    <hyperlink ref="C3784" r:id="rId3779" display="https://pld.live/RapDetail.aspx?STONELIST=941110532&amp;ISCONFIRM=0" xr:uid="{75CBF929-0525-44E8-9C0A-E643B1EA3502}"/>
    <hyperlink ref="C3785" r:id="rId3780" display="https://pld.live/RapDetail.aspx?STONELIST=941400543&amp;ISCONFIRM=0" xr:uid="{9198F462-B698-4121-BAE3-9AF17CE5652B}"/>
    <hyperlink ref="C3786" r:id="rId3781" display="https://pld.live/RapDetail.aspx?STONELIST=941150080&amp;ISCONFIRM=0" xr:uid="{202EC821-3116-4C16-8799-F8899B747ED5}"/>
    <hyperlink ref="C3787" r:id="rId3782" display="https://pld.live/RapDetail.aspx?STONELIST=9414201302&amp;ISCONFIRM=0" xr:uid="{BEAD7033-C078-44E9-B163-A9303CF66435}"/>
    <hyperlink ref="C3788" r:id="rId3783" display="https://pld.live/RapDetail.aspx?STONELIST=927060460&amp;ISCONFIRM=0" xr:uid="{F2AFACE0-1C68-4D81-90F7-E7E6815DEA18}"/>
    <hyperlink ref="C3789" r:id="rId3784" display="https://pld.live/RapDetail.aspx?STONELIST=925610485&amp;ISCONFIRM=0" xr:uid="{45D58C09-B9D3-4881-8E0B-24474B4B709C}"/>
    <hyperlink ref="C3790" r:id="rId3785" display="https://pld.live/RapDetail.aspx?STONELIST=927010694&amp;ISCONFIRM=0" xr:uid="{9CECCC43-2554-45E1-814D-44E5CCA2ED3C}"/>
    <hyperlink ref="C3791" r:id="rId3786" display="https://pld.live/RapDetail.aspx?STONELIST=941110476&amp;ISCONFIRM=0" xr:uid="{FC03597A-2B57-4B36-BEB4-7AB67F3E16FD}"/>
    <hyperlink ref="C3792" r:id="rId3787" display="https://pld.live/RapDetail.aspx?STONELIST=941110518&amp;ISCONFIRM=0" xr:uid="{6681577A-E3DC-4C41-A58B-B177653888E5}"/>
    <hyperlink ref="C3793" r:id="rId3788" display="https://pld.live/RapDetail.aspx?STONELIST=941120573&amp;ISCONFIRM=0" xr:uid="{3269453D-5DA8-4431-96EE-DD1243C9A546}"/>
    <hyperlink ref="C3794" r:id="rId3789" display="https://pld.live/RapDetail.aspx?STONELIST=927080257&amp;ISCONFIRM=0" xr:uid="{C8DC6118-39C8-4F7A-8DCA-33A73AFBE5E4}"/>
    <hyperlink ref="C3795" r:id="rId3790" display="https://pld.live/RapDetail.aspx?STONELIST=927080328&amp;ISCONFIRM=0" xr:uid="{90274834-E430-4D81-ABDF-EF4B3E9A0888}"/>
    <hyperlink ref="C3796" r:id="rId3791" display="https://pld.live/RapDetail.aspx?STONELIST=941120558&amp;ISCONFIRM=0" xr:uid="{2B760594-5592-4788-91C6-C41336817CC7}"/>
    <hyperlink ref="C3797" r:id="rId3792" display="https://pld.live/RapDetail.aspx?STONELIST=941421278&amp;ISCONFIRM=0" xr:uid="{B255FFC3-0A03-4589-8263-7A9CB6A22A16}"/>
    <hyperlink ref="C3798" r:id="rId3793" display="https://pld.live/RapDetail.aspx?STONELIST=927080377&amp;ISCONFIRM=0" xr:uid="{B969D738-856B-494D-BFF7-03EF3AF1AC68}"/>
    <hyperlink ref="C3799" r:id="rId3794" display="https://pld.live/RapDetail.aspx?STONELIST=941110521&amp;ISCONFIRM=0" xr:uid="{6F4DA1CA-11B7-463C-BDD7-C46835CBFBDE}"/>
    <hyperlink ref="C3800" r:id="rId3795" display="https://pld.live/RapDetail.aspx?STONELIST=927040589&amp;ISCONFIRM=0" xr:uid="{7E9F5EF4-FB43-4E23-9431-31CBE18C218C}"/>
    <hyperlink ref="C3801" r:id="rId3796" display="https://pld.live/RapDetail.aspx?STONELIST=926990001&amp;ISCONFIRM=0" xr:uid="{3BCB1F23-FCF6-4CB2-852A-DAB6539B6A02}"/>
    <hyperlink ref="C3802" r:id="rId3797" display="https://pld.live/RapDetail.aspx?STONELIST=941120572&amp;ISCONFIRM=0" xr:uid="{1FEF9EDB-B4D9-4BB7-A9C5-E72386D30A5C}"/>
    <hyperlink ref="C3803" r:id="rId3798" display="https://pld.live/RapDetail.aspx?STONELIST=941431235&amp;ISCONFIRM=0" xr:uid="{516F3433-2F52-4F23-9B88-1197FCAF5B3E}"/>
    <hyperlink ref="C3804" r:id="rId3799" display="https://pld.live/RapDetail.aspx?STONELIST=941100146&amp;ISCONFIRM=0" xr:uid="{238D9173-F02F-4353-9683-6C15D81EE82A}"/>
    <hyperlink ref="C3805" r:id="rId3800" display="https://pld.live/RapDetail.aspx?STONELIST=927040470&amp;ISCONFIRM=0" xr:uid="{E5D4EB0A-E364-4705-AD03-E112D12C928C}"/>
    <hyperlink ref="C3806" r:id="rId3801" display="https://pld.live/RapDetail.aspx?STONELIST=941120570&amp;ISCONFIRM=0" xr:uid="{39FF27F4-4338-4766-81DD-3D5ACE5C540A}"/>
    <hyperlink ref="C3807" r:id="rId3802" display="https://pld.live/RapDetail.aspx?STONELIST=941120555&amp;ISCONFIRM=0" xr:uid="{2B18DD92-80A1-44F7-8543-88D96E3D4F7E}"/>
    <hyperlink ref="C3808" r:id="rId3803" display="https://pld.live/RapDetail.aspx?STONELIST=941080484&amp;ISCONFIRM=0" xr:uid="{3F7593C6-17CB-4807-951C-E1F770D0D3AF}"/>
    <hyperlink ref="C3809" r:id="rId3804" display="https://pld.live/RapDetail.aspx?STONELIST=941080143&amp;ISCONFIRM=0" xr:uid="{7640A3E6-BA77-4F4A-AA8A-738346994F5A}"/>
    <hyperlink ref="C3810" r:id="rId3805" display="https://pld.live/RapDetail.aspx?STONELIST=941090165&amp;ISCONFIRM=0" xr:uid="{E443DE6E-573E-4DAB-BED0-440B3B6899FD}"/>
    <hyperlink ref="C3811" r:id="rId3806" display="https://pld.live/RapDetail.aspx?STONELIST=941090175&amp;ISCONFIRM=0" xr:uid="{5709DBF6-4308-426B-83DA-5B4DDFB9CEFB}"/>
    <hyperlink ref="C3812" r:id="rId3807" display="https://pld.live/RapDetail.aspx?STONELIST=925570103&amp;ISCONFIRM=0" xr:uid="{0C1277BB-7F57-4C50-99F9-CEAA0A679F31}"/>
    <hyperlink ref="C3813" r:id="rId3808" display="https://pld.live/RapDetail.aspx?STONELIST=941421260&amp;ISCONFIRM=0" xr:uid="{3E1CB584-F5DC-4D74-826C-2CDEFEF56055}"/>
    <hyperlink ref="C3814" r:id="rId3809" display="https://pld.live/RapDetail.aspx?STONELIST=927080327&amp;ISCONFIRM=0" xr:uid="{6D8871DC-4EE4-4489-ADBA-C1FC71BA471A}"/>
    <hyperlink ref="C3815" r:id="rId3810" display="https://pld.live/RapDetail.aspx?STONELIST=941120574&amp;ISCONFIRM=0" xr:uid="{C1CA79A3-FB00-42AE-90D3-4648BBAD9488}"/>
    <hyperlink ref="C3816" r:id="rId3811" display="https://pld.live/RapDetail.aspx?STONELIST=941100177&amp;ISCONFIRM=0" xr:uid="{54F56F05-9DC4-4E73-ABED-6027D5AEA954}"/>
    <hyperlink ref="C3817" r:id="rId3812" display="https://pld.live/RapDetail.aspx?STONELIST=927040469&amp;ISCONFIRM=0" xr:uid="{8050484B-BBEA-4629-879E-EAF59F3EC59D}"/>
    <hyperlink ref="C3818" r:id="rId3813" display="https://pld.live/RapDetail.aspx?STONELIST=927070430&amp;ISCONFIRM=0" xr:uid="{DD403822-8B3A-44E4-B246-AC66117D589C}"/>
    <hyperlink ref="C3819" r:id="rId3814" display="https://pld.live/RapDetail.aspx?STONELIST=941100620&amp;ISCONFIRM=0" xr:uid="{D3124C1E-C969-46C4-9384-BAA7EF2AF9DE}"/>
    <hyperlink ref="C3820" r:id="rId3815" display="https://pld.live/RapDetail.aspx?STONELIST=927070263&amp;ISCONFIRM=0" xr:uid="{99EA3FBD-5094-4373-A4EB-DEC47CE35EE1}"/>
    <hyperlink ref="C3821" r:id="rId3816" display="https://pld.live/RapDetail.aspx?STONELIST=941110522&amp;ISCONFIRM=0" xr:uid="{7757743B-A6D1-42C4-992E-A22E284DD1B7}"/>
    <hyperlink ref="C3822" r:id="rId3817" display="https://pld.live/RapDetail.aspx?STONELIST=927060470&amp;ISCONFIRM=0" xr:uid="{E256BB84-CF10-4622-885B-FE6AC8263A74}"/>
    <hyperlink ref="C3823" r:id="rId3818" display="https://pld.live/RapDetail.aspx?STONELIST=941090650&amp;ISCONFIRM=0" xr:uid="{14910606-795D-4D11-922E-622BB6269F5D}"/>
    <hyperlink ref="C3824" r:id="rId3819" display="https://pld.live/RapDetail.aspx?STONELIST=926980020&amp;ISCONFIRM=0" xr:uid="{9074D310-D925-488B-8F28-E86A8DB5FC1E}"/>
    <hyperlink ref="C3825" r:id="rId3820" display="https://pld.live/RapDetail.aspx?STONELIST=941100621&amp;ISCONFIRM=0" xr:uid="{B4EFA740-8702-4670-8E34-9DE6E3D5E8CC}"/>
    <hyperlink ref="C3826" r:id="rId3821" display="https://pld.live/RapDetail.aspx?STONELIST=941080139&amp;ISCONFIRM=0" xr:uid="{E980EBA0-6862-43FA-8CA0-89390446B0F3}"/>
    <hyperlink ref="C3827" r:id="rId3822" display="https://pld.live/RapDetail.aspx?STONELIST=924950458&amp;ISCONFIRM=0" xr:uid="{3301AE89-C74E-45DB-B413-3D2E4B4B2975}"/>
    <hyperlink ref="C3828" r:id="rId3823" display="https://pld.live/RapDetail.aspx?STONELIST=926030147&amp;ISCONFIRM=0" xr:uid="{187A056F-045E-4BE8-96F8-EDB0FD4C11F2}"/>
    <hyperlink ref="C3829" r:id="rId3824" display="https://pld.live/RapDetail.aspx?STONELIST=941100581&amp;ISCONFIRM=0" xr:uid="{CCF91507-EF29-445F-9E07-4B7BD63757D8}"/>
    <hyperlink ref="C3830" r:id="rId3825" display="https://pld.live/RapDetail.aspx?STONELIST=9414301325&amp;ISCONFIRM=0" xr:uid="{45C44AF7-0089-4C1C-9A44-947D015A0B1C}"/>
    <hyperlink ref="C3831" r:id="rId3826" display="https://pld.live/RapDetail.aspx?STONELIST=927070135&amp;ISCONFIRM=0" xr:uid="{EBED4D03-9209-4C55-8674-6DFDB0E60708}"/>
    <hyperlink ref="C3832" r:id="rId3827" display="https://pld.live/RapDetail.aspx?STONELIST=9414201299&amp;ISCONFIRM=0" xr:uid="{BD9AA10D-D359-456A-9108-BBA1969DE0FA}"/>
    <hyperlink ref="C3833" r:id="rId3828" display="https://pld.live/RapDetail.aspx?STONELIST=941080857&amp;ISCONFIRM=0" xr:uid="{6F8E8F2F-2E2B-4919-A290-6856BC34DA55}"/>
    <hyperlink ref="C3834" r:id="rId3829" display="https://pld.live/RapDetail.aspx?STONELIST=927070258&amp;ISCONFIRM=0" xr:uid="{BBFC3955-CD45-4269-95BE-B00578B69D25}"/>
    <hyperlink ref="C3835" r:id="rId3830" display="https://pld.live/RapDetail.aspx?STONELIST=941130429&amp;ISCONFIRM=0" xr:uid="{98D09ACF-1405-4824-A35E-16CEC3758304}"/>
    <hyperlink ref="C3836" r:id="rId3831" display="https://pld.live/RapDetail.aspx?STONELIST=941110523&amp;ISCONFIRM=0" xr:uid="{A5C34ADD-4961-476D-A6C4-36A37B878AC7}"/>
    <hyperlink ref="C3837" r:id="rId3832" display="https://pld.live/RapDetail.aspx?STONELIST=927140409&amp;ISCONFIRM=0" xr:uid="{C1A16DC9-7FF8-46C5-BDD8-22B02D44296A}"/>
    <hyperlink ref="C3838" r:id="rId3833" display="https://pld.live/RapDetail.aspx?STONELIST=941130422&amp;ISCONFIRM=0" xr:uid="{40DFAAE8-279F-4510-9970-C61569924280}"/>
    <hyperlink ref="C3839" r:id="rId3834" display="https://pld.live/RapDetail.aspx?STONELIST=927080639&amp;ISCONFIRM=0" xr:uid="{133FC596-81C5-4AD6-BF9F-E2C82B9403DC}"/>
    <hyperlink ref="C3840" r:id="rId3835" display="https://pld.live/RapDetail.aspx?STONELIST=927080668&amp;ISCONFIRM=0" xr:uid="{B51A6DB6-D3C4-4D36-94B8-B00AB433BBDD}"/>
    <hyperlink ref="C3841" r:id="rId3836" display="https://pld.live/RapDetail.aspx?STONELIST=941110529&amp;ISCONFIRM=0" xr:uid="{EBC09667-1DB9-4CF1-A065-1D10FCE08B17}"/>
    <hyperlink ref="C3842" r:id="rId3837" display="https://pld.live/RapDetail.aspx?STONELIST=927080714&amp;ISCONFIRM=0" xr:uid="{8DF2622B-46E7-47DC-95E7-B0C7E15B4E57}"/>
    <hyperlink ref="C3843" r:id="rId3838" display="https://pld.live/RapDetail.aspx?STONELIST=925961283&amp;ISCONFIRM=0" xr:uid="{F6D41989-6720-4EE0-B8AD-BE469B17701B}"/>
    <hyperlink ref="C3844" r:id="rId3839" display="https://pld.live/RapDetail.aspx?STONELIST=941090245&amp;ISCONFIRM=0" xr:uid="{C2D18792-5D41-4427-8064-3D07C2036DB8}"/>
    <hyperlink ref="C3845" r:id="rId3840" display="https://pld.live/RapDetail.aspx?STONELIST=927070623&amp;ISCONFIRM=0" xr:uid="{1E4DA973-4310-4AC9-95E7-7973D9CBACA7}"/>
    <hyperlink ref="C3846" r:id="rId3841" display="https://pld.live/RapDetail.aspx?STONELIST=927060770&amp;ISCONFIRM=0" xr:uid="{2BB3403A-CC45-4B1A-814B-F530EF0EEF60}"/>
    <hyperlink ref="C3847" r:id="rId3842" display="https://pld.live/RapDetail.aspx?STONELIST=925360404&amp;ISCONFIRM=0" xr:uid="{26DFFC6A-B047-4D43-90DF-73317B37AE18}"/>
    <hyperlink ref="C3848" r:id="rId3843" display="https://pld.live/RapDetail.aspx?STONELIST=927070633&amp;ISCONFIRM=0" xr:uid="{8DB698E5-8A61-4E96-AD63-B8F4641C7E3A}"/>
    <hyperlink ref="C3849" r:id="rId3844" display="https://pld.live/RapDetail.aspx?STONELIST=926910145&amp;ISCONFIRM=0" xr:uid="{7EAED67F-F5EC-4140-A573-46CACC71F9D1}"/>
    <hyperlink ref="C3850" r:id="rId3845" display="https://pld.live/RapDetail.aspx?STONELIST=925850738&amp;ISCONFIRM=0" xr:uid="{43B414DD-F151-49C2-9E30-B27E5DD3DD59}"/>
    <hyperlink ref="C3851" r:id="rId3846" display="https://pld.live/RapDetail.aspx?STONELIST=925970797&amp;ISCONFIRM=0" xr:uid="{17B32183-5EDF-4717-8007-8E7A8AF61E92}"/>
    <hyperlink ref="C3852" r:id="rId3847" display="https://pld.live/RapDetail.aspx?STONELIST=926020685&amp;ISCONFIRM=0" xr:uid="{152779B0-D408-4386-A618-07D1BF4B3515}"/>
    <hyperlink ref="C3853" r:id="rId3848" display="https://pld.live/RapDetail.aspx?STONELIST=926020672&amp;ISCONFIRM=0" xr:uid="{B4E5A8DF-852F-4E56-870E-96F00AE4D544}"/>
    <hyperlink ref="C3854" r:id="rId3849" display="https://pld.live/RapDetail.aspx?STONELIST=926200300&amp;ISCONFIRM=0" xr:uid="{BA05A1FB-B363-48D6-AD2A-ED6A77078BAD}"/>
    <hyperlink ref="C3855" r:id="rId3850" display="https://pld.live/RapDetail.aspx?STONELIST=831020677&amp;ISCONFIRM=0" xr:uid="{ECC8F73B-B2CE-4951-A1EE-FED00E87D4A5}"/>
    <hyperlink ref="C3856" r:id="rId3851" display="https://pld.live/RapDetail.aspx?STONELIST=926200154&amp;ISCONFIRM=0" xr:uid="{06DCF817-2674-4F50-BB19-ED49828BFBBA}"/>
    <hyperlink ref="C3857" r:id="rId3852" display="https://pld.live/RapDetail.aspx?STONELIST=926171097&amp;ISCONFIRM=0" xr:uid="{C2796EDB-4E21-4890-B10E-3675BF600FC0}"/>
    <hyperlink ref="C3858" r:id="rId3853" display="https://pld.live/RapDetail.aspx?STONELIST=926071721&amp;ISCONFIRM=0" xr:uid="{36A4370E-AC9A-44CD-8E81-71F1334A10C0}"/>
    <hyperlink ref="C3859" r:id="rId3854" display="https://pld.live/RapDetail.aspx?STONELIST=926171069&amp;ISCONFIRM=0" xr:uid="{EA82B3D7-027A-46CF-B1C7-A46B34DFD033}"/>
    <hyperlink ref="C3860" r:id="rId3855" display="https://pld.live/RapDetail.aspx?STONELIST=925851007&amp;ISCONFIRM=0" xr:uid="{A6C58F36-0331-4629-9C81-34E9A3177369}"/>
    <hyperlink ref="C3861" r:id="rId3856" display="https://pld.live/RapDetail.aspx?STONELIST=925971206&amp;ISCONFIRM=0" xr:uid="{5486B1B2-93D4-4A82-98FD-D8F51F739F9C}"/>
    <hyperlink ref="C3862" r:id="rId3857" display="https://pld.live/RapDetail.aspx?STONELIST=926041297&amp;ISCONFIRM=0" xr:uid="{FF71C942-6FF3-41C3-9445-2F5D8DFCBFCA}"/>
    <hyperlink ref="C3863" r:id="rId3858" display="https://pld.live/RapDetail.aspx?STONELIST=925370285&amp;ISCONFIRM=0" xr:uid="{58C22D83-8AFE-4684-8048-4D91CBD50E37}"/>
    <hyperlink ref="C3864" r:id="rId3859" display="https://pld.live/RapDetail.aspx?STONELIST=925502144&amp;ISCONFIRM=0" xr:uid="{B8F4407B-19AC-4D46-9C9C-F80D2E666D7A}"/>
    <hyperlink ref="C3865" r:id="rId3860" display="https://pld.live/RapDetail.aspx?STONELIST=926041044&amp;ISCONFIRM=0" xr:uid="{0068CB14-5D9B-4485-9B39-ABF185216938}"/>
    <hyperlink ref="C3866" r:id="rId3861" display="https://pld.live/RapDetail.aspx?STONELIST=925801938&amp;ISCONFIRM=0" xr:uid="{C117051D-1508-4413-9C78-BAB5CB97112C}"/>
    <hyperlink ref="C3867" r:id="rId3862" display="https://pld.live/RapDetail.aspx?STONELIST=925540635&amp;ISCONFIRM=0" xr:uid="{F0A37F92-D6D0-4980-AF47-D998EA4E6757}"/>
    <hyperlink ref="C3868" r:id="rId3863" display="https://pld.live/RapDetail.aspx?STONELIST=925851036&amp;ISCONFIRM=0" xr:uid="{583201CF-182D-4011-BA11-96EA9E46BF26}"/>
    <hyperlink ref="C3869" r:id="rId3864" display="https://pld.live/RapDetail.aspx?STONELIST=925801935&amp;ISCONFIRM=0" xr:uid="{4C5C11B9-2C9D-4C30-B2BD-F643159D194F}"/>
    <hyperlink ref="C3870" r:id="rId3865" display="https://pld.live/RapDetail.aspx?STONELIST=925950628&amp;ISCONFIRM=0" xr:uid="{7A523F48-BA6D-44FA-B77C-CACB8380F42C}"/>
    <hyperlink ref="C3871" r:id="rId3866" display="https://pld.live/RapDetail.aspx?STONELIST=925861863&amp;ISCONFIRM=0" xr:uid="{7DB1593E-567E-4E8E-990F-EF80F68B4BB1}"/>
    <hyperlink ref="C3872" r:id="rId3867" display="https://pld.live/RapDetail.aspx?STONELIST=925771224&amp;ISCONFIRM=0" xr:uid="{3B60772C-C3E0-460D-8216-0286102C8648}"/>
    <hyperlink ref="C3873" r:id="rId3868" display="https://pld.live/RapDetail.aspx?STONELIST=925771334&amp;ISCONFIRM=0" xr:uid="{CA3C78EE-BEEA-4150-8CC6-80A62BD16286}"/>
    <hyperlink ref="C3874" r:id="rId3869" display="https://pld.live/RapDetail.aspx?STONELIST=925890595&amp;ISCONFIRM=0" xr:uid="{1C4DD4B7-63CB-4A18-AAC8-2DD20E0AEFF8}"/>
    <hyperlink ref="C3875" r:id="rId3870" display="https://pld.live/RapDetail.aspx?STONELIST=925802023&amp;ISCONFIRM=0" xr:uid="{1F7C3C93-D41F-4C35-AB83-256C55B08301}"/>
    <hyperlink ref="C3876" r:id="rId3871" display="https://pld.live/RapDetail.aspx?STONELIST=925731236&amp;ISCONFIRM=0" xr:uid="{4C47BA42-1E37-4AB8-ABC4-B45488F1B6AD}"/>
    <hyperlink ref="C3877" r:id="rId3872" display="https://pld.live/RapDetail.aspx?STONELIST=821124331&amp;ISCONFIRM=0" xr:uid="{056CC8AB-56D7-4440-97A9-30005D30AA6F}"/>
    <hyperlink ref="C3878" r:id="rId3873" display="https://pld.live/RapDetail.aspx?STONELIST=821124330&amp;ISCONFIRM=0" xr:uid="{A4D2773E-E56D-414D-8F15-F7BFFB2C4408}"/>
    <hyperlink ref="C3879" r:id="rId3874" display="https://pld.live/RapDetail.aspx?STONELIST=821124312&amp;ISCONFIRM=0" xr:uid="{971F41E0-E98C-4D4D-86A3-788FF5B8B2BD}"/>
    <hyperlink ref="C3880" r:id="rId3875" display="https://pld.live/RapDetail.aspx?STONELIST=821124309&amp;ISCONFIRM=0" xr:uid="{C353486E-8891-4802-8332-1043CF34B2FF}"/>
    <hyperlink ref="C3881" r:id="rId3876" display="https://pld.live/RapDetail.aspx?STONELIST=925540499&amp;ISCONFIRM=0" xr:uid="{612C6B02-7620-4020-8D95-FF0A528C5B1D}"/>
    <hyperlink ref="C3882" r:id="rId3877" display="https://pld.live/RapDetail.aspx?STONELIST=925621827&amp;ISCONFIRM=0" xr:uid="{1C0EAD98-D04E-4BE4-B868-402D2BDC2D89}"/>
    <hyperlink ref="C3883" r:id="rId3878" display="https://pld.live/RapDetail.aspx?STONELIST=925540078&amp;ISCONFIRM=0" xr:uid="{BE5DB088-A406-4B07-95F2-AAC54C782266}"/>
    <hyperlink ref="C3884" r:id="rId3879" display="https://pld.live/RapDetail.aspx?STONELIST=925551496&amp;ISCONFIRM=0" xr:uid="{D1390484-3A0B-4F25-A4E4-B7CEC43E1A22}"/>
    <hyperlink ref="C3885" r:id="rId3880" display="https://pld.live/RapDetail.aspx?STONELIST=925551958&amp;ISCONFIRM=0" xr:uid="{45435171-F390-491B-AD95-7B6AE977B08B}"/>
    <hyperlink ref="C3886" r:id="rId3881" display="https://pld.live/RapDetail.aspx?STONELIST=925502300&amp;ISCONFIRM=0" xr:uid="{6AD53DDB-A940-4DE1-8AAB-4979F4954CD4}"/>
    <hyperlink ref="C3887" r:id="rId3882" display="https://pld.live/RapDetail.aspx?STONELIST=925501956&amp;ISCONFIRM=0" xr:uid="{513CAF8B-F5DE-409E-BA43-FB1A01161E87}"/>
    <hyperlink ref="C3888" r:id="rId3883" display="https://pld.live/RapDetail.aspx?STONELIST=925500671&amp;ISCONFIRM=0" xr:uid="{1577B111-360B-41AB-B61E-5DC01654FF25}"/>
    <hyperlink ref="C3889" r:id="rId3884" display="https://pld.live/RapDetail.aspx?STONELIST=925501712&amp;ISCONFIRM=0" xr:uid="{69E4AD0F-A394-4399-989B-EDB0AB2B6F7F}"/>
    <hyperlink ref="C3890" r:id="rId3885" display="https://pld.live/RapDetail.aspx?STONELIST=925551759&amp;ISCONFIRM=0" xr:uid="{2F6B5065-0612-4F95-A412-38E7F8BABAF3}"/>
    <hyperlink ref="C3891" r:id="rId3886" display="https://pld.live/RapDetail.aspx?STONELIST=925722092&amp;ISCONFIRM=0" xr:uid="{4CBC988F-4741-4994-99DB-DD7114713515}"/>
    <hyperlink ref="C3892" r:id="rId3887" display="https://pld.live/RapDetail.aspx?STONELIST=925722017&amp;ISCONFIRM=0" xr:uid="{30F7401F-9C88-48E5-BE22-E516EF9B8DD7}"/>
    <hyperlink ref="C3893" r:id="rId3888" display="https://pld.live/RapDetail.aspx?STONELIST=926020699&amp;ISCONFIRM=0" xr:uid="{0193E529-0DAB-4FA7-8267-431000592C0C}"/>
    <hyperlink ref="C3894" r:id="rId3889" display="https://pld.live/RapDetail.aspx?STONELIST=925542166&amp;ISCONFIRM=0" xr:uid="{15226588-5B47-4DDA-842B-09C084D8ECA1}"/>
    <hyperlink ref="C3895" r:id="rId3890" display="https://pld.live/RapDetail.aspx?STONELIST=925951261&amp;ISCONFIRM=0" xr:uid="{5F26E67C-B719-43C0-A2EC-7B33A48B21FC}"/>
    <hyperlink ref="C3896" r:id="rId3891" display="https://pld.live/RapDetail.aspx?STONELIST=926041157&amp;ISCONFIRM=0" xr:uid="{4BDA9B3C-91DA-4E9A-941F-7479723CEE5A}"/>
    <hyperlink ref="C3897" r:id="rId3892" display="https://pld.live/RapDetail.aspx?STONELIST=926020641&amp;ISCONFIRM=0" xr:uid="{EEC77E85-2451-44ED-A7A3-784F6FCC68E3}"/>
    <hyperlink ref="C3898" r:id="rId3893" display="https://pld.live/RapDetail.aspx?STONELIST=925500874&amp;ISCONFIRM=0" xr:uid="{160134B3-EB9C-4EAC-82BE-60AE5F299928}"/>
    <hyperlink ref="C3899" r:id="rId3894" display="https://pld.live/RapDetail.aspx?STONELIST=925120197&amp;ISCONFIRM=0" xr:uid="{2D60A8A3-7BD1-4CC8-886E-92F298B7D4B9}"/>
    <hyperlink ref="C3900" r:id="rId3895" display="https://pld.live/RapDetail.aspx?STONELIST=925732222&amp;ISCONFIRM=0" xr:uid="{90C1D0CF-B501-422F-9BF5-5C3F8339C3FC}"/>
    <hyperlink ref="C3901" r:id="rId3896" display="https://pld.live/RapDetail.aspx?STONELIST=925540500&amp;ISCONFIRM=0" xr:uid="{EA97CA31-BDAF-42E9-9D15-764EF54C0AC0}"/>
    <hyperlink ref="C3902" r:id="rId3897" display="https://pld.live/RapDetail.aspx?STONELIST=925721917&amp;ISCONFIRM=0" xr:uid="{2FEDE11D-EB7A-4714-8D9F-B037E74F1999}"/>
    <hyperlink ref="C3903" r:id="rId3898" display="https://pld.live/RapDetail.aspx?STONELIST=925980907&amp;ISCONFIRM=0" xr:uid="{1E3C9B9D-F51E-467B-8B48-ADEDD0B03866}"/>
    <hyperlink ref="C3904" r:id="rId3899" display="https://pld.live/RapDetail.aspx?STONELIST=925621685&amp;ISCONFIRM=0" xr:uid="{A4EE31D7-8E47-4549-9906-F7448FD158A8}"/>
    <hyperlink ref="C3905" r:id="rId3900" display="https://pld.live/RapDetail.aspx?STONELIST=925621384&amp;ISCONFIRM=0" xr:uid="{86CC747B-737B-48A1-A0D3-DC836CBE3ADE}"/>
    <hyperlink ref="C3906" r:id="rId3901" display="https://pld.live/RapDetail.aspx?STONELIST=925551810&amp;ISCONFIRM=0" xr:uid="{B5F8CB47-A72D-4F95-B154-5A5D3F8A2258}"/>
    <hyperlink ref="C3907" r:id="rId3902" display="https://pld.live/RapDetail.aspx?STONELIST=925981083&amp;ISCONFIRM=0" xr:uid="{A7735ABB-7091-4419-A162-02DB6EB69699}"/>
    <hyperlink ref="C3908" r:id="rId3903" display="https://pld.live/RapDetail.aspx?STONELIST=925961193&amp;ISCONFIRM=0" xr:uid="{7B5B95A2-CDCD-41BF-AE73-D3C83B78E519}"/>
    <hyperlink ref="C3909" r:id="rId3904" display="https://pld.live/RapDetail.aspx?STONELIST=925552023&amp;ISCONFIRM=0" xr:uid="{0CFE442D-CC1B-4210-8201-4A1ACA6D57A8}"/>
    <hyperlink ref="C3910" r:id="rId3905" display="https://pld.live/RapDetail.aspx?STONELIST=925521577&amp;ISCONFIRM=0" xr:uid="{2C12F48F-1237-4875-8901-9F2C858B8BDA}"/>
    <hyperlink ref="C3911" r:id="rId3906" display="https://pld.live/RapDetail.aspx?STONELIST=925961194&amp;ISCONFIRM=0" xr:uid="{DC71CF52-75BD-49A9-B0B5-0C3C5AC478A1}"/>
    <hyperlink ref="C3912" r:id="rId3907" display="https://pld.live/RapDetail.aspx?STONELIST=925621832&amp;ISCONFIRM=0" xr:uid="{AB0FF315-5617-4EC2-8DF2-C257B58F682C}"/>
    <hyperlink ref="C3913" r:id="rId3908" display="https://pld.live/RapDetail.aspx?STONELIST=925621413&amp;ISCONFIRM=0" xr:uid="{2F27B378-DA4B-474C-96A3-9895F87CC63C}"/>
    <hyperlink ref="C3914" r:id="rId3909" display="https://pld.live/RapDetail.aspx?STONELIST=925521613&amp;ISCONFIRM=0" xr:uid="{FE430BBE-5558-4470-B772-20EBA6C6AC32}"/>
    <hyperlink ref="C3915" r:id="rId3910" display="https://pld.live/RapDetail.aspx?STONELIST=925460021&amp;ISCONFIRM=0" xr:uid="{D5E4B8F7-7B0E-48F1-AEA5-3972E5D7251E}"/>
    <hyperlink ref="C3916" r:id="rId3911" display="https://pld.live/RapDetail.aspx?STONELIST=831010755&amp;ISCONFIRM=0" xr:uid="{1D390650-5883-40E3-AFC0-B8391BD7EFD8}"/>
    <hyperlink ref="C3917" r:id="rId3912" display="https://pld.live/RapDetail.aspx?STONELIST=925540944&amp;ISCONFIRM=0" xr:uid="{CE7534CE-01E3-4781-AA25-F7AAD686029C}"/>
    <hyperlink ref="C3918" r:id="rId3913" display="https://pld.live/RapDetail.aspx?STONELIST=925771195&amp;ISCONFIRM=0" xr:uid="{455F9B8E-8B45-4170-B2F5-80EBD1411E71}"/>
    <hyperlink ref="C3919" r:id="rId3914" display="https://pld.live/RapDetail.aspx?STONELIST=821124335&amp;ISCONFIRM=0" xr:uid="{CBC9C0E5-48B0-432D-BC80-26F765817BE9}"/>
    <hyperlink ref="C3920" r:id="rId3915" display="https://pld.live/RapDetail.aspx?STONELIST=821124329&amp;ISCONFIRM=0" xr:uid="{FB9826CB-F831-41B4-AB8F-D06E514897FD}"/>
    <hyperlink ref="C3921" r:id="rId3916" display="https://pld.live/RapDetail.aspx?STONELIST=821124248&amp;ISCONFIRM=0" xr:uid="{9EE77F0D-F63D-44E4-A3AD-D3A310549DD7}"/>
    <hyperlink ref="C3922" r:id="rId3917" display="https://pld.live/RapDetail.aspx?STONELIST=821123366&amp;ISCONFIRM=0" xr:uid="{02BCAC2D-FBC7-4D45-81A1-F4054B59D752}"/>
    <hyperlink ref="C3923" r:id="rId3918" display="https://pld.live/RapDetail.aspx?STONELIST=821123350&amp;ISCONFIRM=0" xr:uid="{1B9750D7-1020-4DF7-96A2-FD0225E56DDF}"/>
    <hyperlink ref="C3924" r:id="rId3919" display="https://pld.live/RapDetail.aspx?STONELIST=925120034&amp;ISCONFIRM=0" xr:uid="{7AB864C1-3A11-4A68-BD11-C567756FBA45}"/>
    <hyperlink ref="C3925" r:id="rId3920" display="https://pld.live/RapDetail.aspx?STONELIST=925551783&amp;ISCONFIRM=0" xr:uid="{9B39C49C-2168-48D2-A2D2-72B7F53EAD40}"/>
    <hyperlink ref="C3926" r:id="rId3921" display="https://pld.live/RapDetail.aspx?STONELIST=925540683&amp;ISCONFIRM=0" xr:uid="{CC79C021-9673-44D8-A064-0A05FE1E227F}"/>
    <hyperlink ref="C3927" r:id="rId3922" display="https://pld.live/RapDetail.aspx?STONELIST=925501731&amp;ISCONFIRM=0" xr:uid="{E8FAEC6B-4ED0-4FAB-A02B-65A0C971402D}"/>
    <hyperlink ref="C3928" r:id="rId3923" display="https://pld.live/RapDetail.aspx?STONELIST=925540171&amp;ISCONFIRM=0" xr:uid="{1D70ECED-E31E-4246-9C74-D2DDABF323EA}"/>
    <hyperlink ref="C3929" r:id="rId3924" display="https://pld.live/RapDetail.aspx?STONELIST=925502148&amp;ISCONFIRM=0" xr:uid="{03052887-EDFA-46AE-957F-F0ECBAE89694}"/>
    <hyperlink ref="C3930" r:id="rId3925" display="https://pld.live/RapDetail.aspx?STONELIST=925620718&amp;ISCONFIRM=0" xr:uid="{BD35A0DB-C434-4A7D-AF19-4B062C3A1E28}"/>
    <hyperlink ref="C3931" r:id="rId3926" display="https://pld.live/RapDetail.aspx?STONELIST=926041253&amp;ISCONFIRM=0" xr:uid="{217B8F11-70BB-438D-8576-3FDB6EAE0ACF}"/>
    <hyperlink ref="C3932" r:id="rId3927" display="https://pld.live/RapDetail.aspx?STONELIST=926071543&amp;ISCONFIRM=0" xr:uid="{9B102594-D1C4-45C8-AA43-8AA248DE5777}"/>
    <hyperlink ref="C3933" r:id="rId3928" display="https://pld.live/RapDetail.aspx?STONELIST=926100881&amp;ISCONFIRM=0" xr:uid="{409EBBD7-2A45-4684-BEF7-D20A367282E7}"/>
    <hyperlink ref="C3934" r:id="rId3929" display="https://pld.live/RapDetail.aspx?STONELIST=925551897&amp;ISCONFIRM=0" xr:uid="{17663557-8D0A-47EE-9D9B-81527A1D821D}"/>
    <hyperlink ref="C3935" r:id="rId3930" display="https://pld.live/RapDetail.aspx?STONELIST=925551622&amp;ISCONFIRM=0" xr:uid="{8F57F96C-FC88-4CA9-A840-744A886B89FC}"/>
    <hyperlink ref="C3936" r:id="rId3931" display="https://pld.live/RapDetail.aspx?STONELIST=925551641&amp;ISCONFIRM=0" xr:uid="{C4D0ED55-690D-4F0F-BD4D-3EB07B9516FD}"/>
    <hyperlink ref="C3937" r:id="rId3932" display="https://pld.live/RapDetail.aspx?STONELIST=925971204&amp;ISCONFIRM=0" xr:uid="{68864DB7-3EE6-4B5F-A9E0-077A61A071B7}"/>
    <hyperlink ref="C3938" r:id="rId3933" display="https://pld.live/RapDetail.aspx?STONELIST=925501710&amp;ISCONFIRM=0" xr:uid="{48326723-B246-488B-BFF2-948DABE13CBA}"/>
    <hyperlink ref="C3939" r:id="rId3934" display="https://pld.live/RapDetail.aspx?STONELIST=821124353&amp;ISCONFIRM=0" xr:uid="{58F831D8-6E5E-4B51-839E-8010F1807572}"/>
    <hyperlink ref="C3940" r:id="rId3935" display="https://pld.live/RapDetail.aspx?STONELIST=821121400&amp;ISCONFIRM=0" xr:uid="{2CE1ED6B-8661-4C03-A1F6-961704A0B6EB}"/>
    <hyperlink ref="C3941" r:id="rId3936" display="https://pld.live/RapDetail.aspx?STONELIST=925771282&amp;ISCONFIRM=0" xr:uid="{A7850078-C372-4245-A329-B31BA1322428}"/>
    <hyperlink ref="C3942" r:id="rId3937" display="https://pld.live/RapDetail.aspx?STONELIST=925850809&amp;ISCONFIRM=0" xr:uid="{87693B7F-4380-48C3-883E-32F6346A7634}"/>
    <hyperlink ref="C3943" r:id="rId3938" display="https://pld.live/RapDetail.aspx?STONELIST=925501492&amp;ISCONFIRM=0" xr:uid="{74C6A54C-5AEF-4E5B-BE8A-F8EBDFBB4539}"/>
    <hyperlink ref="C3944" r:id="rId3939" display="https://pld.live/RapDetail.aspx?STONELIST=926071657&amp;ISCONFIRM=0" xr:uid="{721602BB-C351-4117-8CC6-23AF9B0ECEDD}"/>
    <hyperlink ref="C3945" r:id="rId3940" display="https://pld.live/RapDetail.aspx?STONELIST=925861878&amp;ISCONFIRM=0" xr:uid="{C2C38039-8CFA-4F96-A338-BE8C39091661}"/>
    <hyperlink ref="C3946" r:id="rId3941" display="https://pld.live/RapDetail.aspx?STONELIST=925721808&amp;ISCONFIRM=0" xr:uid="{06D53388-E345-442D-9176-6D5780A3DB1D}"/>
    <hyperlink ref="C3947" r:id="rId3942" display="https://pld.live/RapDetail.aspx?STONELIST=926171098&amp;ISCONFIRM=0" xr:uid="{359B7728-69BC-4799-A781-D2F0A8F4B400}"/>
    <hyperlink ref="C3948" r:id="rId3943" display="https://pld.live/RapDetail.aspx?STONELIST=925501608&amp;ISCONFIRM=0" xr:uid="{F2BBE65D-6015-428C-949F-DA44E70F62A0}"/>
    <hyperlink ref="C3949" r:id="rId3944" display="https://pld.live/RapDetail.aspx?STONELIST=925861757&amp;ISCONFIRM=0" xr:uid="{E881C62A-2BA4-4AD6-BCBE-6EE42EC759EC}"/>
    <hyperlink ref="C3950" r:id="rId3945" display="https://pld.live/RapDetail.aspx?STONELIST=925960789&amp;ISCONFIRM=0" xr:uid="{3D8EDCBA-0204-4BFD-8982-3636627D23C4}"/>
    <hyperlink ref="C3951" r:id="rId3946" display="https://pld.live/RapDetail.aspx?STONELIST=821124339&amp;ISCONFIRM=0" xr:uid="{316BAFCC-14A6-4185-8987-D38AEFEC8341}"/>
    <hyperlink ref="C3952" r:id="rId3947" display="https://pld.live/RapDetail.aspx?STONELIST=821124325&amp;ISCONFIRM=0" xr:uid="{314273A7-75D1-4431-80FF-798A6A089D83}"/>
    <hyperlink ref="C3953" r:id="rId3948" display="https://pld.live/RapDetail.aspx?STONELIST=821124317&amp;ISCONFIRM=0" xr:uid="{FD2474D3-C28E-4D31-9CD2-22ACAA8A5C47}"/>
    <hyperlink ref="C3954" r:id="rId3949" display="https://pld.live/RapDetail.aspx?STONELIST=821124355&amp;ISCONFIRM=0" xr:uid="{C99A5EBD-1461-4E98-A963-FA22839FCCCD}"/>
    <hyperlink ref="C3955" r:id="rId3950" display="https://pld.live/RapDetail.aspx?STONELIST=821123954&amp;ISCONFIRM=0" xr:uid="{AD1E050F-F94D-437E-9B0F-E40C40D5554B}"/>
    <hyperlink ref="C3956" r:id="rId3951" display="https://pld.live/RapDetail.aspx?STONELIST=925540286&amp;ISCONFIRM=0" xr:uid="{C8A66DE6-6194-4C73-9B27-B5A3BF34A06A}"/>
    <hyperlink ref="C3957" r:id="rId3952" display="https://pld.live/RapDetail.aspx?STONELIST=925521940&amp;ISCONFIRM=0" xr:uid="{5015859A-2774-4B7F-8E63-F441C4E0C363}"/>
    <hyperlink ref="C3958" r:id="rId3953" display="https://pld.live/RapDetail.aspx?STONELIST=925520475&amp;ISCONFIRM=0" xr:uid="{13D87C22-42F0-4FEE-BD20-5670F70EB68F}"/>
    <hyperlink ref="C3959" r:id="rId3954" display="https://pld.live/RapDetail.aspx?STONELIST=926040963&amp;ISCONFIRM=0" xr:uid="{C96F1C73-67F6-4D30-B49D-9B821E16EC00}"/>
    <hyperlink ref="C3960" r:id="rId3955" display="https://pld.live/RapDetail.aspx?STONELIST=926100767&amp;ISCONFIRM=0" xr:uid="{6272BF41-87C9-4ACF-9CF8-BF1E9E267621}"/>
    <hyperlink ref="C3961" r:id="rId3956" display="https://pld.live/RapDetail.aspx?STONELIST=924740033&amp;ISCONFIRM=0" xr:uid="{E1B61A15-1754-4D4B-AE5F-22C9ECCBD10B}"/>
    <hyperlink ref="C3962" r:id="rId3957" display="https://pld.live/RapDetail.aspx?STONELIST=925960669&amp;ISCONFIRM=0" xr:uid="{E49C9E30-3839-4FF9-BCEF-69FB087D98B7}"/>
    <hyperlink ref="C3963" r:id="rId3958" display="https://pld.live/RapDetail.aspx?STONELIST=925621744&amp;ISCONFIRM=0" xr:uid="{4E2AE613-4113-4C83-B4B7-8892FD906F0C}"/>
    <hyperlink ref="C3964" r:id="rId3959" display="https://pld.live/RapDetail.aspx?STONELIST=925621629&amp;ISCONFIRM=0" xr:uid="{9690A08B-1380-47D7-8A50-7129E1974CB6}"/>
    <hyperlink ref="C3965" r:id="rId3960" display="https://pld.live/RapDetail.aspx?STONELIST=925981010&amp;ISCONFIRM=0" xr:uid="{AA84B7A7-6685-4286-B32E-E47CD772F8F4}"/>
    <hyperlink ref="C3966" r:id="rId3961" display="https://pld.live/RapDetail.aspx?STONELIST=926100883&amp;ISCONFIRM=0" xr:uid="{861FF45F-930A-47BB-BEA5-14A698BF86DE}"/>
    <hyperlink ref="C3967" r:id="rId3962" display="https://pld.live/RapDetail.aspx?STONELIST=821124316&amp;ISCONFIRM=0" xr:uid="{3D804522-8ECD-42C4-833D-C413A6E5E29E}"/>
    <hyperlink ref="C3968" r:id="rId3963" display="https://pld.live/RapDetail.aspx?STONELIST=925860923&amp;ISCONFIRM=0" xr:uid="{1F4CA628-A6FC-4DDA-AB7F-3C030078AD47}"/>
    <hyperlink ref="C3969" r:id="rId3964" display="https://pld.live/RapDetail.aspx?STONELIST=925971247&amp;ISCONFIRM=0" xr:uid="{83B3D6D6-8D23-46CD-8EBF-DAD8777B6077}"/>
    <hyperlink ref="C3970" r:id="rId3965" display="https://pld.live/RapDetail.aspx?STONELIST=925270536&amp;ISCONFIRM=0" xr:uid="{45EFD033-27E1-4219-A997-F593255EB961}"/>
    <hyperlink ref="C3971" r:id="rId3966" display="https://pld.live/RapDetail.aspx?STONELIST=926200294&amp;ISCONFIRM=0" xr:uid="{E747B848-29A2-4CEB-861C-1E5EB8364D43}"/>
    <hyperlink ref="C3972" r:id="rId3967" display="https://pld.live/RapDetail.aspx?STONELIST=925801153&amp;ISCONFIRM=0" xr:uid="{E5625959-5940-40A8-8E44-97F103EFDBCF}"/>
    <hyperlink ref="C3973" r:id="rId3968" display="https://pld.live/RapDetail.aspx?STONELIST=925700186&amp;ISCONFIRM=0" xr:uid="{6A7BD741-B5F5-41EE-B458-91F0FF43A695}"/>
    <hyperlink ref="C3974" r:id="rId3969" display="https://pld.live/RapDetail.aspx?STONELIST=821124350&amp;ISCONFIRM=0" xr:uid="{8E855C98-63A4-4370-B637-169345B7ED94}"/>
    <hyperlink ref="C3975" r:id="rId3970" display="https://pld.live/RapDetail.aspx?STONELIST=821124289&amp;ISCONFIRM=0" xr:uid="{2996E318-4430-4B05-9DA0-692CF9642823}"/>
    <hyperlink ref="C3976" r:id="rId3971" display="https://pld.live/RapDetail.aspx?STONELIST=821124321&amp;ISCONFIRM=0" xr:uid="{9D595C2D-48F0-4D21-8650-C8F2B7C580BC}"/>
    <hyperlink ref="C3977" r:id="rId3972" display="https://pld.live/RapDetail.aspx?STONELIST=925540261&amp;ISCONFIRM=0" xr:uid="{699D3BE3-05FC-4000-985F-B35A34CB629A}"/>
    <hyperlink ref="C3978" r:id="rId3973" display="https://pld.live/RapDetail.aspx?STONELIST=926350465&amp;ISCONFIRM=0" xr:uid="{5E96780C-B433-4245-8923-E62C87620723}"/>
    <hyperlink ref="C3979" r:id="rId3974" display="https://pld.live/RapDetail.aspx?STONELIST=926020697&amp;ISCONFIRM=0" xr:uid="{FE4BB4B8-2883-424E-8E91-0315045FEA53}"/>
    <hyperlink ref="C3980" r:id="rId3975" display="https://pld.live/RapDetail.aspx?STONELIST=926170916&amp;ISCONFIRM=0" xr:uid="{7CE1F94B-9134-4690-8DC4-E87E420BDD8D}"/>
    <hyperlink ref="C3981" r:id="rId3976" display="https://pld.live/RapDetail.aspx?STONELIST=925621581&amp;ISCONFIRM=0" xr:uid="{56CCD9CE-7B4C-402C-8DFC-2B00A97CDCB3}"/>
    <hyperlink ref="C3982" r:id="rId3977" display="https://pld.live/RapDetail.aspx?STONELIST=925540327&amp;ISCONFIRM=0" xr:uid="{995FB808-6390-4FED-9706-D2F20295A3F5}"/>
    <hyperlink ref="C3983" r:id="rId3978" display="https://pld.live/RapDetail.aspx?STONELIST=926170782&amp;ISCONFIRM=0" xr:uid="{C0FC54A4-78F8-4A0F-B870-691FEBFF1810}"/>
    <hyperlink ref="C3984" r:id="rId3979" display="https://pld.live/RapDetail.aspx?STONELIST=925862085&amp;ISCONFIRM=0" xr:uid="{9EF1A089-5660-4D58-8183-75CBCE9C0D75}"/>
    <hyperlink ref="C3985" r:id="rId3980" display="https://pld.live/RapDetail.aspx?STONELIST=925981180&amp;ISCONFIRM=0" xr:uid="{31D30383-4265-4D29-B86F-B006660E13FD}"/>
    <hyperlink ref="C3986" r:id="rId3981" display="https://pld.live/RapDetail.aspx?STONELIST=821113712&amp;ISCONFIRM=0" xr:uid="{A961850E-88D0-4808-AF42-9ECF0DFEA68A}"/>
    <hyperlink ref="C3987" r:id="rId3982" display="https://pld.live/RapDetail.aspx?STONELIST=926171472&amp;ISCONFIRM=0" xr:uid="{709A6B86-B4C8-4365-B008-1A76B638F111}"/>
    <hyperlink ref="C3988" r:id="rId3983" display="https://pld.live/RapDetail.aspx?STONELIST=925980347&amp;ISCONFIRM=0" xr:uid="{71F51455-E2B3-4C6C-880D-3F6BC137140A}"/>
    <hyperlink ref="C3989" r:id="rId3984" display="https://pld.live/RapDetail.aspx?STONELIST=925551816&amp;ISCONFIRM=0" xr:uid="{5915525E-4C89-4013-9D9B-F3327B7B6B1C}"/>
    <hyperlink ref="C3990" r:id="rId3985" display="https://pld.live/RapDetail.aspx?STONELIST=925981115&amp;ISCONFIRM=0" xr:uid="{27DA1238-573C-456A-BC95-6B5069EF95CA}"/>
    <hyperlink ref="C3991" r:id="rId3986" display="https://pld.live/RapDetail.aspx?STONELIST=925771294&amp;ISCONFIRM=0" xr:uid="{85284130-A773-48A2-BF8B-925B6BDA5DAA}"/>
    <hyperlink ref="C3992" r:id="rId3987" display="https://pld.live/RapDetail.aspx?STONELIST=925801806&amp;ISCONFIRM=0" xr:uid="{223DB705-3471-4B7F-A004-87A34913BF73}"/>
    <hyperlink ref="C3993" r:id="rId3988" display="https://pld.live/RapDetail.aspx?STONELIST=925771190&amp;ISCONFIRM=0" xr:uid="{87F0041F-4946-44C1-A79E-6AC2799F6723}"/>
    <hyperlink ref="C3994" r:id="rId3989" display="https://pld.live/RapDetail.aspx?STONELIST=925732103&amp;ISCONFIRM=0" xr:uid="{9AC5BFF9-73DB-4F67-9886-E0B494289644}"/>
    <hyperlink ref="C3995" r:id="rId3990" display="https://pld.live/RapDetail.aspx?STONELIST=925850816&amp;ISCONFIRM=0" xr:uid="{D98F29C4-23F9-4E9E-B655-7FD792606CA5}"/>
    <hyperlink ref="C3996" r:id="rId3991" display="https://pld.live/RapDetail.aspx?STONELIST=821124361&amp;ISCONFIRM=0" xr:uid="{E1D59EB4-19C3-4D30-9F59-39976A364135}"/>
    <hyperlink ref="C3997" r:id="rId3992" display="https://pld.live/RapDetail.aspx?STONELIST=821124369&amp;ISCONFIRM=0" xr:uid="{5566DD5B-DC60-4934-8A26-6DD3F68D2787}"/>
    <hyperlink ref="C3998" r:id="rId3993" display="https://pld.live/RapDetail.aspx?STONELIST=925722076&amp;ISCONFIRM=0" xr:uid="{D059EAAA-68F2-4F6E-809E-2B529E5D1EEE}"/>
    <hyperlink ref="C3999" r:id="rId3994" display="https://pld.live/RapDetail.aspx?STONELIST=926041290&amp;ISCONFIRM=0" xr:uid="{E0833E0D-CD16-484F-A06E-0DCCB2F98DCA}"/>
    <hyperlink ref="C4000" r:id="rId3995" display="https://pld.live/RapDetail.aspx?STONELIST=925971262&amp;ISCONFIRM=0" xr:uid="{3158F469-22C8-4F3D-B32F-6AB9275C8C08}"/>
    <hyperlink ref="C4001" r:id="rId3996" display="https://pld.live/RapDetail.aspx?STONELIST=925971115&amp;ISCONFIRM=0" xr:uid="{771C2AD8-8B21-4136-BC56-2B4B3E87D242}"/>
    <hyperlink ref="C4002" r:id="rId3997" display="https://pld.live/RapDetail.aspx?STONELIST=925971022&amp;ISCONFIRM=0" xr:uid="{E8245AC2-1909-4FD2-8FA0-81F7DED5A4BB}"/>
    <hyperlink ref="C4003" r:id="rId3998" display="https://pld.live/RapDetail.aspx?STONELIST=926101035&amp;ISCONFIRM=0" xr:uid="{E588F073-3EC9-44C4-AB26-2DA3FDD1B2EF}"/>
    <hyperlink ref="C4004" r:id="rId3999" display="https://pld.live/RapDetail.aspx?STONELIST=925732212&amp;ISCONFIRM=0" xr:uid="{E23DA415-3DC0-4157-8823-A7A365BDEA88}"/>
    <hyperlink ref="C4005" r:id="rId4000" display="https://pld.live/RapDetail.aspx?STONELIST=831010769&amp;ISCONFIRM=0" xr:uid="{1265C969-87A6-4592-BE84-1C1301A4E081}"/>
    <hyperlink ref="C4006" r:id="rId4001" display="https://pld.live/RapDetail.aspx?STONELIST=925721250&amp;ISCONFIRM=0" xr:uid="{50FCA903-15C6-4B6D-A714-E082F8B99939}"/>
    <hyperlink ref="C4007" r:id="rId4002" display="https://pld.live/RapDetail.aspx?STONELIST=926041278&amp;ISCONFIRM=0" xr:uid="{0E070696-7C52-4713-B02F-C7A29A3859C4}"/>
    <hyperlink ref="C4008" r:id="rId4003" display="https://pld.live/RapDetail.aspx?STONELIST=925981075&amp;ISCONFIRM=0" xr:uid="{9C8BD481-1EFE-40D8-BEA3-F2998A352540}"/>
    <hyperlink ref="C4009" r:id="rId4004" display="https://pld.live/RapDetail.aspx?STONELIST=925980942&amp;ISCONFIRM=0" xr:uid="{081C134B-A361-4E04-B3A8-B3C5C5868423}"/>
    <hyperlink ref="C4010" r:id="rId4005" display="https://pld.live/RapDetail.aspx?STONELIST=925971280&amp;ISCONFIRM=0" xr:uid="{8DBA544C-4753-42F6-B5AE-43FE4C5F0A31}"/>
    <hyperlink ref="C4011" r:id="rId4006" display="https://pld.live/RapDetail.aspx?STONELIST=925521317&amp;ISCONFIRM=0" xr:uid="{BFF3B49D-6C44-4BF3-9A11-25854FD12192}"/>
    <hyperlink ref="C4012" r:id="rId4007" display="https://pld.live/RapDetail.aspx?STONELIST=926200091&amp;ISCONFIRM=0" xr:uid="{632AD407-2C12-4515-B730-450BE8D92A43}"/>
    <hyperlink ref="C4013" r:id="rId4008" display="https://pld.live/RapDetail.aspx?STONELIST=926071066&amp;ISCONFIRM=0" xr:uid="{534AC0CA-CA88-468A-9E68-DBF23C9D3763}"/>
    <hyperlink ref="C4014" r:id="rId4009" display="https://pld.live/RapDetail.aspx?STONELIST=926101041&amp;ISCONFIRM=0" xr:uid="{103BD74C-8626-4DEB-8B85-A83C332143AE}"/>
    <hyperlink ref="C4015" r:id="rId4010" display="https://pld.live/RapDetail.aspx?STONELIST=925801452&amp;ISCONFIRM=0" xr:uid="{79D560A2-BF51-4AE1-AE95-594350E71431}"/>
    <hyperlink ref="C4016" r:id="rId4011" display="https://pld.live/RapDetail.aspx?STONELIST=925541515&amp;ISCONFIRM=0" xr:uid="{C1B4B88E-8321-40CA-B230-D6A2B5C77469}"/>
    <hyperlink ref="C4017" r:id="rId4012" display="https://pld.live/RapDetail.aspx?STONELIST=926071731&amp;ISCONFIRM=0" xr:uid="{96AAF871-F6D5-41C6-8550-889626FFBDC6}"/>
    <hyperlink ref="C4018" r:id="rId4013" display="https://pld.live/RapDetail.aspx?STONELIST=923540447&amp;ISCONFIRM=0" xr:uid="{5F1DE281-E989-482E-8CA3-807080469731}"/>
    <hyperlink ref="C4019" r:id="rId4014" display="https://pld.live/RapDetail.aspx?STONELIST=925961120&amp;ISCONFIRM=0" xr:uid="{9CDEA924-6FED-4EEA-988B-D2F038D47FC5}"/>
    <hyperlink ref="C4020" r:id="rId4015" display="https://pld.live/RapDetail.aspx?STONELIST=924750156&amp;ISCONFIRM=0" xr:uid="{C1BA7F8B-7ACB-424A-8A73-B7650C0D4852}"/>
    <hyperlink ref="C4021" r:id="rId4016" display="https://pld.live/RapDetail.aspx?STONELIST=821125139&amp;ISCONFIRM=0" xr:uid="{356ABB94-FB0C-406B-9397-3D9B066B317B}"/>
    <hyperlink ref="C4022" r:id="rId4017" display="https://pld.live/RapDetail.aspx?STONELIST=926071699&amp;ISCONFIRM=0" xr:uid="{FE15B1EE-0B23-4CA0-A69E-B89AF369230B}"/>
    <hyperlink ref="C4023" r:id="rId4018" display="https://pld.live/RapDetail.aspx?STONELIST=926200723&amp;ISCONFIRM=0" xr:uid="{CF5DCBB0-6C3E-4D6F-88AB-421B592BAF05}"/>
    <hyperlink ref="C4024" r:id="rId4019" display="https://pld.live/RapDetail.aspx?STONELIST=926171298&amp;ISCONFIRM=0" xr:uid="{E5CD7E03-8455-4B51-A0F1-7AA4C9EDD745}"/>
    <hyperlink ref="C4025" r:id="rId4020" display="https://pld.live/RapDetail.aspx?STONELIST=941120579&amp;ISCONFIRM=0" xr:uid="{4D4974A5-0C71-4BF1-8369-F3AD94C84F7A}"/>
    <hyperlink ref="C4026" r:id="rId4021" display="https://pld.live/RapDetail.aspx?STONELIST=925961324&amp;ISCONFIRM=0" xr:uid="{326EA807-88B1-4BFF-9ADC-598DE5559590}"/>
    <hyperlink ref="C4027" r:id="rId4022" display="https://pld.live/RapDetail.aspx?STONELIST=926200782&amp;ISCONFIRM=0" xr:uid="{5F7FF58F-A654-4732-9862-B0D29D923989}"/>
    <hyperlink ref="C4028" r:id="rId4023" display="https://pld.live/RapDetail.aspx?STONELIST=941200045&amp;ISCONFIRM=0" xr:uid="{1B7645B3-744F-4E95-9808-5AE857C79BC8}"/>
    <hyperlink ref="C4029" r:id="rId4024" display="https://pld.live/RapDetail.aspx?STONELIST=926071554&amp;ISCONFIRM=0" xr:uid="{CE89768B-5E7F-4929-B7BB-DF6F495E1778}"/>
    <hyperlink ref="C4030" r:id="rId4025" display="https://pld.live/RapDetail.aspx?STONELIST=925981054&amp;ISCONFIRM=0" xr:uid="{AE31AD76-1516-4C2E-BD0A-B2FBCBE84E21}"/>
    <hyperlink ref="C4031" r:id="rId4026" display="https://pld.live/RapDetail.aspx?STONELIST=925620695&amp;ISCONFIRM=0" xr:uid="{0CA54948-BAC9-43CB-AE01-FE0B4023955C}"/>
    <hyperlink ref="C4032" r:id="rId4027" display="https://pld.live/RapDetail.aspx?STONELIST=925551887&amp;ISCONFIRM=0" xr:uid="{6294BED5-FCD3-49F0-8D18-09611DE322A2}"/>
    <hyperlink ref="C4033" r:id="rId4028" display="https://pld.live/RapDetail.aspx?STONELIST=925961371&amp;ISCONFIRM=0" xr:uid="{9F92355D-52A7-4001-B706-2FDBF3B583EE}"/>
    <hyperlink ref="C4034" r:id="rId4029" display="https://pld.live/RapDetail.aspx?STONELIST=926041141&amp;ISCONFIRM=0" xr:uid="{8833F993-4FE3-43E7-8B15-364411FDAD25}"/>
    <hyperlink ref="C4035" r:id="rId4030" display="https://pld.live/RapDetail.aspx?STONELIST=925861897&amp;ISCONFIRM=0" xr:uid="{9BE7AEA5-16D5-4C99-A1DC-3090D0145384}"/>
    <hyperlink ref="C4036" r:id="rId4031" display="https://pld.live/RapDetail.aspx?STONELIST=925861666&amp;ISCONFIRM=0" xr:uid="{7B9A2CA0-8F6F-4F5B-BF5A-8ED7CFAE8ECC}"/>
    <hyperlink ref="C4037" r:id="rId4032" display="https://pld.live/RapDetail.aspx?STONELIST=925861420&amp;ISCONFIRM=0" xr:uid="{E954C452-C922-4F58-AACB-6AD56C33D90A}"/>
    <hyperlink ref="C4038" r:id="rId4033" display="https://pld.live/RapDetail.aspx?STONELIST=925732086&amp;ISCONFIRM=0" xr:uid="{E3FA2E3F-54A4-495F-8E23-DD624A736B6F}"/>
    <hyperlink ref="C4039" r:id="rId4034" display="https://pld.live/RapDetail.aspx?STONELIST=821125737&amp;ISCONFIRM=0" xr:uid="{02940C0F-D323-4956-AECD-213CDF01DDBB}"/>
    <hyperlink ref="C4040" r:id="rId4035" display="https://pld.live/RapDetail.aspx?STONELIST=925551847&amp;ISCONFIRM=0" xr:uid="{A99AFFB1-4949-4606-8CA0-9E4568CEB33F}"/>
    <hyperlink ref="C4041" r:id="rId4036" display="https://pld.live/RapDetail.aspx?STONELIST=926071549&amp;ISCONFIRM=0" xr:uid="{1D86041E-C050-4737-8D6D-D1402ED766C7}"/>
    <hyperlink ref="C4042" r:id="rId4037" display="https://pld.live/RapDetail.aspx?STONELIST=925981233&amp;ISCONFIRM=0" xr:uid="{ADBB3A40-A20E-41FB-A1D0-8F25DCB4DD6E}"/>
    <hyperlink ref="C4043" r:id="rId4038" display="https://pld.live/RapDetail.aspx?STONELIST=925801646&amp;ISCONFIRM=0" xr:uid="{338D08AF-DF14-473A-8D1F-A8F221AEA995}"/>
    <hyperlink ref="C4044" r:id="rId4039" display="https://pld.live/RapDetail.aspx?STONELIST=925801696&amp;ISCONFIRM=0" xr:uid="{492458D8-24B5-4EAE-B791-EFFFA4071B19}"/>
    <hyperlink ref="C4045" r:id="rId4040" display="https://pld.live/RapDetail.aspx?STONELIST=925851170&amp;ISCONFIRM=0" xr:uid="{D631C304-555B-4CD3-9A89-DEB29F9E75C5}"/>
    <hyperlink ref="C4046" r:id="rId4041" display="https://pld.live/RapDetail.aspx?STONELIST=925732293&amp;ISCONFIRM=0" xr:uid="{BE079224-C2E7-4EB0-86F8-AD552DD3B931}"/>
    <hyperlink ref="C4047" r:id="rId4042" display="https://pld.live/RapDetail.aspx?STONELIST=925732157&amp;ISCONFIRM=0" xr:uid="{F6BCEDAB-5467-402E-AC07-711193FDE360}"/>
    <hyperlink ref="C4048" r:id="rId4043" display="https://pld.live/RapDetail.aspx?STONELIST=925732167&amp;ISCONFIRM=0" xr:uid="{DB0C031E-17E1-4AEE-AB33-6CD53943966D}"/>
    <hyperlink ref="C4049" r:id="rId4044" display="https://pld.live/RapDetail.aspx?STONELIST=925861562&amp;ISCONFIRM=0" xr:uid="{9F9F06A7-66EC-41B7-B47B-A21778274415}"/>
    <hyperlink ref="C4050" r:id="rId4045" display="https://pld.live/RapDetail.aspx?STONELIST=925731979&amp;ISCONFIRM=0" xr:uid="{AE13444C-631C-4C8C-B713-B36A1B4432EB}"/>
    <hyperlink ref="C4051" r:id="rId4046" display="https://pld.live/RapDetail.aspx?STONELIST=925861660&amp;ISCONFIRM=0" xr:uid="{277DC22A-A99F-4E33-9ED1-52FEE9CA8E19}"/>
    <hyperlink ref="C4052" r:id="rId4047" display="https://pld.live/RapDetail.aspx?STONELIST=925890487&amp;ISCONFIRM=0" xr:uid="{54DC9C2B-B383-44A2-BDCC-60EAAEA4BA39}"/>
    <hyperlink ref="C4053" r:id="rId4048" display="https://pld.live/RapDetail.aspx?STONELIST=925802072&amp;ISCONFIRM=0" xr:uid="{AF556ACF-3DA6-4880-8578-A8131484A15C}"/>
    <hyperlink ref="C4054" r:id="rId4049" display="https://pld.live/RapDetail.aspx?STONELIST=925801852&amp;ISCONFIRM=0" xr:uid="{DC5143CB-044A-4E6D-AA42-DD986827B3DF}"/>
    <hyperlink ref="C4055" r:id="rId4050" display="https://pld.live/RapDetail.aspx?STONELIST=925861809&amp;ISCONFIRM=0" xr:uid="{4351AA44-A14B-443B-8F4B-3953C0741BA9}"/>
    <hyperlink ref="C4056" r:id="rId4051" display="https://pld.live/RapDetail.aspx?STONELIST=925802039&amp;ISCONFIRM=0" xr:uid="{7F54D6E9-D9CA-4709-BF99-78AEAA2421A4}"/>
    <hyperlink ref="C4057" r:id="rId4052" display="https://pld.live/RapDetail.aspx?STONELIST=925802009&amp;ISCONFIRM=0" xr:uid="{4B4B8B57-C7A2-447D-A66F-EBE859FC4E28}"/>
    <hyperlink ref="C4058" r:id="rId4053" display="https://pld.live/RapDetail.aspx?STONELIST=925951251&amp;ISCONFIRM=0" xr:uid="{01ADC6D6-DA60-4558-9BFE-D894890F9FBE}"/>
    <hyperlink ref="C4059" r:id="rId4054" display="https://pld.live/RapDetail.aspx?STONELIST=925721963&amp;ISCONFIRM=0" xr:uid="{1D42AD50-376E-4BBD-99F1-C0361E3DB632}"/>
    <hyperlink ref="C4060" r:id="rId4055" display="https://pld.live/RapDetail.aspx?STONELIST=925621900&amp;ISCONFIRM=0" xr:uid="{45F6D1D2-BAF7-41CD-B16C-94916F7F0D6E}"/>
    <hyperlink ref="C4061" r:id="rId4056" display="https://pld.live/RapDetail.aspx?STONELIST=925721175&amp;ISCONFIRM=0" xr:uid="{1B786755-C7ED-4FA2-A89F-F2C1A71D8D78}"/>
    <hyperlink ref="C4062" r:id="rId4057" display="https://pld.live/RapDetail.aspx?STONELIST=926100612&amp;ISCONFIRM=0" xr:uid="{210D0F6B-EC0E-41F3-A4A1-A4F5D5A0AE16}"/>
    <hyperlink ref="C4063" r:id="rId4058" display="https://pld.live/RapDetail.aspx?STONELIST=925971166&amp;ISCONFIRM=0" xr:uid="{0FFFEC8E-052D-43BD-9008-2C4C172599AA}"/>
    <hyperlink ref="C4064" r:id="rId4059" display="https://pld.live/RapDetail.aspx?STONELIST=926041294&amp;ISCONFIRM=0" xr:uid="{F95EC243-78BF-4AB7-A50D-42251194F001}"/>
    <hyperlink ref="C4065" r:id="rId4060" display="https://pld.live/RapDetail.aspx?STONELIST=926171207&amp;ISCONFIRM=0" xr:uid="{1EE657DE-362B-48D9-8C33-83E85386F9FC}"/>
    <hyperlink ref="C4066" r:id="rId4061" display="https://pld.live/RapDetail.aspx?STONELIST=925981065&amp;ISCONFIRM=0" xr:uid="{482FE65E-2EA5-4DE6-B94C-92C372EBDC70}"/>
    <hyperlink ref="C4067" r:id="rId4062" display="https://pld.live/RapDetail.aspx?STONELIST=925961160&amp;ISCONFIRM=0" xr:uid="{6BC8EC03-2224-484C-8B75-F5CFF0DC2D7A}"/>
    <hyperlink ref="C4068" r:id="rId4063" display="https://pld.live/RapDetail.aspx?STONELIST=925961270&amp;ISCONFIRM=0" xr:uid="{4EEA1410-FAB8-421F-8268-996D0AF95034}"/>
    <hyperlink ref="C4069" r:id="rId4064" display="https://pld.live/RapDetail.aspx?STONELIST=926200741&amp;ISCONFIRM=0" xr:uid="{B2B81969-F386-4CE8-AD3E-61C8000C24F2}"/>
    <hyperlink ref="C4070" r:id="rId4065" display="https://pld.live/RapDetail.aspx?STONELIST=926200720&amp;ISCONFIRM=0" xr:uid="{2A4645F0-0D7F-4E8A-B05B-5C777BA4717E}"/>
    <hyperlink ref="C4071" r:id="rId4066" display="https://pld.live/RapDetail.aspx?STONELIST=925521955&amp;ISCONFIRM=0" xr:uid="{6BF67877-A9C4-491D-AC81-AD7AF3E95186}"/>
    <hyperlink ref="C4072" r:id="rId4067" display="https://pld.live/RapDetail.aspx?STONELIST=925971325&amp;ISCONFIRM=0" xr:uid="{E2B2CD12-4D69-43AD-AE64-0248C8136434}"/>
    <hyperlink ref="C4073" r:id="rId4068" display="https://pld.live/RapDetail.aspx?STONELIST=926041021&amp;ISCONFIRM=0" xr:uid="{B3C03C19-BC65-4A91-821E-8B0173318F2E}"/>
    <hyperlink ref="C4074" r:id="rId4069" display="https://pld.live/RapDetail.aspx?STONELIST=926071487&amp;ISCONFIRM=0" xr:uid="{7C13F254-3673-49FC-B0D5-B0DFBA0C13C4}"/>
    <hyperlink ref="C4075" r:id="rId4070" display="https://pld.live/RapDetail.aspx?STONELIST=926171079&amp;ISCONFIRM=0" xr:uid="{FB58D8BB-C019-44BF-A9BD-EC026B67F71A}"/>
    <hyperlink ref="C4076" r:id="rId4071" display="https://pld.live/RapDetail.aspx?STONELIST=925722064&amp;ISCONFIRM=0" xr:uid="{D8557697-140B-4190-BD20-075FC34DFBA3}"/>
    <hyperlink ref="C4077" r:id="rId4072" display="https://pld.live/RapDetail.aspx?STONELIST=925722029&amp;ISCONFIRM=0" xr:uid="{8621FDAC-FFE1-4904-A3A6-282AD1AB76AF}"/>
    <hyperlink ref="C4078" r:id="rId4073" display="https://pld.live/RapDetail.aspx?STONELIST=925521848&amp;ISCONFIRM=0" xr:uid="{A0DC6F81-968F-43C2-B683-48CD53AEFDD6}"/>
    <hyperlink ref="C4079" r:id="rId4074" display="https://pld.live/RapDetail.aspx?STONELIST=925541522&amp;ISCONFIRM=0" xr:uid="{A750A9D1-DB34-45DF-B7A0-981023EB6017}"/>
    <hyperlink ref="C4080" r:id="rId4075" display="https://pld.live/RapDetail.aspx?STONELIST=925802042&amp;ISCONFIRM=0" xr:uid="{0FE53196-3888-46C0-B068-19FDDC7FA389}"/>
    <hyperlink ref="C4081" r:id="rId4076" display="https://pld.live/RapDetail.aspx?STONELIST=925551933&amp;ISCONFIRM=0" xr:uid="{01BEAFAB-75BA-4F4D-9EBB-2B1B89E7AB46}"/>
    <hyperlink ref="C4082" r:id="rId4077" display="https://pld.live/RapDetail.aspx?STONELIST=926171092&amp;ISCONFIRM=0" xr:uid="{133A61C4-103D-47B7-A46A-7A2A0D0F54C9}"/>
    <hyperlink ref="C4083" r:id="rId4078" display="https://pld.live/RapDetail.aspx?STONELIST=925551917&amp;ISCONFIRM=0" xr:uid="{32C802D6-180E-4FF2-97E3-71824B620D53}"/>
    <hyperlink ref="C4084" r:id="rId4079" display="https://pld.live/RapDetail.aspx?STONELIST=831010607&amp;ISCONFIRM=0" xr:uid="{170E33E7-DC1F-4AB7-AA9C-5A32F0564D52}"/>
    <hyperlink ref="C4085" r:id="rId4080" display="https://pld.live/RapDetail.aspx?STONELIST=925621860&amp;ISCONFIRM=0" xr:uid="{B40476AF-98AD-440D-BD5F-A23E3ECD5F44}"/>
    <hyperlink ref="C4086" r:id="rId4081" display="https://pld.live/RapDetail.aspx?STONELIST=925120338&amp;ISCONFIRM=0" xr:uid="{150620E6-3F03-4E1A-9705-9747EA3ECCC6}"/>
    <hyperlink ref="C4087" r:id="rId4082" display="https://pld.live/RapDetail.aspx?STONELIST=925140124&amp;ISCONFIRM=0" xr:uid="{80EF89B8-9C86-4B2B-8DC5-B78D168C62EA}"/>
    <hyperlink ref="C4088" r:id="rId4083" display="https://pld.live/RapDetail.aspx?STONELIST=924610427&amp;ISCONFIRM=0" xr:uid="{C462A705-33B5-4781-B870-292954592AAA}"/>
    <hyperlink ref="C4089" r:id="rId4084" display="https://pld.live/RapDetail.aspx?STONELIST=925890147&amp;ISCONFIRM=0" xr:uid="{022D1585-203E-404A-ACEF-CD690F30B925}"/>
    <hyperlink ref="C4090" r:id="rId4085" display="https://pld.live/RapDetail.aspx?STONELIST=926200754&amp;ISCONFIRM=0" xr:uid="{AFAA14D7-4E04-49BA-A457-E568F27774A2}"/>
    <hyperlink ref="C4091" r:id="rId4086" display="https://pld.live/RapDetail.aspx?STONELIST=821124228&amp;ISCONFIRM=0" xr:uid="{872495EF-3583-4793-B87D-CC746A2C0818}"/>
    <hyperlink ref="C4092" r:id="rId4087" display="https://pld.live/RapDetail.aspx?STONELIST=831010768&amp;ISCONFIRM=0" xr:uid="{6AC2DC70-30D2-438E-9F4B-340C658D6EEF}"/>
    <hyperlink ref="C4093" r:id="rId4088" display="https://pld.live/RapDetail.aspx?STONELIST=821123508&amp;ISCONFIRM=0" xr:uid="{AE6DC485-43CD-405F-93D2-DD1BA8A21265}"/>
    <hyperlink ref="C4094" r:id="rId4089" display="https://pld.live/RapDetail.aspx?STONELIST=821123795&amp;ISCONFIRM=0" xr:uid="{D09CBBFA-839E-4810-83E7-53B1577D9E53}"/>
    <hyperlink ref="C4095" r:id="rId4090" display="https://pld.live/RapDetail.aspx?STONELIST=925801817&amp;ISCONFIRM=0" xr:uid="{E3DF4BD1-0FC7-4C15-B14F-36D31CD80F83}"/>
    <hyperlink ref="C4096" r:id="rId4091" display="https://pld.live/RapDetail.aspx?STONELIST=926171531&amp;ISCONFIRM=0" xr:uid="{FE867420-B0C2-4F9F-AD6E-8CC06365D269}"/>
    <hyperlink ref="C4097" r:id="rId4092" display="https://pld.live/RapDetail.aspx?STONELIST=927092555&amp;ISCONFIRM=0" xr:uid="{762F93BD-2E9F-4B18-8673-71BAD2ACF84E}"/>
    <hyperlink ref="C4098" r:id="rId4093" display="https://pld.live/RapDetail.aspx?STONELIST=927010778&amp;ISCONFIRM=0" xr:uid="{620C3A14-58C2-4790-9264-E27208354DFF}"/>
    <hyperlink ref="C4099" r:id="rId4094" display="https://pld.live/RapDetail.aspx?STONELIST=926621027&amp;ISCONFIRM=0" xr:uid="{D924432D-4848-4BE1-8B1F-4D7624E98C12}"/>
    <hyperlink ref="C4100" r:id="rId4095" display="https://pld.live/RapDetail.aspx?STONELIST=927030759&amp;ISCONFIRM=0" xr:uid="{418633B0-BD08-4572-A0F2-3EDEF0A8D4BD}"/>
    <hyperlink ref="C4101" r:id="rId4096" display="https://pld.live/RapDetail.aspx?STONELIST=927092363&amp;ISCONFIRM=0" xr:uid="{644624CB-3C72-49A8-8A07-D798927EBA8C}"/>
    <hyperlink ref="C4102" r:id="rId4097" display="https://pld.live/RapDetail.aspx?STONELIST=926621094&amp;ISCONFIRM=0" xr:uid="{DBC486E3-8A1B-4A62-B6EC-3F8E6947E672}"/>
    <hyperlink ref="C4103" r:id="rId4098" display="https://pld.live/RapDetail.aspx?STONELIST=821114642&amp;ISCONFIRM=0" xr:uid="{1108D2A2-046C-4A23-850F-5745EBD31A0A}"/>
    <hyperlink ref="C4104" r:id="rId4099" display="https://pld.live/RapDetail.aspx?STONELIST=926200912&amp;ISCONFIRM=0" xr:uid="{05B92E94-6BC6-4BBB-9841-3F6A30F7D375}"/>
    <hyperlink ref="C4105" r:id="rId4100" display="https://pld.live/RapDetail.aspx?STONELIST=925542738&amp;ISCONFIRM=0" xr:uid="{FCDBDF4F-1352-4F13-BEB4-AB458ABBB58E}"/>
    <hyperlink ref="C4106" r:id="rId4101" display="https://pld.live/RapDetail.aspx?STONELIST=925130064&amp;ISCONFIRM=0" xr:uid="{3973EBFC-E680-4B26-B135-17FA45FD0656}"/>
    <hyperlink ref="C4107" r:id="rId4102" display="https://pld.live/RapDetail.aspx?STONELIST=925621571&amp;ISCONFIRM=0" xr:uid="{940DB7CC-FD54-4DD9-A975-D296FC53BF39}"/>
    <hyperlink ref="C4108" r:id="rId4103" display="https://pld.live/RapDetail.aspx?STONELIST=925140273&amp;ISCONFIRM=0" xr:uid="{BF3D68D4-4541-450D-A760-DCF75306DBCD}"/>
    <hyperlink ref="C4109" r:id="rId4104" display="https://pld.live/RapDetail.aspx?STONELIST=926071832&amp;ISCONFIRM=0" xr:uid="{7ABFA778-E3CE-4CB2-AB15-A298373F572E}"/>
    <hyperlink ref="C4110" r:id="rId4105" display="https://pld.live/RapDetail.aspx?STONELIST=926040608&amp;ISCONFIRM=0" xr:uid="{03CA4F1F-EF16-4A84-9954-1D8783F3ED3A}"/>
    <hyperlink ref="C4111" r:id="rId4106" display="https://pld.live/RapDetail.aspx?STONELIST=925861973&amp;ISCONFIRM=0" xr:uid="{C8753DEA-C54B-47A5-A85C-D8343BC666E9}"/>
    <hyperlink ref="C4112" r:id="rId4107" display="https://pld.live/RapDetail.aspx?STONELIST=821115376&amp;ISCONFIRM=0" xr:uid="{B2C563EE-2BF3-401E-BF35-4C3501DE81F0}"/>
    <hyperlink ref="C4113" r:id="rId4108" display="https://pld.live/RapDetail.aspx?STONELIST=926041287&amp;ISCONFIRM=0" xr:uid="{5303A28B-2F38-4561-B3D6-AA5CD95A42BD}"/>
    <hyperlink ref="C4114" r:id="rId4109" display="https://pld.live/RapDetail.aspx?STONELIST=925110281&amp;ISCONFIRM=0" xr:uid="{ADEE82B3-74A3-47EB-8AF5-A57CB434E93F}"/>
    <hyperlink ref="C4115" r:id="rId4110" display="https://pld.live/RapDetail.aspx?STONELIST=925450160&amp;ISCONFIRM=0" xr:uid="{D0EEC2DF-0D0E-40DE-B1C0-43462AF6A673}"/>
    <hyperlink ref="C4116" r:id="rId4111" display="https://pld.live/RapDetail.aspx?STONELIST=925110383&amp;ISCONFIRM=0" xr:uid="{FC90AB66-C7CA-4913-868B-E79991A71900}"/>
    <hyperlink ref="C4117" r:id="rId4112" display="https://pld.live/RapDetail.aspx?STONELIST=925110378&amp;ISCONFIRM=0" xr:uid="{3B6C4527-CF50-4C6A-BA07-2D82F47F50F8}"/>
    <hyperlink ref="C4118" r:id="rId4113" display="https://pld.live/RapDetail.aspx?STONELIST=925621810&amp;ISCONFIRM=0" xr:uid="{9820D94C-7CCA-421C-9D0D-FCFD20788251}"/>
    <hyperlink ref="C4119" r:id="rId4114" display="https://pld.live/RapDetail.aspx?STONELIST=925300340&amp;ISCONFIRM=0" xr:uid="{10FB2CAE-E479-4EC4-A2F1-6A90AFDD3750}"/>
    <hyperlink ref="C4120" r:id="rId4115" display="https://pld.live/RapDetail.aspx?STONELIST=925521961&amp;ISCONFIRM=0" xr:uid="{79907E37-8973-4B7D-9A32-376340B7284B}"/>
    <hyperlink ref="C4121" r:id="rId4116" display="https://pld.live/RapDetail.aspx?STONELIST=926041239&amp;ISCONFIRM=0" xr:uid="{23FA6F46-1C2F-438D-85F3-04C5CBFECFA8}"/>
    <hyperlink ref="C4122" r:id="rId4117" display="https://pld.live/RapDetail.aspx?STONELIST=925140296&amp;ISCONFIRM=0" xr:uid="{4157BCD2-43A1-4F98-9D37-19DB69EC70A4}"/>
    <hyperlink ref="C4123" r:id="rId4118" display="https://pld.live/RapDetail.aspx?STONELIST=925270554&amp;ISCONFIRM=0" xr:uid="{26CFF847-884A-4101-AA2E-F292C53341F9}"/>
    <hyperlink ref="C4124" r:id="rId4119" display="https://pld.live/RapDetail.aspx?STONELIST=925140306&amp;ISCONFIRM=0" xr:uid="{A1B73F8D-0215-49FA-A588-FD1FF5323674}"/>
    <hyperlink ref="C4125" r:id="rId4120" display="https://pld.live/RapDetail.aspx?STONELIST=925450220&amp;ISCONFIRM=0" xr:uid="{A6250879-8060-4800-91F7-681E123677CC}"/>
    <hyperlink ref="C4126" r:id="rId4121" display="https://pld.live/RapDetail.aspx?STONELIST=925851187&amp;ISCONFIRM=0" xr:uid="{5C47A40B-B864-47FB-A07F-9E44D76FD0DC}"/>
    <hyperlink ref="C4127" r:id="rId4122" display="https://pld.live/RapDetail.aspx?STONELIST=925280474&amp;ISCONFIRM=0" xr:uid="{9FF2C3D5-C42C-4B9F-BEEA-85BC23099569}"/>
    <hyperlink ref="C4128" r:id="rId4123" display="https://pld.live/RapDetail.aspx?STONELIST=925450203&amp;ISCONFIRM=0" xr:uid="{E0A939F5-1BDF-421A-926E-007DA7B4DC6F}"/>
    <hyperlink ref="C4129" r:id="rId4124" display="https://pld.live/RapDetail.aspx?STONELIST=926071745&amp;ISCONFIRM=0" xr:uid="{5910F5C9-7D4E-4F6A-B723-974911325F83}"/>
    <hyperlink ref="C4130" r:id="rId4125" display="https://pld.live/RapDetail.aspx?STONELIST=926071827&amp;ISCONFIRM=0" xr:uid="{19AED2F3-36A3-4406-9DC4-2EAA2E3300C2}"/>
    <hyperlink ref="C4131" r:id="rId4126" display="https://pld.live/RapDetail.aspx?STONELIST=925961150&amp;ISCONFIRM=0" xr:uid="{D0C0B5E3-53CD-4F98-A0DB-533125D4816F}"/>
    <hyperlink ref="C4132" r:id="rId4127" display="https://pld.live/RapDetail.aspx?STONELIST=926100864&amp;ISCONFIRM=0" xr:uid="{A23EB600-3C89-4AE6-8C07-0DE61C46F8E4}"/>
    <hyperlink ref="C4133" r:id="rId4128" display="https://pld.live/RapDetail.aspx?STONELIST=925950893&amp;ISCONFIRM=0" xr:uid="{57957061-95CF-49A6-BC24-FDC10D89D8A7}"/>
    <hyperlink ref="C4134" r:id="rId4129" display="https://pld.live/RapDetail.aspx?STONELIST=926040883&amp;ISCONFIRM=0" xr:uid="{83E5B4DF-751F-4774-8A3F-9D0931902628}"/>
    <hyperlink ref="C4135" r:id="rId4130" display="https://pld.live/RapDetail.aspx?STONELIST=925120371&amp;ISCONFIRM=0" xr:uid="{C136FC1C-30D5-4257-A15E-06762C20A8E6}"/>
    <hyperlink ref="C4136" r:id="rId4131" display="https://pld.live/RapDetail.aspx?STONELIST=926170786&amp;ISCONFIRM=0" xr:uid="{752464A8-FC03-4C75-8C49-A1F1B4FD021A}"/>
    <hyperlink ref="C4137" r:id="rId4132" display="https://pld.live/RapDetail.aspx?STONELIST=925732027&amp;ISCONFIRM=0" xr:uid="{9F956FF2-CB19-4B9A-958D-C495BB87B98A}"/>
    <hyperlink ref="C4138" r:id="rId4133" display="https://pld.live/RapDetail.aspx?STONELIST=831010689&amp;ISCONFIRM=0" xr:uid="{72DE6981-6B90-47DC-AE2A-7A840F77561D}"/>
    <hyperlink ref="C4139" r:id="rId4134" display="https://pld.live/RapDetail.aspx?STONELIST=925861060&amp;ISCONFIRM=0" xr:uid="{AF6F4953-4ED6-476C-BDBA-3C587377DEA2}"/>
    <hyperlink ref="C4140" r:id="rId4135" display="https://pld.live/RapDetail.aspx?STONELIST=925140244&amp;ISCONFIRM=0" xr:uid="{1398E127-3FB7-4B41-BD65-A41FE40A7F0C}"/>
    <hyperlink ref="C4141" r:id="rId4136" display="https://pld.live/RapDetail.aspx?STONELIST=925980900&amp;ISCONFIRM=0" xr:uid="{5A3B1F53-B993-4103-9440-CFA60646A2EA}"/>
    <hyperlink ref="C4142" r:id="rId4137" display="https://pld.live/RapDetail.aspx?STONELIST=925861584&amp;ISCONFIRM=0" xr:uid="{87599176-F216-4ED9-AFAC-E8934779A6FE}"/>
    <hyperlink ref="C4143" r:id="rId4138" display="https://pld.live/RapDetail.aspx?STONELIST=925950513&amp;ISCONFIRM=0" xr:uid="{E83CA2D2-BD00-4FFD-BE70-7218D0BBDCA8}"/>
    <hyperlink ref="C4144" r:id="rId4139" display="https://pld.live/RapDetail.aspx?STONELIST=926170480&amp;ISCONFIRM=0" xr:uid="{65B80EEE-68E8-49A0-A1DA-B385FE6A74D0}"/>
    <hyperlink ref="C4145" r:id="rId4140" display="https://pld.live/RapDetail.aspx?STONELIST=926110404&amp;ISCONFIRM=0" xr:uid="{C3FF622C-9711-4F4F-BC7B-D4303ED778FF}"/>
    <hyperlink ref="C4146" r:id="rId4141" display="https://pld.live/RapDetail.aspx?STONELIST=925940399&amp;ISCONFIRM=0" xr:uid="{5D5926D8-2FA3-4636-BD91-0D1DD41F3EBE}"/>
    <hyperlink ref="C4147" r:id="rId4142" display="https://pld.live/RapDetail.aspx?STONELIST=925722089&amp;ISCONFIRM=0" xr:uid="{D601B1AF-1E6B-4B7F-905A-E909AAE21574}"/>
    <hyperlink ref="C4148" r:id="rId4143" display="https://pld.live/RapDetail.aspx?STONELIST=926170785&amp;ISCONFIRM=0" xr:uid="{165FF096-5F2F-4494-B603-8BCDE1606952}"/>
    <hyperlink ref="C4149" r:id="rId4144" display="https://pld.live/RapDetail.aspx?STONELIST=925450148&amp;ISCONFIRM=0" xr:uid="{7B5F9C2D-F33A-452C-BF6A-D84C9A64B1DF}"/>
    <hyperlink ref="C4150" r:id="rId4145" display="https://pld.live/RapDetail.aspx?STONELIST=925450075&amp;ISCONFIRM=0" xr:uid="{F8E04565-54C5-4817-A171-EB107C05D58F}"/>
    <hyperlink ref="C4151" r:id="rId4146" display="https://pld.live/RapDetail.aspx?STONELIST=925722060&amp;ISCONFIRM=0" xr:uid="{A9B95499-06B1-4C16-AFEC-EFCBCA025183}"/>
    <hyperlink ref="C4152" r:id="rId4147" display="https://pld.live/RapDetail.aspx?STONELIST=925940519&amp;ISCONFIRM=0" xr:uid="{9888A7C2-FF38-4017-9148-B9ED4AA65E55}"/>
    <hyperlink ref="C4153" r:id="rId4148" display="https://pld.live/RapDetail.aspx?STONELIST=926170794&amp;ISCONFIRM=0" xr:uid="{FD0FCEBC-D634-4EFF-B0B9-DCB68D2F5182}"/>
    <hyperlink ref="C4154" r:id="rId4149" display="https://pld.live/RapDetail.aspx?STONELIST=926170655&amp;ISCONFIRM=0" xr:uid="{F69DF7B6-10EB-4FE1-9A60-F3AA3045768D}"/>
    <hyperlink ref="C4155" r:id="rId4150" display="https://pld.live/RapDetail.aspx?STONELIST=926110942&amp;ISCONFIRM=0" xr:uid="{7439F88B-8668-4C28-AC05-46AB356A5693}"/>
    <hyperlink ref="C4156" r:id="rId4151" display="https://pld.live/RapDetail.aspx?STONELIST=925732225&amp;ISCONFIRM=0" xr:uid="{FF953F2C-DF9E-4890-A741-01C3E7837325}"/>
    <hyperlink ref="C4157" r:id="rId4152" display="https://pld.live/RapDetail.aspx?STONELIST=926041276&amp;ISCONFIRM=0" xr:uid="{0E6CEA77-BB15-4192-8C25-C567431F4490}"/>
    <hyperlink ref="C4158" r:id="rId4153" display="https://pld.live/RapDetail.aspx?STONELIST=926110553&amp;ISCONFIRM=0" xr:uid="{180C2662-00C6-4356-9C90-6F2195B11C99}"/>
    <hyperlink ref="C4159" r:id="rId4154" display="https://pld.live/RapDetail.aspx?STONELIST=926041149&amp;ISCONFIRM=0" xr:uid="{7006B60C-C838-4CE4-AE3E-7F3C9000814C}"/>
    <hyperlink ref="C4160" r:id="rId4155" display="https://pld.live/RapDetail.aspx?STONELIST=925110306&amp;ISCONFIRM=0" xr:uid="{196228B0-6D59-4D8E-B4A7-1E423BFE6E77}"/>
    <hyperlink ref="C4161" r:id="rId4156" display="https://pld.live/RapDetail.aspx?STONELIST=925290374&amp;ISCONFIRM=0" xr:uid="{460B59AC-6994-4EF3-94F3-437580B2A41D}"/>
    <hyperlink ref="C4162" r:id="rId4157" display="https://pld.live/RapDetail.aspx?STONELIST=926110297&amp;ISCONFIRM=0" xr:uid="{E48A97CA-F536-4F04-9E4F-BB31769E6971}"/>
    <hyperlink ref="C4163" r:id="rId4158" display="https://pld.live/RapDetail.aspx?STONELIST=926110181&amp;ISCONFIRM=0" xr:uid="{412843F7-5034-41C0-90D6-71D25686FB1F}"/>
    <hyperlink ref="C4164" r:id="rId4159" display="https://pld.live/RapDetail.aspx?STONELIST=925861904&amp;ISCONFIRM=0" xr:uid="{560373B2-7278-49E2-AE70-71399CB198AD}"/>
    <hyperlink ref="C4165" r:id="rId4160" display="https://pld.live/RapDetail.aspx?STONELIST=926071672&amp;ISCONFIRM=0" xr:uid="{739B9B26-5FB6-4047-9779-6A40F406CA3F}"/>
    <hyperlink ref="C4166" r:id="rId4161" display="https://pld.live/RapDetail.aspx?STONELIST=925971250&amp;ISCONFIRM=0" xr:uid="{6E314BDB-229F-4E94-9CE5-9FC656D58B42}"/>
    <hyperlink ref="C4167" r:id="rId4162" display="https://pld.live/RapDetail.aspx?STONELIST=926110868&amp;ISCONFIRM=0" xr:uid="{BB43D177-A7F2-4EF0-B122-B4569FC7B527}"/>
    <hyperlink ref="C4168" r:id="rId4163" display="https://pld.live/RapDetail.aspx?STONELIST=926250130&amp;ISCONFIRM=0" xr:uid="{20FB5347-729F-4B5C-A2A0-0DFCF733B545}"/>
    <hyperlink ref="C4169" r:id="rId4164" display="https://pld.live/RapDetail.aspx?STONELIST=925851057&amp;ISCONFIRM=0" xr:uid="{D3413CA1-EAA6-41CF-828E-1A2EA7E77DA3}"/>
    <hyperlink ref="C4170" r:id="rId4165" display="https://pld.live/RapDetail.aspx?STONELIST=926110894&amp;ISCONFIRM=0" xr:uid="{9FC9C6C7-5C29-481E-AEC6-41212F0DBC6D}"/>
    <hyperlink ref="C4171" r:id="rId4166" display="https://pld.live/RapDetail.aspx?STONELIST=926071846&amp;ISCONFIRM=0" xr:uid="{DC07BD2C-D850-42A1-A875-D194A991C6B6}"/>
    <hyperlink ref="C4172" r:id="rId4167" display="https://pld.live/RapDetail.aspx?STONELIST=923660325&amp;ISCONFIRM=0" xr:uid="{FF9FA0C4-C4F1-4286-A50E-425A233998D2}"/>
    <hyperlink ref="C4173" r:id="rId4168" display="https://pld.live/RapDetail.aspx?STONELIST=925732001&amp;ISCONFIRM=0" xr:uid="{5972F59B-A854-4BDC-B34F-13F183DFF72A}"/>
    <hyperlink ref="C4174" r:id="rId4169" display="https://pld.live/RapDetail.aspx?STONELIST=925110409&amp;ISCONFIRM=0" xr:uid="{F2E69277-0BB2-40E7-9D11-E8140E4A0787}"/>
    <hyperlink ref="C4175" r:id="rId4170" display="https://pld.live/RapDetail.aspx?STONELIST=925830689&amp;ISCONFIRM=0" xr:uid="{ABE84A7F-2B6B-4E8D-9D81-109627D39EE3}"/>
    <hyperlink ref="C4176" r:id="rId4171" display="https://pld.live/RapDetail.aspx?STONELIST=925620871&amp;ISCONFIRM=0" xr:uid="{AF8C3D02-BD8B-4F4A-B6F1-DB84FD1DF137}"/>
    <hyperlink ref="C4177" r:id="rId4172" display="https://pld.live/RapDetail.aspx?STONELIST=925520301&amp;ISCONFIRM=0" xr:uid="{1D5979E2-A035-4A27-BF3C-F304A9EDCC65}"/>
    <hyperlink ref="C4178" r:id="rId4173" display="https://pld.live/RapDetail.aspx?STONELIST=925510049&amp;ISCONFIRM=0" xr:uid="{149222CF-FCEE-423C-919F-7D7F810E1863}"/>
    <hyperlink ref="C4179" r:id="rId4174" display="https://pld.live/RapDetail.aspx?STONELIST=926110294&amp;ISCONFIRM=0" xr:uid="{DACD2779-DDCB-4964-B726-2227430F377D}"/>
    <hyperlink ref="C4180" r:id="rId4175" display="https://pld.live/RapDetail.aspx?STONELIST=925722045&amp;ISCONFIRM=0" xr:uid="{23587D2E-95C2-4980-A686-A391E87B43E4}"/>
    <hyperlink ref="C4181" r:id="rId4176" display="https://pld.live/RapDetail.aspx?STONELIST=926171104&amp;ISCONFIRM=0" xr:uid="{2713AEA0-174D-4296-B2BB-1230C51B8C4B}"/>
    <hyperlink ref="C4182" r:id="rId4177" display="https://pld.live/RapDetail.aspx?STONELIST=926111207&amp;ISCONFIRM=0" xr:uid="{E430FB51-5CAD-4EF8-A651-C90E3B823BE6}"/>
    <hyperlink ref="C4183" r:id="rId4178" display="https://pld.live/RapDetail.aspx?STONELIST=926110554&amp;ISCONFIRM=0" xr:uid="{449E3C44-9D3E-4B96-93F0-AB3C27D00233}"/>
    <hyperlink ref="C4184" r:id="rId4179" display="https://pld.live/RapDetail.aspx?STONELIST=926040609&amp;ISCONFIRM=0" xr:uid="{117E6242-40EA-4664-A15F-B9B267975DE1}"/>
    <hyperlink ref="C4185" r:id="rId4180" display="https://pld.live/RapDetail.aspx?STONELIST=925721957&amp;ISCONFIRM=0" xr:uid="{5D14AE9C-A47E-450B-85D8-0F4A197BCDDA}"/>
    <hyperlink ref="C4186" r:id="rId4181" display="https://pld.live/RapDetail.aspx?STONELIST=925721752&amp;ISCONFIRM=0" xr:uid="{9CBCAA73-E227-4121-B47A-7FD2BB0D9773}"/>
    <hyperlink ref="C4187" r:id="rId4182" display="https://pld.live/RapDetail.aspx?STONELIST=821126918&amp;ISCONFIRM=0" xr:uid="{11CB9AD7-6827-4EAD-BB1D-14B26EFFB9B6}"/>
    <hyperlink ref="C4188" r:id="rId4183" display="https://pld.live/RapDetail.aspx?STONELIST=926270799&amp;ISCONFIRM=0" xr:uid="{5B8E1623-339E-49C2-8537-C7D8B30B2507}"/>
    <hyperlink ref="C4189" r:id="rId4184" display="https://pld.live/RapDetail.aspx?STONELIST=926210068&amp;ISCONFIRM=0" xr:uid="{26AD9252-8BC2-4156-BA40-4D7D55151AB2}"/>
    <hyperlink ref="C4190" r:id="rId4185" display="https://pld.live/RapDetail.aspx?STONELIST=926171116&amp;ISCONFIRM=0" xr:uid="{29660DF6-4F35-4C31-B0FD-2F6D11E7B1F3}"/>
    <hyperlink ref="C4191" r:id="rId4186" display="https://pld.live/RapDetail.aspx?STONELIST=926111341&amp;ISCONFIRM=0" xr:uid="{EE926142-CCC0-4F3A-BCCE-C53BA293ABC9}"/>
    <hyperlink ref="C4192" r:id="rId4187" display="https://pld.live/RapDetail.aspx?STONELIST=925732207&amp;ISCONFIRM=0" xr:uid="{5AC8984B-8E71-4B07-A1F1-121B0839C72D}"/>
    <hyperlink ref="C4193" r:id="rId4188" display="https://pld.live/RapDetail.aspx?STONELIST=925862072&amp;ISCONFIRM=0" xr:uid="{025486CC-AF43-496A-8887-23B548D2C169}"/>
    <hyperlink ref="C4194" r:id="rId4189" display="https://pld.live/RapDetail.aspx?STONELIST=925830693&amp;ISCONFIRM=0" xr:uid="{1F73B675-C402-497D-974E-1AD91452B887}"/>
    <hyperlink ref="C4195" r:id="rId4190" display="https://pld.live/RapDetail.aspx?STONELIST=926291263&amp;ISCONFIRM=0" xr:uid="{70D5B4A8-C381-46D7-994D-F3BA478D6C59}"/>
    <hyperlink ref="C4196" r:id="rId4191" display="https://pld.live/RapDetail.aspx?STONELIST=925621807&amp;ISCONFIRM=0" xr:uid="{4D2DC870-6ACB-495F-8EFB-E62A3CF71AAB}"/>
    <hyperlink ref="C4197" r:id="rId4192" display="https://pld.live/RapDetail.aspx?STONELIST=925120317&amp;ISCONFIRM=0" xr:uid="{A165A08E-D75D-4E7D-9CE9-ACFB1223954C}"/>
    <hyperlink ref="C4198" r:id="rId4193" display="https://pld.live/RapDetail.aspx?STONELIST=925521405&amp;ISCONFIRM=0" xr:uid="{F2A89C76-333D-4ACD-B8CD-31D60A33DA5D}"/>
    <hyperlink ref="C4199" r:id="rId4194" display="https://pld.live/RapDetail.aspx?STONELIST=925521695&amp;ISCONFIRM=0" xr:uid="{0433E878-103A-4E85-AE9F-6DE8BCE7CAAE}"/>
    <hyperlink ref="C4200" r:id="rId4195" display="https://pld.live/RapDetail.aspx?STONELIST=925732198&amp;ISCONFIRM=0" xr:uid="{D961C3B5-76D1-4A0F-8C9A-BEC3F6A70F6E}"/>
    <hyperlink ref="C4201" r:id="rId4196" display="https://pld.live/RapDetail.aspx?STONELIST=925732252&amp;ISCONFIRM=0" xr:uid="{5F888806-97F8-4401-B4FD-3341999ACC99}"/>
    <hyperlink ref="C4202" r:id="rId4197" display="https://pld.live/RapDetail.aspx?STONELIST=925851138&amp;ISCONFIRM=0" xr:uid="{7F432900-2EE6-48F9-8333-1BBE05DB3B92}"/>
    <hyperlink ref="C4203" r:id="rId4198" display="https://pld.live/RapDetail.aspx?STONELIST=925520514&amp;ISCONFIRM=0" xr:uid="{150371AA-7EB0-4D67-B38F-4C8D938735BC}"/>
    <hyperlink ref="C4204" r:id="rId4199" display="https://pld.live/RapDetail.aspx?STONELIST=925620735&amp;ISCONFIRM=0" xr:uid="{862BB9D7-B42A-4D3B-9577-A0E98D10146D}"/>
    <hyperlink ref="C4205" r:id="rId4200" display="https://pld.live/RapDetail.aspx?STONELIST=925621586&amp;ISCONFIRM=0" xr:uid="{249A63C4-5C8F-4BE0-BC6E-CA3E4D99DD3A}"/>
    <hyperlink ref="C4206" r:id="rId4201" display="https://pld.live/RapDetail.aspx?STONELIST=925521935&amp;ISCONFIRM=0" xr:uid="{09995C7B-E11E-4FDA-80E3-93CCE4617BF2}"/>
    <hyperlink ref="C4207" r:id="rId4202" display="https://pld.live/RapDetail.aspx?STONELIST=926071526&amp;ISCONFIRM=0" xr:uid="{F4B34C9B-1F5C-46AA-B304-E710265AABD2}"/>
    <hyperlink ref="C4208" r:id="rId4203" display="https://pld.live/RapDetail.aspx?STONELIST=925722042&amp;ISCONFIRM=0" xr:uid="{19D030C7-05C3-4990-969C-BC899F301D69}"/>
    <hyperlink ref="C4209" r:id="rId4204" display="https://pld.live/RapDetail.aspx?STONELIST=926110893&amp;ISCONFIRM=0" xr:uid="{89935E5D-1163-4BF4-9183-4167B28169B6}"/>
    <hyperlink ref="C4210" r:id="rId4205" display="https://pld.live/RapDetail.aspx?STONELIST=925721683&amp;ISCONFIRM=0" xr:uid="{CDFF37A0-8145-4296-8443-A959D8390645}"/>
    <hyperlink ref="C4211" r:id="rId4206" display="https://pld.live/RapDetail.aspx?STONELIST=926110403&amp;ISCONFIRM=0" xr:uid="{792CC85F-6305-4D24-B354-2DD51ADB29C5}"/>
    <hyperlink ref="C4212" r:id="rId4207" display="https://pld.live/RapDetail.aspx?STONELIST=925721730&amp;ISCONFIRM=0" xr:uid="{550C9550-09BD-434A-B13E-184EAA229D84}"/>
    <hyperlink ref="C4213" r:id="rId4208" display="https://pld.live/RapDetail.aspx?STONELIST=821125449&amp;ISCONFIRM=0" xr:uid="{C9912745-5A3A-48B4-B169-DCFC6B461134}"/>
    <hyperlink ref="C4214" r:id="rId4209" display="https://pld.live/RapDetail.aspx?STONELIST=821126919&amp;ISCONFIRM=0" xr:uid="{9C8892DA-DB8A-4097-B9E5-31F9583872B5}"/>
    <hyperlink ref="C4215" r:id="rId4210" display="https://pld.live/RapDetail.aspx?STONELIST=821113732&amp;ISCONFIRM=0" xr:uid="{6F265C4E-A66A-411B-8E9E-94D7807389F1}"/>
    <hyperlink ref="C4216" r:id="rId4211" display="https://pld.live/RapDetail.aspx?STONELIST=925621373&amp;ISCONFIRM=0" xr:uid="{97F693A3-1BCF-42F9-88FB-E8FB483917D0}"/>
    <hyperlink ref="C4217" r:id="rId4212" display="https://pld.live/RapDetail.aspx?STONELIST=925520108&amp;ISCONFIRM=0" xr:uid="{63533DEA-D7D8-4692-A3A4-2DEE49DEE091}"/>
    <hyperlink ref="C4218" r:id="rId4213" display="https://pld.live/RapDetail.aspx?STONELIST=925721314&amp;ISCONFIRM=0" xr:uid="{CF892FA2-B380-4D26-8BDB-ED7E98E6B2C7}"/>
    <hyperlink ref="C4219" r:id="rId4214" display="https://pld.live/RapDetail.aspx?STONELIST=925721940&amp;ISCONFIRM=0" xr:uid="{834546A0-9DAE-492B-B458-A219FD5F1809}"/>
    <hyperlink ref="C4220" r:id="rId4215" display="https://pld.live/RapDetail.aspx?STONELIST=926071662&amp;ISCONFIRM=0" xr:uid="{0E964E34-9D4B-47E7-932E-111AB8575B35}"/>
    <hyperlink ref="C4221" r:id="rId4216" display="https://pld.live/RapDetail.aspx?STONELIST=925551019&amp;ISCONFIRM=0" xr:uid="{02A7B923-17DE-4853-AD40-B9349B6E5A5A}"/>
    <hyperlink ref="C4222" r:id="rId4217" display="https://pld.live/RapDetail.aspx?STONELIST=925520674&amp;ISCONFIRM=0" xr:uid="{36533A2A-1F71-4435-AD30-2758D1A26CA0}"/>
    <hyperlink ref="C4223" r:id="rId4218" display="https://pld.live/RapDetail.aspx?STONELIST=925520082&amp;ISCONFIRM=0" xr:uid="{42D6A1B8-4318-485A-915A-A3298A68D99D}"/>
    <hyperlink ref="C4224" r:id="rId4219" display="https://pld.live/RapDetail.aspx?STONELIST=925830687&amp;ISCONFIRM=0" xr:uid="{5AFA58F0-68E4-426B-A3B2-381B3AEEA621}"/>
    <hyperlink ref="C4225" r:id="rId4220" display="https://pld.live/RapDetail.aspx?STONELIST=821125547&amp;ISCONFIRM=0" xr:uid="{12718011-F7B0-4D0A-A65D-AFEE88CF5395}"/>
    <hyperlink ref="C4226" r:id="rId4221" display="https://pld.live/RapDetail.aspx?STONELIST=925360384&amp;ISCONFIRM=0" xr:uid="{FB705BAE-0C82-4D20-909D-7C336F4F98C0}"/>
    <hyperlink ref="C4227" r:id="rId4222" display="https://pld.live/RapDetail.aspx?STONELIST=924290236&amp;ISCONFIRM=0" xr:uid="{95058215-A645-4CAF-8A0C-01A752BCC61D}"/>
    <hyperlink ref="C4228" r:id="rId4223" display="https://pld.live/RapDetail.aspx?STONELIST=925450027&amp;ISCONFIRM=0" xr:uid="{9C91C33F-F12E-4645-A28D-719A0E61FA9A}"/>
    <hyperlink ref="C4229" r:id="rId4224" display="https://pld.live/RapDetail.aspx?STONELIST=926270052&amp;ISCONFIRM=0" xr:uid="{7901EDC7-CFA4-4553-A5FF-F13C73895B02}"/>
    <hyperlink ref="C4230" r:id="rId4225" display="https://pld.live/RapDetail.aspx?STONELIST=925280409&amp;ISCONFIRM=0" xr:uid="{D69C6977-2686-4B28-89EA-CC040C06BA18}"/>
    <hyperlink ref="C4231" r:id="rId4226" display="https://pld.live/RapDetail.aspx?STONELIST=926291301&amp;ISCONFIRM=0" xr:uid="{06120943-4318-44CE-AD70-ECFD3600A810}"/>
    <hyperlink ref="C4232" r:id="rId4227" display="https://pld.live/RapDetail.aspx?STONELIST=926071583&amp;ISCONFIRM=0" xr:uid="{AD9EE3F0-462B-419B-8014-5F5B8B9C38FC}"/>
    <hyperlink ref="C4233" r:id="rId4228" display="https://pld.live/RapDetail.aspx?STONELIST=925721756&amp;ISCONFIRM=0" xr:uid="{E21A6420-2CA9-49A6-A5F6-635DE7E8B6E7}"/>
    <hyperlink ref="C4234" r:id="rId4229" display="https://pld.live/RapDetail.aspx?STONELIST=925621911&amp;ISCONFIRM=0" xr:uid="{ED394F63-E7C2-4D65-B55B-324F5E9971B3}"/>
    <hyperlink ref="C4235" r:id="rId4230" display="https://pld.live/RapDetail.aspx?STONELIST=925861661&amp;ISCONFIRM=0" xr:uid="{66DDD980-2566-4F7F-9883-F99455E6D0A9}"/>
    <hyperlink ref="C4236" r:id="rId4231" display="https://pld.live/RapDetail.aspx?STONELIST=925732220&amp;ISCONFIRM=0" xr:uid="{A772C374-80C1-4307-8EF5-39386B84D6D6}"/>
    <hyperlink ref="C4237" r:id="rId4232" display="https://pld.live/RapDetail.aspx?STONELIST=926200803&amp;ISCONFIRM=0" xr:uid="{B66CF9D7-14AC-44DA-81AC-D41193F913F2}"/>
    <hyperlink ref="C4238" r:id="rId4233" display="https://pld.live/RapDetail.aspx?STONELIST=926700758&amp;ISCONFIRM=0" xr:uid="{0019842F-5C83-4E60-9D53-36C49362AFC4}"/>
    <hyperlink ref="C4239" r:id="rId4234" display="https://pld.live/RapDetail.aspx?STONELIST=926270086&amp;ISCONFIRM=0" xr:uid="{28BA312B-8FDF-4313-B16B-AA832ECF9B32}"/>
    <hyperlink ref="C4240" r:id="rId4235" display="https://pld.live/RapDetail.aspx?STONELIST=925520976&amp;ISCONFIRM=0" xr:uid="{EE82C528-CF96-4518-9699-8BB0430E9203}"/>
    <hyperlink ref="C4241" r:id="rId4236" display="https://pld.live/RapDetail.aspx?STONELIST=925520405&amp;ISCONFIRM=0" xr:uid="{2139655F-6FEB-4E13-8AA4-1AB1AF593649}"/>
    <hyperlink ref="C4242" r:id="rId4237" display="https://pld.live/RapDetail.aspx?STONELIST=925520295&amp;ISCONFIRM=0" xr:uid="{304C8144-6AE6-4DC7-BE2F-79DC2AEEBC5B}"/>
    <hyperlink ref="C4243" r:id="rId4238" display="https://pld.live/RapDetail.aspx?STONELIST=925521051&amp;ISCONFIRM=0" xr:uid="{64D683A9-B3E0-41CA-B4A4-42D77534F536}"/>
    <hyperlink ref="C4244" r:id="rId4239" display="https://pld.live/RapDetail.aspx?STONELIST=925120335&amp;ISCONFIRM=0" xr:uid="{1A1DCBCF-52FA-4E92-BF4C-2E46CFF81F55}"/>
    <hyperlink ref="C4245" r:id="rId4240" display="https://pld.live/RapDetail.aspx?STONELIST=925720517&amp;ISCONFIRM=0" xr:uid="{B2F83982-E789-4C75-81C4-F589E7A383EC}"/>
    <hyperlink ref="C4246" r:id="rId4241" display="https://pld.live/RapDetail.aspx?STONELIST=925971117&amp;ISCONFIRM=0" xr:uid="{2FB205F9-AD48-4781-9AD8-E9E71A837483}"/>
    <hyperlink ref="C4247" r:id="rId4242" display="https://pld.live/RapDetail.aspx?STONELIST=821125444&amp;ISCONFIRM=0" xr:uid="{7C1E19F5-B9D0-4CBD-A3FD-4816AFF52113}"/>
    <hyperlink ref="C4248" r:id="rId4243" display="https://pld.live/RapDetail.aspx?STONELIST=925360354&amp;ISCONFIRM=0" xr:uid="{F5FD3AF2-FF7E-4CDC-98A9-773427F3CB30}"/>
    <hyperlink ref="C4249" r:id="rId4244" display="https://pld.live/RapDetail.aspx?STONELIST=925721998&amp;ISCONFIRM=0" xr:uid="{F4A8D7B7-EEA0-4C0E-B204-FB32E1C46DBF}"/>
    <hyperlink ref="C4250" r:id="rId4245" display="https://pld.live/RapDetail.aspx?STONELIST=927092568&amp;ISCONFIRM=0" xr:uid="{4874FAA7-8552-4E05-B8D3-4387946CF240}"/>
    <hyperlink ref="C4251" r:id="rId4246" display="https://pld.live/RapDetail.aspx?STONELIST=923570786&amp;ISCONFIRM=0" xr:uid="{4C1935FE-1C98-4950-B041-6C54999BE319}"/>
    <hyperlink ref="C4252" r:id="rId4247" display="https://pld.live/RapDetail.aspx?STONELIST=925851039&amp;ISCONFIRM=0" xr:uid="{E2265368-352A-4290-ADFA-9338816F2C95}"/>
    <hyperlink ref="C4253" r:id="rId4248" display="https://pld.live/RapDetail.aspx?STONELIST=831010551&amp;ISCONFIRM=0" xr:uid="{8337BBEC-AFE6-4A0E-9B9C-086D1A17C443}"/>
    <hyperlink ref="C4254" r:id="rId4249" display="https://pld.live/RapDetail.aspx?STONELIST=926200995&amp;ISCONFIRM=0" xr:uid="{4A10960D-16B0-4587-9EC9-D77A21304C01}"/>
    <hyperlink ref="C4255" r:id="rId4250" display="https://pld.live/RapDetail.aspx?STONELIST=925521581&amp;ISCONFIRM=0" xr:uid="{1B5D2EF0-B772-4822-9210-2343BFB89CE9}"/>
    <hyperlink ref="C4256" r:id="rId4251" display="https://pld.live/RapDetail.aspx?STONELIST=925722044&amp;ISCONFIRM=0" xr:uid="{9EB1D2EB-412B-40D3-8F0F-F3952A436742}"/>
    <hyperlink ref="C4257" r:id="rId4252" display="https://pld.live/RapDetail.aspx?STONELIST=924420288&amp;ISCONFIRM=0" xr:uid="{90EB5896-E500-4A4A-8B83-48396AF2E04D}"/>
    <hyperlink ref="C4258" r:id="rId4253" display="https://pld.live/RapDetail.aspx?STONELIST=926700733&amp;ISCONFIRM=0" xr:uid="{384E7332-B821-44B6-BA81-07D7781A80CF}"/>
    <hyperlink ref="C4259" r:id="rId4254" display="https://pld.live/RapDetail.aspx?STONELIST=926621090&amp;ISCONFIRM=0" xr:uid="{31ACB870-A802-4863-BBBC-71BA7890413E}"/>
    <hyperlink ref="C4260" r:id="rId4255" display="https://pld.live/RapDetail.aspx?STONELIST=821126869&amp;ISCONFIRM=0" xr:uid="{A540414A-CADA-4269-90B1-FE63DA468313}"/>
    <hyperlink ref="C4261" r:id="rId4256" display="https://pld.live/RapDetail.aspx?STONELIST=926210600&amp;ISCONFIRM=0" xr:uid="{36392CDA-44C8-470C-94A4-2B707B6A046C}"/>
    <hyperlink ref="C4262" r:id="rId4257" display="https://pld.live/RapDetail.aspx?STONELIST=926740922&amp;ISCONFIRM=0" xr:uid="{388D256E-2187-4EF0-B551-2F319DB0B050}"/>
    <hyperlink ref="C4263" r:id="rId4258" display="https://pld.live/RapDetail.aspx?STONELIST=926270813&amp;ISCONFIRM=0" xr:uid="{AC35B259-7E17-42B7-9206-05AC8577D90A}"/>
    <hyperlink ref="C4264" r:id="rId4259" display="https://pld.live/RapDetail.aspx?STONELIST=925940419&amp;ISCONFIRM=0" xr:uid="{3C212CBA-EE2E-479E-AC3C-EF62422B82FB}"/>
    <hyperlink ref="C4265" r:id="rId4260" display="https://pld.live/RapDetail.aspx?STONELIST=925080499&amp;ISCONFIRM=0" xr:uid="{676C52FB-F1F0-405D-93CE-ED793EB72106}"/>
    <hyperlink ref="C4266" r:id="rId4261" display="https://pld.live/RapDetail.aspx?STONELIST=925140256&amp;ISCONFIRM=0" xr:uid="{690F85ED-6516-409B-A4FF-6954489A6DF9}"/>
    <hyperlink ref="C4267" r:id="rId4262" display="https://pld.live/RapDetail.aspx?STONELIST=925502459&amp;ISCONFIRM=0" xr:uid="{2D2F5135-E569-4140-BB59-FA8DC5109891}"/>
    <hyperlink ref="C4268" r:id="rId4263" display="https://pld.live/RapDetail.aspx?STONELIST=926291275&amp;ISCONFIRM=0" xr:uid="{79A5550F-CB7A-4B35-9192-9DAFB742BC4D}"/>
    <hyperlink ref="C4269" r:id="rId4264" display="https://pld.live/RapDetail.aspx?STONELIST=926110180&amp;ISCONFIRM=0" xr:uid="{97D9658F-F5BC-490D-8592-7C728F56C32B}"/>
    <hyperlink ref="C4270" r:id="rId4265" display="https://pld.live/RapDetail.aspx?STONELIST=926100568&amp;ISCONFIRM=0" xr:uid="{2C415A77-9152-4901-AB6D-136664D46FF0}"/>
    <hyperlink ref="C4271" r:id="rId4266" display="https://pld.live/RapDetail.aspx?STONELIST=925981146&amp;ISCONFIRM=0" xr:uid="{285A95BF-69A8-4996-AB59-172D0AD22C23}"/>
    <hyperlink ref="C4272" r:id="rId4267" display="https://pld.live/RapDetail.aspx?STONELIST=926311035&amp;ISCONFIRM=0" xr:uid="{157726C2-B2EB-4A1A-B784-E12C27A634CD}"/>
    <hyperlink ref="C4273" r:id="rId4268" display="https://pld.live/RapDetail.aspx?STONELIST=925510134&amp;ISCONFIRM=0" xr:uid="{2DC89843-2596-47D2-AE85-50A05402D9D0}"/>
    <hyperlink ref="C4274" r:id="rId4269" display="https://pld.live/RapDetail.aspx?STONELIST=925732264&amp;ISCONFIRM=0" xr:uid="{5F91933D-C576-4F11-B4F2-1D7C5BECC5FF}"/>
    <hyperlink ref="C4275" r:id="rId4270" display="https://pld.live/RapDetail.aspx?STONELIST=925830449&amp;ISCONFIRM=0" xr:uid="{C0A69729-2E6C-44C4-99DD-57A9AD754621}"/>
    <hyperlink ref="C4276" r:id="rId4271" display="https://pld.live/RapDetail.aspx?STONELIST=925830516&amp;ISCONFIRM=0" xr:uid="{71EEDC89-96B4-4FDE-BA45-B6A6CB870B5C}"/>
    <hyperlink ref="C4277" r:id="rId4272" display="https://pld.live/RapDetail.aspx?STONELIST=927010782&amp;ISCONFIRM=0" xr:uid="{1463DC5F-BBA0-4D1F-BADB-EB77BB8AA610}"/>
    <hyperlink ref="C4278" r:id="rId4273" display="https://pld.live/RapDetail.aspx?STONELIST=926291346&amp;ISCONFIRM=0" xr:uid="{29EE7313-15A7-4044-8445-9B050BDCC897}"/>
    <hyperlink ref="C4279" r:id="rId4274" display="https://pld.live/RapDetail.aspx?STONELIST=821113589&amp;ISCONFIRM=0" xr:uid="{54138988-D7BC-4481-886A-350095794CF2}"/>
    <hyperlink ref="C4280" r:id="rId4275" display="https://pld.live/RapDetail.aspx?STONELIST=926030135&amp;ISCONFIRM=0" xr:uid="{862AC7E3-4A77-4A0C-A6D8-DD7EB718FBEC}"/>
    <hyperlink ref="C4281" r:id="rId4276" display="https://pld.live/RapDetail.aspx?STONELIST=926270120&amp;ISCONFIRM=0" xr:uid="{4A2D063C-4D01-45CB-BE82-05C27DDDBA00}"/>
    <hyperlink ref="C4282" r:id="rId4277" display="https://pld.live/RapDetail.aspx?STONELIST=925110414&amp;ISCONFIRM=0" xr:uid="{2319B0F1-D690-450C-A36A-7A1883AA3A58}"/>
    <hyperlink ref="C4283" r:id="rId4278" display="https://pld.live/RapDetail.aspx?STONELIST=927092591&amp;ISCONFIRM=0" xr:uid="{DB2BF29E-CC85-4024-BA42-6541835704E5}"/>
    <hyperlink ref="C4284" r:id="rId4279" display="https://pld.live/RapDetail.aspx?STONELIST=927092207&amp;ISCONFIRM=0" xr:uid="{1A7C2C97-5A55-4661-AA5C-CF6DC82BB982}"/>
    <hyperlink ref="C4285" r:id="rId4280" display="https://pld.live/RapDetail.aspx?STONELIST=925760619&amp;ISCONFIRM=0" xr:uid="{4CC59D3F-591F-4E66-97E0-769A62AD368C}"/>
    <hyperlink ref="C4286" r:id="rId4281" display="https://pld.live/RapDetail.aspx?STONELIST=926960839&amp;ISCONFIRM=0" xr:uid="{E0ABFB27-1B41-49A1-9DDD-EA0EB6B2C66E}"/>
    <hyperlink ref="C4287" r:id="rId4282" display="https://pld.live/RapDetail.aspx?STONELIST=926700822&amp;ISCONFIRM=0" xr:uid="{9F73C01A-3D82-4DE4-952E-AA6D04EC3F6A}"/>
    <hyperlink ref="C4288" r:id="rId4283" display="https://pld.live/RapDetail.aspx?STONELIST=926740895&amp;ISCONFIRM=0" xr:uid="{5AB616FD-4F17-48F2-B682-A1BDAC58B555}"/>
    <hyperlink ref="C4289" r:id="rId4284" display="https://pld.live/RapDetail.aspx?STONELIST=941220083&amp;ISCONFIRM=0" xr:uid="{5849B03A-9B08-432A-AD78-ADED680F27BD}"/>
    <hyperlink ref="C4290" r:id="rId4285" display="https://pld.live/RapDetail.aspx?STONELIST=927030541&amp;ISCONFIRM=0" xr:uid="{D4D22EAB-8C45-4403-B9DE-E082094EE472}"/>
    <hyperlink ref="C4291" r:id="rId4286" display="https://pld.live/RapDetail.aspx?STONELIST=927092230&amp;ISCONFIRM=0" xr:uid="{4A7BC214-A5DB-4E4B-B787-3E6FF2CB0729}"/>
    <hyperlink ref="C4292" r:id="rId4287" display="https://pld.live/RapDetail.aspx?STONELIST=925721624&amp;ISCONFIRM=0" xr:uid="{F3102FCC-3C13-4B85-8520-91AAF9D0A0BC}"/>
    <hyperlink ref="C4293" r:id="rId4288" display="https://pld.live/RapDetail.aspx?STONELIST=927152518&amp;ISCONFIRM=0" xr:uid="{5EA58AED-F5D5-4763-83A8-F7001A076EFD}"/>
    <hyperlink ref="C4294" r:id="rId4289" display="https://pld.live/RapDetail.aspx?STONELIST=926110133&amp;ISCONFIRM=0" xr:uid="{A518DED3-5318-4D46-A5C0-57AEDEFF02E3}"/>
    <hyperlink ref="C4295" r:id="rId4290" display="https://pld.live/RapDetail.aspx?STONELIST=926110140&amp;ISCONFIRM=0" xr:uid="{2AEF5A3C-6EDA-45EE-8ACB-FA52A4883839}"/>
    <hyperlink ref="C4296" r:id="rId4291" display="https://pld.live/RapDetail.aspx?STONELIST=927092226&amp;ISCONFIRM=0" xr:uid="{22BFB9A5-3C75-4EF8-8920-CA5DE4BA473C}"/>
    <hyperlink ref="C4297" r:id="rId4292" display="https://pld.live/RapDetail.aspx?STONELIST=927101196&amp;ISCONFIRM=0" xr:uid="{49F115EC-8164-48F5-86B8-542496FB4066}"/>
    <hyperlink ref="C4298" r:id="rId4293" display="https://pld.live/RapDetail.aspx?STONELIST=927092220&amp;ISCONFIRM=0" xr:uid="{0853F07D-2656-4BEC-82BD-9D843B8EDB02}"/>
    <hyperlink ref="C4299" r:id="rId4294" display="https://pld.live/RapDetail.aspx?STONELIST=941021588&amp;ISCONFIRM=0" xr:uid="{D63E81CB-FC65-4FAD-9079-CB75B9F8AD49}"/>
    <hyperlink ref="C4300" r:id="rId4295" display="https://pld.live/RapDetail.aspx?STONELIST=927092198&amp;ISCONFIRM=0" xr:uid="{5DF2B892-458F-4A45-9B9F-4490B73C3F1F}"/>
    <hyperlink ref="C4301" r:id="rId4296" display="https://pld.live/RapDetail.aspx?STONELIST=927092190&amp;ISCONFIRM=0" xr:uid="{A697B4C0-ADDA-46F5-B687-17DFFC408CA9}"/>
    <hyperlink ref="C4302" r:id="rId4297" display="https://pld.live/RapDetail.aspx?STONELIST=926972052&amp;ISCONFIRM=0" xr:uid="{A0AA9220-1F8D-43A9-9380-BC7B419DD22E}"/>
    <hyperlink ref="C4303" r:id="rId4298" display="https://pld.live/RapDetail.aspx?STONELIST=926921453&amp;ISCONFIRM=0" xr:uid="{81BA5F08-104A-4518-9DFA-08F274BD7E00}"/>
    <hyperlink ref="C4304" r:id="rId4299" display="https://pld.live/RapDetail.aspx?STONELIST=926291268&amp;ISCONFIRM=0" xr:uid="{AA4BCB9A-6AB1-4061-9531-CEE756BDD7C6}"/>
    <hyperlink ref="C4305" r:id="rId4300" display="https://pld.live/RapDetail.aspx?STONELIST=941190336&amp;ISCONFIRM=0" xr:uid="{187EBE8B-4E85-496C-B3D1-4D4C4834967E}"/>
    <hyperlink ref="C4306" r:id="rId4301" display="https://pld.live/RapDetail.aspx?STONELIST=927030783&amp;ISCONFIRM=0" xr:uid="{3F78A364-4ED9-4EA1-98E6-10610DD8E257}"/>
    <hyperlink ref="C4307" r:id="rId4302" display="https://pld.live/RapDetail.aspx?STONELIST=927152392&amp;ISCONFIRM=0" xr:uid="{690EA8CC-DC57-48DC-B07A-F8983C091E95}"/>
    <hyperlink ref="C4308" r:id="rId4303" display="https://pld.live/RapDetail.aspx?STONELIST=927030540&amp;ISCONFIRM=0" xr:uid="{0A6381C1-AA67-44DF-9068-4009E4F3E881}"/>
    <hyperlink ref="C4309" r:id="rId4304" display="https://pld.live/RapDetail.aspx?STONELIST=927092574&amp;ISCONFIRM=0" xr:uid="{1F955784-550A-4AFF-9E20-6A7CA377951E}"/>
    <hyperlink ref="C4310" r:id="rId4305" display="https://pld.live/RapDetail.aspx?STONELIST=927132406&amp;ISCONFIRM=0" xr:uid="{A14E31E5-B82D-41D6-A7BE-910836CF1026}"/>
    <hyperlink ref="C4311" r:id="rId4306" display="https://pld.live/RapDetail.aspx?STONELIST=927092227&amp;ISCONFIRM=0" xr:uid="{7900CFDF-A41E-4498-9EFC-534B4AD9583D}"/>
    <hyperlink ref="C4312" r:id="rId4307" display="https://pld.live/RapDetail.aspx?STONELIST=927092680&amp;ISCONFIRM=0" xr:uid="{1CE40F72-30C6-4E28-A5FF-7D7AEA5FF985}"/>
    <hyperlink ref="C4313" r:id="rId4308" display="https://pld.live/RapDetail.aspx?STONELIST=927070572&amp;ISCONFIRM=0" xr:uid="{7399EEFF-1878-42AA-8396-DED40D92F0C9}"/>
    <hyperlink ref="C4314" r:id="rId4309" display="https://pld.live/RapDetail.aspx?STONELIST=927092199&amp;ISCONFIRM=0" xr:uid="{C65F3E52-7AD9-4F19-BB0C-EF24203A1560}"/>
    <hyperlink ref="C4315" r:id="rId4310" display="https://pld.live/RapDetail.aspx?STONELIST=926210588&amp;ISCONFIRM=0" xr:uid="{61C2D994-CFF7-4DBB-9D36-F1024985F86F}"/>
    <hyperlink ref="C4316" r:id="rId4311" display="https://pld.live/RapDetail.aspx?STONELIST=926310966&amp;ISCONFIRM=0" xr:uid="{A5CA1711-C928-4D98-9D53-FFBA0CF66F1B}"/>
    <hyperlink ref="C4317" r:id="rId4312" display="https://pld.live/RapDetail.aspx?STONELIST=941190496&amp;ISCONFIRM=0" xr:uid="{BD79E1DD-9324-42CA-B3EB-0DE44D02AC51}"/>
    <hyperlink ref="C4318" r:id="rId4313" display="https://pld.live/RapDetail.aspx?STONELIST=927030581&amp;ISCONFIRM=0" xr:uid="{6D074885-376A-49BB-8700-E9AFC5689C84}"/>
    <hyperlink ref="C4319" r:id="rId4314" display="https://pld.live/RapDetail.aspx?STONELIST=927030550&amp;ISCONFIRM=0" xr:uid="{B7AC1603-CED6-4391-B02B-A1B162821A2D}"/>
    <hyperlink ref="C4320" r:id="rId4315" display="https://pld.live/RapDetail.aspx?STONELIST=927092367&amp;ISCONFIRM=0" xr:uid="{7ED17DFD-AE27-4327-9988-62AF0A1EAE36}"/>
    <hyperlink ref="C4321" r:id="rId4316" display="https://pld.live/RapDetail.aspx?STONELIST=925722108&amp;ISCONFIRM=0" xr:uid="{2AC47F1B-9584-47D6-8136-58C224CBD73C}"/>
    <hyperlink ref="C4322" r:id="rId4317" display="https://pld.live/RapDetail.aspx?STONELIST=925722095&amp;ISCONFIRM=0" xr:uid="{090882ED-F661-4AB6-9A29-4DBCAD21F83B}"/>
    <hyperlink ref="C4323" r:id="rId4318" display="https://pld.live/RapDetail.aspx?STONELIST=927052593&amp;ISCONFIRM=0" xr:uid="{4EE8A9DF-3E6B-4FD1-81E6-FAE99118CD23}"/>
    <hyperlink ref="C4324" r:id="rId4319" display="https://pld.live/RapDetail.aspx?STONELIST=926101265&amp;ISCONFIRM=0" xr:uid="{077EF901-9B9F-4D74-A0A0-2BC15137F334}"/>
    <hyperlink ref="C4325" r:id="rId4320" display="https://pld.live/RapDetail.aspx?STONELIST=941190646&amp;ISCONFIRM=0" xr:uid="{3F805DFF-E629-4ADC-9876-B4F9CFFBE32F}"/>
    <hyperlink ref="C4326" r:id="rId4321" display="https://pld.live/RapDetail.aspx?STONELIST=925722110&amp;ISCONFIRM=0" xr:uid="{D120C654-2D71-4440-BEEB-856714F02E95}"/>
    <hyperlink ref="C4327" r:id="rId4322" display="https://pld.live/RapDetail.aspx?STONELIST=925110310&amp;ISCONFIRM=0" xr:uid="{4F1952DE-6E24-4D33-B7DB-0D33110C21D9}"/>
    <hyperlink ref="C4328" r:id="rId4323" display="https://pld.live/RapDetail.aspx?STONELIST=927092184&amp;ISCONFIRM=0" xr:uid="{B991695D-69DE-443F-9D98-5DEA12E3F94B}"/>
    <hyperlink ref="C4329" r:id="rId4324" display="https://pld.live/RapDetail.aspx?STONELIST=927052510&amp;ISCONFIRM=0" xr:uid="{A7D5459E-04C0-4AF5-B758-881118704ED7}"/>
    <hyperlink ref="C4330" r:id="rId4325" display="https://pld.live/RapDetail.aspx?STONELIST=927052557&amp;ISCONFIRM=0" xr:uid="{43C80582-2DE5-4BE6-85F2-6463B19354B7}"/>
    <hyperlink ref="C4331" r:id="rId4326" display="https://pld.live/RapDetail.aspx?STONELIST=927052558&amp;ISCONFIRM=0" xr:uid="{F4701E7B-C79B-4039-8BF9-A62AE02A9014}"/>
    <hyperlink ref="C4332" r:id="rId4327" display="https://pld.live/RapDetail.aspx?STONELIST=927052562&amp;ISCONFIRM=0" xr:uid="{34A33024-6453-4BC6-A929-C3C0C8ED6F70}"/>
    <hyperlink ref="C4333" r:id="rId4328" display="https://pld.live/RapDetail.aspx?STONELIST=926700724&amp;ISCONFIRM=0" xr:uid="{D23302E5-4824-44E4-8A0D-62E330E6A095}"/>
    <hyperlink ref="C4334" r:id="rId4329" display="https://pld.live/RapDetail.aspx?STONELIST=927052556&amp;ISCONFIRM=0" xr:uid="{AEAEA04B-5A60-4304-AE17-4AC224B3B8A0}"/>
    <hyperlink ref="C4335" r:id="rId4330" display="https://pld.live/RapDetail.aspx?STONELIST=927101197&amp;ISCONFIRM=0" xr:uid="{D98355C5-3E82-4A46-9D6F-CACADB631BD7}"/>
    <hyperlink ref="C4336" r:id="rId4331" display="https://pld.live/RapDetail.aspx?STONELIST=927092197&amp;ISCONFIRM=0" xr:uid="{6CC55AF0-9C54-4F1C-9067-73E55C5FFB75}"/>
    <hyperlink ref="C4337" r:id="rId4332" display="https://pld.live/RapDetail.aspx?STONELIST=927092201&amp;ISCONFIRM=0" xr:uid="{5022C11D-6A04-4720-B95B-741A08A0ED67}"/>
    <hyperlink ref="C4338" r:id="rId4333" display="https://pld.live/RapDetail.aspx?STONELIST=927010787&amp;ISCONFIRM=0" xr:uid="{FAE8C912-7930-463D-9093-4F17F10BCDC1}"/>
    <hyperlink ref="C4339" r:id="rId4334" display="https://pld.live/RapDetail.aspx?STONELIST=941160605&amp;ISCONFIRM=0" xr:uid="{4E776178-A423-43B6-B0E4-55694D89C539}"/>
    <hyperlink ref="C4340" r:id="rId4335" display="https://pld.live/RapDetail.aspx?STONELIST=926971994&amp;ISCONFIRM=0" xr:uid="{FE974850-8FCE-4815-A954-5C63F053F9C4}"/>
    <hyperlink ref="C4341" r:id="rId4336" display="https://pld.live/RapDetail.aspx?STONELIST=927150306&amp;ISCONFIRM=0" xr:uid="{CDBC0B56-0F3E-4EB0-8EE0-033FE14C7176}"/>
    <hyperlink ref="C4342" r:id="rId4337" display="https://pld.live/RapDetail.aspx?STONELIST=927030778&amp;ISCONFIRM=0" xr:uid="{B9C39EAD-0567-45C2-B2F3-3AE648566770}"/>
    <hyperlink ref="C4343" r:id="rId4338" display="https://pld.live/RapDetail.aspx?STONELIST=941160615&amp;ISCONFIRM=0" xr:uid="{F1745C42-93C5-4B4D-A945-D1A4467498E0}"/>
    <hyperlink ref="C4344" r:id="rId4339" display="https://pld.live/RapDetail.aspx?STONELIST=927052675&amp;ISCONFIRM=0" xr:uid="{DAECBE19-6CE3-4E37-8615-C4F22E8ED402}"/>
    <hyperlink ref="C4345" r:id="rId4340" display="https://pld.live/RapDetail.aspx?STONELIST=927040776&amp;ISCONFIRM=0" xr:uid="{E8D7F744-A04C-4F87-B68C-AFE07269F51B}"/>
    <hyperlink ref="C4346" r:id="rId4341" display="https://pld.live/RapDetail.aspx?STONELIST=927130752&amp;ISCONFIRM=0" xr:uid="{93803BCD-6FD2-4E06-9C75-1EACC58C9607}"/>
    <hyperlink ref="C4347" r:id="rId4342" display="https://pld.live/RapDetail.aspx?STONELIST=925732047&amp;ISCONFIRM=0" xr:uid="{F0280F9D-6871-4335-A859-3C9340EB1BCB}"/>
    <hyperlink ref="C4348" r:id="rId4343" display="https://pld.live/RapDetail.aspx?STONELIST=821125464&amp;ISCONFIRM=0" xr:uid="{30019010-47E1-45CB-B847-BC441E022A20}"/>
    <hyperlink ref="C4349" r:id="rId4344" display="https://pld.live/RapDetail.aspx?STONELIST=941190237&amp;ISCONFIRM=0" xr:uid="{5B5FBB2F-4246-4D4A-B0FF-029B9E864A6F}"/>
    <hyperlink ref="C4350" r:id="rId4345" display="https://pld.live/RapDetail.aspx?STONELIST=926110405&amp;ISCONFIRM=0" xr:uid="{AC1810FC-BE24-4F5B-A011-EB2B98EAE37C}"/>
    <hyperlink ref="C4351" r:id="rId4346" display="https://pld.live/RapDetail.aspx?STONELIST=926110691&amp;ISCONFIRM=0" xr:uid="{DA37BA8D-AB8D-489A-9203-08B918171063}"/>
    <hyperlink ref="C4352" r:id="rId4347" display="https://pld.live/RapDetail.aspx?STONELIST=926110877&amp;ISCONFIRM=0" xr:uid="{15011BD3-68A5-418C-9414-DAEA8914C7C3}"/>
    <hyperlink ref="C4353" r:id="rId4348" display="https://pld.live/RapDetail.aspx?STONELIST=926071744&amp;ISCONFIRM=0" xr:uid="{79120010-294C-485A-8740-A7B62B795C6E}"/>
    <hyperlink ref="C4354" r:id="rId4349" display="https://pld.live/RapDetail.aspx?STONELIST=926071521&amp;ISCONFIRM=0" xr:uid="{EB380A20-253D-4A48-BD82-6AA94F23D4D8}"/>
    <hyperlink ref="C4355" r:id="rId4350" display="https://pld.live/RapDetail.aspx?STONELIST=926270838&amp;ISCONFIRM=0" xr:uid="{752D8F16-0ED3-42AC-86F9-64F231A59CA6}"/>
    <hyperlink ref="C4356" r:id="rId4351" display="https://pld.live/RapDetail.aspx?STONELIST=941160591&amp;ISCONFIRM=0" xr:uid="{8B0516B0-E859-4A45-8DB0-7F382A82260A}"/>
    <hyperlink ref="C4357" r:id="rId4352" display="https://pld.live/RapDetail.aspx?STONELIST=941160625&amp;ISCONFIRM=0" xr:uid="{ABD722EC-E130-4234-AB65-1D3E1689C080}"/>
    <hyperlink ref="C4358" r:id="rId4353" display="https://pld.live/RapDetail.aspx?STONELIST=941140846&amp;ISCONFIRM=0" xr:uid="{AC3A53AC-836A-4C28-9428-3D6718052EB6}"/>
    <hyperlink ref="C4359" r:id="rId4354" display="https://pld.live/RapDetail.aspx?STONELIST=925520412&amp;ISCONFIRM=0" xr:uid="{1AC21B76-99FD-44E1-BF18-E5ED41F04956}"/>
    <hyperlink ref="C4360" r:id="rId4355" display="https://pld.live/RapDetail.aspx?STONELIST=941190288&amp;ISCONFIRM=0" xr:uid="{36547C33-11A6-4453-B90C-6D0AFC267113}"/>
    <hyperlink ref="C4361" r:id="rId4356" display="https://pld.live/RapDetail.aspx?STONELIST=927030388&amp;ISCONFIRM=0" xr:uid="{E04407FF-41E0-4885-AC9D-2C53DA67CEFA}"/>
    <hyperlink ref="C4362" r:id="rId4357" display="https://pld.live/RapDetail.aspx?STONELIST=941021577&amp;ISCONFIRM=0" xr:uid="{9FFE2239-F0E7-4188-8A30-78417C9D0040}"/>
    <hyperlink ref="C4363" r:id="rId4358" display="https://pld.live/RapDetail.aspx?STONELIST=926110681&amp;ISCONFIRM=0" xr:uid="{D5CB7FF9-BB8B-4884-9CDD-938A04CD6316}"/>
    <hyperlink ref="C4364" r:id="rId4359" display="https://pld.live/RapDetail.aspx?STONELIST=927052515&amp;ISCONFIRM=0" xr:uid="{E76BD649-DA15-4AC7-A7E8-74C07A7DA80A}"/>
    <hyperlink ref="C4365" r:id="rId4360" display="https://pld.live/RapDetail.aspx?STONELIST=941160631&amp;ISCONFIRM=0" xr:uid="{AE275D4C-C17D-4C37-A033-C55221CEE43A}"/>
    <hyperlink ref="C4366" r:id="rId4361" display="https://pld.live/RapDetail.aspx?STONELIST=927030787&amp;ISCONFIRM=0" xr:uid="{0DBB84F8-D8AA-4F00-94F0-D01109C447A1}"/>
    <hyperlink ref="C4367" r:id="rId4362" display="https://pld.live/RapDetail.aspx?STONELIST=926972217&amp;ISCONFIRM=0" xr:uid="{B13F9171-34A9-4721-85AC-ADCC9F021A24}"/>
    <hyperlink ref="C4368" r:id="rId4363" display="https://pld.live/RapDetail.aspx?STONELIST=926210539&amp;ISCONFIRM=0" xr:uid="{BD060D73-E7AF-4958-B691-3D1117B95763}"/>
    <hyperlink ref="C4369" r:id="rId4364" display="https://pld.live/RapDetail.aspx?STONELIST=926740595&amp;ISCONFIRM=0" xr:uid="{8D66C702-E57F-4084-9339-A8EE1AA0031A}"/>
    <hyperlink ref="C4370" r:id="rId4365" display="https://pld.live/RapDetail.aspx?STONELIST=927092598&amp;ISCONFIRM=0" xr:uid="{1B46F74F-E9B9-4304-BE86-90F99FB9A5C4}"/>
    <hyperlink ref="C4371" r:id="rId4366" display="https://pld.live/RapDetail.aspx?STONELIST=927092239&amp;ISCONFIRM=0" xr:uid="{34ECF4D8-BB4D-460E-BA59-1F2D46A64517}"/>
    <hyperlink ref="C4372" r:id="rId4367" display="https://pld.live/RapDetail.aspx?STONELIST=927132082&amp;ISCONFIRM=0" xr:uid="{7D9DEE70-A0EB-4E22-965D-FE99CF0FD8C0}"/>
    <hyperlink ref="C4373" r:id="rId4368" display="https://pld.live/RapDetail.aspx?STONELIST=927152815&amp;ISCONFIRM=0" xr:uid="{A4F26F30-B9D9-4CF1-A877-A93A2F81E0E2}"/>
    <hyperlink ref="C4374" r:id="rId4369" display="https://pld.live/RapDetail.aspx?STONELIST=925150111&amp;ISCONFIRM=0" xr:uid="{280EE6FC-EE8A-441F-9A6C-B53AF745703D}"/>
    <hyperlink ref="C4375" r:id="rId4370" display="https://pld.live/RapDetail.aspx?STONELIST=927092345&amp;ISCONFIRM=0" xr:uid="{F0A052E5-FEC5-4945-B870-0445C6FF676A}"/>
    <hyperlink ref="C4376" r:id="rId4371" display="https://pld.live/RapDetail.aspx?STONELIST=926210870&amp;ISCONFIRM=0" xr:uid="{F71BBE0C-D14D-4269-9161-454160B03A49}"/>
    <hyperlink ref="C4377" r:id="rId4372" display="https://pld.live/RapDetail.aspx?STONELIST=926750875&amp;ISCONFIRM=0" xr:uid="{BF2547F1-CA2E-4DEE-B64A-6E6FECFC19B2}"/>
    <hyperlink ref="C4378" r:id="rId4373" display="https://pld.live/RapDetail.aspx?STONELIST=926790371&amp;ISCONFIRM=0" xr:uid="{AFD67688-F50C-4705-810C-45D56A1EAD4C}"/>
    <hyperlink ref="C4379" r:id="rId4374" display="https://pld.live/RapDetail.aspx?STONELIST=926250447&amp;ISCONFIRM=0" xr:uid="{0B869834-1DD5-493F-BBDA-A0820339D889}"/>
    <hyperlink ref="C4380" r:id="rId4375" display="https://pld.live/RapDetail.aspx?STONELIST=926110891&amp;ISCONFIRM=0" xr:uid="{E022581F-C3A2-4FC6-BBC7-20BCF8E52A6F}"/>
    <hyperlink ref="C4381" r:id="rId4376" display="https://pld.live/RapDetail.aspx?STONELIST=941071348&amp;ISCONFIRM=0" xr:uid="{4DF64F2E-D0E4-4892-95F5-0F60236029D7}"/>
    <hyperlink ref="C4382" r:id="rId4377" display="https://pld.live/RapDetail.aspx?STONELIST=927052565&amp;ISCONFIRM=0" xr:uid="{D4FE01CF-D75F-41C4-B2CB-DC33102BF7F8}"/>
    <hyperlink ref="C4383" r:id="rId4378" display="https://pld.live/RapDetail.aspx?STONELIST=926870966&amp;ISCONFIRM=0" xr:uid="{00FD3FA0-53BC-4CE9-AE6A-EE73CEFF5334}"/>
    <hyperlink ref="C4384" r:id="rId4379" display="https://pld.live/RapDetail.aspx?STONELIST=941190590&amp;ISCONFIRM=0" xr:uid="{0365E8BA-D7E8-4251-A686-1DC48C9F1DEB}"/>
    <hyperlink ref="C4385" r:id="rId4380" display="https://pld.live/RapDetail.aspx?STONELIST=926291464&amp;ISCONFIRM=0" xr:uid="{288E9770-B417-4655-9B8C-3819F7D97EA2}"/>
    <hyperlink ref="C4386" r:id="rId4381" display="https://pld.live/RapDetail.aspx?STONELIST=926291480&amp;ISCONFIRM=0" xr:uid="{A0BA5DB4-776B-4992-A3BD-8B362C4945C6}"/>
    <hyperlink ref="C4387" r:id="rId4382" display="https://pld.live/RapDetail.aspx?STONELIST=926310637&amp;ISCONFIRM=0" xr:uid="{18609A86-23CE-4ABC-B829-89518E2EAB11}"/>
    <hyperlink ref="C4388" r:id="rId4383" display="https://pld.live/RapDetail.aspx?STONELIST=926311147&amp;ISCONFIRM=0" xr:uid="{1B105784-5788-4A09-AA20-68219153A9B6}"/>
    <hyperlink ref="C4389" r:id="rId4384" display="https://pld.live/RapDetail.aspx?STONELIST=941190443&amp;ISCONFIRM=0" xr:uid="{4BB73779-D360-462C-9FBB-045603130260}"/>
    <hyperlink ref="C4390" r:id="rId4385" display="https://pld.live/RapDetail.aspx?STONELIST=927101194&amp;ISCONFIRM=0" xr:uid="{1F9EAE44-83D5-4915-B7B5-66E945D29297}"/>
    <hyperlink ref="C4391" r:id="rId4386" display="https://pld.live/RapDetail.aspx?STONELIST=927092630&amp;ISCONFIRM=0" xr:uid="{9EA9F52B-81C6-40DF-9741-AAAE6E86F683}"/>
    <hyperlink ref="C4392" r:id="rId4387" display="https://pld.live/RapDetail.aspx?STONELIST=927092229&amp;ISCONFIRM=0" xr:uid="{A5A32F1A-3835-4785-B22C-86C179EE7889}"/>
    <hyperlink ref="C4393" r:id="rId4388" display="https://pld.live/RapDetail.aspx?STONELIST=926750806&amp;ISCONFIRM=0" xr:uid="{32466083-9A95-4A45-9FAF-17232A41E984}"/>
    <hyperlink ref="C4394" r:id="rId4389" display="https://pld.live/RapDetail.aspx?STONELIST=941190391&amp;ISCONFIRM=0" xr:uid="{DCF42105-61E8-4684-A572-9362A29EA7FB}"/>
    <hyperlink ref="C4395" r:id="rId4390" display="https://pld.live/RapDetail.aspx?STONELIST=941190969&amp;ISCONFIRM=0" xr:uid="{51EA4F30-42A2-4A20-BC6F-30812EA4B2C7}"/>
    <hyperlink ref="C4396" r:id="rId4391" display="https://pld.live/RapDetail.aspx?STONELIST=941160597&amp;ISCONFIRM=0" xr:uid="{7CDC1400-6066-4C0D-9096-5692D0D41F53}"/>
    <hyperlink ref="C4397" r:id="rId4392" display="https://pld.live/RapDetail.aspx?STONELIST=926270115&amp;ISCONFIRM=0" xr:uid="{18BB4C80-BEE4-4809-B535-4A7D7380954C}"/>
    <hyperlink ref="C4398" r:id="rId4393" display="https://pld.live/RapDetail.aspx?STONELIST=927132642&amp;ISCONFIRM=0" xr:uid="{6E33C22E-6A83-42A0-A502-2FCED344AB32}"/>
    <hyperlink ref="C4399" r:id="rId4394" display="https://pld.live/RapDetail.aspx?STONELIST=924290410&amp;ISCONFIRM=0" xr:uid="{66FB3DD4-E6A0-427E-B770-D7B5A4DB0CD6}"/>
    <hyperlink ref="C4400" r:id="rId4395" display="https://pld.live/RapDetail.aspx?STONELIST=927092212&amp;ISCONFIRM=0" xr:uid="{408BB234-705B-4B39-8D64-D1EBEEB07CA4}"/>
    <hyperlink ref="C4401" r:id="rId4396" display="https://pld.live/RapDetail.aspx?STONELIST=941071294&amp;ISCONFIRM=0" xr:uid="{C03B43D6-25D9-4321-8847-FAE0FA6698B0}"/>
    <hyperlink ref="C4402" r:id="rId4397" display="https://pld.live/RapDetail.aspx?STONELIST=821125563&amp;ISCONFIRM=0" xr:uid="{33EC136F-E547-4DF7-80CC-2B504E8B9050}"/>
    <hyperlink ref="C4403" r:id="rId4398" display="https://pld.live/RapDetail.aspx?STONELIST=925621913&amp;ISCONFIRM=0" xr:uid="{836E1753-5C7D-48AF-9DC7-93E0CEE6386F}"/>
    <hyperlink ref="C4404" r:id="rId4399" display="https://pld.live/RapDetail.aspx?STONELIST=821113151&amp;ISCONFIRM=0" xr:uid="{F40CFEEE-8492-4E65-89B8-D77D8BB96AAB}"/>
    <hyperlink ref="C4405" r:id="rId4400" display="https://pld.live/RapDetail.aspx?STONELIST=821125534&amp;ISCONFIRM=0" xr:uid="{94AE9B71-3CA7-4DA9-ADD6-128914C8E33D}"/>
    <hyperlink ref="C4406" r:id="rId4401" display="https://pld.live/RapDetail.aspx?STONELIST=821114108&amp;ISCONFIRM=0" xr:uid="{8C897ECC-5733-4FD2-B39A-F3520063D2C0}"/>
    <hyperlink ref="C4407" r:id="rId4402" display="https://pld.live/RapDetail.aspx?STONELIST=925190157&amp;ISCONFIRM=0" xr:uid="{3C1A9183-FC4C-43C9-B869-8D7F5A6BDA33}"/>
    <hyperlink ref="C4408" r:id="rId4403" display="https://pld.live/RapDetail.aspx?STONELIST=821125438&amp;ISCONFIRM=0" xr:uid="{342059B1-EA02-45CC-81F5-E753E3F6BC2E}"/>
    <hyperlink ref="C4409" r:id="rId4404" display="https://pld.live/RapDetail.aspx?STONELIST=926250449&amp;ISCONFIRM=0" xr:uid="{FF1B54CC-2FAA-4FAB-BE1B-2F52CDBACD1A}"/>
    <hyperlink ref="C4410" r:id="rId4405" display="https://pld.live/RapDetail.aspx?STONELIST=927092464&amp;ISCONFIRM=0" xr:uid="{23077F66-329F-4F1E-98D5-E6A482D43D52}"/>
    <hyperlink ref="C4411" r:id="rId4406" display="https://pld.live/RapDetail.aspx?STONELIST=821113744&amp;ISCONFIRM=0" xr:uid="{C83ACF2A-03EB-49B8-A70C-1D71DFF7707A}"/>
    <hyperlink ref="C4412" r:id="rId4407" display="https://pld.live/RapDetail.aspx?STONELIST=821112667&amp;ISCONFIRM=0" xr:uid="{4DF82067-935A-405E-82BF-96C04DEACE3C}"/>
    <hyperlink ref="C4413" r:id="rId4408" display="https://pld.live/RapDetail.aspx?STONELIST=821113124&amp;ISCONFIRM=0" xr:uid="{60EDE9E3-AE25-497D-99F3-E7622305EF57}"/>
    <hyperlink ref="C4414" r:id="rId4409" display="https://pld.live/RapDetail.aspx?STONELIST=925722118&amp;ISCONFIRM=0" xr:uid="{7B6E8FFB-8B99-49C6-BBF4-EA4F8C5C7A40}"/>
    <hyperlink ref="C4415" r:id="rId4410" display="https://pld.live/RapDetail.aspx?STONELIST=925280476&amp;ISCONFIRM=0" xr:uid="{58FDA04B-8ED6-4595-900E-FDFFBDE25EB3}"/>
    <hyperlink ref="C4416" r:id="rId4411" display="https://pld.live/RapDetail.aspx?STONELIST=926110139&amp;ISCONFIRM=0" xr:uid="{761B884A-6585-4E6B-AC9E-3AAA5B1BB349}"/>
    <hyperlink ref="C4417" r:id="rId4412" display="https://pld.live/RapDetail.aspx?STONELIST=926110930&amp;ISCONFIRM=0" xr:uid="{82BFF3DE-AADB-40F5-A59F-764B7FA8A17D}"/>
    <hyperlink ref="C4418" r:id="rId4413" display="https://pld.live/RapDetail.aspx?STONELIST=925450129&amp;ISCONFIRM=0" xr:uid="{5B798240-2894-4416-BDE5-DB03C8660B79}"/>
    <hyperlink ref="C4419" r:id="rId4414" display="https://pld.live/RapDetail.aspx?STONELIST=925940662&amp;ISCONFIRM=0" xr:uid="{DBFBD718-E168-4133-8D03-0B1092532088}"/>
    <hyperlink ref="C4420" r:id="rId4415" display="https://pld.live/RapDetail.aspx?STONELIST=925290534&amp;ISCONFIRM=0" xr:uid="{B2AD70E0-ED65-4F18-B9F8-882BB7DB4A14}"/>
    <hyperlink ref="C4421" r:id="rId4416" display="https://pld.live/RapDetail.aspx?STONELIST=925721984&amp;ISCONFIRM=0" xr:uid="{172A82AC-AD3A-4EF1-BD1C-5244C0C2CE32}"/>
    <hyperlink ref="C4422" r:id="rId4417" display="https://pld.live/RapDetail.aspx?STONELIST=925080519&amp;ISCONFIRM=0" xr:uid="{2A46260F-DDF4-4C93-AE1F-5656A12927FD}"/>
    <hyperlink ref="C4423" r:id="rId4418" display="https://pld.live/RapDetail.aspx?STONELIST=925940595&amp;ISCONFIRM=0" xr:uid="{FC958D98-2F71-4552-90C2-8A0BA53B8D9E}"/>
    <hyperlink ref="C4424" r:id="rId4419" display="https://pld.live/RapDetail.aspx?STONELIST=925851250&amp;ISCONFIRM=0" xr:uid="{0B0792F5-388D-40F6-AB48-528B718FB437}"/>
    <hyperlink ref="C4425" r:id="rId4420" display="https://pld.live/RapDetail.aspx?STONELIST=925080436&amp;ISCONFIRM=0" xr:uid="{726675E8-FBE0-4EE7-AE31-5D4337CD1E7E}"/>
    <hyperlink ref="C4426" r:id="rId4421" display="https://pld.live/RapDetail.aspx?STONELIST=926110931&amp;ISCONFIRM=0" xr:uid="{C2A19F54-B125-4E97-A622-F8D315AFCF09}"/>
    <hyperlink ref="C4427" r:id="rId4422" display="https://pld.live/RapDetail.aspx?STONELIST=821114090&amp;ISCONFIRM=0" xr:uid="{844DD238-D153-47C5-8B65-6B88DB2854B7}"/>
    <hyperlink ref="C4428" r:id="rId4423" display="https://pld.live/RapDetail.aspx?STONELIST=821112281&amp;ISCONFIRM=0" xr:uid="{44086FF3-F6E1-4586-B709-5234B5DFEF0E}"/>
    <hyperlink ref="C4429" r:id="rId4424" display="https://pld.live/RapDetail.aspx?STONELIST=821113074&amp;ISCONFIRM=0" xr:uid="{5D26ADF5-B5E6-4E60-B42A-534EF7D0FFFF}"/>
    <hyperlink ref="C4430" r:id="rId4425" display="https://pld.live/RapDetail.aspx?STONELIST=821126148&amp;ISCONFIRM=0" xr:uid="{0B3AD653-5E55-4322-BF67-4B3C00AA5F81}"/>
    <hyperlink ref="C4431" r:id="rId4426" display="https://pld.live/RapDetail.aspx?STONELIST=925080449&amp;ISCONFIRM=0" xr:uid="{2B205460-CED4-42E5-BC39-84E192ECCC2C}"/>
    <hyperlink ref="C4432" r:id="rId4427" display="https://pld.live/RapDetail.aspx?STONELIST=925080446&amp;ISCONFIRM=0" xr:uid="{7814DE91-5F7F-4A0D-AF88-6FD501BA249B}"/>
    <hyperlink ref="C4433" r:id="rId4428" display="https://pld.live/RapDetail.aspx?STONELIST=926111331&amp;ISCONFIRM=0" xr:uid="{0299ECD7-7358-4D81-ACF5-51136F0C422D}"/>
    <hyperlink ref="C4434" r:id="rId4429" display="https://pld.live/RapDetail.aspx?STONELIST=925851199&amp;ISCONFIRM=0" xr:uid="{867484A3-4B82-40D1-99C8-ED9A9C376D5D}"/>
    <hyperlink ref="C4435" r:id="rId4430" display="https://pld.live/RapDetail.aspx?STONELIST=925280378&amp;ISCONFIRM=0" xr:uid="{4FA1C465-9399-4D6F-9053-CDF91F9066AD}"/>
    <hyperlink ref="C4436" r:id="rId4431" display="https://pld.live/RapDetail.aspx?STONELIST=925270195&amp;ISCONFIRM=0" xr:uid="{2EA7B808-405B-4C6C-AF16-AB93082D45CC}"/>
    <hyperlink ref="C4437" r:id="rId4432" display="https://pld.live/RapDetail.aspx?STONELIST=941021658&amp;ISCONFIRM=0" xr:uid="{EBE3B6A1-3D22-47C4-A54E-3AB742339CB1}"/>
    <hyperlink ref="C4438" r:id="rId4433" display="https://pld.live/RapDetail.aspx?STONELIST=924130112&amp;ISCONFIRM=0" xr:uid="{A1A0A5EB-4DE3-4EA3-B646-C0CD697C4362}"/>
    <hyperlink ref="C4439" r:id="rId4434" display="https://pld.live/RapDetail.aspx?STONELIST=925080487&amp;ISCONFIRM=0" xr:uid="{3C6264AF-731B-4CD4-908B-01584627F2F9}"/>
    <hyperlink ref="C4440" r:id="rId4435" display="https://pld.live/RapDetail.aspx?STONELIST=927092348&amp;ISCONFIRM=0" xr:uid="{E6497FDF-4A34-4FD9-B18C-AE589661AE2E}"/>
    <hyperlink ref="C4441" r:id="rId4436" display="https://pld.live/RapDetail.aspx?STONELIST=924420392&amp;ISCONFIRM=0" xr:uid="{D798A0EB-DD6D-417A-8DC0-5A7D00063243}"/>
    <hyperlink ref="C4442" r:id="rId4437" display="https://pld.live/RapDetail.aspx?STONELIST=925450127&amp;ISCONFIRM=0" xr:uid="{22251A04-057D-4BA3-862D-CFF7057E4EE6}"/>
    <hyperlink ref="C4443" r:id="rId4438" display="https://pld.live/RapDetail.aspx?STONELIST=924410695&amp;ISCONFIRM=0" xr:uid="{6809FF73-A756-4399-A0F0-1B69C0B794E1}"/>
    <hyperlink ref="C4444" r:id="rId4439" display="https://pld.live/RapDetail.aspx?STONELIST=920470396&amp;ISCONFIRM=0" xr:uid="{5E713892-167F-487D-935B-311E296DD386}"/>
    <hyperlink ref="C4445" r:id="rId4440" display="https://pld.live/RapDetail.aspx?STONELIST=926210774&amp;ISCONFIRM=0" xr:uid="{D32F1489-E924-4889-AAC6-2D1EB55C82E8}"/>
    <hyperlink ref="C4446" r:id="rId4441" display="https://pld.live/RapDetail.aspx?STONELIST=925080490&amp;ISCONFIRM=0" xr:uid="{F743DAB7-CBE8-4CB4-AF2A-959DE088B0D6}"/>
    <hyperlink ref="C4447" r:id="rId4442" display="https://pld.live/RapDetail.aspx?STONELIST=925080445&amp;ISCONFIRM=0" xr:uid="{0B9ACAB6-BC8F-43A8-BB53-07CAD52AA76C}"/>
    <hyperlink ref="C4448" r:id="rId4443" display="https://pld.live/RapDetail.aspx?STONELIST=925830760&amp;ISCONFIRM=0" xr:uid="{4BC9996E-A2A2-4183-A124-047C5D0E8193}"/>
    <hyperlink ref="C4449" r:id="rId4444" display="https://pld.live/RapDetail.aspx?STONELIST=925900409&amp;ISCONFIRM=0" xr:uid="{3A8EF788-6F88-488E-BEEE-18D169869280}"/>
    <hyperlink ref="C4450" r:id="rId4445" display="https://pld.live/RapDetail.aspx?STONELIST=925080458&amp;ISCONFIRM=0" xr:uid="{974695F0-2A2B-41D4-86F5-B07413ADB425}"/>
    <hyperlink ref="C4451" r:id="rId4446" display="https://pld.live/RapDetail.aspx?STONELIST=924420395&amp;ISCONFIRM=0" xr:uid="{FEA19910-4458-4261-B736-8E05BB16E938}"/>
    <hyperlink ref="C4452" r:id="rId4447" display="https://pld.live/RapDetail.aspx?STONELIST=831010709&amp;ISCONFIRM=0" xr:uid="{90AD731C-BB96-43A9-A64F-5D8D85BF7FEA}"/>
    <hyperlink ref="C4453" r:id="rId4448" display="https://pld.live/RapDetail.aspx?STONELIST=924580389&amp;ISCONFIRM=0" xr:uid="{A805191B-004D-4BB3-8F4A-16FC79AC2DDC}"/>
    <hyperlink ref="C4454" r:id="rId4449" display="https://pld.live/RapDetail.aspx?STONELIST=925080469&amp;ISCONFIRM=0" xr:uid="{4D97AB0E-2231-4929-BAE0-EA982FADAA48}"/>
    <hyperlink ref="C4455" r:id="rId4450" display="https://pld.live/RapDetail.aspx?STONELIST=925360396&amp;ISCONFIRM=0" xr:uid="{4352AB8B-BAFC-41C2-BF15-76A1E4F3578D}"/>
    <hyperlink ref="C4456" r:id="rId4451" display="https://pld.live/RapDetail.aspx?STONELIST=924410677&amp;ISCONFIRM=0" xr:uid="{CE36E8B1-A966-4C89-9023-5BC663FBEEAC}"/>
    <hyperlink ref="C4457" r:id="rId4452" display="https://pld.live/RapDetail.aspx?STONELIST=926210954&amp;ISCONFIRM=0" xr:uid="{99FDB21D-F390-4AF5-8EE1-25A6F3072F0D}"/>
    <hyperlink ref="C4458" r:id="rId4453" display="https://pld.live/RapDetail.aspx?STONELIST=924280306&amp;ISCONFIRM=0" xr:uid="{5C2ACE93-5E0E-4F9B-B17D-7DE5E48815AF}"/>
    <hyperlink ref="C4459" r:id="rId4454" display="https://pld.live/RapDetail.aspx?STONELIST=926210534&amp;ISCONFIRM=0" xr:uid="{4FA6FB51-C637-40CD-8137-92EC4A643344}"/>
    <hyperlink ref="C4460" r:id="rId4455" display="https://pld.live/RapDetail.aspx?STONELIST=926210633&amp;ISCONFIRM=0" xr:uid="{37B9D311-172B-4B50-8B49-B06FA0EED192}"/>
    <hyperlink ref="C4461" r:id="rId4456" display="https://pld.live/RapDetail.aspx?STONELIST=926210747&amp;ISCONFIRM=0" xr:uid="{F2DF9281-8F76-429A-882E-CCAFC70C6B3C}"/>
    <hyperlink ref="C4462" r:id="rId4457" display="https://pld.live/RapDetail.aspx?STONELIST=925080491&amp;ISCONFIRM=0" xr:uid="{53F1DB42-F534-4DA1-867D-30A50CA3509B}"/>
    <hyperlink ref="C4463" r:id="rId4458" display="https://pld.live/RapDetail.aspx?STONELIST=925280508&amp;ISCONFIRM=0" xr:uid="{8BE7645A-65A8-411B-BB6E-7F1C726FBCA8}"/>
    <hyperlink ref="C4464" r:id="rId4459" display="https://pld.live/RapDetail.aspx?STONELIST=925080457&amp;ISCONFIRM=0" xr:uid="{45952BF0-9BB6-45A5-826D-A076C1A7979B}"/>
    <hyperlink ref="C4465" r:id="rId4460" display="https://pld.live/RapDetail.aspx?STONELIST=925290568&amp;ISCONFIRM=0" xr:uid="{6EFDA43E-3F4C-4398-9317-F906D596380A}"/>
    <hyperlink ref="C4466" r:id="rId4461" display="https://pld.live/RapDetail.aspx?STONELIST=925830712&amp;ISCONFIRM=0" xr:uid="{9DB2A3DD-15D9-4D2E-A20F-F1FA121D41C4}"/>
    <hyperlink ref="C4467" r:id="rId4462" display="https://pld.live/RapDetail.aspx?STONELIST=925280515&amp;ISCONFIRM=0" xr:uid="{7A33FEF6-7277-44F5-A963-75A0BAE6AB48}"/>
    <hyperlink ref="C4468" r:id="rId4463" display="https://pld.live/RapDetail.aspx?STONELIST=924710172&amp;ISCONFIRM=0" xr:uid="{1C1F63EE-DBCE-445D-BFC7-E041D9DBC63E}"/>
    <hyperlink ref="C4469" r:id="rId4464" display="https://pld.live/RapDetail.aspx?STONELIST=925280519&amp;ISCONFIRM=0" xr:uid="{5A41D179-5B60-429D-BA29-0133D0031F67}"/>
    <hyperlink ref="C4470" r:id="rId4465" display="https://pld.live/RapDetail.aspx?STONELIST=925280541&amp;ISCONFIRM=0" xr:uid="{207FE940-030F-48CC-AD90-E4BF47AE9311}"/>
    <hyperlink ref="C4471" r:id="rId4466" display="https://pld.live/RapDetail.aspx?STONELIST=925290557&amp;ISCONFIRM=0" xr:uid="{068FF46C-2DB4-496A-8D9A-C59A7E3B01DD}"/>
    <hyperlink ref="C4472" r:id="rId4467" display="https://pld.live/RapDetail.aspx?STONELIST=925080442&amp;ISCONFIRM=0" xr:uid="{8096543C-6FC3-4FFA-AE5D-7FB09694DACB}"/>
    <hyperlink ref="C4473" r:id="rId4468" display="https://pld.live/RapDetail.aspx?STONELIST=924740209&amp;ISCONFIRM=0" xr:uid="{8AB56B34-7DA2-494E-8666-AE14F18BCAE8}"/>
    <hyperlink ref="C4474" r:id="rId4469" display="https://pld.live/RapDetail.aspx?STONELIST=927092533&amp;ISCONFIRM=0" xr:uid="{F866E6D4-7816-4A22-BDD3-69FBF8F6AC23}"/>
    <hyperlink ref="C4475" r:id="rId4470" display="https://pld.live/RapDetail.aspx?STONELIST=924230766&amp;ISCONFIRM=0" xr:uid="{8EAF5E24-DB4A-4398-8C28-8B1AC1F569B6}"/>
    <hyperlink ref="C4476" r:id="rId4471" display="https://pld.live/RapDetail.aspx?STONELIST=831010226&amp;ISCONFIRM=0" xr:uid="{DAA6490A-1987-40D8-8CFD-7F9CED9BFAC0}"/>
    <hyperlink ref="C4477" r:id="rId4472" display="https://pld.live/RapDetail.aspx?STONELIST=926971969&amp;ISCONFIRM=0" xr:uid="{5CA1D5A4-CB01-4113-9540-54211F9C8B83}"/>
    <hyperlink ref="C4478" r:id="rId4473" display="https://pld.live/RapDetail.aspx?STONELIST=927052536&amp;ISCONFIRM=0" xr:uid="{9C0BAD2E-DE78-489D-BB85-5066CC8B2F31}"/>
    <hyperlink ref="C4479" r:id="rId4474" display="https://pld.live/RapDetail.aspx?STONELIST=926210965&amp;ISCONFIRM=0" xr:uid="{33540EFF-E04E-4875-8D56-D5DFFEEEB1A8}"/>
    <hyperlink ref="C4480" r:id="rId4475" display="https://pld.live/RapDetail.aspx?STONELIST=831010774&amp;ISCONFIRM=0" xr:uid="{EB11C62B-6638-4055-B0B7-FE8917B48224}"/>
    <hyperlink ref="C4481" r:id="rId4476" display="https://pld.live/RapDetail.aspx?STONELIST=941320827&amp;ISCONFIRM=0" xr:uid="{EE1DCD18-1F5D-4EC2-842A-D0527FE3629F}"/>
    <hyperlink ref="C4482" r:id="rId4477" display="https://pld.live/RapDetail.aspx?STONELIST=927052725&amp;ISCONFIRM=0" xr:uid="{30D31010-3158-4D3F-B0B8-802F27A93732}"/>
    <hyperlink ref="C4483" r:id="rId4478" display="https://pld.live/RapDetail.aspx?STONELIST=941140825&amp;ISCONFIRM=0" xr:uid="{402EB69D-EE46-44AA-BB84-7E7B1F44011B}"/>
    <hyperlink ref="C4484" r:id="rId4479" display="https://pld.live/RapDetail.aspx?STONELIST=927092575&amp;ISCONFIRM=0" xr:uid="{0991A986-897D-487D-9A1E-49002A72F6D0}"/>
    <hyperlink ref="C4485" r:id="rId4480" display="https://pld.live/RapDetail.aspx?STONELIST=927092258&amp;ISCONFIRM=0" xr:uid="{CCEAC532-9DAE-4E55-B0D7-55D1EC7194F2}"/>
    <hyperlink ref="C4486" r:id="rId4481" display="https://pld.live/RapDetail.aspx?STONELIST=941351090&amp;ISCONFIRM=0" xr:uid="{39F450AC-A712-4F64-94A4-1B7A8E4F8015}"/>
    <hyperlink ref="C4487" r:id="rId4482" display="https://pld.live/RapDetail.aspx?STONELIST=941140773&amp;ISCONFIRM=0" xr:uid="{CB154732-7626-4005-94F0-9155BF3A5523}"/>
    <hyperlink ref="C4488" r:id="rId4483" display="https://pld.live/RapDetail.aspx?STONELIST=927052696&amp;ISCONFIRM=0" xr:uid="{694443CC-A3E7-46CE-86F8-5DE7E8E1A557}"/>
    <hyperlink ref="C4489" r:id="rId4484" display="https://pld.live/RapDetail.aspx?STONELIST=941190462&amp;ISCONFIRM=0" xr:uid="{A92F0C7E-AD97-4698-ABCD-F1D74FFC281E}"/>
    <hyperlink ref="C4490" r:id="rId4485" display="https://pld.live/RapDetail.aspx?STONELIST=941140730&amp;ISCONFIRM=0" xr:uid="{76B6A0F0-F9AF-4967-9B50-244CCBACB3DD}"/>
    <hyperlink ref="C4491" r:id="rId4486" display="https://pld.live/RapDetail.aspx?STONELIST=927102450&amp;ISCONFIRM=0" xr:uid="{716706CA-6BC6-4B9D-B007-2E0BDBF3F06C}"/>
    <hyperlink ref="C4492" r:id="rId4487" display="https://pld.live/RapDetail.aspx?STONELIST=927092675&amp;ISCONFIRM=0" xr:uid="{8595F88A-6F74-4AC9-A1E9-1539B47904C9}"/>
    <hyperlink ref="C4493" r:id="rId4488" display="https://pld.live/RapDetail.aspx?STONELIST=941190178&amp;ISCONFIRM=0" xr:uid="{288E3AA9-4031-4C67-B7ED-3FE6247559A2}"/>
    <hyperlink ref="C4494" r:id="rId4489" display="https://pld.live/RapDetail.aspx?STONELIST=927092587&amp;ISCONFIRM=0" xr:uid="{E13AB74F-6FD9-46BA-8DCB-11F260559023}"/>
    <hyperlink ref="C4495" r:id="rId4490" display="https://pld.live/RapDetail.aspx?STONELIST=927052647&amp;ISCONFIRM=0" xr:uid="{20A9F452-33C0-429B-8F04-4C6FC68828E8}"/>
    <hyperlink ref="C4496" r:id="rId4491" display="https://pld.live/RapDetail.aspx?STONELIST=927092608&amp;ISCONFIRM=0" xr:uid="{08962202-8088-44F0-97D4-D5B30C6CCFF6}"/>
    <hyperlink ref="C4497" r:id="rId4492" display="https://pld.live/RapDetail.aspx?STONELIST=941140782&amp;ISCONFIRM=0" xr:uid="{F547A910-441F-4DF9-8934-19E71807B306}"/>
    <hyperlink ref="C4498" r:id="rId4493" display="https://pld.live/RapDetail.aspx?STONELIST=927092618&amp;ISCONFIRM=0" xr:uid="{86A68B36-882E-43BA-AA0D-CAB4AA37F7E8}"/>
    <hyperlink ref="C4499" r:id="rId4494" display="https://pld.live/RapDetail.aspx?STONELIST=927092661&amp;ISCONFIRM=0" xr:uid="{C8DF13C7-B85A-4633-AB78-EA773A6C08DC}"/>
    <hyperlink ref="C4500" r:id="rId4495" display="https://pld.live/RapDetail.aspx?STONELIST=941351087&amp;ISCONFIRM=0" xr:uid="{1B6D760E-1242-46A6-87C6-258D4F5FA414}"/>
    <hyperlink ref="C4501" r:id="rId4496" display="https://pld.live/RapDetail.aspx?STONELIST=941140827&amp;ISCONFIRM=0" xr:uid="{BE8B0D8E-8D40-4FE3-8DED-51403E5892C8}"/>
    <hyperlink ref="C4502" r:id="rId4497" display="https://pld.live/RapDetail.aspx?STONELIST=927092593&amp;ISCONFIRM=0" xr:uid="{D6C7B988-8340-4109-8BC6-F47D09D18999}"/>
    <hyperlink ref="C4503" r:id="rId4498" display="https://pld.live/RapDetail.aspx?STONELIST=927052653&amp;ISCONFIRM=0" xr:uid="{E66D9FB5-08CC-42E8-8E33-1426AA72EC5B}"/>
    <hyperlink ref="C4504" r:id="rId4499" display="https://pld.live/RapDetail.aspx?STONELIST=927052666&amp;ISCONFIRM=0" xr:uid="{79E7ABF5-952C-458C-B8D6-7B3ABD9D454C}"/>
    <hyperlink ref="C4505" r:id="rId4500" display="https://pld.live/RapDetail.aspx?STONELIST=927092582&amp;ISCONFIRM=0" xr:uid="{917F0AD5-B07B-4D4E-9DB1-708ECEB6AB45}"/>
    <hyperlink ref="C4506" r:id="rId4501" display="https://pld.live/RapDetail.aspx?STONELIST=927052670&amp;ISCONFIRM=0" xr:uid="{4AF575B5-F74C-4601-9A11-04AE65756752}"/>
    <hyperlink ref="C4507" r:id="rId4502" display="https://pld.live/RapDetail.aspx?STONELIST=926250461&amp;ISCONFIRM=0" xr:uid="{F5506B64-90CA-4F01-A032-CE397E8C8C33}"/>
    <hyperlink ref="C4508" r:id="rId4503" display="https://pld.live/RapDetail.aspx?STONELIST=927092666&amp;ISCONFIRM=0" xr:uid="{F7A850BC-8FE4-4069-B74D-038B8C53E662}"/>
    <hyperlink ref="C4509" r:id="rId4504" display="https://pld.live/RapDetail.aspx?STONELIST=927092588&amp;ISCONFIRM=0" xr:uid="{15A94464-34AF-4236-B3C4-09C2B907DE80}"/>
    <hyperlink ref="C4510" r:id="rId4505" display="https://pld.live/RapDetail.aspx?STONELIST=927092347&amp;ISCONFIRM=0" xr:uid="{D8D4F50B-3837-42EB-8F7C-B2EA3D567739}"/>
    <hyperlink ref="C4511" r:id="rId4506" display="https://pld.live/RapDetail.aspx?STONELIST=926220562&amp;ISCONFIRM=0" xr:uid="{526A6DFB-21A9-4F96-ACE1-E727D3825F9E}"/>
    <hyperlink ref="C4512" r:id="rId4507" display="https://pld.live/RapDetail.aspx?STONELIST=927052714&amp;ISCONFIRM=0" xr:uid="{CAE1A46D-266F-4526-A005-BFF71148EE6C}"/>
    <hyperlink ref="C4513" r:id="rId4508" display="https://pld.live/RapDetail.aspx?STONELIST=941320835&amp;ISCONFIRM=0" xr:uid="{5415CF8A-8E2A-4911-BED3-5E791818A369}"/>
    <hyperlink ref="C4514" r:id="rId4509" display="https://pld.live/RapDetail.aspx?STONELIST=927052671&amp;ISCONFIRM=0" xr:uid="{BF7DD051-8184-4E5D-8C74-CAA0C1396508}"/>
    <hyperlink ref="C4515" r:id="rId4510" display="https://pld.live/RapDetail.aspx?STONELIST=927052740&amp;ISCONFIRM=0" xr:uid="{E44BBB29-4759-4036-B6CE-A22A9C441659}"/>
    <hyperlink ref="C4516" r:id="rId4511" display="https://pld.live/RapDetail.aspx?STONELIST=927052747&amp;ISCONFIRM=0" xr:uid="{7DB0742D-9754-4745-9375-036324CD829C}"/>
    <hyperlink ref="C4517" r:id="rId4512" display="https://pld.live/RapDetail.aspx?STONELIST=927092579&amp;ISCONFIRM=0" xr:uid="{26D51F12-F4A2-48B5-BE70-F2D428087667}"/>
    <hyperlink ref="C4518" r:id="rId4513" display="https://pld.live/RapDetail.aspx?STONELIST=941190400&amp;ISCONFIRM=0" xr:uid="{A0816DF3-5CB6-4202-A6E6-178B7C1C9C19}"/>
    <hyperlink ref="C4519" r:id="rId4514" display="https://pld.live/RapDetail.aspx?STONELIST=927092634&amp;ISCONFIRM=0" xr:uid="{09078706-2F81-4389-BB8C-4A0D23A72E8A}"/>
    <hyperlink ref="C4520" r:id="rId4515" display="https://pld.live/RapDetail.aspx?STONELIST=927092685&amp;ISCONFIRM=0" xr:uid="{0065E69C-C1CA-4FBF-A20E-1A94A13DC6B9}"/>
    <hyperlink ref="C4521" r:id="rId4516" display="https://pld.live/RapDetail.aspx?STONELIST=927052644&amp;ISCONFIRM=0" xr:uid="{AB9DAA5B-191B-444E-9AEE-4D387490C144}"/>
    <hyperlink ref="C4522" r:id="rId4517" display="https://pld.live/RapDetail.aspx?STONELIST=924230723&amp;ISCONFIRM=0" xr:uid="{24D26AE0-8FD3-4980-8261-251419673D9C}"/>
    <hyperlink ref="C4523" r:id="rId4518" display="https://pld.live/RapDetail.aspx?STONELIST=924850121&amp;ISCONFIRM=0" xr:uid="{9B922DA7-42B9-4D77-A80E-0A77E29E8208}"/>
    <hyperlink ref="C4524" r:id="rId4519" display="https://pld.live/RapDetail.aspx?STONELIST=927092654&amp;ISCONFIRM=0" xr:uid="{3C015B33-8C9D-4DD4-B16B-677302F5CCC7}"/>
    <hyperlink ref="C4525" r:id="rId4520" display="https://pld.live/RapDetail.aspx?STONELIST=927092667&amp;ISCONFIRM=0" xr:uid="{DEAE03B7-AE09-4E03-B5C9-F9876DD8DE96}"/>
    <hyperlink ref="C4526" r:id="rId4521" display="https://pld.live/RapDetail.aspx?STONELIST=924850123&amp;ISCONFIRM=0" xr:uid="{8AAA99F3-EDB2-4333-9E27-D447C71799C5}"/>
    <hyperlink ref="C4527" r:id="rId4522" display="https://pld.live/RapDetail.aspx?STONELIST=926972230&amp;ISCONFIRM=0" xr:uid="{67269E79-6953-4CE5-BC77-287EDE24A1A2}"/>
    <hyperlink ref="C4528" r:id="rId4523" display="https://pld.live/RapDetail.aspx?STONELIST=927092583&amp;ISCONFIRM=0" xr:uid="{575D37F8-9197-44E9-BAC5-B4A42C4DC212}"/>
    <hyperlink ref="C4529" r:id="rId4524" display="https://pld.live/RapDetail.aspx?STONELIST=927052686&amp;ISCONFIRM=0" xr:uid="{D9C1FBCB-2A86-42E5-A39B-4382C85C2BAB}"/>
    <hyperlink ref="C4530" r:id="rId4525" display="https://pld.live/RapDetail.aspx?STONELIST=941190386&amp;ISCONFIRM=0" xr:uid="{97FD023E-7F3E-43DA-9D41-B40AC7280218}"/>
    <hyperlink ref="C4531" r:id="rId4526" display="https://pld.live/RapDetail.aspx?STONELIST=927092334&amp;ISCONFIRM=0" xr:uid="{45876544-AC40-4C2B-BA08-AAD5FE36C90F}"/>
    <hyperlink ref="C4532" r:id="rId4527" display="https://pld.live/RapDetail.aspx?STONELIST=927052720&amp;ISCONFIRM=0" xr:uid="{9E4A7B35-5A08-461A-BFC5-A851196D359F}"/>
    <hyperlink ref="C4533" r:id="rId4528" display="https://pld.live/RapDetail.aspx?STONELIST=927092632&amp;ISCONFIRM=0" xr:uid="{CEE0653B-062F-4E54-8CF2-1252A855423E}"/>
    <hyperlink ref="C4534" r:id="rId4529" display="https://pld.live/RapDetail.aspx?STONELIST=941320816&amp;ISCONFIRM=0" xr:uid="{145BAF01-5BA7-4E7B-8E93-F12D5114348D}"/>
    <hyperlink ref="C4535" r:id="rId4530" display="https://pld.live/RapDetail.aspx?STONELIST=927092622&amp;ISCONFIRM=0" xr:uid="{215C7F2E-AE91-42AE-AE17-4AE0680361DC}"/>
    <hyperlink ref="C4536" r:id="rId4531" display="https://pld.live/RapDetail.aspx?STONELIST=927092621&amp;ISCONFIRM=0" xr:uid="{062FD6F4-CF2B-4B2E-A12B-E0759B42BD1E}"/>
    <hyperlink ref="C4537" r:id="rId4532" display="https://pld.live/RapDetail.aspx?STONELIST=927102462&amp;ISCONFIRM=0" xr:uid="{B7D106F9-9C76-43F1-B655-D18F7B1CFE9C}"/>
    <hyperlink ref="C4538" r:id="rId4533" display="https://pld.live/RapDetail.aspx?STONELIST=926960874&amp;ISCONFIRM=0" xr:uid="{F95F95A8-3C06-428B-A6D6-FBD9D07ABD18}"/>
    <hyperlink ref="C4539" r:id="rId4534" display="https://pld.live/RapDetail.aspx?STONELIST=927052652&amp;ISCONFIRM=0" xr:uid="{D1A6A2C7-68EE-4DC0-A7D8-AEE9389A707F}"/>
    <hyperlink ref="C4540" r:id="rId4535" display="https://pld.live/RapDetail.aspx?STONELIST=925120359&amp;ISCONFIRM=0" xr:uid="{908828A4-5704-4A63-9E72-6A6010FB08E1}"/>
    <hyperlink ref="C4541" r:id="rId4536" display="https://pld.live/RapDetail.aspx?STONELIST=941140760&amp;ISCONFIRM=0" xr:uid="{E5FFF601-B2C9-4B3A-A613-F51A47B421D9}"/>
    <hyperlink ref="C4542" r:id="rId4537" display="https://pld.live/RapDetail.aspx?STONELIST=924730261&amp;ISCONFIRM=0" xr:uid="{D95EA654-F8AB-42D1-89AD-CA4C40712CAF}"/>
    <hyperlink ref="C4543" r:id="rId4538" display="https://pld.live/RapDetail.aspx?STONELIST=941250669&amp;ISCONFIRM=0" xr:uid="{0E510681-99CC-433D-AE00-99E693FB4D3F}"/>
    <hyperlink ref="C4544" r:id="rId4539" display="https://pld.live/RapDetail.aspx?STONELIST=924900181&amp;ISCONFIRM=0" xr:uid="{C3625242-3026-42EA-976C-A1BF587F025E}"/>
    <hyperlink ref="C4545" r:id="rId4540" display="https://pld.live/RapDetail.aspx?STONELIST=941350908&amp;ISCONFIRM=0" xr:uid="{95ED09D0-B58B-487D-9AF2-3D9F28740665}"/>
    <hyperlink ref="C4546" r:id="rId4541" display="https://pld.live/RapDetail.aspx?STONELIST=927052555&amp;ISCONFIRM=0" xr:uid="{3946C055-E914-4524-8B55-ABD8690CB186}"/>
    <hyperlink ref="C4547" r:id="rId4542" display="https://pld.live/RapDetail.aspx?STONELIST=941400515&amp;ISCONFIRM=0" xr:uid="{B3BF48ED-3231-4B31-B5B9-EC3426B83789}"/>
    <hyperlink ref="C4548" r:id="rId4543" display="https://pld.live/RapDetail.aspx?STONELIST=941320808&amp;ISCONFIRM=0" xr:uid="{DE727B5C-F231-47EA-A241-3E10CFF585C4}"/>
    <hyperlink ref="C4549" r:id="rId4544" display="https://pld.live/RapDetail.aspx?STONELIST=924290361&amp;ISCONFIRM=0" xr:uid="{55D27FC2-E83C-4398-8FAB-A9CCAF3DA547}"/>
    <hyperlink ref="C4550" r:id="rId4545" display="https://pld.live/RapDetail.aspx?STONELIST=941320780&amp;ISCONFIRM=0" xr:uid="{D9388831-21CE-4906-A953-F816A324234B}"/>
    <hyperlink ref="C4551" r:id="rId4546" display="https://pld.live/RapDetail.aspx?STONELIST=924960473&amp;ISCONFIRM=0" xr:uid="{FE093C80-0D46-4C2D-9473-D974AD561B91}"/>
    <hyperlink ref="C4552" r:id="rId4547" display="https://pld.live/RapDetail.aspx?STONELIST=941320795&amp;ISCONFIRM=0" xr:uid="{7F04B094-B2BF-4F2C-BCAD-E1220EDD55E1}"/>
    <hyperlink ref="C4553" r:id="rId4548" display="https://pld.live/RapDetail.aspx?STONELIST=941320797&amp;ISCONFIRM=0" xr:uid="{581191AB-94E7-4CFA-99A9-87DA8A03395B}"/>
    <hyperlink ref="C4554" r:id="rId4549" display="https://pld.live/RapDetail.aspx?STONELIST=941320357&amp;ISCONFIRM=0" xr:uid="{86D7700E-B726-4B17-A0B3-4243B816B9E6}"/>
    <hyperlink ref="C4555" r:id="rId4550" display="https://pld.live/RapDetail.aspx?STONELIST=941320279&amp;ISCONFIRM=0" xr:uid="{142791AA-56EB-464A-AC97-7D1EAA73CD79}"/>
    <hyperlink ref="C4556" r:id="rId4551" display="https://pld.live/RapDetail.aspx?STONELIST=924420409&amp;ISCONFIRM=0" xr:uid="{167E7B25-F8AF-4E9E-8BD9-9F1C92EF50E7}"/>
    <hyperlink ref="C4557" r:id="rId4552" display="https://pld.live/RapDetail.aspx?STONELIST=924280352&amp;ISCONFIRM=0" xr:uid="{4585B2B7-A6D3-48B2-B524-EDB2DD971CCC}"/>
    <hyperlink ref="C4558" r:id="rId4553" display="https://pld.live/RapDetail.aspx?STONELIST=924960348&amp;ISCONFIRM=0" xr:uid="{E3880194-71F9-47E1-81FC-9D0CE1DF2FB8}"/>
    <hyperlink ref="C4559" r:id="rId4554" display="https://pld.live/RapDetail.aspx?STONELIST=924571015&amp;ISCONFIRM=0" xr:uid="{BA82A780-14D7-4049-BFEC-3691B282D58B}"/>
    <hyperlink ref="C4560" r:id="rId4555" display="https://pld.live/RapDetail.aspx?STONELIST=925791362&amp;ISCONFIRM=0" xr:uid="{9C9257CB-A487-45EE-A22E-75E79F54C176}"/>
    <hyperlink ref="C4561" r:id="rId4556" display="https://pld.live/RapDetail.aspx?STONELIST=924390518&amp;ISCONFIRM=0" xr:uid="{03004F7C-2943-4055-B8FB-3106B862A6D6}"/>
    <hyperlink ref="C4562" r:id="rId4557" display="https://pld.live/RapDetail.aspx?STONELIST=924960408&amp;ISCONFIRM=0" xr:uid="{BB6F97EE-78D0-4CE7-B274-8D0212A535A6}"/>
    <hyperlink ref="C4563" r:id="rId4558" display="https://pld.live/RapDetail.aspx?STONELIST=924580388&amp;ISCONFIRM=0" xr:uid="{6448840E-3D03-4DEA-AC04-3204DBCD098B}"/>
    <hyperlink ref="C4564" r:id="rId4559" display="https://pld.live/RapDetail.aspx?STONELIST=924960433&amp;ISCONFIRM=0" xr:uid="{EE46639E-11EF-47C8-B0E1-CA8D5F26D029}"/>
    <hyperlink ref="C4565" r:id="rId4560" display="https://pld.live/RapDetail.aspx?STONELIST=924960475&amp;ISCONFIRM=0" xr:uid="{FEA647D6-9E6F-498F-8E89-003B966AACFA}"/>
    <hyperlink ref="C4566" r:id="rId4561" display="https://pld.live/RapDetail.aspx?STONELIST=924560507&amp;ISCONFIRM=0" xr:uid="{571F8B1C-B250-40BF-A547-53796B691E32}"/>
    <hyperlink ref="C4567" r:id="rId4562" display="https://pld.live/RapDetail.aspx?STONELIST=927132206&amp;ISCONFIRM=0" xr:uid="{06D00C27-FE35-44D4-BA0E-16D8E80D10E9}"/>
    <hyperlink ref="C4568" r:id="rId4563" display="https://pld.live/RapDetail.aspx?STONELIST=927092423&amp;ISCONFIRM=0" xr:uid="{CE9B7ECA-46B1-4E43-BF39-750E88ABE997}"/>
    <hyperlink ref="C4569" r:id="rId4564" display="https://pld.live/RapDetail.aspx?STONELIST=941351162&amp;ISCONFIRM=0" xr:uid="{8C9AFAAF-D402-4F49-B531-2CFE9830201A}"/>
    <hyperlink ref="C4570" r:id="rId4565" display="https://pld.live/RapDetail.aspx?STONELIST=927152869&amp;ISCONFIRM=0" xr:uid="{4F542726-4644-4834-8205-2CF285C86AD1}"/>
    <hyperlink ref="C4571" r:id="rId4566" display="https://pld.live/RapDetail.aspx?STONELIST=927130725&amp;ISCONFIRM=0" xr:uid="{62AA6A03-36EA-4762-A0E7-6F04C94EB7D3}"/>
    <hyperlink ref="C4572" r:id="rId4567" display="https://pld.live/RapDetail.aspx?STONELIST=927052566&amp;ISCONFIRM=0" xr:uid="{AB0DC922-1CA7-4D89-92CA-54C1505BD666}"/>
    <hyperlink ref="C4573" r:id="rId4568" display="https://pld.live/RapDetail.aspx?STONELIST=927152706&amp;ISCONFIRM=0" xr:uid="{5927D9A3-03DA-43E3-9B57-E269760F8271}"/>
    <hyperlink ref="C4574" r:id="rId4569" display="https://pld.live/RapDetail.aspx?STONELIST=941190337&amp;ISCONFIRM=0" xr:uid="{74257DD5-EDA8-499F-AC98-ED7C35C89517}"/>
    <hyperlink ref="C4575" r:id="rId4570" display="https://pld.live/RapDetail.aspx?STONELIST=941261096&amp;ISCONFIRM=0" xr:uid="{A004AFCF-DC08-4BCF-AB5A-D318C7F649C7}"/>
    <hyperlink ref="C4576" r:id="rId4571" display="https://pld.live/RapDetail.aspx?STONELIST=927132153&amp;ISCONFIRM=0" xr:uid="{36EF5C27-8913-4364-B833-19C5911E5259}"/>
    <hyperlink ref="C4577" r:id="rId4572" display="https://pld.live/RapDetail.aspx?STONELIST=927132219&amp;ISCONFIRM=0" xr:uid="{95C17D2B-ADBC-401F-A899-06EB9722AF35}"/>
    <hyperlink ref="C4578" r:id="rId4573" display="https://pld.live/RapDetail.aspx?STONELIST=941060526&amp;ISCONFIRM=0" xr:uid="{E9BA063A-1B0D-4351-A981-A7A505705B6F}"/>
    <hyperlink ref="C4579" r:id="rId4574" display="https://pld.live/RapDetail.aspx?STONELIST=941060524&amp;ISCONFIRM=0" xr:uid="{287A9F18-1EE5-45BC-8A64-B5593EC7F1D9}"/>
    <hyperlink ref="C4580" r:id="rId4575" display="https://pld.live/RapDetail.aspx?STONELIST=927152827&amp;ISCONFIRM=0" xr:uid="{9927EAFE-AA61-491D-900B-F12D5D18C195}"/>
    <hyperlink ref="C4581" r:id="rId4576" display="https://pld.live/RapDetail.aspx?STONELIST=927152841&amp;ISCONFIRM=0" xr:uid="{297FE0C3-3850-45EB-8146-04032AA9CE7B}"/>
    <hyperlink ref="C4582" r:id="rId4577" display="https://pld.live/RapDetail.aspx?STONELIST=927101496&amp;ISCONFIRM=0" xr:uid="{5BA3533E-2BD2-46A6-A0C6-1AD175AB1826}"/>
    <hyperlink ref="C4583" r:id="rId4578" display="https://pld.live/RapDetail.aspx?STONELIST=941040689&amp;ISCONFIRM=0" xr:uid="{9E2D8396-E6C4-4E0D-85E8-B969798280D6}"/>
    <hyperlink ref="C4584" r:id="rId4579" display="https://pld.live/RapDetail.aspx?STONELIST=925760672&amp;ISCONFIRM=0" xr:uid="{819B54BD-4E53-46A0-AB51-CFA3A8F14EBC}"/>
    <hyperlink ref="C4585" r:id="rId4580" display="https://pld.live/RapDetail.aspx?STONELIST=926730490&amp;ISCONFIRM=0" xr:uid="{94783C2C-5EAF-46EA-B525-DFAB852F456D}"/>
    <hyperlink ref="C4586" r:id="rId4581" display="https://pld.live/RapDetail.aspx?STONELIST=927152765&amp;ISCONFIRM=0" xr:uid="{C5429BEE-4FD6-432F-AFC9-059CB634B3BC}"/>
    <hyperlink ref="C4587" r:id="rId4582" display="https://pld.live/RapDetail.aspx?STONELIST=927152648&amp;ISCONFIRM=0" xr:uid="{E2305507-4C5D-427D-969D-1EC2CB292D7E}"/>
    <hyperlink ref="C4588" r:id="rId4583" display="https://pld.live/RapDetail.aspx?STONELIST=927092326&amp;ISCONFIRM=0" xr:uid="{AE00BB15-C92C-43B3-96D9-5E4EC4DB7057}"/>
    <hyperlink ref="C4589" r:id="rId4584" display="https://pld.live/RapDetail.aspx?STONELIST=927101359&amp;ISCONFIRM=0" xr:uid="{96BEDFC2-0F41-4186-8129-9DFA88E77035}"/>
    <hyperlink ref="C4590" r:id="rId4585" display="https://pld.live/RapDetail.aspx?STONELIST=927152830&amp;ISCONFIRM=0" xr:uid="{7802873B-F6AC-45E2-BD57-7E4BD5B7169F}"/>
    <hyperlink ref="C4591" r:id="rId4586" display="https://pld.live/RapDetail.aspx?STONELIST=927052629&amp;ISCONFIRM=0" xr:uid="{6025FA32-4CCF-4DB0-8DDE-FC10DFDE6328}"/>
    <hyperlink ref="C4592" r:id="rId4587" display="https://pld.live/RapDetail.aspx?STONELIST=927052573&amp;ISCONFIRM=0" xr:uid="{FD6D8B11-8196-48C6-9649-90593077183A}"/>
    <hyperlink ref="C4593" r:id="rId4588" display="https://pld.live/RapDetail.aspx?STONELIST=941040665&amp;ISCONFIRM=0" xr:uid="{27304532-354F-42BD-866D-EE0E802B73D4}"/>
    <hyperlink ref="C4594" r:id="rId4589" display="https://pld.live/RapDetail.aspx?STONELIST=927052561&amp;ISCONFIRM=0" xr:uid="{2DEA2B1B-6175-429B-8480-A9B852156D7E}"/>
    <hyperlink ref="C4595" r:id="rId4590" display="https://pld.live/RapDetail.aspx?STONELIST=941040666&amp;ISCONFIRM=0" xr:uid="{FA42882D-340D-463F-B21B-893CFCDD8D68}"/>
    <hyperlink ref="C4596" r:id="rId4591" display="https://pld.live/RapDetail.aspx?STONELIST=927132351&amp;ISCONFIRM=0" xr:uid="{25015A65-EF1D-4E90-AFBC-C5C527EF1AA3}"/>
    <hyperlink ref="C4597" r:id="rId4592" display="https://pld.live/RapDetail.aspx?STONELIST=941270779&amp;ISCONFIRM=0" xr:uid="{A681EDFE-E8E6-4F68-8443-A366A5B6A4EA}"/>
    <hyperlink ref="C4598" r:id="rId4593" display="https://pld.live/RapDetail.aspx?STONELIST=941270789&amp;ISCONFIRM=0" xr:uid="{03F204C4-D7F3-4418-8CD5-5C277617DC7E}"/>
    <hyperlink ref="C4599" r:id="rId4594" display="https://pld.live/RapDetail.aspx?STONELIST=941261112&amp;ISCONFIRM=0" xr:uid="{E90932ED-B043-4ED1-BA05-125BB699A8A1}"/>
    <hyperlink ref="C4600" r:id="rId4595" display="https://pld.live/RapDetail.aspx?STONELIST=927132043&amp;ISCONFIRM=0" xr:uid="{B4AE49C3-E8A0-4AB7-96E3-1323D9BEBAD4}"/>
    <hyperlink ref="C4601" r:id="rId4596" display="https://pld.live/RapDetail.aspx?STONELIST=926960848&amp;ISCONFIRM=0" xr:uid="{B33D3E05-1624-4AD3-BAE8-E674D6105409}"/>
    <hyperlink ref="C4602" r:id="rId4597" display="https://pld.live/RapDetail.aspx?STONELIST=927052568&amp;ISCONFIRM=0" xr:uid="{1C695C95-C0CD-4C66-80D6-B14FE2E0911E}"/>
    <hyperlink ref="C4603" r:id="rId4598" display="https://pld.live/RapDetail.aspx?STONELIST=927152738&amp;ISCONFIRM=0" xr:uid="{2997EABF-3DC1-4585-BF31-B64648CE4906}"/>
    <hyperlink ref="C4604" r:id="rId4599" display="https://pld.live/RapDetail.aspx?STONELIST=927092366&amp;ISCONFIRM=0" xr:uid="{5AA751AD-3F57-41F2-9FD7-00B0C674DB4B}"/>
    <hyperlink ref="C4605" r:id="rId4600" display="https://pld.live/RapDetail.aspx?STONELIST=927132220&amp;ISCONFIRM=0" xr:uid="{9DD2965A-33B3-43E6-AA30-B379C1A3DB0A}"/>
    <hyperlink ref="C4606" r:id="rId4601" display="https://pld.live/RapDetail.aspx?STONELIST=927092336&amp;ISCONFIRM=0" xr:uid="{8FD73545-C1D4-4C1D-A682-1AAE24443AA7}"/>
    <hyperlink ref="C4607" r:id="rId4602" display="https://pld.live/RapDetail.aspx?STONELIST=927101427&amp;ISCONFIRM=0" xr:uid="{3D3D5EC3-26AD-44D0-9D64-D4AD57EC9D47}"/>
    <hyperlink ref="C4608" r:id="rId4603" display="https://pld.live/RapDetail.aspx?STONELIST=927152776&amp;ISCONFIRM=0" xr:uid="{C666CAD3-8A53-436A-A8FD-001472EA452B}"/>
    <hyperlink ref="C4609" r:id="rId4604" display="https://pld.live/RapDetail.aspx?STONELIST=927152820&amp;ISCONFIRM=0" xr:uid="{25CB4BB2-E2BC-4246-AC4F-C3592AA06DCD}"/>
    <hyperlink ref="C4610" r:id="rId4605" display="https://pld.live/RapDetail.aspx?STONELIST=927092492&amp;ISCONFIRM=0" xr:uid="{4F601AEF-283E-4522-ABA6-F6776D7ACABF}"/>
    <hyperlink ref="C4611" r:id="rId4606" display="https://pld.live/RapDetail.aspx?STONELIST=927092496&amp;ISCONFIRM=0" xr:uid="{C595DEF8-295B-4510-BAF5-6C8C04701BB1}"/>
    <hyperlink ref="C4612" r:id="rId4607" display="https://pld.live/RapDetail.aspx?STONELIST=927152844&amp;ISCONFIRM=0" xr:uid="{923981B2-179D-4DC8-80E9-5183D5C1613B}"/>
    <hyperlink ref="C4613" r:id="rId4608" display="https://pld.live/RapDetail.aspx?STONELIST=927130753&amp;ISCONFIRM=0" xr:uid="{61B5743F-0429-48E4-83A6-B70EDE09AB37}"/>
    <hyperlink ref="C4614" r:id="rId4609" display="https://pld.live/RapDetail.aspx?STONELIST=927101353&amp;ISCONFIRM=0" xr:uid="{998FB795-2348-42C5-A42E-824975763C3A}"/>
    <hyperlink ref="C4615" r:id="rId4610" display="https://pld.live/RapDetail.aspx?STONELIST=941040521&amp;ISCONFIRM=0" xr:uid="{52BD3133-3918-4301-905B-355C3FA81DC7}"/>
    <hyperlink ref="C4616" r:id="rId4611" display="https://pld.live/RapDetail.aspx?STONELIST=927101973&amp;ISCONFIRM=0" xr:uid="{BDE037B4-E091-40C0-984F-0B38E498315F}"/>
    <hyperlink ref="C4617" r:id="rId4612" display="https://pld.live/RapDetail.aspx?STONELIST=927052569&amp;ISCONFIRM=0" xr:uid="{3BF10FB7-875C-44EB-9F13-08C46806A056}"/>
    <hyperlink ref="C4618" r:id="rId4613" display="https://pld.live/RapDetail.aspx?STONELIST=927102269&amp;ISCONFIRM=0" xr:uid="{47100B7F-744F-4261-B535-DF0E62FAE63F}"/>
    <hyperlink ref="C4619" r:id="rId4614" display="https://pld.live/RapDetail.aspx?STONELIST=927092512&amp;ISCONFIRM=0" xr:uid="{F2D3673D-6BED-4BE2-8EF8-EE9275DD1EAB}"/>
    <hyperlink ref="C4620" r:id="rId4615" display="https://pld.live/RapDetail.aspx?STONELIST=831010854&amp;ISCONFIRM=0" xr:uid="{1126D65D-DF92-403E-A17D-84DC566FEBC6}"/>
    <hyperlink ref="C4621" r:id="rId4616" display="https://pld.live/RapDetail.aspx?STONELIST=925502724&amp;ISCONFIRM=0" xr:uid="{FF6471C2-5444-4F20-9ACD-02C11BA7F881}"/>
    <hyperlink ref="C4622" r:id="rId4617" display="https://pld.live/RapDetail.aspx?STONELIST=941021711&amp;ISCONFIRM=0" xr:uid="{74A66519-7FD5-4517-8606-15103DF59403}"/>
    <hyperlink ref="C4623" r:id="rId4618" display="https://pld.live/RapDetail.aspx?STONELIST=927092518&amp;ISCONFIRM=0" xr:uid="{6CD92C32-8E78-4650-ABAB-DEA674567FFC}"/>
    <hyperlink ref="C4624" r:id="rId4619" display="https://pld.live/RapDetail.aspx?STONELIST=927152859&amp;ISCONFIRM=0" xr:uid="{361818B1-F90F-4891-9926-E68C8E512F72}"/>
    <hyperlink ref="C4625" r:id="rId4620" display="https://pld.live/RapDetail.aspx?STONELIST=926960861&amp;ISCONFIRM=0" xr:uid="{FF480E09-C8FF-4D17-AF93-836AC71C23C8}"/>
    <hyperlink ref="C4626" r:id="rId4621" display="https://pld.live/RapDetail.aspx?STONELIST=927152826&amp;ISCONFIRM=0" xr:uid="{ECA0E7BF-102E-4400-A2AF-849F44004FD1}"/>
    <hyperlink ref="C4627" r:id="rId4622" display="https://pld.live/RapDetail.aspx?STONELIST=941040330&amp;ISCONFIRM=0" xr:uid="{A49904F3-09F5-4053-8611-4324737C9AB5}"/>
    <hyperlink ref="C4628" r:id="rId4623" display="https://pld.live/RapDetail.aspx?STONELIST=927101984&amp;ISCONFIRM=0" xr:uid="{A480E6C5-BD55-4D5D-99D4-9B6BE392EEC5}"/>
    <hyperlink ref="C4629" r:id="rId4624" display="https://pld.live/RapDetail.aspx?STONELIST=941060534&amp;ISCONFIRM=0" xr:uid="{35825872-DAA7-4CA8-9C36-31E5481A2530}"/>
    <hyperlink ref="C4630" r:id="rId4625" display="https://pld.live/RapDetail.aspx?STONELIST=941190783&amp;ISCONFIRM=0" xr:uid="{20F8B91C-E820-459E-9B57-62C5907FA6C2}"/>
    <hyperlink ref="C4631" r:id="rId4626" display="https://pld.live/RapDetail.aspx?STONELIST=927052632&amp;ISCONFIRM=0" xr:uid="{18C58654-D19B-4B93-B843-5794FCFC212A}"/>
    <hyperlink ref="C4632" r:id="rId4627" display="https://pld.live/RapDetail.aspx?STONELIST=941261111&amp;ISCONFIRM=0" xr:uid="{FA456A11-1596-4BA9-8274-F3E1C03F42F1}"/>
    <hyperlink ref="C4633" r:id="rId4628" display="https://pld.live/RapDetail.aspx?STONELIST=925502727&amp;ISCONFIRM=0" xr:uid="{A055D34A-75DA-4A00-8DCB-6F7644BDCA37}"/>
    <hyperlink ref="C4634" r:id="rId4629" display="https://pld.live/RapDetail.aspx?STONELIST=941190588&amp;ISCONFIRM=0" xr:uid="{4FF00B45-AED0-4D28-AD2A-984A02A63B83}"/>
    <hyperlink ref="C4635" r:id="rId4630" display="https://pld.live/RapDetail.aspx?STONELIST=927132344&amp;ISCONFIRM=0" xr:uid="{5221409A-D732-46B7-B88B-BB7A1B00F3B9}"/>
    <hyperlink ref="C4636" r:id="rId4631" display="https://pld.live/RapDetail.aspx?STONELIST=927150494&amp;ISCONFIRM=0" xr:uid="{C3693571-0C67-410B-A3A9-64C3E62CB983}"/>
    <hyperlink ref="C4637" r:id="rId4632" display="https://pld.live/RapDetail.aspx?STONELIST=927102316&amp;ISCONFIRM=0" xr:uid="{B67FDD30-F92E-429D-A7F9-543E2E10C275}"/>
    <hyperlink ref="C4638" r:id="rId4633" display="https://pld.live/RapDetail.aspx?STONELIST=927152877&amp;ISCONFIRM=0" xr:uid="{8F0CCC4B-28ED-4D1B-801D-833ACE43ABF1}"/>
    <hyperlink ref="C4639" r:id="rId4634" display="https://pld.live/RapDetail.aspx?STONELIST=941261073&amp;ISCONFIRM=0" xr:uid="{4C8B17B9-C3A4-4C3C-A119-7B60CFD41617}"/>
    <hyperlink ref="C4640" r:id="rId4635" display="https://pld.live/RapDetail.aspx?STONELIST=941050577&amp;ISCONFIRM=0" xr:uid="{D7A6F93E-6237-4BFD-A559-EEDEFA1F8543}"/>
    <hyperlink ref="C4641" r:id="rId4636" display="https://pld.live/RapDetail.aspx?STONELIST=927052635&amp;ISCONFIRM=0" xr:uid="{BB8A9777-03D3-455A-B7A3-A22531C7D2E1}"/>
    <hyperlink ref="C4642" r:id="rId4637" display="https://pld.live/RapDetail.aspx?STONELIST=926730502&amp;ISCONFIRM=0" xr:uid="{135880E3-0A23-4ED6-95BA-B8504035D9EF}"/>
    <hyperlink ref="C4643" r:id="rId4638" display="https://pld.live/RapDetail.aspx?STONELIST=927132312&amp;ISCONFIRM=0" xr:uid="{9894783F-0CAA-4D40-A000-0775437738CA}"/>
    <hyperlink ref="C4644" r:id="rId4639" display="https://pld.live/RapDetail.aspx?STONELIST=927132284&amp;ISCONFIRM=0" xr:uid="{8EDDA71A-D342-4AAF-B07F-2A28D6534766}"/>
    <hyperlink ref="C4645" r:id="rId4640" display="https://pld.live/RapDetail.aspx?STONELIST=924960428&amp;ISCONFIRM=0" xr:uid="{78F2A7CC-E703-4440-9ACF-EA9A36EF3704}"/>
    <hyperlink ref="C4646" r:id="rId4641" display="https://pld.live/RapDetail.aspx?STONELIST=941170329&amp;ISCONFIRM=0" xr:uid="{098DA2C2-424F-469C-97B5-25B939428A66}"/>
    <hyperlink ref="C4647" r:id="rId4642" display="https://pld.live/RapDetail.aspx?STONELIST=927052559&amp;ISCONFIRM=0" xr:uid="{D09891AF-8419-43EA-9295-42AA7529450C}"/>
    <hyperlink ref="C4648" r:id="rId4643" display="https://pld.live/RapDetail.aspx?STONELIST=925870593&amp;ISCONFIRM=0" xr:uid="{8BCBB6A3-231C-4F0F-A7C2-8251ADDD3B0E}"/>
    <hyperlink ref="C4649" r:id="rId4644" display="https://pld.live/RapDetail.aspx?STONELIST=926110103&amp;ISCONFIRM=0" xr:uid="{AFEBD83F-E8FA-4FE2-9B10-BD10812FD2DC}"/>
    <hyperlink ref="C4650" r:id="rId4645" display="https://pld.live/RapDetail.aspx?STONELIST=941270800&amp;ISCONFIRM=0" xr:uid="{3FC7E3B9-D0DE-44D5-91D0-2DB3DFDAB46B}"/>
    <hyperlink ref="C4651" r:id="rId4646" display="https://pld.live/RapDetail.aspx?STONELIST=941270774&amp;ISCONFIRM=0" xr:uid="{08D4389F-ED7C-4CD3-8327-7573D37706C8}"/>
    <hyperlink ref="C4652" r:id="rId4647" display="https://pld.live/RapDetail.aspx?STONELIST=927052524&amp;ISCONFIRM=0" xr:uid="{2DE0542E-D163-43A8-BD1B-F92D430A9653}"/>
    <hyperlink ref="C4653" r:id="rId4648" display="https://pld.live/RapDetail.aspx?STONELIST=927052576&amp;ISCONFIRM=0" xr:uid="{3BF10A2C-F49E-4FCB-808C-D31B7BA9521F}"/>
    <hyperlink ref="C4654" r:id="rId4649" display="https://pld.live/RapDetail.aspx?STONELIST=926630727&amp;ISCONFIRM=0" xr:uid="{38474C5F-6F5D-44EE-8298-0717C8853F64}"/>
    <hyperlink ref="C4655" r:id="rId4650" display="https://pld.live/RapDetail.aspx?STONELIST=926730514&amp;ISCONFIRM=0" xr:uid="{F66EE4C4-260F-4CF6-BF62-7792E304D15E}"/>
    <hyperlink ref="C4656" r:id="rId4651" display="https://pld.live/RapDetail.aspx?STONELIST=926730530&amp;ISCONFIRM=0" xr:uid="{F86B44B6-FCB2-4089-8779-5D2019715466}"/>
    <hyperlink ref="C4657" r:id="rId4652" display="https://pld.live/RapDetail.aspx?STONELIST=941190394&amp;ISCONFIRM=0" xr:uid="{00FC24D6-60EF-454B-8259-A588E7D5C7DB}"/>
    <hyperlink ref="C4658" r:id="rId4653" display="https://pld.live/RapDetail.aspx?STONELIST=927130714&amp;ISCONFIRM=0" xr:uid="{D18149BC-BEC7-40E6-B29B-A016E7E86BAC}"/>
    <hyperlink ref="C4659" r:id="rId4654" display="https://pld.live/RapDetail.aspx?STONELIST=941191850&amp;ISCONFIRM=0" xr:uid="{A5A55A2A-75D9-4B17-9050-83E00A1AE4A0}"/>
    <hyperlink ref="C4660" r:id="rId4655" display="https://pld.live/RapDetail.aspx?STONELIST=941351112&amp;ISCONFIRM=0" xr:uid="{97BED08B-147E-4FF1-A77A-26D8625D23AC}"/>
    <hyperlink ref="C4661" r:id="rId4656" display="https://pld.live/RapDetail.aspx?STONELIST=926730531&amp;ISCONFIRM=0" xr:uid="{5D4BC56F-5036-469E-B043-B909D900CA5E}"/>
    <hyperlink ref="C4662" r:id="rId4657" display="https://pld.live/RapDetail.aspx?STONELIST=941190461&amp;ISCONFIRM=0" xr:uid="{D47337BC-2849-4BC7-BE1D-54CDB94051AD}"/>
    <hyperlink ref="C4663" r:id="rId4658" display="https://pld.live/RapDetail.aspx?STONELIST=941280514&amp;ISCONFIRM=0" xr:uid="{8D867FEE-0191-4DC5-A6F0-9D40E9176934}"/>
    <hyperlink ref="C4664" r:id="rId4659" display="https://pld.live/RapDetail.aspx?STONELIST=941261106&amp;ISCONFIRM=0" xr:uid="{E20E13E4-C1EF-43E8-AF71-817E23406DF6}"/>
    <hyperlink ref="C4665" r:id="rId4660" display="https://pld.live/RapDetail.aspx?STONELIST=927152870&amp;ISCONFIRM=0" xr:uid="{CADA7E98-6C94-4FA8-9BDE-D49D681EF54E}"/>
    <hyperlink ref="C4666" r:id="rId4661" display="https://pld.live/RapDetail.aspx?STONELIST=927132415&amp;ISCONFIRM=0" xr:uid="{6A1067B6-31E2-4EF1-93A9-147398117224}"/>
    <hyperlink ref="C4667" r:id="rId4662" display="https://pld.live/RapDetail.aspx?STONELIST=927152760&amp;ISCONFIRM=0" xr:uid="{F0FBB70B-2E0B-4D4B-8DE3-909C9B70630D}"/>
    <hyperlink ref="C4668" r:id="rId4663" display="https://pld.live/RapDetail.aspx?STONELIST=924341592&amp;ISCONFIRM=0" xr:uid="{683CA075-7CBC-4BC2-A8CA-F4B72373DD7F}"/>
    <hyperlink ref="C4669" r:id="rId4664" display="https://pld.live/RapDetail.aspx?STONELIST=924341601&amp;ISCONFIRM=0" xr:uid="{38314041-6CAE-4F09-9D69-73B3BB7F35EF}"/>
    <hyperlink ref="C4670" r:id="rId4665" display="https://pld.live/RapDetail.aspx?STONELIST=831010367&amp;ISCONFIRM=0" xr:uid="{A037DAAE-DC53-4E1D-B9FA-FBD0AD77D4D2}"/>
    <hyperlink ref="C4671" r:id="rId4666" display="https://pld.live/RapDetail.aspx?STONELIST=926780083&amp;ISCONFIRM=0" xr:uid="{518C792B-3923-4762-B6AE-74A3F854D8C9}"/>
    <hyperlink ref="C4672" r:id="rId4667" display="https://pld.live/RapDetail.aspx?STONELIST=926780101&amp;ISCONFIRM=0" xr:uid="{304CFE0C-6D38-4441-B88C-9EB1638C372B}"/>
    <hyperlink ref="C4673" r:id="rId4668" display="https://pld.live/RapDetail.aspx?STONELIST=926780097&amp;ISCONFIRM=0" xr:uid="{45B82F3A-A7C5-4C33-BC37-32DECA56B631}"/>
    <hyperlink ref="C4674" r:id="rId4669" display="https://pld.live/RapDetail.aspx?STONELIST=927120045&amp;ISCONFIRM=0" xr:uid="{2016CB57-D67E-4A66-948F-E2D784E44025}"/>
    <hyperlink ref="C4675" r:id="rId4670" display="https://pld.live/RapDetail.aspx?STONELIST=926560417&amp;ISCONFIRM=0" xr:uid="{DD025451-9254-446F-ABF7-9B5EDDFFBE78}"/>
    <hyperlink ref="C4676" r:id="rId4671" display="https://pld.live/RapDetail.aspx?STONELIST=926560416&amp;ISCONFIRM=0" xr:uid="{393BD4E1-B268-44EB-8E6C-90C70AB88C8E}"/>
    <hyperlink ref="C4677" r:id="rId4672" display="https://pld.live/RapDetail.aspx?STONELIST=926560384&amp;ISCONFIRM=0" xr:uid="{0355E01A-CE4A-4C8C-AADC-F38E7B5C2F70}"/>
    <hyperlink ref="C4678" r:id="rId4673" display="https://pld.live/RapDetail.aspx?STONELIST=926560422&amp;ISCONFIRM=0" xr:uid="{3675F874-B50A-434B-9616-368523425EDA}"/>
    <hyperlink ref="C4679" r:id="rId4674" display="https://pld.live/RapDetail.aspx?STONELIST=926560415&amp;ISCONFIRM=0" xr:uid="{86AE8BC5-0F41-4D7A-8445-0750B5A8F552}"/>
    <hyperlink ref="C4680" r:id="rId4675" display="https://pld.live/RapDetail.aspx?STONELIST=926470462&amp;ISCONFIRM=0" xr:uid="{C7092ABF-4944-48AC-BB3D-0D9449F0020F}"/>
    <hyperlink ref="C4681" r:id="rId4676" display="https://pld.live/RapDetail.aspx?STONELIST=831020186&amp;ISCONFIRM=0" xr:uid="{2EF9E3FE-2C88-4276-966A-3F28F4BE24FF}"/>
    <hyperlink ref="C4682" r:id="rId4677" display="https://pld.live/RapDetail.aspx?STONELIST=831020187&amp;ISCONFIRM=0" xr:uid="{C593C352-2857-43B2-B3CC-29C4BF98881E}"/>
    <hyperlink ref="C4683" r:id="rId4678" display="https://pld.live/RapDetail.aspx?STONELIST=924500072&amp;ISCONFIRM=0" xr:uid="{83F715CA-DE3B-41A4-A122-1A1E94E03821}"/>
    <hyperlink ref="C4684" r:id="rId4679" display="https://pld.live/RapDetail.aspx?STONELIST=919300004&amp;ISCONFIRM=0" xr:uid="{BB18EA21-8A4F-4031-B6B2-F25D1ECC67BA}"/>
    <hyperlink ref="C4685" r:id="rId4680" display="https://pld.live/RapDetail.aspx?STONELIST=926600053&amp;ISCONFIRM=0" xr:uid="{173660FC-D668-4A43-A956-B648C8FA5368}"/>
    <hyperlink ref="C4686" r:id="rId4681" display="https://pld.live/RapDetail.aspx?STONELIST=925930173&amp;ISCONFIRM=0" xr:uid="{13631BB3-71AE-4488-A531-3940F82FCC16}"/>
    <hyperlink ref="C4687" r:id="rId4682" display="https://pld.live/RapDetail.aspx?STONELIST=925930275&amp;ISCONFIRM=0" xr:uid="{42BD9C00-859F-4742-AF9D-E77434272B52}"/>
    <hyperlink ref="C4688" r:id="rId4683" display="https://pld.live/RapDetail.aspx?STONELIST=925930236&amp;ISCONFIRM=0" xr:uid="{F01BEAC5-03D7-4761-8967-9582E6B58D91}"/>
    <hyperlink ref="C4689" r:id="rId4684" display="https://pld.live/RapDetail.aspx?STONELIST=941180098&amp;ISCONFIRM=0" xr:uid="{FC7A42E1-8597-4246-AA47-0031BF5B4D01}"/>
    <hyperlink ref="C4690" r:id="rId4685" display="https://pld.live/RapDetail.aspx?STONELIST=925930251&amp;ISCONFIRM=0" xr:uid="{DE080E75-DC96-4991-800A-AC4930381EE1}"/>
    <hyperlink ref="C4691" r:id="rId4686" display="https://pld.live/RapDetail.aspx?STONELIST=941220355&amp;ISCONFIRM=0" xr:uid="{499CF99A-1664-43DE-AE66-636D2A421C79}"/>
    <hyperlink ref="C4692" r:id="rId4687" display="https://pld.live/RapDetail.aspx?STONELIST=941180014&amp;ISCONFIRM=0" xr:uid="{938D8709-7447-4AC9-92AF-CEB96C8FBE28}"/>
    <hyperlink ref="C4693" r:id="rId4688" display="https://pld.live/RapDetail.aspx?STONELIST=941180067&amp;ISCONFIRM=0" xr:uid="{94C1BB8A-C190-49D4-BAC6-F956D11A9C3E}"/>
    <hyperlink ref="C4694" r:id="rId4689" display="https://pld.live/RapDetail.aspx?STONELIST=925930165&amp;ISCONFIRM=0" xr:uid="{9BACAA82-C6F4-4022-99DD-DF48AEC420BC}"/>
    <hyperlink ref="C4695" r:id="rId4690" display="https://pld.live/RapDetail.aspx?STONELIST=927120044&amp;ISCONFIRM=0" xr:uid="{7E0ECE2D-59D9-4A5C-8981-0BFFE9B3840F}"/>
    <hyperlink ref="C4696" r:id="rId4691" display="https://pld.live/RapDetail.aspx?STONELIST=926470396&amp;ISCONFIRM=0" xr:uid="{3EEB77A0-9344-472C-BF4D-EC5EB00C4D7F}"/>
    <hyperlink ref="C4697" r:id="rId4692" display="https://pld.live/RapDetail.aspx?STONELIST=926470465&amp;ISCONFIRM=0" xr:uid="{3179CE27-F6CE-4565-9683-E871F40DB931}"/>
    <hyperlink ref="C4698" r:id="rId4693" display="https://pld.live/RapDetail.aspx?STONELIST=924590304&amp;ISCONFIRM=0" xr:uid="{07F2EF07-4E52-4C7A-944C-5BA34406A201}"/>
    <hyperlink ref="C4699" r:id="rId4694" display="https://pld.live/RapDetail.aspx?STONELIST=925710141&amp;ISCONFIRM=0" xr:uid="{62D4B706-8A30-45DB-9D9B-73171AF19925}"/>
    <hyperlink ref="C4700" r:id="rId4695" display="https://pld.live/RapDetail.aspx?STONELIST=941220293&amp;ISCONFIRM=0" xr:uid="{DE2AF097-9339-4F53-B8B3-A0316249340C}"/>
    <hyperlink ref="C4701" r:id="rId4696" display="https://pld.live/RapDetail.aspx?STONELIST=941230267&amp;ISCONFIRM=0" xr:uid="{804C6957-E9E4-4F72-BE13-F84F08CE5CFE}"/>
    <hyperlink ref="C4702" r:id="rId4697" display="https://pld.live/RapDetail.aspx?STONELIST=924450161&amp;ISCONFIRM=0" xr:uid="{D545A051-9D29-4CC0-B24E-0CD7835E3484}"/>
    <hyperlink ref="C4703" r:id="rId4698" display="https://pld.live/RapDetail.aspx?STONELIST=927120053&amp;ISCONFIRM=0" xr:uid="{4AD9368C-B806-43D2-B511-8AC8844DC3AF}"/>
    <hyperlink ref="C4704" r:id="rId4699" display="https://pld.live/RapDetail.aspx?STONELIST=941180064&amp;ISCONFIRM=0" xr:uid="{468E375B-92C5-468B-BF41-DF7118F6D85A}"/>
    <hyperlink ref="C4705" r:id="rId4700" display="https://pld.live/RapDetail.aspx?STONELIST=831020650&amp;ISCONFIRM=0" xr:uid="{108E3014-4100-4CFD-9DAB-E3B0F05DBDF5}"/>
    <hyperlink ref="C4706" r:id="rId4701" display="https://pld.live/RapDetail.aspx?STONELIST=926450621&amp;ISCONFIRM=0" xr:uid="{15A65144-BE5D-4FFC-BC29-A365208C36C7}"/>
    <hyperlink ref="C4707" r:id="rId4702" display="https://pld.live/RapDetail.aspx?STONELIST=924950451&amp;ISCONFIRM=0" xr:uid="{7A2D97E8-E855-4419-BF28-AF8708FB4F03}"/>
    <hyperlink ref="C4708" r:id="rId4703" display="https://pld.live/RapDetail.aspx?STONELIST=941220727&amp;ISCONFIRM=0" xr:uid="{430A2CD5-E5CF-4681-8B38-F479A93016DA}"/>
    <hyperlink ref="C4709" r:id="rId4704" display="https://pld.live/RapDetail.aspx?STONELIST=925610471&amp;ISCONFIRM=0" xr:uid="{880F73E4-C265-4A61-93DC-569052D974D0}"/>
    <hyperlink ref="C4710" r:id="rId4705" display="https://pld.live/RapDetail.aspx?STONELIST=925610482&amp;ISCONFIRM=0" xr:uid="{7F12EDA9-D1F1-4A26-B6CE-9CFA6CF5CC1F}"/>
    <hyperlink ref="C4711" r:id="rId4706" display="https://pld.live/RapDetail.aspx?STONELIST=925600393&amp;ISCONFIRM=0" xr:uid="{B8E25516-FE4F-4EB3-BD95-23913CB8CEEA}"/>
    <hyperlink ref="C4712" r:id="rId4707" display="https://pld.live/RapDetail.aspx?STONELIST=925820261&amp;ISCONFIRM=0" xr:uid="{C5E6D4AC-682B-4B79-BA33-9EDEB223BD5F}"/>
    <hyperlink ref="C4713" r:id="rId4708" display="https://pld.live/RapDetail.aspx?STONELIST=926540071&amp;ISCONFIRM=0" xr:uid="{0E0C19AD-4A97-49CA-B904-DD970B8D0126}"/>
    <hyperlink ref="C4714" r:id="rId4709" display="https://pld.live/RapDetail.aspx?STONELIST=925820206&amp;ISCONFIRM=0" xr:uid="{BAB7D6B9-63EF-40D4-8A3C-610F11B45D03}"/>
    <hyperlink ref="C4715" r:id="rId4710" display="https://pld.live/RapDetail.aspx?STONELIST=925600336&amp;ISCONFIRM=0" xr:uid="{A5B6DB37-B1B8-46DC-B65B-C19FDAB67DA8}"/>
    <hyperlink ref="C4716" r:id="rId4711" display="https://pld.live/RapDetail.aspx?STONELIST=924450168&amp;ISCONFIRM=0" xr:uid="{509E0B5B-8EF2-4DBB-8890-D48861B72546}"/>
    <hyperlink ref="C4717" r:id="rId4712" display="https://pld.live/RapDetail.aspx?STONELIST=923330003&amp;ISCONFIRM=0" xr:uid="{31C8A25C-D8A3-41CC-8657-5BBA33A20CA1}"/>
    <hyperlink ref="C4718" r:id="rId4713" display="https://pld.live/RapDetail.aspx?STONELIST=924450172&amp;ISCONFIRM=0" xr:uid="{430CD474-6471-4A46-AD78-938A3E9F176A}"/>
    <hyperlink ref="C4719" r:id="rId4714" display="https://pld.live/RapDetail.aspx?STONELIST=923330002&amp;ISCONFIRM=0" xr:uid="{563540B0-A466-478A-BBE2-A30C5C9AEEBD}"/>
    <hyperlink ref="C4720" r:id="rId4715" display="https://pld.live/RapDetail.aspx?STONELIST=831020630&amp;ISCONFIRM=0" xr:uid="{5F50EB78-4836-4881-BE92-19E090B8F007}"/>
    <hyperlink ref="C4721" r:id="rId4716" display="https://pld.live/RapDetail.aspx?STONELIST=831020716&amp;ISCONFIRM=0" xr:uid="{DE6C5FBF-5E50-472F-882D-4A2B7F008FD9}"/>
    <hyperlink ref="C4722" r:id="rId4717" display="https://pld.live/RapDetail.aspx?STONELIST=831020596&amp;ISCONFIRM=0" xr:uid="{DCC69C13-53E2-4E83-921F-C8406643BBC9}"/>
    <hyperlink ref="C4723" r:id="rId4718" display="https://pld.live/RapDetail.aspx?STONELIST=924450169&amp;ISCONFIRM=0" xr:uid="{B847DE36-AD9F-466F-A368-697B6FE688D9}"/>
    <hyperlink ref="C4724" r:id="rId4719" display="https://pld.live/RapDetail.aspx?STONELIST=926540038&amp;ISCONFIRM=0" xr:uid="{09C8EBB1-4957-410C-83A9-FF7BC2038496}"/>
    <hyperlink ref="C4725" r:id="rId4720" display="https://pld.live/RapDetail.aspx?STONELIST=831020203&amp;ISCONFIRM=0" xr:uid="{FD0E28B9-E89B-452D-9619-DBD29DA9BCD8}"/>
    <hyperlink ref="C4726" r:id="rId4721" display="https://pld.live/RapDetail.aspx?STONELIST=925820174&amp;ISCONFIRM=0" xr:uid="{A3326F89-C627-463C-8BD1-19B62FD6A0B7}"/>
    <hyperlink ref="C4727" r:id="rId4722" display="https://pld.live/RapDetail.aspx?STONELIST=924090152&amp;ISCONFIRM=0" xr:uid="{F4B8C0B5-E5D2-4D1E-B4CD-636EAB7C5E15}"/>
    <hyperlink ref="C4728" r:id="rId4723" display="https://pld.live/RapDetail.aspx?STONELIST=925820235&amp;ISCONFIRM=0" xr:uid="{2F4C2C8F-962A-4016-B9C0-5A58ED687873}"/>
    <hyperlink ref="C4729" r:id="rId4724" display="https://pld.live/RapDetail.aspx?STONELIST=925820123&amp;ISCONFIRM=0" xr:uid="{3F8E7202-52C4-4D72-8BE8-D41938550807}"/>
    <hyperlink ref="C4730" r:id="rId4725" display="https://pld.live/RapDetail.aspx?STONELIST=924450170&amp;ISCONFIRM=0" xr:uid="{BF915AFD-C530-4CAB-BCE9-10B2FF11DE7C}"/>
    <hyperlink ref="C4731" r:id="rId4726" display="https://pld.live/RapDetail.aspx?STONELIST=924430146&amp;ISCONFIRM=0" xr:uid="{7BF7B25D-9C33-4E55-8BA3-52A3072A0F48}"/>
    <hyperlink ref="C4732" r:id="rId4727" display="https://pld.live/RapDetail.aspx?STONELIST=924430156&amp;ISCONFIRM=0" xr:uid="{D3ED1511-9570-47CF-886E-26B942E5F084}"/>
    <hyperlink ref="C4733" r:id="rId4728" display="https://pld.live/RapDetail.aspx?STONELIST=925510214&amp;ISCONFIRM=0" xr:uid="{CC7CD2E9-4FDA-41C2-9D86-E491E046CB66}"/>
    <hyperlink ref="C4734" r:id="rId4729" display="https://pld.live/RapDetail.aspx?STONELIST=925600083&amp;ISCONFIRM=0" xr:uid="{42D94013-3EDB-4225-B48A-8A3083C9505A}"/>
    <hyperlink ref="C4735" r:id="rId4730" display="https://pld.live/RapDetail.aspx?STONELIST=923330023&amp;ISCONFIRM=0" xr:uid="{204A3AF4-32DB-4848-A4D3-D28AA2518BC3}"/>
    <hyperlink ref="C4736" r:id="rId4731" display="https://pld.live/RapDetail.aspx?STONELIST=925600054&amp;ISCONFIRM=0" xr:uid="{796AC171-159F-4061-B44D-E4AD39B94F6D}"/>
    <hyperlink ref="C4737" r:id="rId4732" display="https://pld.live/RapDetail.aspx?STONELIST=924590283&amp;ISCONFIRM=0" xr:uid="{3868522C-3F4F-4979-A37C-88D21FDF2C17}"/>
    <hyperlink ref="C4738" r:id="rId4733" display="https://pld.live/RapDetail.aspx?STONELIST=925510182&amp;ISCONFIRM=0" xr:uid="{0C3BF405-552C-46B4-A5FA-B26C17A351AD}"/>
    <hyperlink ref="C4739" r:id="rId4734" display="https://pld.live/RapDetail.aspx?STONELIST=941060129&amp;ISCONFIRM=0" xr:uid="{A0E2F7C0-4011-4D21-9CDA-F449E7A7021A}"/>
    <hyperlink ref="C4740" r:id="rId4735" display="https://pld.live/RapDetail.aspx?STONELIST=925820068&amp;ISCONFIRM=0" xr:uid="{7EF7108B-8549-426C-9181-535D20127CA9}"/>
    <hyperlink ref="C4741" r:id="rId4736" display="https://pld.live/RapDetail.aspx?STONELIST=925820066&amp;ISCONFIRM=0" xr:uid="{A8F44C3F-944E-4792-A4CC-B7E8FE344143}"/>
    <hyperlink ref="C4742" r:id="rId4737" display="https://pld.live/RapDetail.aspx?STONELIST=926930813&amp;ISCONFIRM=0" xr:uid="{6CE79458-7005-4296-ADD8-714CC23AD055}"/>
    <hyperlink ref="C4743" r:id="rId4738" display="https://pld.live/RapDetail.aspx?STONELIST=926910551&amp;ISCONFIRM=0" xr:uid="{49B0D22E-F60E-43C3-AB24-4F5D3D3D3898}"/>
    <hyperlink ref="C4744" r:id="rId4739" display="https://pld.live/RapDetail.aspx?STONELIST=925510188&amp;ISCONFIRM=0" xr:uid="{66D7CD27-2614-44D2-8F01-4182D2BDBD63}"/>
    <hyperlink ref="C4745" r:id="rId4740" display="https://pld.live/RapDetail.aspx?STONELIST=924430176&amp;ISCONFIRM=0" xr:uid="{454648D2-B168-4C5D-B627-CB359564999A}"/>
    <hyperlink ref="C4746" r:id="rId4741" display="https://pld.live/RapDetail.aspx?STONELIST=924430152&amp;ISCONFIRM=0" xr:uid="{4BCA64B0-127F-4B67-9FB8-D817698FCFBD}"/>
    <hyperlink ref="C4747" r:id="rId4742" display="https://pld.live/RapDetail.aspx?STONELIST=831020707&amp;ISCONFIRM=0" xr:uid="{B217AC6A-4C36-42D8-8623-F7F295211926}"/>
    <hyperlink ref="C4748" r:id="rId4743" display="https://pld.live/RapDetail.aspx?STONELIST=831020098&amp;ISCONFIRM=0" xr:uid="{BB6B26D4-B212-4248-B025-1B11B680D83A}"/>
    <hyperlink ref="C4749" r:id="rId4744" display="https://pld.live/RapDetail.aspx?STONELIST=926930074&amp;ISCONFIRM=0" xr:uid="{E84AF94A-641C-417B-A34E-72F9EE7283FC}"/>
    <hyperlink ref="C4750" r:id="rId4745" display="https://pld.live/RapDetail.aspx?STONELIST=924210078&amp;ISCONFIRM=0" xr:uid="{845FABE2-2ADE-420C-BEE2-F710A36747B2}"/>
    <hyperlink ref="C4751" r:id="rId4746" display="https://pld.live/RapDetail.aspx?STONELIST=924380506&amp;ISCONFIRM=0" xr:uid="{F631BEF9-8E3B-4BA2-BAC7-3737E1339EC3}"/>
    <hyperlink ref="C4752" r:id="rId4747" display="https://pld.live/RapDetail.aspx?STONELIST=924380492&amp;ISCONFIRM=0" xr:uid="{FDEB41B5-B10C-424F-B63C-0BFDDFA54EB4}"/>
    <hyperlink ref="C4753" r:id="rId4748" display="https://pld.live/RapDetail.aspx?STONELIST=924430130&amp;ISCONFIRM=0" xr:uid="{1774A239-CAB6-4209-BF21-D6B4699BD141}"/>
    <hyperlink ref="C4754" r:id="rId4749" display="https://pld.live/RapDetail.aspx?STONELIST=925690174&amp;ISCONFIRM=0" xr:uid="{AEB1DF15-5346-4444-8B0B-4253C977DDA6}"/>
    <hyperlink ref="C4755" r:id="rId4750" display="https://pld.live/RapDetail.aspx?STONELIST=924430123&amp;ISCONFIRM=0" xr:uid="{EB8CD022-092A-43DC-8160-FDCE54545EC6}"/>
    <hyperlink ref="C4756" r:id="rId4751" display="https://pld.live/RapDetail.aspx?STONELIST=831020284&amp;ISCONFIRM=0" xr:uid="{5C8E2407-2A5A-4FB0-9CDF-8F8D27562E75}"/>
    <hyperlink ref="C4757" r:id="rId4752" display="https://pld.live/RapDetail.aspx?STONELIST=924930192&amp;ISCONFIRM=0" xr:uid="{304C1A4F-72D2-47AD-B4AC-7530828BA4D1}"/>
    <hyperlink ref="C4758" r:id="rId4753" display="https://pld.live/RapDetail.aspx?STONELIST=925060303&amp;ISCONFIRM=0" xr:uid="{64C0D040-8B9C-4B4D-9766-989D4337D4CD}"/>
    <hyperlink ref="C4759" r:id="rId4754" display="https://pld.live/RapDetail.aspx?STONELIST=925510158&amp;ISCONFIRM=0" xr:uid="{80B4EB57-CA41-47FF-9C4A-1F5DCAFC0695}"/>
    <hyperlink ref="C4760" r:id="rId4755" display="https://pld.live/RapDetail.aspx?STONELIST=927000573&amp;ISCONFIRM=0" xr:uid="{0122972A-0227-439C-888C-44B3B0EBDEB2}"/>
    <hyperlink ref="C4761" r:id="rId4756" display="https://pld.live/RapDetail.aspx?STONELIST=926890558&amp;ISCONFIRM=0" xr:uid="{17251B5B-E9F2-4514-B86B-B0B382988806}"/>
    <hyperlink ref="C4762" r:id="rId4757" display="https://pld.live/RapDetail.aspx?STONELIST=926420173&amp;ISCONFIRM=0" xr:uid="{B325B251-6119-47E4-9B76-84EE04B280F1}"/>
    <hyperlink ref="C4763" r:id="rId4758" display="https://pld.live/RapDetail.aspx?STONELIST=924930202&amp;ISCONFIRM=0" xr:uid="{60519F3D-3CF5-4E6A-AD7C-AB7EB1B91DC4}"/>
    <hyperlink ref="C4764" r:id="rId4759" display="https://pld.live/RapDetail.aspx?STONELIST=924430101&amp;ISCONFIRM=0" xr:uid="{A2B0F2E8-9472-4CCC-94F2-EA6FFFCC186A}"/>
    <hyperlink ref="C4765" r:id="rId4760" display="https://pld.live/RapDetail.aspx?STONELIST=941310021&amp;ISCONFIRM=0" xr:uid="{F81F926F-3866-4C3E-8697-F8DEFB3CB906}"/>
    <hyperlink ref="C4766" r:id="rId4761" display="https://pld.live/RapDetail.aspx?STONELIST=926010083&amp;ISCONFIRM=0" xr:uid="{B6908F50-0AFE-4FA8-84E0-E60DB85CDB06}"/>
    <hyperlink ref="C4767" r:id="rId4762" display="https://pld.live/RapDetail.aspx?STONELIST=924930055&amp;ISCONFIRM=0" xr:uid="{06C52770-4EA0-472B-AFD0-217A78C284F5}"/>
    <hyperlink ref="C4768" r:id="rId4763" display="https://pld.live/RapDetail.aspx?STONELIST=922130044&amp;ISCONFIRM=0" xr:uid="{F1BD30CD-C9D3-4EBB-B1EC-D1BA5A15CBF3}"/>
    <hyperlink ref="C4769" r:id="rId4764" display="https://pld.live/RapDetail.aspx?STONELIST=926010107&amp;ISCONFIRM=0" xr:uid="{88841A44-19C7-4E16-9031-C50E9ED765E8}"/>
    <hyperlink ref="C4770" r:id="rId4765" display="https://pld.live/RapDetail.aspx?STONELIST=831020721&amp;ISCONFIRM=0" xr:uid="{16CA3EA9-BEA1-4FD5-A723-EC06E6A55D1B}"/>
    <hyperlink ref="C4771" r:id="rId4766" display="https://pld.live/RapDetail.aspx?STONELIST=925060256&amp;ISCONFIRM=0" xr:uid="{71AACFD9-3D50-4B0B-8B69-D22A414D75EC}"/>
    <hyperlink ref="C4772" r:id="rId4767" display="https://pld.live/RapDetail.aspx?STONELIST=924250390&amp;ISCONFIRM=0" xr:uid="{3960D1B6-7269-436E-A797-4D4BDDD1FB7B}"/>
    <hyperlink ref="C4773" r:id="rId4768" display="https://pld.live/RapDetail.aspx?STONELIST=831020100&amp;ISCONFIRM=0" xr:uid="{F75A60FA-BABF-4190-B7B1-0BF2C69A62FC}"/>
    <hyperlink ref="C4774" r:id="rId4769" display="https://pld.live/RapDetail.aspx?STONELIST=925630395&amp;ISCONFIRM=0" xr:uid="{FEA6CC27-7AD9-4B65-ADB1-C51DB2CB00BC}"/>
    <hyperlink ref="C4775" r:id="rId4770" display="https://pld.live/RapDetail.aspx?STONELIST=924260883&amp;ISCONFIRM=0" xr:uid="{21DBA3E0-CE28-4CAA-918C-6FF01A52FBDF}"/>
    <hyperlink ref="C4776" r:id="rId4771" display="https://pld.live/RapDetail.aspx?STONELIST=925880071&amp;ISCONFIRM=0" xr:uid="{8424B52D-66AB-4CC7-9B94-4CE32A59A1B5}"/>
    <hyperlink ref="C4777" r:id="rId4772" display="https://pld.live/RapDetail.aspx?STONELIST=821115764&amp;ISCONFIRM=0" xr:uid="{A726D411-A53E-490A-A0BB-06D5F122FA9C}"/>
    <hyperlink ref="C4778" r:id="rId4773" display="https://pld.live/RapDetail.aspx?STONELIST=922180018&amp;ISCONFIRM=0" xr:uid="{F512B988-447A-4C24-8B54-F8429627530A}"/>
    <hyperlink ref="C4779" r:id="rId4774" display="https://pld.live/RapDetail.aspx?STONELIST=941120108&amp;ISCONFIRM=0" xr:uid="{BE4974B0-1BFC-4195-94B9-93FB7ED37828}"/>
    <hyperlink ref="C4780" r:id="rId4775" display="https://pld.live/RapDetail.aspx?STONELIST=926450297&amp;ISCONFIRM=0" xr:uid="{459DEAB9-AF0E-4077-AF28-2132CC1F83C6}"/>
    <hyperlink ref="C4781" r:id="rId4776" display="https://pld.live/RapDetail.aspx?STONELIST=925700060&amp;ISCONFIRM=0" xr:uid="{E81A3588-9AC1-423C-8EB9-2FDEDC1DB804}"/>
    <hyperlink ref="C4782" r:id="rId4777" display="https://pld.live/RapDetail.aspx?STONELIST=926910592&amp;ISCONFIRM=0" xr:uid="{B3535C8F-5593-44D5-9097-86459210963A}"/>
    <hyperlink ref="C4783" r:id="rId4778" display="https://pld.live/RapDetail.aspx?STONELIST=924250635&amp;ISCONFIRM=0" xr:uid="{E4ACA550-5B50-4A0E-9243-37D4AED724F7}"/>
    <hyperlink ref="C4784" r:id="rId4779" display="https://pld.live/RapDetail.aspx?STONELIST=821115765&amp;ISCONFIRM=0" xr:uid="{EC7619CB-26F3-44D4-BB3A-DBA52C7E99E7}"/>
    <hyperlink ref="C4785" r:id="rId4780" display="https://pld.live/RapDetail.aspx?STONELIST=925700202&amp;ISCONFIRM=0" xr:uid="{A8E1286D-9020-4D7C-81C7-EE89A6ADD43F}"/>
    <hyperlink ref="C4786" r:id="rId4781" display="https://pld.live/RapDetail.aspx?STONELIST=925700057&amp;ISCONFIRM=0" xr:uid="{7147F42E-878E-4985-ACD3-BDA0089A5113}"/>
    <hyperlink ref="C4787" r:id="rId4782" display="https://pld.live/RapDetail.aspx?STONELIST=926010284&amp;ISCONFIRM=0" xr:uid="{F3719E11-CBBD-4D76-AC7E-04FE201BC73B}"/>
    <hyperlink ref="C4788" r:id="rId4783" display="https://pld.live/RapDetail.aspx?STONELIST=821115766&amp;ISCONFIRM=0" xr:uid="{1E1A90A6-62E1-4B60-8960-BC85E29DA326}"/>
    <hyperlink ref="C4789" r:id="rId4784" display="https://pld.live/RapDetail.aspx?STONELIST=924930086&amp;ISCONFIRM=0" xr:uid="{4E4761F5-09F7-4518-ADF3-544E8D9975E7}"/>
    <hyperlink ref="C4790" r:id="rId4785" display="https://pld.live/RapDetail.aspx?STONELIST=926450098&amp;ISCONFIRM=0" xr:uid="{C3AD669E-6A4B-498A-BD88-0B7DB739EE5C}"/>
    <hyperlink ref="C4791" r:id="rId4786" display="https://pld.live/RapDetail.aspx?STONELIST=925060273&amp;ISCONFIRM=0" xr:uid="{2100038D-FE5A-4965-A1B0-70AC71E46FF9}"/>
    <hyperlink ref="C4792" r:id="rId4787" display="https://pld.live/RapDetail.aspx?STONELIST=926980683&amp;ISCONFIRM=0" xr:uid="{50038853-9CFF-4180-8147-6BED6A967640}"/>
    <hyperlink ref="C4793" r:id="rId4788" display="https://pld.live/RapDetail.aspx?STONELIST=926910577&amp;ISCONFIRM=0" xr:uid="{5A8A0B64-23E7-43AB-A757-95F2A6C08ECC}"/>
    <hyperlink ref="C4794" r:id="rId4789" display="https://pld.live/RapDetail.aspx?STONELIST=821115767&amp;ISCONFIRM=0" xr:uid="{5FC5E960-C483-44CD-9353-823AAC93E213}"/>
    <hyperlink ref="C4795" r:id="rId4790" display="https://pld.live/RapDetail.aspx?STONELIST=926910118&amp;ISCONFIRM=0" xr:uid="{466C6813-E953-4730-A76A-DC12C3977FC0}"/>
    <hyperlink ref="C4796" r:id="rId4791" display="https://pld.live/RapDetail.aspx?STONELIST=923510637&amp;ISCONFIRM=0" xr:uid="{5218F3BB-E2D1-49D9-B263-C0520D058A27}"/>
    <hyperlink ref="C4797" r:id="rId4792" display="https://pld.live/RapDetail.aspx?STONELIST=927070663&amp;ISCONFIRM=0" xr:uid="{74848858-060A-4E9A-8DAC-916DD410412E}"/>
    <hyperlink ref="C4798" r:id="rId4793" display="https://pld.live/RapDetail.aspx?STONELIST=925700314&amp;ISCONFIRM=0" xr:uid="{D8DC1991-A612-49E9-AADC-907AE6B4B808}"/>
    <hyperlink ref="C4799" r:id="rId4794" display="https://pld.live/RapDetail.aspx?STONELIST=924950061&amp;ISCONFIRM=0" xr:uid="{7BF54760-54F3-4A76-A14C-D4D312C896DE}"/>
    <hyperlink ref="C4800" r:id="rId4795" display="https://pld.live/RapDetail.aspx?STONELIST=821115768&amp;ISCONFIRM=0" xr:uid="{F79071A4-2A76-4A6D-B8F8-410707B88DEA}"/>
    <hyperlink ref="C4801" r:id="rId4796" display="https://pld.live/RapDetail.aspx?STONELIST=927000540&amp;ISCONFIRM=0" xr:uid="{CB2F0F32-0E51-4806-9A62-75FD84E9078D}"/>
    <hyperlink ref="C4802" r:id="rId4797" display="https://pld.live/RapDetail.aspx?STONELIST=926980676&amp;ISCONFIRM=0" xr:uid="{86E09FD1-93C8-4EA2-A858-ACA258D52548}"/>
    <hyperlink ref="C4803" r:id="rId4798" display="https://pld.live/RapDetail.aspx?STONELIST=926380147&amp;ISCONFIRM=0" xr:uid="{F7389F51-5333-4FA6-BEBF-77A8C38B8A65}"/>
    <hyperlink ref="C4804" r:id="rId4799" display="https://pld.live/RapDetail.aspx?STONELIST=926010030&amp;ISCONFIRM=0" xr:uid="{2B69EC15-766E-4D7D-9E28-90F4E360D6DC}"/>
    <hyperlink ref="C4805" r:id="rId4800" display="https://pld.live/RapDetail.aspx?STONELIST=831020400&amp;ISCONFIRM=0" xr:uid="{29250086-4AEF-41D9-81AE-E559CA749208}"/>
    <hyperlink ref="C4806" r:id="rId4801" display="https://pld.live/RapDetail.aspx?STONELIST=926380170&amp;ISCONFIRM=0" xr:uid="{1476B9EE-305D-412B-884E-FB11E3D9CE1D}"/>
    <hyperlink ref="C4807" r:id="rId4802" display="https://pld.live/RapDetail.aspx?STONELIST=926380197&amp;ISCONFIRM=0" xr:uid="{233D4735-6AAB-43F7-8E11-860E8B16618C}"/>
    <hyperlink ref="C4808" r:id="rId4803" display="https://pld.live/RapDetail.aspx?STONELIST=925570088&amp;ISCONFIRM=0" xr:uid="{1BCB1C3A-6969-4431-8A1B-E6BF2D9FA53A}"/>
    <hyperlink ref="C4809" r:id="rId4804" display="https://pld.live/RapDetail.aspx?STONELIST=925050192&amp;ISCONFIRM=0" xr:uid="{D444915C-8B0D-4EA5-A5CF-63BA24C18C30}"/>
    <hyperlink ref="C4810" r:id="rId4805" display="https://pld.live/RapDetail.aspx?STONELIST=925710043&amp;ISCONFIRM=0" xr:uid="{5E2D4C81-9BC3-485A-B864-FE30585178A4}"/>
    <hyperlink ref="C4811" r:id="rId4806" display="https://pld.live/RapDetail.aspx?STONELIST=925060372&amp;ISCONFIRM=0" xr:uid="{C6575A8A-FF18-4C2E-BB1F-9D98E64BC9FD}"/>
    <hyperlink ref="C4812" r:id="rId4807" display="https://pld.live/RapDetail.aspx?STONELIST=821115773&amp;ISCONFIRM=0" xr:uid="{E4C365A4-0AED-4035-AE5C-E5A3A4303E25}"/>
    <hyperlink ref="C4813" r:id="rId4808" display="https://pld.live/RapDetail.aspx?STONELIST=821115776&amp;ISCONFIRM=0" xr:uid="{DB41D8F4-CC37-4AE3-90A4-BD510DC96B0B}"/>
    <hyperlink ref="C4814" r:id="rId4809" display="https://pld.live/RapDetail.aspx?STONELIST=925050154&amp;ISCONFIRM=0" xr:uid="{A0BED3C9-0135-4CB1-BDA5-75133DD25FF9}"/>
    <hyperlink ref="C4815" r:id="rId4810" display="https://pld.live/RapDetail.aspx?STONELIST=924090421&amp;ISCONFIRM=0" xr:uid="{EBFCEE85-9FED-421F-A21D-6399B211C89D}"/>
    <hyperlink ref="C4816" r:id="rId4811" display="https://pld.live/RapDetail.aspx?STONELIST=926540237&amp;ISCONFIRM=0" xr:uid="{32D852C6-7162-4E81-B0AC-6402DF7DC2A5}"/>
    <hyperlink ref="C4817" r:id="rId4812" display="https://pld.live/RapDetail.aspx?STONELIST=925721002&amp;ISCONFIRM=0" xr:uid="{CB9E75EB-9255-4C72-BE6D-2908A8BCC8A8}"/>
    <hyperlink ref="C4818" r:id="rId4813" display="https://pld.live/RapDetail.aspx?STONELIST=926000048&amp;ISCONFIRM=0" xr:uid="{19E33A8D-95BE-4B4E-8D1B-442FB2DC5F1E}"/>
    <hyperlink ref="C4819" r:id="rId4814" display="https://pld.live/RapDetail.aspx?STONELIST=831020725&amp;ISCONFIRM=0" xr:uid="{366AD4EE-93C6-4D3B-9524-0DA5D96AEF6A}"/>
    <hyperlink ref="C4820" r:id="rId4815" display="https://pld.live/RapDetail.aspx?STONELIST=926450448&amp;ISCONFIRM=0" xr:uid="{5F2F4F85-4676-4BBA-AC78-7190C206E64B}"/>
    <hyperlink ref="C4821" r:id="rId4816" display="https://pld.live/RapDetail.aspx?STONELIST=925500678&amp;ISCONFIRM=0" xr:uid="{FE183BD1-8FB3-4C24-869C-188F676B040A}"/>
    <hyperlink ref="C4822" r:id="rId4817" display="https://pld.live/RapDetail.aspx?STONELIST=925500060&amp;ISCONFIRM=0" xr:uid="{E6799CA9-754B-451C-9594-DDD5081F5843}"/>
    <hyperlink ref="C4823" r:id="rId4818" display="https://pld.live/RapDetail.aspx?STONELIST=926170152&amp;ISCONFIRM=0" xr:uid="{21A916FE-7A97-4D49-A247-BC71C4586079}"/>
    <hyperlink ref="C4824" r:id="rId4819" display="https://pld.live/RapDetail.aspx?STONELIST=926200757&amp;ISCONFIRM=0" xr:uid="{C0F5F131-E4FE-4BEA-843C-37978AABC400}"/>
    <hyperlink ref="C4825" r:id="rId4820" display="https://pld.live/RapDetail.aspx?STONELIST=925980917&amp;ISCONFIRM=0" xr:uid="{B1E60532-ACE7-49C7-BC6F-1B069EE2AE99}"/>
    <hyperlink ref="C4826" r:id="rId4821" display="https://pld.live/RapDetail.aspx?STONELIST=821113474&amp;ISCONFIRM=0" xr:uid="{4677CCA1-1D9D-4F32-BDA3-A5F14757CDED}"/>
    <hyperlink ref="C4827" r:id="rId4822" display="https://pld.live/RapDetail.aspx?STONELIST=821113236&amp;ISCONFIRM=0" xr:uid="{9961A831-2D4F-4D94-B4E1-8C1A037CADA9}"/>
    <hyperlink ref="C4828" r:id="rId4823" display="https://pld.live/RapDetail.aspx?STONELIST=831020528&amp;ISCONFIRM=0" xr:uid="{AAAD422A-26EE-4C59-8649-52CA5881E337}"/>
    <hyperlink ref="C4829" r:id="rId4824" display="https://pld.live/RapDetail.aspx?STONELIST=821115777&amp;ISCONFIRM=0" xr:uid="{4F33FA6D-108B-4D8D-8F2F-BB4359C52581}"/>
    <hyperlink ref="C4830" r:id="rId4825" display="https://pld.live/RapDetail.aspx?STONELIST=926560043&amp;ISCONFIRM=0" xr:uid="{5F1A04A4-9DB3-4DBF-B60D-BB659B5D312A}"/>
    <hyperlink ref="C4831" r:id="rId4826" display="https://pld.live/RapDetail.aspx?STONELIST=925971090&amp;ISCONFIRM=0" xr:uid="{702144E5-11AB-49AA-8D1E-9D049867A5E6}"/>
    <hyperlink ref="C4832" r:id="rId4827" display="https://pld.live/RapDetail.aspx?STONELIST=925851209&amp;ISCONFIRM=0" xr:uid="{00E670B7-4BF1-46F4-BDD8-08DB0F48D9D6}"/>
    <hyperlink ref="C4833" r:id="rId4828" display="https://pld.live/RapDetail.aspx?STONELIST=926100623&amp;ISCONFIRM=0" xr:uid="{187FE7E1-5800-4AD4-8DA2-398971427B45}"/>
    <hyperlink ref="C4834" r:id="rId4829" display="https://pld.live/RapDetail.aspx?STONELIST=821113210&amp;ISCONFIRM=0" xr:uid="{5405D1A7-854A-4201-9E29-9C8A5D505116}"/>
    <hyperlink ref="C4835" r:id="rId4830" display="https://pld.live/RapDetail.aspx?STONELIST=925770920&amp;ISCONFIRM=0" xr:uid="{67A7C979-9E94-4CCF-BB85-BF6645773839}"/>
    <hyperlink ref="C4836" r:id="rId4831" display="https://pld.live/RapDetail.aspx?STONELIST=925960527&amp;ISCONFIRM=0" xr:uid="{D8997A1C-6125-4D7C-AA5D-21C58565D97F}"/>
    <hyperlink ref="C4837" r:id="rId4832" display="https://pld.live/RapDetail.aspx?STONELIST=925960726&amp;ISCONFIRM=0" xr:uid="{4DE66BCA-2E3B-4483-9E28-2B12D5BE7F59}"/>
    <hyperlink ref="C4838" r:id="rId4833" display="https://pld.live/RapDetail.aspx?STONELIST=925501954&amp;ISCONFIRM=0" xr:uid="{2FF37472-1E13-48FD-A717-95910467511E}"/>
    <hyperlink ref="C4839" r:id="rId4834" display="https://pld.live/RapDetail.aspx?STONELIST=925621799&amp;ISCONFIRM=0" xr:uid="{BCFA9F18-8DE6-480E-A599-F78E47EBBD9D}"/>
    <hyperlink ref="C4840" r:id="rId4835" display="https://pld.live/RapDetail.aspx?STONELIST=926040895&amp;ISCONFIRM=0" xr:uid="{461DD494-9D63-46B4-9E8E-09D5ED2CE48D}"/>
    <hyperlink ref="C4841" r:id="rId4836" display="https://pld.live/RapDetail.aspx?STONELIST=925951211&amp;ISCONFIRM=0" xr:uid="{B989694C-A915-4914-A23E-ED01DC9456B4}"/>
    <hyperlink ref="C4842" r:id="rId4837" display="https://pld.live/RapDetail.aspx?STONELIST=831020526&amp;ISCONFIRM=0" xr:uid="{7D8B63D6-35E4-4A69-8E0B-2A289AD4F095}"/>
    <hyperlink ref="C4843" r:id="rId4838" display="https://pld.live/RapDetail.aspx?STONELIST=926100836&amp;ISCONFIRM=0" xr:uid="{8A3589F6-4372-4BB0-9EF7-CBFC663A404E}"/>
    <hyperlink ref="C4844" r:id="rId4839" display="https://pld.live/RapDetail.aspx?STONELIST=925971252&amp;ISCONFIRM=0" xr:uid="{9DECF503-0DC9-471C-ADC4-18FB9204E15A}"/>
    <hyperlink ref="C4845" r:id="rId4840" display="https://pld.live/RapDetail.aspx?STONELIST=926910425&amp;ISCONFIRM=0" xr:uid="{1E43D13B-3364-4642-A515-B260B5A54F42}"/>
    <hyperlink ref="C4846" r:id="rId4841" display="https://pld.live/RapDetail.aspx?STONELIST=925540673&amp;ISCONFIRM=0" xr:uid="{B7EA513C-392F-4049-9B0E-B33F56E9471A}"/>
    <hyperlink ref="C4847" r:id="rId4842" display="https://pld.live/RapDetail.aspx?STONELIST=925500742&amp;ISCONFIRM=0" xr:uid="{D6DC7269-0430-4E63-ADC3-B5511CA4F874}"/>
    <hyperlink ref="C4848" r:id="rId4843" display="https://pld.live/RapDetail.aspx?STONELIST=925971093&amp;ISCONFIRM=0" xr:uid="{19D076ED-6FE2-4CDD-94C2-AF5FB2FC49A2}"/>
    <hyperlink ref="C4849" r:id="rId4844" display="https://pld.live/RapDetail.aspx?STONELIST=925960924&amp;ISCONFIRM=0" xr:uid="{47ED3906-06C3-456E-972F-FC09EA650F1D}"/>
    <hyperlink ref="C4850" r:id="rId4845" display="https://pld.live/RapDetail.aspx?STONELIST=926040923&amp;ISCONFIRM=0" xr:uid="{15BB2F3D-916A-4139-9F23-A7614B8C1764}"/>
    <hyperlink ref="C4851" r:id="rId4846" display="https://pld.live/RapDetail.aspx?STONELIST=926020683&amp;ISCONFIRM=0" xr:uid="{83895ABA-57B5-400A-AF41-72D6BB2F6EC5}"/>
    <hyperlink ref="C4852" r:id="rId4847" display="https://pld.live/RapDetail.aspx?STONELIST=925961077&amp;ISCONFIRM=0" xr:uid="{742EC176-889B-415A-93FD-292140313FB4}"/>
    <hyperlink ref="C4853" r:id="rId4848" display="https://pld.live/RapDetail.aspx?STONELIST=925771196&amp;ISCONFIRM=0" xr:uid="{63A06AC1-D310-4555-B1DE-AEFF6D1B2A64}"/>
    <hyperlink ref="C4854" r:id="rId4849" display="https://pld.live/RapDetail.aspx?STONELIST=925961275&amp;ISCONFIRM=0" xr:uid="{36281C2D-63E8-4751-8216-7CC0EA1B5480}"/>
    <hyperlink ref="C4855" r:id="rId4850" display="https://pld.live/RapDetail.aspx?STONELIST=925951144&amp;ISCONFIRM=0" xr:uid="{BC35A3A2-65A8-44C4-81CD-E474D54AF8A4}"/>
    <hyperlink ref="C4856" r:id="rId4851" display="https://pld.live/RapDetail.aspx?STONELIST=926200691&amp;ISCONFIRM=0" xr:uid="{FB7F30EE-468F-4BF5-BEDB-093585C755F5}"/>
    <hyperlink ref="C4857" r:id="rId4852" display="https://pld.live/RapDetail.aspx?STONELIST=926020593&amp;ISCONFIRM=0" xr:uid="{A34B77A6-C057-4DC1-802D-DD9CC85C2064}"/>
    <hyperlink ref="C4858" r:id="rId4853" display="https://pld.live/RapDetail.aspx?STONELIST=926020596&amp;ISCONFIRM=0" xr:uid="{45A7880F-862E-4F3C-A3C2-ED1F0D8DC2CB}"/>
    <hyperlink ref="C4859" r:id="rId4854" display="https://pld.live/RapDetail.aspx?STONELIST=926910587&amp;ISCONFIRM=0" xr:uid="{05D72DB3-D0B1-49B5-B159-CEDCCD53D4E3}"/>
    <hyperlink ref="C4860" r:id="rId4855" display="https://pld.live/RapDetail.aspx?STONELIST=927060759&amp;ISCONFIRM=0" xr:uid="{0C4B74F9-FC88-4D58-9822-2AFA73AA9E5D}"/>
    <hyperlink ref="C4861" r:id="rId4856" display="https://pld.live/RapDetail.aspx?STONELIST=927070605&amp;ISCONFIRM=0" xr:uid="{3619DA7E-9738-472C-81B0-C69041A3A1AF}"/>
    <hyperlink ref="C4862" r:id="rId4857" display="https://pld.live/RapDetail.aspx?STONELIST=926631266&amp;ISCONFIRM=0" xr:uid="{2E86230E-D215-4F73-AF65-EA2CF6E5FFCA}"/>
    <hyperlink ref="C4863" r:id="rId4858" display="https://pld.live/RapDetail.aspx?STONELIST=926910284&amp;ISCONFIRM=0" xr:uid="{F435A6BA-5910-4AD9-AC41-14DB411B0F50}"/>
    <hyperlink ref="C4864" r:id="rId4859" display="https://pld.live/RapDetail.aspx?STONELIST=925501270&amp;ISCONFIRM=0" xr:uid="{8F3B045D-034D-4B56-9E7A-7B5764F10F7A}"/>
    <hyperlink ref="C4865" r:id="rId4860" display="https://pld.live/RapDetail.aspx?STONELIST=925500269&amp;ISCONFIRM=0" xr:uid="{97574443-CF13-46E4-9125-5562D2E831D6}"/>
    <hyperlink ref="C4866" r:id="rId4861" display="https://pld.live/RapDetail.aspx?STONELIST=926100928&amp;ISCONFIRM=0" xr:uid="{5F8CD7C1-D56E-4126-8924-489F4FA83B07}"/>
    <hyperlink ref="C4867" r:id="rId4862" display="https://pld.live/RapDetail.aspx?STONELIST=925920772&amp;ISCONFIRM=0" xr:uid="{B7104A52-FC99-4941-84AD-5486E7D60952}"/>
    <hyperlink ref="C4868" r:id="rId4863" display="https://pld.live/RapDetail.aspx?STONELIST=831020724&amp;ISCONFIRM=0" xr:uid="{792C26F9-FF80-45F0-A552-270DDBAB08F2}"/>
    <hyperlink ref="C4869" r:id="rId4864" display="https://pld.live/RapDetail.aspx?STONELIST=925971248&amp;ISCONFIRM=0" xr:uid="{01B47149-2D85-4357-A8D1-AA1CA7BF13C8}"/>
    <hyperlink ref="C4870" r:id="rId4865" display="https://pld.live/RapDetail.aspx?STONELIST=922230110&amp;ISCONFIRM=0" xr:uid="{E2D21E91-62DE-4B29-BB07-6C9EA789869C}"/>
    <hyperlink ref="C4871" r:id="rId4866" display="https://pld.live/RapDetail.aspx?STONELIST=927070588&amp;ISCONFIRM=0" xr:uid="{9A36F91C-1A46-4874-B9B0-400B1C38649A}"/>
    <hyperlink ref="C4872" r:id="rId4867" display="https://pld.live/RapDetail.aspx?STONELIST=926910440&amp;ISCONFIRM=0" xr:uid="{60E4A40A-F49A-4447-BBDE-C2730ABBB12E}"/>
    <hyperlink ref="C4873" r:id="rId4868" display="https://pld.live/RapDetail.aspx?STONELIST=925621861&amp;ISCONFIRM=0" xr:uid="{476BED27-BD67-4091-A423-145AF0D177CD}"/>
    <hyperlink ref="C4874" r:id="rId4869" display="https://pld.live/RapDetail.aspx?STONELIST=926910164&amp;ISCONFIRM=0" xr:uid="{F0B1E3BD-DF10-4C89-AB6A-564CAEC717EF}"/>
    <hyperlink ref="C4875" r:id="rId4870" display="https://pld.live/RapDetail.aspx?STONELIST=925551814&amp;ISCONFIRM=0" xr:uid="{60603873-5BB6-4808-98B2-F6942F3342E0}"/>
    <hyperlink ref="C4876" r:id="rId4871" display="https://pld.live/RapDetail.aspx?STONELIST=927070635&amp;ISCONFIRM=0" xr:uid="{D50CDA42-9E2C-436D-8224-1D1D15234A9B}"/>
    <hyperlink ref="C4877" r:id="rId4872" display="https://pld.live/RapDetail.aspx?STONELIST=831020615&amp;ISCONFIRM=0" xr:uid="{A53966F3-3E7D-4CF1-B429-6607234E77D4}"/>
    <hyperlink ref="C4878" r:id="rId4873" display="https://pld.live/RapDetail.aspx?STONELIST=821115778&amp;ISCONFIRM=0" xr:uid="{20F29B83-D38D-4222-AD0A-88614C952202}"/>
    <hyperlink ref="C4879" r:id="rId4874" display="https://pld.live/RapDetail.aspx?STONELIST=926540090&amp;ISCONFIRM=0" xr:uid="{6369EC45-74CB-4391-B13A-4CA60E13B7D5}"/>
    <hyperlink ref="C4880" r:id="rId4875" display="https://pld.live/RapDetail.aspx?STONELIST=925951134&amp;ISCONFIRM=0" xr:uid="{436DD1AD-32CD-4AB5-8A00-3851EBBDB7F1}"/>
    <hyperlink ref="C4881" r:id="rId4876" display="https://pld.live/RapDetail.aspx?STONELIST=926171461&amp;ISCONFIRM=0" xr:uid="{5C54421D-AF06-40AE-8BF8-CD21709D1A03}"/>
    <hyperlink ref="C4882" r:id="rId4877" display="https://pld.live/RapDetail.aspx?STONELIST=925981066&amp;ISCONFIRM=0" xr:uid="{E0742F63-24F4-4314-89CB-F08D782A16E2}"/>
    <hyperlink ref="C4883" r:id="rId4878" display="https://pld.live/RapDetail.aspx?STONELIST=925861494&amp;ISCONFIRM=0" xr:uid="{EC667168-1244-4BE3-806E-DB00599C665D}"/>
    <hyperlink ref="C4884" r:id="rId4879" display="https://pld.live/RapDetail.aspx?STONELIST=925961132&amp;ISCONFIRM=0" xr:uid="{E78B5727-F682-496B-AF32-8142FE82DD35}"/>
    <hyperlink ref="C4885" r:id="rId4880" display="https://pld.live/RapDetail.aspx?STONELIST=925732044&amp;ISCONFIRM=0" xr:uid="{9A259D27-D15C-44C6-B0F0-B919C4C0A82F}"/>
    <hyperlink ref="C4886" r:id="rId4881" display="https://pld.live/RapDetail.aspx?STONELIST=926200333&amp;ISCONFIRM=0" xr:uid="{6BC4C481-D4CF-48E8-A6CF-1D4401E25576}"/>
    <hyperlink ref="C4887" r:id="rId4882" display="https://pld.live/RapDetail.aspx?STONELIST=926200735&amp;ISCONFIRM=0" xr:uid="{9DD172A4-1064-45AD-A8BA-7AC18BCF3DED}"/>
    <hyperlink ref="C4888" r:id="rId4883" display="https://pld.live/RapDetail.aspx?STONELIST=925502152&amp;ISCONFIRM=0" xr:uid="{D728C210-E9F2-4D47-8D9A-A07E41F53294}"/>
    <hyperlink ref="C4889" r:id="rId4884" display="https://pld.live/RapDetail.aspx?STONELIST=925980772&amp;ISCONFIRM=0" xr:uid="{46AC4530-FD84-423D-8E74-2DB8410B3A9A}"/>
    <hyperlink ref="C4890" r:id="rId4885" display="https://pld.live/RapDetail.aspx?STONELIST=926020701&amp;ISCONFIRM=0" xr:uid="{50342EAE-847E-4CE4-80F5-9A8AEB4169CA}"/>
    <hyperlink ref="C4891" r:id="rId4886" display="https://pld.live/RapDetail.aspx?STONELIST=925981052&amp;ISCONFIRM=0" xr:uid="{00596C21-689B-4A9B-8CA3-FACC90B0FEDB}"/>
    <hyperlink ref="C4892" r:id="rId4887" display="https://pld.live/RapDetail.aspx?STONELIST=925850942&amp;ISCONFIRM=0" xr:uid="{23EFB804-FF0B-4176-B758-8107D37AAD56}"/>
    <hyperlink ref="C4893" r:id="rId4888" display="https://pld.live/RapDetail.aspx?STONELIST=925960928&amp;ISCONFIRM=0" xr:uid="{80ADB812-BFDF-4865-A221-D1DD355A6109}"/>
    <hyperlink ref="C4894" r:id="rId4889" display="https://pld.live/RapDetail.aspx?STONELIST=831020720&amp;ISCONFIRM=0" xr:uid="{0BCD4C2E-765E-47FD-B2C5-D6E9EC4B7DFD}"/>
    <hyperlink ref="C4895" r:id="rId4890" display="https://pld.live/RapDetail.aspx?STONELIST=925850518&amp;ISCONFIRM=0" xr:uid="{A0A252AD-3E5F-4F58-8DA3-56D683C8CFBA}"/>
    <hyperlink ref="C4896" r:id="rId4891" display="https://pld.live/RapDetail.aspx?STONELIST=926380252&amp;ISCONFIRM=0" xr:uid="{680553D8-539A-4152-9294-0F46E7F41A14}"/>
    <hyperlink ref="C4897" r:id="rId4892" display="https://pld.live/RapDetail.aspx?STONELIST=926450346&amp;ISCONFIRM=0" xr:uid="{FEAB6DF1-1EE4-480E-A6FA-F01F8F8672E5}"/>
    <hyperlink ref="C4898" r:id="rId4893" display="https://pld.live/RapDetail.aspx?STONELIST=926041154&amp;ISCONFIRM=0" xr:uid="{D3FE71B4-6221-481C-AEDC-3FFC3E2EC5D0}"/>
    <hyperlink ref="C4899" r:id="rId4894" display="https://pld.live/RapDetail.aspx?STONELIST=925542519&amp;ISCONFIRM=0" xr:uid="{C8A1E955-87E5-42B0-9A9F-7579D07D0EE6}"/>
    <hyperlink ref="C4900" r:id="rId4895" display="https://pld.live/RapDetail.aspx?STONELIST=821113635&amp;ISCONFIRM=0" xr:uid="{9751BBF3-D91C-41C7-B6E8-61B7D36F976E}"/>
    <hyperlink ref="C4901" r:id="rId4896" display="https://pld.live/RapDetail.aspx?STONELIST=925542168&amp;ISCONFIRM=0" xr:uid="{21340DC6-9778-4494-BC8F-B0294573D121}"/>
    <hyperlink ref="C4902" r:id="rId4897" display="https://pld.live/RapDetail.aspx?STONELIST=925502469&amp;ISCONFIRM=0" xr:uid="{087C9B7F-2D05-46F8-B9E8-939D064AEF62}"/>
    <hyperlink ref="C4903" r:id="rId4898" display="https://pld.live/RapDetail.aspx?STONELIST=927060747&amp;ISCONFIRM=0" xr:uid="{63C8AC2F-BD13-43DD-9470-B2F1C19BF105}"/>
    <hyperlink ref="C4904" r:id="rId4899" display="https://pld.live/RapDetail.aspx?STONELIST=925771354&amp;ISCONFIRM=0" xr:uid="{D9A75105-C2F0-4D7F-88A2-3A3E58FFD0CA}"/>
    <hyperlink ref="C4905" r:id="rId4900" display="https://pld.live/RapDetail.aspx?STONELIST=821113477&amp;ISCONFIRM=0" xr:uid="{BE9BBE1B-127F-4532-AA22-E7A054D7B14A}"/>
    <hyperlink ref="C4906" r:id="rId4901" display="https://pld.live/RapDetail.aspx?STONELIST=821113627&amp;ISCONFIRM=0" xr:uid="{366FEFFF-8E22-4D90-B55B-99901B166047}"/>
    <hyperlink ref="C4907" r:id="rId4902" display="https://pld.live/RapDetail.aspx?STONELIST=925501604&amp;ISCONFIRM=0" xr:uid="{7705B195-286B-4BBC-8615-20D2DAE92ED7}"/>
    <hyperlink ref="C4908" r:id="rId4903" display="https://pld.live/RapDetail.aspx?STONELIST=821113238&amp;ISCONFIRM=0" xr:uid="{AF33FC6F-D9FD-4B57-AAE7-ED468CDEC4BA}"/>
    <hyperlink ref="C4909" r:id="rId4904" display="https://pld.live/RapDetail.aspx?STONELIST=821113275&amp;ISCONFIRM=0" xr:uid="{74E71D49-8E04-4333-821C-C3C42E08C6F4}"/>
    <hyperlink ref="C4910" r:id="rId4905" display="https://pld.live/RapDetail.aspx?STONELIST=925501963&amp;ISCONFIRM=0" xr:uid="{4E0C5E7E-61BF-45F2-885B-0F9E2B09BF63}"/>
    <hyperlink ref="C4911" r:id="rId4906" display="https://pld.live/RapDetail.aspx?STONELIST=925230070&amp;ISCONFIRM=0" xr:uid="{FD3DE91A-6804-4F70-8889-BCC946EA7B0C}"/>
    <hyperlink ref="C4912" r:id="rId4907" display="https://pld.live/RapDetail.aspx?STONELIST=926910194&amp;ISCONFIRM=0" xr:uid="{65D9113A-AC96-4F89-92E0-BA7183C24AB3}"/>
    <hyperlink ref="C4913" r:id="rId4908" display="https://pld.live/RapDetail.aspx?STONELIST=926910424&amp;ISCONFIRM=0" xr:uid="{22D5FD4D-8A09-4852-BCF3-8B6470C0C197}"/>
    <hyperlink ref="C4914" r:id="rId4909" display="https://pld.live/RapDetail.aspx?STONELIST=925930164&amp;ISCONFIRM=0" xr:uid="{A29FADA3-D9EB-49D5-86DB-0A75729E09CB}"/>
    <hyperlink ref="C4915" r:id="rId4910" display="https://pld.live/RapDetail.aspx?STONELIST=923570760&amp;ISCONFIRM=0" xr:uid="{1F74D649-013B-4334-8E10-8CD0B1A9FC96}"/>
    <hyperlink ref="C4916" r:id="rId4911" display="https://pld.live/RapDetail.aspx?STONELIST=925551925&amp;ISCONFIRM=0" xr:uid="{8E152CDC-0908-4DB8-A69C-E55648A4D752}"/>
    <hyperlink ref="C4917" r:id="rId4912" display="https://pld.live/RapDetail.aspx?STONELIST=926910072&amp;ISCONFIRM=0" xr:uid="{6C627187-3BF6-4DD4-888D-C9A1CA92AACF}"/>
    <hyperlink ref="C4918" r:id="rId4913" display="https://pld.live/RapDetail.aspx?STONELIST=927040696&amp;ISCONFIRM=0" xr:uid="{0F243296-BA43-4942-8F29-652138BC1E88}"/>
    <hyperlink ref="C4919" r:id="rId4914" display="https://pld.live/RapDetail.aspx?STONELIST=831020509&amp;ISCONFIRM=0" xr:uid="{23BBD268-A000-48FC-B997-DCBB28CF9B0D}"/>
    <hyperlink ref="C4920" r:id="rId4915" display="https://pld.live/RapDetail.aspx?STONELIST=926200587&amp;ISCONFIRM=0" xr:uid="{903839F5-46BB-4C72-B6B6-4E9D6D4CCFF2}"/>
    <hyperlink ref="C4921" r:id="rId4916" display="https://pld.live/RapDetail.aspx?STONELIST=926200898&amp;ISCONFIRM=0" xr:uid="{42E625D9-6B1C-4F4F-BBED-90827F7B433E}"/>
    <hyperlink ref="C4922" r:id="rId4917" display="https://pld.live/RapDetail.aspx?STONELIST=926020420&amp;ISCONFIRM=0" xr:uid="{BE54FCDB-0F0A-4B3F-BC48-D81B781A446B}"/>
    <hyperlink ref="C4923" r:id="rId4918" display="https://pld.live/RapDetail.aspx?STONELIST=926100889&amp;ISCONFIRM=0" xr:uid="{2CF61E8E-AD79-479F-A865-E4456B6F9A45}"/>
    <hyperlink ref="C4924" r:id="rId4919" display="https://pld.live/RapDetail.aspx?STONELIST=926910557&amp;ISCONFIRM=0" xr:uid="{723D453E-6DF7-4850-82D0-44925DC664B8}"/>
    <hyperlink ref="C4925" r:id="rId4920" display="https://pld.live/RapDetail.aspx?STONELIST=926101425&amp;ISCONFIRM=0" xr:uid="{1CD0A478-8D01-4E1C-870E-D0F1FCB25354}"/>
    <hyperlink ref="C4926" r:id="rId4921" display="https://pld.live/RapDetail.aspx?STONELIST=925890412&amp;ISCONFIRM=0" xr:uid="{693164B5-D63D-4CD5-A57D-3CC1742F777C}"/>
    <hyperlink ref="C4927" r:id="rId4922" display="https://pld.live/RapDetail.aspx?STONELIST=926040891&amp;ISCONFIRM=0" xr:uid="{2D747F0A-ED30-4406-B662-1B2B9C38787D}"/>
    <hyperlink ref="C4928" r:id="rId4923" display="https://pld.live/RapDetail.aspx?STONELIST=925920979&amp;ISCONFIRM=0" xr:uid="{95CC5A90-170F-49C8-A2F2-5B048028EB57}"/>
    <hyperlink ref="C4929" r:id="rId4924" display="https://pld.live/RapDetail.aspx?STONELIST=926200295&amp;ISCONFIRM=0" xr:uid="{29419524-990C-4090-AD18-363870FE766B}"/>
    <hyperlink ref="C4930" r:id="rId4925" display="https://pld.live/RapDetail.aspx?STONELIST=924720186&amp;ISCONFIRM=0" xr:uid="{A77BBB2E-B845-4D2B-8EAB-922793ECA8F5}"/>
    <hyperlink ref="C4931" r:id="rId4926" display="https://pld.live/RapDetail.aspx?STONELIST=926200696&amp;ISCONFIRM=0" xr:uid="{926FE075-DCA4-4577-BCFB-AE6E7C42270F}"/>
    <hyperlink ref="C4932" r:id="rId4927" display="https://pld.live/RapDetail.aspx?STONELIST=926200798&amp;ISCONFIRM=0" xr:uid="{D63B9229-0D31-490F-9CA0-C22A4E669E24}"/>
    <hyperlink ref="C4933" r:id="rId4928" display="https://pld.live/RapDetail.aspx?STONELIST=925890099&amp;ISCONFIRM=0" xr:uid="{ECACAFC0-374B-4867-AC75-A9A7F31E75D6}"/>
    <hyperlink ref="C4934" r:id="rId4929" display="https://pld.live/RapDetail.aspx?STONELIST=926200086&amp;ISCONFIRM=0" xr:uid="{4B6D5DDE-8EF0-4680-BFD6-462A13709BBB}"/>
    <hyperlink ref="C4935" r:id="rId4930" display="https://pld.live/RapDetail.aspx?STONELIST=924690210&amp;ISCONFIRM=0" xr:uid="{3EB8A687-3E86-4B16-A6FC-7307A49D0020}"/>
    <hyperlink ref="C4936" r:id="rId4931" display="https://pld.live/RapDetail.aspx?STONELIST=926200299&amp;ISCONFIRM=0" xr:uid="{FAEC7058-09EE-4520-8456-DEF9255D3D36}"/>
    <hyperlink ref="C4937" r:id="rId4932" display="https://pld.live/RapDetail.aspx?STONELIST=926200899&amp;ISCONFIRM=0" xr:uid="{995459BC-01CE-4B15-BF63-7C0C8FB2E237}"/>
    <hyperlink ref="C4938" r:id="rId4933" display="https://pld.live/RapDetail.aspx?STONELIST=925862001&amp;ISCONFIRM=0" xr:uid="{554B5ED5-951C-4C48-8D33-5DDD1F67C63A}"/>
    <hyperlink ref="C4939" r:id="rId4934" display="https://pld.live/RapDetail.aspx?STONELIST=925290433&amp;ISCONFIRM=0" xr:uid="{F49FFAA6-9575-4A68-A5D7-7C898A71CCFA}"/>
    <hyperlink ref="C4940" r:id="rId4935" display="https://pld.live/RapDetail.aspx?STONELIST=925920785&amp;ISCONFIRM=0" xr:uid="{B88CC02B-D944-44FB-A3E5-D28FD4014755}"/>
    <hyperlink ref="C4941" r:id="rId4936" display="https://pld.live/RapDetail.aspx?STONELIST=925551869&amp;ISCONFIRM=0" xr:uid="{19CFA11A-7951-4FE4-8567-55858B87C905}"/>
    <hyperlink ref="C4942" r:id="rId4937" display="https://pld.live/RapDetail.aspx?STONELIST=926040461&amp;ISCONFIRM=0" xr:uid="{EACB26B0-1662-4EB7-A192-C4F20EEFF763}"/>
    <hyperlink ref="C4943" r:id="rId4938" display="https://pld.live/RapDetail.aspx?STONELIST=925970910&amp;ISCONFIRM=0" xr:uid="{1BA658E7-DF8E-45E7-835D-05ECB6D6661B}"/>
    <hyperlink ref="C4944" r:id="rId4939" display="https://pld.live/RapDetail.aspx?STONELIST=926171447&amp;ISCONFIRM=0" xr:uid="{BD6CADDE-0DB1-446D-80F7-C7ECB8DAC874}"/>
    <hyperlink ref="C4945" r:id="rId4940" display="https://pld.live/RapDetail.aspx?STONELIST=925862058&amp;ISCONFIRM=0" xr:uid="{6DD5A15D-8348-460C-8580-4330E1B641FA}"/>
    <hyperlink ref="C4946" r:id="rId4941" display="https://pld.live/RapDetail.aspx?STONELIST=925862010&amp;ISCONFIRM=0" xr:uid="{D5C7798F-9048-4CB5-A839-F3753F6D6D5D}"/>
    <hyperlink ref="C4947" r:id="rId4942" display="https://pld.live/RapDetail.aspx?STONELIST=926170674&amp;ISCONFIRM=0" xr:uid="{6CB50763-57C4-45A8-91E5-09A5E0A4E61E}"/>
    <hyperlink ref="C4948" r:id="rId4943" display="https://pld.live/RapDetail.aspx?STONELIST=926071713&amp;ISCONFIRM=0" xr:uid="{7A54401A-29C8-4C32-9538-637E7AB4C11F}"/>
    <hyperlink ref="C4949" r:id="rId4944" display="https://pld.live/RapDetail.aspx?STONELIST=926200789&amp;ISCONFIRM=0" xr:uid="{DE722096-D4BD-4713-B002-1D3DCBFE363F}"/>
    <hyperlink ref="C4950" r:id="rId4945" display="https://pld.live/RapDetail.aspx?STONELIST=926100904&amp;ISCONFIRM=0" xr:uid="{349DED99-38BE-462C-9999-DBA2646F6157}"/>
    <hyperlink ref="C4951" r:id="rId4946" display="https://pld.live/RapDetail.aspx?STONELIST=924500122&amp;ISCONFIRM=0" xr:uid="{DDCDF8C0-B9BB-47CB-9ABA-2B7D749CFA1C}"/>
    <hyperlink ref="C4952" r:id="rId4947" display="https://pld.live/RapDetail.aspx?STONELIST=926100939&amp;ISCONFIRM=0" xr:uid="{433F022C-A8D0-4231-8D81-621AB63C0322}"/>
    <hyperlink ref="C4953" r:id="rId4948" display="https://pld.live/RapDetail.aspx?STONELIST=926170428&amp;ISCONFIRM=0" xr:uid="{267AEFDB-28BA-4585-96ED-B86275BE2E10}"/>
    <hyperlink ref="C4954" r:id="rId4949" display="https://pld.live/RapDetail.aspx?STONELIST=926040725&amp;ISCONFIRM=0" xr:uid="{16C25DF1-5733-4286-BA36-6E4FB6964116}"/>
    <hyperlink ref="C4955" r:id="rId4950" display="https://pld.live/RapDetail.aspx?STONELIST=926200750&amp;ISCONFIRM=0" xr:uid="{9FCB84F8-6171-40E5-ACFA-D257685D638B}"/>
    <hyperlink ref="C4956" r:id="rId4951" display="https://pld.live/RapDetail.aspx?STONELIST=926170787&amp;ISCONFIRM=0" xr:uid="{44A3348A-1009-4A82-A37E-3BA53B108842}"/>
    <hyperlink ref="C4957" r:id="rId4952" display="https://pld.live/RapDetail.aspx?STONELIST=831010158&amp;ISCONFIRM=0" xr:uid="{4F1CC5D8-8C6B-46D9-AEF0-2D799BFDBDAA}"/>
    <hyperlink ref="C4958" r:id="rId4953" display="https://pld.live/RapDetail.aspx?STONELIST=926071508&amp;ISCONFIRM=0" xr:uid="{FC51DE80-0912-4187-A31F-AA70252608A1}"/>
    <hyperlink ref="C4959" r:id="rId4954" display="https://pld.live/RapDetail.aspx?STONELIST=925980661&amp;ISCONFIRM=0" xr:uid="{57F7648C-AE4B-4131-A5E7-2E542BAD857D}"/>
    <hyperlink ref="C4960" r:id="rId4955" display="https://pld.live/RapDetail.aspx?STONELIST=926540075&amp;ISCONFIRM=0" xr:uid="{3775ADDD-68F3-499D-8199-96A29C457965}"/>
    <hyperlink ref="C4961" r:id="rId4956" display="https://pld.live/RapDetail.aspx?STONELIST=925732066&amp;ISCONFIRM=0" xr:uid="{001F1C98-06EC-4DBF-AE86-7CC37AB967C8}"/>
    <hyperlink ref="C4962" r:id="rId4957" display="https://pld.live/RapDetail.aspx?STONELIST=925930166&amp;ISCONFIRM=0" xr:uid="{F0F6FC88-4B54-4D36-AC9D-AE22C43F899D}"/>
    <hyperlink ref="C4963" r:id="rId4958" display="https://pld.live/RapDetail.aspx?STONELIST=925890313&amp;ISCONFIRM=0" xr:uid="{6DB07391-281F-4DF9-AB97-821587723F7E}"/>
    <hyperlink ref="C4964" r:id="rId4959" display="https://pld.live/RapDetail.aspx?STONELIST=925621630&amp;ISCONFIRM=0" xr:uid="{BF58C4D5-3E8C-4D8E-88D1-BCF0F3FCDFAD}"/>
    <hyperlink ref="C4965" r:id="rId4960" display="https://pld.live/RapDetail.aspx?STONELIST=926101469&amp;ISCONFIRM=0" xr:uid="{030A754B-8E02-4F29-ADC8-A8BDC0BC5AAA}"/>
    <hyperlink ref="C4966" r:id="rId4961" display="https://pld.live/RapDetail.aspx?STONELIST=926100879&amp;ISCONFIRM=0" xr:uid="{8990D978-5774-44FC-8DCD-C9DDD8A06AF1}"/>
    <hyperlink ref="C4967" r:id="rId4962" display="https://pld.live/RapDetail.aspx?STONELIST=925980582&amp;ISCONFIRM=0" xr:uid="{76BD0DAE-2B1B-4261-9796-6E11C9B8AA2D}"/>
    <hyperlink ref="C4968" r:id="rId4963" display="https://pld.live/RapDetail.aspx?STONELIST=925500410&amp;ISCONFIRM=0" xr:uid="{F6A2AB0A-4567-48F9-A2D6-C819E0D30C41}"/>
    <hyperlink ref="C4969" r:id="rId4964" display="https://pld.live/RapDetail.aspx?STONELIST=925060042&amp;ISCONFIRM=0" xr:uid="{8A30C4CE-F245-49CA-8859-D94896D6B29A}"/>
    <hyperlink ref="C4970" r:id="rId4965" display="https://pld.live/RapDetail.aspx?STONELIST=926040708&amp;ISCONFIRM=0" xr:uid="{8C84A122-9AA3-4201-8478-98905EBA0A43}"/>
    <hyperlink ref="C4971" r:id="rId4966" display="https://pld.live/RapDetail.aspx?STONELIST=925861899&amp;ISCONFIRM=0" xr:uid="{A4FB2B85-5F20-4D36-9BA5-60CBD973F4DA}"/>
    <hyperlink ref="C4972" r:id="rId4967" display="https://pld.live/RapDetail.aspx?STONELIST=925732045&amp;ISCONFIRM=0" xr:uid="{B733010D-9546-42A4-A726-5753848F8BEF}"/>
    <hyperlink ref="C4973" r:id="rId4968" display="https://pld.live/RapDetail.aspx?STONELIST=821126920&amp;ISCONFIRM=0" xr:uid="{154E1083-80FC-4AD7-9BCB-3DDE53C832B4}"/>
    <hyperlink ref="C4974" r:id="rId4969" display="https://pld.live/RapDetail.aspx?STONELIST=925551850&amp;ISCONFIRM=0" xr:uid="{DCDECEF7-E0D4-4445-B664-9F2CB7729EF2}"/>
    <hyperlink ref="C4975" r:id="rId4970" display="https://pld.live/RapDetail.aspx?STONELIST=925500650&amp;ISCONFIRM=0" xr:uid="{BAD765BF-CDDB-48E0-9768-9AB9BB16BF7A}"/>
    <hyperlink ref="C4976" r:id="rId4971" display="https://pld.live/RapDetail.aspx?STONELIST=926101480&amp;ISCONFIRM=0" xr:uid="{7DF3D831-6E8A-4E9A-9DA2-186CAE2B39EB}"/>
    <hyperlink ref="C4977" r:id="rId4972" display="https://pld.live/RapDetail.aspx?STONELIST=925950206&amp;ISCONFIRM=0" xr:uid="{AD343FBC-8912-44AA-9B47-24DE83403E82}"/>
    <hyperlink ref="C4978" r:id="rId4973" display="https://pld.live/RapDetail.aspx?STONELIST=821126937&amp;ISCONFIRM=0" xr:uid="{084F52C2-C4A4-4A92-B683-E51EC820DAB8}"/>
    <hyperlink ref="C4979" r:id="rId4974" display="https://pld.live/RapDetail.aspx?STONELIST=925551880&amp;ISCONFIRM=0" xr:uid="{012CE7EE-8145-4F90-96E5-C5F6C77904DA}"/>
    <hyperlink ref="C4980" r:id="rId4975" display="https://pld.live/RapDetail.aspx?STONELIST=925501684&amp;ISCONFIRM=0" xr:uid="{22B92C41-23A8-40EA-A61F-FD83791D6657}"/>
    <hyperlink ref="C4981" r:id="rId4976" display="https://pld.live/RapDetail.aspx?STONELIST=925502074&amp;ISCONFIRM=0" xr:uid="{5DC04817-CE6A-4F54-8B72-012ECC307799}"/>
    <hyperlink ref="C4982" r:id="rId4977" display="https://pld.live/RapDetail.aspx?STONELIST=926020751&amp;ISCONFIRM=0" xr:uid="{E64ACBA0-00AA-4531-85AE-4E982C92DB00}"/>
    <hyperlink ref="C4983" r:id="rId4978" display="https://pld.live/RapDetail.aspx?STONELIST=925621869&amp;ISCONFIRM=0" xr:uid="{1D8CFC92-0DBE-47AF-A7F7-136EFDA6EDDA}"/>
    <hyperlink ref="C4984" r:id="rId4979" display="https://pld.live/RapDetail.aspx?STONELIST=926171042&amp;ISCONFIRM=0" xr:uid="{F3066A3D-5E23-4A60-804F-A5E4FF78B8F6}"/>
    <hyperlink ref="C4985" r:id="rId4980" display="https://pld.live/RapDetail.aspx?STONELIST=925960064&amp;ISCONFIRM=0" xr:uid="{13282A9E-9E92-45F2-B152-97D3D11C29C4}"/>
    <hyperlink ref="C4986" r:id="rId4981" display="https://pld.live/RapDetail.aspx?STONELIST=925960018&amp;ISCONFIRM=0" xr:uid="{5E38C8AE-8FCB-482E-9433-CB79B979D169}"/>
    <hyperlink ref="C4987" r:id="rId4982" display="https://pld.live/RapDetail.aspx?STONELIST=925970020&amp;ISCONFIRM=0" xr:uid="{DAA9E7A3-8E63-4195-BB6B-1449283C34E2}"/>
    <hyperlink ref="C4988" r:id="rId4983" display="https://pld.live/RapDetail.aspx?STONELIST=926171282&amp;ISCONFIRM=0" xr:uid="{4C702A60-53CC-44F9-9D67-D31EE3FCCE6D}"/>
    <hyperlink ref="C4989" r:id="rId4984" display="https://pld.live/RapDetail.aspx?STONELIST=926071353&amp;ISCONFIRM=0" xr:uid="{4AE81693-B7D7-4528-8375-337A8EB0BAC6}"/>
    <hyperlink ref="C4990" r:id="rId4985" display="https://pld.live/RapDetail.aspx?STONELIST=925861245&amp;ISCONFIRM=0" xr:uid="{BB37C7A8-E2D0-4BB4-980D-804569027760}"/>
    <hyperlink ref="C4991" r:id="rId4986" display="https://pld.live/RapDetail.aspx?STONELIST=926200717&amp;ISCONFIRM=0" xr:uid="{BD34E107-7FB3-4D9B-BBCF-6A68C9C889EA}"/>
    <hyperlink ref="C4992" r:id="rId4987" display="https://pld.live/RapDetail.aspx?STONELIST=925960084&amp;ISCONFIRM=0" xr:uid="{28185AD3-9D68-4C9D-B782-A7F19B7D3FE6}"/>
    <hyperlink ref="C4993" r:id="rId4988" display="https://pld.live/RapDetail.aspx?STONELIST=925970396&amp;ISCONFIRM=0" xr:uid="{8B7C6F82-085D-46AA-96EB-8CDBF7EC3479}"/>
    <hyperlink ref="C4994" r:id="rId4989" display="https://pld.live/RapDetail.aspx?STONELIST=926171364&amp;ISCONFIRM=0" xr:uid="{1DE4B941-1B6C-4542-AC1F-8646F0108318}"/>
    <hyperlink ref="C4995" r:id="rId4990" display="https://pld.live/RapDetail.aspx?STONELIST=925110401&amp;ISCONFIRM=0" xr:uid="{D885AD58-3B5D-4CF3-9B58-FAC1EF44C391}"/>
    <hyperlink ref="C4996" r:id="rId4991" display="https://pld.live/RapDetail.aspx?STONELIST=925950235&amp;ISCONFIRM=0" xr:uid="{D0CA09D3-CCE5-4D98-B7C6-3421F772F2C9}"/>
    <hyperlink ref="C4997" r:id="rId4992" display="https://pld.live/RapDetail.aspx?STONELIST=831020715&amp;ISCONFIRM=0" xr:uid="{FA5102C4-6332-4176-ADFD-FB7E5DFE2BCC}"/>
    <hyperlink ref="C4998" r:id="rId4993" display="https://pld.live/RapDetail.aspx?STONELIST=925920992&amp;ISCONFIRM=0" xr:uid="{C6B3235C-7739-40EC-BB6A-425B833C8486}"/>
    <hyperlink ref="C4999" r:id="rId4994" display="https://pld.live/RapDetail.aspx?STONELIST=924710001&amp;ISCONFIRM=0" xr:uid="{9039EBF2-3933-484D-BF09-A2B3F8F202A0}"/>
    <hyperlink ref="C5000" r:id="rId4995" display="https://pld.live/RapDetail.aspx?STONELIST=926200747&amp;ISCONFIRM=0" xr:uid="{AA971864-2904-4451-B4B9-E0BD979F5C16}"/>
    <hyperlink ref="C5001" r:id="rId4996" display="https://pld.live/RapDetail.aspx?STONELIST=925621763&amp;ISCONFIRM=0" xr:uid="{019177A1-12DC-492D-B66E-12667350B4C6}"/>
    <hyperlink ref="C5002" r:id="rId4997" display="https://pld.live/RapDetail.aspx?STONELIST=925520510&amp;ISCONFIRM=0" xr:uid="{98610A89-7F6E-46B8-9CBA-EDA2996817C3}"/>
    <hyperlink ref="C5003" r:id="rId4998" display="https://pld.live/RapDetail.aspx?STONELIST=925850223&amp;ISCONFIRM=0" xr:uid="{1428C613-8D1E-4A4F-A713-46B8B086EECC}"/>
    <hyperlink ref="C5004" r:id="rId4999" display="https://pld.live/RapDetail.aspx?STONELIST=925951025&amp;ISCONFIRM=0" xr:uid="{D4048E89-5367-4C40-8B34-6DD936FE5DF0}"/>
    <hyperlink ref="C5005" r:id="rId5000" display="https://pld.live/RapDetail.aspx?STONELIST=925801816&amp;ISCONFIRM=0" xr:uid="{9FE96191-9F56-4637-9F83-DB6592EC9EB2}"/>
    <hyperlink ref="C5006" r:id="rId5001" display="https://pld.live/RapDetail.aspx?STONELIST=926171163&amp;ISCONFIRM=0" xr:uid="{E837D1A3-099E-404C-B27B-DBA318953C6F}"/>
    <hyperlink ref="C5007" r:id="rId5002" display="https://pld.live/RapDetail.aspx?STONELIST=926071665&amp;ISCONFIRM=0" xr:uid="{5320F8FB-8680-4C0D-8F3F-F1A84C554378}"/>
    <hyperlink ref="C5008" r:id="rId5003" display="https://pld.live/RapDetail.aspx?STONELIST=925721783&amp;ISCONFIRM=0" xr:uid="{73BD4F84-6454-46FC-AC1E-BD583EC1B6B2}"/>
    <hyperlink ref="C5009" r:id="rId5004" display="https://pld.live/RapDetail.aspx?STONELIST=926100768&amp;ISCONFIRM=0" xr:uid="{1FBA726E-5256-4111-838A-AAEECE052EEE}"/>
    <hyperlink ref="C5010" r:id="rId5005" display="https://pld.live/RapDetail.aspx?STONELIST=926071345&amp;ISCONFIRM=0" xr:uid="{71228555-A236-4A53-A5A3-741BA1878735}"/>
    <hyperlink ref="C5011" r:id="rId5006" display="https://pld.live/RapDetail.aspx?STONELIST=925951033&amp;ISCONFIRM=0" xr:uid="{C092E059-369A-4D5B-A29D-0144D892B37E}"/>
    <hyperlink ref="C5012" r:id="rId5007" display="https://pld.live/RapDetail.aspx?STONELIST=925802000&amp;ISCONFIRM=0" xr:uid="{5B26D49B-CCAE-4D33-AEFE-AB0751795C3A}"/>
    <hyperlink ref="C5013" r:id="rId5008" display="https://pld.live/RapDetail.aspx?STONELIST=925801976&amp;ISCONFIRM=0" xr:uid="{58B2D594-6B56-448B-84DA-DC16C038A742}"/>
    <hyperlink ref="C5014" r:id="rId5009" display="https://pld.live/RapDetail.aspx?STONELIST=925520490&amp;ISCONFIRM=0" xr:uid="{4B4D1E0E-28BC-427E-AA2E-3F63FEB8FD35}"/>
    <hyperlink ref="C5015" r:id="rId5010" display="https://pld.live/RapDetail.aspx?STONELIST=926020524&amp;ISCONFIRM=0" xr:uid="{7AC0FC2B-07A8-49C9-B547-9629807CF729}"/>
    <hyperlink ref="C5016" r:id="rId5011" display="https://pld.live/RapDetail.aspx?STONELIST=925731336&amp;ISCONFIRM=0" xr:uid="{FD9D469C-18F8-4E3E-A799-C6F7FFB721CD}"/>
    <hyperlink ref="C5017" r:id="rId5012" display="https://pld.live/RapDetail.aspx?STONELIST=925920367&amp;ISCONFIRM=0" xr:uid="{CA254117-42C8-428C-80E9-EDF35A2687E7}"/>
    <hyperlink ref="C5018" r:id="rId5013" display="https://pld.live/RapDetail.aspx?STONELIST=925551956&amp;ISCONFIRM=0" xr:uid="{1DA274FD-8F4D-4309-A409-A71BEEC578DD}"/>
    <hyperlink ref="C5019" r:id="rId5014" display="https://pld.live/RapDetail.aspx?STONELIST=821126876&amp;ISCONFIRM=0" xr:uid="{FA618E0C-F3F6-4360-BAD1-1A4F4421CB10}"/>
    <hyperlink ref="C5020" r:id="rId5015" display="https://pld.live/RapDetail.aspx?STONELIST=821126902&amp;ISCONFIRM=0" xr:uid="{41DDF1E4-CCDC-4FA4-AF5A-1E976CD2B505}"/>
    <hyperlink ref="C5021" r:id="rId5016" display="https://pld.live/RapDetail.aspx?STONELIST=926901064&amp;ISCONFIRM=0" xr:uid="{2B2D2F00-408D-46AC-B57E-09EC9C6A7681}"/>
    <hyperlink ref="C5022" r:id="rId5017" display="https://pld.live/RapDetail.aspx?STONELIST=925731334&amp;ISCONFIRM=0" xr:uid="{C8098F13-121E-402B-97C7-6EBF05041D4D}"/>
    <hyperlink ref="C5023" r:id="rId5018" display="https://pld.live/RapDetail.aspx?STONELIST=925520106&amp;ISCONFIRM=0" xr:uid="{0F159FAE-3E4D-4076-B554-F1ABD9E28091}"/>
    <hyperlink ref="C5024" r:id="rId5019" display="https://pld.live/RapDetail.aspx?STONELIST=925801493&amp;ISCONFIRM=0" xr:uid="{EF4B4CF3-01CA-45C4-8DFD-607FFDA1909A}"/>
    <hyperlink ref="C5025" r:id="rId5020" display="https://pld.live/RapDetail.aspx?STONELIST=925060415&amp;ISCONFIRM=0" xr:uid="{443E0D17-B3EF-4EC8-8578-664D4E489FF4}"/>
    <hyperlink ref="C5026" r:id="rId5021" display="https://pld.live/RapDetail.aspx?STONELIST=924620062&amp;ISCONFIRM=0" xr:uid="{97552A37-2AC8-4F5D-849D-BFEAA868E305}"/>
    <hyperlink ref="C5027" r:id="rId5022" display="https://pld.live/RapDetail.aspx?STONELIST=925970841&amp;ISCONFIRM=0" xr:uid="{CF7704C0-5DA9-43CE-B0AA-9309DD2D6FAC}"/>
    <hyperlink ref="C5028" r:id="rId5023" display="https://pld.live/RapDetail.aspx?STONELIST=924830168&amp;ISCONFIRM=0" xr:uid="{74FBDC8C-A378-4B6C-B133-67C9FAFB6851}"/>
    <hyperlink ref="C5029" r:id="rId5024" display="https://pld.live/RapDetail.aspx?STONELIST=925980539&amp;ISCONFIRM=0" xr:uid="{B108364B-4362-43FD-B7F8-38D9976C8BE1}"/>
    <hyperlink ref="C5030" r:id="rId5025" display="https://pld.live/RapDetail.aspx?STONELIST=925801771&amp;ISCONFIRM=0" xr:uid="{E14A49F2-EE1D-4ABB-9BCD-B73A05336FD7}"/>
    <hyperlink ref="C5031" r:id="rId5026" display="https://pld.live/RapDetail.aspx?STONELIST=925731629&amp;ISCONFIRM=0" xr:uid="{5124A13D-3A21-497D-9BF6-B80D4F1122B4}"/>
    <hyperlink ref="C5032" r:id="rId5027" display="https://pld.live/RapDetail.aspx?STONELIST=925950907&amp;ISCONFIRM=0" xr:uid="{61469145-760B-42F2-9679-3EBFF2F14B1C}"/>
    <hyperlink ref="C5033" r:id="rId5028" display="https://pld.live/RapDetail.aspx?STONELIST=925861967&amp;ISCONFIRM=0" xr:uid="{ABFB2C27-30B5-402D-826B-9870D1A347D5}"/>
    <hyperlink ref="C5034" r:id="rId5029" display="https://pld.live/RapDetail.aspx?STONELIST=926200873&amp;ISCONFIRM=0" xr:uid="{088295FA-4952-4FD2-B68D-D7BDDA976FB5}"/>
    <hyperlink ref="C5035" r:id="rId5030" display="https://pld.live/RapDetail.aspx?STONELIST=926200733&amp;ISCONFIRM=0" xr:uid="{E2F654FC-9456-4937-BF5A-0FA5E9674403}"/>
    <hyperlink ref="C5036" r:id="rId5031" display="https://pld.live/RapDetail.aspx?STONELIST=926831150&amp;ISCONFIRM=0" xr:uid="{E5A52515-DDD9-4D56-9675-D3398B34DE55}"/>
    <hyperlink ref="C5037" r:id="rId5032" display="https://pld.live/RapDetail.aspx?STONELIST=925621779&amp;ISCONFIRM=0" xr:uid="{B27500B2-3FC2-474F-AD06-DB9054196330}"/>
    <hyperlink ref="C5038" r:id="rId5033" display="https://pld.live/RapDetail.aspx?STONELIST=925970726&amp;ISCONFIRM=0" xr:uid="{D2484128-F788-4244-AEBB-87691CE245C4}"/>
    <hyperlink ref="C5039" r:id="rId5034" display="https://pld.live/RapDetail.aspx?STONELIST=925971055&amp;ISCONFIRM=0" xr:uid="{8996FA3A-0143-4A60-8F66-D53688C57AC8}"/>
    <hyperlink ref="C5040" r:id="rId5035" display="https://pld.live/RapDetail.aspx?STONELIST=926071347&amp;ISCONFIRM=0" xr:uid="{99DB9300-22F8-416C-941C-EC4B05134007}"/>
    <hyperlink ref="C5041" r:id="rId5036" display="https://pld.live/RapDetail.aspx?STONELIST=925721249&amp;ISCONFIRM=0" xr:uid="{F1629A4D-C5DB-4A81-AC55-0D690D8748C0}"/>
    <hyperlink ref="C5042" r:id="rId5037" display="https://pld.live/RapDetail.aspx?STONELIST=925621943&amp;ISCONFIRM=0" xr:uid="{CA806434-FF66-4A13-A621-266F3611C863}"/>
    <hyperlink ref="C5043" r:id="rId5038" display="https://pld.live/RapDetail.aspx?STONELIST=926171450&amp;ISCONFIRM=0" xr:uid="{8388AD12-7738-4F51-BBA6-8D4233B783F3}"/>
    <hyperlink ref="C5044" r:id="rId5039" display="https://pld.live/RapDetail.aspx?STONELIST=925861610&amp;ISCONFIRM=0" xr:uid="{8D74551F-A569-47C2-8327-D064B33CC1B4}"/>
    <hyperlink ref="C5045" r:id="rId5040" display="https://pld.live/RapDetail.aspx?STONELIST=925890409&amp;ISCONFIRM=0" xr:uid="{6F563048-C430-42CE-AECD-17E5ED7E1021}"/>
    <hyperlink ref="C5046" r:id="rId5041" display="https://pld.live/RapDetail.aspx?STONELIST=925520079&amp;ISCONFIRM=0" xr:uid="{CE167D3C-8E74-4B9F-B93E-C4848DB171BC}"/>
    <hyperlink ref="C5047" r:id="rId5042" display="https://pld.live/RapDetail.aspx?STONELIST=925600257&amp;ISCONFIRM=0" xr:uid="{36EAE81E-DA1A-416F-AF31-CA77205746B4}"/>
    <hyperlink ref="C5048" r:id="rId5043" display="https://pld.live/RapDetail.aspx?STONELIST=926020627&amp;ISCONFIRM=0" xr:uid="{C70062A1-8617-4359-A5C4-7BB9A165D848}"/>
    <hyperlink ref="C5049" r:id="rId5044" display="https://pld.live/RapDetail.aspx?STONELIST=925980001&amp;ISCONFIRM=0" xr:uid="{99C24AC6-330F-48C7-A4EA-867C1226D1E1}"/>
    <hyperlink ref="C5050" r:id="rId5045" display="https://pld.live/RapDetail.aspx?STONELIST=925961211&amp;ISCONFIRM=0" xr:uid="{724C12B8-4AD0-40FD-B826-0A9A6FE953B2}"/>
    <hyperlink ref="C5051" r:id="rId5046" display="https://pld.live/RapDetail.aspx?STONELIST=831010604&amp;ISCONFIRM=0" xr:uid="{7AB736C9-6345-4090-8C6F-2CB7581D9E50}"/>
    <hyperlink ref="C5052" r:id="rId5047" display="https://pld.live/RapDetail.aspx?STONELIST=925270266&amp;ISCONFIRM=0" xr:uid="{F2254F65-6E29-4C35-95A1-A8977F99CAFE}"/>
    <hyperlink ref="C5053" r:id="rId5048" display="https://pld.live/RapDetail.aspx?STONELIST=925501267&amp;ISCONFIRM=0" xr:uid="{0130A096-8830-4641-895C-922823D6C3D7}"/>
    <hyperlink ref="C5054" r:id="rId5049" display="https://pld.live/RapDetail.aspx?STONELIST=924700005&amp;ISCONFIRM=0" xr:uid="{416D38C1-323B-47A9-8A87-43BF8E883441}"/>
    <hyperlink ref="C5055" r:id="rId5050" display="https://pld.live/RapDetail.aspx?STONELIST=925950616&amp;ISCONFIRM=0" xr:uid="{645A5D83-3527-43A6-9946-2561A780749A}"/>
    <hyperlink ref="C5056" r:id="rId5051" display="https://pld.live/RapDetail.aspx?STONELIST=925860681&amp;ISCONFIRM=0" xr:uid="{9CCDE651-6B7D-4A03-A1CA-8BB9DB778191}"/>
    <hyperlink ref="C5057" r:id="rId5052" display="https://pld.live/RapDetail.aspx?STONELIST=925520508&amp;ISCONFIRM=0" xr:uid="{EFBE06A9-4B28-46AE-9557-28F0F8D0BA41}"/>
    <hyperlink ref="C5058" r:id="rId5053" display="https://pld.live/RapDetail.aspx?STONELIST=925502682&amp;ISCONFIRM=0" xr:uid="{0995F89D-A36B-4DA9-AD19-1F267DFC2A51}"/>
    <hyperlink ref="C5059" r:id="rId5054" display="https://pld.live/RapDetail.aspx?STONELIST=941200073&amp;ISCONFIRM=0" xr:uid="{51A360FC-DABF-4FE9-A342-161159FED3F1}"/>
    <hyperlink ref="C5060" r:id="rId5055" display="https://pld.live/RapDetail.aspx?STONELIST=925950903&amp;ISCONFIRM=0" xr:uid="{62D57224-2CCD-40A7-B858-51CDB6852DEE}"/>
    <hyperlink ref="C5061" r:id="rId5056" display="https://pld.live/RapDetail.aspx?STONELIST=831010605&amp;ISCONFIRM=0" xr:uid="{AE1B9919-D56D-4E9D-8093-4B3107FE4A8D}"/>
    <hyperlink ref="C5062" r:id="rId5057" display="https://pld.live/RapDetail.aspx?STONELIST=821113618&amp;ISCONFIRM=0" xr:uid="{22BDA217-E71C-4B53-BB2E-AB04BC15BA1C}"/>
    <hyperlink ref="C5063" r:id="rId5058" display="https://pld.live/RapDetail.aspx?STONELIST=926200775&amp;ISCONFIRM=0" xr:uid="{387CA395-F50B-416E-8069-4C8019AD26B2}"/>
    <hyperlink ref="C5064" r:id="rId5059" display="https://pld.live/RapDetail.aspx?STONELIST=831020379&amp;ISCONFIRM=0" xr:uid="{09098B0E-46E2-4EAB-8B95-CED3C0BDB36D}"/>
    <hyperlink ref="C5065" r:id="rId5060" display="https://pld.live/RapDetail.aspx?STONELIST=925660152&amp;ISCONFIRM=0" xr:uid="{39F2E961-C1E5-469D-8AB1-B061EF5AC92D}"/>
    <hyperlink ref="C5066" r:id="rId5061" display="https://pld.live/RapDetail.aspx?STONELIST=925521950&amp;ISCONFIRM=0" xr:uid="{B5D46DB2-66BB-461C-A033-5D5B56EBD4ED}"/>
    <hyperlink ref="C5067" r:id="rId5062" display="https://pld.live/RapDetail.aspx?STONELIST=925630383&amp;ISCONFIRM=0" xr:uid="{D3795FEF-86E5-4BBE-BF6C-18BACC4DAD64}"/>
    <hyperlink ref="C5068" r:id="rId5063" display="https://pld.live/RapDetail.aspx?STONELIST=925120325&amp;ISCONFIRM=0" xr:uid="{5B08F661-EA50-4DE9-B9BC-5FF50B7503F6}"/>
    <hyperlink ref="C5069" r:id="rId5064" display="https://pld.live/RapDetail.aspx?STONELIST=925950666&amp;ISCONFIRM=0" xr:uid="{17E4A0C6-148B-4CB6-8AB7-3A7D1D500F6C}"/>
    <hyperlink ref="C5070" r:id="rId5065" display="https://pld.live/RapDetail.aspx?STONELIST=821126877&amp;ISCONFIRM=0" xr:uid="{F8904780-5059-4B21-BF56-89A77963F3FC}"/>
    <hyperlink ref="C5071" r:id="rId5066" display="https://pld.live/RapDetail.aspx?STONELIST=925110368&amp;ISCONFIRM=0" xr:uid="{6C699AA6-0FD9-4EC0-A6B8-749E97E59A37}"/>
    <hyperlink ref="C5072" r:id="rId5067" display="https://pld.live/RapDetail.aspx?STONELIST=922240070&amp;ISCONFIRM=0" xr:uid="{A3F3FC91-5AEA-4A1F-8DEB-EB33059BA49E}"/>
    <hyperlink ref="C5073" r:id="rId5068" display="https://pld.live/RapDetail.aspx?STONELIST=925930234&amp;ISCONFIRM=0" xr:uid="{CB5E3F8E-D800-4EC4-A325-68AF3D9B2B3A}"/>
    <hyperlink ref="C5074" r:id="rId5069" display="https://pld.live/RapDetail.aspx?STONELIST=926200791&amp;ISCONFIRM=0" xr:uid="{360B2619-C5E1-4D80-9B63-416A827294A3}"/>
    <hyperlink ref="C5075" r:id="rId5070" display="https://pld.live/RapDetail.aspx?STONELIST=926990465&amp;ISCONFIRM=0" xr:uid="{C4A85F43-3127-47D4-923C-625AD391C1D8}"/>
    <hyperlink ref="C5076" r:id="rId5071" display="https://pld.live/RapDetail.aspx?STONELIST=926740830&amp;ISCONFIRM=0" xr:uid="{73A19F90-7848-4ECD-A488-9D0092A98452}"/>
    <hyperlink ref="C5077" r:id="rId5072" display="https://pld.live/RapDetail.aspx?STONELIST=926990486&amp;ISCONFIRM=0" xr:uid="{15229AB7-DA63-4170-B7CC-298641BA727C}"/>
    <hyperlink ref="C5078" r:id="rId5073" display="https://pld.live/RapDetail.aspx?STONELIST=925621656&amp;ISCONFIRM=0" xr:uid="{3CFBC02E-4ADD-4837-A177-854A8A2CA19B}"/>
    <hyperlink ref="C5079" r:id="rId5074" display="https://pld.live/RapDetail.aspx?STONELIST=925621696&amp;ISCONFIRM=0" xr:uid="{2B364261-8F9A-4925-91B6-0D063EB096E5}"/>
    <hyperlink ref="C5080" r:id="rId5075" display="https://pld.live/RapDetail.aspx?STONELIST=925520408&amp;ISCONFIRM=0" xr:uid="{5462DF47-CA7B-4EC2-811B-867D44C2711A}"/>
    <hyperlink ref="C5081" r:id="rId5076" display="https://pld.live/RapDetail.aspx?STONELIST=925542657&amp;ISCONFIRM=0" xr:uid="{FBC473FC-9C1C-4BD9-A72F-3F2A8D872CC2}"/>
    <hyperlink ref="C5082" r:id="rId5077" display="https://pld.live/RapDetail.aspx?STONELIST=926171205&amp;ISCONFIRM=0" xr:uid="{B6B80EA0-A61B-4484-A552-04F10D016A35}"/>
    <hyperlink ref="C5083" r:id="rId5078" display="https://pld.live/RapDetail.aspx?STONELIST=926020588&amp;ISCONFIRM=0" xr:uid="{01D59023-03A1-423E-A240-C544E2C1000C}"/>
    <hyperlink ref="C5084" r:id="rId5079" display="https://pld.live/RapDetail.aspx?STONELIST=926170791&amp;ISCONFIRM=0" xr:uid="{22629E9C-B456-45CC-81AA-5F9658FE8916}"/>
    <hyperlink ref="C5085" r:id="rId5080" display="https://pld.live/RapDetail.aspx?STONELIST=926041065&amp;ISCONFIRM=0" xr:uid="{4E0545F6-95BF-4162-A403-1F2B82FEF2CB}"/>
    <hyperlink ref="C5086" r:id="rId5081" display="https://pld.live/RapDetail.aspx?STONELIST=926100880&amp;ISCONFIRM=0" xr:uid="{4BC35395-2290-4653-ACFD-ED2D16676BFB}"/>
    <hyperlink ref="C5087" r:id="rId5082" display="https://pld.live/RapDetail.aspx?STONELIST=925801581&amp;ISCONFIRM=0" xr:uid="{C2EDAC64-49C2-4B78-B50A-D7CC4261DACD}"/>
    <hyperlink ref="C5088" r:id="rId5083" display="https://pld.live/RapDetail.aspx?STONELIST=925861556&amp;ISCONFIRM=0" xr:uid="{6C9808A5-7E7F-4802-A24C-98C8BB04AB3F}"/>
    <hyperlink ref="C5089" r:id="rId5084" display="https://pld.live/RapDetail.aspx?STONELIST=925930092&amp;ISCONFIRM=0" xr:uid="{AE23D810-2E70-4C34-8734-F8E394AA3858}"/>
    <hyperlink ref="C5090" r:id="rId5085" display="https://pld.live/RapDetail.aspx?STONELIST=926071479&amp;ISCONFIRM=0" xr:uid="{6452BEB7-D9D7-4236-85E7-097F10BDDD0A}"/>
    <hyperlink ref="C5091" r:id="rId5086" display="https://pld.live/RapDetail.aspx?STONELIST=925981006&amp;ISCONFIRM=0" xr:uid="{674DEE98-B83F-41D2-9F95-4AA0822D4C80}"/>
    <hyperlink ref="C5092" r:id="rId5087" display="https://pld.live/RapDetail.aspx?STONELIST=925980906&amp;ISCONFIRM=0" xr:uid="{2B8CBDF3-E742-4FD3-B29A-6BF20E9174F4}"/>
    <hyperlink ref="C5093" r:id="rId5088" display="https://pld.live/RapDetail.aspx?STONELIST=925890527&amp;ISCONFIRM=0" xr:uid="{88BC00F7-D2EF-44C6-B541-62B4F5C743E1}"/>
    <hyperlink ref="C5094" r:id="rId5089" display="https://pld.live/RapDetail.aspx?STONELIST=925801084&amp;ISCONFIRM=0" xr:uid="{F1EB9BF0-391B-4336-A485-C87A32F2D43A}"/>
    <hyperlink ref="C5095" r:id="rId5090" display="https://pld.live/RapDetail.aspx?STONELIST=925551940&amp;ISCONFIRM=0" xr:uid="{AA2DD283-0B8E-49E0-AE8C-63C7B4E7C70B}"/>
    <hyperlink ref="C5096" r:id="rId5091" display="https://pld.live/RapDetail.aspx?STONELIST=925521265&amp;ISCONFIRM=0" xr:uid="{98AF555C-6216-4113-85F9-4875CCDE19F7}"/>
    <hyperlink ref="C5097" r:id="rId5092" display="https://pld.live/RapDetail.aspx?STONELIST=926020696&amp;ISCONFIRM=0" xr:uid="{1627E0B5-403F-40AD-8ED0-FE891DF4D339}"/>
    <hyperlink ref="C5098" r:id="rId5093" display="https://pld.live/RapDetail.aspx?STONELIST=925730813&amp;ISCONFIRM=0" xr:uid="{ED13CF4F-8BB6-49E1-AB08-0FF694291B6F}"/>
    <hyperlink ref="C5099" r:id="rId5094" display="https://pld.live/RapDetail.aspx?STONELIST=923800378&amp;ISCONFIRM=0" xr:uid="{756150ED-6708-417D-BC71-BC311C0F7C30}"/>
    <hyperlink ref="C5100" r:id="rId5095" display="https://pld.live/RapDetail.aspx?STONELIST=925860680&amp;ISCONFIRM=0" xr:uid="{96C992AA-6DE5-401A-AACB-21305A18758E}"/>
    <hyperlink ref="C5101" r:id="rId5096" display="https://pld.live/RapDetail.aspx?STONELIST=926740380&amp;ISCONFIRM=0" xr:uid="{22031F79-CE2A-474A-A83D-314B717D4F70}"/>
    <hyperlink ref="C5102" r:id="rId5097" display="https://pld.live/RapDetail.aspx?STONELIST=925720792&amp;ISCONFIRM=0" xr:uid="{9A8699A1-AA3F-46D7-A845-81D25FC11C1F}"/>
    <hyperlink ref="C5103" r:id="rId5098" display="https://pld.live/RapDetail.aspx?STONELIST=925861277&amp;ISCONFIRM=0" xr:uid="{384D3EB8-7156-44B5-9442-FBD2BB18033D}"/>
    <hyperlink ref="C5104" r:id="rId5099" display="https://pld.live/RapDetail.aspx?STONELIST=925731744&amp;ISCONFIRM=0" xr:uid="{BAFAAE4D-785F-4D80-BCFC-E6F775E2B72E}"/>
    <hyperlink ref="C5105" r:id="rId5100" display="https://pld.live/RapDetail.aspx?STONELIST=926740890&amp;ISCONFIRM=0" xr:uid="{8E3287CB-79E6-4692-B393-E779351E4F4A}"/>
    <hyperlink ref="C5106" r:id="rId5101" display="https://pld.live/RapDetail.aspx?STONELIST=925520250&amp;ISCONFIRM=0" xr:uid="{55ECD662-1AC7-41A0-A13C-E2FC63D3B8EA}"/>
    <hyperlink ref="C5107" r:id="rId5102" display="https://pld.live/RapDetail.aspx?STONELIST=925880261&amp;ISCONFIRM=0" xr:uid="{23E83890-7BE0-4ABD-B290-4E9906974C57}"/>
    <hyperlink ref="C5108" r:id="rId5103" display="https://pld.live/RapDetail.aspx?STONELIST=926901120&amp;ISCONFIRM=0" xr:uid="{9B88B6FF-577A-46AF-89AA-35276A1FB951}"/>
    <hyperlink ref="C5109" r:id="rId5104" display="https://pld.live/RapDetail.aspx?STONELIST=926171452&amp;ISCONFIRM=0" xr:uid="{3A60C1B8-8166-411C-A2DA-BB3F5C662E95}"/>
    <hyperlink ref="C5110" r:id="rId5105" display="https://pld.live/RapDetail.aspx?STONELIST=925521944&amp;ISCONFIRM=0" xr:uid="{7F069671-4823-4B02-8B0A-F9C4B65C00BB}"/>
    <hyperlink ref="C5111" r:id="rId5106" display="https://pld.live/RapDetail.aspx?STONELIST=926040919&amp;ISCONFIRM=0" xr:uid="{77AFBA28-2B27-40B6-945A-136122C35467}"/>
    <hyperlink ref="C5112" r:id="rId5107" display="https://pld.live/RapDetail.aspx?STONELIST=831010615&amp;ISCONFIRM=0" xr:uid="{6BEE5AE6-F729-4477-B995-ABC9D6C064D5}"/>
    <hyperlink ref="C5113" r:id="rId5108" display="https://pld.live/RapDetail.aspx?STONELIST=831010818&amp;ISCONFIRM=0" xr:uid="{1A77AC47-544A-4784-98B5-338D8241F262}"/>
    <hyperlink ref="C5114" r:id="rId5109" display="https://pld.live/RapDetail.aspx?STONELIST=924510199&amp;ISCONFIRM=0" xr:uid="{6BF51572-DB90-409B-B4E4-64C4067EF3CF}"/>
    <hyperlink ref="C5115" r:id="rId5110" display="https://pld.live/RapDetail.aspx?STONELIST=923770357&amp;ISCONFIRM=0" xr:uid="{A0B5B404-229A-40A0-A515-407407A8BCE1}"/>
    <hyperlink ref="C5116" r:id="rId5111" display="https://pld.live/RapDetail.aspx?STONELIST=926830894&amp;ISCONFIRM=0" xr:uid="{334A4FAF-CF14-4115-8838-007157D13A04}"/>
    <hyperlink ref="C5117" r:id="rId5112" display="https://pld.live/RapDetail.aspx?STONELIST=925500682&amp;ISCONFIRM=0" xr:uid="{79FD13F3-74BE-45E5-B38A-2590E04647A6}"/>
    <hyperlink ref="C5118" r:id="rId5113" display="https://pld.live/RapDetail.aspx?STONELIST=925520305&amp;ISCONFIRM=0" xr:uid="{261D0918-E576-4241-A291-F58E2E2AE2E1}"/>
    <hyperlink ref="C5119" r:id="rId5114" display="https://pld.live/RapDetail.aspx?STONELIST=926170672&amp;ISCONFIRM=0" xr:uid="{1F26E1A9-47E7-412A-9DCD-1083C8B107CD}"/>
    <hyperlink ref="C5120" r:id="rId5115" display="https://pld.live/RapDetail.aspx?STONELIST=925850482&amp;ISCONFIRM=0" xr:uid="{6DB8FBC1-A041-4DDC-AB40-3A552945726D}"/>
    <hyperlink ref="C5121" r:id="rId5116" display="https://pld.live/RapDetail.aspx?STONELIST=925731622&amp;ISCONFIRM=0" xr:uid="{F829EA50-6C54-491B-B867-DA6A974B0861}"/>
    <hyperlink ref="C5122" r:id="rId5117" display="https://pld.live/RapDetail.aspx?STONELIST=925801699&amp;ISCONFIRM=0" xr:uid="{0B783E9B-12C7-4D72-A056-634F49E44033}"/>
    <hyperlink ref="C5123" r:id="rId5118" display="https://pld.live/RapDetail.aspx?STONELIST=925731910&amp;ISCONFIRM=0" xr:uid="{AED25069-6582-442B-8676-1046770454A0}"/>
    <hyperlink ref="C5124" r:id="rId5119" display="https://pld.live/RapDetail.aspx?STONELIST=925890563&amp;ISCONFIRM=0" xr:uid="{2583AE53-0676-4DBA-880D-A29744AD6162}"/>
    <hyperlink ref="C5125" r:id="rId5120" display="https://pld.live/RapDetail.aspx?STONELIST=925732043&amp;ISCONFIRM=0" xr:uid="{21382AF9-9B00-49D8-8B84-75666C98FDEE}"/>
    <hyperlink ref="C5126" r:id="rId5121" display="https://pld.live/RapDetail.aspx?STONELIST=831010694&amp;ISCONFIRM=0" xr:uid="{A9F0150B-AB3F-45CA-800B-F4134CF87626}"/>
    <hyperlink ref="C5127" r:id="rId5122" display="https://pld.live/RapDetail.aspx?STONELIST=926841351&amp;ISCONFIRM=0" xr:uid="{6BC606DD-9318-45BF-B90B-CA5CB78A1BFF}"/>
    <hyperlink ref="C5128" r:id="rId5123" display="https://pld.live/RapDetail.aspx?STONELIST=925552007&amp;ISCONFIRM=0" xr:uid="{1C5CD3BD-010C-4EED-ACEC-B5B333DCA78D}"/>
    <hyperlink ref="C5129" r:id="rId5124" display="https://pld.live/RapDetail.aspx?STONELIST=925610272&amp;ISCONFIRM=0" xr:uid="{F6FBFC91-8932-433D-8523-D881BB0C89FF}"/>
    <hyperlink ref="C5130" r:id="rId5125" display="https://pld.live/RapDetail.aspx?STONELIST=925721171&amp;ISCONFIRM=0" xr:uid="{6A1CAABC-A8A7-47C7-A94A-F7D7C345FC13}"/>
    <hyperlink ref="C5131" r:id="rId5126" display="https://pld.live/RapDetail.aspx?STONELIST=925721993&amp;ISCONFIRM=0" xr:uid="{9BDB2767-A6A0-4DB3-BCBF-2CAC2E1BAD34}"/>
    <hyperlink ref="C5132" r:id="rId5127" display="https://pld.live/RapDetail.aspx?STONELIST=925971274&amp;ISCONFIRM=0" xr:uid="{B7B4D963-F00C-4355-814F-407FA8AAB039}"/>
    <hyperlink ref="C5133" r:id="rId5128" display="https://pld.live/RapDetail.aspx?STONELIST=925731932&amp;ISCONFIRM=0" xr:uid="{F43FD162-BF29-4C6C-B2C8-06A00D408877}"/>
    <hyperlink ref="C5134" r:id="rId5129" display="https://pld.live/RapDetail.aspx?STONELIST=925731425&amp;ISCONFIRM=0" xr:uid="{71EBFD13-A4E2-44E5-9C76-F466B3E6CE14}"/>
    <hyperlink ref="C5135" r:id="rId5130" display="https://pld.live/RapDetail.aspx?STONELIST=925920640&amp;ISCONFIRM=0" xr:uid="{5539A529-683C-41C7-A268-2B9A24EB081E}"/>
    <hyperlink ref="C5136" r:id="rId5131" display="https://pld.live/RapDetail.aspx?STONELIST=925890410&amp;ISCONFIRM=0" xr:uid="{60CC0931-3F93-41D1-A359-A3F5CCBE3183}"/>
    <hyperlink ref="C5137" r:id="rId5132" display="https://pld.live/RapDetail.aspx?STONELIST=925890437&amp;ISCONFIRM=0" xr:uid="{94FCBECE-6292-4AC1-9539-AFF365286299}"/>
    <hyperlink ref="C5138" r:id="rId5133" display="https://pld.live/RapDetail.aspx?STONELIST=925890529&amp;ISCONFIRM=0" xr:uid="{8735CCF4-6F9B-4542-B1DC-FA4B893B5A32}"/>
    <hyperlink ref="C5139" r:id="rId5134" display="https://pld.live/RapDetail.aspx?STONELIST=925801671&amp;ISCONFIRM=0" xr:uid="{C729D91E-31F7-4D7B-A068-ECEE8CA05A9D}"/>
    <hyperlink ref="C5140" r:id="rId5135" display="https://pld.live/RapDetail.aspx?STONELIST=926930824&amp;ISCONFIRM=0" xr:uid="{AAE973D3-BEB0-4E6D-B9BE-4215969237B8}"/>
    <hyperlink ref="C5141" r:id="rId5136" display="https://pld.live/RapDetail.aspx?STONELIST=926200801&amp;ISCONFIRM=0" xr:uid="{665553F6-5A4B-4110-AFB7-704361C3D3DF}"/>
    <hyperlink ref="C5142" r:id="rId5137" display="https://pld.live/RapDetail.aspx?STONELIST=925721915&amp;ISCONFIRM=0" xr:uid="{4B6DDB77-D493-4533-AF11-AAAF4684042E}"/>
    <hyperlink ref="C5143" r:id="rId5138" display="https://pld.live/RapDetail.aspx?STONELIST=925730812&amp;ISCONFIRM=0" xr:uid="{EF96B0F9-7CC6-430D-A612-18154E149469}"/>
    <hyperlink ref="C5144" r:id="rId5139" display="https://pld.live/RapDetail.aspx?STONELIST=926171125&amp;ISCONFIRM=0" xr:uid="{AD8B1CD2-9B51-4CF3-AECD-BFA8461E4EB5}"/>
    <hyperlink ref="C5145" r:id="rId5140" display="https://pld.live/RapDetail.aspx?STONELIST=926100834&amp;ISCONFIRM=0" xr:uid="{7BECE6DA-02DA-4B6D-B4C1-D6BF86484798}"/>
    <hyperlink ref="C5146" r:id="rId5141" display="https://pld.live/RapDetail.aspx?STONELIST=925621997&amp;ISCONFIRM=0" xr:uid="{3BE16DF9-538B-4AE6-BED1-EF33D5865FF4}"/>
    <hyperlink ref="C5147" r:id="rId5142" display="https://pld.live/RapDetail.aspx?STONELIST=926171509&amp;ISCONFIRM=0" xr:uid="{46A5C1B9-12ED-4651-8843-4F9BCC4CCB66}"/>
    <hyperlink ref="C5148" r:id="rId5143" display="https://pld.live/RapDetail.aspx?STONELIST=925731566&amp;ISCONFIRM=0" xr:uid="{FD05D5CF-37BB-4A70-8D2D-BD612B0AAC5C}"/>
    <hyperlink ref="C5149" r:id="rId5144" display="https://pld.live/RapDetail.aspx?STONELIST=831010696&amp;ISCONFIRM=0" xr:uid="{191ED427-A545-4F9B-85BF-031B529CD6F1}"/>
    <hyperlink ref="C5150" r:id="rId5145" display="https://pld.live/RapDetail.aspx?STONELIST=925521448&amp;ISCONFIRM=0" xr:uid="{138DA89D-8F72-42F2-8716-B75605F5B961}"/>
    <hyperlink ref="C5151" r:id="rId5146" display="https://pld.live/RapDetail.aspx?STONELIST=925721183&amp;ISCONFIRM=0" xr:uid="{71122D8B-7ABB-4141-BB5E-CB3E3D461743}"/>
    <hyperlink ref="C5152" r:id="rId5147" display="https://pld.live/RapDetail.aspx?STONELIST=926200799&amp;ISCONFIRM=0" xr:uid="{C317569E-DE48-42D3-8E84-B18FFEDCEE94}"/>
    <hyperlink ref="C5153" r:id="rId5148" display="https://pld.live/RapDetail.aspx?STONELIST=923780367&amp;ISCONFIRM=0" xr:uid="{83FA670A-73BC-4BB0-B92C-C376B64C89A1}"/>
    <hyperlink ref="C5154" r:id="rId5149" display="https://pld.live/RapDetail.aspx?STONELIST=831010608&amp;ISCONFIRM=0" xr:uid="{3C8471F9-7030-4197-8971-7E2A31073FD4}"/>
    <hyperlink ref="C5155" r:id="rId5150" display="https://pld.live/RapDetail.aspx?STONELIST=926830883&amp;ISCONFIRM=0" xr:uid="{02C200E6-6C0A-4A51-8D2A-B771726DC3A8}"/>
    <hyperlink ref="C5156" r:id="rId5151" display="https://pld.live/RapDetail.aspx?STONELIST=941150102&amp;ISCONFIRM=0" xr:uid="{7B4CC7BB-787B-4787-978B-8EB5FC6753E6}"/>
    <hyperlink ref="C5157" r:id="rId5152" display="https://pld.live/RapDetail.aspx?STONELIST=925890481&amp;ISCONFIRM=0" xr:uid="{C589C33D-9ADF-4ACE-BAF4-917DB8FE8DCD}"/>
    <hyperlink ref="C5158" r:id="rId5153" display="https://pld.live/RapDetail.aspx?STONELIST=926910594&amp;ISCONFIRM=0" xr:uid="{281CB201-0E78-4E0C-A7F3-6573D6C4E38D}"/>
    <hyperlink ref="C5159" r:id="rId5154" display="https://pld.live/RapDetail.aspx?STONELIST=925930139&amp;ISCONFIRM=0" xr:uid="{4BF90CCA-A19D-4DF9-8135-A98233662831}"/>
    <hyperlink ref="C5160" r:id="rId5155" display="https://pld.live/RapDetail.aspx?STONELIST=926910610&amp;ISCONFIRM=0" xr:uid="{48FECF13-D63A-4221-90A1-AE99EA990D89}"/>
    <hyperlink ref="C5161" r:id="rId5156" display="https://pld.live/RapDetail.aspx?STONELIST=941200080&amp;ISCONFIRM=0" xr:uid="{5069A306-6B1E-47BD-B36B-CABB772EEB08}"/>
    <hyperlink ref="C5162" r:id="rId5157" display="https://pld.live/RapDetail.aspx?STONELIST=925621849&amp;ISCONFIRM=0" xr:uid="{3F837EF1-B00C-4741-B752-87BF30F7224A}"/>
    <hyperlink ref="C5163" r:id="rId5158" display="https://pld.live/RapDetail.aspx?STONELIST=927052465&amp;ISCONFIRM=0" xr:uid="{BF13F5E6-361F-4959-B995-9DD418F63FF6}"/>
    <hyperlink ref="C5164" r:id="rId5159" display="https://pld.live/RapDetail.aspx?STONELIST=925961386&amp;ISCONFIRM=0" xr:uid="{6C28B4AB-69CA-4C01-929D-64DD4B7C401D}"/>
    <hyperlink ref="C5165" r:id="rId5160" display="https://pld.live/RapDetail.aspx?STONELIST=925950964&amp;ISCONFIRM=0" xr:uid="{293D0A27-E87D-4DE4-9C7D-86CAD054852E}"/>
    <hyperlink ref="C5166" r:id="rId5161" display="https://pld.live/RapDetail.aspx?STONELIST=925420392&amp;ISCONFIRM=0" xr:uid="{B0EE32EC-1E62-426C-8681-78E525EBD8E0}"/>
    <hyperlink ref="C5167" r:id="rId5162" display="https://pld.live/RapDetail.aspx?STONELIST=926170628&amp;ISCONFIRM=0" xr:uid="{95DEFB20-4297-45B0-821A-2974F953350B}"/>
    <hyperlink ref="C5168" r:id="rId5163" display="https://pld.live/RapDetail.aspx?STONELIST=925730637&amp;ISCONFIRM=0" xr:uid="{EC36C6BF-60BF-40AC-8E80-7685B88014BC}"/>
    <hyperlink ref="C5169" r:id="rId5164" display="https://pld.live/RapDetail.aspx?STONELIST=923660335&amp;ISCONFIRM=0" xr:uid="{BAD04C8A-EE8B-4FB2-A87B-D3E13CF1EE4B}"/>
    <hyperlink ref="C5170" r:id="rId5165" display="https://pld.live/RapDetail.aspx?STONELIST=831010482&amp;ISCONFIRM=0" xr:uid="{4C659704-3C0D-4A9A-AA62-FF20ECBBEAF5}"/>
    <hyperlink ref="C5171" r:id="rId5166" display="https://pld.live/RapDetail.aspx?STONELIST=831010817&amp;ISCONFIRM=0" xr:uid="{2C6FC579-1545-432D-B316-8E3EC30F5305}"/>
    <hyperlink ref="C5172" r:id="rId5167" display="https://pld.live/RapDetail.aspx?STONELIST=924410605&amp;ISCONFIRM=0" xr:uid="{D763569F-CF47-4165-BE8C-E408D7DF3C25}"/>
    <hyperlink ref="C5173" r:id="rId5168" display="https://pld.live/RapDetail.aspx?STONELIST=831010613&amp;ISCONFIRM=0" xr:uid="{08E83215-5AE3-44CE-9DFB-7D71F8A0B0FA}"/>
    <hyperlink ref="C5174" r:id="rId5169" display="https://pld.live/RapDetail.aspx?STONELIST=926410074&amp;ISCONFIRM=0" xr:uid="{045E2AE1-E32E-4A8C-A404-31FAAAFFA2FB}"/>
    <hyperlink ref="C5175" r:id="rId5170" display="https://pld.live/RapDetail.aspx?STONELIST=924500121&amp;ISCONFIRM=0" xr:uid="{456C55E0-2C66-4831-B82B-DC4F4062AE31}"/>
    <hyperlink ref="C5176" r:id="rId5171" display="https://pld.live/RapDetail.aspx?STONELIST=925861873&amp;ISCONFIRM=0" xr:uid="{5F7AF5BA-3178-4B31-9AB5-476BD064F8AD}"/>
    <hyperlink ref="C5177" r:id="rId5172" display="https://pld.live/RapDetail.aspx?STONELIST=925370389&amp;ISCONFIRM=0" xr:uid="{B22DC967-D438-46DC-B554-2A91351BA63E}"/>
    <hyperlink ref="C5178" r:id="rId5173" display="https://pld.live/RapDetail.aspx?STONELIST=925621782&amp;ISCONFIRM=0" xr:uid="{FCEA85ED-EABB-4AB6-ABF9-7402772A5E44}"/>
    <hyperlink ref="C5179" r:id="rId5174" display="https://pld.live/RapDetail.aspx?STONELIST=925771193&amp;ISCONFIRM=0" xr:uid="{0D5E4744-F495-44B5-93E0-8AA61F5ECA0F}"/>
    <hyperlink ref="C5180" r:id="rId5175" display="https://pld.live/RapDetail.aspx?STONELIST=925860974&amp;ISCONFIRM=0" xr:uid="{FB266E00-A8E6-4561-9711-8D04138B0962}"/>
    <hyperlink ref="C5181" r:id="rId5176" display="https://pld.live/RapDetail.aspx?STONELIST=925861499&amp;ISCONFIRM=0" xr:uid="{6D02C93B-F7D5-45C4-9BEE-54BD1833550E}"/>
    <hyperlink ref="C5182" r:id="rId5177" display="https://pld.live/RapDetail.aspx?STONELIST=923600431&amp;ISCONFIRM=0" xr:uid="{60387F3F-3F34-4ABE-9731-4A68B5C7BDCB}"/>
    <hyperlink ref="C5183" r:id="rId5178" display="https://pld.live/RapDetail.aspx?STONELIST=926901010&amp;ISCONFIRM=0" xr:uid="{9259BE36-8B2E-4C66-BCAE-849F8AD66631}"/>
    <hyperlink ref="C5184" r:id="rId5179" display="https://pld.live/RapDetail.aspx?STONELIST=926830942&amp;ISCONFIRM=0" xr:uid="{8776BE3D-31E6-42B8-A736-2EB9EF42E3DD}"/>
    <hyperlink ref="C5185" r:id="rId5180" display="https://pld.live/RapDetail.aspx?STONELIST=926740690&amp;ISCONFIRM=0" xr:uid="{5CF05524-02EB-4941-9171-ECB6038AD4D6}"/>
    <hyperlink ref="C5186" r:id="rId5181" display="https://pld.live/RapDetail.aspx?STONELIST=925500575&amp;ISCONFIRM=0" xr:uid="{D2B69F35-AC9D-4BF6-BFB9-20F5250C0416}"/>
    <hyperlink ref="C5187" r:id="rId5182" display="https://pld.live/RapDetail.aspx?STONELIST=925721787&amp;ISCONFIRM=0" xr:uid="{BF56DAF8-70F8-4012-B686-37B342BBC455}"/>
    <hyperlink ref="C5188" r:id="rId5183" display="https://pld.live/RapDetail.aspx?STONELIST=926171444&amp;ISCONFIRM=0" xr:uid="{BF4F7FBA-1BDE-40C3-9EB9-11CDC42704EC}"/>
    <hyperlink ref="C5189" r:id="rId5184" display="https://pld.live/RapDetail.aspx?STONELIST=925970836&amp;ISCONFIRM=0" xr:uid="{1B562072-8D4A-47AA-8D36-05E8A2CE97D8}"/>
    <hyperlink ref="C5190" r:id="rId5185" display="https://pld.live/RapDetail.aspx?STONELIST=925731602&amp;ISCONFIRM=0" xr:uid="{66B8BF16-CCE3-4A60-8B9D-A9E266CB3D29}"/>
    <hyperlink ref="C5191" r:id="rId5186" display="https://pld.live/RapDetail.aspx?STONELIST=923450153&amp;ISCONFIRM=0" xr:uid="{CC92AD16-4A56-4D46-8C72-00A2416314DE}"/>
    <hyperlink ref="C5192" r:id="rId5187" display="https://pld.live/RapDetail.aspx?STONELIST=925801453&amp;ISCONFIRM=0" xr:uid="{FEC6ADA9-DC69-454A-9F9B-04FFB31A6932}"/>
    <hyperlink ref="C5193" r:id="rId5188" display="https://pld.live/RapDetail.aspx?STONELIST=925951050&amp;ISCONFIRM=0" xr:uid="{FA04D24A-F479-4205-9E27-B4F2434FDA5E}"/>
    <hyperlink ref="C5194" r:id="rId5189" display="https://pld.live/RapDetail.aspx?STONELIST=925732002&amp;ISCONFIRM=0" xr:uid="{D0352824-C70A-4F1F-AF6F-993244CBD2B0}"/>
    <hyperlink ref="C5195" r:id="rId5190" display="https://pld.live/RapDetail.aspx?STONELIST=925731755&amp;ISCONFIRM=0" xr:uid="{3F07D45A-1278-4599-8FE0-CD98F4DF28ED}"/>
    <hyperlink ref="C5196" r:id="rId5191" display="https://pld.live/RapDetail.aspx?STONELIST=925861615&amp;ISCONFIRM=0" xr:uid="{0ACA2D38-DAF4-4D79-AD5A-E090E99BFC53}"/>
    <hyperlink ref="C5197" r:id="rId5192" display="https://pld.live/RapDetail.aspx?STONELIST=925621654&amp;ISCONFIRM=0" xr:uid="{C041EC05-4C55-4180-9917-2C2103C6914B}"/>
    <hyperlink ref="C5198" r:id="rId5193" display="https://pld.live/RapDetail.aspx?STONELIST=925861971&amp;ISCONFIRM=0" xr:uid="{8389FFC8-2E8A-4E96-9E88-D695E5781134}"/>
    <hyperlink ref="C5199" r:id="rId5194" display="https://pld.live/RapDetail.aspx?STONELIST=925861667&amp;ISCONFIRM=0" xr:uid="{5FAE42C2-F6D7-4017-82C1-DC3D27A16F67}"/>
    <hyperlink ref="C5200" r:id="rId5195" display="https://pld.live/RapDetail.aspx?STONELIST=926200756&amp;ISCONFIRM=0" xr:uid="{AF3F0D25-9D08-4EA7-A9B1-0C88BC242C7D}"/>
    <hyperlink ref="C5201" r:id="rId5196" display="https://pld.live/RapDetail.aspx?STONELIST=831010808&amp;ISCONFIRM=0" xr:uid="{0A11308C-4775-4E5E-8EAD-7F61BA34B547}"/>
    <hyperlink ref="C5202" r:id="rId5197" display="https://pld.live/RapDetail.aspx?STONELIST=925552032&amp;ISCONFIRM=0" xr:uid="{61F3F6B4-BF29-48FC-97A1-E61506B450F1}"/>
    <hyperlink ref="C5203" r:id="rId5198" display="https://pld.live/RapDetail.aspx?STONELIST=926170171&amp;ISCONFIRM=0" xr:uid="{9ED907C5-7308-4F7B-A412-D8DEBDBE3215}"/>
    <hyperlink ref="C5204" r:id="rId5199" display="https://pld.live/RapDetail.aspx?STONELIST=925621876&amp;ISCONFIRM=0" xr:uid="{A1BBDBFE-2ED7-47F0-88BF-BA9458236E09}"/>
    <hyperlink ref="C5205" r:id="rId5200" display="https://pld.live/RapDetail.aspx?STONELIST=831010744&amp;ISCONFIRM=0" xr:uid="{B2855ACB-3DF0-4FF7-A2FA-C3C7E8F633E6}"/>
    <hyperlink ref="C5206" r:id="rId5201" display="https://pld.live/RapDetail.aspx?STONELIST=941200284&amp;ISCONFIRM=0" xr:uid="{C0B191B4-5614-47D5-9F36-47A98B24EF2F}"/>
    <hyperlink ref="C5207" r:id="rId5202" display="https://pld.live/RapDetail.aspx?STONELIST=925552015&amp;ISCONFIRM=0" xr:uid="{1A2D088C-FAE4-411E-B346-C9B5A800A64D}"/>
    <hyperlink ref="C5208" r:id="rId5203" display="https://pld.live/RapDetail.aspx?STONELIST=925861062&amp;ISCONFIRM=0" xr:uid="{DB5E48E2-1B10-4ABD-9DF4-C0A76AE9E2B2}"/>
    <hyperlink ref="C5209" r:id="rId5204" display="https://pld.live/RapDetail.aspx?STONELIST=926200962&amp;ISCONFIRM=0" xr:uid="{E4972D36-2DD0-4CD0-AE7A-89D4A8627C99}"/>
    <hyperlink ref="C5210" r:id="rId5205" display="https://pld.live/RapDetail.aspx?STONELIST=831020700&amp;ISCONFIRM=0" xr:uid="{BC0B06DF-6CBB-4C05-9E7A-1DD2239F750E}"/>
    <hyperlink ref="C5211" r:id="rId5206" display="https://pld.live/RapDetail.aspx?STONELIST=831020719&amp;ISCONFIRM=0" xr:uid="{F3CDB1EC-A90E-49F8-A490-DB7DC9C841DA}"/>
    <hyperlink ref="C5212" r:id="rId5207" display="https://pld.live/RapDetail.aspx?STONELIST=831020500&amp;ISCONFIRM=0" xr:uid="{A2EFC6A8-C5AF-43F0-A3E3-428A91A10CDE}"/>
    <hyperlink ref="C5213" r:id="rId5208" display="https://pld.live/RapDetail.aspx?STONELIST=831020115&amp;ISCONFIRM=0" xr:uid="{38DB441C-B295-48F0-B624-CBD39ADCD77C}"/>
    <hyperlink ref="C5214" r:id="rId5209" display="https://pld.live/RapDetail.aspx?STONELIST=926150082&amp;ISCONFIRM=0" xr:uid="{FCC656F4-897E-49C9-9662-E10BE270E106}"/>
    <hyperlink ref="C5215" r:id="rId5210" display="https://pld.live/RapDetail.aspx?STONELIST=925621916&amp;ISCONFIRM=0" xr:uid="{EC0A2984-C961-49CD-901E-5B2CD3740F78}"/>
    <hyperlink ref="C5216" r:id="rId5211" display="https://pld.live/RapDetail.aspx?STONELIST=926200955&amp;ISCONFIRM=0" xr:uid="{5FCEAE9F-093E-4693-9EDE-0162095E16D0}"/>
    <hyperlink ref="C5217" r:id="rId5212" display="https://pld.live/RapDetail.aspx?STONELIST=925731528&amp;ISCONFIRM=0" xr:uid="{C49166A1-B0BD-4CB5-9483-D3473A1ACDCB}"/>
    <hyperlink ref="C5218" r:id="rId5213" display="https://pld.live/RapDetail.aspx?STONELIST=925801779&amp;ISCONFIRM=0" xr:uid="{C5EDD4A7-10D0-4D90-9175-DFD90FF609B7}"/>
    <hyperlink ref="C5219" r:id="rId5214" display="https://pld.live/RapDetail.aspx?STONELIST=925722075&amp;ISCONFIRM=0" xr:uid="{03A2CD37-01D8-425A-8439-01DAFCC0BA53}"/>
    <hyperlink ref="C5220" r:id="rId5215" display="https://pld.live/RapDetail.aspx?STONELIST=923540522&amp;ISCONFIRM=0" xr:uid="{DA2C663E-FEE6-493E-B45C-BE8D790A8023}"/>
    <hyperlink ref="C5221" r:id="rId5216" display="https://pld.live/RapDetail.aspx?STONELIST=924290001&amp;ISCONFIRM=0" xr:uid="{C0712D89-1FE9-4999-8276-BBAC0FFDCC94}"/>
    <hyperlink ref="C5222" r:id="rId5217" display="https://pld.live/RapDetail.aspx?STONELIST=925520766&amp;ISCONFIRM=0" xr:uid="{D22BC84A-FD52-468A-BF76-C02C779E3692}"/>
    <hyperlink ref="C5223" r:id="rId5218" display="https://pld.live/RapDetail.aspx?STONELIST=925521003&amp;ISCONFIRM=0" xr:uid="{3A3947F1-FE11-4B20-9B72-E2FE89A3A07F}"/>
    <hyperlink ref="C5224" r:id="rId5219" display="https://pld.live/RapDetail.aspx?STONELIST=926830980&amp;ISCONFIRM=0" xr:uid="{1C1415F0-13E3-4086-9401-D932DD25A3CD}"/>
    <hyperlink ref="C5225" r:id="rId5220" display="https://pld.live/RapDetail.aspx?STONELIST=926701134&amp;ISCONFIRM=0" xr:uid="{D72B9B0E-A136-48CF-9A99-DA60230EF2F7}"/>
    <hyperlink ref="C5226" r:id="rId5221" display="https://pld.live/RapDetail.aspx?STONELIST=925520296&amp;ISCONFIRM=0" xr:uid="{74C9EE17-8F3F-4434-8C9B-E99A9C813D12}"/>
    <hyperlink ref="C5227" r:id="rId5222" display="https://pld.live/RapDetail.aspx?STONELIST=926450205&amp;ISCONFIRM=0" xr:uid="{E68DD71B-7932-403E-B715-92A50F238146}"/>
    <hyperlink ref="C5228" r:id="rId5223" display="https://pld.live/RapDetail.aspx?STONELIST=926581174&amp;ISCONFIRM=0" xr:uid="{68A72812-5C49-4EF0-AA61-61287932E8C8}"/>
    <hyperlink ref="C5229" r:id="rId5224" display="https://pld.live/RapDetail.aspx?STONELIST=925370481&amp;ISCONFIRM=0" xr:uid="{833DB530-7DEA-458A-A63C-C1FBCC365FD7}"/>
    <hyperlink ref="C5230" r:id="rId5225" display="https://pld.live/RapDetail.aspx?STONELIST=925732099&amp;ISCONFIRM=0" xr:uid="{F66488C5-63D3-49C2-BE6E-A57D2BDB3F2E}"/>
    <hyperlink ref="C5231" r:id="rId5226" display="https://pld.live/RapDetail.aspx?STONELIST=926831148&amp;ISCONFIRM=0" xr:uid="{CF2C6E18-BB68-493C-858D-1469EB08616D}"/>
    <hyperlink ref="C5232" r:id="rId5227" display="https://pld.live/RapDetail.aspx?STONELIST=923510482&amp;ISCONFIRM=0" xr:uid="{62B3CAE6-03D3-4FD0-8AA4-BEC58AB625C5}"/>
    <hyperlink ref="C5233" r:id="rId5228" display="https://pld.live/RapDetail.aspx?STONELIST=926450406&amp;ISCONFIRM=0" xr:uid="{6E7B621D-DE2B-44AE-95A2-35A26F068B27}"/>
    <hyperlink ref="C5234" r:id="rId5229" display="https://pld.live/RapDetail.aspx?STONELIST=925890310&amp;ISCONFIRM=0" xr:uid="{F107C49F-91EE-49C1-A6E8-E6D392F42652}"/>
    <hyperlink ref="C5235" r:id="rId5230" display="https://pld.live/RapDetail.aspx?STONELIST=926200762&amp;ISCONFIRM=0" xr:uid="{CF65DBD9-6F1B-4032-AF15-A42FB1876CA2}"/>
    <hyperlink ref="C5236" r:id="rId5231" display="https://pld.live/RapDetail.aspx?STONELIST=926200787&amp;ISCONFIRM=0" xr:uid="{E4FEB7A9-AC72-47B2-84AD-C9AD8B748171}"/>
    <hyperlink ref="C5237" r:id="rId5232" display="https://pld.live/RapDetail.aspx?STONELIST=925971159&amp;ISCONFIRM=0" xr:uid="{960002B0-ACED-49BA-81C0-8CE1FEFD6C0C}"/>
    <hyperlink ref="C5238" r:id="rId5233" display="https://pld.live/RapDetail.aspx?STONELIST=925890274&amp;ISCONFIRM=0" xr:uid="{DD6B0C73-265C-4DED-A3FF-D147F5834AC1}"/>
    <hyperlink ref="C5239" r:id="rId5234" display="https://pld.live/RapDetail.aspx?STONELIST=924410793&amp;ISCONFIRM=0" xr:uid="{5268E74A-1A55-44BB-B03B-AC90FC395F6F}"/>
    <hyperlink ref="C5240" r:id="rId5235" display="https://pld.live/RapDetail.aspx?STONELIST=925862043&amp;ISCONFIRM=0" xr:uid="{995EDFF3-C613-4F64-BA7C-EF7D1AF69569}"/>
    <hyperlink ref="C5241" r:id="rId5236" display="https://pld.live/RapDetail.aspx?STONELIST=831020490&amp;ISCONFIRM=0" xr:uid="{1F080CE5-4A3E-4495-A9DC-9F510B970412}"/>
    <hyperlink ref="C5242" r:id="rId5237" display="https://pld.live/RapDetail.aspx?STONELIST=925801687&amp;ISCONFIRM=0" xr:uid="{E6D855BD-CA72-463F-91D2-3131777BB763}"/>
    <hyperlink ref="C5243" r:id="rId5238" display="https://pld.live/RapDetail.aspx?STONELIST=926740001&amp;ISCONFIRM=0" xr:uid="{F5C99297-5136-4092-9E15-34ACE45BE361}"/>
    <hyperlink ref="C5244" r:id="rId5239" display="https://pld.live/RapDetail.aspx?STONELIST=925890668&amp;ISCONFIRM=0" xr:uid="{7526DBB6-0D37-4EA1-99D9-CD90E6F793BC}"/>
    <hyperlink ref="C5245" r:id="rId5240" display="https://pld.live/RapDetail.aspx?STONELIST=924930224&amp;ISCONFIRM=0" xr:uid="{1A58FA5A-6387-4DD1-9A8F-E2B54466DE01}"/>
    <hyperlink ref="C5246" r:id="rId5241" display="https://pld.live/RapDetail.aspx?STONELIST=924290010&amp;ISCONFIRM=0" xr:uid="{8B08A961-2CC0-4DB4-BFCC-56F7E2A91EBC}"/>
    <hyperlink ref="C5247" r:id="rId5242" display="https://pld.live/RapDetail.aspx?STONELIST=925940236&amp;ISCONFIRM=0" xr:uid="{42C8E476-83EB-4983-A37B-E519B16E8692}"/>
    <hyperlink ref="C5248" r:id="rId5243" display="https://pld.live/RapDetail.aspx?STONELIST=925861430&amp;ISCONFIRM=0" xr:uid="{B2B9C3D0-C18C-4F18-8FFD-9C93209F3F0A}"/>
    <hyperlink ref="C5249" r:id="rId5244" display="https://pld.live/RapDetail.aspx?STONELIST=925861646&amp;ISCONFIRM=0" xr:uid="{C7126E86-E2C9-4A23-9830-C30ECA48F59A}"/>
    <hyperlink ref="C5250" r:id="rId5245" display="https://pld.live/RapDetail.aspx?STONELIST=924260271&amp;ISCONFIRM=0" xr:uid="{40E21339-735A-48BC-997D-5D739898516C}"/>
    <hyperlink ref="C5251" r:id="rId5246" display="https://pld.live/RapDetail.aspx?STONELIST=924290568&amp;ISCONFIRM=0" xr:uid="{29512307-91AC-4E8B-951D-FFC00605EBAB}"/>
    <hyperlink ref="C5252" r:id="rId5247" display="https://pld.live/RapDetail.aspx?STONELIST=924260566&amp;ISCONFIRM=0" xr:uid="{5B524CAB-8011-4B98-9589-10A2912F3F7E}"/>
    <hyperlink ref="C5253" r:id="rId5248" display="https://pld.live/RapDetail.aspx?STONELIST=925220141&amp;ISCONFIRM=0" xr:uid="{CC0D0AC6-C9A9-427A-8983-5E746C968375}"/>
    <hyperlink ref="C5254" r:id="rId5249" display="https://pld.live/RapDetail.aspx?STONELIST=924290335&amp;ISCONFIRM=0" xr:uid="{6BE45EB2-6F1F-4C13-B4E9-30B205255D54}"/>
    <hyperlink ref="C5255" r:id="rId5250" display="https://pld.live/RapDetail.aspx?STONELIST=923570848&amp;ISCONFIRM=0" xr:uid="{7BA7698A-F2B7-4EED-B0AC-BB162E8D4E27}"/>
    <hyperlink ref="C5256" r:id="rId5251" display="https://pld.live/RapDetail.aspx?STONELIST=924260796&amp;ISCONFIRM=0" xr:uid="{BFFA3D9B-7512-483A-8897-F1580F7BF7F2}"/>
    <hyperlink ref="C5257" r:id="rId5252" display="https://pld.live/RapDetail.aspx?STONELIST=925830623&amp;ISCONFIRM=0" xr:uid="{7A70D1C0-8BC2-4E09-B179-F6708BAF3376}"/>
    <hyperlink ref="C5258" r:id="rId5253" display="https://pld.live/RapDetail.aspx?STONELIST=926110692&amp;ISCONFIRM=0" xr:uid="{3C2FACF9-D088-4755-AA00-871B3FCAD603}"/>
    <hyperlink ref="C5259" r:id="rId5254" display="https://pld.live/RapDetail.aspx?STONELIST=926291262&amp;ISCONFIRM=0" xr:uid="{DCB85603-8A74-4221-8DC6-57B110402C97}"/>
    <hyperlink ref="C5260" r:id="rId5255" display="https://pld.live/RapDetail.aspx?STONELIST=831010161&amp;ISCONFIRM=0" xr:uid="{8E47CB1F-04DF-4D29-8A85-1DAF435D4BC4}"/>
    <hyperlink ref="C5261" r:id="rId5256" display="https://pld.live/RapDetail.aspx?STONELIST=924350707&amp;ISCONFIRM=0" xr:uid="{64913801-F891-4532-AF98-E4F254216174}"/>
    <hyperlink ref="C5262" r:id="rId5257" display="https://pld.live/RapDetail.aspx?STONELIST=925940390&amp;ISCONFIRM=0" xr:uid="{3D8FEBB8-9C46-4F4A-B202-29E49DDFF982}"/>
    <hyperlink ref="C5263" r:id="rId5258" display="https://pld.live/RapDetail.aspx?STONELIST=926110161&amp;ISCONFIRM=0" xr:uid="{9121C9FB-EC8A-4A03-8586-145E23549954}"/>
    <hyperlink ref="C5264" r:id="rId5259" display="https://pld.live/RapDetail.aspx?STONELIST=925980773&amp;ISCONFIRM=0" xr:uid="{4D67807D-4A42-45C4-915B-7B9DE19EB4E6}"/>
    <hyperlink ref="C5265" r:id="rId5260" display="https://pld.live/RapDetail.aspx?STONELIST=926110718&amp;ISCONFIRM=0" xr:uid="{01748BD5-7239-4C1A-94EA-F3002B50D4E9}"/>
    <hyperlink ref="C5266" r:id="rId5261" display="https://pld.live/RapDetail.aspx?STONELIST=925170186&amp;ISCONFIRM=0" xr:uid="{0180E480-6BD6-4D33-99E6-4904C5518BF3}"/>
    <hyperlink ref="C5267" r:id="rId5262" display="https://pld.live/RapDetail.aspx?STONELIST=926210568&amp;ISCONFIRM=0" xr:uid="{8DC78981-824F-438D-BE6F-8E8E01E37915}"/>
    <hyperlink ref="C5268" r:id="rId5263" display="https://pld.live/RapDetail.aspx?STONELIST=926291311&amp;ISCONFIRM=0" xr:uid="{BAE58D02-727B-411F-8AAD-1C481A9FCECD}"/>
    <hyperlink ref="C5269" r:id="rId5264" display="https://pld.live/RapDetail.aspx?STONELIST=924930264&amp;ISCONFIRM=0" xr:uid="{525C34BE-ABE5-4B8E-A07A-723B73C3BA91}"/>
    <hyperlink ref="C5270" r:id="rId5265" display="https://pld.live/RapDetail.aspx?STONELIST=925630347&amp;ISCONFIRM=0" xr:uid="{0C201FDE-88A6-46D7-90BC-6AC2798F17B8}"/>
    <hyperlink ref="C5271" r:id="rId5266" display="https://pld.live/RapDetail.aspx?STONELIST=926210602&amp;ISCONFIRM=0" xr:uid="{12AB7057-9322-407F-A623-DEC684EA2CCA}"/>
    <hyperlink ref="C5272" r:id="rId5267" display="https://pld.live/RapDetail.aspx?STONELIST=926210622&amp;ISCONFIRM=0" xr:uid="{9BF633ED-FD73-4E5A-96E9-B205F877C898}"/>
    <hyperlink ref="C5273" r:id="rId5268" display="https://pld.live/RapDetail.aspx?STONELIST=831020479&amp;ISCONFIRM=0" xr:uid="{A9DEDE84-DE0A-4D22-8F24-871969593ADF}"/>
    <hyperlink ref="C5274" r:id="rId5269" display="https://pld.live/RapDetail.aspx?STONELIST=926171084&amp;ISCONFIRM=0" xr:uid="{568EC347-492A-42B5-93EE-0F2FD1A04D7C}"/>
    <hyperlink ref="C5275" r:id="rId5270" display="https://pld.live/RapDetail.aspx?STONELIST=926110874&amp;ISCONFIRM=0" xr:uid="{051A805F-DDD5-4828-9904-D9AF7599BFC4}"/>
    <hyperlink ref="C5276" r:id="rId5271" display="https://pld.live/RapDetail.aspx?STONELIST=926291349&amp;ISCONFIRM=0" xr:uid="{8175653C-E607-45E1-A9DA-D15DF045A0C9}"/>
    <hyperlink ref="C5277" r:id="rId5272" display="https://pld.live/RapDetail.aspx?STONELIST=926110696&amp;ISCONFIRM=0" xr:uid="{341D8C6B-882A-4346-808E-08817347B8DA}"/>
    <hyperlink ref="C5278" r:id="rId5273" display="https://pld.live/RapDetail.aspx?STONELIST=831020265&amp;ISCONFIRM=0" xr:uid="{D3C2CE39-331A-4981-AD1C-1A985064DAA6}"/>
    <hyperlink ref="C5279" r:id="rId5274" display="https://pld.live/RapDetail.aspx?STONELIST=924290560&amp;ISCONFIRM=0" xr:uid="{CA9D3C20-4570-43CB-A447-7115C2C691E7}"/>
    <hyperlink ref="C5280" r:id="rId5275" display="https://pld.live/RapDetail.aspx?STONELIST=923620414&amp;ISCONFIRM=0" xr:uid="{40DF30CB-C2C2-43C8-A1ED-855E73B035DA}"/>
    <hyperlink ref="C5281" r:id="rId5276" display="https://pld.live/RapDetail.aspx?STONELIST=926250077&amp;ISCONFIRM=0" xr:uid="{5DFF114E-59A5-44E0-97E6-621EACC27B00}"/>
    <hyperlink ref="C5282" r:id="rId5277" display="https://pld.live/RapDetail.aspx?STONELIST=926210742&amp;ISCONFIRM=0" xr:uid="{6E5DBB1A-DE2C-456C-BE1D-D4DCDFB50C2D}"/>
    <hyperlink ref="C5283" r:id="rId5278" display="https://pld.live/RapDetail.aspx?STONELIST=924880321&amp;ISCONFIRM=0" xr:uid="{27A7501C-9E7A-453D-84AE-3025FCE55F79}"/>
    <hyperlink ref="C5284" r:id="rId5279" display="https://pld.live/RapDetail.aspx?STONELIST=926291450&amp;ISCONFIRM=0" xr:uid="{050A30B9-5F91-47D6-B09F-F35B3913ABA1}"/>
    <hyperlink ref="C5285" r:id="rId5280" display="https://pld.live/RapDetail.aspx?STONELIST=926250084&amp;ISCONFIRM=0" xr:uid="{799BC02D-3A54-45E4-85B9-88757502F896}"/>
    <hyperlink ref="C5286" r:id="rId5281" display="https://pld.live/RapDetail.aspx?STONELIST=831020367&amp;ISCONFIRM=0" xr:uid="{F27A1E7A-E998-4F58-AB64-B90381B4CF42}"/>
    <hyperlink ref="C5287" r:id="rId5282" display="https://pld.live/RapDetail.aspx?STONELIST=923610241&amp;ISCONFIRM=0" xr:uid="{2FBE7DCF-9E38-4C65-8C4F-2BC200B3671E}"/>
    <hyperlink ref="C5288" r:id="rId5283" display="https://pld.live/RapDetail.aspx?STONELIST=926030131&amp;ISCONFIRM=0" xr:uid="{01EBE6BD-592C-48B9-AF05-E8C57B461500}"/>
    <hyperlink ref="C5289" r:id="rId5284" display="https://pld.live/RapDetail.aspx?STONELIST=926310391&amp;ISCONFIRM=0" xr:uid="{31A345F5-74C2-4DE7-AAE8-6D7F20E99DFC}"/>
    <hyperlink ref="C5290" r:id="rId5285" display="https://pld.live/RapDetail.aspx?STONELIST=926291396&amp;ISCONFIRM=0" xr:uid="{D127CBFA-3A01-40DC-8811-CA7994C77FBC}"/>
    <hyperlink ref="C5291" r:id="rId5286" display="https://pld.live/RapDetail.aspx?STONELIST=926110971&amp;ISCONFIRM=0" xr:uid="{B1DC8918-F1DA-4B0A-81D2-E37B847111B2}"/>
    <hyperlink ref="C5292" r:id="rId5287" display="https://pld.live/RapDetail.aspx?STONELIST=926110702&amp;ISCONFIRM=0" xr:uid="{DB6165B2-9846-40D0-A772-BFC1C65062CE}"/>
    <hyperlink ref="C5293" r:id="rId5288" display="https://pld.live/RapDetail.aspx?STONELIST=924880322&amp;ISCONFIRM=0" xr:uid="{C7F42D6B-C419-4FAD-BA1B-A0F792E70AC9}"/>
    <hyperlink ref="C5294" r:id="rId5289" display="https://pld.live/RapDetail.aspx?STONELIST=925861659&amp;ISCONFIRM=0" xr:uid="{CE6078CE-72A1-4A45-8CC1-FB90BE5C89D8}"/>
    <hyperlink ref="C5295" r:id="rId5290" display="https://pld.live/RapDetail.aspx?STONELIST=926291226&amp;ISCONFIRM=0" xr:uid="{B93F398A-BF18-43DC-85D8-5AB03B2D0853}"/>
    <hyperlink ref="C5296" r:id="rId5291" display="https://pld.live/RapDetail.aspx?STONELIST=924780200&amp;ISCONFIRM=0" xr:uid="{92012A4A-C3B1-415B-8F77-F33EA6987F43}"/>
    <hyperlink ref="C5297" r:id="rId5292" display="https://pld.live/RapDetail.aspx?STONELIST=821113496&amp;ISCONFIRM=0" xr:uid="{2EBCD3DF-6C4B-4622-BA87-A44C635E3649}"/>
    <hyperlink ref="C5298" r:id="rId5293" display="https://pld.live/RapDetail.aspx?STONELIST=821113497&amp;ISCONFIRM=0" xr:uid="{A685848B-C2D7-46BC-9F52-3D7F921CFDB6}"/>
    <hyperlink ref="C5299" r:id="rId5294" display="https://pld.live/RapDetail.aspx?STONELIST=821113502&amp;ISCONFIRM=0" xr:uid="{A5C47264-A993-4607-9491-19B44A4FE945}"/>
    <hyperlink ref="C5300" r:id="rId5295" display="https://pld.live/RapDetail.aspx?STONELIST=924260037&amp;ISCONFIRM=0" xr:uid="{3EFAFE39-C1BA-4D07-9706-6E993D07B843}"/>
    <hyperlink ref="C5301" r:id="rId5296" display="https://pld.live/RapDetail.aspx?STONELIST=926740884&amp;ISCONFIRM=0" xr:uid="{8D97DA5D-A7A2-4BA0-830B-BCDAEBFAD146}"/>
    <hyperlink ref="C5302" r:id="rId5297" display="https://pld.live/RapDetail.aspx?STONELIST=926631252&amp;ISCONFIRM=0" xr:uid="{E8800C68-40B6-4128-A91E-7F969216730B}"/>
    <hyperlink ref="C5303" r:id="rId5298" display="https://pld.live/RapDetail.aspx?STONELIST=926680857&amp;ISCONFIRM=0" xr:uid="{94B6380A-AC2C-4668-9DF7-ACF676E87F71}"/>
    <hyperlink ref="C5304" r:id="rId5299" display="https://pld.live/RapDetail.aspx?STONELIST=926620211&amp;ISCONFIRM=0" xr:uid="{81EFDBEA-1678-417B-9988-A4BE3E99AFCE}"/>
    <hyperlink ref="C5305" r:id="rId5300" display="https://pld.live/RapDetail.aspx?STONELIST=926700791&amp;ISCONFIRM=0" xr:uid="{19321DA7-57AC-41C5-A67B-84183C0921F1}"/>
    <hyperlink ref="C5306" r:id="rId5301" display="https://pld.live/RapDetail.aspx?STONELIST=926741046&amp;ISCONFIRM=0" xr:uid="{2C3AF4CE-647B-45C1-8E8D-F4F6FC73A417}"/>
    <hyperlink ref="C5307" r:id="rId5302" display="https://pld.live/RapDetail.aspx?STONELIST=926310964&amp;ISCONFIRM=0" xr:uid="{39248077-36E4-40CD-813C-EA1AA30E8DE8}"/>
    <hyperlink ref="C5308" r:id="rId5303" display="https://pld.live/RapDetail.aspx?STONELIST=926670999&amp;ISCONFIRM=0" xr:uid="{6B8082F7-DD39-42A5-97E1-330B3AEDAD49}"/>
    <hyperlink ref="C5309" r:id="rId5304" display="https://pld.live/RapDetail.aspx?STONELIST=926630543&amp;ISCONFIRM=0" xr:uid="{F524B86F-4D5D-4EAA-8BB8-4840A0E05CF4}"/>
    <hyperlink ref="C5310" r:id="rId5305" display="https://pld.live/RapDetail.aspx?STONELIST=926770431&amp;ISCONFIRM=0" xr:uid="{66E4C43F-34F6-4AD7-A658-81BE944DD5A2}"/>
    <hyperlink ref="C5311" r:id="rId5306" display="https://pld.live/RapDetail.aspx?STONELIST=926750729&amp;ISCONFIRM=0" xr:uid="{BF72293F-0AD1-44F8-973C-D22AA7F39342}"/>
    <hyperlink ref="C5312" r:id="rId5307" display="https://pld.live/RapDetail.aspx?STONELIST=926870867&amp;ISCONFIRM=0" xr:uid="{254C1C3B-D38C-460B-B710-CB04DF88D1A7}"/>
    <hyperlink ref="C5313" r:id="rId5308" display="https://pld.live/RapDetail.aspx?STONELIST=926291363&amp;ISCONFIRM=0" xr:uid="{4CEE0A51-0108-48D1-A19B-CDF3AA826BF4}"/>
    <hyperlink ref="C5314" r:id="rId5309" display="https://pld.live/RapDetail.aspx?STONELIST=926291269&amp;ISCONFIRM=0" xr:uid="{11210F23-78B6-4815-8FE7-B32C39B75E0C}"/>
    <hyperlink ref="C5315" r:id="rId5310" display="https://pld.live/RapDetail.aspx?STONELIST=926620995&amp;ISCONFIRM=0" xr:uid="{E0A6FBA2-77BF-4FDB-89EE-B39778075839}"/>
    <hyperlink ref="C5316" r:id="rId5311" display="https://pld.live/RapDetail.aspx?STONELIST=926700755&amp;ISCONFIRM=0" xr:uid="{B47B1D5B-BEE4-4832-B43F-4F66F87A716F}"/>
    <hyperlink ref="C5317" r:id="rId5312" display="https://pld.live/RapDetail.aspx?STONELIST=926740264&amp;ISCONFIRM=0" xr:uid="{D02D12A3-7E92-4356-A62E-E7E812F69ED3}"/>
    <hyperlink ref="C5318" r:id="rId5313" display="https://pld.live/RapDetail.aspx?STONELIST=926920653&amp;ISCONFIRM=0" xr:uid="{9CF3B65B-BD37-4BCB-9212-08ACCAF299F5}"/>
    <hyperlink ref="C5319" r:id="rId5314" display="https://pld.live/RapDetail.aspx?STONELIST=926291266&amp;ISCONFIRM=0" xr:uid="{7238195E-89E2-449A-A76F-54931C4EC3BC}"/>
    <hyperlink ref="C5320" r:id="rId5315" display="https://pld.live/RapDetail.aspx?STONELIST=926760712&amp;ISCONFIRM=0" xr:uid="{50592957-ED60-4650-B275-54B3A4876D15}"/>
    <hyperlink ref="C5321" r:id="rId5316" display="https://pld.live/RapDetail.aspx?STONELIST=926700698&amp;ISCONFIRM=0" xr:uid="{8C011FDA-CA02-4536-9410-1EE128512C66}"/>
    <hyperlink ref="C5322" r:id="rId5317" display="https://pld.live/RapDetail.aspx?STONELIST=926150030&amp;ISCONFIRM=0" xr:uid="{8B8FD89C-15D8-4136-A873-6C40A812C9EB}"/>
    <hyperlink ref="C5323" r:id="rId5318" display="https://pld.live/RapDetail.aspx?STONELIST=924290534&amp;ISCONFIRM=0" xr:uid="{44345995-5602-46E7-9330-7928866E9FE8}"/>
    <hyperlink ref="C5324" r:id="rId5319" display="https://pld.live/RapDetail.aspx?STONELIST=924410600&amp;ISCONFIRM=0" xr:uid="{8AFB0EFE-8805-4C7C-8392-2CE6F4F74147}"/>
    <hyperlink ref="C5325" r:id="rId5320" display="https://pld.live/RapDetail.aspx?STONELIST=922310143&amp;ISCONFIRM=0" xr:uid="{C55AE389-029B-4DB6-8AE8-C500664A56E9}"/>
    <hyperlink ref="C5326" r:id="rId5321" display="https://pld.live/RapDetail.aspx?STONELIST=925080422&amp;ISCONFIRM=0" xr:uid="{D07C3BCD-3A03-42CF-832C-0677FB13F26F}"/>
    <hyperlink ref="C5327" r:id="rId5322" display="https://pld.live/RapDetail.aspx?STONELIST=926210584&amp;ISCONFIRM=0" xr:uid="{B33C6510-8827-4AB9-B01B-B05D5F434D32}"/>
    <hyperlink ref="C5328" r:id="rId5323" display="https://pld.live/RapDetail.aspx?STONELIST=941351046&amp;ISCONFIRM=0" xr:uid="{7D01FA7F-5FBF-4F8D-B992-920886472019}"/>
    <hyperlink ref="C5329" r:id="rId5324" display="https://pld.live/RapDetail.aspx?STONELIST=926311107&amp;ISCONFIRM=0" xr:uid="{F728A2CA-E949-4FBD-A45D-69B32A5CB656}"/>
    <hyperlink ref="C5330" r:id="rId5325" display="https://pld.live/RapDetail.aspx?STONELIST=926291267&amp;ISCONFIRM=0" xr:uid="{6B948AB3-3B8C-4305-B7A5-F6BB12EDDD4A}"/>
    <hyperlink ref="C5331" r:id="rId5326" display="https://pld.live/RapDetail.aspx?STONELIST=926680967&amp;ISCONFIRM=0" xr:uid="{D52B4044-BF41-476F-B803-D5CB567A769E}"/>
    <hyperlink ref="C5332" r:id="rId5327" display="https://pld.live/RapDetail.aspx?STONELIST=926210624&amp;ISCONFIRM=0" xr:uid="{6414B11B-62E7-46CD-A165-DB6784A4B886}"/>
    <hyperlink ref="C5333" r:id="rId5328" display="https://pld.live/RapDetail.aspx?STONELIST=926680781&amp;ISCONFIRM=0" xr:uid="{AA4FFE1F-6C32-49B4-BE48-E5BB8498A65A}"/>
    <hyperlink ref="C5334" r:id="rId5329" display="https://pld.live/RapDetail.aspx?STONELIST=926250041&amp;ISCONFIRM=0" xr:uid="{7713D4CC-5C46-495C-B843-24A8A870599F}"/>
    <hyperlink ref="C5335" r:id="rId5330" display="https://pld.live/RapDetail.aspx?STONELIST=926220745&amp;ISCONFIRM=0" xr:uid="{425B1A3B-32FA-4316-9949-5A6AED8BC6AD}"/>
    <hyperlink ref="C5336" r:id="rId5331" display="https://pld.live/RapDetail.aspx?STONELIST=926110185&amp;ISCONFIRM=0" xr:uid="{AA8306E8-718F-45F2-8DAE-EAD83829D7AC}"/>
    <hyperlink ref="C5337" r:id="rId5332" display="https://pld.live/RapDetail.aspx?STONELIST=926291581&amp;ISCONFIRM=0" xr:uid="{46497507-F573-43AC-82B9-100E08778AFD}"/>
    <hyperlink ref="C5338" r:id="rId5333" display="https://pld.live/RapDetail.aspx?STONELIST=926690759&amp;ISCONFIRM=0" xr:uid="{B7C3159A-D04F-4F7A-9F03-1C6BA5F2EDCC}"/>
    <hyperlink ref="C5339" r:id="rId5334" display="https://pld.live/RapDetail.aspx?STONELIST=831020477&amp;ISCONFIRM=0" xr:uid="{41F17358-B05A-446B-8BD1-4F0DA09771C2}"/>
    <hyperlink ref="C5340" r:id="rId5335" display="https://pld.live/RapDetail.aspx?STONELIST=831020365&amp;ISCONFIRM=0" xr:uid="{50873308-B14B-408A-B2E9-C0FBEC566BEB}"/>
    <hyperlink ref="C5341" r:id="rId5336" display="https://pld.live/RapDetail.aspx?STONELIST=926631080&amp;ISCONFIRM=0" xr:uid="{3C80AC3F-F21A-4C0D-B25D-7A0819289C50}"/>
    <hyperlink ref="C5342" r:id="rId5337" display="https://pld.live/RapDetail.aspx?STONELIST=925940259&amp;ISCONFIRM=0" xr:uid="{A0E93DB9-00DA-4F20-82FD-84D553525D34}"/>
    <hyperlink ref="C5343" r:id="rId5338" display="https://pld.live/RapDetail.aspx?STONELIST=926291352&amp;ISCONFIRM=0" xr:uid="{B75DA122-32D9-4BC0-B66B-C0829F266E0D}"/>
    <hyperlink ref="C5344" r:id="rId5339" display="https://pld.live/RapDetail.aspx?STONELIST=941351042&amp;ISCONFIRM=0" xr:uid="{134536CC-1CA1-4D68-BA7A-39798734BF7B}"/>
    <hyperlink ref="C5345" r:id="rId5340" display="https://pld.live/RapDetail.aspx?STONELIST=926110137&amp;ISCONFIRM=0" xr:uid="{5D557FED-EEC7-4C04-88AE-3433B1062673}"/>
    <hyperlink ref="C5346" r:id="rId5341" display="https://pld.live/RapDetail.aspx?STONELIST=926750608&amp;ISCONFIRM=0" xr:uid="{E49BC9AD-4E0C-45F4-82C0-D7D2E26CDD38}"/>
    <hyperlink ref="C5347" r:id="rId5342" display="https://pld.live/RapDetail.aspx?STONELIST=926841328&amp;ISCONFIRM=0" xr:uid="{94A37684-C635-4DBE-8877-E180CD0BF08F}"/>
    <hyperlink ref="C5348" r:id="rId5343" display="https://pld.live/RapDetail.aspx?STONELIST=926270792&amp;ISCONFIRM=0" xr:uid="{90E462D1-8F2B-47E2-9216-E65C946DB801}"/>
    <hyperlink ref="C5349" r:id="rId5344" display="https://pld.live/RapDetail.aspx?STONELIST=941351041&amp;ISCONFIRM=0" xr:uid="{B0AB5F09-4E63-4161-922A-EE8C92893AB1}"/>
    <hyperlink ref="C5350" r:id="rId5345" display="https://pld.live/RapDetail.aspx?STONELIST=941020753&amp;ISCONFIRM=0" xr:uid="{1387C103-9167-40FE-81C9-A63AF01B507F}"/>
    <hyperlink ref="C5351" r:id="rId5346" display="https://pld.live/RapDetail.aspx?STONELIST=926100839&amp;ISCONFIRM=0" xr:uid="{E8217FAD-09FA-431D-9CF7-497E4EF8A97A}"/>
    <hyperlink ref="C5352" r:id="rId5347" display="https://pld.live/RapDetail.aspx?STONELIST=831010522&amp;ISCONFIRM=0" xr:uid="{17F8ABAD-7EE4-4400-97D2-A292703D3B64}"/>
    <hyperlink ref="C5353" r:id="rId5348" display="https://pld.live/RapDetail.aspx?STONELIST=926631183&amp;ISCONFIRM=0" xr:uid="{507E0B52-B052-41F0-8703-30D4B4A0FA2A}"/>
    <hyperlink ref="C5354" r:id="rId5349" display="https://pld.live/RapDetail.aspx?STONELIST=926631066&amp;ISCONFIRM=0" xr:uid="{873BACC0-171D-4004-8153-F4B9F0F72BC6}"/>
    <hyperlink ref="C5355" r:id="rId5350" display="https://pld.live/RapDetail.aspx?STONELIST=926631035&amp;ISCONFIRM=0" xr:uid="{C33F3D33-02CC-4914-A36A-8A4737D8CC53}"/>
    <hyperlink ref="C5356" r:id="rId5351" display="https://pld.live/RapDetail.aspx?STONELIST=926640649&amp;ISCONFIRM=0" xr:uid="{221FD058-15BC-4108-85AE-D8E84B74A6FE}"/>
    <hyperlink ref="C5357" r:id="rId5352" display="https://pld.live/RapDetail.aspx?STONELIST=926581134&amp;ISCONFIRM=0" xr:uid="{E6BDD417-2B13-4A9F-827A-F2E28F60C15C}"/>
    <hyperlink ref="C5358" r:id="rId5353" display="https://pld.live/RapDetail.aspx?STONELIST=926580229&amp;ISCONFIRM=0" xr:uid="{DFAFB369-7CD2-4CBE-BB17-001E264CEF82}"/>
    <hyperlink ref="C5359" r:id="rId5354" display="https://pld.live/RapDetail.aspx?STONELIST=926690749&amp;ISCONFIRM=0" xr:uid="{A6D97B95-42F9-4766-AF7B-59BD560D5661}"/>
    <hyperlink ref="C5360" r:id="rId5355" display="https://pld.live/RapDetail.aspx?STONELIST=926690793&amp;ISCONFIRM=0" xr:uid="{7F5D1B43-D66E-4609-BB4B-9C18D5BB114D}"/>
    <hyperlink ref="C5361" r:id="rId5356" display="https://pld.live/RapDetail.aspx?STONELIST=926210601&amp;ISCONFIRM=0" xr:uid="{052BFB51-00ED-4CF2-B2FA-88B7EE948997}"/>
    <hyperlink ref="C5362" r:id="rId5357" display="https://pld.live/RapDetail.aspx?STONELIST=926750631&amp;ISCONFIRM=0" xr:uid="{FEC8BD8F-1FF9-44CE-A4EF-B2FD507D7840}"/>
    <hyperlink ref="C5363" r:id="rId5358" display="https://pld.live/RapDetail.aspx?STONELIST=926750668&amp;ISCONFIRM=0" xr:uid="{454D4A57-3A92-461C-AB50-3BE62978AC62}"/>
    <hyperlink ref="C5364" r:id="rId5359" display="https://pld.live/RapDetail.aspx?STONELIST=926750718&amp;ISCONFIRM=0" xr:uid="{3D3EED81-03E9-4360-B275-1BABD6C7F305}"/>
    <hyperlink ref="C5365" r:id="rId5360" display="https://pld.live/RapDetail.aspx?STONELIST=926840758&amp;ISCONFIRM=0" xr:uid="{FF4A072C-6332-41F7-A1DF-26F88D21D02D}"/>
    <hyperlink ref="C5366" r:id="rId5361" display="https://pld.live/RapDetail.aspx?STONELIST=926901087&amp;ISCONFIRM=0" xr:uid="{B9D3E55C-85C3-4A6F-B74A-DF8147A2A996}"/>
    <hyperlink ref="C5367" r:id="rId5362" display="https://pld.live/RapDetail.aspx?STONELIST=926270085&amp;ISCONFIRM=0" xr:uid="{7BA55EB7-B240-451C-85DB-C0C650263B57}"/>
    <hyperlink ref="C5368" r:id="rId5363" display="https://pld.live/RapDetail.aspx?STONELIST=941351077&amp;ISCONFIRM=0" xr:uid="{83919A42-BB36-44D2-A2F0-FBCF55373A4C}"/>
    <hyperlink ref="C5369" r:id="rId5364" display="https://pld.live/RapDetail.aspx?STONELIST=941351044&amp;ISCONFIRM=0" xr:uid="{75A4EC62-1F5F-4C90-9590-CB2AF552250D}"/>
    <hyperlink ref="C5370" r:id="rId5365" display="https://pld.live/RapDetail.aspx?STONELIST=941351078&amp;ISCONFIRM=0" xr:uid="{5F3DAA9B-1C14-4A95-BF31-60C479F77508}"/>
    <hyperlink ref="C5371" r:id="rId5366" display="https://pld.live/RapDetail.aspx?STONELIST=941170214&amp;ISCONFIRM=0" xr:uid="{FAB14C41-697E-4C62-BAFB-F0AF3AB4F1FA}"/>
    <hyperlink ref="C5372" r:id="rId5367" display="https://pld.live/RapDetail.aspx?STONELIST=941320818&amp;ISCONFIRM=0" xr:uid="{2ACEB9FF-6733-48C2-9C32-4DD204BC4511}"/>
    <hyperlink ref="C5373" r:id="rId5368" display="https://pld.live/RapDetail.aspx?STONELIST=941351064&amp;ISCONFIRM=0" xr:uid="{41775A12-8A7C-4948-A4FD-F7939C32A5A7}"/>
    <hyperlink ref="C5374" r:id="rId5369" display="https://pld.live/RapDetail.aspx?STONELIST=927101005&amp;ISCONFIRM=0" xr:uid="{E988596F-1B46-4731-8ABD-13067AEA331A}"/>
    <hyperlink ref="C5375" r:id="rId5370" display="https://pld.live/RapDetail.aspx?STONELIST=926110694&amp;ISCONFIRM=0" xr:uid="{EAB750E0-20AA-43FA-A943-7ED5BE9F4891}"/>
    <hyperlink ref="C5376" r:id="rId5371" display="https://pld.live/RapDetail.aspx?STONELIST=927152561&amp;ISCONFIRM=0" xr:uid="{0525BEB3-7B83-4C19-A449-4D08C8038DEA}"/>
    <hyperlink ref="C5377" r:id="rId5372" display="https://pld.live/RapDetail.aspx?STONELIST=926110151&amp;ISCONFIRM=0" xr:uid="{6498AE73-407D-43E2-BCE3-94C0176DA0C0}"/>
    <hyperlink ref="C5378" r:id="rId5373" display="https://pld.live/RapDetail.aspx?STONELIST=831010167&amp;ISCONFIRM=0" xr:uid="{4A381A98-551D-4DC5-B9F0-B2AA361CE5CA}"/>
    <hyperlink ref="C5379" r:id="rId5374" display="https://pld.live/RapDetail.aspx?STONELIST=941190162&amp;ISCONFIRM=0" xr:uid="{C3BBA596-37E0-4DF7-8688-526ECA273F4A}"/>
    <hyperlink ref="C5380" r:id="rId5375" display="https://pld.live/RapDetail.aspx?STONELIST=926291395&amp;ISCONFIRM=0" xr:uid="{4CEFFB9F-1693-4E70-817F-7C5991054189}"/>
    <hyperlink ref="C5381" r:id="rId5376" display="https://pld.live/RapDetail.aspx?STONELIST=926631367&amp;ISCONFIRM=0" xr:uid="{07A790A7-B07B-4134-B26B-6CE3AE2546AF}"/>
    <hyperlink ref="C5382" r:id="rId5377" display="https://pld.live/RapDetail.aspx?STONELIST=925861428&amp;ISCONFIRM=0" xr:uid="{48B47AED-6B2A-4889-BB6E-C911213F5DDF}"/>
    <hyperlink ref="C5383" r:id="rId5378" display="https://pld.live/RapDetail.aspx?STONELIST=941351081&amp;ISCONFIRM=0" xr:uid="{52F83106-AD14-434B-A45A-D1B4DECE506F}"/>
    <hyperlink ref="C5384" r:id="rId5379" display="https://pld.live/RapDetail.aspx?STONELIST=941190072&amp;ISCONFIRM=0" xr:uid="{4EB41712-E6B8-4359-89B4-3E246D76E404}"/>
    <hyperlink ref="C5385" r:id="rId5380" display="https://pld.live/RapDetail.aspx?STONELIST=941200090&amp;ISCONFIRM=0" xr:uid="{A2ED63F2-C2A6-42E9-85A0-C43C346BFF00}"/>
    <hyperlink ref="C5386" r:id="rId5381" display="https://pld.live/RapDetail.aspx?STONELIST=941200152&amp;ISCONFIRM=0" xr:uid="{C836231B-5E05-4819-AF5A-886F2A064F5C}"/>
    <hyperlink ref="C5387" r:id="rId5382" display="https://pld.live/RapDetail.aspx?STONELIST=941040002&amp;ISCONFIRM=0" xr:uid="{1083EA4D-15A2-473D-BA4F-0ED7B20F08C1}"/>
    <hyperlink ref="C5388" r:id="rId5383" display="https://pld.live/RapDetail.aspx?STONELIST=941070021&amp;ISCONFIRM=0" xr:uid="{93F4F06F-86E2-41B9-A605-7570DB6FB70A}"/>
    <hyperlink ref="C5389" r:id="rId5384" display="https://pld.live/RapDetail.aspx?STONELIST=927140014&amp;ISCONFIRM=0" xr:uid="{2F48CC42-6786-4934-BD17-0AB89EC8E504}"/>
    <hyperlink ref="C5390" r:id="rId5385" display="https://pld.live/RapDetail.aspx?STONELIST=926640505&amp;ISCONFIRM=0" xr:uid="{8F1F7FEF-C4F5-4B01-878C-303F82D387EB}"/>
    <hyperlink ref="C5391" r:id="rId5386" display="https://pld.live/RapDetail.aspx?STONELIST=926210605&amp;ISCONFIRM=0" xr:uid="{0B9DD3D8-7766-4E2B-96AE-3BFC8CA5D2BF}"/>
    <hyperlink ref="C5392" r:id="rId5387" display="https://pld.live/RapDetail.aspx?STONELIST=941190223&amp;ISCONFIRM=0" xr:uid="{79E24016-85F1-4174-89C3-F7478DCAFBB3}"/>
    <hyperlink ref="C5393" r:id="rId5388" display="https://pld.live/RapDetail.aspx?STONELIST=924980172&amp;ISCONFIRM=0" xr:uid="{569FFE3B-89AA-4A12-A580-21DD4A4528A6}"/>
    <hyperlink ref="C5394" r:id="rId5389" display="https://pld.live/RapDetail.aspx?STONELIST=926640738&amp;ISCONFIRM=0" xr:uid="{21F69758-C191-49E3-966F-74509F788B93}"/>
    <hyperlink ref="C5395" r:id="rId5390" display="https://pld.live/RapDetail.aspx?STONELIST=941140052&amp;ISCONFIRM=0" xr:uid="{FCA55E83-CFDF-49DD-8186-65FF3A4C0B25}"/>
    <hyperlink ref="C5396" r:id="rId5391" display="https://pld.live/RapDetail.aspx?STONELIST=941320805&amp;ISCONFIRM=0" xr:uid="{50042E34-07F4-485E-85ED-33952A980279}"/>
    <hyperlink ref="C5397" r:id="rId5392" display="https://pld.live/RapDetail.aspx?STONELIST=926740266&amp;ISCONFIRM=0" xr:uid="{29AE840D-2BF1-4BBF-8942-9C6A94043F15}"/>
    <hyperlink ref="C5398" r:id="rId5393" display="https://pld.live/RapDetail.aspx?STONELIST=926250053&amp;ISCONFIRM=0" xr:uid="{34173EF9-B48C-4782-AB83-A0D74B997DFA}"/>
    <hyperlink ref="C5399" r:id="rId5394" display="https://pld.live/RapDetail.aspx?STONELIST=926910586&amp;ISCONFIRM=0" xr:uid="{E498439D-CAB4-4A22-9E62-3524201DA3AA}"/>
    <hyperlink ref="C5400" r:id="rId5395" display="https://pld.live/RapDetail.aspx?STONELIST=941180075&amp;ISCONFIRM=0" xr:uid="{2D0E1F8C-2B4D-4C5E-924E-BAC4FE429647}"/>
    <hyperlink ref="C5401" r:id="rId5396" display="https://pld.live/RapDetail.aspx?STONELIST=926870823&amp;ISCONFIRM=0" xr:uid="{BF04B72E-7545-43E7-BA13-C0533680F0C3}"/>
    <hyperlink ref="C5402" r:id="rId5397" display="https://pld.live/RapDetail.aspx?STONELIST=926910598&amp;ISCONFIRM=0" xr:uid="{163B2E12-05AC-405F-9266-A88DED45D48D}"/>
    <hyperlink ref="C5403" r:id="rId5398" display="https://pld.live/RapDetail.aspx?STONELIST=941130420&amp;ISCONFIRM=0" xr:uid="{78F57E73-63BB-4F19-95A6-CC3A2DE4B9FC}"/>
    <hyperlink ref="C5404" r:id="rId5399" display="https://pld.live/RapDetail.aspx?STONELIST=941120575&amp;ISCONFIRM=0" xr:uid="{381CCF2D-127B-4F0F-8BEC-93D6E09D0E64}"/>
    <hyperlink ref="C5405" r:id="rId5400" display="https://pld.live/RapDetail.aspx?STONELIST=941160616&amp;ISCONFIRM=0" xr:uid="{E940F6AE-DE2A-496A-861F-6E9B9EF26307}"/>
    <hyperlink ref="C5406" r:id="rId5401" display="https://pld.live/RapDetail.aspx?STONELIST=831020375&amp;ISCONFIRM=0" xr:uid="{844D1B87-1BC7-4031-AC5E-504DD7DB0CDC}"/>
    <hyperlink ref="C5407" r:id="rId5402" display="https://pld.live/RapDetail.aspx?STONELIST=926840757&amp;ISCONFIRM=0" xr:uid="{99EA0217-3B52-487C-8D12-8BB1C5365355}"/>
    <hyperlink ref="C5408" r:id="rId5403" display="https://pld.live/RapDetail.aspx?STONELIST=821113524&amp;ISCONFIRM=0" xr:uid="{8BAF16FC-FFBD-45B2-B08B-CE9889A1600C}"/>
    <hyperlink ref="C5409" r:id="rId5404" display="https://pld.live/RapDetail.aspx?STONELIST=926250025&amp;ISCONFIRM=0" xr:uid="{0E631855-5F0F-4784-A7A3-688732BAEE25}"/>
    <hyperlink ref="C5410" r:id="rId5405" display="https://pld.live/RapDetail.aspx?STONELIST=941071217&amp;ISCONFIRM=0" xr:uid="{BB000FC2-3A57-4D64-923D-97BD025C7995}"/>
    <hyperlink ref="C5411" r:id="rId5406" display="https://pld.live/RapDetail.aspx?STONELIST=926630623&amp;ISCONFIRM=0" xr:uid="{BBC037A8-0016-42E1-94AE-7840EC3C2E23}"/>
    <hyperlink ref="C5412" r:id="rId5407" display="https://pld.live/RapDetail.aspx?STONELIST=831020362&amp;ISCONFIRM=0" xr:uid="{DB274A9E-EF83-4E62-B070-13D37F16369E}"/>
    <hyperlink ref="C5413" r:id="rId5408" display="https://pld.live/RapDetail.aspx?STONELIST=926850141&amp;ISCONFIRM=0" xr:uid="{921FF3FA-FAFF-454D-8CB7-004806155EFD}"/>
    <hyperlink ref="C5414" r:id="rId5409" display="https://pld.live/RapDetail.aspx?STONELIST=926210565&amp;ISCONFIRM=0" xr:uid="{1D349BC5-A374-420C-986B-47E11C2ED572}"/>
    <hyperlink ref="C5415" r:id="rId5410" display="https://pld.live/RapDetail.aspx?STONELIST=926791044&amp;ISCONFIRM=0" xr:uid="{C1217D79-F44A-44A3-BB03-5D97D7B22EAC}"/>
    <hyperlink ref="C5416" r:id="rId5411" display="https://pld.live/RapDetail.aspx?STONELIST=831020643&amp;ISCONFIRM=0" xr:uid="{0DC5CEE2-342E-49FB-8A85-C74BEE1C0F6E}"/>
    <hyperlink ref="C5417" r:id="rId5412" display="https://pld.live/RapDetail.aspx?STONELIST=926310856&amp;ISCONFIRM=0" xr:uid="{9AE42118-DBC2-471C-958E-D5E8BF8BC482}"/>
    <hyperlink ref="C5418" r:id="rId5413" display="https://pld.live/RapDetail.aspx?STONELIST=926291390&amp;ISCONFIRM=0" xr:uid="{B322279F-43AF-40CF-9D86-A39B269D8B8D}"/>
    <hyperlink ref="C5419" r:id="rId5414" display="https://pld.live/RapDetail.aspx?STONELIST=941050422&amp;ISCONFIRM=0" xr:uid="{876C830C-B072-4FC7-8D66-9F4E355B8DC9}"/>
    <hyperlink ref="C5420" r:id="rId5415" display="https://pld.live/RapDetail.aspx?STONELIST=923510310&amp;ISCONFIRM=0" xr:uid="{A8A3F3B3-548D-4428-B871-84FBD9C7B9ED}"/>
    <hyperlink ref="C5421" r:id="rId5416" display="https://pld.live/RapDetail.aspx?STONELIST=927130152&amp;ISCONFIRM=0" xr:uid="{D1C69E8F-3EEC-4444-96FB-789EEC127A18}"/>
    <hyperlink ref="C5422" r:id="rId5417" display="https://pld.live/RapDetail.aspx?STONELIST=924410792&amp;ISCONFIRM=0" xr:uid="{A7751966-9FB7-45B6-8793-BD761B3A1B0A}"/>
    <hyperlink ref="C5423" r:id="rId5418" display="https://pld.live/RapDetail.aspx?STONELIST=924290562&amp;ISCONFIRM=0" xr:uid="{C854512B-EB94-4D7D-8739-376EB498745A}"/>
    <hyperlink ref="C5424" r:id="rId5419" display="https://pld.live/RapDetail.aspx?STONELIST=831010218&amp;ISCONFIRM=0" xr:uid="{0059E176-CBE7-41BB-89CC-84840B545D16}"/>
    <hyperlink ref="C5425" r:id="rId5420" display="https://pld.live/RapDetail.aspx?STONELIST=926740836&amp;ISCONFIRM=0" xr:uid="{E4961669-E94E-41FD-AECF-9D63757EE767}"/>
    <hyperlink ref="C5426" r:id="rId5421" display="https://pld.live/RapDetail.aspx?STONELIST=925940284&amp;ISCONFIRM=0" xr:uid="{1838DF61-80A5-407F-A5E0-EF5ABC056F95}"/>
    <hyperlink ref="C5427" r:id="rId5422" display="https://pld.live/RapDetail.aspx?STONELIST=924880300&amp;ISCONFIRM=0" xr:uid="{D1693AB1-5C23-4C3F-B28A-2C3C9F56AE9E}"/>
    <hyperlink ref="C5428" r:id="rId5423" display="https://pld.live/RapDetail.aspx?STONELIST=941351039&amp;ISCONFIRM=0" xr:uid="{3DCC7404-B18D-4E38-9665-F0FE124E50C6}"/>
    <hyperlink ref="C5429" r:id="rId5424" display="https://pld.live/RapDetail.aspx?STONELIST=941351063&amp;ISCONFIRM=0" xr:uid="{0F526DF0-7C5A-4F94-BDF3-A37C37F491D6}"/>
    <hyperlink ref="C5430" r:id="rId5425" display="https://pld.live/RapDetail.aspx?STONELIST=941351057&amp;ISCONFIRM=0" xr:uid="{DCD2E1A2-40DA-4ABF-A464-7E0B82B71B41}"/>
    <hyperlink ref="C5431" r:id="rId5426" display="https://pld.live/RapDetail.aspx?STONELIST=927100771&amp;ISCONFIRM=0" xr:uid="{961E8EED-A8CD-4C66-8011-770632A6DFD5}"/>
    <hyperlink ref="C5432" r:id="rId5427" display="https://pld.live/RapDetail.aspx?STONELIST=925080511&amp;ISCONFIRM=0" xr:uid="{B6BC9C85-4383-4398-8BBB-711BFD4B2E19}"/>
    <hyperlink ref="C5433" r:id="rId5428" display="https://pld.live/RapDetail.aspx?STONELIST=941351074&amp;ISCONFIRM=0" xr:uid="{C5547545-304F-45A2-AB81-79A4FA595AF0}"/>
    <hyperlink ref="C5434" r:id="rId5429" display="https://pld.live/RapDetail.aspx?STONELIST=941351060&amp;ISCONFIRM=0" xr:uid="{0D987597-FC8D-4375-B328-F0AEED5AF86E}"/>
    <hyperlink ref="C5435" r:id="rId5430" display="https://pld.live/RapDetail.aspx?STONELIST=941351048&amp;ISCONFIRM=0" xr:uid="{D468027F-B7F7-4EEE-A258-C9704A4DC85B}"/>
    <hyperlink ref="C5436" r:id="rId5431" display="https://pld.live/RapDetail.aspx?STONELIST=941320822&amp;ISCONFIRM=0" xr:uid="{EA6EF281-A308-4B2E-B43B-8BF9C163436F}"/>
    <hyperlink ref="C5437" r:id="rId5432" display="https://pld.live/RapDetail.aspx?STONELIST=927101061&amp;ISCONFIRM=0" xr:uid="{10410844-8EC7-483A-B9EB-4B4620558C3A}"/>
    <hyperlink ref="C5438" r:id="rId5433" display="https://pld.live/RapDetail.aspx?STONELIST=927100975&amp;ISCONFIRM=0" xr:uid="{69877F4A-1EFF-44B2-873D-043F10940165}"/>
    <hyperlink ref="C5439" r:id="rId5434" display="https://pld.live/RapDetail.aspx?STONELIST=926211055&amp;ISCONFIRM=0" xr:uid="{AAE0866A-9DB7-44AB-BE00-682119EA8216}"/>
    <hyperlink ref="C5440" r:id="rId5435" display="https://pld.live/RapDetail.aspx?STONELIST=926630894&amp;ISCONFIRM=0" xr:uid="{962EC565-B5E9-4812-85EF-1F673539B03F}"/>
    <hyperlink ref="C5441" r:id="rId5436" display="https://pld.live/RapDetail.aspx?STONELIST=926520159&amp;ISCONFIRM=0" xr:uid="{D44C0623-5B59-4A19-9DDC-BE6EC787D5DE}"/>
    <hyperlink ref="C5442" r:id="rId5437" display="https://pld.live/RapDetail.aspx?STONELIST=831010461&amp;ISCONFIRM=0" xr:uid="{658C57D2-0145-4CC7-88A6-8C7771E5B39C}"/>
    <hyperlink ref="C5443" r:id="rId5438" display="https://pld.live/RapDetail.aspx?STONELIST=926870868&amp;ISCONFIRM=0" xr:uid="{05127641-8919-4246-ACFD-CF3CDDAEA95E}"/>
    <hyperlink ref="C5444" r:id="rId5439" display="https://pld.live/RapDetail.aspx?STONELIST=941200169&amp;ISCONFIRM=0" xr:uid="{12597D49-05E1-4E95-9978-DAAD32266C89}"/>
    <hyperlink ref="C5445" r:id="rId5440" display="https://pld.live/RapDetail.aspx?STONELIST=925360278&amp;ISCONFIRM=0" xr:uid="{663898F9-5808-4992-A408-CEC6EE95BC7C}"/>
    <hyperlink ref="C5446" r:id="rId5441" display="https://pld.live/RapDetail.aspx?STONELIST=941021358&amp;ISCONFIRM=0" xr:uid="{DC41D69C-511F-43FA-89B8-FF0CD0C81270}"/>
    <hyperlink ref="C5447" r:id="rId5442" display="https://pld.live/RapDetail.aspx?STONELIST=924230281&amp;ISCONFIRM=0" xr:uid="{4CAE78FF-E37D-479D-B47F-9CD0CDBE6E67}"/>
    <hyperlink ref="C5448" r:id="rId5443" display="https://pld.live/RapDetail.aspx?STONELIST=831010553&amp;ISCONFIRM=0" xr:uid="{DE871E11-2200-46EB-948F-86CE97C799C6}"/>
    <hyperlink ref="C5449" r:id="rId5444" display="https://pld.live/RapDetail.aspx?STONELIST=925940476&amp;ISCONFIRM=0" xr:uid="{524BA50B-F731-4388-9D3E-6C4CE9EF5898}"/>
    <hyperlink ref="C5450" r:id="rId5445" display="https://pld.live/RapDetail.aspx?STONELIST=941250689&amp;ISCONFIRM=0" xr:uid="{50C43143-C4A9-4230-AF49-8CE94832C74F}"/>
    <hyperlink ref="C5451" r:id="rId5446" display="https://pld.live/RapDetail.aspx?STONELIST=927101083&amp;ISCONFIRM=0" xr:uid="{4CAA1E35-A7CF-4A3F-A409-3686E30E1FA8}"/>
    <hyperlink ref="C5452" r:id="rId5447" display="https://pld.live/RapDetail.aspx?STONELIST=927100991&amp;ISCONFIRM=0" xr:uid="{B118C0F8-62DB-4F64-80A1-37842E06AB4D}"/>
    <hyperlink ref="C5453" r:id="rId5448" display="https://pld.live/RapDetail.aspx?STONELIST=926270056&amp;ISCONFIRM=0" xr:uid="{7A477BE0-F740-472D-A7F5-E56E8DE5B211}"/>
    <hyperlink ref="C5454" r:id="rId5449" display="https://pld.live/RapDetail.aspx?STONELIST=926700725&amp;ISCONFIRM=0" xr:uid="{28DFA162-9DBA-432D-883D-5176E0574B14}"/>
    <hyperlink ref="C5455" r:id="rId5450" display="https://pld.live/RapDetail.aspx?STONELIST=926690760&amp;ISCONFIRM=0" xr:uid="{E4A3511F-A77B-47CC-BF0C-89D47023E1C2}"/>
    <hyperlink ref="C5456" r:id="rId5451" display="https://pld.live/RapDetail.aspx?STONELIST=926690742&amp;ISCONFIRM=0" xr:uid="{18CA4B21-1FFC-418F-B586-6D7B1FA89695}"/>
    <hyperlink ref="C5457" r:id="rId5452" display="https://pld.live/RapDetail.aspx?STONELIST=926310841&amp;ISCONFIRM=0" xr:uid="{7F781D5A-0E84-4834-B3B6-957EFBD6B25B}"/>
    <hyperlink ref="C5458" r:id="rId5453" display="https://pld.live/RapDetail.aspx?STONELIST=926310770&amp;ISCONFIRM=0" xr:uid="{5102AA95-5793-4E3D-8669-2BCD1CC37BCD}"/>
    <hyperlink ref="C5459" r:id="rId5454" display="https://pld.live/RapDetail.aspx?STONELIST=926901034&amp;ISCONFIRM=0" xr:uid="{C5F71B44-1975-4C91-862D-92326CFC6A8D}"/>
    <hyperlink ref="C5460" r:id="rId5455" display="https://pld.live/RapDetail.aspx?STONELIST=926790893&amp;ISCONFIRM=0" xr:uid="{EFBA05EC-EA25-4866-8B20-670B352624A6}"/>
    <hyperlink ref="C5461" r:id="rId5456" display="https://pld.live/RapDetail.aspx?STONELIST=926921354&amp;ISCONFIRM=0" xr:uid="{4997FD31-80BC-41B0-91F6-4C50823E229E}"/>
    <hyperlink ref="C5462" r:id="rId5457" display="https://pld.live/RapDetail.aspx?STONELIST=926310836&amp;ISCONFIRM=0" xr:uid="{7795F8A3-052C-4307-BCDF-3D4E6A030C13}"/>
    <hyperlink ref="C5463" r:id="rId5458" display="https://pld.live/RapDetail.aspx?STONELIST=925930032&amp;ISCONFIRM=0" xr:uid="{F464FE4F-6328-496E-9D60-E6C36E4BB9E3}"/>
    <hyperlink ref="C5464" r:id="rId5459" display="https://pld.live/RapDetail.aspx?STONELIST=926910600&amp;ISCONFIRM=0" xr:uid="{A0316DEE-89F5-4487-A2DD-8D60DE6FFAD1}"/>
    <hyperlink ref="C5465" r:id="rId5460" display="https://pld.live/RapDetail.aspx?STONELIST=926680943&amp;ISCONFIRM=0" xr:uid="{DC8A9E5B-2CE5-4B59-8F0B-28B6CE4BCBD6}"/>
    <hyperlink ref="C5466" r:id="rId5461" display="https://pld.live/RapDetail.aspx?STONELIST=924580342&amp;ISCONFIRM=0" xr:uid="{0C88663D-7697-4966-84AE-8E3772ECCC71}"/>
    <hyperlink ref="C5467" r:id="rId5462" display="https://pld.live/RapDetail.aspx?STONELIST=923570780&amp;ISCONFIRM=0" xr:uid="{E3067C23-E6FD-44D4-BEEF-D549CCC12DB4}"/>
    <hyperlink ref="C5468" r:id="rId5463" display="https://pld.live/RapDetail.aspx?STONELIST=924350714&amp;ISCONFIRM=0" xr:uid="{0893F84A-07E2-4224-B848-D45E1C5D383A}"/>
    <hyperlink ref="C5469" r:id="rId5464" display="https://pld.live/RapDetail.aspx?STONELIST=923630398&amp;ISCONFIRM=0" xr:uid="{EF39EB18-9EC4-49D3-9A75-E49F24BF7B50}"/>
    <hyperlink ref="C5470" r:id="rId5465" display="https://pld.live/RapDetail.aspx?STONELIST=924880319&amp;ISCONFIRM=0" xr:uid="{4FD25996-7FB2-46A8-92E7-A0195FDAAE10}"/>
    <hyperlink ref="C5471" r:id="rId5466" display="https://pld.live/RapDetail.aspx?STONELIST=926291373&amp;ISCONFIRM=0" xr:uid="{933BB4E3-9EC2-4C9C-94BF-8BC3C9EEF3B9}"/>
    <hyperlink ref="C5472" r:id="rId5467" display="https://pld.live/RapDetail.aspx?STONELIST=926750642&amp;ISCONFIRM=0" xr:uid="{97A3FF5F-0A0D-49CE-9AD6-BB92E151A040}"/>
    <hyperlink ref="C5473" r:id="rId5468" display="https://pld.live/RapDetail.aspx?STONELIST=941351091&amp;ISCONFIRM=0" xr:uid="{9EFC5350-3863-4889-956E-BF9F72049B72}"/>
    <hyperlink ref="C5474" r:id="rId5469" display="https://pld.live/RapDetail.aspx?STONELIST=941160546&amp;ISCONFIRM=0" xr:uid="{FF87800E-83A2-447C-ADDF-6E825E95F387}"/>
    <hyperlink ref="C5475" r:id="rId5470" display="https://pld.live/RapDetail.aspx?STONELIST=926210941&amp;ISCONFIRM=0" xr:uid="{6E805375-8C03-4D54-A475-D8BE2B1CE3C3}"/>
    <hyperlink ref="C5476" r:id="rId5471" display="https://pld.live/RapDetail.aspx?STONELIST=941140755&amp;ISCONFIRM=0" xr:uid="{BFA5D3DB-BD28-49E6-B8E4-3D5F5DBE6AEA}"/>
    <hyperlink ref="C5477" r:id="rId5472" display="https://pld.live/RapDetail.aspx?STONELIST=941170332&amp;ISCONFIRM=0" xr:uid="{1784EE61-BCAE-4EBE-86E8-6551B43329B5}"/>
    <hyperlink ref="C5478" r:id="rId5473" display="https://pld.live/RapDetail.aspx?STONELIST=925900435&amp;ISCONFIRM=0" xr:uid="{EC2D33F1-367D-44AA-A465-31368227D103}"/>
    <hyperlink ref="C5479" r:id="rId5474" display="https://pld.live/RapDetail.aspx?STONELIST=924740200&amp;ISCONFIRM=0" xr:uid="{D95201C8-4B3A-4B51-8FBE-3FA16C30C4DE}"/>
    <hyperlink ref="C5480" r:id="rId5475" display="https://pld.live/RapDetail.aspx?STONELIST=831010172&amp;ISCONFIRM=0" xr:uid="{EFA1AEC1-7E95-4E40-8357-BFFB2672BC5F}"/>
    <hyperlink ref="C5481" r:id="rId5476" display="https://pld.live/RapDetail.aspx?STONELIST=926210582&amp;ISCONFIRM=0" xr:uid="{84C0778C-D551-42D6-9FB0-12569BE5000B}"/>
    <hyperlink ref="C5482" r:id="rId5477" display="https://pld.live/RapDetail.aspx?STONELIST=941191132&amp;ISCONFIRM=0" xr:uid="{46A2A3D2-AD44-413F-8CEA-A6CAD0235B1E}"/>
    <hyperlink ref="C5483" r:id="rId5478" display="https://pld.live/RapDetail.aspx?STONELIST=941170131&amp;ISCONFIRM=0" xr:uid="{079355DF-339C-4759-A6AB-4B43490507B4}"/>
    <hyperlink ref="C5484" r:id="rId5479" display="https://pld.live/RapDetail.aspx?STONELIST=926110941&amp;ISCONFIRM=0" xr:uid="{04B802E4-8F4D-4BFA-ABF9-C57459179AF9}"/>
    <hyperlink ref="C5485" r:id="rId5480" display="https://pld.live/RapDetail.aspx?STONELIST=924610403&amp;ISCONFIRM=0" xr:uid="{4A4A4B2D-22E0-473B-A1FB-BE8F5D01758C}"/>
    <hyperlink ref="C5486" r:id="rId5481" display="https://pld.live/RapDetail.aspx?STONELIST=831010552&amp;ISCONFIRM=0" xr:uid="{9378EA0D-6AD2-476E-AEB7-E1879030466E}"/>
    <hyperlink ref="C5487" r:id="rId5482" display="https://pld.live/RapDetail.aspx?STONELIST=926270859&amp;ISCONFIRM=0" xr:uid="{E86EF616-8C9A-49C5-89B9-7C2D2611F6E9}"/>
    <hyperlink ref="C5488" r:id="rId5483" display="https://pld.live/RapDetail.aspx?STONELIST=941140858&amp;ISCONFIRM=0" xr:uid="{CA5B05BC-E340-46D0-A62C-598437F10809}"/>
    <hyperlink ref="C5489" r:id="rId5484" display="https://pld.live/RapDetail.aspx?STONELIST=926680936&amp;ISCONFIRM=0" xr:uid="{21494EDB-2F6F-4FBF-8309-7085431EBA73}"/>
    <hyperlink ref="C5490" r:id="rId5485" display="https://pld.live/RapDetail.aspx?STONELIST=941140837&amp;ISCONFIRM=0" xr:uid="{63419B44-8589-4A72-ADF3-97A42FAF1401}"/>
    <hyperlink ref="C5491" r:id="rId5486" display="https://pld.live/RapDetail.aspx?STONELIST=941170196&amp;ISCONFIRM=0" xr:uid="{2A34FE70-DE16-4885-B8B2-D96FF29493E2}"/>
    <hyperlink ref="C5492" r:id="rId5487" display="https://pld.live/RapDetail.aspx?STONELIST=941110560&amp;ISCONFIRM=0" xr:uid="{CFBD3AC5-F496-4379-98C1-A7CE221EFD17}"/>
    <hyperlink ref="C5493" r:id="rId5488" display="https://pld.live/RapDetail.aspx?STONELIST=927152817&amp;ISCONFIRM=0" xr:uid="{12766164-05B0-45FD-BE8E-E23FB8B5BBF4}"/>
    <hyperlink ref="C5494" r:id="rId5489" display="https://pld.live/RapDetail.aspx?STONELIST=927150266&amp;ISCONFIRM=0" xr:uid="{DAA09EC7-592D-48F5-9F8A-222F6C2B68C7}"/>
    <hyperlink ref="C5495" r:id="rId5490" display="https://pld.live/RapDetail.aspx?STONELIST=926870872&amp;ISCONFIRM=0" xr:uid="{1EE1AD52-6213-44F5-984D-A59508394DC7}"/>
    <hyperlink ref="C5496" r:id="rId5491" display="https://pld.live/RapDetail.aspx?STONELIST=831020694&amp;ISCONFIRM=0" xr:uid="{18377004-9E05-441F-8654-6B86A18290DD}"/>
    <hyperlink ref="C5497" r:id="rId5492" display="https://pld.live/RapDetail.aspx?STONELIST=924510234&amp;ISCONFIRM=0" xr:uid="{7EC1F034-77FE-41F9-8E32-ECFD46F28103}"/>
    <hyperlink ref="C5498" r:id="rId5493" display="https://pld.live/RapDetail.aspx?STONELIST=924350690&amp;ISCONFIRM=0" xr:uid="{3BD7518E-F919-4ADD-997F-FD0299C84FCE}"/>
    <hyperlink ref="C5499" r:id="rId5494" display="https://pld.live/RapDetail.aspx?STONELIST=925140272&amp;ISCONFIRM=0" xr:uid="{49F97CD6-0019-45A7-B03A-9D738A1EFA04}"/>
    <hyperlink ref="C5500" r:id="rId5495" display="https://pld.live/RapDetail.aspx?STONELIST=926311195&amp;ISCONFIRM=0" xr:uid="{1CC05D40-D3D7-45F9-A235-E69C3BE0F40C}"/>
    <hyperlink ref="C5501" r:id="rId5496" display="https://pld.live/RapDetail.aspx?STONELIST=821113515&amp;ISCONFIRM=0" xr:uid="{7D113986-27CC-4BFD-A0FF-948CA4148FF7}"/>
    <hyperlink ref="C5502" r:id="rId5497" display="https://pld.live/RapDetail.aspx?STONELIST=926211019&amp;ISCONFIRM=0" xr:uid="{636F6127-6C48-4D93-A153-DEFF70857238}"/>
    <hyperlink ref="C5503" r:id="rId5498" display="https://pld.live/RapDetail.aspx?STONELIST=821113625&amp;ISCONFIRM=0" xr:uid="{672BC6D8-4DB2-4452-951B-3A35511DAEDB}"/>
    <hyperlink ref="C5504" r:id="rId5499" display="https://pld.live/RapDetail.aspx?STONELIST=925521997&amp;ISCONFIRM=0" xr:uid="{AE3C431C-14F5-42A5-96E4-F45EEFFD8B12}"/>
    <hyperlink ref="C5505" r:id="rId5500" display="https://pld.live/RapDetail.aspx?STONELIST=925621970&amp;ISCONFIRM=0" xr:uid="{DDAFEEE9-B3CA-40D5-8889-54EDB6C07BD2}"/>
    <hyperlink ref="C5506" r:id="rId5501" display="https://pld.live/RapDetail.aspx?STONELIST=821113631&amp;ISCONFIRM=0" xr:uid="{2CDABE7F-468A-470F-A2BF-9CB2BF935614}"/>
    <hyperlink ref="C5507" r:id="rId5502" display="https://pld.live/RapDetail.aspx?STONELIST=821113513&amp;ISCONFIRM=0" xr:uid="{ACFB71B9-F969-42F5-ADA7-23FF9AADF53C}"/>
    <hyperlink ref="C5508" r:id="rId5503" display="https://pld.live/RapDetail.aspx?STONELIST=821113514&amp;ISCONFIRM=0" xr:uid="{8C4FD581-16D3-4172-8F18-CF1E926DB22B}"/>
    <hyperlink ref="C5509" r:id="rId5504" display="https://pld.live/RapDetail.aspx?STONELIST=821113235&amp;ISCONFIRM=0" xr:uid="{F2EB108D-C2DB-438C-963D-CC2433EFD150}"/>
    <hyperlink ref="C5510" r:id="rId5505" display="https://pld.live/RapDetail.aspx?STONELIST=925610381&amp;ISCONFIRM=0" xr:uid="{C9D71CAD-15FD-470F-ADB9-D9A941C2D98B}"/>
    <hyperlink ref="C5511" r:id="rId5506" display="https://pld.live/RapDetail.aspx?STONELIST=821113649&amp;ISCONFIRM=0" xr:uid="{3105B436-A1B5-44DD-B4FF-D46448FF65C5}"/>
    <hyperlink ref="C5512" r:id="rId5507" display="https://pld.live/RapDetail.aspx?STONELIST=821113469&amp;ISCONFIRM=0" xr:uid="{12B7E6F2-0C44-46AC-AF44-945A94BBC89A}"/>
    <hyperlink ref="C5513" r:id="rId5508" display="https://pld.live/RapDetail.aspx?STONELIST=821113634&amp;ISCONFIRM=0" xr:uid="{460723D1-5CD4-4663-9022-343475911C80}"/>
    <hyperlink ref="C5514" r:id="rId5509" display="https://pld.live/RapDetail.aspx?STONELIST=821113534&amp;ISCONFIRM=0" xr:uid="{A9E0D5AD-F349-4D48-A8AF-D6F40371E1CF}"/>
    <hyperlink ref="C5515" r:id="rId5510" display="https://pld.live/RapDetail.aspx?STONELIST=925360395&amp;ISCONFIRM=0" xr:uid="{34F451C0-6C7F-4DAD-AFB4-9FA51D088CFC}"/>
    <hyperlink ref="C5516" r:id="rId5511" display="https://pld.live/RapDetail.aspx?STONELIST=926871136&amp;ISCONFIRM=0" xr:uid="{51F441F3-8DF3-43CF-AF14-B33BC99A20CF}"/>
    <hyperlink ref="C5517" r:id="rId5512" display="https://pld.live/RapDetail.aspx?STONELIST=926171462&amp;ISCONFIRM=0" xr:uid="{560F511E-543E-4A2E-9A3B-2B76B6AE0202}"/>
    <hyperlink ref="C5518" r:id="rId5513" display="https://pld.live/RapDetail.aspx?STONELIST=926311101&amp;ISCONFIRM=0" xr:uid="{CF6BBC49-6F9C-4AD7-9BC4-DE10E572DC83}"/>
    <hyperlink ref="C5519" r:id="rId5514" display="https://pld.live/RapDetail.aspx?STONELIST=925370372&amp;ISCONFIRM=0" xr:uid="{73951CF0-3482-462A-87F8-A25457AEFA2F}"/>
    <hyperlink ref="C5520" r:id="rId5515" display="https://pld.live/RapDetail.aspx?STONELIST=926460849&amp;ISCONFIRM=0" xr:uid="{297DC1DF-60A0-4DC3-8B29-F14CC9795907}"/>
    <hyperlink ref="C5521" r:id="rId5516" display="https://pld.live/RapDetail.aspx?STONELIST=925030364&amp;ISCONFIRM=0" xr:uid="{0C13C150-E7E7-4EE1-8B08-081DFFDC99DB}"/>
    <hyperlink ref="C5522" r:id="rId5517" display="https://pld.live/RapDetail.aspx?STONELIST=924440177&amp;ISCONFIRM=0" xr:uid="{F57B850D-02AF-406E-B550-C1825D0D3711}"/>
    <hyperlink ref="C5523" r:id="rId5518" display="https://pld.live/RapDetail.aspx?STONELIST=924780334&amp;ISCONFIRM=0" xr:uid="{0752BFF8-3E6A-4D84-B703-61284A62DE64}"/>
    <hyperlink ref="C5524" r:id="rId5519" display="https://pld.live/RapDetail.aspx?STONELIST=926680890&amp;ISCONFIRM=0" xr:uid="{A6361F36-3CCA-4BD2-ADE1-09D1AB30C9CE}"/>
    <hyperlink ref="C5525" r:id="rId5520" display="https://pld.live/RapDetail.aspx?STONELIST=923450145&amp;ISCONFIRM=0" xr:uid="{FE81093E-0424-4A1C-89B0-A94FBE86223D}"/>
    <hyperlink ref="C5526" r:id="rId5521" display="https://pld.live/RapDetail.aspx?STONELIST=926160064&amp;ISCONFIRM=0" xr:uid="{889FBA2E-CC90-4CB6-AD69-B5A7F34B86F6}"/>
    <hyperlink ref="C5527" r:id="rId5522" display="https://pld.live/RapDetail.aspx?STONELIST=925060454&amp;ISCONFIRM=0" xr:uid="{518C8EB3-4004-4D72-AC89-C4BF4F571FC3}"/>
    <hyperlink ref="C5528" r:id="rId5523" display="https://pld.live/RapDetail.aspx?STONELIST=924410707&amp;ISCONFIRM=0" xr:uid="{C4829F92-1B55-4857-8645-59DCFCAD4E4E}"/>
    <hyperlink ref="C5529" r:id="rId5524" display="https://pld.live/RapDetail.aspx?STONELIST=925030335&amp;ISCONFIRM=0" xr:uid="{3A4220DB-2FF4-4FD3-B64C-757CA8314C75}"/>
    <hyperlink ref="C5530" r:id="rId5525" display="https://pld.live/RapDetail.aspx?STONELIST=924970345&amp;ISCONFIRM=0" xr:uid="{73F304E3-0E28-4B7C-B3B6-F1E98303267C}"/>
    <hyperlink ref="C5531" r:id="rId5526" display="https://pld.live/RapDetail.aspx?STONELIST=927100993&amp;ISCONFIRM=0" xr:uid="{CEB697A1-DEC6-46CF-B4C8-49BD0A54282A}"/>
    <hyperlink ref="C5532" r:id="rId5527" display="https://pld.live/RapDetail.aspx?STONELIST=923490283&amp;ISCONFIRM=0" xr:uid="{12CB7053-C671-45CF-835E-4139FE781019}"/>
    <hyperlink ref="C5533" r:id="rId5528" display="https://pld.live/RapDetail.aspx?STONELIST=925900291&amp;ISCONFIRM=0" xr:uid="{F6A49BA1-235B-4848-BCDE-9DFB2648A600}"/>
    <hyperlink ref="C5534" r:id="rId5529" display="https://pld.live/RapDetail.aspx?STONELIST=924260263&amp;ISCONFIRM=0" xr:uid="{F07566F6-8998-497A-9F49-321CE6A42F66}"/>
    <hyperlink ref="C5535" r:id="rId5530" display="https://pld.live/RapDetail.aspx?STONELIST=926060001&amp;ISCONFIRM=0" xr:uid="{5118E0F4-5358-4A19-BC51-AE1B565A1FEA}"/>
    <hyperlink ref="C5536" r:id="rId5531" display="https://pld.live/RapDetail.aspx?STONELIST=925040318&amp;ISCONFIRM=0" xr:uid="{9842852B-C927-4281-9E5A-1D773E2503C1}"/>
    <hyperlink ref="C5537" r:id="rId5532" display="https://pld.live/RapDetail.aspx?STONELIST=925900448&amp;ISCONFIRM=0" xr:uid="{80D64F18-9CC6-4B4F-8FFE-943CD59FC6E6}"/>
    <hyperlink ref="C5538" r:id="rId5533" display="https://pld.live/RapDetail.aspx?STONELIST=924580407&amp;ISCONFIRM=0" xr:uid="{60CD09AF-E944-45DA-B1F9-5B04C3D083DF}"/>
    <hyperlink ref="C5539" r:id="rId5534" display="https://pld.live/RapDetail.aspx?STONELIST=925110465&amp;ISCONFIRM=0" xr:uid="{FFCEBCA9-E8C8-4289-BED9-3A6DCDE02787}"/>
    <hyperlink ref="C5540" r:id="rId5535" display="https://pld.live/RapDetail.aspx?STONELIST=925830515&amp;ISCONFIRM=0" xr:uid="{2537B5E9-D1AF-4F72-8874-72822F07D938}"/>
    <hyperlink ref="C5541" r:id="rId5536" display="https://pld.live/RapDetail.aspx?STONELIST=926210750&amp;ISCONFIRM=0" xr:uid="{F7BCA596-AE85-400D-94DF-28BE550FE1B9}"/>
    <hyperlink ref="C5542" r:id="rId5537" display="https://pld.live/RapDetail.aspx?STONELIST=926250460&amp;ISCONFIRM=0" xr:uid="{24F4D187-09D1-4968-A97C-90E71A9F9F5E}"/>
    <hyperlink ref="C5543" r:id="rId5538" display="https://pld.live/RapDetail.aspx?STONELIST=926220649&amp;ISCONFIRM=0" xr:uid="{59ACE55D-878A-4946-9BCC-AF7CB805B1ED}"/>
    <hyperlink ref="C5544" r:id="rId5539" display="https://pld.live/RapDetail.aspx?STONELIST=926250484&amp;ISCONFIRM=0" xr:uid="{7DB369B5-6838-4D02-B532-569C8E74E6A7}"/>
    <hyperlink ref="C5545" r:id="rId5540" display="https://pld.live/RapDetail.aspx?STONELIST=926310643&amp;ISCONFIRM=0" xr:uid="{3D79F0BB-3479-418B-B823-FA2FE781B69E}"/>
    <hyperlink ref="C5546" r:id="rId5541" display="https://pld.live/RapDetail.aspx?STONELIST=925040299&amp;ISCONFIRM=0" xr:uid="{0EA7396D-55BD-46DC-9EA6-D564D290AF9C}"/>
    <hyperlink ref="C5547" r:id="rId5542" display="https://pld.live/RapDetail.aspx?STONELIST=925040337&amp;ISCONFIRM=0" xr:uid="{5A074D78-EEAB-4B7D-97EC-13D5C52BF316}"/>
    <hyperlink ref="C5548" r:id="rId5543" display="https://pld.live/RapDetail.aspx?STONELIST=924150430&amp;ISCONFIRM=0" xr:uid="{2C84FF66-7F4A-45AD-8453-095C2E9718A4}"/>
    <hyperlink ref="C5549" r:id="rId5544" display="https://pld.live/RapDetail.aspx?STONELIST=924780422&amp;ISCONFIRM=0" xr:uid="{62D0AAE3-3CF7-4A5D-ADF8-816C482FBCA1}"/>
    <hyperlink ref="C5550" r:id="rId5545" display="https://pld.live/RapDetail.aspx?STONELIST=924410904&amp;ISCONFIRM=0" xr:uid="{7EEC4E2D-159B-410C-BE9B-05DF4AB57DF7}"/>
    <hyperlink ref="C5551" r:id="rId5546" display="https://pld.live/RapDetail.aspx?STONELIST=924290586&amp;ISCONFIRM=0" xr:uid="{3BEAD812-6564-4642-9A7E-CDB15C1B321C}"/>
    <hyperlink ref="C5552" r:id="rId5547" display="https://pld.live/RapDetail.aspx?STONELIST=926250443&amp;ISCONFIRM=0" xr:uid="{2CFBB000-6BB2-40CB-B3E7-1B8BD410CF37}"/>
    <hyperlink ref="C5553" r:id="rId5548" display="https://pld.live/RapDetail.aspx?STONELIST=925030362&amp;ISCONFIRM=0" xr:uid="{28CD8C2C-18C6-414C-A442-67E801C6B0F3}"/>
    <hyperlink ref="C5554" r:id="rId5549" display="https://pld.live/RapDetail.aspx?STONELIST=926930913&amp;ISCONFIRM=0" xr:uid="{A90E703F-3481-4078-AABD-6F075211DEAD}"/>
    <hyperlink ref="C5555" r:id="rId5550" display="https://pld.live/RapDetail.aspx?STONELIST=926250462&amp;ISCONFIRM=0" xr:uid="{38761408-54D1-427C-ABFC-80A3886C8603}"/>
    <hyperlink ref="C5556" r:id="rId5551" display="https://pld.live/RapDetail.aspx?STONELIST=925370443&amp;ISCONFIRM=0" xr:uid="{299F770E-2CEE-4C56-8325-A8EFBC9B0F74}"/>
    <hyperlink ref="C5557" r:id="rId5552" display="https://pld.live/RapDetail.aspx?STONELIST=925760637&amp;ISCONFIRM=0" xr:uid="{9A512196-F936-47A0-A7B1-0ED49D63458A}"/>
    <hyperlink ref="C5558" r:id="rId5553" display="https://pld.live/RapDetail.aspx?STONELIST=924880336&amp;ISCONFIRM=0" xr:uid="{9BDCA38D-A34A-4EA1-B273-D3D2F2225E18}"/>
    <hyperlink ref="C5559" r:id="rId5554" display="https://pld.live/RapDetail.aspx?STONELIST=926220605&amp;ISCONFIRM=0" xr:uid="{39E0D1AA-382C-476D-AC73-4B49585535AF}"/>
    <hyperlink ref="C5560" r:id="rId5555" display="https://pld.live/RapDetail.aspx?STONELIST=925760569&amp;ISCONFIRM=0" xr:uid="{CCF972E1-D9C9-4BE3-AF33-7068056AEB09}"/>
    <hyperlink ref="C5561" r:id="rId5556" display="https://pld.live/RapDetail.aspx?STONELIST=924920446&amp;ISCONFIRM=0" xr:uid="{F3F234CA-E190-43DD-9B8A-4D0FA0F91415}"/>
    <hyperlink ref="C5562" r:id="rId5557" display="https://pld.live/RapDetail.aspx?STONELIST=924410843&amp;ISCONFIRM=0" xr:uid="{A91DB5AD-EE4B-4B0D-B832-903736728371}"/>
    <hyperlink ref="C5563" r:id="rId5558" display="https://pld.live/RapDetail.aspx?STONELIST=923400674&amp;ISCONFIRM=0" xr:uid="{08781DEE-34B3-43FE-8532-93AC01A2DD6F}"/>
    <hyperlink ref="C5564" r:id="rId5559" display="https://pld.live/RapDetail.aspx?STONELIST=924920413&amp;ISCONFIRM=0" xr:uid="{60212139-10DB-46EE-AAA2-EEE874631B48}"/>
    <hyperlink ref="C5565" r:id="rId5560" display="https://pld.live/RapDetail.aspx?STONELIST=924780344&amp;ISCONFIRM=0" xr:uid="{E38D194C-DB64-4FDE-BCE8-94B5183E22C7}"/>
    <hyperlink ref="C5566" r:id="rId5561" display="https://pld.live/RapDetail.aspx?STONELIST=924930270&amp;ISCONFIRM=0" xr:uid="{3C192565-50C7-4279-A9AC-55462B612FD9}"/>
    <hyperlink ref="C5567" r:id="rId5562" display="https://pld.live/RapDetail.aspx?STONELIST=924480039&amp;ISCONFIRM=0" xr:uid="{5312CFB9-E98E-4322-854F-94EFB267D482}"/>
    <hyperlink ref="C5568" r:id="rId5563" display="https://pld.live/RapDetail.aspx?STONELIST=924900238&amp;ISCONFIRM=0" xr:uid="{7D32F69F-0A25-4025-A806-5DEF8FC231B9}"/>
    <hyperlink ref="C5569" r:id="rId5564" display="https://pld.live/RapDetail.aspx?STONELIST=924410833&amp;ISCONFIRM=0" xr:uid="{3AA1B0A5-27DA-41AA-B6B2-9C428F4D1652}"/>
    <hyperlink ref="C5570" r:id="rId5565" display="https://pld.live/RapDetail.aspx?STONELIST=926210563&amp;ISCONFIRM=0" xr:uid="{E4F925F3-BC68-4C29-86B4-9632EE58B16D}"/>
    <hyperlink ref="C5571" r:id="rId5566" display="https://pld.live/RapDetail.aspx?STONELIST=924410845&amp;ISCONFIRM=0" xr:uid="{5F2E065B-9B51-4854-BDD2-92F104F30A62}"/>
    <hyperlink ref="C5572" r:id="rId5567" display="https://pld.live/RapDetail.aspx?STONELIST=831020263&amp;ISCONFIRM=0" xr:uid="{CDEC5B5F-A10D-4A01-8E25-44CF88DC63C6}"/>
    <hyperlink ref="C5573" r:id="rId5568" display="https://pld.live/RapDetail.aspx?STONELIST=925030353&amp;ISCONFIRM=0" xr:uid="{70B52940-B8F8-4CC5-938B-3AE639C66D74}"/>
    <hyperlink ref="C5574" r:id="rId5569" display="https://pld.live/RapDetail.aspx?STONELIST=831010674&amp;ISCONFIRM=0" xr:uid="{91AE9152-28BF-4C44-A00C-F90F905A5C39}"/>
    <hyperlink ref="C5575" r:id="rId5570" display="https://pld.live/RapDetail.aspx?STONELIST=923690361&amp;ISCONFIRM=0" xr:uid="{0B6C84DC-5CFF-40C1-8B9C-9733B17F2F31}"/>
    <hyperlink ref="C5576" r:id="rId5571" display="https://pld.live/RapDetail.aspx?STONELIST=924780321&amp;ISCONFIRM=0" xr:uid="{860943F1-F2C1-4B24-BA91-9F6FAAC91C2E}"/>
    <hyperlink ref="C5577" r:id="rId5572" display="https://pld.live/RapDetail.aspx?STONELIST=924780437&amp;ISCONFIRM=0" xr:uid="{30A35449-BC06-4E50-AF41-E3FCB8FD35B4}"/>
    <hyperlink ref="C5578" r:id="rId5573" display="https://pld.live/RapDetail.aspx?STONELIST=926250017&amp;ISCONFIRM=0" xr:uid="{960C4749-37F3-4295-87F9-247C147AE51E}"/>
    <hyperlink ref="C5579" r:id="rId5574" display="https://pld.live/RapDetail.aspx?STONELIST=926310724&amp;ISCONFIRM=0" xr:uid="{D129DDA2-5CEF-49EA-8DFD-0082C0C702F6}"/>
    <hyperlink ref="C5580" r:id="rId5575" display="https://pld.live/RapDetail.aspx?STONELIST=924590347&amp;ISCONFIRM=0" xr:uid="{801DDCF7-A4EC-40AB-9FBB-757288843224}"/>
    <hyperlink ref="C5581" r:id="rId5576" display="https://pld.live/RapDetail.aspx?STONELIST=924480038&amp;ISCONFIRM=0" xr:uid="{08EC91FD-FF4B-4D14-B79C-89A3D16A4354}"/>
    <hyperlink ref="C5582" r:id="rId5577" display="https://pld.live/RapDetail.aspx?STONELIST=926210831&amp;ISCONFIRM=0" xr:uid="{A994B9C0-7FDD-4B2D-8190-32EA7B827FFD}"/>
    <hyperlink ref="C5583" r:id="rId5578" display="https://pld.live/RapDetail.aspx?STONELIST=924920410&amp;ISCONFIRM=0" xr:uid="{CD0C0DC1-2F98-4B92-A9D9-79C939B692FB}"/>
    <hyperlink ref="C5584" r:id="rId5579" display="https://pld.live/RapDetail.aspx?STONELIST=924290558&amp;ISCONFIRM=0" xr:uid="{6D04C7F9-69D9-4065-8F1C-09FBDF398467}"/>
    <hyperlink ref="C5585" r:id="rId5580" display="https://pld.live/RapDetail.aspx?STONELIST=924900236&amp;ISCONFIRM=0" xr:uid="{9A88795F-D729-4991-B224-7E0EF820FE47}"/>
    <hyperlink ref="C5586" r:id="rId5581" display="https://pld.live/RapDetail.aspx?STONELIST=924960367&amp;ISCONFIRM=0" xr:uid="{5D7993BB-52A7-4EE8-877E-767612DC0F5A}"/>
    <hyperlink ref="C5587" r:id="rId5582" display="https://pld.live/RapDetail.aspx?STONELIST=924920428&amp;ISCONFIRM=0" xr:uid="{425C4441-1A27-4844-A426-9D73879DFABC}"/>
    <hyperlink ref="C5588" r:id="rId5583" display="https://pld.live/RapDetail.aspx?STONELIST=926420172&amp;ISCONFIRM=0" xr:uid="{908EFC43-07DE-4F36-9CFE-4E139EAE7134}"/>
    <hyperlink ref="C5589" r:id="rId5584" display="https://pld.live/RapDetail.aspx?STONELIST=924780333&amp;ISCONFIRM=0" xr:uid="{9D3CBA3E-C1DA-461B-AC3B-FDF196E2DB37}"/>
    <hyperlink ref="C5590" r:id="rId5585" display="https://pld.live/RapDetail.aspx?STONELIST=924410883&amp;ISCONFIRM=0" xr:uid="{56E3CA0B-F1FD-4EA6-9604-B3164A60AF94}"/>
    <hyperlink ref="C5591" r:id="rId5586" display="https://pld.live/RapDetail.aspx?STONELIST=924780327&amp;ISCONFIRM=0" xr:uid="{E0082EB2-A813-4DCA-A3CC-D43AA4B854FC}"/>
    <hyperlink ref="C5592" r:id="rId5587" display="https://pld.live/RapDetail.aspx?STONELIST=924580329&amp;ISCONFIRM=0" xr:uid="{CE9DC04C-B236-4036-91E8-5B4AEDF6BCB4}"/>
    <hyperlink ref="C5593" r:id="rId5588" display="https://pld.live/RapDetail.aspx?STONELIST=831010237&amp;ISCONFIRM=0" xr:uid="{22011CB7-0025-4138-AD2B-D4F2C4CF2A29}"/>
    <hyperlink ref="C5594" r:id="rId5589" display="https://pld.live/RapDetail.aspx?STONELIST=924410869&amp;ISCONFIRM=0" xr:uid="{769CE71C-FC75-446D-8295-EF8AFC94C62A}"/>
    <hyperlink ref="C5595" r:id="rId5590" display="https://pld.live/RapDetail.aspx?STONELIST=926410205&amp;ISCONFIRM=0" xr:uid="{BEA47D42-5128-4C4C-B803-C3CDF00A4F85}"/>
    <hyperlink ref="C5596" r:id="rId5591" display="https://pld.live/RapDetail.aspx?STONELIST=925760094&amp;ISCONFIRM=0" xr:uid="{29E81CF2-7590-453B-88D5-1085E8075F8A}"/>
    <hyperlink ref="C5597" r:id="rId5592" display="https://pld.live/RapDetail.aspx?STONELIST=925030368&amp;ISCONFIRM=0" xr:uid="{E185AEC0-F695-4172-909B-163564C2A6E9}"/>
    <hyperlink ref="C5598" r:id="rId5593" display="https://pld.live/RapDetail.aspx?STONELIST=926220572&amp;ISCONFIRM=0" xr:uid="{6E05743F-267B-4580-9E2E-74938FD64796}"/>
    <hyperlink ref="C5599" r:id="rId5594" display="https://pld.live/RapDetail.aspx?STONELIST=924780306&amp;ISCONFIRM=0" xr:uid="{A11C2AD8-9365-4E72-90CF-1F91A519775A}"/>
    <hyperlink ref="C5600" r:id="rId5595" display="https://pld.live/RapDetail.aspx?STONELIST=924780319&amp;ISCONFIRM=0" xr:uid="{C3DD068B-D1C6-4C3A-B515-916C5787CF0F}"/>
    <hyperlink ref="C5601" r:id="rId5596" display="https://pld.live/RapDetail.aspx?STONELIST=924710175&amp;ISCONFIRM=0" xr:uid="{0D8464FB-5E7B-4392-85CE-1FA4F61167B7}"/>
    <hyperlink ref="C5602" r:id="rId5597" display="https://pld.live/RapDetail.aspx?STONELIST=924780429&amp;ISCONFIRM=0" xr:uid="{D7676DD6-3BA9-4077-8F7F-0B9BA2034D95}"/>
    <hyperlink ref="C5603" r:id="rId5598" display="https://pld.live/RapDetail.aspx?STONELIST=924920421&amp;ISCONFIRM=0" xr:uid="{527CFD56-7E51-40A3-84DC-39D7AE01AB72}"/>
    <hyperlink ref="C5604" r:id="rId5599" display="https://pld.live/RapDetail.aspx?STONELIST=924920407&amp;ISCONFIRM=0" xr:uid="{096985A2-3131-4DB3-81CF-0998E51FB894}"/>
    <hyperlink ref="C5605" r:id="rId5600" display="https://pld.live/RapDetail.aspx?STONELIST=831020456&amp;ISCONFIRM=0" xr:uid="{F5E8724C-A5A5-4E5A-97A9-0B930B533296}"/>
    <hyperlink ref="C5606" r:id="rId5601" display="https://pld.live/RapDetail.aspx?STONELIST=920470389&amp;ISCONFIRM=0" xr:uid="{3454B00E-A51E-4E49-927B-8BD4F070C5A7}"/>
    <hyperlink ref="C5607" r:id="rId5602" display="https://pld.live/RapDetail.aspx?STONELIST=925040305&amp;ISCONFIRM=0" xr:uid="{930AA5D7-CC11-4B9A-81D5-3CDA3E86F7C0}"/>
    <hyperlink ref="C5608" r:id="rId5603" display="https://pld.live/RapDetail.aspx?STONELIST=924960441&amp;ISCONFIRM=0" xr:uid="{3E3D6010-23F9-4233-84AE-3DFB35DD4C49}"/>
    <hyperlink ref="C5609" r:id="rId5604" display="https://pld.live/RapDetail.aspx?STONELIST=926921389&amp;ISCONFIRM=0" xr:uid="{E56D3E1B-9007-4567-BA71-71077E81517D}"/>
    <hyperlink ref="C5610" r:id="rId5605" display="https://pld.live/RapDetail.aspx?STONELIST=924390541&amp;ISCONFIRM=0" xr:uid="{F4CF814A-6BB7-4115-A4A9-2884996A9D94}"/>
    <hyperlink ref="C5611" r:id="rId5606" display="https://pld.live/RapDetail.aspx?STONELIST=924370484&amp;ISCONFIRM=0" xr:uid="{17CD7562-1835-40DA-97D9-AF9AE24C2DD2}"/>
    <hyperlink ref="C5612" r:id="rId5607" display="https://pld.live/RapDetail.aspx?STONELIST=924410849&amp;ISCONFIRM=0" xr:uid="{12D45C8C-FB88-4BB2-B915-2B0415856821}"/>
    <hyperlink ref="C5613" r:id="rId5608" display="https://pld.live/RapDetail.aspx?STONELIST=924920332&amp;ISCONFIRM=0" xr:uid="{6783C1F8-D74B-49FB-A417-9143758A8DBF}"/>
    <hyperlink ref="C5614" r:id="rId5609" display="https://pld.live/RapDetail.aspx?STONELIST=925060446&amp;ISCONFIRM=0" xr:uid="{D8550A14-EF49-499C-BB62-4E7C32CFBC47}"/>
    <hyperlink ref="C5615" r:id="rId5610" display="https://pld.live/RapDetail.aspx?STONELIST=924290284&amp;ISCONFIRM=0" xr:uid="{57E40FC1-345A-4EB3-9041-1EBFCE513581}"/>
    <hyperlink ref="C5616" r:id="rId5611" display="https://pld.live/RapDetail.aspx?STONELIST=924920455&amp;ISCONFIRM=0" xr:uid="{E9046874-3568-4341-85B8-B2638685F882}"/>
    <hyperlink ref="C5617" r:id="rId5612" display="https://pld.live/RapDetail.aspx?STONELIST=924920440&amp;ISCONFIRM=0" xr:uid="{81E2F8B9-77F3-49E7-B0C0-38BEC3F52172}"/>
    <hyperlink ref="C5618" r:id="rId5613" display="https://pld.live/RapDetail.aspx?STONELIST=924920415&amp;ISCONFIRM=0" xr:uid="{FD0AC9C3-9604-44BE-85CC-1CFD94F5C91B}"/>
    <hyperlink ref="C5619" r:id="rId5614" display="https://pld.live/RapDetail.aspx?STONELIST=924780413&amp;ISCONFIRM=0" xr:uid="{1B17BC1F-2367-467C-A682-0D3E3B3180F4}"/>
    <hyperlink ref="C5620" r:id="rId5615" display="https://pld.live/RapDetail.aspx?STONELIST=923870445&amp;ISCONFIRM=0" xr:uid="{6941D777-FCE6-4C43-A293-ABC4097B7232}"/>
    <hyperlink ref="C5621" r:id="rId5616" display="https://pld.live/RapDetail.aspx?STONELIST=924370487&amp;ISCONFIRM=0" xr:uid="{0B005080-4766-40D6-AEF8-D255F62C13A2}"/>
    <hyperlink ref="C5622" r:id="rId5617" display="https://pld.live/RapDetail.aspx?STONELIST=923870349&amp;ISCONFIRM=0" xr:uid="{248B7132-4666-4ABA-A504-F5EFEEA85CF5}"/>
    <hyperlink ref="C5623" r:id="rId5618" display="https://pld.live/RapDetail.aspx?STONELIST=926690879&amp;ISCONFIRM=0" xr:uid="{0148E770-9281-431D-B031-6BF5C19B5EB3}"/>
    <hyperlink ref="C5624" r:id="rId5619" display="https://pld.live/RapDetail.aspx?STONELIST=925030407&amp;ISCONFIRM=0" xr:uid="{5E4A3D36-E043-48B2-A3A9-87244AB0C741}"/>
    <hyperlink ref="C5625" r:id="rId5620" display="https://pld.live/RapDetail.aspx?STONELIST=926520191&amp;ISCONFIRM=0" xr:uid="{A4560165-E6E0-466D-97C3-40D7CFF44646}"/>
    <hyperlink ref="C5626" r:id="rId5621" display="https://pld.live/RapDetail.aspx?STONELIST=923690432&amp;ISCONFIRM=0" xr:uid="{6259531E-F018-44BB-9886-D248E76CCE13}"/>
    <hyperlink ref="C5627" r:id="rId5622" display="https://pld.live/RapDetail.aspx?STONELIST=925040304&amp;ISCONFIRM=0" xr:uid="{7EE9B8F9-840F-41D0-BC65-4583B07F2A44}"/>
    <hyperlink ref="C5628" r:id="rId5623" display="https://pld.live/RapDetail.aspx?STONELIST=925040298&amp;ISCONFIRM=0" xr:uid="{0A56C8F5-187C-4C9B-94A4-31557F179AEF}"/>
    <hyperlink ref="C5629" r:id="rId5624" display="https://pld.live/RapDetail.aspx?STONELIST=925030402&amp;ISCONFIRM=0" xr:uid="{AAC888F4-5318-4B26-83A7-2838861C7A90}"/>
    <hyperlink ref="C5630" r:id="rId5625" display="https://pld.live/RapDetail.aspx?STONELIST=924370514&amp;ISCONFIRM=0" xr:uid="{DF47EFA2-5873-4671-A9A6-1CD510F9C737}"/>
    <hyperlink ref="C5631" r:id="rId5626" display="https://pld.live/RapDetail.aspx?STONELIST=924960447&amp;ISCONFIRM=0" xr:uid="{F8718003-207C-487C-A0FF-57B6251B13D1}"/>
    <hyperlink ref="C5632" r:id="rId5627" display="https://pld.live/RapDetail.aspx?STONELIST=925040332&amp;ISCONFIRM=0" xr:uid="{231E018D-1063-419B-9A84-6F5790A76342}"/>
    <hyperlink ref="C5633" r:id="rId5628" display="https://pld.live/RapDetail.aspx?STONELIST=926730817&amp;ISCONFIRM=0" xr:uid="{FA8C3FE2-88FB-4E8F-9DBC-26697ACB46B7}"/>
    <hyperlink ref="C5634" r:id="rId5629" display="https://pld.live/RapDetail.aspx?STONELIST=926220730&amp;ISCONFIRM=0" xr:uid="{08558604-2415-45EA-906F-48B893B38BC1}"/>
    <hyperlink ref="C5635" r:id="rId5630" display="https://pld.live/RapDetail.aspx?STONELIST=941261076&amp;ISCONFIRM=0" xr:uid="{69F549D5-A020-416C-A3D2-11EBDCCD4D84}"/>
    <hyperlink ref="C5636" r:id="rId5631" display="https://pld.live/RapDetail.aspx?STONELIST=925040325&amp;ISCONFIRM=0" xr:uid="{74E60870-2517-4AF3-8366-093471E2A44E}"/>
    <hyperlink ref="C5637" r:id="rId5632" display="https://pld.live/RapDetail.aspx?STONELIST=924590352&amp;ISCONFIRM=0" xr:uid="{7E3A6F0D-938E-4826-832F-6BFAD5A98BA7}"/>
    <hyperlink ref="C5638" r:id="rId5633" display="https://pld.live/RapDetail.aspx?STONELIST=924560534&amp;ISCONFIRM=0" xr:uid="{420EEF0C-1D80-4A90-8A56-D4A8B4E79BDC}"/>
    <hyperlink ref="C5639" r:id="rId5634" display="https://pld.live/RapDetail.aspx?STONELIST=924920426&amp;ISCONFIRM=0" xr:uid="{70BF46DA-B63C-4075-BFB2-4C761A4B0861}"/>
    <hyperlink ref="C5640" r:id="rId5635" display="https://pld.live/RapDetail.aspx?STONELIST=924780412&amp;ISCONFIRM=0" xr:uid="{ABA7B523-427C-4170-9E5A-E8690ECF2E0D}"/>
    <hyperlink ref="C5641" r:id="rId5636" display="https://pld.live/RapDetail.aspx?STONELIST=924780467&amp;ISCONFIRM=0" xr:uid="{59840B14-C03B-4B9F-9BAD-F05A077B8D52}"/>
    <hyperlink ref="C5642" r:id="rId5637" display="https://pld.live/RapDetail.aspx?STONELIST=924410908&amp;ISCONFIRM=0" xr:uid="{E18DF01E-C649-4300-997F-6C8FA5924035}"/>
    <hyperlink ref="C5643" r:id="rId5638" display="https://pld.live/RapDetail.aspx?STONELIST=923390504&amp;ISCONFIRM=0" xr:uid="{43F0460D-7C13-4313-8792-0A840E45A289}"/>
    <hyperlink ref="C5644" r:id="rId5639" display="https://pld.live/RapDetail.aspx?STONELIST=924520181&amp;ISCONFIRM=0" xr:uid="{D0878333-B676-421C-BC5D-C09595968F4C}"/>
    <hyperlink ref="C5645" r:id="rId5640" display="https://pld.live/RapDetail.aspx?STONELIST=941261070&amp;ISCONFIRM=0" xr:uid="{424DA5AC-E0FC-4379-AB10-4B10C745EA19}"/>
    <hyperlink ref="C5646" r:id="rId5641" display="https://pld.live/RapDetail.aspx?STONELIST=926440255&amp;ISCONFIRM=0" xr:uid="{30C2FF03-2FEC-40FA-BC93-CAA31EEE7E4E}"/>
    <hyperlink ref="C5647" r:id="rId5642" display="https://pld.live/RapDetail.aspx?STONELIST=926220823&amp;ISCONFIRM=0" xr:uid="{67CA2EA4-07E3-4DBC-A7C1-AFD210212D1D}"/>
    <hyperlink ref="C5648" r:id="rId5643" display="https://pld.live/RapDetail.aspx?STONELIST=926220688&amp;ISCONFIRM=0" xr:uid="{C194616C-BE29-4EA8-817C-526DC2BD68B6}"/>
    <hyperlink ref="C5649" r:id="rId5644" display="https://pld.live/RapDetail.aspx?STONELIST=941261103&amp;ISCONFIRM=0" xr:uid="{2CBEB5BB-A294-4196-BDDB-7D9A5516F68E}"/>
    <hyperlink ref="C5650" r:id="rId5645" display="https://pld.live/RapDetail.aspx?STONELIST=941261091&amp;ISCONFIRM=0" xr:uid="{064809B9-2963-4979-B206-2819B358EC3C}"/>
    <hyperlink ref="C5651" r:id="rId5646" display="https://pld.live/RapDetail.aspx?STONELIST=941261082&amp;ISCONFIRM=0" xr:uid="{166C4CDD-F70B-4583-8A92-9375910EA70C}"/>
    <hyperlink ref="C5652" r:id="rId5647" display="https://pld.live/RapDetail.aspx?STONELIST=941190104&amp;ISCONFIRM=0" xr:uid="{0DE694C1-2524-4EF2-88BF-6D71DD12F052}"/>
    <hyperlink ref="C5653" r:id="rId5648" display="https://pld.live/RapDetail.aspx?STONELIST=941261050&amp;ISCONFIRM=0" xr:uid="{E06199CF-F243-4F1A-8B17-011EE4B8A0AC}"/>
    <hyperlink ref="C5654" r:id="rId5649" display="https://pld.live/RapDetail.aspx?STONELIST=941261051&amp;ISCONFIRM=0" xr:uid="{5D708320-0B1C-48B5-B3A2-9234237DEF4D}"/>
    <hyperlink ref="C5655" r:id="rId5650" display="https://pld.live/RapDetail.aspx?STONELIST=941261064&amp;ISCONFIRM=0" xr:uid="{9F29FF7E-C1D1-4CD5-8F42-1AA434A07980}"/>
    <hyperlink ref="C5656" r:id="rId5651" display="https://pld.live/RapDetail.aspx?STONELIST=941261069&amp;ISCONFIRM=0" xr:uid="{92A8B6CF-75B0-456E-BB1D-9BA71D6D58BF}"/>
    <hyperlink ref="C5657" r:id="rId5652" display="https://pld.live/RapDetail.aspx?STONELIST=941261072&amp;ISCONFIRM=0" xr:uid="{631B3180-1BEA-4DCF-BAD0-C11F42BFEE23}"/>
    <hyperlink ref="C5658" r:id="rId5653" display="https://pld.live/RapDetail.aspx?STONELIST=941261074&amp;ISCONFIRM=0" xr:uid="{580D93C8-F687-475B-AE85-CBFD0B75A17E}"/>
    <hyperlink ref="C5659" r:id="rId5654" display="https://pld.live/RapDetail.aspx?STONELIST=941261078&amp;ISCONFIRM=0" xr:uid="{C8FFA5FA-B8F6-482E-B1BA-8765763667F3}"/>
    <hyperlink ref="C5660" r:id="rId5655" display="https://pld.live/RapDetail.aspx?STONELIST=941261048&amp;ISCONFIRM=0" xr:uid="{E715F67A-32C5-4A16-B5A4-055640C08430}"/>
    <hyperlink ref="C5661" r:id="rId5656" display="https://pld.live/RapDetail.aspx?STONELIST=941261068&amp;ISCONFIRM=0" xr:uid="{05AE52FA-60D5-40AD-8E51-6856EEABD815}"/>
    <hyperlink ref="C5662" r:id="rId5657" display="https://pld.live/RapDetail.aspx?STONELIST=941261075&amp;ISCONFIRM=0" xr:uid="{4F1C3406-C897-441C-8329-D7643850BCBC}"/>
    <hyperlink ref="C5663" r:id="rId5658" display="https://pld.live/RapDetail.aspx?STONELIST=941110544&amp;ISCONFIRM=0" xr:uid="{118174BD-BEDB-4250-BA8D-7C19AFF3FEDC}"/>
    <hyperlink ref="C5664" r:id="rId5659" display="https://pld.live/RapDetail.aspx?STONELIST=925030379&amp;ISCONFIRM=0" xr:uid="{10DB2E62-636E-4B2F-92F9-47D6AEFBB830}"/>
    <hyperlink ref="C5665" r:id="rId5660" display="https://pld.live/RapDetail.aspx?STONELIST=926350516&amp;ISCONFIRM=0" xr:uid="{16671888-C9BD-4B10-B646-2E88A7F83CA4}"/>
    <hyperlink ref="C5666" r:id="rId5661" display="https://pld.live/RapDetail.aspx?STONELIST=925510154&amp;ISCONFIRM=0" xr:uid="{CE635B38-A093-4A83-B58C-134108568E4D}"/>
    <hyperlink ref="C5667" r:id="rId5662" display="https://pld.live/RapDetail.aspx?STONELIST=925110441&amp;ISCONFIRM=0" xr:uid="{B938719B-88FA-4F78-ACB6-9414A1F040C1}"/>
    <hyperlink ref="C5668" r:id="rId5663" display="https://pld.live/RapDetail.aspx?STONELIST=924960478&amp;ISCONFIRM=0" xr:uid="{374A2E08-50CD-4185-8959-2681A7A6510B}"/>
    <hyperlink ref="C5669" r:id="rId5664" display="https://pld.live/RapDetail.aspx?STONELIST=925290436&amp;ISCONFIRM=0" xr:uid="{D4007E86-EB67-4C07-97CA-A40083B548C9}"/>
    <hyperlink ref="C5670" r:id="rId5665" display="https://pld.live/RapDetail.aspx?STONELIST=925620073&amp;ISCONFIRM=0" xr:uid="{7B47376E-5F82-4EFA-A199-9FDAE496279D}"/>
    <hyperlink ref="C5671" r:id="rId5666" display="https://pld.live/RapDetail.aspx?STONELIST=923680525&amp;ISCONFIRM=0" xr:uid="{5C3BF094-55EF-47DA-BCBB-1BA0CFC27EE5}"/>
    <hyperlink ref="C5672" r:id="rId5667" display="https://pld.live/RapDetail.aspx?STONELIST=924050504&amp;ISCONFIRM=0" xr:uid="{A6D504CB-7EF8-4BAB-9147-C5F5F5159DA1}"/>
    <hyperlink ref="C5673" r:id="rId5668" display="https://pld.live/RapDetail.aspx?STONELIST=923690441&amp;ISCONFIRM=0" xr:uid="{09E46245-5DEA-43C6-A6D3-D3AB406AF26E}"/>
    <hyperlink ref="C5674" r:id="rId5669" display="https://pld.live/RapDetail.aspx?STONELIST=923690482&amp;ISCONFIRM=0" xr:uid="{3996DA48-B954-4913-8394-A7DB89500035}"/>
    <hyperlink ref="C5675" r:id="rId5670" display="https://pld.live/RapDetail.aspx?STONELIST=924900228&amp;ISCONFIRM=0" xr:uid="{66D512D1-0600-4394-90FF-7A48294BDF58}"/>
    <hyperlink ref="C5676" r:id="rId5671" display="https://pld.live/RapDetail.aspx?STONELIST=924520183&amp;ISCONFIRM=0" xr:uid="{54469302-80AC-45CF-A550-2B674AC1C3DD}"/>
    <hyperlink ref="C5677" r:id="rId5672" display="https://pld.live/RapDetail.aspx?STONELIST=924520197&amp;ISCONFIRM=0" xr:uid="{DF24E7A3-AFE7-4A1F-8C73-440F7A9C0F34}"/>
    <hyperlink ref="C5678" r:id="rId5673" display="https://pld.live/RapDetail.aspx?STONELIST=924420439&amp;ISCONFIRM=0" xr:uid="{A8BB7384-4637-46BA-879C-5C4C133F7066}"/>
    <hyperlink ref="C5679" r:id="rId5674" display="https://pld.live/RapDetail.aspx?STONELIST=924960421&amp;ISCONFIRM=0" xr:uid="{9E18944A-FAC4-487F-B18B-4F56FB576BC6}"/>
    <hyperlink ref="C5680" r:id="rId5675" display="https://pld.live/RapDetail.aspx?STONELIST=926280616&amp;ISCONFIRM=0" xr:uid="{48370991-302D-4F6A-BF3F-7000E1419553}"/>
    <hyperlink ref="C5681" r:id="rId5676" display="https://pld.live/RapDetail.aspx?STONELIST=924920411&amp;ISCONFIRM=0" xr:uid="{7DE74374-FAB0-4F87-B246-97F64AD0109C}"/>
    <hyperlink ref="C5682" r:id="rId5677" display="https://pld.live/RapDetail.aspx?STONELIST=924410898&amp;ISCONFIRM=0" xr:uid="{19F86A83-AF04-43C3-9277-9FC37B8EE511}"/>
    <hyperlink ref="C5683" r:id="rId5678" display="https://pld.live/RapDetail.aspx?STONELIST=924410860&amp;ISCONFIRM=0" xr:uid="{1BBF24EF-4538-4AAE-B3FB-2ECFC7F5F252}"/>
    <hyperlink ref="C5684" r:id="rId5679" display="https://pld.live/RapDetail.aspx?STONELIST=924410887&amp;ISCONFIRM=0" xr:uid="{DC471F86-35E2-488C-950C-270A0D5186E4}"/>
    <hyperlink ref="C5685" r:id="rId5680" display="https://pld.live/RapDetail.aspx?STONELIST=924920454&amp;ISCONFIRM=0" xr:uid="{E284A719-44CF-429C-A279-BACD696F2F3B}"/>
    <hyperlink ref="C5686" r:id="rId5681" display="https://pld.live/RapDetail.aspx?STONELIST=831020345&amp;ISCONFIRM=0" xr:uid="{427192E1-EEC6-417E-9376-F3F5FDD6EEE5}"/>
    <hyperlink ref="C5687" r:id="rId5682" display="https://pld.live/RapDetail.aspx?STONELIST=926280622&amp;ISCONFIRM=0" xr:uid="{F3F567E9-A4C6-4A78-8275-A187732E29F8}"/>
    <hyperlink ref="C5688" r:id="rId5683" display="https://pld.live/RapDetail.aspx?STONELIST=924510236&amp;ISCONFIRM=0" xr:uid="{9248CB8D-E95B-4E9D-B662-46106BAB9016}"/>
    <hyperlink ref="C5689" r:id="rId5684" display="https://pld.live/RapDetail.aspx?STONELIST=924780468&amp;ISCONFIRM=0" xr:uid="{39BB0A76-38B7-417C-99BA-502C92718B66}"/>
    <hyperlink ref="C5690" r:id="rId5685" display="https://pld.live/RapDetail.aspx?STONELIST=924410876&amp;ISCONFIRM=0" xr:uid="{DC884377-0958-4C3A-9309-A74F418AD752}"/>
    <hyperlink ref="C5691" r:id="rId5686" display="https://pld.live/RapDetail.aspx?STONELIST=924290360&amp;ISCONFIRM=0" xr:uid="{7ABBA3BF-0FC8-46D2-9CA8-5A5F15ED37B0}"/>
    <hyperlink ref="C5692" r:id="rId5687" display="https://pld.live/RapDetail.aspx?STONELIST=924920430&amp;ISCONFIRM=0" xr:uid="{2437FFDE-7089-4185-898F-8E918A8F9620}"/>
    <hyperlink ref="C5693" r:id="rId5688" display="https://pld.live/RapDetail.aspx?STONELIST=924780420&amp;ISCONFIRM=0" xr:uid="{FCCAAB40-5C11-4B40-AD9E-142012495471}"/>
    <hyperlink ref="C5694" r:id="rId5689" display="https://pld.live/RapDetail.aspx?STONELIST=924260104&amp;ISCONFIRM=0" xr:uid="{75E00624-CF50-4319-9C07-796C639A35C9}"/>
    <hyperlink ref="C5695" r:id="rId5690" display="https://pld.live/RapDetail.aspx?STONELIST=923610270&amp;ISCONFIRM=0" xr:uid="{5ED960C1-2140-4471-B827-CF6CDE82810B}"/>
    <hyperlink ref="C5696" r:id="rId5691" display="https://pld.live/RapDetail.aspx?STONELIST=941320195&amp;ISCONFIRM=0" xr:uid="{32AE8D94-118A-4D13-9A74-B3FBAD8A3221}"/>
    <hyperlink ref="C5697" r:id="rId5692" display="https://pld.live/RapDetail.aspx?STONELIST=924510245&amp;ISCONFIRM=0" xr:uid="{3097D018-1897-4530-9829-1FF58BEA9B77}"/>
    <hyperlink ref="C5698" r:id="rId5693" display="https://pld.live/RapDetail.aspx?STONELIST=924290603&amp;ISCONFIRM=0" xr:uid="{F21E1254-92A2-4A64-93D1-E86FD4AC874C}"/>
    <hyperlink ref="C5699" r:id="rId5694" display="https://pld.live/RapDetail.aspx?STONELIST=923480542&amp;ISCONFIRM=0" xr:uid="{39EE331B-86EE-482A-93FC-E58F4E164407}"/>
    <hyperlink ref="C5700" r:id="rId5695" display="https://pld.live/RapDetail.aspx?STONELIST=926400546&amp;ISCONFIRM=0" xr:uid="{222279FE-EEA7-41FF-8E2C-C198E48EFECF}"/>
    <hyperlink ref="C5701" r:id="rId5696" display="https://pld.live/RapDetail.aspx?STONELIST=924270513&amp;ISCONFIRM=0" xr:uid="{0ABAC756-8775-4C20-A454-192C75BD57DB}"/>
    <hyperlink ref="C5702" r:id="rId5697" display="https://pld.live/RapDetail.aspx?STONELIST=924900214&amp;ISCONFIRM=0" xr:uid="{56D54A3C-F7B8-4417-BE1B-8C9DC63984C8}"/>
    <hyperlink ref="C5703" r:id="rId5698" display="https://pld.live/RapDetail.aspx?STONELIST=923690405&amp;ISCONFIRM=0" xr:uid="{77A7BABE-E67D-4848-9D3D-6FCC051A448F}"/>
    <hyperlink ref="C5704" r:id="rId5699" display="https://pld.live/RapDetail.aspx?STONELIST=831020344&amp;ISCONFIRM=0" xr:uid="{D2D45451-63FE-4BB8-A043-6B693245BE00}"/>
    <hyperlink ref="C5705" r:id="rId5700" display="https://pld.live/RapDetail.aspx?STONELIST=924590353&amp;ISCONFIRM=0" xr:uid="{BAC360EA-BE1D-4E2B-AF44-CC841BA06643}"/>
    <hyperlink ref="C5706" r:id="rId5701" display="https://pld.live/RapDetail.aspx?STONELIST=831020342&amp;ISCONFIRM=0" xr:uid="{7800D7DC-D5FD-4EAE-93BF-9E705D2A82F9}"/>
    <hyperlink ref="C5707" r:id="rId5702" display="https://pld.live/RapDetail.aspx?STONELIST=941290082&amp;ISCONFIRM=0" xr:uid="{3B9DD274-9604-4554-B930-2525A548DBD4}"/>
    <hyperlink ref="C5708" r:id="rId5703" display="https://pld.live/RapDetail.aspx?STONELIST=925040313&amp;ISCONFIRM=0" xr:uid="{56240C43-597A-4F89-B92D-615CCE35F922}"/>
    <hyperlink ref="C5709" r:id="rId5704" display="https://pld.live/RapDetail.aspx?STONELIST=925091001&amp;ISCONFIRM=0" xr:uid="{15541295-B427-4CB3-9175-456185E6A043}"/>
    <hyperlink ref="C5710" r:id="rId5705" display="https://pld.live/RapDetail.aspx?STONELIST=926770306&amp;ISCONFIRM=0" xr:uid="{014E5ADB-F6DA-4CA8-8BDE-CDEB0D61EF12}"/>
    <hyperlink ref="C5711" r:id="rId5706" display="https://pld.live/RapDetail.aspx?STONELIST=925090918&amp;ISCONFIRM=0" xr:uid="{CEE300E3-D652-43AF-B857-1C1BC2B25DEA}"/>
    <hyperlink ref="C5712" r:id="rId5707" display="https://pld.live/RapDetail.aspx?STONELIST=925091014&amp;ISCONFIRM=0" xr:uid="{2A961D36-5F5A-4592-BEDB-0153B6C63FC2}"/>
    <hyperlink ref="C5713" r:id="rId5708" display="https://pld.live/RapDetail.aspx?STONELIST=925740574&amp;ISCONFIRM=0" xr:uid="{0A23D63A-0EDE-4BCA-8BAA-88B16D0BE8D0}"/>
    <hyperlink ref="C5714" r:id="rId5709" display="https://pld.live/RapDetail.aspx?STONELIST=925040315&amp;ISCONFIRM=0" xr:uid="{B27572CC-257E-4A32-919A-98640B7C6212}"/>
    <hyperlink ref="C5715" r:id="rId5710" display="https://pld.live/RapDetail.aspx?STONELIST=925090906&amp;ISCONFIRM=0" xr:uid="{00C42BFB-A4E1-4CAB-85DE-3FE1F56244BD}"/>
    <hyperlink ref="C5716" r:id="rId5711" display="https://pld.live/RapDetail.aspx?STONELIST=925090950&amp;ISCONFIRM=0" xr:uid="{EFB83C11-B089-4DED-9F8C-069D158EAD98}"/>
    <hyperlink ref="C5717" r:id="rId5712" display="https://pld.live/RapDetail.aspx?STONELIST=924460739&amp;ISCONFIRM=0" xr:uid="{6713C56E-E76E-45DB-8DB1-4B7DBE8FCFCC}"/>
    <hyperlink ref="C5718" r:id="rId5713" display="https://pld.live/RapDetail.aspx?STONELIST=831010498&amp;ISCONFIRM=0" xr:uid="{2D92B2AA-5AB7-4470-92FE-30B3478A4C00}"/>
    <hyperlink ref="C5719" r:id="rId5714" display="https://pld.live/RapDetail.aspx?STONELIST=925040384&amp;ISCONFIRM=0" xr:uid="{60F72AD2-4AB9-4F54-859E-62BA8D5679CD}"/>
    <hyperlink ref="C5720" r:id="rId5715" display="https://pld.live/RapDetail.aspx?STONELIST=924410868&amp;ISCONFIRM=0" xr:uid="{A1095AFC-3594-4B7B-A54F-EAEEE4871475}"/>
    <hyperlink ref="C5721" r:id="rId5716" display="https://pld.live/RapDetail.aspx?STONELIST=924730260&amp;ISCONFIRM=0" xr:uid="{F470527E-4FEA-4769-84E2-D838F7178E82}"/>
    <hyperlink ref="C5722" r:id="rId5717" display="https://pld.live/RapDetail.aspx?STONELIST=924560543&amp;ISCONFIRM=0" xr:uid="{208F1D27-23A9-485F-804E-ABA09DC1371C}"/>
    <hyperlink ref="C5723" r:id="rId5718" display="https://pld.live/RapDetail.aspx?STONELIST=926180562&amp;ISCONFIRM=0" xr:uid="{CFB08803-8888-4078-9758-5A949EB45A53}"/>
    <hyperlink ref="C5724" r:id="rId5719" display="https://pld.live/RapDetail.aspx?STONELIST=924580405&amp;ISCONFIRM=0" xr:uid="{562BAFDE-E649-4025-97D2-85295299A0B3}"/>
    <hyperlink ref="C5725" r:id="rId5720" display="https://pld.live/RapDetail.aspx?STONELIST=926220269&amp;ISCONFIRM=0" xr:uid="{CD7D292B-C618-4FB3-A2C4-1E95F15417AB}"/>
    <hyperlink ref="C5726" r:id="rId5721" display="https://pld.live/RapDetail.aspx?STONELIST=925740130&amp;ISCONFIRM=0" xr:uid="{6B1A4352-0EF4-4A10-B572-700B1CFF020A}"/>
    <hyperlink ref="C5727" r:id="rId5722" display="https://pld.live/RapDetail.aspx?STONELIST=924460703&amp;ISCONFIRM=0" xr:uid="{62143A76-CA8D-431E-9A0B-0BB81A736281}"/>
    <hyperlink ref="C5728" r:id="rId5723" display="https://pld.live/RapDetail.aspx?STONELIST=924090157&amp;ISCONFIRM=0" xr:uid="{C2538827-F13C-44E6-9543-B275FE4D7141}"/>
    <hyperlink ref="C5729" r:id="rId5724" display="https://pld.live/RapDetail.aspx?STONELIST=941270357&amp;ISCONFIRM=0" xr:uid="{9AAF597E-9D37-47AC-8B21-E03F88E11F3E}"/>
    <hyperlink ref="C5730" r:id="rId5725" display="https://pld.live/RapDetail.aspx?STONELIST=926180652&amp;ISCONFIRM=0" xr:uid="{9E086E49-0820-4881-916B-ADC7123F1590}"/>
    <hyperlink ref="C5731" r:id="rId5726" display="https://pld.live/RapDetail.aspx?STONELIST=925740738&amp;ISCONFIRM=0" xr:uid="{CF088BEE-D42E-402D-BA8F-E035030A5308}"/>
    <hyperlink ref="C5732" r:id="rId5727" display="https://pld.live/RapDetail.aspx?STONELIST=831010320&amp;ISCONFIRM=0" xr:uid="{F9A5773B-6E76-42DC-87ED-68A98DA006CF}"/>
    <hyperlink ref="C5733" r:id="rId5728" display="https://pld.live/RapDetail.aspx?STONELIST=941380336&amp;ISCONFIRM=0" xr:uid="{04D049E0-0EDC-40F2-B491-93F4679D2EC2}"/>
    <hyperlink ref="C5734" r:id="rId5729" display="https://pld.live/RapDetail.aspx?STONELIST=941261045&amp;ISCONFIRM=0" xr:uid="{7FDD7B15-B34E-4360-83F0-160CF3216309}"/>
    <hyperlink ref="C5735" r:id="rId5730" display="https://pld.live/RapDetail.aspx?STONELIST=941160466&amp;ISCONFIRM=0" xr:uid="{43210246-B887-441F-80DC-D74C9B1BAE26}"/>
    <hyperlink ref="C5736" r:id="rId5731" display="https://pld.live/RapDetail.aspx?STONELIST=927100987&amp;ISCONFIRM=0" xr:uid="{065D52B6-0AD0-4FD8-B75E-3E19E43DE91D}"/>
    <hyperlink ref="C5737" r:id="rId5732" display="https://pld.live/RapDetail.aspx?STONELIST=925740794&amp;ISCONFIRM=0" xr:uid="{417379D0-9D82-4977-89D9-2FE662689E08}"/>
    <hyperlink ref="C5738" r:id="rId5733" display="https://pld.live/RapDetail.aspx?STONELIST=941170085&amp;ISCONFIRM=0" xr:uid="{55E47B72-ED1A-4530-9848-DC084C557D2E}"/>
    <hyperlink ref="C5739" r:id="rId5734" display="https://pld.live/RapDetail.aspx?STONELIST=941270766&amp;ISCONFIRM=0" xr:uid="{9A21E46E-F2AC-4158-943B-7FF47E5BE1C2}"/>
    <hyperlink ref="C5740" r:id="rId5735" display="https://pld.live/RapDetail.aspx?STONELIST=941270752&amp;ISCONFIRM=0" xr:uid="{4198AAF7-8EC6-471A-8937-CEC98FC04896}"/>
    <hyperlink ref="C5741" r:id="rId5736" display="https://pld.live/RapDetail.aspx?STONELIST=927092208&amp;ISCONFIRM=0" xr:uid="{7EBDD76F-531F-473F-8237-0B4A878B7AFE}"/>
    <hyperlink ref="C5742" r:id="rId5737" display="https://pld.live/RapDetail.aspx?STONELIST=941160445&amp;ISCONFIRM=0" xr:uid="{126D1B35-BAEE-4C4E-97A1-A3D2165665A0}"/>
    <hyperlink ref="C5743" r:id="rId5738" display="https://pld.live/RapDetail.aspx?STONELIST=941160449&amp;ISCONFIRM=0" xr:uid="{FC8272F8-AD8B-4BF8-939E-7B9E95A0D6FD}"/>
    <hyperlink ref="C5744" r:id="rId5739" display="https://pld.live/RapDetail.aspx?STONELIST=941160506&amp;ISCONFIRM=0" xr:uid="{96FB1BE1-6168-4676-A9DB-6C5D3B54584D}"/>
    <hyperlink ref="C5745" r:id="rId5740" display="https://pld.live/RapDetail.aspx?STONELIST=926320729&amp;ISCONFIRM=0" xr:uid="{A841D05C-5061-441B-A4F1-E8BAF5C7380A}"/>
    <hyperlink ref="C5746" r:id="rId5741" display="https://pld.live/RapDetail.aspx?STONELIST=924520170&amp;ISCONFIRM=0" xr:uid="{58590595-56C7-4A2F-A5EA-5CB992BA70A8}"/>
    <hyperlink ref="C5747" r:id="rId5742" display="https://pld.live/RapDetail.aspx?STONELIST=941170255&amp;ISCONFIRM=0" xr:uid="{2EFDF575-DF97-48BB-A3C7-BD3997C1C8DA}"/>
    <hyperlink ref="C5748" r:id="rId5743" display="https://pld.live/RapDetail.aspx?STONELIST=926790169&amp;ISCONFIRM=0" xr:uid="{68E63194-F084-4772-BD32-F2A2A7EFB95A}"/>
    <hyperlink ref="C5749" r:id="rId5744" display="https://pld.live/RapDetail.aspx?STONELIST=925740499&amp;ISCONFIRM=0" xr:uid="{37929217-2E64-439C-B611-A2DCDE8320DF}"/>
    <hyperlink ref="C5750" r:id="rId5745" display="https://pld.live/RapDetail.aspx?STONELIST=924290620&amp;ISCONFIRM=0" xr:uid="{354FF2B6-6970-47AF-AAA0-4820288C2BF6}"/>
    <hyperlink ref="C5751" r:id="rId5746" display="https://pld.live/RapDetail.aspx?STONELIST=941270745&amp;ISCONFIRM=0" xr:uid="{4BABBFEB-FECB-4B0A-ADDA-DC113D0337B1}"/>
    <hyperlink ref="C5752" r:id="rId5747" display="https://pld.live/RapDetail.aspx?STONELIST=941400179&amp;ISCONFIRM=0" xr:uid="{CA746C62-95C7-4115-8DB3-5D4BB745DF0C}"/>
    <hyperlink ref="C5753" r:id="rId5748" display="https://pld.live/RapDetail.aspx?STONELIST=924990421&amp;ISCONFIRM=0" xr:uid="{706A61D7-536F-4047-8B12-2ACEA02F7D66}"/>
    <hyperlink ref="C5754" r:id="rId5749" display="https://pld.live/RapDetail.aspx?STONELIST=941270759&amp;ISCONFIRM=0" xr:uid="{BEEAA74E-8CFC-4096-8A77-721574E9F938}"/>
    <hyperlink ref="C5755" r:id="rId5750" display="https://pld.live/RapDetail.aspx?STONELIST=925740261&amp;ISCONFIRM=0" xr:uid="{9A0766A5-69E2-4FF0-B0D3-F7F41A86E7CC}"/>
    <hyperlink ref="C5756" r:id="rId5751" display="https://pld.live/RapDetail.aspx?STONELIST=926940967&amp;ISCONFIRM=0" xr:uid="{667D7486-888C-49CE-82B3-37CED5193A2F}"/>
    <hyperlink ref="C5757" r:id="rId5752" display="https://pld.live/RapDetail.aspx?STONELIST=941140710&amp;ISCONFIRM=0" xr:uid="{AD70A9E5-5136-4767-ADAB-F1137C91D316}"/>
    <hyperlink ref="C5758" r:id="rId5753" display="https://pld.live/RapDetail.aspx?STONELIST=927092039&amp;ISCONFIRM=0" xr:uid="{55A47AED-88BE-40F3-A2B5-06E7EF1A2975}"/>
    <hyperlink ref="C5759" r:id="rId5754" display="https://pld.live/RapDetail.aspx?STONELIST=927100162&amp;ISCONFIRM=0" xr:uid="{A10FAAEE-D556-4FC5-B8E5-42F4F2E70B07}"/>
    <hyperlink ref="C5760" r:id="rId5755" display="https://pld.live/RapDetail.aspx?STONELIST=941160409&amp;ISCONFIRM=0" xr:uid="{C20B3B7A-263A-4814-97CA-D3F1DB363D3C}"/>
    <hyperlink ref="C5761" r:id="rId5756" display="https://pld.live/RapDetail.aspx?STONELIST=924560553&amp;ISCONFIRM=0" xr:uid="{2A0D19F0-0EC4-43BB-AD1C-FACC2186A742}"/>
    <hyperlink ref="C5762" r:id="rId5757" display="https://pld.live/RapDetail.aspx?STONELIST=924460733&amp;ISCONFIRM=0" xr:uid="{77A08083-246D-4013-92FA-38578D40CBC9}"/>
    <hyperlink ref="C5763" r:id="rId5758" display="https://pld.live/RapDetail.aspx?STONELIST=941160567&amp;ISCONFIRM=0" xr:uid="{C4228EF7-0F3E-49BE-A941-F7D8E368D480}"/>
    <hyperlink ref="C5764" r:id="rId5759" display="https://pld.live/RapDetail.aspx?STONELIST=941160426&amp;ISCONFIRM=0" xr:uid="{C235D9B4-4197-474F-AD6E-104EEA3117DC}"/>
    <hyperlink ref="C5765" r:id="rId5760" display="https://pld.live/RapDetail.aspx?STONELIST=941190331&amp;ISCONFIRM=0" xr:uid="{1C5579AF-CE65-479D-9AC3-9A17D1EDCB0B}"/>
    <hyperlink ref="C5766" r:id="rId5761" display="https://pld.live/RapDetail.aspx?STONELIST=926180822&amp;ISCONFIRM=0" xr:uid="{34F454D3-C25A-4696-8F23-312FD9914C42}"/>
    <hyperlink ref="C5767" r:id="rId5762" display="https://pld.live/RapDetail.aspx?STONELIST=924460731&amp;ISCONFIRM=0" xr:uid="{847F5ADC-AFD1-490D-A7C3-1FDF24E1FD64}"/>
    <hyperlink ref="C5768" r:id="rId5763" display="https://pld.live/RapDetail.aspx?STONELIST=927101024&amp;ISCONFIRM=0" xr:uid="{BFACCAAC-291D-4BE2-A6DC-1075871FAE61}"/>
    <hyperlink ref="C5769" r:id="rId5764" display="https://pld.live/RapDetail.aspx?STONELIST=927130897&amp;ISCONFIRM=0" xr:uid="{F959F744-7381-4FCC-8F60-0D12B18DE849}"/>
    <hyperlink ref="C5770" r:id="rId5765" display="https://pld.live/RapDetail.aspx?STONELIST=831010680&amp;ISCONFIRM=0" xr:uid="{40AF36F2-F145-4C11-9E05-A6D9FBFBEB39}"/>
    <hyperlink ref="C5771" r:id="rId5766" display="https://pld.live/RapDetail.aspx?STONELIST=941400117&amp;ISCONFIRM=0" xr:uid="{9D5B0DCA-3200-4A35-BF27-DB6A5FCBCEF8}"/>
    <hyperlink ref="C5772" r:id="rId5767" display="https://pld.live/RapDetail.aspx?STONELIST=941190468&amp;ISCONFIRM=0" xr:uid="{062A72E8-363D-4B53-9070-7F0CB6F7F1D4}"/>
    <hyperlink ref="C5773" r:id="rId5768" display="https://pld.live/RapDetail.aspx?STONELIST=941261061&amp;ISCONFIRM=0" xr:uid="{1BBA6613-785B-4790-A24B-2F42F90D9368}"/>
    <hyperlink ref="C5774" r:id="rId5769" display="https://pld.live/RapDetail.aspx?STONELIST=927101115&amp;ISCONFIRM=0" xr:uid="{B68B31BB-902A-4D65-930B-F558A18F0B9B}"/>
    <hyperlink ref="C5775" r:id="rId5770" display="https://pld.live/RapDetail.aspx?STONELIST=941070965&amp;ISCONFIRM=0" xr:uid="{44A95571-2556-4768-B55F-780A8842AA1D}"/>
    <hyperlink ref="C5776" r:id="rId5771" display="https://pld.live/RapDetail.aspx?STONELIST=925740709&amp;ISCONFIRM=0" xr:uid="{FDAEC3A4-EECB-4EFC-A4D7-A05FBEA1D8B5}"/>
    <hyperlink ref="C5777" r:id="rId5772" display="https://pld.live/RapDetail.aspx?STONELIST=941190165&amp;ISCONFIRM=0" xr:uid="{C4DFD816-567E-4141-B1A8-43446D1C8D55}"/>
    <hyperlink ref="C5778" r:id="rId5773" display="https://pld.live/RapDetail.aspx?STONELIST=941160456&amp;ISCONFIRM=0" xr:uid="{A00FD6CB-096E-482C-A070-8A5084EAC016}"/>
    <hyperlink ref="C5779" r:id="rId5774" display="https://pld.live/RapDetail.aspx?STONELIST=927100209&amp;ISCONFIRM=0" xr:uid="{59BABF06-CE55-4FD4-B00F-32897038ED7C}"/>
    <hyperlink ref="C5780" r:id="rId5775" display="https://pld.live/RapDetail.aspx?STONELIST=927100405&amp;ISCONFIRM=0" xr:uid="{B310025F-65DA-43DF-94E0-47CAFFFFAF86}"/>
    <hyperlink ref="C5781" r:id="rId5776" display="https://pld.live/RapDetail.aspx?STONELIST=941270747&amp;ISCONFIRM=0" xr:uid="{55A8A64B-C3C5-4C1E-9DBA-393C99515219}"/>
    <hyperlink ref="C5782" r:id="rId5777" display="https://pld.live/RapDetail.aspx?STONELIST=941270749&amp;ISCONFIRM=0" xr:uid="{7DADB6DB-C439-49AB-A2AE-08E138891342}"/>
    <hyperlink ref="C5783" r:id="rId5778" display="https://pld.live/RapDetail.aspx?STONELIST=941170281&amp;ISCONFIRM=0" xr:uid="{9B6327C2-BC72-450D-9659-558C1575F4F9}"/>
    <hyperlink ref="C5784" r:id="rId5779" display="https://pld.live/RapDetail.aspx?STONELIST=941270746&amp;ISCONFIRM=0" xr:uid="{606AE642-2579-40CF-A1C0-BDD164096890}"/>
    <hyperlink ref="C5785" r:id="rId5780" display="https://pld.live/RapDetail.aspx?STONELIST=941400567&amp;ISCONFIRM=0" xr:uid="{70274D96-A763-47D1-8B57-1E2BEA7E9388}"/>
    <hyperlink ref="C5786" r:id="rId5781" display="https://pld.live/RapDetail.aspx?STONELIST=941270757&amp;ISCONFIRM=0" xr:uid="{90A5CBDC-2ADE-47DE-874C-1AEE3C025007}"/>
    <hyperlink ref="C5787" r:id="rId5782" display="https://pld.live/RapDetail.aspx?STONELIST=941190075&amp;ISCONFIRM=0" xr:uid="{874B956A-AF29-4B3D-8F52-E6D34D67F12E}"/>
    <hyperlink ref="C5788" r:id="rId5783" display="https://pld.live/RapDetail.aspx?STONELIST=941190384&amp;ISCONFIRM=0" xr:uid="{8F691BE4-E440-4ECE-A66D-A844D24E464B}"/>
    <hyperlink ref="C5789" r:id="rId5784" display="https://pld.live/RapDetail.aspx?STONELIST=941270386&amp;ISCONFIRM=0" xr:uid="{3C1EF64D-6005-4DB5-AB00-56F65F493406}"/>
    <hyperlink ref="C5790" r:id="rId5785" display="https://pld.live/RapDetail.aspx?STONELIST=941270331&amp;ISCONFIRM=0" xr:uid="{E9C81ECE-39AB-41D6-B1BE-E20B53201C56}"/>
    <hyperlink ref="C5791" r:id="rId5786" display="https://pld.live/RapDetail.aspx?STONELIST=941160519&amp;ISCONFIRM=0" xr:uid="{2535EF69-A6D9-421A-81B9-477DF938F4F7}"/>
    <hyperlink ref="C5792" r:id="rId5787" display="https://pld.live/RapDetail.aspx?STONELIST=941160422&amp;ISCONFIRM=0" xr:uid="{5A21A6B7-35E9-4987-9093-39E9E08CECE4}"/>
    <hyperlink ref="C5793" r:id="rId5788" display="https://pld.live/RapDetail.aspx?STONELIST=927100216&amp;ISCONFIRM=0" xr:uid="{D8FCC4D9-EFF6-40A4-A945-3E21EF6718C9}"/>
    <hyperlink ref="C5794" r:id="rId5789" display="https://pld.live/RapDetail.aspx?STONELIST=941160493&amp;ISCONFIRM=0" xr:uid="{A26AF03A-3970-45F4-8D69-0394560B868E}"/>
    <hyperlink ref="C5795" r:id="rId5790" display="https://pld.live/RapDetail.aspx?STONELIST=927151130&amp;ISCONFIRM=0" xr:uid="{75B3E187-EB89-4274-9651-DB91D5C17643}"/>
    <hyperlink ref="C5796" r:id="rId5791" display="https://pld.live/RapDetail.aspx?STONELIST=927130299&amp;ISCONFIRM=0" xr:uid="{6F2EF1C2-EBF5-48F0-B390-DAD4A72CF9F9}"/>
    <hyperlink ref="C5797" r:id="rId5792" display="https://pld.live/RapDetail.aspx?STONELIST=941160544&amp;ISCONFIRM=0" xr:uid="{C2EDEB2D-A032-40AC-B9DD-B4C11F30E9A7}"/>
    <hyperlink ref="C5798" r:id="rId5793" display="https://pld.live/RapDetail.aspx?STONELIST=924460736&amp;ISCONFIRM=0" xr:uid="{730A078C-DE9D-4F2F-8047-A1500659CC78}"/>
    <hyperlink ref="C5799" r:id="rId5794" display="https://pld.live/RapDetail.aspx?STONELIST=927130872&amp;ISCONFIRM=0" xr:uid="{A70F6775-7003-49D4-81D2-D0D46892F620}"/>
    <hyperlink ref="C5800" r:id="rId5795" display="https://pld.live/RapDetail.aspx?STONELIST=927130381&amp;ISCONFIRM=0" xr:uid="{79D6CDFD-ECEE-4FD6-AB61-B1B4BF330376}"/>
    <hyperlink ref="C5801" r:id="rId5796" display="https://pld.live/RapDetail.aspx?STONELIST=925840513&amp;ISCONFIRM=0" xr:uid="{FF1D966A-8BC6-46EE-8AA5-081EB304C21B}"/>
    <hyperlink ref="C5802" r:id="rId5797" display="https://pld.live/RapDetail.aspx?STONELIST=926060023&amp;ISCONFIRM=0" xr:uid="{32BE10AB-5098-4A69-8785-AAC727664ED6}"/>
    <hyperlink ref="C5803" r:id="rId5798" display="https://pld.live/RapDetail.aspx?STONELIST=926820145&amp;ISCONFIRM=0" xr:uid="{A0E8EB59-69C6-4D22-9D21-32A2DE6399F7}"/>
    <hyperlink ref="C5804" r:id="rId5799" display="https://pld.live/RapDetail.aspx?STONELIST=926820139&amp;ISCONFIRM=0" xr:uid="{5E7EAD89-9A79-4D73-B152-C5CF95308E77}"/>
    <hyperlink ref="C5805" r:id="rId5800" display="https://pld.live/RapDetail.aspx?STONELIST=926820142&amp;ISCONFIRM=0" xr:uid="{E603127F-FBF7-4283-84FD-D993C3D5E682}"/>
    <hyperlink ref="C5806" r:id="rId5801" display="https://pld.live/RapDetail.aspx?STONELIST=926820137&amp;ISCONFIRM=0" xr:uid="{2B6FAE28-26F7-4EE5-AADD-8E7DFAA8FF46}"/>
    <hyperlink ref="C5807" r:id="rId5802" display="https://pld.live/RapDetail.aspx?STONELIST=926780094&amp;ISCONFIRM=0" xr:uid="{AEB707EE-D1E0-4AEC-82A0-C1C1FD86686C}"/>
    <hyperlink ref="C5808" r:id="rId5803" display="https://pld.live/RapDetail.aspx?STONELIST=926820138&amp;ISCONFIRM=0" xr:uid="{4BE8AB0D-1931-46A7-BA62-7E29BF046639}"/>
    <hyperlink ref="C5809" r:id="rId5804" display="https://pld.live/RapDetail.aspx?STONELIST=926780077&amp;ISCONFIRM=0" xr:uid="{0BC8DE42-4EB2-497D-94BA-60FAC410C2EA}"/>
    <hyperlink ref="C5810" r:id="rId5805" display="https://pld.live/RapDetail.aspx?STONELIST=924120027&amp;ISCONFIRM=0" xr:uid="{50675174-0800-4320-B223-7875CFFB88EF}"/>
    <hyperlink ref="C5811" r:id="rId5806" display="https://pld.live/RapDetail.aspx?STONELIST=924530077&amp;ISCONFIRM=0" xr:uid="{6DB89ED0-8458-4368-B79C-8DA50E0C5DF3}"/>
    <hyperlink ref="C5812" r:id="rId5807" display="https://pld.live/RapDetail.aspx?STONELIST=922120021&amp;ISCONFIRM=0" xr:uid="{8440AB17-8B39-4497-9F3D-D0CEE72D3072}"/>
    <hyperlink ref="C5813" r:id="rId5808" display="https://pld.live/RapDetail.aspx?STONELIST=926860102&amp;ISCONFIRM=0" xr:uid="{3F4CC577-1FB8-4F0D-B8BC-C3AB7BEC38C4}"/>
    <hyperlink ref="C5814" r:id="rId5809" display="https://pld.live/RapDetail.aspx?STONELIST=926850158&amp;ISCONFIRM=0" xr:uid="{61995118-B28D-47F4-9F89-8E0F550DB9F4}"/>
    <hyperlink ref="C5815" r:id="rId5810" display="https://pld.live/RapDetail.aspx?STONELIST=926860101&amp;ISCONFIRM=0" xr:uid="{B1D59E4E-0EA6-4B0A-ABC7-33EE9DC39954}"/>
    <hyperlink ref="C5816" r:id="rId5811" display="https://pld.live/RapDetail.aspx?STONELIST=924890053&amp;ISCONFIRM=0" xr:uid="{E5DA1BDB-313C-4724-9CC1-899E4397A1ED}"/>
    <hyperlink ref="C5817" r:id="rId5812" display="https://pld.live/RapDetail.aspx?STONELIST=926050408&amp;ISCONFIRM=0" xr:uid="{E2F3E9F5-58F7-4756-A3FF-EF488AF37C18}"/>
    <hyperlink ref="C5818" r:id="rId5813" display="https://pld.live/RapDetail.aspx?STONELIST=926130130&amp;ISCONFIRM=0" xr:uid="{B029D0F6-2F36-40CC-9CEB-166D394BAB36}"/>
    <hyperlink ref="C5819" r:id="rId5814" display="https://pld.live/RapDetail.aspx?STONELIST=926050400&amp;ISCONFIRM=0" xr:uid="{16EE8731-6D3E-4A63-A221-01F8455B2C39}"/>
    <hyperlink ref="C5820" r:id="rId5815" display="https://pld.live/RapDetail.aspx?STONELIST=926130070&amp;ISCONFIRM=0" xr:uid="{A83FF9BB-D0A7-429D-9C1E-A5DE161AA9A7}"/>
    <hyperlink ref="C5821" r:id="rId5816" display="https://pld.live/RapDetail.aspx?STONELIST=926050395&amp;ISCONFIRM=0" xr:uid="{D5DB6A8E-E05B-44B6-BFCD-5BB4887A5399}"/>
    <hyperlink ref="C5822" r:id="rId5817" display="https://pld.live/RapDetail.aspx?STONELIST=926050375&amp;ISCONFIRM=0" xr:uid="{CB8DB517-2F91-4D11-AECD-03E17293DFF8}"/>
    <hyperlink ref="C5823" r:id="rId5818" display="https://pld.live/RapDetail.aspx?STONELIST=926850159&amp;ISCONFIRM=0" xr:uid="{43A1C6D0-88B5-4833-96EA-9696BDE4BF10}"/>
    <hyperlink ref="C5824" r:id="rId5819" display="https://pld.live/RapDetail.aspx?STONELIST=926050336&amp;ISCONFIRM=0" xr:uid="{331FE6A8-667A-4FA3-8141-6B51DB186F50}"/>
    <hyperlink ref="C5825" r:id="rId5820" display="https://pld.live/RapDetail.aspx?STONELIST=926010294&amp;ISCONFIRM=0" xr:uid="{7A8774CF-82EE-46C8-AB2E-37C7FE299B1E}"/>
    <hyperlink ref="C5826" r:id="rId5821" display="https://pld.live/RapDetail.aspx?STONELIST=926850160&amp;ISCONFIRM=0" xr:uid="{A64E3BA7-CE58-4722-9487-74893B9D9E5A}"/>
    <hyperlink ref="C5827" r:id="rId5822" display="https://pld.live/RapDetail.aspx?STONELIST=926050367&amp;ISCONFIRM=0" xr:uid="{C4B7A275-CD3C-4B8F-A9C7-3531EAA3E1F7}"/>
    <hyperlink ref="C5828" r:id="rId5823" display="https://pld.live/RapDetail.aspx?STONELIST=924190687&amp;ISCONFIRM=0" xr:uid="{A2788C4D-F9AB-415F-AEDA-681190CB7ACC}"/>
    <hyperlink ref="C5829" r:id="rId5824" display="https://pld.live/RapDetail.aspx?STONELIST=926050372&amp;ISCONFIRM=0" xr:uid="{0835241B-30EB-4AB0-879F-909F723C7231}"/>
    <hyperlink ref="C5830" r:id="rId5825" display="https://pld.live/RapDetail.aspx?STONELIST=926590054&amp;ISCONFIRM=0" xr:uid="{13339D3C-7D48-45BC-BDC9-501290F37825}"/>
    <hyperlink ref="C5831" r:id="rId5826" display="https://pld.live/RapDetail.aspx?STONELIST=926050355&amp;ISCONFIRM=0" xr:uid="{D8B2F5FE-1C77-4950-90EE-578EFB1FA46C}"/>
    <hyperlink ref="C5832" r:id="rId5827" display="https://pld.live/RapDetail.aspx?STONELIST=926540194&amp;ISCONFIRM=0" xr:uid="{0D79551D-42CA-44CC-A218-B48EED502778}"/>
    <hyperlink ref="C5833" r:id="rId5828" display="https://pld.live/RapDetail.aspx?STONELIST=926370015&amp;ISCONFIRM=0" xr:uid="{556BB243-518F-4840-BF1C-FBA9EE69F4FF}"/>
    <hyperlink ref="C5834" r:id="rId5829" display="https://pld.live/RapDetail.aspx?STONELIST=924250741&amp;ISCONFIRM=0" xr:uid="{CF0C6F37-D438-483F-804B-2D7B3212DBCA}"/>
    <hyperlink ref="C5835" r:id="rId5830" display="https://pld.live/RapDetail.aspx?STONELIST=926030150&amp;ISCONFIRM=0" xr:uid="{0BABFDCA-AF34-485D-9D57-E9552D5EE7DF}"/>
    <hyperlink ref="C5836" r:id="rId5831" display="https://pld.live/RapDetail.aspx?STONELIST=926010283&amp;ISCONFIRM=0" xr:uid="{CAFC1E05-8B70-4949-A3B5-858B5157F54B}"/>
    <hyperlink ref="C5837" r:id="rId5832" display="https://pld.live/RapDetail.aspx?STONELIST=924250621&amp;ISCONFIRM=0" xr:uid="{290C4E61-172F-498B-8094-A47D264BC934}"/>
    <hyperlink ref="C5838" r:id="rId5833" display="https://pld.live/RapDetail.aspx?STONELIST=926010292&amp;ISCONFIRM=0" xr:uid="{F8752409-9F91-4785-8C4A-A93B500D2ACD}"/>
    <hyperlink ref="C5839" r:id="rId5834" display="https://pld.live/RapDetail.aspx?STONELIST=926030154&amp;ISCONFIRM=0" xr:uid="{CF6EE671-A668-4599-9AE9-D2F3C4A9AEBE}"/>
    <hyperlink ref="C5840" r:id="rId5835" display="https://pld.live/RapDetail.aspx?STONELIST=926450569&amp;ISCONFIRM=0" xr:uid="{8275056D-DBBB-4974-9136-81005AB44373}"/>
    <hyperlink ref="C5841" r:id="rId5836" display="https://pld.live/RapDetail.aspx?STONELIST=926370018&amp;ISCONFIRM=0" xr:uid="{F5C39616-80E8-49FF-A0EF-8D3B87FC70EA}"/>
    <hyperlink ref="C5842" r:id="rId5837" display="https://pld.live/RapDetail.aspx?STONELIST=923980395&amp;ISCONFIRM=0" xr:uid="{573047C9-634A-41FF-9E76-4FA84707DB9D}"/>
    <hyperlink ref="C5843" r:id="rId5838" display="https://pld.live/RapDetail.aspx?STONELIST=926890551&amp;ISCONFIRM=0" xr:uid="{9714DD06-3D56-45CE-B9EB-2C0B73AF6681}"/>
    <hyperlink ref="C5844" r:id="rId5839" display="https://pld.live/RapDetail.aspx?STONELIST=926560359&amp;ISCONFIRM=0" xr:uid="{5E067F9B-F7C4-4885-BE31-6C03A04C9B77}"/>
    <hyperlink ref="C5845" r:id="rId5840" display="https://pld.live/RapDetail.aspx?STONELIST=926890574&amp;ISCONFIRM=0" xr:uid="{4D1D822D-9DF3-4857-848C-DB0CFDECD1EE}"/>
    <hyperlink ref="C5846" r:id="rId5841" display="https://pld.live/RapDetail.aspx?STONELIST=926890576&amp;ISCONFIRM=0" xr:uid="{0F90AFFD-FFF4-4FDB-BBEA-F9538CA34A6F}"/>
    <hyperlink ref="C5847" r:id="rId5842" display="https://pld.live/RapDetail.aspx?STONELIST=925230089&amp;ISCONFIRM=0" xr:uid="{768EE71E-803E-4492-9EF6-74D26AF5417E}"/>
    <hyperlink ref="C5848" r:id="rId5843" display="https://pld.live/RapDetail.aspx?STONELIST=925270565&amp;ISCONFIRM=0" xr:uid="{DC590EB4-A35C-4A3A-9B39-243CCCDAE78F}"/>
    <hyperlink ref="C5849" r:id="rId5844" display="https://pld.live/RapDetail.aspx?STONELIST=925360427&amp;ISCONFIRM=0" xr:uid="{4F9692C6-D382-42FF-A5BC-BAC3602EB150}"/>
    <hyperlink ref="C5850" r:id="rId5845" display="https://pld.live/RapDetail.aspx?STONELIST=926041299&amp;ISCONFIRM=0" xr:uid="{A4BBBC98-4797-4897-8F7C-FC6CFDB5F811}"/>
    <hyperlink ref="C5851" r:id="rId5846" display="https://pld.live/RapDetail.aspx?STONELIST=925981287&amp;ISCONFIRM=0" xr:uid="{190FB22B-74FF-4970-A93F-F2B802470A88}"/>
    <hyperlink ref="C5852" r:id="rId5847" display="https://pld.live/RapDetail.aspx?STONELIST=926101726&amp;ISCONFIRM=0" xr:uid="{8FB0D862-3B87-48D4-9F21-173A975F5E60}"/>
    <hyperlink ref="C5853" r:id="rId5848" display="https://pld.live/RapDetail.aspx?STONELIST=925961390&amp;ISCONFIRM=0" xr:uid="{7B24D55B-BF7E-49EF-AB14-45A2A3CFA363}"/>
    <hyperlink ref="C5854" r:id="rId5849" display="https://pld.live/RapDetail.aspx?STONELIST=925971317&amp;ISCONFIRM=0" xr:uid="{13A3560D-E3C0-413E-8DC4-349828D198AB}"/>
    <hyperlink ref="C5855" r:id="rId5850" display="https://pld.live/RapDetail.aspx?STONELIST=926020819&amp;ISCONFIRM=0" xr:uid="{D6EBE6DC-2B76-4709-8027-0A247776C8BF}"/>
    <hyperlink ref="C5856" r:id="rId5851" display="https://pld.live/RapDetail.aspx?STONELIST=925981094&amp;ISCONFIRM=0" xr:uid="{8D847F2D-DBE8-465A-8B07-5B391E5BBD98}"/>
    <hyperlink ref="C5857" r:id="rId5852" display="https://pld.live/RapDetail.aspx?STONELIST=924350702&amp;ISCONFIRM=0" xr:uid="{D03AFF42-B14A-45E6-B8C5-2EF551044828}"/>
    <hyperlink ref="C5858" r:id="rId5853" display="https://pld.live/RapDetail.aspx?STONELIST=924620122&amp;ISCONFIRM=0" xr:uid="{A4450F2D-E944-4FB1-8B2D-E60630142D0D}"/>
    <hyperlink ref="C5859" r:id="rId5854" display="https://pld.live/RapDetail.aspx?STONELIST=925971326&amp;ISCONFIRM=0" xr:uid="{60A61E8C-93A2-48E4-B023-A73560367DD0}"/>
    <hyperlink ref="C5860" r:id="rId5855" display="https://pld.live/RapDetail.aspx?STONELIST=925801913&amp;ISCONFIRM=0" xr:uid="{9A2D897D-4114-4DE5-8CDC-6EE4E764619C}"/>
    <hyperlink ref="C5861" r:id="rId5856" display="https://pld.live/RapDetail.aspx?STONELIST=926101212&amp;ISCONFIRM=0" xr:uid="{EFE3D151-E944-4A64-8C6A-AB58B070B260}"/>
    <hyperlink ref="C5862" r:id="rId5857" display="https://pld.live/RapDetail.aspx?STONELIST=925801486&amp;ISCONFIRM=0" xr:uid="{E7FA987C-7F3E-454A-9EA7-A08844A1A03F}"/>
    <hyperlink ref="C5863" r:id="rId5858" display="https://pld.live/RapDetail.aspx?STONELIST=925732173&amp;ISCONFIRM=0" xr:uid="{B8916529-8B29-4C5A-95D6-F146CE552DAB}"/>
    <hyperlink ref="C5864" r:id="rId5859" display="https://pld.live/RapDetail.aspx?STONELIST=926101722&amp;ISCONFIRM=0" xr:uid="{03F34FD8-DE03-4DB6-A416-4D8BF58B964A}"/>
    <hyperlink ref="C5865" r:id="rId5860" display="https://pld.live/RapDetail.aspx?STONELIST=924610452&amp;ISCONFIRM=0" xr:uid="{AF4968B8-333C-46A1-A994-CA53DE6D8C68}"/>
    <hyperlink ref="C5866" r:id="rId5861" display="https://pld.live/RapDetail.aspx?STONELIST=926020754&amp;ISCONFIRM=0" xr:uid="{D706544D-BEBF-4CD0-A1C1-D9576CD9914E}"/>
    <hyperlink ref="C5867" r:id="rId5862" display="https://pld.live/RapDetail.aspx?STONELIST=925981283&amp;ISCONFIRM=0" xr:uid="{B9A0911F-02EF-4B8E-9C3E-2B44D25DF202}"/>
    <hyperlink ref="C5868" r:id="rId5863" display="https://pld.live/RapDetail.aspx?STONELIST=925300368&amp;ISCONFIRM=0" xr:uid="{4D6820DD-EC5F-41E1-89C8-1775F715496D}"/>
    <hyperlink ref="C5869" r:id="rId5864" display="https://pld.live/RapDetail.aspx?STONELIST=925981284&amp;ISCONFIRM=0" xr:uid="{D12FDFD5-E263-47AC-9230-9B101AABFC37}"/>
    <hyperlink ref="C5870" r:id="rId5865" display="https://pld.live/RapDetail.aspx?STONELIST=925310397&amp;ISCONFIRM=0" xr:uid="{66632E55-5F98-4387-9114-1E0F415235F4}"/>
    <hyperlink ref="C5871" r:id="rId5866" display="https://pld.live/RapDetail.aspx?STONELIST=925801723&amp;ISCONFIRM=0" xr:uid="{C397DEC7-5FF0-4C7B-811B-DBE0B24A08E0}"/>
    <hyperlink ref="C5872" r:id="rId5867" display="https://pld.live/RapDetail.aspx?STONELIST=925722020&amp;ISCONFIRM=0" xr:uid="{2DF835FC-50FE-4247-A210-4ECC897056FD}"/>
    <hyperlink ref="C5873" r:id="rId5868" display="https://pld.live/RapDetail.aspx?STONELIST=926171510&amp;ISCONFIRM=0" xr:uid="{4D5E6560-5D1A-436A-A62C-70FD7E445C0E}"/>
    <hyperlink ref="C5874" r:id="rId5869" display="https://pld.live/RapDetail.aspx?STONELIST=925801986&amp;ISCONFIRM=0" xr:uid="{FA356707-F8C4-4931-9CD0-E60962D3138F}"/>
    <hyperlink ref="C5875" r:id="rId5870" display="https://pld.live/RapDetail.aspx?STONELIST=926020793&amp;ISCONFIRM=0" xr:uid="{F4633D7E-9E18-4DEF-8773-AD1E40FEEF1F}"/>
    <hyperlink ref="C5876" r:id="rId5871" display="https://pld.live/RapDetail.aspx?STONELIST=925771145&amp;ISCONFIRM=0" xr:uid="{AB180576-D502-499A-8C4F-22A8A9ECC94F}"/>
    <hyperlink ref="C5877" r:id="rId5872" display="https://pld.live/RapDetail.aspx?STONELIST=926071947&amp;ISCONFIRM=0" xr:uid="{B5E3F7E8-E70C-476A-A115-753B4AFE7802}"/>
    <hyperlink ref="C5878" r:id="rId5873" display="https://pld.live/RapDetail.aspx?STONELIST=925980898&amp;ISCONFIRM=0" xr:uid="{4587D620-877E-4290-A7A8-1DBB098A1605}"/>
    <hyperlink ref="C5879" r:id="rId5874" display="https://pld.live/RapDetail.aspx?STONELIST=925801847&amp;ISCONFIRM=0" xr:uid="{F0C871E5-6A32-4A7F-8F23-79D9E11F5201}"/>
    <hyperlink ref="C5880" r:id="rId5875" display="https://pld.live/RapDetail.aspx?STONELIST=926041310&amp;ISCONFIRM=0" xr:uid="{3B0141F0-5AD0-4C6A-83E0-CC7C6CEBD60A}"/>
    <hyperlink ref="C5881" r:id="rId5876" display="https://pld.live/RapDetail.aspx?STONELIST=925300366&amp;ISCONFIRM=0" xr:uid="{582B4F47-F382-40F2-9B61-BDB96426414E}"/>
    <hyperlink ref="C5882" r:id="rId5877" display="https://pld.live/RapDetail.aspx?STONELIST=925961365&amp;ISCONFIRM=0" xr:uid="{F481CE88-1C83-4343-991A-AE0EAC0DFA88}"/>
    <hyperlink ref="C5883" r:id="rId5878" display="https://pld.live/RapDetail.aspx?STONELIST=925802076&amp;ISCONFIRM=0" xr:uid="{C8F0BDCF-E417-4B61-990E-02CD7DABBDBE}"/>
    <hyperlink ref="C5884" r:id="rId5879" display="https://pld.live/RapDetail.aspx?STONELIST=925961312&amp;ISCONFIRM=0" xr:uid="{3F1E6A71-F5E6-464A-A981-042A29B687B5}"/>
    <hyperlink ref="C5885" r:id="rId5880" display="https://pld.live/RapDetail.aspx?STONELIST=925300370&amp;ISCONFIRM=0" xr:uid="{794963F0-B36F-4CBD-964D-1F59243E3DEE}"/>
    <hyperlink ref="C5886" r:id="rId5881" display="https://pld.live/RapDetail.aspx?STONELIST=925300375&amp;ISCONFIRM=0" xr:uid="{66F17451-3ECA-45EA-A15A-7D58E8E178BC}"/>
    <hyperlink ref="C5887" r:id="rId5882" display="https://pld.live/RapDetail.aspx?STONELIST=925951278&amp;ISCONFIRM=0" xr:uid="{E9CEEB36-B334-4BB0-9280-28F9870BBCC0}"/>
    <hyperlink ref="C5888" r:id="rId5883" display="https://pld.live/RapDetail.aspx?STONELIST=925950899&amp;ISCONFIRM=0" xr:uid="{983C5942-AAAE-4156-809B-B2B086C973A9}"/>
    <hyperlink ref="C5889" r:id="rId5884" display="https://pld.live/RapDetail.aspx?STONELIST=925722052&amp;ISCONFIRM=0" xr:uid="{FB8EF638-D532-47A1-A73F-13B724979EEC}"/>
    <hyperlink ref="C5890" r:id="rId5885" display="https://pld.live/RapDetail.aspx?STONELIST=926101680&amp;ISCONFIRM=0" xr:uid="{569EAB7A-415B-4F75-9114-5C56335189E4}"/>
    <hyperlink ref="C5891" r:id="rId5886" display="https://pld.live/RapDetail.aspx?STONELIST=925951326&amp;ISCONFIRM=0" xr:uid="{CAB0EE15-B51B-42EE-9A60-8D5BC1A3B852}"/>
    <hyperlink ref="C5892" r:id="rId5887" display="https://pld.live/RapDetail.aspx?STONELIST=926841247&amp;ISCONFIRM=0" xr:uid="{905EDF0D-EE29-4DC5-BB58-ED92D9134830}"/>
    <hyperlink ref="C5893" r:id="rId5888" display="https://pld.live/RapDetail.aspx?STONELIST=927152984&amp;ISCONFIRM=0" xr:uid="{B7D265D1-97AA-41D4-A081-57312289C02E}"/>
    <hyperlink ref="C5894" r:id="rId5889" display="https://pld.live/RapDetail.aspx?STONELIST=927152527&amp;ISCONFIRM=0" xr:uid="{5A28EE34-14AE-4E6A-A334-EEBDAC855C2C}"/>
    <hyperlink ref="C5895" r:id="rId5890" display="https://pld.live/RapDetail.aspx?STONELIST=926041316&amp;ISCONFIRM=0" xr:uid="{70B0312A-06AD-4A8C-A38C-4CBB0C895981}"/>
    <hyperlink ref="C5896" r:id="rId5891" display="https://pld.live/RapDetail.aspx?STONELIST=926841219&amp;ISCONFIRM=0" xr:uid="{D91ECE8A-6337-4D2B-A23A-EA516CA1A91B}"/>
    <hyperlink ref="C5897" r:id="rId5892" display="https://pld.live/RapDetail.aspx?STONELIST=926831149&amp;ISCONFIRM=0" xr:uid="{9C8A2479-A883-4E40-AD8D-1E538BA949A7}"/>
    <hyperlink ref="C5898" r:id="rId5893" display="https://pld.live/RapDetail.aspx?STONELIST=925310399&amp;ISCONFIRM=0" xr:uid="{474E1C19-4BC3-463E-B1D9-FA56DEFAA7C6}"/>
    <hyperlink ref="C5899" r:id="rId5894" display="https://pld.live/RapDetail.aspx?STONELIST=925801765&amp;ISCONFIRM=0" xr:uid="{323BAD76-67CC-46B8-97A9-A146C82B0CB2}"/>
    <hyperlink ref="C5900" r:id="rId5895" display="https://pld.live/RapDetail.aspx?STONELIST=925981255&amp;ISCONFIRM=0" xr:uid="{BFECD88E-7411-4AAD-86F1-FFF834A18361}"/>
    <hyperlink ref="C5901" r:id="rId5896" display="https://pld.live/RapDetail.aspx?STONELIST=926610097&amp;ISCONFIRM=0" xr:uid="{25AB4D8D-EC70-4A23-8563-3BA6CB749031}"/>
    <hyperlink ref="C5902" r:id="rId5897" display="https://pld.live/RapDetail.aspx?STONELIST=941280515&amp;ISCONFIRM=0" xr:uid="{48F2EBE0-6DCB-4C9E-9684-7CD9C237796B}"/>
    <hyperlink ref="C5903" r:id="rId5898" display="https://pld.live/RapDetail.aspx?STONELIST=925290602&amp;ISCONFIRM=0" xr:uid="{CFE70BFB-6499-4E0A-92C3-1AA6243E891B}"/>
    <hyperlink ref="C5904" r:id="rId5899" display="https://pld.live/RapDetail.aspx?STONELIST=926101224&amp;ISCONFIRM=0" xr:uid="{C28603B7-8E90-429D-82ED-8983D0B51C19}"/>
    <hyperlink ref="C5905" r:id="rId5900" display="https://pld.live/RapDetail.aspx?STONELIST=925961381&amp;ISCONFIRM=0" xr:uid="{DC1C407C-18AB-497B-948F-584C994EA37D}"/>
    <hyperlink ref="C5906" r:id="rId5901" display="https://pld.live/RapDetail.aspx?STONELIST=926071900&amp;ISCONFIRM=0" xr:uid="{780D048F-A982-4020-ACAD-86359FEF4812}"/>
    <hyperlink ref="C5907" r:id="rId5902" display="https://pld.live/RapDetail.aspx?STONELIST=926841347&amp;ISCONFIRM=0" xr:uid="{C80CE522-4886-4C3D-BFEC-15A429C59982}"/>
    <hyperlink ref="C5908" r:id="rId5903" display="https://pld.live/RapDetail.aspx?STONELIST=926581296&amp;ISCONFIRM=0" xr:uid="{FD63F7A0-291F-4FDF-93C1-A9E16C347ABC}"/>
    <hyperlink ref="C5909" r:id="rId5904" display="https://pld.live/RapDetail.aspx?STONELIST=925801672&amp;ISCONFIRM=0" xr:uid="{E2819F6E-B177-4FFA-B864-490277350583}"/>
    <hyperlink ref="C5910" r:id="rId5905" display="https://pld.live/RapDetail.aspx?STONELIST=925722081&amp;ISCONFIRM=0" xr:uid="{6537405A-02A9-436E-8823-F6E9619D1FE3}"/>
    <hyperlink ref="C5911" r:id="rId5906" display="https://pld.live/RapDetail.aspx?STONELIST=925961289&amp;ISCONFIRM=0" xr:uid="{1BB76916-B0DC-42E8-A54D-2C3F05F6835C}"/>
    <hyperlink ref="C5912" r:id="rId5907" display="https://pld.live/RapDetail.aspx?STONELIST=925981198&amp;ISCONFIRM=0" xr:uid="{386A6848-53FE-40CE-8ACC-161C02ADC337}"/>
    <hyperlink ref="C5913" r:id="rId5908" display="https://pld.live/RapDetail.aspx?STONELIST=926020807&amp;ISCONFIRM=0" xr:uid="{318373D5-07B5-4260-B22A-033D4201403C}"/>
    <hyperlink ref="C5914" r:id="rId5909" display="https://pld.live/RapDetail.aspx?STONELIST=925802055&amp;ISCONFIRM=0" xr:uid="{CB983E4C-CA69-4A49-9A70-61A078487719}"/>
    <hyperlink ref="C5915" r:id="rId5910" display="https://pld.live/RapDetail.aspx?STONELIST=925190165&amp;ISCONFIRM=0" xr:uid="{3333FFC6-1762-4E87-831A-3A3CF09C6A1B}"/>
    <hyperlink ref="C5916" r:id="rId5911" display="https://pld.live/RapDetail.aspx?STONELIST=925732265&amp;ISCONFIRM=0" xr:uid="{3A5387F1-7C51-45BA-B229-779E9DCE8FCF}"/>
    <hyperlink ref="C5917" r:id="rId5912" display="https://pld.live/RapDetail.aspx?STONELIST=925300373&amp;ISCONFIRM=0" xr:uid="{5BA3FFF5-5EB8-4A84-BA4A-D53B42C44BC2}"/>
    <hyperlink ref="C5918" r:id="rId5913" display="https://pld.live/RapDetail.aspx?STONELIST=925802052&amp;ISCONFIRM=0" xr:uid="{85027B42-2AC4-4CDE-B847-20F8B782EA3E}"/>
    <hyperlink ref="C5919" r:id="rId5914" display="https://pld.live/RapDetail.aspx?STONELIST=925862077&amp;ISCONFIRM=0" xr:uid="{13415826-860F-4844-85CB-22C3A0D74B1F}"/>
    <hyperlink ref="C5920" r:id="rId5915" display="https://pld.live/RapDetail.aspx?STONELIST=926101727&amp;ISCONFIRM=0" xr:uid="{80F104C8-CB03-4B4D-A3AA-0EF31332001B}"/>
    <hyperlink ref="C5921" r:id="rId5916" display="https://pld.live/RapDetail.aspx?STONELIST=925951324&amp;ISCONFIRM=0" xr:uid="{00CE644B-2AF2-4F50-81BB-DF674C669501}"/>
    <hyperlink ref="C5922" r:id="rId5917" display="https://pld.live/RapDetail.aspx?STONELIST=925802075&amp;ISCONFIRM=0" xr:uid="{9DCFB111-1AB0-4F03-B20A-EF64F26B808F}"/>
    <hyperlink ref="C5923" r:id="rId5918" display="https://pld.live/RapDetail.aspx?STONELIST=925961383&amp;ISCONFIRM=0" xr:uid="{4CBD997B-D11C-409F-A530-07137E118F50}"/>
    <hyperlink ref="C5924" r:id="rId5919" display="https://pld.live/RapDetail.aspx?STONELIST=926020820&amp;ISCONFIRM=0" xr:uid="{42AAB970-B657-4F41-815C-CB13B29F7B17}"/>
    <hyperlink ref="C5925" r:id="rId5920" display="https://pld.live/RapDetail.aspx?STONELIST=926600038&amp;ISCONFIRM=0" xr:uid="{CC94E799-0D80-45B9-AC62-1287347E5EE7}"/>
    <hyperlink ref="C5926" r:id="rId5921" display="https://pld.live/RapDetail.aspx?STONELIST=925300377&amp;ISCONFIRM=0" xr:uid="{8F4281A1-F4D6-411B-A75D-59535825A9D3}"/>
    <hyperlink ref="C5927" r:id="rId5922" display="https://pld.live/RapDetail.aspx?STONELIST=925180140&amp;ISCONFIRM=0" xr:uid="{F5E43893-3578-480F-A92E-D8E295D5C976}"/>
    <hyperlink ref="C5928" r:id="rId5923" display="https://pld.live/RapDetail.aspx?STONELIST=926071950&amp;ISCONFIRM=0" xr:uid="{3182DFCC-340C-4E92-9CD3-1FC33857243F}"/>
    <hyperlink ref="C5929" r:id="rId5924" display="https://pld.live/RapDetail.aspx?STONELIST=925961389&amp;ISCONFIRM=0" xr:uid="{D4744C9A-57B8-4781-AAD9-BD248EDB437A}"/>
    <hyperlink ref="C5930" r:id="rId5925" display="https://pld.live/RapDetail.aspx?STONELIST=925801155&amp;ISCONFIRM=0" xr:uid="{A8790CD4-0AA6-4AD3-A8A0-1993D6BBD198}"/>
    <hyperlink ref="C5931" r:id="rId5926" display="https://pld.live/RapDetail.aspx?STONELIST=926020821&amp;ISCONFIRM=0" xr:uid="{850FA8C7-CDFF-4B66-A80D-66053D599A95}"/>
    <hyperlink ref="C5932" r:id="rId5927" display="https://pld.live/RapDetail.aspx?STONELIST=925300378&amp;ISCONFIRM=0" xr:uid="{EF0EC748-9F9F-4474-86C5-41418D869ABF}"/>
    <hyperlink ref="C5933" r:id="rId5928" display="https://pld.live/RapDetail.aspx?STONELIST=925981268&amp;ISCONFIRM=0" xr:uid="{2D0F5BC4-71F6-446E-8A43-BD75A38146AA}"/>
    <hyperlink ref="C5934" r:id="rId5929" display="https://pld.live/RapDetail.aspx?STONELIST=924610450&amp;ISCONFIRM=0" xr:uid="{9645F08B-50C3-4077-94F6-FE2E4E38C0AC}"/>
    <hyperlink ref="C5935" r:id="rId5930" display="https://pld.live/RapDetail.aspx?STONELIST=925270575&amp;ISCONFIRM=0" xr:uid="{DCA6EAD0-0BB4-46AC-8192-F812F755CD62}"/>
    <hyperlink ref="C5936" r:id="rId5931" display="https://pld.live/RapDetail.aspx?STONELIST=924610448&amp;ISCONFIRM=0" xr:uid="{0A4343FD-5A18-46FE-A538-D2D91F9C44AC}"/>
    <hyperlink ref="C5937" r:id="rId5932" display="https://pld.live/RapDetail.aspx?STONELIST=925732232&amp;ISCONFIRM=0" xr:uid="{5479C242-6EA0-4914-9DE9-46900BDC5123}"/>
    <hyperlink ref="C5938" r:id="rId5933" display="https://pld.live/RapDetail.aspx?STONELIST=925951319&amp;ISCONFIRM=0" xr:uid="{CD030F84-61BF-44B8-80FC-BD4E12D9E2E0}"/>
    <hyperlink ref="C5939" r:id="rId5934" display="https://pld.live/RapDetail.aspx?STONELIST=925220305&amp;ISCONFIRM=0" xr:uid="{314EF6E2-68A5-4180-8202-797FE53A9527}"/>
    <hyperlink ref="C5940" r:id="rId5935" display="https://pld.live/RapDetail.aspx?STONELIST=925861963&amp;ISCONFIRM=0" xr:uid="{BF41D520-D0B7-4260-8B6C-70AE00F5E2EF}"/>
    <hyperlink ref="C5941" r:id="rId5936" display="https://pld.live/RapDetail.aspx?STONELIST=926101701&amp;ISCONFIRM=0" xr:uid="{5842D499-300E-4262-9AD1-C876EBA31926}"/>
    <hyperlink ref="C5942" r:id="rId5937" display="https://pld.live/RapDetail.aspx?STONELIST=924600181&amp;ISCONFIRM=0" xr:uid="{0DA01881-6C15-425C-B443-4DE3C41CE586}"/>
    <hyperlink ref="C5943" r:id="rId5938" display="https://pld.live/RapDetail.aspx?STONELIST=926831016&amp;ISCONFIRM=0" xr:uid="{74D35401-56C8-467C-BF9D-B464B26A179D}"/>
    <hyperlink ref="C5944" r:id="rId5939" display="https://pld.live/RapDetail.aspx?STONELIST=926841292&amp;ISCONFIRM=0" xr:uid="{DF1298C5-C9D6-429B-829E-54461035D658}"/>
    <hyperlink ref="C5945" r:id="rId5940" display="https://pld.live/RapDetail.aspx?STONELIST=926621080&amp;ISCONFIRM=0" xr:uid="{2FFB754D-7E81-404E-8F04-3F7405424A0A}"/>
    <hyperlink ref="C5946" r:id="rId5941" display="https://pld.live/RapDetail.aspx?STONELIST=926871113&amp;ISCONFIRM=0" xr:uid="{EE8A72CE-7A7E-47B2-A13F-BAB5B6523092}"/>
    <hyperlink ref="C5947" r:id="rId5942" display="https://pld.live/RapDetail.aspx?STONELIST=926831038&amp;ISCONFIRM=0" xr:uid="{ECFD1351-A2A7-4157-8CB2-AB1F5C1032AB}"/>
    <hyperlink ref="C5948" r:id="rId5943" display="https://pld.live/RapDetail.aspx?STONELIST=926701080&amp;ISCONFIRM=0" xr:uid="{0FC1631C-AFA7-4B5F-8276-8103B4B6E5FC}"/>
    <hyperlink ref="C5949" r:id="rId5944" display="https://pld.live/RapDetail.aspx?STONELIST=926621123&amp;ISCONFIRM=0" xr:uid="{6592A545-08D3-4A74-9543-21BF583430E0}"/>
    <hyperlink ref="C5950" r:id="rId5945" display="https://pld.live/RapDetail.aspx?STONELIST=926830618&amp;ISCONFIRM=0" xr:uid="{ACE7AF31-836F-4B13-B7B1-FD485E5D936A}"/>
    <hyperlink ref="C5951" r:id="rId5946" display="https://pld.live/RapDetail.aspx?STONELIST=926681138&amp;ISCONFIRM=0" xr:uid="{0536259A-A8D9-430C-ACA9-C94C77B819DE}"/>
    <hyperlink ref="C5952" r:id="rId5947" display="https://pld.live/RapDetail.aspx?STONELIST=925950078&amp;ISCONFIRM=0" xr:uid="{643BEDAD-8253-48F0-B1AE-550D10EE82A9}"/>
    <hyperlink ref="C5953" r:id="rId5948" display="https://pld.live/RapDetail.aspx?STONELIST=926101669&amp;ISCONFIRM=0" xr:uid="{5FED9ADB-1504-4013-9A4A-9141D28A476E}"/>
    <hyperlink ref="C5954" r:id="rId5949" display="https://pld.live/RapDetail.aspx?STONELIST=926921495&amp;ISCONFIRM=0" xr:uid="{1B130D3C-4457-4F1B-821A-5D90452C32F9}"/>
    <hyperlink ref="C5955" r:id="rId5950" display="https://pld.live/RapDetail.aspx?STONELIST=941071374&amp;ISCONFIRM=0" xr:uid="{3190C9F9-70EA-4F26-8C80-48E2C8D9CD6B}"/>
    <hyperlink ref="C5956" r:id="rId5951" display="https://pld.live/RapDetail.aspx?STONELIST=926621101&amp;ISCONFIRM=0" xr:uid="{2C0A6860-C1F5-4A7B-AF3B-A5057B13A076}"/>
    <hyperlink ref="C5957" r:id="rId5952" display="https://pld.live/RapDetail.aspx?STONELIST=941071389&amp;ISCONFIRM=0" xr:uid="{F35038C3-5AA7-40A5-BFA5-541820B60A75}"/>
    <hyperlink ref="C5958" r:id="rId5953" display="https://pld.live/RapDetail.aspx?STONELIST=941071383&amp;ISCONFIRM=0" xr:uid="{111B4086-B287-4D66-8474-289281D5224B}"/>
    <hyperlink ref="C5959" r:id="rId5954" display="https://pld.live/RapDetail.aspx?STONELIST=941071387&amp;ISCONFIRM=0" xr:uid="{8CB37090-4883-43B7-8166-ADAC31ED14B9}"/>
    <hyperlink ref="C5960" r:id="rId5955" display="https://pld.live/RapDetail.aspx?STONELIST=941071363&amp;ISCONFIRM=0" xr:uid="{4FE11ED3-7B7B-44FC-BC53-CFDC6B810A8D}"/>
    <hyperlink ref="C5961" r:id="rId5956" display="https://pld.live/RapDetail.aspx?STONELIST=926841356&amp;ISCONFIRM=0" xr:uid="{4C96182C-DE1D-45F9-A928-628ADCF1AF73}"/>
    <hyperlink ref="C5962" r:id="rId5957" display="https://pld.live/RapDetail.aspx?STONELIST=926921491&amp;ISCONFIRM=0" xr:uid="{05052A23-7D01-471B-AD96-4C2718BF8046}"/>
    <hyperlink ref="C5963" r:id="rId5958" display="https://pld.live/RapDetail.aspx?STONELIST=926841384&amp;ISCONFIRM=0" xr:uid="{DBCCEF51-B393-4A5E-AADE-43FD104ABB3F}"/>
    <hyperlink ref="C5964" r:id="rId5959" display="https://pld.live/RapDetail.aspx?STONELIST=941071366&amp;ISCONFIRM=0" xr:uid="{C373E062-C2B7-4E34-8B1C-65EACA606F88}"/>
    <hyperlink ref="C5965" r:id="rId5960" display="https://pld.live/RapDetail.aspx?STONELIST=941040747&amp;ISCONFIRM=0" xr:uid="{67AF9A91-7DF9-4444-ACAF-BE1185DEC490}"/>
    <hyperlink ref="C5966" r:id="rId5961" display="https://pld.live/RapDetail.aspx?STONELIST=926841391&amp;ISCONFIRM=0" xr:uid="{E11223EE-57AC-48F4-884C-F545E82AB78A}"/>
    <hyperlink ref="C5967" r:id="rId5962" display="https://pld.live/RapDetail.aspx?STONELIST=927092419&amp;ISCONFIRM=0" xr:uid="{5E95FB74-15A2-465A-8668-15536E80ADA9}"/>
    <hyperlink ref="C5968" r:id="rId5963" display="https://pld.live/RapDetail.aspx?STONELIST=926681141&amp;ISCONFIRM=0" xr:uid="{77A67C46-3012-4F3F-8A28-95C0A0358A9A}"/>
    <hyperlink ref="C5969" r:id="rId5964" display="https://pld.live/RapDetail.aspx?STONELIST=926901155&amp;ISCONFIRM=0" xr:uid="{2583D5A3-EA0C-48AA-A0AB-D82C3D26971A}"/>
    <hyperlink ref="C5970" r:id="rId5965" display="https://pld.live/RapDetail.aspx?STONELIST=9413501278&amp;ISCONFIRM=0" xr:uid="{837B154B-9A4E-4179-A83C-FC186861EB1F}"/>
    <hyperlink ref="C5971" r:id="rId5966" display="https://pld.live/RapDetail.aspx?STONELIST=927132485&amp;ISCONFIRM=0" xr:uid="{00B17222-A947-4BBE-98B4-078854C0DE02}"/>
    <hyperlink ref="C5972" r:id="rId5967" display="https://pld.live/RapDetail.aspx?STONELIST=941071350&amp;ISCONFIRM=0" xr:uid="{1793F519-E9B3-4BC0-92D6-1D094DEE3D02}"/>
    <hyperlink ref="C5973" r:id="rId5968" display="https://pld.live/RapDetail.aspx?STONELIST=927102406&amp;ISCONFIRM=0" xr:uid="{BD5390BA-E33A-44E4-AD89-4F068A977466}"/>
    <hyperlink ref="C5974" r:id="rId5969" display="https://pld.live/RapDetail.aspx?STONELIST=927153010&amp;ISCONFIRM=0" xr:uid="{7150B366-9478-4F3A-8929-41B58A7C3217}"/>
    <hyperlink ref="C5975" r:id="rId5970" display="https://pld.live/RapDetail.aspx?STONELIST=926681198&amp;ISCONFIRM=0" xr:uid="{D7126827-4461-43C1-9EF6-FDA829AFD1FF}"/>
    <hyperlink ref="C5976" r:id="rId5971" display="https://pld.live/RapDetail.aspx?STONELIST=927152965&amp;ISCONFIRM=0" xr:uid="{89F33C05-7FDC-44E8-B2D9-81EEEEFC81BE}"/>
    <hyperlink ref="C5977" r:id="rId5972" display="https://pld.live/RapDetail.aspx?STONELIST=941060570&amp;ISCONFIRM=0" xr:uid="{22CCCEC3-A39F-46CD-87E3-2014314DCF1D}"/>
    <hyperlink ref="C5978" r:id="rId5973" display="https://pld.live/RapDetail.aspx?STONELIST=925961377&amp;ISCONFIRM=0" xr:uid="{1F2BB6DA-7858-4C42-9FEE-BBC259E2A4BA}"/>
    <hyperlink ref="C5979" r:id="rId5974" display="https://pld.live/RapDetail.aspx?STONELIST=941071394&amp;ISCONFIRM=0" xr:uid="{09C234C2-434C-471C-BA36-5B15DEF2DD2F}"/>
    <hyperlink ref="C5980" r:id="rId5975" display="https://pld.live/RapDetail.aspx?STONELIST=941071380&amp;ISCONFIRM=0" xr:uid="{6E59D2F7-361F-4E72-ACA0-F00EB2424A0F}"/>
    <hyperlink ref="C5981" r:id="rId5976" display="https://pld.live/RapDetail.aspx?STONELIST=941140862&amp;ISCONFIRM=0" xr:uid="{4C14A9D0-989B-4B01-8282-FCEAFF4715DC}"/>
    <hyperlink ref="C5982" r:id="rId5977" display="https://pld.live/RapDetail.aspx?STONELIST=941021763&amp;ISCONFIRM=0" xr:uid="{9A231D25-1FA9-4F76-8251-2BC57325CC94}"/>
    <hyperlink ref="C5983" r:id="rId5978" display="https://pld.live/RapDetail.aspx?STONELIST=926831167&amp;ISCONFIRM=0" xr:uid="{7D9AE480-81D4-4E16-9A42-58FA4D8B8139}"/>
    <hyperlink ref="C5984" r:id="rId5979" display="https://pld.live/RapDetail.aspx?STONELIST=926750975&amp;ISCONFIRM=0" xr:uid="{84089FD1-D28F-49E3-B752-FF9C36189A46}"/>
    <hyperlink ref="C5985" r:id="rId5980" display="https://pld.live/RapDetail.aspx?STONELIST=926270894&amp;ISCONFIRM=0" xr:uid="{3554F9D5-FA47-45A2-B5F8-EE25CCEE4CDE}"/>
    <hyperlink ref="C5986" r:id="rId5981" display="https://pld.live/RapDetail.aspx?STONELIST=926921492&amp;ISCONFIRM=0" xr:uid="{AC6347D7-50A2-4C8A-B660-F269003C9B16}"/>
    <hyperlink ref="C5987" r:id="rId5982" display="https://pld.live/RapDetail.aspx?STONELIST=941040724&amp;ISCONFIRM=0" xr:uid="{57DBB907-1BB7-4916-BD0C-34B377BA9F96}"/>
    <hyperlink ref="C5988" r:id="rId5983" display="https://pld.live/RapDetail.aspx?STONELIST=926921489&amp;ISCONFIRM=0" xr:uid="{33332CC1-5545-4639-89CD-8AC435CC7A6D}"/>
    <hyperlink ref="C5989" r:id="rId5984" display="https://pld.live/RapDetail.aspx?STONELIST=941071369&amp;ISCONFIRM=0" xr:uid="{052F55C0-2B15-45FC-90EC-950C1089CB7A}"/>
    <hyperlink ref="C5990" r:id="rId5985" display="https://pld.live/RapDetail.aspx?STONELIST=927140419&amp;ISCONFIRM=0" xr:uid="{DE9D97EB-CB3A-4F29-81E6-A1D63665CE93}"/>
    <hyperlink ref="C5991" r:id="rId5986" display="https://pld.live/RapDetail.aspx?STONELIST=941021793&amp;ISCONFIRM=0" xr:uid="{0D593829-A78A-432E-9DC7-0458230702BC}"/>
    <hyperlink ref="C5992" r:id="rId5987" display="https://pld.live/RapDetail.aspx?STONELIST=941071395&amp;ISCONFIRM=0" xr:uid="{CD252CD9-33A6-4F11-B895-FA8BBAF484BE}"/>
    <hyperlink ref="C5993" r:id="rId5988" display="https://pld.live/RapDetail.aspx?STONELIST=927152985&amp;ISCONFIRM=0" xr:uid="{124F61C6-C2B2-4391-B29F-DD0D9CB43823}"/>
    <hyperlink ref="C5994" r:id="rId5989" display="https://pld.live/RapDetail.aspx?STONELIST=926741038&amp;ISCONFIRM=0" xr:uid="{0A01133F-AAFA-48F3-9483-C372A78D5A83}"/>
    <hyperlink ref="C5995" r:id="rId5990" display="https://pld.live/RapDetail.aspx?STONELIST=926311330&amp;ISCONFIRM=0" xr:uid="{B0278D4D-FE57-471C-960F-E439D797F6CC}"/>
    <hyperlink ref="C5996" r:id="rId5991" display="https://pld.live/RapDetail.aspx?STONELIST=926791087&amp;ISCONFIRM=0" xr:uid="{0C9F60C7-AE3B-48BE-AF7D-9E3CA737C928}"/>
    <hyperlink ref="C5997" r:id="rId5992" display="https://pld.live/RapDetail.aspx?STONELIST=925280555&amp;ISCONFIRM=0" xr:uid="{E9F1F3CC-5BF5-418D-BCD9-F9454C5AEC44}"/>
    <hyperlink ref="C5998" r:id="rId5993" display="https://pld.live/RapDetail.aspx?STONELIST=941071346&amp;ISCONFIRM=0" xr:uid="{15DBE4A2-0DB3-4EE9-82C4-1E62C537E6F1}"/>
    <hyperlink ref="C5999" r:id="rId5994" display="https://pld.live/RapDetail.aspx?STONELIST=941040798&amp;ISCONFIRM=0" xr:uid="{A4C02164-8FED-4956-8467-8F0FDB39BDEF}"/>
    <hyperlink ref="C6000" r:id="rId5995" display="https://pld.live/RapDetail.aspx?STONELIST=926841376&amp;ISCONFIRM=0" xr:uid="{2156DC4E-F861-492A-9DB2-763B69B8FC32}"/>
    <hyperlink ref="C6001" r:id="rId5996" display="https://pld.live/RapDetail.aspx?STONELIST=941071396&amp;ISCONFIRM=0" xr:uid="{A5F4E5DE-04D1-471E-92C7-59178F62BE8C}"/>
    <hyperlink ref="C6002" r:id="rId5997" display="https://pld.live/RapDetail.aspx?STONELIST=927140507&amp;ISCONFIRM=0" xr:uid="{80B71110-90C7-4F5F-913A-D45E39947D39}"/>
    <hyperlink ref="C6003" r:id="rId5998" display="https://pld.live/RapDetail.aspx?STONELIST=926270858&amp;ISCONFIRM=0" xr:uid="{0FD6957A-FF1F-42AC-AD83-EB928BF0E080}"/>
    <hyperlink ref="C6004" r:id="rId5999" display="https://pld.live/RapDetail.aspx?STONELIST=927153021&amp;ISCONFIRM=0" xr:uid="{2336507E-8271-4BEB-AABE-B8366CA53A51}"/>
    <hyperlink ref="C6005" r:id="rId6000" display="https://pld.live/RapDetail.aspx?STONELIST=926581271&amp;ISCONFIRM=0" xr:uid="{057062DD-D74D-4B77-88A8-D1F907294FD4}"/>
    <hyperlink ref="C6006" r:id="rId6001" display="https://pld.live/RapDetail.aspx?STONELIST=925940644&amp;ISCONFIRM=0" xr:uid="{3D81A41E-865E-42B3-B647-DE36BB48FD54}"/>
    <hyperlink ref="C6007" r:id="rId6002" display="https://pld.live/RapDetail.aspx?STONELIST=927153002&amp;ISCONFIRM=0" xr:uid="{794AAF4A-418F-4A96-8403-7954D0706746}"/>
    <hyperlink ref="C6008" r:id="rId6003" display="https://pld.live/RapDetail.aspx?STONELIST=926291483&amp;ISCONFIRM=0" xr:uid="{C853A7A6-2D56-4C8D-868F-BEA74267C293}"/>
    <hyperlink ref="C6009" r:id="rId6004" display="https://pld.live/RapDetail.aspx?STONELIST=924410827&amp;ISCONFIRM=0" xr:uid="{0A2592AA-4829-420D-AA76-E84EBABC27BE}"/>
    <hyperlink ref="C6010" r:id="rId6005" display="https://pld.live/RapDetail.aspx?STONELIST=925940581&amp;ISCONFIRM=0" xr:uid="{0EA97349-2ED5-447C-8DAC-2A4530735151}"/>
    <hyperlink ref="C6011" r:id="rId6006" display="https://pld.live/RapDetail.aspx?STONELIST=925830746&amp;ISCONFIRM=0" xr:uid="{EA026FB6-BB63-4649-B33E-FE6C7598871D}"/>
    <hyperlink ref="C6012" r:id="rId6007" display="https://pld.live/RapDetail.aspx?STONELIST=926111158&amp;ISCONFIRM=0" xr:uid="{F02FDEAD-C291-43EB-BC86-31770A1041BE}"/>
    <hyperlink ref="C6013" r:id="rId6008" display="https://pld.live/RapDetail.aspx?STONELIST=924420423&amp;ISCONFIRM=0" xr:uid="{D9CA7788-7CC0-4BC1-8BFC-AEF21D8FC54A}"/>
    <hyperlink ref="C6014" r:id="rId6009" display="https://pld.live/RapDetail.aspx?STONELIST=925940614&amp;ISCONFIRM=0" xr:uid="{C97B984A-AE23-4BCC-A533-D6DD79CF4CC4}"/>
    <hyperlink ref="C6015" r:id="rId6010" display="https://pld.live/RapDetail.aspx?STONELIST=924420437&amp;ISCONFIRM=0" xr:uid="{BCAE0B7F-BC64-4DF8-8C15-C2AFF0AA2064}"/>
    <hyperlink ref="C6016" r:id="rId6011" display="https://pld.live/RapDetail.aspx?STONELIST=924900242&amp;ISCONFIRM=0" xr:uid="{7D511016-F726-4890-A08D-BBC3AAA11D7A}"/>
    <hyperlink ref="C6017" r:id="rId6012" display="https://pld.live/RapDetail.aspx?STONELIST=924440184&amp;ISCONFIRM=0" xr:uid="{82417BB7-6E35-484E-AE3F-09D0DAFF8145}"/>
    <hyperlink ref="C6018" r:id="rId6013" display="https://pld.live/RapDetail.aspx?STONELIST=926550584&amp;ISCONFIRM=0" xr:uid="{8E77B94F-4660-4970-A2B9-1E41052C2205}"/>
    <hyperlink ref="C6019" r:id="rId6014" display="https://pld.live/RapDetail.aspx?STONELIST=925760408&amp;ISCONFIRM=0" xr:uid="{E022089F-9781-4A09-89D2-CC8FDF239285}"/>
    <hyperlink ref="C6020" r:id="rId6015" display="https://pld.live/RapDetail.aspx?STONELIST=924980188&amp;ISCONFIRM=0" xr:uid="{251CA179-F2E6-4CEF-8186-5CFEC02AB578}"/>
    <hyperlink ref="C6021" r:id="rId6016" display="https://pld.live/RapDetail.aspx?STONELIST=831010777&amp;ISCONFIRM=0" xr:uid="{D39C45DC-2E90-43FE-BC0D-06D044BCF2EC}"/>
    <hyperlink ref="C6022" r:id="rId6017" display="https://pld.live/RapDetail.aspx?STONELIST=941170223&amp;ISCONFIRM=0" xr:uid="{9D18012F-6F49-4CF1-AC68-2440C3AC62FF}"/>
    <hyperlink ref="C6023" r:id="rId6018" display="https://pld.live/RapDetail.aspx?STONELIST=941170498&amp;ISCONFIRM=0" xr:uid="{D908CDD6-1F56-43A2-A38E-7BC06FAB5347}"/>
    <hyperlink ref="C6024" r:id="rId6019" display="https://pld.live/RapDetail.aspx?STONELIST=941260885&amp;ISCONFIRM=0" xr:uid="{0BB777BE-8AE4-44B4-9A65-7F149390C404}"/>
    <hyperlink ref="C6025" r:id="rId6020" display="https://pld.live/RapDetail.aspx?STONELIST=941261130&amp;ISCONFIRM=0" xr:uid="{8DF0AC08-58AE-4952-B290-F9E4DB64DB5C}"/>
    <hyperlink ref="C6026" r:id="rId6021" display="https://pld.live/RapDetail.aspx?STONELIST=941260977&amp;ISCONFIRM=0" xr:uid="{FCCB16BF-2521-4F9F-BCFA-D841A965700F}"/>
    <hyperlink ref="C6027" r:id="rId6022" display="https://pld.live/RapDetail.aspx?STONELIST=941191131&amp;ISCONFIRM=0" xr:uid="{4131125F-4AC7-4DAD-B567-7A1EBCB2CF7B}"/>
    <hyperlink ref="C6028" r:id="rId6023" display="https://pld.live/RapDetail.aspx?STONELIST=925750680&amp;ISCONFIRM=0" xr:uid="{FA728329-DCA2-4AE7-B1EC-F1630C3C733C}"/>
    <hyperlink ref="C6029" r:id="rId6024" display="https://pld.live/RapDetail.aspx?STONELIST=941261120&amp;ISCONFIRM=0" xr:uid="{D0FEE203-8F98-4A5E-95F7-4F7A26ED0773}"/>
    <hyperlink ref="C6030" r:id="rId6025" display="https://pld.live/RapDetail.aspx?STONELIST=941190885&amp;ISCONFIRM=0" xr:uid="{AFB685CA-B45F-46AB-9688-854AD16B43AF}"/>
    <hyperlink ref="C6031" r:id="rId6026" display="https://pld.live/RapDetail.aspx?STONELIST=941191317&amp;ISCONFIRM=0" xr:uid="{C04FD35D-67C3-4114-8AF2-D61D0A291CCF}"/>
    <hyperlink ref="C6032" r:id="rId6027" display="https://pld.live/RapDetail.aspx?STONELIST=941170412&amp;ISCONFIRM=0" xr:uid="{9BF0E6A7-EC59-4B5E-8698-056EAF5BA32A}"/>
    <hyperlink ref="C6033" r:id="rId6028" display="https://pld.live/RapDetail.aspx?STONELIST=941260563&amp;ISCONFIRM=0" xr:uid="{B11B1CAB-41A3-4BC1-BEA3-F20F97D8AE3C}"/>
    <hyperlink ref="C6034" r:id="rId6029" display="https://pld.live/RapDetail.aspx?STONELIST=941261126&amp;ISCONFIRM=0" xr:uid="{2D811FC0-61E8-4469-B034-A11DDFE9305C}"/>
    <hyperlink ref="C6035" r:id="rId6030" display="https://pld.live/RapDetail.aspx?STONELIST=941170410&amp;ISCONFIRM=0" xr:uid="{3A7BBD56-6FE6-4328-83B6-D0757C6508E7}"/>
    <hyperlink ref="C6036" r:id="rId6031" display="https://pld.live/RapDetail.aspx?STONELIST=941170536&amp;ISCONFIRM=0" xr:uid="{B8FB5C1F-7382-4A5D-96E1-42CCE2967029}"/>
    <hyperlink ref="C6037" r:id="rId6032" display="https://pld.live/RapDetail.aspx?STONELIST=941261115&amp;ISCONFIRM=0" xr:uid="{495AE9F1-C1BB-4F3B-9764-3C80C70CF9E3}"/>
    <hyperlink ref="C6038" r:id="rId6033" display="https://pld.live/RapDetail.aspx?STONELIST=924390500&amp;ISCONFIRM=0" xr:uid="{146629AE-A7C0-4CD2-81ED-F1D18F71A529}"/>
    <hyperlink ref="C6039" r:id="rId6034" display="https://pld.live/RapDetail.aspx?STONELIST=941160553&amp;ISCONFIRM=0" xr:uid="{50176CB2-E34E-4EDF-B71E-6FA0A5CA5333}"/>
    <hyperlink ref="C6040" r:id="rId6035" display="https://pld.live/RapDetail.aspx?STONELIST=924880377&amp;ISCONFIRM=0" xr:uid="{1DCFD261-3AB9-457D-B77D-DB0C5BFB483C}"/>
    <hyperlink ref="C6041" r:id="rId6036" display="https://pld.live/RapDetail.aspx?STONELIST=941261131&amp;ISCONFIRM=0" xr:uid="{1AF3345C-CEAE-4C3A-9972-2637D2C872A6}"/>
    <hyperlink ref="C6042" r:id="rId6037" display="https://pld.live/RapDetail.aspx?STONELIST=941190970&amp;ISCONFIRM=0" xr:uid="{3C208B98-F8B6-4474-A9FB-F22010F6A2B4}"/>
    <hyperlink ref="C6043" r:id="rId6038" display="https://pld.live/RapDetail.aspx?STONELIST=941260955&amp;ISCONFIRM=0" xr:uid="{1C540439-0B2C-440B-A487-76C36F50EBE2}"/>
    <hyperlink ref="C6044" r:id="rId6039" display="https://pld.live/RapDetail.aspx?STONELIST=941261122&amp;ISCONFIRM=0" xr:uid="{B508A072-182D-42F4-822E-349572D8D975}"/>
    <hyperlink ref="C6045" r:id="rId6040" display="https://pld.live/RapDetail.aspx?STONELIST=941261123&amp;ISCONFIRM=0" xr:uid="{D6FADFAA-19EF-4F2E-8821-02C307D3F4A3}"/>
    <hyperlink ref="C6046" r:id="rId6041" display="https://pld.live/RapDetail.aspx?STONELIST=941261129&amp;ISCONFIRM=0" xr:uid="{069194CB-5C72-4422-B57B-99D66A0A0DB7}"/>
    <hyperlink ref="C6047" r:id="rId6042" display="https://pld.live/RapDetail.aspx?STONELIST=941261105&amp;ISCONFIRM=0" xr:uid="{55B3574A-5FCC-423D-8171-F0D674319E31}"/>
    <hyperlink ref="C6048" r:id="rId6043" display="https://pld.live/RapDetail.aspx?STONELIST=941261107&amp;ISCONFIRM=0" xr:uid="{1504D580-E5BD-46C6-8F28-96801987D763}"/>
    <hyperlink ref="C6049" r:id="rId6044" display="https://pld.live/RapDetail.aspx?STONELIST=941261128&amp;ISCONFIRM=0" xr:uid="{9E0A3A70-87C5-402B-9C89-FAF417ED7D77}"/>
    <hyperlink ref="C6050" r:id="rId6045" display="https://pld.live/RapDetail.aspx?STONELIST=941261132&amp;ISCONFIRM=0" xr:uid="{DA381A6D-3A40-4B12-9950-D311A1B653B2}"/>
    <hyperlink ref="C6051" r:id="rId6046" display="https://pld.live/RapDetail.aspx?STONELIST=941170499&amp;ISCONFIRM=0" xr:uid="{7C0C82EF-BE13-4914-A76F-8413C86CAC7E}"/>
    <hyperlink ref="C6052" r:id="rId6047" display="https://pld.live/RapDetail.aspx?STONELIST=941261135&amp;ISCONFIRM=0" xr:uid="{5B1234CC-F8D1-4583-A033-95B261F1D09B}"/>
    <hyperlink ref="C6053" r:id="rId6048" display="https://pld.live/RapDetail.aspx?STONELIST=9412601138&amp;ISCONFIRM=0" xr:uid="{2A7D1129-68D3-42AA-9E0B-5C1F9A6C379E}"/>
    <hyperlink ref="C6054" r:id="rId6049" display="https://pld.live/RapDetail.aspx?STONELIST=941170248&amp;ISCONFIRM=0" xr:uid="{BCFB5FF4-1348-4FAE-9C59-5E04F17475AC}"/>
    <hyperlink ref="C6055" r:id="rId6050" display="https://pld.live/RapDetail.aspx?STONELIST=941160549&amp;ISCONFIRM=0" xr:uid="{3D6B0361-5074-4EF5-87BB-7E11A9E1F348}"/>
    <hyperlink ref="C6056" r:id="rId6051" display="https://pld.live/RapDetail.aspx?STONELIST=926120417&amp;ISCONFIRM=0" xr:uid="{6801D43F-9D77-4842-A5EC-24CA717964CD}"/>
    <hyperlink ref="C6057" r:id="rId6052" display="https://pld.live/RapDetail.aspx?STONELIST=925220313&amp;ISCONFIRM=0" xr:uid="{E34EAF36-BA95-487A-AD6C-3391E7B4CD3E}"/>
    <hyperlink ref="C6058" r:id="rId6053" display="https://pld.live/RapDetail.aspx?STONELIST=924370407&amp;ISCONFIRM=0" xr:uid="{DF9473BE-8DDE-4470-A5C1-DF1B427BB123}"/>
    <hyperlink ref="C6059" r:id="rId6054" display="https://pld.live/RapDetail.aspx?STONELIST=941360298&amp;ISCONFIRM=0" xr:uid="{8D65FC97-1973-470B-A30F-E092A1B620F5}"/>
    <hyperlink ref="C6060" r:id="rId6055" display="https://pld.live/RapDetail.aspx?STONELIST=924970368&amp;ISCONFIRM=0" xr:uid="{B3F40DD2-020D-4E78-BE2E-E58DFFE649E8}"/>
    <hyperlink ref="C6061" r:id="rId6056" display="https://pld.live/RapDetail.aspx?STONELIST=831010331&amp;ISCONFIRM=0" xr:uid="{6BAAE2E9-C2C2-486D-97E8-3BF4AE71ED27}"/>
    <hyperlink ref="C6062" r:id="rId6057" display="https://pld.live/RapDetail.aspx?STONELIST=941350984&amp;ISCONFIRM=0" xr:uid="{E4E359CB-4803-471B-8131-B050E7B68D34}"/>
    <hyperlink ref="C6063" r:id="rId6058" display="https://pld.live/RapDetail.aspx?STONELIST=941370468&amp;ISCONFIRM=0" xr:uid="{31562583-D958-43B4-90AD-11297B715E2C}"/>
    <hyperlink ref="C6064" r:id="rId6059" display="https://pld.live/RapDetail.aspx?STONELIST=941350982&amp;ISCONFIRM=0" xr:uid="{89203854-E6BE-42A4-AFC5-60C2041AEAF6}"/>
    <hyperlink ref="C6065" r:id="rId6060" display="https://pld.live/RapDetail.aspx?STONELIST=941350903&amp;ISCONFIRM=0" xr:uid="{CB1A4025-3760-4FB3-8D7C-8E204B3BCFD1}"/>
    <hyperlink ref="C6066" r:id="rId6061" display="https://pld.live/RapDetail.aspx?STONELIST=927132654&amp;ISCONFIRM=0" xr:uid="{FD6C989B-EC9C-4C27-AA6F-DB02A9085A5E}"/>
    <hyperlink ref="C6067" r:id="rId6062" display="https://pld.live/RapDetail.aspx?STONELIST=941170472&amp;ISCONFIRM=0" xr:uid="{369BB650-8BED-4452-B3E0-6D4D5E29F11E}"/>
    <hyperlink ref="C6068" r:id="rId6063" display="https://pld.live/RapDetail.aspx?STONELIST=927152990&amp;ISCONFIRM=0" xr:uid="{9C8E7E0F-460E-49C3-8403-9A4FA2ED1581}"/>
    <hyperlink ref="C6069" r:id="rId6064" display="https://pld.live/RapDetail.aspx?STONELIST=941370467&amp;ISCONFIRM=0" xr:uid="{7A3F20A2-1726-4A86-B1DF-7B46DBE6DCBD}"/>
    <hyperlink ref="C6070" r:id="rId6065" display="https://pld.live/RapDetail.aspx?STONELIST=925260334&amp;ISCONFIRM=0" xr:uid="{503B4C94-7755-47AF-A399-C45E242A104A}"/>
    <hyperlink ref="C6071" r:id="rId6066" display="https://pld.live/RapDetail.aspx?STONELIST=941160569&amp;ISCONFIRM=0" xr:uid="{FC656976-0C60-450C-92DC-8992A930F459}"/>
    <hyperlink ref="C6072" r:id="rId6067" display="https://pld.live/RapDetail.aspx?STONELIST=927102506&amp;ISCONFIRM=0" xr:uid="{17AE8DE8-4762-43C6-BF72-D734D17E3FFA}"/>
    <hyperlink ref="C6073" r:id="rId6068" display="https://pld.live/RapDetail.aspx?STONELIST=941270810&amp;ISCONFIRM=0" xr:uid="{BF452EFB-1DC5-41D1-A7C7-717FFE7161A7}"/>
    <hyperlink ref="C6074" r:id="rId6069" display="https://pld.live/RapDetail.aspx?STONELIST=926820140&amp;ISCONFIRM=0" xr:uid="{5899A9E2-B329-4EE7-9F88-91B97FBB522F}"/>
    <hyperlink ref="C6075" r:id="rId6070" display="https://pld.live/RapDetail.aspx?STONELIST=926820147&amp;ISCONFIRM=0" xr:uid="{F25A6CAD-88E1-4BA8-B8B3-DA2AC2EF911A}"/>
    <hyperlink ref="C6076" r:id="rId6071" display="https://pld.live/RapDetail.aspx?STONELIST=926820146&amp;ISCONFIRM=0" xr:uid="{9AF893AC-6B58-4CE2-8532-EF943A96BDB1}"/>
    <hyperlink ref="C6077" r:id="rId6072" display="https://pld.live/RapDetail.aspx?STONELIST=926360326&amp;ISCONFIRM=0" xr:uid="{CABA4946-A44A-4FED-98FB-4C77CBA09A38}"/>
    <hyperlink ref="C6078" r:id="rId6073" display="https://pld.live/RapDetail.aspx?STONELIST=941220462&amp;ISCONFIRM=0" xr:uid="{B962D56A-2B0F-4BA2-9160-46018CFB4931}"/>
    <hyperlink ref="C6079" r:id="rId6074" display="https://pld.live/RapDetail.aspx?STONELIST=923130007&amp;ISCONFIRM=0" xr:uid="{2C1A271D-94EB-4559-A4E0-875E78411C62}"/>
    <hyperlink ref="C6080" r:id="rId6075" display="https://pld.live/RapDetail.aspx?STONELIST=821133223&amp;ISCONFIRM=0" xr:uid="{BF9BEC20-63A3-477F-9F5A-437CA1F2141F}"/>
    <hyperlink ref="C6081" r:id="rId6076" display="https://pld.live/RapDetail.aspx?STONELIST=926470445&amp;ISCONFIRM=0" xr:uid="{A51E8543-792C-4862-8863-299C6BF7D864}"/>
    <hyperlink ref="C6082" r:id="rId6077" display="https://pld.live/RapDetail.aspx?STONELIST=926470475&amp;ISCONFIRM=0" xr:uid="{F51474A7-936D-428C-B293-0159193F54D7}"/>
    <hyperlink ref="C6083" r:id="rId6078" display="https://pld.live/RapDetail.aspx?STONELIST=926410375&amp;ISCONFIRM=0" xr:uid="{4132C4BE-9E01-44A8-B063-71626307320A}"/>
    <hyperlink ref="C6084" r:id="rId6079" display="https://pld.live/RapDetail.aspx?STONELIST=926470459&amp;ISCONFIRM=0" xr:uid="{22CC5D57-D5F7-4E07-9F55-8AFC08E73FB7}"/>
    <hyperlink ref="C6085" r:id="rId6080" display="https://pld.live/RapDetail.aspx?STONELIST=919300006&amp;ISCONFIRM=0" xr:uid="{3845842C-E7C0-4F74-B873-EE309581F49A}"/>
    <hyperlink ref="C6086" r:id="rId6081" display="https://pld.live/RapDetail.aspx?STONELIST=919300009&amp;ISCONFIRM=0" xr:uid="{D4B5AD0E-A7D3-49CC-B774-15A5FAF4CF2E}"/>
    <hyperlink ref="C6087" r:id="rId6082" display="https://pld.live/RapDetail.aspx?STONELIST=926560412&amp;ISCONFIRM=0" xr:uid="{FD46E59E-6B99-4808-A0DA-89D776A1D616}"/>
    <hyperlink ref="C6088" r:id="rId6083" display="https://pld.live/RapDetail.aspx?STONELIST=941180069&amp;ISCONFIRM=0" xr:uid="{0C57773C-777C-4EFB-9217-39E768E52610}"/>
    <hyperlink ref="C6089" r:id="rId6084" display="https://pld.live/RapDetail.aspx?STONELIST=926470452&amp;ISCONFIRM=0" xr:uid="{B33B2FBE-7421-4375-8C6F-E33A6E5EAED2}"/>
    <hyperlink ref="C6090" r:id="rId6085" display="https://pld.live/RapDetail.aspx?STONELIST=926470448&amp;ISCONFIRM=0" xr:uid="{7B1849C1-155A-4A69-9D86-4C7E56A57690}"/>
    <hyperlink ref="C6091" r:id="rId6086" display="https://pld.live/RapDetail.aspx?STONELIST=926560418&amp;ISCONFIRM=0" xr:uid="{EB25B019-6C3A-4E0C-8644-833B1116B001}"/>
    <hyperlink ref="C6092" r:id="rId6087" display="https://pld.live/RapDetail.aspx?STONELIST=926410414&amp;ISCONFIRM=0" xr:uid="{CD53D81F-1EFC-451B-B5B8-97DACDAA5B96}"/>
    <hyperlink ref="C6093" r:id="rId6088" display="https://pld.live/RapDetail.aspx?STONELIST=926470412&amp;ISCONFIRM=0" xr:uid="{7A80C446-5FBC-48FC-9C40-41029CCD78F5}"/>
    <hyperlink ref="C6094" r:id="rId6089" display="https://pld.live/RapDetail.aspx?STONELIST=926470476&amp;ISCONFIRM=0" xr:uid="{B4AC2657-0D2C-45F6-BC97-026019AD05A4}"/>
    <hyperlink ref="C6095" r:id="rId6090" display="https://pld.live/RapDetail.aspx?STONELIST=926470436&amp;ISCONFIRM=0" xr:uid="{655C429A-0D5F-4DD1-826E-C4D2E87DCD94}"/>
    <hyperlink ref="C6096" r:id="rId6091" display="https://pld.live/RapDetail.aspx?STONELIST=926420453&amp;ISCONFIRM=0" xr:uid="{A9E6D7B8-E60C-4569-B1F7-C4F818A81453}"/>
    <hyperlink ref="C6097" r:id="rId6092" display="https://pld.live/RapDetail.aspx?STONELIST=926470451&amp;ISCONFIRM=0" xr:uid="{4425A6CF-2BD0-425D-B6D6-627B25AAE501}"/>
    <hyperlink ref="C6098" r:id="rId6093" display="https://pld.live/RapDetail.aspx?STONELIST=926470450&amp;ISCONFIRM=0" xr:uid="{FE7DA5E8-B340-420B-87F7-571D9568F257}"/>
    <hyperlink ref="C6099" r:id="rId6094" display="https://pld.live/RapDetail.aspx?STONELIST=926420443&amp;ISCONFIRM=0" xr:uid="{AFE501C4-E364-49A5-BA4A-52393556F96F}"/>
    <hyperlink ref="C6100" r:id="rId6095" display="https://pld.live/RapDetail.aspx?STONELIST=926470440&amp;ISCONFIRM=0" xr:uid="{C2B38DB0-A054-46E6-9DA1-801FCCD483C6}"/>
    <hyperlink ref="C6101" r:id="rId6096" display="https://pld.live/RapDetail.aspx?STONELIST=926560394&amp;ISCONFIRM=0" xr:uid="{FEDCF5F3-8012-4EB7-9D96-5CC316DE7894}"/>
    <hyperlink ref="C6102" r:id="rId6097" display="https://pld.live/RapDetail.aspx?STONELIST=926470473&amp;ISCONFIRM=0" xr:uid="{999AF489-C8DD-4E1D-BBD7-4B8ACF274CEC}"/>
    <hyperlink ref="C6103" r:id="rId6098" display="https://pld.live/RapDetail.aspx?STONELIST=926470453&amp;ISCONFIRM=0" xr:uid="{6D779DDD-886A-4046-B508-1ED2E2E9ED60}"/>
    <hyperlink ref="C6104" r:id="rId6099" display="https://pld.live/RapDetail.aspx?STONELIST=926470419&amp;ISCONFIRM=0" xr:uid="{7CE20066-4AE7-4DAB-8033-B78A4E8DDB69}"/>
    <hyperlink ref="C6105" r:id="rId6100" display="https://pld.live/RapDetail.aspx?STONELIST=926420431&amp;ISCONFIRM=0" xr:uid="{1496B4E0-B0C0-4DC6-8432-E7FD7CB9E2EC}"/>
    <hyperlink ref="C6106" r:id="rId6101" display="https://pld.live/RapDetail.aspx?STONELIST=926590061&amp;ISCONFIRM=0" xr:uid="{8D47E3C7-BCF6-4955-987F-02E33608B5FF}"/>
    <hyperlink ref="C6107" r:id="rId6102" display="https://pld.live/RapDetail.aspx?STONELIST=926470458&amp;ISCONFIRM=0" xr:uid="{7BE7A63F-BFA1-42AC-85C5-2795EBB36BB2}"/>
    <hyperlink ref="C6108" r:id="rId6103" display="https://pld.live/RapDetail.aspx?STONELIST=941220282&amp;ISCONFIRM=0" xr:uid="{CB763DE2-8465-4A85-8EDF-F81025DC347F}"/>
    <hyperlink ref="C6109" r:id="rId6104" display="https://pld.live/RapDetail.aspx?STONELIST=941230229&amp;ISCONFIRM=0" xr:uid="{5332B278-3F6D-4588-804C-9754606A58E8}"/>
    <hyperlink ref="C6110" r:id="rId6105" display="https://pld.live/RapDetail.aspx?STONELIST=941230225&amp;ISCONFIRM=0" xr:uid="{5EE05F2D-6FE2-4B8F-A33E-2730DF83DEDD}"/>
    <hyperlink ref="C6111" r:id="rId6106" display="https://pld.live/RapDetail.aspx?STONELIST=926470421&amp;ISCONFIRM=0" xr:uid="{B922F2EB-D8C6-4816-8102-3CFBA428824F}"/>
    <hyperlink ref="C6112" r:id="rId6107" display="https://pld.live/RapDetail.aspx?STONELIST=926590062&amp;ISCONFIRM=0" xr:uid="{3A5011B9-EA8B-41A8-8BB6-694BFD96876A}"/>
    <hyperlink ref="C6113" r:id="rId6108" display="https://pld.live/RapDetail.aspx?STONELIST=926470466&amp;ISCONFIRM=0" xr:uid="{A87E701E-FEA5-4129-B3F5-838726DD4A2C}"/>
    <hyperlink ref="C6114" r:id="rId6109" display="https://pld.live/RapDetail.aspx?STONELIST=926360294&amp;ISCONFIRM=0" xr:uid="{EC6E69D4-0E5B-467B-B288-850D2252F3F9}"/>
    <hyperlink ref="C6115" r:id="rId6110" display="https://pld.live/RapDetail.aspx?STONELIST=926060013&amp;ISCONFIRM=0" xr:uid="{AB20E1AE-B7FB-4838-A9E2-6D1CB1F2DD9A}"/>
    <hyperlink ref="C6116" r:id="rId6111" display="https://pld.live/RapDetail.aspx?STONELIST=925410049&amp;ISCONFIRM=0" xr:uid="{3269A77F-D1C0-4533-831A-99DA5B1C6773}"/>
    <hyperlink ref="C6117" r:id="rId6112" display="https://pld.live/RapDetail.aspx?STONELIST=831020218&amp;ISCONFIRM=0" xr:uid="{53877119-F5D8-40E2-825E-4BA6D27C724B}"/>
    <hyperlink ref="C6118" r:id="rId6113" display="https://pld.live/RapDetail.aspx?STONELIST=831020593&amp;ISCONFIRM=0" xr:uid="{68FE6001-9333-458E-9F36-569DA97C7656}"/>
    <hyperlink ref="C6119" r:id="rId6114" display="https://pld.live/RapDetail.aspx?STONELIST=926000050&amp;ISCONFIRM=0" xr:uid="{F33BC99B-A32B-4C5C-909B-33E4C746C2A4}"/>
    <hyperlink ref="C6120" r:id="rId6115" display="https://pld.live/RapDetail.aspx?STONELIST=925680200&amp;ISCONFIRM=0" xr:uid="{0F12D709-367A-4AF6-BF3E-F765469796CE}"/>
    <hyperlink ref="C6121" r:id="rId6116" display="https://pld.live/RapDetail.aspx?STONELIST=925320057&amp;ISCONFIRM=0" xr:uid="{FF03FC71-B70F-43E8-AE62-A1BC8B17428D}"/>
    <hyperlink ref="C6122" r:id="rId6117" display="https://pld.live/RapDetail.aspx?STONELIST=926000060&amp;ISCONFIRM=0" xr:uid="{F9D8C8DF-34C9-44BA-BC48-AB2444354EC7}"/>
    <hyperlink ref="C6123" r:id="rId6118" display="https://pld.live/RapDetail.aspx?STONELIST=926010080&amp;ISCONFIRM=0" xr:uid="{EB21888A-8A17-484B-A5FE-56B06F8119B5}"/>
    <hyperlink ref="C6124" r:id="rId6119" display="https://pld.live/RapDetail.aspx?STONELIST=925710206&amp;ISCONFIRM=0" xr:uid="{77F202A4-78B4-4774-A7F4-39E82B7D2F9E}"/>
    <hyperlink ref="C6125" r:id="rId6120" display="https://pld.live/RapDetail.aspx?STONELIST=925660149&amp;ISCONFIRM=0" xr:uid="{3E33548F-867E-4D74-B895-8628E89EF5C3}"/>
    <hyperlink ref="C6126" r:id="rId6121" display="https://pld.live/RapDetail.aspx?STONELIST=925690218&amp;ISCONFIRM=0" xr:uid="{7DF49588-9C00-42DB-A1AF-41885E79E83E}"/>
    <hyperlink ref="C6127" r:id="rId6122" display="https://pld.live/RapDetail.aspx?STONELIST=925930280&amp;ISCONFIRM=0" xr:uid="{B9841DC5-15EB-45F3-8E3A-3CDAF74D71BF}"/>
    <hyperlink ref="C6128" r:id="rId6123" display="https://pld.live/RapDetail.aspx?STONELIST=925660164&amp;ISCONFIRM=0" xr:uid="{8D304E4D-EB3B-4641-A419-6C41C70C7CB9}"/>
    <hyperlink ref="C6129" r:id="rId6124" display="https://pld.live/RapDetail.aspx?STONELIST=925340020&amp;ISCONFIRM=0" xr:uid="{3DACDA63-890D-4431-9425-AB7A7FF54596}"/>
    <hyperlink ref="C6130" r:id="rId6125" display="https://pld.live/RapDetail.aspx?STONELIST=926010275&amp;ISCONFIRM=0" xr:uid="{BAE9EFE7-EEBB-464D-B2E4-2F4D024509F3}"/>
    <hyperlink ref="C6131" r:id="rId6126" display="https://pld.live/RapDetail.aspx?STONELIST=925710201&amp;ISCONFIRM=0" xr:uid="{B18FCE29-4C15-4701-96AD-8A8BEE470C55}"/>
    <hyperlink ref="C6132" r:id="rId6127" display="https://pld.live/RapDetail.aspx?STONELIST=925680152&amp;ISCONFIRM=0" xr:uid="{A053DD01-95A6-4F0E-865D-F87352E42781}"/>
    <hyperlink ref="C6133" r:id="rId6128" display="https://pld.live/RapDetail.aspx?STONELIST=925670206&amp;ISCONFIRM=0" xr:uid="{1108CF8F-E8B9-4B21-8461-FB1B4CF81DEC}"/>
    <hyperlink ref="C6134" r:id="rId6129" display="https://pld.live/RapDetail.aspx?STONELIST=924930075&amp;ISCONFIRM=0" xr:uid="{F3FBDFC0-9145-4D53-AA4B-C4A584CE6DB9}"/>
    <hyperlink ref="C6135" r:id="rId6130" display="https://pld.live/RapDetail.aspx?STONELIST=922560043&amp;ISCONFIRM=0" xr:uid="{41B800D3-DDE8-47E9-A2CE-898948376773}"/>
    <hyperlink ref="C6136" r:id="rId6131" display="https://pld.live/RapDetail.aspx?STONELIST=941230365&amp;ISCONFIRM=0" xr:uid="{747DDBC8-93F2-4FEC-B7AC-7A1ED7F1D2C9}"/>
    <hyperlink ref="C6137" r:id="rId6132" display="https://pld.live/RapDetail.aspx?STONELIST=941220301&amp;ISCONFIRM=0" xr:uid="{1B60B594-3416-4773-8ABF-E5D44EDCC282}"/>
    <hyperlink ref="C6138" r:id="rId6133" display="https://pld.live/RapDetail.aspx?STONELIST=925400050&amp;ISCONFIRM=0" xr:uid="{D5FCA57C-7323-4A7C-8CAA-76D67B77EB24}"/>
    <hyperlink ref="C6139" r:id="rId6134" display="https://pld.live/RapDetail.aspx?STONELIST=926150079&amp;ISCONFIRM=0" xr:uid="{8DADFC4A-5DA6-4A0E-9275-933C7F91A19D}"/>
    <hyperlink ref="C6140" r:id="rId6135" display="https://pld.live/RapDetail.aspx?STONELIST=924190741&amp;ISCONFIRM=0" xr:uid="{216137F3-966D-4CE7-A8A3-B2D666861649}"/>
    <hyperlink ref="C6141" r:id="rId6136" display="https://pld.live/RapDetail.aspx?STONELIST=926010296&amp;ISCONFIRM=0" xr:uid="{02C61049-88B4-475D-B6E8-A689FA4339A3}"/>
    <hyperlink ref="C6142" r:id="rId6137" display="https://pld.live/RapDetail.aspx?STONELIST=924380176&amp;ISCONFIRM=0" xr:uid="{7963FA9B-76CA-45E8-B85C-4954A11867AB}"/>
    <hyperlink ref="C6143" r:id="rId6138" display="https://pld.live/RapDetail.aspx?STONELIST=924890042&amp;ISCONFIRM=0" xr:uid="{DE49C85E-C0FE-4314-9238-79CC365BC20F}"/>
    <hyperlink ref="C6144" r:id="rId6139" display="https://pld.live/RapDetail.aspx?STONELIST=924930251&amp;ISCONFIRM=0" xr:uid="{CF8BC144-1382-49A1-A263-151B32DE08E7}"/>
    <hyperlink ref="C6145" r:id="rId6140" display="https://pld.live/RapDetail.aspx?STONELIST=926450416&amp;ISCONFIRM=0" xr:uid="{D2230B3A-4F11-4450-B6C5-9F4925908AC6}"/>
    <hyperlink ref="C6146" r:id="rId6141" display="https://pld.live/RapDetail.aspx?STONELIST=926360397&amp;ISCONFIRM=0" xr:uid="{39393731-0786-4190-BA6E-8230D4043387}"/>
    <hyperlink ref="C6147" r:id="rId6142" display="https://pld.live/RapDetail.aspx?STONELIST=925670187&amp;ISCONFIRM=0" xr:uid="{B45D3848-75E2-4A35-A627-D356EEEAE59A}"/>
    <hyperlink ref="C6148" r:id="rId6143" display="https://pld.live/RapDetail.aspx?STONELIST=831020641&amp;ISCONFIRM=0" xr:uid="{58C04ACB-17DE-41AA-9473-E9DAFDF7BD6B}"/>
    <hyperlink ref="C6149" r:id="rId6144" display="https://pld.live/RapDetail.aspx?STONELIST=925670197&amp;ISCONFIRM=0" xr:uid="{646D7620-3C08-4CC0-AB15-136DA5718D3E}"/>
    <hyperlink ref="C6150" r:id="rId6145" display="https://pld.live/RapDetail.aspx?STONELIST=924930201&amp;ISCONFIRM=0" xr:uid="{54A364FC-396C-4AD5-BDEB-19C95FE60866}"/>
    <hyperlink ref="C6151" r:id="rId6146" display="https://pld.live/RapDetail.aspx?STONELIST=831020122&amp;ISCONFIRM=0" xr:uid="{9A07A71A-7A15-4631-8F96-51BB9AB34DC2}"/>
    <hyperlink ref="C6152" r:id="rId6147" display="https://pld.live/RapDetail.aspx?STONELIST=925570105&amp;ISCONFIRM=0" xr:uid="{774F6935-BE4F-4FAE-A348-86ECE5A0A6CC}"/>
    <hyperlink ref="C6153" r:id="rId6148" display="https://pld.live/RapDetail.aspx?STONELIST=925670135&amp;ISCONFIRM=0" xr:uid="{A35FB358-BB4A-4FFA-BBFB-CC0C9996DA29}"/>
    <hyperlink ref="C6154" r:id="rId6149" display="https://pld.live/RapDetail.aspx?STONELIST=926130065&amp;ISCONFIRM=0" xr:uid="{2E334340-B626-4B1C-854E-9CAFD18D434C}"/>
    <hyperlink ref="C6155" r:id="rId6150" display="https://pld.live/RapDetail.aspx?STONELIST=926360038&amp;ISCONFIRM=0" xr:uid="{EEEC6A07-BDE6-4129-B052-907490CA906E}"/>
    <hyperlink ref="C6156" r:id="rId6151" display="https://pld.live/RapDetail.aspx?STONELIST=831020414&amp;ISCONFIRM=0" xr:uid="{9B49FBF8-9178-48F4-A262-398B1BE668E5}"/>
    <hyperlink ref="C6157" r:id="rId6152" display="https://pld.live/RapDetail.aspx?STONELIST=926360051&amp;ISCONFIRM=0" xr:uid="{5602EBEA-015D-4608-8EE5-1C45783A3F52}"/>
    <hyperlink ref="C6158" r:id="rId6153" display="https://pld.live/RapDetail.aspx?STONELIST=926450391&amp;ISCONFIRM=0" xr:uid="{12C855BD-1775-4344-9F97-B99EDE6FEE10}"/>
    <hyperlink ref="C6159" r:id="rId6154" display="https://pld.live/RapDetail.aspx?STONELIST=922420058&amp;ISCONFIRM=0" xr:uid="{EFF3755C-595E-4EEC-A1D3-710CC457B696}"/>
    <hyperlink ref="C6160" r:id="rId6155" display="https://pld.live/RapDetail.aspx?STONELIST=925670207&amp;ISCONFIRM=0" xr:uid="{47B408B9-DF6A-4840-B2B5-8A425BA7DB26}"/>
    <hyperlink ref="C6161" r:id="rId6156" display="https://pld.live/RapDetail.aspx?STONELIST=925690217&amp;ISCONFIRM=0" xr:uid="{6261FF25-F031-47CA-80DD-EB4298DE4CB5}"/>
    <hyperlink ref="C6162" r:id="rId6157" display="https://pld.live/RapDetail.aspx?STONELIST=941220076&amp;ISCONFIRM=0" xr:uid="{B3C2CE21-894C-4C14-AF7C-BCF6CC71EEA1}"/>
    <hyperlink ref="C6163" r:id="rId6158" display="https://pld.live/RapDetail.aspx?STONELIST=926450532&amp;ISCONFIRM=0" xr:uid="{04D656EF-B224-4AC1-BF01-1E7F6F50771E}"/>
    <hyperlink ref="C6164" r:id="rId6159" display="https://pld.live/RapDetail.aspx?STONELIST=924380509&amp;ISCONFIRM=0" xr:uid="{70783556-6F43-45A1-BBE6-8E3D61155882}"/>
    <hyperlink ref="C6165" r:id="rId6160" display="https://pld.live/RapDetail.aspx?STONELIST=924380474&amp;ISCONFIRM=0" xr:uid="{FCCCE6E1-1797-4CA4-8E30-D8B306957C6B}"/>
    <hyperlink ref="C6166" r:id="rId6161" display="https://pld.live/RapDetail.aspx?STONELIST=941220231&amp;ISCONFIRM=0" xr:uid="{0EAB7F90-C93B-4F72-9BAF-4DC3281867A7}"/>
    <hyperlink ref="C6167" r:id="rId6162" display="https://pld.live/RapDetail.aspx?STONELIST=941220321&amp;ISCONFIRM=0" xr:uid="{48790337-D363-47DD-856C-68D4501224D6}"/>
    <hyperlink ref="C6168" r:id="rId6163" display="https://pld.live/RapDetail.aspx?STONELIST=941230273&amp;ISCONFIRM=0" xr:uid="{43823EB5-6363-4D74-9BA7-B32AC87EA19E}"/>
    <hyperlink ref="C6169" r:id="rId6164" display="https://pld.live/RapDetail.aspx?STONELIST=941220270&amp;ISCONFIRM=0" xr:uid="{D51BB49D-D4CC-49ED-B520-36A2421C7BC5}"/>
    <hyperlink ref="C6170" r:id="rId6165" display="https://pld.live/RapDetail.aspx?STONELIST=941180101&amp;ISCONFIRM=0" xr:uid="{064FF803-1DE5-42A2-8615-99D53AE98EF7}"/>
    <hyperlink ref="C6171" r:id="rId6166" display="https://pld.live/RapDetail.aspx?STONELIST=941220207&amp;ISCONFIRM=0" xr:uid="{362F565A-6F5E-455F-B321-727AF0B95600}"/>
    <hyperlink ref="C6172" r:id="rId6167" display="https://pld.live/RapDetail.aspx?STONELIST=941090683&amp;ISCONFIRM=0" xr:uid="{360B86F0-01DF-4E0A-9859-0E7E136EF0AE}"/>
    <hyperlink ref="C6173" r:id="rId6168" display="https://pld.live/RapDetail.aspx?STONELIST=941180095&amp;ISCONFIRM=0" xr:uid="{B42BF6C7-5B17-4785-98FA-48582DB51E88}"/>
    <hyperlink ref="C6174" r:id="rId6169" display="https://pld.live/RapDetail.aspx?STONELIST=941180054&amp;ISCONFIRM=0" xr:uid="{B51A3586-69DF-4E87-AC33-5564F172C4D3}"/>
    <hyperlink ref="C6175" r:id="rId6170" display="https://pld.live/RapDetail.aspx?STONELIST=941180076&amp;ISCONFIRM=0" xr:uid="{D5B93542-3131-413B-8B79-A95B2E29FD63}"/>
    <hyperlink ref="C6176" r:id="rId6171" display="https://pld.live/RapDetail.aspx?STONELIST=924250737&amp;ISCONFIRM=0" xr:uid="{A02C0F8C-9724-43ED-A57D-1D096FCEA19D}"/>
    <hyperlink ref="C6177" r:id="rId6172" display="https://pld.live/RapDetail.aspx?STONELIST=924250701&amp;ISCONFIRM=0" xr:uid="{50D8B933-4D29-430B-8E76-BEBF8ED1C1B8}"/>
    <hyperlink ref="C6178" r:id="rId6173" display="https://pld.live/RapDetail.aspx?STONELIST=926850154&amp;ISCONFIRM=0" xr:uid="{1E31DE00-37B1-40A9-8065-6755D0722C09}"/>
    <hyperlink ref="C6179" r:id="rId6174" display="https://pld.live/RapDetail.aspx?STONELIST=924350400&amp;ISCONFIRM=0" xr:uid="{3FFC90B0-A193-4580-9C43-0C6B357AFB8D}"/>
    <hyperlink ref="C6180" r:id="rId6175" display="https://pld.live/RapDetail.aspx?STONELIST=924950425&amp;ISCONFIRM=0" xr:uid="{55BCF492-6195-46B7-A6EC-43EB90A027E5}"/>
    <hyperlink ref="C6181" r:id="rId6176" display="https://pld.live/RapDetail.aspx?STONELIST=941200273&amp;ISCONFIRM=0" xr:uid="{BCB8A20E-AD1F-40B2-AD98-388C048891A4}"/>
    <hyperlink ref="C6182" r:id="rId6177" display="https://pld.live/RapDetail.aspx?STONELIST=925700121&amp;ISCONFIRM=0" xr:uid="{B02679F2-ED24-4B00-BC8E-FBD66DA138FC}"/>
    <hyperlink ref="C6183" r:id="rId6178" display="https://pld.live/RapDetail.aspx?STONELIST=924250673&amp;ISCONFIRM=0" xr:uid="{43CA7CA2-FA80-478B-9C45-1A9660166C62}"/>
    <hyperlink ref="C6184" r:id="rId6179" display="https://pld.live/RapDetail.aspx?STONELIST=925650066&amp;ISCONFIRM=0" xr:uid="{C1CFAAD3-3E42-413F-85B6-61D49D95835F}"/>
    <hyperlink ref="C6185" r:id="rId6180" display="https://pld.live/RapDetail.aspx?STONELIST=941120019&amp;ISCONFIRM=0" xr:uid="{09C13B91-352F-49A1-A2EF-8A546D4AE274}"/>
    <hyperlink ref="C6186" r:id="rId6181" display="https://pld.live/RapDetail.aspx?STONELIST=941230371&amp;ISCONFIRM=0" xr:uid="{E98BF801-4E26-4D8A-B2EF-A7333D16AFF3}"/>
    <hyperlink ref="C6187" r:id="rId6182" display="https://pld.live/RapDetail.aspx?STONELIST=941100647&amp;ISCONFIRM=0" xr:uid="{A1215482-56CD-4107-B50C-ED5C49F33132}"/>
    <hyperlink ref="C6188" r:id="rId6183" display="https://pld.live/RapDetail.aspx?STONELIST=821113397&amp;ISCONFIRM=0" xr:uid="{186CD910-FBCF-4276-AD0C-E6EBDFD9B7F9}"/>
    <hyperlink ref="C6189" r:id="rId6184" display="https://pld.live/RapDetail.aspx?STONELIST=821113441&amp;ISCONFIRM=0" xr:uid="{FDEF78DB-512A-45A4-BE1E-D092FDD2A224}"/>
    <hyperlink ref="C6190" r:id="rId6185" display="https://pld.live/RapDetail.aspx?STONELIST=927020708&amp;ISCONFIRM=0" xr:uid="{D8753856-23D3-49B2-88B5-4D15A227D9ED}"/>
    <hyperlink ref="C6191" r:id="rId6186" display="https://pld.live/RapDetail.aspx?STONELIST=927020666&amp;ISCONFIRM=0" xr:uid="{91E5B239-55F4-435E-8FBF-852DB822AFF6}"/>
    <hyperlink ref="C6192" r:id="rId6187" display="https://pld.live/RapDetail.aspx?STONELIST=925570092&amp;ISCONFIRM=0" xr:uid="{68D04F74-F44B-4824-A132-A1145655EB00}"/>
    <hyperlink ref="C6193" r:id="rId6188" display="https://pld.live/RapDetail.aspx?STONELIST=941060553&amp;ISCONFIRM=0" xr:uid="{6B258B97-EDD7-41F4-82D5-0EE5D732FA22}"/>
    <hyperlink ref="C6194" r:id="rId6189" display="https://pld.live/RapDetail.aspx?STONELIST=927020698&amp;ISCONFIRM=0" xr:uid="{B65B5D04-EB0C-4B5B-8150-514C2C118518}"/>
    <hyperlink ref="C6195" r:id="rId6190" display="https://pld.live/RapDetail.aspx?STONELIST=927080766&amp;ISCONFIRM=0" xr:uid="{54A5FEBC-44AC-4E3E-950D-D8DEB1B42371}"/>
    <hyperlink ref="C6196" r:id="rId6191" display="https://pld.live/RapDetail.aspx?STONELIST=926450596&amp;ISCONFIRM=0" xr:uid="{E3DA2F33-3166-4635-A803-945328A435D2}"/>
    <hyperlink ref="C6197" r:id="rId6192" display="https://pld.live/RapDetail.aspx?STONELIST=927070910&amp;ISCONFIRM=0" xr:uid="{B03DAEE6-A4EE-492D-9C1E-1DA07EB9DEC6}"/>
    <hyperlink ref="C6198" r:id="rId6193" display="https://pld.live/RapDetail.aspx?STONELIST=927070893&amp;ISCONFIRM=0" xr:uid="{352953E6-8953-4975-A042-CD6B693B0CA2}"/>
    <hyperlink ref="C6199" r:id="rId6194" display="https://pld.live/RapDetail.aspx?STONELIST=821114735&amp;ISCONFIRM=0" xr:uid="{9AC44C1A-B842-4C09-9EF7-32E0DBEEFFCF}"/>
    <hyperlink ref="C6200" r:id="rId6195" display="https://pld.live/RapDetail.aspx?STONELIST=926030176&amp;ISCONFIRM=0" xr:uid="{589E357C-7B81-4997-BBD8-D86A9098D7EB}"/>
    <hyperlink ref="C6201" r:id="rId6196" display="https://pld.live/RapDetail.aspx?STONELIST=925560099&amp;ISCONFIRM=0" xr:uid="{B39E2B0B-23BE-4819-AD3D-D0154A2E71ED}"/>
    <hyperlink ref="C6202" r:id="rId6197" display="https://pld.live/RapDetail.aspx?STONELIST=926010170&amp;ISCONFIRM=0" xr:uid="{B0B3D893-88E1-4530-AD15-5B24134E4E70}"/>
    <hyperlink ref="C6203" r:id="rId6198" display="https://pld.live/RapDetail.aspx?STONELIST=831020540&amp;ISCONFIRM=0" xr:uid="{470BC760-D7A6-47FE-A1A4-9913E8879C18}"/>
    <hyperlink ref="C6204" r:id="rId6199" display="https://pld.live/RapDetail.aspx?STONELIST=923260235&amp;ISCONFIRM=0" xr:uid="{1FD6CF11-4A08-42DB-B0DF-6FC8AD8D12F0}"/>
    <hyperlink ref="C6205" r:id="rId6200" display="https://pld.live/RapDetail.aspx?STONELIST=925060367&amp;ISCONFIRM=0" xr:uid="{E541B7A9-7678-4E66-9F53-408D3071AE91}"/>
    <hyperlink ref="C6206" r:id="rId6201" display="https://pld.live/RapDetail.aspx?STONELIST=831020260&amp;ISCONFIRM=0" xr:uid="{6529F464-0495-436B-8ABE-995A4E6B7958}"/>
    <hyperlink ref="C6207" r:id="rId6202" display="https://pld.live/RapDetail.aspx?STONELIST=926410425&amp;ISCONFIRM=0" xr:uid="{98291B26-B680-4A28-B573-88977CC6F18F}"/>
    <hyperlink ref="C6208" r:id="rId6203" display="https://pld.live/RapDetail.aspx?STONELIST=925570099&amp;ISCONFIRM=0" xr:uid="{E7BBAA28-1DB9-41B7-9BB3-2972927BD98A}"/>
    <hyperlink ref="C6209" r:id="rId6204" display="https://pld.live/RapDetail.aspx?STONELIST=831020524&amp;ISCONFIRM=0" xr:uid="{A4B91FEA-40D5-4DA5-890F-95C105F61856}"/>
    <hyperlink ref="C6210" r:id="rId6205" display="https://pld.live/RapDetail.aspx?STONELIST=821115760&amp;ISCONFIRM=0" xr:uid="{E3D3C6F5-D5DD-42C1-941F-A7FEE9FA4EC5}"/>
    <hyperlink ref="C6211" r:id="rId6206" display="https://pld.live/RapDetail.aspx?STONELIST=831020530&amp;ISCONFIRM=0" xr:uid="{94AA7DE6-715C-4B74-BC32-52E2FF75BBE5}"/>
    <hyperlink ref="C6212" r:id="rId6207" display="https://pld.live/RapDetail.aspx?STONELIST=831020520&amp;ISCONFIRM=0" xr:uid="{D0FA5898-9837-4B16-992A-6154EB854DF1}"/>
    <hyperlink ref="C6213" r:id="rId6208" display="https://pld.live/RapDetail.aspx?STONELIST=925690220&amp;ISCONFIRM=0" xr:uid="{3B5EAC4B-64A6-4C94-AC61-68956B87F370}"/>
    <hyperlink ref="C6214" r:id="rId6209" display="https://pld.live/RapDetail.aspx?STONELIST=925060049&amp;ISCONFIRM=0" xr:uid="{7B348BEC-E3C0-4082-9A30-FDAE248CD46B}"/>
    <hyperlink ref="C6215" r:id="rId6210" display="https://pld.live/RapDetail.aspx?STONELIST=924950113&amp;ISCONFIRM=0" xr:uid="{39FD3C94-883B-462F-BDE8-324BAA5B9E14}"/>
    <hyperlink ref="C6216" r:id="rId6211" display="https://pld.live/RapDetail.aspx?STONELIST=831020529&amp;ISCONFIRM=0" xr:uid="{B706F455-F56C-43B3-82ED-8EE76A5EC722}"/>
    <hyperlink ref="C6217" r:id="rId6212" display="https://pld.live/RapDetail.aspx?STONELIST=925700227&amp;ISCONFIRM=0" xr:uid="{B3397833-06D8-4460-9F71-64B30BCA0DC1}"/>
    <hyperlink ref="C6218" r:id="rId6213" display="https://pld.live/RapDetail.aspx?STONELIST=925680169&amp;ISCONFIRM=0" xr:uid="{2C7B78FF-16DD-4766-AD19-C8341331B539}"/>
    <hyperlink ref="C6219" r:id="rId6214" display="https://pld.live/RapDetail.aspx?STONELIST=926010234&amp;ISCONFIRM=0" xr:uid="{E91F7B3F-C714-4DEF-9F39-1FD598D1367E}"/>
    <hyperlink ref="C6220" r:id="rId6215" display="https://pld.live/RapDetail.aspx?STONELIST=925610349&amp;ISCONFIRM=0" xr:uid="{87C5FDFD-832F-4445-BA16-8C12F44512CE}"/>
    <hyperlink ref="C6221" r:id="rId6216" display="https://pld.live/RapDetail.aspx?STONELIST=923230145&amp;ISCONFIRM=0" xr:uid="{44451660-6D87-4508-901C-0E6013F52923}"/>
    <hyperlink ref="C6222" r:id="rId6217" display="https://pld.live/RapDetail.aspx?STONELIST=925700181&amp;ISCONFIRM=0" xr:uid="{53DC8F52-609E-4E14-8B25-3CA1B8050CB6}"/>
    <hyperlink ref="C6223" r:id="rId6218" display="https://pld.live/RapDetail.aspx?STONELIST=941120568&amp;ISCONFIRM=0" xr:uid="{7101CAD5-A977-40E8-9F5D-F3425793BCC7}"/>
    <hyperlink ref="C6224" r:id="rId6219" display="https://pld.live/RapDetail.aspx?STONELIST=941230166&amp;ISCONFIRM=0" xr:uid="{EB953774-751E-4B29-85EA-FBD6D43AADF4}"/>
    <hyperlink ref="C6225" r:id="rId6220" display="https://pld.live/RapDetail.aspx?STONELIST=926860072&amp;ISCONFIRM=0" xr:uid="{08B59249-9979-47A8-8E64-B1B60C2176A6}"/>
    <hyperlink ref="C6226" r:id="rId6221" display="https://pld.live/RapDetail.aspx?STONELIST=926410343&amp;ISCONFIRM=0" xr:uid="{8F155172-1D98-4CF7-B97B-30363F8C1FDF}"/>
    <hyperlink ref="C6227" r:id="rId6222" display="https://pld.live/RapDetail.aspx?STONELIST=941220094&amp;ISCONFIRM=0" xr:uid="{53DCC9EE-2F7B-407D-BE5D-746B9EDAA170}"/>
    <hyperlink ref="C6228" r:id="rId6223" display="https://pld.live/RapDetail.aspx?STONELIST=941120583&amp;ISCONFIRM=0" xr:uid="{A039D96D-493F-4D63-B256-10794D6FA16E}"/>
    <hyperlink ref="C6229" r:id="rId6224" display="https://pld.live/RapDetail.aspx?STONELIST=941110528&amp;ISCONFIRM=0" xr:uid="{10C37386-1EBA-437F-A3ED-E987FE5EF9BA}"/>
    <hyperlink ref="C6230" r:id="rId6225" display="https://pld.live/RapDetail.aspx?STONELIST=941110531&amp;ISCONFIRM=0" xr:uid="{60BCED3B-4256-42DC-8BFD-F7B1DF59F5D4}"/>
    <hyperlink ref="C6231" r:id="rId6226" display="https://pld.live/RapDetail.aspx?STONELIST=941100677&amp;ISCONFIRM=0" xr:uid="{B52067B2-AFDB-47A1-942E-5165E956E0F7}"/>
    <hyperlink ref="C6232" r:id="rId6227" display="https://pld.live/RapDetail.aspx?STONELIST=941180081&amp;ISCONFIRM=0" xr:uid="{889B9606-3DB6-4D24-8946-5569289BBC75}"/>
    <hyperlink ref="C6233" r:id="rId6228" display="https://pld.live/RapDetail.aspx?STONELIST=941110550&amp;ISCONFIRM=0" xr:uid="{A962FE25-1783-46E6-B3D8-C93041A5F477}"/>
    <hyperlink ref="C6234" r:id="rId6229" display="https://pld.live/RapDetail.aspx?STONELIST=941060531&amp;ISCONFIRM=0" xr:uid="{0938F905-AFB1-464F-8023-2DBF0DCDB93A}"/>
    <hyperlink ref="C6235" r:id="rId6230" display="https://pld.live/RapDetail.aspx?STONELIST=927070932&amp;ISCONFIRM=0" xr:uid="{3869FD35-E35D-4F2C-B823-DCF8244BF0C5}"/>
    <hyperlink ref="C6236" r:id="rId6231" display="https://pld.live/RapDetail.aspx?STONELIST=941150077&amp;ISCONFIRM=0" xr:uid="{84270975-6B3D-493E-B6C3-F1FEDD1CAD98}"/>
    <hyperlink ref="C6237" r:id="rId6232" display="https://pld.live/RapDetail.aspx?STONELIST=941250060&amp;ISCONFIRM=0" xr:uid="{6AC7543A-0E6E-4D29-9C9F-A6D5791DCB97}"/>
    <hyperlink ref="C6238" r:id="rId6233" display="https://pld.live/RapDetail.aspx?STONELIST=941060539&amp;ISCONFIRM=0" xr:uid="{81046767-A714-40D7-9610-3ACBA8279690}"/>
    <hyperlink ref="C6239" r:id="rId6234" display="https://pld.live/RapDetail.aspx?STONELIST=941110511&amp;ISCONFIRM=0" xr:uid="{BFF593DC-8FAD-48BE-BFD9-1775C8B469CF}"/>
    <hyperlink ref="C6240" r:id="rId6235" display="https://pld.live/RapDetail.aspx?STONELIST=941100655&amp;ISCONFIRM=0" xr:uid="{CF80C021-3012-4803-B64F-A7B151F97C36}"/>
    <hyperlink ref="C6241" r:id="rId6236" display="https://pld.live/RapDetail.aspx?STONELIST=941150086&amp;ISCONFIRM=0" xr:uid="{1F1761A4-DD0C-4E93-BEC0-0635740197D5}"/>
    <hyperlink ref="C6242" r:id="rId6237" display="https://pld.live/RapDetail.aspx?STONELIST=941100582&amp;ISCONFIRM=0" xr:uid="{D89B642F-FC7A-41BD-8F06-034DB74707FF}"/>
    <hyperlink ref="C6243" r:id="rId6238" display="https://pld.live/RapDetail.aspx?STONELIST=941110569&amp;ISCONFIRM=0" xr:uid="{4618E023-2CE0-4054-B794-8D20B19B8A4D}"/>
    <hyperlink ref="C6244" r:id="rId6239" display="https://pld.live/RapDetail.aspx?STONELIST=941110566&amp;ISCONFIRM=0" xr:uid="{C64C434A-327E-48C8-9864-CABBAFF0EAF4}"/>
    <hyperlink ref="C6245" r:id="rId6240" display="https://pld.live/RapDetail.aspx?STONELIST=941110551&amp;ISCONFIRM=0" xr:uid="{DE40585C-AA1E-467A-8569-C466C1ED9B1C}"/>
    <hyperlink ref="C6246" r:id="rId6241" display="https://pld.live/RapDetail.aspx?STONELIST=925710156&amp;ISCONFIRM=0" xr:uid="{C20332B2-2AFA-4481-A9AD-BAFBAC4EB87E}"/>
    <hyperlink ref="C6247" r:id="rId6242" display="https://pld.live/RapDetail.aspx?STONELIST=941150101&amp;ISCONFIRM=0" xr:uid="{7B10DE4F-2F63-4072-A164-3E6157EF7A66}"/>
    <hyperlink ref="C6248" r:id="rId6243" display="https://pld.live/RapDetail.aspx?STONELIST=821133306&amp;ISCONFIRM=0" xr:uid="{493E0F37-0E0C-4405-A7C1-B7CBB0210F97}"/>
    <hyperlink ref="C6249" r:id="rId6244" display="https://pld.live/RapDetail.aspx?STONELIST=941100652&amp;ISCONFIRM=0" xr:uid="{447006E4-1D8C-4649-B385-AB8D49D34391}"/>
    <hyperlink ref="C6250" r:id="rId6245" display="https://pld.live/RapDetail.aspx?STONELIST=941060559&amp;ISCONFIRM=0" xr:uid="{5DACBE94-B7D8-46B3-9030-1AC4F9317544}"/>
    <hyperlink ref="C6251" r:id="rId6246" display="https://pld.live/RapDetail.aspx?STONELIST=941110524&amp;ISCONFIRM=0" xr:uid="{C447B78E-8638-4022-892D-D8A4327B0C5A}"/>
    <hyperlink ref="C6252" r:id="rId6247" display="https://pld.live/RapDetail.aspx?STONELIST=941090684&amp;ISCONFIRM=0" xr:uid="{6F985A47-F9DD-4945-A668-DE325A4CA16C}"/>
    <hyperlink ref="C6253" r:id="rId6248" display="https://pld.live/RapDetail.aspx?STONELIST=941150100&amp;ISCONFIRM=0" xr:uid="{C2029CBF-354D-4786-85EE-2221C2F351E9}"/>
    <hyperlink ref="C6254" r:id="rId6249" display="https://pld.live/RapDetail.aspx?STONELIST=941200220&amp;ISCONFIRM=0" xr:uid="{2C7D0C51-B346-49BA-8522-2A47FA0347DD}"/>
    <hyperlink ref="C6255" r:id="rId6250" display="https://pld.live/RapDetail.aspx?STONELIST=941110553&amp;ISCONFIRM=0" xr:uid="{090B86A6-6666-4965-89C9-86CE13DF5496}"/>
    <hyperlink ref="C6256" r:id="rId6251" display="https://pld.live/RapDetail.aspx?STONELIST=941100624&amp;ISCONFIRM=0" xr:uid="{88DB1D38-066E-4C82-823B-263F01275C73}"/>
    <hyperlink ref="C6257" r:id="rId6252" display="https://pld.live/RapDetail.aspx?STONELIST=821133307&amp;ISCONFIRM=0" xr:uid="{5CB154E2-EE22-4B63-9493-7E92183589E3}"/>
    <hyperlink ref="C6258" r:id="rId6253" display="https://pld.live/RapDetail.aspx?STONELIST=821133311&amp;ISCONFIRM=0" xr:uid="{8BC1B4A7-E4C5-4976-875F-FFFBE7319867}"/>
    <hyperlink ref="C6259" r:id="rId6254" display="https://pld.live/RapDetail.aspx?STONELIST=941110525&amp;ISCONFIRM=0" xr:uid="{26F83E1C-CC89-4439-B3B8-20BE000879DA}"/>
    <hyperlink ref="C6260" r:id="rId6255" display="https://pld.live/RapDetail.aspx?STONELIST=821133312&amp;ISCONFIRM=0" xr:uid="{C9AA6EF3-0C4D-4DEA-8233-9E8FE804ED17}"/>
    <hyperlink ref="C6261" r:id="rId6256" display="https://pld.live/RapDetail.aspx?STONELIST=941180079&amp;ISCONFIRM=0" xr:uid="{57C0FFD5-2BF6-442F-A283-E7DF377152B2}"/>
    <hyperlink ref="C6262" r:id="rId6257" display="https://pld.live/RapDetail.aspx?STONELIST=941110542&amp;ISCONFIRM=0" xr:uid="{ECCFE31E-4EEE-4C12-B246-ADB89B529518}"/>
    <hyperlink ref="C6263" r:id="rId6258" display="https://pld.live/RapDetail.aspx?STONELIST=821133303&amp;ISCONFIRM=0" xr:uid="{FE4B4B69-684B-4BE8-8CA6-C04BE0020DD7}"/>
    <hyperlink ref="C6264" r:id="rId6259" display="https://pld.live/RapDetail.aspx?STONELIST=941110541&amp;ISCONFIRM=0" xr:uid="{847A1DBB-A578-44FC-B5D0-CC78F7CB07CA}"/>
    <hyperlink ref="C6265" r:id="rId6260" display="https://pld.live/RapDetail.aspx?STONELIST=941110571&amp;ISCONFIRM=0" xr:uid="{7E4ECEA8-9D45-4B1E-A279-CA58080A2E68}"/>
    <hyperlink ref="C6266" r:id="rId6261" display="https://pld.live/RapDetail.aspx?STONELIST=941060562&amp;ISCONFIRM=0" xr:uid="{9EEDB76E-CBE3-4CB4-AC2F-57206678B62F}"/>
    <hyperlink ref="C6267" r:id="rId6262" display="https://pld.live/RapDetail.aspx?STONELIST=941080853&amp;ISCONFIRM=0" xr:uid="{C8EE93D0-5781-4067-A132-3DD97F6A1332}"/>
    <hyperlink ref="C6268" r:id="rId6263" display="https://pld.live/RapDetail.aspx?STONELIST=941120580&amp;ISCONFIRM=0" xr:uid="{581FD025-2306-48CB-8635-85BE7A75AE4C}"/>
    <hyperlink ref="C6269" r:id="rId6264" display="https://pld.live/RapDetail.aspx?STONELIST=941110563&amp;ISCONFIRM=0" xr:uid="{3AEC18A2-9084-476C-AC2C-4C0839A954A4}"/>
    <hyperlink ref="C6270" r:id="rId6265" display="https://pld.live/RapDetail.aspx?STONELIST=831020614&amp;ISCONFIRM=0" xr:uid="{28F43D55-497B-4BE9-B7C5-4FE25C56662B}"/>
    <hyperlink ref="C6271" r:id="rId6266" display="https://pld.live/RapDetail.aspx?STONELIST=821113343&amp;ISCONFIRM=0" xr:uid="{B7480883-94D7-4963-9662-AD5A2882D225}"/>
    <hyperlink ref="C6272" r:id="rId6267" display="https://pld.live/RapDetail.aspx?STONELIST=821113401&amp;ISCONFIRM=0" xr:uid="{F268BEA2-FB77-4135-ADD4-FABDA4465501}"/>
    <hyperlink ref="C6273" r:id="rId6268" display="https://pld.live/RapDetail.aspx?STONELIST=821113444&amp;ISCONFIRM=0" xr:uid="{C421E73A-FF21-4E58-97C3-33E061B55017}"/>
    <hyperlink ref="C6274" r:id="rId6269" display="https://pld.live/RapDetail.aspx?STONELIST=821113815&amp;ISCONFIRM=0" xr:uid="{6F6F4D44-FE73-4D26-A14B-E7C130C4190F}"/>
    <hyperlink ref="C6275" r:id="rId6270" display="https://pld.live/RapDetail.aspx?STONELIST=821113398&amp;ISCONFIRM=0" xr:uid="{4131CEED-77FE-4CE7-BC90-F2E5D89ED516}"/>
    <hyperlink ref="C6276" r:id="rId6271" display="https://pld.live/RapDetail.aspx?STONELIST=923310430&amp;ISCONFIRM=0" xr:uid="{7F6530F6-7756-4853-91B8-9EAB02A69C54}"/>
    <hyperlink ref="C6277" r:id="rId6272" display="https://pld.live/RapDetail.aspx?STONELIST=924950042&amp;ISCONFIRM=0" xr:uid="{FE5DBC71-EC7B-499D-8ECB-139DB900B880}"/>
    <hyperlink ref="C6278" r:id="rId6273" display="https://pld.live/RapDetail.aspx?STONELIST=831020648&amp;ISCONFIRM=0" xr:uid="{36EC0A5B-67B3-4ACB-8743-23C0986D1438}"/>
    <hyperlink ref="C6279" r:id="rId6274" display="https://pld.live/RapDetail.aspx?STONELIST=941090652&amp;ISCONFIRM=0" xr:uid="{3A1CF826-FF4A-4800-B312-BE5299AB54E1}"/>
    <hyperlink ref="C6280" r:id="rId6275" display="https://pld.live/RapDetail.aspx?STONELIST=927020673&amp;ISCONFIRM=0" xr:uid="{31EF78F2-FFB2-437C-AE6A-17AE076A3A1B}"/>
    <hyperlink ref="C6281" r:id="rId6276" display="https://pld.live/RapDetail.aspx?STONELIST=922990429&amp;ISCONFIRM=0" xr:uid="{B4F53FD1-C3DC-431A-891B-217EBEEFC552}"/>
    <hyperlink ref="C6282" r:id="rId6277" display="https://pld.live/RapDetail.aspx?STONELIST=925490001&amp;ISCONFIRM=0" xr:uid="{8766CEC1-EA7A-4D95-9F1B-235B0957AA6C}"/>
    <hyperlink ref="C6283" r:id="rId6278" display="https://pld.live/RapDetail.aspx?STONELIST=925560102&amp;ISCONFIRM=0" xr:uid="{78481357-5CF8-4E85-9C55-45FF4B0B5512}"/>
    <hyperlink ref="C6284" r:id="rId6279" display="https://pld.live/RapDetail.aspx?STONELIST=924510178&amp;ISCONFIRM=0" xr:uid="{1B027ED2-23FD-40ED-952F-761406DBDE8D}"/>
    <hyperlink ref="C6285" r:id="rId6280" display="https://pld.live/RapDetail.aspx?STONELIST=925490037&amp;ISCONFIRM=0" xr:uid="{6F8087EA-AE91-4EE0-B76F-4520E00F641C}"/>
    <hyperlink ref="C6286" r:id="rId6281" display="https://pld.live/RapDetail.aspx?STONELIST=927040794&amp;ISCONFIRM=0" xr:uid="{6290B8FE-789A-4EF4-BF39-DC74746895CD}"/>
    <hyperlink ref="C6287" r:id="rId6282" display="https://pld.live/RapDetail.aspx?STONELIST=925930089&amp;ISCONFIRM=0" xr:uid="{D2B84716-3FC1-409A-9D5F-EDA2CAE36AB1}"/>
    <hyperlink ref="C6288" r:id="rId6283" display="https://pld.live/RapDetail.aspx?STONELIST=926060011&amp;ISCONFIRM=0" xr:uid="{B640765E-D51E-49DA-9E7E-208CBA0FA86D}"/>
    <hyperlink ref="C6289" r:id="rId6284" display="https://pld.live/RapDetail.aspx?STONELIST=924940245&amp;ISCONFIRM=0" xr:uid="{C3181C24-4E90-4654-AD5F-0C091A88BEB7}"/>
    <hyperlink ref="C6290" r:id="rId6285" display="https://pld.live/RapDetail.aspx?STONELIST=941180024&amp;ISCONFIRM=0" xr:uid="{92755FE1-2415-4139-917D-B887B2D38D32}"/>
    <hyperlink ref="C6291" r:id="rId6286" display="https://pld.live/RapDetail.aspx?STONELIST=926000015&amp;ISCONFIRM=0" xr:uid="{EE0A1A7E-CDFC-4D5D-B450-5B42A9798FCE}"/>
    <hyperlink ref="C6292" r:id="rId6287" display="https://pld.live/RapDetail.aspx?STONELIST=925850924&amp;ISCONFIRM=0" xr:uid="{7FE6196D-14F4-4376-89DB-5827CCB5F5D7}"/>
    <hyperlink ref="C6293" r:id="rId6288" display="https://pld.live/RapDetail.aspx?STONELIST=925542700&amp;ISCONFIRM=0" xr:uid="{FA7A4EF3-48AD-4C0C-97CA-9FE0EB50AA59}"/>
    <hyperlink ref="C6294" r:id="rId6289" display="https://pld.live/RapDetail.aspx?STONELIST=925950949&amp;ISCONFIRM=0" xr:uid="{B811B5AE-16C5-49CC-8457-06DCCA4671B0}"/>
    <hyperlink ref="C6295" r:id="rId6290" display="https://pld.live/RapDetail.aspx?STONELIST=925510161&amp;ISCONFIRM=0" xr:uid="{387CAEE7-D4D7-471A-ABF5-3E03CFA13428}"/>
    <hyperlink ref="C6296" r:id="rId6291" display="https://pld.live/RapDetail.aspx?STONELIST=925771302&amp;ISCONFIRM=0" xr:uid="{161697F7-1FF2-43A7-8918-15A93546DCAA}"/>
    <hyperlink ref="C6297" r:id="rId6292" display="https://pld.live/RapDetail.aspx?STONELIST=941090653&amp;ISCONFIRM=0" xr:uid="{91F2F948-1EA8-4C40-919F-1570CF5C63F7}"/>
    <hyperlink ref="C6298" r:id="rId6293" display="https://pld.live/RapDetail.aspx?STONELIST=927040783&amp;ISCONFIRM=0" xr:uid="{C0F26C17-1893-4394-B799-68318B36FCA3}"/>
    <hyperlink ref="C6299" r:id="rId6294" display="https://pld.live/RapDetail.aspx?STONELIST=925100001&amp;ISCONFIRM=0" xr:uid="{9B48D868-0147-4909-8994-8CDA0717433B}"/>
    <hyperlink ref="C6300" r:id="rId6295" display="https://pld.live/RapDetail.aspx?STONELIST=941130229&amp;ISCONFIRM=0" xr:uid="{286D2085-3B73-408A-B24C-C596C1BCF2E1}"/>
    <hyperlink ref="C6301" r:id="rId6296" display="https://pld.live/RapDetail.aspx?STONELIST=924160494&amp;ISCONFIRM=0" xr:uid="{9100E1C6-A1AE-40F2-BEE7-D8477E0B1C4C}"/>
    <hyperlink ref="C6302" r:id="rId6297" display="https://pld.live/RapDetail.aspx?STONELIST=924720004&amp;ISCONFIRM=0" xr:uid="{4FE94952-DB64-46F0-AEAD-5181E358BB90}"/>
    <hyperlink ref="C6303" r:id="rId6298" display="https://pld.live/RapDetail.aspx?STONELIST=925370439&amp;ISCONFIRM=0" xr:uid="{EAF77096-4E15-493C-A781-205EA0C62419}"/>
    <hyperlink ref="C6304" r:id="rId6299" display="https://pld.live/RapDetail.aspx?STONELIST=925270472&amp;ISCONFIRM=0" xr:uid="{3906F0AE-922B-404D-BA38-E05C5BFE62DF}"/>
    <hyperlink ref="C6305" r:id="rId6300" display="https://pld.live/RapDetail.aspx?STONELIST=821121957&amp;ISCONFIRM=0" xr:uid="{1D3FF3EA-EC37-4E67-A645-038FB0700DE6}"/>
    <hyperlink ref="C6306" r:id="rId6301" display="https://pld.live/RapDetail.aspx?STONELIST=925710090&amp;ISCONFIRM=0" xr:uid="{D7EF6FFE-7892-4203-BCCF-AD06D4A06768}"/>
    <hyperlink ref="C6307" r:id="rId6302" display="https://pld.live/RapDetail.aspx?STONELIST=925771112&amp;ISCONFIRM=0" xr:uid="{67AAF8C1-5807-43DC-9CE1-D3284BA9BCE6}"/>
    <hyperlink ref="C6308" r:id="rId6303" display="https://pld.live/RapDetail.aspx?STONELIST=925490004&amp;ISCONFIRM=0" xr:uid="{93777567-E176-44A4-A508-A4CC20D34ABC}"/>
    <hyperlink ref="C6309" r:id="rId6304" display="https://pld.live/RapDetail.aspx?STONELIST=925630310&amp;ISCONFIRM=0" xr:uid="{4AD9339F-CFBC-4ED3-B098-465D8AFC8C9F}"/>
    <hyperlink ref="C6310" r:id="rId6305" display="https://pld.live/RapDetail.aspx?STONELIST=925732172&amp;ISCONFIRM=0" xr:uid="{6F47F4C7-3F7A-4CE8-AA3F-01AEFA4211E1}"/>
    <hyperlink ref="C6311" r:id="rId6306" display="https://pld.live/RapDetail.aspx?STONELIST=821126154&amp;ISCONFIRM=0" xr:uid="{8D4F64F8-3E38-4249-9FFE-BD2C1C5FC047}"/>
    <hyperlink ref="C6312" r:id="rId6307" display="https://pld.live/RapDetail.aspx?STONELIST=927140424&amp;ISCONFIRM=0" xr:uid="{8E73D8C3-0144-4306-9989-ED019851BB00}"/>
    <hyperlink ref="C6313" r:id="rId6308" display="https://pld.live/RapDetail.aspx?STONELIST=926170793&amp;ISCONFIRM=0" xr:uid="{B9BBC2D8-BF4F-4B95-845B-FBA1938F3F51}"/>
    <hyperlink ref="C6314" r:id="rId6309" display="https://pld.live/RapDetail.aspx?STONELIST=941060538&amp;ISCONFIRM=0" xr:uid="{26DEF42F-1B2F-4964-BC36-13E80BEFC687}"/>
    <hyperlink ref="C6315" r:id="rId6310" display="https://pld.live/RapDetail.aspx?STONELIST=924830129&amp;ISCONFIRM=0" xr:uid="{2FD39E9E-91C4-441D-BB5E-9C7C9F4A695C}"/>
    <hyperlink ref="C6316" r:id="rId6311" display="https://pld.live/RapDetail.aspx?STONELIST=821123506&amp;ISCONFIRM=0" xr:uid="{8A330BD9-9F1E-4C28-9147-9F5CEE7D484F}"/>
    <hyperlink ref="C6317" r:id="rId6312" display="https://pld.live/RapDetail.aspx?STONELIST=821123348&amp;ISCONFIRM=0" xr:uid="{0D8C2DB0-B931-47D1-A1FC-6A3EB35B62D1}"/>
    <hyperlink ref="C6318" r:id="rId6313" display="https://pld.live/RapDetail.aspx?STONELIST=831010826&amp;ISCONFIRM=0" xr:uid="{9A29A760-CC48-417C-BCCF-18403DFA962A}"/>
    <hyperlink ref="C6319" r:id="rId6314" display="https://pld.live/RapDetail.aspx?STONELIST=941120571&amp;ISCONFIRM=0" xr:uid="{67CA0E14-B370-45B2-895E-F874C0F93A9B}"/>
    <hyperlink ref="C6320" r:id="rId6315" display="https://pld.live/RapDetail.aspx?STONELIST=927040775&amp;ISCONFIRM=0" xr:uid="{DC079DF1-0D8F-42EC-99DA-D1E9DC9B7920}"/>
    <hyperlink ref="C6321" r:id="rId6316" display="https://pld.live/RapDetail.aspx?STONELIST=925360389&amp;ISCONFIRM=0" xr:uid="{7695ADB6-C414-4A8F-AFE9-51125E773CC1}"/>
    <hyperlink ref="C6322" r:id="rId6317" display="https://pld.live/RapDetail.aspx?STONELIST=927010107&amp;ISCONFIRM=0" xr:uid="{F2147349-90D2-4C21-9090-15EE224FAAE3}"/>
    <hyperlink ref="C6323" r:id="rId6318" display="https://pld.live/RapDetail.aspx?STONELIST=927010477&amp;ISCONFIRM=0" xr:uid="{86E9DBA2-5DE2-4A71-B5AF-FE08BE6F5485}"/>
    <hyperlink ref="C6324" r:id="rId6319" display="https://pld.live/RapDetail.aspx?STONELIST=927010722&amp;ISCONFIRM=0" xr:uid="{5693FC30-7D40-49D2-9D4A-596C0A6D8441}"/>
    <hyperlink ref="C6325" r:id="rId6320" display="https://pld.live/RapDetail.aspx?STONELIST=927010816&amp;ISCONFIRM=0" xr:uid="{E0F94651-E9F3-4437-AB2B-E7BE3C3453D1}"/>
    <hyperlink ref="C6326" r:id="rId6321" display="https://pld.live/RapDetail.aspx?STONELIST=925270464&amp;ISCONFIRM=0" xr:uid="{AE91C867-67F7-4AFE-BDD6-06C4E119D725}"/>
    <hyperlink ref="C6327" r:id="rId6322" display="https://pld.live/RapDetail.aspx?STONELIST=927040802&amp;ISCONFIRM=0" xr:uid="{73AD242D-461A-497E-860D-54D94414C9FB}"/>
    <hyperlink ref="C6328" r:id="rId6323" display="https://pld.live/RapDetail.aspx?STONELIST=927040791&amp;ISCONFIRM=0" xr:uid="{0DB514B4-49F3-483A-B37C-E774A675CE2B}"/>
    <hyperlink ref="C6329" r:id="rId6324" display="https://pld.live/RapDetail.aspx?STONELIST=927040798&amp;ISCONFIRM=0" xr:uid="{579A33DB-DF3D-4578-BB20-9135EFCE26FE}"/>
    <hyperlink ref="C6330" r:id="rId6325" display="https://pld.live/RapDetail.aspx?STONELIST=927040785&amp;ISCONFIRM=0" xr:uid="{869D0CF7-C8FB-4FAD-8DAD-EB0BFCFE5E09}"/>
    <hyperlink ref="C6331" r:id="rId6326" display="https://pld.live/RapDetail.aspx?STONELIST=927030801&amp;ISCONFIRM=0" xr:uid="{C02C2F82-73BA-4EDF-87B4-09FD03E0D46F}"/>
    <hyperlink ref="C6332" r:id="rId6327" display="https://pld.live/RapDetail.aspx?STONELIST=927140426&amp;ISCONFIRM=0" xr:uid="{D01D0F2C-982E-4120-8757-6E1EEDF4DE00}"/>
    <hyperlink ref="C6333" r:id="rId6328" display="https://pld.live/RapDetail.aspx?STONELIST=927020135&amp;ISCONFIRM=0" xr:uid="{A7BDA31A-F65F-44CB-B666-12A6B1282516}"/>
    <hyperlink ref="C6334" r:id="rId6329" display="https://pld.live/RapDetail.aspx?STONELIST=927010265&amp;ISCONFIRM=0" xr:uid="{5D67B772-9380-43A6-886E-C61DDDCA46C6}"/>
    <hyperlink ref="C6335" r:id="rId6330" display="https://pld.live/RapDetail.aspx?STONELIST=926990345&amp;ISCONFIRM=0" xr:uid="{6274C891-7E89-4D93-9EEE-AFB70E1BCB38}"/>
    <hyperlink ref="C6336" r:id="rId6331" display="https://pld.live/RapDetail.aspx?STONELIST=927040296&amp;ISCONFIRM=0" xr:uid="{18DC6F29-D626-46A4-8582-62E24CEC98F9}"/>
    <hyperlink ref="C6337" r:id="rId6332" display="https://pld.live/RapDetail.aspx?STONELIST=927020199&amp;ISCONFIRM=0" xr:uid="{8193CFFB-2EA4-4C10-9EA8-5B7935BA5583}"/>
    <hyperlink ref="C6338" r:id="rId6333" display="https://pld.live/RapDetail.aspx?STONELIST=927010444&amp;ISCONFIRM=0" xr:uid="{A5BE9C34-24FC-4C3C-8D5C-1503BF6861BA}"/>
    <hyperlink ref="C6339" r:id="rId6334" display="https://pld.live/RapDetail.aspx?STONELIST=927010764&amp;ISCONFIRM=0" xr:uid="{43978532-CD52-45A7-9E64-8D4C936EE465}"/>
    <hyperlink ref="C6340" r:id="rId6335" display="https://pld.live/RapDetail.aspx?STONELIST=925490022&amp;ISCONFIRM=0" xr:uid="{4BB577B4-78A7-4923-AFBC-D7DAF1342883}"/>
    <hyperlink ref="C6341" r:id="rId6336" display="https://pld.live/RapDetail.aspx?STONELIST=925710065&amp;ISCONFIRM=0" xr:uid="{6FE24630-A198-42F6-BB61-CB1335D2431D}"/>
    <hyperlink ref="C6342" r:id="rId6337" display="https://pld.live/RapDetail.aspx?STONELIST=926370016&amp;ISCONFIRM=0" xr:uid="{B731A7FD-AD98-4A4C-BCB7-DCB0459CF894}"/>
    <hyperlink ref="C6343" r:id="rId6338" display="https://pld.live/RapDetail.aspx?STONELIST=925270452&amp;ISCONFIRM=0" xr:uid="{E776E4EE-E1EA-49D2-A53E-2CDAFDEB8C47}"/>
    <hyperlink ref="C6344" r:id="rId6339" display="https://pld.live/RapDetail.aspx?STONELIST=925771223&amp;ISCONFIRM=0" xr:uid="{BB2D2A92-ADF2-4055-B431-4289048F96F4}"/>
    <hyperlink ref="C6345" r:id="rId6340" display="https://pld.live/RapDetail.aspx?STONELIST=926960786&amp;ISCONFIRM=0" xr:uid="{1ADF77ED-7D2F-4C3E-9F42-C7F7A647A628}"/>
    <hyperlink ref="C6346" r:id="rId6341" display="https://pld.live/RapDetail.aspx?STONELIST=831010609&amp;ISCONFIRM=0" xr:uid="{CD19C9D2-3E25-4849-9241-C4F06D3308EF}"/>
    <hyperlink ref="C6347" r:id="rId6342" display="https://pld.live/RapDetail.aspx?STONELIST=831010756&amp;ISCONFIRM=0" xr:uid="{4FD64F3B-6EA8-47AC-B9B0-139EEDAB2D5F}"/>
    <hyperlink ref="C6348" r:id="rId6343" display="https://pld.live/RapDetail.aspx?STONELIST=941330475&amp;ISCONFIRM=0" xr:uid="{ABB2FDB7-3905-4617-9F1F-625D185A1FBE}"/>
    <hyperlink ref="C6349" r:id="rId6344" display="https://pld.live/RapDetail.aspx?STONELIST=927040771&amp;ISCONFIRM=0" xr:uid="{2DE38919-2995-4E6D-A129-13290D677311}"/>
    <hyperlink ref="C6350" r:id="rId6345" display="https://pld.live/RapDetail.aspx?STONELIST=927040780&amp;ISCONFIRM=0" xr:uid="{FEBDA668-810B-4FAA-890E-8850FC2464A8}"/>
    <hyperlink ref="C6351" r:id="rId6346" display="https://pld.live/RapDetail.aspx?STONELIST=927030579&amp;ISCONFIRM=0" xr:uid="{E6E96F64-BC1B-455C-B9B9-2552C9DACF30}"/>
    <hyperlink ref="C6352" r:id="rId6347" display="https://pld.live/RapDetail.aspx?STONELIST=927010799&amp;ISCONFIRM=0" xr:uid="{35E2ACDF-77A7-46CC-8708-747E04BB25CE}"/>
    <hyperlink ref="C6353" r:id="rId6348" display="https://pld.live/RapDetail.aspx?STONELIST=926980644&amp;ISCONFIRM=0" xr:uid="{9B90A43A-6C10-4A40-93B2-D794AE986FE4}"/>
    <hyperlink ref="C6354" r:id="rId6349" display="https://pld.live/RapDetail.aspx?STONELIST=927040786&amp;ISCONFIRM=0" xr:uid="{7362072C-3A9A-4B9E-866C-33165221A4B7}"/>
    <hyperlink ref="C6355" r:id="rId6350" display="https://pld.live/RapDetail.aspx?STONELIST=927040797&amp;ISCONFIRM=0" xr:uid="{C68DB671-DBB7-481C-A91F-EC799D10239D}"/>
    <hyperlink ref="C6356" r:id="rId6351" display="https://pld.live/RapDetail.aspx?STONELIST=924610097&amp;ISCONFIRM=0" xr:uid="{4D9D2FD7-4CB9-4C96-8AA9-D191806999C9}"/>
    <hyperlink ref="C6357" r:id="rId6352" display="https://pld.live/RapDetail.aspx?STONELIST=926010229&amp;ISCONFIRM=0" xr:uid="{58D63F86-9D6C-44EF-9A4C-224FF7BEE599}"/>
    <hyperlink ref="C6358" r:id="rId6353" display="https://pld.live/RapDetail.aspx?STONELIST=925961012&amp;ISCONFIRM=0" xr:uid="{0A27B7A9-DFE7-4878-A68A-1E6DD7ABD52C}"/>
    <hyperlink ref="C6359" r:id="rId6354" display="https://pld.live/RapDetail.aspx?STONELIST=927020717&amp;ISCONFIRM=0" xr:uid="{DB784C5E-A2C7-4D3A-841B-A6055326F461}"/>
    <hyperlink ref="C6360" r:id="rId6355" display="https://pld.live/RapDetail.aspx?STONELIST=925270486&amp;ISCONFIRM=0" xr:uid="{E8D2A77B-9E8A-422A-A8E5-E25BFE5E1967}"/>
    <hyperlink ref="C6361" r:id="rId6356" display="https://pld.live/RapDetail.aspx?STONELIST=821121922&amp;ISCONFIRM=0" xr:uid="{9D708F62-A8F0-484C-A0A7-E3AA2F637F52}"/>
    <hyperlink ref="C6362" r:id="rId6357" display="https://pld.live/RapDetail.aspx?STONELIST=926990453&amp;ISCONFIRM=0" xr:uid="{D3808908-EBC6-4D41-958C-65C42AE300E4}"/>
    <hyperlink ref="C6363" r:id="rId6358" display="https://pld.live/RapDetail.aspx?STONELIST=927040784&amp;ISCONFIRM=0" xr:uid="{263AA58F-8754-4563-BC30-186767EA7381}"/>
    <hyperlink ref="C6364" r:id="rId6359" display="https://pld.live/RapDetail.aspx?STONELIST=926830885&amp;ISCONFIRM=0" xr:uid="{C1FC57C4-C066-414D-93D9-8E1287CE7583}"/>
    <hyperlink ref="C6365" r:id="rId6360" display="https://pld.live/RapDetail.aspx?STONELIST=927040781&amp;ISCONFIRM=0" xr:uid="{DA36537C-4770-4FAC-A063-6ACB0B11DEA5}"/>
    <hyperlink ref="C6366" r:id="rId6361" display="https://pld.live/RapDetail.aspx?STONELIST=927010366&amp;ISCONFIRM=0" xr:uid="{50C36FBD-B313-402C-9DE2-E6EA415633E8}"/>
    <hyperlink ref="C6367" r:id="rId6362" display="https://pld.live/RapDetail.aspx?STONELIST=927040793&amp;ISCONFIRM=0" xr:uid="{F17C1F96-4F69-49DE-80D0-139BBF52EA38}"/>
    <hyperlink ref="C6368" r:id="rId6363" display="https://pld.live/RapDetail.aspx?STONELIST=821126928&amp;ISCONFIRM=0" xr:uid="{35107D12-EE39-44EC-9A31-6AF8E6883854}"/>
    <hyperlink ref="C6369" r:id="rId6364" display="https://pld.live/RapDetail.aspx?STONELIST=821113115&amp;ISCONFIRM=0" xr:uid="{43FAD564-D860-4B3D-A022-935377370438}"/>
    <hyperlink ref="C6370" r:id="rId6365" display="https://pld.live/RapDetail.aspx?STONELIST=925670223&amp;ISCONFIRM=0" xr:uid="{F71E1231-4E50-4026-B60F-46F0589F727C}"/>
    <hyperlink ref="C6371" r:id="rId6366" display="https://pld.live/RapDetail.aspx?STONELIST=925880268&amp;ISCONFIRM=0" xr:uid="{4D28AB81-58E7-4F21-A57D-53219FA2853D}"/>
    <hyperlink ref="C6372" r:id="rId6367" display="https://pld.live/RapDetail.aspx?STONELIST=927160145&amp;ISCONFIRM=0" xr:uid="{3EC2B13F-438F-41AD-8510-A541ED1CF4DF}"/>
    <hyperlink ref="C6373" r:id="rId6368" display="https://pld.live/RapDetail.aspx?STONELIST=926960845&amp;ISCONFIRM=0" xr:uid="{F73903EC-2D88-43D7-8296-E42BEDCDD919}"/>
    <hyperlink ref="C6374" r:id="rId6369" display="https://pld.live/RapDetail.aspx?STONELIST=941250693&amp;ISCONFIRM=0" xr:uid="{566CF029-6D1B-4140-AE2F-F0A400B93A29}"/>
    <hyperlink ref="C6375" r:id="rId6370" display="https://pld.live/RapDetail.aspx?STONELIST=821114736&amp;ISCONFIRM=0" xr:uid="{0BE60895-1456-42C1-9C06-35396B095146}"/>
    <hyperlink ref="C6376" r:id="rId6371" display="https://pld.live/RapDetail.aspx?STONELIST=925710202&amp;ISCONFIRM=0" xr:uid="{0E22C24C-3C16-4C63-B688-5A8621921A3B}"/>
    <hyperlink ref="C6377" r:id="rId6372" display="https://pld.live/RapDetail.aspx?STONELIST=927010779&amp;ISCONFIRM=0" xr:uid="{DD45CB7A-1F72-4B94-9164-0A5443A74EEC}"/>
    <hyperlink ref="C6378" r:id="rId6373" display="https://pld.live/RapDetail.aspx?STONELIST=926820073&amp;ISCONFIRM=0" xr:uid="{9CB9594E-7EE7-465E-962B-EA994DE8D6DC}"/>
    <hyperlink ref="C6379" r:id="rId6374" display="https://pld.live/RapDetail.aspx?STONELIST=926960858&amp;ISCONFIRM=0" xr:uid="{ADC304E6-C88E-436A-8ACB-DEFB12A1E52A}"/>
    <hyperlink ref="C6380" r:id="rId6375" display="https://pld.live/RapDetail.aspx?STONELIST=821114730&amp;ISCONFIRM=0" xr:uid="{892F1784-9B31-4CEB-BE8E-C146D71B18DD}"/>
    <hyperlink ref="C6381" r:id="rId6376" display="https://pld.live/RapDetail.aspx?STONELIST=927020703&amp;ISCONFIRM=0" xr:uid="{9E4883FC-F0E5-4E3C-A2D0-A7882DBDC7CA}"/>
    <hyperlink ref="C6382" r:id="rId6377" display="https://pld.live/RapDetail.aspx?STONELIST=926200088&amp;ISCONFIRM=0" xr:uid="{F871D304-A201-49A1-9FE8-A653B471FC84}"/>
    <hyperlink ref="C6383" r:id="rId6378" display="https://pld.live/RapDetail.aspx?STONELIST=941230648&amp;ISCONFIRM=0" xr:uid="{E01B7639-CEE8-446C-B754-311CD37330FE}"/>
    <hyperlink ref="C6384" r:id="rId6379" display="https://pld.live/RapDetail.aspx?STONELIST=927030799&amp;ISCONFIRM=0" xr:uid="{EC9ED92C-374A-4CAD-A0DA-4EFFED2C2D1E}"/>
    <hyperlink ref="C6385" r:id="rId6380" display="https://pld.live/RapDetail.aspx?STONELIST=927040792&amp;ISCONFIRM=0" xr:uid="{96E0F119-BA78-45E1-8296-892425D4CC99}"/>
    <hyperlink ref="C6386" r:id="rId6381" display="https://pld.live/RapDetail.aspx?STONELIST=941080851&amp;ISCONFIRM=0" xr:uid="{8F5BBAA4-85B0-4B28-9A81-62DB6FA27BD2}"/>
    <hyperlink ref="C6387" r:id="rId6382" display="https://pld.live/RapDetail.aspx?STONELIST=927052662&amp;ISCONFIRM=0" xr:uid="{14EAC658-1121-41FB-8206-FE1F0DA425DD}"/>
    <hyperlink ref="C6388" r:id="rId6383" display="https://pld.live/RapDetail.aspx?STONELIST=941060530&amp;ISCONFIRM=0" xr:uid="{F80701DC-B949-4FD4-B403-333FE373DB95}"/>
    <hyperlink ref="C6389" r:id="rId6384" display="https://pld.live/RapDetail.aspx?STONELIST=927052669&amp;ISCONFIRM=0" xr:uid="{6C67AA33-C20C-4086-A229-1F7D8D2019CA}"/>
    <hyperlink ref="C6390" r:id="rId6385" display="https://pld.live/RapDetail.aspx?STONELIST=941080770&amp;ISCONFIRM=0" xr:uid="{845D478E-1148-42F1-8B9C-CFD4EDFE4E62}"/>
    <hyperlink ref="C6391" r:id="rId6386" display="https://pld.live/RapDetail.aspx?STONELIST=924570992&amp;ISCONFIRM=0" xr:uid="{2B206F3F-4AF0-4F77-BE65-78DF4C100213}"/>
    <hyperlink ref="C6392" r:id="rId6387" display="https://pld.live/RapDetail.aspx?STONELIST=926780062&amp;ISCONFIRM=0" xr:uid="{6F97E22D-6148-4596-B71B-A212FE554B80}"/>
    <hyperlink ref="C6393" r:id="rId6388" display="https://pld.live/RapDetail.aspx?STONELIST=926701106&amp;ISCONFIRM=0" xr:uid="{5827CC2A-0010-49E3-AAD1-E46FC6455D18}"/>
    <hyperlink ref="C6394" r:id="rId6389" display="https://pld.live/RapDetail.aspx?STONELIST=925680183&amp;ISCONFIRM=0" xr:uid="{6446DFBA-292D-4167-A3A7-C4DFAA61215A}"/>
    <hyperlink ref="C6395" r:id="rId6390" display="https://pld.live/RapDetail.aspx?STONELIST=926420217&amp;ISCONFIRM=0" xr:uid="{957E392A-BEDA-4F0A-8719-FC7401A4DDB7}"/>
    <hyperlink ref="C6396" r:id="rId6391" display="https://pld.live/RapDetail.aspx?STONELIST=925520962&amp;ISCONFIRM=0" xr:uid="{7EA5BEE9-2FB6-44CF-9DF5-831C512D7249}"/>
    <hyperlink ref="C6397" r:id="rId6392" display="https://pld.live/RapDetail.aspx?STONELIST=925400028&amp;ISCONFIRM=0" xr:uid="{6F033967-8FBA-4B05-84B4-9B536B49EBBA}"/>
    <hyperlink ref="C6398" r:id="rId6393" display="https://pld.live/RapDetail.aspx?STONELIST=925690210&amp;ISCONFIRM=0" xr:uid="{A685D75C-D7A5-4432-9C8F-AB8F8D557AEA}"/>
    <hyperlink ref="C6399" r:id="rId6394" display="https://pld.live/RapDetail.aspx?STONELIST=926100923&amp;ISCONFIRM=0" xr:uid="{5FFD56BB-2727-478F-A588-93587AFE1F92}"/>
    <hyperlink ref="C6400" r:id="rId6395" display="https://pld.live/RapDetail.aspx?STONELIST=926050337&amp;ISCONFIRM=0" xr:uid="{348D1F26-F9AF-4246-AB78-315F15540ACD}"/>
    <hyperlink ref="C6401" r:id="rId6396" display="https://pld.live/RapDetail.aspx?STONELIST=925110052&amp;ISCONFIRM=0" xr:uid="{CFE05AC6-4320-4425-9CC8-AF36C4CAA2D1}"/>
    <hyperlink ref="C6402" r:id="rId6397" display="https://pld.live/RapDetail.aspx?STONELIST=925110104&amp;ISCONFIRM=0" xr:uid="{D59C84F9-B3DE-4D89-AEA3-A672A98B1E5B}"/>
    <hyperlink ref="C6403" r:id="rId6398" display="https://pld.live/RapDetail.aspx?STONELIST=925732067&amp;ISCONFIRM=0" xr:uid="{2554749A-8C4B-473B-8658-BB7CA02EAC8E}"/>
    <hyperlink ref="C6404" r:id="rId6399" display="https://pld.live/RapDetail.aspx?STONELIST=925660208&amp;ISCONFIRM=0" xr:uid="{D6C1C67B-3D03-494A-AC1D-DAD1012A623E}"/>
    <hyperlink ref="C6405" r:id="rId6400" display="https://pld.live/RapDetail.aspx?STONELIST=926010299&amp;ISCONFIRM=0" xr:uid="{7D27F693-569A-497D-8F10-3D2CE1B6D106}"/>
    <hyperlink ref="C6406" r:id="rId6401" display="https://pld.live/RapDetail.aspx?STONELIST=821126878&amp;ISCONFIRM=0" xr:uid="{C546BC2B-C693-4ACA-8748-2A5987946407}"/>
    <hyperlink ref="C6407" r:id="rId6402" display="https://pld.live/RapDetail.aspx?STONELIST=926740267&amp;ISCONFIRM=0" xr:uid="{129F6BA2-19A6-4C1F-B91A-E77A70C4AD62}"/>
    <hyperlink ref="C6408" r:id="rId6403" display="https://pld.live/RapDetail.aspx?STONELIST=821113434&amp;ISCONFIRM=0" xr:uid="{98D181C5-3FC2-4866-89FA-6A6F61700710}"/>
    <hyperlink ref="C6409" r:id="rId6404" display="https://pld.live/RapDetail.aspx?STONELIST=924950334&amp;ISCONFIRM=0" xr:uid="{4603AC61-4CBC-4CA4-9B8A-2C4056116B88}"/>
    <hyperlink ref="C6410" r:id="rId6405" display="https://pld.live/RapDetail.aspx?STONELIST=831020370&amp;ISCONFIRM=0" xr:uid="{8A0B9E34-B605-4DEC-A0DA-50806F1BB53F}"/>
    <hyperlink ref="C6411" r:id="rId6406" display="https://pld.live/RapDetail.aspx?STONELIST=926631392&amp;ISCONFIRM=0" xr:uid="{0C4625EF-0482-41F3-8E0E-DE6BBA45A968}"/>
    <hyperlink ref="C6412" r:id="rId6407" display="https://pld.live/RapDetail.aspx?STONELIST=926410321&amp;ISCONFIRM=0" xr:uid="{0C6D7B41-0BF0-4FEC-9799-DEE73DD47E8C}"/>
    <hyperlink ref="C6413" r:id="rId6408" display="https://pld.live/RapDetail.aspx?STONELIST=821113116&amp;ISCONFIRM=0" xr:uid="{43BCEFDF-02AC-4976-B4B5-B88DEB51EA6A}"/>
    <hyperlink ref="C6414" r:id="rId6409" display="https://pld.live/RapDetail.aspx?STONELIST=941140498&amp;ISCONFIRM=0" xr:uid="{4258FE70-9D40-4B9A-90AC-F5FE8F5854E7}"/>
    <hyperlink ref="C6415" r:id="rId6410" display="https://pld.live/RapDetail.aspx?STONELIST=925110064&amp;ISCONFIRM=0" xr:uid="{469D293A-79FE-433C-BC82-C933963B69F9}"/>
    <hyperlink ref="C6416" r:id="rId6411" display="https://pld.live/RapDetail.aspx?STONELIST=941080821&amp;ISCONFIRM=0" xr:uid="{CB65B494-75DA-4255-9CA5-CD857C427459}"/>
    <hyperlink ref="C6417" r:id="rId6412" display="https://pld.live/RapDetail.aspx?STONELIST=927092596&amp;ISCONFIRM=0" xr:uid="{CE38D317-5585-4EC2-AA97-6E6B6B0F1071}"/>
    <hyperlink ref="C6418" r:id="rId6413" display="https://pld.live/RapDetail.aspx?STONELIST=941071313&amp;ISCONFIRM=0" xr:uid="{EC13C472-8B7E-4421-A6A9-53B81261B68D}"/>
    <hyperlink ref="C6419" r:id="rId6414" display="https://pld.live/RapDetail.aspx?STONELIST=941110514&amp;ISCONFIRM=0" xr:uid="{7D593E21-7D8C-4989-854A-44496ECEFAAC}"/>
    <hyperlink ref="C6420" r:id="rId6415" display="https://pld.live/RapDetail.aspx?STONELIST=927030560&amp;ISCONFIRM=0" xr:uid="{62D1BCCD-2950-47BE-80EB-8C119E615B43}"/>
    <hyperlink ref="C6421" r:id="rId6416" display="https://pld.live/RapDetail.aspx?STONELIST=941090654&amp;ISCONFIRM=0" xr:uid="{C0A6B1C5-E423-447D-BFD6-1AD6C2E6F376}"/>
    <hyperlink ref="C6422" r:id="rId6417" display="https://pld.live/RapDetail.aspx?STONELIST=926750846&amp;ISCONFIRM=0" xr:uid="{3888E9EE-5E40-443E-B3C3-AADFE660371B}"/>
    <hyperlink ref="C6423" r:id="rId6418" display="https://pld.live/RapDetail.aspx?STONELIST=941021787&amp;ISCONFIRM=0" xr:uid="{9A744187-0BDC-4AF7-AC56-71BD52F6CB29}"/>
    <hyperlink ref="C6424" r:id="rId6419" display="https://pld.live/RapDetail.aspx?STONELIST=941071295&amp;ISCONFIRM=0" xr:uid="{DB5F9C99-C55F-4D2A-A45B-9F5D2751F48D}"/>
    <hyperlink ref="C6425" r:id="rId6420" display="https://pld.live/RapDetail.aspx?STONELIST=927140418&amp;ISCONFIRM=0" xr:uid="{73F595BE-77D8-4F00-ADF9-86C42BF2B267}"/>
    <hyperlink ref="C6426" r:id="rId6421" display="https://pld.live/RapDetail.aspx?STONELIST=941090682&amp;ISCONFIRM=0" xr:uid="{273D82B3-AC3F-447B-B02C-662DF791EF90}"/>
    <hyperlink ref="C6427" r:id="rId6422" display="https://pld.live/RapDetail.aspx?STONELIST=926621097&amp;ISCONFIRM=0" xr:uid="{FBEF8538-4D98-4C70-8666-0AAB58AF0EF9}"/>
    <hyperlink ref="C6428" r:id="rId6423" display="https://pld.live/RapDetail.aspx?STONELIST=926740826&amp;ISCONFIRM=0" xr:uid="{3ED53CED-C3C2-466A-B9E9-742656A895EE}"/>
    <hyperlink ref="C6429" r:id="rId6424" display="https://pld.live/RapDetail.aspx?STONELIST=941080820&amp;ISCONFIRM=0" xr:uid="{1E703BC2-5E5A-4D9D-88ED-6447C35EB015}"/>
    <hyperlink ref="C6430" r:id="rId6425" display="https://pld.live/RapDetail.aspx?STONELIST=926972122&amp;ISCONFIRM=0" xr:uid="{5B351A2B-4798-4F49-8713-C629FC461342}"/>
    <hyperlink ref="C6431" r:id="rId6426" display="https://pld.live/RapDetail.aspx?STONELIST=926701091&amp;ISCONFIRM=0" xr:uid="{6F7066BC-DD66-4CE5-BB45-36F9316F9C86}"/>
    <hyperlink ref="C6432" r:id="rId6427" display="https://pld.live/RapDetail.aspx?STONELIST=926700896&amp;ISCONFIRM=0" xr:uid="{09658347-EA9D-4A80-8079-BBB331623D43}"/>
    <hyperlink ref="C6433" r:id="rId6428" display="https://pld.live/RapDetail.aspx?STONELIST=941100559&amp;ISCONFIRM=0" xr:uid="{27C26CF3-1C27-4368-83A0-EE819A78A42F}"/>
    <hyperlink ref="C6434" r:id="rId6429" display="https://pld.live/RapDetail.aspx?STONELIST=941130243&amp;ISCONFIRM=0" xr:uid="{D8A5D226-911E-4300-B866-B337CED817F3}"/>
    <hyperlink ref="C6435" r:id="rId6430" display="https://pld.live/RapDetail.aspx?STONELIST=941100623&amp;ISCONFIRM=0" xr:uid="{121A6511-AECF-4320-9E2B-6F96E48B3DFD}"/>
    <hyperlink ref="C6436" r:id="rId6431" display="https://pld.live/RapDetail.aspx?STONELIST=941110526&amp;ISCONFIRM=0" xr:uid="{A605077A-61B3-4373-9A71-1912B63BD4C3}"/>
    <hyperlink ref="C6437" r:id="rId6432" display="https://pld.live/RapDetail.aspx?STONELIST=941021778&amp;ISCONFIRM=0" xr:uid="{D26FABEC-25AD-4F7E-A367-D28398D6FCF7}"/>
    <hyperlink ref="C6438" r:id="rId6433" display="https://pld.live/RapDetail.aspx?STONELIST=941080847&amp;ISCONFIRM=0" xr:uid="{5BB40951-5451-40D3-AE15-33C5921EDE5D}"/>
    <hyperlink ref="C6439" r:id="rId6434" display="https://pld.live/RapDetail.aspx?STONELIST=941080841&amp;ISCONFIRM=0" xr:uid="{A121FE62-F6AA-48E8-BDB8-45CB06A79BA7}"/>
    <hyperlink ref="C6440" r:id="rId6435" display="https://pld.live/RapDetail.aspx?STONELIST=941090198&amp;ISCONFIRM=0" xr:uid="{BDE7A99B-455A-4238-AC81-65F6CD06786C}"/>
    <hyperlink ref="C6441" r:id="rId6436" display="https://pld.live/RapDetail.aspx?STONELIST=941050586&amp;ISCONFIRM=0" xr:uid="{C53A5E6A-68AD-4E53-A630-C934399F4962}"/>
    <hyperlink ref="C6442" r:id="rId6437" display="https://pld.live/RapDetail.aspx?STONELIST=941050603&amp;ISCONFIRM=0" xr:uid="{2B445844-0EB7-449B-8437-7C88C117B038}"/>
    <hyperlink ref="C6443" r:id="rId6438" display="https://pld.live/RapDetail.aspx?STONELIST=927052232&amp;ISCONFIRM=0" xr:uid="{A140EB74-1A2B-44B9-A468-1A6BB2FD7C50}"/>
    <hyperlink ref="C6444" r:id="rId6439" display="https://pld.live/RapDetail.aspx?STONELIST=941080812&amp;ISCONFIRM=0" xr:uid="{68DD45AA-15E7-4D42-A472-21ACDDAA24F1}"/>
    <hyperlink ref="C6445" r:id="rId6440" display="https://pld.live/RapDetail.aspx?STONELIST=941090638&amp;ISCONFIRM=0" xr:uid="{6C7AF48F-ABF4-41E5-B93E-C44829E31E92}"/>
    <hyperlink ref="C6446" r:id="rId6441" display="https://pld.live/RapDetail.aspx?STONELIST=941090649&amp;ISCONFIRM=0" xr:uid="{A5314088-39FF-4FD4-8E23-31D8357A39E4}"/>
    <hyperlink ref="C6447" r:id="rId6442" display="https://pld.live/RapDetail.aspx?STONELIST=927092055&amp;ISCONFIRM=0" xr:uid="{F8AC49FC-D9C8-45CF-AB08-BDBCF9C02BF5}"/>
    <hyperlink ref="C6448" r:id="rId6443" display="https://pld.live/RapDetail.aspx?STONELIST=926831161&amp;ISCONFIRM=0" xr:uid="{8E659901-766B-4A95-B927-D5BCF1384EFB}"/>
    <hyperlink ref="C6449" r:id="rId6444" display="https://pld.live/RapDetail.aspx?STONELIST=941100654&amp;ISCONFIRM=0" xr:uid="{84A4BDAD-6B0C-4F1B-81AE-C25880D3EBFD}"/>
    <hyperlink ref="C6450" r:id="rId6445" display="https://pld.live/RapDetail.aspx?STONELIST=927092626&amp;ISCONFIRM=0" xr:uid="{5A7CFF65-F5BD-454D-B19E-C8F88BB77A14}"/>
    <hyperlink ref="C6451" r:id="rId6446" display="https://pld.live/RapDetail.aspx?STONELIST=821130973&amp;ISCONFIRM=0" xr:uid="{A8E8437E-169C-4A40-AC94-FB78A3325D7B}"/>
    <hyperlink ref="C6452" r:id="rId6447" display="https://pld.live/RapDetail.aspx?STONELIST=926930850&amp;ISCONFIRM=0" xr:uid="{34EECB7D-360A-407D-99E5-6D7ECD9F6552}"/>
    <hyperlink ref="C6453" r:id="rId6448" display="https://pld.live/RapDetail.aspx?STONELIST=941100512&amp;ISCONFIRM=0" xr:uid="{8CC45899-9852-4EE9-A8C5-FF862983C5F3}"/>
    <hyperlink ref="C6454" r:id="rId6449" display="https://pld.live/RapDetail.aspx?STONELIST=941100584&amp;ISCONFIRM=0" xr:uid="{D85C3B1B-5EF2-4529-B50F-7A0AD07A0FBB}"/>
    <hyperlink ref="C6455" r:id="rId6450" display="https://pld.live/RapDetail.aspx?STONELIST=941090692&amp;ISCONFIRM=0" xr:uid="{1EA67C2E-2934-4700-B70F-6F61C3818FE0}"/>
    <hyperlink ref="C6456" r:id="rId6451" display="https://pld.live/RapDetail.aspx?STONELIST=941080845&amp;ISCONFIRM=0" xr:uid="{17E0C20A-A42F-4CFE-BE8B-F49D42A7EC20}"/>
    <hyperlink ref="C6457" r:id="rId6452" display="https://pld.live/RapDetail.aspx?STONELIST=927052612&amp;ISCONFIRM=0" xr:uid="{D3129AE9-CC6D-4A81-A4FF-5BA2D9D603B6}"/>
    <hyperlink ref="C6458" r:id="rId6453" display="https://pld.live/RapDetail.aspx?STONELIST=927052067&amp;ISCONFIRM=0" xr:uid="{2196DC9D-356D-4C2D-874A-18606CCA3ABF}"/>
    <hyperlink ref="C6459" r:id="rId6454" display="https://pld.live/RapDetail.aspx?STONELIST=941080818&amp;ISCONFIRM=0" xr:uid="{04A32E8F-5AFE-4961-94DC-1D2C526CF953}"/>
    <hyperlink ref="C6460" r:id="rId6455" display="https://pld.live/RapDetail.aspx?STONELIST=941080810&amp;ISCONFIRM=0" xr:uid="{A1F7AA4A-0DB1-480F-9E3C-0DE836417FC6}"/>
    <hyperlink ref="C6461" r:id="rId6456" display="https://pld.live/RapDetail.aspx?STONELIST=941100641&amp;ISCONFIRM=0" xr:uid="{78D33A66-AE45-4992-9343-AA6AC5090EE4}"/>
    <hyperlink ref="C6462" r:id="rId6457" display="https://pld.live/RapDetail.aspx?STONELIST=925700252&amp;ISCONFIRM=0" xr:uid="{3C87CB97-8B9A-4FF6-86B6-1E57DA036C3E}"/>
    <hyperlink ref="C6463" r:id="rId6458" display="https://pld.live/RapDetail.aspx?STONELIST=941071306&amp;ISCONFIRM=0" xr:uid="{77D8133F-D4F4-40EC-88BC-8B6D255EE995}"/>
    <hyperlink ref="C6464" r:id="rId6459" display="https://pld.live/RapDetail.aspx?STONELIST=927132501&amp;ISCONFIRM=0" xr:uid="{0809F1CC-4B15-470A-B202-0DC13C2DCBD4}"/>
    <hyperlink ref="C6465" r:id="rId6460" display="https://pld.live/RapDetail.aspx?STONELIST=926750841&amp;ISCONFIRM=0" xr:uid="{0F59AEFB-FBCA-4D53-8EF0-B2D7CF23CF18}"/>
    <hyperlink ref="C6466" r:id="rId6461" display="https://pld.live/RapDetail.aspx?STONELIST=927152925&amp;ISCONFIRM=0" xr:uid="{C8DBC9F5-77BA-49FD-9843-0BF59F1F8858}"/>
    <hyperlink ref="C6467" r:id="rId6462" display="https://pld.live/RapDetail.aspx?STONELIST=941080823&amp;ISCONFIRM=0" xr:uid="{B1A6F8D9-2F36-4BAE-AF24-35159AF34F86}"/>
    <hyperlink ref="C6468" r:id="rId6463" display="https://pld.live/RapDetail.aspx?STONELIST=941110533&amp;ISCONFIRM=0" xr:uid="{A48D639D-75AF-4DDA-B420-CEACA5B26492}"/>
    <hyperlink ref="C6469" r:id="rId6464" display="https://pld.live/RapDetail.aspx?STONELIST=927132430&amp;ISCONFIRM=0" xr:uid="{A99214DA-B1B6-4772-915D-2901E3BE6FB5}"/>
    <hyperlink ref="C6470" r:id="rId6465" display="https://pld.live/RapDetail.aspx?STONELIST=926980648&amp;ISCONFIRM=0" xr:uid="{68C05278-9DD5-47E2-9680-36FA85E3C694}"/>
    <hyperlink ref="C6471" r:id="rId6466" display="https://pld.live/RapDetail.aspx?STONELIST=925370454&amp;ISCONFIRM=0" xr:uid="{6232372D-208C-4A62-9B30-4F990DC2EA90}"/>
    <hyperlink ref="C6472" r:id="rId6467" display="https://pld.live/RapDetail.aspx?STONELIST=941090621&amp;ISCONFIRM=0" xr:uid="{7D07BD51-7546-473D-BC6B-71D88E335F50}"/>
    <hyperlink ref="C6473" r:id="rId6468" display="https://pld.live/RapDetail.aspx?STONELIST=926901111&amp;ISCONFIRM=0" xr:uid="{68C00297-E42C-4171-8C84-AF013785E567}"/>
    <hyperlink ref="C6474" r:id="rId6469" display="https://pld.live/RapDetail.aspx?STONELIST=941021725&amp;ISCONFIRM=0" xr:uid="{A40E091A-67DB-4988-AAEF-C8624FB16AB3}"/>
    <hyperlink ref="C6475" r:id="rId6470" display="https://pld.live/RapDetail.aspx?STONELIST=941080804&amp;ISCONFIRM=0" xr:uid="{59F7AD7E-7DE1-4F63-90C2-A750F9B3D937}"/>
    <hyperlink ref="C6476" r:id="rId6471" display="https://pld.live/RapDetail.aspx?STONELIST=927132472&amp;ISCONFIRM=0" xr:uid="{7DE8523F-D5E9-41A8-BB60-97D355727D2B}"/>
    <hyperlink ref="C6477" r:id="rId6472" display="https://pld.live/RapDetail.aspx?STONELIST=941071326&amp;ISCONFIRM=0" xr:uid="{3326A671-D03F-4F0C-A782-F529EF2BA073}"/>
    <hyperlink ref="C6478" r:id="rId6473" display="https://pld.live/RapDetail.aspx?STONELIST=941100490&amp;ISCONFIRM=0" xr:uid="{3DBA6EAB-A11E-4F13-B15F-D766F605FD1C}"/>
    <hyperlink ref="C6479" r:id="rId6474" display="https://pld.live/RapDetail.aspx?STONELIST=941071296&amp;ISCONFIRM=0" xr:uid="{735572B4-5AAB-44FC-A022-16441CE1579F}"/>
    <hyperlink ref="C6480" r:id="rId6475" display="https://pld.live/RapDetail.aspx?STONELIST=941071302&amp;ISCONFIRM=0" xr:uid="{D1335A8A-7EFB-4A94-A2A7-2235CB1B4BC1}"/>
    <hyperlink ref="C6481" r:id="rId6476" display="https://pld.live/RapDetail.aspx?STONELIST=941100560&amp;ISCONFIRM=0" xr:uid="{510A3B31-D8A4-477F-B13C-A8D6CB714440}"/>
    <hyperlink ref="C6482" r:id="rId6477" display="https://pld.live/RapDetail.aspx?STONELIST=941090384&amp;ISCONFIRM=0" xr:uid="{D9B1DBA5-E8E7-4A59-8087-0A3195DB4256}"/>
    <hyperlink ref="C6483" r:id="rId6478" display="https://pld.live/RapDetail.aspx?STONELIST=927140377&amp;ISCONFIRM=0" xr:uid="{31B41DE9-04A4-4166-8EFF-7408FBAFFA84}"/>
    <hyperlink ref="C6484" r:id="rId6479" display="https://pld.live/RapDetail.aspx?STONELIST=926291387&amp;ISCONFIRM=0" xr:uid="{41A9A3E4-7D5E-4963-B961-9247C5E41B24}"/>
    <hyperlink ref="C6485" r:id="rId6480" display="https://pld.live/RapDetail.aspx?STONELIST=926972096&amp;ISCONFIRM=0" xr:uid="{F979C081-EFC6-47D5-93BB-9D12BB7F9B98}"/>
    <hyperlink ref="C6486" r:id="rId6481" display="https://pld.live/RapDetail.aspx?STONELIST=831020467&amp;ISCONFIRM=0" xr:uid="{D54B7A7B-BE97-43B3-A9DE-7D82365B9D14}"/>
    <hyperlink ref="C6487" r:id="rId6482" display="https://pld.live/RapDetail.aspx?STONELIST=821115927&amp;ISCONFIRM=0" xr:uid="{72512790-4BB4-4512-9702-BE84C5C7B658}"/>
    <hyperlink ref="C6488" r:id="rId6483" display="https://pld.live/RapDetail.aspx?STONELIST=821115930&amp;ISCONFIRM=0" xr:uid="{C30B320D-DA22-4A09-87E9-214CD6C1E4BC}"/>
    <hyperlink ref="C6489" r:id="rId6484" display="https://pld.live/RapDetail.aspx?STONELIST=821128386&amp;ISCONFIRM=0" xr:uid="{A6759157-8860-4CC2-B8C5-52601F415EDF}"/>
    <hyperlink ref="C6490" r:id="rId6485" display="https://pld.live/RapDetail.aspx?STONELIST=941100649&amp;ISCONFIRM=0" xr:uid="{7DDEF1B5-4865-4901-9418-6C7AD8B51182}"/>
    <hyperlink ref="C6491" r:id="rId6486" display="https://pld.live/RapDetail.aspx?STONELIST=927152892&amp;ISCONFIRM=0" xr:uid="{B76F4A1D-C2D2-4195-A3E3-FAB8EAE518AA}"/>
    <hyperlink ref="C6492" r:id="rId6487" display="https://pld.live/RapDetail.aspx?STONELIST=941071309&amp;ISCONFIRM=0" xr:uid="{8679D625-DAC3-4FB7-A781-217589DDF07A}"/>
    <hyperlink ref="C6493" r:id="rId6488" display="https://pld.live/RapDetail.aspx?STONELIST=941071310&amp;ISCONFIRM=0" xr:uid="{9C5A92E4-671D-4EC8-9EBE-E620F41235D9}"/>
    <hyperlink ref="C6494" r:id="rId6489" display="https://pld.live/RapDetail.aspx?STONELIST=941071331&amp;ISCONFIRM=0" xr:uid="{1B36CB7E-9592-49FA-8080-C46FCCECFF0D}"/>
    <hyperlink ref="C6495" r:id="rId6490" display="https://pld.live/RapDetail.aspx?STONELIST=927132533&amp;ISCONFIRM=0" xr:uid="{C85D7543-88EB-4D29-BCF7-8F2944B3844F}"/>
    <hyperlink ref="C6496" r:id="rId6491" display="https://pld.live/RapDetail.aspx?STONELIST=941021801&amp;ISCONFIRM=0" xr:uid="{07012F50-D194-45A8-88C2-B9D9515C3CEB}"/>
    <hyperlink ref="C6497" r:id="rId6492" display="https://pld.live/RapDetail.aspx?STONELIST=941100653&amp;ISCONFIRM=0" xr:uid="{FF6AB607-A426-47ED-A43E-CC50F3ABF261}"/>
    <hyperlink ref="C6498" r:id="rId6493" display="https://pld.live/RapDetail.aspx?STONELIST=941050594&amp;ISCONFIRM=0" xr:uid="{131B2BF5-F142-4075-81F1-758383DDE83B}"/>
    <hyperlink ref="C6499" r:id="rId6494" display="https://pld.live/RapDetail.aspx?STONELIST=941071334&amp;ISCONFIRM=0" xr:uid="{2E0E626D-86EC-4C2D-959E-5C2A241C9D54}"/>
    <hyperlink ref="C6500" r:id="rId6495" display="https://pld.live/RapDetail.aspx?STONELIST=821113426&amp;ISCONFIRM=0" xr:uid="{26912BBA-C305-472B-95A0-CF1A395C4B4B}"/>
    <hyperlink ref="C6501" r:id="rId6496" display="https://pld.live/RapDetail.aspx?STONELIST=941190341&amp;ISCONFIRM=0" xr:uid="{DA8DD8A2-34C6-465D-A2EF-0248A80DBB14}"/>
    <hyperlink ref="C6502" r:id="rId6497" display="https://pld.live/RapDetail.aspx?STONELIST=926681160&amp;ISCONFIRM=0" xr:uid="{9C340772-949F-4103-A5C8-C90D57AAA9AC}"/>
    <hyperlink ref="C6503" r:id="rId6498" display="https://pld.live/RapDetail.aspx?STONELIST=926130008&amp;ISCONFIRM=0" xr:uid="{BA284185-57AF-4D69-AD8B-A9A39C8C6A8F}"/>
    <hyperlink ref="C6504" r:id="rId6499" display="https://pld.live/RapDetail.aspx?STONELIST=941100648&amp;ISCONFIRM=0" xr:uid="{7659C3D9-3EAC-4CDD-B4E9-D762079A018F}"/>
    <hyperlink ref="C6505" r:id="rId6500" display="https://pld.live/RapDetail.aspx?STONELIST=941180035&amp;ISCONFIRM=0" xr:uid="{2F50915A-9A15-47D8-A6F1-8FDA7FA3A7BB}"/>
    <hyperlink ref="C6506" r:id="rId6501" display="https://pld.live/RapDetail.aspx?STONELIST=927040799&amp;ISCONFIRM=0" xr:uid="{ACD93BD4-F1D7-4D14-B269-B561E995ADBE}"/>
    <hyperlink ref="C6507" r:id="rId6502" display="https://pld.live/RapDetail.aspx?STONELIST=927132454&amp;ISCONFIRM=0" xr:uid="{875D2560-B43A-48AC-8CB5-334DD82AB7FD}"/>
    <hyperlink ref="C6508" r:id="rId6503" display="https://pld.live/RapDetail.aspx?STONELIST=941040618&amp;ISCONFIRM=0" xr:uid="{3D867292-9903-4B84-8B6C-268D1CF6204A}"/>
    <hyperlink ref="C6509" r:id="rId6504" display="https://pld.live/RapDetail.aspx?STONELIST=941080831&amp;ISCONFIRM=0" xr:uid="{9AA55A9A-F8C3-4C0F-9B82-83FBA2B9163C}"/>
    <hyperlink ref="C6510" r:id="rId6505" display="https://pld.live/RapDetail.aspx?STONELIST=941071315&amp;ISCONFIRM=0" xr:uid="{47DD4EE7-5D97-410B-A1F7-A78853E6E2B0}"/>
    <hyperlink ref="C6511" r:id="rId6506" display="https://pld.live/RapDetail.aspx?STONELIST=926972225&amp;ISCONFIRM=0" xr:uid="{B1AB481D-287A-4E79-AC23-D13E3269A66E}"/>
    <hyperlink ref="C6512" r:id="rId6507" display="https://pld.live/RapDetail.aspx?STONELIST=926740757&amp;ISCONFIRM=0" xr:uid="{A1EC078D-8F5E-4442-A7A7-62AD5C0263B0}"/>
    <hyperlink ref="C6513" r:id="rId6508" display="https://pld.live/RapDetail.aspx?STONELIST=941100639&amp;ISCONFIRM=0" xr:uid="{4823ED0D-7F8B-45A2-A2A5-B1E90993FCBC}"/>
    <hyperlink ref="C6514" r:id="rId6509" display="https://pld.live/RapDetail.aspx?STONELIST=941071322&amp;ISCONFIRM=0" xr:uid="{66E6897D-2E27-4C2B-BD25-03C4F6C5B71B}"/>
    <hyperlink ref="C6515" r:id="rId6510" display="https://pld.live/RapDetail.aspx?STONELIST=941090667&amp;ISCONFIRM=0" xr:uid="{22E70035-D318-45B3-B603-0794A4522815}"/>
    <hyperlink ref="C6516" r:id="rId6511" display="https://pld.live/RapDetail.aspx?STONELIST=941070137&amp;ISCONFIRM=0" xr:uid="{9D0DA57A-DF30-4F5A-8289-467A0621F785}"/>
    <hyperlink ref="C6517" r:id="rId6512" display="https://pld.live/RapDetail.aspx?STONELIST=927092662&amp;ISCONFIRM=0" xr:uid="{4F02634E-D20D-4391-96DF-169DC99CE6B5}"/>
    <hyperlink ref="C6518" r:id="rId6513" display="https://pld.live/RapDetail.aspx?STONELIST=927060749&amp;ISCONFIRM=0" xr:uid="{1AACC8D4-383C-4135-806A-CAA54E42244B}"/>
    <hyperlink ref="C6519" r:id="rId6514" display="https://pld.live/RapDetail.aspx?STONELIST=927140391&amp;ISCONFIRM=0" xr:uid="{3BC3BE32-6C04-41E3-9DA8-C462F76D8008}"/>
    <hyperlink ref="C6520" r:id="rId6515" display="https://pld.live/RapDetail.aspx?STONELIST=941100650&amp;ISCONFIRM=0" xr:uid="{715F6B6E-03BA-4EFF-80AC-DA521210B626}"/>
    <hyperlink ref="C6521" r:id="rId6516" display="https://pld.live/RapDetail.aspx?STONELIST=924940139&amp;ISCONFIRM=0" xr:uid="{BB72AD32-2568-4261-9CBE-7188BBA479B6}"/>
    <hyperlink ref="C6522" r:id="rId6517" display="https://pld.live/RapDetail.aspx?STONELIST=927092079&amp;ISCONFIRM=0" xr:uid="{0FA1CF73-B8AD-470F-ABDD-934D322B2D1C}"/>
    <hyperlink ref="C6523" r:id="rId6518" display="https://pld.live/RapDetail.aspx?STONELIST=927000626&amp;ISCONFIRM=0" xr:uid="{A75E4094-C945-4443-BD51-50F27A736A0C}"/>
    <hyperlink ref="C6524" r:id="rId6519" display="https://pld.live/RapDetail.aspx?STONELIST=924920288&amp;ISCONFIRM=0" xr:uid="{8CAE4889-EFF2-462A-8944-7A5E105D0D4E}"/>
    <hyperlink ref="C6525" r:id="rId6520" display="https://pld.live/RapDetail.aspx?STONELIST=925350036&amp;ISCONFIRM=0" xr:uid="{CD8BA05C-2C0A-4896-A489-56223029EBA0}"/>
    <hyperlink ref="C6526" r:id="rId6521" display="https://pld.live/RapDetail.aspx?STONELIST=821128385&amp;ISCONFIRM=0" xr:uid="{E45AFE69-55C6-4CA7-8FA5-CF4DA183CD11}"/>
    <hyperlink ref="C6527" r:id="rId6522" display="https://pld.live/RapDetail.aspx?STONELIST=926680948&amp;ISCONFIRM=0" xr:uid="{62C21870-93AE-4FC1-9764-F995CE2FF9DD}"/>
    <hyperlink ref="C6528" r:id="rId6523" display="https://pld.live/RapDetail.aspx?STONELIST=925851285&amp;ISCONFIRM=0" xr:uid="{1DB6A58C-3B96-4E9E-969D-8B33BAE73E3A}"/>
    <hyperlink ref="C6529" r:id="rId6524" display="https://pld.live/RapDetail.aspx?STONELIST=821113385&amp;ISCONFIRM=0" xr:uid="{548D2850-453D-444A-8EA0-7A02C2FBD4B0}"/>
    <hyperlink ref="C6530" r:id="rId6525" display="https://pld.live/RapDetail.aspx?STONELIST=821113766&amp;ISCONFIRM=0" xr:uid="{A52CB380-AB98-4059-84C4-290256803771}"/>
    <hyperlink ref="C6531" r:id="rId6526" display="https://pld.live/RapDetail.aspx?STONELIST=925370459&amp;ISCONFIRM=0" xr:uid="{EF5D59A7-EAB2-4509-BAA4-D47AADCB825A}"/>
    <hyperlink ref="C6532" r:id="rId6527" display="https://pld.live/RapDetail.aspx?STONELIST=927092446&amp;ISCONFIRM=0" xr:uid="{B847E715-D0A0-41DA-AFBC-4D0000F5BC49}"/>
    <hyperlink ref="C6533" r:id="rId6528" display="https://pld.live/RapDetail.aspx?STONELIST=821113383&amp;ISCONFIRM=0" xr:uid="{FF803248-5B50-482B-9B42-F55A98B81D2E}"/>
    <hyperlink ref="C6534" r:id="rId6529" display="https://pld.live/RapDetail.aspx?STONELIST=821113386&amp;ISCONFIRM=0" xr:uid="{3D3874AD-2FBD-4D0C-8B7F-7AFC7968F53A}"/>
    <hyperlink ref="C6535" r:id="rId6530" display="https://pld.live/RapDetail.aspx?STONELIST=821113162&amp;ISCONFIRM=0" xr:uid="{68B960DF-7A89-47AC-840C-7A6308E955DC}"/>
    <hyperlink ref="C6536" r:id="rId6531" display="https://pld.live/RapDetail.aspx?STONELIST=925520605&amp;ISCONFIRM=0" xr:uid="{ECBA8960-4049-4B5D-9AC2-F5A88BB9CE70}"/>
    <hyperlink ref="C6537" r:id="rId6532" display="https://pld.live/RapDetail.aspx?STONELIST=821113437&amp;ISCONFIRM=0" xr:uid="{EA72B20F-F8D5-42E2-A7AD-A1071543A7BE}"/>
    <hyperlink ref="C6538" r:id="rId6533" display="https://pld.live/RapDetail.aspx?STONELIST=821113438&amp;ISCONFIRM=0" xr:uid="{065D376D-2753-4806-ADAD-AB4048F43E14}"/>
    <hyperlink ref="C6539" r:id="rId6534" display="https://pld.live/RapDetail.aspx?STONELIST=927092418&amp;ISCONFIRM=0" xr:uid="{C45F1D3F-4843-46A5-9518-63261E650C76}"/>
    <hyperlink ref="C6540" r:id="rId6535" display="https://pld.live/RapDetail.aspx?STONELIST=927052627&amp;ISCONFIRM=0" xr:uid="{C6B7FAF2-AC44-4E7F-ABD7-E1F76B902AEB}"/>
    <hyperlink ref="C6541" r:id="rId6536" display="https://pld.live/RapDetail.aspx?STONELIST=821113425&amp;ISCONFIRM=0" xr:uid="{3E201B6D-DC8B-45F5-8AAF-1248255395DE}"/>
    <hyperlink ref="C6542" r:id="rId6537" display="https://pld.live/RapDetail.aspx?STONELIST=821113450&amp;ISCONFIRM=0" xr:uid="{6B5AFA1C-1733-4AE8-B8A3-29AB056BF62A}"/>
    <hyperlink ref="C6543" r:id="rId6538" display="https://pld.live/RapDetail.aspx?STONELIST=926972134&amp;ISCONFIRM=0" xr:uid="{AA5B444B-C3D2-4CC1-9BA3-1F667D15E78E}"/>
    <hyperlink ref="C6544" r:id="rId6539" display="https://pld.live/RapDetail.aspx?STONELIST=927102326&amp;ISCONFIRM=0" xr:uid="{D1CEA2BF-BCA5-462D-9074-839DF40102A2}"/>
    <hyperlink ref="C6545" r:id="rId6540" display="https://pld.live/RapDetail.aspx?STONELIST=821115920&amp;ISCONFIRM=0" xr:uid="{886B60A9-9E5C-4336-9494-1F9CEABE15AD}"/>
    <hyperlink ref="C6546" r:id="rId6541" display="https://pld.live/RapDetail.aspx?STONELIST=821115926&amp;ISCONFIRM=0" xr:uid="{A558BFF8-E42F-4045-8CA1-D3CBF103AC15}"/>
    <hyperlink ref="C6547" r:id="rId6542" display="https://pld.live/RapDetail.aspx?STONELIST=926050155&amp;ISCONFIRM=0" xr:uid="{6C0EE93C-A9AA-4A11-855D-972436796ADC}"/>
    <hyperlink ref="C6548" r:id="rId6543" display="https://pld.live/RapDetail.aspx?STONELIST=926400571&amp;ISCONFIRM=0" xr:uid="{1EAA9917-2AA8-4D34-946C-B143A11F46C6}"/>
    <hyperlink ref="C6549" r:id="rId6544" display="https://pld.live/RapDetail.aspx?STONELIST=926780023&amp;ISCONFIRM=0" xr:uid="{8BCC4E6C-A793-42F7-8349-1378ADCD4BB5}"/>
    <hyperlink ref="C6550" r:id="rId6545" display="https://pld.live/RapDetail.aspx?STONELIST=926291384&amp;ISCONFIRM=0" xr:uid="{F321EB5A-24C2-4ACB-B30A-61077B03DC53}"/>
    <hyperlink ref="C6551" r:id="rId6546" display="https://pld.live/RapDetail.aspx?STONELIST=927080751&amp;ISCONFIRM=0" xr:uid="{49774107-9FB3-442D-AA0A-6B82972A09C8}"/>
    <hyperlink ref="C6552" r:id="rId6547" display="https://pld.live/RapDetail.aspx?STONELIST=941100488&amp;ISCONFIRM=0" xr:uid="{54A5EB15-D25F-42BD-9B4C-292362808A45}"/>
    <hyperlink ref="C6553" r:id="rId6548" display="https://pld.live/RapDetail.aspx?STONELIST=927052638&amp;ISCONFIRM=0" xr:uid="{13EB5A06-1C83-48B9-94D9-291D82FC7D55}"/>
    <hyperlink ref="C6554" r:id="rId6549" display="https://pld.live/RapDetail.aspx?STONELIST=925930219&amp;ISCONFIRM=0" xr:uid="{ACA43CA1-76F2-4E5A-86DD-AC125DD13803}"/>
    <hyperlink ref="C6555" r:id="rId6550" display="https://pld.live/RapDetail.aspx?STONELIST=926972227&amp;ISCONFIRM=0" xr:uid="{6CBE533A-F27A-498F-8C2D-9BD774C98B7E}"/>
    <hyperlink ref="C6556" r:id="rId6551" display="https://pld.live/RapDetail.aspx?STONELIST=926030045&amp;ISCONFIRM=0" xr:uid="{C6268D97-A118-4036-AB74-C44881C5D8F6}"/>
    <hyperlink ref="C6557" r:id="rId6552" display="https://pld.live/RapDetail.aspx?STONELIST=920470437&amp;ISCONFIRM=0" xr:uid="{06B2702B-9B4F-42DC-A427-8240186864BD}"/>
    <hyperlink ref="C6558" r:id="rId6553" display="https://pld.live/RapDetail.aspx?STONELIST=927030730&amp;ISCONFIRM=0" xr:uid="{83037E25-FB01-4E09-BDB8-945BE5B65DD3}"/>
    <hyperlink ref="C6559" r:id="rId6554" display="https://pld.live/RapDetail.aspx?STONELIST=941220412&amp;ISCONFIRM=0" xr:uid="{AB396366-8490-487D-99FA-F1359001637A}"/>
    <hyperlink ref="C6560" r:id="rId6555" display="https://pld.live/RapDetail.aspx?STONELIST=927102453&amp;ISCONFIRM=0" xr:uid="{E63E95F7-9ABD-48D6-8DF9-B95443207B57}"/>
    <hyperlink ref="C6561" r:id="rId6556" display="https://pld.live/RapDetail.aspx?STONELIST=926020642&amp;ISCONFIRM=0" xr:uid="{6E7105CE-0BD4-4B56-BC24-0BBCADBDC646}"/>
    <hyperlink ref="C6562" r:id="rId6557" display="https://pld.live/RapDetail.aspx?STONELIST=927052693&amp;ISCONFIRM=0" xr:uid="{87998144-D7A8-4DEF-ACC5-63858276FA26}"/>
    <hyperlink ref="C6563" r:id="rId6558" display="https://pld.live/RapDetail.aspx?STONELIST=926450492&amp;ISCONFIRM=0" xr:uid="{19999DC4-D683-4FF8-BB82-5B66D3012076}"/>
    <hyperlink ref="C6564" r:id="rId6559" display="https://pld.live/RapDetail.aspx?STONELIST=926820071&amp;ISCONFIRM=0" xr:uid="{FE3727CE-F8E7-4DA8-A59F-758FA142907A}"/>
    <hyperlink ref="C6565" r:id="rId6560" display="https://pld.live/RapDetail.aspx?STONELIST=927030755&amp;ISCONFIRM=0" xr:uid="{A0F2BEFD-BD1D-4758-9B19-6A91AD5E1ADE}"/>
    <hyperlink ref="C6566" r:id="rId6561" display="https://pld.live/RapDetail.aspx?STONELIST=927052467&amp;ISCONFIRM=0" xr:uid="{BE96E530-9922-4AA2-ACD6-7D3DB5C5119F}"/>
    <hyperlink ref="C6567" r:id="rId6562" display="https://pld.live/RapDetail.aspx?STONELIST=927010814&amp;ISCONFIRM=0" xr:uid="{75B0BC1A-B174-419B-AACE-E96DF3AA6B76}"/>
    <hyperlink ref="C6568" r:id="rId6563" display="https://pld.live/RapDetail.aspx?STONELIST=926130063&amp;ISCONFIRM=0" xr:uid="{FD2D2A52-2952-4B7E-A615-5216A83713A9}"/>
    <hyperlink ref="C6569" r:id="rId6564" display="https://pld.live/RapDetail.aspx?STONELIST=924920126&amp;ISCONFIRM=0" xr:uid="{D3AC5EFB-B2A9-47DC-92E9-7EF46A4F2269}"/>
    <hyperlink ref="C6570" r:id="rId6565" display="https://pld.live/RapDetail.aspx?STONELIST=927030816&amp;ISCONFIRM=0" xr:uid="{ECC127EB-1D11-4F1C-9BA7-244594D9BAB6}"/>
    <hyperlink ref="C6571" r:id="rId6566" display="https://pld.live/RapDetail.aspx?STONELIST=941021802&amp;ISCONFIRM=0" xr:uid="{FB4E3A5F-87A0-403F-AD95-8706448C03C7}"/>
    <hyperlink ref="C6572" r:id="rId6567" display="https://pld.live/RapDetail.aspx?STONELIST=926450097&amp;ISCONFIRM=0" xr:uid="{7786DD07-27F3-4CED-8D72-B5B62560BAE4}"/>
    <hyperlink ref="C6573" r:id="rId6568" display="https://pld.live/RapDetail.aspx?STONELIST=925690216&amp;ISCONFIRM=0" xr:uid="{D0A50FD7-4FB4-4080-BE79-60540595EDA4}"/>
    <hyperlink ref="C6574" r:id="rId6569" display="https://pld.live/RapDetail.aspx?STONELIST=926010257&amp;ISCONFIRM=0" xr:uid="{238145DF-6B55-4B33-AE9D-EEC139686A8D}"/>
    <hyperlink ref="C6575" r:id="rId6570" display="https://pld.live/RapDetail.aspx?STONELIST=925880318&amp;ISCONFIRM=0" xr:uid="{CBC8DCC7-B062-4549-87CE-D14E2AFFBCDD}"/>
    <hyperlink ref="C6576" r:id="rId6571" display="https://pld.live/RapDetail.aspx?STONELIST=927092185&amp;ISCONFIRM=0" xr:uid="{37AE8926-73AC-4D56-9139-23E6DBAEBBAE}"/>
    <hyperlink ref="C6577" r:id="rId6572" display="https://pld.live/RapDetail.aspx?STONELIST=926291424&amp;ISCONFIRM=0" xr:uid="{28493DB7-7A53-4C92-AE30-45C1603CDEEF}"/>
    <hyperlink ref="C6578" r:id="rId6573" display="https://pld.live/RapDetail.aspx?STONELIST=927040800&amp;ISCONFIRM=0" xr:uid="{27498140-A734-40E2-A91C-958BA69A35EC}"/>
    <hyperlink ref="C6579" r:id="rId6574" display="https://pld.live/RapDetail.aspx?STONELIST=926420235&amp;ISCONFIRM=0" xr:uid="{0A7F0A22-4064-4139-A61A-716C7E704086}"/>
    <hyperlink ref="C6580" r:id="rId6575" display="https://pld.live/RapDetail.aspx?STONELIST=927052674&amp;ISCONFIRM=0" xr:uid="{04393799-9434-40F1-9A96-FAE9BF938070}"/>
    <hyperlink ref="C6581" r:id="rId6576" display="https://pld.live/RapDetail.aspx?STONELIST=925710115&amp;ISCONFIRM=0" xr:uid="{3C43972A-2431-4006-B135-87B5F8727D1A}"/>
    <hyperlink ref="C6582" r:id="rId6577" display="https://pld.live/RapDetail.aspx?STONELIST=925700223&amp;ISCONFIRM=0" xr:uid="{A083DD14-FC92-434D-B2E3-6F9786F637CB}"/>
    <hyperlink ref="C6583" r:id="rId6578" display="https://pld.live/RapDetail.aspx?STONELIST=926470380&amp;ISCONFIRM=0" xr:uid="{8BA07BE4-B34B-4471-A82A-B4826FEB110D}"/>
    <hyperlink ref="C6584" r:id="rId6579" display="https://pld.live/RapDetail.aspx?STONELIST=926740600&amp;ISCONFIRM=0" xr:uid="{830CBB2F-1C3F-4173-A719-CE6F547450ED}"/>
    <hyperlink ref="C6585" r:id="rId6580" display="https://pld.live/RapDetail.aspx?STONELIST=926420312&amp;ISCONFIRM=0" xr:uid="{DBE1FDDA-BACD-4928-B68E-70A8858776A6}"/>
    <hyperlink ref="C6586" r:id="rId6581" display="https://pld.live/RapDetail.aspx?STONELIST=926370009&amp;ISCONFIRM=0" xr:uid="{AC07B3CF-BC9B-4194-B4F5-9E215ACA5D43}"/>
    <hyperlink ref="C6587" r:id="rId6582" display="https://pld.live/RapDetail.aspx?STONELIST=926050092&amp;ISCONFIRM=0" xr:uid="{DA32BE08-7C4E-4508-A502-E607D806835F}"/>
    <hyperlink ref="C6588" r:id="rId6583" display="https://pld.live/RapDetail.aspx?STONELIST=926410001&amp;ISCONFIRM=0" xr:uid="{790BE02D-6033-4E62-8A7D-AB2CF0941B95}"/>
    <hyperlink ref="C6589" r:id="rId6584" display="https://pld.live/RapDetail.aspx?STONELIST=926890530&amp;ISCONFIRM=0" xr:uid="{B5826994-6D16-4C4F-936D-2DCCD3E63DA2}"/>
    <hyperlink ref="C6590" r:id="rId6585" display="https://pld.live/RapDetail.aspx?STONELIST=926410221&amp;ISCONFIRM=0" xr:uid="{CA83FD96-0ADB-4205-975B-C962ECFF04D8}"/>
    <hyperlink ref="C6591" r:id="rId6586" display="https://pld.live/RapDetail.aspx?STONELIST=926170586&amp;ISCONFIRM=0" xr:uid="{6433C4E6-9A4B-417E-9077-F1C0EE69FA09}"/>
    <hyperlink ref="C6592" r:id="rId6587" display="https://pld.live/RapDetail.aspx?STONELIST=941140787&amp;ISCONFIRM=0" xr:uid="{532283AC-0FFA-4895-9B93-6CB321688EC2}"/>
    <hyperlink ref="C6593" r:id="rId6588" display="https://pld.live/RapDetail.aspx?STONELIST=926101464&amp;ISCONFIRM=0" xr:uid="{AC9199B0-DB3F-442A-B1E1-F482EEBB2270}"/>
    <hyperlink ref="C6594" r:id="rId6589" display="https://pld.live/RapDetail.aspx?STONELIST=927052643&amp;ISCONFIRM=0" xr:uid="{3B417E85-5543-4B95-BC8E-F388C9158B1E}"/>
    <hyperlink ref="C6595" r:id="rId6590" display="https://pld.live/RapDetail.aspx?STONELIST=926210972&amp;ISCONFIRM=0" xr:uid="{6E065467-793E-4F3A-AF03-8A85C7716DB8}"/>
    <hyperlink ref="C6596" r:id="rId6591" display="https://pld.live/RapDetail.aspx?STONELIST=831020351&amp;ISCONFIRM=0" xr:uid="{CD986C46-81BA-4E1C-AAFE-52E3D3654919}"/>
    <hyperlink ref="C6597" r:id="rId6592" display="https://pld.live/RapDetail.aspx?STONELIST=941021799&amp;ISCONFIRM=0" xr:uid="{02EFFAEC-0B48-46B0-AE4D-BB11A051E925}"/>
    <hyperlink ref="C6598" r:id="rId6593" display="https://pld.live/RapDetail.aspx?STONELIST=927010822&amp;ISCONFIRM=0" xr:uid="{73F4B66A-FE5B-4772-B886-BCAD983BCDAA}"/>
    <hyperlink ref="C6599" r:id="rId6594" display="https://pld.live/RapDetail.aspx?STONELIST=941351032&amp;ISCONFIRM=0" xr:uid="{68FC83B7-E692-4FB6-93A7-450DFA11C1ED}"/>
    <hyperlink ref="C6600" r:id="rId6595" display="https://pld.live/RapDetail.aspx?STONELIST=927040804&amp;ISCONFIRM=0" xr:uid="{7F41EBB8-D570-47C3-91A5-CCB884DAD0FC}"/>
    <hyperlink ref="C6601" r:id="rId6596" display="https://pld.live/RapDetail.aspx?STONELIST=926210630&amp;ISCONFIRM=0" xr:uid="{0E181888-61ED-47B4-9B4B-02F576B6B001}"/>
    <hyperlink ref="C6602" r:id="rId6597" display="https://pld.live/RapDetail.aspx?STONELIST=926820131&amp;ISCONFIRM=0" xr:uid="{C821915B-9C48-49A9-BE3E-11EEDBBCB218}"/>
    <hyperlink ref="C6603" r:id="rId6598" display="https://pld.live/RapDetail.aspx?STONELIST=927052616&amp;ISCONFIRM=0" xr:uid="{CD339953-B342-437B-A22E-454B628A724D}"/>
    <hyperlink ref="C6604" r:id="rId6599" display="https://pld.live/RapDetail.aspx?STONELIST=925980012&amp;ISCONFIRM=0" xr:uid="{FC100E7F-BBC4-4F4E-8A63-F94012B51A1A}"/>
    <hyperlink ref="C6605" r:id="rId6600" display="https://pld.live/RapDetail.aspx?STONELIST=927150869&amp;ISCONFIRM=0" xr:uid="{66A80E47-CB88-4BF1-9419-33A4A3B6CA0E}"/>
    <hyperlink ref="C6606" r:id="rId6601" display="https://pld.live/RapDetail.aspx?STONELIST=927092218&amp;ISCONFIRM=0" xr:uid="{1B2D43B0-784F-42CC-9B86-9EF4D8296782}"/>
    <hyperlink ref="C6607" r:id="rId6602" display="https://pld.live/RapDetail.aspx?STONELIST=926581135&amp;ISCONFIRM=0" xr:uid="{FB84A03B-06AE-4F66-84A4-1E159E0677D5}"/>
    <hyperlink ref="C6608" r:id="rId6603" display="https://pld.live/RapDetail.aspx?STONELIST=927000668&amp;ISCONFIRM=0" xr:uid="{77EA3D76-DB85-47FC-A8FB-A9C4E495BAA3}"/>
    <hyperlink ref="C6609" r:id="rId6604" display="https://pld.live/RapDetail.aspx?STONELIST=927092581&amp;ISCONFIRM=0" xr:uid="{F05230D2-506F-4636-A3A0-762D0AAE3C1F}"/>
    <hyperlink ref="C6610" r:id="rId6605" display="https://pld.live/RapDetail.aspx?STONELIST=927052702&amp;ISCONFIRM=0" xr:uid="{FD31220D-E618-45F0-BF42-3485BC076CC0}"/>
    <hyperlink ref="C6611" r:id="rId6606" display="https://pld.live/RapDetail.aspx?STONELIST=927092637&amp;ISCONFIRM=0" xr:uid="{1DC43021-307D-4FDE-92FF-A60B534F1EB5}"/>
    <hyperlink ref="C6612" r:id="rId6607" display="https://pld.live/RapDetail.aspx?STONELIST=927092619&amp;ISCONFIRM=0" xr:uid="{B7434DC2-25C6-47EB-BDDE-A7AC22A1898D}"/>
    <hyperlink ref="C6613" r:id="rId6608" display="https://pld.live/RapDetail.aspx?STONELIST=941130353&amp;ISCONFIRM=0" xr:uid="{9841F906-C01B-46DF-9DF9-C7DF95F6A39B}"/>
    <hyperlink ref="C6614" r:id="rId6609" display="https://pld.live/RapDetail.aspx?STONELIST=927152922&amp;ISCONFIRM=0" xr:uid="{A745227E-4304-45C4-8445-BACD2071E946}"/>
    <hyperlink ref="C6615" r:id="rId6610" display="https://pld.live/RapDetail.aspx?STONELIST=941220208&amp;ISCONFIRM=0" xr:uid="{EDB4C6AD-68DA-4BD0-AC86-20C8B40C6F18}"/>
    <hyperlink ref="C6616" r:id="rId6611" display="https://pld.live/RapDetail.aspx?STONELIST=941431294&amp;ISCONFIRM=0" xr:uid="{812B8D46-3DC2-4F6D-BD7B-F60C9EED6075}"/>
    <hyperlink ref="C6617" r:id="rId6612" display="https://pld.live/RapDetail.aspx?STONELIST=927052712&amp;ISCONFIRM=0" xr:uid="{367671FD-66C9-48C3-A632-064CD11CD3B2}"/>
    <hyperlink ref="C6618" r:id="rId6613" display="https://pld.live/RapDetail.aspx?STONELIST=927052721&amp;ISCONFIRM=0" xr:uid="{7E5E3A94-7964-4156-83FE-4F6070EB652B}"/>
    <hyperlink ref="C6619" r:id="rId6614" display="https://pld.live/RapDetail.aspx?STONELIST=941090664&amp;ISCONFIRM=0" xr:uid="{63BF7A6F-DA1A-4FA4-976E-52DBDABABF95}"/>
    <hyperlink ref="C6620" r:id="rId6615" display="https://pld.live/RapDetail.aspx?STONELIST=926820103&amp;ISCONFIRM=0" xr:uid="{7F834DB0-FB69-4A5F-9BCB-936FE2214CC0}"/>
    <hyperlink ref="C6621" r:id="rId6616" display="https://pld.live/RapDetail.aspx?STONELIST=926972257&amp;ISCONFIRM=0" xr:uid="{CC7B793D-2F2B-4EA4-83E9-EE903E46F781}"/>
    <hyperlink ref="C6622" r:id="rId6617" display="https://pld.live/RapDetail.aspx?STONELIST=941160583&amp;ISCONFIRM=0" xr:uid="{97E989C9-9496-4A68-B95B-F21CF22A7F24}"/>
    <hyperlink ref="C6623" r:id="rId6618" display="https://pld.live/RapDetail.aspx?STONELIST=941140792&amp;ISCONFIRM=0" xr:uid="{3C1DC944-B5B3-4EE5-B4BC-46529C172A0E}"/>
    <hyperlink ref="C6624" r:id="rId6619" display="https://pld.live/RapDetail.aspx?STONELIST=927052743&amp;ISCONFIRM=0" xr:uid="{8FF13840-332D-40F8-9C99-56FC7D89A1F3}"/>
    <hyperlink ref="C6625" r:id="rId6620" display="https://pld.live/RapDetail.aspx?STONELIST=927092642&amp;ISCONFIRM=0" xr:uid="{4F9BB639-9EA5-47F5-9EB6-4145774901D3}"/>
    <hyperlink ref="C6626" r:id="rId6621" display="https://pld.live/RapDetail.aspx?STONELIST=927052732&amp;ISCONFIRM=0" xr:uid="{D47B6A0A-1D2A-4804-82AB-0AC6C78FBAED}"/>
    <hyperlink ref="C6627" r:id="rId6622" display="https://pld.live/RapDetail.aspx?STONELIST=941140794&amp;ISCONFIRM=0" xr:uid="{FF015465-AF80-4339-A197-72673674221A}"/>
    <hyperlink ref="C6628" r:id="rId6623" display="https://pld.live/RapDetail.aspx?STONELIST=927052697&amp;ISCONFIRM=0" xr:uid="{96DB65C7-7522-49AA-A009-5ABF3D914848}"/>
    <hyperlink ref="C6629" r:id="rId6624" display="https://pld.live/RapDetail.aspx?STONELIST=927052728&amp;ISCONFIRM=0" xr:uid="{2121F759-CD11-418A-977D-F25CC3FAD38A}"/>
    <hyperlink ref="C6630" r:id="rId6625" display="https://pld.live/RapDetail.aspx?STONELIST=927092563&amp;ISCONFIRM=0" xr:uid="{6EBD299A-D81A-488C-848B-6BE15E2A60A6}"/>
    <hyperlink ref="C6631" r:id="rId6626" display="https://pld.live/RapDetail.aspx?STONELIST=927052694&amp;ISCONFIRM=0" xr:uid="{BF740DCF-CD29-40E8-AA0D-6093A38BAA0F}"/>
    <hyperlink ref="C6632" r:id="rId6627" display="https://pld.live/RapDetail.aspx?STONELIST=926960871&amp;ISCONFIRM=0" xr:uid="{403BCC6A-71B4-4001-8E2E-DCBE5E702B6D}"/>
    <hyperlink ref="C6633" r:id="rId6628" display="https://pld.live/RapDetail.aspx?STONELIST=9412800541&amp;ISCONFIRM=0" xr:uid="{784E5E07-8E2E-424A-B028-3E5C7366EB30}"/>
    <hyperlink ref="C6634" r:id="rId6629" display="https://pld.live/RapDetail.aspx?STONELIST=926980732&amp;ISCONFIRM=0" xr:uid="{B10876FA-E001-4C40-B6C4-1BB6C08C4702}"/>
    <hyperlink ref="C6635" r:id="rId6630" display="https://pld.live/RapDetail.aspx?STONELIST=926930936&amp;ISCONFIRM=0" xr:uid="{61246D3E-BD85-4A7C-B667-2E3A53CE7FC6}"/>
    <hyperlink ref="C6636" r:id="rId6631" display="https://pld.live/RapDetail.aspx?STONELIST=926910628&amp;ISCONFIRM=0" xr:uid="{CE1E49EE-A961-4726-8326-B26E5862E074}"/>
    <hyperlink ref="C6637" r:id="rId6632" display="https://pld.live/RapDetail.aspx?STONELIST=9414201282&amp;ISCONFIRM=0" xr:uid="{B20804F1-F9FA-4569-9A40-0DD3B46CE671}"/>
    <hyperlink ref="C6638" r:id="rId6633" display="https://pld.live/RapDetail.aspx?STONELIST=941080772&amp;ISCONFIRM=0" xr:uid="{1297976F-A053-4804-9325-5E66FC3E6040}"/>
    <hyperlink ref="C6639" r:id="rId6634" display="https://pld.live/RapDetail.aspx?STONELIST=941080773&amp;ISCONFIRM=0" xr:uid="{B0E1019D-08A5-4325-9CCA-44099FA46863}"/>
    <hyperlink ref="C6640" r:id="rId6635" display="https://pld.live/RapDetail.aspx?STONELIST=927052682&amp;ISCONFIRM=0" xr:uid="{B3C67D8C-3F5E-49FE-B4E8-DD3045E539D3}"/>
    <hyperlink ref="C6641" r:id="rId6636" display="https://pld.live/RapDetail.aspx?STONELIST=925930313&amp;ISCONFIRM=0" xr:uid="{AF02D3BD-4D57-4FF1-9E6D-8309B06935D2}"/>
    <hyperlink ref="C6642" r:id="rId6637" display="https://pld.live/RapDetail.aspx?STONELIST=941140789&amp;ISCONFIRM=0" xr:uid="{0000CBCD-182D-443E-9BC8-6E44546B85AE}"/>
    <hyperlink ref="C6643" r:id="rId6638" display="https://pld.live/RapDetail.aspx?STONELIST=927052708&amp;ISCONFIRM=0" xr:uid="{C54F3D96-358E-4BAA-A2A5-C6D6A945D88F}"/>
    <hyperlink ref="C6644" r:id="rId6639" display="https://pld.live/RapDetail.aspx?STONELIST=927092645&amp;ISCONFIRM=0" xr:uid="{5DC3C004-1B47-4CBA-B339-D7CFE9252FA1}"/>
    <hyperlink ref="C6645" r:id="rId6640" display="https://pld.live/RapDetail.aspx?STONELIST=927092609&amp;ISCONFIRM=0" xr:uid="{3603AB82-0EA9-4773-B03F-390974F53176}"/>
    <hyperlink ref="C6646" r:id="rId6641" display="https://pld.live/RapDetail.aspx?STONELIST=926972246&amp;ISCONFIRM=0" xr:uid="{2F9D5210-5F78-49CF-985C-FF870EF41C9D}"/>
    <hyperlink ref="C6647" r:id="rId6642" display="https://pld.live/RapDetail.aspx?STONELIST=927052742&amp;ISCONFIRM=0" xr:uid="{3DAE7BC1-D526-40C2-A195-A68892B7A8B0}"/>
    <hyperlink ref="C6648" r:id="rId6643" display="https://pld.live/RapDetail.aspx?STONELIST=927052701&amp;ISCONFIRM=0" xr:uid="{143BBEBD-A34F-4D15-B84E-1F3C0CD6F667}"/>
    <hyperlink ref="C6649" r:id="rId6644" display="https://pld.live/RapDetail.aspx?STONELIST=920470457&amp;ISCONFIRM=0" xr:uid="{D28F3D82-AEC7-480F-9421-DA5EFC82764B}"/>
    <hyperlink ref="C6650" r:id="rId6645" display="https://pld.live/RapDetail.aspx?STONELIST=925920472&amp;ISCONFIRM=0" xr:uid="{BF849825-2665-4EAF-B5C3-7BCD9100BE81}"/>
    <hyperlink ref="C6651" r:id="rId6646" display="https://pld.live/RapDetail.aspx?STONELIST=925960700&amp;ISCONFIRM=0" xr:uid="{42F3B7CE-D7FC-43DA-8A81-FA1F257F1EEA}"/>
    <hyperlink ref="C6652" r:id="rId6647" display="https://pld.live/RapDetail.aspx?STONELIST=941330243&amp;ISCONFIRM=0" xr:uid="{EF4C82AA-5F96-499F-9D8F-5FAC58F6C756}"/>
    <hyperlink ref="C6653" r:id="rId6648" display="https://pld.live/RapDetail.aspx?STONELIST=941330569&amp;ISCONFIRM=0" xr:uid="{3B0F017F-809F-4C86-B547-6B558E368496}"/>
    <hyperlink ref="C6654" r:id="rId6649" display="https://pld.live/RapDetail.aspx?STONELIST=925851056&amp;ISCONFIRM=0" xr:uid="{926127CF-2CEC-46DB-9761-27BF1AA7825C}"/>
    <hyperlink ref="C6655" r:id="rId6650" display="https://pld.live/RapDetail.aspx?STONELIST=927152948&amp;ISCONFIRM=0" xr:uid="{0E4115E7-3B56-485E-830F-00E2205BF4B5}"/>
    <hyperlink ref="C6656" r:id="rId6651" display="https://pld.live/RapDetail.aspx?STONELIST=941320806&amp;ISCONFIRM=0" xr:uid="{B17C1927-9BB9-4C8C-9F17-2917A060564D}"/>
    <hyperlink ref="C6657" r:id="rId6652" display="https://pld.live/RapDetail.aspx?STONELIST=926780043&amp;ISCONFIRM=0" xr:uid="{8CCA8F4C-D7F9-44AE-8D96-A432A61319AC}"/>
    <hyperlink ref="C6658" r:id="rId6653" display="https://pld.live/RapDetail.aspx?STONELIST=927052734&amp;ISCONFIRM=0" xr:uid="{9115B8EE-9F23-425D-8917-531C0CACFBFD}"/>
    <hyperlink ref="C6659" r:id="rId6654" display="https://pld.live/RapDetail.aspx?STONELIST=927052748&amp;ISCONFIRM=0" xr:uid="{15AFD984-077D-45A3-83DB-2BCBDF752112}"/>
    <hyperlink ref="C6660" r:id="rId6655" display="https://pld.live/RapDetail.aspx?STONELIST=925030283&amp;ISCONFIRM=0" xr:uid="{954D5D42-44EB-457B-8E0A-1B3EE368FA95}"/>
    <hyperlink ref="C6661" r:id="rId6656" display="https://pld.live/RapDetail.aspx?STONELIST=926972244&amp;ISCONFIRM=0" xr:uid="{E13D3666-85A0-4A38-ABEB-5C1FDF7B1747}"/>
    <hyperlink ref="C6662" r:id="rId6657" display="https://pld.live/RapDetail.aspx?STONELIST=927092604&amp;ISCONFIRM=0" xr:uid="{CB249080-875A-4504-8446-3A04D2EC29F0}"/>
    <hyperlink ref="C6663" r:id="rId6658" display="https://pld.live/RapDetail.aspx?STONELIST=927092617&amp;ISCONFIRM=0" xr:uid="{045A8D36-42A1-4C9F-8AFA-1D5C51884A2A}"/>
    <hyperlink ref="C6664" r:id="rId6659" display="https://pld.live/RapDetail.aspx?STONELIST=927092623&amp;ISCONFIRM=0" xr:uid="{CC2CAB2F-61B3-4D8C-B464-FC68B9FD97F6}"/>
    <hyperlink ref="C6665" r:id="rId6660" display="https://pld.live/RapDetail.aspx?STONELIST=927092677&amp;ISCONFIRM=0" xr:uid="{6C3209D8-B39A-4DF9-881B-8394923F81BD}"/>
    <hyperlink ref="C6666" r:id="rId6661" display="https://pld.live/RapDetail.aspx?STONELIST=941170395&amp;ISCONFIRM=0" xr:uid="{0836BC41-7475-4746-AA3F-E613D2EA94A1}"/>
    <hyperlink ref="C6667" r:id="rId6662" display="https://pld.live/RapDetail.aspx?STONELIST=927151125&amp;ISCONFIRM=0" xr:uid="{1DC664F5-87F8-422C-AD22-DB5A8E04A57A}"/>
    <hyperlink ref="C6668" r:id="rId6663" display="https://pld.live/RapDetail.aspx?STONELIST=925951328&amp;ISCONFIRM=0" xr:uid="{F23F346A-9906-406D-91B7-07C3F5EAE287}"/>
    <hyperlink ref="C6669" r:id="rId6664" display="https://pld.live/RapDetail.aspx?STONELIST=941280510&amp;ISCONFIRM=0" xr:uid="{A309907B-8A17-438E-98AD-C3B91EDD458C}"/>
    <hyperlink ref="C6670" r:id="rId6665" display="https://pld.live/RapDetail.aspx?STONELIST=921850008&amp;ISCONFIRM=0" xr:uid="{A19CE1E1-5A06-4D47-A75D-88DAE57BEF87}"/>
    <hyperlink ref="C6671" r:id="rId6666" display="https://pld.live/RapDetail.aspx?STONELIST=926780049&amp;ISCONFIRM=0" xr:uid="{58FEB1B3-F07C-4F4C-96C0-CE0811574F0B}"/>
    <hyperlink ref="C6672" r:id="rId6667" display="https://pld.live/RapDetail.aspx?STONELIST=831020160&amp;ISCONFIRM=0" xr:uid="{BBD075DF-60E7-4266-8456-03CC0B3D6363}"/>
    <hyperlink ref="C6673" r:id="rId6668" display="https://pld.live/RapDetail.aspx?STONELIST=925980434&amp;ISCONFIRM=0" xr:uid="{FFBB9D54-45F9-4F9E-B4E4-63E29279FDCA}"/>
    <hyperlink ref="C6674" r:id="rId6669" display="https://pld.live/RapDetail.aspx?STONELIST=926060006&amp;ISCONFIRM=0" xr:uid="{0BDABD79-AB98-4BF7-A99C-0EEE2D03785F}"/>
    <hyperlink ref="C6675" r:id="rId6670" display="https://pld.live/RapDetail.aspx?STONELIST=925560086&amp;ISCONFIRM=0" xr:uid="{C47A2200-F265-4754-BC28-866EF8FC0D27}"/>
    <hyperlink ref="C6676" r:id="rId6671" display="https://pld.live/RapDetail.aspx?STONELIST=920470373&amp;ISCONFIRM=0" xr:uid="{3E45D50E-A3F3-462C-A55A-BAA3B6CF8579}"/>
    <hyperlink ref="C6677" r:id="rId6672" display="https://pld.live/RapDetail.aspx?STONELIST=926960862&amp;ISCONFIRM=0" xr:uid="{F2718D65-A811-493A-9572-75E1510B8F2A}"/>
    <hyperlink ref="C6678" r:id="rId6673" display="https://pld.live/RapDetail.aspx?STONELIST=941400565&amp;ISCONFIRM=0" xr:uid="{E202A125-4E8E-4FB4-8051-FB811339CC58}"/>
    <hyperlink ref="C6679" r:id="rId6674" display="https://pld.live/RapDetail.aspx?STONELIST=927092638&amp;ISCONFIRM=0" xr:uid="{FE08670A-281C-43B1-A146-650C50C93CEB}"/>
    <hyperlink ref="C6680" r:id="rId6675" display="https://pld.live/RapDetail.aspx?STONELIST=926960868&amp;ISCONFIRM=0" xr:uid="{2E1E697B-6CA9-40A7-BE5F-15D95278086F}"/>
    <hyperlink ref="C6681" r:id="rId6676" display="https://pld.live/RapDetail.aspx?STONELIST=927092627&amp;ISCONFIRM=0" xr:uid="{0728C660-40F4-4211-A193-4C6CF36455F4}"/>
    <hyperlink ref="C6682" r:id="rId6677" display="https://pld.live/RapDetail.aspx?STONELIST=927052695&amp;ISCONFIRM=0" xr:uid="{D2E7D04D-5625-449A-9F61-C3A5BE599D20}"/>
    <hyperlink ref="C6683" r:id="rId6678" display="https://pld.live/RapDetail.aspx?STONELIST=927140435&amp;ISCONFIRM=0" xr:uid="{1E5AE586-FA9F-4DD1-A9E1-6496EE71F27F}"/>
    <hyperlink ref="C6684" r:id="rId6679" display="https://pld.live/RapDetail.aspx?STONELIST=941280511&amp;ISCONFIRM=0" xr:uid="{CE2DECCC-FC36-46C7-90C4-8045E9B1CCF6}"/>
    <hyperlink ref="C6685" r:id="rId6680" display="https://pld.live/RapDetail.aspx?STONELIST=927132506&amp;ISCONFIRM=0" xr:uid="{B6684427-69B2-4A65-A4F1-CB9C71255453}"/>
    <hyperlink ref="C6686" r:id="rId6681" display="https://pld.live/RapDetail.aspx?STONELIST=927132513&amp;ISCONFIRM=0" xr:uid="{12F26DE4-8899-407B-9C84-14ED9D488106}"/>
    <hyperlink ref="C6687" r:id="rId6682" display="https://pld.live/RapDetail.aspx?STONELIST=927132550&amp;ISCONFIRM=0" xr:uid="{CD97044F-A688-44AE-9705-C7BBF19E1E93}"/>
    <hyperlink ref="C6688" r:id="rId6683" display="https://pld.live/RapDetail.aspx?STONELIST=927152913&amp;ISCONFIRM=0" xr:uid="{128D6040-3859-4703-B979-68CEC8465325}"/>
    <hyperlink ref="C6689" r:id="rId6684" display="https://pld.live/RapDetail.aspx?STONELIST=927152901&amp;ISCONFIRM=0" xr:uid="{5204C16E-6759-4BE9-BAB7-35FFDB8A993B}"/>
    <hyperlink ref="C6690" r:id="rId6685" display="https://pld.live/RapDetail.aspx?STONELIST=927152890&amp;ISCONFIRM=0" xr:uid="{4E89B1A9-40F6-4942-9678-F26471DC2A0B}"/>
    <hyperlink ref="C6691" r:id="rId6686" display="https://pld.live/RapDetail.aspx?STONELIST=927132448&amp;ISCONFIRM=0" xr:uid="{57460A88-F988-45D1-AA05-AC8AF9D96B72}"/>
    <hyperlink ref="C6692" r:id="rId6687" display="https://pld.live/RapDetail.aspx?STONELIST=927102455&amp;ISCONFIRM=0" xr:uid="{1F59A1C5-DFF2-45BA-A40C-879E77C57631}"/>
    <hyperlink ref="C6693" r:id="rId6688" display="https://pld.live/RapDetail.aspx?STONELIST=927052726&amp;ISCONFIRM=0" xr:uid="{834F82ED-D9A0-4546-9E6B-72F619911A3E}"/>
    <hyperlink ref="C6694" r:id="rId6689" display="https://pld.live/RapDetail.aspx?STONELIST=927010829&amp;ISCONFIRM=0" xr:uid="{FA57A922-241F-4F8B-AFCB-41DADF9FA652}"/>
    <hyperlink ref="C6695" r:id="rId6690" display="https://pld.live/RapDetail.aspx?STONELIST=941140781&amp;ISCONFIRM=0" xr:uid="{2CB6DE35-7E18-4FB6-B708-A301F8949D7C}"/>
    <hyperlink ref="C6696" r:id="rId6691" display="https://pld.live/RapDetail.aspx?STONELIST=941071319&amp;ISCONFIRM=0" xr:uid="{B7B3B566-50F6-4345-AD93-3E4542083C77}"/>
    <hyperlink ref="C6697" r:id="rId6692" display="https://pld.live/RapDetail.aspx?STONELIST=927152935&amp;ISCONFIRM=0" xr:uid="{0F4267BF-FCDE-4330-9808-FFC1D6FADB8E}"/>
    <hyperlink ref="C6698" r:id="rId6693" display="https://pld.live/RapDetail.aspx?STONELIST=941040715&amp;ISCONFIRM=0" xr:uid="{EA4988EC-5CAA-4CC0-B638-E5347BBE4041}"/>
    <hyperlink ref="C6699" r:id="rId6694" display="https://pld.live/RapDetail.aspx?STONELIST=927132456&amp;ISCONFIRM=0" xr:uid="{77927421-B62A-4506-96A9-A0D72220ECE7}"/>
    <hyperlink ref="C6700" r:id="rId6695" display="https://pld.live/RapDetail.aspx?STONELIST=927101000&amp;ISCONFIRM=0" xr:uid="{08ED4061-0813-4121-A1B1-379138647D35}"/>
    <hyperlink ref="C6701" r:id="rId6696" display="https://pld.live/RapDetail.aspx?STONELIST=941300152&amp;ISCONFIRM=0" xr:uid="{C107BCD7-A4F4-4C8E-A8E4-25B65900BE18}"/>
    <hyperlink ref="C6702" r:id="rId6697" display="https://pld.live/RapDetail.aspx?STONELIST=927132522&amp;ISCONFIRM=0" xr:uid="{12CB50C6-2DC5-48EC-A3F7-CCBD475CCA05}"/>
    <hyperlink ref="C6703" r:id="rId6698" display="https://pld.live/RapDetail.aspx?STONELIST=927152897&amp;ISCONFIRM=0" xr:uid="{46E3DC5E-83E0-42BF-992F-6BFBFAC46D8E}"/>
    <hyperlink ref="C6704" r:id="rId6699" display="https://pld.live/RapDetail.aspx?STONELIST=927092612&amp;ISCONFIRM=0" xr:uid="{85D3592A-7DE2-4AF4-8B01-B57FE4C4378A}"/>
    <hyperlink ref="C6705" r:id="rId6700" display="https://pld.live/RapDetail.aspx?STONELIST=927092683&amp;ISCONFIRM=0" xr:uid="{B1DD0905-117B-48E2-9A73-689F31349A9E}"/>
    <hyperlink ref="C6706" r:id="rId6701" display="https://pld.live/RapDetail.aspx?STONELIST=941071343&amp;ISCONFIRM=0" xr:uid="{9047C21E-E584-45FF-9E1D-52FB80E0477D}"/>
    <hyperlink ref="C6707" r:id="rId6702" display="https://pld.live/RapDetail.aspx?STONELIST=941080838&amp;ISCONFIRM=0" xr:uid="{E03D129D-A29B-4ACD-9404-EAAEE56DF193}"/>
    <hyperlink ref="C6708" r:id="rId6703" display="https://pld.live/RapDetail.aspx?STONELIST=927132449&amp;ISCONFIRM=0" xr:uid="{39C11F40-60C1-4D31-BE3B-55063F91E77A}"/>
    <hyperlink ref="C6709" r:id="rId6704" display="https://pld.live/RapDetail.aspx?STONELIST=941160576&amp;ISCONFIRM=0" xr:uid="{07493BFD-48EB-4C7F-8469-DD3D1D1E4E8F}"/>
    <hyperlink ref="C6710" r:id="rId6705" display="https://pld.live/RapDetail.aspx?STONELIST=927132543&amp;ISCONFIRM=0" xr:uid="{BA68BEDD-1316-4871-80DD-812B388F1E29}"/>
    <hyperlink ref="C6711" r:id="rId6706" display="https://pld.live/RapDetail.aspx?STONELIST=941140836&amp;ISCONFIRM=0" xr:uid="{7E933CCA-4328-4BF7-B14C-C0AAB72CD157}"/>
    <hyperlink ref="C6712" r:id="rId6707" display="https://pld.live/RapDetail.aspx?STONELIST=941040705&amp;ISCONFIRM=0" xr:uid="{4D3981BF-FA38-42C0-A3E7-301F6DF59B82}"/>
    <hyperlink ref="C6713" r:id="rId6708" display="https://pld.live/RapDetail.aspx?STONELIST=927102459&amp;ISCONFIRM=0" xr:uid="{15930A09-C17D-4A43-B69E-E746B10C6542}"/>
    <hyperlink ref="C6714" r:id="rId6709" display="https://pld.live/RapDetail.aspx?STONELIST=926941233&amp;ISCONFIRM=0" xr:uid="{F528F2A7-FCD0-41CE-B8F6-6312A0048812}"/>
    <hyperlink ref="C6715" r:id="rId6710" display="https://pld.live/RapDetail.aspx?STONELIST=926972239&amp;ISCONFIRM=0" xr:uid="{C5759438-DF34-41F0-A5E1-F49607CD4255}"/>
    <hyperlink ref="C6716" r:id="rId6711" display="https://pld.live/RapDetail.aspx?STONELIST=926972231&amp;ISCONFIRM=0" xr:uid="{79839079-B519-4DB1-871C-283664162374}"/>
    <hyperlink ref="C6717" r:id="rId6712" display="https://pld.live/RapDetail.aspx?STONELIST=831020637&amp;ISCONFIRM=0" xr:uid="{2753E128-ECFC-411B-955C-61B20DD063B6}"/>
    <hyperlink ref="C6718" r:id="rId6713" display="https://pld.live/RapDetail.aspx?STONELIST=927102454&amp;ISCONFIRM=0" xr:uid="{180E4E47-DE2D-4A8B-BBDB-BEFB88592BAE}"/>
    <hyperlink ref="C6719" r:id="rId6714" display="https://pld.live/RapDetail.aspx?STONELIST=927102501&amp;ISCONFIRM=0" xr:uid="{CF2C5773-2A99-41E5-BD18-5354AD6178F8}"/>
    <hyperlink ref="C6720" r:id="rId6715" display="https://pld.live/RapDetail.aspx?STONELIST=927092615&amp;ISCONFIRM=0" xr:uid="{899565D3-A8E4-401B-9A93-BF28340041DD}"/>
    <hyperlink ref="C6721" r:id="rId6716" display="https://pld.live/RapDetail.aspx?STONELIST=927132517&amp;ISCONFIRM=0" xr:uid="{92F12189-19E6-4919-AED3-4EB490E3785C}"/>
    <hyperlink ref="C6722" r:id="rId6717" display="https://pld.live/RapDetail.aspx?STONELIST=926960865&amp;ISCONFIRM=0" xr:uid="{221C691C-BAB2-4676-9CE8-2AD12E85479F}"/>
    <hyperlink ref="C6723" r:id="rId6718" display="https://pld.live/RapDetail.aspx?STONELIST=941190388&amp;ISCONFIRM=0" xr:uid="{099EB9C0-65CF-46B3-9683-907459260E43}"/>
    <hyperlink ref="C6724" r:id="rId6719" display="https://pld.live/RapDetail.aspx?STONELIST=941040709&amp;ISCONFIRM=0" xr:uid="{47F6693E-932F-42A7-B8A0-20FB11BC5434}"/>
    <hyperlink ref="C6725" r:id="rId6720" display="https://pld.live/RapDetail.aspx?STONELIST=927102495&amp;ISCONFIRM=0" xr:uid="{893CEE7B-0924-4291-A6FC-01FBCEAFD848}"/>
    <hyperlink ref="C6726" r:id="rId6721" display="https://pld.live/RapDetail.aspx?STONELIST=941021795&amp;ISCONFIRM=0" xr:uid="{07F5597C-E0A9-49A8-B80C-D10A8DBDABB6}"/>
    <hyperlink ref="C6727" r:id="rId6722" display="https://pld.live/RapDetail.aspx?STONELIST=927102478&amp;ISCONFIRM=0" xr:uid="{A42D805E-DB52-4443-A3AD-CF3B511379E4}"/>
    <hyperlink ref="C6728" r:id="rId6723" display="https://pld.live/RapDetail.aspx?STONELIST=927132441&amp;ISCONFIRM=0" xr:uid="{5DC04586-4623-4CF4-842E-4A5FDD8F2C0B}"/>
    <hyperlink ref="C6729" r:id="rId6724" display="https://pld.live/RapDetail.aspx?STONELIST=927132565&amp;ISCONFIRM=0" xr:uid="{E1AE39E5-A90D-4FC2-B6FD-DBE8536932D6}"/>
    <hyperlink ref="C6730" r:id="rId6725" display="https://pld.live/RapDetail.aspx?STONELIST=927102463&amp;ISCONFIRM=0" xr:uid="{2A450F2D-ABDF-474B-8373-912572140E87}"/>
    <hyperlink ref="C6731" r:id="rId6726" display="https://pld.live/RapDetail.aspx?STONELIST=927132461&amp;ISCONFIRM=0" xr:uid="{67F35D0F-F61B-44AB-9D6C-4E0BE998A1FC}"/>
    <hyperlink ref="C6732" r:id="rId6727" display="https://pld.live/RapDetail.aspx?STONELIST=926890575&amp;ISCONFIRM=0" xr:uid="{162D4752-7C8B-4070-BF73-AF35755C30E2}"/>
    <hyperlink ref="C6733" r:id="rId6728" display="https://pld.live/RapDetail.aspx?STONELIST=927152904&amp;ISCONFIRM=0" xr:uid="{C20C4D1A-572F-4592-9429-98F589EE4AE7}"/>
    <hyperlink ref="C6734" r:id="rId6729" display="https://pld.live/RapDetail.aspx?STONELIST=927132535&amp;ISCONFIRM=0" xr:uid="{BFEBD335-3888-40F2-9BDE-A9654150815F}"/>
    <hyperlink ref="C6735" r:id="rId6730" display="https://pld.live/RapDetail.aspx?STONELIST=941071367&amp;ISCONFIRM=0" xr:uid="{C56387D8-68D2-4AED-8B03-E9E4A28AD3E7}"/>
    <hyperlink ref="C6736" r:id="rId6731" display="https://pld.live/RapDetail.aspx?STONELIST=927092649&amp;ISCONFIRM=0" xr:uid="{422AD97E-419D-4E69-BBED-E0C6EE27BF80}"/>
    <hyperlink ref="C6737" r:id="rId6732" display="https://pld.live/RapDetail.aspx?STONELIST=927152962&amp;ISCONFIRM=0" xr:uid="{6F7CF55D-8B2B-4769-AD91-78A0265E306D}"/>
    <hyperlink ref="C6738" r:id="rId6733" display="https://pld.live/RapDetail.aspx?STONELIST=927152895&amp;ISCONFIRM=0" xr:uid="{210322CA-4219-4C33-8244-116BFBA844CB}"/>
    <hyperlink ref="C6739" r:id="rId6734" display="https://pld.live/RapDetail.aspx?STONELIST=927132488&amp;ISCONFIRM=0" xr:uid="{DC15CFAC-4A17-4909-A51B-82987AB20468}"/>
    <hyperlink ref="C6740" r:id="rId6735" display="https://pld.live/RapDetail.aspx?STONELIST=927132529&amp;ISCONFIRM=0" xr:uid="{F94FB4F1-126A-4C45-B8D0-AB9308EE199D}"/>
    <hyperlink ref="C6741" r:id="rId6736" display="https://pld.live/RapDetail.aspx?STONELIST=927102456&amp;ISCONFIRM=0" xr:uid="{AAF577E9-5F44-4FA4-A59A-6DD9CBE3FC09}"/>
    <hyperlink ref="C6742" r:id="rId6737" display="https://pld.live/RapDetail.aspx?STONELIST=941280520&amp;ISCONFIRM=0" xr:uid="{79F4E2B6-2068-476D-83E5-0C73F2E6B740}"/>
    <hyperlink ref="C6743" r:id="rId6738" display="https://pld.live/RapDetail.aspx?STONELIST=927092554&amp;ISCONFIRM=0" xr:uid="{E431CA2F-5415-4EE6-959C-1A99D1DB10AC}"/>
    <hyperlink ref="C6744" r:id="rId6739" display="https://pld.live/RapDetail.aspx?STONELIST=927092629&amp;ISCONFIRM=0" xr:uid="{F5084114-E31F-4DCE-834B-05CB0CE17BC3}"/>
    <hyperlink ref="C6745" r:id="rId6740" display="https://pld.live/RapDetail.aspx?STONELIST=927052746&amp;ISCONFIRM=0" xr:uid="{A86EE65C-40A5-4ED9-8FDA-3F2E2D9E4245}"/>
    <hyperlink ref="C6746" r:id="rId6741" display="https://pld.live/RapDetail.aspx?STONELIST=941040710&amp;ISCONFIRM=0" xr:uid="{4006C139-184C-4A37-A647-4F9DE9BF5511}"/>
    <hyperlink ref="C6747" r:id="rId6742" display="https://pld.live/RapDetail.aspx?STONELIST=927152988&amp;ISCONFIRM=0" xr:uid="{FB2F0F60-4195-4870-B83E-A1B402EFB19A}"/>
    <hyperlink ref="C6748" r:id="rId6743" display="https://pld.live/RapDetail.aspx?STONELIST=941190494&amp;ISCONFIRM=0" xr:uid="{6663BF1F-951D-4A51-A43F-179A1C1637B6}"/>
    <hyperlink ref="C6749" r:id="rId6744" display="https://pld.live/RapDetail.aspx?STONELIST=927132463&amp;ISCONFIRM=0" xr:uid="{5DF6CA0D-7F39-4811-8D42-BD807D610CC9}"/>
    <hyperlink ref="C6750" r:id="rId6745" display="https://pld.live/RapDetail.aspx?STONELIST=927132470&amp;ISCONFIRM=0" xr:uid="{66C728BA-B9C1-449E-8FFA-2BB3840B8F12}"/>
    <hyperlink ref="C6751" r:id="rId6746" display="https://pld.live/RapDetail.aspx?STONELIST=927132521&amp;ISCONFIRM=0" xr:uid="{194EF3A3-6427-4A35-9729-BF2E643F884B}"/>
    <hyperlink ref="C6752" r:id="rId6747" display="https://pld.live/RapDetail.aspx?STONELIST=927152927&amp;ISCONFIRM=0" xr:uid="{FF5E9CBF-213E-4AC4-85FC-94681B68782A}"/>
    <hyperlink ref="C6753" r:id="rId6748" display="https://pld.live/RapDetail.aspx?STONELIST=926820108&amp;ISCONFIRM=0" xr:uid="{AA7147EE-4380-475A-A75D-6D998D4E08DC}"/>
    <hyperlink ref="C6754" r:id="rId6749" display="https://pld.live/RapDetail.aspx?STONELIST=927152949&amp;ISCONFIRM=0" xr:uid="{BCD57EB7-02F8-4C31-A408-9ED3D67C26E0}"/>
    <hyperlink ref="C6755" r:id="rId6750" display="https://pld.live/RapDetail.aspx?STONELIST=9413700664&amp;ISCONFIRM=0" xr:uid="{16C200CF-E58B-41DB-A8A7-2B1462739CBB}"/>
    <hyperlink ref="C6756" r:id="rId6751" display="https://pld.live/RapDetail.aspx?STONELIST=927132519&amp;ISCONFIRM=0" xr:uid="{D0C74C9A-2678-4048-A797-090F88C99405}"/>
    <hyperlink ref="C6757" r:id="rId6752" display="https://pld.live/RapDetail.aspx?STONELIST=927132544&amp;ISCONFIRM=0" xr:uid="{1C7A60D7-7825-4EBC-862A-A74ED7DF918D}"/>
    <hyperlink ref="C6758" r:id="rId6753" display="https://pld.live/RapDetail.aspx?STONELIST=927132560&amp;ISCONFIRM=0" xr:uid="{4E0BE651-7430-4C14-A508-CDA12CCF8618}"/>
    <hyperlink ref="C6759" r:id="rId6754" display="https://pld.live/RapDetail.aspx?STONELIST=927052749&amp;ISCONFIRM=0" xr:uid="{BF3A0FC7-D4A8-4138-A4A7-0A22D17DF389}"/>
    <hyperlink ref="C6760" r:id="rId6755" display="https://pld.live/RapDetail.aspx?STONELIST=927152921&amp;ISCONFIRM=0" xr:uid="{F170AA4C-DE4D-46B3-8CF7-5C1EEA95CCE5}"/>
    <hyperlink ref="C6761" r:id="rId6756" display="https://pld.live/RapDetail.aspx?STONELIST=941140830&amp;ISCONFIRM=0" xr:uid="{A49A7B47-A451-4594-8E46-6E6B2C89F810}"/>
    <hyperlink ref="C6762" r:id="rId6757" display="https://pld.live/RapDetail.aspx?STONELIST=941160595&amp;ISCONFIRM=0" xr:uid="{3EF9EC2F-77AE-478D-9C55-73D7BA161B4C}"/>
    <hyperlink ref="C6763" r:id="rId6758" display="https://pld.live/RapDetail.aspx?STONELIST=941160534&amp;ISCONFIRM=0" xr:uid="{9BBD00ED-A734-4903-9BDC-FB2204BE5730}"/>
    <hyperlink ref="C6764" r:id="rId6759" display="https://pld.live/RapDetail.aspx?STONELIST=927102491&amp;ISCONFIRM=0" xr:uid="{07BDBDC6-0994-4E1A-B92F-364896ABC3F9}"/>
    <hyperlink ref="C6765" r:id="rId6760" display="https://pld.live/RapDetail.aspx?STONELIST=927132586&amp;ISCONFIRM=0" xr:uid="{E35BBA3A-D418-4C61-B4B5-D701F5A2982E}"/>
    <hyperlink ref="C6766" r:id="rId6761" display="https://pld.live/RapDetail.aspx?STONELIST=927132451&amp;ISCONFIRM=0" xr:uid="{121301BD-5453-410A-B49C-006C2C6FF351}"/>
    <hyperlink ref="C6767" r:id="rId6762" display="https://pld.live/RapDetail.aspx?STONELIST=927152983&amp;ISCONFIRM=0" xr:uid="{DD00F31F-0525-408E-93F2-C54106BA674C}"/>
    <hyperlink ref="C6768" r:id="rId6763" display="https://pld.live/RapDetail.aspx?STONELIST=926960875&amp;ISCONFIRM=0" xr:uid="{3913164E-4FA3-4860-8EB6-EFEC3DE1820E}"/>
    <hyperlink ref="C6769" r:id="rId6764" display="https://pld.live/RapDetail.aspx?STONELIST=941140850&amp;ISCONFIRM=0" xr:uid="{56C49BA6-4B40-4549-A58F-C0C949AAB236}"/>
    <hyperlink ref="C6770" r:id="rId6765" display="https://pld.live/RapDetail.aspx?STONELIST=927132511&amp;ISCONFIRM=0" xr:uid="{3B0BC141-E678-4867-8E02-9CA4325002DE}"/>
    <hyperlink ref="C6771" r:id="rId6766" display="https://pld.live/RapDetail.aspx?STONELIST=927152978&amp;ISCONFIRM=0" xr:uid="{25271CDC-899F-4276-A666-7B4BC3B96341}"/>
    <hyperlink ref="C6772" r:id="rId6767" display="https://pld.live/RapDetail.aspx?STONELIST=926010272&amp;ISCONFIRM=0" xr:uid="{A4C0651E-B73D-4DEB-BECA-252A3DF4F04F}"/>
    <hyperlink ref="C6773" r:id="rId6768" display="https://pld.live/RapDetail.aspx?STONELIST=941190143&amp;ISCONFIRM=0" xr:uid="{77113066-CE08-465C-9CCC-692C7C84EC25}"/>
    <hyperlink ref="C6774" r:id="rId6769" display="https://pld.live/RapDetail.aspx?STONELIST=927132468&amp;ISCONFIRM=0" xr:uid="{D8E64860-101D-46F2-8E79-330690307529}"/>
    <hyperlink ref="C6775" r:id="rId6770" display="https://pld.live/RapDetail.aspx?STONELIST=831020582&amp;ISCONFIRM=0" xr:uid="{C0084C07-0B02-4D7A-87D8-2E2473DB8D57}"/>
    <hyperlink ref="C6776" r:id="rId6771" display="https://pld.live/RapDetail.aspx?STONELIST=922780052&amp;ISCONFIRM=0" xr:uid="{89B7027D-CA6C-4765-8FC8-5CA3BC6DB9DC}"/>
    <hyperlink ref="C6777" r:id="rId6772" display="https://pld.live/RapDetail.aspx?STONELIST=925410050&amp;ISCONFIRM=0" xr:uid="{BB2938C1-6F14-4FDA-8C88-CC92E3B135E6}"/>
    <hyperlink ref="C6778" r:id="rId6773" display="https://pld.live/RapDetail.aspx?STONELIST=925410051&amp;ISCONFIRM=0" xr:uid="{10311DD1-4CA1-404A-871B-2DEF306880FF}"/>
    <hyperlink ref="C6779" r:id="rId6774" display="https://pld.live/RapDetail.aspx?STONELIST=922420045&amp;ISCONFIRM=0" xr:uid="{7896FBD4-4D8D-4175-A77C-EBE5A4C6F3C3}"/>
    <hyperlink ref="C6780" r:id="rId6775" display="https://pld.live/RapDetail.aspx?STONELIST=924500015&amp;ISCONFIRM=0" xr:uid="{5A3368E0-8D5C-4DC7-B8E3-DC607C79CADB}"/>
    <hyperlink ref="C6781" r:id="rId6776" display="https://pld.live/RapDetail.aspx?STONELIST=925880033&amp;ISCONFIRM=0" xr:uid="{A752EE60-9A9C-4B85-B98C-2C5436201BB9}"/>
    <hyperlink ref="C6782" r:id="rId6777" display="https://pld.live/RapDetail.aspx?STONELIST=831020216&amp;ISCONFIRM=0" xr:uid="{20FA2388-59C0-4682-A1BF-7115F129390F}"/>
    <hyperlink ref="C6783" r:id="rId6778" display="https://pld.live/RapDetail.aspx?STONELIST=926050264&amp;ISCONFIRM=0" xr:uid="{EA58BBC3-38C4-4704-B6C9-1A009B0C8F50}"/>
    <hyperlink ref="C6784" r:id="rId6779" display="https://pld.live/RapDetail.aspx?STONELIST=925410048&amp;ISCONFIRM=0" xr:uid="{2EA46C6A-2840-4C72-B461-9810C9E5377A}"/>
    <hyperlink ref="C6785" r:id="rId6780" display="https://pld.live/RapDetail.aspx?STONELIST=926010268&amp;ISCONFIRM=0" xr:uid="{6FC9C5D7-52AE-474C-85B5-A28913C1E717}"/>
    <hyperlink ref="C6786" r:id="rId6781" display="https://pld.live/RapDetail.aspx?STONELIST=926050335&amp;ISCONFIRM=0" xr:uid="{D60FA39C-2613-44C7-8861-8B71A28295F7}"/>
    <hyperlink ref="C6787" r:id="rId6782" display="https://pld.live/RapDetail.aspx?STONELIST=925930129&amp;ISCONFIRM=0" xr:uid="{69778DC5-D9D2-468F-948F-C712EE98D076}"/>
    <hyperlink ref="C6788" r:id="rId6783" display="https://pld.live/RapDetail.aspx?STONELIST=924300714&amp;ISCONFIRM=0" xr:uid="{F0322831-E1FE-4CEA-9F40-D19A880E7E3A}"/>
    <hyperlink ref="C6789" r:id="rId6784" display="https://pld.live/RapDetail.aspx?STONELIST=924250637&amp;ISCONFIRM=0" xr:uid="{9B643D83-5734-4299-BF50-50069FD69DDD}"/>
    <hyperlink ref="C6790" r:id="rId6785" display="https://pld.live/RapDetail.aspx?STONELIST=925880138&amp;ISCONFIRM=0" xr:uid="{3EC2BF4A-7607-473F-A8FD-4B0288834737}"/>
    <hyperlink ref="C6791" r:id="rId6786" display="https://pld.live/RapDetail.aspx?STONELIST=926910553&amp;ISCONFIRM=0" xr:uid="{5E1B8352-7DF1-401F-B56F-C75A557FD214}"/>
    <hyperlink ref="C6792" r:id="rId6787" display="https://pld.live/RapDetail.aspx?STONELIST=821115814&amp;ISCONFIRM=0" xr:uid="{0DE723A1-D255-4E7A-BA76-FBAC29E13CE4}"/>
    <hyperlink ref="C6793" r:id="rId6788" display="https://pld.live/RapDetail.aspx?STONELIST=926050266&amp;ISCONFIRM=0" xr:uid="{091E97C0-F47A-4A7C-B6B4-B3E924347456}"/>
    <hyperlink ref="C6794" r:id="rId6789" display="https://pld.live/RapDetail.aspx?STONELIST=821115810&amp;ISCONFIRM=0" xr:uid="{84C1954B-DBDB-444C-9F81-D99ECEDCCA55}"/>
    <hyperlink ref="C6795" r:id="rId6790" display="https://pld.live/RapDetail.aspx?STONELIST=925880253&amp;ISCONFIRM=0" xr:uid="{146B129C-2C50-45C0-94BF-5D9E192B45D5}"/>
    <hyperlink ref="C6796" r:id="rId6791" display="https://pld.live/RapDetail.aspx?STONELIST=821115808&amp;ISCONFIRM=0" xr:uid="{9DA95C3D-183A-4AC5-8709-B4021FB6E2F0}"/>
    <hyperlink ref="C6797" r:id="rId6792" display="https://pld.live/RapDetail.aspx?STONELIST=821115812&amp;ISCONFIRM=0" xr:uid="{7824A036-C4C0-4209-822B-E7C2525A3044}"/>
    <hyperlink ref="C6798" r:id="rId6793" display="https://pld.live/RapDetail.aspx?STONELIST=821115811&amp;ISCONFIRM=0" xr:uid="{A46657E5-86B8-426F-BFA3-E7949D596386}"/>
    <hyperlink ref="C6799" r:id="rId6794" display="https://pld.live/RapDetail.aspx?STONELIST=821115809&amp;ISCONFIRM=0" xr:uid="{97D12ED7-13CF-40CC-8224-020B793D3611}"/>
    <hyperlink ref="C6800" r:id="rId6795" display="https://pld.live/RapDetail.aspx?STONELIST=924190748&amp;ISCONFIRM=0" xr:uid="{9417AC2C-D6A1-406A-AAB6-40F1075FC01C}"/>
    <hyperlink ref="C6801" r:id="rId6796" display="https://pld.live/RapDetail.aspx?STONELIST=924250791&amp;ISCONFIRM=0" xr:uid="{51B6D4DC-3392-41E8-BAE6-B4D4B9FFF458}"/>
    <hyperlink ref="C6802" r:id="rId6797" display="https://pld.live/RapDetail.aspx?STONELIST=821115807&amp;ISCONFIRM=0" xr:uid="{6BCD386E-B885-459C-87DB-41DB9CDB5DBC}"/>
    <hyperlink ref="C6803" r:id="rId6798" display="https://pld.live/RapDetail.aspx?STONELIST=925930274&amp;ISCONFIRM=0" xr:uid="{BAE6AD11-A0F9-46A9-AE1F-07FC1EA7CD49}"/>
    <hyperlink ref="C6804" r:id="rId6799" display="https://pld.live/RapDetail.aspx?STONELIST=925630202&amp;ISCONFIRM=0" xr:uid="{678AA54D-68C7-477A-8C47-BCDC0273F13D}"/>
    <hyperlink ref="C6805" r:id="rId6800" display="https://pld.live/RapDetail.aspx?STONELIST=925880153&amp;ISCONFIRM=0" xr:uid="{B205148A-3DD0-4DC7-9665-43BB36451592}"/>
    <hyperlink ref="C6806" r:id="rId6801" display="https://pld.live/RapDetail.aspx?STONELIST=924940248&amp;ISCONFIRM=0" xr:uid="{B9C1DE1E-CBBA-47BB-A937-7D39D1C8D5CA}"/>
    <hyperlink ref="C6807" r:id="rId6802" display="https://pld.live/RapDetail.aspx?STONELIST=923750305&amp;ISCONFIRM=0" xr:uid="{B5B92112-A27F-464F-917B-AC042C481C48}"/>
    <hyperlink ref="C6808" r:id="rId6803" display="https://pld.live/RapDetail.aspx?STONELIST=925880213&amp;ISCONFIRM=0" xr:uid="{33C08F07-F313-45D6-8551-4E888FF3638E}"/>
    <hyperlink ref="C6809" r:id="rId6804" display="https://pld.live/RapDetail.aspx?STONELIST=925930301&amp;ISCONFIRM=0" xr:uid="{BE0A3756-8186-4990-9DF3-6449EAA57017}"/>
    <hyperlink ref="C6810" r:id="rId6805" display="https://pld.live/RapDetail.aspx?STONELIST=925930233&amp;ISCONFIRM=0" xr:uid="{232ED4A2-D720-4F61-BFF6-AE51D7CA3F5E}"/>
    <hyperlink ref="C6811" r:id="rId6806" display="https://pld.live/RapDetail.aspx?STONELIST=925930203&amp;ISCONFIRM=0" xr:uid="{F8A0B771-9C54-4D00-875D-750FC9EC8344}"/>
    <hyperlink ref="C6812" r:id="rId6807" display="https://pld.live/RapDetail.aspx?STONELIST=925930261&amp;ISCONFIRM=0" xr:uid="{726A7F90-2F76-4A08-90F7-4B0307102C44}"/>
    <hyperlink ref="C6813" r:id="rId6808" display="https://pld.live/RapDetail.aspx?STONELIST=922170050&amp;ISCONFIRM=0" xr:uid="{CB42B257-F860-4E94-8A9A-9C9160CC2A9C}"/>
    <hyperlink ref="C6814" r:id="rId6809" display="https://pld.live/RapDetail.aspx?STONELIST=926050366&amp;ISCONFIRM=0" xr:uid="{17F8C5C5-BAEF-474C-9329-142F71F954D4}"/>
    <hyperlink ref="C6815" r:id="rId6810" display="https://pld.live/RapDetail.aspx?STONELIST=921660044&amp;ISCONFIRM=0" xr:uid="{93B6F920-82B4-41DE-9597-0F0FF001411F}"/>
    <hyperlink ref="C6816" r:id="rId6811" display="https://pld.live/RapDetail.aspx?STONELIST=925930132&amp;ISCONFIRM=0" xr:uid="{9BCF769F-9F0C-40B5-918C-88F5087822E4}"/>
    <hyperlink ref="C6817" r:id="rId6812" display="https://pld.live/RapDetail.aspx?STONELIST=924250768&amp;ISCONFIRM=0" xr:uid="{CD9D0C67-7B38-4E76-AF3C-3416E4D400C7}"/>
    <hyperlink ref="C6818" r:id="rId6813" display="https://pld.live/RapDetail.aspx?STONELIST=922420033&amp;ISCONFIRM=0" xr:uid="{27754FB5-9D42-45D3-AA60-CF2FA9B3E485}"/>
    <hyperlink ref="C6819" r:id="rId6814" display="https://pld.live/RapDetail.aspx?STONELIST=924190221&amp;ISCONFIRM=0" xr:uid="{3903D5EB-0EE7-442B-822E-99B6206904FD}"/>
    <hyperlink ref="C6820" r:id="rId6815" display="https://pld.live/RapDetail.aspx?STONELIST=926050401&amp;ISCONFIRM=0" xr:uid="{C324D73C-C9F7-411D-B426-ED3FF176FA12}"/>
    <hyperlink ref="C6821" r:id="rId6816" display="https://pld.live/RapDetail.aspx?STONELIST=926050242&amp;ISCONFIRM=0" xr:uid="{DBAE8146-F325-4910-9763-38EAC242E5BD}"/>
    <hyperlink ref="C6822" r:id="rId6817" display="https://pld.live/RapDetail.aspx?STONELIST=925930312&amp;ISCONFIRM=0" xr:uid="{315C61D3-12BC-4A3B-8C6D-853A3BD96BF6}"/>
    <hyperlink ref="C6823" r:id="rId6818" display="https://pld.live/RapDetail.aspx?STONELIST=831020172&amp;ISCONFIRM=0" xr:uid="{65CD1C0E-46D3-4754-BE38-D17E793C8293}"/>
    <hyperlink ref="C6824" r:id="rId6819" display="https://pld.live/RapDetail.aspx?STONELIST=821115910&amp;ISCONFIRM=0" xr:uid="{E69CA969-4E16-4990-8E7D-A72E620D2669}"/>
    <hyperlink ref="C6825" r:id="rId6820" display="https://pld.live/RapDetail.aspx?STONELIST=926420219&amp;ISCONFIRM=0" xr:uid="{D6E3B865-566A-4AFD-A7CF-7DC820C01222}"/>
    <hyperlink ref="C6826" r:id="rId6821" display="https://pld.live/RapDetail.aspx?STONELIST=927070609&amp;ISCONFIRM=0" xr:uid="{D2DC4FC7-40C4-4B44-8188-D8FB5C8EE909}"/>
    <hyperlink ref="C6827" r:id="rId6822" display="https://pld.live/RapDetail.aspx?STONELIST=924300676&amp;ISCONFIRM=0" xr:uid="{C605DE29-F709-471E-979F-8391707B9D1E}"/>
    <hyperlink ref="C6828" r:id="rId6823" display="https://pld.live/RapDetail.aspx?STONELIST=925050105&amp;ISCONFIRM=0" xr:uid="{38FFC2E3-5656-4BD9-84CF-7B0FCD6CE036}"/>
    <hyperlink ref="C6829" r:id="rId6824" display="https://pld.live/RapDetail.aspx?STONELIST=941310044&amp;ISCONFIRM=0" xr:uid="{FCC6547C-CCD3-4B4B-A22D-0AC2C60AF0BA}"/>
    <hyperlink ref="C6830" r:id="rId6825" display="https://pld.live/RapDetail.aspx?STONELIST=926910471&amp;ISCONFIRM=0" xr:uid="{1F5F2C13-E28C-481E-8C7C-6471F6ED49D3}"/>
    <hyperlink ref="C6831" r:id="rId6826" display="https://pld.live/RapDetail.aspx?STONELIST=926450559&amp;ISCONFIRM=0" xr:uid="{8F6C729F-6BDC-42C1-A1B1-7686E5D6DE88}"/>
    <hyperlink ref="C6832" r:id="rId6827" display="https://pld.live/RapDetail.aspx?STONELIST=921800065&amp;ISCONFIRM=0" xr:uid="{02EA393C-2D24-4609-9531-42DB4502CA2A}"/>
    <hyperlink ref="C6833" r:id="rId6828" display="https://pld.live/RapDetail.aspx?STONELIST=924190637&amp;ISCONFIRM=0" xr:uid="{6B674F72-2A23-4275-A174-E9F2E0AD3724}"/>
    <hyperlink ref="C6834" r:id="rId6829" display="https://pld.live/RapDetail.aspx?STONELIST=926890556&amp;ISCONFIRM=0" xr:uid="{BB53F66E-266D-4516-A609-BBEE57E2F979}"/>
    <hyperlink ref="C6835" r:id="rId6830" display="https://pld.live/RapDetail.aspx?STONELIST=926890565&amp;ISCONFIRM=0" xr:uid="{7BC7858B-92AD-4A98-9C58-24A1FC50CB70}"/>
    <hyperlink ref="C6836" r:id="rId6831" display="https://pld.live/RapDetail.aspx?STONELIST=926930926&amp;ISCONFIRM=0" xr:uid="{597312CA-86D6-4DCD-B4D0-FAF63700D5EA}"/>
    <hyperlink ref="C6837" r:id="rId6832" display="https://pld.live/RapDetail.aspx?STONELIST=924250272&amp;ISCONFIRM=0" xr:uid="{D6179CE2-1398-460B-9739-DCE12121DC65}"/>
    <hyperlink ref="C6838" r:id="rId6833" display="https://pld.live/RapDetail.aspx?STONELIST=926410348&amp;ISCONFIRM=0" xr:uid="{58AAB721-4970-4231-B0F0-E674BCF84435}"/>
    <hyperlink ref="C6839" r:id="rId6834" display="https://pld.live/RapDetail.aspx?STONELIST=924020238&amp;ISCONFIRM=0" xr:uid="{3D919AEB-9C88-4A9D-8491-1F8C94A2E6F9}"/>
    <hyperlink ref="C6840" r:id="rId6835" display="https://pld.live/RapDetail.aspx?STONELIST=941290191&amp;ISCONFIRM=0" xr:uid="{A121C98D-B3C1-46C7-88A3-6EB8FB21BCF5}"/>
    <hyperlink ref="C6841" r:id="rId6836" display="https://pld.live/RapDetail.aspx?STONELIST=926910563&amp;ISCONFIRM=0" xr:uid="{1176DB8F-459D-4B86-A762-16AB60AD3583}"/>
    <hyperlink ref="C6842" r:id="rId6837" display="https://pld.live/RapDetail.aspx?STONELIST=926150062&amp;ISCONFIRM=0" xr:uid="{A97E69DC-4600-49E3-9C59-82EFA3232950}"/>
    <hyperlink ref="C6843" r:id="rId6838" display="https://pld.live/RapDetail.aspx?STONELIST=926160046&amp;ISCONFIRM=0" xr:uid="{FC687A14-A6FF-4F6D-B281-AEA9DED47E9A}"/>
    <hyperlink ref="C6844" r:id="rId6839" display="https://pld.live/RapDetail.aspx?STONELIST=926150073&amp;ISCONFIRM=0" xr:uid="{07C82CD8-9855-4007-B1F9-E0AE5893FBC4}"/>
    <hyperlink ref="C6845" r:id="rId6840" display="https://pld.live/RapDetail.aspx?STONELIST=926150010&amp;ISCONFIRM=0" xr:uid="{C8D3A8A5-DF7E-466E-8632-E6967CE850DB}"/>
    <hyperlink ref="C6846" r:id="rId6841" display="https://pld.live/RapDetail.aspx?STONELIST=926560320&amp;ISCONFIRM=0" xr:uid="{A7A99DB0-F920-4790-98AD-7BA43F40B63A}"/>
    <hyperlink ref="C6847" r:id="rId6842" display="https://pld.live/RapDetail.aspx?STONELIST=821112594&amp;ISCONFIRM=0" xr:uid="{C2B1F6B1-294C-4E30-916B-5F15AE766738}"/>
    <hyperlink ref="C6848" r:id="rId6843" display="https://pld.live/RapDetail.aspx?STONELIST=926160040&amp;ISCONFIRM=0" xr:uid="{012B29F3-0561-4A13-A910-7A76333F0174}"/>
    <hyperlink ref="C6849" r:id="rId6844" display="https://pld.live/RapDetail.aspx?STONELIST=926160065&amp;ISCONFIRM=0" xr:uid="{CB1E9D60-919F-4ACF-8954-10F6808FE109}"/>
    <hyperlink ref="C6850" r:id="rId6845" display="https://pld.live/RapDetail.aspx?STONELIST=925930310&amp;ISCONFIRM=0" xr:uid="{F300249A-3DDA-4ADD-9B19-B88F861641BA}"/>
    <hyperlink ref="C6851" r:id="rId6846" display="https://pld.live/RapDetail.aspx?STONELIST=926410356&amp;ISCONFIRM=0" xr:uid="{6FCC2735-D88C-46BE-B566-983F18D1201C}"/>
    <hyperlink ref="C6852" r:id="rId6847" display="https://pld.live/RapDetail.aspx?STONELIST=926910597&amp;ISCONFIRM=0" xr:uid="{078B018C-A19D-446E-8CB9-EF70078F00C6}"/>
    <hyperlink ref="C6853" r:id="rId6848" display="https://pld.live/RapDetail.aspx?STONELIST=821112597&amp;ISCONFIRM=0" xr:uid="{46EE6113-B38C-46E2-A254-09A40078C8F0}"/>
    <hyperlink ref="C6854" r:id="rId6849" display="https://pld.live/RapDetail.aspx?STONELIST=926890562&amp;ISCONFIRM=0" xr:uid="{47191B45-9436-43E6-85A3-13B3C4C7723E}"/>
    <hyperlink ref="C6855" r:id="rId6850" display="https://pld.live/RapDetail.aspx?STONELIST=926910584&amp;ISCONFIRM=0" xr:uid="{417EC083-4722-4B70-A2DC-37F80F4D7742}"/>
    <hyperlink ref="C6856" r:id="rId6851" display="https://pld.live/RapDetail.aspx?STONELIST=821112598&amp;ISCONFIRM=0" xr:uid="{0E4F5E56-4880-449F-9D8D-42484B19A83C}"/>
    <hyperlink ref="C6857" r:id="rId6852" display="https://pld.live/RapDetail.aspx?STONELIST=926410458&amp;ISCONFIRM=0" xr:uid="{EFABD7C0-5582-4335-8F5B-D41FF4520627}"/>
    <hyperlink ref="C6858" r:id="rId6853" display="https://pld.live/RapDetail.aspx?STONELIST=926930090&amp;ISCONFIRM=0" xr:uid="{1D500F5B-DB88-48AB-BB89-F3595DE0ADF8}"/>
    <hyperlink ref="C6859" r:id="rId6854" display="https://pld.live/RapDetail.aspx?STONELIST=941330560&amp;ISCONFIRM=0" xr:uid="{BBCC685D-5A79-44BC-A9BA-C7BA1B91192D}"/>
    <hyperlink ref="C6860" r:id="rId6855" display="https://pld.live/RapDetail.aspx?STONELIST=927000518&amp;ISCONFIRM=0" xr:uid="{B9542F3E-718C-406B-80FF-3BF86BE89A23}"/>
    <hyperlink ref="C6861" r:id="rId6856" display="https://pld.live/RapDetail.aspx?STONELIST=926910023&amp;ISCONFIRM=0" xr:uid="{3C6A37DE-607D-4043-95C5-A69F2C775596}"/>
    <hyperlink ref="C6862" r:id="rId6857" display="https://pld.live/RapDetail.aspx?STONELIST=926470416&amp;ISCONFIRM=0" xr:uid="{33CFC5C9-74B3-4333-99EA-BD3FE11893B7}"/>
    <hyperlink ref="C6863" r:id="rId6858" display="https://pld.live/RapDetail.aspx?STONELIST=926910167&amp;ISCONFIRM=0" xr:uid="{8F768DD4-7DA4-4927-9053-F3B47A5C2668}"/>
    <hyperlink ref="C6864" r:id="rId6859" display="https://pld.live/RapDetail.aspx?STONELIST=926910197&amp;ISCONFIRM=0" xr:uid="{0C0DCD91-9A7B-44B5-87F1-C6A245194805}"/>
    <hyperlink ref="C6865" r:id="rId6860" display="https://pld.live/RapDetail.aspx?STONELIST=941330558&amp;ISCONFIRM=0" xr:uid="{E73C6FD4-84CA-4C32-9688-203FA459E508}"/>
    <hyperlink ref="C6866" r:id="rId6861" display="https://pld.live/RapDetail.aspx?STONELIST=926910588&amp;ISCONFIRM=0" xr:uid="{86DCF3E2-DB2C-4380-99BD-3F7F856EEA6C}"/>
    <hyperlink ref="C6867" r:id="rId6862" display="https://pld.live/RapDetail.aspx?STONELIST=926910494&amp;ISCONFIRM=0" xr:uid="{178A20A8-32A4-41AF-877A-E0C1D45419A0}"/>
    <hyperlink ref="C6868" r:id="rId6863" display="https://pld.live/RapDetail.aspx?STONELIST=926930820&amp;ISCONFIRM=0" xr:uid="{7547C4CF-0CC1-45CB-B295-F0DD46CE12D9}"/>
    <hyperlink ref="C6869" r:id="rId6864" display="https://pld.live/RapDetail.aspx?STONELIST=924930173&amp;ISCONFIRM=0" xr:uid="{E6E64340-936D-469D-995D-A9623EBFF416}"/>
    <hyperlink ref="C6870" r:id="rId6865" display="https://pld.live/RapDetail.aspx?STONELIST=926910286&amp;ISCONFIRM=0" xr:uid="{E9AFEEC1-C642-4559-98A2-EB71C1BE2FE9}"/>
    <hyperlink ref="C6871" r:id="rId6866" display="https://pld.live/RapDetail.aspx?STONELIST=924950269&amp;ISCONFIRM=0" xr:uid="{621CFA82-57F3-4A28-A889-5A187A85CDCF}"/>
    <hyperlink ref="C6872" r:id="rId6867" display="https://pld.live/RapDetail.aspx?STONELIST=926910015&amp;ISCONFIRM=0" xr:uid="{7D112943-BE3F-4ECC-81E1-417D56C12862}"/>
    <hyperlink ref="C6873" r:id="rId6868" display="https://pld.live/RapDetail.aspx?STONELIST=821115539&amp;ISCONFIRM=0" xr:uid="{0E21E16B-B6F2-482A-89BB-F93B434C0679}"/>
    <hyperlink ref="C6874" r:id="rId6869" display="https://pld.live/RapDetail.aspx?STONELIST=831020722&amp;ISCONFIRM=0" xr:uid="{A00336C9-A729-442E-8203-8452D20C55F2}"/>
    <hyperlink ref="C6875" r:id="rId6870" display="https://pld.live/RapDetail.aspx?STONELIST=831020739&amp;ISCONFIRM=0" xr:uid="{BD18FDDF-F812-4862-AFD2-FEE3AB88698A}"/>
    <hyperlink ref="C6876" r:id="rId6871" display="https://pld.live/RapDetail.aspx?STONELIST=831020738&amp;ISCONFIRM=0" xr:uid="{AB1A8C2E-04C7-472C-81BA-8973B00E7F47}"/>
    <hyperlink ref="C6877" r:id="rId6872" display="https://pld.live/RapDetail.aspx?STONELIST=926470429&amp;ISCONFIRM=0" xr:uid="{38D114B0-B22B-4890-B22D-B2F3909E5B56}"/>
    <hyperlink ref="C6878" r:id="rId6873" display="https://pld.live/RapDetail.aspx?STONELIST=926930781&amp;ISCONFIRM=0" xr:uid="{0FBD6B8F-E3AC-4EF8-9BCD-703DDBF2A373}"/>
    <hyperlink ref="C6879" r:id="rId6874" display="https://pld.live/RapDetail.aspx?STONELIST=831020743&amp;ISCONFIRM=0" xr:uid="{FD15775C-D058-4F91-AE50-866E89B618D5}"/>
    <hyperlink ref="C6880" r:id="rId6875" display="https://pld.live/RapDetail.aspx?STONELIST=927010707&amp;ISCONFIRM=0" xr:uid="{21E63919-6A9F-478E-995D-4EE944771CA8}"/>
    <hyperlink ref="C6881" r:id="rId6876" display="https://pld.live/RapDetail.aspx?STONELIST=821113869&amp;ISCONFIRM=0" xr:uid="{BBC7498C-77E8-404A-B74E-1D0B5B061F35}"/>
    <hyperlink ref="C6882" r:id="rId6877" display="https://pld.live/RapDetail.aspx?STONELIST=821113332&amp;ISCONFIRM=0" xr:uid="{8D2C1E6F-A33A-4E6B-9CAD-275880B8E581}"/>
    <hyperlink ref="C6883" r:id="rId6878" display="https://pld.live/RapDetail.aspx?STONELIST=821113613&amp;ISCONFIRM=0" xr:uid="{3C22C0D4-BD84-4938-9D85-08DA2A0A8D16}"/>
    <hyperlink ref="C6884" r:id="rId6879" display="https://pld.live/RapDetail.aspx?STONELIST=821113324&amp;ISCONFIRM=0" xr:uid="{EDAC313C-13B6-4F4F-AFCD-3E436CE6B204}"/>
    <hyperlink ref="C6885" r:id="rId6880" display="https://pld.live/RapDetail.aspx?STONELIST=926540215&amp;ISCONFIRM=0" xr:uid="{D67DD14C-02DB-403D-863D-6438A925393B}"/>
    <hyperlink ref="C6886" r:id="rId6881" display="https://pld.live/RapDetail.aspx?STONELIST=926030184&amp;ISCONFIRM=0" xr:uid="{FFC66BC3-1BD2-4133-B732-93D3C0DCB98D}"/>
    <hyperlink ref="C6887" r:id="rId6882" display="https://pld.live/RapDetail.aspx?STONELIST=831020609&amp;ISCONFIRM=0" xr:uid="{EF88CA85-3AA6-4120-9832-BBB21DD92C58}"/>
    <hyperlink ref="C6888" r:id="rId6883" display="https://pld.live/RapDetail.aspx?STONELIST=926680725&amp;ISCONFIRM=0" xr:uid="{8F7A2884-53B1-4F37-BDE1-EA0D73F71E4A}"/>
    <hyperlink ref="C6889" r:id="rId6884" display="https://pld.live/RapDetail.aspx?STONELIST=831020685&amp;ISCONFIRM=0" xr:uid="{34C03D2C-3145-4D48-97A9-EBBC80325A49}"/>
    <hyperlink ref="C6890" r:id="rId6885" display="https://pld.live/RapDetail.aspx?STONELIST=926101211&amp;ISCONFIRM=0" xr:uid="{19767D7C-D4FF-4C24-9749-F63E16F2E95B}"/>
    <hyperlink ref="C6891" r:id="rId6886" display="https://pld.live/RapDetail.aspx?STONELIST=926200992&amp;ISCONFIRM=0" xr:uid="{718817F0-6531-4579-BF10-C41E81F6FEAF}"/>
    <hyperlink ref="C6892" r:id="rId6887" display="https://pld.live/RapDetail.aspx?STONELIST=831020737&amp;ISCONFIRM=0" xr:uid="{F44E8161-CC85-46A2-B2FC-0430EBE793DC}"/>
    <hyperlink ref="C6893" r:id="rId6888" display="https://pld.live/RapDetail.aspx?STONELIST=925722021&amp;ISCONFIRM=0" xr:uid="{EEB216C6-06F6-4BFE-B1A7-A353571740C3}"/>
    <hyperlink ref="C6894" r:id="rId6889" display="https://pld.live/RapDetail.aspx?STONELIST=925541271&amp;ISCONFIRM=0" xr:uid="{30BE341D-0B15-4F95-96E7-C84567E760F9}"/>
    <hyperlink ref="C6895" r:id="rId6890" display="https://pld.live/RapDetail.aspx?STONELIST=821123333&amp;ISCONFIRM=0" xr:uid="{B9521031-0E04-4B66-A2DC-6D9EBC72B1F4}"/>
    <hyperlink ref="C6896" r:id="rId6891" display="https://pld.live/RapDetail.aspx?STONELIST=925501429&amp;ISCONFIRM=0" xr:uid="{A642A322-6658-42FE-A218-BF0E4523936F}"/>
    <hyperlink ref="C6897" r:id="rId6892" display="https://pld.live/RapDetail.aspx?STONELIST=925502271&amp;ISCONFIRM=0" xr:uid="{C5A7B25A-CC41-4D88-A220-CAAF95001207}"/>
    <hyperlink ref="C6898" r:id="rId6893" display="https://pld.live/RapDetail.aspx?STONELIST=925530202&amp;ISCONFIRM=0" xr:uid="{802E8292-1829-4871-BCE4-A824D88C4DBF}"/>
    <hyperlink ref="C6899" r:id="rId6894" display="https://pld.live/RapDetail.aspx?STONELIST=925530148&amp;ISCONFIRM=0" xr:uid="{D478E96C-B013-4E56-9375-A6B56D740F56}"/>
    <hyperlink ref="C6900" r:id="rId6895" display="https://pld.live/RapDetail.aspx?STONELIST=926101675&amp;ISCONFIRM=0" xr:uid="{2A979BDC-CA7D-45B0-8C0A-EEDFC4FC661D}"/>
    <hyperlink ref="C6901" r:id="rId6896" display="https://pld.live/RapDetail.aspx?STONELIST=926101146&amp;ISCONFIRM=0" xr:uid="{77572233-F08E-442D-8F05-FD1815BCC660}"/>
    <hyperlink ref="C6902" r:id="rId6897" display="https://pld.live/RapDetail.aspx?STONELIST=925520897&amp;ISCONFIRM=0" xr:uid="{6407B2CF-07BA-4905-B81C-037D439684C5}"/>
    <hyperlink ref="C6903" r:id="rId6898" display="https://pld.live/RapDetail.aspx?STONELIST=925502476&amp;ISCONFIRM=0" xr:uid="{1F0A60DC-2CE4-47D0-8356-7929986F3F87}"/>
    <hyperlink ref="C6904" r:id="rId6899" display="https://pld.live/RapDetail.aspx?STONELIST=821113835&amp;ISCONFIRM=0" xr:uid="{8EA71135-D9A0-4FEE-B185-FEEF854B50DE}"/>
    <hyperlink ref="C6905" r:id="rId6900" display="https://pld.live/RapDetail.aspx?STONELIST=821113843&amp;ISCONFIRM=0" xr:uid="{5E619A25-2FDF-472A-A7D9-68B60A9115D0}"/>
    <hyperlink ref="C6906" r:id="rId6901" display="https://pld.live/RapDetail.aspx?STONELIST=831010336&amp;ISCONFIRM=0" xr:uid="{5CAE8483-A0EC-4732-B95D-33C0D508AA37}"/>
    <hyperlink ref="C6907" r:id="rId6902" display="https://pld.live/RapDetail.aspx?STONELIST=925502457&amp;ISCONFIRM=0" xr:uid="{17BE1930-6FA7-4A02-B102-BA7DEF57BEAB}"/>
    <hyperlink ref="C6908" r:id="rId6903" display="https://pld.live/RapDetail.aspx?STONELIST=926171206&amp;ISCONFIRM=0" xr:uid="{B399689F-A851-4117-9091-D73BDA036D50}"/>
    <hyperlink ref="C6909" r:id="rId6904" display="https://pld.live/RapDetail.aspx?STONELIST=925960067&amp;ISCONFIRM=0" xr:uid="{C1C558AA-51E3-47A2-B52E-C7A2B8E714E6}"/>
    <hyperlink ref="C6910" r:id="rId6905" display="https://pld.live/RapDetail.aspx?STONELIST=821113827&amp;ISCONFIRM=0" xr:uid="{3B73F4BC-4C2C-47EF-8AD8-FDB657DDE88E}"/>
    <hyperlink ref="C6911" r:id="rId6906" display="https://pld.live/RapDetail.aspx?STONELIST=831010511&amp;ISCONFIRM=0" xr:uid="{AE043C00-5294-47D8-8F5A-93B4BC22E1C3}"/>
    <hyperlink ref="C6912" r:id="rId6907" display="https://pld.live/RapDetail.aspx?STONELIST=926171153&amp;ISCONFIRM=0" xr:uid="{EF3C66B4-56DB-4735-B0C1-7114A4D046DF}"/>
    <hyperlink ref="C6913" r:id="rId6908" display="https://pld.live/RapDetail.aspx?STONELIST=831020736&amp;ISCONFIRM=0" xr:uid="{3DE00D2A-499D-4DA2-A319-163281838CEF}"/>
    <hyperlink ref="C6914" r:id="rId6909" display="https://pld.live/RapDetail.aspx?STONELIST=925520595&amp;ISCONFIRM=0" xr:uid="{B4142BCA-F40D-4027-B4C4-722991B9CADA}"/>
    <hyperlink ref="C6915" r:id="rId6910" display="https://pld.live/RapDetail.aspx?STONELIST=926171161&amp;ISCONFIRM=0" xr:uid="{40A1E038-0A30-4176-97DE-6D40DBB34A3C}"/>
    <hyperlink ref="C6916" r:id="rId6911" display="https://pld.live/RapDetail.aspx?STONELIST=831010827&amp;ISCONFIRM=0" xr:uid="{4327BBC9-018F-49E2-B32F-070AF982424E}"/>
    <hyperlink ref="C6917" r:id="rId6912" display="https://pld.live/RapDetail.aspx?STONELIST=925732134&amp;ISCONFIRM=0" xr:uid="{ED39DD10-4457-4521-9F01-183D5DE99106}"/>
    <hyperlink ref="C6918" r:id="rId6913" display="https://pld.live/RapDetail.aspx?STONELIST=831010795&amp;ISCONFIRM=0" xr:uid="{A3C9A8B1-BF38-429F-80ED-D0FEAC6BDBB4}"/>
    <hyperlink ref="C6919" r:id="rId6914" display="https://pld.live/RapDetail.aspx?STONELIST=821113885&amp;ISCONFIRM=0" xr:uid="{A20497C8-C07A-45D2-8054-1E0DAD3998BC}"/>
    <hyperlink ref="C6920" r:id="rId6915" display="https://pld.live/RapDetail.aspx?STONELIST=821113176&amp;ISCONFIRM=0" xr:uid="{DB7C1912-D04E-4407-A206-D7720CC933EE}"/>
    <hyperlink ref="C6921" r:id="rId6916" display="https://pld.live/RapDetail.aspx?STONELIST=821113842&amp;ISCONFIRM=0" xr:uid="{30CC146A-B173-4174-AFED-4F84635F8D6B}"/>
    <hyperlink ref="C6922" r:id="rId6917" display="https://pld.live/RapDetail.aspx?STONELIST=821113227&amp;ISCONFIRM=0" xr:uid="{C10FEADD-EE39-4AAD-A8A6-193279DD1462}"/>
    <hyperlink ref="C6923" r:id="rId6918" display="https://pld.live/RapDetail.aspx?STONELIST=925540945&amp;ISCONFIRM=0" xr:uid="{60CB9DED-56C1-4BDA-B4A9-F47D567FCEB0}"/>
    <hyperlink ref="C6924" r:id="rId6919" display="https://pld.live/RapDetail.aspx?STONELIST=821124386&amp;ISCONFIRM=0" xr:uid="{65FE4D40-01DA-4798-A13F-7CC0061FA3C7}"/>
    <hyperlink ref="C6925" r:id="rId6920" display="https://pld.live/RapDetail.aspx?STONELIST=926841357&amp;ISCONFIRM=0" xr:uid="{F9DDC56F-35CF-4C30-9ABC-6EE39FCA9A41}"/>
    <hyperlink ref="C6926" r:id="rId6921" display="https://pld.live/RapDetail.aspx?STONELIST=821124320&amp;ISCONFIRM=0" xr:uid="{90B02A50-4395-4531-B81F-71EA252B3712}"/>
    <hyperlink ref="C6927" r:id="rId6922" display="https://pld.live/RapDetail.aspx?STONELIST=926921371&amp;ISCONFIRM=0" xr:uid="{A3A75E17-06B7-4C1C-9799-631F860D3610}"/>
    <hyperlink ref="C6928" r:id="rId6923" display="https://pld.live/RapDetail.aspx?STONELIST=925981250&amp;ISCONFIRM=0" xr:uid="{C45E8491-968B-487F-BF3E-40A15A991CB1}"/>
    <hyperlink ref="C6929" r:id="rId6924" display="https://pld.live/RapDetail.aspx?STONELIST=925502018&amp;ISCONFIRM=0" xr:uid="{F24D16C6-0C13-4966-A841-216C02EA9850}"/>
    <hyperlink ref="C6930" r:id="rId6925" display="https://pld.live/RapDetail.aspx?STONELIST=925501274&amp;ISCONFIRM=0" xr:uid="{B7C41C57-EA55-4F81-8F46-2519DEAB46A0}"/>
    <hyperlink ref="C6931" r:id="rId6926" display="https://pld.live/RapDetail.aspx?STONELIST=925722018&amp;ISCONFIRM=0" xr:uid="{B1CCEF62-B5E8-4F30-8760-97AAB8827D18}"/>
    <hyperlink ref="C6932" r:id="rId6927" display="https://pld.live/RapDetail.aspx?STONELIST=925520975&amp;ISCONFIRM=0" xr:uid="{DBEA5761-0439-49AD-AE67-A0320CF1C703}"/>
    <hyperlink ref="C6933" r:id="rId6928" display="https://pld.live/RapDetail.aspx?STONELIST=821113874&amp;ISCONFIRM=0" xr:uid="{C2BE28C9-2AF9-4793-87B3-1FE291E58786}"/>
    <hyperlink ref="C6934" r:id="rId6929" display="https://pld.live/RapDetail.aspx?STONELIST=926020802&amp;ISCONFIRM=0" xr:uid="{C0BFC22F-A7C4-4AC6-8BA6-3BBF0C68D56E}"/>
    <hyperlink ref="C6935" r:id="rId6930" display="https://pld.live/RapDetail.aspx?STONELIST=925551761&amp;ISCONFIRM=0" xr:uid="{6740411C-7D0A-4359-B5A0-9E2BC6B761B3}"/>
    <hyperlink ref="C6936" r:id="rId6931" display="https://pld.live/RapDetail.aspx?STONELIST=821113861&amp;ISCONFIRM=0" xr:uid="{BFC6E274-F8D4-42DB-8DC9-4E26566B2A29}"/>
    <hyperlink ref="C6937" r:id="rId6932" display="https://pld.live/RapDetail.aspx?STONELIST=926101549&amp;ISCONFIRM=0" xr:uid="{755D7AA2-6288-450E-A9F2-DCE7F3FB1053}"/>
    <hyperlink ref="C6938" r:id="rId6933" display="https://pld.live/RapDetail.aspx?STONELIST=821113825&amp;ISCONFIRM=0" xr:uid="{79BFF839-F1C6-4C5D-ABAE-EED48E34CFA2}"/>
    <hyperlink ref="C6939" r:id="rId6934" display="https://pld.live/RapDetail.aspx?STONELIST=926921417&amp;ISCONFIRM=0" xr:uid="{B2FC1D88-C567-4254-B11E-A4669C66325B}"/>
    <hyperlink ref="C6940" r:id="rId6935" display="https://pld.live/RapDetail.aspx?STONELIST=821126940&amp;ISCONFIRM=0" xr:uid="{ECA5537C-011B-4D41-8065-6089BACE1722}"/>
    <hyperlink ref="C6941" r:id="rId6936" display="https://pld.live/RapDetail.aspx?STONELIST=926200716&amp;ISCONFIRM=0" xr:uid="{DBB4EA2E-9AE4-4452-94C8-8B0DBEB49C8F}"/>
    <hyperlink ref="C6942" r:id="rId6937" display="https://pld.live/RapDetail.aspx?STONELIST=926921350&amp;ISCONFIRM=0" xr:uid="{A5C1B676-CDF2-4EBA-B331-224F6E940E0E}"/>
    <hyperlink ref="C6943" r:id="rId6938" display="https://pld.live/RapDetail.aspx?STONELIST=926101276&amp;ISCONFIRM=0" xr:uid="{D36EF700-BA54-47B1-9514-D697425FF12E}"/>
    <hyperlink ref="C6944" r:id="rId6939" display="https://pld.live/RapDetail.aspx?STONELIST=925731925&amp;ISCONFIRM=0" xr:uid="{E0286C03-63FC-416B-A8F6-6E5A39D05029}"/>
    <hyperlink ref="C6945" r:id="rId6940" display="https://pld.live/RapDetail.aspx?STONELIST=831010794&amp;ISCONFIRM=0" xr:uid="{3920E9E7-E863-4134-96AE-C0F912D48AFE}"/>
    <hyperlink ref="C6946" r:id="rId6941" display="https://pld.live/RapDetail.aspx?STONELIST=926841362&amp;ISCONFIRM=0" xr:uid="{1E439685-8577-4D45-9057-78FFFB912560}"/>
    <hyperlink ref="C6947" r:id="rId6942" display="https://pld.live/RapDetail.aspx?STONELIST=925541272&amp;ISCONFIRM=0" xr:uid="{A3B2DA1D-E7A8-4AB3-90EE-E41458D8A04D}"/>
    <hyperlink ref="C6948" r:id="rId6943" display="https://pld.live/RapDetail.aspx?STONELIST=925521070&amp;ISCONFIRM=0" xr:uid="{FE249EF1-D7B5-40CB-834A-9BE20F305EA1}"/>
    <hyperlink ref="C6949" r:id="rId6944" display="https://pld.live/RapDetail.aspx?STONELIST=926171299&amp;ISCONFIRM=0" xr:uid="{D9C26B4E-42D0-495A-874C-6B0B109BA82E}"/>
    <hyperlink ref="C6950" r:id="rId6945" display="https://pld.live/RapDetail.aspx?STONELIST=926101691&amp;ISCONFIRM=0" xr:uid="{75B53CE0-FC4C-4BF4-A708-1A4FE972AD45}"/>
    <hyperlink ref="C6951" r:id="rId6946" display="https://pld.live/RapDetail.aspx?STONELIST=926071902&amp;ISCONFIRM=0" xr:uid="{0DA137F2-0FA3-4A5A-9FB8-629E7A20615C}"/>
    <hyperlink ref="C6952" r:id="rId6947" display="https://pld.live/RapDetail.aspx?STONELIST=831010793&amp;ISCONFIRM=0" xr:uid="{E0CA63DB-797A-40BA-98B7-5CA38B0FD6FF}"/>
    <hyperlink ref="C6953" r:id="rId6948" display="https://pld.live/RapDetail.aspx?STONELIST=925502304&amp;ISCONFIRM=0" xr:uid="{659E4D2B-C1A9-4500-A5E4-1BD5A49B8D3C}"/>
    <hyperlink ref="C6954" r:id="rId6949" display="https://pld.live/RapDetail.aspx?STONELIST=926170738&amp;ISCONFIRM=0" xr:uid="{7D26C980-594E-4CF4-AF61-C281195F62F5}"/>
    <hyperlink ref="C6955" r:id="rId6950" display="https://pld.live/RapDetail.aspx?STONELIST=925621965&amp;ISCONFIRM=0" xr:uid="{B6697AAB-5C9D-4B35-B006-4AA5A2C863DA}"/>
    <hyperlink ref="C6956" r:id="rId6951" display="https://pld.live/RapDetail.aspx?STONELIST=926921405&amp;ISCONFIRM=0" xr:uid="{3CC6ABD2-2BBE-4E17-8137-160D88ADB483}"/>
    <hyperlink ref="C6957" r:id="rId6952" display="https://pld.live/RapDetail.aspx?STONELIST=925521050&amp;ISCONFIRM=0" xr:uid="{52E0F8C3-B307-4F09-BC78-DA177FA5E009}"/>
    <hyperlink ref="C6958" r:id="rId6953" display="https://pld.live/RapDetail.aspx?STONELIST=925981272&amp;ISCONFIRM=0" xr:uid="{548B1E22-8A3C-4863-8B93-F652A6B84C38}"/>
    <hyperlink ref="C6959" r:id="rId6954" display="https://pld.live/RapDetail.aspx?STONELIST=831020735&amp;ISCONFIRM=0" xr:uid="{32042D89-A03A-46BA-8286-201359A21257}"/>
    <hyperlink ref="C6960" r:id="rId6955" display="https://pld.live/RapDetail.aspx?STONELIST=925521184&amp;ISCONFIRM=0" xr:uid="{190AC50F-CA84-4858-81A6-67F822BA86F7}"/>
    <hyperlink ref="C6961" r:id="rId6956" display="https://pld.live/RapDetail.aspx?STONELIST=926101054&amp;ISCONFIRM=0" xr:uid="{A21399CB-058E-4D8C-B0DB-0E4D65F1744E}"/>
    <hyperlink ref="C6962" r:id="rId6957" display="https://pld.live/RapDetail.aspx?STONELIST=925721877&amp;ISCONFIRM=0" xr:uid="{71EDD288-B060-4854-ABD7-B24171B6606E}"/>
    <hyperlink ref="C6963" r:id="rId6958" display="https://pld.live/RapDetail.aspx?STONELIST=821113849&amp;ISCONFIRM=0" xr:uid="{00E65E3F-0B57-4C65-B941-07D6F9DCCB99}"/>
    <hyperlink ref="C6964" r:id="rId6959" display="https://pld.live/RapDetail.aspx?STONELIST=926200897&amp;ISCONFIRM=0" xr:uid="{54A642CB-1EFB-4211-BAC3-47E8F20820B3}"/>
    <hyperlink ref="C6965" r:id="rId6960" display="https://pld.live/RapDetail.aspx?STONELIST=925771124&amp;ISCONFIRM=0" xr:uid="{B2783878-0585-4BAB-B956-D77EE8A2617C}"/>
    <hyperlink ref="C6966" r:id="rId6961" display="https://pld.live/RapDetail.aspx?STONELIST=926921471&amp;ISCONFIRM=0" xr:uid="{BFA3A8DB-A08F-466F-9C71-E76CEAAA11E9}"/>
    <hyperlink ref="C6967" r:id="rId6962" display="https://pld.live/RapDetail.aspx?STONELIST=926171468&amp;ISCONFIRM=0" xr:uid="{5E452C5C-3FD7-45EB-916F-43EBF2D205CC}"/>
    <hyperlink ref="C6968" r:id="rId6963" display="https://pld.live/RapDetail.aspx?STONELIST=926071936&amp;ISCONFIRM=0" xr:uid="{3DB79FD5-5779-4BE3-A992-6D51433C06B4}"/>
    <hyperlink ref="C6969" r:id="rId6964" display="https://pld.live/RapDetail.aspx?STONELIST=925970655&amp;ISCONFIRM=0" xr:uid="{4E174054-FACF-477A-880A-67EEE554A104}"/>
    <hyperlink ref="C6970" r:id="rId6965" display="https://pld.live/RapDetail.aspx?STONELIST=925981271&amp;ISCONFIRM=0" xr:uid="{4546791B-CDB2-44FA-857D-6130A9897193}"/>
    <hyperlink ref="C6971" r:id="rId6966" display="https://pld.live/RapDetail.aspx?STONELIST=926071952&amp;ISCONFIRM=0" xr:uid="{D0CBE182-0128-4F01-B836-5F38E97D9D09}"/>
    <hyperlink ref="C6972" r:id="rId6967" display="https://pld.live/RapDetail.aspx?STONELIST=925730800&amp;ISCONFIRM=0" xr:uid="{3F13FF22-E587-4A0F-8032-319F4082A429}"/>
    <hyperlink ref="C6973" r:id="rId6968" display="https://pld.live/RapDetail.aspx?STONELIST=831010792&amp;ISCONFIRM=0" xr:uid="{BB1A0495-C734-4B11-AEDE-6FFA1921DF87}"/>
    <hyperlink ref="C6974" r:id="rId6969" display="https://pld.live/RapDetail.aspx?STONELIST=821113836&amp;ISCONFIRM=0" xr:uid="{0F583BCE-8B0D-4345-9DD0-BAC885CCAE94}"/>
    <hyperlink ref="C6975" r:id="rId6970" display="https://pld.live/RapDetail.aspx?STONELIST=926101528&amp;ISCONFIRM=0" xr:uid="{DA076F63-057C-4073-9F18-1471FA9DED2B}"/>
    <hyperlink ref="C6976" r:id="rId6971" display="https://pld.live/RapDetail.aspx?STONELIST=821126939&amp;ISCONFIRM=0" xr:uid="{A4BD3474-06E9-4588-AF19-81DC8AB0E5BF}"/>
    <hyperlink ref="C6977" r:id="rId6972" display="https://pld.live/RapDetail.aspx?STONELIST=821126922&amp;ISCONFIRM=0" xr:uid="{C8C74609-76F2-4B68-B04B-093C5C9D2952}"/>
    <hyperlink ref="C6978" r:id="rId6973" display="https://pld.live/RapDetail.aspx?STONELIST=821113845&amp;ISCONFIRM=0" xr:uid="{6E61FC76-958D-407C-AF23-A5BE5DB9E30E}"/>
    <hyperlink ref="C6979" r:id="rId6974" display="https://pld.live/RapDetail.aspx?STONELIST=821113858&amp;ISCONFIRM=0" xr:uid="{904E7EED-6A6F-4FED-8454-C2090CA6A6D9}"/>
    <hyperlink ref="C6980" r:id="rId6975" display="https://pld.live/RapDetail.aspx?STONELIST=821113865&amp;ISCONFIRM=0" xr:uid="{3D3DF8DF-B169-4E2C-A0F4-19FE42E60C59}"/>
    <hyperlink ref="C6981" r:id="rId6976" display="https://pld.live/RapDetail.aspx?STONELIST=821113854&amp;ISCONFIRM=0" xr:uid="{202AA701-FF2F-4318-B1C0-CB8A2699E96B}"/>
    <hyperlink ref="C6982" r:id="rId6977" display="https://pld.live/RapDetail.aspx?STONELIST=821126934&amp;ISCONFIRM=0" xr:uid="{12A9A7F1-A0A8-4E4E-94FE-2CA1F31A462C}"/>
    <hyperlink ref="C6983" r:id="rId6978" display="https://pld.live/RapDetail.aspx?STONELIST=926680678&amp;ISCONFIRM=0" xr:uid="{C82E504A-02F2-42B8-B432-82849EB75AC3}"/>
    <hyperlink ref="C6984" r:id="rId6979" display="https://pld.live/RapDetail.aspx?STONELIST=926020814&amp;ISCONFIRM=0" xr:uid="{88E3D416-7C1A-4E85-96B0-1FA6CDC591C2}"/>
    <hyperlink ref="C6985" r:id="rId6980" display="https://pld.live/RapDetail.aspx?STONELIST=926610099&amp;ISCONFIRM=0" xr:uid="{C27BBA16-50B7-48E5-9866-A89FAED9A891}"/>
    <hyperlink ref="C6986" r:id="rId6981" display="https://pld.live/RapDetail.aspx?STONELIST=927010772&amp;ISCONFIRM=0" xr:uid="{C23998DC-4876-43F4-87FA-05E62CEE14CB}"/>
    <hyperlink ref="C6987" r:id="rId6982" display="https://pld.live/RapDetail.aspx?STONELIST=925520084&amp;ISCONFIRM=0" xr:uid="{16385F7E-C73A-443E-AE63-1C08131B49B4}"/>
    <hyperlink ref="C6988" r:id="rId6983" display="https://pld.live/RapDetail.aspx?STONELIST=925981238&amp;ISCONFIRM=0" xr:uid="{D28AF42E-B30D-4A79-A44C-2E475111B106}"/>
    <hyperlink ref="C6989" r:id="rId6984" display="https://pld.live/RapDetail.aspx?STONELIST=925621963&amp;ISCONFIRM=0" xr:uid="{21B1A02C-0AB8-4008-AF90-6FDBEBED86B5}"/>
    <hyperlink ref="C6990" r:id="rId6985" display="https://pld.live/RapDetail.aspx?STONELIST=927130508&amp;ISCONFIRM=0" xr:uid="{EEFCB65A-63F5-4450-B151-C6DA3EAEEFB2}"/>
    <hyperlink ref="C6991" r:id="rId6986" display="https://pld.live/RapDetail.aspx?STONELIST=925621432&amp;ISCONFIRM=0" xr:uid="{27CDF476-7C4C-4189-BEE2-B3B8D49AA6FB}"/>
    <hyperlink ref="C6992" r:id="rId6987" display="https://pld.live/RapDetail.aspx?STONELIST=925551885&amp;ISCONFIRM=0" xr:uid="{DF7BD181-86EE-4781-BF0D-BCC5C334CD9F}"/>
    <hyperlink ref="C6993" r:id="rId6988" display="https://pld.live/RapDetail.aspx?STONELIST=925731375&amp;ISCONFIRM=0" xr:uid="{D3DC82F4-138C-41DB-BB87-AF4709646F89}"/>
    <hyperlink ref="C6994" r:id="rId6989" display="https://pld.live/RapDetail.aspx?STONELIST=925621733&amp;ISCONFIRM=0" xr:uid="{4E6B8E59-FC8D-43A7-A1BB-844F81618BF2}"/>
    <hyperlink ref="C6995" r:id="rId6990" display="https://pld.live/RapDetail.aspx?STONELIST=926170789&amp;ISCONFIRM=0" xr:uid="{FA600880-7FE5-436A-8EB8-7579C2672AC1}"/>
    <hyperlink ref="C6996" r:id="rId6991" display="https://pld.live/RapDetail.aspx?STONELIST=925670057&amp;ISCONFIRM=0" xr:uid="{F8E5F183-B2A9-46B6-B558-C86A17E59948}"/>
    <hyperlink ref="C6997" r:id="rId6992" display="https://pld.live/RapDetail.aspx?STONELIST=925621903&amp;ISCONFIRM=0" xr:uid="{DF99D63A-D683-40EC-8189-8440D7A716E6}"/>
    <hyperlink ref="C6998" r:id="rId6993" display="https://pld.live/RapDetail.aspx?STONELIST=925621904&amp;ISCONFIRM=0" xr:uid="{DC184C12-48AF-4177-A71A-9BAC43B5C859}"/>
    <hyperlink ref="C6999" r:id="rId6994" display="https://pld.live/RapDetail.aspx?STONELIST=925621826&amp;ISCONFIRM=0" xr:uid="{3EAE99AC-C6C3-4D3C-A819-6312AFFA17EA}"/>
    <hyperlink ref="C7000" r:id="rId6995" display="https://pld.live/RapDetail.aspx?STONELIST=925300299&amp;ISCONFIRM=0" xr:uid="{C56ADE33-72EE-42B1-9F13-5A9655CA9D3E}"/>
    <hyperlink ref="C7001" r:id="rId6996" display="https://pld.live/RapDetail.aspx?STONELIST=925551883&amp;ISCONFIRM=0" xr:uid="{156A97BA-FF28-4B1E-9607-CD4268208CC7}"/>
    <hyperlink ref="C7002" r:id="rId6997" display="https://pld.live/RapDetail.aspx?STONELIST=925721732&amp;ISCONFIRM=0" xr:uid="{5E64F73A-9AD6-46F5-A933-6C46979A7F82}"/>
    <hyperlink ref="C7003" r:id="rId6998" display="https://pld.live/RapDetail.aspx?STONELIST=925731083&amp;ISCONFIRM=0" xr:uid="{18AFB2BC-1AC6-442E-BDD2-8985754FC933}"/>
    <hyperlink ref="C7004" r:id="rId6999" display="https://pld.live/RapDetail.aspx?STONELIST=925722024&amp;ISCONFIRM=0" xr:uid="{BBCFF81E-80C7-42C2-AA3C-2E16B7F6FB17}"/>
    <hyperlink ref="C7005" r:id="rId7000" display="https://pld.live/RapDetail.aspx?STONELIST=926101052&amp;ISCONFIRM=0" xr:uid="{347F18CE-A5C9-41B9-ADA0-BB295B5BF973}"/>
    <hyperlink ref="C7006" r:id="rId7001" display="https://pld.live/RapDetail.aspx?STONELIST=926200743&amp;ISCONFIRM=0" xr:uid="{863FE3F7-5243-4C20-ABF7-D53785CF7D5A}"/>
    <hyperlink ref="C7007" r:id="rId7002" display="https://pld.live/RapDetail.aspx?STONELIST=926171122&amp;ISCONFIRM=0" xr:uid="{827958CB-3CA3-4157-9C14-CADF3E3B7FDB}"/>
    <hyperlink ref="C7008" r:id="rId7003" display="https://pld.live/RapDetail.aspx?STONELIST=926101485&amp;ISCONFIRM=0" xr:uid="{8300889D-6288-4E09-8A05-D2C99735A5FD}"/>
    <hyperlink ref="C7009" r:id="rId7004" display="https://pld.live/RapDetail.aspx?STONELIST=926200776&amp;ISCONFIRM=0" xr:uid="{586D83B2-95D7-4ED1-AA68-FA075E7DD826}"/>
    <hyperlink ref="C7010" r:id="rId7005" display="https://pld.live/RapDetail.aspx?STONELIST=926200742&amp;ISCONFIRM=0" xr:uid="{167794E6-BF8B-43A0-A189-11B2FE43547E}"/>
    <hyperlink ref="C7011" r:id="rId7006" display="https://pld.live/RapDetail.aspx?STONELIST=821113867&amp;ISCONFIRM=0" xr:uid="{C04621D3-F69F-4667-B67D-C718B1F8FD44}"/>
    <hyperlink ref="C7012" r:id="rId7007" display="https://pld.live/RapDetail.aspx?STONELIST=821113325&amp;ISCONFIRM=0" xr:uid="{63D38D3D-7E4E-4391-9E51-28025E7BB15C}"/>
    <hyperlink ref="C7013" r:id="rId7008" display="https://pld.live/RapDetail.aspx?STONELIST=926680879&amp;ISCONFIRM=0" xr:uid="{5FB1ED6E-B1C7-4F4D-A674-7C9320108EB0}"/>
    <hyperlink ref="C7014" r:id="rId7009" display="https://pld.live/RapDetail.aspx?STONELIST=926101486&amp;ISCONFIRM=0" xr:uid="{BC623B40-F718-44DF-A1B2-CB5AB7D2FF41}"/>
    <hyperlink ref="C7015" r:id="rId7010" display="https://pld.live/RapDetail.aspx?STONELIST=926790392&amp;ISCONFIRM=0" xr:uid="{1C6ACE9C-6FBF-4A80-B723-9FB0A4F2821D}"/>
    <hyperlink ref="C7016" r:id="rId7011" display="https://pld.live/RapDetail.aspx?STONELIST=821113826&amp;ISCONFIRM=0" xr:uid="{34A17D8E-EB4D-4BBD-9023-D86F82CA7AC2}"/>
    <hyperlink ref="C7017" r:id="rId7012" display="https://pld.live/RapDetail.aspx?STONELIST=926700687&amp;ISCONFIRM=0" xr:uid="{4FA6941D-0799-4B8C-9D44-451F0A675E84}"/>
    <hyperlink ref="C7018" r:id="rId7013" display="https://pld.live/RapDetail.aspx?STONELIST=925950003&amp;ISCONFIRM=0" xr:uid="{EBB1FB7B-BA80-48CD-81D1-64E735FE52DF}"/>
    <hyperlink ref="C7019" r:id="rId7014" display="https://pld.live/RapDetail.aspx?STONELIST=926841326&amp;ISCONFIRM=0" xr:uid="{69BC7A33-EF95-4A56-B63A-AF1CFE7CD1B9}"/>
    <hyperlink ref="C7020" r:id="rId7015" display="https://pld.live/RapDetail.aspx?STONELIST=927140516&amp;ISCONFIRM=0" xr:uid="{9F026057-0BEF-44E3-A26F-CCBD89190B0C}"/>
    <hyperlink ref="C7021" r:id="rId7016" display="https://pld.live/RapDetail.aspx?STONELIST=926111141&amp;ISCONFIRM=0" xr:uid="{7E46B460-4CAB-4D15-B416-16365C3DB998}"/>
    <hyperlink ref="C7022" r:id="rId7017" display="https://pld.live/RapDetail.aspx?STONELIST=926921370&amp;ISCONFIRM=0" xr:uid="{D9FB3665-330D-4952-809F-216C110E66EE}"/>
    <hyperlink ref="C7023" r:id="rId7018" display="https://pld.live/RapDetail.aspx?STONELIST=926621125&amp;ISCONFIRM=0" xr:uid="{9DE7E439-85BD-4F8B-B064-8A7C82D09A81}"/>
    <hyperlink ref="C7024" r:id="rId7019" display="https://pld.live/RapDetail.aspx?STONELIST=926700734&amp;ISCONFIRM=0" xr:uid="{04932375-DD1B-4EEA-B793-7B9B7B872FE5}"/>
    <hyperlink ref="C7025" r:id="rId7020" display="https://pld.live/RapDetail.aspx?STONELIST=926700729&amp;ISCONFIRM=0" xr:uid="{46873691-33D7-4EB5-B9FD-636C5D03309F}"/>
    <hyperlink ref="C7026" r:id="rId7021" display="https://pld.live/RapDetail.aspx?STONELIST=926700835&amp;ISCONFIRM=0" xr:uid="{7F4C52FD-55CA-4D57-9CDE-5C58F6AB3435}"/>
    <hyperlink ref="C7027" r:id="rId7022" display="https://pld.live/RapDetail.aspx?STONELIST=927132585&amp;ISCONFIRM=0" xr:uid="{B2A97610-2FDE-4920-BF25-D7C7448EC96C}"/>
    <hyperlink ref="C7028" r:id="rId7023" display="https://pld.live/RapDetail.aspx?STONELIST=926171229&amp;ISCONFIRM=0" xr:uid="{A52074CB-4729-4459-8400-1F02D069A36E}"/>
    <hyperlink ref="C7029" r:id="rId7024" display="https://pld.live/RapDetail.aspx?STONELIST=941110607&amp;ISCONFIRM=0" xr:uid="{3A26DC03-80AA-4E4F-B2AE-04D57DD1A147}"/>
    <hyperlink ref="C7030" r:id="rId7025" display="https://pld.live/RapDetail.aspx?STONELIST=926841340&amp;ISCONFIRM=0" xr:uid="{161BE35D-2690-48BA-911E-5FD0BC51FDDE}"/>
    <hyperlink ref="C7031" r:id="rId7026" display="https://pld.live/RapDetail.aspx?STONELIST=926921425&amp;ISCONFIRM=0" xr:uid="{08F5FFE3-B455-4BE0-ADCC-68FDED204A34}"/>
    <hyperlink ref="C7032" r:id="rId7027" display="https://pld.live/RapDetail.aspx?STONELIST=927101252&amp;ISCONFIRM=0" xr:uid="{830AFC34-403F-4285-9668-1134EC488F4F}"/>
    <hyperlink ref="C7033" r:id="rId7028" display="https://pld.live/RapDetail.aspx?STONELIST=927140482&amp;ISCONFIRM=0" xr:uid="{62F5AA22-0703-4E08-80F3-55D3FBCB1564}"/>
    <hyperlink ref="C7034" r:id="rId7029" display="https://pld.live/RapDetail.aspx?STONELIST=941021816&amp;ISCONFIRM=0" xr:uid="{C835A1BD-9B73-4872-9402-81D148AF1468}"/>
    <hyperlink ref="C7035" r:id="rId7030" display="https://pld.live/RapDetail.aspx?STONELIST=926101633&amp;ISCONFIRM=0" xr:uid="{7C785FFF-C37A-4FFD-A1C8-C9B1C1F41C96}"/>
    <hyperlink ref="C7036" r:id="rId7031" display="https://pld.live/RapDetail.aspx?STONELIST=926830940&amp;ISCONFIRM=0" xr:uid="{7782909E-AAA4-452C-82D7-FF33E04251FF}"/>
    <hyperlink ref="C7037" r:id="rId7032" display="https://pld.live/RapDetail.aspx?STONELIST=926681114&amp;ISCONFIRM=0" xr:uid="{EEC0589F-9C62-4928-83BA-4F4502028DD6}"/>
    <hyperlink ref="C7038" r:id="rId7033" display="https://pld.live/RapDetail.aspx?STONELIST=926621044&amp;ISCONFIRM=0" xr:uid="{99F1ABE4-CD4E-4D9D-B3FF-395CED5714B7}"/>
    <hyperlink ref="C7039" r:id="rId7034" display="https://pld.live/RapDetail.aspx?STONELIST=821113828&amp;ISCONFIRM=0" xr:uid="{328C5B77-8901-46B1-BDAF-826A026AEC8F}"/>
    <hyperlink ref="C7040" r:id="rId7035" display="https://pld.live/RapDetail.aspx?STONELIST=926640734&amp;ISCONFIRM=0" xr:uid="{732C6D55-5D3B-4C8A-836A-8D0F9D338D3B}"/>
    <hyperlink ref="C7041" r:id="rId7036" display="https://pld.live/RapDetail.aspx?STONELIST=925280424&amp;ISCONFIRM=0" xr:uid="{0AE20654-78A8-4C6B-8ABA-E2C81A18C103}"/>
    <hyperlink ref="C7042" r:id="rId7037" display="https://pld.live/RapDetail.aspx?STONELIST=821113178&amp;ISCONFIRM=0" xr:uid="{34F3197C-2A72-4BE1-A467-B43539F5C7FF}"/>
    <hyperlink ref="C7043" r:id="rId7038" display="https://pld.live/RapDetail.aspx?STONELIST=821113329&amp;ISCONFIRM=0" xr:uid="{C9D73BA8-195C-4B32-9730-A27BB5DFEBB2}"/>
    <hyperlink ref="C7044" r:id="rId7039" display="https://pld.live/RapDetail.aspx?STONELIST=821113169&amp;ISCONFIRM=0" xr:uid="{8F63CD1D-C5A3-47EA-BC95-F01F9BE50D54}"/>
    <hyperlink ref="C7045" r:id="rId7040" display="https://pld.live/RapDetail.aspx?STONELIST=821113271&amp;ISCONFIRM=0" xr:uid="{ABB4F0BD-6A72-4E83-85E7-2103B17BB039}"/>
    <hyperlink ref="C7046" r:id="rId7041" display="https://pld.live/RapDetail.aspx?STONELIST=821113322&amp;ISCONFIRM=0" xr:uid="{CD881896-DCE3-4885-9251-5FB7A4987B94}"/>
    <hyperlink ref="C7047" r:id="rId7042" display="https://pld.live/RapDetail.aspx?STONELIST=821113206&amp;ISCONFIRM=0" xr:uid="{9EE854EB-DF7A-4322-8393-B46BE5F1059B}"/>
    <hyperlink ref="C7048" r:id="rId7043" display="https://pld.live/RapDetail.aspx?STONELIST=821113172&amp;ISCONFIRM=0" xr:uid="{55C2627C-131B-4458-984F-D55E26F33A71}"/>
    <hyperlink ref="C7049" r:id="rId7044" display="https://pld.live/RapDetail.aspx?STONELIST=831020639&amp;ISCONFIRM=0" xr:uid="{4142BB66-E8FC-46E5-B1AD-57A802FFED9D}"/>
    <hyperlink ref="C7050" r:id="rId7045" display="https://pld.live/RapDetail.aspx?STONELIST=926921411&amp;ISCONFIRM=0" xr:uid="{B4C49AC6-DE9B-47E9-BE80-79BCC7692B6B}"/>
    <hyperlink ref="C7051" r:id="rId7046" display="https://pld.live/RapDetail.aspx?STONELIST=927140485&amp;ISCONFIRM=0" xr:uid="{9C645D97-AC22-4B27-AF20-893FE09D6F1D}"/>
    <hyperlink ref="C7052" r:id="rId7047" display="https://pld.live/RapDetail.aspx?STONELIST=925801685&amp;ISCONFIRM=0" xr:uid="{BD38B57B-F90E-4046-9715-D91D8BB3B8C4}"/>
    <hyperlink ref="C7053" r:id="rId7048" display="https://pld.live/RapDetail.aspx?STONELIST=926420288&amp;ISCONFIRM=0" xr:uid="{E53B68FE-877B-46F4-96B6-F57923A8BFF5}"/>
    <hyperlink ref="C7054" r:id="rId7049" display="https://pld.live/RapDetail.aspx?STONELIST=926420307&amp;ISCONFIRM=0" xr:uid="{B17459B4-8E10-45A1-86C5-18CDFD73FB24}"/>
    <hyperlink ref="C7055" r:id="rId7050" display="https://pld.live/RapDetail.aspx?STONELIST=925420330&amp;ISCONFIRM=0" xr:uid="{B6B21DA6-E579-4A32-90B2-35D60EDD129A}"/>
    <hyperlink ref="C7056" r:id="rId7051" display="https://pld.live/RapDetail.aspx?STONELIST=831020645&amp;ISCONFIRM=0" xr:uid="{BBAC5401-65FD-4D0F-A765-789A40A3E980}"/>
    <hyperlink ref="C7057" r:id="rId7052" display="https://pld.live/RapDetail.aspx?STONELIST=941351009&amp;ISCONFIRM=0" xr:uid="{CB8FC29A-2A19-4785-A668-4B1ED80DBEB7}"/>
    <hyperlink ref="C7058" r:id="rId7053" display="https://pld.live/RapDetail.aspx?STONELIST=927132256&amp;ISCONFIRM=0" xr:uid="{8577D040-80E5-42B1-87B4-17A96D203FD1}"/>
    <hyperlink ref="C7059" r:id="rId7054" display="https://pld.live/RapDetail.aspx?STONELIST=927092564&amp;ISCONFIRM=0" xr:uid="{328DF50B-29EC-45D8-A333-41B7A30CD88E}"/>
    <hyperlink ref="C7060" r:id="rId7055" display="https://pld.live/RapDetail.aspx?STONELIST=927130899&amp;ISCONFIRM=0" xr:uid="{F9DFFD0D-C5C8-4335-BA41-19D3F3167F04}"/>
    <hyperlink ref="C7061" r:id="rId7056" display="https://pld.live/RapDetail.aspx?STONELIST=927092560&amp;ISCONFIRM=0" xr:uid="{82A6835D-7679-4578-A374-0AF9664F8679}"/>
    <hyperlink ref="C7062" r:id="rId7057" display="https://pld.live/RapDetail.aspx?STONELIST=927092565&amp;ISCONFIRM=0" xr:uid="{2BA6C955-4ADC-4014-B295-BD7549A71419}"/>
    <hyperlink ref="C7063" r:id="rId7058" display="https://pld.live/RapDetail.aspx?STONELIST=926921402&amp;ISCONFIRM=0" xr:uid="{1B2E5F01-CD8F-45FF-8A99-AE395AD2AD5C}"/>
    <hyperlink ref="C7064" r:id="rId7059" display="https://pld.live/RapDetail.aspx?STONELIST=831010779&amp;ISCONFIRM=0" xr:uid="{99B859AA-A6DA-493B-B435-E111576B6907}"/>
    <hyperlink ref="C7065" r:id="rId7060" display="https://pld.live/RapDetail.aspx?STONELIST=941040760&amp;ISCONFIRM=0" xr:uid="{DADC0966-1B68-4704-A59F-8923F38A8F24}"/>
    <hyperlink ref="C7066" r:id="rId7061" display="https://pld.live/RapDetail.aspx?STONELIST=927092556&amp;ISCONFIRM=0" xr:uid="{6E234BD5-E428-4EF8-B0A2-972398E3E0D6}"/>
    <hyperlink ref="C7067" r:id="rId7062" display="https://pld.live/RapDetail.aspx?STONELIST=927052433&amp;ISCONFIRM=0" xr:uid="{E91CBBCE-44D2-4CBA-9807-9929CBE6CF0D}"/>
    <hyperlink ref="C7068" r:id="rId7063" display="https://pld.live/RapDetail.aspx?STONELIST=927132630&amp;ISCONFIRM=0" xr:uid="{ADEB7054-215F-4C78-8F9E-A89E7CCD2225}"/>
    <hyperlink ref="C7069" r:id="rId7064" display="https://pld.live/RapDetail.aspx?STONELIST=941040780&amp;ISCONFIRM=0" xr:uid="{100AF9DD-6B67-48AD-93F9-59549E446187}"/>
    <hyperlink ref="C7070" r:id="rId7065" display="https://pld.live/RapDetail.aspx?STONELIST=927092241&amp;ISCONFIRM=0" xr:uid="{0BFD9E16-D5F2-48EB-8572-F8F10A4306C4}"/>
    <hyperlink ref="C7071" r:id="rId7066" display="https://pld.live/RapDetail.aspx?STONELIST=927092566&amp;ISCONFIRM=0" xr:uid="{5C69C2EF-6A0A-4CAC-83C4-F3725EBCBE76}"/>
    <hyperlink ref="C7072" r:id="rId7067" display="https://pld.live/RapDetail.aspx?STONELIST=927101172&amp;ISCONFIRM=0" xr:uid="{7BEA3DFA-E83E-4EE2-9DB6-3B178322A4BE}"/>
    <hyperlink ref="C7073" r:id="rId7068" display="https://pld.live/RapDetail.aspx?STONELIST=926921465&amp;ISCONFIRM=0" xr:uid="{DF7FB4EA-8166-47CF-A7B8-4595097E603D}"/>
    <hyperlink ref="C7074" r:id="rId7069" display="https://pld.live/RapDetail.aspx?STONELIST=927101140&amp;ISCONFIRM=0" xr:uid="{115CFCC5-86B0-4BAD-B23A-36E3C7BCB0B5}"/>
    <hyperlink ref="C7075" r:id="rId7070" display="https://pld.live/RapDetail.aspx?STONELIST=927092164&amp;ISCONFIRM=0" xr:uid="{B87AEFA8-8D34-4717-AD1D-A96926CEDCA4}"/>
    <hyperlink ref="C7076" r:id="rId7071" display="https://pld.live/RapDetail.aspx?STONELIST=927092571&amp;ISCONFIRM=0" xr:uid="{1772B9DE-3EA0-4B99-9136-63E9D278AD75}"/>
    <hyperlink ref="C7077" r:id="rId7072" display="https://pld.live/RapDetail.aspx?STONELIST=941040781&amp;ISCONFIRM=0" xr:uid="{78CDF971-8608-465B-8F09-86FD510BE8CC}"/>
    <hyperlink ref="C7078" r:id="rId7073" display="https://pld.live/RapDetail.aspx?STONELIST=831010778&amp;ISCONFIRM=0" xr:uid="{26C7C59C-73C4-4296-8E76-141E7353193E}"/>
    <hyperlink ref="C7079" r:id="rId7074" display="https://pld.live/RapDetail.aspx?STONELIST=941040785&amp;ISCONFIRM=0" xr:uid="{4CFDD598-EE2C-45E0-AE36-9975D227316F}"/>
    <hyperlink ref="C7080" r:id="rId7075" display="https://pld.live/RapDetail.aspx?STONELIST=927092144&amp;ISCONFIRM=0" xr:uid="{4B2C3610-1997-41F2-BFE0-B0E6FE75FDEF}"/>
    <hyperlink ref="C7081" r:id="rId7076" display="https://pld.live/RapDetail.aspx?STONELIST=927092580&amp;ISCONFIRM=0" xr:uid="{44EE2168-0780-44FD-B4C2-64D883A3958B}"/>
    <hyperlink ref="C7082" r:id="rId7077" display="https://pld.live/RapDetail.aspx?STONELIST=941040794&amp;ISCONFIRM=0" xr:uid="{5FAE6D94-4D10-446A-8E88-B88374A41FF2}"/>
    <hyperlink ref="C7083" r:id="rId7078" display="https://pld.live/RapDetail.aspx?STONELIST=927101162&amp;ISCONFIRM=0" xr:uid="{47B1EA4D-4F88-439A-9A98-91D51AE42939}"/>
    <hyperlink ref="C7084" r:id="rId7079" display="https://pld.live/RapDetail.aspx?STONELIST=927052605&amp;ISCONFIRM=0" xr:uid="{6D71B348-F79E-4A58-9171-DCC5F3828339}"/>
    <hyperlink ref="C7085" r:id="rId7080" display="https://pld.live/RapDetail.aspx?STONELIST=927092578&amp;ISCONFIRM=0" xr:uid="{5578E856-0019-49D0-91AF-200A5FBA4BCA}"/>
    <hyperlink ref="C7086" r:id="rId7081" display="https://pld.live/RapDetail.aspx?STONELIST=927101190&amp;ISCONFIRM=0" xr:uid="{43090739-CA89-470D-82D1-8E2E45CA94BF}"/>
    <hyperlink ref="C7087" r:id="rId7082" display="https://pld.live/RapDetail.aspx?STONELIST=927052698&amp;ISCONFIRM=0" xr:uid="{F3356836-5819-4387-99A0-E8E64BCA04DD}"/>
    <hyperlink ref="C7088" r:id="rId7083" display="https://pld.live/RapDetail.aspx?STONELIST=927092420&amp;ISCONFIRM=0" xr:uid="{6ECF37F4-0FDA-4E4D-BEAC-092DB55CA1FF}"/>
    <hyperlink ref="C7089" r:id="rId7084" display="https://pld.live/RapDetail.aspx?STONELIST=927052341&amp;ISCONFIRM=0" xr:uid="{34EEC3D1-5BEB-420F-B22C-D380E7D520FC}"/>
    <hyperlink ref="C7090" r:id="rId7085" display="https://pld.live/RapDetail.aspx?STONELIST=927052519&amp;ISCONFIRM=0" xr:uid="{16F776D4-9A44-4C60-95A6-1E0ED785656B}"/>
    <hyperlink ref="C7091" r:id="rId7086" display="https://pld.live/RapDetail.aspx?STONELIST=927052501&amp;ISCONFIRM=0" xr:uid="{95FD24EB-3932-4DC7-8F57-6AAAE1038C50}"/>
    <hyperlink ref="C7092" r:id="rId7087" display="https://pld.live/RapDetail.aspx?STONELIST=927092590&amp;ISCONFIRM=0" xr:uid="{6BFCAB8B-72F8-43A3-AD9F-2D3466F62FD4}"/>
    <hyperlink ref="C7093" r:id="rId7088" display="https://pld.live/RapDetail.aspx?STONELIST=927052683&amp;ISCONFIRM=0" xr:uid="{B3145801-3BC7-4944-8D9C-429C22ABB90A}"/>
    <hyperlink ref="C7094" r:id="rId7089" display="https://pld.live/RapDetail.aspx?STONELIST=924520207&amp;ISCONFIRM=0" xr:uid="{6953E8EC-6084-4CC5-9EE8-BBFE62D93372}"/>
    <hyperlink ref="C7095" r:id="rId7090" display="https://pld.live/RapDetail.aspx?STONELIST=831010249&amp;ISCONFIRM=0" xr:uid="{816A1FC5-3E76-4587-ABD3-20F734EDED46}"/>
    <hyperlink ref="C7096" r:id="rId7091" display="https://pld.live/RapDetail.aspx?STONELIST=927052483&amp;ISCONFIRM=0" xr:uid="{F579CCCD-94C9-4F48-95C9-915324335099}"/>
    <hyperlink ref="C7097" r:id="rId7092" display="https://pld.live/RapDetail.aspx?STONELIST=927140497&amp;ISCONFIRM=0" xr:uid="{0AA4AA9A-481C-4F89-852D-396BB28DA0BC}"/>
    <hyperlink ref="C7098" r:id="rId7093" display="https://pld.live/RapDetail.aspx?STONELIST=926841303&amp;ISCONFIRM=0" xr:uid="{F6ECCE94-D9E1-4723-B422-3ABF91015AED}"/>
    <hyperlink ref="C7099" r:id="rId7094" display="https://pld.live/RapDetail.aspx?STONELIST=926761025&amp;ISCONFIRM=0" xr:uid="{52A31195-D61E-4084-AB00-D87C4A882307}"/>
    <hyperlink ref="C7100" r:id="rId7095" display="https://pld.live/RapDetail.aspx?STONELIST=926790828&amp;ISCONFIRM=0" xr:uid="{4F570711-45AF-4FF6-A294-EA52F6C7F320}"/>
    <hyperlink ref="C7101" r:id="rId7096" display="https://pld.live/RapDetail.aspx?STONELIST=927092595&amp;ISCONFIRM=0" xr:uid="{1D47006B-73E9-48CF-A0DB-4BD96862521F}"/>
    <hyperlink ref="C7102" r:id="rId7097" display="https://pld.live/RapDetail.aspx?STONELIST=926972193&amp;ISCONFIRM=0" xr:uid="{17210C7F-3710-4AA9-BFB6-379E45E183AC}"/>
    <hyperlink ref="C7103" r:id="rId7098" display="https://pld.live/RapDetail.aspx?STONELIST=927132638&amp;ISCONFIRM=0" xr:uid="{4CD6C684-874E-4CF3-B277-A472A23BEF77}"/>
    <hyperlink ref="C7104" r:id="rId7099" display="https://pld.live/RapDetail.aspx?STONELIST=924190750&amp;ISCONFIRM=0" xr:uid="{B9F925B1-F7F2-4544-BC48-C3C270F2DB15}"/>
    <hyperlink ref="C7105" r:id="rId7100" display="https://pld.live/RapDetail.aspx?STONELIST=941120584&amp;ISCONFIRM=0" xr:uid="{A8855C11-8289-4742-B839-03C51A9BBAEC}"/>
    <hyperlink ref="C7106" r:id="rId7101" display="https://pld.live/RapDetail.aspx?STONELIST=941100692&amp;ISCONFIRM=0" xr:uid="{EE65A875-FBAB-4F8E-92F6-8A9AFB983C00}"/>
    <hyperlink ref="C7107" r:id="rId7102" display="https://pld.live/RapDetail.aspx?STONELIST=927132548&amp;ISCONFIRM=0" xr:uid="{8BDC789B-DFDA-4B0A-BF18-2A9168D23ED7}"/>
    <hyperlink ref="C7108" r:id="rId7103" display="https://pld.live/RapDetail.aspx?STONELIST=927132487&amp;ISCONFIRM=0" xr:uid="{65188211-6D17-4B85-A64C-451DFFA1D023}"/>
    <hyperlink ref="C7109" r:id="rId7104" display="https://pld.live/RapDetail.aspx?STONELIST=941161047&amp;ISCONFIRM=0" xr:uid="{BDEEB086-A628-4E33-8470-295CFBD7C615}"/>
    <hyperlink ref="C7110" r:id="rId7105" display="https://pld.live/RapDetail.aspx?STONELIST=831010772&amp;ISCONFIRM=0" xr:uid="{F3FCDFAB-5BB5-4C2A-851F-448C8161F73F}"/>
    <hyperlink ref="C7111" r:id="rId7106" display="https://pld.live/RapDetail.aspx?STONELIST=831010773&amp;ISCONFIRM=0" xr:uid="{2E58B52E-99EA-40BD-8370-4997F644BE75}"/>
    <hyperlink ref="C7112" r:id="rId7107" display="https://pld.live/RapDetail.aspx?STONELIST=941161036&amp;ISCONFIRM=0" xr:uid="{65634B65-E9BA-4976-8C7D-8EF6E68B4CE1}"/>
    <hyperlink ref="C7113" r:id="rId7108" display="https://pld.live/RapDetail.aspx?STONELIST=941161019&amp;ISCONFIRM=0" xr:uid="{4626538F-36A8-403D-A7E5-D1E492202845}"/>
    <hyperlink ref="C7114" r:id="rId7109" display="https://pld.live/RapDetail.aspx?STONELIST=941161006&amp;ISCONFIRM=0" xr:uid="{2D55EC6D-CD5E-479E-BC20-FBF0C8A07CD1}"/>
    <hyperlink ref="C7115" r:id="rId7110" display="https://pld.live/RapDetail.aspx?STONELIST=941161023&amp;ISCONFIRM=0" xr:uid="{F3E40083-CC52-4C00-BA8D-D1984E7C83BF}"/>
    <hyperlink ref="C7116" r:id="rId7111" display="https://pld.live/RapDetail.aspx?STONELIST=941140972&amp;ISCONFIRM=0" xr:uid="{548D8000-7EE5-4974-B9C3-646E583D6535}"/>
    <hyperlink ref="C7117" r:id="rId7112" display="https://pld.live/RapDetail.aspx?STONELIST=941150212&amp;ISCONFIRM=0" xr:uid="{38CFCC1D-E2A6-4606-B5A9-73B1E21F3C51}"/>
    <hyperlink ref="C7118" r:id="rId7113" display="https://pld.live/RapDetail.aspx?STONELIST=941140976&amp;ISCONFIRM=0" xr:uid="{D2E49864-DC10-4078-965A-A03A6DDF6C49}"/>
    <hyperlink ref="C7119" r:id="rId7114" display="https://pld.live/RapDetail.aspx?STONELIST=941161031&amp;ISCONFIRM=0" xr:uid="{FD226AC9-0EFB-41D3-80ED-22640FA87D4C}"/>
    <hyperlink ref="C7120" r:id="rId7115" display="https://pld.live/RapDetail.aspx?STONELIST=941161016&amp;ISCONFIRM=0" xr:uid="{7442F34B-4A04-4D34-9476-B06D25E03962}"/>
    <hyperlink ref="C7121" r:id="rId7116" display="https://pld.live/RapDetail.aspx?STONELIST=941110588&amp;ISCONFIRM=0" xr:uid="{ECDEF093-EE13-445D-8B92-239C3DCE1DF2}"/>
    <hyperlink ref="C7122" r:id="rId7117" display="https://pld.live/RapDetail.aspx?STONELIST=927132653&amp;ISCONFIRM=0" xr:uid="{534EA714-C853-4E11-AC76-12D3BFCCFE1F}"/>
    <hyperlink ref="C7123" r:id="rId7118" display="https://pld.live/RapDetail.aspx?STONELIST=941170655&amp;ISCONFIRM=0" xr:uid="{B6BFCAA1-3C72-4D37-A28E-3D08A792B51D}"/>
    <hyperlink ref="C7124" r:id="rId7119" display="https://pld.live/RapDetail.aspx?STONELIST=941161012&amp;ISCONFIRM=0" xr:uid="{30F34D17-B2B4-479C-9451-AFFF75217428}"/>
    <hyperlink ref="C7125" r:id="rId7120" display="https://pld.live/RapDetail.aspx?STONELIST=941161020&amp;ISCONFIRM=0" xr:uid="{646F3384-5F55-4329-ADF7-35F9128B756B}"/>
    <hyperlink ref="C7126" r:id="rId7121" display="https://pld.live/RapDetail.aspx?STONELIST=941170660&amp;ISCONFIRM=0" xr:uid="{9309A7EC-8FB3-425B-90DB-667E3F1C4EC2}"/>
    <hyperlink ref="C7127" r:id="rId7122" display="https://pld.live/RapDetail.aspx?STONELIST=941170662&amp;ISCONFIRM=0" xr:uid="{892C0F2D-A3F9-42C8-8F53-15714513ACC3}"/>
    <hyperlink ref="C7128" r:id="rId7123" display="https://pld.live/RapDetail.aspx?STONELIST=941170652&amp;ISCONFIRM=0" xr:uid="{C1DA0DCA-A0E1-4C9D-8254-9DDCE08524F1}"/>
    <hyperlink ref="C7129" r:id="rId7124" display="https://pld.live/RapDetail.aspx?STONELIST=941161004&amp;ISCONFIRM=0" xr:uid="{9466C0FA-AC03-4D3E-84C5-EF243429AC7C}"/>
    <hyperlink ref="C7130" r:id="rId7125" display="https://pld.live/RapDetail.aspx?STONELIST=941161034&amp;ISCONFIRM=0" xr:uid="{8731CFF9-B5B7-43BB-8439-765F111F93BC}"/>
    <hyperlink ref="C7131" r:id="rId7126" display="https://pld.live/RapDetail.aspx?STONELIST=941161037&amp;ISCONFIRM=0" xr:uid="{8F200AE3-5859-4EBF-B1C9-8A72626D4E11}"/>
    <hyperlink ref="C7132" r:id="rId7127" display="https://pld.live/RapDetail.aspx?STONELIST=941161018&amp;ISCONFIRM=0" xr:uid="{B646560B-34F3-4DCC-BA55-1CB89886A8A2}"/>
    <hyperlink ref="C7133" r:id="rId7128" display="https://pld.live/RapDetail.aspx?STONELIST=941150207&amp;ISCONFIRM=0" xr:uid="{4BD9B7DD-4463-4994-9AB6-CD02901D5C4D}"/>
    <hyperlink ref="C7134" r:id="rId7129" display="https://pld.live/RapDetail.aspx?STONELIST=941161009&amp;ISCONFIRM=0" xr:uid="{FD5C927E-2358-403D-9403-AE4B9CC0B029}"/>
    <hyperlink ref="C7135" r:id="rId7130" display="https://pld.live/RapDetail.aspx?STONELIST=941170469&amp;ISCONFIRM=0" xr:uid="{1CD425C0-C656-4AE6-A519-A4E08088DC2F}"/>
    <hyperlink ref="C7136" r:id="rId7131" display="https://pld.live/RapDetail.aspx?STONELIST=941161008&amp;ISCONFIRM=0" xr:uid="{319AC2DF-E761-4C95-90A8-163131B1D4CD}"/>
    <hyperlink ref="C7137" r:id="rId7132" display="https://pld.live/RapDetail.aspx?STONELIST=927132490&amp;ISCONFIRM=0" xr:uid="{23E7FB4C-6F31-4FFA-A7D7-65445C4B3816}"/>
    <hyperlink ref="C7138" r:id="rId7133" display="https://pld.live/RapDetail.aspx?STONELIST=941161021&amp;ISCONFIRM=0" xr:uid="{EDADBF2C-78B5-44C3-B14E-D160496AF3ED}"/>
    <hyperlink ref="C7139" r:id="rId7134" display="https://pld.live/RapDetail.aspx?STONELIST=941161014&amp;ISCONFIRM=0" xr:uid="{9A7D30CE-2FA9-40E7-BC1C-B184595ECAFE}"/>
    <hyperlink ref="C7140" r:id="rId7135" display="https://pld.live/RapDetail.aspx?STONELIST=941161010&amp;ISCONFIRM=0" xr:uid="{825FAC53-3051-41DE-9388-C7FE8464D712}"/>
    <hyperlink ref="C7141" r:id="rId7136" display="https://pld.live/RapDetail.aspx?STONELIST=941140979&amp;ISCONFIRM=0" xr:uid="{2BCEB825-154B-4109-88B9-4E893D061E95}"/>
    <hyperlink ref="C7142" r:id="rId7137" display="https://pld.live/RapDetail.aspx?STONELIST=941140981&amp;ISCONFIRM=0" xr:uid="{6EDD2DB4-E6A4-45AE-AE5C-F96A85F3B6FA}"/>
    <hyperlink ref="C7143" r:id="rId7138" display="https://pld.live/RapDetail.aspx?STONELIST=941220692&amp;ISCONFIRM=0" xr:uid="{3B959CDA-0F8C-470B-A2A0-D21B36267760}"/>
    <hyperlink ref="C7144" r:id="rId7139" display="https://pld.live/RapDetail.aspx?STONELIST=926360304&amp;ISCONFIRM=0" xr:uid="{2F26402D-C6CC-49D5-8C59-15F76B4BE6A4}"/>
    <hyperlink ref="C7145" r:id="rId7140" display="https://pld.live/RapDetail.aspx?STONELIST=926410459&amp;ISCONFIRM=0" xr:uid="{B6DC849B-1A63-4615-90D7-B04E1396BA0A}"/>
    <hyperlink ref="C7146" r:id="rId7141" display="https://pld.live/RapDetail.aspx?STONELIST=926420444&amp;ISCONFIRM=0" xr:uid="{C2C0C810-EA58-48C8-BFF4-A9EE1AEEB2BF}"/>
    <hyperlink ref="C7147" r:id="rId7142" display="https://pld.live/RapDetail.aspx?STONELIST=926360380&amp;ISCONFIRM=0" xr:uid="{C4B60BD4-DB07-48BD-9F2F-2B768EACD3DF}"/>
    <hyperlink ref="C7148" r:id="rId7143" display="https://pld.live/RapDetail.aspx?STONELIST=926420454&amp;ISCONFIRM=0" xr:uid="{308E4B44-BA02-4566-8EF2-BED5DE2B2E9D}"/>
    <hyperlink ref="C7149" r:id="rId7144" display="https://pld.live/RapDetail.aspx?STONELIST=926600051&amp;ISCONFIRM=0" xr:uid="{EF306DCF-D259-4BCA-8803-7CA86836374B}"/>
    <hyperlink ref="C7150" r:id="rId7145" display="https://pld.live/RapDetail.aspx?STONELIST=926360359&amp;ISCONFIRM=0" xr:uid="{658A616D-50CD-489F-AEDF-625484955A35}"/>
    <hyperlink ref="C7151" r:id="rId7146" display="https://pld.live/RapDetail.aspx?STONELIST=926360348&amp;ISCONFIRM=0" xr:uid="{7E356BF0-F72F-4DBE-913C-B57BEA3E8F94}"/>
    <hyperlink ref="C7152" r:id="rId7147" display="https://pld.live/RapDetail.aspx?STONELIST=941220659&amp;ISCONFIRM=0" xr:uid="{C717D4A6-6F1F-42FE-AA4B-3F7A8633A7CB}"/>
    <hyperlink ref="C7153" r:id="rId7148" display="https://pld.live/RapDetail.aspx?STONELIST=926360312&amp;ISCONFIRM=0" xr:uid="{179C3250-1269-4E03-9F94-01A8D796102D}"/>
    <hyperlink ref="C7154" r:id="rId7149" display="https://pld.live/RapDetail.aspx?STONELIST=926410391&amp;ISCONFIRM=0" xr:uid="{F725774B-3DE3-43F6-B920-B82EF891898B}"/>
    <hyperlink ref="C7155" r:id="rId7150" display="https://pld.live/RapDetail.aspx?STONELIST=926360394&amp;ISCONFIRM=0" xr:uid="{7167686E-24C5-416B-A366-B6310ED60F21}"/>
    <hyperlink ref="C7156" r:id="rId7151" display="https://pld.live/RapDetail.aspx?STONELIST=926410443&amp;ISCONFIRM=0" xr:uid="{198C61CC-95F1-4030-B2AE-6066F0E28A57}"/>
    <hyperlink ref="C7157" r:id="rId7152" display="https://pld.live/RapDetail.aspx?STONELIST=926410436&amp;ISCONFIRM=0" xr:uid="{54ADF7E3-F0C5-4742-B0C7-C66EA4FB443A}"/>
    <hyperlink ref="C7158" r:id="rId7153" display="https://pld.live/RapDetail.aspx?STONELIST=926420442&amp;ISCONFIRM=0" xr:uid="{5B9E573E-63AA-45EE-82A7-F9EDC3DD1001}"/>
    <hyperlink ref="C7159" r:id="rId7154" display="https://pld.live/RapDetail.aspx?STONELIST=926420455&amp;ISCONFIRM=0" xr:uid="{35FA7D4E-4493-49CC-951A-57465A55CA39}"/>
    <hyperlink ref="C7160" r:id="rId7155" display="https://pld.live/RapDetail.aspx?STONELIST=926420452&amp;ISCONFIRM=0" xr:uid="{69C0E4D7-8C0A-4597-9DD1-BCCCB83AB2F6}"/>
    <hyperlink ref="C7161" r:id="rId7156" display="https://pld.live/RapDetail.aspx?STONELIST=926410388&amp;ISCONFIRM=0" xr:uid="{D3CCE1D8-37DD-495C-890D-32CD6C75084A}"/>
    <hyperlink ref="C7162" r:id="rId7157" display="https://pld.live/RapDetail.aspx?STONELIST=926420451&amp;ISCONFIRM=0" xr:uid="{841DA4E1-991B-43E6-9F17-72C86106EF99}"/>
    <hyperlink ref="C7163" r:id="rId7158" display="https://pld.live/RapDetail.aspx?STONELIST=926420440&amp;ISCONFIRM=0" xr:uid="{15C4D20E-47D3-4682-BF79-1C3A1E466F64}"/>
    <hyperlink ref="C7164" r:id="rId7159" display="https://pld.live/RapDetail.aspx?STONELIST=926410392&amp;ISCONFIRM=0" xr:uid="{5D72EFCC-FE80-4C54-9506-CD209A3D0495}"/>
    <hyperlink ref="C7165" r:id="rId7160" display="https://pld.live/RapDetail.aspx?STONELIST=941180085&amp;ISCONFIRM=0" xr:uid="{B411041A-1E93-4FA8-B79A-AACCF084FA90}"/>
    <hyperlink ref="C7166" r:id="rId7161" display="https://pld.live/RapDetail.aspx?STONELIST=926470423&amp;ISCONFIRM=0" xr:uid="{32A1BFA8-6175-4519-98D0-530F73EA4141}"/>
    <hyperlink ref="C7167" r:id="rId7162" display="https://pld.live/RapDetail.aspx?STONELIST=926590059&amp;ISCONFIRM=0" xr:uid="{0C541F68-8632-45F0-975C-CAFC748B391C}"/>
    <hyperlink ref="C7168" r:id="rId7163" display="https://pld.live/RapDetail.aspx?STONELIST=821133310&amp;ISCONFIRM=0" xr:uid="{F5D7A6D3-AB3E-4A1A-AC52-0B36BB8A3AE1}"/>
    <hyperlink ref="C7169" r:id="rId7164" display="https://pld.live/RapDetail.aspx?STONELIST=926470392&amp;ISCONFIRM=0" xr:uid="{568D1638-6E54-43D8-8706-8B1AA93B006D}"/>
    <hyperlink ref="C7170" r:id="rId7165" display="https://pld.live/RapDetail.aspx?STONELIST=941360599&amp;ISCONFIRM=0" xr:uid="{8A3B2EDB-84E2-4FD0-81AB-167CECF9EFC2}"/>
    <hyperlink ref="C7171" r:id="rId7166" display="https://pld.live/RapDetail.aspx?STONELIST=926360386&amp;ISCONFIRM=0" xr:uid="{3F80F2C5-A248-4174-AB45-9FC536801E6A}"/>
    <hyperlink ref="C7172" r:id="rId7167" display="https://pld.live/RapDetail.aspx?STONELIST=925670111&amp;ISCONFIRM=0" xr:uid="{3D156B2F-AF25-4224-B3E5-3C9037C9446B}"/>
    <hyperlink ref="C7173" r:id="rId7168" display="https://pld.live/RapDetail.aspx?STONELIST=926560342&amp;ISCONFIRM=0" xr:uid="{8996B898-81F6-4C77-B74E-D0C28D10B901}"/>
    <hyperlink ref="C7174" r:id="rId7169" display="https://pld.live/RapDetail.aspx?STONELIST=941180097&amp;ISCONFIRM=0" xr:uid="{80842295-2F0E-49E8-A4AC-DA0D0FD2BD65}"/>
    <hyperlink ref="C7175" r:id="rId7170" display="https://pld.live/RapDetail.aspx?STONELIST=941360610&amp;ISCONFIRM=0" xr:uid="{6A8BBF78-6B6A-482D-BA4F-6369A979992D}"/>
    <hyperlink ref="C7176" r:id="rId7171" display="https://pld.live/RapDetail.aspx?STONELIST=924380415&amp;ISCONFIRM=0" xr:uid="{856BE51D-DD87-4E23-B5C7-5F0237D1CA90}"/>
    <hyperlink ref="C7177" r:id="rId7172" display="https://pld.live/RapDetail.aspx?STONELIST=941390588&amp;ISCONFIRM=0" xr:uid="{90A8007D-CD85-4D7E-A5E9-9C910DCE2733}"/>
    <hyperlink ref="C7178" r:id="rId7173" display="https://pld.live/RapDetail.aspx?STONELIST=927020677&amp;ISCONFIRM=0" xr:uid="{AB8E59E6-A59B-4F51-9416-09874533517C}"/>
    <hyperlink ref="C7179" r:id="rId7174" display="https://pld.live/RapDetail.aspx?STONELIST=926410444&amp;ISCONFIRM=0" xr:uid="{BA0F72F7-3FD6-4614-B474-1501DCEF5486}"/>
    <hyperlink ref="C7180" r:id="rId7175" display="https://pld.live/RapDetail.aspx?STONELIST=941060546&amp;ISCONFIRM=0" xr:uid="{ABE74677-389C-455E-AB49-AE0BF5C76C17}"/>
    <hyperlink ref="C7181" r:id="rId7176" display="https://pld.live/RapDetail.aspx?STONELIST=927070901&amp;ISCONFIRM=0" xr:uid="{6B0A062D-49B2-4CCA-93E6-00B3F1AA820E}"/>
    <hyperlink ref="C7182" r:id="rId7177" display="https://pld.live/RapDetail.aspx?STONELIST=831020401&amp;ISCONFIRM=0" xr:uid="{ABCF5D0C-11BD-42B4-8CE8-2912D9E3676C}"/>
    <hyperlink ref="C7183" r:id="rId7178" display="https://pld.live/RapDetail.aspx?STONELIST=924950028&amp;ISCONFIRM=0" xr:uid="{6EC7D362-ECF6-4671-822B-50D5DB75E260}"/>
    <hyperlink ref="C7184" r:id="rId7179" display="https://pld.live/RapDetail.aspx?STONELIST=927020704&amp;ISCONFIRM=0" xr:uid="{FDE3056E-06D9-43B1-A7D3-4E587ACEF36E}"/>
    <hyperlink ref="C7185" r:id="rId7180" display="https://pld.live/RapDetail.aspx?STONELIST=831020618&amp;ISCONFIRM=0" xr:uid="{67750732-A333-4DF8-A7DB-51F54097400B}"/>
    <hyperlink ref="C7186" r:id="rId7181" display="https://pld.live/RapDetail.aspx?STONELIST=925700187&amp;ISCONFIRM=0" xr:uid="{2CF5F46F-0EB5-43DB-8BCD-0EF5AD4C6CB5}"/>
    <hyperlink ref="C7187" r:id="rId7182" display="https://pld.live/RapDetail.aspx?STONELIST=927020687&amp;ISCONFIRM=0" xr:uid="{B92EE7DF-9FD3-4B41-888F-F8C258EC8780}"/>
    <hyperlink ref="C7188" r:id="rId7183" display="https://pld.live/RapDetail.aspx?STONELIST=926130169&amp;ISCONFIRM=0" xr:uid="{F6BC006C-3751-4C50-8F1D-6C7B096E5908}"/>
    <hyperlink ref="C7189" r:id="rId7184" display="https://pld.live/RapDetail.aspx?STONELIST=941390555&amp;ISCONFIRM=0" xr:uid="{06438628-9B47-44DC-B007-F6477B3B3865}"/>
    <hyperlink ref="C7190" r:id="rId7185" display="https://pld.live/RapDetail.aspx?STONELIST=927110105&amp;ISCONFIRM=0" xr:uid="{9808CC69-AE61-43CE-9987-53CAF2CAF6DD}"/>
    <hyperlink ref="C7191" r:id="rId7186" display="https://pld.live/RapDetail.aspx?STONELIST=927120169&amp;ISCONFIRM=0" xr:uid="{5976D68E-EF7F-4643-A972-A3D60709A61D}"/>
    <hyperlink ref="C7192" r:id="rId7187" display="https://pld.live/RapDetail.aspx?STONELIST=927020705&amp;ISCONFIRM=0" xr:uid="{FA0F0CDA-8063-4646-A437-D1310B65CDB7}"/>
    <hyperlink ref="C7193" r:id="rId7188" display="https://pld.live/RapDetail.aspx?STONELIST=927070792&amp;ISCONFIRM=0" xr:uid="{6EAB56D2-7B70-4C79-BB3F-E5D4518E5FF1}"/>
    <hyperlink ref="C7194" r:id="rId7189" display="https://pld.live/RapDetail.aspx?STONELIST=926030047&amp;ISCONFIRM=0" xr:uid="{92B07FB8-FE06-47C3-9DD7-B9FBAEF5C2C8}"/>
    <hyperlink ref="C7195" r:id="rId7190" display="https://pld.live/RapDetail.aspx?STONELIST=927070903&amp;ISCONFIRM=0" xr:uid="{7045FC82-13CD-4A76-AC03-AB7350BF1A62}"/>
    <hyperlink ref="C7196" r:id="rId7191" display="https://pld.live/RapDetail.aspx?STONELIST=941110543&amp;ISCONFIRM=0" xr:uid="{97B033A7-9B02-4D37-8526-42CF6C47667A}"/>
    <hyperlink ref="C7197" r:id="rId7192" display="https://pld.live/RapDetail.aspx?STONELIST=941110556&amp;ISCONFIRM=0" xr:uid="{A543F489-B7E3-4636-B08F-C8BDCBA4C311}"/>
    <hyperlink ref="C7198" r:id="rId7193" display="https://pld.live/RapDetail.aspx?STONELIST=927080765&amp;ISCONFIRM=0" xr:uid="{4C63D789-F662-4B97-B4F4-F36373CB4FF5}"/>
    <hyperlink ref="C7199" r:id="rId7194" display="https://pld.live/RapDetail.aspx?STONELIST=926160047&amp;ISCONFIRM=0" xr:uid="{BF6352B1-7F57-4EC5-9400-E55FFE9D43F0}"/>
    <hyperlink ref="C7200" r:id="rId7195" display="https://pld.live/RapDetail.aspx?STONELIST=9413900606&amp;ISCONFIRM=0" xr:uid="{CC32333C-C5B9-4660-AA6D-E42B5BAB12B2}"/>
    <hyperlink ref="C7201" r:id="rId7196" display="https://pld.live/RapDetail.aspx?STONELIST=821132872&amp;ISCONFIRM=0" xr:uid="{738D19E7-EAE8-43E4-848C-4392404FF406}"/>
    <hyperlink ref="C7202" r:id="rId7197" display="https://pld.live/RapDetail.aspx?STONELIST=941110547&amp;ISCONFIRM=0" xr:uid="{20B0A51F-506D-4910-90A6-A345A4D0F5BA}"/>
    <hyperlink ref="C7203" r:id="rId7198" display="https://pld.live/RapDetail.aspx?STONELIST=927070916&amp;ISCONFIRM=0" xr:uid="{03288F07-2D1E-4A0B-9853-B4EF6C02E66E}"/>
    <hyperlink ref="C7204" r:id="rId7199" display="https://pld.live/RapDetail.aspx?STONELIST=941150098&amp;ISCONFIRM=0" xr:uid="{8443FE3B-6F51-4335-AE28-E53C5AE37D25}"/>
    <hyperlink ref="C7205" r:id="rId7200" display="https://pld.live/RapDetail.aspx?STONELIST=821132867&amp;ISCONFIRM=0" xr:uid="{C234EF1E-BA05-469F-B258-86E183CD61E0}"/>
    <hyperlink ref="C7206" r:id="rId7201" display="https://pld.live/RapDetail.aspx?STONELIST=927070928&amp;ISCONFIRM=0" xr:uid="{643E3A19-9D25-4CC3-93C4-346E1CA75100}"/>
    <hyperlink ref="C7207" r:id="rId7202" display="https://pld.live/RapDetail.aspx?STONELIST=922950378&amp;ISCONFIRM=0" xr:uid="{35FD529C-DFE8-48F1-9C33-DC9E4BF5DA40}"/>
    <hyperlink ref="C7208" r:id="rId7203" display="https://pld.live/RapDetail.aspx?STONELIST=924160795&amp;ISCONFIRM=0" xr:uid="{DCE3886B-D11D-46B3-9B66-D48256F64516}"/>
    <hyperlink ref="C7209" r:id="rId7204" display="https://pld.live/RapDetail.aspx?STONELIST=941340743&amp;ISCONFIRM=0" xr:uid="{1EFA7AC0-DA3E-4BBD-B998-CD8D13709E17}"/>
    <hyperlink ref="C7210" r:id="rId7205" display="https://pld.live/RapDetail.aspx?STONELIST=926030146&amp;ISCONFIRM=0" xr:uid="{EEC72D5B-8F42-489E-BBDE-BFD141DD4246}"/>
    <hyperlink ref="C7211" r:id="rId7206" display="https://pld.live/RapDetail.aspx?STONELIST=926030169&amp;ISCONFIRM=0" xr:uid="{1D41A4E4-6B42-4E98-8A6E-40C94095D1A9}"/>
    <hyperlink ref="C7212" r:id="rId7207" display="https://pld.live/RapDetail.aspx?STONELIST=831020505&amp;ISCONFIRM=0" xr:uid="{90F8F4B4-1CE0-45E7-9827-2032546EA29B}"/>
    <hyperlink ref="C7213" r:id="rId7208" display="https://pld.live/RapDetail.aspx?STONELIST=924160380&amp;ISCONFIRM=0" xr:uid="{22371114-DC82-4E1B-A4A7-3F64279CF09F}"/>
    <hyperlink ref="C7214" r:id="rId7209" display="https://pld.live/RapDetail.aspx?STONELIST=925060463&amp;ISCONFIRM=0" xr:uid="{AB092E50-1AF9-4BA2-BE73-E1065CC4683C}"/>
    <hyperlink ref="C7215" r:id="rId7210" display="https://pld.live/RapDetail.aspx?STONELIST=821111274&amp;ISCONFIRM=0" xr:uid="{25C05585-FCC4-4BB1-B9DB-92B4D9B63E77}"/>
    <hyperlink ref="C7216" r:id="rId7211" display="https://pld.live/RapDetail.aspx?STONELIST=821112006&amp;ISCONFIRM=0" xr:uid="{8590633B-A69B-44AC-AD1E-5F9C130A65B2}"/>
    <hyperlink ref="C7217" r:id="rId7212" display="https://pld.live/RapDetail.aspx?STONELIST=821112002&amp;ISCONFIRM=0" xr:uid="{4D739329-E8D3-49E1-A5A2-73FA4F43A417}"/>
    <hyperlink ref="C7218" r:id="rId7213" display="https://pld.live/RapDetail.aspx?STONELIST=821111833&amp;ISCONFIRM=0" xr:uid="{A197A421-8897-4C65-A085-18FE99742642}"/>
    <hyperlink ref="C7219" r:id="rId7214" display="https://pld.live/RapDetail.aspx?STONELIST=821111862&amp;ISCONFIRM=0" xr:uid="{0677F7FC-B657-4851-A09F-EC6A2882DE3B}"/>
    <hyperlink ref="C7220" r:id="rId7215" display="https://pld.live/RapDetail.aspx?STONELIST=821113013&amp;ISCONFIRM=0" xr:uid="{CF7C2BBD-EF89-4B1C-90FF-83A942960D20}"/>
    <hyperlink ref="C7221" r:id="rId7216" display="https://pld.live/RapDetail.aspx?STONELIST=821113011&amp;ISCONFIRM=0" xr:uid="{F2AE52A9-8C9D-4252-8AB3-9214B29D1DC1}"/>
    <hyperlink ref="C7222" r:id="rId7217" display="https://pld.live/RapDetail.aspx?STONELIST=821113007&amp;ISCONFIRM=0" xr:uid="{E2D63579-309B-46C3-8CDA-6535A85E8197}"/>
    <hyperlink ref="C7223" r:id="rId7218" display="https://pld.live/RapDetail.aspx?STONELIST=821113006&amp;ISCONFIRM=0" xr:uid="{13A24BFC-0DFF-43FB-9986-B44D6B5A8FD7}"/>
    <hyperlink ref="C7224" r:id="rId7219" display="https://pld.live/RapDetail.aspx?STONELIST=821111889&amp;ISCONFIRM=0" xr:uid="{59D30A90-E87D-4E7C-A2B4-C5143A4A3872}"/>
    <hyperlink ref="C7225" r:id="rId7220" display="https://pld.live/RapDetail.aspx?STONELIST=821111968&amp;ISCONFIRM=0" xr:uid="{18FD800C-A43A-4B8D-BF07-6E3C65BA663C}"/>
    <hyperlink ref="C7226" r:id="rId7221" display="https://pld.live/RapDetail.aspx?STONELIST=821118003&amp;ISCONFIRM=0" xr:uid="{A0DC5BAB-4E5A-4EEB-9BE2-A211724288C0}"/>
    <hyperlink ref="C7227" r:id="rId7222" display="https://pld.live/RapDetail.aspx?STONELIST=821117996&amp;ISCONFIRM=0" xr:uid="{9751AACE-7F59-44E6-AA1D-6DF611849B32}"/>
    <hyperlink ref="C7228" r:id="rId7223" display="https://pld.live/RapDetail.aspx?STONELIST=821117999&amp;ISCONFIRM=0" xr:uid="{9163CBB1-D9F8-410D-AABD-15EA8ED9BE0D}"/>
    <hyperlink ref="C7229" r:id="rId7224" display="https://pld.live/RapDetail.aspx?STONELIST=926360318&amp;ISCONFIRM=0" xr:uid="{98AC9F25-C0A3-4F02-A0CF-70E8E5F11865}"/>
    <hyperlink ref="C7230" r:id="rId7225" display="https://pld.live/RapDetail.aspx?STONELIST=821118010&amp;ISCONFIRM=0" xr:uid="{BB311F2F-48C4-4ED7-B9E4-B8BEAA60FF92}"/>
    <hyperlink ref="C7231" r:id="rId7226" display="https://pld.live/RapDetail.aspx?STONELIST=821118015&amp;ISCONFIRM=0" xr:uid="{9096BE14-0B9E-4D81-95D8-5AA34B15157C}"/>
    <hyperlink ref="C7232" r:id="rId7227" display="https://pld.live/RapDetail.aspx?STONELIST=821118012&amp;ISCONFIRM=0" xr:uid="{81145714-94AC-4A7F-A269-0085B41F7663}"/>
    <hyperlink ref="C7233" r:id="rId7228" display="https://pld.live/RapDetail.aspx?STONELIST=821118000&amp;ISCONFIRM=0" xr:uid="{B04D609C-59DE-4EA4-AF18-45FD7AEFE55D}"/>
    <hyperlink ref="C7234" r:id="rId7229" display="https://pld.live/RapDetail.aspx?STONELIST=821117998&amp;ISCONFIRM=0" xr:uid="{1653E136-192E-49A1-B18D-40A25C2DF8E9}"/>
    <hyperlink ref="C7235" r:id="rId7230" display="https://pld.live/RapDetail.aspx?STONELIST=821117988&amp;ISCONFIRM=0" xr:uid="{4333BA07-833B-4DDD-BFE7-94BBBA5EE6F0}"/>
    <hyperlink ref="C7236" r:id="rId7231" display="https://pld.live/RapDetail.aspx?STONELIST=821118007&amp;ISCONFIRM=0" xr:uid="{A5A57F81-2C63-48A3-91D9-8D6E21F870BE}"/>
    <hyperlink ref="C7237" r:id="rId7232" display="https://pld.live/RapDetail.aspx?STONELIST=821118008&amp;ISCONFIRM=0" xr:uid="{A42B598E-C008-48B2-A319-0E480DE520A9}"/>
    <hyperlink ref="C7238" r:id="rId7233" display="https://pld.live/RapDetail.aspx?STONELIST=821132360&amp;ISCONFIRM=0" xr:uid="{848CDC8A-1931-44FE-B8D3-9537DCF1D3C9}"/>
    <hyperlink ref="C7239" r:id="rId7234" display="https://pld.live/RapDetail.aspx?STONELIST=821132726&amp;ISCONFIRM=0" xr:uid="{8B8A1B09-FFF2-4C07-ADA1-DCC9497E1EF8}"/>
    <hyperlink ref="C7240" r:id="rId7235" display="https://pld.live/RapDetail.aspx?STONELIST=926130186&amp;ISCONFIRM=0" xr:uid="{05ACCD6C-B6B7-46FB-AD48-129A5695AD8F}"/>
    <hyperlink ref="C7241" r:id="rId7236" display="https://pld.live/RapDetail.aspx?STONELIST=821132469&amp;ISCONFIRM=0" xr:uid="{A0F76314-8B7A-4BE9-AAE9-DEA0C3A8CFB8}"/>
    <hyperlink ref="C7242" r:id="rId7237" display="https://pld.live/RapDetail.aspx?STONELIST=927000647&amp;ISCONFIRM=0" xr:uid="{CF437D03-DC3B-4694-A3F2-66A386E8C6E0}"/>
    <hyperlink ref="C7243" r:id="rId7238" display="https://pld.live/RapDetail.aspx?STONELIST=821132167&amp;ISCONFIRM=0" xr:uid="{D0C33DC6-5E24-48C8-AFAA-6EF1399A9E01}"/>
    <hyperlink ref="C7244" r:id="rId7239" display="https://pld.live/RapDetail.aspx?STONELIST=925700264&amp;ISCONFIRM=0" xr:uid="{E5CB33C3-A609-4965-B9EE-795301E2B724}"/>
    <hyperlink ref="C7245" r:id="rId7240" display="https://pld.live/RapDetail.aspx?STONELIST=9413900605&amp;ISCONFIRM=0" xr:uid="{80A6E8C2-251A-4470-89B6-F5CE1A83BB2E}"/>
    <hyperlink ref="C7246" r:id="rId7241" display="https://pld.live/RapDetail.aspx?STONELIST=831020492&amp;ISCONFIRM=0" xr:uid="{4ECC6556-7B0B-4EBE-AB75-3F1C2B42E53C}"/>
    <hyperlink ref="C7247" r:id="rId7242" display="https://pld.live/RapDetail.aspx?STONELIST=925670214&amp;ISCONFIRM=0" xr:uid="{A8D221A2-40F1-4C11-A642-BEC7EFA2F80C}"/>
    <hyperlink ref="C7248" r:id="rId7243" display="https://pld.live/RapDetail.aspx?STONELIST=821118011&amp;ISCONFIRM=0" xr:uid="{757D7A66-E954-4978-9A2D-41DB362C042A}"/>
    <hyperlink ref="C7249" r:id="rId7244" display="https://pld.live/RapDetail.aspx?STONELIST=941090678&amp;ISCONFIRM=0" xr:uid="{D600E8A1-DAFA-4B05-B015-D937158FC67A}"/>
    <hyperlink ref="C7250" r:id="rId7245" display="https://pld.live/RapDetail.aspx?STONELIST=941090680&amp;ISCONFIRM=0" xr:uid="{7E031DB8-D526-41BD-9E4D-1590CD2BD93D}"/>
    <hyperlink ref="C7251" r:id="rId7246" display="https://pld.live/RapDetail.aspx?STONELIST=927170050&amp;ISCONFIRM=0" xr:uid="{45C23389-CC6B-4AD2-A579-022770D5D120}"/>
    <hyperlink ref="C7252" r:id="rId7247" display="https://pld.live/RapDetail.aspx?STONELIST=924260668&amp;ISCONFIRM=0" xr:uid="{198640B7-857F-48AC-9F6B-2D0E991A8AFA}"/>
    <hyperlink ref="C7253" r:id="rId7248" display="https://pld.live/RapDetail.aspx?STONELIST=926540239&amp;ISCONFIRM=0" xr:uid="{724B4D2D-A6FE-4819-BD35-5E97ED383A4D}"/>
    <hyperlink ref="C7254" r:id="rId7249" display="https://pld.live/RapDetail.aspx?STONELIST=926980715&amp;ISCONFIRM=0" xr:uid="{90C68946-947E-4A8B-ABF9-6244DCD0310D}"/>
    <hyperlink ref="C7255" r:id="rId7250" display="https://pld.live/RapDetail.aspx?STONELIST=927060782&amp;ISCONFIRM=0" xr:uid="{903ED9AE-5E46-4CA2-8A8C-6DB0C93FD4A6}"/>
    <hyperlink ref="C7256" r:id="rId7251" display="https://pld.live/RapDetail.aspx?STONELIST=926560179&amp;ISCONFIRM=0" xr:uid="{1660C527-7EE4-4BE6-B9AE-6E8A969774F4}"/>
    <hyperlink ref="C7257" r:id="rId7252" display="https://pld.live/RapDetail.aspx?STONELIST=927140462&amp;ISCONFIRM=0" xr:uid="{8D04F590-ECA5-4313-BF8F-3B15F8996DAD}"/>
    <hyperlink ref="C7258" r:id="rId7253" display="https://pld.live/RapDetail.aspx?STONELIST=925570054&amp;ISCONFIRM=0" xr:uid="{BDFB8093-74DB-484F-AB15-D5DD0FD097CD}"/>
    <hyperlink ref="C7259" r:id="rId7254" display="https://pld.live/RapDetail.aspx?STONELIST=924920341&amp;ISCONFIRM=0" xr:uid="{7D1743C9-EBE1-4B0F-B502-3B212FC07C65}"/>
    <hyperlink ref="C7260" r:id="rId7255" display="https://pld.live/RapDetail.aspx?STONELIST=941100165&amp;ISCONFIRM=0" xr:uid="{B678417C-B962-43E2-BC48-E123D04A9EC2}"/>
    <hyperlink ref="C7261" r:id="rId7256" display="https://pld.live/RapDetail.aspx?STONELIST=941180120&amp;ISCONFIRM=0" xr:uid="{10289132-06FD-4575-9C5E-B01D25E8E552}"/>
    <hyperlink ref="C7262" r:id="rId7257" display="https://pld.live/RapDetail.aspx?STONELIST=941110555&amp;ISCONFIRM=0" xr:uid="{DAB7FB9A-0351-4DB4-BDF6-7FC99514E69C}"/>
    <hyperlink ref="C7263" r:id="rId7258" display="https://pld.live/RapDetail.aspx?STONELIST=927052650&amp;ISCONFIRM=0" xr:uid="{EBA38919-EA84-453F-AE5C-3D44A8EF3FE7}"/>
    <hyperlink ref="C7264" r:id="rId7259" display="https://pld.live/RapDetail.aspx?STONELIST=927140401&amp;ISCONFIRM=0" xr:uid="{D841CD78-300A-494B-B569-2B37990B5F36}"/>
    <hyperlink ref="C7265" r:id="rId7260" display="https://pld.live/RapDetail.aspx?STONELIST=927140413&amp;ISCONFIRM=0" xr:uid="{D8572A9E-EBBA-4FE4-9E7F-0D2EE4EE9424}"/>
    <hyperlink ref="C7266" r:id="rId7261" display="https://pld.live/RapDetail.aspx?STONELIST=924290386&amp;ISCONFIRM=0" xr:uid="{42972174-9F28-474D-A52D-8F12E967810B}"/>
    <hyperlink ref="C7267" r:id="rId7262" display="https://pld.live/RapDetail.aspx?STONELIST=927030744&amp;ISCONFIRM=0" xr:uid="{86B0507F-1596-45C7-A5F9-15E8FD954C31}"/>
    <hyperlink ref="C7268" r:id="rId7263" display="https://pld.live/RapDetail.aspx?STONELIST=941110512&amp;ISCONFIRM=0" xr:uid="{B282F081-9522-458C-8CDF-D2A25BC4938D}"/>
    <hyperlink ref="C7269" r:id="rId7264" display="https://pld.live/RapDetail.aspx?STONELIST=941110565&amp;ISCONFIRM=0" xr:uid="{B44C6020-75AE-4BFC-86E1-40D5A3444FF9}"/>
    <hyperlink ref="C7270" r:id="rId7265" display="https://pld.live/RapDetail.aspx?STONELIST=927070942&amp;ISCONFIRM=0" xr:uid="{25E77275-5AFC-451F-8D6F-96A5D65F348C}"/>
    <hyperlink ref="C7271" r:id="rId7266" display="https://pld.live/RapDetail.aspx?STONELIST=941330628&amp;ISCONFIRM=0" xr:uid="{E55A22FF-F981-4761-91D9-A42A026F049A}"/>
    <hyperlink ref="C7272" r:id="rId7267" display="https://pld.live/RapDetail.aspx?STONELIST=927030810&amp;ISCONFIRM=0" xr:uid="{0E1392E6-531A-4017-95AB-41704ECC6277}"/>
    <hyperlink ref="C7273" r:id="rId7268" display="https://pld.live/RapDetail.aspx?STONELIST=927030804&amp;ISCONFIRM=0" xr:uid="{CEA48141-70A7-4214-B043-AAF9F00833CE}"/>
    <hyperlink ref="C7274" r:id="rId7269" display="https://pld.live/RapDetail.aspx?STONELIST=927030766&amp;ISCONFIRM=0" xr:uid="{3EDC2A45-54B1-4A07-B2A7-4B1A05EE85D9}"/>
    <hyperlink ref="C7275" r:id="rId7270" display="https://pld.live/RapDetail.aspx?STONELIST=821112811&amp;ISCONFIRM=0" xr:uid="{D53E410E-22D0-4BA8-A082-C6808355AE01}"/>
    <hyperlink ref="C7276" r:id="rId7271" display="https://pld.live/RapDetail.aspx?STONELIST=926980717&amp;ISCONFIRM=0" xr:uid="{E06B4AF0-5D29-419E-B888-B5F6DD14F479}"/>
    <hyperlink ref="C7277" r:id="rId7272" display="https://pld.live/RapDetail.aspx?STONELIST=924260766&amp;ISCONFIRM=0" xr:uid="{4DB8B8CF-C31A-4FC8-A4A7-48F215F9DC50}"/>
    <hyperlink ref="C7278" r:id="rId7273" display="https://pld.live/RapDetail.aspx?STONELIST=927132482&amp;ISCONFIRM=0" xr:uid="{FCA7EB14-29E3-45D3-ADEF-45B2FEB3D764}"/>
    <hyperlink ref="C7279" r:id="rId7274" display="https://pld.live/RapDetail.aspx?STONELIST=927140396&amp;ISCONFIRM=0" xr:uid="{734CA4FD-9E2E-4BD1-A15E-A487928A0ECA}"/>
    <hyperlink ref="C7280" r:id="rId7275" display="https://pld.live/RapDetail.aspx?STONELIST=927140412&amp;ISCONFIRM=0" xr:uid="{8355476D-1676-4CC6-B09F-BE454C27BCF2}"/>
    <hyperlink ref="C7281" r:id="rId7276" display="https://pld.live/RapDetail.aspx?STONELIST=927102436&amp;ISCONFIRM=0" xr:uid="{FCB87D71-DC95-4DE1-86C8-25DAE1B8A369}"/>
    <hyperlink ref="C7282" r:id="rId7277" display="https://pld.live/RapDetail.aspx?STONELIST=941110573&amp;ISCONFIRM=0" xr:uid="{4E4FCEAB-ABEF-420E-9D18-6E41F1E6A8F5}"/>
    <hyperlink ref="C7283" r:id="rId7278" display="https://pld.live/RapDetail.aspx?STONELIST=926990466&amp;ISCONFIRM=0" xr:uid="{B1A245C2-F91A-4FE8-9FF6-D77624552109}"/>
    <hyperlink ref="C7284" r:id="rId7279" display="https://pld.live/RapDetail.aspx?STONELIST=821113077&amp;ISCONFIRM=0" xr:uid="{ACFC4033-C135-4CF4-B2D6-DEAE1B76DEDE}"/>
    <hyperlink ref="C7285" r:id="rId7280" display="https://pld.live/RapDetail.aspx?STONELIST=927152403&amp;ISCONFIRM=0" xr:uid="{036BF1E3-5BAA-47B5-98AC-A7CB8B9EE0D7}"/>
    <hyperlink ref="C7286" r:id="rId7281" display="https://pld.live/RapDetail.aspx?STONELIST=941100114&amp;ISCONFIRM=0" xr:uid="{D957DBBD-0298-43A1-8B9A-30BA6B9A2B20}"/>
    <hyperlink ref="C7287" r:id="rId7282" display="https://pld.live/RapDetail.aspx?STONELIST=927132480&amp;ISCONFIRM=0" xr:uid="{5168F174-8CB0-4302-9DA9-DFBBF1930C67}"/>
    <hyperlink ref="C7288" r:id="rId7283" display="https://pld.live/RapDetail.aspx?STONELIST=941220177&amp;ISCONFIRM=0" xr:uid="{77115CA9-5D75-46EE-BA33-AE2602EB25AF}"/>
    <hyperlink ref="C7289" r:id="rId7284" display="https://pld.live/RapDetail.aspx?STONELIST=927132578&amp;ISCONFIRM=0" xr:uid="{65AA1CD3-8E68-4B95-B97E-1010A5EF85A4}"/>
    <hyperlink ref="C7290" r:id="rId7285" display="https://pld.live/RapDetail.aspx?STONELIST=941110203&amp;ISCONFIRM=0" xr:uid="{C5810BB4-E6C8-405E-8E1C-0D7B31B64DCE}"/>
    <hyperlink ref="C7291" r:id="rId7286" display="https://pld.live/RapDetail.aspx?STONELIST=831020355&amp;ISCONFIRM=0" xr:uid="{183DC48F-48F2-4433-B640-92C283298484}"/>
    <hyperlink ref="C7292" r:id="rId7287" display="https://pld.live/RapDetail.aspx?STONELIST=927060789&amp;ISCONFIRM=0" xr:uid="{C9FBB460-022F-4FBC-8930-328DDA147C1A}"/>
    <hyperlink ref="C7293" r:id="rId7288" display="https://pld.live/RapDetail.aspx?STONELIST=926780063&amp;ISCONFIRM=0" xr:uid="{4186E0E7-2AC4-430B-AA92-DEE7489CBDEB}"/>
    <hyperlink ref="C7294" r:id="rId7289" display="https://pld.live/RapDetail.aspx?STONELIST=927070900&amp;ISCONFIRM=0" xr:uid="{FC9CB56F-9AB8-408C-AFA3-6B09F4DA389D}"/>
    <hyperlink ref="C7295" r:id="rId7290" display="https://pld.live/RapDetail.aspx?STONELIST=924260941&amp;ISCONFIRM=0" xr:uid="{31F8C5D5-AD34-4786-BD2E-80EF9E01836C}"/>
    <hyperlink ref="C7296" r:id="rId7291" display="https://pld.live/RapDetail.aspx?STONELIST=924410801&amp;ISCONFIRM=0" xr:uid="{AE3B05FA-6215-435A-A517-3CA40210F40F}"/>
    <hyperlink ref="C7297" r:id="rId7292" display="https://pld.live/RapDetail.aspx?STONELIST=920470185&amp;ISCONFIRM=0" xr:uid="{4E9A68D3-714D-4200-A5DD-99C52744CC5B}"/>
    <hyperlink ref="C7298" r:id="rId7293" display="https://pld.live/RapDetail.aspx?STONELIST=941100440&amp;ISCONFIRM=0" xr:uid="{DF8699CF-6E2B-4F6D-BC71-5A2812D83BB7}"/>
    <hyperlink ref="C7299" r:id="rId7294" display="https://pld.live/RapDetail.aspx?STONELIST=927030813&amp;ISCONFIRM=0" xr:uid="{12A15E70-5B97-41C5-B47D-8E8B68C9B340}"/>
    <hyperlink ref="C7300" r:id="rId7295" display="https://pld.live/RapDetail.aspx?STONELIST=927000646&amp;ISCONFIRM=0" xr:uid="{A3B5D5E8-00DC-4B7A-9438-27ABA24AC28E}"/>
    <hyperlink ref="C7301" r:id="rId7296" display="https://pld.live/RapDetail.aspx?STONELIST=927030805&amp;ISCONFIRM=0" xr:uid="{9B107D73-E4DC-48B9-8337-2A9A0585EBD0}"/>
    <hyperlink ref="C7302" r:id="rId7297" display="https://pld.live/RapDetail.aspx?STONELIST=927080764&amp;ISCONFIRM=0" xr:uid="{1DC40078-BD77-4DF4-A2E7-6CAA89B6125D}"/>
    <hyperlink ref="C7303" r:id="rId7298" display="https://pld.live/RapDetail.aspx?STONELIST=927080760&amp;ISCONFIRM=0" xr:uid="{6AA0080F-9B7A-4B78-9071-4FAE7AF729E8}"/>
    <hyperlink ref="C7304" r:id="rId7299" display="https://pld.live/RapDetail.aspx?STONELIST=927052679&amp;ISCONFIRM=0" xr:uid="{CED4E76A-0EEC-46B7-A598-975E4A074503}"/>
    <hyperlink ref="C7305" r:id="rId7300" display="https://pld.live/RapDetail.aspx?STONELIST=927140437&amp;ISCONFIRM=0" xr:uid="{0CD27DFB-E12E-410A-A429-19A03C4FA1B5}"/>
    <hyperlink ref="C7306" r:id="rId7301" display="https://pld.live/RapDetail.aspx?STONELIST=941360586&amp;ISCONFIRM=0" xr:uid="{BF0FED9F-407B-4ED5-8C2A-4C6765BF3832}"/>
    <hyperlink ref="C7307" r:id="rId7302" display="https://pld.live/RapDetail.aspx?STONELIST=927132478&amp;ISCONFIRM=0" xr:uid="{9D148861-0024-4943-9D1B-907AD962D44E}"/>
    <hyperlink ref="C7308" r:id="rId7303" display="https://pld.live/RapDetail.aspx?STONELIST=927092607&amp;ISCONFIRM=0" xr:uid="{D32C1F13-7891-4439-96C1-2B0C6FE48AE9}"/>
    <hyperlink ref="C7309" r:id="rId7304" display="https://pld.live/RapDetail.aspx?STONELIST=927140423&amp;ISCONFIRM=0" xr:uid="{38CBDA19-9169-4637-B83B-0F6AA8DB3FD1}"/>
    <hyperlink ref="C7310" r:id="rId7305" display="https://pld.live/RapDetail.aspx?STONELIST=926060022&amp;ISCONFIRM=0" xr:uid="{A5F0BE97-A02F-4C70-BEA8-8BE18530FB0C}"/>
    <hyperlink ref="C7311" r:id="rId7306" display="https://pld.live/RapDetail.aspx?STONELIST=924260814&amp;ISCONFIRM=0" xr:uid="{79F05375-EECA-4378-936E-C1C225B02D56}"/>
    <hyperlink ref="C7312" r:id="rId7307" display="https://pld.live/RapDetail.aspx?STONELIST=927052700&amp;ISCONFIRM=0" xr:uid="{82994C68-F1A2-4734-864D-82C358B4EF5E}"/>
    <hyperlink ref="C7313" r:id="rId7308" display="https://pld.live/RapDetail.aspx?STONELIST=941130439&amp;ISCONFIRM=0" xr:uid="{2059EB82-0C09-41F6-9292-F14AC6AD9B86}"/>
    <hyperlink ref="C7314" r:id="rId7309" display="https://pld.live/RapDetail.aspx?STONELIST=927140425&amp;ISCONFIRM=0" xr:uid="{042209A3-C200-4D42-836D-D3105F9A0752}"/>
    <hyperlink ref="C7315" r:id="rId7310" display="https://pld.live/RapDetail.aspx?STONELIST=941150072&amp;ISCONFIRM=0" xr:uid="{1EAA9496-5BBF-47F7-9EAC-1DBD2F27BD93}"/>
    <hyperlink ref="C7316" r:id="rId7311" display="https://pld.live/RapDetail.aspx?STONELIST=927070920&amp;ISCONFIRM=0" xr:uid="{14DF8EEF-6AFC-4168-BA4A-C30BA2AAE98A}"/>
    <hyperlink ref="C7317" r:id="rId7312" display="https://pld.live/RapDetail.aspx?STONELIST=927010836&amp;ISCONFIRM=0" xr:uid="{A1968424-66F2-4862-BA23-3A0DE95B055A}"/>
    <hyperlink ref="C7318" r:id="rId7313" display="https://pld.live/RapDetail.aspx?STONELIST=926990556&amp;ISCONFIRM=0" xr:uid="{7C13A895-4449-4AC8-BEF9-B43188ED1D2C}"/>
    <hyperlink ref="C7319" r:id="rId7314" display="https://pld.live/RapDetail.aspx?STONELIST=941140832&amp;ISCONFIRM=0" xr:uid="{89FB9C14-8056-4221-B09D-B556AE0A222C}"/>
    <hyperlink ref="C7320" r:id="rId7315" display="https://pld.live/RapDetail.aspx?STONELIST=941080836&amp;ISCONFIRM=0" xr:uid="{B536F93B-2DC5-481C-868D-E2D86A91FB68}"/>
    <hyperlink ref="C7321" r:id="rId7316" display="https://pld.live/RapDetail.aspx?STONELIST=927132552&amp;ISCONFIRM=0" xr:uid="{148A615A-2E45-4A0F-82D0-3403A1CF3B38}"/>
    <hyperlink ref="C7322" r:id="rId7317" display="https://pld.live/RapDetail.aspx?STONELIST=927152986&amp;ISCONFIRM=0" xr:uid="{BD6EAB58-E738-4056-92C2-D970A80D72CC}"/>
    <hyperlink ref="C7323" r:id="rId7318" display="https://pld.live/RapDetail.aspx?STONELIST=926360087&amp;ISCONFIRM=0" xr:uid="{4B768011-F28E-4E03-8F2B-081F90696CFD}"/>
    <hyperlink ref="C7324" r:id="rId7319" display="https://pld.live/RapDetail.aspx?STONELIST=920470186&amp;ISCONFIRM=0" xr:uid="{7615F802-BE99-4014-AD64-417EA1936756}"/>
    <hyperlink ref="C7325" r:id="rId7320" display="https://pld.live/RapDetail.aspx?STONELIST=941390559&amp;ISCONFIRM=0" xr:uid="{F78D16DC-58EA-4CAD-B423-E27C1B139315}"/>
    <hyperlink ref="C7326" r:id="rId7321" display="https://pld.live/RapDetail.aspx?STONELIST=941021789&amp;ISCONFIRM=0" xr:uid="{66085BC7-47A9-4742-A123-9F3813C7FEFB}"/>
    <hyperlink ref="C7327" r:id="rId7322" display="https://pld.live/RapDetail.aspx?STONELIST=941140793&amp;ISCONFIRM=0" xr:uid="{7E9A84B6-49CA-4CC8-8E7E-24411CBA8495}"/>
    <hyperlink ref="C7328" r:id="rId7323" display="https://pld.live/RapDetail.aspx?STONELIST=927132496&amp;ISCONFIRM=0" xr:uid="{14EB6436-DA06-4CD3-A0E3-DFE5D1A13365}"/>
    <hyperlink ref="C7329" r:id="rId7324" display="https://pld.live/RapDetail.aspx?STONELIST=927102499&amp;ISCONFIRM=0" xr:uid="{50DC1BCE-DBE0-40C6-A263-2133516F619D}"/>
    <hyperlink ref="C7330" r:id="rId7325" display="https://pld.live/RapDetail.aspx?STONELIST=926790843&amp;ISCONFIRM=0" xr:uid="{8328D84D-21D8-4C8A-A401-6BC3D6532967}"/>
    <hyperlink ref="C7331" r:id="rId7326" display="https://pld.live/RapDetail.aspx?STONELIST=925850997&amp;ISCONFIRM=0" xr:uid="{93F8CFA8-842E-499A-BC84-B6E7137E7D1B}"/>
    <hyperlink ref="C7332" r:id="rId7327" display="https://pld.live/RapDetail.aspx?STONELIST=926960877&amp;ISCONFIRM=0" xr:uid="{B445182F-E60B-4BE7-82D8-9C0F5ECA59A1}"/>
    <hyperlink ref="C7333" r:id="rId7328" display="https://pld.live/RapDetail.aspx?STONELIST=927132648&amp;ISCONFIRM=0" xr:uid="{A5E9449F-42D1-4523-93A8-AF77796CC732}"/>
    <hyperlink ref="C7334" r:id="rId7329" display="https://pld.live/RapDetail.aspx?STONELIST=925851227&amp;ISCONFIRM=0" xr:uid="{52253943-A336-4CE0-9157-BBF9E9EE77B3}"/>
    <hyperlink ref="C7335" r:id="rId7330" display="https://pld.live/RapDetail.aspx?STONELIST=927102477&amp;ISCONFIRM=0" xr:uid="{4A20381A-8EF9-486D-9E15-5AFC0B44BBE1}"/>
    <hyperlink ref="C7336" r:id="rId7331" display="https://pld.live/RapDetail.aspx?STONELIST=926980712&amp;ISCONFIRM=0" xr:uid="{8907BF90-2C25-45C7-B047-7BA6E83C4E36}"/>
    <hyperlink ref="C7337" r:id="rId7332" display="https://pld.live/RapDetail.aspx?STONELIST=926360119&amp;ISCONFIRM=0" xr:uid="{600E0A08-0C22-4CA0-B95B-6D661238130A}"/>
    <hyperlink ref="C7338" r:id="rId7333" display="https://pld.live/RapDetail.aspx?STONELIST=927010777&amp;ISCONFIRM=0" xr:uid="{3F08C6D9-DAE9-4EE1-BEB9-D0E65C3A2579}"/>
    <hyperlink ref="C7339" r:id="rId7334" display="https://pld.live/RapDetail.aspx?STONELIST=926980710&amp;ISCONFIRM=0" xr:uid="{B08D9098-E104-4C7A-AC0D-7F00463BC97C}"/>
    <hyperlink ref="C7340" r:id="rId7335" display="https://pld.live/RapDetail.aspx?STONELIST=925630391&amp;ISCONFIRM=0" xr:uid="{8AC97BCA-5E3A-4E2A-A217-5BCAD1A7D05D}"/>
    <hyperlink ref="C7341" r:id="rId7336" display="https://pld.live/RapDetail.aspx?STONELIST=924571036&amp;ISCONFIRM=0" xr:uid="{69A78EB4-C75D-4520-AAAB-4BC49B23B337}"/>
    <hyperlink ref="C7342" r:id="rId7337" display="https://pld.live/RapDetail.aspx?STONELIST=924260491&amp;ISCONFIRM=0" xr:uid="{E97AB2C9-9E2E-490A-9777-B1DEF47DFDFA}"/>
    <hyperlink ref="C7343" r:id="rId7338" display="https://pld.live/RapDetail.aspx?STONELIST=927020724&amp;ISCONFIRM=0" xr:uid="{6838A1D8-F35D-4539-9E27-C47BA4166772}"/>
    <hyperlink ref="C7344" r:id="rId7339" display="https://pld.live/RapDetail.aspx?STONELIST=925851160&amp;ISCONFIRM=0" xr:uid="{3597A666-0394-49F5-A60C-7636F0056EF2}"/>
    <hyperlink ref="C7345" r:id="rId7340" display="https://pld.live/RapDetail.aspx?STONELIST=925851284&amp;ISCONFIRM=0" xr:uid="{7055CE74-4473-46F5-9E08-0D33D34F99BD}"/>
    <hyperlink ref="C7346" r:id="rId7341" display="https://pld.live/RapDetail.aspx?STONELIST=925700203&amp;ISCONFIRM=0" xr:uid="{E486D4E4-3697-4CEC-A46D-0DCBE579B45F}"/>
    <hyperlink ref="C7347" r:id="rId7342" display="https://pld.live/RapDetail.aspx?STONELIST=925851120&amp;ISCONFIRM=0" xr:uid="{67FB9E2F-8725-4A58-9344-21695661D478}"/>
    <hyperlink ref="C7348" r:id="rId7343" display="https://pld.live/RapDetail.aspx?STONELIST=926060010&amp;ISCONFIRM=0" xr:uid="{86A1C6BA-D683-487B-9219-26D1C85AEF3D}"/>
    <hyperlink ref="C7349" r:id="rId7344" display="https://pld.live/RapDetail.aspx?STONELIST=924510192&amp;ISCONFIRM=0" xr:uid="{B6E61AE9-5CB0-4A23-B09D-A181DF796A4F}"/>
    <hyperlink ref="C7350" r:id="rId7345" display="https://pld.live/RapDetail.aspx?STONELIST=926060004&amp;ISCONFIRM=0" xr:uid="{F18833F2-20C4-480C-80C3-FB77476518A4}"/>
    <hyperlink ref="C7351" r:id="rId7346" display="https://pld.live/RapDetail.aspx?STONELIST=925610139&amp;ISCONFIRM=0" xr:uid="{B085D111-3575-4805-BF91-14970A5DD6DC}"/>
    <hyperlink ref="C7352" r:id="rId7347" display="https://pld.live/RapDetail.aspx?STONELIST=926930947&amp;ISCONFIRM=0" xr:uid="{71D81C5D-C5A8-4AAF-BDFA-CADAF38B0D6B}"/>
    <hyperlink ref="C7353" r:id="rId7348" display="https://pld.live/RapDetail.aspx?STONELIST=941370627&amp;ISCONFIRM=0" xr:uid="{F70C0C3A-2613-43E1-8AEC-FA26D0F76D33}"/>
    <hyperlink ref="C7354" r:id="rId7349" display="https://pld.live/RapDetail.aspx?STONELIST=925880262&amp;ISCONFIRM=0" xr:uid="{D25898A6-5EB9-415C-86E2-19FBC91B8E42}"/>
    <hyperlink ref="C7355" r:id="rId7350" display="https://pld.live/RapDetail.aspx?STONELIST=9413300631&amp;ISCONFIRM=0" xr:uid="{98103AD7-CCEF-40D8-BA2B-8B10B76836A9}"/>
    <hyperlink ref="C7356" r:id="rId7351" display="https://pld.live/RapDetail.aspx?STONELIST=925851300&amp;ISCONFIRM=0" xr:uid="{D9353B2E-0CB6-4AF3-8276-77B672E5BB99}"/>
    <hyperlink ref="C7357" r:id="rId7352" display="https://pld.live/RapDetail.aspx?STONELIST=941340750&amp;ISCONFIRM=0" xr:uid="{BAE32F7A-2BEE-42B7-9DFD-B293DE8258D1}"/>
    <hyperlink ref="C7358" r:id="rId7353" display="https://pld.live/RapDetail.aspx?STONELIST=926410438&amp;ISCONFIRM=0" xr:uid="{640002B5-C445-4190-B055-3A02680FA85E}"/>
    <hyperlink ref="C7359" r:id="rId7354" display="https://pld.live/RapDetail.aspx?STONELIST=920470421&amp;ISCONFIRM=0" xr:uid="{35078F9E-AED4-4840-958F-6E08A077C9F8}"/>
    <hyperlink ref="C7360" r:id="rId7355" display="https://pld.live/RapDetail.aspx?STONELIST=941330587&amp;ISCONFIRM=0" xr:uid="{262D12C1-AE96-468E-924E-F3110BE9D445}"/>
    <hyperlink ref="C7361" r:id="rId7356" display="https://pld.live/RapDetail.aspx?STONELIST=926470100&amp;ISCONFIRM=0" xr:uid="{A78448BF-5B75-4B50-ABAB-62C876A2F2B9}"/>
    <hyperlink ref="C7362" r:id="rId7357" display="https://pld.live/RapDetail.aspx?STONELIST=926470240&amp;ISCONFIRM=0" xr:uid="{2367FBE6-6E7D-419F-BCB0-E9567D8E07D8}"/>
    <hyperlink ref="C7363" r:id="rId7358" display="https://pld.live/RapDetail.aspx?STONELIST=941360585&amp;ISCONFIRM=0" xr:uid="{497E76B7-3DD8-4DB6-8975-AA22E7F1127C}"/>
    <hyperlink ref="C7364" r:id="rId7359" display="https://pld.live/RapDetail.aspx?STONELIST=941280502&amp;ISCONFIRM=0" xr:uid="{C9955F51-278A-4292-9FC9-26543A67F797}"/>
    <hyperlink ref="C7365" r:id="rId7360" display="https://pld.live/RapDetail.aspx?STONELIST=926980724&amp;ISCONFIRM=0" xr:uid="{83227C6F-D17E-410A-AB63-A68ED2A22937}"/>
    <hyperlink ref="C7366" r:id="rId7361" display="https://pld.live/RapDetail.aspx?STONELIST=941340751&amp;ISCONFIRM=0" xr:uid="{D7597B8F-BB23-4828-94FE-263389DB7635}"/>
    <hyperlink ref="C7367" r:id="rId7362" display="https://pld.live/RapDetail.aspx?STONELIST=926200990&amp;ISCONFIRM=0" xr:uid="{BE2AF818-BA58-45A2-B7EF-4F60F6310C3D}"/>
    <hyperlink ref="C7368" r:id="rId7363" display="https://pld.live/RapDetail.aspx?STONELIST=941330597&amp;ISCONFIRM=0" xr:uid="{5AFE5D1B-13BE-4AEC-B83C-B0D122B57EF4}"/>
    <hyperlink ref="C7369" r:id="rId7364" display="https://pld.live/RapDetail.aspx?STONELIST=941330627&amp;ISCONFIRM=0" xr:uid="{CC9A5A67-4509-4B1F-B7FB-6A79BC23FFB7}"/>
    <hyperlink ref="C7370" r:id="rId7365" display="https://pld.live/RapDetail.aspx?STONELIST=927052744&amp;ISCONFIRM=0" xr:uid="{A866B19B-426F-434F-81B4-B2AF19C953C0}"/>
    <hyperlink ref="C7371" r:id="rId7366" display="https://pld.live/RapDetail.aspx?STONELIST=926820116&amp;ISCONFIRM=0" xr:uid="{1F6F55B9-AF14-4350-9560-2024BEEF660F}"/>
    <hyperlink ref="C7372" r:id="rId7367" display="https://pld.live/RapDetail.aspx?STONELIST=941080855&amp;ISCONFIRM=0" xr:uid="{A26D29BD-876D-4567-BB08-83365F054D8E}"/>
    <hyperlink ref="C7373" r:id="rId7368" display="https://pld.live/RapDetail.aspx?STONELIST=927152936&amp;ISCONFIRM=0" xr:uid="{75F3093E-CF4F-4A77-A742-1423B9E7F7A4}"/>
    <hyperlink ref="C7374" r:id="rId7369" display="https://pld.live/RapDetail.aspx?STONELIST=927132566&amp;ISCONFIRM=0" xr:uid="{EDE85D69-7CA5-408C-95E5-0545475E3CA1}"/>
    <hyperlink ref="C7375" r:id="rId7370" display="https://pld.live/RapDetail.aspx?STONELIST=941351131&amp;ISCONFIRM=0" xr:uid="{970CED14-DB36-4C36-8CB0-FE2E7E193039}"/>
    <hyperlink ref="C7376" r:id="rId7371" display="https://pld.live/RapDetail.aspx?STONELIST=927092653&amp;ISCONFIRM=0" xr:uid="{FB64C7A1-0040-4137-A20B-470F3C9AF39A}"/>
    <hyperlink ref="C7377" r:id="rId7372" display="https://pld.live/RapDetail.aspx?STONELIST=927152931&amp;ISCONFIRM=0" xr:uid="{9FDC4C6D-703F-4C72-8175-97B24F365008}"/>
    <hyperlink ref="C7378" r:id="rId7373" display="https://pld.live/RapDetail.aspx?STONELIST=941340769&amp;ISCONFIRM=0" xr:uid="{34EFEF8D-5405-4F8F-8689-4B45C0361CA8}"/>
    <hyperlink ref="C7379" r:id="rId7374" display="https://pld.live/RapDetail.aspx?STONELIST=941400585&amp;ISCONFIRM=0" xr:uid="{8F372CFE-E0B7-4E07-94E5-0DEEB6A6B5C5}"/>
    <hyperlink ref="C7380" r:id="rId7375" display="https://pld.live/RapDetail.aspx?STONELIST=941400590&amp;ISCONFIRM=0" xr:uid="{F21C53E8-F2CF-485F-B4E1-28B0501B4EC5}"/>
    <hyperlink ref="C7381" r:id="rId7376" display="https://pld.live/RapDetail.aspx?STONELIST=941280535&amp;ISCONFIRM=0" xr:uid="{A7738D6C-6C14-4FB9-A5E8-55BFAB13A362}"/>
    <hyperlink ref="C7382" r:id="rId7377" display="https://pld.live/RapDetail.aspx?STONELIST=927152955&amp;ISCONFIRM=0" xr:uid="{29F3FB41-EAFB-484E-8E95-D6D671A25F72}"/>
    <hyperlink ref="C7383" r:id="rId7378" display="https://pld.live/RapDetail.aspx?STONELIST=941280527&amp;ISCONFIRM=0" xr:uid="{4D5FB268-77E7-4478-89B8-A45629B67DED}"/>
    <hyperlink ref="C7384" r:id="rId7379" display="https://pld.live/RapDetail.aspx?STONELIST=941300150&amp;ISCONFIRM=0" xr:uid="{F5D7F02A-A23D-4225-86C9-CBD8F7DA65D4}"/>
    <hyperlink ref="C7385" r:id="rId7380" display="https://pld.live/RapDetail.aspx?STONELIST=941290212&amp;ISCONFIRM=0" xr:uid="{7B39EF2A-B0AC-4C34-8758-3A6C425B9664}"/>
    <hyperlink ref="C7386" r:id="rId7381" display="https://pld.live/RapDetail.aspx?STONELIST=941330625&amp;ISCONFIRM=0" xr:uid="{AB405E69-1AF0-4A1E-85B7-A95C6E66498B}"/>
    <hyperlink ref="C7387" r:id="rId7382" display="https://pld.live/RapDetail.aspx?STONELIST=9413400783&amp;ISCONFIRM=0" xr:uid="{E560E11D-E4B4-446A-A5EC-BF6CB536F754}"/>
    <hyperlink ref="C7388" r:id="rId7383" display="https://pld.live/RapDetail.aspx?STONELIST=941250537&amp;ISCONFIRM=0" xr:uid="{A14C3D7D-B8D1-43B3-851C-2A1F94D615CA}"/>
    <hyperlink ref="C7389" r:id="rId7384" display="https://pld.live/RapDetail.aspx?STONELIST=926060019&amp;ISCONFIRM=0" xr:uid="{CD66C12C-3D46-4056-B5D0-9DB3C5A3403E}"/>
    <hyperlink ref="C7390" r:id="rId7385" display="https://pld.live/RapDetail.aspx?STONELIST=926780098&amp;ISCONFIRM=0" xr:uid="{934FBCD7-E96A-47CF-806E-CC7F14016FAB}"/>
    <hyperlink ref="C7391" r:id="rId7386" display="https://pld.live/RapDetail.aspx?STONELIST=926820082&amp;ISCONFIRM=0" xr:uid="{61A25AE4-4F4D-4161-A752-688BA2E509A6}"/>
    <hyperlink ref="C7392" r:id="rId7387" display="https://pld.live/RapDetail.aspx?STONELIST=926780076&amp;ISCONFIRM=0" xr:uid="{03A89A92-8DB7-4A84-A2BF-E98314560109}"/>
    <hyperlink ref="C7393" r:id="rId7388" display="https://pld.live/RapDetail.aspx?STONELIST=923830004&amp;ISCONFIRM=0" xr:uid="{67A5D0C2-FC82-4AB1-BB9F-409AF89E6812}"/>
    <hyperlink ref="C7394" r:id="rId7389" display="https://pld.live/RapDetail.aspx?STONELIST=925060309&amp;ISCONFIRM=0" xr:uid="{B0E18986-481D-4259-9851-23593973FB27}"/>
    <hyperlink ref="C7395" r:id="rId7390" display="https://pld.live/RapDetail.aspx?STONELIST=923740361&amp;ISCONFIRM=0" xr:uid="{A3987C9B-1DD6-4349-A264-C120A86E197E}"/>
    <hyperlink ref="C7396" r:id="rId7391" display="https://pld.live/RapDetail.aspx?STONELIST=926380117&amp;ISCONFIRM=0" xr:uid="{A60A74BE-403D-4799-94E1-9AD7D164EE7F}"/>
    <hyperlink ref="C7397" r:id="rId7392" display="https://pld.live/RapDetail.aspx?STONELIST=926850145&amp;ISCONFIRM=0" xr:uid="{532AA77F-96A5-45BC-808A-F71AAC8FF8E3}"/>
    <hyperlink ref="C7398" r:id="rId7393" display="https://pld.live/RapDetail.aspx?STONELIST=925880067&amp;ISCONFIRM=0" xr:uid="{71C593B1-5560-45B0-AEB1-632CEA82F946}"/>
    <hyperlink ref="C7399" r:id="rId7394" display="https://pld.live/RapDetail.aspx?STONELIST=925710068&amp;ISCONFIRM=0" xr:uid="{8C453DC1-3639-475F-8D40-9EA767E6C92C}"/>
    <hyperlink ref="C7400" r:id="rId7395" display="https://pld.live/RapDetail.aspx?STONELIST=924300702&amp;ISCONFIRM=0" xr:uid="{47E1AB02-CA8B-426D-8D88-CA20CCCBE321}"/>
    <hyperlink ref="C7401" r:id="rId7396" display="https://pld.live/RapDetail.aspx?STONELIST=924300710&amp;ISCONFIRM=0" xr:uid="{EF0900FA-4EEA-45DF-984D-D4376C4DA940}"/>
    <hyperlink ref="C7402" r:id="rId7397" display="https://pld.live/RapDetail.aspx?STONELIST=926450456&amp;ISCONFIRM=0" xr:uid="{A10E233A-F266-4437-A1A8-963D0A03E02B}"/>
    <hyperlink ref="C7403" r:id="rId7398" display="https://pld.live/RapDetail.aspx?STONELIST=925880040&amp;ISCONFIRM=0" xr:uid="{75469D56-CE6B-4651-B3AB-772ACFA0DE28}"/>
    <hyperlink ref="C7404" r:id="rId7399" display="https://pld.live/RapDetail.aspx?STONELIST=926450619&amp;ISCONFIRM=0" xr:uid="{ED147845-2749-40CC-92F6-1720D0562CCC}"/>
    <hyperlink ref="C7405" r:id="rId7400" display="https://pld.live/RapDetail.aspx?STONELIST=926050308&amp;ISCONFIRM=0" xr:uid="{7F055E0D-D553-4C66-AF67-E22AB94E835F}"/>
    <hyperlink ref="C7406" r:id="rId7401" display="https://pld.live/RapDetail.aspx?STONELIST=923810415&amp;ISCONFIRM=0" xr:uid="{D5C62FC4-90EB-4B8F-B98E-A395A0F18134}"/>
    <hyperlink ref="C7407" r:id="rId7402" display="https://pld.live/RapDetail.aspx?STONELIST=925060385&amp;ISCONFIRM=0" xr:uid="{DF2B02D1-ED70-4D9A-A1DB-480C6E687DA5}"/>
    <hyperlink ref="C7408" r:id="rId7403" display="https://pld.live/RapDetail.aspx?STONELIST=926050160&amp;ISCONFIRM=0" xr:uid="{657DCEB0-F60C-4C91-BFB9-7A470A6A6975}"/>
    <hyperlink ref="C7409" r:id="rId7404" display="https://pld.live/RapDetail.aspx?STONELIST=925010182&amp;ISCONFIRM=0" xr:uid="{798085A6-A079-4EF6-B465-1DC82E0149DB}"/>
    <hyperlink ref="C7410" r:id="rId7405" display="https://pld.live/RapDetail.aspx?STONELIST=831020313&amp;ISCONFIRM=0" xr:uid="{1FB8F115-A23F-4C22-9142-EB669AD11F44}"/>
    <hyperlink ref="C7411" r:id="rId7406" display="https://pld.live/RapDetail.aspx?STONELIST=923750325&amp;ISCONFIRM=0" xr:uid="{211167DD-C71D-4753-BEFD-8F185D400D49}"/>
    <hyperlink ref="C7412" r:id="rId7407" display="https://pld.live/RapDetail.aspx?STONELIST=831020423&amp;ISCONFIRM=0" xr:uid="{C4CC37B9-3AC9-4673-BE03-99859328E617}"/>
    <hyperlink ref="C7413" r:id="rId7408" display="https://pld.live/RapDetail.aspx?STONELIST=925050152&amp;ISCONFIRM=0" xr:uid="{466BF20D-02BA-47AF-AE8D-D630149FC6FF}"/>
    <hyperlink ref="C7414" r:id="rId7409" display="https://pld.live/RapDetail.aspx?STONELIST=925010199&amp;ISCONFIRM=0" xr:uid="{077C26AD-5B28-436B-833F-7269E9560521}"/>
    <hyperlink ref="C7415" r:id="rId7410" display="https://pld.live/RapDetail.aspx?STONELIST=831020257&amp;ISCONFIRM=0" xr:uid="{AEE417CB-7576-4747-971F-E87CEBC5E5D1}"/>
    <hyperlink ref="C7416" r:id="rId7411" display="https://pld.live/RapDetail.aspx?STONELIST=831020224&amp;ISCONFIRM=0" xr:uid="{1D768A60-7EEF-4EF8-A07D-0412CEF72183}"/>
    <hyperlink ref="C7417" r:id="rId7412" display="https://pld.live/RapDetail.aspx?STONELIST=831020310&amp;ISCONFIRM=0" xr:uid="{69E0CDFE-904F-4696-B950-637529DEB61C}"/>
    <hyperlink ref="C7418" r:id="rId7413" display="https://pld.live/RapDetail.aspx?STONELIST=924590268&amp;ISCONFIRM=0" xr:uid="{81EDF094-99CD-48D9-9727-584FA9980B52}"/>
    <hyperlink ref="C7419" r:id="rId7414" display="https://pld.live/RapDetail.aspx?STONELIST=924590341&amp;ISCONFIRM=0" xr:uid="{1B3BC6AC-E8B2-4CBD-AA52-3E3A8A269CCF}"/>
    <hyperlink ref="C7420" r:id="rId7415" display="https://pld.live/RapDetail.aspx?STONELIST=926930921&amp;ISCONFIRM=0" xr:uid="{E2990479-8F7C-4398-B039-8D35B9DFF7E4}"/>
    <hyperlink ref="C7421" r:id="rId7416" display="https://pld.live/RapDetail.aspx?STONELIST=925010186&amp;ISCONFIRM=0" xr:uid="{FCA15726-263E-496A-8079-4AE95E77C23E}"/>
    <hyperlink ref="C7422" r:id="rId7417" display="https://pld.live/RapDetail.aspx?STONELIST=925880150&amp;ISCONFIRM=0" xr:uid="{845F74D7-1203-4F63-915E-3987ED745734}"/>
    <hyperlink ref="C7423" r:id="rId7418" display="https://pld.live/RapDetail.aspx?STONELIST=925050132&amp;ISCONFIRM=0" xr:uid="{93A439A7-F7E7-45E3-A6AD-2B671FBA93B7}"/>
    <hyperlink ref="C7424" r:id="rId7419" display="https://pld.live/RapDetail.aspx?STONELIST=925050155&amp;ISCONFIRM=0" xr:uid="{D04224FE-5C98-489A-9194-5CA3663113BA}"/>
    <hyperlink ref="C7425" r:id="rId7420" display="https://pld.live/RapDetail.aspx?STONELIST=924940279&amp;ISCONFIRM=0" xr:uid="{0D73DB39-29C2-4E30-B454-3EF742923EA7}"/>
    <hyperlink ref="C7426" r:id="rId7421" display="https://pld.live/RapDetail.aspx?STONELIST=923750341&amp;ISCONFIRM=0" xr:uid="{8BD68B53-277F-4AE0-BC37-668D8EDA99DA}"/>
    <hyperlink ref="C7427" r:id="rId7422" display="https://pld.live/RapDetail.aspx?STONELIST=923460273&amp;ISCONFIRM=0" xr:uid="{DB2A742A-7409-438F-B221-D6A62950762B}"/>
    <hyperlink ref="C7428" r:id="rId7423" display="https://pld.live/RapDetail.aspx?STONELIST=924300669&amp;ISCONFIRM=0" xr:uid="{42DACCC4-E17F-46D2-B129-5727CE6D8C13}"/>
    <hyperlink ref="C7429" r:id="rId7424" display="https://pld.live/RapDetail.aspx?STONELIST=923750351&amp;ISCONFIRM=0" xr:uid="{117A5A48-9B20-4775-8818-98D6C7C887E2}"/>
    <hyperlink ref="C7430" r:id="rId7425" display="https://pld.live/RapDetail.aspx?STONELIST=924350642&amp;ISCONFIRM=0" xr:uid="{9010A9F6-FC3F-4F2D-A75E-705DCAA14180}"/>
    <hyperlink ref="C7431" r:id="rId7426" display="https://pld.live/RapDetail.aspx?STONELIST=924300183&amp;ISCONFIRM=0" xr:uid="{7E72837C-E0CC-4552-A659-0E43E0EC224C}"/>
    <hyperlink ref="C7432" r:id="rId7427" display="https://pld.live/RapDetail.aspx?STONELIST=924300691&amp;ISCONFIRM=0" xr:uid="{7D6E4264-9A49-4AFB-9DDE-61CA4985D10B}"/>
    <hyperlink ref="C7433" r:id="rId7428" display="https://pld.live/RapDetail.aspx?STONELIST=924450176&amp;ISCONFIRM=0" xr:uid="{6CE0A7AC-D2D0-4FF5-B2FE-2396FEF80473}"/>
    <hyperlink ref="C7434" r:id="rId7429" display="https://pld.live/RapDetail.aspx?STONELIST=831020412&amp;ISCONFIRM=0" xr:uid="{882D54F9-3B67-4423-9BB8-650AAF257B9F}"/>
    <hyperlink ref="C7435" r:id="rId7430" display="https://pld.live/RapDetail.aspx?STONELIST=923750344&amp;ISCONFIRM=0" xr:uid="{D6F00156-0214-4EC1-B437-2C2F2D41A10A}"/>
    <hyperlink ref="C7436" r:id="rId7431" display="https://pld.live/RapDetail.aspx?STONELIST=924590279&amp;ISCONFIRM=0" xr:uid="{63AF0134-0F74-4204-A1B9-D5DF42F4B789}"/>
    <hyperlink ref="C7437" r:id="rId7432" display="https://pld.live/RapDetail.aspx?STONELIST=831020565&amp;ISCONFIRM=0" xr:uid="{36EF69DC-712A-46C2-BB47-1296EDEEE64C}"/>
    <hyperlink ref="C7438" r:id="rId7433" display="https://pld.live/RapDetail.aspx?STONELIST=923700140&amp;ISCONFIRM=0" xr:uid="{F5A57B44-2630-4923-B0A8-C1924220FA63}"/>
    <hyperlink ref="C7439" r:id="rId7434" display="https://pld.live/RapDetail.aspx?STONELIST=923720330&amp;ISCONFIRM=0" xr:uid="{21B37A3D-D310-4876-A405-BFE6A057307A}"/>
    <hyperlink ref="C7440" r:id="rId7435" display="https://pld.live/RapDetail.aspx?STONELIST=924450192&amp;ISCONFIRM=0" xr:uid="{3C23A014-B34B-4B66-BA13-D3C884E26D64}"/>
    <hyperlink ref="C7441" r:id="rId7436" display="https://pld.live/RapDetail.aspx?STONELIST=924940197&amp;ISCONFIRM=0" xr:uid="{D0418466-4CE9-4BAB-AE11-7F21E3CA8378}"/>
    <hyperlink ref="C7442" r:id="rId7437" display="https://pld.live/RapDetail.aspx?STONELIST=924760105&amp;ISCONFIRM=0" xr:uid="{E2B0CC76-B10A-4151-8E07-A5A946D8B630}"/>
    <hyperlink ref="C7443" r:id="rId7438" display="https://pld.live/RapDetail.aspx?STONELIST=925981016&amp;ISCONFIRM=0" xr:uid="{7AEBB6AD-22CB-4DD1-BD01-D78CFE1317AF}"/>
    <hyperlink ref="C7444" r:id="rId7439" display="https://pld.live/RapDetail.aspx?STONELIST=925951023&amp;ISCONFIRM=0" xr:uid="{81EFC438-98BF-4AE7-BF65-DE4D9B0CA104}"/>
    <hyperlink ref="C7445" r:id="rId7440" display="https://pld.live/RapDetail.aspx?STONELIST=924830258&amp;ISCONFIRM=0" xr:uid="{F87A1FF6-55B1-4439-B672-84FC372F199D}"/>
    <hyperlink ref="C7446" r:id="rId7441" display="https://pld.live/RapDetail.aspx?STONELIST=831010747&amp;ISCONFIRM=0" xr:uid="{19CB1711-88F5-4F4A-9EDB-DF31CA9E859E}"/>
    <hyperlink ref="C7447" r:id="rId7442" display="https://pld.live/RapDetail.aspx?STONELIST=925722037&amp;ISCONFIRM=0" xr:uid="{20BA21DA-5F6A-4FE3-824B-20459DEA51E9}"/>
    <hyperlink ref="C7448" r:id="rId7443" display="https://pld.live/RapDetail.aspx?STONELIST=925771215&amp;ISCONFIRM=0" xr:uid="{02459279-4D73-43A6-84C3-5FA4CF247CA6}"/>
    <hyperlink ref="C7449" r:id="rId7444" display="https://pld.live/RapDetail.aspx?STONELIST=925801498&amp;ISCONFIRM=0" xr:uid="{8D6842E2-8B01-4572-9C15-3CEE059E7DFD}"/>
    <hyperlink ref="C7450" r:id="rId7445" display="https://pld.live/RapDetail.aspx?STONELIST=924830248&amp;ISCONFIRM=0" xr:uid="{9507E416-B861-492B-915C-23300A0CC3D2}"/>
    <hyperlink ref="C7451" r:id="rId7446" display="https://pld.live/RapDetail.aspx?STONELIST=926070225&amp;ISCONFIRM=0" xr:uid="{9194DD4D-C7EF-4400-AA34-5929061C4C85}"/>
    <hyperlink ref="C7452" r:id="rId7447" display="https://pld.live/RapDetail.aspx?STONELIST=925981105&amp;ISCONFIRM=0" xr:uid="{21BF3112-DE97-4F59-9160-C2809BA10F56}"/>
    <hyperlink ref="C7453" r:id="rId7448" display="https://pld.live/RapDetail.aspx?STONELIST=924830253&amp;ISCONFIRM=0" xr:uid="{2ED2063C-0532-4642-992E-CB2D4DB54E3C}"/>
    <hyperlink ref="C7454" r:id="rId7449" display="https://pld.live/RapDetail.aspx?STONELIST=925801149&amp;ISCONFIRM=0" xr:uid="{64775852-6C5F-43BF-8D76-0BAF5B50D5BF}"/>
    <hyperlink ref="C7455" r:id="rId7450" display="https://pld.live/RapDetail.aspx?STONELIST=924830011&amp;ISCONFIRM=0" xr:uid="{E40BCF57-1918-409C-81EC-BD372AD85F4C}"/>
    <hyperlink ref="C7456" r:id="rId7451" display="https://pld.live/RapDetail.aspx?STONELIST=925771276&amp;ISCONFIRM=0" xr:uid="{705F8EEB-AC42-4C3C-99FA-9CEE630749A3}"/>
    <hyperlink ref="C7457" r:id="rId7452" display="https://pld.live/RapDetail.aspx?STONELIST=924830251&amp;ISCONFIRM=0" xr:uid="{5B6534C2-490D-455F-9511-EB3DA6148CE3}"/>
    <hyperlink ref="C7458" r:id="rId7453" display="https://pld.live/RapDetail.aspx?STONELIST=925771285&amp;ISCONFIRM=0" xr:uid="{A75BC4DC-D595-4DC0-A114-0410B1168DBF}"/>
    <hyperlink ref="C7459" r:id="rId7454" display="https://pld.live/RapDetail.aspx?STONELIST=925801206&amp;ISCONFIRM=0" xr:uid="{C6C496FA-FA6B-45E2-8307-08B88E8B4141}"/>
    <hyperlink ref="C7460" r:id="rId7455" display="https://pld.live/RapDetail.aspx?STONELIST=925961314&amp;ISCONFIRM=0" xr:uid="{7AEE54D6-D299-40F3-AC12-3A47920482B7}"/>
    <hyperlink ref="C7461" r:id="rId7456" display="https://pld.live/RapDetail.aspx?STONELIST=925771024&amp;ISCONFIRM=0" xr:uid="{4D3ED817-7F1D-4E07-845D-98E853BD1295}"/>
    <hyperlink ref="C7462" r:id="rId7457" display="https://pld.live/RapDetail.aspx?STONELIST=925720791&amp;ISCONFIRM=0" xr:uid="{106267F8-7A0A-48EC-8793-E0D2451806DA}"/>
    <hyperlink ref="C7463" r:id="rId7458" display="https://pld.live/RapDetail.aspx?STONELIST=925270542&amp;ISCONFIRM=0" xr:uid="{DC122145-43F9-4E32-9183-62DB422D2AE6}"/>
    <hyperlink ref="C7464" r:id="rId7459" display="https://pld.live/RapDetail.aspx?STONELIST=925370448&amp;ISCONFIRM=0" xr:uid="{DDC63A81-83CD-453D-9CE0-DD01522DD47D}"/>
    <hyperlink ref="C7465" r:id="rId7460" display="https://pld.live/RapDetail.aspx?STONELIST=925771305&amp;ISCONFIRM=0" xr:uid="{DF3C7A7F-6948-4B84-BBF2-DE150EC6E4D9}"/>
    <hyperlink ref="C7466" r:id="rId7461" display="https://pld.live/RapDetail.aspx?STONELIST=925861293&amp;ISCONFIRM=0" xr:uid="{1311B393-AE4A-4EC7-A9D8-463720120825}"/>
    <hyperlink ref="C7467" r:id="rId7462" display="https://pld.live/RapDetail.aspx?STONELIST=925850579&amp;ISCONFIRM=0" xr:uid="{7BF0BF1B-0BE3-4305-A46B-9C1E6E072EAB}"/>
    <hyperlink ref="C7468" r:id="rId7463" display="https://pld.live/RapDetail.aspx?STONELIST=925771243&amp;ISCONFIRM=0" xr:uid="{50D6CD54-872F-463B-A7B9-F9D2D2F042E4}"/>
    <hyperlink ref="C7469" r:id="rId7464" display="https://pld.live/RapDetail.aspx?STONELIST=925980658&amp;ISCONFIRM=0" xr:uid="{861DC871-4A75-4A87-9A64-9E79AB2893A0}"/>
    <hyperlink ref="C7470" r:id="rId7465" display="https://pld.live/RapDetail.aspx?STONELIST=925731567&amp;ISCONFIRM=0" xr:uid="{3F5EFBA0-D22F-4229-B2AE-815369F17D10}"/>
    <hyperlink ref="C7471" r:id="rId7466" display="https://pld.live/RapDetail.aspx?STONELIST=925801497&amp;ISCONFIRM=0" xr:uid="{4793AEEA-966C-4F34-B641-EEE07B300495}"/>
    <hyperlink ref="C7472" r:id="rId7467" display="https://pld.live/RapDetail.aspx?STONELIST=925960314&amp;ISCONFIRM=0" xr:uid="{734B7519-9832-4587-9B14-1E0E5EDDE622}"/>
    <hyperlink ref="C7473" r:id="rId7468" display="https://pld.live/RapDetail.aspx?STONELIST=925950395&amp;ISCONFIRM=0" xr:uid="{4BDC2AEF-2919-47F8-A0E5-87D251AC2231}"/>
    <hyperlink ref="C7474" r:id="rId7469" display="https://pld.live/RapDetail.aspx?STONELIST=925850930&amp;ISCONFIRM=0" xr:uid="{07E54112-2619-4772-94FA-F12F4BE24C3B}"/>
    <hyperlink ref="C7475" r:id="rId7470" display="https://pld.live/RapDetail.aspx?STONELIST=925730799&amp;ISCONFIRM=0" xr:uid="{820FC10C-AA83-43DF-ABD1-5BB3D4AA107F}"/>
    <hyperlink ref="C7476" r:id="rId7471" display="https://pld.live/RapDetail.aspx?STONELIST=926071384&amp;ISCONFIRM=0" xr:uid="{8CEA6DE9-5870-459A-B4D8-9698B425CA66}"/>
    <hyperlink ref="C7477" r:id="rId7472" display="https://pld.live/RapDetail.aspx?STONELIST=925721878&amp;ISCONFIRM=0" xr:uid="{E936979A-2270-4C39-A3B5-C0C73DD964D8}"/>
    <hyperlink ref="C7478" r:id="rId7473" display="https://pld.live/RapDetail.aspx?STONELIST=925950629&amp;ISCONFIRM=0" xr:uid="{A1B4726C-465E-4338-A68B-588F8B54D451}"/>
    <hyperlink ref="C7479" r:id="rId7474" display="https://pld.live/RapDetail.aspx?STONELIST=925300337&amp;ISCONFIRM=0" xr:uid="{74434261-6607-4138-8D30-0BD9FA11FF2D}"/>
    <hyperlink ref="C7480" r:id="rId7475" display="https://pld.live/RapDetail.aspx?STONELIST=926020673&amp;ISCONFIRM=0" xr:uid="{4C8DEC07-A699-412D-8D0D-0CA8237B0D5B}"/>
    <hyperlink ref="C7481" r:id="rId7476" display="https://pld.live/RapDetail.aspx?STONELIST=924830010&amp;ISCONFIRM=0" xr:uid="{375A00FA-A8C7-4628-8E4F-53DCB64F2B53}"/>
    <hyperlink ref="C7482" r:id="rId7477" display="https://pld.live/RapDetail.aspx?STONELIST=926071602&amp;ISCONFIRM=0" xr:uid="{A30FA73D-DE73-43EC-A2CE-CB028FEA0A83}"/>
    <hyperlink ref="C7483" r:id="rId7478" display="https://pld.live/RapDetail.aspx?STONELIST=925771283&amp;ISCONFIRM=0" xr:uid="{CD82D35A-1BE1-4D7A-8FCF-6910C56011E8}"/>
    <hyperlink ref="C7484" r:id="rId7479" display="https://pld.live/RapDetail.aspx?STONELIST=925920654&amp;ISCONFIRM=0" xr:uid="{7FBF68F1-A17E-4A0A-8370-C9DC5364ED8E}"/>
    <hyperlink ref="C7485" r:id="rId7480" display="https://pld.live/RapDetail.aspx?STONELIST=925951323&amp;ISCONFIRM=0" xr:uid="{F2C397EF-0165-46C3-A5F2-72163002CA22}"/>
    <hyperlink ref="C7486" r:id="rId7481" display="https://pld.live/RapDetail.aspx?STONELIST=925771189&amp;ISCONFIRM=0" xr:uid="{9975E45F-5B2A-46E9-A7F4-FDD0B4673AD4}"/>
    <hyperlink ref="C7487" r:id="rId7482" display="https://pld.live/RapDetail.aspx?STONELIST=925920909&amp;ISCONFIRM=0" xr:uid="{B500E9B6-BA65-4779-A622-C0AFC12D68B4}"/>
    <hyperlink ref="C7488" r:id="rId7483" display="https://pld.live/RapDetail.aspx?STONELIST=925801763&amp;ISCONFIRM=0" xr:uid="{C643E8CA-C5EE-4006-A389-3B1E432D54BA}"/>
    <hyperlink ref="C7489" r:id="rId7484" display="https://pld.live/RapDetail.aspx?STONELIST=925300330&amp;ISCONFIRM=0" xr:uid="{64EBFC05-25D2-4E8A-AFA6-428846D6ED4F}"/>
    <hyperlink ref="C7490" r:id="rId7485" display="https://pld.live/RapDetail.aspx?STONELIST=925730989&amp;ISCONFIRM=0" xr:uid="{E21C15EC-3F14-4598-A09E-E06BC2BAC47E}"/>
    <hyperlink ref="C7491" r:id="rId7486" display="https://pld.live/RapDetail.aspx?STONELIST=924830257&amp;ISCONFIRM=0" xr:uid="{08725EC8-E2BB-4C43-A188-CA4D45013B11}"/>
    <hyperlink ref="C7492" r:id="rId7487" display="https://pld.live/RapDetail.aspx?STONELIST=925771335&amp;ISCONFIRM=0" xr:uid="{55AEA59F-3B56-4D3F-876D-77C203E616AF}"/>
    <hyperlink ref="C7493" r:id="rId7488" display="https://pld.live/RapDetail.aspx?STONELIST=925180155&amp;ISCONFIRM=0" xr:uid="{4103133F-D22A-43AA-BBA5-A3235B37ABF2}"/>
    <hyperlink ref="C7494" r:id="rId7489" display="https://pld.live/RapDetail.aspx?STONELIST=925771359&amp;ISCONFIRM=0" xr:uid="{7DD30D7E-4418-4710-83DE-86F64CC42B7E}"/>
    <hyperlink ref="C7495" r:id="rId7490" display="https://pld.live/RapDetail.aspx?STONELIST=925981175&amp;ISCONFIRM=0" xr:uid="{17FDC3CF-B1CC-4DB1-8CFF-265706F3E84E}"/>
    <hyperlink ref="C7496" r:id="rId7491" display="https://pld.live/RapDetail.aspx?STONELIST=926071494&amp;ISCONFIRM=0" xr:uid="{872792B9-2039-4483-BB51-AFBBB6AF8294}"/>
    <hyperlink ref="C7497" r:id="rId7492" display="https://pld.live/RapDetail.aspx?STONELIST=926071719&amp;ISCONFIRM=0" xr:uid="{B91A3C11-658E-48F2-AFB8-6A89B98ED518}"/>
    <hyperlink ref="C7498" r:id="rId7493" display="https://pld.live/RapDetail.aspx?STONELIST=926071676&amp;ISCONFIRM=0" xr:uid="{37DD039C-A5E9-4A1A-AA9D-0494A4C6240F}"/>
    <hyperlink ref="C7499" r:id="rId7494" display="https://pld.live/RapDetail.aspx?STONELIST=926071823&amp;ISCONFIRM=0" xr:uid="{EEC8A65C-7D8E-42D7-9FA6-D6A946016F4F}"/>
    <hyperlink ref="C7500" r:id="rId7495" display="https://pld.live/RapDetail.aspx?STONELIST=925802020&amp;ISCONFIRM=0" xr:uid="{8AC8DE53-0822-43ED-BC88-FBCD85DA6814}"/>
    <hyperlink ref="C7501" r:id="rId7496" display="https://pld.live/RapDetail.aspx?STONELIST=924700201&amp;ISCONFIRM=0" xr:uid="{59134798-BEDC-479F-B64A-253E15BC456A}"/>
    <hyperlink ref="C7502" r:id="rId7497" display="https://pld.live/RapDetail.aspx?STONELIST=925860705&amp;ISCONFIRM=0" xr:uid="{5EEA1A41-6693-4936-BEE0-16ADBC38DDF8}"/>
    <hyperlink ref="C7503" r:id="rId7498" display="https://pld.live/RapDetail.aspx?STONELIST=925732284&amp;ISCONFIRM=0" xr:uid="{D6B13FB4-1438-453A-BAC6-0BAC25E90C88}"/>
    <hyperlink ref="C7504" r:id="rId7499" display="https://pld.live/RapDetail.aspx?STONELIST=925731977&amp;ISCONFIRM=0" xr:uid="{81935EA0-9873-4A3E-B91F-A0923D93D3CE}"/>
    <hyperlink ref="C7505" r:id="rId7500" display="https://pld.live/RapDetail.aspx?STONELIST=925732179&amp;ISCONFIRM=0" xr:uid="{927CFB48-3E01-43B5-B28B-547711054DB7}"/>
    <hyperlink ref="C7506" r:id="rId7501" display="https://pld.live/RapDetail.aspx?STONELIST=925801738&amp;ISCONFIRM=0" xr:uid="{C71BFD12-53C5-4719-B2A0-41433ED65757}"/>
    <hyperlink ref="C7507" r:id="rId7502" display="https://pld.live/RapDetail.aspx?STONELIST=925732016&amp;ISCONFIRM=0" xr:uid="{C54088BD-9E82-4BB9-825D-5173E200E197}"/>
    <hyperlink ref="C7508" r:id="rId7503" display="https://pld.live/RapDetail.aspx?STONELIST=925731958&amp;ISCONFIRM=0" xr:uid="{51F549C7-CF7B-4676-ACDA-26B078646B53}"/>
    <hyperlink ref="C7509" r:id="rId7504" display="https://pld.live/RapDetail.aspx?STONELIST=925731371&amp;ISCONFIRM=0" xr:uid="{8220118E-4A11-4B5E-8BA1-F64CE61D6A56}"/>
    <hyperlink ref="C7510" r:id="rId7505" display="https://pld.live/RapDetail.aspx?STONELIST=925771140&amp;ISCONFIRM=0" xr:uid="{57C2BB55-90E9-42F6-A449-65CD844E7507}"/>
    <hyperlink ref="C7511" r:id="rId7506" display="https://pld.live/RapDetail.aspx?STONELIST=925730985&amp;ISCONFIRM=0" xr:uid="{2D8459E8-8659-44B3-B410-B47B0FF479E1}"/>
    <hyperlink ref="C7512" r:id="rId7507" display="https://pld.live/RapDetail.aspx?STONELIST=925731411&amp;ISCONFIRM=0" xr:uid="{1FE8E301-984E-4852-B580-3BEEBE7A7FA0}"/>
    <hyperlink ref="C7513" r:id="rId7508" display="https://pld.live/RapDetail.aspx?STONELIST=925732144&amp;ISCONFIRM=0" xr:uid="{00572412-914C-4E2C-9986-0A87CDCCA0A0}"/>
    <hyperlink ref="C7514" r:id="rId7509" display="https://pld.live/RapDetail.aspx?STONELIST=925730242&amp;ISCONFIRM=0" xr:uid="{D7CE9A98-1BED-45AC-879E-CC165C2670FA}"/>
    <hyperlink ref="C7515" r:id="rId7510" display="https://pld.live/RapDetail.aspx?STONELIST=925861199&amp;ISCONFIRM=0" xr:uid="{A0141ACC-8DA8-4CC6-B3A3-6897694881C9}"/>
    <hyperlink ref="C7516" r:id="rId7511" display="https://pld.live/RapDetail.aspx?STONELIST=925801573&amp;ISCONFIRM=0" xr:uid="{1CC506FB-EF1A-4872-8194-0497F40567D9}"/>
    <hyperlink ref="C7517" r:id="rId7512" display="https://pld.live/RapDetail.aspx?STONELIST=925731672&amp;ISCONFIRM=0" xr:uid="{3F22584C-4157-450C-85BD-04AD9B90E43B}"/>
    <hyperlink ref="C7518" r:id="rId7513" display="https://pld.live/RapDetail.aspx?STONELIST=925801574&amp;ISCONFIRM=0" xr:uid="{5F77B186-D387-4F58-B0C8-853CDA1C4DD0}"/>
    <hyperlink ref="C7519" r:id="rId7514" display="https://pld.live/RapDetail.aspx?STONELIST=925731976&amp;ISCONFIRM=0" xr:uid="{21E807B9-AF94-4ADF-9F2C-74624FE5D3C2}"/>
    <hyperlink ref="C7520" r:id="rId7515" display="https://pld.live/RapDetail.aspx?STONELIST=925720615&amp;ISCONFIRM=0" xr:uid="{09A9B911-B758-433D-9ECB-25DCF19F8EF1}"/>
    <hyperlink ref="C7521" r:id="rId7516" display="https://pld.live/RapDetail.aspx?STONELIST=925731809&amp;ISCONFIRM=0" xr:uid="{5833BC67-1556-4D84-B041-A6DB95C8F9EC}"/>
    <hyperlink ref="C7522" r:id="rId7517" display="https://pld.live/RapDetail.aspx?STONELIST=925802038&amp;ISCONFIRM=0" xr:uid="{49F62621-AB34-4C27-8704-06A80C2A2888}"/>
    <hyperlink ref="C7523" r:id="rId7518" display="https://pld.live/RapDetail.aspx?STONELIST=925731928&amp;ISCONFIRM=0" xr:uid="{F94FC1AB-5D40-4514-A8F1-80C6B4AF5D3E}"/>
    <hyperlink ref="C7524" r:id="rId7519" display="https://pld.live/RapDetail.aspx?STONELIST=925801204&amp;ISCONFIRM=0" xr:uid="{59290664-FC8B-4706-92AF-0BE843397F0A}"/>
    <hyperlink ref="C7525" r:id="rId7520" display="https://pld.live/RapDetail.aspx?STONELIST=925770558&amp;ISCONFIRM=0" xr:uid="{E17B5197-A23B-429D-B827-8672F65EED9D}"/>
    <hyperlink ref="C7526" r:id="rId7521" display="https://pld.live/RapDetail.aspx?STONELIST=925801725&amp;ISCONFIRM=0" xr:uid="{F8EB9F0D-77B2-4A1E-9879-2C39C96B838C}"/>
    <hyperlink ref="C7527" r:id="rId7522" display="https://pld.live/RapDetail.aspx?STONELIST=925732029&amp;ISCONFIRM=0" xr:uid="{7F396EDE-3918-40DB-9EA2-8EA721C6C012}"/>
    <hyperlink ref="C7528" r:id="rId7523" display="https://pld.live/RapDetail.aspx?STONELIST=925771026&amp;ISCONFIRM=0" xr:uid="{0254E825-9D9A-4A9F-8CAC-ABA705E85940}"/>
    <hyperlink ref="C7529" r:id="rId7524" display="https://pld.live/RapDetail.aspx?STONELIST=925140303&amp;ISCONFIRM=0" xr:uid="{A6A06AE3-F8A6-4F19-B44C-587A10A76C1F}"/>
    <hyperlink ref="C7530" r:id="rId7525" display="https://pld.live/RapDetail.aspx?STONELIST=925771237&amp;ISCONFIRM=0" xr:uid="{CB1D3C48-00C9-4E11-AF14-5943925E8263}"/>
    <hyperlink ref="C7531" r:id="rId7526" display="https://pld.live/RapDetail.aspx?STONELIST=925731971&amp;ISCONFIRM=0" xr:uid="{DB0E7281-98AD-4F97-98B6-D7D485D9AD98}"/>
    <hyperlink ref="C7532" r:id="rId7527" display="https://pld.live/RapDetail.aspx?STONELIST=925771315&amp;ISCONFIRM=0" xr:uid="{86DB9906-D8F1-4FC5-8594-F5AD413B3C30}"/>
    <hyperlink ref="C7533" r:id="rId7528" display="https://pld.live/RapDetail.aspx?STONELIST=925801849&amp;ISCONFIRM=0" xr:uid="{6067F8A4-325F-481B-91C6-F1F99A79CC01}"/>
    <hyperlink ref="C7534" r:id="rId7529" display="https://pld.live/RapDetail.aspx?STONELIST=925801928&amp;ISCONFIRM=0" xr:uid="{F0D10EEB-01BD-4303-95C3-3D5EA20EF92D}"/>
    <hyperlink ref="C7535" r:id="rId7530" display="https://pld.live/RapDetail.aspx?STONELIST=925732115&amp;ISCONFIRM=0" xr:uid="{72B096E8-A272-44CA-AAFA-9EAACE5582FF}"/>
    <hyperlink ref="C7536" r:id="rId7531" display="https://pld.live/RapDetail.aspx?STONELIST=925732054&amp;ISCONFIRM=0" xr:uid="{AD9315A7-7D78-4735-BD89-F3A3FBD0554F}"/>
    <hyperlink ref="C7537" r:id="rId7532" display="https://pld.live/RapDetail.aspx?STONELIST=925732111&amp;ISCONFIRM=0" xr:uid="{B045D9EF-042C-4FDE-ABB5-F522F418FB1D}"/>
    <hyperlink ref="C7538" r:id="rId7533" display="https://pld.live/RapDetail.aspx?STONELIST=925801772&amp;ISCONFIRM=0" xr:uid="{DFFC989D-8132-42B2-B64D-AED722A255D0}"/>
    <hyperlink ref="C7539" r:id="rId7534" display="https://pld.live/RapDetail.aspx?STONELIST=925732191&amp;ISCONFIRM=0" xr:uid="{E8ADB7C3-5F4F-40BE-83A4-2B0A6A45F8BF}"/>
    <hyperlink ref="C7540" r:id="rId7535" display="https://pld.live/RapDetail.aspx?STONELIST=925771227&amp;ISCONFIRM=0" xr:uid="{A892DF19-9048-4FF6-89CE-FB5EC69E0FC6}"/>
    <hyperlink ref="C7541" r:id="rId7536" display="https://pld.live/RapDetail.aspx?STONELIST=925801722&amp;ISCONFIRM=0" xr:uid="{5E5E6DF9-C6CF-4D7A-9A2B-651DBCD59F13}"/>
    <hyperlink ref="C7542" r:id="rId7537" display="https://pld.live/RapDetail.aspx?STONELIST=925732128&amp;ISCONFIRM=0" xr:uid="{2E624135-3EFB-4D81-B68E-5D7AFD9409A1}"/>
    <hyperlink ref="C7543" r:id="rId7538" display="https://pld.live/RapDetail.aspx?STONELIST=925731746&amp;ISCONFIRM=0" xr:uid="{5757799F-3D85-4363-9E2C-1B6384AB7CA6}"/>
    <hyperlink ref="C7544" r:id="rId7539" display="https://pld.live/RapDetail.aspx?STONELIST=831010244&amp;ISCONFIRM=0" xr:uid="{50716B13-56A9-40BA-BA48-E390A0A897DA}"/>
    <hyperlink ref="C7545" r:id="rId7540" display="https://pld.live/RapDetail.aspx?STONELIST=925731741&amp;ISCONFIRM=0" xr:uid="{65EDE997-E093-4F76-91FB-82866EE9C28F}"/>
    <hyperlink ref="C7546" r:id="rId7541" display="https://pld.live/RapDetail.aspx?STONELIST=925731879&amp;ISCONFIRM=0" xr:uid="{28059A29-777F-4F36-BCE7-5F723EA8757D}"/>
    <hyperlink ref="C7547" r:id="rId7542" display="https://pld.live/RapDetail.aspx?STONELIST=925731911&amp;ISCONFIRM=0" xr:uid="{5BE07E36-F11E-40F6-9402-E19B0563E1E1}"/>
    <hyperlink ref="C7548" r:id="rId7543" display="https://pld.live/RapDetail.aspx?STONELIST=925731643&amp;ISCONFIRM=0" xr:uid="{A66E1D34-2CCB-4F6D-B713-F0A4820660A4}"/>
    <hyperlink ref="C7549" r:id="rId7544" display="https://pld.live/RapDetail.aspx?STONELIST=925801527&amp;ISCONFIRM=0" xr:uid="{1F543408-DEA8-4D63-9506-5D530D792298}"/>
    <hyperlink ref="C7550" r:id="rId7545" display="https://pld.live/RapDetail.aspx?STONELIST=831010479&amp;ISCONFIRM=0" xr:uid="{A6A44E4B-5BC4-4722-8C84-C66D4680DDA6}"/>
    <hyperlink ref="C7551" r:id="rId7546" display="https://pld.live/RapDetail.aspx?STONELIST=925801833&amp;ISCONFIRM=0" xr:uid="{325B2041-9589-4D96-A8E4-7D7680746EAE}"/>
    <hyperlink ref="C7552" r:id="rId7547" display="https://pld.live/RapDetail.aspx?STONELIST=925770994&amp;ISCONFIRM=0" xr:uid="{8D96CFA0-6503-4F1E-99F5-CE88353EA2F5}"/>
    <hyperlink ref="C7553" r:id="rId7548" display="https://pld.live/RapDetail.aspx?STONELIST=925300323&amp;ISCONFIRM=0" xr:uid="{7764EBB2-DE04-40EB-9DBE-C6054F8FBE9A}"/>
    <hyperlink ref="C7554" r:id="rId7549" display="https://pld.live/RapDetail.aspx?STONELIST=925721906&amp;ISCONFIRM=0" xr:uid="{DFC56C37-C915-47FB-8523-E9B773B0F398}"/>
    <hyperlink ref="C7555" r:id="rId7550" display="https://pld.live/RapDetail.aspx?STONELIST=925300231&amp;ISCONFIRM=0" xr:uid="{BCF258E6-89DD-4B24-9935-79051CEBAE88}"/>
    <hyperlink ref="C7556" r:id="rId7551" display="https://pld.live/RapDetail.aspx?STONELIST=924780210&amp;ISCONFIRM=0" xr:uid="{D9FBF979-BC6D-4D9B-95C7-4304E74BFF2A}"/>
    <hyperlink ref="C7557" r:id="rId7552" display="https://pld.live/RapDetail.aspx?STONELIST=925731624&amp;ISCONFIRM=0" xr:uid="{B100DB43-C5EE-4414-945E-4D52F5936C26}"/>
    <hyperlink ref="C7558" r:id="rId7553" display="https://pld.live/RapDetail.aspx?STONELIST=925801520&amp;ISCONFIRM=0" xr:uid="{F7BCBCE2-32FB-4F5E-B33C-916F89DFF991}"/>
    <hyperlink ref="C7559" r:id="rId7554" display="https://pld.live/RapDetail.aspx?STONELIST=925732106&amp;ISCONFIRM=0" xr:uid="{DBE8DF17-5609-4E8B-A249-1B99723A0CF4}"/>
    <hyperlink ref="C7560" r:id="rId7555" display="https://pld.live/RapDetail.aspx?STONELIST=925801652&amp;ISCONFIRM=0" xr:uid="{8CFC6C7D-A794-4B08-B045-42E3D83E4720}"/>
    <hyperlink ref="C7561" r:id="rId7556" display="https://pld.live/RapDetail.aspx?STONELIST=925771358&amp;ISCONFIRM=0" xr:uid="{E16A0465-7A9C-4428-9FA3-A296E83A4B3A}"/>
    <hyperlink ref="C7562" r:id="rId7557" display="https://pld.live/RapDetail.aspx?STONELIST=925732241&amp;ISCONFIRM=0" xr:uid="{191601DE-889F-4AEB-823F-A530C614FF7C}"/>
    <hyperlink ref="C7563" r:id="rId7558" display="https://pld.live/RapDetail.aspx?STONELIST=926100898&amp;ISCONFIRM=0" xr:uid="{61422376-3E7F-4E18-9BC9-97B23C1189C0}"/>
    <hyperlink ref="C7564" r:id="rId7559" display="https://pld.live/RapDetail.aspx?STONELIST=925732295&amp;ISCONFIRM=0" xr:uid="{10CD91E5-CD05-4012-AF73-952E1A563713}"/>
    <hyperlink ref="C7565" r:id="rId7560" display="https://pld.live/RapDetail.aspx?STONELIST=925771187&amp;ISCONFIRM=0" xr:uid="{5C81DCAB-7D97-4454-897D-F0F6E4F5749A}"/>
    <hyperlink ref="C7566" r:id="rId7561" display="https://pld.live/RapDetail.aspx?STONELIST=925731416&amp;ISCONFIRM=0" xr:uid="{92D00BA2-2725-481E-8EA6-45913EE8D6DC}"/>
    <hyperlink ref="C7567" r:id="rId7562" display="https://pld.live/RapDetail.aspx?STONELIST=925801727&amp;ISCONFIRM=0" xr:uid="{E0BD5101-7868-4984-9489-D71EE3474F1B}"/>
    <hyperlink ref="C7568" r:id="rId7563" display="https://pld.live/RapDetail.aspx?STONELIST=926100899&amp;ISCONFIRM=0" xr:uid="{02E2E4EC-22DF-4ED3-B17A-7FE9B9D9317E}"/>
    <hyperlink ref="C7569" r:id="rId7564" display="https://pld.live/RapDetail.aspx?STONELIST=925721914&amp;ISCONFIRM=0" xr:uid="{D6E9DC62-73DD-4F22-B963-7E9C381FE86C}"/>
    <hyperlink ref="C7570" r:id="rId7565" display="https://pld.live/RapDetail.aspx?STONELIST=925732028&amp;ISCONFIRM=0" xr:uid="{2526F431-92CF-41D6-8ABF-004BC33A8AE0}"/>
    <hyperlink ref="C7571" r:id="rId7566" display="https://pld.live/RapDetail.aspx?STONELIST=925731625&amp;ISCONFIRM=0" xr:uid="{F1584211-37A3-4F1A-AC6D-F14F48E10459}"/>
    <hyperlink ref="C7572" r:id="rId7567" display="https://pld.live/RapDetail.aspx?STONELIST=926101424&amp;ISCONFIRM=0" xr:uid="{B912360F-7B6F-43CB-A057-E69F5D73D22D}"/>
    <hyperlink ref="C7573" r:id="rId7568" display="https://pld.live/RapDetail.aspx?STONELIST=925731752&amp;ISCONFIRM=0" xr:uid="{508ABC05-2640-47E5-A7DC-9126397A7322}"/>
    <hyperlink ref="C7574" r:id="rId7569" display="https://pld.live/RapDetail.aspx?STONELIST=925731628&amp;ISCONFIRM=0" xr:uid="{DF097999-F252-43E1-97AC-E7D485F04EFE}"/>
    <hyperlink ref="C7575" r:id="rId7570" display="https://pld.live/RapDetail.aspx?STONELIST=925771277&amp;ISCONFIRM=0" xr:uid="{2DE501E9-767A-4601-A03F-A9F725101ECD}"/>
    <hyperlink ref="C7576" r:id="rId7571" display="https://pld.live/RapDetail.aspx?STONELIST=925731901&amp;ISCONFIRM=0" xr:uid="{ED09ADC3-22BD-4B79-8735-9A96DB8F0A7A}"/>
    <hyperlink ref="C7577" r:id="rId7572" display="https://pld.live/RapDetail.aspx?STONELIST=925770918&amp;ISCONFIRM=0" xr:uid="{C9957706-6CED-4849-8E40-A0A051038128}"/>
    <hyperlink ref="C7578" r:id="rId7573" display="https://pld.live/RapDetail.aspx?STONELIST=925801985&amp;ISCONFIRM=0" xr:uid="{E1D7A0EA-E75F-4B9D-8E25-A421D4E52923}"/>
    <hyperlink ref="C7579" r:id="rId7574" display="https://pld.live/RapDetail.aspx?STONELIST=925732177&amp;ISCONFIRM=0" xr:uid="{764B89CD-D267-4477-A3A7-32859AA1E4D5}"/>
    <hyperlink ref="C7580" r:id="rId7575" display="https://pld.live/RapDetail.aspx?STONELIST=926101498&amp;ISCONFIRM=0" xr:uid="{48F50067-9C7B-4A89-8C5F-476833452D43}"/>
    <hyperlink ref="C7581" r:id="rId7576" display="https://pld.live/RapDetail.aspx?STONELIST=925730875&amp;ISCONFIRM=0" xr:uid="{867D57CC-FEE2-4F55-873B-4928E4D9AE11}"/>
    <hyperlink ref="C7582" r:id="rId7577" display="https://pld.live/RapDetail.aspx?STONELIST=925731931&amp;ISCONFIRM=0" xr:uid="{27ECFF7C-66DC-4342-9361-83A77F63004B}"/>
    <hyperlink ref="C7583" r:id="rId7578" display="https://pld.live/RapDetail.aspx?STONELIST=924690172&amp;ISCONFIRM=0" xr:uid="{FF8F03E8-6096-4035-9B54-41070439E93E}"/>
    <hyperlink ref="C7584" r:id="rId7579" display="https://pld.live/RapDetail.aspx?STONELIST=925801491&amp;ISCONFIRM=0" xr:uid="{B9EE76CE-D76C-4A8B-8FF5-0B92C31A5E0D}"/>
    <hyperlink ref="C7585" r:id="rId7580" display="https://pld.live/RapDetail.aspx?STONELIST=925801803&amp;ISCONFIRM=0" xr:uid="{2F6920B8-A6C5-47BD-A288-A06E78FC7832}"/>
    <hyperlink ref="C7586" r:id="rId7581" display="https://pld.live/RapDetail.aspx?STONELIST=925732146&amp;ISCONFIRM=0" xr:uid="{46D259EB-F401-4B8B-8686-F7E9EE69E225}"/>
    <hyperlink ref="C7587" r:id="rId7582" display="https://pld.live/RapDetail.aspx?STONELIST=925731623&amp;ISCONFIRM=0" xr:uid="{8A8E8BC9-F797-40AD-A5F2-22B21C0B3542}"/>
    <hyperlink ref="C7588" r:id="rId7583" display="https://pld.live/RapDetail.aspx?STONELIST=923760404&amp;ISCONFIRM=0" xr:uid="{34409027-9164-45FC-AD45-B2491C2B53A5}"/>
    <hyperlink ref="C7589" r:id="rId7584" display="https://pld.live/RapDetail.aspx?STONELIST=925732017&amp;ISCONFIRM=0" xr:uid="{770E524B-86D8-45F7-906E-EFBB74F91ED9}"/>
    <hyperlink ref="C7590" r:id="rId7585" display="https://pld.live/RapDetail.aspx?STONELIST=925731239&amp;ISCONFIRM=0" xr:uid="{5F770A15-CCB0-416E-BDDF-4E0AA7027FC9}"/>
    <hyperlink ref="C7591" r:id="rId7586" display="https://pld.live/RapDetail.aspx?STONELIST=925731522&amp;ISCONFIRM=0" xr:uid="{FCFD20E5-EC30-49EB-A9AB-D2F9C9D78884}"/>
    <hyperlink ref="C7592" r:id="rId7587" display="https://pld.live/RapDetail.aspx?STONELIST=925732296&amp;ISCONFIRM=0" xr:uid="{8834F06F-FB4E-4D11-AFAB-719DE2E89334}"/>
    <hyperlink ref="C7593" r:id="rId7588" display="https://pld.live/RapDetail.aspx?STONELIST=925731953&amp;ISCONFIRM=0" xr:uid="{6D1AA564-8A4C-4A2B-856B-D31C5D637261}"/>
    <hyperlink ref="C7594" r:id="rId7589" display="https://pld.live/RapDetail.aspx?STONELIST=925731412&amp;ISCONFIRM=0" xr:uid="{D9A41049-F9B9-4B67-A8B9-8FC81BBCAC52}"/>
    <hyperlink ref="C7595" r:id="rId7590" display="https://pld.live/RapDetail.aspx?STONELIST=925801474&amp;ISCONFIRM=0" xr:uid="{992AFE8E-B8E1-4850-8054-D0B1B3D6BE2C}"/>
    <hyperlink ref="C7596" r:id="rId7591" display="https://pld.live/RapDetail.aspx?STONELIST=925731749&amp;ISCONFIRM=0" xr:uid="{95C2604A-7EEA-4515-B962-B22D55D1DB80}"/>
    <hyperlink ref="C7597" r:id="rId7592" display="https://pld.live/RapDetail.aspx?STONELIST=925770993&amp;ISCONFIRM=0" xr:uid="{1C9EDF33-4BB5-41B2-9068-503A08E53DB4}"/>
    <hyperlink ref="C7598" r:id="rId7593" display="https://pld.live/RapDetail.aspx?STONELIST=925732286&amp;ISCONFIRM=0" xr:uid="{D97ED9E7-6F2B-4352-81F7-366E41495553}"/>
    <hyperlink ref="C7599" r:id="rId7594" display="https://pld.live/RapDetail.aspx?STONELIST=925801997&amp;ISCONFIRM=0" xr:uid="{6C57EFF2-617E-49D9-9D09-DDDDE83DDF6D}"/>
    <hyperlink ref="C7600" r:id="rId7595" display="https://pld.live/RapDetail.aspx?STONELIST=924690203&amp;ISCONFIRM=0" xr:uid="{9C780FC5-68CB-4B6E-B8D7-780137C8F220}"/>
    <hyperlink ref="C7601" r:id="rId7596" display="https://pld.live/RapDetail.aspx?STONELIST=925732019&amp;ISCONFIRM=0" xr:uid="{DD356ACE-513D-446B-A217-1BB920CDAAFA}"/>
    <hyperlink ref="C7602" r:id="rId7597" display="https://pld.live/RapDetail.aspx?STONELIST=925300331&amp;ISCONFIRM=0" xr:uid="{4EB213BC-DF54-4BD4-A9AA-2F1D8BDD4A37}"/>
    <hyperlink ref="C7603" r:id="rId7598" display="https://pld.live/RapDetail.aspx?STONELIST=925300343&amp;ISCONFIRM=0" xr:uid="{234E1B22-0A92-4BEC-BD26-5359CAE084C9}"/>
    <hyperlink ref="C7604" r:id="rId7599" display="https://pld.live/RapDetail.aspx?STONELIST=925731644&amp;ISCONFIRM=0" xr:uid="{9FF88F51-236B-4540-9C5E-796F78E92FB8}"/>
    <hyperlink ref="C7605" r:id="rId7600" display="https://pld.live/RapDetail.aspx?STONELIST=925732233&amp;ISCONFIRM=0" xr:uid="{615D5007-F264-4CDB-AD42-9F4FE62F89A4}"/>
    <hyperlink ref="C7606" r:id="rId7601" display="https://pld.live/RapDetail.aspx?STONELIST=925732294&amp;ISCONFIRM=0" xr:uid="{25FE79C6-8862-467D-8F55-52E7F308BDD5}"/>
    <hyperlink ref="C7607" r:id="rId7602" display="https://pld.live/RapDetail.aspx?STONELIST=925732064&amp;ISCONFIRM=0" xr:uid="{8D0A4A06-06CB-44B4-BB42-4E7529C5E44E}"/>
    <hyperlink ref="C7608" r:id="rId7603" display="https://pld.live/RapDetail.aspx?STONELIST=925802065&amp;ISCONFIRM=0" xr:uid="{A62F16EC-BA53-4210-A7B9-9DE406E60037}"/>
    <hyperlink ref="C7609" r:id="rId7604" display="https://pld.live/RapDetail.aspx?STONELIST=925731420&amp;ISCONFIRM=0" xr:uid="{221C5B25-6470-4BD4-B72A-FF7A4CFA6156}"/>
    <hyperlink ref="C7610" r:id="rId7605" display="https://pld.live/RapDetail.aspx?STONELIST=925731908&amp;ISCONFIRM=0" xr:uid="{905559F7-54D9-411E-8E6D-959E6A040468}"/>
    <hyperlink ref="C7611" r:id="rId7606" display="https://pld.live/RapDetail.aspx?STONELIST=925732298&amp;ISCONFIRM=0" xr:uid="{439122B4-0418-44F5-AF44-24D7D0DC9963}"/>
    <hyperlink ref="C7612" r:id="rId7607" display="https://pld.live/RapDetail.aspx?STONELIST=925732229&amp;ISCONFIRM=0" xr:uid="{212EF39F-C2AC-41E7-A5CB-72FA270D065F}"/>
    <hyperlink ref="C7613" r:id="rId7608" display="https://pld.live/RapDetail.aspx?STONELIST=923780385&amp;ISCONFIRM=0" xr:uid="{94DEFC74-EC18-48EB-9D7B-73CA3E7FF3A6}"/>
    <hyperlink ref="C7614" r:id="rId7609" display="https://pld.live/RapDetail.aspx?STONELIST=926640123&amp;ISCONFIRM=0" xr:uid="{19A41C93-CD5A-4BFB-A748-23AE0E8DFC98}"/>
    <hyperlink ref="C7615" r:id="rId7610" display="https://pld.live/RapDetail.aspx?STONELIST=926270772&amp;ISCONFIRM=0" xr:uid="{78B1B3D6-414D-4C19-8837-C61A25A1B8B1}"/>
    <hyperlink ref="C7616" r:id="rId7611" display="https://pld.live/RapDetail.aspx?STONELIST=926310379&amp;ISCONFIRM=0" xr:uid="{C2C62B0C-99D1-41BC-B2C9-4012D5EAF572}"/>
    <hyperlink ref="C7617" r:id="rId7612" display="https://pld.live/RapDetail.aspx?STONELIST=924880298&amp;ISCONFIRM=0" xr:uid="{A50CCB4D-DCA6-45D1-9237-A39D226E3816}"/>
    <hyperlink ref="C7618" r:id="rId7613" display="https://pld.live/RapDetail.aspx?STONELIST=924880356&amp;ISCONFIRM=0" xr:uid="{32A19FB3-9C74-4279-AD9A-EB48A9A05BDC}"/>
    <hyperlink ref="C7619" r:id="rId7614" display="https://pld.live/RapDetail.aspx?STONELIST=926750731&amp;ISCONFIRM=0" xr:uid="{6EA36A25-DA4E-4DE5-9A3D-8A815DBE271C}"/>
    <hyperlink ref="C7620" r:id="rId7615" display="https://pld.live/RapDetail.aspx?STONELIST=926270778&amp;ISCONFIRM=0" xr:uid="{54BDA147-5EC1-4C92-A428-7E3DDCC82F18}"/>
    <hyperlink ref="C7621" r:id="rId7616" display="https://pld.live/RapDetail.aspx?STONELIST=926790890&amp;ISCONFIRM=0" xr:uid="{4BBD8BBA-C8B1-4FEC-9850-114036EF25AF}"/>
    <hyperlink ref="C7622" r:id="rId7617" display="https://pld.live/RapDetail.aspx?STONELIST=926270893&amp;ISCONFIRM=0" xr:uid="{631CC5E6-0CA2-472E-B8DF-ADA93D3CD063}"/>
    <hyperlink ref="C7623" r:id="rId7618" display="https://pld.live/RapDetail.aspx?STONELIST=924420397&amp;ISCONFIRM=0" xr:uid="{DE2F16A9-E10C-4189-9318-8F2FF89C5106}"/>
    <hyperlink ref="C7624" r:id="rId7619" display="https://pld.live/RapDetail.aspx?STONELIST=924440150&amp;ISCONFIRM=0" xr:uid="{E36A2AEC-BBFE-466F-91D7-732EA74BC595}"/>
    <hyperlink ref="C7625" r:id="rId7620" display="https://pld.live/RapDetail.aspx?STONELIST=926311153&amp;ISCONFIRM=0" xr:uid="{9A93996E-5C24-4F51-BB3B-1156DA74D7AD}"/>
    <hyperlink ref="C7626" r:id="rId7621" display="https://pld.live/RapDetail.aspx?STONELIST=926810705&amp;ISCONFIRM=0" xr:uid="{2691C8D5-860B-45CB-BAE0-9CCAEA3B9D20}"/>
    <hyperlink ref="C7627" r:id="rId7622" display="https://pld.live/RapDetail.aspx?STONELIST=924880361&amp;ISCONFIRM=0" xr:uid="{148D546C-1BA4-4C2D-95B2-4FA8995D79F6}"/>
    <hyperlink ref="C7628" r:id="rId7623" display="https://pld.live/RapDetail.aspx?STONELIST=926810382&amp;ISCONFIRM=0" xr:uid="{D2282119-FB25-4450-912E-C24D8D2B0C1D}"/>
    <hyperlink ref="C7629" r:id="rId7624" display="https://pld.live/RapDetail.aspx?STONELIST=926311032&amp;ISCONFIRM=0" xr:uid="{20537A2F-3155-46FC-8A66-D9508435700A}"/>
    <hyperlink ref="C7630" r:id="rId7625" display="https://pld.live/RapDetail.aspx?STONELIST=926810601&amp;ISCONFIRM=0" xr:uid="{D39CE7D1-9146-4738-9A3B-8EF963FF4A30}"/>
    <hyperlink ref="C7631" r:id="rId7626" display="https://pld.live/RapDetail.aspx?STONELIST=926810679&amp;ISCONFIRM=0" xr:uid="{B7B9F1BF-982A-4168-886D-3C4BDC85786A}"/>
    <hyperlink ref="C7632" r:id="rId7627" display="https://pld.live/RapDetail.aspx?STONELIST=926810580&amp;ISCONFIRM=0" xr:uid="{E64DF1D1-AD8D-4187-B0F6-69B2E2384C85}"/>
    <hyperlink ref="C7633" r:id="rId7628" display="https://pld.live/RapDetail.aspx?STONELIST=926810437&amp;ISCONFIRM=0" xr:uid="{DA06FDE9-9958-4550-BC51-D55CF5DFE49E}"/>
    <hyperlink ref="C7634" r:id="rId7629" display="https://pld.live/RapDetail.aspx?STONELIST=926690850&amp;ISCONFIRM=0" xr:uid="{F92B75C9-902A-4E8D-BEA0-35D6DE54FD25}"/>
    <hyperlink ref="C7635" r:id="rId7630" display="https://pld.live/RapDetail.aspx?STONELIST=926311327&amp;ISCONFIRM=0" xr:uid="{DE021F32-5C8D-495E-9C54-7E821214CE10}"/>
    <hyperlink ref="C7636" r:id="rId7631" display="https://pld.live/RapDetail.aspx?STONELIST=926810513&amp;ISCONFIRM=0" xr:uid="{FF8A6C90-E7B8-4FD0-8B47-3B8B47EE9F74}"/>
    <hyperlink ref="C7637" r:id="rId7632" display="https://pld.live/RapDetail.aspx?STONELIST=924880360&amp;ISCONFIRM=0" xr:uid="{D1E1C841-95D3-45D7-AC92-0924C066F342}"/>
    <hyperlink ref="C7638" r:id="rId7633" display="https://pld.live/RapDetail.aspx?STONELIST=926631148&amp;ISCONFIRM=0" xr:uid="{98911D3A-F0C1-4336-84BD-99025D5229AA}"/>
    <hyperlink ref="C7639" r:id="rId7634" display="https://pld.live/RapDetail.aspx?STONELIST=926810623&amp;ISCONFIRM=0" xr:uid="{DC3FA548-2C1C-410D-B8A6-DA049F105B9B}"/>
    <hyperlink ref="C7640" r:id="rId7635" display="https://pld.live/RapDetail.aspx?STONELIST=926810596&amp;ISCONFIRM=0" xr:uid="{9CFC6F27-2AC6-4FE5-A737-935FD04689F4}"/>
    <hyperlink ref="C7641" r:id="rId7636" display="https://pld.live/RapDetail.aspx?STONELIST=926810645&amp;ISCONFIRM=0" xr:uid="{F7CA2602-27B3-461A-9DB2-A9AA740F424E}"/>
    <hyperlink ref="C7642" r:id="rId7637" display="https://pld.live/RapDetail.aspx?STONELIST=926690912&amp;ISCONFIRM=0" xr:uid="{E52D9774-C60E-4C60-8AE1-6CD3CB1F5C4D}"/>
    <hyperlink ref="C7643" r:id="rId7638" display="https://pld.live/RapDetail.aspx?STONELIST=926921447&amp;ISCONFIRM=0" xr:uid="{3263E3C6-67BE-4E4F-BE58-DD9F0118DB7F}"/>
    <hyperlink ref="C7644" r:id="rId7639" display="https://pld.live/RapDetail.aspx?STONELIST=926310955&amp;ISCONFIRM=0" xr:uid="{8C94F908-1940-4355-8C5F-4B256896835A}"/>
    <hyperlink ref="C7645" r:id="rId7640" display="https://pld.live/RapDetail.aspx?STONELIST=924880354&amp;ISCONFIRM=0" xr:uid="{818B6C01-061C-4B0D-A2A2-FC5BDF7C1F17}"/>
    <hyperlink ref="C7646" r:id="rId7641" display="https://pld.live/RapDetail.aspx?STONELIST=926250479&amp;ISCONFIRM=0" xr:uid="{FC78414E-0A86-4E35-91EE-BFDC68E7C867}"/>
    <hyperlink ref="C7647" r:id="rId7642" display="https://pld.live/RapDetail.aspx?STONELIST=925080480&amp;ISCONFIRM=0" xr:uid="{D079D7DD-0652-4145-B9A0-8965969C3CC3}"/>
    <hyperlink ref="C7648" r:id="rId7643" display="https://pld.live/RapDetail.aspx?STONELIST=926810380&amp;ISCONFIRM=0" xr:uid="{7EA57E44-2F1E-4B2C-BE60-4A4090F191E1}"/>
    <hyperlink ref="C7649" r:id="rId7644" display="https://pld.live/RapDetail.aspx?STONELIST=926790370&amp;ISCONFIRM=0" xr:uid="{6EC54911-25B9-4679-8EEE-493F6519B5CC}"/>
    <hyperlink ref="C7650" r:id="rId7645" display="https://pld.live/RapDetail.aspx?STONELIST=926870855&amp;ISCONFIRM=0" xr:uid="{035600BC-0DF5-47B9-8301-833416EAB799}"/>
    <hyperlink ref="C7651" r:id="rId7646" display="https://pld.live/RapDetail.aspx?STONELIST=924440153&amp;ISCONFIRM=0" xr:uid="{BC1ACBA4-6DDE-4687-B485-C5C6D6326B18}"/>
    <hyperlink ref="C7652" r:id="rId7647" display="https://pld.live/RapDetail.aspx?STONELIST=926270852&amp;ISCONFIRM=0" xr:uid="{E55769EB-DAFE-4F71-86AB-5191B44B69A9}"/>
    <hyperlink ref="C7653" r:id="rId7648" display="https://pld.live/RapDetail.aspx?STONELIST=924710168&amp;ISCONFIRM=0" xr:uid="{E2553E71-A698-4FD0-AD58-54AE5E99B9A8}"/>
    <hyperlink ref="C7654" r:id="rId7649" display="https://pld.live/RapDetail.aspx?STONELIST=926311220&amp;ISCONFIRM=0" xr:uid="{8F86E706-BEF7-40F7-84C1-2731670D9005}"/>
    <hyperlink ref="C7655" r:id="rId7650" display="https://pld.live/RapDetail.aspx?STONELIST=924880349&amp;ISCONFIRM=0" xr:uid="{8DA04B31-7219-4DDC-8DFB-6421C137DD68}"/>
    <hyperlink ref="C7656" r:id="rId7651" display="https://pld.live/RapDetail.aspx?STONELIST=924900235&amp;ISCONFIRM=0" xr:uid="{C8CFD8F3-6071-4DAD-949F-1F808570D91B}"/>
    <hyperlink ref="C7657" r:id="rId7652" display="https://pld.live/RapDetail.aspx?STONELIST=924850243&amp;ISCONFIRM=0" xr:uid="{C8E44CD8-4EF7-4E6E-87D1-F208A79166EA}"/>
    <hyperlink ref="C7658" r:id="rId7653" display="https://pld.live/RapDetail.aspx?STONELIST=941260978&amp;ISCONFIRM=0" xr:uid="{DB8E0DDF-3973-4082-9649-4B77077C958C}"/>
    <hyperlink ref="C7659" r:id="rId7654" display="https://pld.live/RapDetail.aspx?STONELIST=941260706&amp;ISCONFIRM=0" xr:uid="{2A180DCD-2905-41A6-8323-597E8F4AE223}"/>
    <hyperlink ref="C7660" r:id="rId7655" display="https://pld.live/RapDetail.aspx?STONELIST=941260443&amp;ISCONFIRM=0" xr:uid="{BC50BCF1-931A-4ADE-B9D4-ACAF0591A86A}"/>
    <hyperlink ref="C7661" r:id="rId7656" display="https://pld.live/RapDetail.aspx?STONELIST=941170342&amp;ISCONFIRM=0" xr:uid="{2DC9BEEC-5EC7-4F37-A400-AE5D7D0ED316}"/>
    <hyperlink ref="C7662" r:id="rId7657" display="https://pld.live/RapDetail.aspx?STONELIST=941261085&amp;ISCONFIRM=0" xr:uid="{470B0328-EAA4-4167-A2FC-B0D7572699E0}"/>
    <hyperlink ref="C7663" r:id="rId7658" display="https://pld.live/RapDetail.aspx?STONELIST=941260509&amp;ISCONFIRM=0" xr:uid="{F232AC3A-9CB6-4EB1-985F-673ACDDF08F3}"/>
    <hyperlink ref="C7664" r:id="rId7659" display="https://pld.live/RapDetail.aspx?STONELIST=941170274&amp;ISCONFIRM=0" xr:uid="{99D15E26-67CC-4AC8-91A1-39C8A6ECFB96}"/>
    <hyperlink ref="C7665" r:id="rId7660" display="https://pld.live/RapDetail.aspx?STONELIST=941170035&amp;ISCONFIRM=0" xr:uid="{C215F0E4-FB5F-4479-A1C0-216B7BDF576F}"/>
    <hyperlink ref="C7666" r:id="rId7661" display="https://pld.live/RapDetail.aspx?STONELIST=941261088&amp;ISCONFIRM=0" xr:uid="{53F5C428-FDBD-4BA3-9742-D5D87E3A12AC}"/>
    <hyperlink ref="C7667" r:id="rId7662" display="https://pld.live/RapDetail.aspx?STONELIST=941170036&amp;ISCONFIRM=0" xr:uid="{70C23BF6-4629-4859-B186-30EDD222A0A1}"/>
    <hyperlink ref="C7668" r:id="rId7663" display="https://pld.live/RapDetail.aspx?STONELIST=941170086&amp;ISCONFIRM=0" xr:uid="{CEF2B30F-E156-44D7-96D6-552DE54A87CC}"/>
    <hyperlink ref="C7669" r:id="rId7664" display="https://pld.live/RapDetail.aspx?STONELIST=941261094&amp;ISCONFIRM=0" xr:uid="{E89260A0-D860-464B-B7A0-B90C43AA15DA}"/>
    <hyperlink ref="C7670" r:id="rId7665" display="https://pld.live/RapDetail.aspx?STONELIST=941260467&amp;ISCONFIRM=0" xr:uid="{B7D8B7B7-D632-4203-8AFF-1A1967B168A9}"/>
    <hyperlink ref="C7671" r:id="rId7666" display="https://pld.live/RapDetail.aspx?STONELIST=941261077&amp;ISCONFIRM=0" xr:uid="{52BEECCD-ADA3-4424-8934-8958BF1C79DF}"/>
    <hyperlink ref="C7672" r:id="rId7667" display="https://pld.live/RapDetail.aspx?STONELIST=941190062&amp;ISCONFIRM=0" xr:uid="{11A49D41-FF5A-42C5-85FF-BA478CDAA13B}"/>
    <hyperlink ref="C7673" r:id="rId7668" display="https://pld.live/RapDetail.aspx?STONELIST=941260638&amp;ISCONFIRM=0" xr:uid="{546254EC-450C-4F80-8BDD-25BC4F9A0F11}"/>
    <hyperlink ref="C7674" r:id="rId7669" display="https://pld.live/RapDetail.aspx?STONELIST=831010857&amp;ISCONFIRM=0" xr:uid="{D6EF3E2E-BF5F-41FA-93AD-7017A4B12C0A}"/>
    <hyperlink ref="C7675" r:id="rId7670" display="https://pld.live/RapDetail.aspx?STONELIST=941170054&amp;ISCONFIRM=0" xr:uid="{FCC9D45F-14EB-425C-9A5E-5C843A0594DA}"/>
    <hyperlink ref="C7676" r:id="rId7671" display="https://pld.live/RapDetail.aspx?STONELIST=941170285&amp;ISCONFIRM=0" xr:uid="{6B9F6395-586B-4094-8464-483F185A121E}"/>
    <hyperlink ref="C7677" r:id="rId7672" display="https://pld.live/RapDetail.aspx?STONELIST=941261116&amp;ISCONFIRM=0" xr:uid="{07023D09-138D-414B-8DE0-37688907A773}"/>
    <hyperlink ref="C7678" r:id="rId7673" display="https://pld.live/RapDetail.aspx?STONELIST=941261121&amp;ISCONFIRM=0" xr:uid="{A502C2D0-0218-4FFA-8E5E-71F97AB5203F}"/>
    <hyperlink ref="C7679" r:id="rId7674" display="https://pld.live/RapDetail.aspx?STONELIST=941261081&amp;ISCONFIRM=0" xr:uid="{465BCB9A-0EAA-444B-81E4-D263513A73FC}"/>
    <hyperlink ref="C7680" r:id="rId7675" display="https://pld.live/RapDetail.aspx?STONELIST=941261095&amp;ISCONFIRM=0" xr:uid="{D021FB1D-BFE3-4845-AD93-7BE700709D43}"/>
    <hyperlink ref="C7681" r:id="rId7676" display="https://pld.live/RapDetail.aspx?STONELIST=941261127&amp;ISCONFIRM=0" xr:uid="{1DAFBF92-861B-4B90-A7CE-81B0C4B46FA7}"/>
    <hyperlink ref="C7682" r:id="rId7677" display="https://pld.live/RapDetail.aspx?STONELIST=941261117&amp;ISCONFIRM=0" xr:uid="{248CB0FE-806A-4F27-8842-DE687B3177D8}"/>
    <hyperlink ref="C7683" r:id="rId7678" display="https://pld.live/RapDetail.aspx?STONELIST=941261137&amp;ISCONFIRM=0" xr:uid="{CAE8DACE-9FE7-443D-BD40-41B583913DE5}"/>
    <hyperlink ref="C7684" r:id="rId7679" display="https://pld.live/RapDetail.aspx?STONELIST=941190345&amp;ISCONFIRM=0" xr:uid="{C64C606F-5A82-4880-BA83-5D49B91AC018}"/>
    <hyperlink ref="C7685" r:id="rId7680" display="https://pld.live/RapDetail.aspx?STONELIST=941270793&amp;ISCONFIRM=0" xr:uid="{5E3F715C-C4C2-48CE-A3C7-E944945942D9}"/>
    <hyperlink ref="C7686" r:id="rId7681" display="https://pld.live/RapDetail.aspx?STONELIST=941270786&amp;ISCONFIRM=0" xr:uid="{C0877468-2C91-474C-A953-39F9A27D43E5}"/>
    <hyperlink ref="C7687" r:id="rId7682" display="https://pld.live/RapDetail.aspx?STONELIST=941270802&amp;ISCONFIRM=0" xr:uid="{E4801A1F-6E76-4CF2-8026-426B539C35F4}"/>
    <hyperlink ref="C7688" r:id="rId7683" display="https://pld.live/RapDetail.aspx?STONELIST=941270791&amp;ISCONFIRM=0" xr:uid="{F286E1B4-8B03-40EC-9F79-37E0FEE19A7B}"/>
    <hyperlink ref="C7689" r:id="rId7684" display="https://pld.live/RapDetail.aspx?STONELIST=941270787&amp;ISCONFIRM=0" xr:uid="{525B494E-AD77-44BD-A9A1-AE85088ACF95}"/>
    <hyperlink ref="C7690" r:id="rId7685" display="https://pld.live/RapDetail.aspx?STONELIST=941270805&amp;ISCONFIRM=0" xr:uid="{FA29CB11-A5AD-4290-9D62-E234C0BDF8DD}"/>
    <hyperlink ref="C7691" r:id="rId7686" display="https://pld.live/RapDetail.aspx?STONELIST=941270777&amp;ISCONFIRM=0" xr:uid="{6A0442BE-9190-4ED3-9EF4-348D4E196ECA}"/>
    <hyperlink ref="C7692" r:id="rId7687" display="https://pld.live/RapDetail.aspx?STONELIST=941270816&amp;ISCONFIRM=0" xr:uid="{059D707C-E2F6-4944-A51B-8DA48E396DB2}"/>
    <hyperlink ref="C7693" r:id="rId7688" display="https://pld.live/RapDetail.aspx?STONELIST=941270783&amp;ISCONFIRM=0" xr:uid="{BA473789-F45A-4F85-BE2A-9A8CFF1012E4}"/>
    <hyperlink ref="C7694" r:id="rId7689" display="https://pld.live/RapDetail.aspx?STONELIST=941261104&amp;ISCONFIRM=0" xr:uid="{0F414CBE-6CD3-4B78-BEF9-5CD502EBA7B7}"/>
    <hyperlink ref="C7695" r:id="rId7690" display="https://pld.live/RapDetail.aspx?STONELIST=941261113&amp;ISCONFIRM=0" xr:uid="{42D08ABB-37A4-4BAF-AC36-B6F9E5078C78}"/>
    <hyperlink ref="C7696" r:id="rId7691" display="https://pld.live/RapDetail.aspx?STONELIST=941270772&amp;ISCONFIRM=0" xr:uid="{05AA87B4-AEDC-4558-8816-2709CAACF88A}"/>
    <hyperlink ref="C7697" r:id="rId7692" display="https://pld.live/RapDetail.aspx?STONELIST=941261092&amp;ISCONFIRM=0" xr:uid="{C7188316-4E62-4A29-8A59-C5EBBCF66346}"/>
    <hyperlink ref="C7698" r:id="rId7693" display="https://pld.live/RapDetail.aspx?STONELIST=941270782&amp;ISCONFIRM=0" xr:uid="{545AAA24-A058-4328-A193-5B1B2F52476C}"/>
    <hyperlink ref="C7699" r:id="rId7694" display="https://pld.live/RapDetail.aspx?STONELIST=941260730&amp;ISCONFIRM=0" xr:uid="{51076E40-D49C-4ACF-BA01-8C827A3245FD}"/>
    <hyperlink ref="C7700" r:id="rId7695" display="https://pld.live/RapDetail.aspx?STONELIST=941270784&amp;ISCONFIRM=0" xr:uid="{47C8A112-14C2-4BD7-844E-8E86B819948C}"/>
    <hyperlink ref="C7701" r:id="rId7696" display="https://pld.live/RapDetail.aspx?STONELIST=941270771&amp;ISCONFIRM=0" xr:uid="{FA33D52A-0918-4F48-8C0D-76D9DDF5D49E}"/>
    <hyperlink ref="C7702" r:id="rId7697" display="https://pld.live/RapDetail.aspx?STONELIST=941270767&amp;ISCONFIRM=0" xr:uid="{47139C6B-4B35-4397-9F0B-72A8EFDA7635}"/>
    <hyperlink ref="C7703" r:id="rId7698" display="https://pld.live/RapDetail.aspx?STONELIST=941270801&amp;ISCONFIRM=0" xr:uid="{A32C5818-B4EC-4251-AE93-173A4BA04D9A}"/>
    <hyperlink ref="C7704" r:id="rId7699" display="https://pld.live/RapDetail.aspx?STONELIST=941270457&amp;ISCONFIRM=0" xr:uid="{86044278-3D14-47DE-8008-3FAD355AA3C4}"/>
    <hyperlink ref="C7705" r:id="rId7700" display="https://pld.live/RapDetail.aspx?STONELIST=941261109&amp;ISCONFIRM=0" xr:uid="{F1333094-C9BE-4C66-A3F6-841FA60EDE8C}"/>
    <hyperlink ref="C7706" r:id="rId7701" display="https://pld.live/RapDetail.aspx?STONELIST=941270794&amp;ISCONFIRM=0" xr:uid="{3DB868CC-7A0A-4807-B065-F9CAA83088BD}"/>
    <hyperlink ref="C7707" r:id="rId7702" display="https://pld.live/RapDetail.aspx?STONELIST=941261125&amp;ISCONFIRM=0" xr:uid="{DBC1E354-BDE4-4CC7-AC35-25080ACD44E7}"/>
    <hyperlink ref="C7708" r:id="rId7703" display="https://pld.live/RapDetail.aspx?STONELIST=941270769&amp;ISCONFIRM=0" xr:uid="{C60A968B-ED06-4F82-A0E4-740BB2C4ACE4}"/>
    <hyperlink ref="C7709" r:id="rId7704" display="https://pld.live/RapDetail.aspx?STONELIST=941270806&amp;ISCONFIRM=0" xr:uid="{A4BD3157-D0A6-4257-882A-3410C5842D10}"/>
    <hyperlink ref="C7710" r:id="rId7705" display="https://pld.live/RapDetail.aspx?STONELIST=941270778&amp;ISCONFIRM=0" xr:uid="{D7090E74-2EB8-4B32-A5D9-C2B05D952989}"/>
    <hyperlink ref="C7711" r:id="rId7706" display="https://pld.live/RapDetail.aspx?STONELIST=941270776&amp;ISCONFIRM=0" xr:uid="{BCA2C3DC-0A5A-403E-96BC-5CBFEDB120C1}"/>
    <hyperlink ref="C7712" r:id="rId7707" display="https://pld.live/RapDetail.aspx?STONELIST=9412700820&amp;ISCONFIRM=0" xr:uid="{4C976362-651A-4EDF-9A6D-FF0010E74F20}"/>
    <hyperlink ref="C7713" r:id="rId7708" display="https://pld.live/RapDetail.aspx?STONELIST=941270795&amp;ISCONFIRM=0" xr:uid="{70E1F54B-C7A2-4922-8B96-30EB49FD9B7A}"/>
    <hyperlink ref="C7714" r:id="rId7709" display="https://pld.live/RapDetail.aspx?STONELIST=941270768&amp;ISCONFIRM=0" xr:uid="{E49F4CE4-1D5E-46C7-9067-FD7428393602}"/>
    <hyperlink ref="C7715" r:id="rId7710" display="https://pld.live/RapDetail.aspx?STONELIST=941270815&amp;ISCONFIRM=0" xr:uid="{AF0652A1-BA8B-4E5F-AAF5-AE03017D7FE6}"/>
    <hyperlink ref="C7716" r:id="rId7711" display="https://pld.live/RapDetail.aspx?STONELIST=926820122&amp;ISCONFIRM=0" xr:uid="{69BE012C-F29F-4366-9BE7-FA058ECE0ECB}"/>
    <hyperlink ref="C7717" r:id="rId7712" display="https://pld.live/RapDetail.aspx?STONELIST=926820093&amp;ISCONFIRM=0" xr:uid="{53E5BC86-F81E-4A5E-B16E-E3533017FED5}"/>
    <hyperlink ref="C7718" r:id="rId7713" display="https://pld.live/RapDetail.aspx?STONELIST=926780074&amp;ISCONFIRM=0" xr:uid="{8C7FE15F-5A02-4921-B878-C4758F3898B0}"/>
    <hyperlink ref="C7719" r:id="rId7714" display="https://pld.live/RapDetail.aspx?STONELIST=926780092&amp;ISCONFIRM=0" xr:uid="{5BE030A5-40F5-4B26-AE64-A7A697A6C1F8}"/>
    <hyperlink ref="C7720" r:id="rId7715" display="https://pld.live/RapDetail.aspx?STONELIST=926780075&amp;ISCONFIRM=0" xr:uid="{A719F48D-1067-4223-BD8D-FC0277349D63}"/>
    <hyperlink ref="C7721" r:id="rId7716" display="https://pld.live/RapDetail.aspx?STONELIST=926820121&amp;ISCONFIRM=0" xr:uid="{8E8C8F73-5D1C-4327-BBB6-C21E826AE1AA}"/>
    <hyperlink ref="C7722" r:id="rId7717" display="https://pld.live/RapDetail.aspx?STONELIST=926820124&amp;ISCONFIRM=0" xr:uid="{C648978C-8707-4355-82CA-7D88550CD599}"/>
    <hyperlink ref="C7723" r:id="rId7718" display="https://pld.live/RapDetail.aspx?STONELIST=926560385&amp;ISCONFIRM=0" xr:uid="{C713C57A-F1A4-4C8A-8AE0-522D89C4E352}"/>
    <hyperlink ref="C7724" r:id="rId7719" display="https://pld.live/RapDetail.aspx?STONELIST=925930288&amp;ISCONFIRM=0" xr:uid="{E4185395-2B21-451B-8EAF-BDC7DEE21E33}"/>
    <hyperlink ref="C7725" r:id="rId7720" display="https://pld.live/RapDetail.aspx?STONELIST=926470426&amp;ISCONFIRM=0" xr:uid="{8F830707-FE46-4498-B6F1-66FC4E47FD41}"/>
    <hyperlink ref="C7726" r:id="rId7721" display="https://pld.live/RapDetail.aspx?STONELIST=927120151&amp;ISCONFIRM=0" xr:uid="{85F2829F-1893-488F-8FF8-82ECA95EB52A}"/>
    <hyperlink ref="C7727" r:id="rId7722" display="https://pld.live/RapDetail.aspx?STONELIST=927120041&amp;ISCONFIRM=0" xr:uid="{651859D7-D096-4619-897B-5FB3D6A89FB6}"/>
    <hyperlink ref="C7728" r:id="rId7723" display="https://pld.live/RapDetail.aspx?STONELIST=926470439&amp;ISCONFIRM=0" xr:uid="{B0F11E82-C6D8-478C-AF1E-2764A403F3BA}"/>
    <hyperlink ref="C7729" r:id="rId7724" display="https://pld.live/RapDetail.aspx?STONELIST=926420456&amp;ISCONFIRM=0" xr:uid="{652FC5E3-A233-42BD-9BF5-EB8F657372CB}"/>
    <hyperlink ref="C7730" r:id="rId7725" display="https://pld.live/RapDetail.aspx?STONELIST=831020586&amp;ISCONFIRM=0" xr:uid="{D3FEB582-B463-4FF9-9094-C65D6DA4F81F}"/>
    <hyperlink ref="C7731" r:id="rId7726" display="https://pld.live/RapDetail.aspx?STONELIST=924380180&amp;ISCONFIRM=0" xr:uid="{7878F837-0E3D-4407-8D11-14D000DCA93D}"/>
    <hyperlink ref="C7732" r:id="rId7727" display="https://pld.live/RapDetail.aspx?STONELIST=924510173&amp;ISCONFIRM=0" xr:uid="{6E8683C8-F9DE-4CD8-8BDD-01D9EAF3DB90}"/>
    <hyperlink ref="C7733" r:id="rId7728" display="https://pld.live/RapDetail.aspx?STONELIST=925710187&amp;ISCONFIRM=0" xr:uid="{DC2E668E-C437-46CC-96C5-60A71C73182D}"/>
    <hyperlink ref="C7734" r:id="rId7729" display="https://pld.live/RapDetail.aspx?STONELIST=927170009&amp;ISCONFIRM=0" xr:uid="{FD7ECA6E-4B49-4045-88AE-CDDDE76CB653}"/>
    <hyperlink ref="C7735" r:id="rId7730" display="https://pld.live/RapDetail.aspx?STONELIST=927120032&amp;ISCONFIRM=0" xr:uid="{23587343-4773-4CF3-B193-B16B88160D1D}"/>
    <hyperlink ref="C7736" r:id="rId7731" display="https://pld.live/RapDetail.aspx?STONELIST=926560206&amp;ISCONFIRM=0" xr:uid="{F211C355-42F6-46D1-A815-5DD6F8B631D3}"/>
    <hyperlink ref="C7737" r:id="rId7732" display="https://pld.live/RapDetail.aspx?STONELIST=941380305&amp;ISCONFIRM=0" xr:uid="{B5DE6419-2617-4A78-8F51-3F18028C782C}"/>
    <hyperlink ref="C7738" r:id="rId7733" display="https://pld.live/RapDetail.aspx?STONELIST=926560183&amp;ISCONFIRM=0" xr:uid="{B3064EC3-17C0-4BD3-A166-ADD1399B7A46}"/>
    <hyperlink ref="C7739" r:id="rId7734" display="https://pld.live/RapDetail.aspx?STONELIST=926380212&amp;ISCONFIRM=0" xr:uid="{1796A0E9-5DDA-4FCD-A952-28BF8C4E8C45}"/>
    <hyperlink ref="C7740" r:id="rId7735" display="https://pld.live/RapDetail.aspx?STONELIST=924190250&amp;ISCONFIRM=0" xr:uid="{254280BC-DD76-4691-B7BC-97494EC907FF}"/>
    <hyperlink ref="C7741" r:id="rId7736" display="https://pld.live/RapDetail.aspx?STONELIST=941330513&amp;ISCONFIRM=0" xr:uid="{C58596A7-F873-4C37-8ED7-1F4191DA8CFA}"/>
    <hyperlink ref="C7742" r:id="rId7737" display="https://pld.live/RapDetail.aspx?STONELIST=926860066&amp;ISCONFIRM=0" xr:uid="{DD2A7035-D1BC-4C25-BED3-38646D30DCF4}"/>
    <hyperlink ref="C7743" r:id="rId7738" display="https://pld.live/RapDetail.aspx?STONELIST=925660200&amp;ISCONFIRM=0" xr:uid="{B883A3E2-E23B-4C3C-9492-EF1B6BBCE5F8}"/>
    <hyperlink ref="C7744" r:id="rId7739" display="https://pld.live/RapDetail.aspx?STONELIST=831020660&amp;ISCONFIRM=0" xr:uid="{1C8E96E5-36CA-4C27-BDFD-0E7DB25505C1}"/>
    <hyperlink ref="C7745" r:id="rId7740" display="https://pld.live/RapDetail.aspx?STONELIST=926450303&amp;ISCONFIRM=0" xr:uid="{98FEC1C3-D7A5-45D4-926C-1A6556FC38EB}"/>
    <hyperlink ref="C7746" r:id="rId7741" display="https://pld.live/RapDetail.aspx?STONELIST=831020740&amp;ISCONFIRM=0" xr:uid="{8926580C-BA3D-4E02-8290-687246A08BBA}"/>
    <hyperlink ref="C7747" r:id="rId7742" display="https://pld.live/RapDetail.aspx?STONELIST=925820223&amp;ISCONFIRM=0" xr:uid="{58E37100-FD07-4478-9C10-8B421AD410A1}"/>
    <hyperlink ref="C7748" r:id="rId7743" display="https://pld.live/RapDetail.aspx?STONELIST=926850106&amp;ISCONFIRM=0" xr:uid="{783EF6EF-C644-44DA-B521-535C662728F9}"/>
    <hyperlink ref="C7749" r:id="rId7744" display="https://pld.live/RapDetail.aspx?STONELIST=927000590&amp;ISCONFIRM=0" xr:uid="{5FB9EC19-91A1-4BB9-A056-9BD31ED6A67E}"/>
    <hyperlink ref="C7750" r:id="rId7745" display="https://pld.live/RapDetail.aspx?STONELIST=924250222&amp;ISCONFIRM=0" xr:uid="{72757095-A938-4C44-B29C-28F870E51B37}"/>
    <hyperlink ref="C7751" r:id="rId7746" display="https://pld.live/RapDetail.aspx?STONELIST=831020628&amp;ISCONFIRM=0" xr:uid="{BE08F3AA-E531-4A91-80F3-CE2530BFFB39}"/>
    <hyperlink ref="C7752" r:id="rId7747" display="https://pld.live/RapDetail.aspx?STONELIST=926380279&amp;ISCONFIRM=0" xr:uid="{D1F1EB25-28F3-47FC-9BF7-643FC7787330}"/>
    <hyperlink ref="C7753" r:id="rId7748" display="https://pld.live/RapDetail.aspx?STONELIST=926360231&amp;ISCONFIRM=0" xr:uid="{CBC3CBF0-C353-4F40-AD98-3D2DD21DCA11}"/>
    <hyperlink ref="C7754" r:id="rId7749" display="https://pld.live/RapDetail.aspx?STONELIST=926930847&amp;ISCONFIRM=0" xr:uid="{74FF1472-2665-477A-80A6-39E81D7EF774}"/>
    <hyperlink ref="C7755" r:id="rId7750" display="https://pld.live/RapDetail.aspx?STONELIST=926030042&amp;ISCONFIRM=0" xr:uid="{2259E944-E866-4B1B-B001-13D2DD56EF69}"/>
    <hyperlink ref="C7756" r:id="rId7751" display="https://pld.live/RapDetail.aspx?STONELIST=924940101&amp;ISCONFIRM=0" xr:uid="{1BAC69FC-52E3-457A-89FD-6BB8BD83D310}"/>
    <hyperlink ref="C7757" r:id="rId7752" display="https://pld.live/RapDetail.aspx?STONELIST=926470188&amp;ISCONFIRM=0" xr:uid="{CF5425C3-31F7-490D-B24B-BF9257E9B3C6}"/>
    <hyperlink ref="C7758" r:id="rId7753" display="https://pld.live/RapDetail.aspx?STONELIST=926010050&amp;ISCONFIRM=0" xr:uid="{DEBE3872-37F0-4384-AB10-8E51A646DA4E}"/>
    <hyperlink ref="C7759" r:id="rId7754" display="https://pld.live/RapDetail.aspx?STONELIST=941390602&amp;ISCONFIRM=0" xr:uid="{71E0D0FC-A4E7-4EF3-987A-1CA4FE01EB41}"/>
    <hyperlink ref="C7760" r:id="rId7755" display="https://pld.live/RapDetail.aspx?STONELIST=941390221&amp;ISCONFIRM=0" xr:uid="{3BE4E01B-2BC1-4DA9-A4C0-766BC1A82F6A}"/>
    <hyperlink ref="C7761" r:id="rId7756" display="https://pld.live/RapDetail.aspx?STONELIST=927000520&amp;ISCONFIRM=0" xr:uid="{D4213F04-F429-40FF-BACC-6973E15AF027}"/>
    <hyperlink ref="C7762" r:id="rId7757" display="https://pld.live/RapDetail.aspx?STONELIST=926540182&amp;ISCONFIRM=0" xr:uid="{B6C1D33C-93AD-476E-AAA7-226604C2D106}"/>
    <hyperlink ref="C7763" r:id="rId7758" display="https://pld.live/RapDetail.aspx?STONELIST=926470417&amp;ISCONFIRM=0" xr:uid="{EDF6CF07-493B-495F-A967-DAC806AFAE84}"/>
    <hyperlink ref="C7764" r:id="rId7759" display="https://pld.live/RapDetail.aspx?STONELIST=831020686&amp;ISCONFIRM=0" xr:uid="{0F31FFF3-1E2F-4479-993D-5A33BC168928}"/>
    <hyperlink ref="C7765" r:id="rId7760" display="https://pld.live/RapDetail.aspx?STONELIST=926470222&amp;ISCONFIRM=0" xr:uid="{0445A116-2B74-4183-9883-D51037BE40A0}"/>
    <hyperlink ref="C7766" r:id="rId7761" display="https://pld.live/RapDetail.aspx?STONELIST=925850007&amp;ISCONFIRM=0" xr:uid="{044A45C5-3149-4A1F-A03D-F864CF7A1218}"/>
    <hyperlink ref="C7767" r:id="rId7762" display="https://pld.live/RapDetail.aspx?STONELIST=925700166&amp;ISCONFIRM=0" xr:uid="{4D7364A5-ED82-4265-B431-C4100C628671}"/>
    <hyperlink ref="C7768" r:id="rId7763" display="https://pld.live/RapDetail.aspx?STONELIST=926930825&amp;ISCONFIRM=0" xr:uid="{7F28EA0D-AE0A-4018-8FD3-AC8D07C56E4C}"/>
    <hyperlink ref="C7769" r:id="rId7764" display="https://pld.live/RapDetail.aspx?STONELIST=926910147&amp;ISCONFIRM=0" xr:uid="{BED39B83-7778-4FCE-9E32-13ECB4CD4309}"/>
    <hyperlink ref="C7770" r:id="rId7765" display="https://pld.live/RapDetail.aspx?STONELIST=926631333&amp;ISCONFIRM=0" xr:uid="{FFDA0713-663C-40FE-B098-5E2B256E3EE8}"/>
    <hyperlink ref="C7771" r:id="rId7766" display="https://pld.live/RapDetail.aspx?STONELIST=924930084&amp;ISCONFIRM=0" xr:uid="{B793183E-E39D-4C6E-86B3-1CBE57093E90}"/>
    <hyperlink ref="C7772" r:id="rId7767" display="https://pld.live/RapDetail.aspx?STONELIST=926980682&amp;ISCONFIRM=0" xr:uid="{153378DA-66FF-41FA-9723-86CC5B7469D3}"/>
    <hyperlink ref="C7773" r:id="rId7768" display="https://pld.live/RapDetail.aspx?STONELIST=926540012&amp;ISCONFIRM=0" xr:uid="{551CA156-23D6-4217-A585-D62F21817E66}"/>
    <hyperlink ref="C7774" r:id="rId7769" display="https://pld.live/RapDetail.aspx?STONELIST=926010238&amp;ISCONFIRM=0" xr:uid="{38EC42A2-880A-4138-B876-8DE9821B7BA5}"/>
    <hyperlink ref="C7775" r:id="rId7770" display="https://pld.live/RapDetail.aspx?STONELIST=941390595&amp;ISCONFIRM=0" xr:uid="{A4131DCF-8562-473E-9945-27C7E62317A8}"/>
    <hyperlink ref="C7776" r:id="rId7771" display="https://pld.live/RapDetail.aspx?STONELIST=831020692&amp;ISCONFIRM=0" xr:uid="{AE00EE8F-F4D8-49E5-9DD5-5DD7374DC700}"/>
    <hyperlink ref="C7777" r:id="rId7772" display="https://pld.live/RapDetail.aspx?STONELIST=831020664&amp;ISCONFIRM=0" xr:uid="{F4A17F66-76CA-43F6-8692-D5D170F34B2E}"/>
    <hyperlink ref="C7778" r:id="rId7773" display="https://pld.live/RapDetail.aspx?STONELIST=831020691&amp;ISCONFIRM=0" xr:uid="{425A3AC2-7D74-4354-B295-EDDEF6E35A8A}"/>
    <hyperlink ref="C7779" r:id="rId7774" display="https://pld.live/RapDetail.aspx?STONELIST=926540049&amp;ISCONFIRM=0" xr:uid="{AA4A97C9-8584-45F5-A74B-E8B3F95EA614}"/>
    <hyperlink ref="C7780" r:id="rId7775" display="https://pld.live/RapDetail.aspx?STONELIST=924940289&amp;ISCONFIRM=0" xr:uid="{4F226B93-F56A-4A0D-ABDF-159E93E01F92}"/>
    <hyperlink ref="C7781" r:id="rId7776" display="https://pld.live/RapDetail.aspx?STONELIST=941120313&amp;ISCONFIRM=0" xr:uid="{ACE6B457-3BB3-4445-9E47-B0AD13AA1400}"/>
    <hyperlink ref="C7782" r:id="rId7777" display="https://pld.live/RapDetail.aspx?STONELIST=924590319&amp;ISCONFIRM=0" xr:uid="{47394EEA-D2B3-4571-BCE7-100B0D9A95C1}"/>
    <hyperlink ref="C7783" r:id="rId7778" display="https://pld.live/RapDetail.aspx?STONELIST=926930893&amp;ISCONFIRM=0" xr:uid="{B6FD53EC-7A8F-4BFA-9C4F-59D8894DE268}"/>
    <hyperlink ref="C7784" r:id="rId7779" display="https://pld.live/RapDetail.aspx?STONELIST=941080551&amp;ISCONFIRM=0" xr:uid="{63AE6659-0C21-416E-81B1-A9772F37FE3C}"/>
    <hyperlink ref="C7785" r:id="rId7780" display="https://pld.live/RapDetail.aspx?STONELIST=924590244&amp;ISCONFIRM=0" xr:uid="{F54C49DE-4857-4AB7-8DCC-9CD578FF462C}"/>
    <hyperlink ref="C7786" r:id="rId7781" display="https://pld.live/RapDetail.aspx?STONELIST=941050464&amp;ISCONFIRM=0" xr:uid="{B50C1802-6F8E-4C90-A378-FE93EDEAF7FB}"/>
    <hyperlink ref="C7787" r:id="rId7782" display="https://pld.live/RapDetail.aspx?STONELIST=924380315&amp;ISCONFIRM=0" xr:uid="{8D29FE66-E9B1-46B3-9954-1D5EF75FABBF}"/>
    <hyperlink ref="C7788" r:id="rId7783" display="https://pld.live/RapDetail.aspx?STONELIST=941370632&amp;ISCONFIRM=0" xr:uid="{FD0C963D-7D75-4222-A03C-39F125090974}"/>
    <hyperlink ref="C7789" r:id="rId7784" display="https://pld.live/RapDetail.aspx?STONELIST=941050238&amp;ISCONFIRM=0" xr:uid="{EF1B841B-7902-4909-A335-8DD18DDDA052}"/>
    <hyperlink ref="C7790" r:id="rId7785" display="https://pld.live/RapDetail.aspx?STONELIST=924930054&amp;ISCONFIRM=0" xr:uid="{A3987481-2CD9-4EBF-AC20-E73D20991A0E}"/>
    <hyperlink ref="C7791" r:id="rId7786" display="https://pld.live/RapDetail.aspx?STONELIST=926380204&amp;ISCONFIRM=0" xr:uid="{4D48BC48-8652-4348-BA26-39A07CDACC80}"/>
    <hyperlink ref="C7792" r:id="rId7787" display="https://pld.live/RapDetail.aspx?STONELIST=924410525&amp;ISCONFIRM=0" xr:uid="{6CC7C3A9-54D7-456C-9938-180492A841E6}"/>
    <hyperlink ref="C7793" r:id="rId7788" display="https://pld.live/RapDetail.aspx?STONELIST=926960798&amp;ISCONFIRM=0" xr:uid="{F89830C2-8F6C-4118-9459-19F250AC9A20}"/>
    <hyperlink ref="C7794" r:id="rId7789" display="https://pld.live/RapDetail.aspx?STONELIST=924620066&amp;ISCONFIRM=0" xr:uid="{0AF785AC-D1BC-4626-A880-E1DF0CABD042}"/>
    <hyperlink ref="C7795" r:id="rId7790" display="https://pld.live/RapDetail.aspx?STONELIST=926101487&amp;ISCONFIRM=0" xr:uid="{CE22142A-008F-43DF-B010-A07A7AB593C0}"/>
    <hyperlink ref="C7796" r:id="rId7791" display="https://pld.live/RapDetail.aspx?STONELIST=926101506&amp;ISCONFIRM=0" xr:uid="{D04E26A7-65A7-4B9D-9247-FC8EF90C552A}"/>
    <hyperlink ref="C7797" r:id="rId7792" display="https://pld.live/RapDetail.aspx?STONELIST=926050299&amp;ISCONFIRM=0" xr:uid="{5CB931B6-1A5B-4C77-A285-1170BB00CDE7}"/>
    <hyperlink ref="C7798" r:id="rId7793" display="https://pld.live/RapDetail.aspx?STONELIST=923380789&amp;ISCONFIRM=0" xr:uid="{AC8F0D13-820D-4E27-A7AF-FC27153F9633}"/>
    <hyperlink ref="C7799" r:id="rId7794" display="https://pld.live/RapDetail.aspx?STONELIST=926101165&amp;ISCONFIRM=0" xr:uid="{8C382F22-F860-40ED-9336-CC77FC0CB5A5}"/>
    <hyperlink ref="C7800" r:id="rId7795" display="https://pld.live/RapDetail.aspx?STONELIST=924930134&amp;ISCONFIRM=0" xr:uid="{CED548CD-B17D-405D-A5AE-D94D10B81F97}"/>
    <hyperlink ref="C7801" r:id="rId7796" display="https://pld.live/RapDetail.aspx?STONELIST=925551957&amp;ISCONFIRM=0" xr:uid="{E2F73A97-EAC1-47BF-86A5-C951A9354255}"/>
    <hyperlink ref="C7802" r:id="rId7797" display="https://pld.live/RapDetail.aspx?STONELIST=831010698&amp;ISCONFIRM=0" xr:uid="{05E17B66-4CC5-4172-B8A6-0A9C87E16480}"/>
    <hyperlink ref="C7803" r:id="rId7798" display="https://pld.live/RapDetail.aspx?STONELIST=925860728&amp;ISCONFIRM=0" xr:uid="{113D0B28-9340-47B6-B8C4-21D10CA010BD}"/>
    <hyperlink ref="C7804" r:id="rId7799" display="https://pld.live/RapDetail.aspx?STONELIST=924410545&amp;ISCONFIRM=0" xr:uid="{CA52EEFD-3079-4711-B021-B4C7FC6906DB}"/>
    <hyperlink ref="C7805" r:id="rId7800" display="https://pld.live/RapDetail.aspx?STONELIST=831020671&amp;ISCONFIRM=0" xr:uid="{6A309B56-3E9F-4B96-A523-22F7688B92B7}"/>
    <hyperlink ref="C7806" r:id="rId7801" display="https://pld.live/RapDetail.aspx?STONELIST=831010820&amp;ISCONFIRM=0" xr:uid="{8364AD4F-B193-4098-9F7D-661D7CD1272F}"/>
    <hyperlink ref="C7807" r:id="rId7802" display="https://pld.live/RapDetail.aspx?STONELIST=924380500&amp;ISCONFIRM=0" xr:uid="{9F80198E-FCD6-437F-BC90-B074C5ED6E64}"/>
    <hyperlink ref="C7808" r:id="rId7803" display="https://pld.live/RapDetail.aspx?STONELIST=927092204&amp;ISCONFIRM=0" xr:uid="{B14A7384-E6EB-4C0F-8712-9FF5C1F4258A}"/>
    <hyperlink ref="C7809" r:id="rId7804" display="https://pld.live/RapDetail.aspx?STONELIST=927151515&amp;ISCONFIRM=0" xr:uid="{998699BC-1176-4292-8B63-B7C306F3BE09}"/>
    <hyperlink ref="C7810" r:id="rId7805" display="https://pld.live/RapDetail.aspx?STONELIST=927151845&amp;ISCONFIRM=0" xr:uid="{0267014E-ADF8-47C8-AD4B-499FC103D154}"/>
    <hyperlink ref="C7811" r:id="rId7806" display="https://pld.live/RapDetail.aspx?STONELIST=927151764&amp;ISCONFIRM=0" xr:uid="{F9089236-8071-4631-BBBA-D82A1D80D8C7}"/>
    <hyperlink ref="C7812" r:id="rId7807" display="https://pld.live/RapDetail.aspx?STONELIST=941400462&amp;ISCONFIRM=0" xr:uid="{50815E03-66C3-45A6-82BF-7AD61936CE60}"/>
    <hyperlink ref="C7813" r:id="rId7808" display="https://pld.live/RapDetail.aspx?STONELIST=927092293&amp;ISCONFIRM=0" xr:uid="{08711AB0-647E-4476-B598-990048B55DA4}"/>
    <hyperlink ref="C7814" r:id="rId7809" display="https://pld.live/RapDetail.aspx?STONELIST=925730829&amp;ISCONFIRM=0" xr:uid="{1715FA12-4168-4806-82BF-F860DFC97416}"/>
    <hyperlink ref="C7815" r:id="rId7810" display="https://pld.live/RapDetail.aspx?STONELIST=927140355&amp;ISCONFIRM=0" xr:uid="{1E50ECE7-A772-480B-85B9-6130321D8DBA}"/>
    <hyperlink ref="C7816" r:id="rId7811" display="https://pld.live/RapDetail.aspx?STONELIST=925370471&amp;ISCONFIRM=0" xr:uid="{9DA7CC7C-E306-4E4E-828A-93BE4B399401}"/>
    <hyperlink ref="C7817" r:id="rId7812" display="https://pld.live/RapDetail.aspx?STONELIST=831010477&amp;ISCONFIRM=0" xr:uid="{F12AEDB7-6FEC-4BB8-BB08-ED5B726F90CD}"/>
    <hyperlink ref="C7818" r:id="rId7813" display="https://pld.live/RapDetail.aspx?STONELIST=927152809&amp;ISCONFIRM=0" xr:uid="{33DFA27B-8F02-42A5-A302-ACBF7D9F16A1}"/>
    <hyperlink ref="C7819" r:id="rId7814" display="https://pld.live/RapDetail.aspx?STONELIST=926972089&amp;ISCONFIRM=0" xr:uid="{DB71E376-8788-4264-AC02-36B2284B2B88}"/>
    <hyperlink ref="C7820" r:id="rId7815" display="https://pld.live/RapDetail.aspx?STONELIST=926972039&amp;ISCONFIRM=0" xr:uid="{75491629-A9B0-40E8-AE47-C1CA7F9889DC}"/>
    <hyperlink ref="C7821" r:id="rId7816" display="https://pld.live/RapDetail.aspx?STONELIST=831020181&amp;ISCONFIRM=0" xr:uid="{D85CDADB-8DD6-4CE8-BDA7-FC5111BB5021}"/>
    <hyperlink ref="C7822" r:id="rId7817" display="https://pld.live/RapDetail.aspx?STONELIST=831010819&amp;ISCONFIRM=0" xr:uid="{0285BDC6-5AA4-4AE3-9A09-C928B7468000}"/>
    <hyperlink ref="C7823" r:id="rId7818" display="https://pld.live/RapDetail.aspx?STONELIST=924150570&amp;ISCONFIRM=0" xr:uid="{8F3E4D0A-4C10-4426-BA7B-6CB2C2E8C3CA}"/>
    <hyperlink ref="C7824" r:id="rId7819" display="https://pld.live/RapDetail.aspx?STONELIST=925950833&amp;ISCONFIRM=0" xr:uid="{0279F027-8C4F-4E92-89F3-F6DF9BEB8304}"/>
    <hyperlink ref="C7825" r:id="rId7820" display="https://pld.live/RapDetail.aspx?STONELIST=925621550&amp;ISCONFIRM=0" xr:uid="{3F8F366E-F5BE-48BF-BF72-15EACF82FC80}"/>
    <hyperlink ref="C7826" r:id="rId7821" display="https://pld.live/RapDetail.aspx?STONELIST=926200414&amp;ISCONFIRM=0" xr:uid="{ACEF1B64-5B7B-4859-A7BF-465015955D63}"/>
    <hyperlink ref="C7827" r:id="rId7822" display="https://pld.live/RapDetail.aspx?STONELIST=927070619&amp;ISCONFIRM=0" xr:uid="{E6CB3CDA-956B-4D25-9141-ED064480A79C}"/>
    <hyperlink ref="C7828" r:id="rId7823" display="https://pld.live/RapDetail.aspx?STONELIST=925551815&amp;ISCONFIRM=0" xr:uid="{2EB91A9A-D8C0-49FD-A6A7-22240567AE27}"/>
    <hyperlink ref="C7829" r:id="rId7824" display="https://pld.live/RapDetail.aspx?STONELIST=926200296&amp;ISCONFIRM=0" xr:uid="{50E3009B-5285-4C52-9B19-7BCF76573DED}"/>
    <hyperlink ref="C7830" r:id="rId7825" display="https://pld.live/RapDetail.aspx?STONELIST=927131198&amp;ISCONFIRM=0" xr:uid="{E5440015-6030-4167-8C49-946C7BE24F58}"/>
    <hyperlink ref="C7831" r:id="rId7826" display="https://pld.live/RapDetail.aspx?STONELIST=926200153&amp;ISCONFIRM=0" xr:uid="{FCECBFC2-7534-417E-925B-CAC4E8A7C0E2}"/>
    <hyperlink ref="C7832" r:id="rId7827" display="https://pld.live/RapDetail.aspx?STONELIST=925951321&amp;ISCONFIRM=0" xr:uid="{0EBE725D-368F-4479-82F8-D6B7C0043EBC}"/>
    <hyperlink ref="C7833" r:id="rId7828" display="https://pld.live/RapDetail.aspx?STONELIST=926972136&amp;ISCONFIRM=0" xr:uid="{28A33D3D-D6DF-4D9C-889A-6686E5FCD758}"/>
    <hyperlink ref="C7834" r:id="rId7829" display="https://pld.live/RapDetail.aspx?STONELIST=926071753&amp;ISCONFIRM=0" xr:uid="{5893C08C-EDA9-4958-A6A6-9F62778249FD}"/>
    <hyperlink ref="C7835" r:id="rId7830" display="https://pld.live/RapDetail.aspx?STONELIST=925890464&amp;ISCONFIRM=0" xr:uid="{A73E85ED-FB57-43F5-88CE-072BD1D5DD02}"/>
    <hyperlink ref="C7836" r:id="rId7831" display="https://pld.live/RapDetail.aspx?STONELIST=925621950&amp;ISCONFIRM=0" xr:uid="{3B75D9A8-7E0B-437C-B848-110B22B9848C}"/>
    <hyperlink ref="C7837" r:id="rId7832" display="https://pld.live/RapDetail.aspx?STONELIST=925551927&amp;ISCONFIRM=0" xr:uid="{A366A045-4FDE-4A24-A088-162B030FDD99}"/>
    <hyperlink ref="C7838" r:id="rId7833" display="https://pld.live/RapDetail.aspx?STONELIST=925521870&amp;ISCONFIRM=0" xr:uid="{51DB5137-8478-48B1-8AB6-121A78894164}"/>
    <hyperlink ref="C7839" r:id="rId7834" display="https://pld.live/RapDetail.aspx?STONELIST=926581241&amp;ISCONFIRM=0" xr:uid="{97B0A50D-D869-4E35-AACF-6F838EFDF53F}"/>
    <hyperlink ref="C7840" r:id="rId7835" display="https://pld.live/RapDetail.aspx?STONELIST=924620096&amp;ISCONFIRM=0" xr:uid="{12B471A8-F656-4014-8109-66DDD3FA0E04}"/>
    <hyperlink ref="C7841" r:id="rId7836" display="https://pld.live/RapDetail.aspx?STONELIST=924290101&amp;ISCONFIRM=0" xr:uid="{320C46C6-E274-4E01-BAF4-BF4C8C61DEB2}"/>
    <hyperlink ref="C7842" r:id="rId7837" display="https://pld.live/RapDetail.aspx?STONELIST=925890654&amp;ISCONFIRM=0" xr:uid="{33C4A86F-0D58-4169-960E-955F2B4B09A5}"/>
    <hyperlink ref="C7843" r:id="rId7838" display="https://pld.live/RapDetail.aspx?STONELIST=924920263&amp;ISCONFIRM=0" xr:uid="{683F60CB-C8E9-45DB-BB93-AAFAF5E27980}"/>
    <hyperlink ref="C7844" r:id="rId7839" display="https://pld.live/RapDetail.aspx?STONELIST=925280350&amp;ISCONFIRM=0" xr:uid="{6E3CF477-1155-43DD-8A21-E2070501DC1D}"/>
    <hyperlink ref="C7845" r:id="rId7840" display="https://pld.live/RapDetail.aspx?STONELIST=926901081&amp;ISCONFIRM=0" xr:uid="{B240F8DB-DF01-4DC4-A494-86DE42BE8E8A}"/>
    <hyperlink ref="C7846" r:id="rId7841" display="https://pld.live/RapDetail.aspx?STONELIST=924290292&amp;ISCONFIRM=0" xr:uid="{C9B0D095-F77A-4A83-957E-57F8FA33B231}"/>
    <hyperlink ref="C7847" r:id="rId7842" display="https://pld.live/RapDetail.aspx?STONELIST=924690187&amp;ISCONFIRM=0" xr:uid="{5D66BD9B-B064-40EC-974E-10DD0D37EB00}"/>
    <hyperlink ref="C7848" r:id="rId7843" display="https://pld.live/RapDetail.aspx?STONELIST=831010737&amp;ISCONFIRM=0" xr:uid="{B9753549-2B87-41AB-8BD4-2C1F3D160B00}"/>
    <hyperlink ref="C7849" r:id="rId7844" display="https://pld.live/RapDetail.aspx?STONELIST=924290002&amp;ISCONFIRM=0" xr:uid="{FB6B1477-4205-44B9-8761-ECDB3EFA98B7}"/>
    <hyperlink ref="C7850" r:id="rId7845" display="https://pld.live/RapDetail.aspx?STONELIST=924690186&amp;ISCONFIRM=0" xr:uid="{03D0165C-6A7A-4FA7-A213-FF20E69860CA}"/>
    <hyperlink ref="C7851" r:id="rId7846" display="https://pld.live/RapDetail.aspx?STONELIST=924150692&amp;ISCONFIRM=0" xr:uid="{F782DCEB-83DF-4948-BE5B-4D46AF54F758}"/>
    <hyperlink ref="C7852" r:id="rId7847" display="https://pld.live/RapDetail.aspx?STONELIST=923400161&amp;ISCONFIRM=0" xr:uid="{F24C9AD0-3D83-46E4-A16E-5FD6D54E9B45}"/>
    <hyperlink ref="C7853" r:id="rId7848" display="https://pld.live/RapDetail.aspx?STONELIST=925721928&amp;ISCONFIRM=0" xr:uid="{CA0E0381-60E1-40AE-A690-5C905973C857}"/>
    <hyperlink ref="C7854" r:id="rId7849" display="https://pld.live/RapDetail.aspx?STONELIST=924700207&amp;ISCONFIRM=0" xr:uid="{432E15C3-02B4-444E-8248-EFCB18422D0C}"/>
    <hyperlink ref="C7855" r:id="rId7850" display="https://pld.live/RapDetail.aspx?STONELIST=926470257&amp;ISCONFIRM=0" xr:uid="{A50D7BA5-ACC6-409A-A22F-874C0154F2BA}"/>
    <hyperlink ref="C7856" r:id="rId7851" display="https://pld.live/RapDetail.aspx?STONELIST=924950377&amp;ISCONFIRM=0" xr:uid="{F4F8CD72-41DD-4894-BB56-2F061CC0B149}"/>
    <hyperlink ref="C7857" r:id="rId7852" display="https://pld.live/RapDetail.aspx?STONELIST=924590224&amp;ISCONFIRM=0" xr:uid="{E251415A-9404-4161-BCC9-CE4E547EED12}"/>
    <hyperlink ref="C7858" r:id="rId7853" display="https://pld.live/RapDetail.aspx?STONELIST=925300364&amp;ISCONFIRM=0" xr:uid="{A2B952C8-9A7E-4A3D-B99D-B49094AADB99}"/>
    <hyperlink ref="C7859" r:id="rId7854" display="https://pld.live/RapDetail.aspx?STONELIST=925300362&amp;ISCONFIRM=0" xr:uid="{F2FC0094-6182-4CC2-A451-3ACA431F5C25}"/>
    <hyperlink ref="C7860" r:id="rId7855" display="https://pld.live/RapDetail.aspx?STONELIST=925300361&amp;ISCONFIRM=0" xr:uid="{9BEA6797-DD38-4920-B729-605B06B9BDDC}"/>
    <hyperlink ref="C7861" r:id="rId7856" display="https://pld.live/RapDetail.aspx?STONELIST=925721483&amp;ISCONFIRM=0" xr:uid="{31EE0B18-21CD-41F9-8E5D-35777828BD07}"/>
    <hyperlink ref="C7862" r:id="rId7857" display="https://pld.live/RapDetail.aspx?STONELIST=926270771&amp;ISCONFIRM=0" xr:uid="{8EFEB5D4-3A9F-4913-B10F-92B5E8E101C6}"/>
    <hyperlink ref="C7863" r:id="rId7858" display="https://pld.live/RapDetail.aspx?STONELIST=821126913&amp;ISCONFIRM=0" xr:uid="{C5F510AF-278D-4D30-B49F-0EE1FA381A6C}"/>
    <hyperlink ref="C7864" r:id="rId7859" display="https://pld.live/RapDetail.aspx?STONELIST=926870878&amp;ISCONFIRM=0" xr:uid="{052DD60E-F3BD-48BB-B64A-796867B5DCC8}"/>
    <hyperlink ref="C7865" r:id="rId7860" display="https://pld.live/RapDetail.aspx?STONELIST=821126908&amp;ISCONFIRM=0" xr:uid="{F9C94B05-BA08-4EB3-B436-695DD3CD0410}"/>
    <hyperlink ref="C7866" r:id="rId7861" display="https://pld.live/RapDetail.aspx?STONELIST=821126888&amp;ISCONFIRM=0" xr:uid="{65011128-A928-49DC-8217-4D0629A2311D}"/>
    <hyperlink ref="C7867" r:id="rId7862" display="https://pld.live/RapDetail.aspx?STONELIST=821126906&amp;ISCONFIRM=0" xr:uid="{2D2DA399-7FA4-48F2-9ECC-ECAFADA46679}"/>
    <hyperlink ref="C7868" r:id="rId7863" display="https://pld.live/RapDetail.aspx?STONELIST=821126886&amp;ISCONFIRM=0" xr:uid="{A072DDC8-A007-4D04-8508-BC6508C3DB8E}"/>
    <hyperlink ref="C7869" r:id="rId7864" display="https://pld.live/RapDetail.aspx?STONELIST=926790337&amp;ISCONFIRM=0" xr:uid="{42C0E5A3-82EE-4533-B8B5-67DB6D1F9394}"/>
    <hyperlink ref="C7870" r:id="rId7865" display="https://pld.live/RapDetail.aspx?STONELIST=926840619&amp;ISCONFIRM=0" xr:uid="{4596F580-B965-465E-9BF2-10F6EFF4260F}"/>
    <hyperlink ref="C7871" r:id="rId7866" display="https://pld.live/RapDetail.aspx?STONELIST=926831109&amp;ISCONFIRM=0" xr:uid="{EAC994EA-A756-490A-8634-47F438B37DF5}"/>
    <hyperlink ref="C7872" r:id="rId7867" display="https://pld.live/RapDetail.aspx?STONELIST=926830911&amp;ISCONFIRM=0" xr:uid="{0749DF85-3486-457B-84BF-5BDFEFA43FD0}"/>
    <hyperlink ref="C7873" r:id="rId7868" display="https://pld.live/RapDetail.aspx?STONELIST=926841216&amp;ISCONFIRM=0" xr:uid="{D30C195A-EDF8-4FE0-BC17-103444CED657}"/>
    <hyperlink ref="C7874" r:id="rId7869" display="https://pld.live/RapDetail.aspx?STONELIST=926830960&amp;ISCONFIRM=0" xr:uid="{1D63A059-6E20-40E7-A9EF-FDE109E747BD}"/>
    <hyperlink ref="C7875" r:id="rId7870" display="https://pld.live/RapDetail.aspx?STONELIST=926841124&amp;ISCONFIRM=0" xr:uid="{CFDD102F-F5E4-48EF-8FAC-E87281E3C81E}"/>
    <hyperlink ref="C7876" r:id="rId7871" display="https://pld.live/RapDetail.aspx?STONELIST=821126903&amp;ISCONFIRM=0" xr:uid="{AF349CAE-C2AF-41DD-8716-EF12DA23DCC2}"/>
    <hyperlink ref="C7877" r:id="rId7872" display="https://pld.live/RapDetail.aspx?STONELIST=926790862&amp;ISCONFIRM=0" xr:uid="{2588A253-7C49-4D41-9B0D-E4A5C024CABD}"/>
    <hyperlink ref="C7878" r:id="rId7873" display="https://pld.live/RapDetail.aspx?STONELIST=926831025&amp;ISCONFIRM=0" xr:uid="{757833EA-5EEA-407E-9E7F-9BB346362984}"/>
    <hyperlink ref="C7879" r:id="rId7874" display="https://pld.live/RapDetail.aspx?STONELIST=926841183&amp;ISCONFIRM=0" xr:uid="{3474D47E-6AAF-4BAC-9DD1-2E5843F0D22C}"/>
    <hyperlink ref="C7880" r:id="rId7875" display="https://pld.live/RapDetail.aspx?STONELIST=926900932&amp;ISCONFIRM=0" xr:uid="{2D7330EE-95AF-46BE-9EB5-280692887381}"/>
    <hyperlink ref="C7881" r:id="rId7876" display="https://pld.live/RapDetail.aspx?STONELIST=926830912&amp;ISCONFIRM=0" xr:uid="{28260588-4AB2-492E-9280-CB7F5B284F16}"/>
    <hyperlink ref="C7882" r:id="rId7877" display="https://pld.live/RapDetail.aspx?STONELIST=926870829&amp;ISCONFIRM=0" xr:uid="{274044C3-0548-4C52-AA55-A9DBE1648F3D}"/>
    <hyperlink ref="C7883" r:id="rId7878" display="https://pld.live/RapDetail.aspx?STONELIST=821113609&amp;ISCONFIRM=0" xr:uid="{FF6E7064-F62A-438F-9B4F-993A4953245A}"/>
    <hyperlink ref="C7884" r:id="rId7879" display="https://pld.live/RapDetail.aspx?STONELIST=923820564&amp;ISCONFIRM=0" xr:uid="{22B5D425-F76E-43E9-B96C-D5EEA5DE740D}"/>
    <hyperlink ref="C7885" r:id="rId7880" display="https://pld.live/RapDetail.aspx?STONELIST=927130511&amp;ISCONFIRM=0" xr:uid="{69FCFFAF-52A6-40D7-9DBD-BA4FF96FADDA}"/>
    <hyperlink ref="C7886" r:id="rId7881" display="https://pld.live/RapDetail.aspx?STONELIST=941021266&amp;ISCONFIRM=0" xr:uid="{2E21EE27-A3AC-4451-AD6C-DBBE02D9AC37}"/>
    <hyperlink ref="C7887" r:id="rId7882" display="https://pld.live/RapDetail.aspx?STONELIST=927152456&amp;ISCONFIRM=0" xr:uid="{4A5C3123-DAFA-450E-BB8C-083918BB63BA}"/>
    <hyperlink ref="C7888" r:id="rId7883" display="https://pld.live/RapDetail.aspx?STONELIST=926841276&amp;ISCONFIRM=0" xr:uid="{2B75F176-074C-4BB4-A24A-73C0FAD35EBC}"/>
    <hyperlink ref="C7889" r:id="rId7884" display="https://pld.live/RapDetail.aspx?STONELIST=926270831&amp;ISCONFIRM=0" xr:uid="{EA9AC7AC-354B-468E-96DC-93633DDC21E6}"/>
    <hyperlink ref="C7890" r:id="rId7885" display="https://pld.live/RapDetail.aspx?STONELIST=926291366&amp;ISCONFIRM=0" xr:uid="{6B9FDAAF-BA22-42CB-8F66-4B6AC9FB0000}"/>
    <hyperlink ref="C7891" r:id="rId7886" display="https://pld.live/RapDetail.aspx?STONELIST=927131201&amp;ISCONFIRM=0" xr:uid="{E868C898-917A-46F7-9CF4-648338C3D8F0}"/>
    <hyperlink ref="C7892" r:id="rId7887" display="https://pld.live/RapDetail.aspx?STONELIST=924410355&amp;ISCONFIRM=0" xr:uid="{2BB1AE40-1BFC-42BD-99C8-AD943BE185B2}"/>
    <hyperlink ref="C7893" r:id="rId7888" display="https://pld.live/RapDetail.aspx?STONELIST=941070525&amp;ISCONFIRM=0" xr:uid="{54022E29-F09B-4136-8381-AB556AFE1DD1}"/>
    <hyperlink ref="C7894" r:id="rId7889" display="https://pld.live/RapDetail.aspx?STONELIST=927092316&amp;ISCONFIRM=0" xr:uid="{741689D8-C804-4153-B9FA-D10FBEFD64CB}"/>
    <hyperlink ref="C7895" r:id="rId7890" display="https://pld.live/RapDetail.aspx?STONELIST=927130837&amp;ISCONFIRM=0" xr:uid="{B2D196FB-1FFB-43FF-BC46-F6D289DACA8D}"/>
    <hyperlink ref="C7896" r:id="rId7891" display="https://pld.live/RapDetail.aspx?STONELIST=926870900&amp;ISCONFIRM=0" xr:uid="{78705FD7-1383-4403-B4CD-3E963DE7F55E}"/>
    <hyperlink ref="C7897" r:id="rId7892" display="https://pld.live/RapDetail.aspx?STONELIST=926900777&amp;ISCONFIRM=0" xr:uid="{BEAEAA4F-02A9-48E3-B9F0-453659DD48EC}"/>
    <hyperlink ref="C7898" r:id="rId7893" display="https://pld.live/RapDetail.aspx?STONELIST=941070869&amp;ISCONFIRM=0" xr:uid="{251E0082-0697-473E-A962-1597D4A62D36}"/>
    <hyperlink ref="C7899" r:id="rId7894" display="https://pld.live/RapDetail.aspx?STONELIST=941070922&amp;ISCONFIRM=0" xr:uid="{AC88E5E4-1AAD-429E-A539-ABB8FED8F840}"/>
    <hyperlink ref="C7900" r:id="rId7895" display="https://pld.live/RapDetail.aspx?STONELIST=941021652&amp;ISCONFIRM=0" xr:uid="{26AA5A81-7979-4408-B8FC-F3F10B470082}"/>
    <hyperlink ref="C7901" r:id="rId7896" display="https://pld.live/RapDetail.aspx?STONELIST=927092357&amp;ISCONFIRM=0" xr:uid="{86336482-97A6-4066-B6B0-A5110F2009B0}"/>
    <hyperlink ref="C7902" r:id="rId7897" display="https://pld.live/RapDetail.aspx?STONELIST=927151959&amp;ISCONFIRM=0" xr:uid="{AE3DAE39-9404-4ED7-B72A-D4EC58A0C012}"/>
    <hyperlink ref="C7903" r:id="rId7898" display="https://pld.live/RapDetail.aspx?STONELIST=926580112&amp;ISCONFIRM=0" xr:uid="{A6F66259-EA6F-4EBC-93B8-967581649F57}"/>
    <hyperlink ref="C7904" r:id="rId7899" display="https://pld.live/RapDetail.aspx?STONELIST=926901057&amp;ISCONFIRM=0" xr:uid="{E7E6FB48-77AD-4BEC-8026-B5B59287A348}"/>
    <hyperlink ref="C7905" r:id="rId7900" display="https://pld.live/RapDetail.aspx?STONELIST=926841123&amp;ISCONFIRM=0" xr:uid="{80D877F2-0A15-4D1A-BF2B-23DDEEE73BA1}"/>
    <hyperlink ref="C7906" r:id="rId7901" display="https://pld.live/RapDetail.aspx?STONELIST=926841195&amp;ISCONFIRM=0" xr:uid="{2FD704E1-0BDB-44CB-AD1D-F58E6BEDE060}"/>
    <hyperlink ref="C7907" r:id="rId7902" display="https://pld.live/RapDetail.aspx?STONELIST=926921355&amp;ISCONFIRM=0" xr:uid="{0132C912-D728-4538-B798-7B4EC9BABF20}"/>
    <hyperlink ref="C7908" r:id="rId7903" display="https://pld.live/RapDetail.aspx?STONELIST=926921433&amp;ISCONFIRM=0" xr:uid="{66F91927-AC87-49C7-A81A-D7B15EE9B341}"/>
    <hyperlink ref="C7909" r:id="rId7904" display="https://pld.live/RapDetail.aspx?STONELIST=926810638&amp;ISCONFIRM=0" xr:uid="{76E08A95-99C8-4DB4-AD7D-90DD85330784}"/>
    <hyperlink ref="C7910" r:id="rId7905" display="https://pld.live/RapDetail.aspx?STONELIST=927130796&amp;ISCONFIRM=0" xr:uid="{06DA04B2-8AC1-463E-AA92-1786E7190982}"/>
    <hyperlink ref="C7911" r:id="rId7906" display="https://pld.live/RapDetail.aspx?STONELIST=927150498&amp;ISCONFIRM=0" xr:uid="{0E53390B-F646-4A72-81A4-7319225CD5DB}"/>
    <hyperlink ref="C7912" r:id="rId7907" display="https://pld.live/RapDetail.aspx?STONELIST=941070748&amp;ISCONFIRM=0" xr:uid="{26A23531-AB65-4852-9A34-1E9C1E5052CB}"/>
    <hyperlink ref="C7913" r:id="rId7908" display="https://pld.live/RapDetail.aspx?STONELIST=927130289&amp;ISCONFIRM=0" xr:uid="{DC261BC2-53A0-4983-90BD-3337CC311C3C}"/>
    <hyperlink ref="C7914" r:id="rId7909" display="https://pld.live/RapDetail.aspx?STONELIST=927152621&amp;ISCONFIRM=0" xr:uid="{67285516-E921-4A93-8B98-8A91A99A0044}"/>
    <hyperlink ref="C7915" r:id="rId7910" display="https://pld.live/RapDetail.aspx?STONELIST=927052482&amp;ISCONFIRM=0" xr:uid="{87ABB4C1-ABF7-4D29-8ACE-CA32E102F307}"/>
    <hyperlink ref="C7916" r:id="rId7911" display="https://pld.live/RapDetail.aspx?STONELIST=941020790&amp;ISCONFIRM=0" xr:uid="{185493F8-AACE-4BD2-9C70-D5089DB360A7}"/>
    <hyperlink ref="C7917" r:id="rId7912" display="https://pld.live/RapDetail.aspx?STONELIST=941020748&amp;ISCONFIRM=0" xr:uid="{55C7AD88-FF1B-4BE6-AC17-453D4EFCC627}"/>
    <hyperlink ref="C7918" r:id="rId7913" display="https://pld.live/RapDetail.aspx?STONELIST=927092356&amp;ISCONFIRM=0" xr:uid="{13FE7D1A-ED3E-4E81-B2E4-B70470CCE184}"/>
    <hyperlink ref="C7919" r:id="rId7914" display="https://pld.live/RapDetail.aspx?STONELIST=926901088&amp;ISCONFIRM=0" xr:uid="{CCD58B26-E597-4A00-BFB5-5F9AD84B8B13}"/>
    <hyperlink ref="C7920" r:id="rId7915" display="https://pld.live/RapDetail.aspx?STONELIST=926840857&amp;ISCONFIRM=0" xr:uid="{39DC72B7-2EEA-43F0-BC56-E37FFD863923}"/>
    <hyperlink ref="C7921" r:id="rId7916" display="https://pld.live/RapDetail.aspx?STONELIST=926750639&amp;ISCONFIRM=0" xr:uid="{13BA042B-ED1F-4718-BC10-B26BBBD6D128}"/>
    <hyperlink ref="C7922" r:id="rId7917" display="https://pld.live/RapDetail.aspx?STONELIST=926810718&amp;ISCONFIRM=0" xr:uid="{FD5E54E4-2BC6-4B05-ABF9-7E23072F6986}"/>
    <hyperlink ref="C7923" r:id="rId7918" display="https://pld.live/RapDetail.aspx?STONELIST=927140270&amp;ISCONFIRM=0" xr:uid="{AFE8FFDE-F907-4183-9F7E-E8BCA4559863}"/>
    <hyperlink ref="C7924" r:id="rId7919" display="https://pld.live/RapDetail.aspx?STONELIST=926870944&amp;ISCONFIRM=0" xr:uid="{35C2FE87-7231-4814-96E7-AA94F9A96F1C}"/>
    <hyperlink ref="C7925" r:id="rId7920" display="https://pld.live/RapDetail.aspx?STONELIST=926830958&amp;ISCONFIRM=0" xr:uid="{E8AED3F4-7A36-45CB-8EC6-D13FB7B9B979}"/>
    <hyperlink ref="C7926" r:id="rId7921" display="https://pld.live/RapDetail.aspx?STONELIST=926311333&amp;ISCONFIRM=0" xr:uid="{F9B2E546-B1BB-42E5-985F-0E5866BF2864}"/>
    <hyperlink ref="C7927" r:id="rId7922" display="https://pld.live/RapDetail.aspx?STONELIST=926621089&amp;ISCONFIRM=0" xr:uid="{02E8D5FD-4DAB-4F6E-A8F9-59DD3EB788C2}"/>
    <hyperlink ref="C7928" r:id="rId7923" display="https://pld.live/RapDetail.aspx?STONELIST=926310835&amp;ISCONFIRM=0" xr:uid="{F7AD7B7F-7C7F-467E-B589-4B12582AD0C3}"/>
    <hyperlink ref="C7929" r:id="rId7924" display="https://pld.live/RapDetail.aspx?STONELIST=941040511&amp;ISCONFIRM=0" xr:uid="{C008C7DC-CF0D-4997-AD3B-E054949EDD2B}"/>
    <hyperlink ref="C7930" r:id="rId7925" display="https://pld.live/RapDetail.aspx?STONELIST=927151314&amp;ISCONFIRM=0" xr:uid="{A1498FC5-6C49-4C98-9231-69F6A8D418E7}"/>
    <hyperlink ref="C7931" r:id="rId7926" display="https://pld.live/RapDetail.aspx?STONELIST=927152562&amp;ISCONFIRM=0" xr:uid="{3EE5E653-8E97-48E6-B90F-CD72D5C88D0F}"/>
    <hyperlink ref="C7932" r:id="rId7927" display="https://pld.live/RapDetail.aspx?STONELIST=926841153&amp;ISCONFIRM=0" xr:uid="{3EAC576B-6C5F-4153-8227-ED053AB5AE8A}"/>
    <hyperlink ref="C7933" r:id="rId7928" display="https://pld.live/RapDetail.aspx?STONELIST=926841063&amp;ISCONFIRM=0" xr:uid="{840FA222-A413-48F6-895A-0ACED5EB9CEC}"/>
    <hyperlink ref="C7934" r:id="rId7929" display="https://pld.live/RapDetail.aspx?STONELIST=926840614&amp;ISCONFIRM=0" xr:uid="{BBD09BCA-F750-4752-BCB9-41FDB6C719D2}"/>
    <hyperlink ref="C7935" r:id="rId7930" display="https://pld.live/RapDetail.aspx?STONELIST=926830884&amp;ISCONFIRM=0" xr:uid="{4DEECD76-BD30-4638-BEF2-1786DBE9C84B}"/>
    <hyperlink ref="C7936" r:id="rId7931" display="https://pld.live/RapDetail.aspx?STONELIST=926921383&amp;ISCONFIRM=0" xr:uid="{EA4B4E4A-CEC4-4EF9-8A78-D2C1302AAB7A}"/>
    <hyperlink ref="C7937" r:id="rId7932" display="https://pld.live/RapDetail.aspx?STONELIST=926921384&amp;ISCONFIRM=0" xr:uid="{84CC58D0-7876-4346-ABD0-6B39D0FCBC05}"/>
    <hyperlink ref="C7938" r:id="rId7933" display="https://pld.live/RapDetail.aspx?STONELIST=926790347&amp;ISCONFIRM=0" xr:uid="{5E6E2480-E3DA-4111-86D9-CDF79984146C}"/>
    <hyperlink ref="C7939" r:id="rId7934" display="https://pld.live/RapDetail.aspx?STONELIST=926250085&amp;ISCONFIRM=0" xr:uid="{914DD82D-7CFE-4897-B894-6E925865FA2A}"/>
    <hyperlink ref="C7940" r:id="rId7935" display="https://pld.live/RapDetail.aspx?STONELIST=926900970&amp;ISCONFIRM=0" xr:uid="{BC9BFD11-973C-47FB-B147-3BA6C7459660}"/>
    <hyperlink ref="C7941" r:id="rId7936" display="https://pld.live/RapDetail.aspx?STONELIST=926270787&amp;ISCONFIRM=0" xr:uid="{F52C80AE-E42B-4739-A12C-17544F8662B0}"/>
    <hyperlink ref="C7942" r:id="rId7937" display="https://pld.live/RapDetail.aspx?STONELIST=926901049&amp;ISCONFIRM=0" xr:uid="{6378F330-A55B-4101-BCA6-96C44C814E8F}"/>
    <hyperlink ref="C7943" r:id="rId7938" display="https://pld.live/RapDetail.aspx?STONELIST=927150373&amp;ISCONFIRM=0" xr:uid="{1ED64BC3-7000-4C58-A9BE-EB0EAEDDDA44}"/>
    <hyperlink ref="C7944" r:id="rId7939" display="https://pld.live/RapDetail.aspx?STONELIST=941040129&amp;ISCONFIRM=0" xr:uid="{2E043A2C-0CDD-4787-83E5-AD9F84C9309A}"/>
    <hyperlink ref="C7945" r:id="rId7940" display="https://pld.live/RapDetail.aspx?STONELIST=927151164&amp;ISCONFIRM=0" xr:uid="{20060FBF-BF08-4F34-9C83-2F7BE62B5B3E}"/>
    <hyperlink ref="C7946" r:id="rId7941" display="https://pld.live/RapDetail.aspx?STONELIST=927130424&amp;ISCONFIRM=0" xr:uid="{1726377F-CCF1-44DB-BFA5-D1609C616F58}"/>
    <hyperlink ref="C7947" r:id="rId7942" display="https://pld.live/RapDetail.aspx?STONELIST=927130427&amp;ISCONFIRM=0" xr:uid="{8BBE11EA-3DB0-46FD-9B17-7B692A96534C}"/>
    <hyperlink ref="C7948" r:id="rId7943" display="https://pld.live/RapDetail.aspx?STONELIST=927151875&amp;ISCONFIRM=0" xr:uid="{35EF8AA1-0092-4E40-A463-6B4816A75B0A}"/>
    <hyperlink ref="C7949" r:id="rId7944" display="https://pld.live/RapDetail.aspx?STONELIST=927130716&amp;ISCONFIRM=0" xr:uid="{79F45B57-C84F-4967-8C14-8357B8F2482C}"/>
    <hyperlink ref="C7950" r:id="rId7945" display="https://pld.live/RapDetail.aspx?STONELIST=927052480&amp;ISCONFIRM=0" xr:uid="{207ED803-32BF-4722-A4F1-A38AAAED30FE}"/>
    <hyperlink ref="C7951" r:id="rId7946" display="https://pld.live/RapDetail.aspx?STONELIST=941070923&amp;ISCONFIRM=0" xr:uid="{4820A27C-567D-4ECC-9356-ADB4B7B838E7}"/>
    <hyperlink ref="C7952" r:id="rId7947" display="https://pld.live/RapDetail.aspx?STONELIST=926921395&amp;ISCONFIRM=0" xr:uid="{913B99D2-4E6E-4F7A-BF9A-8A9B0806A439}"/>
    <hyperlink ref="C7953" r:id="rId7948" display="https://pld.live/RapDetail.aspx?STONELIST=926921388&amp;ISCONFIRM=0" xr:uid="{E62EBE18-391A-488D-BB71-F68E217AE1E5}"/>
    <hyperlink ref="C7954" r:id="rId7949" display="https://pld.live/RapDetail.aspx?STONELIST=926900803&amp;ISCONFIRM=0" xr:uid="{B39E9052-6CAA-4172-AF23-AB44A2A6A9B4}"/>
    <hyperlink ref="C7955" r:id="rId7950" display="https://pld.live/RapDetail.aspx?STONELIST=927052497&amp;ISCONFIRM=0" xr:uid="{01AC942A-C530-4CA0-8331-A1EA019E2598}"/>
    <hyperlink ref="C7956" r:id="rId7951" display="https://pld.live/RapDetail.aspx?STONELIST=941070097&amp;ISCONFIRM=0" xr:uid="{28AB6DCA-E73E-4628-9A7F-54E7FE7CF426}"/>
    <hyperlink ref="C7957" r:id="rId7952" display="https://pld.live/RapDetail.aspx?STONELIST=941020796&amp;ISCONFIRM=0" xr:uid="{9748FD04-1F46-4189-98EB-81F204A9349A}"/>
    <hyperlink ref="C7958" r:id="rId7953" display="https://pld.live/RapDetail.aspx?STONELIST=927130754&amp;ISCONFIRM=0" xr:uid="{56252AB2-3543-4FBE-8238-2BFE2B5B0439}"/>
    <hyperlink ref="C7959" r:id="rId7954" display="https://pld.live/RapDetail.aspx?STONELIST=941070770&amp;ISCONFIRM=0" xr:uid="{CD34E0C7-53CC-4906-B8F5-4B29FF9A15DE}"/>
    <hyperlink ref="C7960" r:id="rId7955" display="https://pld.live/RapDetail.aspx?STONELIST=927092320&amp;ISCONFIRM=0" xr:uid="{FBCA0159-ABA6-4C50-94DC-C6D1088816FB}"/>
    <hyperlink ref="C7961" r:id="rId7956" display="https://pld.live/RapDetail.aspx?STONELIST=927140030&amp;ISCONFIRM=0" xr:uid="{033F2DF8-1278-41AD-9931-FCF36E19A532}"/>
    <hyperlink ref="C7962" r:id="rId7957" display="https://pld.live/RapDetail.aspx?STONELIST=941070401&amp;ISCONFIRM=0" xr:uid="{382C968A-636B-4792-A6A9-3E42B36F8652}"/>
    <hyperlink ref="C7963" r:id="rId7958" display="https://pld.live/RapDetail.aspx?STONELIST=831020717&amp;ISCONFIRM=0" xr:uid="{D3DFF2E0-C188-4185-A621-CCC013C1F9B0}"/>
    <hyperlink ref="C7964" r:id="rId7959" display="https://pld.live/RapDetail.aspx?STONELIST=926810619&amp;ISCONFIRM=0" xr:uid="{88F69558-D58B-49BB-8433-F7C5F0171AF8}"/>
    <hyperlink ref="C7965" r:id="rId7960" display="https://pld.live/RapDetail.aspx?STONELIST=926740859&amp;ISCONFIRM=0" xr:uid="{C4EB63B6-E4D8-4036-B23A-F0FEF22056A2}"/>
    <hyperlink ref="C7966" r:id="rId7961" display="https://pld.live/RapDetail.aspx?STONELIST=926871021&amp;ISCONFIRM=0" xr:uid="{BCE1ECEE-B038-453D-890A-8BB9F561C0F5}"/>
    <hyperlink ref="C7967" r:id="rId7962" display="https://pld.live/RapDetail.aspx?STONELIST=926291348&amp;ISCONFIRM=0" xr:uid="{717ADEF4-6AFC-40FC-BDFE-DF6770F7D686}"/>
    <hyperlink ref="C7968" r:id="rId7963" display="https://pld.live/RapDetail.aspx?STONELIST=941070055&amp;ISCONFIRM=0" xr:uid="{BA0CE69B-B092-4C4F-9935-3C0F0107B472}"/>
    <hyperlink ref="C7969" r:id="rId7964" display="https://pld.live/RapDetail.aspx?STONELIST=941070273&amp;ISCONFIRM=0" xr:uid="{DACB8605-4F12-480C-895C-5E0F153243BB}"/>
    <hyperlink ref="C7970" r:id="rId7965" display="https://pld.live/RapDetail.aspx?STONELIST=941070528&amp;ISCONFIRM=0" xr:uid="{8457BA72-E56D-4917-8F01-9A05CC575DE4}"/>
    <hyperlink ref="C7971" r:id="rId7966" display="https://pld.live/RapDetail.aspx?STONELIST=926760973&amp;ISCONFIRM=0" xr:uid="{E95B884B-9CE9-41CA-95B5-B4D088CA3874}"/>
    <hyperlink ref="C7972" r:id="rId7967" display="https://pld.live/RapDetail.aspx?STONELIST=926750823&amp;ISCONFIRM=0" xr:uid="{D1C2AF21-C33C-4AAA-A990-22E191468407}"/>
    <hyperlink ref="C7973" r:id="rId7968" display="https://pld.live/RapDetail.aspx?STONELIST=926870881&amp;ISCONFIRM=0" xr:uid="{F8FFE453-DE2A-4E29-AE14-784AB0AB8A51}"/>
    <hyperlink ref="C7974" r:id="rId7969" display="https://pld.live/RapDetail.aspx?STONELIST=941430726&amp;ISCONFIRM=0" xr:uid="{05C07CB7-A038-4D31-8FF3-EDA7ACDDD153}"/>
    <hyperlink ref="C7975" r:id="rId7970" display="https://pld.live/RapDetail.aspx?STONELIST=926841344&amp;ISCONFIRM=0" xr:uid="{830C6212-B2F3-4017-B91B-539CA006D109}"/>
    <hyperlink ref="C7976" r:id="rId7971" display="https://pld.live/RapDetail.aspx?STONELIST=927092137&amp;ISCONFIRM=0" xr:uid="{E4DE2CD6-AF6C-4012-96E0-FF671F45F80A}"/>
    <hyperlink ref="C7977" r:id="rId7972" display="https://pld.live/RapDetail.aspx?STONELIST=941040514&amp;ISCONFIRM=0" xr:uid="{9C93E02A-C454-4A41-84C3-A68FB1794D4C}"/>
    <hyperlink ref="C7978" r:id="rId7973" display="https://pld.live/RapDetail.aspx?STONELIST=927140064&amp;ISCONFIRM=0" xr:uid="{82DC09D0-574C-4DFF-8285-E11609A54B6F}"/>
    <hyperlink ref="C7979" r:id="rId7974" display="https://pld.live/RapDetail.aspx?STONELIST=924780165&amp;ISCONFIRM=0" xr:uid="{CED497FC-79A7-41E2-A9B2-4DF9EA690CC0}"/>
    <hyperlink ref="C7980" r:id="rId7975" display="https://pld.live/RapDetail.aspx?STONELIST=923700393&amp;ISCONFIRM=0" xr:uid="{3BEB3B5E-08E6-42EB-915E-58D38489A6C7}"/>
    <hyperlink ref="C7981" r:id="rId7976" display="https://pld.live/RapDetail.aspx?STONELIST=927140061&amp;ISCONFIRM=0" xr:uid="{E1FAEA10-0058-4310-8C38-52CC757BEA19}"/>
    <hyperlink ref="C7982" r:id="rId7977" display="https://pld.live/RapDetail.aspx?STONELIST=927152002&amp;ISCONFIRM=0" xr:uid="{EDA49FB0-5AA8-4A68-8762-7377A76ABAC1}"/>
    <hyperlink ref="C7983" r:id="rId7978" display="https://pld.live/RapDetail.aspx?STONELIST=927151988&amp;ISCONFIRM=0" xr:uid="{1FF85550-FB39-4424-B6D0-BFB4B5EF89A1}"/>
    <hyperlink ref="C7984" r:id="rId7979" display="https://pld.live/RapDetail.aspx?STONELIST=941020711&amp;ISCONFIRM=0" xr:uid="{06042CA4-1426-4719-936E-FFAB98E21283}"/>
    <hyperlink ref="C7985" r:id="rId7980" display="https://pld.live/RapDetail.aspx?STONELIST=927052459&amp;ISCONFIRM=0" xr:uid="{079211A4-53F3-4F6C-9BC3-CBCC061BE6D4}"/>
    <hyperlink ref="C7986" r:id="rId7981" display="https://pld.live/RapDetail.aspx?STONELIST=926871120&amp;ISCONFIRM=0" xr:uid="{CCFF5CDC-468F-45A6-8721-24F26F6B36CE}"/>
    <hyperlink ref="C7987" r:id="rId7982" display="https://pld.live/RapDetail.aspx?STONELIST=926921398&amp;ISCONFIRM=0" xr:uid="{DBCD69CD-2F38-45D2-9973-8EB08CD5D7B9}"/>
    <hyperlink ref="C7988" r:id="rId7983" display="https://pld.live/RapDetail.aspx?STONELIST=927130426&amp;ISCONFIRM=0" xr:uid="{D28BDA59-6371-4899-972F-81555DD0C153}"/>
    <hyperlink ref="C7989" r:id="rId7984" display="https://pld.live/RapDetail.aspx?STONELIST=941070526&amp;ISCONFIRM=0" xr:uid="{FF2DF272-951F-43B5-ADB1-5B05F844BC67}"/>
    <hyperlink ref="C7990" r:id="rId7985" display="https://pld.live/RapDetail.aspx?STONELIST=926831123&amp;ISCONFIRM=0" xr:uid="{5BDE55DB-D882-42F5-96A7-ACC58D8944CB}"/>
    <hyperlink ref="C7991" r:id="rId7986" display="https://pld.live/RapDetail.aspx?STONELIST=927152026&amp;ISCONFIRM=0" xr:uid="{30EF1362-A67C-4E7F-B5C7-D02472C40573}"/>
    <hyperlink ref="C7992" r:id="rId7987" display="https://pld.live/RapDetail.aspx?STONELIST=941040676&amp;ISCONFIRM=0" xr:uid="{9D0CB62F-3C13-43B6-BF3F-172B8E3C4F7F}"/>
    <hyperlink ref="C7993" r:id="rId7988" display="https://pld.live/RapDetail.aspx?STONELIST=927140011&amp;ISCONFIRM=0" xr:uid="{D785B85C-21E5-4476-9ABB-D576EB3F6D35}"/>
    <hyperlink ref="C7994" r:id="rId7989" display="https://pld.live/RapDetail.aspx?STONELIST=926900988&amp;ISCONFIRM=0" xr:uid="{BD037769-7B55-48D0-891C-A3CAAA35C55F}"/>
    <hyperlink ref="C7995" r:id="rId7990" display="https://pld.live/RapDetail.aspx?STONELIST=923690449&amp;ISCONFIRM=0" xr:uid="{872C8241-0418-4B92-966F-15624F9957A0}"/>
    <hyperlink ref="C7996" r:id="rId7991" display="https://pld.live/RapDetail.aspx?STONELIST=924900109&amp;ISCONFIRM=0" xr:uid="{35F5F7A0-0785-4014-94E0-79435EC51126}"/>
    <hyperlink ref="C7997" r:id="rId7992" display="https://pld.live/RapDetail.aspx?STONELIST=926110364&amp;ISCONFIRM=0" xr:uid="{7A9BACDE-B8A4-49DF-8765-0EF183B33402}"/>
    <hyperlink ref="C7998" r:id="rId7993" display="https://pld.live/RapDetail.aspx?STONELIST=926921419&amp;ISCONFIRM=0" xr:uid="{9A340D00-FB2A-4E34-9704-FB4F85047292}"/>
    <hyperlink ref="C7999" r:id="rId7994" display="https://pld.live/RapDetail.aspx?STONELIST=941421245&amp;ISCONFIRM=0" xr:uid="{F4D5713D-4397-4A8B-9F51-E964967678EC}"/>
    <hyperlink ref="C8000" r:id="rId7995" display="https://pld.live/RapDetail.aspx?STONELIST=926580073&amp;ISCONFIRM=0" xr:uid="{B92F8C44-2591-48EB-8898-67C146CA7615}"/>
    <hyperlink ref="C8001" r:id="rId7996" display="https://pld.live/RapDetail.aspx?STONELIST=926580230&amp;ISCONFIRM=0" xr:uid="{628312FE-9DC4-47E3-B077-A7232A41AB51}"/>
    <hyperlink ref="C8002" r:id="rId7997" display="https://pld.live/RapDetail.aspx?STONELIST=941380303&amp;ISCONFIRM=0" xr:uid="{D56679C8-6087-4920-B042-799C09F64BFE}"/>
    <hyperlink ref="C8003" r:id="rId7998" display="https://pld.live/RapDetail.aspx?STONELIST=926110845&amp;ISCONFIRM=0" xr:uid="{D20A5E48-AD2F-4303-8844-7B0B4BB3F03B}"/>
    <hyperlink ref="C8004" r:id="rId7999" display="https://pld.live/RapDetail.aspx?STONELIST=926690747&amp;ISCONFIRM=0" xr:uid="{59F8C230-A4CF-477A-A638-0DBD37A6A978}"/>
    <hyperlink ref="C8005" r:id="rId8000" display="https://pld.live/RapDetail.aspx?STONELIST=923420292&amp;ISCONFIRM=0" xr:uid="{3040E336-D1EB-498B-BAA9-42ED47A98D7C}"/>
    <hyperlink ref="C8006" r:id="rId8001" display="https://pld.live/RapDetail.aspx?STONELIST=923660306&amp;ISCONFIRM=0" xr:uid="{23F23849-7E77-4736-9321-7EB990501A68}"/>
    <hyperlink ref="C8007" r:id="rId8002" display="https://pld.live/RapDetail.aspx?STONELIST=925900304&amp;ISCONFIRM=0" xr:uid="{0CA63EDF-EF65-40B4-B077-D3061A34EAA6}"/>
    <hyperlink ref="C8008" r:id="rId8003" display="https://pld.live/RapDetail.aspx?STONELIST=925900447&amp;ISCONFIRM=0" xr:uid="{E6B16C1A-BCCF-49CA-815F-5F810153ED4A}"/>
    <hyperlink ref="C8009" r:id="rId8004" display="https://pld.live/RapDetail.aspx?STONELIST=926110373&amp;ISCONFIRM=0" xr:uid="{D2770694-7EA9-4D89-B58D-C7C09EBCD9D3}"/>
    <hyperlink ref="C8010" r:id="rId8005" display="https://pld.live/RapDetail.aspx?STONELIST=925900410&amp;ISCONFIRM=0" xr:uid="{F09F6876-2551-44F8-8FD5-856E57879776}"/>
    <hyperlink ref="C8011" r:id="rId8006" display="https://pld.live/RapDetail.aspx?STONELIST=926110867&amp;ISCONFIRM=0" xr:uid="{048BF9A2-58A3-4080-A533-46BE2FF0C4C1}"/>
    <hyperlink ref="C8012" r:id="rId8007" display="https://pld.live/RapDetail.aspx?STONELIST=926110367&amp;ISCONFIRM=0" xr:uid="{3822D646-7D24-4BED-9013-82AD05273015}"/>
    <hyperlink ref="C8013" r:id="rId8008" display="https://pld.live/RapDetail.aspx?STONELIST=925900337&amp;ISCONFIRM=0" xr:uid="{421C25A3-3385-4A57-9C2F-2CBA50583EC0}"/>
    <hyperlink ref="C8014" r:id="rId8009" display="https://pld.live/RapDetail.aspx?STONELIST=925900343&amp;ISCONFIRM=0" xr:uid="{5968B1C7-7B9E-4CC8-8AF8-BE999086DCAD}"/>
    <hyperlink ref="C8015" r:id="rId8010" display="https://pld.live/RapDetail.aspx?STONELIST=925900482&amp;ISCONFIRM=0" xr:uid="{19CA6C19-5A20-473D-AC2C-9CC40F5A4912}"/>
    <hyperlink ref="C8016" r:id="rId8011" display="https://pld.live/RapDetail.aspx?STONELIST=925670217&amp;ISCONFIRM=0" xr:uid="{162AC45C-AACA-4609-82A7-A95554DE7547}"/>
    <hyperlink ref="C8017" r:id="rId8012" display="https://pld.live/RapDetail.aspx?STONELIST=925750665&amp;ISCONFIRM=0" xr:uid="{CD704353-0186-4CD8-A866-80016C8F3B27}"/>
    <hyperlink ref="C8018" r:id="rId8013" display="https://pld.live/RapDetail.aspx?STONELIST=925900271&amp;ISCONFIRM=0" xr:uid="{50CD0C50-7D9A-431E-9B39-E9EF46BEF1E8}"/>
    <hyperlink ref="C8019" r:id="rId8014" display="https://pld.live/RapDetail.aspx?STONELIST=925570097&amp;ISCONFIRM=0" xr:uid="{D1FD9377-2501-46E3-90FE-4C3ADA32E7B2}"/>
    <hyperlink ref="C8020" r:id="rId8015" display="https://pld.live/RapDetail.aspx?STONELIST=926440736&amp;ISCONFIRM=0" xr:uid="{FB8A91B0-DB27-4A08-B6FA-01D79578CC6D}"/>
    <hyperlink ref="C8021" r:id="rId8016" display="https://pld.live/RapDetail.aspx?STONELIST=925502734&amp;ISCONFIRM=0" xr:uid="{06F61DDE-0E71-4AA9-B1F8-3D25815B3E00}"/>
    <hyperlink ref="C8022" r:id="rId8017" display="https://pld.live/RapDetail.aspx?STONELIST=926460777&amp;ISCONFIRM=0" xr:uid="{80B0E47D-6751-40A9-8EC5-CF614E42FD21}"/>
    <hyperlink ref="C8023" r:id="rId8018" display="https://pld.live/RapDetail.aspx?STONELIST=926460662&amp;ISCONFIRM=0" xr:uid="{F7B9B173-D4B0-4423-BFB3-DD75C1033B32}"/>
    <hyperlink ref="C8024" r:id="rId8019" display="https://pld.live/RapDetail.aspx?STONELIST=926110670&amp;ISCONFIRM=0" xr:uid="{60A5E333-2708-4F85-96E6-9AD5CCA9C35F}"/>
    <hyperlink ref="C8025" r:id="rId8020" display="https://pld.live/RapDetail.aspx?STONELIST=926460552&amp;ISCONFIRM=0" xr:uid="{98209061-AA06-47D4-9CCD-2C7CFD0B7B76}"/>
    <hyperlink ref="C8026" r:id="rId8021" display="https://pld.live/RapDetail.aspx?STONELIST=925610481&amp;ISCONFIRM=0" xr:uid="{EF2E9D90-4DBB-4A6A-94DD-7880FD2B2F0D}"/>
    <hyperlink ref="C8027" r:id="rId8022" display="https://pld.live/RapDetail.aspx?STONELIST=925510212&amp;ISCONFIRM=0" xr:uid="{4334ACC8-6E78-47E3-BEF0-3DBDB42D0C3E}"/>
    <hyperlink ref="C8028" r:id="rId8023" display="https://pld.live/RapDetail.aspx?STONELIST=925502732&amp;ISCONFIRM=0" xr:uid="{880A73C2-610C-4CB3-B537-20D95975245C}"/>
    <hyperlink ref="C8029" r:id="rId8024" display="https://pld.live/RapDetail.aspx?STONELIST=925510210&amp;ISCONFIRM=0" xr:uid="{CAF86A36-0441-40F2-B75F-6A3F2FDE6CE4}"/>
    <hyperlink ref="C8030" r:id="rId8025" display="https://pld.live/RapDetail.aspx?STONELIST=925530247&amp;ISCONFIRM=0" xr:uid="{07F13CE5-0123-4E5C-919E-41A593D0F142}"/>
    <hyperlink ref="C8031" r:id="rId8026" display="https://pld.live/RapDetail.aspx?STONELIST=925750501&amp;ISCONFIRM=0" xr:uid="{C5A113F4-44E8-4964-B4DF-9D92D689376F}"/>
    <hyperlink ref="C8032" r:id="rId8027" display="https://pld.live/RapDetail.aspx?STONELIST=925750610&amp;ISCONFIRM=0" xr:uid="{5D86F385-22A2-4076-B0F1-EB764761B821}"/>
    <hyperlink ref="C8033" r:id="rId8028" display="https://pld.live/RapDetail.aspx?STONELIST=925760106&amp;ISCONFIRM=0" xr:uid="{E7285537-5442-4C1F-A229-EB235BA93C39}"/>
    <hyperlink ref="C8034" r:id="rId8029" display="https://pld.live/RapDetail.aspx?STONELIST=925750555&amp;ISCONFIRM=0" xr:uid="{6F5E23C9-F940-48DF-B9F7-684138C3EE8A}"/>
    <hyperlink ref="C8035" r:id="rId8030" display="https://pld.live/RapDetail.aspx?STONELIST=925750618&amp;ISCONFIRM=0" xr:uid="{9475FA09-FB29-464F-B446-ADADFA1A08BC}"/>
    <hyperlink ref="C8036" r:id="rId8031" display="https://pld.live/RapDetail.aspx?STONELIST=925870549&amp;ISCONFIRM=0" xr:uid="{C504EFB4-8C13-43DD-97AA-7D5BB8C79A10}"/>
    <hyperlink ref="C8037" r:id="rId8032" display="https://pld.live/RapDetail.aspx?STONELIST=925870561&amp;ISCONFIRM=0" xr:uid="{CC2927CE-2044-4F37-B20A-23D6E2F99A3D}"/>
    <hyperlink ref="C8038" r:id="rId8033" display="https://pld.live/RapDetail.aspx?STONELIST=925870574&amp;ISCONFIRM=0" xr:uid="{9E246E61-E45F-46A7-AF5D-462B4C698338}"/>
    <hyperlink ref="C8039" r:id="rId8034" display="https://pld.live/RapDetail.aspx?STONELIST=925780810&amp;ISCONFIRM=0" xr:uid="{03C7C8DB-D5C2-487D-B7CE-5AD250EDF83C}"/>
    <hyperlink ref="C8040" r:id="rId8035" display="https://pld.live/RapDetail.aspx?STONELIST=925721003&amp;ISCONFIRM=0" xr:uid="{32CEFBAD-2F6E-4D99-9EF7-B2D296AC6260}"/>
    <hyperlink ref="C8041" r:id="rId8036" display="https://pld.live/RapDetail.aspx?STONELIST=924370147&amp;ISCONFIRM=0" xr:uid="{894AEE72-7126-4EC7-9540-2021528B71C2}"/>
    <hyperlink ref="C8042" r:id="rId8037" display="https://pld.live/RapDetail.aspx?STONELIST=925502733&amp;ISCONFIRM=0" xr:uid="{86221596-F557-4122-8574-0ECD4D63C167}"/>
    <hyperlink ref="C8043" r:id="rId8038" display="https://pld.live/RapDetail.aspx?STONELIST=923380332&amp;ISCONFIRM=0" xr:uid="{F7C41CDF-72BB-4260-9E01-3848A9B464A1}"/>
    <hyperlink ref="C8044" r:id="rId8039" display="https://pld.live/RapDetail.aspx?STONELIST=923520463&amp;ISCONFIRM=0" xr:uid="{06A588FA-E334-4D01-AEBC-526C0E2CD262}"/>
    <hyperlink ref="C8045" r:id="rId8040" display="https://pld.live/RapDetail.aspx?STONELIST=923380726&amp;ISCONFIRM=0" xr:uid="{6162FA4C-1137-468E-80F6-17CA39EDA791}"/>
    <hyperlink ref="C8046" r:id="rId8041" display="https://pld.live/RapDetail.aspx?STONELIST=923520459&amp;ISCONFIRM=0" xr:uid="{369FE05D-3430-4474-B779-3B434E46D09F}"/>
    <hyperlink ref="C8047" r:id="rId8042" display="https://pld.live/RapDetail.aspx?STONELIST=923520471&amp;ISCONFIRM=0" xr:uid="{C65C92C2-7234-4ED1-BC05-4A3A4A9391B8}"/>
    <hyperlink ref="C8048" r:id="rId8043" display="https://pld.live/RapDetail.aspx?STONELIST=923380748&amp;ISCONFIRM=0" xr:uid="{8814A403-3148-4F6F-9AD5-8D01C37C7756}"/>
    <hyperlink ref="C8049" r:id="rId8044" display="https://pld.live/RapDetail.aspx?STONELIST=923520468&amp;ISCONFIRM=0" xr:uid="{3EDF13FB-FEDA-4456-B144-41E4A532AC9A}"/>
    <hyperlink ref="C8050" r:id="rId8045" display="https://pld.live/RapDetail.aspx?STONELIST=926040884&amp;ISCONFIRM=0" xr:uid="{E2264D17-0D30-4847-B806-F69E6C25AAA5}"/>
    <hyperlink ref="C8051" r:id="rId8046" display="https://pld.live/RapDetail.aspx?STONELIST=922770001&amp;ISCONFIRM=0" xr:uid="{661A0CEB-6C39-4907-8015-9937F13CB69C}"/>
    <hyperlink ref="C8052" r:id="rId8047" display="https://pld.live/RapDetail.aspx?STONELIST=926100620&amp;ISCONFIRM=0" xr:uid="{9D62B433-93E0-4690-8AA6-3771DF50B5E8}"/>
    <hyperlink ref="C8053" r:id="rId8048" display="https://pld.live/RapDetail.aspx?STONELIST=923520440&amp;ISCONFIRM=0" xr:uid="{82B2DE46-E8A9-4AFD-AD5B-C96DC90BF4CB}"/>
    <hyperlink ref="C8054" r:id="rId8049" display="https://pld.live/RapDetail.aspx?STONELIST=926020650&amp;ISCONFIRM=0" xr:uid="{21196B38-6954-4682-9A2D-450BA257A719}"/>
    <hyperlink ref="C8055" r:id="rId8050" display="https://pld.live/RapDetail.aspx?STONELIST=923520444&amp;ISCONFIRM=0" xr:uid="{15168C71-7C45-44FE-AECB-D13C1FF93F79}"/>
    <hyperlink ref="C8056" r:id="rId8051" display="https://pld.live/RapDetail.aspx?STONELIST=926170148&amp;ISCONFIRM=0" xr:uid="{A4D31AEF-277A-444A-837A-97AE0EBFC9A8}"/>
    <hyperlink ref="C8057" r:id="rId8052" display="https://pld.live/RapDetail.aspx?STONELIST=831010731&amp;ISCONFIRM=0" xr:uid="{E7F29A2E-32F7-4C9B-A4D9-CAEA9DF9A2EE}"/>
    <hyperlink ref="C8058" r:id="rId8053" display="https://pld.live/RapDetail.aspx?STONELIST=926040712&amp;ISCONFIRM=0" xr:uid="{CE7B0309-6BC5-4C93-86B1-A6E013F02D41}"/>
    <hyperlink ref="C8059" r:id="rId8054" display="https://pld.live/RapDetail.aspx?STONELIST=926170435&amp;ISCONFIRM=0" xr:uid="{E372BD6B-9E05-46CB-9651-050E1F4FE823}"/>
    <hyperlink ref="C8060" r:id="rId8055" display="https://pld.live/RapDetail.aspx?STONELIST=925961078&amp;ISCONFIRM=0" xr:uid="{4F75079F-9111-43C6-9A1E-4AFDAF713855}"/>
    <hyperlink ref="C8061" r:id="rId8056" display="https://pld.live/RapDetail.aspx?STONELIST=926350166&amp;ISCONFIRM=0" xr:uid="{89F93AD9-7FCC-4331-8B59-698725E85D95}"/>
    <hyperlink ref="C8062" r:id="rId8057" display="https://pld.live/RapDetail.aspx?STONELIST=926100887&amp;ISCONFIRM=0" xr:uid="{67F91420-C8FB-4F38-B6DF-37B37F1E803E}"/>
    <hyperlink ref="C8063" r:id="rId8058" display="https://pld.live/RapDetail.aspx?STONELIST=926100950&amp;ISCONFIRM=0" xr:uid="{BA032284-FE92-44F2-85A2-DDA92CC28540}"/>
    <hyperlink ref="C8064" r:id="rId8059" display="https://pld.live/RapDetail.aspx?STONELIST=925951080&amp;ISCONFIRM=0" xr:uid="{EAD36049-9B6E-4CC7-809A-07563674127F}"/>
    <hyperlink ref="C8065" r:id="rId8060" display="https://pld.live/RapDetail.aspx?STONELIST=925971198&amp;ISCONFIRM=0" xr:uid="{8C72D0FF-015D-4E1B-942D-E9639A76ED44}"/>
    <hyperlink ref="C8066" r:id="rId8061" display="https://pld.live/RapDetail.aspx?STONELIST=926100891&amp;ISCONFIRM=0" xr:uid="{CD01B2A2-486B-47F1-AFF6-16DE004763CA}"/>
    <hyperlink ref="C8067" r:id="rId8062" display="https://pld.live/RapDetail.aspx?STONELIST=926170739&amp;ISCONFIRM=0" xr:uid="{85445D04-787B-4061-9FDF-3FA59C258F24}"/>
    <hyperlink ref="C8068" r:id="rId8063" display="https://pld.live/RapDetail.aspx?STONELIST=923540511&amp;ISCONFIRM=0" xr:uid="{C7043FB4-EC09-4269-8C7F-B2C14A92BB42}"/>
    <hyperlink ref="C8069" r:id="rId8064" display="https://pld.live/RapDetail.aspx?STONELIST=926200173&amp;ISCONFIRM=0" xr:uid="{2E2C7336-AA2A-4432-A625-1793DD4CB831}"/>
    <hyperlink ref="C8070" r:id="rId8065" display="https://pld.live/RapDetail.aspx?STONELIST=926100565&amp;ISCONFIRM=0" xr:uid="{5B87A154-020B-4C5E-8CFB-33A89BAB9919}"/>
    <hyperlink ref="C8071" r:id="rId8066" display="https://pld.live/RapDetail.aspx?STONELIST=925950930&amp;ISCONFIRM=0" xr:uid="{18793908-880C-4A12-AF0A-AD006A1D1F29}"/>
    <hyperlink ref="C8072" r:id="rId8067" display="https://pld.live/RapDetail.aspx?STONELIST=926100894&amp;ISCONFIRM=0" xr:uid="{9B863B0A-54D5-4B8D-9078-F5DCBA1A39FE}"/>
    <hyperlink ref="C8073" r:id="rId8068" display="https://pld.live/RapDetail.aspx?STONELIST=926170630&amp;ISCONFIRM=0" xr:uid="{E02363C2-7337-4EC2-8BAA-E2AD10001583}"/>
    <hyperlink ref="C8074" r:id="rId8069" display="https://pld.live/RapDetail.aspx?STONELIST=926100125&amp;ISCONFIRM=0" xr:uid="{16AAAD54-A907-4418-B628-F9F01F4B6A70}"/>
    <hyperlink ref="C8075" r:id="rId8070" display="https://pld.live/RapDetail.aspx?STONELIST=926400424&amp;ISCONFIRM=0" xr:uid="{94FA2173-75E5-474B-B678-E5DD0182F7BD}"/>
    <hyperlink ref="C8076" r:id="rId8071" display="https://pld.live/RapDetail.aspx?STONELIST=926400514&amp;ISCONFIRM=0" xr:uid="{31C9606D-8B04-4E7F-A23F-1BF0D014E900}"/>
    <hyperlink ref="C8077" r:id="rId8072" display="https://pld.live/RapDetail.aspx?STONELIST=925980965&amp;ISCONFIRM=0" xr:uid="{9D67124F-7657-4A75-9AEB-F7278E2A5D78}"/>
    <hyperlink ref="C8078" r:id="rId8073" display="https://pld.live/RapDetail.aspx?STONELIST=926041137&amp;ISCONFIRM=0" xr:uid="{CF263B41-E129-40B3-AB65-8149CF56C96F}"/>
    <hyperlink ref="C8079" r:id="rId8074" display="https://pld.live/RapDetail.aspx?STONELIST=922770003&amp;ISCONFIRM=0" xr:uid="{33E1E0A9-ABA0-4641-A0CA-CE1995E8F315}"/>
    <hyperlink ref="C8080" r:id="rId8075" display="https://pld.live/RapDetail.aspx?STONELIST=926171281&amp;ISCONFIRM=0" xr:uid="{D6B71667-25B7-4428-AC91-C63EB62AEB01}"/>
    <hyperlink ref="C8081" r:id="rId8076" display="https://pld.live/RapDetail.aspx?STONELIST=925980774&amp;ISCONFIRM=0" xr:uid="{7614EC91-30B8-433E-99F8-2A6411D62B3A}"/>
    <hyperlink ref="C8082" r:id="rId8077" display="https://pld.live/RapDetail.aspx?STONELIST=926171469&amp;ISCONFIRM=0" xr:uid="{AC675B02-067B-40C7-B3FA-35FDE8E9FB90}"/>
    <hyperlink ref="C8083" r:id="rId8078" display="https://pld.live/RapDetail.aspx?STONELIST=926070307&amp;ISCONFIRM=0" xr:uid="{5983C7E5-8CDF-4154-A33A-D7604827D2AB}"/>
    <hyperlink ref="C8084" r:id="rId8079" display="https://pld.live/RapDetail.aspx?STONELIST=923520474&amp;ISCONFIRM=0" xr:uid="{547B13DA-4A5C-403C-AA6C-2E3C35E86AE4}"/>
    <hyperlink ref="C8085" r:id="rId8080" display="https://pld.live/RapDetail.aspx?STONELIST=925960966&amp;ISCONFIRM=0" xr:uid="{D7D82C6B-1EC6-4F33-8138-32FC2BB2B99E}"/>
    <hyperlink ref="C8086" r:id="rId8081" display="https://pld.live/RapDetail.aspx?STONELIST=926071608&amp;ISCONFIRM=0" xr:uid="{6CDD6A50-9CE3-4E60-9541-CDA1BDB85101}"/>
    <hyperlink ref="C8087" r:id="rId8082" display="https://pld.live/RapDetail.aspx?STONELIST=923540520&amp;ISCONFIRM=0" xr:uid="{25AE9F9E-512D-4E82-B5A9-F87A0FCDEBC2}"/>
    <hyperlink ref="C8088" r:id="rId8083" display="https://pld.live/RapDetail.aspx?STONELIST=923600450&amp;ISCONFIRM=0" xr:uid="{7E025357-607E-4FE1-81FC-8166D8435EAF}"/>
    <hyperlink ref="C8089" r:id="rId8084" display="https://pld.live/RapDetail.aspx?STONELIST=923490358&amp;ISCONFIRM=0" xr:uid="{4A52A9F5-70C2-4DF3-9739-2F7E9B610908}"/>
    <hyperlink ref="C8090" r:id="rId8085" display="https://pld.live/RapDetail.aspx?STONELIST=925300334&amp;ISCONFIRM=0" xr:uid="{F33310AD-7F31-453C-AF10-5E73AB9F4468}"/>
    <hyperlink ref="C8091" r:id="rId8086" display="https://pld.live/RapDetail.aspx?STONELIST=926740427&amp;ISCONFIRM=0" xr:uid="{F9FD915A-F7CF-4734-9AA1-4A1EAD8EEBE8}"/>
    <hyperlink ref="C8092" r:id="rId8087" display="https://pld.live/RapDetail.aspx?STONELIST=927050116&amp;ISCONFIRM=0" xr:uid="{F0CE81BE-6C70-4752-A507-A0EDE6249825}"/>
    <hyperlink ref="C8093" r:id="rId8088" display="https://pld.live/RapDetail.aspx?STONELIST=926930873&amp;ISCONFIRM=0" xr:uid="{2C83688D-4D37-4288-83D8-58617E1BBB49}"/>
    <hyperlink ref="C8094" r:id="rId8089" display="https://pld.live/RapDetail.aspx?STONELIST=926830937&amp;ISCONFIRM=0" xr:uid="{BB7FA736-1734-46AC-B722-490A0FC75CAB}"/>
    <hyperlink ref="C8095" r:id="rId8090" display="https://pld.live/RapDetail.aspx?STONELIST=927152828&amp;ISCONFIRM=0" xr:uid="{0DAD2051-1BF0-4DF1-97BE-93E4217FC306}"/>
    <hyperlink ref="C8096" r:id="rId8091" display="https://pld.live/RapDetail.aspx?STONELIST=926740652&amp;ISCONFIRM=0" xr:uid="{66ACD3E6-ED83-48CE-B846-DCFA7360B4ED}"/>
    <hyperlink ref="C8097" r:id="rId8092" display="https://pld.live/RapDetail.aspx?STONELIST=927132323&amp;ISCONFIRM=0" xr:uid="{D75847C9-54FB-4A45-B86B-12CD52311EDB}"/>
    <hyperlink ref="C8098" r:id="rId8093" display="https://pld.live/RapDetail.aspx?STONELIST=925621945&amp;ISCONFIRM=0" xr:uid="{CFBDCE6D-9C92-4D86-AA95-6EDA4FE6467E}"/>
    <hyperlink ref="C8099" r:id="rId8094" display="https://pld.live/RapDetail.aspx?STONELIST=925621948&amp;ISCONFIRM=0" xr:uid="{F85EA085-BBF3-458D-9F98-1AB31DC1E1D0}"/>
    <hyperlink ref="C8100" r:id="rId8095" display="https://pld.live/RapDetail.aspx?STONELIST=925621951&amp;ISCONFIRM=0" xr:uid="{02D6888A-E7F1-4D36-AB78-371E80F0B202}"/>
    <hyperlink ref="C8101" r:id="rId8096" display="https://pld.live/RapDetail.aspx?STONELIST=925621778&amp;ISCONFIRM=0" xr:uid="{100082EE-EB04-4878-8414-B2295994756F}"/>
    <hyperlink ref="C8102" r:id="rId8097" display="https://pld.live/RapDetail.aspx?STONELIST=925621925&amp;ISCONFIRM=0" xr:uid="{3409A468-2F64-46C5-A790-EDC9BDA3FF66}"/>
    <hyperlink ref="C8103" r:id="rId8098" display="https://pld.live/RapDetail.aspx?STONELIST=925721529&amp;ISCONFIRM=0" xr:uid="{E7018384-407F-4C64-B801-86F581093052}"/>
    <hyperlink ref="C8104" r:id="rId8099" display="https://pld.live/RapDetail.aspx?STONELIST=926020774&amp;ISCONFIRM=0" xr:uid="{C0213D8A-5572-445D-B455-7E4298F31597}"/>
    <hyperlink ref="C8105" r:id="rId8100" display="https://pld.live/RapDetail.aspx?STONELIST=925621741&amp;ISCONFIRM=0" xr:uid="{143BFE8A-4535-4DC8-BDD7-D7714FC69E38}"/>
    <hyperlink ref="C8106" r:id="rId8101" display="https://pld.live/RapDetail.aspx?STONELIST=925721727&amp;ISCONFIRM=0" xr:uid="{CD577914-A601-4969-974D-B91BBB0D5253}"/>
    <hyperlink ref="C8107" r:id="rId8102" display="https://pld.live/RapDetail.aspx?STONELIST=831010657&amp;ISCONFIRM=0" xr:uid="{E60FB957-C513-40B8-8F08-D4B3CDF0ADE8}"/>
    <hyperlink ref="C8108" r:id="rId8103" display="https://pld.live/RapDetail.aspx?STONELIST=925621655&amp;ISCONFIRM=0" xr:uid="{8AF67ECC-B82B-421A-A912-7C005A4A51A8}"/>
    <hyperlink ref="C8109" r:id="rId8104" display="https://pld.live/RapDetail.aspx?STONELIST=925721789&amp;ISCONFIRM=0" xr:uid="{DE147344-39A8-4B93-9E76-0B8AF40EF5D1}"/>
    <hyperlink ref="C8110" r:id="rId8105" display="https://pld.live/RapDetail.aspx?STONELIST=925621952&amp;ISCONFIRM=0" xr:uid="{977215A6-CAF9-4AE2-8C41-B19A262D05C7}"/>
    <hyperlink ref="C8111" r:id="rId8106" display="https://pld.live/RapDetail.aspx?STONELIST=925721754&amp;ISCONFIRM=0" xr:uid="{BEBFB4D8-11AF-469B-B0E3-A1891DEF7B28}"/>
    <hyperlink ref="C8112" r:id="rId8107" display="https://pld.live/RapDetail.aspx?STONELIST=926210578&amp;ISCONFIRM=0" xr:uid="{E399CC35-7537-47DC-AAFF-AA7F8B22AEF1}"/>
    <hyperlink ref="C8113" r:id="rId8108" display="https://pld.live/RapDetail.aspx?STONELIST=926110328&amp;ISCONFIRM=0" xr:uid="{92209C02-051E-429B-BFF9-41EAEC1C5C13}"/>
    <hyperlink ref="C8114" r:id="rId8109" display="https://pld.live/RapDetail.aspx?STONELIST=925721737&amp;ISCONFIRM=0" xr:uid="{B014A4B1-F165-48C4-BE8B-DCAEEB013022}"/>
    <hyperlink ref="C8115" r:id="rId8110" display="https://pld.live/RapDetail.aspx?STONELIST=925951235&amp;ISCONFIRM=0" xr:uid="{EA7A2767-914A-4C89-9205-FBD3F5916004}"/>
    <hyperlink ref="C8116" r:id="rId8111" display="https://pld.live/RapDetail.aspx?STONELIST=926110674&amp;ISCONFIRM=0" xr:uid="{E9600E5E-9F06-4E0B-83FB-68C97527400C}"/>
    <hyperlink ref="C8117" r:id="rId8112" display="https://pld.live/RapDetail.aspx?STONELIST=926110290&amp;ISCONFIRM=0" xr:uid="{FED67260-AD07-4188-BC54-8CD703EE4D56}"/>
    <hyperlink ref="C8118" r:id="rId8113" display="https://pld.live/RapDetail.aspx?STONELIST=926110158&amp;ISCONFIRM=0" xr:uid="{3C4EA5EA-530D-4985-B19F-C9723D4FBA5E}"/>
    <hyperlink ref="C8119" r:id="rId8114" display="https://pld.live/RapDetail.aspx?STONELIST=926620946&amp;ISCONFIRM=0" xr:uid="{2BFED753-4620-4F10-BAC9-820AA035F9E3}"/>
    <hyperlink ref="C8120" r:id="rId8115" display="https://pld.live/RapDetail.aspx?STONELIST=926620869&amp;ISCONFIRM=0" xr:uid="{3FFD4F88-D8F6-4823-8601-7678DEC9564B}"/>
    <hyperlink ref="C8121" r:id="rId8116" display="https://pld.live/RapDetail.aspx?STONELIST=926210577&amp;ISCONFIRM=0" xr:uid="{05432899-291D-48E5-987B-3A7ED526CD3B}"/>
    <hyperlink ref="C8122" r:id="rId8117" display="https://pld.live/RapDetail.aspx?STONELIST=926110862&amp;ISCONFIRM=0" xr:uid="{0C9DB407-057F-4EA1-96DC-2D6E39346BC1}"/>
    <hyperlink ref="C8123" r:id="rId8118" display="https://pld.live/RapDetail.aspx?STONELIST=923580455&amp;ISCONFIRM=0" xr:uid="{B0511665-931A-40A1-8F4D-CEBE65F7E7AC}"/>
    <hyperlink ref="C8124" r:id="rId8119" display="https://pld.live/RapDetail.aspx?STONELIST=924880262&amp;ISCONFIRM=0" xr:uid="{3C9FCAEB-652B-4417-8A0D-280EDB17705F}"/>
    <hyperlink ref="C8125" r:id="rId8120" display="https://pld.live/RapDetail.aspx?STONELIST=926110471&amp;ISCONFIRM=0" xr:uid="{1227F195-6A90-4896-9024-7FEC14061803}"/>
    <hyperlink ref="C8126" r:id="rId8121" display="https://pld.live/RapDetail.aspx?STONELIST=926110296&amp;ISCONFIRM=0" xr:uid="{020FD78F-7211-4B87-81D6-AF2612E9F434}"/>
    <hyperlink ref="C8127" r:id="rId8122" display="https://pld.live/RapDetail.aspx?STONELIST=924580387&amp;ISCONFIRM=0" xr:uid="{36F8522F-F664-41E2-968B-C2BB4D98DA2A}"/>
    <hyperlink ref="C8128" r:id="rId8123" display="https://pld.live/RapDetail.aspx?STONELIST=926110134&amp;ISCONFIRM=0" xr:uid="{28269D33-FD19-4159-B1EE-FA439606AC68}"/>
    <hyperlink ref="C8129" r:id="rId8124" display="https://pld.live/RapDetail.aspx?STONELIST=925621909&amp;ISCONFIRM=0" xr:uid="{00384D1C-06E5-43D5-B6E1-E02F8D590763}"/>
    <hyperlink ref="C8130" r:id="rId8125" display="https://pld.live/RapDetail.aspx?STONELIST=926520111&amp;ISCONFIRM=0" xr:uid="{076FEE43-1AF4-4629-852F-DD47E279423D}"/>
    <hyperlink ref="C8131" r:id="rId8126" display="https://pld.live/RapDetail.aspx?STONELIST=926580091&amp;ISCONFIRM=0" xr:uid="{5FD0021D-CCBD-4EDC-9A73-82CE6EBFE849}"/>
    <hyperlink ref="C8132" r:id="rId8127" display="https://pld.live/RapDetail.aspx?STONELIST=926110149&amp;ISCONFIRM=0" xr:uid="{34E117D2-4141-43BB-803C-CD244E49855A}"/>
    <hyperlink ref="C8133" r:id="rId8128" display="https://pld.live/RapDetail.aspx?STONELIST=926210609&amp;ISCONFIRM=0" xr:uid="{302A69CB-E8FE-43E8-8A81-5EA151A15801}"/>
    <hyperlink ref="C8134" r:id="rId8129" display="https://pld.live/RapDetail.aspx?STONELIST=927132336&amp;ISCONFIRM=0" xr:uid="{6DF115A0-7B3C-4744-8F76-4A8CA1B2EF32}"/>
    <hyperlink ref="C8135" r:id="rId8130" display="https://pld.live/RapDetail.aspx?STONELIST=927132189&amp;ISCONFIRM=0" xr:uid="{E95FEB15-3B30-4E28-A4E2-2E54CE78F92A}"/>
    <hyperlink ref="C8136" r:id="rId8131" display="https://pld.live/RapDetail.aspx?STONELIST=926520180&amp;ISCONFIRM=0" xr:uid="{DB0F74D7-2FF3-4BF9-A445-BD352E070304}"/>
    <hyperlink ref="C8137" r:id="rId8132" display="https://pld.live/RapDetail.aspx?STONELIST=926270842&amp;ISCONFIRM=0" xr:uid="{1E629638-3159-46AB-8AFD-0B391203B2B8}"/>
    <hyperlink ref="C8138" r:id="rId8133" display="https://pld.live/RapDetail.aspx?STONELIST=926750361&amp;ISCONFIRM=0" xr:uid="{C6EE61E8-8D8C-4EE6-9A57-E7E900CD5E2D}"/>
    <hyperlink ref="C8139" r:id="rId8134" display="https://pld.live/RapDetail.aspx?STONELIST=925621957&amp;ISCONFIRM=0" xr:uid="{05426CD8-037D-4FE9-A2C4-BDEE8F05CFA0}"/>
    <hyperlink ref="C8140" r:id="rId8135" display="https://pld.live/RapDetail.aspx?STONELIST=926110394&amp;ISCONFIRM=0" xr:uid="{76CBD5C6-B3A9-4FAC-9B0D-BC082E3BE4F5}"/>
    <hyperlink ref="C8141" r:id="rId8136" display="https://pld.live/RapDetail.aspx?STONELIST=924350581&amp;ISCONFIRM=0" xr:uid="{C76F96FD-130C-45E3-9BA7-012D24CB15E4}"/>
    <hyperlink ref="C8142" r:id="rId8137" display="https://pld.live/RapDetail.aspx?STONELIST=926101505&amp;ISCONFIRM=0" xr:uid="{CE95452C-1EC2-4EA8-82B3-156D7AFE7EDB}"/>
    <hyperlink ref="C8143" r:id="rId8138" display="https://pld.live/RapDetail.aspx?STONELIST=941160581&amp;ISCONFIRM=0" xr:uid="{C699DCC4-14E3-442B-86DD-7E9F00721387}"/>
    <hyperlink ref="C8144" r:id="rId8139" display="https://pld.live/RapDetail.aspx?STONELIST=925621962&amp;ISCONFIRM=0" xr:uid="{20D0F674-DBB8-4F21-AD02-039E386AEABA}"/>
    <hyperlink ref="C8145" r:id="rId8140" display="https://pld.live/RapDetail.aspx?STONELIST=941160628&amp;ISCONFIRM=0" xr:uid="{B07763CA-64F2-4947-A244-57C994B6D035}"/>
    <hyperlink ref="C8146" r:id="rId8141" display="https://pld.live/RapDetail.aspx?STONELIST=941160520&amp;ISCONFIRM=0" xr:uid="{C41C49B1-33C1-4F90-AC1C-BF4874DD6B90}"/>
    <hyperlink ref="C8147" r:id="rId8142" display="https://pld.live/RapDetail.aspx?STONELIST=941190403&amp;ISCONFIRM=0" xr:uid="{8FD89CE3-07CB-4018-8261-CA0F6D693A3F}"/>
    <hyperlink ref="C8148" r:id="rId8143" display="https://pld.live/RapDetail.aspx?STONELIST=927140428&amp;ISCONFIRM=0" xr:uid="{881E4112-F8D3-4E79-8EA5-223052AA885B}"/>
    <hyperlink ref="C8149" r:id="rId8144" display="https://pld.live/RapDetail.aspx?STONELIST=927140438&amp;ISCONFIRM=0" xr:uid="{A5D8FE0D-4664-4C77-B48A-26632FB849AC}"/>
    <hyperlink ref="C8150" r:id="rId8145" display="https://pld.live/RapDetail.aspx?STONELIST=927140432&amp;ISCONFIRM=0" xr:uid="{29E36FB3-F1AF-407E-92EF-964B0DE2D19C}"/>
    <hyperlink ref="C8151" r:id="rId8146" display="https://pld.live/RapDetail.aspx?STONELIST=941160645&amp;ISCONFIRM=0" xr:uid="{B10F1C4F-DBA2-4C66-A031-8FD228DA875F}"/>
    <hyperlink ref="C8152" r:id="rId8147" display="https://pld.live/RapDetail.aspx?STONELIST=941160540&amp;ISCONFIRM=0" xr:uid="{0092B7CC-3850-42E5-A9FB-11E8F68DC7AB}"/>
    <hyperlink ref="C8153" r:id="rId8148" display="https://pld.live/RapDetail.aspx?STONELIST=941190460&amp;ISCONFIRM=0" xr:uid="{66E052F7-20C7-401F-B350-F40BD800E3ED}"/>
    <hyperlink ref="C8154" r:id="rId8149" display="https://pld.live/RapDetail.aspx?STONELIST=941160627&amp;ISCONFIRM=0" xr:uid="{DB092AC6-B3BB-4930-8412-270384B7B69A}"/>
    <hyperlink ref="C8155" r:id="rId8150" display="https://pld.live/RapDetail.aspx?STONELIST=927140411&amp;ISCONFIRM=0" xr:uid="{5FB4AE1B-A212-4582-91D5-9FE8E49D1A63}"/>
    <hyperlink ref="C8156" r:id="rId8151" display="https://pld.live/RapDetail.aspx?STONELIST=927140440&amp;ISCONFIRM=0" xr:uid="{76957B14-0A20-4D81-A62F-12FB4527B140}"/>
    <hyperlink ref="C8157" r:id="rId8152" display="https://pld.live/RapDetail.aspx?STONELIST=927140431&amp;ISCONFIRM=0" xr:uid="{943D03C2-A313-43F1-B948-339EC1EBA124}"/>
    <hyperlink ref="C8158" r:id="rId8153" display="https://pld.live/RapDetail.aspx?STONELIST=927140436&amp;ISCONFIRM=0" xr:uid="{BBB03502-547D-4E15-A676-307EB76A1C35}"/>
    <hyperlink ref="C8159" r:id="rId8154" display="https://pld.live/RapDetail.aspx?STONELIST=925950094&amp;ISCONFIRM=0" xr:uid="{97F47318-32E5-443E-B2F5-82D275FA7556}"/>
    <hyperlink ref="C8160" r:id="rId8155" display="https://pld.live/RapDetail.aspx?STONELIST=831020550&amp;ISCONFIRM=0" xr:uid="{41C73A8A-2852-488F-920D-6689AE784EA6}"/>
    <hyperlink ref="C8161" r:id="rId8156" display="https://pld.live/RapDetail.aspx?STONELIST=924350183&amp;ISCONFIRM=0" xr:uid="{47225948-12A9-4E53-BB97-A831B8938F80}"/>
    <hyperlink ref="C8162" r:id="rId8157" display="https://pld.live/RapDetail.aspx?STONELIST=924350078&amp;ISCONFIRM=0" xr:uid="{576E167B-88A0-4DCF-871E-26BB26F230CB}"/>
    <hyperlink ref="C8163" r:id="rId8158" display="https://pld.live/RapDetail.aspx?STONELIST=924210107&amp;ISCONFIRM=0" xr:uid="{9B3EAC16-7404-416F-877E-0912F919AE01}"/>
    <hyperlink ref="C8164" r:id="rId8159" display="https://pld.live/RapDetail.aspx?STONELIST=926580025&amp;ISCONFIRM=0" xr:uid="{4A2F405C-786A-4C4C-BCBC-5BDC5150B39E}"/>
    <hyperlink ref="C8165" r:id="rId8160" display="https://pld.live/RapDetail.aspx?STONELIST=924760095&amp;ISCONFIRM=0" xr:uid="{5390CF42-118B-4222-862E-B8C7E33D36AC}"/>
    <hyperlink ref="C8166" r:id="rId8161" display="https://pld.live/RapDetail.aspx?STONELIST=924350073&amp;ISCONFIRM=0" xr:uid="{BC9F0154-91A6-4EE1-A181-FB0D38E3D08E}"/>
    <hyperlink ref="C8167" r:id="rId8162" display="https://pld.live/RapDetail.aspx?STONELIST=924330101&amp;ISCONFIRM=0" xr:uid="{9DB27D6E-6BDC-4F59-82F6-A4E2AD90DCF0}"/>
    <hyperlink ref="C8168" r:id="rId8163" display="https://pld.live/RapDetail.aspx?STONELIST=831010735&amp;ISCONFIRM=0" xr:uid="{620AC4A7-68B4-4C83-A900-545176A2920C}"/>
    <hyperlink ref="C8169" r:id="rId8164" display="https://pld.live/RapDetail.aspx?STONELIST=924510226&amp;ISCONFIRM=0" xr:uid="{96B4B370-B2B5-4187-8E50-D10798553A9B}"/>
    <hyperlink ref="C8170" r:id="rId8165" display="https://pld.live/RapDetail.aspx?STONELIST=831020629&amp;ISCONFIRM=0" xr:uid="{5C84BD18-D07C-4C1D-B2F5-8ED243024A27}"/>
    <hyperlink ref="C8171" r:id="rId8166" display="https://pld.live/RapDetail.aspx?STONELIST=924450031&amp;ISCONFIRM=0" xr:uid="{3FBEA3B6-D1FF-47F2-9F63-DB58DEB0647F}"/>
    <hyperlink ref="C8172" r:id="rId8167" display="https://pld.live/RapDetail.aspx?STONELIST=924430095&amp;ISCONFIRM=0" xr:uid="{44EFE57A-D9AB-47D5-A7AF-46923E7D63C5}"/>
    <hyperlink ref="C8173" r:id="rId8168" display="https://pld.live/RapDetail.aspx?STONELIST=924430185&amp;ISCONFIRM=0" xr:uid="{1687B711-B667-48B8-A5B9-1AF4CC13E932}"/>
    <hyperlink ref="C8174" r:id="rId8169" display="https://pld.live/RapDetail.aspx?STONELIST=831020718&amp;ISCONFIRM=0" xr:uid="{3EA5A389-6C98-4972-AA1E-4D2978C67402}"/>
    <hyperlink ref="C8175" r:id="rId8170" display="https://pld.live/RapDetail.aspx?STONELIST=924410816&amp;ISCONFIRM=0" xr:uid="{CD55DFA1-1224-441F-9DC6-E79F57BB5700}"/>
    <hyperlink ref="C8176" r:id="rId8171" display="https://pld.live/RapDetail.aspx?STONELIST=924750472&amp;ISCONFIRM=0" xr:uid="{2487D4DE-FB9E-46A3-8ACD-3DD779CCB811}"/>
    <hyperlink ref="C8177" r:id="rId8172" display="https://pld.live/RapDetail.aspx?STONELIST=925290566&amp;ISCONFIRM=0" xr:uid="{72FA3A1E-80A5-460E-8877-44920BF97559}"/>
    <hyperlink ref="C8178" r:id="rId8173" display="https://pld.live/RapDetail.aspx?STONELIST=925270557&amp;ISCONFIRM=0" xr:uid="{B25CBC0E-C12F-4746-BDBB-C32678B7D1A5}"/>
    <hyperlink ref="C8179" r:id="rId8174" display="https://pld.live/RapDetail.aspx?STONELIST=924420302&amp;ISCONFIRM=0" xr:uid="{45F8EA2E-3C14-4BE3-866C-32787DDDE068}"/>
    <hyperlink ref="C8180" r:id="rId8175" display="https://pld.live/RapDetail.aspx?STONELIST=924410847&amp;ISCONFIRM=0" xr:uid="{760A3E6C-FF56-45B1-88CE-75993C600E17}"/>
    <hyperlink ref="C8181" r:id="rId8176" display="https://pld.live/RapDetail.aspx?STONELIST=924410822&amp;ISCONFIRM=0" xr:uid="{740801C2-4803-439D-8BDE-0A77D0CCD80F}"/>
    <hyperlink ref="C8182" r:id="rId8177" display="https://pld.live/RapDetail.aspx?STONELIST=924410785&amp;ISCONFIRM=0" xr:uid="{4FB858F4-0107-4BE3-8F5B-9AE68BC11DC6}"/>
    <hyperlink ref="C8183" r:id="rId8178" display="https://pld.live/RapDetail.aspx?STONELIST=924410832&amp;ISCONFIRM=0" xr:uid="{EC2AF77B-6084-430D-B762-796750B8A16C}"/>
    <hyperlink ref="C8184" r:id="rId8179" display="https://pld.live/RapDetail.aspx?STONELIST=924420067&amp;ISCONFIRM=0" xr:uid="{A13F1702-3BE0-48E7-B480-2DAE79285087}"/>
    <hyperlink ref="C8185" r:id="rId8180" display="https://pld.live/RapDetail.aspx?STONELIST=924900114&amp;ISCONFIRM=0" xr:uid="{382CA2AB-24B0-4D78-9BB0-6C6BE8FCD58E}"/>
    <hyperlink ref="C8186" r:id="rId8181" display="https://pld.live/RapDetail.aspx?STONELIST=924440117&amp;ISCONFIRM=0" xr:uid="{1A2343D2-93F6-4161-B96E-02C12630B532}"/>
    <hyperlink ref="C8187" r:id="rId8182" display="https://pld.live/RapDetail.aspx?STONELIST=924440158&amp;ISCONFIRM=0" xr:uid="{3E34160C-E726-4F35-B3C8-E2558239648A}"/>
    <hyperlink ref="C8188" r:id="rId8183" display="https://pld.live/RapDetail.aspx?STONELIST=831010323&amp;ISCONFIRM=0" xr:uid="{007BCC7C-23D3-496A-A783-DDC2B4A8C7C1}"/>
    <hyperlink ref="C8189" r:id="rId8184" display="https://pld.live/RapDetail.aspx?STONELIST=924440157&amp;ISCONFIRM=0" xr:uid="{37F0DFCF-6049-4278-ABE8-3FF926B97A5A}"/>
    <hyperlink ref="C8190" r:id="rId8185" display="https://pld.live/RapDetail.aspx?STONELIST=924410817&amp;ISCONFIRM=0" xr:uid="{2FF80B02-B244-4FD2-898A-24E571469A09}"/>
    <hyperlink ref="C8191" r:id="rId8186" display="https://pld.live/RapDetail.aspx?STONELIST=924560001&amp;ISCONFIRM=0" xr:uid="{C146EDD6-635F-4F94-BF21-AD46912DBF04}"/>
    <hyperlink ref="C8192" r:id="rId8187" display="https://pld.live/RapDetail.aspx?STONELIST=924560436&amp;ISCONFIRM=0" xr:uid="{FCDA0E23-7575-426B-A885-8595AA9DD524}"/>
    <hyperlink ref="C8193" r:id="rId8188" display="https://pld.live/RapDetail.aspx?STONELIST=925660237&amp;ISCONFIRM=0" xr:uid="{488BD4ED-B6C3-4DE4-A3D4-4540CF811971}"/>
    <hyperlink ref="C8194" r:id="rId8189" display="https://pld.live/RapDetail.aspx?STONELIST=925660238&amp;ISCONFIRM=0" xr:uid="{219A35ED-F45F-4190-BBC1-22638023D2A3}"/>
    <hyperlink ref="C8195" r:id="rId8190" display="https://pld.live/RapDetail.aspx?STONELIST=925660240&amp;ISCONFIRM=0" xr:uid="{37438468-AFEA-47F8-9B98-A5C38BED24E8}"/>
    <hyperlink ref="C8196" r:id="rId8191" display="https://pld.live/RapDetail.aspx?STONELIST=925660239&amp;ISCONFIRM=0" xr:uid="{5F0AC731-4C9C-4841-9CC4-AFB037B43E1A}"/>
    <hyperlink ref="C8197" r:id="rId8192" display="https://pld.live/RapDetail.aspx?STONELIST=925722135&amp;ISCONFIRM=0" xr:uid="{03FDCEAD-D6E7-4D79-BD1E-31513C7BD129}"/>
    <hyperlink ref="C8198" r:id="rId8193" display="https://pld.live/RapDetail.aspx?STONELIST=925722133&amp;ISCONFIRM=0" xr:uid="{7E548651-1723-4329-B6D8-3502F02EE1D4}"/>
    <hyperlink ref="C8199" r:id="rId8194" display="https://pld.live/RapDetail.aspx?STONELIST=926360339&amp;ISCONFIRM=0" xr:uid="{EEF17D39-F6B3-43A0-B062-ABCB4BAF7501}"/>
    <hyperlink ref="C8200" r:id="rId8195" display="https://pld.live/RapDetail.aspx?STONELIST=926820141&amp;ISCONFIRM=0" xr:uid="{651F333F-854F-4B1F-95AA-21AC7B9B577F}"/>
    <hyperlink ref="C8201" r:id="rId8196" display="https://pld.live/RapDetail.aspx?STONELIST=926820126&amp;ISCONFIRM=0" xr:uid="{BA8A1E28-F9C4-47A4-BA24-77B5ACF15C71}"/>
    <hyperlink ref="C8202" r:id="rId8197" display="https://pld.live/RapDetail.aspx?STONELIST=924870007&amp;ISCONFIRM=0" xr:uid="{11962527-595C-492C-A248-D3C214E0FCA7}"/>
    <hyperlink ref="C8203" r:id="rId8198" display="https://pld.live/RapDetail.aspx?STONELIST=924890020&amp;ISCONFIRM=0" xr:uid="{31EBC528-79FB-4C09-B5BF-29601AE96B75}"/>
    <hyperlink ref="C8204" r:id="rId8199" display="https://pld.live/RapDetail.aspx?STONELIST=925320058&amp;ISCONFIRM=0" xr:uid="{4EAAF2BC-383B-44E4-9B16-5B34197D4587}"/>
    <hyperlink ref="C8205" r:id="rId8200" display="https://pld.live/RapDetail.aspx?STONELIST=925880316&amp;ISCONFIRM=0" xr:uid="{60607712-18E7-4C9B-AAC4-B24F063CD078}"/>
    <hyperlink ref="C8206" r:id="rId8201" display="https://pld.live/RapDetail.aspx?STONELIST=925880322&amp;ISCONFIRM=0" xr:uid="{9B986551-9564-45FB-8A7F-E457B949A110}"/>
    <hyperlink ref="C8207" r:id="rId8202" display="https://pld.live/RapDetail.aspx?STONELIST=924590291&amp;ISCONFIRM=0" xr:uid="{BF1C2BD7-FD7D-4016-8220-BE32FF7816A8}"/>
    <hyperlink ref="C8208" r:id="rId8203" display="https://pld.live/RapDetail.aspx?STONELIST=926930924&amp;ISCONFIRM=0" xr:uid="{F7AC2897-04F2-45D5-B76A-1167C7A09700}"/>
    <hyperlink ref="C8209" r:id="rId8204" display="https://pld.live/RapDetail.aspx?STONELIST=925010207&amp;ISCONFIRM=0" xr:uid="{8CA68848-49F9-4EA7-A96D-5931448E6790}"/>
    <hyperlink ref="C8210" r:id="rId8205" display="https://pld.live/RapDetail.aspx?STONELIST=925660174&amp;ISCONFIRM=0" xr:uid="{9BC28530-2675-4A3D-B0E4-2CCD248AE0F1}"/>
    <hyperlink ref="C8211" r:id="rId8206" display="https://pld.live/RapDetail.aspx?STONELIST=924590273&amp;ISCONFIRM=0" xr:uid="{B53DBFDF-A315-4E2C-9958-811024CC89BA}"/>
    <hyperlink ref="C8212" r:id="rId8207" display="https://pld.live/RapDetail.aspx?STONELIST=926910623&amp;ISCONFIRM=0" xr:uid="{85171CD2-8A74-4644-A559-9D32930AC0E9}"/>
    <hyperlink ref="C8213" r:id="rId8208" display="https://pld.live/RapDetail.aspx?STONELIST=925010211&amp;ISCONFIRM=0" xr:uid="{A9306EA3-0E7E-44BA-964D-57BC285F7609}"/>
    <hyperlink ref="C8214" r:id="rId8209" display="https://pld.live/RapDetail.aspx?STONELIST=925010223&amp;ISCONFIRM=0" xr:uid="{E6EEC960-3470-4F48-81FB-B3136E996282}"/>
    <hyperlink ref="C8215" r:id="rId8210" display="https://pld.live/RapDetail.aspx?STONELIST=925670202&amp;ISCONFIRM=0" xr:uid="{2B57B7AA-DBBC-4667-9663-C32A21466083}"/>
    <hyperlink ref="C8216" r:id="rId8211" display="https://pld.live/RapDetail.aspx?STONELIST=925020223&amp;ISCONFIRM=0" xr:uid="{A95596F4-B5E2-42F3-A5DE-ED3D27472069}"/>
    <hyperlink ref="C8217" r:id="rId8212" display="https://pld.live/RapDetail.aspx?STONELIST=926930925&amp;ISCONFIRM=0" xr:uid="{B9B4D098-C5BD-4595-B859-3670C394F451}"/>
    <hyperlink ref="C8218" r:id="rId8213" display="https://pld.live/RapDetail.aspx?STONELIST=925640066&amp;ISCONFIRM=0" xr:uid="{805DA52C-191E-42FA-913F-D1C81C7BAE8A}"/>
    <hyperlink ref="C8219" r:id="rId8214" display="https://pld.live/RapDetail.aspx?STONELIST=925961361&amp;ISCONFIRM=0" xr:uid="{6FC631C2-F8C8-429A-AA94-AB857C0BE36D}"/>
    <hyperlink ref="C8220" r:id="rId8215" display="https://pld.live/RapDetail.aspx?STONELIST=831010499&amp;ISCONFIRM=0" xr:uid="{0AFCC0E1-BBB1-4046-9C8F-95426BB2859E}"/>
    <hyperlink ref="C8221" r:id="rId8216" display="https://pld.live/RapDetail.aspx?STONELIST=926171034&amp;ISCONFIRM=0" xr:uid="{384F43D6-FF8A-4FF4-8C54-FFA3870B1AF3}"/>
    <hyperlink ref="C8222" r:id="rId8217" display="https://pld.live/RapDetail.aspx?STONELIST=925771143&amp;ISCONFIRM=0" xr:uid="{C9A784A1-C770-4784-A3F5-823D5798FE35}"/>
    <hyperlink ref="C8223" r:id="rId8218" display="https://pld.live/RapDetail.aspx?STONELIST=925300351&amp;ISCONFIRM=0" xr:uid="{0ACD8DAE-4ECF-48CE-B245-E13675E16943}"/>
    <hyperlink ref="C8224" r:id="rId8219" display="https://pld.live/RapDetail.aspx?STONELIST=924590297&amp;ISCONFIRM=0" xr:uid="{EE2394A8-ABD5-4836-A5BB-5BFE488117A8}"/>
    <hyperlink ref="C8225" r:id="rId8220" display="https://pld.live/RapDetail.aspx?STONELIST=925731642&amp;ISCONFIRM=0" xr:uid="{8B1EED83-10E0-4107-A4A1-38AC34977E46}"/>
    <hyperlink ref="C8226" r:id="rId8221" display="https://pld.live/RapDetail.aspx?STONELIST=925732127&amp;ISCONFIRM=0" xr:uid="{05DADACE-FD8C-4E07-B2B0-523D94D5E8E0}"/>
    <hyperlink ref="C8227" r:id="rId8222" display="https://pld.live/RapDetail.aspx?STONELIST=925180249&amp;ISCONFIRM=0" xr:uid="{58512C1F-81DA-4C06-8FB3-D51F10DFF360}"/>
    <hyperlink ref="C8228" r:id="rId8223" display="https://pld.live/RapDetail.aspx?STONELIST=925771355&amp;ISCONFIRM=0" xr:uid="{40AD3377-0B18-4AAF-959E-A99C664E1502}"/>
    <hyperlink ref="C8229" r:id="rId8224" display="https://pld.live/RapDetail.aspx?STONELIST=925771278&amp;ISCONFIRM=0" xr:uid="{5ECEA2ED-BD07-422C-A60A-025FF50985AA}"/>
    <hyperlink ref="C8230" r:id="rId8225" display="https://pld.live/RapDetail.aspx?STONELIST=925771340&amp;ISCONFIRM=0" xr:uid="{47225495-C295-4739-A759-10E0C4D8A90E}"/>
    <hyperlink ref="C8231" r:id="rId8226" display="https://pld.live/RapDetail.aspx?STONELIST=925971333&amp;ISCONFIRM=0" xr:uid="{8B52EF44-F9D9-4603-A942-5592FA50B0DF}"/>
    <hyperlink ref="C8232" r:id="rId8227" display="https://pld.live/RapDetail.aspx?STONELIST=926100951&amp;ISCONFIRM=0" xr:uid="{703C787A-D5E7-4094-BF04-C7874BAE07D0}"/>
    <hyperlink ref="C8233" r:id="rId8228" display="https://pld.live/RapDetail.aspx?STONELIST=925140338&amp;ISCONFIRM=0" xr:uid="{32E8998A-A3A8-4DF8-91B5-4AA74E051AB8}"/>
    <hyperlink ref="C8234" r:id="rId8229" display="https://pld.live/RapDetail.aspx?STONELIST=926071814&amp;ISCONFIRM=0" xr:uid="{7E8DF467-3A5E-4185-91E3-32B2A16DB705}"/>
    <hyperlink ref="C8235" r:id="rId8230" display="https://pld.live/RapDetail.aspx?STONELIST=925300328&amp;ISCONFIRM=0" xr:uid="{35CE1C55-6FE4-4107-B230-4786AEAE83CA}"/>
    <hyperlink ref="C8236" r:id="rId8231" display="https://pld.live/RapDetail.aspx?STONELIST=925180256&amp;ISCONFIRM=0" xr:uid="{4DC56C91-BDD3-4065-BEC9-05D24A664422}"/>
    <hyperlink ref="C8237" r:id="rId8232" display="https://pld.live/RapDetail.aspx?STONELIST=925861872&amp;ISCONFIRM=0" xr:uid="{882DB51F-9A69-4D61-A1A7-C53688F57E6B}"/>
    <hyperlink ref="C8238" r:id="rId8233" display="https://pld.live/RapDetail.aspx?STONELIST=924610413&amp;ISCONFIRM=0" xr:uid="{63DDDB25-BE34-4E84-9D56-A05D135D3D47}"/>
    <hyperlink ref="C8239" r:id="rId8234" display="https://pld.live/RapDetail.aspx?STONELIST=925801932&amp;ISCONFIRM=0" xr:uid="{12E3A3C6-5096-4E14-90F9-CAB66853B09F}"/>
    <hyperlink ref="C8240" r:id="rId8235" display="https://pld.live/RapDetail.aspx?STONELIST=925180253&amp;ISCONFIRM=0" xr:uid="{5CED2CA0-B967-4CD4-9787-12A6FDF0F3C2}"/>
    <hyperlink ref="C8241" r:id="rId8236" display="https://pld.live/RapDetail.aspx?STONELIST=925801379&amp;ISCONFIRM=0" xr:uid="{FE8C7E26-EA00-4296-BFE6-4E72BAF95588}"/>
    <hyperlink ref="C8242" r:id="rId8237" display="https://pld.live/RapDetail.aspx?STONELIST=925801908&amp;ISCONFIRM=0" xr:uid="{CC50D390-D398-48D0-B2B5-E374E459C7D7}"/>
    <hyperlink ref="C8243" r:id="rId8238" display="https://pld.live/RapDetail.aspx?STONELIST=925300346&amp;ISCONFIRM=0" xr:uid="{FEDC6CAC-63A6-4247-AEFE-D2E96925E3F1}"/>
    <hyperlink ref="C8244" r:id="rId8239" display="https://pld.live/RapDetail.aspx?STONELIST=925300338&amp;ISCONFIRM=0" xr:uid="{C66B5044-DCA4-477F-AC8F-90D264CDED44}"/>
    <hyperlink ref="C8245" r:id="rId8240" display="https://pld.live/RapDetail.aspx?STONELIST=925732113&amp;ISCONFIRM=0" xr:uid="{0B2F37C9-72BA-4DCC-9E39-EFC896079F1D}"/>
    <hyperlink ref="C8246" r:id="rId8241" display="https://pld.live/RapDetail.aspx?STONELIST=925731959&amp;ISCONFIRM=0" xr:uid="{25E7BE88-7BD7-490E-9D1D-027F477BC388}"/>
    <hyperlink ref="C8247" r:id="rId8242" display="https://pld.live/RapDetail.aspx?STONELIST=925732133&amp;ISCONFIRM=0" xr:uid="{B0FBD866-ABB6-4757-AF90-6380476A37A6}"/>
    <hyperlink ref="C8248" r:id="rId8243" display="https://pld.live/RapDetail.aspx?STONELIST=925160028&amp;ISCONFIRM=0" xr:uid="{FFD9AE72-59DC-4C4E-B092-A706D7C26164}"/>
    <hyperlink ref="C8249" r:id="rId8244" display="https://pld.live/RapDetail.aspx?STONELIST=925732159&amp;ISCONFIRM=0" xr:uid="{24303DB1-A0DC-484C-A64F-2581D7E0A8C6}"/>
    <hyperlink ref="C8250" r:id="rId8245" display="https://pld.live/RapDetail.aspx?STONELIST=925721931&amp;ISCONFIRM=0" xr:uid="{1FF5BB43-42CA-4E1A-A426-6B4734BEAE88}"/>
    <hyperlink ref="C8251" r:id="rId8246" display="https://pld.live/RapDetail.aspx?STONELIST=925961356&amp;ISCONFIRM=0" xr:uid="{86FE7A95-7A1C-45FE-834D-99C003CDDA3D}"/>
    <hyperlink ref="C8252" r:id="rId8247" display="https://pld.live/RapDetail.aspx?STONELIST=925721758&amp;ISCONFIRM=0" xr:uid="{2A16F01B-1DAF-46FE-A279-B9ECEB8C5B6B}"/>
    <hyperlink ref="C8253" r:id="rId8248" display="https://pld.live/RapDetail.aspx?STONELIST=925731635&amp;ISCONFIRM=0" xr:uid="{29274DB0-F976-4FAE-9119-EBA9AA9D7C75}"/>
    <hyperlink ref="C8254" r:id="rId8249" display="https://pld.live/RapDetail.aspx?STONELIST=925140254&amp;ISCONFIRM=0" xr:uid="{85FC9625-1358-4C47-A64A-412EBAD89EB9}"/>
    <hyperlink ref="C8255" r:id="rId8250" display="https://pld.live/RapDetail.aspx?STONELIST=925150166&amp;ISCONFIRM=0" xr:uid="{0E0E1986-5763-4428-9205-D555FCAF39CE}"/>
    <hyperlink ref="C8256" r:id="rId8251" display="https://pld.live/RapDetail.aspx?STONELIST=925080617&amp;ISCONFIRM=0" xr:uid="{9AD120D5-D3DA-4204-921F-16AAAA2025EF}"/>
    <hyperlink ref="C8257" r:id="rId8252" display="https://pld.live/RapDetail.aspx?STONELIST=924900118&amp;ISCONFIRM=0" xr:uid="{2F12327E-F4E7-42A1-910F-066EAB5F7FBC}"/>
    <hyperlink ref="C8258" r:id="rId8253" display="https://pld.live/RapDetail.aspx?STONELIST=926311382&amp;ISCONFIRM=0" xr:uid="{9D1E0CAB-36C8-47D6-90FC-5F92F3B39180}"/>
    <hyperlink ref="C8259" r:id="rId8254" display="https://pld.live/RapDetail.aspx?STONELIST=925140346&amp;ISCONFIRM=0" xr:uid="{79ADD15A-5237-43F3-8330-F463B7A08EA0}"/>
    <hyperlink ref="C8260" r:id="rId8255" display="https://pld.live/RapDetail.aspx?STONELIST=926250071&amp;ISCONFIRM=0" xr:uid="{42935A03-4B3B-43D5-B750-EC91E65D689C}"/>
    <hyperlink ref="C8261" r:id="rId8256" display="https://pld.live/RapDetail.aspx?STONELIST=925080630&amp;ISCONFIRM=0" xr:uid="{685C4661-B056-4FF9-9FD4-D85F5277492B}"/>
    <hyperlink ref="C8262" r:id="rId8257" display="https://pld.live/RapDetail.aspx?STONELIST=926111027&amp;ISCONFIRM=0" xr:uid="{2177ADC3-5FEC-4F85-87A3-6C6B532BDA43}"/>
    <hyperlink ref="C8263" r:id="rId8258" display="https://pld.live/RapDetail.aspx?STONELIST=926291367&amp;ISCONFIRM=0" xr:uid="{CEB272AC-34F9-476A-9F69-14B09435CC92}"/>
    <hyperlink ref="C8264" r:id="rId8259" display="https://pld.live/RapDetail.aspx?STONELIST=831010766&amp;ISCONFIRM=0" xr:uid="{F5D3B5AF-D0E0-4348-A041-9E540B776B8E}"/>
    <hyperlink ref="C8265" r:id="rId8260" display="https://pld.live/RapDetail.aspx?STONELIST=925030454&amp;ISCONFIRM=0" xr:uid="{04D72D54-14B0-4CB7-8657-908AB5AED3EA}"/>
    <hyperlink ref="C8266" r:id="rId8261" display="https://pld.live/RapDetail.aspx?STONELIST=925080620&amp;ISCONFIRM=0" xr:uid="{CFBBBD09-DD24-445C-92C6-3AB5B400C0E4}"/>
  </hyperlinks>
  <printOptions horizontalCentered="1" verticalCentered="1" gridLines="1"/>
  <pageMargins left="0.7" right="0.7" top="0.75" bottom="0.75" header="0.3" footer="0.3"/>
  <pageSetup paperSize="9" scale="26" orientation="landscape"/>
  <drawing r:id="rId826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VIJAY-PURE LAB DIAMONDS</cp:lastModifiedBy>
  <dcterms:created xsi:type="dcterms:W3CDTF">2025-04-04T08:44:27Z</dcterms:created>
  <dcterms:modified xsi:type="dcterms:W3CDTF">2025-04-04T08:50:16Z</dcterms:modified>
</cp:coreProperties>
</file>